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05 LAYOUT\05.02 LAYOUT SHEET\EP11\"/>
    </mc:Choice>
  </mc:AlternateContent>
  <bookViews>
    <workbookView xWindow="0" yWindow="0" windowWidth="15540" windowHeight="6405" tabRatio="833"/>
  </bookViews>
  <sheets>
    <sheet name="Revision Data" sheetId="21410" r:id="rId1"/>
    <sheet name="HR Track 1" sheetId="2" r:id="rId2"/>
    <sheet name="HR Track 2" sheetId="21398" r:id="rId3"/>
    <sheet name="HR Track 3" sheetId="3" r:id="rId4"/>
    <sheet name="HR Track 4" sheetId="108" r:id="rId5"/>
    <sheet name="HR Track 5" sheetId="21400" r:id="rId6"/>
    <sheet name="HR Track 6" sheetId="21399" r:id="rId7"/>
    <sheet name="Recuento Conjuntos" sheetId="21408" r:id="rId8"/>
    <sheet name="Mediciones TOTAL" sheetId="21409" r:id="rId9"/>
    <sheet name="Recuento Especiales" sheetId="21407" r:id="rId10"/>
    <sheet name="Foundation Calculation" sheetId="21406" r:id="rId11"/>
    <sheet name="CW&amp;MW Drums" sheetId="21401" r:id="rId12"/>
    <sheet name="control" sheetId="21397" r:id="rId13"/>
    <sheet name="Arms" sheetId="21402" r:id="rId14"/>
  </sheets>
  <functionGroups builtInGroupCount="18"/>
  <externalReferences>
    <externalReference r:id="rId15"/>
  </externalReferences>
  <definedNames>
    <definedName name="_xlnm._FilterDatabase" localSheetId="1" hidden="1">'HR Track 1'!$A$2:$BA$811</definedName>
    <definedName name="_xlnm._FilterDatabase" localSheetId="2" hidden="1">'HR Track 2'!$A$2:$BA$821</definedName>
    <definedName name="_xlnm._FilterDatabase" localSheetId="3" hidden="1">'HR Track 3'!$A$2:$BA$90</definedName>
    <definedName name="_xlnm._FilterDatabase" localSheetId="4" hidden="1">'HR Track 4'!$A$2:$BA$36</definedName>
    <definedName name="_xlnm._FilterDatabase" localSheetId="5" hidden="1">'HR Track 5'!$L$1:$L$2164</definedName>
    <definedName name="_xlnm._FilterDatabase" localSheetId="6" hidden="1">'HR Track 6'!$A$2:$BA$32</definedName>
    <definedName name="_xlnm._FilterDatabase" localSheetId="7" hidden="1">'Recuento Conjuntos'!$E$1:$E$928</definedName>
    <definedName name="_xlnm._FilterDatabase" localSheetId="9" hidden="1">'Recuento Especiales'!#REF!</definedName>
    <definedName name="_xlnm._FilterDatabase" localSheetId="0" hidden="1">'Revision Data'!$A$1:$BA$19</definedName>
    <definedName name="_xlnm.Print_Area" localSheetId="1">'HR Track 1'!$A$1:$BA$811</definedName>
    <definedName name="_xlnm.Print_Area" localSheetId="2">'HR Track 2'!$A$1:$BA$821</definedName>
    <definedName name="_xlnm.Print_Area" localSheetId="3">'HR Track 3'!$A$1:$BA$90</definedName>
    <definedName name="_xlnm.Print_Area" localSheetId="4">'HR Track 4'!$A$1:$BA$36</definedName>
    <definedName name="_xlnm.Print_Area" localSheetId="5">'HR Track 5'!$A$1:$BA$16</definedName>
    <definedName name="_xlnm.Print_Area" localSheetId="6">'HR Track 6'!$A$1:$BA$32</definedName>
    <definedName name="_xlnm.Print_Area" localSheetId="8">'Mediciones TOTAL'!$A$3:$G$338</definedName>
    <definedName name="Área_de_impresión_TLV_v01" localSheetId="0">'Revision Data'!$A$1:$BA$19</definedName>
    <definedName name="Area_S_K_v1">'[1]HR Track 1 to Kafar'!$AJ$4:$AJ$1999</definedName>
    <definedName name="Area_S_K_v2">'[1]HR Track 2 to Kafar'!$AJ$4:$AJ$2077</definedName>
    <definedName name="Area_S_LOD_v2">'[1]HR Track 2 LOD'!$AJ$4:$AJ$1115</definedName>
    <definedName name="Area_S_TLV_v01" localSheetId="0">'Revision Data'!$AJ$4:$AJ$136</definedName>
    <definedName name="Area_S_TLV_v01">'[1]HR Track 1TLV S.'!$AJ$4:$AJ$531</definedName>
    <definedName name="Area_S_TLV_v02">'[1]HR Track 2TLV S.'!$AJ$4:$AJ$1290</definedName>
    <definedName name="Area_S_TLV_v03">'[1]HR Track 3TLV S.'!$AJ$4:$AJ$501</definedName>
    <definedName name="Area_S_TLV_v04">'[1]HR Track 4TLV S.'!$AJ$4:$AJ$611</definedName>
    <definedName name="Area_S_TLV_v05">'[1]HR Track 5TLV S.'!$AJ$4:$AJ$538</definedName>
    <definedName name="Area_S_TLV_v06">'[1]HR Track 6TLV S.'!$AJ$4:$AJ$537</definedName>
    <definedName name="Area_S_TLV_v07">'[1]HR Track 5TLV S(SIDING).'!$AJ$4:$AJ$606</definedName>
    <definedName name="Area_S_TLV_v08">'[1]HR Track 8TLV S.'!$AJ$4:$AJ$606</definedName>
    <definedName name="Area_S_TLV_v09">'[1]HR Track 9TLV S.'!$AJ$4:$AJ$606</definedName>
    <definedName name="Area_S_TLV_v10">'[1]HR Track 10TLV S.'!$AJ$4:$AJ$607</definedName>
    <definedName name="Area_S_v01">'[1]HR Track 1'!$AJ$4:$AJ$706</definedName>
    <definedName name="Area_S_v02">'[1]HR Track 2'!$AJ$4:$AJ$711</definedName>
    <definedName name="Area_S_v03">'[1]HR Track 3'!$AJ$4:$AJ$504</definedName>
    <definedName name="Area_S_v21">'[1]HR Track 21'!$AJ$4:$AJ$600</definedName>
    <definedName name="Area_S1">'HR Track 1'!$AJ$5:$AJ$818</definedName>
    <definedName name="Area_S2">'HR Track 2'!$AJ$4:$AJ$822</definedName>
    <definedName name="Area_S3">'HR Track 3'!$AJ$4:$AJ$504</definedName>
    <definedName name="Area_S4">'HR Track 4'!$AJ$4:$AJ$511</definedName>
    <definedName name="Area_S5">'HR Track 5'!$AJ$4:$AJ$500</definedName>
    <definedName name="Area_S6">'HR Track 6'!$AJ$4:$AJ$498</definedName>
    <definedName name="Area_V_K_v1">'[1]HR Track 1 to Kafar'!$A$4:$AM$1999</definedName>
    <definedName name="Area_V_K_v2">'[1]HR Track 2 to Kafar'!$A$4:$AM$2077</definedName>
    <definedName name="Area_V_LOD_v2">'[1]HR Track 2 LOD'!$A$4:$AM$1115</definedName>
    <definedName name="Area_V_TLV_v01" localSheetId="0">'Revision Data'!$A$4:$AM$136</definedName>
    <definedName name="Area_V_TLV_v01">'[1]HR Track 1TLV S.'!$A$4:$AM$531</definedName>
    <definedName name="Area_V_TLV_v02">'[1]HR Track 2TLV S.'!$A$4:$AM$507</definedName>
    <definedName name="Area_V_TLV_v03">'[1]HR Track 3TLV S.'!$A$4:$AM$501</definedName>
    <definedName name="Area_V_TLV_v04">'[1]HR Track 4TLV S.'!$A$4:$AM$611</definedName>
    <definedName name="Area_V_TLV_v05">'[1]HR Track 5TLV S.'!$A$4:$AM$538</definedName>
    <definedName name="Area_V_TLV_v06">'[1]HR Track 6TLV S.'!$A$4:$AM$537</definedName>
    <definedName name="Area_V_TLV_v07">'[1]HR Track 5TLV S(SIDING).'!$A$4:$AM$606</definedName>
    <definedName name="Area_V_TLV_v08">'[1]HR Track 8TLV S.'!$A$4:$AM$606</definedName>
    <definedName name="Area_V_TLV_v09">'[1]HR Track 9TLV S.'!$A$4:$AM$606</definedName>
    <definedName name="Area_V_TLV_v10">'[1]HR Track 10TLV S.'!$A$4:$AM$607</definedName>
    <definedName name="Area_V_v01">'[1]HR Track 1'!$A$4:$AM$706</definedName>
    <definedName name="Area_V_v02">'[1]HR Track 2'!$A$4:$AM$711</definedName>
    <definedName name="Area_V_v03">'[1]HR Track 3'!$A$4:$AM$504</definedName>
    <definedName name="Area_V_v21">'[1]HR Track 21'!$A$4:$AM$507</definedName>
    <definedName name="Area_v1">'HR Track 1'!$A$5:$AM$818</definedName>
    <definedName name="Area_v2">'HR Track 2'!$A$4:$AM$822</definedName>
    <definedName name="Area_v3">'HR Track 3'!$A$4:$AM$504</definedName>
    <definedName name="Area_v4">'HR Track 4'!$A$4:$AM$511</definedName>
    <definedName name="Area_v5">'HR Track 5'!$A$4:$AM$500</definedName>
    <definedName name="Area_v6">'HR Track 6'!$A$4:$AM$498</definedName>
    <definedName name="cantones_K_v1">'[1]HR Track 1 to Kafar'!$I$1:$I$1999</definedName>
    <definedName name="cantones_K_v2">'[1]HR Track 2 to Kafar'!$I$1:$I$2077</definedName>
    <definedName name="cantones_LOD_v2">'[1]HR Track 2 LOD'!$I$1:$I$1115</definedName>
    <definedName name="cantones_TLV_v01" localSheetId="0">'Revision Data'!$I$1:$I$843</definedName>
    <definedName name="cantones_TLV_v01">'[1]HR Track 1TLV S.'!$I$1:$I$1238</definedName>
    <definedName name="cantones_TLV_v02">'[1]HR Track 2TLV S.'!$I$1:$I$222</definedName>
    <definedName name="cantones_TLV_v03">'[1]HR Track 3TLV S.'!$I$1:$I$501</definedName>
    <definedName name="cantones_TLV_v04">'[1]HR Track 4TLV S.'!$I$1:$I$611</definedName>
    <definedName name="cantones_TLV_v05">'[1]HR Track 5TLV S.'!$I$1:$I$538</definedName>
    <definedName name="cantones_TLV_v06">'[1]HR Track 6TLV S.'!$I$1:$I$539</definedName>
    <definedName name="cantones_TLV_v07">'[1]HR Track 5TLV S(SIDING).'!$I$1:$I$606</definedName>
    <definedName name="cantones_TLV_v08">'[1]HR Track 8TLV S.'!$I$1:$I$606</definedName>
    <definedName name="cantones_TLV_v09">'[1]HR Track 9TLV S.'!$I$1:$I$606</definedName>
    <definedName name="cantones_TLV_v10">'[1]HR Track 10TLV S.'!$I$1:$I$607</definedName>
    <definedName name="cantones_v01">'[1]HR Track 1'!$I$1:$I$706</definedName>
    <definedName name="cantones_v02">'[1]HR Track 2'!$I$1:$I$711</definedName>
    <definedName name="cantones_v03">'[1]HR Track 3'!$I$1:$I$504</definedName>
    <definedName name="cantones_v1">'HR Track 1'!$I$1:$I$1529</definedName>
    <definedName name="cantones_v2">'HR Track 2'!$I$1:$I$1529</definedName>
    <definedName name="cantones_v21">'[1]HR Track 21'!$I$1:$I$1053</definedName>
    <definedName name="cantones_v3">'HR Track 3'!$I$1:$I$504</definedName>
    <definedName name="cantones_v4">'HR Track 4'!$I$1:$I$511</definedName>
    <definedName name="cantones_v5">'HR Track 5'!$I$1:$I$500</definedName>
    <definedName name="cantones_v6">'HR Track 6'!$I$1:$I$500</definedName>
    <definedName name="m2_K_v1">'[1]HR Track 1 to Kafar'!$O$1:$O$1999</definedName>
    <definedName name="m2_K_v2">'[1]HR Track 2 to Kafar'!$O$1:$O$2077</definedName>
    <definedName name="m2_LOD_v2">'[1]HR Track 2 LOD'!$O$1:$O$1115</definedName>
    <definedName name="m2_TLV_v01" localSheetId="0">'Revision Data'!$O$1:$O$843</definedName>
    <definedName name="m2_TLV_v01">'[1]HR Track 1TLV S.'!$O$1:$O$1238</definedName>
    <definedName name="m2_TLV_v02">'[1]HR Track 2TLV S.'!$O$1:$O$222</definedName>
    <definedName name="m2_TLV_v03">'[1]HR Track 3TLV S.'!$O$1:$O$501</definedName>
    <definedName name="m2_TLV_v04">'[1]HR Track 4TLV S.'!$O$1:$O$611</definedName>
    <definedName name="m2_TLV_v05">'[1]HR Track 5TLV S.'!$O$1:$O$538</definedName>
    <definedName name="m2_TLV_v06">'[1]HR Track 6TLV S.'!$O$1:$O$539</definedName>
    <definedName name="m2_TLV_v07">'[1]HR Track 5TLV S(SIDING).'!$O$1:$O$606</definedName>
    <definedName name="m2_TLV_v08">'[1]HR Track 8TLV S.'!$O$1:$O$606</definedName>
    <definedName name="m2_TLV_v09">'[1]HR Track 9TLV S.'!$O$1:$O$606</definedName>
    <definedName name="m2_TLV_v10">'[1]HR Track 10TLV S.'!$O$1:$O$607</definedName>
    <definedName name="m2_v01">'[1]HR Track 1'!$O$1:$O$706</definedName>
    <definedName name="m2_v02">'[1]HR Track 2'!$O$1:$O$711</definedName>
    <definedName name="m2_v03">'[1]HR Track 3'!$O$1:$O$504</definedName>
    <definedName name="m2_v1">'HR Track 1'!$O$1:$O$1529</definedName>
    <definedName name="m2_v2">'HR Track 2'!$O$1:$O$1529</definedName>
    <definedName name="m2_v21">'[1]HR Track 21'!$O$1:$O$576</definedName>
    <definedName name="m2_v3">'HR Track 3'!$O$1:$O$504</definedName>
    <definedName name="m2_v4">'HR Track 4'!$O$1:$O$511</definedName>
    <definedName name="m2_v5">'HR Track 5'!$O$1:$O$500</definedName>
    <definedName name="m2_v6">'HR Track 6'!$O$1:$O$500</definedName>
    <definedName name="Print_Area" localSheetId="12">control!$A$1:$C$47</definedName>
    <definedName name="Print_Area" localSheetId="11">'CW&amp;MW Drums'!$A$9:$Q$63</definedName>
    <definedName name="Print_Area" localSheetId="1">'HR Track 1'!$A$1:$BA$812</definedName>
    <definedName name="Print_Area" localSheetId="2">'HR Track 2'!$A$1:$AZ$826</definedName>
    <definedName name="Print_Area" localSheetId="3">'HR Track 3'!$A$1:$AZ$97</definedName>
    <definedName name="Print_Area" localSheetId="4">'HR Track 4'!$A$1:$AZ$41</definedName>
    <definedName name="Print_Area" localSheetId="5">'HR Track 5'!$A$1:$AZ$21</definedName>
    <definedName name="Print_Area" localSheetId="6">'HR Track 6'!$A$1:$AZ$37</definedName>
    <definedName name="Print_Area" localSheetId="8">'Mediciones TOTAL'!$A$2:$G$338</definedName>
    <definedName name="Print_Area" localSheetId="7">'Recuento Conjuntos'!$A$1:$M$293</definedName>
    <definedName name="Print_Area" localSheetId="9">'Recuento Especiales'!$A$1:$C$27</definedName>
    <definedName name="Print_Area_RD">#REF!</definedName>
    <definedName name="Print_Area_TLV_v01" localSheetId="0">'Revision Data'!$A$1:$AZ$140</definedName>
    <definedName name="Print_Titles" localSheetId="1">'HR Track 1'!$1:$3</definedName>
    <definedName name="Print_Titles" localSheetId="2">'HR Track 2'!$1:$3</definedName>
    <definedName name="Print_Titles" localSheetId="3">'HR Track 3'!$1:$3</definedName>
    <definedName name="Print_Titles" localSheetId="4">'HR Track 4'!$1:$3</definedName>
    <definedName name="Print_Titles" localSheetId="5">'HR Track 5'!$1:$3</definedName>
    <definedName name="Print_Titles" localSheetId="6">'HR Track 6'!$1:$3</definedName>
    <definedName name="Print_Titles" localSheetId="8">'Mediciones TOTAL'!$3:$4</definedName>
    <definedName name="Print_Titles" localSheetId="7">'Recuento Conjuntos'!$2:$2</definedName>
    <definedName name="Print_Titles" localSheetId="9">'Recuento Especiales'!$2:$2</definedName>
    <definedName name="Print_Titles_TLV_v01" localSheetId="0">'Revision Data'!$1:$3</definedName>
    <definedName name="_xlnm.Print_Titles" localSheetId="1">'HR Track 1'!$1:$3</definedName>
    <definedName name="_xlnm.Print_Titles" localSheetId="2">'HR Track 2'!$1:$3</definedName>
    <definedName name="_xlnm.Print_Titles" localSheetId="3">'HR Track 3'!$1:$3</definedName>
    <definedName name="_xlnm.Print_Titles" localSheetId="4">'HR Track 4'!$1:$3</definedName>
    <definedName name="_xlnm.Print_Titles" localSheetId="5">'HR Track 5'!$1:$3</definedName>
    <definedName name="_xlnm.Print_Titles" localSheetId="6">'HR Track 6'!$1:$3</definedName>
    <definedName name="_xlnm.Print_Titles" localSheetId="0">'Revision Data'!$1:$2</definedName>
    <definedName name="Títulos_a_imprimir_TLV_v01" localSheetId="0">'Revision Data'!$1:$3</definedName>
    <definedName name="vanos_TLV_v01" localSheetId="0">'Revision Data'!$G$1:$G$843</definedName>
    <definedName name="Vanos_v1">'HR Track 1'!$G$1:$G$1529</definedName>
    <definedName name="vanos_v2">'HR Track 2'!$G$1:$G$1529</definedName>
    <definedName name="vanos_v3">'HR Track 3'!$G$1:$G$504</definedName>
    <definedName name="vanos_v4">'HR Track 4'!$G$1:$G$511</definedName>
  </definedNames>
  <calcPr calcId="152511"/>
</workbook>
</file>

<file path=xl/calcChain.xml><?xml version="1.0" encoding="utf-8"?>
<calcChain xmlns="http://schemas.openxmlformats.org/spreadsheetml/2006/main">
  <c r="S566" i="2" l="1"/>
  <c r="AT563" i="2"/>
  <c r="S54" i="21398" l="1"/>
  <c r="S52" i="21398"/>
  <c r="S50" i="21398"/>
  <c r="S296" i="21398" l="1"/>
  <c r="S296" i="2"/>
  <c r="S318" i="2"/>
  <c r="S316" i="2"/>
  <c r="S314" i="2"/>
  <c r="S312" i="2"/>
  <c r="S310" i="2"/>
  <c r="S308" i="2"/>
  <c r="S306" i="2"/>
  <c r="S304" i="2"/>
  <c r="S302" i="2"/>
  <c r="S300" i="2"/>
  <c r="S294" i="2"/>
  <c r="S292" i="2"/>
  <c r="S290" i="2"/>
  <c r="S288" i="2"/>
  <c r="S82" i="2" l="1"/>
  <c r="S80" i="2"/>
  <c r="S78" i="2"/>
  <c r="S76" i="2"/>
  <c r="S102" i="2"/>
  <c r="S100" i="2"/>
  <c r="S98" i="2"/>
  <c r="S286" i="2" l="1"/>
  <c r="S284" i="2"/>
  <c r="S282" i="2"/>
  <c r="S280" i="2"/>
  <c r="S278" i="2"/>
  <c r="S276" i="2"/>
  <c r="S274" i="2"/>
  <c r="S272" i="2"/>
  <c r="S270" i="2"/>
  <c r="S268" i="2"/>
  <c r="S266" i="2"/>
  <c r="S264" i="2"/>
  <c r="S262" i="2"/>
  <c r="S260" i="2"/>
  <c r="S258" i="2"/>
  <c r="S256" i="2"/>
  <c r="S254" i="2"/>
  <c r="S252" i="2"/>
  <c r="S250" i="2"/>
  <c r="S356" i="21398" l="1"/>
  <c r="S354" i="21398"/>
  <c r="S352" i="21398"/>
  <c r="S350" i="21398"/>
  <c r="S348" i="21398"/>
  <c r="S346" i="21398"/>
  <c r="S344" i="21398"/>
  <c r="S342" i="21398"/>
  <c r="S340" i="21398"/>
  <c r="S338" i="21398"/>
  <c r="S336" i="21398"/>
  <c r="S334" i="21398"/>
  <c r="S332" i="21398"/>
  <c r="S330" i="21398"/>
  <c r="S328" i="21398"/>
  <c r="S326" i="21398"/>
  <c r="S324" i="21398"/>
  <c r="S322" i="21398"/>
  <c r="S320" i="21398"/>
  <c r="S318" i="21398"/>
  <c r="S316" i="21398"/>
  <c r="S314" i="21398"/>
  <c r="S312" i="21398"/>
  <c r="S310" i="21398"/>
  <c r="S308" i="21398"/>
  <c r="S306" i="21398"/>
  <c r="S304" i="21398"/>
  <c r="S302" i="21398"/>
  <c r="S300" i="21398"/>
  <c r="S294" i="21398"/>
  <c r="S292" i="21398"/>
  <c r="S290" i="21398"/>
  <c r="S288" i="21398"/>
  <c r="S286" i="21398"/>
  <c r="S284" i="21398"/>
  <c r="S282" i="21398"/>
  <c r="S280" i="21398"/>
  <c r="S278" i="21398"/>
  <c r="S276" i="21398"/>
  <c r="S274" i="21398"/>
  <c r="S272" i="21398"/>
  <c r="S270" i="21398"/>
  <c r="S268" i="21398"/>
  <c r="S266" i="21398"/>
  <c r="S264" i="21398"/>
  <c r="S262" i="21398"/>
  <c r="S260" i="21398"/>
  <c r="S258" i="21398"/>
  <c r="S256" i="21398"/>
  <c r="S254" i="21398"/>
  <c r="S252" i="21398"/>
  <c r="S250" i="21398"/>
  <c r="S248" i="21398"/>
  <c r="S246" i="21398"/>
  <c r="S244" i="21398"/>
  <c r="S242" i="21398"/>
  <c r="S240" i="21398"/>
  <c r="S238" i="21398"/>
  <c r="S236" i="21398"/>
  <c r="S234" i="21398"/>
  <c r="S232" i="21398"/>
  <c r="S230" i="21398"/>
  <c r="S228" i="21398"/>
  <c r="S226" i="21398"/>
  <c r="S224" i="21398"/>
  <c r="S222" i="21398"/>
  <c r="S220" i="21398"/>
  <c r="S218" i="21398"/>
  <c r="S216" i="21398"/>
  <c r="S214" i="21398"/>
  <c r="S212" i="21398"/>
  <c r="S210" i="21398"/>
  <c r="S208" i="21398"/>
  <c r="S206" i="21398"/>
  <c r="S204" i="21398"/>
  <c r="S202" i="21398"/>
  <c r="S200" i="21398"/>
  <c r="S198" i="21398"/>
  <c r="S196" i="21398"/>
  <c r="S194" i="21398"/>
  <c r="S192" i="21398"/>
  <c r="S190" i="21398"/>
  <c r="S188" i="21398"/>
  <c r="S186" i="21398"/>
  <c r="S184" i="21398"/>
  <c r="S182" i="21398"/>
  <c r="S180" i="21398"/>
  <c r="S178" i="21398"/>
  <c r="S176" i="21398"/>
  <c r="S174" i="21398"/>
  <c r="S172" i="21398"/>
  <c r="S170" i="21398"/>
  <c r="S168" i="21398"/>
  <c r="S166" i="21398"/>
  <c r="S164" i="21398"/>
  <c r="S162" i="21398"/>
  <c r="S160" i="21398"/>
  <c r="S158" i="21398"/>
  <c r="S156" i="21398"/>
  <c r="S154" i="21398"/>
  <c r="S152" i="21398"/>
  <c r="S150" i="21398"/>
  <c r="S148" i="21398"/>
  <c r="S146" i="21398"/>
  <c r="S144" i="21398"/>
  <c r="S142" i="21398"/>
  <c r="S140" i="21398"/>
  <c r="S138" i="21398"/>
  <c r="S136" i="21398"/>
  <c r="S134" i="21398"/>
  <c r="S132" i="21398"/>
  <c r="S130" i="21398"/>
  <c r="S128" i="21398"/>
  <c r="S126" i="21398"/>
  <c r="S124" i="21398"/>
  <c r="S122" i="21398"/>
  <c r="S120" i="21398"/>
  <c r="S118" i="21398"/>
  <c r="S116" i="21398"/>
  <c r="S114" i="21398"/>
  <c r="S112" i="21398"/>
  <c r="S110" i="21398"/>
  <c r="S108" i="21398"/>
  <c r="S106" i="21398"/>
  <c r="S104" i="21398"/>
  <c r="S102" i="21398"/>
  <c r="S100" i="21398"/>
  <c r="S98" i="21398"/>
  <c r="S96" i="21398"/>
  <c r="S94" i="21398"/>
  <c r="S92" i="21398"/>
  <c r="S90" i="21398"/>
  <c r="S88" i="21398"/>
  <c r="S86" i="21398"/>
  <c r="S84" i="21398"/>
  <c r="S82" i="21398"/>
  <c r="S80" i="21398"/>
  <c r="S78" i="21398"/>
  <c r="S76" i="21398"/>
  <c r="S74" i="21398"/>
  <c r="S72" i="21398"/>
  <c r="S70" i="21398"/>
  <c r="S68" i="21398"/>
  <c r="S66" i="21398"/>
  <c r="S64" i="21398"/>
  <c r="S62" i="21398"/>
  <c r="S60" i="21398"/>
  <c r="S58" i="21398"/>
  <c r="S56" i="21398"/>
  <c r="AT301" i="2"/>
  <c r="AT293" i="2"/>
  <c r="AT307" i="2"/>
  <c r="AT475" i="2"/>
  <c r="AT303" i="2"/>
  <c r="AT297" i="2"/>
  <c r="AT305" i="2"/>
  <c r="AT309" i="2"/>
  <c r="AT295" i="2"/>
  <c r="AQ478" i="2"/>
  <c r="AQ476" i="2"/>
  <c r="S819" i="21398" l="1"/>
  <c r="S813" i="21398"/>
  <c r="S805" i="21398"/>
  <c r="S811" i="21398"/>
  <c r="S809" i="2"/>
  <c r="S508" i="21398" l="1"/>
  <c r="S518" i="21398"/>
  <c r="S512" i="21398"/>
  <c r="S514" i="21398"/>
  <c r="S516" i="21398"/>
  <c r="AT511" i="21398"/>
  <c r="AT515" i="21398"/>
  <c r="AQ420" i="21398"/>
  <c r="AQ416" i="21398"/>
  <c r="AQ514" i="21398"/>
  <c r="AT513" i="21398"/>
  <c r="AQ516" i="21398"/>
  <c r="AQ620" i="2"/>
  <c r="AQ418" i="21398"/>
  <c r="AQ512" i="21398"/>
  <c r="AQ622" i="2"/>
  <c r="S11" i="21400" l="1"/>
  <c r="S8" i="21400"/>
  <c r="AT477" i="2"/>
  <c r="AT473" i="2"/>
  <c r="AT479" i="2"/>
  <c r="AT481" i="2"/>
  <c r="S20" i="108" l="1"/>
  <c r="S17" i="108"/>
  <c r="S14" i="108"/>
  <c r="S12" i="108"/>
  <c r="S8" i="21399"/>
  <c r="S12" i="21399"/>
  <c r="S6" i="21399"/>
  <c r="M248" i="21408" l="1"/>
  <c r="L248" i="21408"/>
  <c r="K248" i="21408"/>
  <c r="J248" i="21408"/>
  <c r="I248" i="21408"/>
  <c r="H248" i="21408"/>
  <c r="M236" i="21408"/>
  <c r="L236" i="21408"/>
  <c r="K236" i="21408"/>
  <c r="J236" i="21408"/>
  <c r="I236" i="21408"/>
  <c r="H236" i="21408"/>
  <c r="M258" i="21408" l="1"/>
  <c r="L258" i="21408"/>
  <c r="K258" i="21408"/>
  <c r="J258" i="21408"/>
  <c r="I258" i="21408"/>
  <c r="H258" i="21408"/>
  <c r="M255" i="21408"/>
  <c r="M259" i="21408" s="1"/>
  <c r="L255" i="21408"/>
  <c r="L259" i="21408" s="1"/>
  <c r="K255" i="21408"/>
  <c r="K259" i="21408" s="1"/>
  <c r="J255" i="21408"/>
  <c r="J259" i="21408" s="1"/>
  <c r="I255" i="21408"/>
  <c r="I259" i="21408" s="1"/>
  <c r="H255" i="21408"/>
  <c r="M244" i="21408"/>
  <c r="L244" i="21408"/>
  <c r="K244" i="21408"/>
  <c r="J244" i="21408"/>
  <c r="I244" i="21408"/>
  <c r="H244" i="21408"/>
  <c r="M243" i="21408"/>
  <c r="L243" i="21408"/>
  <c r="K243" i="21408"/>
  <c r="J243" i="21408"/>
  <c r="I243" i="21408"/>
  <c r="H243" i="21408"/>
  <c r="G245" i="21408"/>
  <c r="L242" i="21408"/>
  <c r="M242" i="21408"/>
  <c r="K242" i="21408"/>
  <c r="J242" i="21408"/>
  <c r="I242" i="21408"/>
  <c r="H242" i="21408"/>
  <c r="M241" i="21408"/>
  <c r="L241" i="21408"/>
  <c r="K241" i="21408"/>
  <c r="J241" i="21408"/>
  <c r="I241" i="21408"/>
  <c r="H241" i="21408"/>
  <c r="M234" i="21408"/>
  <c r="L234" i="21408"/>
  <c r="K234" i="21408"/>
  <c r="J234" i="21408"/>
  <c r="I234" i="21408"/>
  <c r="H234" i="21408"/>
  <c r="M237" i="21408"/>
  <c r="L237" i="21408"/>
  <c r="K237" i="21408"/>
  <c r="J237" i="21408"/>
  <c r="I237" i="21408"/>
  <c r="H237" i="21408"/>
  <c r="G258" i="21408" l="1"/>
  <c r="G243" i="21408"/>
  <c r="G244" i="21408"/>
  <c r="G242" i="21408"/>
  <c r="G260" i="21409"/>
  <c r="AQ270" i="21398"/>
  <c r="AT269" i="21398"/>
  <c r="AT271" i="21398"/>
  <c r="G256" i="21409"/>
  <c r="G258" i="21409"/>
  <c r="S470" i="21398" l="1"/>
  <c r="S468" i="21398"/>
  <c r="C473" i="21398"/>
  <c r="AT473" i="21398"/>
  <c r="AT465" i="21398"/>
  <c r="AQ468" i="21398"/>
  <c r="AT469" i="21398"/>
  <c r="AT467" i="21398"/>
  <c r="S506" i="21398" l="1"/>
  <c r="AT517" i="21398"/>
  <c r="AT505" i="21398"/>
  <c r="AQ502" i="21398"/>
  <c r="AQ500" i="2"/>
  <c r="AQ506" i="21398"/>
  <c r="AQ509" i="21398"/>
  <c r="AT501" i="2"/>
  <c r="AT503" i="21398"/>
  <c r="AT507" i="21398"/>
  <c r="AQ504" i="21398"/>
  <c r="S348" i="2" l="1"/>
  <c r="S346" i="2"/>
  <c r="S344" i="2"/>
  <c r="S342" i="2"/>
  <c r="S340" i="2"/>
  <c r="S338" i="2"/>
  <c r="S336" i="2"/>
  <c r="S334" i="2"/>
  <c r="S332" i="2"/>
  <c r="S330" i="2"/>
  <c r="S328" i="2"/>
  <c r="S326" i="2"/>
  <c r="S324" i="2"/>
  <c r="S322" i="2"/>
  <c r="S320" i="2"/>
  <c r="H266" i="21408" l="1"/>
  <c r="I266" i="21408"/>
  <c r="J266" i="21408"/>
  <c r="K266" i="21408"/>
  <c r="L266" i="21408"/>
  <c r="M266" i="21408"/>
  <c r="G266" i="21408" l="1"/>
  <c r="J298" i="21398" l="1"/>
  <c r="J298" i="2"/>
  <c r="I28" i="3" l="1"/>
  <c r="I396" i="21398"/>
  <c r="AT407" i="2"/>
  <c r="AQ412" i="2"/>
  <c r="AT80" i="3"/>
  <c r="AT82" i="3"/>
  <c r="AQ83" i="3"/>
  <c r="AQ410" i="2"/>
  <c r="S506" i="2" l="1"/>
  <c r="S504" i="2"/>
  <c r="I388" i="2" l="1"/>
  <c r="S214" i="2" l="1"/>
  <c r="S216" i="2"/>
  <c r="S218" i="2"/>
  <c r="S220" i="2"/>
  <c r="S222" i="2"/>
  <c r="S224" i="2"/>
  <c r="S226" i="2"/>
  <c r="S228" i="2"/>
  <c r="S230" i="2"/>
  <c r="S232" i="2"/>
  <c r="S234" i="2"/>
  <c r="S236" i="2"/>
  <c r="S238" i="2"/>
  <c r="S240" i="2"/>
  <c r="S242" i="2"/>
  <c r="S244" i="2"/>
  <c r="S246" i="2"/>
  <c r="S248" i="2"/>
  <c r="S212" i="2"/>
  <c r="C7" i="21398" l="1"/>
  <c r="C7" i="2"/>
  <c r="C9" i="21398" l="1"/>
  <c r="C11" i="21398" s="1"/>
  <c r="C13" i="21398" s="1"/>
  <c r="C15" i="21398" s="1"/>
  <c r="C17" i="21398" s="1"/>
  <c r="C19" i="21398" s="1"/>
  <c r="C21" i="21398" s="1"/>
  <c r="C9" i="2"/>
  <c r="C11" i="2" s="1"/>
  <c r="C13" i="2" s="1"/>
  <c r="C15" i="2" s="1"/>
  <c r="C17" i="2" s="1"/>
  <c r="C19" i="2" s="1"/>
  <c r="C21" i="2" s="1"/>
  <c r="BM9" i="21399"/>
  <c r="S398" i="21398" l="1"/>
  <c r="AQ216" i="2"/>
  <c r="AT283" i="2"/>
  <c r="AQ260" i="2"/>
  <c r="AT259" i="2"/>
  <c r="AT271" i="2"/>
  <c r="AQ214" i="2"/>
  <c r="AQ464" i="21398"/>
  <c r="AT273" i="2"/>
  <c r="AQ204" i="21398"/>
  <c r="AQ250" i="2"/>
  <c r="AQ206" i="21398"/>
  <c r="AQ286" i="2"/>
  <c r="AQ514" i="2"/>
  <c r="AT275" i="2"/>
  <c r="AQ208" i="21398"/>
  <c r="AT804" i="2"/>
  <c r="AT261" i="21398"/>
  <c r="AT796" i="2"/>
  <c r="AQ272" i="2"/>
  <c r="AQ292" i="21398"/>
  <c r="AT267" i="2"/>
  <c r="AT810" i="21398"/>
  <c r="AT293" i="21398"/>
  <c r="AQ262" i="21398"/>
  <c r="AQ268" i="21398"/>
  <c r="AQ192" i="2"/>
  <c r="AQ262" i="2"/>
  <c r="AQ192" i="21398"/>
  <c r="AQ260" i="21398"/>
  <c r="AQ250" i="21398"/>
  <c r="AQ286" i="21398"/>
  <c r="AQ400" i="21398"/>
  <c r="AT263" i="2"/>
  <c r="AQ210" i="21398"/>
  <c r="AQ152" i="2"/>
  <c r="AT515" i="2"/>
  <c r="AT261" i="2"/>
  <c r="AT812" i="21398"/>
  <c r="AQ190" i="21398"/>
  <c r="AT802" i="2"/>
  <c r="AQ290" i="21398"/>
  <c r="AQ212" i="21398"/>
  <c r="AT277" i="2"/>
  <c r="AT285" i="2"/>
  <c r="AQ268" i="2"/>
  <c r="AQ188" i="21398"/>
  <c r="AQ330" i="21398"/>
  <c r="AT269" i="2"/>
  <c r="AQ396" i="21398"/>
  <c r="AT265" i="2"/>
  <c r="AT263" i="21398"/>
  <c r="AQ805" i="21398"/>
  <c r="AQ270" i="2"/>
  <c r="AT287" i="2"/>
  <c r="S352" i="2" l="1"/>
  <c r="S350" i="2"/>
  <c r="S356" i="2"/>
  <c r="AT571" i="2"/>
  <c r="AT573" i="2"/>
  <c r="S358" i="2" l="1"/>
  <c r="S176" i="2" l="1"/>
  <c r="S178" i="2"/>
  <c r="S180" i="2"/>
  <c r="S182" i="2"/>
  <c r="S184" i="2"/>
  <c r="S186" i="2"/>
  <c r="S60" i="2"/>
  <c r="S62" i="2"/>
  <c r="S64" i="2"/>
  <c r="S66" i="2"/>
  <c r="S68" i="2"/>
  <c r="S70" i="2"/>
  <c r="S72" i="2"/>
  <c r="S74" i="2"/>
  <c r="AG683" i="2" l="1"/>
  <c r="AG681" i="2"/>
  <c r="AG715" i="2"/>
  <c r="AG713" i="2"/>
  <c r="AG749" i="2"/>
  <c r="AG747" i="2"/>
  <c r="AG783" i="2"/>
  <c r="AG781" i="2"/>
  <c r="S378" i="21398"/>
  <c r="S376" i="21398"/>
  <c r="S374" i="21398"/>
  <c r="S372" i="21398"/>
  <c r="S370" i="21398"/>
  <c r="S368" i="21398"/>
  <c r="S366" i="21398"/>
  <c r="S364" i="21398"/>
  <c r="S362" i="21398"/>
  <c r="S360" i="21398"/>
  <c r="S358" i="21398"/>
  <c r="S428" i="21398"/>
  <c r="S426" i="21398"/>
  <c r="S424" i="21398"/>
  <c r="S422" i="21398"/>
  <c r="S414" i="21398"/>
  <c r="S412" i="21398"/>
  <c r="S410" i="21398"/>
  <c r="S408" i="21398"/>
  <c r="S406" i="21398"/>
  <c r="S404" i="21398"/>
  <c r="S402" i="21398"/>
  <c r="S396" i="21398"/>
  <c r="S394" i="21398"/>
  <c r="S392" i="21398"/>
  <c r="S390" i="21398"/>
  <c r="S388" i="21398"/>
  <c r="S386" i="21398"/>
  <c r="S384" i="21398"/>
  <c r="S382" i="21398"/>
  <c r="S380" i="21398"/>
  <c r="S432" i="21398"/>
  <c r="S430" i="21398"/>
  <c r="S438" i="21398"/>
  <c r="S436" i="21398"/>
  <c r="S434" i="21398"/>
  <c r="S440" i="21398"/>
  <c r="S442" i="21398"/>
  <c r="S444" i="21398"/>
  <c r="S446" i="21398"/>
  <c r="S448" i="21398"/>
  <c r="S450" i="21398"/>
  <c r="S452" i="21398"/>
  <c r="S454" i="21398"/>
  <c r="S456" i="21398"/>
  <c r="S458" i="21398"/>
  <c r="S460" i="21398"/>
  <c r="S464" i="21398"/>
  <c r="S466" i="21398"/>
  <c r="S472" i="21398"/>
  <c r="S474" i="21398"/>
  <c r="S476" i="21398"/>
  <c r="S478" i="21398"/>
  <c r="S480" i="21398"/>
  <c r="S482" i="21398"/>
  <c r="S484" i="21398"/>
  <c r="S486" i="21398"/>
  <c r="S488" i="21398"/>
  <c r="S490" i="21398"/>
  <c r="S492" i="21398"/>
  <c r="S494" i="21398"/>
  <c r="S496" i="21398"/>
  <c r="S498" i="21398"/>
  <c r="S500" i="21398"/>
  <c r="S502" i="21398"/>
  <c r="S504" i="21398"/>
  <c r="S789" i="21398"/>
  <c r="S788" i="21398"/>
  <c r="S787" i="21398"/>
  <c r="S786" i="21398"/>
  <c r="S785" i="21398"/>
  <c r="S755" i="21398"/>
  <c r="S754" i="21398"/>
  <c r="S753" i="21398"/>
  <c r="S752" i="21398"/>
  <c r="S751" i="21398"/>
  <c r="S723" i="21398"/>
  <c r="S721" i="21398"/>
  <c r="S720" i="21398"/>
  <c r="S719" i="21398"/>
  <c r="S718" i="21398"/>
  <c r="S717" i="21398"/>
  <c r="S691" i="21398"/>
  <c r="S689" i="21398"/>
  <c r="S687" i="21398"/>
  <c r="S688" i="21398"/>
  <c r="S686" i="21398"/>
  <c r="S685" i="21398"/>
  <c r="AT403" i="21398"/>
  <c r="AT401" i="21398"/>
  <c r="AT431" i="21398"/>
  <c r="AT411" i="21398"/>
  <c r="AT463" i="21398"/>
  <c r="AQ795" i="21398"/>
  <c r="AT413" i="21398"/>
  <c r="AT415" i="21398"/>
  <c r="AT409" i="21398"/>
  <c r="AQ402" i="21398"/>
  <c r="AT740" i="21398"/>
  <c r="AT796" i="21398"/>
  <c r="AQ803" i="21398"/>
  <c r="AQ412" i="21398"/>
  <c r="S174" i="2" l="1"/>
  <c r="S172" i="2"/>
  <c r="S170" i="2"/>
  <c r="S168" i="2"/>
  <c r="S166" i="2"/>
  <c r="S164" i="2"/>
  <c r="S162" i="2"/>
  <c r="S160" i="2"/>
  <c r="S158" i="2"/>
  <c r="S156" i="2"/>
  <c r="S154" i="2"/>
  <c r="S152" i="2"/>
  <c r="S150" i="2"/>
  <c r="S148" i="2"/>
  <c r="S146" i="2"/>
  <c r="S144" i="2"/>
  <c r="S142" i="2"/>
  <c r="S140" i="2"/>
  <c r="S138" i="2"/>
  <c r="S136" i="2"/>
  <c r="S134" i="2"/>
  <c r="S132" i="2"/>
  <c r="S130" i="2"/>
  <c r="S128" i="2"/>
  <c r="S126" i="2"/>
  <c r="S124" i="2"/>
  <c r="S122" i="2"/>
  <c r="S120" i="2"/>
  <c r="S118" i="2"/>
  <c r="S116" i="2"/>
  <c r="S114" i="2"/>
  <c r="S112" i="2"/>
  <c r="S110" i="2"/>
  <c r="S108" i="2"/>
  <c r="S106" i="2"/>
  <c r="S104" i="2"/>
  <c r="S96" i="2"/>
  <c r="S94" i="2"/>
  <c r="S92" i="2"/>
  <c r="S90" i="2"/>
  <c r="S88" i="2"/>
  <c r="S86" i="2"/>
  <c r="S84" i="2"/>
  <c r="S58" i="2"/>
  <c r="S56" i="2"/>
  <c r="S48" i="2"/>
  <c r="S46" i="2"/>
  <c r="S44" i="2"/>
  <c r="S42" i="2"/>
  <c r="S40" i="2"/>
  <c r="S38" i="2"/>
  <c r="S36" i="2"/>
  <c r="S34" i="2"/>
  <c r="S32" i="2"/>
  <c r="S30" i="2"/>
  <c r="S28" i="2"/>
  <c r="S26" i="2"/>
  <c r="S24" i="2"/>
  <c r="S26" i="21398"/>
  <c r="S28" i="21398"/>
  <c r="S30" i="21398"/>
  <c r="S32" i="21398"/>
  <c r="S34" i="21398"/>
  <c r="S36" i="21398"/>
  <c r="S38" i="21398"/>
  <c r="S40" i="21398"/>
  <c r="S42" i="21398"/>
  <c r="S44" i="21398"/>
  <c r="S46" i="21398"/>
  <c r="S48" i="21398"/>
  <c r="S24" i="21398"/>
  <c r="AQ38" i="2"/>
  <c r="AQ104" i="21398"/>
  <c r="AQ148" i="2"/>
  <c r="AQ160" i="21398"/>
  <c r="AQ154" i="2"/>
  <c r="AQ148" i="21398"/>
  <c r="S806" i="2" l="1"/>
  <c r="S803" i="2"/>
  <c r="S800" i="2"/>
  <c r="S797" i="2"/>
  <c r="S803" i="21398" l="1"/>
  <c r="AT804" i="21398"/>
  <c r="S801" i="21398" l="1"/>
  <c r="S799" i="21398"/>
  <c r="S797" i="21398"/>
  <c r="S795" i="21398"/>
  <c r="S793" i="21398"/>
  <c r="S791" i="21398"/>
  <c r="S783" i="21398"/>
  <c r="S781" i="21398"/>
  <c r="S779" i="21398"/>
  <c r="S777" i="21398"/>
  <c r="S775" i="21398"/>
  <c r="S773" i="21398"/>
  <c r="S771" i="21398"/>
  <c r="S769" i="21398"/>
  <c r="S767" i="21398"/>
  <c r="S765" i="21398"/>
  <c r="S763" i="21398"/>
  <c r="S761" i="21398"/>
  <c r="S759" i="21398"/>
  <c r="S757" i="21398"/>
  <c r="S749" i="21398"/>
  <c r="S747" i="21398"/>
  <c r="S745" i="21398"/>
  <c r="S743" i="21398"/>
  <c r="S741" i="21398"/>
  <c r="S739" i="21398"/>
  <c r="S737" i="21398"/>
  <c r="S735" i="21398"/>
  <c r="S733" i="21398"/>
  <c r="S731" i="21398"/>
  <c r="S729" i="21398"/>
  <c r="S727" i="21398"/>
  <c r="S725" i="21398"/>
  <c r="S715" i="21398"/>
  <c r="S713" i="21398"/>
  <c r="S711" i="21398"/>
  <c r="S709" i="21398"/>
  <c r="S707" i="21398"/>
  <c r="S705" i="21398"/>
  <c r="S703" i="21398"/>
  <c r="S701" i="21398"/>
  <c r="S699" i="21398"/>
  <c r="S697" i="21398"/>
  <c r="S695" i="21398"/>
  <c r="S693" i="21398"/>
  <c r="S683" i="21398"/>
  <c r="S681" i="21398"/>
  <c r="S679" i="21398"/>
  <c r="S677" i="21398"/>
  <c r="S675" i="21398"/>
  <c r="S673" i="21398"/>
  <c r="S671" i="21398"/>
  <c r="S669" i="21398"/>
  <c r="S667" i="21398"/>
  <c r="S665" i="21398"/>
  <c r="S663" i="21398"/>
  <c r="S661" i="21398"/>
  <c r="S659" i="21398"/>
  <c r="AQ799" i="21398"/>
  <c r="AT802" i="21398"/>
  <c r="AT798" i="21398"/>
  <c r="AT800" i="21398"/>
  <c r="AT660" i="21398"/>
  <c r="AQ801" i="21398"/>
  <c r="AQ658" i="21398"/>
  <c r="S40" i="3" l="1"/>
  <c r="S32" i="3"/>
  <c r="S30" i="3"/>
  <c r="M250" i="21408" l="1"/>
  <c r="L250" i="21408"/>
  <c r="K250" i="21408"/>
  <c r="J250" i="21408"/>
  <c r="I250" i="21408"/>
  <c r="H250" i="21408"/>
  <c r="G250" i="21408" l="1"/>
  <c r="H256" i="21408"/>
  <c r="M235" i="21408"/>
  <c r="L235" i="21408"/>
  <c r="K235" i="21408"/>
  <c r="J235" i="21408"/>
  <c r="I235" i="21408"/>
  <c r="H235" i="21408"/>
  <c r="G235" i="21408" l="1"/>
  <c r="G236" i="21408"/>
  <c r="G237" i="21408"/>
  <c r="E301" i="21409"/>
  <c r="E266" i="21409"/>
  <c r="E213" i="21409"/>
  <c r="E210" i="21409"/>
  <c r="E207" i="21409"/>
  <c r="E203" i="21409"/>
  <c r="E199" i="21409"/>
  <c r="E151" i="21409"/>
  <c r="E146" i="21409"/>
  <c r="E142" i="21409"/>
  <c r="E138" i="21409"/>
  <c r="E13" i="21409"/>
  <c r="E12" i="21409"/>
  <c r="BM35" i="2"/>
  <c r="BM31" i="2"/>
  <c r="BM30" i="2"/>
  <c r="BM29" i="2"/>
  <c r="BM28" i="2"/>
  <c r="BM27" i="2"/>
  <c r="BM26" i="2"/>
  <c r="BM25" i="2"/>
  <c r="BM24" i="2"/>
  <c r="BM23" i="2"/>
  <c r="BM21" i="2"/>
  <c r="BM18" i="2"/>
  <c r="BM17" i="2"/>
  <c r="BM16" i="2"/>
  <c r="BM15" i="2"/>
  <c r="BM14" i="2"/>
  <c r="BM13" i="2"/>
  <c r="BM9" i="2"/>
  <c r="BM6" i="2"/>
  <c r="BM5" i="2"/>
  <c r="BM4" i="2"/>
  <c r="BM7" i="2" l="1"/>
  <c r="BM12" i="2"/>
  <c r="BM19" i="2"/>
  <c r="BM32" i="2"/>
  <c r="H267" i="21408" l="1"/>
  <c r="AQ482" i="2"/>
  <c r="M215" i="21408" l="1"/>
  <c r="L215" i="21408"/>
  <c r="K215" i="21408"/>
  <c r="J215" i="21408"/>
  <c r="AB118" i="21408"/>
  <c r="AA118" i="21408"/>
  <c r="Z118" i="21408"/>
  <c r="Y118" i="21408"/>
  <c r="X118" i="21408"/>
  <c r="W118" i="21408"/>
  <c r="U118" i="21408"/>
  <c r="T118" i="21408"/>
  <c r="S118" i="21408"/>
  <c r="R118" i="21408"/>
  <c r="Q118" i="21408"/>
  <c r="P118" i="21408"/>
  <c r="AB117" i="21408"/>
  <c r="AA117" i="21408"/>
  <c r="Z117" i="21408"/>
  <c r="Y117" i="21408"/>
  <c r="X117" i="21408"/>
  <c r="W117" i="21408"/>
  <c r="U117" i="21408"/>
  <c r="T117" i="21408"/>
  <c r="S117" i="21408"/>
  <c r="R117" i="21408"/>
  <c r="Q117" i="21408"/>
  <c r="P117" i="21408"/>
  <c r="AB116" i="21408"/>
  <c r="AA116" i="21408"/>
  <c r="Z116" i="21408"/>
  <c r="Y116" i="21408"/>
  <c r="X116" i="21408"/>
  <c r="W116" i="21408"/>
  <c r="U116" i="21408"/>
  <c r="T116" i="21408"/>
  <c r="S116" i="21408"/>
  <c r="R116" i="21408"/>
  <c r="Q116" i="21408"/>
  <c r="P116" i="21408"/>
  <c r="AB115" i="21408"/>
  <c r="AA115" i="21408"/>
  <c r="Z115" i="21408"/>
  <c r="Y115" i="21408"/>
  <c r="X115" i="21408"/>
  <c r="W115" i="21408"/>
  <c r="U115" i="21408"/>
  <c r="T115" i="21408"/>
  <c r="S115" i="21408"/>
  <c r="R115" i="21408"/>
  <c r="Q115" i="21408"/>
  <c r="P115" i="21408"/>
  <c r="U112" i="21408"/>
  <c r="AB111" i="21408"/>
  <c r="AA111" i="21408"/>
  <c r="Z111" i="21408"/>
  <c r="Y111" i="21408"/>
  <c r="X111" i="21408"/>
  <c r="W111" i="21408"/>
  <c r="U111" i="21408"/>
  <c r="T111" i="21408"/>
  <c r="S111" i="21408"/>
  <c r="R111" i="21408"/>
  <c r="Q111" i="21408"/>
  <c r="P111" i="21408"/>
  <c r="AB109" i="21408"/>
  <c r="AA109" i="21408"/>
  <c r="Z109" i="21408"/>
  <c r="Y109" i="21408"/>
  <c r="X109" i="21408"/>
  <c r="W109" i="21408"/>
  <c r="U109" i="21408"/>
  <c r="T109" i="21408"/>
  <c r="S109" i="21408"/>
  <c r="R109" i="21408"/>
  <c r="Q109" i="21408"/>
  <c r="P109" i="21408"/>
  <c r="AB99" i="21408"/>
  <c r="AA99" i="21408"/>
  <c r="Z99" i="21408"/>
  <c r="Y99" i="21408"/>
  <c r="X99" i="21408"/>
  <c r="W99" i="21408"/>
  <c r="U99" i="21408"/>
  <c r="T99" i="21408"/>
  <c r="S99" i="21408"/>
  <c r="R99" i="21408"/>
  <c r="Q99" i="21408"/>
  <c r="P99" i="21408"/>
  <c r="AB98" i="21408"/>
  <c r="AA98" i="21408"/>
  <c r="Z98" i="21408"/>
  <c r="Y98" i="21408"/>
  <c r="X98" i="21408"/>
  <c r="W98" i="21408"/>
  <c r="U98" i="21408"/>
  <c r="T98" i="21408"/>
  <c r="S98" i="21408"/>
  <c r="R98" i="21408"/>
  <c r="Q98" i="21408"/>
  <c r="P98" i="21408"/>
  <c r="AB97" i="21408"/>
  <c r="AA97" i="21408"/>
  <c r="Z97" i="21408"/>
  <c r="Y97" i="21408"/>
  <c r="X97" i="21408"/>
  <c r="W97" i="21408"/>
  <c r="U97" i="21408"/>
  <c r="T97" i="21408"/>
  <c r="S97" i="21408"/>
  <c r="R97" i="21408"/>
  <c r="Q97" i="21408"/>
  <c r="P97" i="21408"/>
  <c r="AB96" i="21408"/>
  <c r="AA96" i="21408"/>
  <c r="Z96" i="21408"/>
  <c r="Y96" i="21408"/>
  <c r="X96" i="21408"/>
  <c r="W96" i="21408"/>
  <c r="U96" i="21408"/>
  <c r="T96" i="21408"/>
  <c r="S96" i="21408"/>
  <c r="R96" i="21408"/>
  <c r="Q96" i="21408"/>
  <c r="P96" i="21408"/>
  <c r="AB95" i="21408"/>
  <c r="AA95" i="21408"/>
  <c r="Z95" i="21408"/>
  <c r="Y95" i="21408"/>
  <c r="X95" i="21408"/>
  <c r="W95" i="21408"/>
  <c r="U95" i="21408"/>
  <c r="T95" i="21408"/>
  <c r="S95" i="21408"/>
  <c r="R95" i="21408"/>
  <c r="Q95" i="21408"/>
  <c r="P95" i="21408"/>
  <c r="AB94" i="21408"/>
  <c r="AA94" i="21408"/>
  <c r="Z94" i="21408"/>
  <c r="Y94" i="21408"/>
  <c r="X94" i="21408"/>
  <c r="W94" i="21408"/>
  <c r="U94" i="21408"/>
  <c r="T94" i="21408"/>
  <c r="S94" i="21408"/>
  <c r="R94" i="21408"/>
  <c r="Q94" i="21408"/>
  <c r="P94" i="21408"/>
  <c r="AB93" i="21408"/>
  <c r="AA93" i="21408"/>
  <c r="Z93" i="21408"/>
  <c r="Y93" i="21408"/>
  <c r="X93" i="21408"/>
  <c r="W93" i="21408"/>
  <c r="U93" i="21408"/>
  <c r="T93" i="21408"/>
  <c r="S93" i="21408"/>
  <c r="R93" i="21408"/>
  <c r="Q93" i="21408"/>
  <c r="P93" i="21408"/>
  <c r="AB92" i="21408"/>
  <c r="AA92" i="21408"/>
  <c r="Z92" i="21408"/>
  <c r="Y92" i="21408"/>
  <c r="X92" i="21408"/>
  <c r="W92" i="21408"/>
  <c r="U92" i="21408"/>
  <c r="T92" i="21408"/>
  <c r="S92" i="21408"/>
  <c r="R92" i="21408"/>
  <c r="Q92" i="21408"/>
  <c r="P92" i="21408"/>
  <c r="AB91" i="21408"/>
  <c r="AA91" i="21408"/>
  <c r="Z91" i="21408"/>
  <c r="Y91" i="21408"/>
  <c r="X91" i="21408"/>
  <c r="W91" i="21408"/>
  <c r="U91" i="21408"/>
  <c r="T91" i="21408"/>
  <c r="S91" i="21408"/>
  <c r="R91" i="21408"/>
  <c r="Q91" i="21408"/>
  <c r="P91" i="21408"/>
  <c r="AB90" i="21408"/>
  <c r="AA90" i="21408"/>
  <c r="Z90" i="21408"/>
  <c r="Y90" i="21408"/>
  <c r="X90" i="21408"/>
  <c r="W90" i="21408"/>
  <c r="U90" i="21408"/>
  <c r="T90" i="21408"/>
  <c r="S90" i="21408"/>
  <c r="R90" i="21408"/>
  <c r="Q90" i="21408"/>
  <c r="P90" i="21408"/>
  <c r="AB89" i="21408"/>
  <c r="AA89" i="21408"/>
  <c r="Z89" i="21408"/>
  <c r="Y89" i="21408"/>
  <c r="X89" i="21408"/>
  <c r="W89" i="21408"/>
  <c r="U89" i="21408"/>
  <c r="T89" i="21408"/>
  <c r="S89" i="21408"/>
  <c r="R89" i="21408"/>
  <c r="Q89" i="21408"/>
  <c r="P89" i="21408"/>
  <c r="AB88" i="21408"/>
  <c r="AA88" i="21408"/>
  <c r="Z88" i="21408"/>
  <c r="Y88" i="21408"/>
  <c r="X88" i="21408"/>
  <c r="W88" i="21408"/>
  <c r="U88" i="21408"/>
  <c r="T88" i="21408"/>
  <c r="S88" i="21408"/>
  <c r="R88" i="21408"/>
  <c r="Q88" i="21408"/>
  <c r="P88" i="21408"/>
  <c r="AB86" i="21408"/>
  <c r="AA86" i="21408"/>
  <c r="Z86" i="21408"/>
  <c r="Y86" i="21408"/>
  <c r="X86" i="21408"/>
  <c r="W86" i="21408"/>
  <c r="U86" i="21408"/>
  <c r="T86" i="21408"/>
  <c r="S86" i="21408"/>
  <c r="R86" i="21408"/>
  <c r="Q86" i="21408"/>
  <c r="P86" i="21408"/>
  <c r="G146" i="21408" l="1"/>
  <c r="G145" i="21408"/>
  <c r="E334" i="21409" l="1"/>
  <c r="E333" i="21409"/>
  <c r="E332" i="21409"/>
  <c r="E331" i="21409"/>
  <c r="E330" i="21409"/>
  <c r="E329" i="21409"/>
  <c r="E328" i="21409"/>
  <c r="E327" i="21409"/>
  <c r="E326" i="21409"/>
  <c r="E325" i="21409"/>
  <c r="E324" i="21409"/>
  <c r="E323" i="21409"/>
  <c r="E322" i="21409"/>
  <c r="E321" i="21409"/>
  <c r="E320" i="21409"/>
  <c r="E319" i="21409"/>
  <c r="E335" i="21409" s="1"/>
  <c r="E282" i="21409"/>
  <c r="E279" i="21409"/>
  <c r="E278" i="21409"/>
  <c r="E277" i="21409"/>
  <c r="E276" i="21409"/>
  <c r="E275" i="21409"/>
  <c r="E273" i="21409"/>
  <c r="E284" i="21409" s="1"/>
  <c r="E235" i="21409"/>
  <c r="E234" i="21409"/>
  <c r="E233" i="21409"/>
  <c r="E231" i="21409"/>
  <c r="E230" i="21409"/>
  <c r="E229" i="21409"/>
  <c r="E226" i="21409"/>
  <c r="E237" i="21409" s="1"/>
  <c r="E191" i="21409"/>
  <c r="E190" i="21409"/>
  <c r="E189" i="21409"/>
  <c r="E188" i="21409"/>
  <c r="E187" i="21409"/>
  <c r="E186" i="21409"/>
  <c r="E185" i="21409"/>
  <c r="E184" i="21409"/>
  <c r="E192" i="21409" s="1"/>
  <c r="E160" i="21409"/>
  <c r="E159" i="21409"/>
  <c r="E158" i="21409"/>
  <c r="E157" i="21409"/>
  <c r="E156" i="21409"/>
  <c r="E162" i="21409" s="1"/>
  <c r="E131" i="21409"/>
  <c r="E130" i="21409"/>
  <c r="E129" i="21409"/>
  <c r="E128" i="21409"/>
  <c r="E127" i="21409"/>
  <c r="E126" i="21409"/>
  <c r="E123" i="21409"/>
  <c r="E122" i="21409"/>
  <c r="E121" i="21409"/>
  <c r="E120" i="21409"/>
  <c r="E119" i="21409"/>
  <c r="E115" i="21409"/>
  <c r="E114" i="21409"/>
  <c r="E132" i="21409" s="1"/>
  <c r="E27" i="21409"/>
  <c r="E26" i="21409"/>
  <c r="E25" i="21409"/>
  <c r="E24" i="21409"/>
  <c r="E21" i="21409"/>
  <c r="E20" i="21409"/>
  <c r="E19" i="21409"/>
  <c r="E31" i="21409" s="1"/>
  <c r="G293" i="21408"/>
  <c r="G292" i="21408"/>
  <c r="G291" i="21408"/>
  <c r="G290" i="21408"/>
  <c r="G289" i="21408"/>
  <c r="G288" i="21408"/>
  <c r="G287" i="21408"/>
  <c r="G286" i="21408"/>
  <c r="G285" i="21408"/>
  <c r="G284" i="21408"/>
  <c r="G283" i="21408"/>
  <c r="G282" i="21408"/>
  <c r="G281" i="21408"/>
  <c r="G279" i="21408"/>
  <c r="G278" i="21408"/>
  <c r="G277" i="21408"/>
  <c r="G276" i="21408"/>
  <c r="M265" i="21408"/>
  <c r="L265" i="21408"/>
  <c r="K265" i="21408"/>
  <c r="J265" i="21408"/>
  <c r="I265" i="21408"/>
  <c r="H265" i="21408"/>
  <c r="M264" i="21408"/>
  <c r="L264" i="21408"/>
  <c r="K264" i="21408"/>
  <c r="J264" i="21408"/>
  <c r="I264" i="21408"/>
  <c r="H264" i="21408"/>
  <c r="M263" i="21408"/>
  <c r="L263" i="21408"/>
  <c r="K263" i="21408"/>
  <c r="J263" i="21408"/>
  <c r="I263" i="21408"/>
  <c r="M262" i="21408"/>
  <c r="L262" i="21408"/>
  <c r="K262" i="21408"/>
  <c r="J262" i="21408"/>
  <c r="I262" i="21408"/>
  <c r="G256" i="21408"/>
  <c r="G255" i="21408"/>
  <c r="H254" i="21408"/>
  <c r="H253" i="21408"/>
  <c r="M249" i="21408"/>
  <c r="L249" i="21408"/>
  <c r="K249" i="21408"/>
  <c r="J249" i="21408"/>
  <c r="I249" i="21408"/>
  <c r="H249" i="21408"/>
  <c r="M247" i="21408"/>
  <c r="L247" i="21408"/>
  <c r="K247" i="21408"/>
  <c r="J247" i="21408"/>
  <c r="I247" i="21408"/>
  <c r="H247" i="21408"/>
  <c r="M246" i="21408"/>
  <c r="L246" i="21408"/>
  <c r="K246" i="21408"/>
  <c r="J246" i="21408"/>
  <c r="I246" i="21408"/>
  <c r="H246" i="21408"/>
  <c r="M240" i="21408"/>
  <c r="L240" i="21408"/>
  <c r="K240" i="21408"/>
  <c r="J240" i="21408"/>
  <c r="I240" i="21408"/>
  <c r="H240" i="21408"/>
  <c r="M239" i="21408"/>
  <c r="L239" i="21408"/>
  <c r="K239" i="21408"/>
  <c r="J239" i="21408"/>
  <c r="I239" i="21408"/>
  <c r="H239" i="21408"/>
  <c r="M238" i="21408"/>
  <c r="L238" i="21408"/>
  <c r="K238" i="21408"/>
  <c r="J238" i="21408"/>
  <c r="I238" i="21408"/>
  <c r="H238" i="21408"/>
  <c r="G231" i="21408"/>
  <c r="G228" i="21408"/>
  <c r="G227" i="21408"/>
  <c r="G226" i="21408"/>
  <c r="G223" i="21408"/>
  <c r="G216" i="21408"/>
  <c r="G214" i="21408"/>
  <c r="G213" i="21408"/>
  <c r="G212" i="21408"/>
  <c r="G211" i="21408"/>
  <c r="G210" i="21408"/>
  <c r="G209" i="21408"/>
  <c r="G208" i="21408"/>
  <c r="G207" i="21408"/>
  <c r="G206" i="21408"/>
  <c r="G205" i="21408"/>
  <c r="G203" i="21408"/>
  <c r="G202" i="21408"/>
  <c r="G201" i="21408"/>
  <c r="G200" i="21408"/>
  <c r="G199" i="21408"/>
  <c r="G198" i="21408"/>
  <c r="G196" i="21408"/>
  <c r="G195" i="21408"/>
  <c r="G194" i="21408"/>
  <c r="G193" i="21408"/>
  <c r="G192" i="21408"/>
  <c r="L178" i="21408"/>
  <c r="K178" i="21408"/>
  <c r="G176" i="21408"/>
  <c r="M173" i="21408"/>
  <c r="L173" i="21408"/>
  <c r="K173" i="21408"/>
  <c r="J173" i="21408"/>
  <c r="I173" i="21408"/>
  <c r="H173" i="21408"/>
  <c r="M172" i="21408"/>
  <c r="L172" i="21408"/>
  <c r="K172" i="21408"/>
  <c r="J172" i="21408"/>
  <c r="M171" i="21408"/>
  <c r="L171" i="21408"/>
  <c r="K171" i="21408"/>
  <c r="J171" i="21408"/>
  <c r="I171" i="21408"/>
  <c r="H171" i="21408"/>
  <c r="G161" i="21408"/>
  <c r="G34" i="21408"/>
  <c r="G33" i="21408"/>
  <c r="G39" i="21409"/>
  <c r="G93" i="21409"/>
  <c r="G94" i="21409"/>
  <c r="G45" i="21409"/>
  <c r="G97" i="21409"/>
  <c r="G98" i="21409"/>
  <c r="G59" i="21409"/>
  <c r="G52" i="21409"/>
  <c r="G66" i="21409"/>
  <c r="G40" i="21409"/>
  <c r="G216" i="21409"/>
  <c r="G145" i="21409"/>
  <c r="J261" i="21408" l="1"/>
  <c r="L261" i="21408"/>
  <c r="K261" i="21408"/>
  <c r="M261" i="21408"/>
  <c r="I257" i="21408"/>
  <c r="I261" i="21408"/>
  <c r="H257" i="21408"/>
  <c r="H261" i="21408"/>
  <c r="J257" i="21408"/>
  <c r="L257" i="21408"/>
  <c r="M257" i="21408"/>
  <c r="K257" i="21408"/>
  <c r="G253" i="21408"/>
  <c r="H259" i="21408"/>
  <c r="G259" i="21408" s="1"/>
  <c r="G249" i="21408"/>
  <c r="G248" i="21408"/>
  <c r="G247" i="21408"/>
  <c r="E145" i="21409"/>
  <c r="E216" i="21409"/>
  <c r="G238" i="21408"/>
  <c r="E66" i="21409"/>
  <c r="E39" i="21409"/>
  <c r="E98" i="21409"/>
  <c r="E59" i="21409"/>
  <c r="E52" i="21409"/>
  <c r="E40" i="21409"/>
  <c r="E45" i="21409"/>
  <c r="E93" i="21409"/>
  <c r="E94" i="21409"/>
  <c r="E97" i="21409"/>
  <c r="O90" i="21408"/>
  <c r="O115" i="21408"/>
  <c r="O99" i="21408"/>
  <c r="H260" i="21408"/>
  <c r="K260" i="21408"/>
  <c r="I260" i="21408"/>
  <c r="L260" i="21408"/>
  <c r="O86" i="21408"/>
  <c r="O118" i="21408"/>
  <c r="O91" i="21408"/>
  <c r="O98" i="21408"/>
  <c r="G240" i="21408"/>
  <c r="G239" i="21408"/>
  <c r="M260" i="21408"/>
  <c r="O111" i="21408"/>
  <c r="H262" i="21408"/>
  <c r="G262" i="21408" s="1"/>
  <c r="O95" i="21408"/>
  <c r="O116" i="21408"/>
  <c r="O117" i="21408"/>
  <c r="G265" i="21408"/>
  <c r="O109" i="21408"/>
  <c r="G234" i="21408"/>
  <c r="O94" i="21408"/>
  <c r="G173" i="21408"/>
  <c r="G246" i="21408"/>
  <c r="G264" i="21408"/>
  <c r="G171" i="21408"/>
  <c r="G172" i="21408"/>
  <c r="G251" i="21408"/>
  <c r="J260" i="21408"/>
  <c r="G254" i="21408"/>
  <c r="H263" i="21408"/>
  <c r="G263" i="21408" s="1"/>
  <c r="J398" i="21398"/>
  <c r="I282" i="2"/>
  <c r="I278" i="21398"/>
  <c r="I194" i="2"/>
  <c r="I196" i="21398"/>
  <c r="I194" i="21398"/>
  <c r="I492" i="2"/>
  <c r="I490" i="2"/>
  <c r="I280" i="2"/>
  <c r="I248" i="2"/>
  <c r="I196" i="2"/>
  <c r="I216" i="2"/>
  <c r="AQ210" i="2"/>
  <c r="AQ212" i="2"/>
  <c r="G255" i="21409"/>
  <c r="AT211" i="2"/>
  <c r="AT399" i="21398"/>
  <c r="AQ208" i="2"/>
  <c r="AT397" i="21398"/>
  <c r="AT209" i="2"/>
  <c r="AT209" i="21398"/>
  <c r="AT211" i="21398"/>
  <c r="E252" i="21409" l="1"/>
  <c r="G260" i="21408"/>
  <c r="G241" i="21408"/>
  <c r="G261" i="21408" l="1"/>
  <c r="G257" i="21408"/>
  <c r="S656" i="21398" l="1"/>
  <c r="S654" i="21398"/>
  <c r="S652" i="21398"/>
  <c r="S650" i="21398"/>
  <c r="S648" i="21398"/>
  <c r="S646" i="21398"/>
  <c r="S644" i="21398"/>
  <c r="S642" i="21398"/>
  <c r="S640" i="21398"/>
  <c r="S638" i="21398"/>
  <c r="S636" i="21398"/>
  <c r="S634" i="21398"/>
  <c r="S632" i="21398"/>
  <c r="S630" i="21398"/>
  <c r="S628" i="21398"/>
  <c r="S626" i="21398"/>
  <c r="S624" i="21398"/>
  <c r="S622" i="21398"/>
  <c r="S620" i="21398"/>
  <c r="S618" i="21398"/>
  <c r="S616" i="21398"/>
  <c r="S614" i="21398"/>
  <c r="S612" i="21398"/>
  <c r="S610" i="21398"/>
  <c r="S608" i="21398"/>
  <c r="S606" i="21398"/>
  <c r="S604" i="21398"/>
  <c r="S602" i="21398"/>
  <c r="S600" i="21398"/>
  <c r="S598" i="21398"/>
  <c r="S596" i="21398"/>
  <c r="S594" i="21398"/>
  <c r="S592" i="21398"/>
  <c r="S590" i="21398"/>
  <c r="S588" i="21398"/>
  <c r="S586" i="21398"/>
  <c r="S584" i="21398"/>
  <c r="S580" i="21398"/>
  <c r="S578" i="21398"/>
  <c r="S576" i="21398"/>
  <c r="S574" i="21398"/>
  <c r="S572" i="21398"/>
  <c r="S570" i="21398"/>
  <c r="S566" i="21398"/>
  <c r="S564" i="21398"/>
  <c r="S562" i="21398"/>
  <c r="S560" i="21398"/>
  <c r="S558" i="21398"/>
  <c r="S556" i="21398"/>
  <c r="S554" i="21398"/>
  <c r="S552" i="21398"/>
  <c r="S550" i="21398"/>
  <c r="S548" i="21398"/>
  <c r="S546" i="21398"/>
  <c r="S544" i="21398"/>
  <c r="S542" i="21398"/>
  <c r="S540" i="21398"/>
  <c r="S538" i="21398"/>
  <c r="S536" i="21398"/>
  <c r="S534" i="21398"/>
  <c r="S532" i="21398"/>
  <c r="S530" i="21398"/>
  <c r="S528" i="21398"/>
  <c r="S526" i="21398"/>
  <c r="S524" i="21398"/>
  <c r="S522" i="21398"/>
  <c r="S520" i="21398"/>
  <c r="AQ458" i="21398"/>
  <c r="AT419" i="21398"/>
  <c r="AT545" i="21398"/>
  <c r="AQ650" i="2"/>
  <c r="AQ636" i="2"/>
  <c r="AQ632" i="2"/>
  <c r="AQ590" i="21398"/>
  <c r="AT405" i="21398"/>
  <c r="AQ584" i="21398"/>
  <c r="AQ612" i="2"/>
  <c r="AQ656" i="21398"/>
  <c r="AQ600" i="21398"/>
  <c r="AT421" i="21398"/>
  <c r="AT609" i="21398"/>
  <c r="AT545" i="2"/>
  <c r="AQ628" i="21398"/>
  <c r="AQ634" i="2"/>
  <c r="AQ636" i="21398"/>
  <c r="AQ632" i="21398"/>
  <c r="AQ634" i="21398"/>
  <c r="AT599" i="21398"/>
  <c r="AQ644" i="21398"/>
  <c r="AQ430" i="21398"/>
  <c r="AT581" i="21398"/>
  <c r="AQ616" i="21398"/>
  <c r="AT425" i="21398"/>
  <c r="AQ410" i="21398"/>
  <c r="AT621" i="21398"/>
  <c r="AQ646" i="21398"/>
  <c r="AT429" i="21398"/>
  <c r="AQ434" i="21398"/>
  <c r="AT607" i="21398"/>
  <c r="AT617" i="21398"/>
  <c r="AQ552" i="2"/>
  <c r="AT601" i="21398"/>
  <c r="AQ406" i="21398"/>
  <c r="AT549" i="2"/>
  <c r="AT649" i="2"/>
  <c r="AQ640" i="2"/>
  <c r="AQ550" i="2"/>
  <c r="AQ630" i="2"/>
  <c r="AQ588" i="21398"/>
  <c r="AQ448" i="21398"/>
  <c r="AQ638" i="2"/>
  <c r="AQ544" i="2"/>
  <c r="AT407" i="21398"/>
  <c r="AQ630" i="21398"/>
  <c r="AT649" i="21398"/>
  <c r="AQ606" i="21398"/>
  <c r="AQ446" i="21398"/>
  <c r="AQ640" i="21398"/>
  <c r="AQ348" i="2"/>
  <c r="AT653" i="21398"/>
  <c r="AQ642" i="2"/>
  <c r="AT651" i="2"/>
  <c r="AT585" i="21398"/>
  <c r="AQ408" i="21398"/>
  <c r="AQ642" i="21398"/>
  <c r="AT615" i="21398"/>
  <c r="AT423" i="21398"/>
  <c r="AT639" i="21398"/>
  <c r="AQ554" i="2"/>
  <c r="AQ556" i="2"/>
  <c r="AT593" i="21398"/>
  <c r="AT631" i="21398"/>
  <c r="AT549" i="21398"/>
  <c r="AQ444" i="21398"/>
  <c r="AT611" i="21398"/>
  <c r="AT627" i="21398"/>
  <c r="AT645" i="21398"/>
  <c r="AQ596" i="21398"/>
  <c r="AQ414" i="21398"/>
  <c r="AT655" i="21398"/>
  <c r="AQ460" i="21398"/>
  <c r="AQ604" i="21398"/>
  <c r="AQ618" i="2"/>
  <c r="AT625" i="21398"/>
  <c r="AT595" i="21398"/>
  <c r="AQ442" i="21398"/>
  <c r="AT623" i="21398"/>
  <c r="AT417" i="21398"/>
  <c r="AQ610" i="2"/>
  <c r="AT587" i="21398"/>
  <c r="AQ654" i="2"/>
  <c r="AQ654" i="21398"/>
  <c r="AQ594" i="21398"/>
  <c r="AT647" i="2"/>
  <c r="AT633" i="21398"/>
  <c r="AQ586" i="21398"/>
  <c r="AT647" i="21398"/>
  <c r="AQ426" i="21398"/>
  <c r="AQ626" i="2"/>
  <c r="AQ452" i="21398"/>
  <c r="AQ648" i="21398"/>
  <c r="AQ626" i="21398"/>
  <c r="AQ644" i="2"/>
  <c r="AT553" i="2"/>
  <c r="AT619" i="21398"/>
  <c r="AT657" i="21398"/>
  <c r="AT613" i="21398"/>
  <c r="AQ612" i="21398"/>
  <c r="AQ602" i="2"/>
  <c r="AQ614" i="21398"/>
  <c r="AT433" i="21398"/>
  <c r="AT643" i="21398"/>
  <c r="AQ614" i="2"/>
  <c r="AT635" i="21398"/>
  <c r="AQ604" i="2"/>
  <c r="AQ428" i="21398"/>
  <c r="AQ602" i="21398"/>
  <c r="AQ648" i="2"/>
  <c r="AQ620" i="21398"/>
  <c r="AT603" i="21398"/>
  <c r="AQ456" i="21398"/>
  <c r="AQ608" i="2"/>
  <c r="AQ546" i="2"/>
  <c r="AQ624" i="21398"/>
  <c r="AQ624" i="2"/>
  <c r="AT629" i="21398"/>
  <c r="AT651" i="21398"/>
  <c r="AQ618" i="21398"/>
  <c r="AQ454" i="21398"/>
  <c r="AT427" i="21398"/>
  <c r="AT547" i="2"/>
  <c r="AQ652" i="21398"/>
  <c r="AQ592" i="21398"/>
  <c r="AQ422" i="21398"/>
  <c r="AQ404" i="21398"/>
  <c r="AQ610" i="21398"/>
  <c r="AT555" i="2"/>
  <c r="AT605" i="21398"/>
  <c r="AT551" i="21398"/>
  <c r="AT637" i="21398"/>
  <c r="AQ424" i="21398"/>
  <c r="AQ598" i="21398"/>
  <c r="AT591" i="21398"/>
  <c r="AQ608" i="21398"/>
  <c r="AQ646" i="2"/>
  <c r="AQ628" i="2"/>
  <c r="AQ622" i="21398"/>
  <c r="AT645" i="2"/>
  <c r="AQ432" i="21398"/>
  <c r="AQ652" i="2"/>
  <c r="AQ650" i="21398"/>
  <c r="AQ450" i="21398"/>
  <c r="AT641" i="21398"/>
  <c r="AT589" i="21398"/>
  <c r="AT551" i="2"/>
  <c r="AQ606" i="2"/>
  <c r="AT597" i="21398"/>
  <c r="AQ638" i="21398"/>
  <c r="S795" i="2" l="1"/>
  <c r="S793" i="2"/>
  <c r="S661" i="2"/>
  <c r="S659" i="2"/>
  <c r="S657" i="2"/>
  <c r="AQ661" i="2"/>
  <c r="AQ659" i="2"/>
  <c r="I31" i="21399" l="1"/>
  <c r="C24" i="21399"/>
  <c r="C26" i="21399" s="1"/>
  <c r="C28" i="21399" s="1"/>
  <c r="C7" i="21399"/>
  <c r="C9" i="21399" s="1"/>
  <c r="J5" i="21399"/>
  <c r="C7" i="21400"/>
  <c r="C34" i="108"/>
  <c r="C36" i="108" s="1"/>
  <c r="C27" i="108"/>
  <c r="C29" i="108" s="1"/>
  <c r="C11" i="108"/>
  <c r="I75" i="3"/>
  <c r="I59" i="3"/>
  <c r="C48" i="3"/>
  <c r="J47" i="3" s="1"/>
  <c r="J45" i="3"/>
  <c r="C11" i="3"/>
  <c r="J10" i="3" s="1"/>
  <c r="J9" i="3"/>
  <c r="J8" i="3"/>
  <c r="I799" i="21398"/>
  <c r="I797" i="21398"/>
  <c r="I771" i="21398"/>
  <c r="I769" i="21398"/>
  <c r="I737" i="21398"/>
  <c r="I735" i="21398"/>
  <c r="I705" i="21398"/>
  <c r="I703" i="21398"/>
  <c r="I673" i="21398"/>
  <c r="I671" i="21398"/>
  <c r="C641" i="21398"/>
  <c r="C643" i="21398" s="1"/>
  <c r="C645" i="21398" s="1"/>
  <c r="C647" i="21398" s="1"/>
  <c r="C649" i="21398" s="1"/>
  <c r="C651" i="21398" s="1"/>
  <c r="C653" i="21398" s="1"/>
  <c r="C655" i="21398" s="1"/>
  <c r="C657" i="21398" s="1"/>
  <c r="I640" i="21398"/>
  <c r="I638" i="21398"/>
  <c r="I604" i="21398"/>
  <c r="I602" i="21398"/>
  <c r="I562" i="21398"/>
  <c r="I560" i="21398"/>
  <c r="I536" i="21398"/>
  <c r="I534" i="21398"/>
  <c r="C521" i="21398"/>
  <c r="C523" i="21398" s="1"/>
  <c r="J518" i="21398"/>
  <c r="I490" i="21398"/>
  <c r="I488" i="21398"/>
  <c r="I482" i="21398"/>
  <c r="I472" i="21398"/>
  <c r="I436" i="21398"/>
  <c r="I434" i="21398"/>
  <c r="J400" i="21398"/>
  <c r="J399" i="21398"/>
  <c r="I388" i="21398"/>
  <c r="I386" i="21398"/>
  <c r="I362" i="21398"/>
  <c r="I360" i="21398"/>
  <c r="I336" i="21398"/>
  <c r="I334" i="21398"/>
  <c r="I316" i="21398"/>
  <c r="I280" i="21398"/>
  <c r="I248" i="21398"/>
  <c r="I246" i="21398"/>
  <c r="I216" i="21398"/>
  <c r="I154" i="21398"/>
  <c r="I152" i="21398"/>
  <c r="I110" i="21398"/>
  <c r="I108" i="21398"/>
  <c r="I72" i="21398"/>
  <c r="I70" i="21398"/>
  <c r="I36" i="21398"/>
  <c r="I34" i="21398"/>
  <c r="I793" i="2"/>
  <c r="I791" i="2"/>
  <c r="I765" i="2"/>
  <c r="I763" i="2"/>
  <c r="I731" i="2"/>
  <c r="I729" i="2"/>
  <c r="I699" i="2"/>
  <c r="I697" i="2"/>
  <c r="I667" i="2"/>
  <c r="I665" i="2"/>
  <c r="I636" i="2"/>
  <c r="C635" i="2"/>
  <c r="C637" i="2" s="1"/>
  <c r="C639" i="2" s="1"/>
  <c r="C641" i="2" s="1"/>
  <c r="C643" i="2" s="1"/>
  <c r="C645" i="2" s="1"/>
  <c r="C647" i="2" s="1"/>
  <c r="C649" i="2" s="1"/>
  <c r="C651" i="2" s="1"/>
  <c r="C653" i="2" s="1"/>
  <c r="I634" i="2"/>
  <c r="I600" i="2"/>
  <c r="I598" i="2"/>
  <c r="I558" i="2"/>
  <c r="I556" i="2"/>
  <c r="I532" i="2"/>
  <c r="I530" i="2"/>
  <c r="I508" i="2"/>
  <c r="I434" i="2"/>
  <c r="I432" i="2"/>
  <c r="I386" i="2"/>
  <c r="I362" i="2"/>
  <c r="I360" i="2"/>
  <c r="I336" i="2"/>
  <c r="I334" i="2"/>
  <c r="I316" i="2"/>
  <c r="I276" i="2"/>
  <c r="I272" i="2"/>
  <c r="I246" i="2"/>
  <c r="I154" i="2"/>
  <c r="I152" i="2"/>
  <c r="I110" i="2"/>
  <c r="I108" i="2"/>
  <c r="I72" i="2"/>
  <c r="I70" i="2"/>
  <c r="I36" i="2"/>
  <c r="I34" i="2"/>
  <c r="C9" i="21400" l="1"/>
  <c r="C11" i="21400" s="1"/>
  <c r="C13" i="21400" s="1"/>
  <c r="J14" i="21400" s="1"/>
  <c r="C13" i="108"/>
  <c r="C15" i="108" s="1"/>
  <c r="C17" i="108" s="1"/>
  <c r="C19" i="108" s="1"/>
  <c r="C21" i="108" s="1"/>
  <c r="C25" i="2"/>
  <c r="C25" i="21398"/>
  <c r="C13" i="3"/>
  <c r="F521" i="21398"/>
  <c r="C30" i="21399"/>
  <c r="J29" i="21399"/>
  <c r="J28" i="21399"/>
  <c r="C11" i="21399"/>
  <c r="J9" i="21399"/>
  <c r="C50" i="3"/>
  <c r="J48" i="3"/>
  <c r="C525" i="21398"/>
  <c r="F523" i="21398"/>
  <c r="C660" i="21398"/>
  <c r="C656" i="2"/>
  <c r="S791" i="2"/>
  <c r="S789" i="2"/>
  <c r="S787" i="2"/>
  <c r="S785" i="2"/>
  <c r="S783" i="2"/>
  <c r="S781" i="2"/>
  <c r="S779" i="2"/>
  <c r="S777" i="2"/>
  <c r="S775" i="2"/>
  <c r="S773" i="2"/>
  <c r="S771" i="2"/>
  <c r="S769" i="2"/>
  <c r="S767" i="2"/>
  <c r="S765" i="2"/>
  <c r="S763" i="2"/>
  <c r="S761" i="2"/>
  <c r="S759" i="2"/>
  <c r="S757" i="2"/>
  <c r="S755" i="2"/>
  <c r="S753" i="2"/>
  <c r="S751" i="2"/>
  <c r="S749" i="2"/>
  <c r="S747" i="2"/>
  <c r="S745" i="2"/>
  <c r="S743" i="2"/>
  <c r="S741" i="2"/>
  <c r="S739" i="2"/>
  <c r="S737" i="2"/>
  <c r="S735" i="2"/>
  <c r="S733" i="2"/>
  <c r="S731" i="2"/>
  <c r="S729" i="2"/>
  <c r="S727" i="2"/>
  <c r="S725" i="2"/>
  <c r="S723" i="2"/>
  <c r="S721" i="2"/>
  <c r="S719" i="2"/>
  <c r="S717" i="2"/>
  <c r="S715" i="2"/>
  <c r="S713" i="2"/>
  <c r="S711" i="2"/>
  <c r="S709" i="2"/>
  <c r="S707" i="2"/>
  <c r="S705" i="2"/>
  <c r="S703" i="2"/>
  <c r="S701" i="2"/>
  <c r="S699" i="2"/>
  <c r="S697" i="2"/>
  <c r="S695" i="2"/>
  <c r="S693" i="2"/>
  <c r="S691" i="2"/>
  <c r="S689" i="2"/>
  <c r="S687" i="2"/>
  <c r="S685" i="2"/>
  <c r="S683" i="2"/>
  <c r="S681" i="2"/>
  <c r="S679" i="2"/>
  <c r="S677" i="2"/>
  <c r="S675" i="2"/>
  <c r="S673" i="2"/>
  <c r="S671" i="2"/>
  <c r="S669" i="2"/>
  <c r="S667" i="2"/>
  <c r="S665" i="2"/>
  <c r="S663" i="2"/>
  <c r="AQ665" i="2"/>
  <c r="AQ663" i="2"/>
  <c r="C662" i="21398" l="1"/>
  <c r="C664" i="21398" s="1"/>
  <c r="C666" i="21398" s="1"/>
  <c r="C668" i="21398" s="1"/>
  <c r="C670" i="21398" s="1"/>
  <c r="J671" i="21398" s="1"/>
  <c r="J659" i="21398"/>
  <c r="C658" i="2"/>
  <c r="C660" i="2" s="1"/>
  <c r="C662" i="2" s="1"/>
  <c r="C664" i="2" s="1"/>
  <c r="C666" i="2" s="1"/>
  <c r="C668" i="2" s="1"/>
  <c r="J655" i="2"/>
  <c r="C27" i="21398"/>
  <c r="C29" i="21398" s="1"/>
  <c r="C31" i="21398" s="1"/>
  <c r="C33" i="21398" s="1"/>
  <c r="J32" i="21398" s="1"/>
  <c r="C27" i="2"/>
  <c r="C29" i="2" s="1"/>
  <c r="C31" i="2" s="1"/>
  <c r="C33" i="2" s="1"/>
  <c r="J32" i="2" s="1"/>
  <c r="J20" i="108"/>
  <c r="J13" i="21400"/>
  <c r="C15" i="21400"/>
  <c r="J16" i="21400" s="1"/>
  <c r="C52" i="3"/>
  <c r="J12" i="3"/>
  <c r="C15" i="3"/>
  <c r="J31" i="21399"/>
  <c r="J11" i="21399"/>
  <c r="C13" i="21399"/>
  <c r="C527" i="21398"/>
  <c r="C529" i="21398" s="1"/>
  <c r="C531" i="21398" s="1"/>
  <c r="C533" i="21398" s="1"/>
  <c r="J526" i="21398"/>
  <c r="C672" i="21398" l="1"/>
  <c r="C674" i="21398" s="1"/>
  <c r="C676" i="21398" s="1"/>
  <c r="C678" i="21398" s="1"/>
  <c r="C680" i="21398" s="1"/>
  <c r="C682" i="21398" s="1"/>
  <c r="C684" i="21398" s="1"/>
  <c r="J665" i="2"/>
  <c r="C35" i="21398"/>
  <c r="C37" i="21398" s="1"/>
  <c r="C35" i="2"/>
  <c r="C17" i="3"/>
  <c r="J16" i="3"/>
  <c r="C54" i="3"/>
  <c r="J10" i="21399"/>
  <c r="C15" i="21399"/>
  <c r="J13" i="21399"/>
  <c r="I14" i="21399"/>
  <c r="C535" i="21398"/>
  <c r="C537" i="21398" s="1"/>
  <c r="J532" i="21398"/>
  <c r="C670" i="2"/>
  <c r="C672" i="2" s="1"/>
  <c r="C674" i="2" s="1"/>
  <c r="C676" i="2" s="1"/>
  <c r="C678" i="2" s="1"/>
  <c r="J667" i="2"/>
  <c r="C56" i="3" l="1"/>
  <c r="C58" i="3" s="1"/>
  <c r="C60" i="3" s="1"/>
  <c r="J53" i="3"/>
  <c r="C37" i="2"/>
  <c r="C39" i="2" s="1"/>
  <c r="C41" i="2" s="1"/>
  <c r="C43" i="2" s="1"/>
  <c r="C45" i="2" s="1"/>
  <c r="C47" i="2" s="1"/>
  <c r="C49" i="2" s="1"/>
  <c r="C51" i="2" s="1"/>
  <c r="C53" i="2" s="1"/>
  <c r="C55" i="2" s="1"/>
  <c r="F55" i="2" s="1"/>
  <c r="J673" i="21398"/>
  <c r="F37" i="21398"/>
  <c r="J38" i="21398"/>
  <c r="C39" i="21398"/>
  <c r="C41" i="21398" s="1"/>
  <c r="C43" i="21398" s="1"/>
  <c r="C45" i="21398" s="1"/>
  <c r="C47" i="21398" s="1"/>
  <c r="C49" i="21398" s="1"/>
  <c r="C51" i="21398" s="1"/>
  <c r="C53" i="21398" s="1"/>
  <c r="C55" i="21398" s="1"/>
  <c r="J54" i="21398" s="1"/>
  <c r="C19" i="3"/>
  <c r="C17" i="21399"/>
  <c r="J685" i="21398"/>
  <c r="C686" i="21398"/>
  <c r="C688" i="21398" s="1"/>
  <c r="C690" i="21398" s="1"/>
  <c r="C539" i="21398"/>
  <c r="C541" i="21398" s="1"/>
  <c r="J538" i="21398"/>
  <c r="C680" i="2"/>
  <c r="C682" i="2" s="1"/>
  <c r="C684" i="2" s="1"/>
  <c r="J679" i="2"/>
  <c r="J57" i="3" l="1"/>
  <c r="F37" i="2"/>
  <c r="J38" i="2"/>
  <c r="C57" i="2"/>
  <c r="C59" i="2" s="1"/>
  <c r="F39" i="2"/>
  <c r="J54" i="2"/>
  <c r="C57" i="21398"/>
  <c r="C59" i="21398" s="1"/>
  <c r="F39" i="21398"/>
  <c r="C21" i="3"/>
  <c r="J61" i="3"/>
  <c r="C62" i="3"/>
  <c r="C19" i="21399"/>
  <c r="C692" i="21398"/>
  <c r="C694" i="21398" s="1"/>
  <c r="C696" i="21398" s="1"/>
  <c r="C698" i="21398" s="1"/>
  <c r="C700" i="21398" s="1"/>
  <c r="C702" i="21398" s="1"/>
  <c r="J689" i="21398"/>
  <c r="C543" i="21398"/>
  <c r="F541" i="21398"/>
  <c r="J683" i="2"/>
  <c r="C686" i="2"/>
  <c r="C688" i="2" s="1"/>
  <c r="C690" i="2" s="1"/>
  <c r="C692" i="2" s="1"/>
  <c r="C694" i="2" s="1"/>
  <c r="C696" i="2" s="1"/>
  <c r="C26" i="21407"/>
  <c r="AT9" i="3"/>
  <c r="F57" i="2" l="1"/>
  <c r="F57" i="21398"/>
  <c r="J20" i="21399"/>
  <c r="I10" i="21399"/>
  <c r="C64" i="3"/>
  <c r="C23" i="3"/>
  <c r="J21" i="3"/>
  <c r="C61" i="21398"/>
  <c r="F59" i="21398"/>
  <c r="C545" i="21398"/>
  <c r="F543" i="21398"/>
  <c r="J542" i="21398"/>
  <c r="C704" i="21398"/>
  <c r="C706" i="21398" s="1"/>
  <c r="J703" i="21398"/>
  <c r="F59" i="2"/>
  <c r="C61" i="2"/>
  <c r="J697" i="2"/>
  <c r="C698" i="2"/>
  <c r="C700" i="2" s="1"/>
  <c r="AQ84" i="21398"/>
  <c r="AQ294" i="2"/>
  <c r="AQ86" i="21398"/>
  <c r="AQ220" i="2"/>
  <c r="AQ292" i="2"/>
  <c r="AQ86" i="2"/>
  <c r="J22" i="3" l="1"/>
  <c r="C25" i="3"/>
  <c r="J65" i="3"/>
  <c r="C66" i="3"/>
  <c r="J705" i="21398"/>
  <c r="C708" i="21398"/>
  <c r="C710" i="21398" s="1"/>
  <c r="C712" i="21398" s="1"/>
  <c r="C714" i="21398" s="1"/>
  <c r="C716" i="21398" s="1"/>
  <c r="J545" i="21398"/>
  <c r="F545" i="21398"/>
  <c r="C547" i="21398"/>
  <c r="J546" i="21398"/>
  <c r="C63" i="21398"/>
  <c r="C65" i="21398" s="1"/>
  <c r="C67" i="21398" s="1"/>
  <c r="J62" i="21398"/>
  <c r="C702" i="2"/>
  <c r="C704" i="2" s="1"/>
  <c r="C706" i="2" s="1"/>
  <c r="C708" i="2" s="1"/>
  <c r="C710" i="2" s="1"/>
  <c r="J699" i="2"/>
  <c r="C63" i="2"/>
  <c r="C65" i="2" s="1"/>
  <c r="C67" i="2" s="1"/>
  <c r="J62" i="2"/>
  <c r="AQ520" i="2"/>
  <c r="AQ508" i="2"/>
  <c r="AQ813" i="21398"/>
  <c r="AQ805" i="2"/>
  <c r="AQ98" i="2"/>
  <c r="AQ512" i="2"/>
  <c r="AT511" i="2"/>
  <c r="AQ406" i="2"/>
  <c r="AQ478" i="21398"/>
  <c r="AQ572" i="21398"/>
  <c r="AQ188" i="2"/>
  <c r="AQ578" i="21398"/>
  <c r="AQ314" i="2"/>
  <c r="AQ204" i="2"/>
  <c r="AQ474" i="21398"/>
  <c r="AT55" i="21398"/>
  <c r="AT453" i="21398"/>
  <c r="AQ312" i="2"/>
  <c r="AQ98" i="21398"/>
  <c r="AQ466" i="21398"/>
  <c r="AQ100" i="2"/>
  <c r="AT455" i="21398"/>
  <c r="AQ504" i="2"/>
  <c r="AQ472" i="2"/>
  <c r="AQ470" i="21398"/>
  <c r="AQ190" i="2"/>
  <c r="AT61" i="21398"/>
  <c r="AQ206" i="2"/>
  <c r="AQ102" i="21398"/>
  <c r="AQ60" i="21398"/>
  <c r="AQ100" i="21398"/>
  <c r="AT513" i="2"/>
  <c r="AQ799" i="2"/>
  <c r="AQ54" i="21398"/>
  <c r="AQ568" i="2"/>
  <c r="AQ470" i="2"/>
  <c r="AQ316" i="2"/>
  <c r="AQ574" i="2"/>
  <c r="AQ102" i="2"/>
  <c r="AQ272" i="21398"/>
  <c r="AT521" i="2"/>
  <c r="J66" i="3" l="1"/>
  <c r="C68" i="3"/>
  <c r="C27" i="3"/>
  <c r="C69" i="21398"/>
  <c r="F67" i="21398"/>
  <c r="C549" i="21398"/>
  <c r="J548" i="21398"/>
  <c r="J547" i="21398"/>
  <c r="J717" i="21398"/>
  <c r="F716" i="21398"/>
  <c r="C718" i="21398"/>
  <c r="C69" i="2"/>
  <c r="F67" i="2"/>
  <c r="F710" i="2"/>
  <c r="C712" i="2"/>
  <c r="J711" i="2"/>
  <c r="AT503" i="2"/>
  <c r="AT505" i="2"/>
  <c r="AT54" i="3"/>
  <c r="AT56" i="3"/>
  <c r="AT509" i="2"/>
  <c r="AQ506" i="2"/>
  <c r="AT50" i="3"/>
  <c r="AQ55" i="3"/>
  <c r="AT58" i="3"/>
  <c r="AQ51" i="3"/>
  <c r="AT52" i="3"/>
  <c r="AQ502" i="2"/>
  <c r="AQ510" i="2"/>
  <c r="AQ57" i="3"/>
  <c r="AQ59" i="3"/>
  <c r="AQ53" i="3"/>
  <c r="AT507" i="2"/>
  <c r="AQ81" i="3"/>
  <c r="J27" i="3" l="1"/>
  <c r="C29" i="3"/>
  <c r="C70" i="3"/>
  <c r="J71" i="3" s="1"/>
  <c r="I69" i="3"/>
  <c r="I67" i="3"/>
  <c r="C720" i="21398"/>
  <c r="F718" i="21398"/>
  <c r="C551" i="21398"/>
  <c r="J550" i="21398"/>
  <c r="C71" i="21398"/>
  <c r="F69" i="21398"/>
  <c r="J68" i="21398"/>
  <c r="C714" i="2"/>
  <c r="F712" i="2"/>
  <c r="J68" i="2"/>
  <c r="C71" i="2"/>
  <c r="F69" i="2"/>
  <c r="AQ462" i="2"/>
  <c r="AT467" i="2"/>
  <c r="AQ464" i="2"/>
  <c r="AT463" i="2"/>
  <c r="AT471" i="2"/>
  <c r="AQ466" i="2"/>
  <c r="AT469" i="2"/>
  <c r="AQ468" i="2"/>
  <c r="AQ458" i="2"/>
  <c r="AT465" i="2"/>
  <c r="C72" i="3" l="1"/>
  <c r="C31" i="3"/>
  <c r="I30" i="3"/>
  <c r="J29" i="3"/>
  <c r="C73" i="21398"/>
  <c r="F71" i="21398"/>
  <c r="F551" i="21398"/>
  <c r="C553" i="21398"/>
  <c r="C722" i="21398"/>
  <c r="F720" i="21398"/>
  <c r="F714" i="2"/>
  <c r="C716" i="2"/>
  <c r="C73" i="2"/>
  <c r="F71" i="2"/>
  <c r="AQ330" i="2"/>
  <c r="AQ344" i="21398"/>
  <c r="AQ328" i="2"/>
  <c r="AQ344" i="2"/>
  <c r="AQ332" i="2"/>
  <c r="AQ719" i="21398"/>
  <c r="AQ354" i="2"/>
  <c r="C33" i="3" l="1"/>
  <c r="J32" i="3"/>
  <c r="C74" i="3"/>
  <c r="J75" i="3" s="1"/>
  <c r="C724" i="21398"/>
  <c r="C726" i="21398" s="1"/>
  <c r="C728" i="21398" s="1"/>
  <c r="C730" i="21398" s="1"/>
  <c r="C732" i="21398" s="1"/>
  <c r="C734" i="21398" s="1"/>
  <c r="F722" i="21398"/>
  <c r="J721" i="21398"/>
  <c r="C555" i="21398"/>
  <c r="C557" i="21398" s="1"/>
  <c r="C559" i="21398" s="1"/>
  <c r="F553" i="21398"/>
  <c r="C75" i="21398"/>
  <c r="J74" i="21398"/>
  <c r="C75" i="2"/>
  <c r="J74" i="2"/>
  <c r="J715" i="2"/>
  <c r="C718" i="2"/>
  <c r="C720" i="2" s="1"/>
  <c r="C722" i="2" s="1"/>
  <c r="C724" i="2" s="1"/>
  <c r="C726" i="2" s="1"/>
  <c r="C728" i="2" s="1"/>
  <c r="C76" i="3" l="1"/>
  <c r="J73" i="3"/>
  <c r="C35" i="3"/>
  <c r="C77" i="21398"/>
  <c r="F75" i="21398"/>
  <c r="C561" i="21398"/>
  <c r="C563" i="21398" s="1"/>
  <c r="J559" i="21398"/>
  <c r="C736" i="21398"/>
  <c r="C738" i="21398" s="1"/>
  <c r="J735" i="21398"/>
  <c r="C730" i="2"/>
  <c r="C732" i="2" s="1"/>
  <c r="J729" i="2"/>
  <c r="C77" i="2"/>
  <c r="F75" i="2"/>
  <c r="AQ288" i="21398"/>
  <c r="AT289" i="2"/>
  <c r="AT287" i="21398"/>
  <c r="AT291" i="21398"/>
  <c r="AT285" i="21398"/>
  <c r="AT289" i="21398"/>
  <c r="C37" i="3" l="1"/>
  <c r="C78" i="3"/>
  <c r="C740" i="21398"/>
  <c r="C742" i="21398" s="1"/>
  <c r="C744" i="21398" s="1"/>
  <c r="C746" i="21398" s="1"/>
  <c r="C748" i="21398" s="1"/>
  <c r="C750" i="21398" s="1"/>
  <c r="J737" i="21398"/>
  <c r="C565" i="21398"/>
  <c r="J563" i="21398"/>
  <c r="F563" i="21398"/>
  <c r="F77" i="21398"/>
  <c r="C79" i="21398"/>
  <c r="C79" i="2"/>
  <c r="F77" i="2"/>
  <c r="C734" i="2"/>
  <c r="C736" i="2" s="1"/>
  <c r="C738" i="2" s="1"/>
  <c r="C740" i="2" s="1"/>
  <c r="C742" i="2" s="1"/>
  <c r="C744" i="2" s="1"/>
  <c r="J731" i="2"/>
  <c r="AQ64" i="21398"/>
  <c r="AT63" i="21398"/>
  <c r="AQ62" i="21398"/>
  <c r="AQ62" i="2"/>
  <c r="C80" i="3" l="1"/>
  <c r="C39" i="3"/>
  <c r="C41" i="3" s="1"/>
  <c r="J38" i="3"/>
  <c r="C81" i="21398"/>
  <c r="C83" i="21398" s="1"/>
  <c r="C85" i="21398" s="1"/>
  <c r="F79" i="21398"/>
  <c r="C567" i="21398"/>
  <c r="F565" i="21398"/>
  <c r="C752" i="21398"/>
  <c r="C754" i="21398" s="1"/>
  <c r="C756" i="21398" s="1"/>
  <c r="J751" i="21398"/>
  <c r="C746" i="2"/>
  <c r="C748" i="2" s="1"/>
  <c r="C750" i="2" s="1"/>
  <c r="J745" i="2"/>
  <c r="C81" i="2"/>
  <c r="C83" i="2" s="1"/>
  <c r="C85" i="2" s="1"/>
  <c r="F79" i="2"/>
  <c r="AY17" i="21400"/>
  <c r="AT61" i="2"/>
  <c r="AQ64" i="2"/>
  <c r="AQ60" i="2"/>
  <c r="AQ474" i="2"/>
  <c r="AT63" i="2"/>
  <c r="AQ388" i="2"/>
  <c r="C82" i="3" l="1"/>
  <c r="C84" i="3" s="1"/>
  <c r="C86" i="3" s="1"/>
  <c r="J79" i="3"/>
  <c r="I81" i="3"/>
  <c r="C758" i="21398"/>
  <c r="C760" i="21398" s="1"/>
  <c r="J755" i="21398"/>
  <c r="J566" i="21398"/>
  <c r="C571" i="21398"/>
  <c r="C573" i="21398" s="1"/>
  <c r="C575" i="21398" s="1"/>
  <c r="C577" i="21398" s="1"/>
  <c r="C579" i="21398" s="1"/>
  <c r="C581" i="21398" s="1"/>
  <c r="C585" i="21398" s="1"/>
  <c r="C87" i="21398"/>
  <c r="J84" i="21398"/>
  <c r="J84" i="2"/>
  <c r="C87" i="2"/>
  <c r="J749" i="2"/>
  <c r="C752" i="2"/>
  <c r="C754" i="2" s="1"/>
  <c r="J86" i="21398" l="1"/>
  <c r="C89" i="21398"/>
  <c r="J87" i="21398"/>
  <c r="J586" i="21398"/>
  <c r="C587" i="21398"/>
  <c r="C589" i="21398" s="1"/>
  <c r="F760" i="21398"/>
  <c r="C762" i="21398"/>
  <c r="C756" i="2"/>
  <c r="F754" i="2"/>
  <c r="C89" i="2"/>
  <c r="J87" i="2"/>
  <c r="J86" i="2"/>
  <c r="C764" i="21398" l="1"/>
  <c r="F762" i="21398"/>
  <c r="C591" i="21398"/>
  <c r="F589" i="21398"/>
  <c r="C91" i="21398"/>
  <c r="J90" i="21398"/>
  <c r="J89" i="21398"/>
  <c r="C758" i="2"/>
  <c r="F756" i="2"/>
  <c r="C91" i="2"/>
  <c r="J90" i="2"/>
  <c r="J89" i="2"/>
  <c r="AT295" i="21398"/>
  <c r="AT15" i="108"/>
  <c r="AQ14" i="108"/>
  <c r="AT291" i="2"/>
  <c r="AT299" i="21398"/>
  <c r="AQ302" i="2"/>
  <c r="AQ300" i="2"/>
  <c r="AQ32" i="3"/>
  <c r="C93" i="21398" l="1"/>
  <c r="C95" i="21398" s="1"/>
  <c r="C97" i="21398" s="1"/>
  <c r="C99" i="21398" s="1"/>
  <c r="C101" i="21398" s="1"/>
  <c r="C103" i="21398" s="1"/>
  <c r="C105" i="21398" s="1"/>
  <c r="C107" i="21398" s="1"/>
  <c r="J92" i="21398"/>
  <c r="C593" i="21398"/>
  <c r="F591" i="21398"/>
  <c r="C766" i="21398"/>
  <c r="F764" i="21398"/>
  <c r="J92" i="2"/>
  <c r="C93" i="2"/>
  <c r="C95" i="2" s="1"/>
  <c r="C97" i="2" s="1"/>
  <c r="C99" i="2" s="1"/>
  <c r="C101" i="2" s="1"/>
  <c r="C103" i="2" s="1"/>
  <c r="C105" i="2" s="1"/>
  <c r="C107" i="2" s="1"/>
  <c r="C760" i="2"/>
  <c r="F758" i="2"/>
  <c r="J86" i="3" l="1"/>
  <c r="C88" i="3"/>
  <c r="J87" i="3"/>
  <c r="C768" i="21398"/>
  <c r="F766" i="21398"/>
  <c r="C595" i="21398"/>
  <c r="C597" i="21398" s="1"/>
  <c r="C599" i="21398" s="1"/>
  <c r="C601" i="21398" s="1"/>
  <c r="F593" i="21398"/>
  <c r="F107" i="21398"/>
  <c r="J106" i="21398"/>
  <c r="C109" i="21398"/>
  <c r="C762" i="2"/>
  <c r="F760" i="2"/>
  <c r="C109" i="2"/>
  <c r="F107" i="2"/>
  <c r="J106" i="2"/>
  <c r="AQ106" i="21398"/>
  <c r="J89" i="3" l="1"/>
  <c r="C111" i="21398"/>
  <c r="F109" i="21398"/>
  <c r="C603" i="21398"/>
  <c r="C605" i="21398" s="1"/>
  <c r="C607" i="21398" s="1"/>
  <c r="C609" i="21398" s="1"/>
  <c r="C611" i="21398" s="1"/>
  <c r="C613" i="21398" s="1"/>
  <c r="C615" i="21398" s="1"/>
  <c r="C617" i="21398" s="1"/>
  <c r="C619" i="21398" s="1"/>
  <c r="C621" i="21398" s="1"/>
  <c r="C623" i="21398" s="1"/>
  <c r="C625" i="21398" s="1"/>
  <c r="C627" i="21398" s="1"/>
  <c r="C629" i="21398" s="1"/>
  <c r="J600" i="21398"/>
  <c r="C770" i="21398"/>
  <c r="C772" i="21398" s="1"/>
  <c r="J769" i="21398"/>
  <c r="C764" i="2"/>
  <c r="C766" i="2" s="1"/>
  <c r="J763" i="2"/>
  <c r="C111" i="2"/>
  <c r="F109" i="2"/>
  <c r="AQ108" i="21398"/>
  <c r="C774" i="21398" l="1"/>
  <c r="C776" i="21398" s="1"/>
  <c r="C778" i="21398" s="1"/>
  <c r="C780" i="21398" s="1"/>
  <c r="C782" i="21398" s="1"/>
  <c r="C784" i="21398" s="1"/>
  <c r="J771" i="21398"/>
  <c r="C631" i="21398"/>
  <c r="F629" i="21398"/>
  <c r="C113" i="21398"/>
  <c r="C115" i="21398" s="1"/>
  <c r="C117" i="21398" s="1"/>
  <c r="C119" i="21398" s="1"/>
  <c r="C121" i="21398" s="1"/>
  <c r="C123" i="21398" s="1"/>
  <c r="C125" i="21398" s="1"/>
  <c r="C127" i="21398" s="1"/>
  <c r="C129" i="21398" s="1"/>
  <c r="J112" i="21398"/>
  <c r="J765" i="2"/>
  <c r="C768" i="2"/>
  <c r="C770" i="2" s="1"/>
  <c r="C772" i="2" s="1"/>
  <c r="C774" i="2" s="1"/>
  <c r="C776" i="2" s="1"/>
  <c r="C778" i="2" s="1"/>
  <c r="C113" i="2"/>
  <c r="C115" i="2" s="1"/>
  <c r="C117" i="2" s="1"/>
  <c r="C119" i="2" s="1"/>
  <c r="C121" i="2" s="1"/>
  <c r="C123" i="2" s="1"/>
  <c r="C125" i="2" s="1"/>
  <c r="C127" i="2" s="1"/>
  <c r="C129" i="2" s="1"/>
  <c r="J112" i="2"/>
  <c r="AQ530" i="2"/>
  <c r="AQ532" i="2"/>
  <c r="AQ534" i="2"/>
  <c r="AQ528" i="2"/>
  <c r="J128" i="21398" l="1"/>
  <c r="C131" i="21398"/>
  <c r="C133" i="21398" s="1"/>
  <c r="C135" i="21398" s="1"/>
  <c r="C633" i="21398"/>
  <c r="F631" i="21398"/>
  <c r="C786" i="21398"/>
  <c r="C788" i="21398" s="1"/>
  <c r="C790" i="21398" s="1"/>
  <c r="J785" i="21398"/>
  <c r="C131" i="2"/>
  <c r="C133" i="2" s="1"/>
  <c r="C135" i="2" s="1"/>
  <c r="J128" i="2"/>
  <c r="C780" i="2"/>
  <c r="C782" i="2" s="1"/>
  <c r="C784" i="2" s="1"/>
  <c r="J779" i="2"/>
  <c r="AQ548" i="21398"/>
  <c r="J789" i="21398" l="1"/>
  <c r="C792" i="21398"/>
  <c r="C794" i="21398" s="1"/>
  <c r="C796" i="21398" s="1"/>
  <c r="F633" i="21398"/>
  <c r="C635" i="21398"/>
  <c r="C637" i="21398" s="1"/>
  <c r="C137" i="21398"/>
  <c r="C139" i="21398" s="1"/>
  <c r="C141" i="21398" s="1"/>
  <c r="C143" i="21398" s="1"/>
  <c r="J136" i="21398"/>
  <c r="C137" i="2"/>
  <c r="C139" i="2" s="1"/>
  <c r="C141" i="2" s="1"/>
  <c r="C143" i="2" s="1"/>
  <c r="J136" i="2"/>
  <c r="C786" i="2"/>
  <c r="C788" i="2" s="1"/>
  <c r="C790" i="2" s="1"/>
  <c r="J783" i="2"/>
  <c r="C145" i="21398" l="1"/>
  <c r="F143" i="21398"/>
  <c r="C798" i="21398"/>
  <c r="C800" i="21398" s="1"/>
  <c r="J797" i="21398"/>
  <c r="C145" i="2"/>
  <c r="F143" i="2"/>
  <c r="J791" i="2"/>
  <c r="C792" i="2"/>
  <c r="C794" i="2" s="1"/>
  <c r="AQ16" i="108"/>
  <c r="AT17" i="21399"/>
  <c r="AT15" i="3"/>
  <c r="AQ25" i="21399"/>
  <c r="AT15" i="21399"/>
  <c r="AQ20" i="3"/>
  <c r="AT405" i="2"/>
  <c r="AT413" i="2"/>
  <c r="AQ12" i="21399"/>
  <c r="AT273" i="21398"/>
  <c r="AQ16" i="21399"/>
  <c r="AQ47" i="3"/>
  <c r="AT21" i="108"/>
  <c r="AT11" i="108"/>
  <c r="AT13" i="3"/>
  <c r="AQ23" i="21399"/>
  <c r="AT25" i="3"/>
  <c r="AT451" i="21398"/>
  <c r="AQ34" i="3"/>
  <c r="AQ61" i="3"/>
  <c r="AT19" i="108"/>
  <c r="AT17" i="3"/>
  <c r="AT7" i="21400"/>
  <c r="AT28" i="21399"/>
  <c r="AQ10" i="3"/>
  <c r="AT29" i="3"/>
  <c r="AT23" i="3"/>
  <c r="AQ26" i="3"/>
  <c r="AT33" i="3"/>
  <c r="AT403" i="2"/>
  <c r="AT9" i="21400"/>
  <c r="AT86" i="3"/>
  <c r="AQ10" i="108"/>
  <c r="AT13" i="108"/>
  <c r="AQ30" i="3"/>
  <c r="AT19" i="3"/>
  <c r="AQ12" i="108"/>
  <c r="AT477" i="21398"/>
  <c r="AT21" i="3"/>
  <c r="AQ20" i="108"/>
  <c r="AT11" i="3"/>
  <c r="AT13" i="21399"/>
  <c r="AQ16" i="3"/>
  <c r="AT31" i="3"/>
  <c r="AQ18" i="21399"/>
  <c r="AQ6" i="21400"/>
  <c r="AQ38" i="3"/>
  <c r="AT11" i="21399"/>
  <c r="AT37" i="3"/>
  <c r="AQ14" i="21400"/>
  <c r="AT299" i="2"/>
  <c r="AQ24" i="3"/>
  <c r="AQ14" i="3"/>
  <c r="AQ22" i="3"/>
  <c r="AT13" i="21400"/>
  <c r="AT24" i="21399"/>
  <c r="AT401" i="2"/>
  <c r="AQ18" i="3"/>
  <c r="AQ8" i="21400"/>
  <c r="AT275" i="21398"/>
  <c r="AQ18" i="108"/>
  <c r="AQ12" i="3"/>
  <c r="AQ29" i="21399"/>
  <c r="AT395" i="21398"/>
  <c r="AQ14" i="21399"/>
  <c r="C802" i="21398" l="1"/>
  <c r="J799" i="21398"/>
  <c r="C147" i="21398"/>
  <c r="F145" i="21398"/>
  <c r="C147" i="2"/>
  <c r="F145" i="2"/>
  <c r="C796" i="2"/>
  <c r="J793" i="2"/>
  <c r="AQ144" i="21398"/>
  <c r="C149" i="21398" l="1"/>
  <c r="C151" i="21398" s="1"/>
  <c r="F147" i="21398"/>
  <c r="C804" i="21398"/>
  <c r="C806" i="21398" s="1"/>
  <c r="C808" i="21398" s="1"/>
  <c r="C810" i="21398" s="1"/>
  <c r="C812" i="21398" s="1"/>
  <c r="J802" i="21398"/>
  <c r="C798" i="2"/>
  <c r="C800" i="2" s="1"/>
  <c r="C802" i="2" s="1"/>
  <c r="C804" i="2" s="1"/>
  <c r="C806" i="2" s="1"/>
  <c r="C808" i="2" s="1"/>
  <c r="J796" i="2"/>
  <c r="F147" i="2"/>
  <c r="C149" i="2"/>
  <c r="C151" i="2" s="1"/>
  <c r="AC23" i="3"/>
  <c r="AC21" i="3"/>
  <c r="AC19" i="3"/>
  <c r="AC17" i="3"/>
  <c r="AC15" i="3"/>
  <c r="AC13" i="3"/>
  <c r="AC11" i="3"/>
  <c r="AQ264" i="21398"/>
  <c r="AT257" i="2"/>
  <c r="AQ274" i="2"/>
  <c r="AQ276" i="2"/>
  <c r="AQ264" i="2"/>
  <c r="AQ274" i="21398"/>
  <c r="AQ266" i="21398"/>
  <c r="AQ146" i="21398"/>
  <c r="AQ266" i="2"/>
  <c r="AT259" i="21398"/>
  <c r="AT267" i="21398"/>
  <c r="AT265" i="21398"/>
  <c r="C814" i="21398" l="1"/>
  <c r="C816" i="21398" s="1"/>
  <c r="C818" i="21398" s="1"/>
  <c r="C820" i="21398" s="1"/>
  <c r="J150" i="21398"/>
  <c r="C153" i="21398"/>
  <c r="C155" i="21398" s="1"/>
  <c r="C153" i="2"/>
  <c r="C155" i="2" s="1"/>
  <c r="J150" i="2"/>
  <c r="C810" i="2"/>
  <c r="F808" i="2"/>
  <c r="AQ518" i="21398"/>
  <c r="AT808" i="2"/>
  <c r="AQ524" i="21398"/>
  <c r="AT519" i="21398"/>
  <c r="F818" i="21398" l="1"/>
  <c r="C157" i="21398"/>
  <c r="J156" i="21398"/>
  <c r="J820" i="21398"/>
  <c r="F820" i="21398"/>
  <c r="J810" i="2"/>
  <c r="F810" i="2"/>
  <c r="J156" i="2"/>
  <c r="C157" i="2"/>
  <c r="AT479" i="21398"/>
  <c r="AT810" i="2"/>
  <c r="AT818" i="21398"/>
  <c r="AT481" i="21398"/>
  <c r="C159" i="21398" l="1"/>
  <c r="F157" i="21398"/>
  <c r="C159" i="2"/>
  <c r="F157" i="2"/>
  <c r="AT391" i="21398"/>
  <c r="AQ498" i="2"/>
  <c r="AT491" i="2"/>
  <c r="AQ488" i="2"/>
  <c r="AT531" i="2"/>
  <c r="AQ288" i="2"/>
  <c r="AT491" i="21398"/>
  <c r="AQ490" i="2"/>
  <c r="AQ498" i="21398"/>
  <c r="AQ394" i="21398"/>
  <c r="AQ532" i="21398"/>
  <c r="AT387" i="21398"/>
  <c r="AQ526" i="2"/>
  <c r="AT497" i="2"/>
  <c r="AT543" i="2"/>
  <c r="AQ404" i="2"/>
  <c r="AT495" i="2"/>
  <c r="AQ494" i="21398"/>
  <c r="AT393" i="2"/>
  <c r="AQ530" i="21398"/>
  <c r="AQ156" i="21398"/>
  <c r="AQ524" i="2"/>
  <c r="AQ522" i="2"/>
  <c r="AQ528" i="21398"/>
  <c r="AQ490" i="21398"/>
  <c r="AQ392" i="21398"/>
  <c r="AQ496" i="21398"/>
  <c r="AT531" i="21398"/>
  <c r="AT393" i="21398"/>
  <c r="AQ492" i="2"/>
  <c r="AT499" i="2"/>
  <c r="AT501" i="21398"/>
  <c r="AQ450" i="2"/>
  <c r="AQ480" i="21398"/>
  <c r="AQ480" i="2"/>
  <c r="AT461" i="2"/>
  <c r="AT283" i="21398"/>
  <c r="AQ398" i="2"/>
  <c r="AQ396" i="2"/>
  <c r="AT499" i="21398"/>
  <c r="AT399" i="2"/>
  <c r="AT483" i="21398"/>
  <c r="AQ482" i="21398"/>
  <c r="AQ486" i="21398"/>
  <c r="AQ542" i="2"/>
  <c r="AQ284" i="21398"/>
  <c r="AQ486" i="2"/>
  <c r="AT415" i="2"/>
  <c r="AT485" i="2"/>
  <c r="AT489" i="21398"/>
  <c r="AT487" i="21398"/>
  <c r="AT487" i="2"/>
  <c r="AT495" i="21398"/>
  <c r="AT485" i="21398"/>
  <c r="AT389" i="21398"/>
  <c r="AT395" i="2"/>
  <c r="AQ494" i="2"/>
  <c r="AQ496" i="2"/>
  <c r="AT497" i="21398"/>
  <c r="AT493" i="2"/>
  <c r="AQ390" i="21398"/>
  <c r="AT525" i="2"/>
  <c r="AT529" i="21398"/>
  <c r="AT525" i="21398"/>
  <c r="AQ526" i="21398"/>
  <c r="AQ484" i="2"/>
  <c r="AQ492" i="21398"/>
  <c r="AT493" i="21398"/>
  <c r="AQ488" i="21398"/>
  <c r="AQ484" i="21398"/>
  <c r="AT527" i="2"/>
  <c r="AT527" i="21398"/>
  <c r="AQ400" i="2"/>
  <c r="AT523" i="2"/>
  <c r="AQ402" i="2"/>
  <c r="AQ500" i="21398"/>
  <c r="AT489" i="2"/>
  <c r="AT529" i="2"/>
  <c r="AT451" i="2"/>
  <c r="AT397" i="2"/>
  <c r="AT483" i="2"/>
  <c r="AQ284" i="2"/>
  <c r="C161" i="21398" l="1"/>
  <c r="C163" i="21398" s="1"/>
  <c r="F159" i="21398"/>
  <c r="C161" i="2"/>
  <c r="C163" i="2" s="1"/>
  <c r="F159" i="2"/>
  <c r="AQ276" i="21398"/>
  <c r="AQ290" i="2"/>
  <c r="AQ158" i="21398"/>
  <c r="AQ282" i="21398"/>
  <c r="AQ158" i="2"/>
  <c r="C165" i="21398" l="1"/>
  <c r="C167" i="21398" s="1"/>
  <c r="C169" i="21398" s="1"/>
  <c r="C171" i="21398" s="1"/>
  <c r="F163" i="21398"/>
  <c r="C165" i="2"/>
  <c r="C167" i="2" s="1"/>
  <c r="C169" i="2" s="1"/>
  <c r="C171" i="2" s="1"/>
  <c r="F163" i="2"/>
  <c r="J170" i="21398" l="1"/>
  <c r="C173" i="21398"/>
  <c r="C173" i="2"/>
  <c r="J170" i="2"/>
  <c r="C175" i="21398" l="1"/>
  <c r="J173" i="21398"/>
  <c r="J172" i="21398"/>
  <c r="C175" i="2"/>
  <c r="J173" i="2"/>
  <c r="J172" i="2"/>
  <c r="C177" i="21398" l="1"/>
  <c r="J176" i="21398"/>
  <c r="J175" i="21398"/>
  <c r="C177" i="2"/>
  <c r="J176" i="2"/>
  <c r="J175" i="2"/>
  <c r="C179" i="21398" l="1"/>
  <c r="C181" i="21398" s="1"/>
  <c r="C183" i="21398" s="1"/>
  <c r="C185" i="21398" s="1"/>
  <c r="C189" i="21398" s="1"/>
  <c r="C191" i="21398" s="1"/>
  <c r="C193" i="21398" s="1"/>
  <c r="C195" i="21398" s="1"/>
  <c r="J178" i="21398"/>
  <c r="C179" i="2"/>
  <c r="C181" i="2" s="1"/>
  <c r="C183" i="2" s="1"/>
  <c r="C185" i="2" s="1"/>
  <c r="C187" i="2" s="1"/>
  <c r="C189" i="2" s="1"/>
  <c r="C191" i="2" s="1"/>
  <c r="C193" i="2" s="1"/>
  <c r="J178" i="2"/>
  <c r="C195" i="2" l="1"/>
  <c r="F195" i="2" s="1"/>
  <c r="C197" i="21398"/>
  <c r="F195" i="21398"/>
  <c r="C197" i="2" l="1"/>
  <c r="F197" i="2" s="1"/>
  <c r="C199" i="21398"/>
  <c r="F197" i="21398"/>
  <c r="AT119" i="2"/>
  <c r="AQ134" i="2"/>
  <c r="AQ40" i="2"/>
  <c r="AT227" i="2"/>
  <c r="AT41" i="2"/>
  <c r="AT45" i="2"/>
  <c r="AQ128" i="2"/>
  <c r="AT179" i="2"/>
  <c r="AQ164" i="2"/>
  <c r="AT123" i="2"/>
  <c r="AQ218" i="2"/>
  <c r="AQ196" i="2"/>
  <c r="AT117" i="2"/>
  <c r="AQ114" i="2"/>
  <c r="AT181" i="2"/>
  <c r="AT25" i="2"/>
  <c r="AQ160" i="2"/>
  <c r="AQ172" i="2"/>
  <c r="AQ94" i="2"/>
  <c r="AQ42" i="2"/>
  <c r="AT175" i="2"/>
  <c r="AQ116" i="2"/>
  <c r="AQ88" i="2"/>
  <c r="AQ194" i="2"/>
  <c r="AQ84" i="2"/>
  <c r="AT193" i="2"/>
  <c r="AT231" i="2"/>
  <c r="AQ226" i="2"/>
  <c r="AT95" i="2"/>
  <c r="AT165" i="2"/>
  <c r="AT221" i="2"/>
  <c r="AT137" i="2"/>
  <c r="AT73" i="2"/>
  <c r="AT33" i="2"/>
  <c r="AT223" i="2"/>
  <c r="AT99" i="2"/>
  <c r="AQ30" i="2"/>
  <c r="AT97" i="2"/>
  <c r="AT183" i="2"/>
  <c r="AQ44" i="2"/>
  <c r="AT29" i="2"/>
  <c r="AT135" i="2"/>
  <c r="AQ32" i="2"/>
  <c r="AT161" i="2"/>
  <c r="AQ194" i="21398"/>
  <c r="AT35" i="2"/>
  <c r="AT47" i="2"/>
  <c r="AT169" i="2"/>
  <c r="AT185" i="2"/>
  <c r="AT219" i="2"/>
  <c r="AT155" i="2"/>
  <c r="AQ176" i="2"/>
  <c r="AT51" i="2"/>
  <c r="AT133" i="2"/>
  <c r="AT229" i="2"/>
  <c r="AQ174" i="2"/>
  <c r="AQ90" i="2"/>
  <c r="AQ168" i="2"/>
  <c r="AQ136" i="2"/>
  <c r="AT87" i="2"/>
  <c r="AQ222" i="2"/>
  <c r="AT153" i="2"/>
  <c r="AQ138" i="2"/>
  <c r="AT89" i="2"/>
  <c r="AQ120" i="2"/>
  <c r="AT113" i="2"/>
  <c r="AT225" i="2"/>
  <c r="AQ150" i="2"/>
  <c r="AT205" i="2"/>
  <c r="AT121" i="2"/>
  <c r="AT235" i="2"/>
  <c r="AQ132" i="2"/>
  <c r="AQ178" i="2"/>
  <c r="AT237" i="2"/>
  <c r="AQ184" i="2"/>
  <c r="AQ196" i="21398"/>
  <c r="AT27" i="2"/>
  <c r="AT141" i="2"/>
  <c r="AT171" i="2"/>
  <c r="AT177" i="2"/>
  <c r="AT43" i="2"/>
  <c r="AQ72" i="2"/>
  <c r="AT85" i="2"/>
  <c r="AT217" i="2"/>
  <c r="AT23" i="2"/>
  <c r="AQ112" i="2"/>
  <c r="AT83" i="2"/>
  <c r="AT101" i="2"/>
  <c r="AQ110" i="2"/>
  <c r="AT131" i="2"/>
  <c r="AT213" i="2"/>
  <c r="AQ96" i="2"/>
  <c r="AQ236" i="2"/>
  <c r="AT167" i="2"/>
  <c r="AQ52" i="2"/>
  <c r="AT187" i="2"/>
  <c r="AT173" i="2"/>
  <c r="AQ228" i="2"/>
  <c r="AQ140" i="2"/>
  <c r="AQ122" i="2"/>
  <c r="AT103" i="2"/>
  <c r="AQ124" i="2"/>
  <c r="AQ182" i="2"/>
  <c r="AT139" i="2"/>
  <c r="AQ118" i="2"/>
  <c r="AQ50" i="2"/>
  <c r="AQ186" i="2"/>
  <c r="AT215" i="2"/>
  <c r="AT125" i="2"/>
  <c r="AQ46" i="2"/>
  <c r="AT81" i="2"/>
  <c r="AT129" i="2"/>
  <c r="AQ224" i="2"/>
  <c r="AQ26" i="2"/>
  <c r="AT207" i="2"/>
  <c r="AT53" i="2"/>
  <c r="AQ166" i="2"/>
  <c r="AQ232" i="2"/>
  <c r="AQ126" i="2"/>
  <c r="AT233" i="2"/>
  <c r="AT93" i="2"/>
  <c r="AQ234" i="2"/>
  <c r="AT31" i="2"/>
  <c r="AQ34" i="2"/>
  <c r="AT49" i="2"/>
  <c r="AT189" i="2"/>
  <c r="AT65" i="2"/>
  <c r="AQ24" i="2"/>
  <c r="AQ130" i="2"/>
  <c r="AQ170" i="2"/>
  <c r="AT111" i="2"/>
  <c r="AQ92" i="2"/>
  <c r="AQ82" i="2"/>
  <c r="AQ28" i="2"/>
  <c r="AT191" i="2"/>
  <c r="AQ230" i="2"/>
  <c r="AQ48" i="2"/>
  <c r="AT115" i="2"/>
  <c r="AT149" i="2"/>
  <c r="AT127" i="2"/>
  <c r="AQ180" i="2"/>
  <c r="AT151" i="2"/>
  <c r="AT91" i="2"/>
  <c r="AQ80" i="2"/>
  <c r="C199" i="2" l="1"/>
  <c r="F199" i="2" s="1"/>
  <c r="F199" i="21398"/>
  <c r="C201" i="21398"/>
  <c r="AQ198" i="21398"/>
  <c r="C201" i="2" l="1"/>
  <c r="C203" i="2" s="1"/>
  <c r="C203" i="21398"/>
  <c r="F201" i="21398"/>
  <c r="AQ200" i="21398"/>
  <c r="AQ63" i="3"/>
  <c r="AQ49" i="3"/>
  <c r="F201" i="2" l="1"/>
  <c r="C205" i="21398"/>
  <c r="C207" i="21398" s="1"/>
  <c r="C209" i="21398" s="1"/>
  <c r="C211" i="21398" s="1"/>
  <c r="F203" i="21398"/>
  <c r="C205" i="2"/>
  <c r="C207" i="2" s="1"/>
  <c r="C209" i="2" s="1"/>
  <c r="C211" i="2" s="1"/>
  <c r="F203" i="2"/>
  <c r="AQ202" i="21398"/>
  <c r="AQ328" i="21398"/>
  <c r="C213" i="21398" l="1"/>
  <c r="C215" i="21398" s="1"/>
  <c r="C213" i="2"/>
  <c r="C215" i="2" s="1"/>
  <c r="BM21" i="108"/>
  <c r="BM20" i="108"/>
  <c r="AQ336" i="21398"/>
  <c r="AQ438" i="21398"/>
  <c r="AQ434" i="2"/>
  <c r="AQ342" i="2"/>
  <c r="AQ338" i="2"/>
  <c r="AQ370" i="2"/>
  <c r="AQ334" i="2"/>
  <c r="AQ372" i="2"/>
  <c r="AQ336" i="2"/>
  <c r="AQ340" i="2"/>
  <c r="AQ338" i="21398"/>
  <c r="AQ436" i="21398"/>
  <c r="AQ616" i="2"/>
  <c r="AQ340" i="21398"/>
  <c r="AQ432" i="2"/>
  <c r="AQ554" i="21398"/>
  <c r="AQ342" i="21398"/>
  <c r="AQ332" i="21398"/>
  <c r="AQ334" i="21398"/>
  <c r="J214" i="21398" l="1"/>
  <c r="C217" i="21398"/>
  <c r="C219" i="21398" s="1"/>
  <c r="C221" i="21398" s="1"/>
  <c r="C217" i="2"/>
  <c r="C219" i="2" s="1"/>
  <c r="C221" i="2" s="1"/>
  <c r="J214" i="2"/>
  <c r="C223" i="21398" l="1"/>
  <c r="C225" i="21398" s="1"/>
  <c r="C227" i="21398" s="1"/>
  <c r="C229" i="21398" s="1"/>
  <c r="C231" i="21398" s="1"/>
  <c r="J222" i="21398"/>
  <c r="C223" i="2"/>
  <c r="C225" i="2" s="1"/>
  <c r="C227" i="2" s="1"/>
  <c r="C229" i="2" s="1"/>
  <c r="C231" i="2" s="1"/>
  <c r="J222" i="2"/>
  <c r="C233" i="21398" l="1"/>
  <c r="C235" i="21398" s="1"/>
  <c r="C237" i="21398" s="1"/>
  <c r="J230" i="21398"/>
  <c r="C233" i="2"/>
  <c r="C235" i="2" s="1"/>
  <c r="C237" i="2" s="1"/>
  <c r="J230" i="2"/>
  <c r="C239" i="21398" l="1"/>
  <c r="J238" i="21398"/>
  <c r="C239" i="2"/>
  <c r="J238" i="2"/>
  <c r="F239" i="21398" l="1"/>
  <c r="C241" i="21398"/>
  <c r="C241" i="2"/>
  <c r="F239" i="2"/>
  <c r="AC17" i="21399"/>
  <c r="AC15" i="21399"/>
  <c r="AT73" i="21398"/>
  <c r="AT171" i="21398"/>
  <c r="AT433" i="2"/>
  <c r="AQ130" i="21398"/>
  <c r="AQ170" i="21398"/>
  <c r="AT29" i="21398"/>
  <c r="AQ80" i="21398"/>
  <c r="AQ152" i="21398"/>
  <c r="AT389" i="2"/>
  <c r="AT231" i="21398"/>
  <c r="AT193" i="21398"/>
  <c r="AT251" i="2"/>
  <c r="AT64" i="3"/>
  <c r="AQ126" i="21398"/>
  <c r="AT373" i="2"/>
  <c r="AT385" i="2"/>
  <c r="AQ50" i="21398"/>
  <c r="AT387" i="2"/>
  <c r="AT279" i="21398"/>
  <c r="AT235" i="21398"/>
  <c r="AT95" i="21398"/>
  <c r="AT281" i="21398"/>
  <c r="AT435" i="21398"/>
  <c r="AT437" i="2"/>
  <c r="AT255" i="2"/>
  <c r="AT279" i="2"/>
  <c r="AT441" i="21398"/>
  <c r="AQ386" i="21398"/>
  <c r="AT339" i="21398"/>
  <c r="AT335" i="21398"/>
  <c r="AT78" i="3"/>
  <c r="AQ32" i="21398"/>
  <c r="AQ182" i="21398"/>
  <c r="AT363" i="21398"/>
  <c r="AT173" i="21398"/>
  <c r="AQ82" i="21398"/>
  <c r="AT347" i="21398"/>
  <c r="AQ236" i="21398"/>
  <c r="AT101" i="21398"/>
  <c r="AT111" i="21398"/>
  <c r="AT329" i="2"/>
  <c r="AT355" i="2"/>
  <c r="AT62" i="3"/>
  <c r="AQ174" i="21398"/>
  <c r="AT41" i="21398"/>
  <c r="AT373" i="21398"/>
  <c r="AQ180" i="21398"/>
  <c r="AQ258" i="2"/>
  <c r="AQ304" i="21398"/>
  <c r="AT48" i="3"/>
  <c r="AT137" i="21398"/>
  <c r="AT237" i="21398"/>
  <c r="AT345" i="21398"/>
  <c r="AT357" i="21398"/>
  <c r="AQ166" i="21398"/>
  <c r="AT369" i="2"/>
  <c r="AQ360" i="2"/>
  <c r="AQ436" i="2"/>
  <c r="AQ362" i="2"/>
  <c r="AT223" i="21398"/>
  <c r="AT221" i="21398"/>
  <c r="AT371" i="21398"/>
  <c r="AQ280" i="2"/>
  <c r="AT217" i="21398"/>
  <c r="AQ440" i="21398"/>
  <c r="AT417" i="2"/>
  <c r="AT155" i="21398"/>
  <c r="AT177" i="21398"/>
  <c r="AT135" i="21398"/>
  <c r="AQ280" i="21398"/>
  <c r="AT225" i="21398"/>
  <c r="AT113" i="21398"/>
  <c r="AQ414" i="2"/>
  <c r="AT333" i="2"/>
  <c r="AQ428" i="2"/>
  <c r="AQ116" i="21398"/>
  <c r="AT341" i="2"/>
  <c r="AT115" i="21398"/>
  <c r="AT51" i="21398"/>
  <c r="AT359" i="2"/>
  <c r="AT25" i="21398"/>
  <c r="AT359" i="21398"/>
  <c r="AT347" i="2"/>
  <c r="AT89" i="21398"/>
  <c r="AT363" i="2"/>
  <c r="AT349" i="21398"/>
  <c r="AT53" i="21398"/>
  <c r="AT81" i="21398"/>
  <c r="AQ122" i="21398"/>
  <c r="AQ112" i="21398"/>
  <c r="AQ77" i="3"/>
  <c r="AT429" i="2"/>
  <c r="AT313" i="2"/>
  <c r="AQ426" i="2"/>
  <c r="AT47" i="21398"/>
  <c r="AT205" i="21398"/>
  <c r="AT305" i="21398"/>
  <c r="AT227" i="21398"/>
  <c r="AT343" i="21398"/>
  <c r="AQ28" i="21398"/>
  <c r="AQ366" i="21398"/>
  <c r="AQ34" i="21398"/>
  <c r="AT99" i="21398"/>
  <c r="AT91" i="21398"/>
  <c r="AT43" i="21398"/>
  <c r="AT27" i="21398"/>
  <c r="AT175" i="21398"/>
  <c r="AQ368" i="21398"/>
  <c r="AT425" i="2"/>
  <c r="AT439" i="21398"/>
  <c r="AT255" i="21398"/>
  <c r="AQ297" i="21398"/>
  <c r="AT365" i="2"/>
  <c r="AT341" i="21398"/>
  <c r="AQ214" i="21398"/>
  <c r="AT439" i="2"/>
  <c r="AT319" i="21398"/>
  <c r="AQ360" i="21398"/>
  <c r="AT431" i="2"/>
  <c r="AQ364" i="21398"/>
  <c r="AQ92" i="21398"/>
  <c r="AQ128" i="21398"/>
  <c r="AT66" i="3"/>
  <c r="AT391" i="2"/>
  <c r="AT60" i="3"/>
  <c r="AQ416" i="2"/>
  <c r="AT253" i="21398"/>
  <c r="AT70" i="3"/>
  <c r="AQ346" i="2"/>
  <c r="AT361" i="2"/>
  <c r="AQ26" i="21398"/>
  <c r="AT301" i="21398"/>
  <c r="AQ46" i="21398"/>
  <c r="AT349" i="2"/>
  <c r="AQ366" i="2"/>
  <c r="AT93" i="21398"/>
  <c r="AQ370" i="21398"/>
  <c r="AT337" i="21398"/>
  <c r="AT335" i="2"/>
  <c r="AT153" i="21398"/>
  <c r="AT213" i="21398"/>
  <c r="AQ300" i="21398"/>
  <c r="AQ40" i="21398"/>
  <c r="AT253" i="2"/>
  <c r="AT169" i="21398"/>
  <c r="AQ312" i="21398"/>
  <c r="AT233" i="21398"/>
  <c r="AQ252" i="2"/>
  <c r="AT76" i="3"/>
  <c r="AT357" i="2"/>
  <c r="AT123" i="21398"/>
  <c r="AT337" i="2"/>
  <c r="AT117" i="21398"/>
  <c r="AQ96" i="21398"/>
  <c r="AT35" i="21398"/>
  <c r="AT423" i="2"/>
  <c r="AQ386" i="2"/>
  <c r="AQ110" i="21398"/>
  <c r="AT181" i="21398"/>
  <c r="AT315" i="21398"/>
  <c r="AT419" i="2"/>
  <c r="AT257" i="21398"/>
  <c r="AQ422" i="2"/>
  <c r="AT72" i="3"/>
  <c r="AT141" i="21398"/>
  <c r="AQ384" i="2"/>
  <c r="AT229" i="21398"/>
  <c r="AQ358" i="21398"/>
  <c r="AT345" i="2"/>
  <c r="AT369" i="21398"/>
  <c r="AQ362" i="21398"/>
  <c r="AT361" i="21398"/>
  <c r="AT31" i="21398"/>
  <c r="AT131" i="21398"/>
  <c r="AQ354" i="21398"/>
  <c r="AT97" i="21398"/>
  <c r="AQ424" i="2"/>
  <c r="AQ278" i="21398"/>
  <c r="AQ220" i="21398"/>
  <c r="AQ154" i="21398"/>
  <c r="AT343" i="2"/>
  <c r="AT313" i="21398"/>
  <c r="AT437" i="21398"/>
  <c r="AQ75" i="3"/>
  <c r="AQ94" i="21398"/>
  <c r="AQ348" i="21398"/>
  <c r="AT33" i="21398"/>
  <c r="AQ132" i="21398"/>
  <c r="AQ73" i="3"/>
  <c r="AQ216" i="21398"/>
  <c r="AT149" i="21398"/>
  <c r="AT83" i="21398"/>
  <c r="AT179" i="21398"/>
  <c r="AT367" i="2"/>
  <c r="AT215" i="21398"/>
  <c r="AT23" i="21398"/>
  <c r="AQ252" i="21398"/>
  <c r="AQ372" i="21398"/>
  <c r="AT427" i="2"/>
  <c r="AT85" i="21398"/>
  <c r="AQ140" i="21398"/>
  <c r="AT435" i="2"/>
  <c r="AQ44" i="21398"/>
  <c r="AT119" i="21398"/>
  <c r="AQ358" i="2"/>
  <c r="AQ138" i="21398"/>
  <c r="AQ24" i="21398"/>
  <c r="AQ420" i="2"/>
  <c r="AQ150" i="21398"/>
  <c r="AQ254" i="21398"/>
  <c r="AT365" i="21398"/>
  <c r="AT421" i="2"/>
  <c r="AQ230" i="21398"/>
  <c r="AT281" i="2"/>
  <c r="AQ278" i="2"/>
  <c r="AQ134" i="21398"/>
  <c r="AT251" i="21398"/>
  <c r="AQ164" i="21398"/>
  <c r="AQ314" i="21398"/>
  <c r="AQ368" i="2"/>
  <c r="AQ71" i="3"/>
  <c r="AQ256" i="2"/>
  <c r="AT151" i="21398"/>
  <c r="AQ394" i="2"/>
  <c r="AT219" i="21398"/>
  <c r="AQ282" i="2"/>
  <c r="AQ228" i="21398"/>
  <c r="AT68" i="3"/>
  <c r="AT133" i="21398"/>
  <c r="AQ418" i="2"/>
  <c r="AT277" i="21398"/>
  <c r="AQ254" i="2"/>
  <c r="AQ88" i="21398"/>
  <c r="AT371" i="2"/>
  <c r="AT45" i="21398"/>
  <c r="AT331" i="2"/>
  <c r="AQ176" i="21398"/>
  <c r="AQ52" i="21398"/>
  <c r="AT303" i="21398"/>
  <c r="AQ316" i="21398"/>
  <c r="AT125" i="21398"/>
  <c r="AQ218" i="21398"/>
  <c r="AQ258" i="21398"/>
  <c r="AQ356" i="2"/>
  <c r="AQ69" i="3"/>
  <c r="AQ390" i="2"/>
  <c r="AT317" i="2"/>
  <c r="AQ256" i="21398"/>
  <c r="AQ120" i="21398"/>
  <c r="AT367" i="21398"/>
  <c r="AT329" i="21398"/>
  <c r="AQ67" i="3"/>
  <c r="AQ304" i="2"/>
  <c r="AQ124" i="21398"/>
  <c r="AQ42" i="21398"/>
  <c r="AT74" i="3"/>
  <c r="AQ234" i="21398"/>
  <c r="AT315" i="2"/>
  <c r="AQ388" i="21398"/>
  <c r="AQ346" i="21398"/>
  <c r="AQ114" i="21398"/>
  <c r="AQ30" i="21398"/>
  <c r="AT139" i="21398"/>
  <c r="AT87" i="21398"/>
  <c r="AQ65" i="3"/>
  <c r="AT331" i="21398"/>
  <c r="AQ430" i="2"/>
  <c r="AQ364" i="2"/>
  <c r="AQ168" i="21398"/>
  <c r="AT129" i="21398"/>
  <c r="AT339" i="2"/>
  <c r="AT165" i="21398"/>
  <c r="AT103" i="21398"/>
  <c r="AT207" i="21398"/>
  <c r="AT49" i="21398"/>
  <c r="AT127" i="21398"/>
  <c r="AQ178" i="21398"/>
  <c r="AT333" i="21398"/>
  <c r="AQ294" i="21398"/>
  <c r="AT121" i="21398"/>
  <c r="AQ48" i="21398"/>
  <c r="AQ79" i="3"/>
  <c r="AQ302" i="21398"/>
  <c r="AT167" i="21398"/>
  <c r="AQ226" i="21398"/>
  <c r="AQ318" i="21398"/>
  <c r="AQ224" i="21398"/>
  <c r="AT183" i="21398"/>
  <c r="AQ438" i="2"/>
  <c r="AT317" i="21398"/>
  <c r="AQ356" i="21398"/>
  <c r="AQ232" i="21398"/>
  <c r="AQ172" i="21398"/>
  <c r="AQ72" i="21398"/>
  <c r="AQ90" i="21398"/>
  <c r="AQ136" i="21398"/>
  <c r="AQ222" i="21398"/>
  <c r="AT161" i="21398"/>
  <c r="AT355" i="21398"/>
  <c r="AQ392" i="2"/>
  <c r="AQ118" i="21398"/>
  <c r="M27" i="21408" l="1"/>
  <c r="K55" i="21408"/>
  <c r="K65" i="21408"/>
  <c r="K44" i="21408"/>
  <c r="K28" i="21408"/>
  <c r="K77" i="21408"/>
  <c r="K6" i="21408"/>
  <c r="K58" i="21408"/>
  <c r="K67" i="21408"/>
  <c r="K69" i="21408"/>
  <c r="K154" i="21408"/>
  <c r="K83" i="21408"/>
  <c r="K5" i="21408"/>
  <c r="K57" i="21408"/>
  <c r="K12" i="21408"/>
  <c r="K11" i="21408"/>
  <c r="K56" i="21408"/>
  <c r="K46" i="21408"/>
  <c r="K15" i="21408"/>
  <c r="K17" i="21408"/>
  <c r="K79" i="21408"/>
  <c r="K31" i="21408"/>
  <c r="K52" i="21408"/>
  <c r="K48" i="21408"/>
  <c r="K27" i="21408"/>
  <c r="K66" i="21408"/>
  <c r="K75" i="21408"/>
  <c r="K45" i="21408"/>
  <c r="K54" i="21408"/>
  <c r="K16" i="21408"/>
  <c r="K68" i="21408"/>
  <c r="K53" i="21408"/>
  <c r="K74" i="21408"/>
  <c r="K51" i="21408"/>
  <c r="K153" i="21408"/>
  <c r="K14" i="21408"/>
  <c r="K24" i="21408"/>
  <c r="K26" i="21408"/>
  <c r="K82" i="21408"/>
  <c r="K64" i="21408"/>
  <c r="K63" i="21408"/>
  <c r="K23" i="21408"/>
  <c r="K151" i="21408"/>
  <c r="K25" i="21408"/>
  <c r="K60" i="21408"/>
  <c r="K152" i="21408"/>
  <c r="K81" i="21408"/>
  <c r="K72" i="21408"/>
  <c r="K62" i="21408"/>
  <c r="K71" i="21408"/>
  <c r="K73" i="21408"/>
  <c r="K50" i="21408"/>
  <c r="K7" i="21408"/>
  <c r="K8" i="21408"/>
  <c r="K59" i="21408"/>
  <c r="K61" i="21408"/>
  <c r="K70" i="21408"/>
  <c r="K30" i="21408"/>
  <c r="K76" i="21408"/>
  <c r="K10" i="21408"/>
  <c r="K19" i="21408"/>
  <c r="K22" i="21408"/>
  <c r="K78" i="21408"/>
  <c r="K13" i="21408"/>
  <c r="K80" i="21408"/>
  <c r="K21" i="21408"/>
  <c r="K9" i="21408"/>
  <c r="K18" i="21408"/>
  <c r="K47" i="21408"/>
  <c r="K49" i="21408"/>
  <c r="K29" i="21408"/>
  <c r="K4" i="21408"/>
  <c r="M153" i="21408"/>
  <c r="M15" i="21408"/>
  <c r="M10" i="21408"/>
  <c r="M5" i="21408"/>
  <c r="M49" i="21408"/>
  <c r="M65" i="21408"/>
  <c r="M76" i="21408"/>
  <c r="M73" i="21408"/>
  <c r="M30" i="21408"/>
  <c r="M78" i="21408"/>
  <c r="M29" i="21408"/>
  <c r="M63" i="21408"/>
  <c r="M9" i="21408"/>
  <c r="M19" i="21408"/>
  <c r="M8" i="21408"/>
  <c r="M61" i="21408"/>
  <c r="M44" i="21408"/>
  <c r="M13" i="21408"/>
  <c r="M46" i="21408"/>
  <c r="M80" i="21408"/>
  <c r="M77" i="21408"/>
  <c r="M62" i="21408"/>
  <c r="M24" i="21408"/>
  <c r="M67" i="21408"/>
  <c r="M31" i="21408"/>
  <c r="M51" i="21408"/>
  <c r="M64" i="21408"/>
  <c r="M83" i="21408"/>
  <c r="M52" i="21408"/>
  <c r="M12" i="21408"/>
  <c r="M16" i="21408"/>
  <c r="M22" i="21408"/>
  <c r="M71" i="21408"/>
  <c r="M152" i="21408"/>
  <c r="M60" i="21408"/>
  <c r="M23" i="21408"/>
  <c r="M50" i="21408"/>
  <c r="M48" i="21408"/>
  <c r="M21" i="21408"/>
  <c r="M66" i="21408"/>
  <c r="M28" i="21408"/>
  <c r="M81" i="21408"/>
  <c r="M4" i="21408"/>
  <c r="M18" i="21408"/>
  <c r="M154" i="21408"/>
  <c r="M69" i="21408"/>
  <c r="M56" i="21408"/>
  <c r="M59" i="21408"/>
  <c r="M68" i="21408"/>
  <c r="M45" i="21408"/>
  <c r="M75" i="21408"/>
  <c r="M11" i="21408"/>
  <c r="M57" i="21408"/>
  <c r="M151" i="21408"/>
  <c r="M6" i="21408"/>
  <c r="M82" i="21408"/>
  <c r="M53" i="21408"/>
  <c r="M25" i="21408"/>
  <c r="M26" i="21408"/>
  <c r="M79" i="21408"/>
  <c r="M17" i="21408"/>
  <c r="M70" i="21408"/>
  <c r="M14" i="21408"/>
  <c r="M58" i="21408"/>
  <c r="M54" i="21408"/>
  <c r="M7" i="21408"/>
  <c r="M55" i="21408"/>
  <c r="M72" i="21408"/>
  <c r="M74" i="21408"/>
  <c r="M47" i="21408"/>
  <c r="J37" i="21407"/>
  <c r="L22" i="21408"/>
  <c r="L69" i="21408"/>
  <c r="L60" i="21408"/>
  <c r="L23" i="21408"/>
  <c r="L70" i="21408"/>
  <c r="L8" i="21408"/>
  <c r="L11" i="21408"/>
  <c r="L59" i="21408"/>
  <c r="L21" i="21408"/>
  <c r="L17" i="21408"/>
  <c r="L65" i="21408"/>
  <c r="L154" i="21408"/>
  <c r="L18" i="21408"/>
  <c r="L66" i="21408"/>
  <c r="L80" i="21408"/>
  <c r="L7" i="21408"/>
  <c r="L55" i="21408"/>
  <c r="L12" i="21408"/>
  <c r="L151" i="21408"/>
  <c r="L13" i="21408"/>
  <c r="L61" i="21408"/>
  <c r="L46" i="21408"/>
  <c r="L14" i="21408"/>
  <c r="L62" i="21408"/>
  <c r="L72" i="21408"/>
  <c r="L83" i="21408"/>
  <c r="L51" i="21408"/>
  <c r="L64" i="21408"/>
  <c r="L27" i="21408"/>
  <c r="L9" i="21408"/>
  <c r="L57" i="21408"/>
  <c r="L29" i="21408"/>
  <c r="L10" i="21408"/>
  <c r="L58" i="21408"/>
  <c r="L48" i="21408"/>
  <c r="L79" i="21408"/>
  <c r="L47" i="21408"/>
  <c r="L56" i="21408"/>
  <c r="L74" i="21408"/>
  <c r="L5" i="21408"/>
  <c r="L53" i="21408"/>
  <c r="L16" i="21408"/>
  <c r="L6" i="21408"/>
  <c r="L54" i="21408"/>
  <c r="L28" i="21408"/>
  <c r="L75" i="21408"/>
  <c r="L76" i="21408"/>
  <c r="L153" i="21408"/>
  <c r="L15" i="21408"/>
  <c r="L81" i="21408"/>
  <c r="L49" i="21408"/>
  <c r="L4" i="21408"/>
  <c r="L82" i="21408"/>
  <c r="L50" i="21408"/>
  <c r="L24" i="21408"/>
  <c r="L71" i="21408"/>
  <c r="L52" i="21408"/>
  <c r="L73" i="21408"/>
  <c r="L152" i="21408"/>
  <c r="L30" i="21408"/>
  <c r="L77" i="21408"/>
  <c r="L45" i="21408"/>
  <c r="L31" i="21408"/>
  <c r="L78" i="21408"/>
  <c r="L25" i="21408"/>
  <c r="L19" i="21408"/>
  <c r="L67" i="21408"/>
  <c r="L44" i="21408"/>
  <c r="L26" i="21408"/>
  <c r="L63" i="21408"/>
  <c r="L68" i="21408"/>
  <c r="K37" i="21407"/>
  <c r="I37" i="21407"/>
  <c r="L191" i="21408"/>
  <c r="K191" i="21408"/>
  <c r="M191" i="21408"/>
  <c r="I34" i="21407"/>
  <c r="I35" i="21407"/>
  <c r="J35" i="21407"/>
  <c r="J34" i="21407"/>
  <c r="J32" i="21407"/>
  <c r="L189" i="21408"/>
  <c r="L190" i="21408"/>
  <c r="M189" i="21408"/>
  <c r="K32" i="21407"/>
  <c r="K35" i="21407"/>
  <c r="K34" i="21407"/>
  <c r="M190" i="21408"/>
  <c r="I32" i="21407"/>
  <c r="K189" i="21408"/>
  <c r="K190" i="21408"/>
  <c r="M140" i="21408"/>
  <c r="L140" i="21408"/>
  <c r="L139" i="21408"/>
  <c r="M139" i="21408"/>
  <c r="K139" i="21408"/>
  <c r="K140" i="21408"/>
  <c r="M123" i="21408"/>
  <c r="C243" i="21398"/>
  <c r="F241" i="21398"/>
  <c r="C243" i="2"/>
  <c r="F241" i="2"/>
  <c r="J24" i="21407"/>
  <c r="J15" i="21407"/>
  <c r="J10" i="21407"/>
  <c r="J16" i="21407"/>
  <c r="R10" i="21407"/>
  <c r="R5" i="21407"/>
  <c r="R8" i="21407"/>
  <c r="J4" i="21407"/>
  <c r="J8" i="21407"/>
  <c r="R6" i="21407"/>
  <c r="R9" i="21407"/>
  <c r="J5" i="21407"/>
  <c r="R4" i="21407"/>
  <c r="J9" i="21407"/>
  <c r="J12" i="21407"/>
  <c r="J6" i="21407"/>
  <c r="Q4" i="21407"/>
  <c r="I9" i="21407"/>
  <c r="I10" i="21407"/>
  <c r="I8" i="21407"/>
  <c r="I15" i="21407"/>
  <c r="I5" i="21407"/>
  <c r="Q5" i="21407"/>
  <c r="I16" i="21407"/>
  <c r="I12" i="21407"/>
  <c r="Q10" i="21407"/>
  <c r="Q8" i="21407"/>
  <c r="Q6" i="21407"/>
  <c r="I4" i="21407"/>
  <c r="I6" i="21407"/>
  <c r="Q9" i="21407"/>
  <c r="I24" i="21407"/>
  <c r="K16" i="21407"/>
  <c r="AT385" i="21398"/>
  <c r="AQ384" i="21398"/>
  <c r="J76" i="21408" l="1"/>
  <c r="J30" i="21408"/>
  <c r="J154" i="21408"/>
  <c r="J63" i="21408"/>
  <c r="J22" i="21408"/>
  <c r="J23" i="21408"/>
  <c r="J54" i="21408"/>
  <c r="J56" i="21408"/>
  <c r="J67" i="21408"/>
  <c r="J25" i="21408"/>
  <c r="J46" i="21408"/>
  <c r="J49" i="21408"/>
  <c r="J62" i="21408"/>
  <c r="J7" i="21408"/>
  <c r="J15" i="21408"/>
  <c r="J82" i="21408"/>
  <c r="J4" i="21408"/>
  <c r="J61" i="21408"/>
  <c r="J28" i="21408"/>
  <c r="J44" i="21408"/>
  <c r="J77" i="21408"/>
  <c r="J10" i="21408"/>
  <c r="J64" i="21408"/>
  <c r="J69" i="21408"/>
  <c r="J51" i="21408"/>
  <c r="J75" i="21408"/>
  <c r="J9" i="21408"/>
  <c r="J70" i="21408"/>
  <c r="J72" i="21408"/>
  <c r="J57" i="21408"/>
  <c r="J19" i="21408"/>
  <c r="J12" i="21408"/>
  <c r="J17" i="21408"/>
  <c r="J31" i="21408"/>
  <c r="J50" i="21408"/>
  <c r="J71" i="21408"/>
  <c r="J27" i="21408"/>
  <c r="J18" i="21408"/>
  <c r="J21" i="21408"/>
  <c r="J26" i="21408"/>
  <c r="J45" i="21408"/>
  <c r="J151" i="21408"/>
  <c r="J47" i="21408"/>
  <c r="J79" i="21408"/>
  <c r="J74" i="21408"/>
  <c r="J52" i="21408"/>
  <c r="J152" i="21408"/>
  <c r="J11" i="21408"/>
  <c r="J24" i="21408"/>
  <c r="J29" i="21408"/>
  <c r="J58" i="21408"/>
  <c r="J60" i="21408"/>
  <c r="J65" i="21408"/>
  <c r="J48" i="21408"/>
  <c r="J80" i="21408"/>
  <c r="J53" i="21408"/>
  <c r="J66" i="21408"/>
  <c r="J68" i="21408"/>
  <c r="J55" i="21408"/>
  <c r="J6" i="21408"/>
  <c r="J8" i="21408"/>
  <c r="J13" i="21408"/>
  <c r="J78" i="21408"/>
  <c r="J5" i="21408"/>
  <c r="J81" i="21408"/>
  <c r="J14" i="21408"/>
  <c r="J16" i="21408"/>
  <c r="J73" i="21408"/>
  <c r="J59" i="21408"/>
  <c r="J83" i="21408"/>
  <c r="J153" i="21408"/>
  <c r="H37" i="21407"/>
  <c r="J191" i="21408"/>
  <c r="H34" i="21407"/>
  <c r="H35" i="21407"/>
  <c r="J190" i="21408"/>
  <c r="H32" i="21407"/>
  <c r="J189" i="21408"/>
  <c r="J139" i="21408"/>
  <c r="J140" i="21408"/>
  <c r="C245" i="21398"/>
  <c r="F243" i="21398"/>
  <c r="F243" i="2"/>
  <c r="C245" i="2"/>
  <c r="K24" i="21407"/>
  <c r="K5" i="21407"/>
  <c r="S9" i="21407"/>
  <c r="K15" i="21407"/>
  <c r="S5" i="21407"/>
  <c r="K9" i="21407"/>
  <c r="S4" i="21407"/>
  <c r="K4" i="21407"/>
  <c r="S8" i="21407"/>
  <c r="K10" i="21407"/>
  <c r="K8" i="21407"/>
  <c r="K12" i="21407"/>
  <c r="S10" i="21407"/>
  <c r="K6" i="21407"/>
  <c r="S6" i="21407"/>
  <c r="AQ534" i="21398"/>
  <c r="F245" i="21398" l="1"/>
  <c r="J244" i="21398"/>
  <c r="C247" i="21398"/>
  <c r="J244" i="2"/>
  <c r="F245" i="2"/>
  <c r="C247" i="2"/>
  <c r="BM36" i="21398"/>
  <c r="C249" i="21398" l="1"/>
  <c r="F247" i="21398"/>
  <c r="C249" i="2"/>
  <c r="F247" i="2"/>
  <c r="BM10" i="21398"/>
  <c r="BM5" i="21398"/>
  <c r="BM4" i="21398"/>
  <c r="BM15" i="21398"/>
  <c r="BM14" i="21398"/>
  <c r="BM32" i="21398"/>
  <c r="BM31" i="21398"/>
  <c r="BM30" i="21398"/>
  <c r="BM29" i="21398"/>
  <c r="BM28" i="21398"/>
  <c r="BM27" i="21398"/>
  <c r="BM26" i="21398"/>
  <c r="BM25" i="21398"/>
  <c r="BM24" i="21398"/>
  <c r="AQ556" i="21398"/>
  <c r="C251" i="21398" l="1"/>
  <c r="C253" i="21398" s="1"/>
  <c r="C255" i="21398" s="1"/>
  <c r="C257" i="21398" s="1"/>
  <c r="J249" i="21398"/>
  <c r="F249" i="21398"/>
  <c r="F249" i="2"/>
  <c r="C251" i="2"/>
  <c r="C253" i="2" s="1"/>
  <c r="C255" i="2" s="1"/>
  <c r="C257" i="2" s="1"/>
  <c r="C259" i="2" s="1"/>
  <c r="C261" i="2" s="1"/>
  <c r="J249" i="2"/>
  <c r="BQ13" i="2"/>
  <c r="BQ14" i="2"/>
  <c r="BQ15" i="2"/>
  <c r="BQ16" i="2"/>
  <c r="BQ17" i="2"/>
  <c r="BQ18" i="2"/>
  <c r="BQ19" i="2"/>
  <c r="BQ20" i="2"/>
  <c r="BQ21" i="2"/>
  <c r="BQ22" i="2"/>
  <c r="BQ23" i="2"/>
  <c r="BQ24" i="2"/>
  <c r="BQ25" i="2"/>
  <c r="BQ26" i="2"/>
  <c r="BQ27" i="2"/>
  <c r="BQ28" i="2"/>
  <c r="BQ29" i="2"/>
  <c r="BQ30" i="2"/>
  <c r="BQ31" i="2"/>
  <c r="BQ32" i="2"/>
  <c r="BQ33" i="2"/>
  <c r="BQ34" i="2"/>
  <c r="BQ35" i="2"/>
  <c r="BQ36" i="2"/>
  <c r="BQ37" i="2"/>
  <c r="BQ38" i="2"/>
  <c r="BQ12" i="2"/>
  <c r="AQ448" i="2"/>
  <c r="AT447" i="21398"/>
  <c r="AQ442" i="2"/>
  <c r="AT441" i="2"/>
  <c r="AT445" i="21398"/>
  <c r="AQ444" i="2"/>
  <c r="AT443" i="2"/>
  <c r="AT447" i="2"/>
  <c r="AT449" i="21398"/>
  <c r="AQ546" i="21398"/>
  <c r="AT445" i="2"/>
  <c r="AT449" i="2"/>
  <c r="AQ446" i="2"/>
  <c r="AT249" i="2"/>
  <c r="AQ440" i="2"/>
  <c r="AT443" i="21398"/>
  <c r="C259" i="21398" l="1"/>
  <c r="C261" i="21398" s="1"/>
  <c r="C263" i="21398" s="1"/>
  <c r="C265" i="21398" s="1"/>
  <c r="C263" i="2"/>
  <c r="J260" i="2"/>
  <c r="C267" i="21398" l="1"/>
  <c r="C269" i="21398" s="1"/>
  <c r="J264" i="21398"/>
  <c r="J264" i="2"/>
  <c r="C265" i="2"/>
  <c r="C271" i="21398" l="1"/>
  <c r="C273" i="21398" s="1"/>
  <c r="C275" i="21398" s="1"/>
  <c r="C277" i="21398" s="1"/>
  <c r="C267" i="2"/>
  <c r="J265" i="2"/>
  <c r="BM32" i="21399"/>
  <c r="BM27" i="21399"/>
  <c r="BM26" i="21399"/>
  <c r="BM25" i="21399"/>
  <c r="BM24" i="21399"/>
  <c r="BM23" i="21399"/>
  <c r="BM22" i="21399"/>
  <c r="BM21" i="21399"/>
  <c r="BM18" i="21399"/>
  <c r="BM17" i="21399"/>
  <c r="BM16" i="21399"/>
  <c r="BM15" i="21399"/>
  <c r="BM14" i="21399"/>
  <c r="BM13" i="21399"/>
  <c r="BM6" i="21399"/>
  <c r="BM5" i="21399"/>
  <c r="BM4" i="21399"/>
  <c r="BM36" i="21400"/>
  <c r="BM31" i="21400"/>
  <c r="BM30" i="21400"/>
  <c r="BM29" i="21400"/>
  <c r="BM28" i="21400"/>
  <c r="BM27" i="21400"/>
  <c r="BM26" i="21400"/>
  <c r="BM25" i="21400"/>
  <c r="BM24" i="21400"/>
  <c r="BM22" i="21400"/>
  <c r="BM19" i="21400"/>
  <c r="BM18" i="21400"/>
  <c r="BM17" i="21400"/>
  <c r="BM16" i="21400"/>
  <c r="BM15" i="21400"/>
  <c r="BM14" i="21400"/>
  <c r="BM7" i="21400"/>
  <c r="BM6" i="21400"/>
  <c r="BM5" i="21400"/>
  <c r="BM4" i="21400"/>
  <c r="BM30" i="108"/>
  <c r="BM25" i="108"/>
  <c r="BM24" i="108"/>
  <c r="BM23" i="108"/>
  <c r="BM14" i="108"/>
  <c r="BM13" i="108"/>
  <c r="BM12" i="108"/>
  <c r="BM11" i="108"/>
  <c r="BM10" i="108"/>
  <c r="BM9" i="108"/>
  <c r="BM5" i="108"/>
  <c r="BM4" i="108"/>
  <c r="BM28" i="3"/>
  <c r="BM23" i="3"/>
  <c r="BM22" i="3"/>
  <c r="BM21" i="3"/>
  <c r="BM20" i="3"/>
  <c r="BM19" i="3"/>
  <c r="BM18" i="3"/>
  <c r="BM17" i="3"/>
  <c r="BM16" i="3"/>
  <c r="BM14" i="3"/>
  <c r="BM11" i="3"/>
  <c r="BM10" i="3"/>
  <c r="BM5" i="3"/>
  <c r="BM4" i="3"/>
  <c r="BM22" i="21398"/>
  <c r="BM19" i="21398"/>
  <c r="BM18" i="21398"/>
  <c r="BM17" i="21398"/>
  <c r="BM16" i="21398"/>
  <c r="BM7" i="21398"/>
  <c r="BM6" i="21398"/>
  <c r="J278" i="21398" l="1"/>
  <c r="C279" i="21398"/>
  <c r="C281" i="21398" s="1"/>
  <c r="C269" i="2"/>
  <c r="C271" i="2" s="1"/>
  <c r="J268" i="2"/>
  <c r="BM6" i="3"/>
  <c r="BM9" i="3"/>
  <c r="BM6" i="108"/>
  <c r="K197" i="21408" s="1"/>
  <c r="BM8" i="21398"/>
  <c r="BM25" i="3"/>
  <c r="BM19" i="21399"/>
  <c r="BM20" i="21398"/>
  <c r="BM12" i="3"/>
  <c r="BM27" i="108"/>
  <c r="BM15" i="108"/>
  <c r="BM8" i="21400"/>
  <c r="BM33" i="21400"/>
  <c r="BM33" i="21398"/>
  <c r="BM20" i="21400"/>
  <c r="BM7" i="21399"/>
  <c r="BM29" i="21399"/>
  <c r="BM12" i="21399"/>
  <c r="BM13" i="21400"/>
  <c r="BM13" i="21398"/>
  <c r="Y15" i="21401"/>
  <c r="C283" i="21398" l="1"/>
  <c r="J280" i="21398"/>
  <c r="I215" i="21408"/>
  <c r="I197" i="21408"/>
  <c r="J197" i="21408"/>
  <c r="M197" i="21408"/>
  <c r="BM10" i="21400"/>
  <c r="L197" i="21408"/>
  <c r="C273" i="2"/>
  <c r="O29" i="21401"/>
  <c r="J29" i="21401"/>
  <c r="L29" i="21401" s="1"/>
  <c r="M29" i="21401" s="1"/>
  <c r="O28" i="21401"/>
  <c r="J28" i="21401"/>
  <c r="L28" i="21401" s="1"/>
  <c r="M28" i="21401" s="1"/>
  <c r="O27" i="21401"/>
  <c r="J27" i="21401"/>
  <c r="L27" i="21401" s="1"/>
  <c r="M27" i="21401" s="1"/>
  <c r="O26" i="21401"/>
  <c r="J26" i="21401"/>
  <c r="L26" i="21401" s="1"/>
  <c r="M26" i="21401" s="1"/>
  <c r="O25" i="21401"/>
  <c r="J25" i="21401"/>
  <c r="L25" i="21401" s="1"/>
  <c r="M25" i="21401" s="1"/>
  <c r="O24" i="21401"/>
  <c r="J24" i="21401"/>
  <c r="L24" i="21401" s="1"/>
  <c r="M24" i="21401" s="1"/>
  <c r="O23" i="21401"/>
  <c r="J23" i="21401"/>
  <c r="L23" i="21401" s="1"/>
  <c r="M23" i="21401" s="1"/>
  <c r="O22" i="21401"/>
  <c r="J22" i="21401"/>
  <c r="L22" i="21401" s="1"/>
  <c r="M22" i="21401" s="1"/>
  <c r="O21" i="21401"/>
  <c r="J21" i="21401"/>
  <c r="L21" i="21401" s="1"/>
  <c r="M21" i="21401" s="1"/>
  <c r="O20" i="21401"/>
  <c r="J20" i="21401"/>
  <c r="L20" i="21401" s="1"/>
  <c r="M20" i="21401" s="1"/>
  <c r="O19" i="21401"/>
  <c r="J19" i="21401"/>
  <c r="L19" i="21401" s="1"/>
  <c r="M19" i="21401" s="1"/>
  <c r="O18" i="21401"/>
  <c r="J18" i="21401"/>
  <c r="L18" i="21401" s="1"/>
  <c r="M18" i="21401" s="1"/>
  <c r="O17" i="21401"/>
  <c r="J17" i="21401"/>
  <c r="L17" i="21401" s="1"/>
  <c r="M17" i="21401" s="1"/>
  <c r="O16" i="21401"/>
  <c r="J16" i="21401"/>
  <c r="L16" i="21401" s="1"/>
  <c r="M16" i="21401" s="1"/>
  <c r="J54" i="21401"/>
  <c r="E54" i="21401"/>
  <c r="O53" i="21401"/>
  <c r="J53" i="21401"/>
  <c r="E53" i="21401"/>
  <c r="J52" i="21401"/>
  <c r="E52" i="21401"/>
  <c r="O51" i="21401"/>
  <c r="J51" i="21401"/>
  <c r="E51" i="21401"/>
  <c r="J50" i="21401"/>
  <c r="E50" i="21401"/>
  <c r="O49" i="21401"/>
  <c r="J49" i="21401"/>
  <c r="E49" i="21401"/>
  <c r="J48" i="21401"/>
  <c r="E48" i="21401"/>
  <c r="O47" i="21401"/>
  <c r="J47" i="21401"/>
  <c r="E47" i="21401"/>
  <c r="J46" i="21401"/>
  <c r="E46" i="21401"/>
  <c r="O45" i="21401"/>
  <c r="J45" i="21401"/>
  <c r="E45" i="21401"/>
  <c r="J44" i="21401"/>
  <c r="E44" i="21401"/>
  <c r="O43" i="21401"/>
  <c r="J43" i="21401"/>
  <c r="E43" i="21401"/>
  <c r="C33" i="21397"/>
  <c r="C8" i="21397"/>
  <c r="C7" i="21397"/>
  <c r="C32" i="21397"/>
  <c r="C5" i="21397"/>
  <c r="C285" i="21398" l="1"/>
  <c r="C287" i="21398" s="1"/>
  <c r="C289" i="21398" s="1"/>
  <c r="C291" i="21398" s="1"/>
  <c r="J284" i="21398"/>
  <c r="H274" i="21408"/>
  <c r="C275" i="2"/>
  <c r="J273" i="2"/>
  <c r="L45" i="21401"/>
  <c r="M45" i="21401" s="1"/>
  <c r="L51" i="21401"/>
  <c r="M51" i="21401" s="1"/>
  <c r="L43" i="21401"/>
  <c r="M43" i="21401" s="1"/>
  <c r="L47" i="21401"/>
  <c r="M47" i="21401" s="1"/>
  <c r="L53" i="21401"/>
  <c r="M53" i="21401" s="1"/>
  <c r="L49" i="21401"/>
  <c r="M49" i="21401" s="1"/>
  <c r="C10" i="21397"/>
  <c r="C293" i="21398" l="1"/>
  <c r="C295" i="21398" s="1"/>
  <c r="C299" i="21398" s="1"/>
  <c r="J290" i="21398"/>
  <c r="C277" i="2"/>
  <c r="C279" i="2" s="1"/>
  <c r="J280" i="2" s="1"/>
  <c r="C301" i="21398" l="1"/>
  <c r="C303" i="21398" s="1"/>
  <c r="C305" i="21398" s="1"/>
  <c r="C307" i="21398" s="1"/>
  <c r="C309" i="21398" s="1"/>
  <c r="C281" i="2"/>
  <c r="C283" i="2" s="1"/>
  <c r="J284" i="2" s="1"/>
  <c r="J276" i="2"/>
  <c r="F307" i="21398" l="1"/>
  <c r="C285" i="2"/>
  <c r="C287" i="2" s="1"/>
  <c r="C289" i="2" s="1"/>
  <c r="C291" i="2" s="1"/>
  <c r="C293" i="2" s="1"/>
  <c r="J282" i="2"/>
  <c r="F309" i="21398"/>
  <c r="C311" i="21398"/>
  <c r="J290" i="2" l="1"/>
  <c r="C313" i="21398"/>
  <c r="C315" i="21398" s="1"/>
  <c r="C317" i="21398" s="1"/>
  <c r="J312" i="21398"/>
  <c r="F311" i="21398"/>
  <c r="C295" i="2"/>
  <c r="C299" i="2" s="1"/>
  <c r="H197" i="21408" l="1"/>
  <c r="H215" i="21408"/>
  <c r="J316" i="21398"/>
  <c r="C319" i="21398"/>
  <c r="C321" i="21398" s="1"/>
  <c r="C301" i="2"/>
  <c r="C303" i="2" s="1"/>
  <c r="C305" i="2" s="1"/>
  <c r="C307" i="2" s="1"/>
  <c r="C323" i="21398" l="1"/>
  <c r="F321" i="21398"/>
  <c r="F307" i="2"/>
  <c r="C309" i="2"/>
  <c r="AT694" i="2"/>
  <c r="AT676" i="2"/>
  <c r="AT788" i="21398"/>
  <c r="AT583" i="2"/>
  <c r="AQ580" i="2"/>
  <c r="AQ791" i="2"/>
  <c r="AT696" i="21398"/>
  <c r="AQ749" i="2"/>
  <c r="AQ747" i="2"/>
  <c r="AT714" i="21398"/>
  <c r="AQ584" i="2"/>
  <c r="AT794" i="2"/>
  <c r="AQ721" i="2"/>
  <c r="AQ735" i="21398"/>
  <c r="AT742" i="2"/>
  <c r="AQ681" i="21398"/>
  <c r="AQ769" i="2"/>
  <c r="AT712" i="21398"/>
  <c r="AT595" i="2"/>
  <c r="AQ683" i="2"/>
  <c r="AQ745" i="2"/>
  <c r="AT766" i="21398"/>
  <c r="AT728" i="21398"/>
  <c r="AT750" i="21398"/>
  <c r="AT684" i="2"/>
  <c r="AQ793" i="2"/>
  <c r="AQ36" i="21398"/>
  <c r="AQ697" i="21398"/>
  <c r="AQ721" i="21398"/>
  <c r="AT575" i="21398"/>
  <c r="AQ697" i="2"/>
  <c r="AQ685" i="2"/>
  <c r="AQ739" i="2"/>
  <c r="AQ725" i="2"/>
  <c r="AQ538" i="21398"/>
  <c r="AQ683" i="21398"/>
  <c r="AT623" i="2"/>
  <c r="AQ797" i="21398"/>
  <c r="AT696" i="2"/>
  <c r="AT718" i="2"/>
  <c r="AT762" i="2"/>
  <c r="AT772" i="2"/>
  <c r="AQ667" i="21398"/>
  <c r="AQ685" i="21398"/>
  <c r="AT668" i="21398"/>
  <c r="AQ705" i="2"/>
  <c r="AT716" i="21398"/>
  <c r="AQ735" i="2"/>
  <c r="AQ751" i="21398"/>
  <c r="AT690" i="21398"/>
  <c r="AQ566" i="21398"/>
  <c r="AT784" i="21398"/>
  <c r="AT684" i="21398"/>
  <c r="AT720" i="2"/>
  <c r="AT786" i="21398"/>
  <c r="AT782" i="21398"/>
  <c r="AT768" i="2"/>
  <c r="AQ811" i="21398"/>
  <c r="AT732" i="21398"/>
  <c r="AQ767" i="21398"/>
  <c r="AQ600" i="2"/>
  <c r="AT788" i="2"/>
  <c r="AT738" i="21398"/>
  <c r="AT688" i="2"/>
  <c r="AT601" i="2"/>
  <c r="AT724" i="21398"/>
  <c r="AQ731" i="2"/>
  <c r="AT768" i="21398"/>
  <c r="AQ665" i="21398"/>
  <c r="AQ679" i="2"/>
  <c r="AQ570" i="21398"/>
  <c r="AQ795" i="2"/>
  <c r="AT641" i="2"/>
  <c r="AQ703" i="2"/>
  <c r="AT680" i="2"/>
  <c r="AQ691" i="21398"/>
  <c r="AQ562" i="2"/>
  <c r="AT756" i="21398"/>
  <c r="AQ773" i="21398"/>
  <c r="AT658" i="2"/>
  <c r="AT692" i="2"/>
  <c r="AQ566" i="2"/>
  <c r="AQ707" i="2"/>
  <c r="AT748" i="2"/>
  <c r="AT736" i="21398"/>
  <c r="AT633" i="2"/>
  <c r="AQ779" i="21398"/>
  <c r="AQ703" i="21398"/>
  <c r="AQ689" i="21398"/>
  <c r="AT670" i="21398"/>
  <c r="AQ715" i="2"/>
  <c r="AQ536" i="21398"/>
  <c r="AQ733" i="2"/>
  <c r="AT716" i="2"/>
  <c r="AT603" i="2"/>
  <c r="AQ759" i="21398"/>
  <c r="AQ763" i="2"/>
  <c r="AT666" i="2"/>
  <c r="AQ667" i="2"/>
  <c r="AT686" i="21398"/>
  <c r="AT533" i="2"/>
  <c r="AQ719" i="2"/>
  <c r="AT621" i="2"/>
  <c r="AT688" i="21398"/>
  <c r="AQ771" i="21398"/>
  <c r="AT662" i="21398"/>
  <c r="AT557" i="21398"/>
  <c r="AQ779" i="2"/>
  <c r="AT706" i="21398"/>
  <c r="AQ693" i="2"/>
  <c r="AQ791" i="21398"/>
  <c r="AT672" i="21398"/>
  <c r="AT820" i="21398"/>
  <c r="AT744" i="21398"/>
  <c r="AT555" i="21398"/>
  <c r="AQ695" i="21398"/>
  <c r="AQ785" i="2"/>
  <c r="AQ727" i="2"/>
  <c r="AT720" i="21398"/>
  <c r="AT631" i="2"/>
  <c r="AT613" i="2"/>
  <c r="AT774" i="21398"/>
  <c r="AQ687" i="2"/>
  <c r="AT726" i="2"/>
  <c r="AQ673" i="2"/>
  <c r="AQ558" i="21398"/>
  <c r="AT537" i="21398"/>
  <c r="AT666" i="21398"/>
  <c r="AQ576" i="21398"/>
  <c r="AQ743" i="2"/>
  <c r="AQ709" i="21398"/>
  <c r="AT770" i="21398"/>
  <c r="AT561" i="21398"/>
  <c r="AT724" i="2"/>
  <c r="AQ793" i="21398"/>
  <c r="AT682" i="21398"/>
  <c r="AT609" i="2"/>
  <c r="AT567" i="21398"/>
  <c r="AQ715" i="21398"/>
  <c r="AT581" i="2"/>
  <c r="AT776" i="2"/>
  <c r="AT752" i="21398"/>
  <c r="AQ729" i="2"/>
  <c r="AT662" i="2"/>
  <c r="AQ755" i="21398"/>
  <c r="AT615" i="2"/>
  <c r="AT700" i="2"/>
  <c r="AT680" i="21398"/>
  <c r="AQ691" i="2"/>
  <c r="AT698" i="2"/>
  <c r="AQ767" i="2"/>
  <c r="AT605" i="2"/>
  <c r="AQ677" i="21398"/>
  <c r="AT678" i="2"/>
  <c r="AQ594" i="2"/>
  <c r="AQ681" i="2"/>
  <c r="AQ661" i="21398"/>
  <c r="AQ689" i="2"/>
  <c r="AT653" i="2"/>
  <c r="AT760" i="21398"/>
  <c r="AQ761" i="21398"/>
  <c r="AQ723" i="2"/>
  <c r="AT704" i="21398"/>
  <c r="AT635" i="2"/>
  <c r="AQ679" i="21398"/>
  <c r="AT790" i="21398"/>
  <c r="AQ729" i="21398"/>
  <c r="AQ687" i="21398"/>
  <c r="AT744" i="2"/>
  <c r="AT772" i="21398"/>
  <c r="AQ785" i="21398"/>
  <c r="AT535" i="21398"/>
  <c r="AT625" i="2"/>
  <c r="AT764" i="2"/>
  <c r="AQ671" i="21398"/>
  <c r="AT656" i="2"/>
  <c r="AQ777" i="21398"/>
  <c r="AQ751" i="2"/>
  <c r="AT728" i="2"/>
  <c r="AT686" i="2"/>
  <c r="AT702" i="21398"/>
  <c r="AT748" i="21398"/>
  <c r="AQ582" i="2"/>
  <c r="AT736" i="2"/>
  <c r="AT710" i="21398"/>
  <c r="AQ596" i="2"/>
  <c r="AQ675" i="21398"/>
  <c r="AQ699" i="21398"/>
  <c r="AT732" i="2"/>
  <c r="AT668" i="2"/>
  <c r="AT698" i="21398"/>
  <c r="AT742" i="21398"/>
  <c r="AT607" i="2"/>
  <c r="AT593" i="2"/>
  <c r="AQ669" i="2"/>
  <c r="AQ711" i="21398"/>
  <c r="AT746" i="2"/>
  <c r="AT676" i="21398"/>
  <c r="AT535" i="2"/>
  <c r="AQ739" i="21398"/>
  <c r="AQ701" i="21398"/>
  <c r="AT726" i="21398"/>
  <c r="AT643" i="2"/>
  <c r="AQ741" i="2"/>
  <c r="AT692" i="21398"/>
  <c r="AT539" i="21398"/>
  <c r="AT764" i="21398"/>
  <c r="AT597" i="2"/>
  <c r="AQ723" i="21398"/>
  <c r="AT786" i="2"/>
  <c r="AQ713" i="21398"/>
  <c r="AQ598" i="2"/>
  <c r="AT708" i="2"/>
  <c r="AT670" i="2"/>
  <c r="AT585" i="2"/>
  <c r="AQ592" i="2"/>
  <c r="AQ707" i="21398"/>
  <c r="AT690" i="2"/>
  <c r="AQ747" i="21398"/>
  <c r="AQ787" i="2"/>
  <c r="AT637" i="2"/>
  <c r="AT702" i="2"/>
  <c r="AT672" i="2"/>
  <c r="AT664" i="2"/>
  <c r="AT770" i="2"/>
  <c r="AQ743" i="21398"/>
  <c r="AQ763" i="21398"/>
  <c r="AQ560" i="21398"/>
  <c r="AT674" i="21398"/>
  <c r="AT577" i="2"/>
  <c r="AQ741" i="21398"/>
  <c r="AQ781" i="21398"/>
  <c r="AQ673" i="21398"/>
  <c r="AT730" i="21398"/>
  <c r="AQ783" i="21398"/>
  <c r="AQ749" i="21398"/>
  <c r="AT778" i="2"/>
  <c r="AT639" i="2"/>
  <c r="AQ717" i="2"/>
  <c r="AT65" i="21398"/>
  <c r="AT708" i="21398"/>
  <c r="AT682" i="2"/>
  <c r="AT722" i="21398"/>
  <c r="AT734" i="21398"/>
  <c r="AT706" i="2"/>
  <c r="AT694" i="21398"/>
  <c r="AQ771" i="2"/>
  <c r="AQ663" i="21398"/>
  <c r="AT790" i="2"/>
  <c r="AT762" i="21398"/>
  <c r="AT740" i="2"/>
  <c r="AT730" i="2"/>
  <c r="AQ745" i="21398"/>
  <c r="AT780" i="21398"/>
  <c r="AQ787" i="21398"/>
  <c r="AT557" i="2"/>
  <c r="AQ777" i="2"/>
  <c r="AT778" i="21398"/>
  <c r="AQ737" i="21398"/>
  <c r="AQ783" i="2"/>
  <c r="AQ725" i="21398"/>
  <c r="AQ717" i="21398"/>
  <c r="AQ731" i="21398"/>
  <c r="AT619" i="2"/>
  <c r="AT700" i="21398"/>
  <c r="AT776" i="21398"/>
  <c r="AQ727" i="21398"/>
  <c r="AT559" i="21398"/>
  <c r="AT784" i="2"/>
  <c r="AQ572" i="2"/>
  <c r="AT39" i="21398"/>
  <c r="AT678" i="21398"/>
  <c r="AQ38" i="21398"/>
  <c r="AQ775" i="2"/>
  <c r="AT37" i="21398"/>
  <c r="AT794" i="21398"/>
  <c r="AT718" i="21398"/>
  <c r="AT664" i="21398"/>
  <c r="AQ677" i="2"/>
  <c r="AT792" i="21398"/>
  <c r="AT660" i="2"/>
  <c r="AQ657" i="2"/>
  <c r="AT750" i="2"/>
  <c r="AT782" i="2"/>
  <c r="AQ737" i="2"/>
  <c r="AT599" i="2"/>
  <c r="AQ699" i="2"/>
  <c r="AT746" i="21398"/>
  <c r="AQ733" i="21398"/>
  <c r="AQ789" i="2"/>
  <c r="AT704" i="2"/>
  <c r="AT798" i="2"/>
  <c r="AQ693" i="21398"/>
  <c r="AQ781" i="2"/>
  <c r="AT734" i="2"/>
  <c r="AQ761" i="2"/>
  <c r="AT611" i="2"/>
  <c r="AQ701" i="2"/>
  <c r="AQ765" i="2"/>
  <c r="AT571" i="21398"/>
  <c r="AQ675" i="2"/>
  <c r="AQ775" i="21398"/>
  <c r="AQ695" i="2"/>
  <c r="AT780" i="2"/>
  <c r="AT533" i="21398"/>
  <c r="AT577" i="21398"/>
  <c r="AQ797" i="2"/>
  <c r="AT766" i="2"/>
  <c r="AT752" i="2"/>
  <c r="AT547" i="21398"/>
  <c r="AQ803" i="2"/>
  <c r="AT792" i="2"/>
  <c r="AQ669" i="21398"/>
  <c r="AT567" i="2"/>
  <c r="AQ773" i="2"/>
  <c r="AQ769" i="21398"/>
  <c r="AT674" i="2"/>
  <c r="AT617" i="2"/>
  <c r="AT738" i="2"/>
  <c r="AQ705" i="21398"/>
  <c r="AQ671" i="2"/>
  <c r="AT774" i="2"/>
  <c r="AQ789" i="21398"/>
  <c r="AT722" i="2"/>
  <c r="C325" i="21398" l="1"/>
  <c r="F323" i="21398"/>
  <c r="F309" i="2"/>
  <c r="C311" i="2"/>
  <c r="AQ819" i="21398"/>
  <c r="AQ765" i="21398"/>
  <c r="AT710" i="2"/>
  <c r="C327" i="21398" l="1"/>
  <c r="F325" i="21398"/>
  <c r="C313" i="2"/>
  <c r="C315" i="2" s="1"/>
  <c r="C317" i="2" s="1"/>
  <c r="J312" i="2"/>
  <c r="F311" i="2"/>
  <c r="AQ753" i="21398"/>
  <c r="AQ709" i="2"/>
  <c r="AT712" i="2"/>
  <c r="AT754" i="21398"/>
  <c r="C329" i="21398" l="1"/>
  <c r="C331" i="21398" s="1"/>
  <c r="C333" i="21398" s="1"/>
  <c r="C335" i="21398" s="1"/>
  <c r="C337" i="21398" s="1"/>
  <c r="C339" i="21398" s="1"/>
  <c r="C341" i="21398" s="1"/>
  <c r="C343" i="21398" s="1"/>
  <c r="C345" i="21398" s="1"/>
  <c r="F327" i="21398"/>
  <c r="C319" i="2"/>
  <c r="J316" i="2"/>
  <c r="AQ711" i="2"/>
  <c r="AQ757" i="21398"/>
  <c r="AQ713" i="2"/>
  <c r="AT758" i="21398"/>
  <c r="C347" i="21398" l="1"/>
  <c r="C349" i="21398" s="1"/>
  <c r="C351" i="21398" s="1"/>
  <c r="J344" i="21398"/>
  <c r="C321" i="2"/>
  <c r="F319" i="2"/>
  <c r="AT714" i="2"/>
  <c r="C353" i="21398" l="1"/>
  <c r="F351" i="21398"/>
  <c r="J352" i="21398"/>
  <c r="C323" i="2"/>
  <c r="F321" i="2"/>
  <c r="C355" i="21398" l="1"/>
  <c r="C357" i="21398" s="1"/>
  <c r="C359" i="21398" s="1"/>
  <c r="F353" i="21398"/>
  <c r="F323" i="2"/>
  <c r="C325" i="2"/>
  <c r="J358" i="21398" l="1"/>
  <c r="C361" i="21398"/>
  <c r="C363" i="21398" s="1"/>
  <c r="C327" i="2"/>
  <c r="F325" i="2"/>
  <c r="AT57" i="21398"/>
  <c r="C365" i="21398" l="1"/>
  <c r="C367" i="21398" s="1"/>
  <c r="C369" i="21398" s="1"/>
  <c r="C371" i="21398" s="1"/>
  <c r="J364" i="21398"/>
  <c r="C329" i="2"/>
  <c r="C331" i="2" s="1"/>
  <c r="C333" i="2" s="1"/>
  <c r="C335" i="2" s="1"/>
  <c r="C337" i="2" s="1"/>
  <c r="C339" i="2" s="1"/>
  <c r="C341" i="2" s="1"/>
  <c r="C343" i="2" s="1"/>
  <c r="C345" i="2" s="1"/>
  <c r="F327" i="2"/>
  <c r="AT59" i="21398"/>
  <c r="AQ56" i="21398"/>
  <c r="J370" i="21398" l="1"/>
  <c r="C373" i="21398"/>
  <c r="C375" i="21398" s="1"/>
  <c r="J344" i="2"/>
  <c r="C347" i="2"/>
  <c r="C349" i="2" s="1"/>
  <c r="C351" i="2" s="1"/>
  <c r="AQ58" i="21398"/>
  <c r="AT754" i="2"/>
  <c r="C377" i="21398" l="1"/>
  <c r="F375" i="21398"/>
  <c r="C353" i="2"/>
  <c r="J352" i="2"/>
  <c r="F351" i="2"/>
  <c r="AQ753" i="2"/>
  <c r="AQ755" i="2"/>
  <c r="J378" i="21398" l="1"/>
  <c r="C379" i="21398"/>
  <c r="F377" i="21398"/>
  <c r="C355" i="2"/>
  <c r="C357" i="2" s="1"/>
  <c r="C359" i="2" s="1"/>
  <c r="F353" i="2"/>
  <c r="AT756" i="2"/>
  <c r="AQ757" i="2"/>
  <c r="C381" i="21398" l="1"/>
  <c r="F379" i="21398"/>
  <c r="C361" i="2"/>
  <c r="C363" i="2" s="1"/>
  <c r="J358" i="2"/>
  <c r="AQ759" i="2"/>
  <c r="AQ184" i="21398"/>
  <c r="AT185" i="21398"/>
  <c r="AT758" i="2"/>
  <c r="AQ66" i="21398"/>
  <c r="C383" i="21398" l="1"/>
  <c r="F381" i="21398"/>
  <c r="J364" i="2"/>
  <c r="C365" i="2"/>
  <c r="C367" i="2" s="1"/>
  <c r="C369" i="2" s="1"/>
  <c r="C371" i="2" s="1"/>
  <c r="AT67" i="21398"/>
  <c r="AT187" i="21398"/>
  <c r="AQ186" i="21398"/>
  <c r="AT69" i="21398"/>
  <c r="AQ68" i="21398"/>
  <c r="AT760" i="2"/>
  <c r="C385" i="21398" l="1"/>
  <c r="F383" i="21398"/>
  <c r="C373" i="2"/>
  <c r="C375" i="2" s="1"/>
  <c r="J370" i="2"/>
  <c r="AT189" i="21398"/>
  <c r="AQ70" i="21398"/>
  <c r="J384" i="21398" l="1"/>
  <c r="C387" i="21398"/>
  <c r="C389" i="21398" s="1"/>
  <c r="F375" i="2"/>
  <c r="E375" i="2" s="1"/>
  <c r="C377" i="2"/>
  <c r="J376" i="2"/>
  <c r="J375" i="2"/>
  <c r="AT191" i="21398"/>
  <c r="AT71" i="21398"/>
  <c r="C391" i="21398" l="1"/>
  <c r="C393" i="21398" s="1"/>
  <c r="C395" i="21398" s="1"/>
  <c r="J390" i="21398"/>
  <c r="C379" i="2"/>
  <c r="J378" i="2"/>
  <c r="F377" i="2"/>
  <c r="E377" i="2" s="1"/>
  <c r="AT75" i="21398"/>
  <c r="J394" i="21398" l="1"/>
  <c r="C397" i="21398"/>
  <c r="C401" i="21398" s="1"/>
  <c r="C403" i="21398" s="1"/>
  <c r="C405" i="21398" s="1"/>
  <c r="C407" i="21398" s="1"/>
  <c r="C409" i="21398" s="1"/>
  <c r="C381" i="2"/>
  <c r="F379" i="2"/>
  <c r="E379" i="2" s="1"/>
  <c r="AT77" i="21398"/>
  <c r="AQ74" i="21398"/>
  <c r="AQ76" i="21398"/>
  <c r="C411" i="21398" l="1"/>
  <c r="J408" i="21398"/>
  <c r="C383" i="2"/>
  <c r="F381" i="2"/>
  <c r="E381" i="2" s="1"/>
  <c r="AQ78" i="21398"/>
  <c r="AT79" i="21398"/>
  <c r="C413" i="21398" l="1"/>
  <c r="J411" i="21398"/>
  <c r="F411" i="21398"/>
  <c r="C385" i="2"/>
  <c r="C387" i="2" s="1"/>
  <c r="C389" i="2" s="1"/>
  <c r="C391" i="2" s="1"/>
  <c r="C393" i="2" s="1"/>
  <c r="C395" i="2" s="1"/>
  <c r="C397" i="2" s="1"/>
  <c r="C399" i="2" s="1"/>
  <c r="C401" i="2" s="1"/>
  <c r="C403" i="2" s="1"/>
  <c r="C405" i="2" s="1"/>
  <c r="C407" i="2" s="1"/>
  <c r="F383" i="2"/>
  <c r="J412" i="21398" l="1"/>
  <c r="F413" i="21398"/>
  <c r="C415" i="21398"/>
  <c r="J413" i="21398"/>
  <c r="C409" i="2"/>
  <c r="J406" i="2"/>
  <c r="C417" i="21398" l="1"/>
  <c r="C411" i="2"/>
  <c r="J409" i="2"/>
  <c r="F409" i="2"/>
  <c r="AT409" i="2"/>
  <c r="AQ408" i="2"/>
  <c r="AQ809" i="2"/>
  <c r="C419" i="21398" l="1"/>
  <c r="J410" i="2"/>
  <c r="J411" i="2"/>
  <c r="C413" i="2"/>
  <c r="F411" i="2"/>
  <c r="AT411" i="2"/>
  <c r="C421" i="21398" l="1"/>
  <c r="C423" i="21398" s="1"/>
  <c r="C425" i="21398" s="1"/>
  <c r="C427" i="21398" s="1"/>
  <c r="C429" i="21398" s="1"/>
  <c r="C431" i="21398" s="1"/>
  <c r="C433" i="21398" s="1"/>
  <c r="J432" i="21398" s="1"/>
  <c r="J420" i="21398"/>
  <c r="C415" i="2"/>
  <c r="C435" i="21398" l="1"/>
  <c r="C437" i="21398" s="1"/>
  <c r="C439" i="21398" s="1"/>
  <c r="C441" i="21398" s="1"/>
  <c r="C443" i="21398" s="1"/>
  <c r="C445" i="21398" s="1"/>
  <c r="C447" i="21398" s="1"/>
  <c r="C449" i="21398" s="1"/>
  <c r="C451" i="21398" s="1"/>
  <c r="C453" i="21398" s="1"/>
  <c r="C455" i="21398" s="1"/>
  <c r="C457" i="21398" s="1"/>
  <c r="C459" i="21398" s="1"/>
  <c r="C417" i="2"/>
  <c r="J456" i="21398" l="1"/>
  <c r="F457" i="21398"/>
  <c r="J452" i="21398"/>
  <c r="C419" i="2"/>
  <c r="C421" i="2" s="1"/>
  <c r="C423" i="2" s="1"/>
  <c r="C425" i="2" s="1"/>
  <c r="C427" i="2" s="1"/>
  <c r="C429" i="2" s="1"/>
  <c r="C431" i="2" s="1"/>
  <c r="C433" i="2" s="1"/>
  <c r="C435" i="2" s="1"/>
  <c r="C437" i="2" s="1"/>
  <c r="C439" i="2" s="1"/>
  <c r="C441" i="2" s="1"/>
  <c r="C443" i="2" s="1"/>
  <c r="C445" i="2" s="1"/>
  <c r="C447" i="2" s="1"/>
  <c r="C449" i="2" s="1"/>
  <c r="C451" i="2" s="1"/>
  <c r="C453" i="2" s="1"/>
  <c r="C455" i="2" s="1"/>
  <c r="F455" i="2" s="1"/>
  <c r="J418" i="2"/>
  <c r="F459" i="21398"/>
  <c r="C463" i="21398"/>
  <c r="C465" i="21398" s="1"/>
  <c r="J460" i="21398"/>
  <c r="AQ520" i="21398"/>
  <c r="AT521" i="21398"/>
  <c r="J450" i="2" l="1"/>
  <c r="J430" i="2"/>
  <c r="C467" i="21398"/>
  <c r="C469" i="21398" s="1"/>
  <c r="J464" i="21398"/>
  <c r="C457" i="2"/>
  <c r="F457" i="2" s="1"/>
  <c r="AQ522" i="21398"/>
  <c r="AT523" i="21398"/>
  <c r="D469" i="21398" l="1"/>
  <c r="E469" i="21398"/>
  <c r="C461" i="2"/>
  <c r="C463" i="2" s="1"/>
  <c r="J458" i="2"/>
  <c r="C475" i="21398" l="1"/>
  <c r="J474" i="21398"/>
  <c r="C465" i="2"/>
  <c r="J464" i="2"/>
  <c r="J463" i="2"/>
  <c r="J475" i="21398" l="1"/>
  <c r="J476" i="21398" s="1"/>
  <c r="C477" i="21398"/>
  <c r="C479" i="21398" s="1"/>
  <c r="C481" i="21398" s="1"/>
  <c r="C483" i="21398" s="1"/>
  <c r="C467" i="2"/>
  <c r="C469" i="2" s="1"/>
  <c r="J465" i="2"/>
  <c r="AT541" i="21398"/>
  <c r="J483" i="21398" l="1"/>
  <c r="C485" i="21398"/>
  <c r="C471" i="2"/>
  <c r="C473" i="2" s="1"/>
  <c r="C475" i="2" s="1"/>
  <c r="C477" i="2" s="1"/>
  <c r="C479" i="2" s="1"/>
  <c r="C481" i="2" s="1"/>
  <c r="C483" i="2" s="1"/>
  <c r="C485" i="2" s="1"/>
  <c r="I468" i="2"/>
  <c r="AQ540" i="21398"/>
  <c r="AQ542" i="21398"/>
  <c r="C487" i="21398" l="1"/>
  <c r="J485" i="21398"/>
  <c r="J484" i="21398" s="1"/>
  <c r="C487" i="2"/>
  <c r="C489" i="2" s="1"/>
  <c r="C491" i="2" s="1"/>
  <c r="C493" i="2" s="1"/>
  <c r="C495" i="2" s="1"/>
  <c r="C497" i="2" s="1"/>
  <c r="C499" i="2" s="1"/>
  <c r="C501" i="2" s="1"/>
  <c r="C503" i="2" s="1"/>
  <c r="C505" i="2" s="1"/>
  <c r="C507" i="2" s="1"/>
  <c r="I484" i="2"/>
  <c r="AT105" i="21398"/>
  <c r="AT543" i="21398"/>
  <c r="C489" i="21398" l="1"/>
  <c r="C491" i="21398" s="1"/>
  <c r="J486" i="21398"/>
  <c r="J506" i="2"/>
  <c r="C509" i="2"/>
  <c r="AT107" i="21398"/>
  <c r="AQ544" i="21398"/>
  <c r="C493" i="21398" l="1"/>
  <c r="C495" i="21398" s="1"/>
  <c r="C497" i="21398" s="1"/>
  <c r="C499" i="21398" s="1"/>
  <c r="C501" i="21398" s="1"/>
  <c r="J492" i="21398"/>
  <c r="C511" i="2"/>
  <c r="J509" i="2"/>
  <c r="AT109" i="21398"/>
  <c r="J500" i="21398" l="1"/>
  <c r="C503" i="21398"/>
  <c r="I502" i="21398"/>
  <c r="C513" i="2"/>
  <c r="J511" i="2"/>
  <c r="J510" i="2"/>
  <c r="C505" i="21398" l="1"/>
  <c r="J503" i="21398"/>
  <c r="J504" i="21398" s="1"/>
  <c r="C515" i="2"/>
  <c r="J514" i="2"/>
  <c r="AT553" i="21398"/>
  <c r="AQ550" i="21398"/>
  <c r="C507" i="21398" l="1"/>
  <c r="C511" i="21398" s="1"/>
  <c r="C513" i="21398" s="1"/>
  <c r="C515" i="21398" s="1"/>
  <c r="C517" i="21398" s="1"/>
  <c r="C517" i="2"/>
  <c r="J515" i="2"/>
  <c r="AQ552" i="21398"/>
  <c r="J509" i="21398" l="1"/>
  <c r="J508" i="21398" s="1"/>
  <c r="J512" i="21398"/>
  <c r="C519" i="2"/>
  <c r="J518" i="2"/>
  <c r="F517" i="2"/>
  <c r="F519" i="2" l="1"/>
  <c r="C521" i="2"/>
  <c r="AT563" i="21398"/>
  <c r="C523" i="2" l="1"/>
  <c r="C525" i="2" s="1"/>
  <c r="C527" i="2" s="1"/>
  <c r="C529" i="2" s="1"/>
  <c r="J522" i="2"/>
  <c r="AT565" i="21398"/>
  <c r="AQ562" i="21398"/>
  <c r="J528" i="2" l="1"/>
  <c r="C531" i="2"/>
  <c r="C533" i="2" s="1"/>
  <c r="J534" i="2" s="1"/>
  <c r="AQ564" i="21398"/>
  <c r="C535" i="2" l="1"/>
  <c r="C537" i="2" s="1"/>
  <c r="F537" i="2" l="1"/>
  <c r="C539" i="2"/>
  <c r="J538" i="2" l="1"/>
  <c r="F539" i="2"/>
  <c r="C541" i="2"/>
  <c r="C543" i="2" l="1"/>
  <c r="J542" i="2"/>
  <c r="J541" i="2"/>
  <c r="F541" i="2"/>
  <c r="AQ540" i="2"/>
  <c r="J543" i="2" l="1"/>
  <c r="C545" i="2"/>
  <c r="J544" i="2"/>
  <c r="C547" i="2" l="1"/>
  <c r="J546" i="2"/>
  <c r="C549" i="2" l="1"/>
  <c r="F547" i="2"/>
  <c r="C551" i="2" l="1"/>
  <c r="C553" i="2" s="1"/>
  <c r="C555" i="2" s="1"/>
  <c r="F549" i="2"/>
  <c r="C557" i="2" l="1"/>
  <c r="C559" i="2" s="1"/>
  <c r="J555" i="2"/>
  <c r="F559" i="2" l="1"/>
  <c r="C561" i="2"/>
  <c r="C563" i="2" s="1"/>
  <c r="C567" i="2" s="1"/>
  <c r="J559" i="2"/>
  <c r="AQ142" i="21398"/>
  <c r="F561" i="2" l="1"/>
  <c r="AT143" i="21398"/>
  <c r="C569" i="2" l="1"/>
  <c r="C571" i="2" s="1"/>
  <c r="C573" i="2" s="1"/>
  <c r="C575" i="2" s="1"/>
  <c r="C577" i="2" s="1"/>
  <c r="C581" i="2" s="1"/>
  <c r="J562" i="2"/>
  <c r="AT147" i="21398"/>
  <c r="AT145" i="21398"/>
  <c r="C583" i="2" l="1"/>
  <c r="C585" i="2" s="1"/>
  <c r="C587" i="2" s="1"/>
  <c r="J582" i="2"/>
  <c r="C589" i="2" l="1"/>
  <c r="F587" i="2"/>
  <c r="C591" i="2" l="1"/>
  <c r="F589" i="2"/>
  <c r="C593" i="2" l="1"/>
  <c r="C595" i="2" s="1"/>
  <c r="C597" i="2" s="1"/>
  <c r="F591" i="2"/>
  <c r="J596" i="2" l="1"/>
  <c r="C599" i="2"/>
  <c r="C601" i="2" s="1"/>
  <c r="C603" i="2" s="1"/>
  <c r="C605" i="2" s="1"/>
  <c r="C607" i="2" s="1"/>
  <c r="C609" i="2" s="1"/>
  <c r="C611" i="2" s="1"/>
  <c r="C613" i="2" s="1"/>
  <c r="C615" i="2" s="1"/>
  <c r="C617" i="2" s="1"/>
  <c r="C619" i="2" s="1"/>
  <c r="C621" i="2" s="1"/>
  <c r="C623" i="2" s="1"/>
  <c r="C625" i="2" s="1"/>
  <c r="C627" i="2" s="1"/>
  <c r="AT157" i="21398"/>
  <c r="C629" i="2" l="1"/>
  <c r="F627" i="2"/>
  <c r="AT159" i="21398"/>
  <c r="C631" i="2" l="1"/>
  <c r="F629" i="2"/>
  <c r="AQ324" i="21398"/>
  <c r="AT143" i="2"/>
  <c r="AT201" i="2"/>
  <c r="AT195" i="21398"/>
  <c r="AT239" i="21398"/>
  <c r="AT381" i="21398"/>
  <c r="AQ146" i="2"/>
  <c r="AQ246" i="21398"/>
  <c r="AQ200" i="2"/>
  <c r="AT247" i="21398"/>
  <c r="AQ198" i="2"/>
  <c r="AT195" i="2"/>
  <c r="AT307" i="21398"/>
  <c r="AT163" i="21398"/>
  <c r="AT59" i="2"/>
  <c r="AQ202" i="2"/>
  <c r="AT39" i="2"/>
  <c r="AT197" i="2"/>
  <c r="AT379" i="21398"/>
  <c r="AQ374" i="21398"/>
  <c r="AT67" i="2"/>
  <c r="AQ382" i="21398"/>
  <c r="AT159" i="2"/>
  <c r="AQ244" i="21398"/>
  <c r="AQ308" i="21398"/>
  <c r="AT105" i="2"/>
  <c r="AT383" i="21398"/>
  <c r="AT351" i="21398"/>
  <c r="AT69" i="2"/>
  <c r="AQ156" i="2"/>
  <c r="AQ144" i="2"/>
  <c r="AT323" i="21398"/>
  <c r="AQ352" i="21398"/>
  <c r="AQ68" i="2"/>
  <c r="AT199" i="2"/>
  <c r="AQ242" i="21398"/>
  <c r="AQ322" i="21398"/>
  <c r="AQ248" i="21398"/>
  <c r="AT203" i="21398"/>
  <c r="AT75" i="2"/>
  <c r="AQ238" i="21398"/>
  <c r="AT147" i="2"/>
  <c r="AQ350" i="21398"/>
  <c r="AT77" i="2"/>
  <c r="AT309" i="21398"/>
  <c r="AQ326" i="21398"/>
  <c r="AT37" i="2"/>
  <c r="AT375" i="21398"/>
  <c r="AQ74" i="2"/>
  <c r="AT203" i="2"/>
  <c r="AT311" i="21398"/>
  <c r="AQ376" i="21398"/>
  <c r="AQ106" i="2"/>
  <c r="AT249" i="21398"/>
  <c r="AT57" i="2"/>
  <c r="AT327" i="21398"/>
  <c r="AT71" i="2"/>
  <c r="AQ162" i="21398"/>
  <c r="AT107" i="2"/>
  <c r="AQ104" i="2"/>
  <c r="AT325" i="21398"/>
  <c r="AQ78" i="2"/>
  <c r="AT157" i="2"/>
  <c r="AQ380" i="21398"/>
  <c r="AT377" i="21398"/>
  <c r="AT145" i="2"/>
  <c r="AQ54" i="2"/>
  <c r="AT245" i="21398"/>
  <c r="AT201" i="21398"/>
  <c r="AT79" i="2"/>
  <c r="AQ310" i="21398"/>
  <c r="AQ58" i="2"/>
  <c r="AQ108" i="2"/>
  <c r="AT241" i="21398"/>
  <c r="AT55" i="2"/>
  <c r="AT197" i="21398"/>
  <c r="AQ320" i="21398"/>
  <c r="AQ66" i="2"/>
  <c r="AT321" i="21398"/>
  <c r="AQ70" i="2"/>
  <c r="AT163" i="2"/>
  <c r="AT243" i="21398"/>
  <c r="AQ76" i="2"/>
  <c r="AQ240" i="21398"/>
  <c r="AT109" i="2"/>
  <c r="AQ378" i="21398"/>
  <c r="AQ162" i="2"/>
  <c r="AT353" i="21398"/>
  <c r="AQ36" i="2"/>
  <c r="AQ142" i="2"/>
  <c r="AQ306" i="21398"/>
  <c r="AQ56" i="2"/>
  <c r="AT199" i="21398"/>
  <c r="I7" i="21408" l="1"/>
  <c r="AQ238" i="2"/>
  <c r="AT457" i="21398"/>
  <c r="AT459" i="21398"/>
  <c r="AT239" i="2"/>
  <c r="AT241" i="2"/>
  <c r="I62" i="21408" l="1"/>
  <c r="I154" i="21408"/>
  <c r="I48" i="21408"/>
  <c r="I51" i="21408"/>
  <c r="I9" i="21408"/>
  <c r="I13" i="21408"/>
  <c r="I25" i="21408"/>
  <c r="I65" i="21408"/>
  <c r="I52" i="21408"/>
  <c r="I75" i="21408"/>
  <c r="I64" i="21408"/>
  <c r="I28" i="21408"/>
  <c r="I56" i="21408"/>
  <c r="I67" i="21408"/>
  <c r="I24" i="21408"/>
  <c r="I152" i="21408"/>
  <c r="I22" i="21408"/>
  <c r="I8" i="21408"/>
  <c r="I61" i="21408"/>
  <c r="I49" i="21408"/>
  <c r="I54" i="21408"/>
  <c r="I58" i="21408"/>
  <c r="I74" i="21408"/>
  <c r="I57" i="21408"/>
  <c r="I69" i="21408"/>
  <c r="I46" i="21408"/>
  <c r="I83" i="21408"/>
  <c r="I71" i="21408"/>
  <c r="I26" i="21408"/>
  <c r="I78" i="21408"/>
  <c r="I77" i="21408"/>
  <c r="I76" i="21408"/>
  <c r="I27" i="21408"/>
  <c r="I151" i="21408"/>
  <c r="I21" i="21408"/>
  <c r="I66" i="21408"/>
  <c r="I82" i="21408"/>
  <c r="I11" i="21408"/>
  <c r="I10" i="21408"/>
  <c r="I80" i="21408"/>
  <c r="I30" i="21408"/>
  <c r="I17" i="21408"/>
  <c r="I18" i="21408"/>
  <c r="I72" i="21408"/>
  <c r="I14" i="21408"/>
  <c r="I68" i="21408"/>
  <c r="I63" i="21408"/>
  <c r="I50" i="21408"/>
  <c r="I5" i="21408"/>
  <c r="I29" i="21408"/>
  <c r="I73" i="21408"/>
  <c r="I19" i="21408"/>
  <c r="I12" i="21408"/>
  <c r="I60" i="21408"/>
  <c r="I79" i="21408"/>
  <c r="I23" i="21408"/>
  <c r="I53" i="21408"/>
  <c r="I47" i="21408"/>
  <c r="I4" i="21408"/>
  <c r="I70" i="21408"/>
  <c r="I16" i="21408"/>
  <c r="I59" i="21408"/>
  <c r="I55" i="21408"/>
  <c r="I44" i="21408"/>
  <c r="I6" i="21408"/>
  <c r="I153" i="21408"/>
  <c r="I45" i="21408"/>
  <c r="I31" i="21408"/>
  <c r="I15" i="21408"/>
  <c r="I81" i="21408"/>
  <c r="I191" i="21408"/>
  <c r="G37" i="21407"/>
  <c r="G35" i="21407"/>
  <c r="G34" i="21407"/>
  <c r="I190" i="21408"/>
  <c r="I189" i="21408"/>
  <c r="G32" i="21407"/>
  <c r="AQ240" i="2"/>
  <c r="AT243" i="2"/>
  <c r="I139" i="21408" l="1"/>
  <c r="I140" i="21408"/>
  <c r="I35" i="21408"/>
  <c r="AQ244" i="2"/>
  <c r="AT245" i="2"/>
  <c r="AQ246" i="2"/>
  <c r="AT247" i="2"/>
  <c r="AQ242" i="2"/>
  <c r="AQ248" i="2"/>
  <c r="G10" i="21407" l="1"/>
  <c r="O8" i="21407"/>
  <c r="O5" i="21407"/>
  <c r="G5" i="21407"/>
  <c r="G24" i="21407"/>
  <c r="G9" i="21407"/>
  <c r="G6" i="21407"/>
  <c r="G8" i="21407"/>
  <c r="G12" i="21407"/>
  <c r="G4" i="21407"/>
  <c r="G16" i="21407"/>
  <c r="O6" i="21407"/>
  <c r="O9" i="21407"/>
  <c r="G15" i="21407"/>
  <c r="G20" i="21407"/>
  <c r="G19" i="21407"/>
  <c r="O4" i="21407"/>
  <c r="O10" i="21407"/>
  <c r="G21" i="21407"/>
  <c r="G22" i="21407"/>
  <c r="AT311" i="2"/>
  <c r="AQ310" i="2"/>
  <c r="AQ306" i="2"/>
  <c r="AQ308" i="2"/>
  <c r="H80" i="21408" l="1"/>
  <c r="G80" i="21408" s="1"/>
  <c r="H19" i="21408"/>
  <c r="AT319" i="2"/>
  <c r="AQ318" i="2"/>
  <c r="P17" i="21402" l="1"/>
  <c r="P15" i="21402"/>
  <c r="P16" i="21402"/>
  <c r="H44" i="21408"/>
  <c r="G44" i="21408" s="1"/>
  <c r="H56" i="21408"/>
  <c r="G56" i="21408" s="1"/>
  <c r="H76" i="21408"/>
  <c r="G76" i="21408" s="1"/>
  <c r="H69" i="21408"/>
  <c r="G69" i="21408" s="1"/>
  <c r="H50" i="21408"/>
  <c r="G50" i="21408" s="1"/>
  <c r="H47" i="21408"/>
  <c r="G47" i="21408" s="1"/>
  <c r="H53" i="21408"/>
  <c r="G53" i="21408" s="1"/>
  <c r="H27" i="21408"/>
  <c r="H15" i="21408"/>
  <c r="H29" i="21408"/>
  <c r="G29" i="21408" s="1"/>
  <c r="H23" i="21408"/>
  <c r="G23" i="21408" s="1"/>
  <c r="H81" i="21408"/>
  <c r="G81" i="21408" s="1"/>
  <c r="H46" i="21408"/>
  <c r="G46" i="21408" s="1"/>
  <c r="H31" i="21408"/>
  <c r="G31" i="21408" s="1"/>
  <c r="H30" i="21408"/>
  <c r="G30" i="21408" s="1"/>
  <c r="H4" i="21408"/>
  <c r="H153" i="21408"/>
  <c r="G153" i="21408" s="1"/>
  <c r="H12" i="21408"/>
  <c r="H13" i="21408"/>
  <c r="H48" i="21408"/>
  <c r="G48" i="21408" s="1"/>
  <c r="H7" i="21408"/>
  <c r="H57" i="21408"/>
  <c r="G57" i="21408" s="1"/>
  <c r="H75" i="21408"/>
  <c r="G75" i="21408" s="1"/>
  <c r="H67" i="21408"/>
  <c r="G67" i="21408" s="1"/>
  <c r="H10" i="21408"/>
  <c r="H61" i="21408"/>
  <c r="G61" i="21408" s="1"/>
  <c r="H8" i="21408"/>
  <c r="H71" i="21408"/>
  <c r="G71" i="21408" s="1"/>
  <c r="H66" i="21408"/>
  <c r="G66" i="21408" s="1"/>
  <c r="H152" i="21408"/>
  <c r="G152" i="21408" s="1"/>
  <c r="H52" i="21408"/>
  <c r="G52" i="21408" s="1"/>
  <c r="H5" i="21408"/>
  <c r="H49" i="21408"/>
  <c r="G49" i="21408" s="1"/>
  <c r="H24" i="21408"/>
  <c r="G24" i="21408" s="1"/>
  <c r="H65" i="21408"/>
  <c r="G65" i="21408" s="1"/>
  <c r="H60" i="21408"/>
  <c r="G60" i="21408" s="1"/>
  <c r="H26" i="21408"/>
  <c r="H17" i="21408"/>
  <c r="G17" i="21408" s="1"/>
  <c r="H28" i="21408"/>
  <c r="G28" i="21408" s="1"/>
  <c r="H82" i="21408"/>
  <c r="H63" i="21408"/>
  <c r="G63" i="21408" s="1"/>
  <c r="H64" i="21408"/>
  <c r="G64" i="21408" s="1"/>
  <c r="H45" i="21408"/>
  <c r="G45" i="21408" s="1"/>
  <c r="H83" i="21408"/>
  <c r="G83" i="21408" s="1"/>
  <c r="H25" i="21408"/>
  <c r="G25" i="21408" s="1"/>
  <c r="H16" i="21408"/>
  <c r="H59" i="21408"/>
  <c r="G59" i="21408" s="1"/>
  <c r="H78" i="21408"/>
  <c r="G78" i="21408" s="1"/>
  <c r="H68" i="21408"/>
  <c r="G68" i="21408" s="1"/>
  <c r="H22" i="21408"/>
  <c r="H11" i="21408"/>
  <c r="H151" i="21408"/>
  <c r="G151" i="21408" s="1"/>
  <c r="H58" i="21408"/>
  <c r="G58" i="21408" s="1"/>
  <c r="H51" i="21408"/>
  <c r="G51" i="21408" s="1"/>
  <c r="H6" i="21408"/>
  <c r="H79" i="21408"/>
  <c r="G79" i="21408" s="1"/>
  <c r="H54" i="21408"/>
  <c r="G54" i="21408" s="1"/>
  <c r="H72" i="21408"/>
  <c r="G72" i="21408" s="1"/>
  <c r="H55" i="21408"/>
  <c r="G55" i="21408" s="1"/>
  <c r="H18" i="21408"/>
  <c r="G18" i="21408" s="1"/>
  <c r="H9" i="21408"/>
  <c r="H77" i="21408"/>
  <c r="G77" i="21408" s="1"/>
  <c r="H14" i="21408"/>
  <c r="H62" i="21408"/>
  <c r="G62" i="21408" s="1"/>
  <c r="H73" i="21408"/>
  <c r="G73" i="21408" s="1"/>
  <c r="H21" i="21408"/>
  <c r="H154" i="21408"/>
  <c r="G154" i="21408" s="1"/>
  <c r="H74" i="21408"/>
  <c r="G74" i="21408" s="1"/>
  <c r="H70" i="21408"/>
  <c r="G70" i="21408" s="1"/>
  <c r="F37" i="21407"/>
  <c r="C37" i="21407" s="1"/>
  <c r="F32" i="21407"/>
  <c r="C32" i="21407" s="1"/>
  <c r="L23" i="21402"/>
  <c r="AQ322" i="2"/>
  <c r="AT375" i="2"/>
  <c r="AT351" i="2"/>
  <c r="AQ320" i="2"/>
  <c r="AQ352" i="2"/>
  <c r="AQ380" i="2"/>
  <c r="AT325" i="2"/>
  <c r="AT327" i="2"/>
  <c r="AQ376" i="2"/>
  <c r="AT321" i="2"/>
  <c r="AT379" i="2"/>
  <c r="AT383" i="2"/>
  <c r="AQ378" i="2"/>
  <c r="AQ326" i="2"/>
  <c r="AT381" i="2"/>
  <c r="AQ374" i="2"/>
  <c r="AT323" i="2"/>
  <c r="AQ350" i="2"/>
  <c r="AQ382" i="2"/>
  <c r="AT377" i="2"/>
  <c r="AQ324" i="2"/>
  <c r="AT353" i="2"/>
  <c r="F35" i="21407" l="1"/>
  <c r="C35" i="21407" s="1"/>
  <c r="H191" i="21408"/>
  <c r="H18" i="21402"/>
  <c r="F34" i="21407"/>
  <c r="C34" i="21407" s="1"/>
  <c r="D18" i="21402"/>
  <c r="L13" i="21402"/>
  <c r="H16" i="21402"/>
  <c r="H15" i="21402"/>
  <c r="L17" i="21402"/>
  <c r="D14" i="21402"/>
  <c r="P13" i="21402"/>
  <c r="H13" i="21402"/>
  <c r="L22" i="21402"/>
  <c r="D22" i="21402"/>
  <c r="D16" i="21402"/>
  <c r="L19" i="21402"/>
  <c r="D13" i="21402"/>
  <c r="H22" i="21402"/>
  <c r="H12" i="21402"/>
  <c r="D12" i="21402"/>
  <c r="H23" i="21402"/>
  <c r="L16" i="21402"/>
  <c r="H14" i="21402"/>
  <c r="P14" i="21402"/>
  <c r="P12" i="21402"/>
  <c r="L14" i="21402"/>
  <c r="H24" i="21402"/>
  <c r="L24" i="21402"/>
  <c r="H190" i="21408"/>
  <c r="H19" i="21402"/>
  <c r="D20" i="21402"/>
  <c r="D23" i="21402"/>
  <c r="L18" i="21402"/>
  <c r="D19" i="21402"/>
  <c r="L15" i="21402"/>
  <c r="D17" i="21402"/>
  <c r="D15" i="21402"/>
  <c r="H21" i="21402"/>
  <c r="D21" i="21402"/>
  <c r="L21" i="21402"/>
  <c r="L20" i="21402"/>
  <c r="L12" i="21402"/>
  <c r="H20" i="21402"/>
  <c r="H17" i="21402"/>
  <c r="H189" i="21408"/>
  <c r="H4" i="21407"/>
  <c r="H5" i="21407"/>
  <c r="P4" i="21407"/>
  <c r="P5" i="21407"/>
  <c r="H16" i="21407"/>
  <c r="P8" i="21407"/>
  <c r="H8" i="21407"/>
  <c r="H6" i="21407"/>
  <c r="P10" i="21407"/>
  <c r="P6" i="21407"/>
  <c r="H15" i="21407"/>
  <c r="H10" i="21407"/>
  <c r="P9" i="21407"/>
  <c r="H9" i="21407"/>
  <c r="H24" i="21407"/>
  <c r="H12" i="21407"/>
  <c r="AQ518" i="2"/>
  <c r="AQ454" i="2"/>
  <c r="AQ590" i="2"/>
  <c r="AQ560" i="2"/>
  <c r="AT455" i="2"/>
  <c r="AQ586" i="2"/>
  <c r="AQ516" i="2"/>
  <c r="AT587" i="2"/>
  <c r="AT591" i="2"/>
  <c r="AT537" i="2"/>
  <c r="AQ538" i="2"/>
  <c r="AT561" i="2"/>
  <c r="AQ588" i="2"/>
  <c r="AQ536" i="2"/>
  <c r="AQ548" i="2"/>
  <c r="AQ456" i="2"/>
  <c r="AT559" i="2"/>
  <c r="AT519" i="2"/>
  <c r="AT457" i="2"/>
  <c r="AT453" i="2"/>
  <c r="AT517" i="2"/>
  <c r="AT589" i="2"/>
  <c r="AT541" i="2"/>
  <c r="AQ452" i="2"/>
  <c r="AT629" i="2"/>
  <c r="AQ558" i="2"/>
  <c r="AT539" i="2"/>
  <c r="AT627" i="2"/>
  <c r="N5" i="21407" l="1"/>
  <c r="N4" i="21407"/>
  <c r="E4" i="21402"/>
  <c r="E6" i="21402"/>
  <c r="E3" i="21402"/>
  <c r="N8" i="21407"/>
  <c r="N6" i="21407"/>
  <c r="F24" i="21407"/>
  <c r="C24" i="21407" s="1"/>
  <c r="E5" i="21402"/>
  <c r="F16" i="21407"/>
  <c r="N10" i="21407"/>
  <c r="F10" i="21407"/>
  <c r="N9" i="21407"/>
  <c r="F12" i="21407"/>
  <c r="C12" i="21407" s="1"/>
  <c r="F4" i="21407"/>
  <c r="F22" i="21407"/>
  <c r="C22" i="21407" s="1"/>
  <c r="F6" i="21407"/>
  <c r="F15" i="21407"/>
  <c r="F19" i="21407"/>
  <c r="C19" i="21407" s="1"/>
  <c r="F9" i="21407"/>
  <c r="F5" i="21407"/>
  <c r="F20" i="21407"/>
  <c r="C20" i="21407" s="1"/>
  <c r="F8" i="21407"/>
  <c r="F21" i="21407"/>
  <c r="C21" i="21407" s="1"/>
  <c r="C5" i="21407" l="1"/>
  <c r="C4" i="21407"/>
  <c r="H139" i="21408"/>
  <c r="G139" i="21408" s="1"/>
  <c r="H140" i="21408"/>
  <c r="G140" i="21408" s="1"/>
  <c r="H115" i="21408"/>
  <c r="H36" i="21408"/>
  <c r="H35" i="21408"/>
  <c r="C6" i="21407"/>
  <c r="C9" i="21407"/>
  <c r="C7" i="21407"/>
  <c r="C14" i="21407"/>
  <c r="M178" i="21408" l="1"/>
  <c r="J178" i="21408" l="1"/>
  <c r="M42" i="21408" l="1"/>
  <c r="M186" i="21408"/>
  <c r="M104" i="21408"/>
  <c r="M102" i="21408"/>
  <c r="M158" i="21408"/>
  <c r="M99" i="21408"/>
  <c r="M39" i="21408"/>
  <c r="M163" i="21408"/>
  <c r="M124" i="21408"/>
  <c r="M131" i="21408"/>
  <c r="M160" i="21408"/>
  <c r="M116" i="21408"/>
  <c r="M107" i="21408"/>
  <c r="M85" i="21408"/>
  <c r="M132" i="21408"/>
  <c r="M128" i="21408"/>
  <c r="M220" i="21408"/>
  <c r="M150" i="21408"/>
  <c r="M177" i="21408"/>
  <c r="M269" i="21408"/>
  <c r="M273" i="21408" s="1"/>
  <c r="M84" i="21408"/>
  <c r="M272" i="21408"/>
  <c r="M93" i="21408"/>
  <c r="M233" i="21408"/>
  <c r="M89" i="21408"/>
  <c r="M91" i="21408"/>
  <c r="M217" i="21408"/>
  <c r="M94" i="21408"/>
  <c r="M165" i="21408"/>
  <c r="M162" i="21408"/>
  <c r="M110" i="21408"/>
  <c r="M135" i="21408"/>
  <c r="M92" i="21408"/>
  <c r="M86" i="21408"/>
  <c r="M127" i="21408"/>
  <c r="M218" i="21408"/>
  <c r="M106" i="21408"/>
  <c r="M90" i="21408"/>
  <c r="M41" i="21408"/>
  <c r="M97" i="21408"/>
  <c r="M159" i="21408"/>
  <c r="M185" i="21408"/>
  <c r="M114" i="21408"/>
  <c r="M105" i="21408"/>
  <c r="M37" i="21408"/>
  <c r="M168" i="21408"/>
  <c r="M183" i="21408"/>
  <c r="M20" i="21408"/>
  <c r="M101" i="21408"/>
  <c r="M115" i="21408"/>
  <c r="M232" i="21408"/>
  <c r="M87" i="21408"/>
  <c r="M88" i="21408"/>
  <c r="M187" i="21408"/>
  <c r="M111" i="21408"/>
  <c r="M121" i="21408"/>
  <c r="M167" i="21408"/>
  <c r="M170" i="21408"/>
  <c r="M222" i="21408"/>
  <c r="M125" i="21408"/>
  <c r="M225" i="21408"/>
  <c r="M155" i="21408"/>
  <c r="M169" i="21408"/>
  <c r="M100" i="21408"/>
  <c r="M184" i="21408"/>
  <c r="M271" i="21408"/>
  <c r="M96" i="21408"/>
  <c r="M188" i="21408"/>
  <c r="M137" i="21408"/>
  <c r="M138" i="21408" s="1"/>
  <c r="M148" i="21408"/>
  <c r="M43" i="21408"/>
  <c r="M149" i="21408"/>
  <c r="M112" i="21408"/>
  <c r="M134" i="21408"/>
  <c r="M35" i="21408"/>
  <c r="M157" i="21408"/>
  <c r="M221" i="21408"/>
  <c r="M40" i="21408"/>
  <c r="M108" i="21408"/>
  <c r="M36" i="21408"/>
  <c r="M113" i="21408"/>
  <c r="M147" i="21408"/>
  <c r="M174" i="21408"/>
  <c r="M95" i="21408"/>
  <c r="M122" i="21408"/>
  <c r="M38" i="21408"/>
  <c r="M164" i="21408"/>
  <c r="M175" i="21408"/>
  <c r="M98" i="21408"/>
  <c r="M133" i="21408"/>
  <c r="M103" i="21408"/>
  <c r="M166" i="21408"/>
  <c r="M270" i="21408"/>
  <c r="M109" i="21408"/>
  <c r="M219" i="21408"/>
  <c r="M130" i="21408"/>
  <c r="M280" i="21408"/>
  <c r="M118" i="21408"/>
  <c r="M275" i="21408"/>
  <c r="M129" i="21408"/>
  <c r="M126" i="21408"/>
  <c r="M182" i="21408"/>
  <c r="M117" i="21408"/>
  <c r="M32" i="21408"/>
  <c r="L271" i="21408"/>
  <c r="L105" i="21408"/>
  <c r="L134" i="21408"/>
  <c r="L160" i="21408"/>
  <c r="L183" i="21408"/>
  <c r="L233" i="21408"/>
  <c r="L103" i="21408"/>
  <c r="L157" i="21408"/>
  <c r="L217" i="21408"/>
  <c r="L37" i="21408"/>
  <c r="L186" i="21408"/>
  <c r="L101" i="21408"/>
  <c r="L130" i="21408"/>
  <c r="L150" i="21408"/>
  <c r="L166" i="21408"/>
  <c r="L188" i="21408"/>
  <c r="L97" i="21408"/>
  <c r="L132" i="21408"/>
  <c r="L185" i="21408"/>
  <c r="L164" i="21408"/>
  <c r="L40" i="21408"/>
  <c r="L38" i="21408"/>
  <c r="L43" i="21408"/>
  <c r="L42" i="21408"/>
  <c r="L169" i="21408"/>
  <c r="L99" i="21408"/>
  <c r="L115" i="21408"/>
  <c r="L126" i="21408"/>
  <c r="L162" i="21408"/>
  <c r="L174" i="21408"/>
  <c r="L220" i="21408"/>
  <c r="L117" i="21408"/>
  <c r="L148" i="21408"/>
  <c r="L109" i="21408"/>
  <c r="L36" i="21408"/>
  <c r="L168" i="21408"/>
  <c r="L129" i="21408"/>
  <c r="L85" i="21408"/>
  <c r="L35" i="21408"/>
  <c r="L159" i="21408"/>
  <c r="L92" i="21408"/>
  <c r="L106" i="21408"/>
  <c r="L122" i="21408"/>
  <c r="L135" i="21408"/>
  <c r="L136" i="21408" s="1"/>
  <c r="L155" i="21408"/>
  <c r="L184" i="21408"/>
  <c r="L113" i="21408"/>
  <c r="L128" i="21408"/>
  <c r="L91" i="21408"/>
  <c r="L41" i="21408"/>
  <c r="L158" i="21408"/>
  <c r="L116" i="21408"/>
  <c r="L149" i="21408"/>
  <c r="L222" i="21408"/>
  <c r="L95" i="21408"/>
  <c r="L102" i="21408"/>
  <c r="L131" i="21408"/>
  <c r="L147" i="21408"/>
  <c r="L177" i="21408"/>
  <c r="L110" i="21408"/>
  <c r="L124" i="21408"/>
  <c r="L90" i="21408"/>
  <c r="L114" i="21408"/>
  <c r="L111" i="21408"/>
  <c r="L32" i="21408"/>
  <c r="L137" i="21408"/>
  <c r="L138" i="21408" s="1"/>
  <c r="L218" i="21408"/>
  <c r="L272" i="21408"/>
  <c r="L98" i="21408"/>
  <c r="L118" i="21408"/>
  <c r="L127" i="21408"/>
  <c r="L175" i="21408"/>
  <c r="L108" i="21408"/>
  <c r="L270" i="21408"/>
  <c r="L96" i="21408"/>
  <c r="L100" i="21408"/>
  <c r="L20" i="21408"/>
  <c r="L125" i="21408"/>
  <c r="L182" i="21408"/>
  <c r="L187" i="21408"/>
  <c r="L232" i="21408"/>
  <c r="L107" i="21408"/>
  <c r="L123" i="21408"/>
  <c r="L167" i="21408"/>
  <c r="L280" i="21408"/>
  <c r="L225" i="21408"/>
  <c r="L229" i="21408" s="1"/>
  <c r="L230" i="21408" s="1"/>
  <c r="L93" i="21408"/>
  <c r="L133" i="21408"/>
  <c r="L88" i="21408"/>
  <c r="L104" i="21408"/>
  <c r="L87" i="21408"/>
  <c r="L163" i="21408"/>
  <c r="L39" i="21408"/>
  <c r="L275" i="21408"/>
  <c r="L269" i="21408"/>
  <c r="L273" i="21408" s="1"/>
  <c r="L121" i="21408"/>
  <c r="L221" i="21408"/>
  <c r="L165" i="21408"/>
  <c r="L86" i="21408"/>
  <c r="L170" i="21408"/>
  <c r="L89" i="21408"/>
  <c r="L219" i="21408"/>
  <c r="L84" i="21408"/>
  <c r="L112" i="21408"/>
  <c r="L94" i="21408"/>
  <c r="K157" i="21408"/>
  <c r="K102" i="21408"/>
  <c r="K100" i="21408"/>
  <c r="K155" i="21408"/>
  <c r="K186" i="21408"/>
  <c r="K221" i="21408"/>
  <c r="K113" i="21408"/>
  <c r="K148" i="21408"/>
  <c r="K107" i="21408"/>
  <c r="K123" i="21408"/>
  <c r="K115" i="21408"/>
  <c r="K164" i="21408"/>
  <c r="K91" i="21408"/>
  <c r="K188" i="21408"/>
  <c r="K218" i="21408"/>
  <c r="K96" i="21408"/>
  <c r="K270" i="21408"/>
  <c r="K169" i="21408"/>
  <c r="K184" i="21408"/>
  <c r="K117" i="21408"/>
  <c r="K114" i="21408"/>
  <c r="K38" i="21408"/>
  <c r="K137" i="21408"/>
  <c r="K138" i="21408" s="1"/>
  <c r="K39" i="21408"/>
  <c r="K167" i="21408"/>
  <c r="K126" i="21408"/>
  <c r="K271" i="21408"/>
  <c r="K85" i="21408"/>
  <c r="K97" i="21408"/>
  <c r="K272" i="21408"/>
  <c r="K111" i="21408"/>
  <c r="K131" i="21408"/>
  <c r="K99" i="21408"/>
  <c r="K219" i="21408"/>
  <c r="K269" i="21408"/>
  <c r="K273" i="21408" s="1"/>
  <c r="K101" i="21408"/>
  <c r="K110" i="21408"/>
  <c r="K90" i="21408"/>
  <c r="K86" i="21408"/>
  <c r="K42" i="21408"/>
  <c r="K128" i="21408"/>
  <c r="K162" i="21408"/>
  <c r="K105" i="21408"/>
  <c r="K35" i="21408"/>
  <c r="K89" i="21408"/>
  <c r="K129" i="21408"/>
  <c r="K87" i="21408"/>
  <c r="K147" i="21408"/>
  <c r="K134" i="21408"/>
  <c r="K217" i="21408"/>
  <c r="K160" i="21408"/>
  <c r="K109" i="21408"/>
  <c r="K94" i="21408"/>
  <c r="K165" i="21408"/>
  <c r="K106" i="21408"/>
  <c r="K158" i="21408"/>
  <c r="K124" i="21408"/>
  <c r="K174" i="21408"/>
  <c r="K182" i="21408"/>
  <c r="K132" i="21408"/>
  <c r="K98" i="21408"/>
  <c r="K159" i="21408"/>
  <c r="K20" i="21408"/>
  <c r="K40" i="21408"/>
  <c r="K177" i="21408"/>
  <c r="K183" i="21408"/>
  <c r="K125" i="21408"/>
  <c r="K122" i="21408"/>
  <c r="K163" i="21408"/>
  <c r="K93" i="21408"/>
  <c r="K225" i="21408"/>
  <c r="K104" i="21408"/>
  <c r="K118" i="21408"/>
  <c r="K92" i="21408"/>
  <c r="K84" i="21408"/>
  <c r="K130" i="21408"/>
  <c r="K168" i="21408"/>
  <c r="K37" i="21408"/>
  <c r="K108" i="21408"/>
  <c r="K233" i="21408"/>
  <c r="K222" i="21408"/>
  <c r="K112" i="21408"/>
  <c r="K170" i="21408"/>
  <c r="K135" i="21408"/>
  <c r="K136" i="21408" s="1"/>
  <c r="K220" i="21408"/>
  <c r="K187" i="21408"/>
  <c r="K116" i="21408"/>
  <c r="K32" i="21408"/>
  <c r="K127" i="21408"/>
  <c r="K36" i="21408"/>
  <c r="K175" i="21408"/>
  <c r="K150" i="21408"/>
  <c r="K275" i="21408"/>
  <c r="K103" i="21408"/>
  <c r="K95" i="21408"/>
  <c r="K43" i="21408"/>
  <c r="K133" i="21408"/>
  <c r="K280" i="21408"/>
  <c r="K232" i="21408"/>
  <c r="K149" i="21408"/>
  <c r="K88" i="21408"/>
  <c r="K41" i="21408"/>
  <c r="K185" i="21408"/>
  <c r="K166" i="21408"/>
  <c r="K121" i="21408"/>
  <c r="J128" i="21408" l="1"/>
  <c r="J92" i="21408"/>
  <c r="J163" i="21408"/>
  <c r="J270" i="21408"/>
  <c r="J220" i="21408"/>
  <c r="J113" i="21408"/>
  <c r="J104" i="21408"/>
  <c r="J170" i="21408"/>
  <c r="J155" i="21408"/>
  <c r="J101" i="21408"/>
  <c r="J233" i="21408"/>
  <c r="J135" i="21408"/>
  <c r="J136" i="21408" s="1"/>
  <c r="J269" i="21408"/>
  <c r="J273" i="21408" s="1"/>
  <c r="J147" i="21408"/>
  <c r="J225" i="21408"/>
  <c r="J229" i="21408" s="1"/>
  <c r="J230" i="21408" s="1"/>
  <c r="J272" i="21408"/>
  <c r="J39" i="21408"/>
  <c r="J162" i="21408"/>
  <c r="J114" i="21408"/>
  <c r="J110" i="21408"/>
  <c r="J164" i="21408"/>
  <c r="J183" i="21408"/>
  <c r="J40" i="21408"/>
  <c r="J38" i="21408"/>
  <c r="J115" i="21408"/>
  <c r="J42" i="21408"/>
  <c r="J177" i="21408"/>
  <c r="J127" i="21408"/>
  <c r="J96" i="21408"/>
  <c r="J124" i="21408"/>
  <c r="J116" i="21408"/>
  <c r="J232" i="21408"/>
  <c r="J125" i="21408"/>
  <c r="J186" i="21408"/>
  <c r="J188" i="21408"/>
  <c r="J88" i="21408"/>
  <c r="J122" i="21408"/>
  <c r="J91" i="21408"/>
  <c r="J112" i="21408"/>
  <c r="J133" i="21408"/>
  <c r="J217" i="21408"/>
  <c r="J85" i="21408"/>
  <c r="J149" i="21408"/>
  <c r="J94" i="21408"/>
  <c r="J280" i="21408"/>
  <c r="J165" i="21408"/>
  <c r="J148" i="21408"/>
  <c r="J99" i="21408"/>
  <c r="J175" i="21408"/>
  <c r="J93" i="21408"/>
  <c r="J118" i="21408"/>
  <c r="J84" i="21408"/>
  <c r="J35" i="21408"/>
  <c r="J87" i="21408"/>
  <c r="J32" i="21408"/>
  <c r="J159" i="21408"/>
  <c r="J275" i="21408"/>
  <c r="J37" i="21408"/>
  <c r="J222" i="21408"/>
  <c r="J184" i="21408"/>
  <c r="J167" i="21408"/>
  <c r="J100" i="21408"/>
  <c r="J160" i="21408"/>
  <c r="J36" i="21408"/>
  <c r="J134" i="21408"/>
  <c r="J106" i="21408"/>
  <c r="J43" i="21408"/>
  <c r="J129" i="21408"/>
  <c r="J123" i="21408"/>
  <c r="J20" i="21408"/>
  <c r="J111" i="21408"/>
  <c r="J218" i="21408"/>
  <c r="J105" i="21408"/>
  <c r="J150" i="21408"/>
  <c r="J95" i="21408"/>
  <c r="J108" i="21408"/>
  <c r="J158" i="21408"/>
  <c r="J166" i="21408"/>
  <c r="J157" i="21408"/>
  <c r="J174" i="21408"/>
  <c r="J98" i="21408"/>
  <c r="J86" i="21408"/>
  <c r="J137" i="21408"/>
  <c r="J138" i="21408" s="1"/>
  <c r="J103" i="21408"/>
  <c r="J221" i="21408"/>
  <c r="J168" i="21408"/>
  <c r="J97" i="21408"/>
  <c r="J187" i="21408"/>
  <c r="J130" i="21408"/>
  <c r="J102" i="21408"/>
  <c r="J90" i="21408"/>
  <c r="J109" i="21408"/>
  <c r="J169" i="21408"/>
  <c r="J185" i="21408"/>
  <c r="J107" i="21408"/>
  <c r="J132" i="21408"/>
  <c r="J182" i="21408"/>
  <c r="J121" i="21408"/>
  <c r="J271" i="21408"/>
  <c r="J41" i="21408"/>
  <c r="J89" i="21408"/>
  <c r="J219" i="21408"/>
  <c r="J126" i="21408"/>
  <c r="J131" i="21408"/>
  <c r="J117" i="21408"/>
  <c r="K3" i="21408"/>
  <c r="L224" i="21408"/>
  <c r="K119" i="21408"/>
  <c r="K120" i="21408" s="1"/>
  <c r="M224" i="21408"/>
  <c r="M229" i="21408"/>
  <c r="M230" i="21408" s="1"/>
  <c r="K224" i="21408"/>
  <c r="K229" i="21408"/>
  <c r="K230" i="21408" s="1"/>
  <c r="L119" i="21408"/>
  <c r="L120" i="21408" s="1"/>
  <c r="M136" i="21408"/>
  <c r="M119" i="21408"/>
  <c r="M120" i="21408" s="1"/>
  <c r="M156" i="21408"/>
  <c r="K156" i="21408"/>
  <c r="K181" i="21408"/>
  <c r="K180" i="21408" s="1"/>
  <c r="M181" i="21408"/>
  <c r="M180" i="21408" s="1"/>
  <c r="M179" i="21408" s="1"/>
  <c r="L3" i="21408"/>
  <c r="L156" i="21408"/>
  <c r="L181" i="21408"/>
  <c r="L180" i="21408" s="1"/>
  <c r="M3" i="21408"/>
  <c r="J224" i="21408" l="1"/>
  <c r="G190" i="21408"/>
  <c r="J156" i="21408"/>
  <c r="J119" i="21408"/>
  <c r="J120" i="21408" s="1"/>
  <c r="J3" i="21408"/>
  <c r="G189" i="21408"/>
  <c r="J181" i="21408"/>
  <c r="J180" i="21408" s="1"/>
  <c r="J179" i="21408" s="1"/>
  <c r="H268" i="21408" l="1"/>
  <c r="G267" i="21408"/>
  <c r="I268" i="21408" l="1"/>
  <c r="G268" i="21408" s="1"/>
  <c r="G274" i="21408" l="1"/>
  <c r="G197" i="21408" l="1"/>
  <c r="G215" i="21408"/>
  <c r="C31" i="21397" l="1"/>
  <c r="H178" i="21408" l="1"/>
  <c r="I178" i="21408" l="1"/>
  <c r="G178" i="21408" s="1"/>
  <c r="C30" i="21397" l="1"/>
  <c r="C35" i="21397" s="1"/>
  <c r="I233" i="21408" l="1"/>
  <c r="I98" i="21408"/>
  <c r="I103" i="21408"/>
  <c r="I115" i="21408"/>
  <c r="I41" i="21408"/>
  <c r="I89" i="21408"/>
  <c r="I135" i="21408"/>
  <c r="I136" i="21408" s="1"/>
  <c r="I219" i="21408"/>
  <c r="I188" i="21408"/>
  <c r="I108" i="21408"/>
  <c r="I148" i="21408"/>
  <c r="I129" i="21408"/>
  <c r="I92" i="21408"/>
  <c r="I157" i="21408"/>
  <c r="I182" i="21408"/>
  <c r="I220" i="21408"/>
  <c r="I104" i="21408"/>
  <c r="I160" i="21408"/>
  <c r="I124" i="21408"/>
  <c r="I130" i="21408"/>
  <c r="I86" i="21408"/>
  <c r="I225" i="21408"/>
  <c r="I229" i="21408" s="1"/>
  <c r="I230" i="21408" s="1"/>
  <c r="I96" i="21408"/>
  <c r="I102" i="21408"/>
  <c r="I36" i="21408"/>
  <c r="I158" i="21408"/>
  <c r="I137" i="21408"/>
  <c r="I138" i="21408" s="1"/>
  <c r="I123" i="21408"/>
  <c r="I177" i="21408"/>
  <c r="I118" i="21408"/>
  <c r="I94" i="21408"/>
  <c r="I183" i="21408"/>
  <c r="I122" i="21408"/>
  <c r="I149" i="21408"/>
  <c r="I270" i="21408"/>
  <c r="I222" i="21408"/>
  <c r="I271" i="21408"/>
  <c r="I112" i="21408"/>
  <c r="I166" i="21408"/>
  <c r="I38" i="21408"/>
  <c r="I164" i="21408"/>
  <c r="I131" i="21408"/>
  <c r="I43" i="21408"/>
  <c r="I125" i="21408"/>
  <c r="I95" i="21408"/>
  <c r="I106" i="21408"/>
  <c r="I107" i="21408"/>
  <c r="I121" i="21408"/>
  <c r="I132" i="21408"/>
  <c r="I169" i="21408"/>
  <c r="I133" i="21408"/>
  <c r="I101" i="21408"/>
  <c r="I232" i="21408"/>
  <c r="I126" i="21408"/>
  <c r="I110" i="21408"/>
  <c r="I170" i="21408"/>
  <c r="I162" i="21408"/>
  <c r="I116" i="21408"/>
  <c r="I114" i="21408"/>
  <c r="I105" i="21408"/>
  <c r="I85" i="21408"/>
  <c r="I185" i="21408"/>
  <c r="I40" i="21408"/>
  <c r="I147" i="21408"/>
  <c r="I128" i="21408"/>
  <c r="I187" i="21408"/>
  <c r="I91" i="21408"/>
  <c r="I167" i="21408"/>
  <c r="I93" i="21408"/>
  <c r="I159" i="21408"/>
  <c r="I174" i="21408"/>
  <c r="I37" i="21408"/>
  <c r="I109" i="21408"/>
  <c r="I113" i="21408"/>
  <c r="I87" i="21408"/>
  <c r="I39" i="21408"/>
  <c r="I163" i="21408"/>
  <c r="I134" i="21408"/>
  <c r="I97" i="21408"/>
  <c r="I117" i="21408"/>
  <c r="I280" i="21408"/>
  <c r="I275" i="21408"/>
  <c r="I20" i="21408"/>
  <c r="I184" i="21408"/>
  <c r="I100" i="21408"/>
  <c r="I272" i="21408"/>
  <c r="I150" i="21408"/>
  <c r="I111" i="21408"/>
  <c r="I90" i="21408"/>
  <c r="I42" i="21408"/>
  <c r="I127" i="21408"/>
  <c r="I221" i="21408"/>
  <c r="I218" i="21408"/>
  <c r="I155" i="21408"/>
  <c r="I168" i="21408"/>
  <c r="I217" i="21408"/>
  <c r="I165" i="21408"/>
  <c r="I175" i="21408"/>
  <c r="I99" i="21408"/>
  <c r="I84" i="21408"/>
  <c r="I186" i="21408"/>
  <c r="I88" i="21408"/>
  <c r="I269" i="21408"/>
  <c r="I273" i="21408" s="1"/>
  <c r="I224" i="21408" l="1"/>
  <c r="I3" i="21408"/>
  <c r="I181" i="21408"/>
  <c r="I180" i="21408" s="1"/>
  <c r="I179" i="21408" s="1"/>
  <c r="I156" i="21408"/>
  <c r="I119" i="21408"/>
  <c r="I120" i="21408" s="1"/>
  <c r="G7" i="21408" l="1"/>
  <c r="H93" i="21408"/>
  <c r="G93" i="21408" s="1"/>
  <c r="H101" i="21408"/>
  <c r="G101" i="21408" s="1"/>
  <c r="H270" i="21408"/>
  <c r="G270" i="21408" s="1"/>
  <c r="H217" i="21408"/>
  <c r="G217" i="21408" s="1"/>
  <c r="G16" i="21408"/>
  <c r="G19" i="21408"/>
  <c r="H109" i="21408"/>
  <c r="G109" i="21408" s="1"/>
  <c r="G9" i="21408"/>
  <c r="H107" i="21408"/>
  <c r="G107" i="21408" s="1"/>
  <c r="H232" i="21408"/>
  <c r="G232" i="21408" s="1"/>
  <c r="G15" i="21408"/>
  <c r="H134" i="21408"/>
  <c r="G134" i="21408" s="1"/>
  <c r="H222" i="21408"/>
  <c r="G222" i="21408" s="1"/>
  <c r="H220" i="21408"/>
  <c r="G220" i="21408" s="1"/>
  <c r="G11" i="21408"/>
  <c r="H112" i="21408"/>
  <c r="G112" i="21408" s="1"/>
  <c r="G32" i="21408"/>
  <c r="H160" i="21408"/>
  <c r="G160" i="21408" s="1"/>
  <c r="H158" i="21408"/>
  <c r="G158" i="21408" s="1"/>
  <c r="G26" i="21408"/>
  <c r="H104" i="21408"/>
  <c r="G104" i="21408" s="1"/>
  <c r="H37" i="21408"/>
  <c r="G37" i="21408" s="1"/>
  <c r="H130" i="21408"/>
  <c r="G130" i="21408" s="1"/>
  <c r="G35" i="21408"/>
  <c r="G6" i="21408"/>
  <c r="G21" i="21408"/>
  <c r="H132" i="21408"/>
  <c r="G132" i="21408" s="1"/>
  <c r="H150" i="21408"/>
  <c r="G150" i="21408" s="1"/>
  <c r="H159" i="21408"/>
  <c r="G159" i="21408" s="1"/>
  <c r="G13" i="21408"/>
  <c r="H96" i="21408"/>
  <c r="G96" i="21408" s="1"/>
  <c r="H186" i="21408"/>
  <c r="G186" i="21408" s="1"/>
  <c r="G115" i="21408"/>
  <c r="H184" i="21408"/>
  <c r="G184" i="21408" s="1"/>
  <c r="H116" i="21408"/>
  <c r="G116" i="21408" s="1"/>
  <c r="H94" i="21408"/>
  <c r="G94" i="21408" s="1"/>
  <c r="H162" i="21408"/>
  <c r="G12" i="21408"/>
  <c r="H123" i="21408"/>
  <c r="G123" i="21408" s="1"/>
  <c r="H103" i="21408"/>
  <c r="G103" i="21408" s="1"/>
  <c r="H126" i="21408"/>
  <c r="G126" i="21408" s="1"/>
  <c r="G5" i="21408"/>
  <c r="H269" i="21408"/>
  <c r="H168" i="21408"/>
  <c r="G168" i="21408" s="1"/>
  <c r="H122" i="21408"/>
  <c r="G122" i="21408" s="1"/>
  <c r="H108" i="21408"/>
  <c r="G108" i="21408" s="1"/>
  <c r="H233" i="21408"/>
  <c r="G233" i="21408" s="1"/>
  <c r="G8" i="21408"/>
  <c r="G14" i="21408"/>
  <c r="H98" i="21408"/>
  <c r="G98" i="21408" s="1"/>
  <c r="H149" i="21408"/>
  <c r="G149" i="21408" s="1"/>
  <c r="H85" i="21408"/>
  <c r="G85" i="21408" s="1"/>
  <c r="H91" i="21408"/>
  <c r="G91" i="21408" s="1"/>
  <c r="H42" i="21408"/>
  <c r="G42" i="21408" s="1"/>
  <c r="H127" i="21408"/>
  <c r="G127" i="21408" s="1"/>
  <c r="H41" i="21408"/>
  <c r="G41" i="21408" s="1"/>
  <c r="H219" i="21408"/>
  <c r="G219" i="21408" s="1"/>
  <c r="H86" i="21408"/>
  <c r="G86" i="21408" s="1"/>
  <c r="H106" i="21408"/>
  <c r="G106" i="21408" s="1"/>
  <c r="H100" i="21408"/>
  <c r="G100" i="21408" s="1"/>
  <c r="H135" i="21408"/>
  <c r="H125" i="21408"/>
  <c r="G125" i="21408" s="1"/>
  <c r="H147" i="21408"/>
  <c r="G147" i="21408" s="1"/>
  <c r="H40" i="21408"/>
  <c r="G40" i="21408" s="1"/>
  <c r="G36" i="21408"/>
  <c r="H87" i="21408"/>
  <c r="G87" i="21408" s="1"/>
  <c r="H117" i="21408"/>
  <c r="G117" i="21408" s="1"/>
  <c r="H111" i="21408"/>
  <c r="G111" i="21408" s="1"/>
  <c r="H185" i="21408"/>
  <c r="G185" i="21408" s="1"/>
  <c r="H187" i="21408"/>
  <c r="G187" i="21408" s="1"/>
  <c r="H174" i="21408"/>
  <c r="G174" i="21408" s="1"/>
  <c r="H128" i="21408"/>
  <c r="G128" i="21408" s="1"/>
  <c r="H170" i="21408"/>
  <c r="G170" i="21408" s="1"/>
  <c r="H163" i="21408"/>
  <c r="G163" i="21408" s="1"/>
  <c r="H280" i="21408"/>
  <c r="G280" i="21408" s="1"/>
  <c r="G27" i="21408"/>
  <c r="H97" i="21408"/>
  <c r="G97" i="21408" s="1"/>
  <c r="H129" i="21408"/>
  <c r="G129" i="21408" s="1"/>
  <c r="H164" i="21408"/>
  <c r="G164" i="21408" s="1"/>
  <c r="H20" i="21408"/>
  <c r="G20" i="21408" s="1"/>
  <c r="H124" i="21408"/>
  <c r="G124" i="21408" s="1"/>
  <c r="H99" i="21408"/>
  <c r="G99" i="21408" s="1"/>
  <c r="H131" i="21408"/>
  <c r="G131" i="21408" s="1"/>
  <c r="H175" i="21408"/>
  <c r="G175" i="21408" s="1"/>
  <c r="H88" i="21408"/>
  <c r="G88" i="21408" s="1"/>
  <c r="H102" i="21408"/>
  <c r="G102" i="21408" s="1"/>
  <c r="H118" i="21408"/>
  <c r="G118" i="21408" s="1"/>
  <c r="H271" i="21408"/>
  <c r="G271" i="21408" s="1"/>
  <c r="H133" i="21408"/>
  <c r="G133" i="21408" s="1"/>
  <c r="H272" i="21408"/>
  <c r="G272" i="21408" s="1"/>
  <c r="H218" i="21408"/>
  <c r="G218" i="21408" s="1"/>
  <c r="H90" i="21408"/>
  <c r="G90" i="21408" s="1"/>
  <c r="H110" i="21408"/>
  <c r="G110" i="21408" s="1"/>
  <c r="G22" i="21408"/>
  <c r="H84" i="21408"/>
  <c r="H155" i="21408"/>
  <c r="G155" i="21408" s="1"/>
  <c r="H121" i="21408"/>
  <c r="G121" i="21408" s="1"/>
  <c r="H177" i="21408"/>
  <c r="G177" i="21408" s="1"/>
  <c r="H182" i="21408"/>
  <c r="H113" i="21408"/>
  <c r="G113" i="21408" s="1"/>
  <c r="H114" i="21408"/>
  <c r="G114" i="21408" s="1"/>
  <c r="H92" i="21408"/>
  <c r="G92" i="21408" s="1"/>
  <c r="H95" i="21408"/>
  <c r="G95" i="21408" s="1"/>
  <c r="H169" i="21408"/>
  <c r="G169" i="21408" s="1"/>
  <c r="H148" i="21408"/>
  <c r="G148" i="21408" s="1"/>
  <c r="H165" i="21408"/>
  <c r="G165" i="21408" s="1"/>
  <c r="H89" i="21408"/>
  <c r="G89" i="21408" s="1"/>
  <c r="H275" i="21408"/>
  <c r="G275" i="21408" s="1"/>
  <c r="H105" i="21408"/>
  <c r="G105" i="21408" s="1"/>
  <c r="H183" i="21408"/>
  <c r="G183" i="21408" s="1"/>
  <c r="H188" i="21408"/>
  <c r="G188" i="21408" s="1"/>
  <c r="H167" i="21408"/>
  <c r="G167" i="21408" s="1"/>
  <c r="H137" i="21408"/>
  <c r="H39" i="21408"/>
  <c r="H166" i="21408"/>
  <c r="G166" i="21408" s="1"/>
  <c r="H43" i="21408"/>
  <c r="G43" i="21408" s="1"/>
  <c r="G10" i="21408"/>
  <c r="H221" i="21408"/>
  <c r="G221" i="21408" s="1"/>
  <c r="H225" i="21408"/>
  <c r="H224" i="21408" s="1"/>
  <c r="G224" i="21408" s="1"/>
  <c r="H157" i="21408"/>
  <c r="H38" i="21408"/>
  <c r="G38" i="21408" s="1"/>
  <c r="G72" i="21409"/>
  <c r="E72" i="21409" l="1"/>
  <c r="G15" i="21409"/>
  <c r="G14" i="21409"/>
  <c r="G182" i="21408"/>
  <c r="C40" i="21397"/>
  <c r="C44" i="21397"/>
  <c r="C15" i="21397"/>
  <c r="C43" i="21397"/>
  <c r="C21" i="21397"/>
  <c r="C16" i="21397"/>
  <c r="C14" i="21397"/>
  <c r="C41" i="21397"/>
  <c r="C17" i="21397"/>
  <c r="H181" i="21408"/>
  <c r="G162" i="21408"/>
  <c r="G269" i="21408"/>
  <c r="H273" i="21408"/>
  <c r="G273" i="21408" s="1"/>
  <c r="H156" i="21408"/>
  <c r="G156" i="21408" s="1"/>
  <c r="G157" i="21408"/>
  <c r="G137" i="21408"/>
  <c r="H138" i="21408"/>
  <c r="G138" i="21408" s="1"/>
  <c r="H229" i="21408"/>
  <c r="G225" i="21408"/>
  <c r="G191" i="21408"/>
  <c r="H119" i="21408"/>
  <c r="G84" i="21408"/>
  <c r="H3" i="21408"/>
  <c r="G3" i="21408" s="1"/>
  <c r="G4" i="21408"/>
  <c r="H136" i="21408"/>
  <c r="G136" i="21408" s="1"/>
  <c r="G135" i="21408"/>
  <c r="E11" i="21409" l="1"/>
  <c r="E16" i="21409" s="1"/>
  <c r="C38" i="21397"/>
  <c r="C24" i="21397"/>
  <c r="C26" i="21397" s="1"/>
  <c r="C12" i="21397"/>
  <c r="C19" i="21397" s="1"/>
  <c r="H120" i="21408"/>
  <c r="G120" i="21408" s="1"/>
  <c r="G119" i="21408"/>
  <c r="H230" i="21408"/>
  <c r="G230" i="21408" s="1"/>
  <c r="G229" i="21408"/>
  <c r="H180" i="21408"/>
  <c r="G181" i="21408"/>
  <c r="C47" i="21397"/>
  <c r="H179" i="21408" l="1"/>
  <c r="G179" i="21408" s="1"/>
  <c r="G180" i="21408"/>
  <c r="E255" i="21409" l="1"/>
  <c r="G38" i="21409"/>
  <c r="E38" i="21409" l="1"/>
  <c r="G70" i="21409"/>
  <c r="E70" i="21409" l="1"/>
  <c r="G37" i="21409"/>
  <c r="G41" i="21409"/>
  <c r="G300" i="21409"/>
  <c r="G79" i="21409"/>
  <c r="G202" i="21409"/>
  <c r="G51" i="21409"/>
  <c r="G261" i="21409"/>
  <c r="G269" i="21409"/>
  <c r="G299" i="21409"/>
  <c r="G174" i="21409"/>
  <c r="G292" i="21409"/>
  <c r="G82" i="21409"/>
  <c r="G206" i="21409"/>
  <c r="G78" i="21409"/>
  <c r="G208" i="21409"/>
  <c r="G297" i="21409"/>
  <c r="G265" i="21409"/>
  <c r="G144" i="21409"/>
  <c r="G77" i="21409"/>
  <c r="G42" i="21409"/>
  <c r="G100" i="21409"/>
  <c r="G74" i="21409"/>
  <c r="G308" i="21409"/>
  <c r="G90" i="21409"/>
  <c r="G110" i="21409"/>
  <c r="G44" i="21409"/>
  <c r="G198" i="21409"/>
  <c r="G302" i="21409"/>
  <c r="G217" i="21409"/>
  <c r="G177" i="21409"/>
  <c r="G315" i="21409"/>
  <c r="G306" i="21409"/>
  <c r="G150" i="21409"/>
  <c r="G172" i="21409"/>
  <c r="G76" i="21409"/>
  <c r="G61" i="21409"/>
  <c r="G220" i="21409"/>
  <c r="G262" i="21409"/>
  <c r="G251" i="21409"/>
  <c r="G178" i="21409"/>
  <c r="G218" i="21409"/>
  <c r="G245" i="21409"/>
  <c r="G143" i="21409"/>
  <c r="G141" i="21409"/>
  <c r="G298" i="21409"/>
  <c r="G47" i="21409"/>
  <c r="G83" i="21409"/>
  <c r="G95" i="21409"/>
  <c r="G314" i="21409"/>
  <c r="G264" i="21409"/>
  <c r="G63" i="21409"/>
  <c r="G58" i="21409"/>
  <c r="G222" i="21409"/>
  <c r="G46" i="21409"/>
  <c r="G62" i="21409"/>
  <c r="G48" i="21409"/>
  <c r="G253" i="21409"/>
  <c r="G201" i="21409"/>
  <c r="G249" i="21409"/>
  <c r="G267" i="21409"/>
  <c r="G140" i="21409"/>
  <c r="G68" i="21409"/>
  <c r="G244" i="21409"/>
  <c r="G247" i="21409"/>
  <c r="G89" i="21409"/>
  <c r="G307" i="21409"/>
  <c r="G309" i="21409"/>
  <c r="G80" i="21409"/>
  <c r="G56" i="21409"/>
  <c r="G168" i="21409"/>
  <c r="G69" i="21409"/>
  <c r="G175" i="21409"/>
  <c r="G147" i="21409"/>
  <c r="G55" i="21409"/>
  <c r="G50" i="21409"/>
  <c r="G305" i="21409"/>
  <c r="G263" i="21409"/>
  <c r="G60" i="21409"/>
  <c r="G84" i="21409"/>
  <c r="G139" i="21409"/>
  <c r="G65" i="21409"/>
  <c r="G246" i="21409"/>
  <c r="G310" i="21409"/>
  <c r="G96" i="21409"/>
  <c r="G304" i="21409"/>
  <c r="G105" i="21409"/>
  <c r="G293" i="21409"/>
  <c r="G170" i="21409"/>
  <c r="G295" i="21409"/>
  <c r="G254" i="21409"/>
  <c r="G81" i="21409"/>
  <c r="G176" i="21409"/>
  <c r="G108" i="21409"/>
  <c r="G215" i="21409"/>
  <c r="G73" i="21409"/>
  <c r="G106" i="21409"/>
  <c r="G205" i="21409"/>
  <c r="G53" i="21409"/>
  <c r="G103" i="21409"/>
  <c r="G88" i="21409"/>
  <c r="G102" i="21409"/>
  <c r="G291" i="21409"/>
  <c r="G104" i="21409"/>
  <c r="G250" i="21409"/>
  <c r="G101" i="21409"/>
  <c r="G57" i="21409"/>
  <c r="G54" i="21409"/>
  <c r="G219" i="21409"/>
  <c r="G179" i="21409"/>
  <c r="G75" i="21409"/>
  <c r="G211" i="21409"/>
  <c r="G99" i="21409"/>
  <c r="G109" i="21409"/>
  <c r="G248" i="21409"/>
  <c r="G257" i="21409"/>
  <c r="G86" i="21409"/>
  <c r="G107" i="21409"/>
  <c r="G87" i="21409"/>
  <c r="G212" i="21409"/>
  <c r="G313" i="21409"/>
  <c r="G259" i="21409"/>
  <c r="G204" i="21409"/>
  <c r="G85" i="21409"/>
  <c r="G71" i="21409"/>
  <c r="G149" i="21409"/>
  <c r="G303" i="21409"/>
  <c r="G171" i="21409"/>
  <c r="G91" i="21409"/>
  <c r="G290" i="21409"/>
  <c r="G152" i="21409"/>
  <c r="G64" i="21409"/>
  <c r="G294" i="21409"/>
  <c r="G200" i="21409"/>
  <c r="G92" i="21409"/>
  <c r="G311" i="21409"/>
  <c r="G169" i="21409"/>
  <c r="G209" i="21409"/>
  <c r="G214" i="21409"/>
  <c r="G180" i="21409"/>
  <c r="G43" i="21409"/>
  <c r="G312" i="21409"/>
  <c r="G173" i="21409"/>
  <c r="G221" i="21409"/>
  <c r="G296" i="21409"/>
  <c r="G67" i="21409"/>
  <c r="G49" i="21409"/>
  <c r="G148" i="21409"/>
  <c r="E37" i="21409" l="1"/>
  <c r="E211" i="21409"/>
  <c r="E295" i="21409"/>
  <c r="E58" i="21409"/>
  <c r="E83" i="21409"/>
  <c r="E215" i="21409"/>
  <c r="E178" i="21409"/>
  <c r="E247" i="21409"/>
  <c r="E200" i="21409"/>
  <c r="E96" i="21409"/>
  <c r="E217" i="21409"/>
  <c r="E101" i="21409"/>
  <c r="E42" i="21409"/>
  <c r="E61" i="21409"/>
  <c r="E147" i="21409"/>
  <c r="E291" i="21409"/>
  <c r="E173" i="21409"/>
  <c r="E148" i="21409"/>
  <c r="E64" i="21409"/>
  <c r="E71" i="21409"/>
  <c r="E139" i="21409"/>
  <c r="E206" i="21409"/>
  <c r="E204" i="21409"/>
  <c r="E140" i="21409"/>
  <c r="E249" i="21409"/>
  <c r="E149" i="21409"/>
  <c r="E171" i="21409"/>
  <c r="E143" i="21409"/>
  <c r="E91" i="21409"/>
  <c r="E251" i="21409"/>
  <c r="E254" i="21409"/>
  <c r="E265" i="21409"/>
  <c r="E222" i="21409"/>
  <c r="E103" i="21409"/>
  <c r="E46" i="21409"/>
  <c r="E53" i="21409"/>
  <c r="E57" i="21409"/>
  <c r="E55" i="21409"/>
  <c r="E302" i="21409"/>
  <c r="E298" i="21409"/>
  <c r="E85" i="21409"/>
  <c r="E290" i="21409"/>
  <c r="E51" i="21409"/>
  <c r="E49" i="21409"/>
  <c r="E179" i="21409"/>
  <c r="E144" i="21409"/>
  <c r="E109" i="21409"/>
  <c r="E174" i="21409"/>
  <c r="E168" i="21409"/>
  <c r="E304" i="21409"/>
  <c r="E201" i="21409"/>
  <c r="E150" i="21409"/>
  <c r="E308" i="21409"/>
  <c r="E253" i="21409"/>
  <c r="E90" i="21409"/>
  <c r="E245" i="21409"/>
  <c r="E214" i="21409"/>
  <c r="E212" i="21409"/>
  <c r="E77" i="21409"/>
  <c r="E86" i="21409"/>
  <c r="E100" i="21409"/>
  <c r="E92" i="21409"/>
  <c r="E259" i="21409"/>
  <c r="E56" i="21409"/>
  <c r="E315" i="21409"/>
  <c r="E198" i="21409"/>
  <c r="E300" i="21409"/>
  <c r="E95" i="21409"/>
  <c r="E261" i="21409"/>
  <c r="E172" i="21409"/>
  <c r="E303" i="21409"/>
  <c r="E297" i="21409"/>
  <c r="E306" i="21409"/>
  <c r="E208" i="21409"/>
  <c r="E88" i="21409"/>
  <c r="E89" i="21409"/>
  <c r="E310" i="21409"/>
  <c r="E47" i="21409"/>
  <c r="E311" i="21409"/>
  <c r="E84" i="21409"/>
  <c r="E67" i="21409"/>
  <c r="E175" i="21409"/>
  <c r="E81" i="21409"/>
  <c r="E43" i="21409"/>
  <c r="E82" i="21409"/>
  <c r="E141" i="21409"/>
  <c r="E87" i="21409"/>
  <c r="E305" i="21409"/>
  <c r="E314" i="21409"/>
  <c r="E69" i="21409"/>
  <c r="E263" i="21409"/>
  <c r="E62" i="21409"/>
  <c r="E221" i="21409"/>
  <c r="E75" i="21409"/>
  <c r="E76" i="21409"/>
  <c r="E79" i="21409"/>
  <c r="E209" i="21409"/>
  <c r="E313" i="21409"/>
  <c r="E219" i="21409"/>
  <c r="E170" i="21409"/>
  <c r="E262" i="21409"/>
  <c r="E48" i="21409"/>
  <c r="E299" i="21409"/>
  <c r="E110" i="21409"/>
  <c r="E60" i="21409"/>
  <c r="E244" i="21409"/>
  <c r="E312" i="21409"/>
  <c r="E220" i="21409"/>
  <c r="E294" i="21409"/>
  <c r="E250" i="21409"/>
  <c r="E257" i="21409"/>
  <c r="E248" i="21409"/>
  <c r="E176" i="21409"/>
  <c r="E41" i="21409"/>
  <c r="E80" i="21409"/>
  <c r="E246" i="21409"/>
  <c r="E63" i="21409"/>
  <c r="E65" i="21409"/>
  <c r="E54" i="21409"/>
  <c r="E102" i="21409"/>
  <c r="E293" i="21409"/>
  <c r="E218" i="21409"/>
  <c r="E50" i="21409"/>
  <c r="E307" i="21409"/>
  <c r="E78" i="21409"/>
  <c r="E202" i="21409"/>
  <c r="E296" i="21409"/>
  <c r="E68" i="21409"/>
  <c r="E292" i="21409"/>
  <c r="E44" i="21409"/>
  <c r="E264" i="21409"/>
  <c r="E74" i="21409"/>
  <c r="E205" i="21409"/>
  <c r="E180" i="21409"/>
  <c r="E177" i="21409"/>
  <c r="E99" i="21409"/>
  <c r="E73" i="21409"/>
  <c r="E309" i="21409"/>
  <c r="E169" i="21409"/>
  <c r="E152" i="21409"/>
  <c r="E270" i="21409" l="1"/>
  <c r="E223" i="21409"/>
  <c r="E316" i="21409"/>
  <c r="E181" i="21409"/>
  <c r="E153" i="21409"/>
  <c r="E111" i="21409"/>
  <c r="E338" i="21409" l="1"/>
</calcChain>
</file>

<file path=xl/comments1.xml><?xml version="1.0" encoding="utf-8"?>
<comments xmlns="http://schemas.openxmlformats.org/spreadsheetml/2006/main">
  <authors>
    <author>Juan Francisco Martinez</author>
  </authors>
  <commentList>
    <comment ref="T329" authorId="0" shapeId="0">
      <text>
        <r>
          <rPr>
            <b/>
            <sz val="9"/>
            <color indexed="81"/>
            <rFont val="Tahoma"/>
            <family val="2"/>
          </rPr>
          <t>Dist 1st Dropper</t>
        </r>
      </text>
    </comment>
    <comment ref="T411" authorId="0" shapeId="0">
      <text>
        <r>
          <rPr>
            <b/>
            <sz val="9"/>
            <color indexed="81"/>
            <rFont val="Tahoma"/>
            <family val="2"/>
          </rPr>
          <t>Dist 1st Dropper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75" authorId="0" shapeId="0">
      <text>
        <r>
          <rPr>
            <b/>
            <sz val="9"/>
            <color indexed="81"/>
            <rFont val="Tahoma"/>
            <family val="2"/>
          </rPr>
          <t xml:space="preserve">Attack other side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481" authorId="0" shapeId="0">
      <text>
        <r>
          <rPr>
            <b/>
            <sz val="9"/>
            <color indexed="81"/>
            <rFont val="Tahoma"/>
            <family val="2"/>
          </rPr>
          <t>Distance 1st Dropper: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Juan Francisco Martinez</author>
  </authors>
  <commentList>
    <comment ref="T329" authorId="0" shapeId="0">
      <text>
        <r>
          <rPr>
            <b/>
            <sz val="9"/>
            <color indexed="81"/>
            <rFont val="Tahoma"/>
            <family val="2"/>
          </rPr>
          <t>Dist 1st Dropper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467" authorId="0" shapeId="0">
      <text>
        <r>
          <rPr>
            <b/>
            <sz val="9"/>
            <color indexed="81"/>
            <rFont val="Tahoma"/>
            <family val="2"/>
          </rPr>
          <t>Dist 1st Dropper
No Stich Wire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Juan Francisco Martinez</author>
  </authors>
  <commentList>
    <comment ref="T31" authorId="0" shapeId="0">
      <text>
        <r>
          <rPr>
            <b/>
            <sz val="9"/>
            <color indexed="81"/>
            <rFont val="Tahoma"/>
            <family val="2"/>
          </rPr>
          <t>Other side Cantilever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31" authorId="0" shapeId="0">
      <text>
        <r>
          <rPr>
            <b/>
            <sz val="9"/>
            <color indexed="81"/>
            <rFont val="Tahoma"/>
            <family val="2"/>
          </rPr>
          <t>Other side Cantilever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miusuario</author>
    <author>Juan Francisco Martinez</author>
  </authors>
  <commentList>
    <comment ref="C103" authorId="0" shapeId="0">
      <text>
        <r>
          <rPr>
            <b/>
            <sz val="9"/>
            <color indexed="81"/>
            <rFont val="Tahoma"/>
            <family val="2"/>
          </rPr>
          <t>miusuario:</t>
        </r>
        <r>
          <rPr>
            <sz val="9"/>
            <color indexed="81"/>
            <rFont val="Tahoma"/>
            <family val="2"/>
          </rPr>
          <t xml:space="preserve">
Incluye dos conjuntos
</t>
        </r>
      </text>
    </comment>
    <comment ref="C105" authorId="1" shapeId="0">
      <text>
        <r>
          <rPr>
            <b/>
            <sz val="9"/>
            <color indexed="81"/>
            <rFont val="Tahoma"/>
            <family val="2"/>
          </rPr>
          <t>incluye dos conjuntos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7" authorId="1" shapeId="0">
      <text>
        <r>
          <rPr>
            <b/>
            <sz val="9"/>
            <color indexed="81"/>
            <rFont val="Tahoma"/>
            <family val="2"/>
          </rPr>
          <t>incluye dos conjuntos</t>
        </r>
      </text>
    </comment>
  </commentList>
</comments>
</file>

<file path=xl/sharedStrings.xml><?xml version="1.0" encoding="utf-8"?>
<sst xmlns="http://schemas.openxmlformats.org/spreadsheetml/2006/main" count="15254" uniqueCount="3294">
  <si>
    <t>6-S.02</t>
  </si>
  <si>
    <t>6-S.03</t>
  </si>
  <si>
    <t>6-S.04</t>
  </si>
  <si>
    <t>6-S.06</t>
  </si>
  <si>
    <t>6-S.07</t>
  </si>
  <si>
    <t>6-S.08</t>
  </si>
  <si>
    <t>6-S.09</t>
  </si>
  <si>
    <t>6-S.11</t>
  </si>
  <si>
    <t>Total Parcial 6-S</t>
  </si>
  <si>
    <t>6-I. ALIMENTACIÓN- CONEXIONES DE CATENARIA Y SECCIONADORES - INSTALACION</t>
  </si>
  <si>
    <t>6-I.02</t>
  </si>
  <si>
    <t>6-I.03</t>
  </si>
  <si>
    <t>6-I.04</t>
  </si>
  <si>
    <t>6-I.05</t>
  </si>
  <si>
    <t>6-I.07</t>
  </si>
  <si>
    <t>Total Parcial 6-I</t>
  </si>
  <si>
    <t>TOTAL 6 ALIMENTACIÓN - CONEXIONES DE CATENARIA Y SECCIONADORES</t>
  </si>
  <si>
    <t>7 PROTECCIONES</t>
  </si>
  <si>
    <t>7-S. PROTECCIONES - SUMINISTRO DE MATERIALES</t>
  </si>
  <si>
    <t>7-S.01</t>
  </si>
  <si>
    <t>7-S.02</t>
  </si>
  <si>
    <t>7-S.03</t>
  </si>
  <si>
    <t>7-S.04</t>
  </si>
  <si>
    <t>7-S.05</t>
  </si>
  <si>
    <t>7-S.06</t>
  </si>
  <si>
    <t>7-S.07</t>
  </si>
  <si>
    <t>7-S.08</t>
  </si>
  <si>
    <t>7-S.09</t>
  </si>
  <si>
    <t>7-S.10</t>
  </si>
  <si>
    <t>7-S.11</t>
  </si>
  <si>
    <t>7-S.12</t>
  </si>
  <si>
    <t>7-S.13</t>
  </si>
  <si>
    <t>7-S.14</t>
  </si>
  <si>
    <t>Total Parcial 7-S</t>
  </si>
  <si>
    <t>7-I. PROTECCIONES - INSTALACION</t>
  </si>
  <si>
    <t>7-I.01</t>
  </si>
  <si>
    <t>7-I.02</t>
  </si>
  <si>
    <t>7-I.03</t>
  </si>
  <si>
    <t>7-I.04</t>
  </si>
  <si>
    <t>7-I.05</t>
  </si>
  <si>
    <t>7-I.06</t>
  </si>
  <si>
    <t>7-I.07</t>
  </si>
  <si>
    <t>7-I.08</t>
  </si>
  <si>
    <t>7-I.09</t>
  </si>
  <si>
    <t>7-I.10</t>
  </si>
  <si>
    <t>7-I.11</t>
  </si>
  <si>
    <t>7-I.12</t>
  </si>
  <si>
    <t>7-I.13</t>
  </si>
  <si>
    <t>7-I.14</t>
  </si>
  <si>
    <t>7-I.15</t>
  </si>
  <si>
    <t>7-I.16</t>
  </si>
  <si>
    <t>Total Parcial 7-I</t>
  </si>
  <si>
    <t>TOTAL 7 PROTECCIONES</t>
  </si>
  <si>
    <t>TOTAL CAPÍTULO  CATENARIA</t>
  </si>
  <si>
    <t>Suplemento de ménsula en poste hasta 5m. de gálibo</t>
  </si>
  <si>
    <t>INSTALACIÓN</t>
  </si>
  <si>
    <t>MATERIALES</t>
  </si>
  <si>
    <t>Suplemento por cimentación en roca, con micropilotes o sistema de perforación de roca para poste Tipo C1 a C4</t>
  </si>
  <si>
    <t>Suplemento por cimentación  en roca, con micropilotes o sistema de perforación de roca para poste Tipo C5 a C7</t>
  </si>
  <si>
    <t xml:space="preserve">Acopio, izado y nivelado de poste de SSEE. </t>
  </si>
  <si>
    <t>1.6. Silletas en pórtico dobles</t>
  </si>
  <si>
    <t>CIMENTACIONES:</t>
  </si>
  <si>
    <t>POSTES Y SILLETAS:</t>
  </si>
  <si>
    <t>P.Entrevía (a restar)</t>
  </si>
  <si>
    <t>Soporte de giro para dos o tres ménsulas en poste. Incluye herrajes y tornillería necesarios para su fijación al poste o al soporte.</t>
  </si>
  <si>
    <t>Soporte de giro para dos o tres ménsulas en silleta. Incluye herrajes y tornillería necesarios para su fijación al soporte.</t>
  </si>
  <si>
    <t>3.3 Doble retorno</t>
  </si>
  <si>
    <t>4.5. Anclajes cr</t>
  </si>
  <si>
    <t>4.6.Anclajes 2cr</t>
  </si>
  <si>
    <t>Soporte en túnel para una ménsula. Incluye silleta, dos jabalcones, elementos de fijación a túnel, herrajes y tornillería necesarios.</t>
  </si>
  <si>
    <t>Soporte en túnel para dos ménsulas. Incluye silleta, dos jabalcones, elementos de fijación a túnel, herrajes y tornillería necesarios.</t>
  </si>
  <si>
    <t>Acopio, izado y nivelado de pórtico rígido tipo PR1</t>
  </si>
  <si>
    <t>Acopio, izado y nivelado de pórtico rígido tipo PR2</t>
  </si>
  <si>
    <t>Acopio, izado y nivelado de pórtico rígido tipo PR3</t>
  </si>
  <si>
    <t>Acopio, izado y nivelado de pórtico rígido tipo PR4</t>
  </si>
  <si>
    <t>Acopio y montaje de silleta en túnel para una ménsula</t>
  </si>
  <si>
    <t>Acopio y montaje de silleta en túnel para dos ménsulas</t>
  </si>
  <si>
    <t>Acopio y montaje de silleta en PR para  una ménsula</t>
  </si>
  <si>
    <t>Acopio y montaje de silleta en PR para  dos ménsulas</t>
  </si>
  <si>
    <t>Catenaria Bz-70 y HC-100 Cu-Ag</t>
  </si>
  <si>
    <t>Péndola equipotencial de bucle Bz-10</t>
  </si>
  <si>
    <t>Péndola equipotencial de bucle Bz-10 para falso sustentador</t>
  </si>
  <si>
    <t>Falso sustentador Bz-25</t>
  </si>
  <si>
    <t>Acopio, tendido, regulado y pendolado de catenaria al aire libre, incluyendo la colocación del falso sustentador y el ajuste de ménsulas.</t>
  </si>
  <si>
    <t>Acopio, tendido, regulado y pendolado de catenaria en túnel, incluyendo la colocación del falso sustentador y el ajuste de ménsulas.</t>
  </si>
  <si>
    <t>Anclaje de feeder de refuerzo en túnel</t>
  </si>
  <si>
    <t>Apoyo de un feeder de refuerzo en túnel</t>
  </si>
  <si>
    <t>Silleta para feeder de refuerzo suspendido en cabeza de poste</t>
  </si>
  <si>
    <t>Silleta para feeder  de refuerzo apoyado en cabeza de poste</t>
  </si>
  <si>
    <t>Suspensión de feeder de refuerzo con aisladores en V</t>
  </si>
  <si>
    <t>Conexión feeder de refuerzo a catenaria</t>
  </si>
  <si>
    <t>Acopio, tendido, tensado y regulado de feeder de refuerzo,  incluyendo el montaje de la cadena de aisladores y pinza de suspensión en cruceta del poste</t>
  </si>
  <si>
    <t>Conexión de feeder de refuerzo a catenaria</t>
  </si>
  <si>
    <t>Cable de retorno de subestación</t>
  </si>
  <si>
    <t>Conexión de cable para retorno de subestación a carril.</t>
  </si>
  <si>
    <t>Aislamiento intermedio de sustentador Bz-70</t>
  </si>
  <si>
    <t>Aislador de sección en catenaria de 25kV AC., incluidos aislador de HC y sustentador.</t>
  </si>
  <si>
    <t>Seccionador monopolar de apertura en carga con puesta a tierra, incluido el aparellaje necesario para su conexionado a la catenaria.</t>
  </si>
  <si>
    <t>Cable para la alimentación de los motores de los seccionadores</t>
  </si>
  <si>
    <t xml:space="preserve">Conexión de cable de retorno de SSEE a carril </t>
  </si>
  <si>
    <t>Acopio e Instalación de cable para alimentación de los motores de seccionadores incluida la apertura y cierre de tapas de canaletas, ejecución de zanjas, y todos los materiales y trabajos necesarios</t>
  </si>
  <si>
    <t>Puesta a tierra de poste en andén</t>
  </si>
  <si>
    <t>Conjunto de ménsula de cola elevada</t>
  </si>
  <si>
    <t>Apoyo para feeder en cabeza de poste</t>
  </si>
  <si>
    <t>Péndola equipotencial de bucle con cable Bz-10</t>
  </si>
  <si>
    <t>Péndola equipotencial de bucle con cable Bz-10 para falso sustentador</t>
  </si>
  <si>
    <t>Punto fijo</t>
  </si>
  <si>
    <t>Conexión en perfil de túnel para dos silletas</t>
  </si>
  <si>
    <t>Anclaje de catenaria con regulación de tensión en túnel</t>
  </si>
  <si>
    <t>Anclaje de catenaria sin regulación de tensión en túnel</t>
  </si>
  <si>
    <t>Punto fijo en túnel</t>
  </si>
  <si>
    <t>Conjunto de conexiones de seccionamiento</t>
  </si>
  <si>
    <t>Puesta en paralelo de carriles</t>
  </si>
  <si>
    <t>Conexión de poste a carril</t>
  </si>
  <si>
    <t>Puesta en paralelo de cables de retorno en túnel con doble conexión a carril</t>
  </si>
  <si>
    <t>M de cable de retorno de subestación</t>
  </si>
  <si>
    <t>Conexión de poste o anclaje a cable colector en viaducto</t>
  </si>
  <si>
    <t>Puenteo de junta de dilatación</t>
  </si>
  <si>
    <t>Conexión de cable colector a carril</t>
  </si>
  <si>
    <t>Seccionador monopolar de AV</t>
  </si>
  <si>
    <t>Seccionador monopolar de AC</t>
  </si>
  <si>
    <t>Conjunto de autoválvula</t>
  </si>
  <si>
    <t>Conjunto de conexiones de colas en L.A.</t>
  </si>
  <si>
    <t>M1</t>
  </si>
  <si>
    <t>M2</t>
  </si>
  <si>
    <t>M3</t>
  </si>
  <si>
    <t>D1</t>
  </si>
  <si>
    <t>D2</t>
  </si>
  <si>
    <t>D3</t>
  </si>
  <si>
    <t>H1</t>
  </si>
  <si>
    <t>H2</t>
  </si>
  <si>
    <t>H3</t>
  </si>
  <si>
    <t>E1</t>
  </si>
  <si>
    <t>E2</t>
  </si>
  <si>
    <t>E3</t>
  </si>
  <si>
    <t>B1</t>
  </si>
  <si>
    <t>B2</t>
  </si>
  <si>
    <t>B3</t>
  </si>
  <si>
    <t>A/S</t>
  </si>
  <si>
    <t>S1</t>
  </si>
  <si>
    <t>EMT-T</t>
  </si>
  <si>
    <t>BC-XXX</t>
  </si>
  <si>
    <t>P90</t>
  </si>
  <si>
    <t>P50</t>
  </si>
  <si>
    <t>EMT-1</t>
  </si>
  <si>
    <t>EMT-2</t>
  </si>
  <si>
    <t>COD.</t>
  </si>
  <si>
    <t>Ud</t>
  </si>
  <si>
    <t>PRECIO UNITARIO</t>
  </si>
  <si>
    <t>Suplemento por cimentación  en roca, con micropilotes o sistema de perforación de roca  para anclaje</t>
  </si>
  <si>
    <t>m.</t>
  </si>
  <si>
    <t>Acopio y montaje de tirante de anclaje</t>
  </si>
  <si>
    <t>Colocación de bulón en poste</t>
  </si>
  <si>
    <t>Premontaje, acopio, montaje y ajuste de una ménsula de vía general</t>
  </si>
  <si>
    <t>Premontaje, acopio, montaje y ajuste de doble ménsula de vía general</t>
  </si>
  <si>
    <t>Premontaje, acopio, montaje y ajuste de triple ménsula de vía general</t>
  </si>
  <si>
    <t>Premontaje, acopio, montaje y ajuste de una ménsula de túnel</t>
  </si>
  <si>
    <t>Desmontaje, modificación y nuevo montaje por modificación del trazado de vía, incluyendo los elementos de transporte y demás elementos auxiliares para su perfecto funcionamiento</t>
  </si>
  <si>
    <t>km</t>
  </si>
  <si>
    <t>Anclaje de catenaria con regulación de tensión</t>
  </si>
  <si>
    <t>Anclaje de catenaria sin regulación de tensión</t>
  </si>
  <si>
    <t>Conjunto de punto fijo</t>
  </si>
  <si>
    <t>Conjunto de punto fijo en túnel</t>
  </si>
  <si>
    <t>Despendolado y pendolado de catenaria por modificación del trazado de la vía incluyendo la retirada de péndolas desmontadas a parque y todas las operaciones y elementos auxiliares necesarios para el correcto funcionamiento de la catenaria.</t>
  </si>
  <si>
    <t>Anclaje de catenaria sin compensar en vía general</t>
  </si>
  <si>
    <t>Anclaje de una catenaria sin compensar en túnel</t>
  </si>
  <si>
    <t>Acopio, montaje y regulación de un equipo de anclaje de catenaria compensada al aire libre.</t>
  </si>
  <si>
    <t>Acopio, montaje y regulación de un equipo de anclaje de catenaria compensada en túnel</t>
  </si>
  <si>
    <t>Acopio y montaje de equipo de regulación mecánica tipo TENSOREX a instalar en túneles de gálibo reducido.</t>
  </si>
  <si>
    <t>Suplemento por montaje de cadena en V</t>
  </si>
  <si>
    <t>Conexión en perfil de túnel para una silleta</t>
  </si>
  <si>
    <t>m</t>
  </si>
  <si>
    <t>Seccionador monopolar de apertura en vacío, incluido el aparellaje necesario para su conexionado  a la catenaria.</t>
  </si>
  <si>
    <t>Acopio y montaje de aislamiento intermedio en sustentador, hilo de contacto o feeder</t>
  </si>
  <si>
    <t>Acopio y montaje de aislador de sección</t>
  </si>
  <si>
    <t>Acopio y montaje de seccionador unipolar</t>
  </si>
  <si>
    <t>Puesta a tierra de armaduras en PS</t>
  </si>
  <si>
    <t>Puenteo de juntas de dilatación</t>
  </si>
  <si>
    <t>Superficie equipotencial en accionamiento en poste</t>
  </si>
  <si>
    <t>Conjunto de autoválvula, incluyendo los elementos de sujección al poste o pórtico.</t>
  </si>
  <si>
    <t>Aislamiento de sustentador y feederes en pasos superiores y zonas de gálibo reducido.</t>
  </si>
  <si>
    <t>Instalación de cable colector</t>
  </si>
  <si>
    <t>Acopio y montaje de conexión de estructura a cable colector en viaducto</t>
  </si>
  <si>
    <t>Acopio y montaje de conexión de paso superior a carril</t>
  </si>
  <si>
    <t>Acopio y montaje de puesta en paralelo entre carriles</t>
  </si>
  <si>
    <t>Acopio y montaje de conexión de poste a carril</t>
  </si>
  <si>
    <t>Acopio y montaje de conexión de los soportes metálicos en túnel al cable colector</t>
  </si>
  <si>
    <t>Acopio y montaje de conexión entre carriles de dos vías en túnel</t>
  </si>
  <si>
    <t>Acopio y montaje de conexión de poste o anclaje a cable colector en viaducto</t>
  </si>
  <si>
    <t>Acopio y montaje de puenteo de junta de dilatación en viaducto</t>
  </si>
  <si>
    <t>Acopio y montaje de conexión de cable colector a carril</t>
  </si>
  <si>
    <t>Acopio y montaje de superficie equipotencial en poste</t>
  </si>
  <si>
    <t>Acopio y montaje de superficie equipotencial para los seccionadores de un pórtico.</t>
  </si>
  <si>
    <t>Acopio y montaje de autoválvula</t>
  </si>
  <si>
    <t>Instalación de aislamiento de sustentador y feeder en pasos superiores y zonas de gálibo reducido.</t>
  </si>
  <si>
    <t>Suministro y montaje de placa aislante de 2x1 m para protección de paramentos excesivamente próximos.</t>
  </si>
  <si>
    <t>Construcción de nicho de 2x1x0,15 para instalación de placa aislante de protección, incluido marco de aluminio o acero inoxidable para evacuación de aguas.</t>
  </si>
  <si>
    <t>DESCRIPCION</t>
  </si>
  <si>
    <t>TOTAL</t>
  </si>
  <si>
    <t>Conjunto de pica de tierra sencilla</t>
  </si>
  <si>
    <t>Puesta a tierra de armaduras en pasos superiores</t>
  </si>
  <si>
    <t>MEDICION</t>
  </si>
  <si>
    <t>Placa de anclaje de poste en viaducto</t>
  </si>
  <si>
    <t>Placa de anclaje de tirante en viaducto</t>
  </si>
  <si>
    <t>Cimentación cilíndrica para anclaje de sustentador, retorno o feeder, incluyendo las armaduras, hormigón, encofrados… necesarios para su total terminación, ejecutada desde la vía, en terreno normal.</t>
  </si>
  <si>
    <t>Cimentación cilíndrica para anclaje de hilo de contacto, incluyendo las armaduras, hormigón, encofrados… necesarios para su total terminación, ejecutada desde la vía, en terreno normal.</t>
  </si>
  <si>
    <t>Montaje de placa de anclaje de poste en viaducto</t>
  </si>
  <si>
    <t>Montaje de placa de anclaje de tirante en viaducto</t>
  </si>
  <si>
    <t>1-PERFILES</t>
  </si>
  <si>
    <t>1.1. Cimentaciones para poste</t>
  </si>
  <si>
    <t>1.2. Placas de anclaje en viaducto</t>
  </si>
  <si>
    <t>1.3. Postes</t>
  </si>
  <si>
    <t>1.4. Silletas en túnel Sencillas</t>
  </si>
  <si>
    <t>1.4.1. Silletas en túnel dobles</t>
  </si>
  <si>
    <t>1.5. Silletas en pórtico sencillas</t>
  </si>
  <si>
    <t>2-MENSULAS</t>
  </si>
  <si>
    <t>COEF. MEN.</t>
  </si>
  <si>
    <t>3.1. Catenaria</t>
  </si>
  <si>
    <t>3.2 Retorno</t>
  </si>
  <si>
    <t>3.4. Positivo</t>
  </si>
  <si>
    <t>COEF. CAT.</t>
  </si>
  <si>
    <t>4-CANTONES</t>
  </si>
  <si>
    <t>4.1 tirantes</t>
  </si>
  <si>
    <t>4.2. Cim. Anclaje</t>
  </si>
  <si>
    <t>4.3. Anclajes cp</t>
  </si>
  <si>
    <t>4.3. Anclajes CAT (PF)</t>
  </si>
  <si>
    <t>4.3. PF</t>
  </si>
  <si>
    <t>4.7. Anclajes fp</t>
  </si>
  <si>
    <t>CONTROL</t>
  </si>
  <si>
    <t>S2</t>
  </si>
  <si>
    <t>HEB-240</t>
  </si>
  <si>
    <t>HEB-260</t>
  </si>
  <si>
    <t>C4</t>
  </si>
  <si>
    <t>C3</t>
  </si>
  <si>
    <t>C7</t>
  </si>
  <si>
    <t>C5</t>
  </si>
  <si>
    <t>HEB-300</t>
  </si>
  <si>
    <t>HEB-280</t>
  </si>
  <si>
    <t>Suplemento ménsulas hasta gálibo de 5m.</t>
  </si>
  <si>
    <t>S1T</t>
  </si>
  <si>
    <t>Cimentación cilíndrica para poste C1 a C4, incluyendo las armaduras, hormigón, encofrados… necesarios para su total terminación ejecutada desde la vía, en terreno normal.</t>
  </si>
  <si>
    <t>Cimentación cilíndrica para poste C5 A C7, incluyendo las armaduras, hormigón, encofrados… necesarios para su total terminación ejecutada desde la vía, en terreno normal.</t>
  </si>
  <si>
    <t xml:space="preserve"> LÍNEA AÉREA DE CONTACTO</t>
  </si>
  <si>
    <t>1. CIMENTACIONES</t>
  </si>
  <si>
    <t>1-S. CIMENTACIONES - Suministro de materiales</t>
  </si>
  <si>
    <t>1-S.01</t>
  </si>
  <si>
    <t>1-S.02</t>
  </si>
  <si>
    <t>1-S.03</t>
  </si>
  <si>
    <t>Total Parcial 1-S</t>
  </si>
  <si>
    <t>1-I. CIMENTACIONES - INSTALACION</t>
  </si>
  <si>
    <t>1-I.01</t>
  </si>
  <si>
    <t>1-I.02</t>
  </si>
  <si>
    <t>1-I.04</t>
  </si>
  <si>
    <t>1-I.05</t>
  </si>
  <si>
    <t>1-I.06</t>
  </si>
  <si>
    <t>1-I.07</t>
  </si>
  <si>
    <t>1-I.08</t>
  </si>
  <si>
    <t>1-I.09</t>
  </si>
  <si>
    <t>1-I.10</t>
  </si>
  <si>
    <t>Total Parcial 1-I</t>
  </si>
  <si>
    <t>TOTAL 1 CIMENTACIONES</t>
  </si>
  <si>
    <t>2 POSTES, PÓRTICOS Y SILLETAS</t>
  </si>
  <si>
    <t>2-S. POSTES, PÓRTICOS Y SILLETAS DE ANCLAJE - SUMINISTRO DE MATERIALES</t>
  </si>
  <si>
    <t>2-S.01</t>
  </si>
  <si>
    <t>2-S.02</t>
  </si>
  <si>
    <t>2-S.03</t>
  </si>
  <si>
    <t>2-S.04</t>
  </si>
  <si>
    <t>2-S.05</t>
  </si>
  <si>
    <t>2-S.06</t>
  </si>
  <si>
    <t>2-S.07</t>
  </si>
  <si>
    <t>2-S.08</t>
  </si>
  <si>
    <t>2-S.09</t>
  </si>
  <si>
    <t>2-S.10</t>
  </si>
  <si>
    <t>2-S.11</t>
  </si>
  <si>
    <t>2-S.12</t>
  </si>
  <si>
    <t>2-S.13</t>
  </si>
  <si>
    <t>2-S.14</t>
  </si>
  <si>
    <t>2-S.15</t>
  </si>
  <si>
    <t>2-S.16</t>
  </si>
  <si>
    <t>2-S.17</t>
  </si>
  <si>
    <t>2-S.18</t>
  </si>
  <si>
    <t>2-S.19</t>
  </si>
  <si>
    <t>2-S.20</t>
  </si>
  <si>
    <t>2-S.21</t>
  </si>
  <si>
    <t>2-S.22</t>
  </si>
  <si>
    <t>2-S.23</t>
  </si>
  <si>
    <t>2-S.24</t>
  </si>
  <si>
    <t>Total Parcial 2-S</t>
  </si>
  <si>
    <t>2-I.01</t>
  </si>
  <si>
    <t>2-I.02</t>
  </si>
  <si>
    <t>2-I.03</t>
  </si>
  <si>
    <t>2-I.04</t>
  </si>
  <si>
    <t>2-I.10</t>
  </si>
  <si>
    <t>2-I.11</t>
  </si>
  <si>
    <t>2-I.12</t>
  </si>
  <si>
    <t>2-I.13</t>
  </si>
  <si>
    <t>2-I.16</t>
  </si>
  <si>
    <t>2-I.17</t>
  </si>
  <si>
    <t>Total Parcial 2-I</t>
  </si>
  <si>
    <t>TOTAL 2 POSTES, PÓRTICOS Y SILLETAS</t>
  </si>
  <si>
    <t>3 EQUIPAMIENTO DE SISTEMA DE CATENARIA</t>
  </si>
  <si>
    <t>3-S. EQUIPAMIENTO DE SISTEMA DE CATENARIA MENSULAS - SUMINISTRO DE MATERIALES</t>
  </si>
  <si>
    <t>3-S.01</t>
  </si>
  <si>
    <t>3-S.02</t>
  </si>
  <si>
    <t>3-S.03</t>
  </si>
  <si>
    <t>3-S.04</t>
  </si>
  <si>
    <t>3-S.05</t>
  </si>
  <si>
    <t>Total Parcial 3-S</t>
  </si>
  <si>
    <t>3-I. EQUIPAMIENTO DE SISTEMA DE CATENARIA -MENSULAS- INSTALACION</t>
  </si>
  <si>
    <t>3-I.01</t>
  </si>
  <si>
    <t>3-I.02</t>
  </si>
  <si>
    <t>3-I.03</t>
  </si>
  <si>
    <t>3-I.04</t>
  </si>
  <si>
    <t>3-I.05</t>
  </si>
  <si>
    <t>Total Parcial 3-I</t>
  </si>
  <si>
    <t>TOTAL 3 EQUIPAMIENTO DE SISTEMA DE CATENARIA</t>
  </si>
  <si>
    <t>4 CATENARIA</t>
  </si>
  <si>
    <t>4-S. CATENARIA - SUMINISTRO DE MATERIALES</t>
  </si>
  <si>
    <t>4-S.01</t>
  </si>
  <si>
    <t>4-S.02</t>
  </si>
  <si>
    <t>4-S.03</t>
  </si>
  <si>
    <t>4-S.04</t>
  </si>
  <si>
    <t>4-S.05</t>
  </si>
  <si>
    <t>4-S.06</t>
  </si>
  <si>
    <t>4-S.07</t>
  </si>
  <si>
    <t>4-S.08</t>
  </si>
  <si>
    <t>4-S.09</t>
  </si>
  <si>
    <t>4-S.10</t>
  </si>
  <si>
    <t>4-S.11</t>
  </si>
  <si>
    <t>Total Parcial 4-S</t>
  </si>
  <si>
    <t>4-I. CATENARIA - INSTALACION</t>
  </si>
  <si>
    <t>4-I.01</t>
  </si>
  <si>
    <t>4-I.02</t>
  </si>
  <si>
    <t>4-I.03</t>
  </si>
  <si>
    <t>4-I.04</t>
  </si>
  <si>
    <t>4-I.05</t>
  </si>
  <si>
    <t>4-I.06</t>
  </si>
  <si>
    <t>4-I.07</t>
  </si>
  <si>
    <t>4-I.08</t>
  </si>
  <si>
    <t>Total Parcial 4-I</t>
  </si>
  <si>
    <t>TOTAL 4 CATENARIA</t>
  </si>
  <si>
    <t>5 FEEDERES Y CABLES DE RETORNO</t>
  </si>
  <si>
    <t>5-S. FEEDERES Y CABLES DE RETORNO - SUMINISTRO DE MATERIALES</t>
  </si>
  <si>
    <t>5-S.01</t>
  </si>
  <si>
    <t>5-S.02</t>
  </si>
  <si>
    <t>5-S.03</t>
  </si>
  <si>
    <t>5-S.04</t>
  </si>
  <si>
    <t>5-S.05</t>
  </si>
  <si>
    <t>5-S.06</t>
  </si>
  <si>
    <t>5-S.07</t>
  </si>
  <si>
    <t>5-S.08</t>
  </si>
  <si>
    <t>5-S.09</t>
  </si>
  <si>
    <t>5-S.10</t>
  </si>
  <si>
    <t>5-S.11</t>
  </si>
  <si>
    <t>5-S.12</t>
  </si>
  <si>
    <t>5-S.13</t>
  </si>
  <si>
    <t>5-S.14</t>
  </si>
  <si>
    <t>5-S.15</t>
  </si>
  <si>
    <t>5-S.16</t>
  </si>
  <si>
    <t>5-S.17</t>
  </si>
  <si>
    <t>5-S.18</t>
  </si>
  <si>
    <t>5-S.19</t>
  </si>
  <si>
    <t>5-S.20</t>
  </si>
  <si>
    <t>5-S.21</t>
  </si>
  <si>
    <t>5-S.22</t>
  </si>
  <si>
    <t>5-S.23</t>
  </si>
  <si>
    <t>Total Parcial 5-S</t>
  </si>
  <si>
    <t>5-I. FEEDERES Y CABLES DE RETORNO - INSTALACION</t>
  </si>
  <si>
    <t>5-I.02</t>
  </si>
  <si>
    <t>5-I.03</t>
  </si>
  <si>
    <t>5-I.04</t>
  </si>
  <si>
    <t>5-I.05</t>
  </si>
  <si>
    <t>5-I.07</t>
  </si>
  <si>
    <t>5-I.08</t>
  </si>
  <si>
    <t>5-I.09</t>
  </si>
  <si>
    <t>Total Parcial 5-I</t>
  </si>
  <si>
    <t>TOTAL 5 FEEDERES Y CABLES DE RETORNO</t>
  </si>
  <si>
    <t>6 ALIMENTACIÓN - CONEXIONES DE CATENARIA Y SECCIONADORES</t>
  </si>
  <si>
    <t>6-S. ALIMENTACIÓN- CONEXIONES DE CATENARIA Y SECCIONADORES - SUMINISTRO DE MATERIALES</t>
  </si>
  <si>
    <t>6-S.01</t>
  </si>
  <si>
    <t>3- LONGITUD DE VIA</t>
  </si>
  <si>
    <t>Anclajes en poste sin tirante (a restar)</t>
  </si>
  <si>
    <t>5-I.06a</t>
  </si>
  <si>
    <t>Instalación de cable de cobre aislado 26/45kV 1x300 mm2 instalado en zanja, incluida pp. de zanja</t>
  </si>
  <si>
    <t>5-I.06b</t>
  </si>
  <si>
    <t>Instalación de cable de cobre aislado 26/45kV 2.(1x300) mm2 instalado en zanja, incluida pp. de zanja</t>
  </si>
  <si>
    <t>5-I.06c</t>
  </si>
  <si>
    <t>Instalación de cable de cobre aislado 26/45kV 4.(1x300) mm2 instalado en zanja, incluida pp. de zanja</t>
  </si>
  <si>
    <t>6-S.10a</t>
  </si>
  <si>
    <t>6-S.10b</t>
  </si>
  <si>
    <t>6-S.10c</t>
  </si>
  <si>
    <t>6-I.01a</t>
  </si>
  <si>
    <t>Instalación de cable de cobre aislado 0,6/1kV 3.(1x300) en zanja, incluída la ejecución de la misma</t>
  </si>
  <si>
    <t>6-I.01b</t>
  </si>
  <si>
    <t>Instalación de cable de cobre aislado 0,6/1kV 4.(1x300) en zanja, incluída la ejecución de la misma</t>
  </si>
  <si>
    <t>6-I.06a</t>
  </si>
  <si>
    <t>6-I.06b</t>
  </si>
  <si>
    <t>6-I.06c</t>
  </si>
  <si>
    <t>Cable retorno LA-280</t>
  </si>
  <si>
    <t>Feeder de refuerzo LA-280</t>
  </si>
  <si>
    <t>Cola de anclaje de un cable de retorno LA-280</t>
  </si>
  <si>
    <t>Cola de anclaje de dos cables de retorno LA-280</t>
  </si>
  <si>
    <t>Cola de anclaje de feeder de refuerzo LA-280</t>
  </si>
  <si>
    <t>Anclaje de un cable de retorno LA-280 en túnel</t>
  </si>
  <si>
    <t>Anclaje de dos cables de retorno LA-280 en túnel</t>
  </si>
  <si>
    <t>Suspensión de un cable de retorno LA-280 en poste</t>
  </si>
  <si>
    <t>Suspensión de dos cables de retorno LA-280 en poste</t>
  </si>
  <si>
    <t>Suspensión de dos cables de retorno LA-280 en túnel</t>
  </si>
  <si>
    <t>Cadena de suspensión de feeder LA-280 en silleta</t>
  </si>
  <si>
    <t>Acopio, tendido, tensado y regulado de dos cables de retorno LA-280, incluyendo el montaje de la pinza de suspensión en poste</t>
  </si>
  <si>
    <t>Acopio, tendido, tensado y regulado de un cable de retorno LA-280, incluyendo el montaje de la pinza de suspensión en silleta de túnel</t>
  </si>
  <si>
    <t>Acopio, tendido, tensado y regulado de dos cables de retorno LA-280, incluyendo el montaje de la pinza de suspensión en silleta de túnel</t>
  </si>
  <si>
    <t>Instalación de paso de feeder aéreo desnudo LA-280 a feeder aislado de aluminio Afumex 300 mm2 incluyendo botellas terminales tubos, tubos flexibles de acero inoxicable, arquetas, etc hasta dejar el cable en perfectas condiciones de funcionamiento.</t>
  </si>
  <si>
    <t>Cable de feeder de alimentación Cu-300</t>
  </si>
  <si>
    <t>Cola de anclaje de feeder Cu-300</t>
  </si>
  <si>
    <t>Cable de cobre aislado aislado para 25/45 kV de 300 mm2 de sección, incluida p.p. De empalmes y perchas.</t>
  </si>
  <si>
    <t>2-I.05</t>
  </si>
  <si>
    <t>2-I.06</t>
  </si>
  <si>
    <t>2-I.08</t>
  </si>
  <si>
    <t>2-I.09</t>
  </si>
  <si>
    <t>2-I.14</t>
  </si>
  <si>
    <t>2-I.15</t>
  </si>
  <si>
    <t>Acopio, izado y nivelado de poste 2HEB-320 para pórticos PR-3 / PR-4</t>
  </si>
  <si>
    <t>Acopio, izado y nivelado de poste Especial 2HEB-320 de anclaje en topera</t>
  </si>
  <si>
    <t>3-S.06</t>
  </si>
  <si>
    <t>3-I.06</t>
  </si>
  <si>
    <t>Premontaje, acopio, montaje y ajuste de suplemento ménsulas hasta gálibo de 5m.</t>
  </si>
  <si>
    <t>5-I.01</t>
  </si>
  <si>
    <t>Acopio, tendido, tensado y regulado de un cable de retorno LA-280, incluyendo el montaje de la pinza de suspensión en poste</t>
  </si>
  <si>
    <t>6-S.05</t>
  </si>
  <si>
    <t>Aislamiento intermedio de HC-100 Cu-Ag</t>
  </si>
  <si>
    <t>Instalación de Pórtico de alimentación para 2 cables de llegada, incluídos los 2 pórticos de 3m y los transversales, n.i. los postes ni los seccionadores</t>
  </si>
  <si>
    <t>Instalación de Pórtico de alimentación para 4 cables de llegada, incluídos los 2 pórticos de 5m y los transversales, n.i. los postes ni los seccionadores</t>
  </si>
  <si>
    <t>6-S.12</t>
  </si>
  <si>
    <t>UD</t>
  </si>
  <si>
    <t>Detector de tensión</t>
  </si>
  <si>
    <t>6-I.08</t>
  </si>
  <si>
    <t>Instalación de detector de tensión</t>
  </si>
  <si>
    <t>Instalación de puesta en paralelo de 2 vías (incluye el montaje de crucetas y cables transversales)</t>
  </si>
  <si>
    <t>HEB-220</t>
  </si>
  <si>
    <t>Poste  2HEB-320 para pórticos PR-3 / PR-4</t>
  </si>
  <si>
    <t>Poste Especial para pórtico de SSEE</t>
  </si>
  <si>
    <t>Poste Especial 2HEB-320 de anclaje en topera</t>
  </si>
  <si>
    <t>Poste 2HEB-550 para pórticos DE 40M</t>
  </si>
  <si>
    <t>2-I. POSTES, PÓRTICOS Y SILLETAS DE ANCLAJE - INSTALACION</t>
  </si>
  <si>
    <t>2-I.07</t>
  </si>
  <si>
    <t>Acopio, izado y nivelado de poste 2HEB-550 para pórticos DE 40M</t>
  </si>
  <si>
    <t>Acopio, izado y nivelado de pórtico rígido tipo PR5 DE 40M</t>
  </si>
  <si>
    <t>Acopio, izado y nivelado de poste HEB-220 a HEB-260</t>
  </si>
  <si>
    <t>Acopio, izado y nivelado de poste HEB-280 a HEB-320</t>
  </si>
  <si>
    <t>1-I.03a</t>
  </si>
  <si>
    <t>1-I.03b</t>
  </si>
  <si>
    <t>1-I.03c</t>
  </si>
  <si>
    <t>Cimentación especial para poste de Pórtico de 20 a 25 m., incluyendo las armaduras, hormigón, encofrados…necesarios para su total terminación ejecutada desde la vía, en terreno normal.</t>
  </si>
  <si>
    <t>Cimentación especial para poste de Pórtico de 25 a 30 m., incluyendo las armaduras, hormigón, encofrados…necesarios para su total terminación ejecutada desde la vía, en terreno normal.</t>
  </si>
  <si>
    <t>Cimentación especial para poste de Pórtico de 30 a 40 m., incluyendo las armaduras, hormigón, encofrados…necesarios para su total terminación ejecutada desde la vía, en terreno normal.</t>
  </si>
  <si>
    <t>2-I.18</t>
  </si>
  <si>
    <t>Instalación de suplemento de ménsula (hasta 5m de gálibo) en poste</t>
  </si>
  <si>
    <t>S2T</t>
  </si>
  <si>
    <t>TRACK 1</t>
  </si>
  <si>
    <t>PROFILE</t>
  </si>
  <si>
    <t>Track Layout</t>
  </si>
  <si>
    <t>Foundation</t>
  </si>
  <si>
    <t>Anchorage</t>
  </si>
  <si>
    <t>Sectionning</t>
  </si>
  <si>
    <t>Pole Type</t>
  </si>
  <si>
    <t>Cantilevers</t>
  </si>
  <si>
    <t>Supports</t>
  </si>
  <si>
    <t>Portals</t>
  </si>
  <si>
    <t>TRACK 2</t>
  </si>
  <si>
    <t>TRACK 3</t>
  </si>
  <si>
    <t>Stagger</t>
  </si>
  <si>
    <t>Wind Deflection</t>
  </si>
  <si>
    <t>C()</t>
  </si>
  <si>
    <t>PL</t>
  </si>
  <si>
    <t>FECHA :</t>
  </si>
  <si>
    <t>REVISIÓN :</t>
  </si>
  <si>
    <t>TIPO</t>
  </si>
  <si>
    <t>NÚMERO</t>
  </si>
  <si>
    <t>BC-1101</t>
  </si>
  <si>
    <t>BC-2001</t>
  </si>
  <si>
    <t>BC-1401</t>
  </si>
  <si>
    <t>BC-1501</t>
  </si>
  <si>
    <t>RECUENTO DE CONJUNTOS DE CATENARIA</t>
  </si>
  <si>
    <t>Nº plano</t>
  </si>
  <si>
    <t>Referencia</t>
  </si>
  <si>
    <t>Descripción</t>
  </si>
  <si>
    <t>Via 1</t>
  </si>
  <si>
    <t>Via 2</t>
  </si>
  <si>
    <t>Via 3</t>
  </si>
  <si>
    <t>Via 4</t>
  </si>
  <si>
    <t>C-101</t>
  </si>
  <si>
    <t>C-102</t>
  </si>
  <si>
    <t>C-130</t>
  </si>
  <si>
    <t>C-131</t>
  </si>
  <si>
    <t>C-132</t>
  </si>
  <si>
    <t>C-134</t>
  </si>
  <si>
    <t>C-201</t>
  </si>
  <si>
    <t>C-202</t>
  </si>
  <si>
    <t>C-203</t>
  </si>
  <si>
    <t>C-204</t>
  </si>
  <si>
    <t>C-205</t>
  </si>
  <si>
    <t>C-206</t>
  </si>
  <si>
    <t>C-207</t>
  </si>
  <si>
    <t>C-208</t>
  </si>
  <si>
    <t>C-209</t>
  </si>
  <si>
    <t>C-210</t>
  </si>
  <si>
    <t>C-211</t>
  </si>
  <si>
    <t>C-220</t>
  </si>
  <si>
    <t>C-221</t>
  </si>
  <si>
    <t>Señalizacion de poste y placa de peligro de muerte</t>
  </si>
  <si>
    <t>Protección antiescalada para poste en estación.</t>
  </si>
  <si>
    <t>C-250</t>
  </si>
  <si>
    <t>C-251</t>
  </si>
  <si>
    <t>Pórtico rígido de 11 a 13 m</t>
  </si>
  <si>
    <t>C-252</t>
  </si>
  <si>
    <t>Portico rígido de 13 a 15 m</t>
  </si>
  <si>
    <t>C-253</t>
  </si>
  <si>
    <t>Pórtico rígido de 15 a 17 m</t>
  </si>
  <si>
    <t>C-254</t>
  </si>
  <si>
    <t>Pórtico rígido de 17 a 19 m</t>
  </si>
  <si>
    <t>C-255</t>
  </si>
  <si>
    <t>Pórtico rígido de 19 a 21 m</t>
  </si>
  <si>
    <t>C-256</t>
  </si>
  <si>
    <t>Pórtico rígido de 21 a 23 m</t>
  </si>
  <si>
    <t>C-257</t>
  </si>
  <si>
    <t>Pórtico rígido de 23 a 25 m</t>
  </si>
  <si>
    <t>C-258</t>
  </si>
  <si>
    <t>Pórtico rígido de 25 a 30 m</t>
  </si>
  <si>
    <t>C-259</t>
  </si>
  <si>
    <t>Pórtico rígido de 30 a 35 m</t>
  </si>
  <si>
    <t>C-260</t>
  </si>
  <si>
    <t>Pórtico rígido de 35 a 40 m</t>
  </si>
  <si>
    <t>C-261</t>
  </si>
  <si>
    <t>Pórtico rígido de 40 a 45 m</t>
  </si>
  <si>
    <t>Semipórtico B7</t>
  </si>
  <si>
    <t>C-263</t>
  </si>
  <si>
    <t>C-264</t>
  </si>
  <si>
    <t>C-265</t>
  </si>
  <si>
    <t>C-266</t>
  </si>
  <si>
    <t>C-270</t>
  </si>
  <si>
    <t>C-271</t>
  </si>
  <si>
    <t>C-272</t>
  </si>
  <si>
    <t>C-273</t>
  </si>
  <si>
    <t>C-274</t>
  </si>
  <si>
    <t>Soporte para una ménsula en B7</t>
  </si>
  <si>
    <t>C-275</t>
  </si>
  <si>
    <t>Soporte para dos ménsulas en B7</t>
  </si>
  <si>
    <t>C-276</t>
  </si>
  <si>
    <t>Soporte en túnel para una ménsula</t>
  </si>
  <si>
    <t>C-280</t>
  </si>
  <si>
    <t>Tirante de anclaje</t>
  </si>
  <si>
    <t>C-281</t>
  </si>
  <si>
    <t>C-282</t>
  </si>
  <si>
    <t>C-283</t>
  </si>
  <si>
    <t>C-284</t>
  </si>
  <si>
    <t>C-285</t>
  </si>
  <si>
    <t>Suplemento para Tirante en viaducto</t>
  </si>
  <si>
    <t>C-301</t>
  </si>
  <si>
    <t>Conjunto de ménsula dentro en poste</t>
  </si>
  <si>
    <t>C-302</t>
  </si>
  <si>
    <t>C-303</t>
  </si>
  <si>
    <t>Conjunto de ménsula fuera en poste</t>
  </si>
  <si>
    <t>C-304</t>
  </si>
  <si>
    <t>C-305</t>
  </si>
  <si>
    <t>C-306</t>
  </si>
  <si>
    <t>C-307</t>
  </si>
  <si>
    <t>Conjunto de ménsula de cola elevada en poste</t>
  </si>
  <si>
    <t>C-308</t>
  </si>
  <si>
    <t>C-309</t>
  </si>
  <si>
    <t>C-310</t>
  </si>
  <si>
    <t>C-313</t>
  </si>
  <si>
    <t>C-400</t>
  </si>
  <si>
    <t>C-401</t>
  </si>
  <si>
    <t>C-402</t>
  </si>
  <si>
    <t>C-403</t>
  </si>
  <si>
    <t>C-404</t>
  </si>
  <si>
    <t>C-407</t>
  </si>
  <si>
    <t>Anclaje de catenaria sin regulación de la tensión en poste abierto</t>
  </si>
  <si>
    <t>C-411</t>
  </si>
  <si>
    <t>C-414</t>
  </si>
  <si>
    <t>C-415</t>
  </si>
  <si>
    <t>C-416</t>
  </si>
  <si>
    <t>C-417</t>
  </si>
  <si>
    <t>C-418</t>
  </si>
  <si>
    <t>Soporte para un equipo de tensorex sencillo en túnel</t>
  </si>
  <si>
    <t>C-500</t>
  </si>
  <si>
    <t>Km de cable  LA-280</t>
  </si>
  <si>
    <t>C-501</t>
  </si>
  <si>
    <t>C-503</t>
  </si>
  <si>
    <t>Cadena de suspensión de un feeder LA-280/380 en silleta</t>
  </si>
  <si>
    <t>C-504</t>
  </si>
  <si>
    <t>C-505</t>
  </si>
  <si>
    <t>C-506</t>
  </si>
  <si>
    <t>C-511</t>
  </si>
  <si>
    <t>C-514</t>
  </si>
  <si>
    <t>C-515</t>
  </si>
  <si>
    <t>Conjunto de apoyo de un FN en túnel</t>
  </si>
  <si>
    <t>C-516</t>
  </si>
  <si>
    <t>Apoyo en silleta de ménsula de un FN en túnel</t>
  </si>
  <si>
    <t>C-517</t>
  </si>
  <si>
    <t>Silleta de suspensión de un feeder en PR para pórticos de LPN60/80</t>
  </si>
  <si>
    <t>C-518</t>
  </si>
  <si>
    <t>Silleta de suspensión de un feeder en PR para pórticos de LPN100</t>
  </si>
  <si>
    <t>C-519</t>
  </si>
  <si>
    <t>Silleta de suspensión de 2 feederes en PR para pórticos de LPN60/80</t>
  </si>
  <si>
    <t>C-520</t>
  </si>
  <si>
    <t>Silleta de suspensión de dos feederes en PR para pórticos de LPN100</t>
  </si>
  <si>
    <t>C-521</t>
  </si>
  <si>
    <t>Anclaje de feeder LA-280 en túnel</t>
  </si>
  <si>
    <t>C-551</t>
  </si>
  <si>
    <t>C-552</t>
  </si>
  <si>
    <t>Km de cable colector de cobre 50</t>
  </si>
  <si>
    <t>C-553</t>
  </si>
  <si>
    <t>C-554</t>
  </si>
  <si>
    <t>C-556</t>
  </si>
  <si>
    <t>C-559</t>
  </si>
  <si>
    <t>C-560</t>
  </si>
  <si>
    <t>C-600</t>
  </si>
  <si>
    <t>C-601</t>
  </si>
  <si>
    <t>C-602</t>
  </si>
  <si>
    <t>Conjunto de conexión entre sustentadores (P90,P50,…)</t>
  </si>
  <si>
    <t>C-605</t>
  </si>
  <si>
    <t>C-606</t>
  </si>
  <si>
    <t>C-607</t>
  </si>
  <si>
    <t>C-608</t>
  </si>
  <si>
    <t>C-609</t>
  </si>
  <si>
    <t>C-610</t>
  </si>
  <si>
    <t>C-611</t>
  </si>
  <si>
    <t>C-612</t>
  </si>
  <si>
    <t>C-613</t>
  </si>
  <si>
    <t>Accionamiento y transmisión para seccionador en poste (Tipo Eléctrico)</t>
  </si>
  <si>
    <t>C-620</t>
  </si>
  <si>
    <t>Superficie equipotencial en poste con accionamiento</t>
  </si>
  <si>
    <t>C-621</t>
  </si>
  <si>
    <t>C-622</t>
  </si>
  <si>
    <t>C-623</t>
  </si>
  <si>
    <t>C-624</t>
  </si>
  <si>
    <t>Conexión en perfil de tunel para una silleta</t>
  </si>
  <si>
    <t>Conexión de anclaje compensado de catenaria en túnel.</t>
  </si>
  <si>
    <t>Conexión de anclaje de catenaria sin compensar en túnel.</t>
  </si>
  <si>
    <t>Conexión de punto fijo en túnel</t>
  </si>
  <si>
    <t>Conexión en Perfil de Túnel de Barandilla</t>
  </si>
  <si>
    <t>C-711</t>
  </si>
  <si>
    <t>Puesta a tierra  de estrutura en viaducto (de barandilla a poste)</t>
  </si>
  <si>
    <t>W1</t>
  </si>
  <si>
    <t>W2</t>
  </si>
  <si>
    <t>W3</t>
  </si>
  <si>
    <t>A1</t>
  </si>
  <si>
    <t>A2</t>
  </si>
  <si>
    <t>A3</t>
  </si>
  <si>
    <t>S/A</t>
  </si>
  <si>
    <t>A</t>
  </si>
  <si>
    <t>AnMC</t>
  </si>
  <si>
    <t>AnMC/PL</t>
  </si>
  <si>
    <t>HEB-()</t>
  </si>
  <si>
    <t>CP+AnMC</t>
  </si>
  <si>
    <t>FP+AnMC</t>
  </si>
  <si>
    <t>AnM</t>
  </si>
  <si>
    <t>AnM/PL</t>
  </si>
  <si>
    <t>Anchorage Foundation</t>
  </si>
  <si>
    <t>Current Cant</t>
  </si>
  <si>
    <t>Theorical Cant</t>
  </si>
  <si>
    <t>Current Track Layout</t>
  </si>
  <si>
    <t>Current Span</t>
  </si>
  <si>
    <t>Arm Type</t>
  </si>
  <si>
    <t>Height Cantilever Support</t>
  </si>
  <si>
    <t>Gauge Pole Location</t>
  </si>
  <si>
    <t>Distance Rail-Pole</t>
  </si>
  <si>
    <t>Sectioning Feeding</t>
  </si>
  <si>
    <t>Arm Angle</t>
  </si>
  <si>
    <t>Return Support</t>
  </si>
  <si>
    <t>HEB-320LL</t>
  </si>
  <si>
    <t>EMT-1T</t>
  </si>
  <si>
    <t>EMT-2T</t>
  </si>
  <si>
    <t>EMT-TT</t>
  </si>
  <si>
    <t>6110</t>
  </si>
  <si>
    <t>C-001</t>
  </si>
  <si>
    <t>Placa de anclaje para  tirante en viaducto  (i. PL-AN)</t>
  </si>
  <si>
    <t>6120</t>
  </si>
  <si>
    <t>Poste HEB-220</t>
  </si>
  <si>
    <t>Poste HEB-240</t>
  </si>
  <si>
    <t>Poste HEB-260</t>
  </si>
  <si>
    <t>Poste HEB-280</t>
  </si>
  <si>
    <t>Poste HEB-300</t>
  </si>
  <si>
    <t>Poste HEB-240L</t>
  </si>
  <si>
    <t>Poste HEB-260L</t>
  </si>
  <si>
    <t>Poste HEB-280L</t>
  </si>
  <si>
    <t>Poste HEB-300L</t>
  </si>
  <si>
    <t>Poste HEB-320L</t>
  </si>
  <si>
    <t>Poste HEB-320LL (11M) para pórticos de depots</t>
  </si>
  <si>
    <t>Poste 2HEB-320(A) de anclaje en topera</t>
  </si>
  <si>
    <t>Poste 2HEB-320L(PR)</t>
  </si>
  <si>
    <t>Poste 2HEB-550L(PR)</t>
  </si>
  <si>
    <t>Poste HEB-320LL(P)</t>
  </si>
  <si>
    <t/>
  </si>
  <si>
    <t>6121</t>
  </si>
  <si>
    <t>6127</t>
  </si>
  <si>
    <t>C-262a</t>
  </si>
  <si>
    <t>-</t>
  </si>
  <si>
    <t>C-262b</t>
  </si>
  <si>
    <t>Semipórtico atirantado de 15 a 20m</t>
  </si>
  <si>
    <t>6125</t>
  </si>
  <si>
    <t>Pórtico de alimentación y PP  de 3 m para timoneria</t>
  </si>
  <si>
    <t>Pórtico de alimentación y PP  de 3 m sin timoneria</t>
  </si>
  <si>
    <t>6126</t>
  </si>
  <si>
    <t>Pórtico de alimentación y PP  de 5m, para timonería</t>
  </si>
  <si>
    <t>Pórtico de alimentación y PP de 5m, sin timonería prevista</t>
  </si>
  <si>
    <t>6122</t>
  </si>
  <si>
    <t>6123</t>
  </si>
  <si>
    <t>6124</t>
  </si>
  <si>
    <t>6129</t>
  </si>
  <si>
    <t>Suplemento para ménsula en poste de hasta 5m de gálibo</t>
  </si>
  <si>
    <t>6128</t>
  </si>
  <si>
    <t>6130</t>
  </si>
  <si>
    <t>6132</t>
  </si>
  <si>
    <t>6134</t>
  </si>
  <si>
    <t>6131</t>
  </si>
  <si>
    <t>Conjunto de ménsula dentro en túnel</t>
  </si>
  <si>
    <t>6133</t>
  </si>
  <si>
    <t>Conjunto de ménsula fuera en túnel</t>
  </si>
  <si>
    <t>6136</t>
  </si>
  <si>
    <t>Conjunto de ménsula de c.e. en túnel</t>
  </si>
  <si>
    <t>Conjunto de ménsula dentro en pr</t>
  </si>
  <si>
    <t>Conjunto de ménsula fuera en pr</t>
  </si>
  <si>
    <t>Conjunto de ménsula de cola elevada en pr</t>
  </si>
  <si>
    <t>6135</t>
  </si>
  <si>
    <t>Soporte de giro de dos o tres ménsulas en poste</t>
  </si>
  <si>
    <t>C-320</t>
  </si>
  <si>
    <t>Variación por brazo en curva ligera</t>
  </si>
  <si>
    <t>C-321</t>
  </si>
  <si>
    <t>Variación por brazo en curva fuerte</t>
  </si>
  <si>
    <t>C-322</t>
  </si>
  <si>
    <t>Variación por brazo en eje l.a.</t>
  </si>
  <si>
    <t>C-323</t>
  </si>
  <si>
    <t>Variación por brazo de aguja</t>
  </si>
  <si>
    <t>Km de 1xBz-70+1x HC-120 Cu-Ag</t>
  </si>
  <si>
    <t>6140</t>
  </si>
  <si>
    <t>6141</t>
  </si>
  <si>
    <t>Conjunto de falso sustentador (bz-25)</t>
  </si>
  <si>
    <t>6142</t>
  </si>
  <si>
    <t>6143</t>
  </si>
  <si>
    <t>6144</t>
  </si>
  <si>
    <t>6145</t>
  </si>
  <si>
    <t>6146</t>
  </si>
  <si>
    <t>6148</t>
  </si>
  <si>
    <t>6147</t>
  </si>
  <si>
    <t>C-430d</t>
  </si>
  <si>
    <t>Km de 1xBz-70+1x HC-100 Cu-Ag(sidings)</t>
  </si>
  <si>
    <t>C-431d</t>
  </si>
  <si>
    <t>Péndola equipotencial de bucle con cable Bz-10-SIDINGS</t>
  </si>
  <si>
    <t>C-432d</t>
  </si>
  <si>
    <t>Anclaje de catenaria con regulación de la tensión para catenaria ligera</t>
  </si>
  <si>
    <t>C-433d</t>
  </si>
  <si>
    <t>Anclaje de catenaria sin regulación de la tensión para catenaria ligera</t>
  </si>
  <si>
    <t>C-440d</t>
  </si>
  <si>
    <t>Km de catenaria rígida</t>
  </si>
  <si>
    <t>Km de Feeder de Alimentación Cu-300</t>
  </si>
  <si>
    <t>C-502.1</t>
  </si>
  <si>
    <t>km de cable de cobre aislado RHZ1FA3Z1-25/45 KV de 1x300 mm2 i. pp. de empalmes</t>
  </si>
  <si>
    <t>C-502.2</t>
  </si>
  <si>
    <t>Paso de FN LA-280 a cable aislado incluido cola de anclaje de fn</t>
  </si>
  <si>
    <t>6155</t>
  </si>
  <si>
    <t>6156</t>
  </si>
  <si>
    <t>Silleta para feeder suspendido en cabeza de poste</t>
  </si>
  <si>
    <t>Suspensión de feeder de refuerzo con cadena en "V"</t>
  </si>
  <si>
    <t>6151</t>
  </si>
  <si>
    <t>Conjunto de cola de anclaje de feeder LA-280 en poste</t>
  </si>
  <si>
    <t>Cola de Anclaje de Cu-300</t>
  </si>
  <si>
    <t>6158</t>
  </si>
  <si>
    <t>6159</t>
  </si>
  <si>
    <t>6153</t>
  </si>
  <si>
    <t>Km de cable colector L-76</t>
  </si>
  <si>
    <t>6154</t>
  </si>
  <si>
    <t>Conjunto de suspensión de cable de retorno LA-280 en poste</t>
  </si>
  <si>
    <t>6150</t>
  </si>
  <si>
    <t>6152</t>
  </si>
  <si>
    <t>C-570</t>
  </si>
  <si>
    <t>6160</t>
  </si>
  <si>
    <t>6161</t>
  </si>
  <si>
    <t>6162</t>
  </si>
  <si>
    <t>C-603</t>
  </si>
  <si>
    <t>6188</t>
  </si>
  <si>
    <t>C-604</t>
  </si>
  <si>
    <t>6163</t>
  </si>
  <si>
    <t>Conjunto de aislamiento intermedio en sustentador bz-70</t>
  </si>
  <si>
    <t>Conjunto de aislamiento intermedio en HC 120 mm2</t>
  </si>
  <si>
    <t>Aislamiento intermedio feeder LA-280</t>
  </si>
  <si>
    <t>6164</t>
  </si>
  <si>
    <t>Equipamiento para zona neutra con Aisladores de sección en catenaria de 25KV AC</t>
  </si>
  <si>
    <t>Seccionador monopolar de AC con PAT</t>
  </si>
  <si>
    <t>Earthing device en túnel</t>
  </si>
  <si>
    <t>6170</t>
  </si>
  <si>
    <t>6176</t>
  </si>
  <si>
    <t>Aparellaje de seccionador monopolar en túnel</t>
  </si>
  <si>
    <t>C-625</t>
  </si>
  <si>
    <t>Aparellaje de dispositivo de puesta a tierra en túnel</t>
  </si>
  <si>
    <t>C-631</t>
  </si>
  <si>
    <t>Aparellaje de pórtico de alimentación (ssee) y puesta en paralelo de 2 vías</t>
  </si>
  <si>
    <t>C-632</t>
  </si>
  <si>
    <t>Aparellaje de puesta en paralelo de dos vías, i. transversales</t>
  </si>
  <si>
    <t>6177</t>
  </si>
  <si>
    <t>C-633</t>
  </si>
  <si>
    <t>Aparellaje de pórtico de alimentación (ssee) y puesta en paralelo de 3 vías</t>
  </si>
  <si>
    <t>6178</t>
  </si>
  <si>
    <t>C-634</t>
  </si>
  <si>
    <t>C-640</t>
  </si>
  <si>
    <t>C-641</t>
  </si>
  <si>
    <t>Accionamiento y transmisión para seccionador en pórtico de FEEDERES</t>
  </si>
  <si>
    <t>C-642</t>
  </si>
  <si>
    <t>Accionamiento y transmisión para seccionador en TÚNEL</t>
  </si>
  <si>
    <t>6186</t>
  </si>
  <si>
    <t>C-643</t>
  </si>
  <si>
    <t>6187</t>
  </si>
  <si>
    <t>C-644</t>
  </si>
  <si>
    <t>Superficies equipotenciales en pórticos de PP (3m.)</t>
  </si>
  <si>
    <t>C-645</t>
  </si>
  <si>
    <t>Superficies equipotenciales en pórticos de ZN (5m)</t>
  </si>
  <si>
    <t>C-646</t>
  </si>
  <si>
    <t>C-647</t>
  </si>
  <si>
    <t>Detector de tensión de 25 kV</t>
  </si>
  <si>
    <t>6180</t>
  </si>
  <si>
    <t>C-700</t>
  </si>
  <si>
    <t>6181</t>
  </si>
  <si>
    <t>C-701</t>
  </si>
  <si>
    <t>6182</t>
  </si>
  <si>
    <t>C-702</t>
  </si>
  <si>
    <t>C-703</t>
  </si>
  <si>
    <t>C-704</t>
  </si>
  <si>
    <t>C-705</t>
  </si>
  <si>
    <t>C-706</t>
  </si>
  <si>
    <t>6183</t>
  </si>
  <si>
    <t>C-707</t>
  </si>
  <si>
    <t>C-708</t>
  </si>
  <si>
    <t>6184</t>
  </si>
  <si>
    <t>C-709</t>
  </si>
  <si>
    <t>C-710</t>
  </si>
  <si>
    <t>Aislamiento de sustentador en pasos superiores</t>
  </si>
  <si>
    <t>C-711B</t>
  </si>
  <si>
    <t>Aislamiento de feederes en pasos superiores</t>
  </si>
  <si>
    <t>C-712</t>
  </si>
  <si>
    <t>6185</t>
  </si>
  <si>
    <t>C-713</t>
  </si>
  <si>
    <t>C-714</t>
  </si>
  <si>
    <t>C-720d</t>
  </si>
  <si>
    <t>Viseras para pasos superiores ( 1 por vía)</t>
  </si>
  <si>
    <t>C-721d</t>
  </si>
  <si>
    <t>Pórtico para protección de catenaria en pasos a nivel</t>
  </si>
  <si>
    <t>C-722d</t>
  </si>
  <si>
    <t>Pantalla para postes en andén</t>
  </si>
  <si>
    <t>C-723d</t>
  </si>
  <si>
    <t>Manta aislante de 2x1m de 15 mm</t>
  </si>
  <si>
    <t>C-731d</t>
  </si>
  <si>
    <t>CR-B10</t>
  </si>
  <si>
    <t>Barra de 10 m de catenaria rígida</t>
  </si>
  <si>
    <t>CR-BS</t>
  </si>
  <si>
    <t>Barra de seccionamiento</t>
  </si>
  <si>
    <t>CR-BT</t>
  </si>
  <si>
    <t>Barra de transición</t>
  </si>
  <si>
    <t>CR-CONEX-2</t>
  </si>
  <si>
    <t>Conjunto de conexiones entre dos barras de catenaria rígida (solapes)</t>
  </si>
  <si>
    <t>CR-PF</t>
  </si>
  <si>
    <t>Conjunto de punto fijo para catenaria rígida.</t>
  </si>
  <si>
    <t>CR-S1</t>
  </si>
  <si>
    <t>Conjunto de suspensión para una vía de techo plano hasta 6,5 metros</t>
  </si>
  <si>
    <t>CAT.</t>
  </si>
  <si>
    <t>FOUNDATIONS</t>
  </si>
  <si>
    <t>POLES</t>
  </si>
  <si>
    <t>RAIL CAT.</t>
  </si>
  <si>
    <t>CANTILEVERS</t>
  </si>
  <si>
    <t>O.C.S</t>
  </si>
  <si>
    <t>FEEDER/RETURN</t>
  </si>
  <si>
    <t>PROTECTIONS</t>
  </si>
  <si>
    <t>AUXILIARES</t>
  </si>
  <si>
    <t>Código</t>
  </si>
  <si>
    <t>ANCLAJES</t>
  </si>
  <si>
    <t>VIADUCTO</t>
  </si>
  <si>
    <t>MANUAL</t>
  </si>
  <si>
    <t>HEB-240L</t>
  </si>
  <si>
    <t>HEB-260L</t>
  </si>
  <si>
    <t>HEB-280L</t>
  </si>
  <si>
    <t>HEB-300L</t>
  </si>
  <si>
    <t>HEB-320L</t>
  </si>
  <si>
    <t>2HEB-320(A)</t>
  </si>
  <si>
    <t>HEB-320LL(P)</t>
  </si>
  <si>
    <t xml:space="preserve">SENALIZ. </t>
  </si>
  <si>
    <t>ANTIESCALADA</t>
  </si>
  <si>
    <t>FÓRMULA</t>
  </si>
  <si>
    <t>PORTALS</t>
  </si>
  <si>
    <t>OBSERV.</t>
  </si>
  <si>
    <t>PRA-9.11</t>
  </si>
  <si>
    <t>PRA-11.13</t>
  </si>
  <si>
    <t>B7</t>
  </si>
  <si>
    <t>SPR-20</t>
  </si>
  <si>
    <t>PRE-25.30</t>
  </si>
  <si>
    <t>PRB-13.15</t>
  </si>
  <si>
    <t>PRB-15.17</t>
  </si>
  <si>
    <t>PRB-17.19</t>
  </si>
  <si>
    <t>PRC-19.21</t>
  </si>
  <si>
    <r>
      <t>Pórtico rígido de 9 a 11 m</t>
    </r>
    <r>
      <rPr>
        <sz val="11"/>
        <color indexed="10"/>
        <rFont val="ISOCPEUR"/>
        <family val="2"/>
      </rPr>
      <t xml:space="preserve"> </t>
    </r>
  </si>
  <si>
    <t>(2x)</t>
  </si>
  <si>
    <t>(/2)</t>
  </si>
  <si>
    <t>PRA-3</t>
  </si>
  <si>
    <t>PRA-5</t>
  </si>
  <si>
    <t>SILLETAS</t>
  </si>
  <si>
    <t>SUPL-5</t>
  </si>
  <si>
    <t>PÓRTICOS-F</t>
  </si>
  <si>
    <t xml:space="preserve">Suplemento para Tirante de HC </t>
  </si>
  <si>
    <t>Suplemento para Tirante de CR</t>
  </si>
  <si>
    <t>Suplemento para Tirante de Sust Y PF</t>
  </si>
  <si>
    <t>Suplemento para Tirante de  Feeder Positivo</t>
  </si>
  <si>
    <t>FP/Tunnel</t>
  </si>
  <si>
    <t>CP/Tunnel</t>
  </si>
  <si>
    <t>CP+AnMC / FP+AnMC</t>
  </si>
  <si>
    <t>C-277</t>
  </si>
  <si>
    <t>SOPORTES DE GIRO</t>
  </si>
  <si>
    <t>EMT-1P</t>
  </si>
  <si>
    <t>EMT-2P</t>
  </si>
  <si>
    <t>EMT-TP</t>
  </si>
  <si>
    <t>Soporte de giro de dos ménsulas en silleta de  túnel</t>
  </si>
  <si>
    <t>Soporte de giro de dos ménsulas en silleta de pórtico</t>
  </si>
  <si>
    <t xml:space="preserve">CHECK </t>
  </si>
  <si>
    <t>CP+AnMC*</t>
  </si>
  <si>
    <t>FP+AnMC*</t>
  </si>
  <si>
    <t>CP/TUNNEL</t>
  </si>
  <si>
    <t>FP/TUNNEL</t>
  </si>
  <si>
    <t>PKI</t>
  </si>
  <si>
    <t>PKF</t>
  </si>
  <si>
    <t>Nº CABLES</t>
  </si>
  <si>
    <t>CANTON 1</t>
  </si>
  <si>
    <t>CABLES</t>
  </si>
  <si>
    <t>CHECK</t>
  </si>
  <si>
    <t>CABLE COLECTOR AL-76</t>
  </si>
  <si>
    <t>TUNEL 1</t>
  </si>
  <si>
    <t>TOTAL VIADUCTO</t>
  </si>
  <si>
    <t>OCS Sidings</t>
  </si>
  <si>
    <t>*S/A*</t>
  </si>
  <si>
    <t>Conexión de cable colector L-76 a poste (en viaducto)</t>
  </si>
  <si>
    <t>PL*</t>
  </si>
  <si>
    <t>Cola de anclaje de cable de retorno LA-280 en poste (SENCILLA)</t>
  </si>
  <si>
    <t>2x</t>
  </si>
  <si>
    <t>Anclaje de cable de retorno LA-280 en túnel (SENCILLA)</t>
  </si>
  <si>
    <t>SS/EE</t>
  </si>
  <si>
    <t>IO*</t>
  </si>
  <si>
    <t>SECT-I</t>
  </si>
  <si>
    <t>SECT-I-ZN</t>
  </si>
  <si>
    <t>SECCIONADORES</t>
  </si>
  <si>
    <t>SEÑALIZACION (EQUIPOS), ZN, FIN DE CAT, ETC.</t>
  </si>
  <si>
    <t>PROTECCIONES</t>
  </si>
  <si>
    <t>SEÑALES</t>
  </si>
  <si>
    <t>APARELLAJES</t>
  </si>
  <si>
    <t>ACCIONAMIENTOS</t>
  </si>
  <si>
    <t>S.EQUIP.</t>
  </si>
  <si>
    <t>AUTOVALV.</t>
  </si>
  <si>
    <t>AnMP</t>
  </si>
  <si>
    <t>MP</t>
  </si>
  <si>
    <t>MP/Tunnel</t>
  </si>
  <si>
    <t>CP+AnMC / FP+AnMC / AnMP</t>
  </si>
  <si>
    <t>MP/TUNNEL</t>
  </si>
  <si>
    <t>Disc/IO</t>
  </si>
  <si>
    <t>Disc/NZ</t>
  </si>
  <si>
    <t>ED/T</t>
  </si>
  <si>
    <t>FS/PP-2</t>
  </si>
  <si>
    <t>Disc/t</t>
  </si>
  <si>
    <t>FS/1D</t>
  </si>
  <si>
    <t>.-Las cuentas de pp solo se hacen en v1</t>
  </si>
  <si>
    <t>PP-2</t>
  </si>
  <si>
    <t>FS-1</t>
  </si>
  <si>
    <t>FS-1d</t>
  </si>
  <si>
    <t>Aparellaje de pórtico de puesta en paralelo de 4 vías</t>
  </si>
  <si>
    <t>PP-4</t>
  </si>
  <si>
    <t>FS/PP-3</t>
  </si>
  <si>
    <t>S1T / S2T</t>
  </si>
  <si>
    <t>TOTAL CABLE LA-280:</t>
  </si>
  <si>
    <t>LONGITUD DEL TRAMO:</t>
  </si>
  <si>
    <t>Anchorages PK</t>
  </si>
  <si>
    <t>LEGEND</t>
  </si>
  <si>
    <t>CANTONES  LA 280</t>
  </si>
  <si>
    <t>Tunnel</t>
  </si>
  <si>
    <t>Overpass</t>
  </si>
  <si>
    <t>Bridge / Viaduct</t>
  </si>
  <si>
    <t>Underpass / Drainage Works</t>
  </si>
  <si>
    <t>Neutral Zone</t>
  </si>
  <si>
    <t>Overlap between sections</t>
  </si>
  <si>
    <t>SECTIONNING</t>
  </si>
  <si>
    <t>COLORS:</t>
  </si>
  <si>
    <t>A/S-Diag</t>
  </si>
  <si>
    <t>Overlap Anchorage</t>
  </si>
  <si>
    <t>Diagonal Anchorage</t>
  </si>
  <si>
    <t>Overlap Axis</t>
  </si>
  <si>
    <t>Overlap Semi-Axis</t>
  </si>
  <si>
    <t>Mid Point in tunnel</t>
  </si>
  <si>
    <t>Mid Point</t>
  </si>
  <si>
    <t>Mid Point Anchorage</t>
  </si>
  <si>
    <t>ANCHORAGES</t>
  </si>
  <si>
    <t>OCS Compensated Anchorage</t>
  </si>
  <si>
    <t>OCS Fixed Anchorage</t>
  </si>
  <si>
    <t>OCS Compensated Anchorage in tunnel</t>
  </si>
  <si>
    <t>OCS Fixed Anchorage in tunnel</t>
  </si>
  <si>
    <t>ANCHORAGE FOUNDATIONS</t>
  </si>
  <si>
    <t>POLE / SUPPORTS TYPE</t>
  </si>
  <si>
    <t>PH-XXX</t>
  </si>
  <si>
    <t>POLE FOUNDATION</t>
  </si>
  <si>
    <t>FEEDING</t>
  </si>
  <si>
    <t>xxx m.</t>
  </si>
  <si>
    <t>Earthing device in tunnel</t>
  </si>
  <si>
    <t>FS-1D</t>
  </si>
  <si>
    <t>PP-3</t>
  </si>
  <si>
    <t>Feeder supply (1 track)</t>
  </si>
  <si>
    <t>Feeder supply for depots</t>
  </si>
  <si>
    <t>Feeder supply &amp; paralleling post 2 tracks</t>
  </si>
  <si>
    <t>Feeder supply &amp; paralleling post 3 tracks</t>
  </si>
  <si>
    <t>Paralleling post 2 tracks</t>
  </si>
  <si>
    <t>Paralleling post 3 tracks</t>
  </si>
  <si>
    <t>Paralleling post 4 tracks</t>
  </si>
  <si>
    <t>STEADY ARMS TYPE</t>
  </si>
  <si>
    <t>Straight arm</t>
  </si>
  <si>
    <t>Polygonal arm</t>
  </si>
  <si>
    <t>Curve arm</t>
  </si>
  <si>
    <t>Special curve arm (circular St.)</t>
  </si>
  <si>
    <t>N.Z. Disconnector</t>
  </si>
  <si>
    <t>Insulated Overlap disconnector</t>
  </si>
  <si>
    <t>Tunnel disconnector</t>
  </si>
  <si>
    <t>Cantilever (Pull on)</t>
  </si>
  <si>
    <t>Cantilever (termination)</t>
  </si>
  <si>
    <t>Tunnel Cantilever (Pull on)</t>
  </si>
  <si>
    <t>Tunnel Cantilever (Push over)</t>
  </si>
  <si>
    <t>Tunnel Cantilever (termination)</t>
  </si>
  <si>
    <t>Portal Cantilever (Pull on)</t>
  </si>
  <si>
    <t>Portal Cantilever (Push over)</t>
  </si>
  <si>
    <t>Portal Cantilever (termination)</t>
  </si>
  <si>
    <t>Pole foundation</t>
  </si>
  <si>
    <t>Base for pole in viaduct</t>
  </si>
  <si>
    <t>OCS POLE</t>
  </si>
  <si>
    <t>Support for 1 cantilever in portal</t>
  </si>
  <si>
    <t>Support for 2 cantilever in portal</t>
  </si>
  <si>
    <t>Support for 1 cantilever in tunnel</t>
  </si>
  <si>
    <t>Support for 1 cantilever in tunnel (2x)</t>
  </si>
  <si>
    <t>Extension for 1 console in platform</t>
  </si>
  <si>
    <t>Switch Point 50</t>
  </si>
  <si>
    <t>Switch Point 90</t>
  </si>
  <si>
    <t>Feeder Anchor</t>
  </si>
  <si>
    <t>Feeder anchor in tunnel</t>
  </si>
  <si>
    <t>Return anchor in tunnel</t>
  </si>
  <si>
    <t>Return Anchor</t>
  </si>
  <si>
    <t>SEMI TENSION LENGTH</t>
  </si>
  <si>
    <t>Messenger and C.W, anchorage foundation</t>
  </si>
  <si>
    <t>Return, Feeder and Midpoint anchorage foundation</t>
  </si>
  <si>
    <t>Return, Feeder and Midpoint base in viaduct</t>
  </si>
  <si>
    <t>Messenger and C.W, anchorage base in viaduct</t>
  </si>
  <si>
    <t>PRx-()</t>
  </si>
  <si>
    <t>Portal type X (length in m)</t>
  </si>
  <si>
    <t>Cantilever (Push off)</t>
  </si>
  <si>
    <t>C-505b</t>
  </si>
  <si>
    <t>Silleta para feeder apoyado en cabeza de poste</t>
  </si>
  <si>
    <t>AnMC/Tunnel</t>
  </si>
  <si>
    <t>2HEB-240</t>
  </si>
  <si>
    <t>C6</t>
  </si>
  <si>
    <t>2HEB-260</t>
  </si>
  <si>
    <t>AnMP/Tunnel</t>
  </si>
  <si>
    <t>AnM/Tunnel</t>
  </si>
  <si>
    <t>HEB-260 (CP)</t>
  </si>
  <si>
    <t>HEB-280 (CP)</t>
  </si>
  <si>
    <t>HEB-300 (CP)</t>
  </si>
  <si>
    <t>Poste HEB-260 (CP)</t>
  </si>
  <si>
    <t>Poste 2HEB-240</t>
  </si>
  <si>
    <t>HEB-260 V</t>
  </si>
  <si>
    <t>Poste 2HEB-260</t>
  </si>
  <si>
    <t>HEB-280 V</t>
  </si>
  <si>
    <t>2HEB-260 V</t>
  </si>
  <si>
    <t>HEB-240 V</t>
  </si>
  <si>
    <t>HEB-300 V</t>
  </si>
  <si>
    <t>2HEB-240 V</t>
  </si>
  <si>
    <t>Poste 2HEB-240 V</t>
  </si>
  <si>
    <t>Poste 2HEB-260 V</t>
  </si>
  <si>
    <t>Poste HEB-260 V</t>
  </si>
  <si>
    <t>Poste HEB-280 V</t>
  </si>
  <si>
    <t>Poste HEB-300 V</t>
  </si>
  <si>
    <t>Poste HEB-280 (CP)</t>
  </si>
  <si>
    <t>Poste HEB-300 (CP)</t>
  </si>
  <si>
    <t>Poste HEB-240 V</t>
  </si>
  <si>
    <t>CP/TX</t>
  </si>
  <si>
    <t>VIA 1</t>
  </si>
  <si>
    <t>VIA 2</t>
  </si>
  <si>
    <t>TOTAL COLECTOR TUNEL</t>
  </si>
  <si>
    <t>LONGITUD DE VIADUCTOS</t>
  </si>
  <si>
    <t>LONGITUD DE TUNEL</t>
  </si>
  <si>
    <t>C-203-CP</t>
  </si>
  <si>
    <t>Aislador de sección en catenaria de 25KV</t>
  </si>
  <si>
    <t>C-614</t>
  </si>
  <si>
    <t>C-630</t>
  </si>
  <si>
    <t>Aparellaje de seccionador de alimentacion para 1 via con cable desnudo.</t>
  </si>
  <si>
    <t>C-202-V</t>
  </si>
  <si>
    <t>C-203-VCP</t>
  </si>
  <si>
    <t>C-204-CP</t>
  </si>
  <si>
    <t>C-204-V</t>
  </si>
  <si>
    <t>C-204-VCP</t>
  </si>
  <si>
    <t>C-205-CP</t>
  </si>
  <si>
    <t>C-205-V</t>
  </si>
  <si>
    <t>C-205-VCP</t>
  </si>
  <si>
    <t>C-212</t>
  </si>
  <si>
    <t>C-213</t>
  </si>
  <si>
    <t>C-213-V</t>
  </si>
  <si>
    <t>C-214</t>
  </si>
  <si>
    <t>C-214-V</t>
  </si>
  <si>
    <t>C-215</t>
  </si>
  <si>
    <t>C-216</t>
  </si>
  <si>
    <t>C-217</t>
  </si>
  <si>
    <t>CONJUNTOS</t>
  </si>
  <si>
    <t>1-S.04</t>
  </si>
  <si>
    <t>1-S.05</t>
  </si>
  <si>
    <t>Placa de anclaje de tirante sencilla (pl-an)</t>
  </si>
  <si>
    <t>Placa de anclaje de tirante doble (pl-an2)</t>
  </si>
  <si>
    <t>C-203-V</t>
  </si>
  <si>
    <t>C-303/306/309</t>
  </si>
  <si>
    <t>Cable colector L-76</t>
  </si>
  <si>
    <t>Puesta a tierra de estructura en viaducto (Barandilla a poste)</t>
  </si>
  <si>
    <t>2-S.03E</t>
  </si>
  <si>
    <t>7-S.15</t>
  </si>
  <si>
    <t>7-S.16</t>
  </si>
  <si>
    <t>2-S.01a</t>
  </si>
  <si>
    <t>2-S.01b</t>
  </si>
  <si>
    <t>2-S.01c</t>
  </si>
  <si>
    <t>Poste Tipo HEB-220 de 8.2 m. de altura</t>
  </si>
  <si>
    <t>Poste Tipo HEB-220 de 8.2 m. de altura - compensacion</t>
  </si>
  <si>
    <t>2-S.02c</t>
  </si>
  <si>
    <t>Poste Tipo HEB-240 de 8.2 m. de altura - compensacion</t>
  </si>
  <si>
    <t>2-S.02a</t>
  </si>
  <si>
    <t>2-S.02b</t>
  </si>
  <si>
    <t>C-202-VCP</t>
  </si>
  <si>
    <t>Poste Tipo HEB-240 de 8.2 m. de altura</t>
  </si>
  <si>
    <t>Poste Tipo HEB-260 de 8.2 m. de altura</t>
  </si>
  <si>
    <t>2-S.03a</t>
  </si>
  <si>
    <t>2-S.03b</t>
  </si>
  <si>
    <t>Poste Tipo HEB-260 de 8.2 m. de altura - compensacion</t>
  </si>
  <si>
    <t>2-S.03c</t>
  </si>
  <si>
    <t>Poste Tipo HEB-280 de 8.2 m. de altura</t>
  </si>
  <si>
    <t>Poste Tipo HEB-300 de 8.2 m. de altura</t>
  </si>
  <si>
    <t>Poste Especial 2HEB-240 DE S.E.  de 8.2 m. de altura</t>
  </si>
  <si>
    <t>Poste Especial 2HEB-260 DE S.E.  de 8.2 m. de altura</t>
  </si>
  <si>
    <t>2-S.02E</t>
  </si>
  <si>
    <t>2-S.04a</t>
  </si>
  <si>
    <t>2-S.04b</t>
  </si>
  <si>
    <t>Poste Tipo HEB-280 de 8.2 m. de altura - compensacion</t>
  </si>
  <si>
    <t>2-S.05a</t>
  </si>
  <si>
    <t>2-S.05b</t>
  </si>
  <si>
    <t>2-S.04c</t>
  </si>
  <si>
    <t>2-S.05c</t>
  </si>
  <si>
    <t>Poste Tipo HEB-300 de 8.2 m. de altura - compensacion</t>
  </si>
  <si>
    <t>Conjunto de tirante de anclaje. (GENÉRICO)</t>
  </si>
  <si>
    <t>2-S.24a</t>
  </si>
  <si>
    <t>Conjunto de tirante de anclaje. Tipo1</t>
  </si>
  <si>
    <t>Conjunto de tirante de anclaje. Tipo2</t>
  </si>
  <si>
    <t>2-S.24b</t>
  </si>
  <si>
    <t>Conjunto de ménsula dentro (genérico)</t>
  </si>
  <si>
    <t>3-S.01a</t>
  </si>
  <si>
    <t>3-S.01b</t>
  </si>
  <si>
    <t>3-S.01c</t>
  </si>
  <si>
    <t>Conjunto de ménsula dentro en trayecto</t>
  </si>
  <si>
    <t>Conjunto de ménsula dentro en pórtico</t>
  </si>
  <si>
    <t>Conjunto de ménsula fuera (genérico)</t>
  </si>
  <si>
    <t>Conjunto de ménsula fuera en trayecto</t>
  </si>
  <si>
    <t>Conjunto de ménsula fuera en pórtico</t>
  </si>
  <si>
    <t>C-311</t>
  </si>
  <si>
    <t>3-S.02a</t>
  </si>
  <si>
    <t>3-S.02b</t>
  </si>
  <si>
    <t>3-S.02c</t>
  </si>
  <si>
    <t>3-S.03a</t>
  </si>
  <si>
    <t>3-S.03b</t>
  </si>
  <si>
    <t>3-S.03c</t>
  </si>
  <si>
    <t>Conjunto de ménsula de cola elevada en trayecto</t>
  </si>
  <si>
    <t>Conjunto de ménsula de cola elevada en túnel</t>
  </si>
  <si>
    <t>Conjunto de ménsula de cola elevada en pórtico</t>
  </si>
  <si>
    <t>6-S.02a</t>
  </si>
  <si>
    <t>6-S.02b</t>
  </si>
  <si>
    <t>Conexión de seccionamiento</t>
  </si>
  <si>
    <t>Conexión de colas de l.aire</t>
  </si>
  <si>
    <t>Conexión de aguja p-90</t>
  </si>
  <si>
    <t>6-S.07a</t>
  </si>
  <si>
    <t>6-S.07b</t>
  </si>
  <si>
    <t>Seccionador monopolar de apertura en vacío, incluido el aparellaje EN TÚNEL</t>
  </si>
  <si>
    <t>6-S.10d</t>
  </si>
  <si>
    <t>7-S.07a</t>
  </si>
  <si>
    <t>7-S.07b</t>
  </si>
  <si>
    <t>7-S.07c</t>
  </si>
  <si>
    <t>7-S.07d</t>
  </si>
  <si>
    <t>Conexión en perfil de túnel (para anclaje compensado)</t>
  </si>
  <si>
    <t>Conexión en perfil de túnel (para anclaje sin compensar)</t>
  </si>
  <si>
    <t>Conexión en perfil de túnel (para punto fijo)</t>
  </si>
  <si>
    <t>Conexión en perfil de túnel (para barandilla)</t>
  </si>
  <si>
    <t>Superficie equipotencial de accionamiento en pórtico (3m)</t>
  </si>
  <si>
    <t>7-S.14a</t>
  </si>
  <si>
    <t>Superficie equipotencial de accionamiento en pórtico (5m)</t>
  </si>
  <si>
    <t>C-281 / C-282</t>
  </si>
  <si>
    <t>C-283 / C-284</t>
  </si>
  <si>
    <t xml:space="preserve">Pórtico de alimentación y pp para 2 vías, incluídos los 2 pórticos de 3m , los transversales y los seccionadores, n.i. los postes </t>
  </si>
  <si>
    <t>Puesta en paralelo de 2 vías (crucetas, seccionadores y cables transversales)</t>
  </si>
  <si>
    <t>Puesta en paralelo de 4 vías (crucetas, seccionadores y cables transversales)</t>
  </si>
  <si>
    <t>C-302;C-305;C-308</t>
  </si>
  <si>
    <t>C-130;C-131;C-132</t>
  </si>
  <si>
    <t>AnM/PL; AnMC/PL</t>
  </si>
  <si>
    <t>C-201-V</t>
  </si>
  <si>
    <t>C-201-CP</t>
  </si>
  <si>
    <t>C-201-VCP</t>
  </si>
  <si>
    <t>5-S.19b</t>
  </si>
  <si>
    <t>Silleta de suspensión de feeder de refuerzo en PR (lpn-60)</t>
  </si>
  <si>
    <t>Silleta de suspensión de feeder de refuerzo en PR (lpn-100)</t>
  </si>
  <si>
    <t>2-S.20a</t>
  </si>
  <si>
    <t>2-S.20b</t>
  </si>
  <si>
    <t>Soporte de longitud variable en B-7 para una ménsula. Incluye una silleta, un jabalcón, los herrajes y la tornillería necesarios.</t>
  </si>
  <si>
    <t>2-S.21a</t>
  </si>
  <si>
    <t>2-S.21b</t>
  </si>
  <si>
    <t>Soporte de longitud variable en B-7 para dos ménsulas. Incluye una silleta, un jabalcón, los herrajes y la tornillería necesarios.</t>
  </si>
  <si>
    <t>C-711;C-711b</t>
  </si>
  <si>
    <t>7-S.17</t>
  </si>
  <si>
    <t>7-S.18</t>
  </si>
  <si>
    <t>7-S.19</t>
  </si>
  <si>
    <t>7-S.20</t>
  </si>
  <si>
    <t>7-S.21</t>
  </si>
  <si>
    <t>Señales de fin de catenaria, zona neutra etc.</t>
  </si>
  <si>
    <t>TRACK 5</t>
  </si>
  <si>
    <t>Via 6</t>
  </si>
  <si>
    <t>Via 5</t>
  </si>
  <si>
    <t>AnRW</t>
  </si>
  <si>
    <t>AnFW</t>
  </si>
  <si>
    <t>AnFW/Tunnel</t>
  </si>
  <si>
    <t>AnRW/Tunnel</t>
  </si>
  <si>
    <t>RW1</t>
  </si>
  <si>
    <t>RW2</t>
  </si>
  <si>
    <t>RW1 / RW2 (2x)</t>
  </si>
  <si>
    <t>CONTROLES PARA COMPROBAR LOS RECUENTOS DE TRAYECTO</t>
  </si>
  <si>
    <t>No multiplicado por 2</t>
  </si>
  <si>
    <t>Dividido entre 2</t>
  </si>
  <si>
    <t>P8</t>
  </si>
  <si>
    <t>P9</t>
  </si>
  <si>
    <t>Cylindrical Pole Foundation Anchor Bolts for double anchor (CW+MW)</t>
  </si>
  <si>
    <t>Cylindrical Pole Foundation Anchor Bolts for  Mesenger / Feeder / Return Wire</t>
  </si>
  <si>
    <t>Simple Spike Earth</t>
  </si>
  <si>
    <t>Pole Anchors in Underbridge (Viaduct) (HEB-220 to HEB-240)</t>
  </si>
  <si>
    <t>Pole Anchors in Underbridge (Viaduct)  (HEB-260 a HEB-300)</t>
  </si>
  <si>
    <t>Pole Anchors in Underbridge (Viaduct)  (HEB-320)</t>
  </si>
  <si>
    <t>Tie Anchor Plate for Underbridge (Viaduct) (i. PL-AN)</t>
  </si>
  <si>
    <t>Pole HEB-220</t>
  </si>
  <si>
    <t>Pole HEB-240</t>
  </si>
  <si>
    <t>Pole HEB-240 V</t>
  </si>
  <si>
    <t>Pole HEB-260</t>
  </si>
  <si>
    <t>Pole HEB-260 (CP)</t>
  </si>
  <si>
    <t>Pole HEB-260 V</t>
  </si>
  <si>
    <t>Pole HEB-280</t>
  </si>
  <si>
    <t>Pole HEB-280 (CP)</t>
  </si>
  <si>
    <t>Pole HEB-280 V</t>
  </si>
  <si>
    <t>Pole HEB-300</t>
  </si>
  <si>
    <t>Pole HEB-300 (CP)</t>
  </si>
  <si>
    <t>Pole HEB-300 V</t>
  </si>
  <si>
    <t>Pole HEB-240L</t>
  </si>
  <si>
    <t>Pole HEB-260L</t>
  </si>
  <si>
    <t>Pole HEB-280L</t>
  </si>
  <si>
    <t>Pole HEB-300L</t>
  </si>
  <si>
    <t>Pole HEB-320L</t>
  </si>
  <si>
    <t>Pole HEB-320LL(P)</t>
  </si>
  <si>
    <t>Pole 2HEB-240</t>
  </si>
  <si>
    <t>Pole 2HEB-240 V</t>
  </si>
  <si>
    <t>Pole 2HEB-260</t>
  </si>
  <si>
    <t>Pole 2HEB-260 V</t>
  </si>
  <si>
    <t>Pole 2HEB-320L(PR)</t>
  </si>
  <si>
    <t>Pole 2HEB-550L(PR)</t>
  </si>
  <si>
    <t>Pole HEB-320LL (11M) for Portals of Depots</t>
  </si>
  <si>
    <t>Pole 2HEB-320(A) de End of Line Anchor</t>
  </si>
  <si>
    <t>Pole Signal and Dead Dangerous Signal</t>
  </si>
  <si>
    <t>Anticlimbing Protection for pole in Station</t>
  </si>
  <si>
    <t xml:space="preserve">Portal Structure between 9 to 11 m </t>
  </si>
  <si>
    <t>Portal Structure between 11 to 13 m</t>
  </si>
  <si>
    <t>Portal Structure between 13 to 15 m</t>
  </si>
  <si>
    <t>Portal Structure between 15 to 17 m</t>
  </si>
  <si>
    <t>Portal Structure between 17 to 19 m</t>
  </si>
  <si>
    <t>Portal Structure between 19 to 21 m</t>
  </si>
  <si>
    <t>Portal Structure between 21 to 23 m</t>
  </si>
  <si>
    <t>Portal Structure between 23 to 25 m</t>
  </si>
  <si>
    <t>Portal Structure between 25 to 30 m</t>
  </si>
  <si>
    <t>Portal Structure between 30 to 35 m</t>
  </si>
  <si>
    <t>Portal Structure between 35 to 40 m</t>
  </si>
  <si>
    <t>Portal Structure between 40 to 45 m</t>
  </si>
  <si>
    <t>Semi-Portal B7</t>
  </si>
  <si>
    <t>Semi-Pórtal with anchor between 15m to 20m</t>
  </si>
  <si>
    <t>Support for cantilever in Semi-Portal B7</t>
  </si>
  <si>
    <t>Support for two cantilevers in Semi-Portal B7</t>
  </si>
  <si>
    <t>Support for cantilever in Tunnel</t>
  </si>
  <si>
    <t>Support for two cantilevers in Tunnel</t>
  </si>
  <si>
    <t>Extension Bracket  for Cantilever in Pole until 5m Axis Track Distance</t>
  </si>
  <si>
    <t>Tie Anchor</t>
  </si>
  <si>
    <t>CW Tie Anchor</t>
  </si>
  <si>
    <t>Return Wire Tie Anchor</t>
  </si>
  <si>
    <t>MW and Mid Point Extension Tie Anchor</t>
  </si>
  <si>
    <t xml:space="preserve">Feeder Wire Extension Tie Anchor </t>
  </si>
  <si>
    <t>Extension Tie Anchor in UnderBridge (Viaduct)</t>
  </si>
  <si>
    <t>Cantilever Pull-off in pole</t>
  </si>
  <si>
    <t>Cantilever Push-off in pole</t>
  </si>
  <si>
    <t>Termination Cantilever in pole</t>
  </si>
  <si>
    <t>Cantilever Pull-off in tunnel</t>
  </si>
  <si>
    <t>Cantilever Push-off in tunnel</t>
  </si>
  <si>
    <t>Termination Cantilever in tunnel</t>
  </si>
  <si>
    <t>Cantilever Pull-off in portal</t>
  </si>
  <si>
    <t>Cantilever Push-off in portal</t>
  </si>
  <si>
    <t>Termination Cantilever in portal</t>
  </si>
  <si>
    <t>Swivel Support for two or three cantilevers in pole</t>
  </si>
  <si>
    <t>Swivel Support for two or three cantilevers in tunnel</t>
  </si>
  <si>
    <t>Swivel Support for two or three cantilevers in portal</t>
  </si>
  <si>
    <t>Arm Variation for curves</t>
  </si>
  <si>
    <t>Arm Variation for small curves</t>
  </si>
  <si>
    <t>Arm Variation for insulated overlap axis</t>
  </si>
  <si>
    <t>Arm Variation for turnouts</t>
  </si>
  <si>
    <t>Km 1xBz-70+1x HC-120 Cu-Ag</t>
  </si>
  <si>
    <t>Equipotential Dropper Bz-10</t>
  </si>
  <si>
    <t>Equipotential Dropper Bz-10 for Stitch Wire</t>
  </si>
  <si>
    <t>Stitch wire Bz-25</t>
  </si>
  <si>
    <t>Catenary Anchor with Automatic Tension Device</t>
  </si>
  <si>
    <t>Catenary Anchor without Automatic Tension Device</t>
  </si>
  <si>
    <t>Tunnel Catenary Anchor with Automatic Tension Device</t>
  </si>
  <si>
    <t>Tunnel Catenary Anchor without Automatic Tension Device</t>
  </si>
  <si>
    <t>Tunnel Mid Point</t>
  </si>
  <si>
    <t>Tensorex Catenary Anchor</t>
  </si>
  <si>
    <t>Tensorex Catenary Anchor Support</t>
  </si>
  <si>
    <t>Catenary Anchor without Automatic Tension Device (depots)</t>
  </si>
  <si>
    <t>Catenary Anchor with Automatic Tension Device (depots)</t>
  </si>
  <si>
    <t>Equipotential Dropper Bz-10 (depots)</t>
  </si>
  <si>
    <t>Km 1xBz-70+1x HC-100 Cu-Ag (depots)</t>
  </si>
  <si>
    <t xml:space="preserve">Km Overhead Catenary Rigid </t>
  </si>
  <si>
    <t>Km LA-280 wire</t>
  </si>
  <si>
    <t>Km Cu-300 wire</t>
  </si>
  <si>
    <t>Transition Feeder LA-280 to cable incluido cola de anclaje de fn</t>
  </si>
  <si>
    <t>Support for suspension feeder at pole top</t>
  </si>
  <si>
    <t>Support for suspension feeder and support feeder at pole top</t>
  </si>
  <si>
    <t>Isolament for support feeder at pole top</t>
  </si>
  <si>
    <t>Isolament for suspension feeder LA-280 at support</t>
  </si>
  <si>
    <t>Isolament for "V" suspension feeder</t>
  </si>
  <si>
    <t>Isolament for support Feeder in Tunnel</t>
  </si>
  <si>
    <t>Support for Reinforcement Feeder in tunnel</t>
  </si>
  <si>
    <t>Support for two cantilevers in Portal Structure (LPN Section 60-80)</t>
  </si>
  <si>
    <t>Support for cantilever in Portal Structure (LPN Section 100)</t>
  </si>
  <si>
    <t>Support for two cantilevers in Portal Structure (LPN Section 100)</t>
  </si>
  <si>
    <t>Support for cantilever in Portal Structure (LPN Section 60-80)</t>
  </si>
  <si>
    <t>Support for suspension feeder in portal  LPN 100</t>
  </si>
  <si>
    <t>Support for suspension feeder in portal  LPN 60/80</t>
  </si>
  <si>
    <t>Support for suspension of 2 feeders in portal LPN 100</t>
  </si>
  <si>
    <t>Support for suspension of 2 feeders in portal LPN 60/80</t>
  </si>
  <si>
    <t>Km Earth wire L-76</t>
  </si>
  <si>
    <t>Km Earth wire Cu-50</t>
  </si>
  <si>
    <t>Conection Earth wire L-76 to pole (underbridge)</t>
  </si>
  <si>
    <t>Suspension return wire LA-280 at pole</t>
  </si>
  <si>
    <t>Reinforcement Feeder LA-280 Anchor</t>
  </si>
  <si>
    <t>Feeder Cu-300 Anchor</t>
  </si>
  <si>
    <t>Reinforcement Feeder LA-280 Anchor in Tunnel</t>
  </si>
  <si>
    <t>Return wire LA-280 Anchor (Single)</t>
  </si>
  <si>
    <t>Return wire LA-280 Anchor in tunnel (Single)</t>
  </si>
  <si>
    <t>Conection reinforcement feeder to catenary</t>
  </si>
  <si>
    <t>Turnover Connections (P90,P50,…)</t>
  </si>
  <si>
    <t>Overlap Connections</t>
  </si>
  <si>
    <t>Insulated Overlap Connections</t>
  </si>
  <si>
    <t>M Return wire to Tranformer Station</t>
  </si>
  <si>
    <t>Conexión de cable de retorno de SSEE, ZN o SP a los carriles</t>
  </si>
  <si>
    <t>Connection return wire TS, NZ or SP to tracks</t>
  </si>
  <si>
    <t>Intermediate Isolament in Messenger wire Bz-70</t>
  </si>
  <si>
    <t>Intermediate Isolament in Contact wire CW-120</t>
  </si>
  <si>
    <t>Intermediate Isolament in Feeder wire LA-280</t>
  </si>
  <si>
    <t>Pole HEB-300 V (CP)</t>
  </si>
  <si>
    <t>Section Insulator</t>
  </si>
  <si>
    <t>Disconnector 25 KV 2500 A</t>
  </si>
  <si>
    <t>Disconnector 3 colums 25 KV 2500 A</t>
  </si>
  <si>
    <t>Surge Arrester</t>
  </si>
  <si>
    <t>Voltage Detector</t>
  </si>
  <si>
    <t>Load Breaker 25 KV 2500 A with vacuun chamber</t>
  </si>
  <si>
    <t>Load Breaker 25 KV 2500 A with vacuun chamber with Earth Connection</t>
  </si>
  <si>
    <t>Connections of Disconnector  (without feeder)</t>
  </si>
  <si>
    <t>Connections of Disconnector  (with feeder)</t>
  </si>
  <si>
    <t>Connections of Load Breaker with earth connection for feeder connection 1 track with cable ¿?</t>
  </si>
  <si>
    <t>Connections of Disconnector in tunnel</t>
  </si>
  <si>
    <t>Connections of Earthing Device in tunnel</t>
  </si>
  <si>
    <t>Connections of Disconnector for feeder TS connection 1 track with cable</t>
  </si>
  <si>
    <t>Connections of Disconnector for feeder TS connection 1 track with wire</t>
  </si>
  <si>
    <t>Connections of TS feeding portal for 2 tracks</t>
  </si>
  <si>
    <t>Connections of TS feeding portal for 3 tracks</t>
  </si>
  <si>
    <t>Connections of paralelling portal for 2 tracks</t>
  </si>
  <si>
    <t>Connections of paralelling portal for 4 tracks</t>
  </si>
  <si>
    <t>Motor Drive and Transmission for Disconector/Load Breaker in pole</t>
  </si>
  <si>
    <t>Motor Drive and Transmission for Disconector/Load Breaker in portal</t>
  </si>
  <si>
    <t>Motor Drive and Transmission for Disconector/Load Breaker in tunnel</t>
  </si>
  <si>
    <t>Tracks Paralelling Connections</t>
  </si>
  <si>
    <t>Connections Pole to Tracks</t>
  </si>
  <si>
    <t>Connections Tunnel Cantilevers Support to Earthing Tunnel Net</t>
  </si>
  <si>
    <t>Connections Catenary Anchor (w Autom Device) in tunnel to Earthing Tunnel Net</t>
  </si>
  <si>
    <t>Connections Catenary Anchor (wout Autom Device) in tunnel to Earthing Tunnel Net</t>
  </si>
  <si>
    <t>Connections Mid point to Earthing Tunnel Net</t>
  </si>
  <si>
    <t>Connections Rail Tunnel to Earthing Tunnel Net</t>
  </si>
  <si>
    <t>Tracks Paralelling Connections in Tunnel</t>
  </si>
  <si>
    <t>Connections Viaduct Dilatation joints Bridgin</t>
  </si>
  <si>
    <t>Connections Pole to Earth Wire in underbridge</t>
  </si>
  <si>
    <t>Connections Earth Wire to rail</t>
  </si>
  <si>
    <t>Equipotential Surface for Pole</t>
  </si>
  <si>
    <t>Equipotential Surface for Portal 3m</t>
  </si>
  <si>
    <t>Equipotential Surface for Portal 5m</t>
  </si>
  <si>
    <t>Messenger isolement in Overbridges</t>
  </si>
  <si>
    <t>Feeder Isolement in Overbridges</t>
  </si>
  <si>
    <t xml:space="preserve">Connections Rail to Earthing Underbridge Net </t>
  </si>
  <si>
    <t>Connections Rail to Earthing Overbridge Net</t>
  </si>
  <si>
    <t>Connections Pole to Rail in plattform</t>
  </si>
  <si>
    <t>Portal for catenary protection in Level Crossing</t>
  </si>
  <si>
    <t>Protection for poles in platform</t>
  </si>
  <si>
    <t>Protection for Overbridges ( 1 for track)</t>
  </si>
  <si>
    <t>Isolated protection de 2x1m wide 15 mm</t>
  </si>
  <si>
    <t>SIGNALS NZ, Catenary End, …</t>
  </si>
  <si>
    <t>Bar 10 m Overhead Catenary Rigid</t>
  </si>
  <si>
    <t>Bar of Overlap OCR</t>
  </si>
  <si>
    <t>Connections between OCR Bars</t>
  </si>
  <si>
    <t>Mid Point for OCR</t>
  </si>
  <si>
    <t>Bar of Transition from Flexible OCS to OCR</t>
  </si>
  <si>
    <t>Support for OCR in Flat Roof</t>
  </si>
  <si>
    <t>Description</t>
  </si>
  <si>
    <t>Cylindrical Pole Foundation Anchor Bolts C5 (HEB-280/HEB-280 (CP)/HEB-280L) (GEWI 32)</t>
  </si>
  <si>
    <t>DESCRIPTION</t>
  </si>
  <si>
    <t>1. FOUNDATION</t>
  </si>
  <si>
    <t>1-S. FOUNDATIONS- Materials supply</t>
  </si>
  <si>
    <t>Earthing rod assembly</t>
  </si>
  <si>
    <t>Tie rod anchoring plate on viaduct</t>
  </si>
  <si>
    <t>Single tie rod anchoring plate (pl-an)</t>
  </si>
  <si>
    <t>Double tie rod anchoring plate (pl-an2)</t>
  </si>
  <si>
    <t>Total Partial 1-S</t>
  </si>
  <si>
    <t>1-I. FOUNDATIONS - INSTALATION</t>
  </si>
  <si>
    <t>Cylindrical foundation for feeder wire, return wire and midpoint anchoring, including armor, concrete, formwork ... All necessary for full execution, executed from the track, in normal soil.</t>
  </si>
  <si>
    <t>Cylindrical foundation for contact wire and messenger wire anchoring, including armor, concrete, formwork ... All necessary for full execution, executed from the track, in normal soil.</t>
  </si>
  <si>
    <t>Mast anchor plate installation for mast in viaduct</t>
  </si>
  <si>
    <t>Tie rod anchoring plate in viaduct installacion</t>
  </si>
  <si>
    <t xml:space="preserve">
Supplement for foundation on rock with micro piles or rock drilling system for anchoring</t>
  </si>
  <si>
    <t>Total Partial 1-I</t>
  </si>
  <si>
    <t>TOTAL 1 FOUNDATION</t>
  </si>
  <si>
    <t>2 PORTALS, MAST AND SUPPORTS</t>
  </si>
  <si>
    <t>Varible lenght support on B-7 for one cantilever.Included one support, strut tube, steelworks, nuts and bolt necessary.</t>
  </si>
  <si>
    <t>Variable lenght support on B-7 for two cantilevers. Include one support, strut tube, steelworks, nuts and bolts necessary.</t>
  </si>
  <si>
    <t>Tunnel support for one cantilever. Include support, two strut tubes, attachament elements to tunnels, steelsworks,nuts and bolts necessary.</t>
  </si>
  <si>
    <t>Tunnel support for two cantilevers. Include support, two strut tubes, attachment elements to tunnel, steelworks, nuts and bolts necessary.</t>
  </si>
  <si>
    <t>Tie rod equipment. (general)</t>
  </si>
  <si>
    <t>Tie rod equipment. Type 1</t>
  </si>
  <si>
    <t>Tie rod equipment. Type 2</t>
  </si>
  <si>
    <t>Total Partial 2-S</t>
  </si>
  <si>
    <t>3 OVERHEAD CATENARY SYSTEM EQUIPMENT</t>
  </si>
  <si>
    <t>3-S. CANTILEVERS EQUIPMENT - MATERIALS SUPPLY</t>
  </si>
  <si>
    <t>Pull-off cantilever equipment (general)</t>
  </si>
  <si>
    <t>Pull-off cantilever equipment in open line</t>
  </si>
  <si>
    <t>Pull-off cantilever equipment in tunnel</t>
  </si>
  <si>
    <t>Pull-off cantilever equipment in portal</t>
  </si>
  <si>
    <t>Push-off cantilever equipment (general)</t>
  </si>
  <si>
    <t>Push-off cantilever equipment in open line</t>
  </si>
  <si>
    <t>Push-off cantilever equipment in tunnel</t>
  </si>
  <si>
    <t>Push-off cantilever equipment in portal</t>
  </si>
  <si>
    <t>Termination cantilever equipment (general)</t>
  </si>
  <si>
    <t>Termination cantilever in open line</t>
  </si>
  <si>
    <t>Termination cantilever in tunnel</t>
  </si>
  <si>
    <t>Termination cantilever in portal</t>
  </si>
  <si>
    <t>Swivel for two or three cantilevers on support. Include steelworks, nuts and bolts necessary for the support attachment.</t>
  </si>
  <si>
    <t>Supplement for cantilevers (distance &lt; 5 m).</t>
  </si>
  <si>
    <t>Total Partial 3-S</t>
  </si>
  <si>
    <t>4 CATENARY</t>
  </si>
  <si>
    <t>4-S. CATENARY - MATERIALS SUPPLY</t>
  </si>
  <si>
    <t>Messenger wire Bz-70 and contact wire 120 Cu-Ag</t>
  </si>
  <si>
    <t>Equipotential dropper Bz-10</t>
  </si>
  <si>
    <t>Equipotential dropper Bz-10 for stitch wire</t>
  </si>
  <si>
    <t>Catenary anchor with automatic tensioning device</t>
  </si>
  <si>
    <t>Catenary anchor without automatic tensioning device</t>
  </si>
  <si>
    <t>Midpoint equipment</t>
  </si>
  <si>
    <t>Catenary anchor with automatic tensioning device in tunnel</t>
  </si>
  <si>
    <t>Catenary anchor without automatic tensioning device in tunnel</t>
  </si>
  <si>
    <t>Midpoint equipment in tunnel</t>
  </si>
  <si>
    <t>Total Partial 4-S</t>
  </si>
  <si>
    <t>5 FEEDERS AND RETURN WIRES</t>
  </si>
  <si>
    <t>5-S. FEEDERES AND RETURN WIRES - MATERIALS SUPPLY</t>
  </si>
  <si>
    <t>Return wire LA-280</t>
  </si>
  <si>
    <t>Feeder LA-280</t>
  </si>
  <si>
    <t>Feeder Cu-300</t>
  </si>
  <si>
    <t>Return wire anchor for one wire LA-280</t>
  </si>
  <si>
    <t>Return wire anchor for two wires LA-280</t>
  </si>
  <si>
    <t>Feeder anchor for one wire LA-280</t>
  </si>
  <si>
    <t>Feeder anchor for one wire Cu-300</t>
  </si>
  <si>
    <t>Return wire anchor for one wire LA-280 in tunnel</t>
  </si>
  <si>
    <t>Return wire anchor for two wires LA-280 in tunnel</t>
  </si>
  <si>
    <t>Feeder anchor for one wire LA-280 in tunnel</t>
  </si>
  <si>
    <t>Suspension for two return wire (LA-280) in tunnel</t>
  </si>
  <si>
    <t xml:space="preserve">Support for suspension feeder in portal  LPN 60/80 </t>
  </si>
  <si>
    <t>Total Partial 5-S</t>
  </si>
  <si>
    <t>6 FEEDERS- CONNECTIONS TO CATENARY AND SWITCHERS</t>
  </si>
  <si>
    <t>6-S. FEEDERS- CONNECTIONS TO CATENARY AND SWITCHERS - MATERIALS SUPPLY</t>
  </si>
  <si>
    <t>Substation return wire</t>
  </si>
  <si>
    <t>Overlap connection</t>
  </si>
  <si>
    <t xml:space="preserve">
Cable for feeding engines disconnectors</t>
  </si>
  <si>
    <t>Voltage detector</t>
  </si>
  <si>
    <t>Total Partial 6-S</t>
  </si>
  <si>
    <t>7 PROTECTIONS</t>
  </si>
  <si>
    <t>7-S. PROTECTIONS - MATERIALS SUPPLY</t>
  </si>
  <si>
    <t>Rail paralleling connections</t>
  </si>
  <si>
    <t>Support connection in tunnel</t>
  </si>
  <si>
    <t>Connection in tunnel(for automatic tensioning device anchor)</t>
  </si>
  <si>
    <t>Connection in tunnel (for fixed anchor)</t>
  </si>
  <si>
    <t>Connection in tunnel (for midpoint)</t>
  </si>
  <si>
    <t>Connection in tunner (for handrail)</t>
  </si>
  <si>
    <t>Connection in tunnel for 2 supports</t>
  </si>
  <si>
    <t>Return wire paralleling in tunnel with 2 connections to rail</t>
  </si>
  <si>
    <t>Expansion joint jumper</t>
  </si>
  <si>
    <t>Connection from earthing wire to rail</t>
  </si>
  <si>
    <t>Equipotential surface for worker operation on portal ( 3 m lenght)</t>
  </si>
  <si>
    <t>Equipotential surface for worker operation on portal ( 5 m lenght)</t>
  </si>
  <si>
    <t>Messenger wire and feeder isolement in overbridges and low clearance areas.</t>
  </si>
  <si>
    <t>Overbridge protection ( 1 per track)</t>
  </si>
  <si>
    <t>Portal for catenary protections in level crossing</t>
  </si>
  <si>
    <t>Blanket isolation of  2x1m with15 mm thickness</t>
  </si>
  <si>
    <t>Signals (catenary finish, neutral zone,... )</t>
  </si>
  <si>
    <t>Total Partial 7-S</t>
  </si>
  <si>
    <t>TOTAL CHAPTER  CATENARY</t>
  </si>
  <si>
    <t>Pole anchoring plate on viaduct</t>
  </si>
  <si>
    <t>Cylindrical foundation for C1 to C4 Pole, including armor, concrete, formwork ... All necessary for full execution from the track, in normal soil.</t>
  </si>
  <si>
    <t>Cylindrical foundation for C5 to C7 Pole, including armor, concrete, formwork ... All necessary for full execution from the track, in normal soil.</t>
  </si>
  <si>
    <t>Special foundation for 20 to 25 m Pole on gantry., including armor, concrete, formwork ... All necessary for full execution from the track, normal soil.</t>
  </si>
  <si>
    <t>Special foundation for 25 to 30 m Pole on gantry., including armor, concrete, formwork ... All necessary for full execution from the track, normal soil.</t>
  </si>
  <si>
    <t>Special foundation for 30 to 40 m Pole on gantry., including armor, concrete, formwork ... All necessary for full execution from the track, normal soil.</t>
  </si>
  <si>
    <t xml:space="preserve">
Supplement for foundation on rock with micro piles or rock drilling system for Pole Type C1 to C4</t>
  </si>
  <si>
    <t xml:space="preserve">
Supplement for foundation on rock with micro piles or rock drilling system for Pole Type C5 to C7</t>
  </si>
  <si>
    <t>2-S. PoleS, PORTALS AND ANCHORING SUPPORTS - MATERIALS SUPPLY</t>
  </si>
  <si>
    <t>Pole  HEB-220 (8.2 m. height)</t>
  </si>
  <si>
    <t>Pole HEB-220 (7,6 m height in viaduct)</t>
  </si>
  <si>
    <t>Pole HEB-220 (8.2 m with automatic tensioning device)</t>
  </si>
  <si>
    <t>Pole HEB-220 (7.6 m height in viaduct with automatic tensioning device)</t>
  </si>
  <si>
    <t>Pole HEB-240 (8.2 m height)</t>
  </si>
  <si>
    <t>Pole HEB-240 (7.6 m height in viaduct)</t>
  </si>
  <si>
    <t>Pole HEB-240 (8.2 m height with automatic tensioning device)</t>
  </si>
  <si>
    <t>Pole HEB-240 (7.6 m height in viaduct with automatic tensioning device)</t>
  </si>
  <si>
    <t>Pole 2HEB-240 (8.2 m height)</t>
  </si>
  <si>
    <t>Pole HEB-260 (8.2 m height)</t>
  </si>
  <si>
    <t>Pole HEB-260 (7.6 m height in viaduct)</t>
  </si>
  <si>
    <t>Pole HEB-260 (8.2 m height with automatic tensioning device)</t>
  </si>
  <si>
    <t>Pole HEB-260 (7.6 m height in viaduct with automatic tensioning device)</t>
  </si>
  <si>
    <t>Pole 2HEB-260 (8.2 m height)</t>
  </si>
  <si>
    <t>Pole HEB-280 (8.2 m height)</t>
  </si>
  <si>
    <t>Pole HEB-280 (7.6 m height in viaduct)</t>
  </si>
  <si>
    <t>Pole HEB-280 (8.2 m height with automatic tensioning device)</t>
  </si>
  <si>
    <t>Pole HEB-280 (8.2 m height in viaduct with automatic tensioning device)</t>
  </si>
  <si>
    <t>Pole HEB-300 (8.2 m height)</t>
  </si>
  <si>
    <t>Pole HEB-300 (7.6 m height in viaduct)</t>
  </si>
  <si>
    <t>Pole HEB-300 de (8.2 m height with automatic tensioning device)</t>
  </si>
  <si>
    <t>Pole HEB-300 (7.6 m height in viaduct with automatic tensioning device)</t>
  </si>
  <si>
    <t>Pole HEB-240 (9.2 m height)</t>
  </si>
  <si>
    <t>Pole HEB-260 (9.2 m height)</t>
  </si>
  <si>
    <t>Pole HEB-280 (9.2 m height)</t>
  </si>
  <si>
    <t>Pole HEB-320 (9.2 m height)</t>
  </si>
  <si>
    <t>Pole 2HEB-320 (for anchoring on buffer stop)</t>
  </si>
  <si>
    <t>Pole  2HEB-320 for portal PR-3 / PR-4</t>
  </si>
  <si>
    <t>Pole 2HEB-550 for 40 m lenght portals</t>
  </si>
  <si>
    <t>Pole for special portals on substations</t>
  </si>
  <si>
    <t>Supplement for cantilever on Pole (&lt;5 m lenght)</t>
  </si>
  <si>
    <t>Acopio, izado y nivelado de Polee HEB-220 a HEB-260</t>
  </si>
  <si>
    <t>Acopio, izado y nivelado de Polee HEB-280 a HEB-320</t>
  </si>
  <si>
    <t>Acopio, izado y nivelado de Polee Especial 2HEB-320 de anclaje en topera</t>
  </si>
  <si>
    <t>Acopio, izado y nivelado de Polee 2HEB-320 para pórticos PR-3 / PR-4</t>
  </si>
  <si>
    <t>Acopio, izado y nivelado de Polee 2HEB-550 para pórticos DE 40M</t>
  </si>
  <si>
    <t xml:space="preserve">Acopio, izado y nivelado de Polee de SSEE. </t>
  </si>
  <si>
    <t>Instalación de suplemento de ménsula (hasta 5m de gálibo) en Polee</t>
  </si>
  <si>
    <t>Colocación de bulón en Polee</t>
  </si>
  <si>
    <t>TOTAL 2 PoleES, PÓRTICOS Y SILLETAS</t>
  </si>
  <si>
    <t>Swivel for two or three cantilevers on Pole. Include steelworks,nuts and bolts necessary to Pole attachment.</t>
  </si>
  <si>
    <t>Suspension for one return wire (LA-280) on Pole</t>
  </si>
  <si>
    <t>Suspension for two return wire (LA-280) on Pole</t>
  </si>
  <si>
    <t>Acopio, tendido, tensado y regulado de un cable de retorno LA-280, incluyendo el montaje de la pinza de suspensión en Polee</t>
  </si>
  <si>
    <t>Acopio, tendido, tensado y regulado de dos cables de retorno LA-280, incluyendo el montaje de la pinza de suspensión en Polee</t>
  </si>
  <si>
    <t>Acopio, tendido, tensado y regulado de feeder de refuerzo,  incluyendo el montaje de la cadena de aisladores y pinza de suspensión en cruceta del Polee</t>
  </si>
  <si>
    <t>Instalación de Pórtico de alimentación para 2 cables de llegada, incluídos los 2 pórticos de 3m y los transversales, n.i. los Polees ni los seccionadores</t>
  </si>
  <si>
    <t>Instalación de Pórtico de alimentación para 4 cables de llegada, incluídos los 2 pórticos de 5m y los transversales, n.i. los Polees ni los seccionadores</t>
  </si>
  <si>
    <t>Earthing connection on viaduct (Handrail or Pole)</t>
  </si>
  <si>
    <t>Pole earthing on platform</t>
  </si>
  <si>
    <t>Rail to Pole connection</t>
  </si>
  <si>
    <t>Connection from Pole to earthing wire in viaduct</t>
  </si>
  <si>
    <t>Equipotential surface for worker operation on Pole</t>
  </si>
  <si>
    <t>Autovalve assembly, including fasteners to the Pole or gantry.</t>
  </si>
  <si>
    <t>Cover for Pole on platform</t>
  </si>
  <si>
    <t>Acopio y montaje de conexión de Polee a carril</t>
  </si>
  <si>
    <t>Acopio y montaje de conexión de Polee o anclaje a cable colector en viaducto</t>
  </si>
  <si>
    <t>Acopio y montaje de superficie equipotencial en Polee</t>
  </si>
  <si>
    <t>Isolated cable for 25/45 kV of Cu 300 mm2 section, included earthing connection and fasteners.</t>
  </si>
  <si>
    <t>km Isolated cable RHZ1FA3Z1-25/45 KV Cu 1x300 mm2 with unions</t>
  </si>
  <si>
    <t>Feeding Portal and Paralelling Portal for 2 tracks, including 2 portals of 3 m with disconectors</t>
  </si>
  <si>
    <t>Feeding Portal and Paralelling Portal for 3 tracks, including 2 portals of 3 m with disconectors</t>
  </si>
  <si>
    <t xml:space="preserve">Pórtico de alimentación y pp para 3 vías, incluídos los 2 pórticos de 5 m, los seccionadores y los transversales, n.i. los postes </t>
  </si>
  <si>
    <t>Paralelling Conection for 2 tracks, including supports, disconectors and wires</t>
  </si>
  <si>
    <t>Paralelling Conection for 4 tracks, including supports, disconectors and wires</t>
  </si>
  <si>
    <t>Armor earthing with overbridge</t>
  </si>
  <si>
    <t>SurgeA</t>
  </si>
  <si>
    <t>Load Breaker</t>
  </si>
  <si>
    <t>LoadB</t>
  </si>
  <si>
    <t>VoltageD</t>
  </si>
  <si>
    <t>SURVEY</t>
  </si>
  <si>
    <t>Other Pk</t>
  </si>
  <si>
    <t>Elevation CW</t>
  </si>
  <si>
    <t>Soil Found</t>
  </si>
  <si>
    <t>Embankment</t>
  </si>
  <si>
    <t>Depth Found</t>
  </si>
  <si>
    <t>Anchorage foundation</t>
  </si>
  <si>
    <t>1.6. Pórticos (m)</t>
  </si>
  <si>
    <t>Earthing device outside</t>
  </si>
  <si>
    <t>ED</t>
  </si>
  <si>
    <t>OCS Tensioning Anchorage</t>
  </si>
  <si>
    <t>Mid Point Anchorage in tunnel</t>
  </si>
  <si>
    <t>AnM/Tx</t>
  </si>
  <si>
    <t>Return, Feeder and Midpoint anchorage in tunnel</t>
  </si>
  <si>
    <t>Messenger and C.W, anchorage in tunnel</t>
  </si>
  <si>
    <t>Messenger and C.W, Tensorex anchorage</t>
  </si>
  <si>
    <t>Matrix Relation</t>
  </si>
  <si>
    <t>Initial PK</t>
  </si>
  <si>
    <t>Final Pk</t>
  </si>
  <si>
    <t>Clasification</t>
  </si>
  <si>
    <t>C2H-240</t>
  </si>
  <si>
    <t>PL;M3;M5;M6</t>
  </si>
  <si>
    <t>*0 V</t>
  </si>
  <si>
    <t>Indicar cada cola</t>
  </si>
  <si>
    <t>Messenger Wire</t>
  </si>
  <si>
    <t>Fixed Point</t>
  </si>
  <si>
    <t>Supplements</t>
  </si>
  <si>
    <t>Drune</t>
  </si>
  <si>
    <t>Edit by</t>
  </si>
  <si>
    <t>Start profile</t>
  </si>
  <si>
    <t>Start KP</t>
  </si>
  <si>
    <t>End profile</t>
  </si>
  <si>
    <t>End KP</t>
  </si>
  <si>
    <t>Length (m)</t>
  </si>
  <si>
    <t>length (m)</t>
  </si>
  <si>
    <t>Weigth (kg)</t>
  </si>
  <si>
    <t>Name</t>
  </si>
  <si>
    <t>Observations</t>
  </si>
  <si>
    <t>Date</t>
  </si>
  <si>
    <t>Contact Wire</t>
  </si>
  <si>
    <t>NOMBRE: EP - VIAS - MW - 000001</t>
  </si>
  <si>
    <t>DRUMS SECTION</t>
  </si>
  <si>
    <t>NOMBRE: EP - VIAS - CW - 000001</t>
  </si>
  <si>
    <t>Soil Classification</t>
  </si>
  <si>
    <t>PLAIN TERRAIN</t>
  </si>
  <si>
    <t>PT</t>
  </si>
  <si>
    <t>C2</t>
  </si>
  <si>
    <t>K</t>
  </si>
  <si>
    <t>C8</t>
  </si>
  <si>
    <t>EMBANKMENT</t>
  </si>
  <si>
    <t>Matrix</t>
  </si>
  <si>
    <t>STRAIGH ARM PH</t>
  </si>
  <si>
    <t>CURVE ARM BC</t>
  </si>
  <si>
    <t>Description changes</t>
  </si>
  <si>
    <t>Nº Revision</t>
  </si>
  <si>
    <t>You must use these formula in row6 and column as you can see, AW, AW, AY</t>
  </si>
  <si>
    <t>You must use these formula in row6 and column as you can see, AC, AD, AE</t>
  </si>
  <si>
    <t>Information must be in order without gaps</t>
  </si>
  <si>
    <t>IMPORTANT: PUT IN ORDER KP, MAIN TRACKS, NOT MIX TRACKS, TURNOVERS IN OTHER DRUM</t>
  </si>
  <si>
    <t xml:space="preserve">CW DRUMS, 1 or + for Tensioning Length + 80 meters suplements (Max 2.000 kg - 1874 m) </t>
  </si>
  <si>
    <t>Suspensión de cable de retorno LA-280 en hastial de túnel</t>
  </si>
  <si>
    <t>Suspensión de cable de retorno LA-280 en silleta túnel</t>
  </si>
  <si>
    <t xml:space="preserve">RW1T-S o RW2T-SC / RW2T-S (2x) </t>
  </si>
  <si>
    <t>C-559b</t>
  </si>
  <si>
    <t>PH-Q</t>
  </si>
  <si>
    <t>PH-C</t>
  </si>
  <si>
    <t>Se pone 1 por cada cola</t>
  </si>
  <si>
    <t>Se pone 1 por cada 2 colas -- 2x</t>
  </si>
  <si>
    <t>Suspension for one return wire (LA-280) in tunnel in support</t>
  </si>
  <si>
    <t>Suspensión de un cable de retorno LA-280 en túnel en silleta</t>
  </si>
  <si>
    <t>Suspensión de un cable de retorno LA-280 en túnel en techo</t>
  </si>
  <si>
    <t>5-S.14b</t>
  </si>
  <si>
    <t>Suspension for one return wire (LA-280) in tunnel in ceiling</t>
  </si>
  <si>
    <t>Aparellaje para seccionador monopolar en poste con feeder</t>
  </si>
  <si>
    <t xml:space="preserve">Aparellaje de conjunto de seccionador monopolar  y Earthing Device en mismo poste (Sin feeder) </t>
  </si>
  <si>
    <t>6-S.07c</t>
  </si>
  <si>
    <t>Disconnector, Connections and transmission mortor drive   (without feeder)</t>
  </si>
  <si>
    <t>Disconnector, Connections and transmission mortor drive in tunnel</t>
  </si>
  <si>
    <t>Earthing device, Connections and transmission mortor drive   in tunnel</t>
  </si>
  <si>
    <t>Disconnector and Earthing Device in same pole, Connections and transmission mortor drive   (without feeder)</t>
  </si>
  <si>
    <t>Load Breaker with earth conection, Connections and transmission mortor drive</t>
  </si>
  <si>
    <t>Equipo Puesta a tierra (Earthing device)</t>
  </si>
  <si>
    <t>Straigh Arm</t>
  </si>
  <si>
    <t>Curve Arm</t>
  </si>
  <si>
    <t>Angled Arm</t>
  </si>
  <si>
    <t>Angled Curve Arm</t>
  </si>
  <si>
    <t>PH</t>
  </si>
  <si>
    <t>BC</t>
  </si>
  <si>
    <t>POLIGONAL ARM PH-Q</t>
  </si>
  <si>
    <t>POLIGONAL ARM PH-C</t>
  </si>
  <si>
    <t>PH-Q-XXX</t>
  </si>
  <si>
    <t>PH-C-XXX</t>
  </si>
  <si>
    <t>Return Wire Support in pole</t>
  </si>
  <si>
    <t>2 Return Wire Support in pole</t>
  </si>
  <si>
    <t>Return Wire Support in support / ceiling</t>
  </si>
  <si>
    <t>2 Return Wire Support in support / ceiling</t>
  </si>
  <si>
    <t>RW1T-S/C</t>
  </si>
  <si>
    <t>RW2T-S/C/SC</t>
  </si>
  <si>
    <t>CONEXIONES</t>
  </si>
  <si>
    <t>SUSPENSIONES</t>
  </si>
  <si>
    <t>BRAZOS MENS</t>
  </si>
  <si>
    <t>Connections of Disconnector &amp; Earthing Device in same plo</t>
  </si>
  <si>
    <t>Earthing Device</t>
  </si>
  <si>
    <t>Suspension return wire LA-280 in support in tunnel</t>
  </si>
  <si>
    <t>Suspension return wire LA-280 in ceiling in tunnel</t>
  </si>
  <si>
    <t>RW1T-c o RW2T-SC/ RW2T-c (2x)</t>
  </si>
  <si>
    <t>PH-950</t>
  </si>
  <si>
    <t>PH-1000</t>
  </si>
  <si>
    <t>PH-1050</t>
  </si>
  <si>
    <t>PH-1100</t>
  </si>
  <si>
    <t>PH-1150</t>
  </si>
  <si>
    <t>PH-1200</t>
  </si>
  <si>
    <t>PH-1250</t>
  </si>
  <si>
    <t>PH-1300</t>
  </si>
  <si>
    <t>PH-1350</t>
  </si>
  <si>
    <t>PH-1400</t>
  </si>
  <si>
    <t>PH-1450</t>
  </si>
  <si>
    <t>PH-1500</t>
  </si>
  <si>
    <t>End Mishmar</t>
  </si>
  <si>
    <t>23-1.22</t>
  </si>
  <si>
    <t>23-1.23</t>
  </si>
  <si>
    <t>23-1.24</t>
  </si>
  <si>
    <t>24-1.01</t>
  </si>
  <si>
    <t>24-1.02</t>
  </si>
  <si>
    <t>24-1.03</t>
  </si>
  <si>
    <t>24-1.04</t>
  </si>
  <si>
    <t>24-1.05</t>
  </si>
  <si>
    <t>24-1.06</t>
  </si>
  <si>
    <t>24-1.07</t>
  </si>
  <si>
    <t>24-1.08</t>
  </si>
  <si>
    <t>24-1.09</t>
  </si>
  <si>
    <t>B5: 24+580</t>
  </si>
  <si>
    <t>24-1.10</t>
  </si>
  <si>
    <t>24-1.11</t>
  </si>
  <si>
    <t>24-1.12</t>
  </si>
  <si>
    <t>B5: 24+764</t>
  </si>
  <si>
    <t>24-1.13</t>
  </si>
  <si>
    <t>24-1.14</t>
  </si>
  <si>
    <t>24-1.15</t>
  </si>
  <si>
    <t>24-1.16</t>
  </si>
  <si>
    <t>24-1.17</t>
  </si>
  <si>
    <t>25-1.01</t>
  </si>
  <si>
    <t>25-1.02</t>
  </si>
  <si>
    <t>25-1.03</t>
  </si>
  <si>
    <t>25-1.04</t>
  </si>
  <si>
    <t>25-1.05</t>
  </si>
  <si>
    <t>25-1.06</t>
  </si>
  <si>
    <t>25-1.07</t>
  </si>
  <si>
    <t>25-1.08</t>
  </si>
  <si>
    <t>25-1.09</t>
  </si>
  <si>
    <t>25-1.10</t>
  </si>
  <si>
    <t>25-1.11</t>
  </si>
  <si>
    <t>25-1.12</t>
  </si>
  <si>
    <t>25-1.13</t>
  </si>
  <si>
    <t>25-1.14</t>
  </si>
  <si>
    <t>25-1.15</t>
  </si>
  <si>
    <t>25-1.16</t>
  </si>
  <si>
    <t>25-1.17</t>
  </si>
  <si>
    <t>B6: 25+750</t>
  </si>
  <si>
    <t>25-1.18</t>
  </si>
  <si>
    <t>25-1.19</t>
  </si>
  <si>
    <t>25-1.20</t>
  </si>
  <si>
    <t>25-1.21</t>
  </si>
  <si>
    <t>25-1.22</t>
  </si>
  <si>
    <t>26-1.01</t>
  </si>
  <si>
    <t>26-1.02</t>
  </si>
  <si>
    <t>26-1.03</t>
  </si>
  <si>
    <t>26-1.04</t>
  </si>
  <si>
    <t>26-1.05</t>
  </si>
  <si>
    <t>26-1.06</t>
  </si>
  <si>
    <t>26-1.07</t>
  </si>
  <si>
    <t>26-1.08</t>
  </si>
  <si>
    <t>26-1.09</t>
  </si>
  <si>
    <t>26-1.10</t>
  </si>
  <si>
    <t>26-1.11</t>
  </si>
  <si>
    <t>26-1.12</t>
  </si>
  <si>
    <t>26-1.13</t>
  </si>
  <si>
    <t>26-1.14</t>
  </si>
  <si>
    <t>26-1.15</t>
  </si>
  <si>
    <t>26-1.16</t>
  </si>
  <si>
    <t>26-1.17</t>
  </si>
  <si>
    <t>26-1.18</t>
  </si>
  <si>
    <t>26-1.19</t>
  </si>
  <si>
    <t>B6: 26+965</t>
  </si>
  <si>
    <t>27-1.01</t>
  </si>
  <si>
    <t>27-1.02</t>
  </si>
  <si>
    <t>27-1.03</t>
  </si>
  <si>
    <t>Section C</t>
  </si>
  <si>
    <t>27-1.04</t>
  </si>
  <si>
    <t>27-1.05</t>
  </si>
  <si>
    <t>27-1.06</t>
  </si>
  <si>
    <t>27-1.07</t>
  </si>
  <si>
    <t>27-1.08</t>
  </si>
  <si>
    <t>27-1.09</t>
  </si>
  <si>
    <t>27-1.10</t>
  </si>
  <si>
    <t>27-1.11</t>
  </si>
  <si>
    <t>27-1.12</t>
  </si>
  <si>
    <t>27-1.13</t>
  </si>
  <si>
    <t>27-1.14</t>
  </si>
  <si>
    <t>27-1.15</t>
  </si>
  <si>
    <t>27-1.16</t>
  </si>
  <si>
    <t>27-1.17</t>
  </si>
  <si>
    <t>27-1.18</t>
  </si>
  <si>
    <t>27-1.19</t>
  </si>
  <si>
    <t>27-1.20</t>
  </si>
  <si>
    <t>28-1.01</t>
  </si>
  <si>
    <t>28-1.02</t>
  </si>
  <si>
    <t>28-1.03</t>
  </si>
  <si>
    <t>28-1.04</t>
  </si>
  <si>
    <t>28-1.05</t>
  </si>
  <si>
    <t>28-1.06</t>
  </si>
  <si>
    <t>28-1.07</t>
  </si>
  <si>
    <t>28-1.08</t>
  </si>
  <si>
    <t>28-1.09</t>
  </si>
  <si>
    <t>28-1.10</t>
  </si>
  <si>
    <t>28-1.11</t>
  </si>
  <si>
    <t>28-1.12</t>
  </si>
  <si>
    <t>28-1.13</t>
  </si>
  <si>
    <t>28-1.14</t>
  </si>
  <si>
    <t>28-1.15</t>
  </si>
  <si>
    <t>28-1.16</t>
  </si>
  <si>
    <t>28-1.17</t>
  </si>
  <si>
    <t>28-1.18</t>
  </si>
  <si>
    <t>28-1.19</t>
  </si>
  <si>
    <t>28-1.20</t>
  </si>
  <si>
    <t>29-1.01</t>
  </si>
  <si>
    <t>29-1.02</t>
  </si>
  <si>
    <t>29-1.03</t>
  </si>
  <si>
    <t>29-1.04</t>
  </si>
  <si>
    <t>29-1.05</t>
  </si>
  <si>
    <t>29-1.06</t>
  </si>
  <si>
    <t>29-1.07</t>
  </si>
  <si>
    <t>29-1.08</t>
  </si>
  <si>
    <t>29-1.09</t>
  </si>
  <si>
    <t>29-1.10</t>
  </si>
  <si>
    <t>29-1.11</t>
  </si>
  <si>
    <t>29-1.12</t>
  </si>
  <si>
    <t>29-1.13</t>
  </si>
  <si>
    <t>29-1.14</t>
  </si>
  <si>
    <t>29-1.15</t>
  </si>
  <si>
    <t>29-1.16</t>
  </si>
  <si>
    <t>29-1.17</t>
  </si>
  <si>
    <t>29-1.18</t>
  </si>
  <si>
    <t>29-1.19</t>
  </si>
  <si>
    <t>29-1.20</t>
  </si>
  <si>
    <t>30-1.01</t>
  </si>
  <si>
    <t>30-1.02</t>
  </si>
  <si>
    <t>30-1.03</t>
  </si>
  <si>
    <t>30-1.04</t>
  </si>
  <si>
    <t>30-1.05</t>
  </si>
  <si>
    <t>30-1.06</t>
  </si>
  <si>
    <t>30-1.07</t>
  </si>
  <si>
    <t>30-1.08</t>
  </si>
  <si>
    <t>30-1.09</t>
  </si>
  <si>
    <t>30-1.10</t>
  </si>
  <si>
    <t>30-1.11</t>
  </si>
  <si>
    <t>30-1.12</t>
  </si>
  <si>
    <t>30-1.13</t>
  </si>
  <si>
    <t>30-1.15</t>
  </si>
  <si>
    <t>T1: 30+715</t>
  </si>
  <si>
    <t>30-1.16</t>
  </si>
  <si>
    <t>30-1.18</t>
  </si>
  <si>
    <t>B7-HAREL</t>
  </si>
  <si>
    <t>30-1.19</t>
  </si>
  <si>
    <t>30-1.20</t>
  </si>
  <si>
    <t>30-1.21</t>
  </si>
  <si>
    <t>30+800 SSEE</t>
  </si>
  <si>
    <t>30-1.23</t>
  </si>
  <si>
    <t>T2: 30+900</t>
  </si>
  <si>
    <t>30-1.24</t>
  </si>
  <si>
    <t>23-2.19</t>
  </si>
  <si>
    <t>23-2.20</t>
  </si>
  <si>
    <t>23-2.21</t>
  </si>
  <si>
    <t>23-2.22</t>
  </si>
  <si>
    <t>23-2.23</t>
  </si>
  <si>
    <t>23-2.24</t>
  </si>
  <si>
    <t>24-2.01</t>
  </si>
  <si>
    <t>24-2.02</t>
  </si>
  <si>
    <t>24-2.03</t>
  </si>
  <si>
    <t>24-2.04</t>
  </si>
  <si>
    <t>24-2.05</t>
  </si>
  <si>
    <t>24-2.06</t>
  </si>
  <si>
    <t>24-2.07</t>
  </si>
  <si>
    <t>24-2.08</t>
  </si>
  <si>
    <t>24-2.09</t>
  </si>
  <si>
    <t>24-2.11</t>
  </si>
  <si>
    <t>24-2.12</t>
  </si>
  <si>
    <t>24-2.13</t>
  </si>
  <si>
    <t>B5: 24+786</t>
  </si>
  <si>
    <t>24-2.14</t>
  </si>
  <si>
    <t>24-2.15</t>
  </si>
  <si>
    <t>24-2.16</t>
  </si>
  <si>
    <t>24-2.17</t>
  </si>
  <si>
    <t>25-2.01</t>
  </si>
  <si>
    <t>25-2.02</t>
  </si>
  <si>
    <t>25-2.03</t>
  </si>
  <si>
    <t>25-2.04</t>
  </si>
  <si>
    <t>25-2.05</t>
  </si>
  <si>
    <t>25-2.06</t>
  </si>
  <si>
    <t>25-2.07</t>
  </si>
  <si>
    <t>25-2.08</t>
  </si>
  <si>
    <t>25-2.09</t>
  </si>
  <si>
    <t>25-2.10</t>
  </si>
  <si>
    <t>25-2.11</t>
  </si>
  <si>
    <t>25-2.12</t>
  </si>
  <si>
    <t>25-2.13</t>
  </si>
  <si>
    <t>25-2.14</t>
  </si>
  <si>
    <t>25-2.15</t>
  </si>
  <si>
    <t>25-2.16</t>
  </si>
  <si>
    <t>25-2.17</t>
  </si>
  <si>
    <t>25-2.18</t>
  </si>
  <si>
    <t>25-2.19</t>
  </si>
  <si>
    <t>25-2.20</t>
  </si>
  <si>
    <t>25-2.21</t>
  </si>
  <si>
    <t>25-2.22</t>
  </si>
  <si>
    <t>26-2.01</t>
  </si>
  <si>
    <t>26-2.02</t>
  </si>
  <si>
    <t>26-2.03</t>
  </si>
  <si>
    <t>26-2.04</t>
  </si>
  <si>
    <t>26-2.05</t>
  </si>
  <si>
    <t>26-2.06</t>
  </si>
  <si>
    <t>26-2.07</t>
  </si>
  <si>
    <t>26-2.08</t>
  </si>
  <si>
    <t>26-2.09</t>
  </si>
  <si>
    <t>26-2.10</t>
  </si>
  <si>
    <t>26-2.11</t>
  </si>
  <si>
    <t>26-2.12</t>
  </si>
  <si>
    <t>26-2.13</t>
  </si>
  <si>
    <t>26-2.14</t>
  </si>
  <si>
    <t>26-2.15</t>
  </si>
  <si>
    <t>26-2.16</t>
  </si>
  <si>
    <t>26-2.17</t>
  </si>
  <si>
    <t>26-2.18</t>
  </si>
  <si>
    <t>26-2.19</t>
  </si>
  <si>
    <t>27-2.01</t>
  </si>
  <si>
    <t>27-2.02</t>
  </si>
  <si>
    <t>27-2.03</t>
  </si>
  <si>
    <t>T1: 27+125</t>
  </si>
  <si>
    <t>27-2.04</t>
  </si>
  <si>
    <t>27-2.05</t>
  </si>
  <si>
    <t>27-2.06</t>
  </si>
  <si>
    <t>27-2.07</t>
  </si>
  <si>
    <t>27-2.08</t>
  </si>
  <si>
    <t>27-2.09</t>
  </si>
  <si>
    <t>27-2.10</t>
  </si>
  <si>
    <t>27-2.11</t>
  </si>
  <si>
    <t>27-2.12</t>
  </si>
  <si>
    <t>27-2.13</t>
  </si>
  <si>
    <t>27-2.14</t>
  </si>
  <si>
    <t>27-2.15</t>
  </si>
  <si>
    <t>27-2.16</t>
  </si>
  <si>
    <t>27-2.17</t>
  </si>
  <si>
    <t>27-2.18</t>
  </si>
  <si>
    <t>27-2.19</t>
  </si>
  <si>
    <t>27-2.20</t>
  </si>
  <si>
    <t>28-2.01</t>
  </si>
  <si>
    <t>28-2.02</t>
  </si>
  <si>
    <t>28-2.03</t>
  </si>
  <si>
    <t>28-2.04</t>
  </si>
  <si>
    <t>28-2.05</t>
  </si>
  <si>
    <t>28-2.06</t>
  </si>
  <si>
    <t>28-2.07</t>
  </si>
  <si>
    <t>28-2.08</t>
  </si>
  <si>
    <t>28-2.09</t>
  </si>
  <si>
    <t>28-2.10</t>
  </si>
  <si>
    <t>28-2.11</t>
  </si>
  <si>
    <t>28-2.12</t>
  </si>
  <si>
    <t>28-2.13</t>
  </si>
  <si>
    <t>28-2.14</t>
  </si>
  <si>
    <t>28-2.15</t>
  </si>
  <si>
    <t>28-2.16</t>
  </si>
  <si>
    <t>28-2.17</t>
  </si>
  <si>
    <t>28-2.18</t>
  </si>
  <si>
    <t>28-2.19</t>
  </si>
  <si>
    <t>28-2.20</t>
  </si>
  <si>
    <t>29-2.01</t>
  </si>
  <si>
    <t>29-2.02</t>
  </si>
  <si>
    <t>29-2.03</t>
  </si>
  <si>
    <t>29-2.04</t>
  </si>
  <si>
    <t>29-2.05</t>
  </si>
  <si>
    <t>29-2.06</t>
  </si>
  <si>
    <t>29-2.07</t>
  </si>
  <si>
    <t>29-2.08</t>
  </si>
  <si>
    <t>29-2.09</t>
  </si>
  <si>
    <t>29-2.10</t>
  </si>
  <si>
    <t>29-2.11</t>
  </si>
  <si>
    <t>29-2.12</t>
  </si>
  <si>
    <t>29-2.13</t>
  </si>
  <si>
    <t>29-2.14</t>
  </si>
  <si>
    <t>29-2.15</t>
  </si>
  <si>
    <t>29-2.16</t>
  </si>
  <si>
    <t>29-2.17</t>
  </si>
  <si>
    <t>29-2.18</t>
  </si>
  <si>
    <t>29-2.19</t>
  </si>
  <si>
    <t>29-2.20</t>
  </si>
  <si>
    <t>30-2.01</t>
  </si>
  <si>
    <t>30-2.02</t>
  </si>
  <si>
    <t>30-2.03</t>
  </si>
  <si>
    <t>30-2.04</t>
  </si>
  <si>
    <t>30-2.05</t>
  </si>
  <si>
    <t>30-2.06</t>
  </si>
  <si>
    <t>30-2.07</t>
  </si>
  <si>
    <t>30-2.08</t>
  </si>
  <si>
    <t>30-2.09</t>
  </si>
  <si>
    <t>30-2.10</t>
  </si>
  <si>
    <t>30-2.11</t>
  </si>
  <si>
    <t>30-2.12</t>
  </si>
  <si>
    <t>30-2.13</t>
  </si>
  <si>
    <t>30-2.14</t>
  </si>
  <si>
    <t>30-2.15</t>
  </si>
  <si>
    <t>30-2.16</t>
  </si>
  <si>
    <t>30-2.17</t>
  </si>
  <si>
    <t>30-2.18</t>
  </si>
  <si>
    <t>30-2.19</t>
  </si>
  <si>
    <t>30-2.20</t>
  </si>
  <si>
    <t>30-2.21</t>
  </si>
  <si>
    <t>30-2.22</t>
  </si>
  <si>
    <t>30-2.23</t>
  </si>
  <si>
    <t xml:space="preserve"> T2: 30+900</t>
  </si>
  <si>
    <t>30-2.24</t>
  </si>
  <si>
    <t>new pk</t>
  </si>
  <si>
    <t>MW Drums, 2 or + Tensioning Length + Mid Points + 20 meters suplements (Max 1.800 Kg - 3020 m)</t>
  </si>
  <si>
    <t>IO</t>
  </si>
  <si>
    <t>DISC/IO</t>
  </si>
  <si>
    <t>DISC/NZ</t>
  </si>
  <si>
    <t>VIADUCTO 5</t>
  </si>
  <si>
    <t>VIADUCTO 6</t>
  </si>
  <si>
    <t>RW2T-SC</t>
  </si>
  <si>
    <t>Aparellaje para acometida de feeder en poste para 1 vía (incluido paso aislado a desnudo)</t>
  </si>
  <si>
    <t>Aparellaje para acometida de feeder a depot (incluido paso aislado a desnudo con pat y bajada a tierra)</t>
  </si>
  <si>
    <t>Feeding Portal and Paralelling Portal for 3 m used with Transmission Mechanism</t>
  </si>
  <si>
    <t>Feeding Portal and Paralelling Portal for 3 m used without Transmission Mechanism</t>
  </si>
  <si>
    <t>Feeding Portal and Paralelling Portal for 5m used with Transmission Mechanism</t>
  </si>
  <si>
    <t>Feeding Portal and Paralelling Portal for 5m used without Transmission Mechanism</t>
  </si>
  <si>
    <t>C4 SLABTRACK</t>
  </si>
  <si>
    <t>WALL</t>
  </si>
  <si>
    <t>LOW WALL</t>
  </si>
  <si>
    <t>C3 SLABTRACK</t>
  </si>
  <si>
    <t>2-S.02f</t>
  </si>
  <si>
    <t>Poste Especial 2HEB-240 DE S.E.  de 7.6 m. de altura - viaducto</t>
  </si>
  <si>
    <t>2-S.03f</t>
  </si>
  <si>
    <t>Poste Especial 2HEB-260 DE S.E.  de 7.6 m. de altura - viaducto</t>
  </si>
  <si>
    <t>Poste Tipo HEB-220 de 7.6 m. de altura - viaducto</t>
  </si>
  <si>
    <t>Poste Tipo HEB-220 de 7.6 m. de altura - viaducto y compensacion</t>
  </si>
  <si>
    <t>Poste Tipo HEB-240 de 7.6 m. de altura - viaducto</t>
  </si>
  <si>
    <t>Poste Tipo HEB-240 de 7.6 m. de altura - viaducto y compensacion</t>
  </si>
  <si>
    <t>Poste Tipo HEB-260 de 7.6 m. de altura - viaducto</t>
  </si>
  <si>
    <t>Poste Tipo HEB-260 de 7.6 m. de altura - viaducto y compensacion</t>
  </si>
  <si>
    <t>Poste Tipo HEB-280 de 7.6 m. de altura - viaducto</t>
  </si>
  <si>
    <t>Poste Tipo HEB-280 de 7.6 m. de altura - viaducto y compensacion</t>
  </si>
  <si>
    <t>Poste Tipo HEB-300 de 7.6 m. de altura - viaducto</t>
  </si>
  <si>
    <t>Poste Tipo HEB-300 de 7.6 m. de altura - viaducto y compensacion</t>
  </si>
  <si>
    <t>Semi Portal until 20m</t>
  </si>
  <si>
    <t>Semi Portal type B7</t>
  </si>
  <si>
    <t>Insulated Overlap</t>
  </si>
  <si>
    <t>11-1.01</t>
  </si>
  <si>
    <t>11-1.02</t>
  </si>
  <si>
    <t>11-1.03</t>
  </si>
  <si>
    <t>11-1.04</t>
  </si>
  <si>
    <t>11-1.05</t>
  </si>
  <si>
    <t>11-1.06</t>
  </si>
  <si>
    <t>11-1.07</t>
  </si>
  <si>
    <t>11-1.08</t>
  </si>
  <si>
    <t>11-1.09</t>
  </si>
  <si>
    <t>11-1.10</t>
  </si>
  <si>
    <t>11-1.11</t>
  </si>
  <si>
    <t>11-1.12</t>
  </si>
  <si>
    <t>11-1.13</t>
  </si>
  <si>
    <t>11-1.14</t>
  </si>
  <si>
    <t>11-1.15</t>
  </si>
  <si>
    <t>11-1.16</t>
  </si>
  <si>
    <t>11-1.17</t>
  </si>
  <si>
    <t>11-1.18</t>
  </si>
  <si>
    <t>12-1.01</t>
  </si>
  <si>
    <t>12-1.02</t>
  </si>
  <si>
    <t>12-1.03</t>
  </si>
  <si>
    <t>12-1.04</t>
  </si>
  <si>
    <t>12-1.05</t>
  </si>
  <si>
    <t>12-1.06</t>
  </si>
  <si>
    <t>12-1.07</t>
  </si>
  <si>
    <t>12-1.08</t>
  </si>
  <si>
    <t>12-1.09</t>
  </si>
  <si>
    <t>12-1.10</t>
  </si>
  <si>
    <t>12-1.11</t>
  </si>
  <si>
    <t>12-1.12</t>
  </si>
  <si>
    <t>12-1.13</t>
  </si>
  <si>
    <t>12-1.14</t>
  </si>
  <si>
    <t>12-1.15</t>
  </si>
  <si>
    <t>12-1.16</t>
  </si>
  <si>
    <t>12-1.17</t>
  </si>
  <si>
    <t>12-1.18</t>
  </si>
  <si>
    <t>12-1.19</t>
  </si>
  <si>
    <t>13-1.01</t>
  </si>
  <si>
    <t>13-1.02</t>
  </si>
  <si>
    <t>13-1.03</t>
  </si>
  <si>
    <t>13-1.04</t>
  </si>
  <si>
    <t>13-1.05</t>
  </si>
  <si>
    <t>13-1.06</t>
  </si>
  <si>
    <t>13-1.07</t>
  </si>
  <si>
    <t>13-1.08</t>
  </si>
  <si>
    <t>13-1.09</t>
  </si>
  <si>
    <t>13-1.10</t>
  </si>
  <si>
    <t>13-1.11</t>
  </si>
  <si>
    <t>13-1.12</t>
  </si>
  <si>
    <t>13-1.13</t>
  </si>
  <si>
    <t>13-1.14</t>
  </si>
  <si>
    <t>13-1.15</t>
  </si>
  <si>
    <t>13-1.16</t>
  </si>
  <si>
    <t>13-1.17</t>
  </si>
  <si>
    <t>13-1.18</t>
  </si>
  <si>
    <t>13-1.19</t>
  </si>
  <si>
    <t>14-1.01</t>
  </si>
  <si>
    <t>14-1.02</t>
  </si>
  <si>
    <t>14-1.03</t>
  </si>
  <si>
    <t>14-1.04</t>
  </si>
  <si>
    <t>14-1.05</t>
  </si>
  <si>
    <t>14-1.06</t>
  </si>
  <si>
    <t>14-1.07</t>
  </si>
  <si>
    <t>14-1.08</t>
  </si>
  <si>
    <t>14-1.09</t>
  </si>
  <si>
    <t>14-1.10</t>
  </si>
  <si>
    <t>14-1.11</t>
  </si>
  <si>
    <t>14-1.12</t>
  </si>
  <si>
    <t>14-1.13</t>
  </si>
  <si>
    <t>14-1.14</t>
  </si>
  <si>
    <t>14-1.15</t>
  </si>
  <si>
    <t>14-1.16</t>
  </si>
  <si>
    <t>14-1.17</t>
  </si>
  <si>
    <t>15-1.01</t>
  </si>
  <si>
    <t>15-1.02</t>
  </si>
  <si>
    <t>15-1.03</t>
  </si>
  <si>
    <t>15-1.04</t>
  </si>
  <si>
    <t>15-1.05</t>
  </si>
  <si>
    <t>15-1.06</t>
  </si>
  <si>
    <t>15-1.07</t>
  </si>
  <si>
    <t>15-1.08</t>
  </si>
  <si>
    <t>15-1.09</t>
  </si>
  <si>
    <t>15-1.10</t>
  </si>
  <si>
    <t>15-1.11</t>
  </si>
  <si>
    <t>15-1.12</t>
  </si>
  <si>
    <t>15-1.13</t>
  </si>
  <si>
    <t>15-1.14</t>
  </si>
  <si>
    <t>15-1.15</t>
  </si>
  <si>
    <t>15-1.16</t>
  </si>
  <si>
    <t>15-1.17</t>
  </si>
  <si>
    <t>15-1.24</t>
  </si>
  <si>
    <t>16-1.01</t>
  </si>
  <si>
    <t>16-1.02</t>
  </si>
  <si>
    <t>16-1.03</t>
  </si>
  <si>
    <t>16-1.04</t>
  </si>
  <si>
    <t>16-1.05</t>
  </si>
  <si>
    <t>16-1.06</t>
  </si>
  <si>
    <t>16-1.07</t>
  </si>
  <si>
    <t>16-1.08</t>
  </si>
  <si>
    <t>16-1.09</t>
  </si>
  <si>
    <t>16-1.10</t>
  </si>
  <si>
    <t>16-1.11</t>
  </si>
  <si>
    <t>16-1.12</t>
  </si>
  <si>
    <t>16-1.13</t>
  </si>
  <si>
    <t>16-1.14</t>
  </si>
  <si>
    <t>16-1.15</t>
  </si>
  <si>
    <t>16-1.16</t>
  </si>
  <si>
    <t>17-1.01</t>
  </si>
  <si>
    <t>17-1.02</t>
  </si>
  <si>
    <t>17-1.03</t>
  </si>
  <si>
    <t>17-1.04</t>
  </si>
  <si>
    <t>17-1.05</t>
  </si>
  <si>
    <t>17-1.06</t>
  </si>
  <si>
    <t>17-1.07</t>
  </si>
  <si>
    <t>17-1.08</t>
  </si>
  <si>
    <t>17-1.09</t>
  </si>
  <si>
    <t xml:space="preserve">S/A A/S-Diag </t>
  </si>
  <si>
    <t>17-1.10</t>
  </si>
  <si>
    <t>17-1.11</t>
  </si>
  <si>
    <t>P50 A/S</t>
  </si>
  <si>
    <t>17-1.12</t>
  </si>
  <si>
    <t>17-1.14</t>
  </si>
  <si>
    <t>17-1.15</t>
  </si>
  <si>
    <t>17-1.16</t>
  </si>
  <si>
    <t>17-1.17</t>
  </si>
  <si>
    <t>17-1.18</t>
  </si>
  <si>
    <t>17-1.19</t>
  </si>
  <si>
    <t>17-1.20</t>
  </si>
  <si>
    <t>17-1.21</t>
  </si>
  <si>
    <t>18-1.01</t>
  </si>
  <si>
    <t>18-1.02</t>
  </si>
  <si>
    <t>18-1.03</t>
  </si>
  <si>
    <t>18-1.04</t>
  </si>
  <si>
    <t>18-1.05</t>
  </si>
  <si>
    <t>18-1.06</t>
  </si>
  <si>
    <t>18-1.07</t>
  </si>
  <si>
    <t>18-1.08</t>
  </si>
  <si>
    <t>18-1.09</t>
  </si>
  <si>
    <t>18-1.10</t>
  </si>
  <si>
    <t>Tunnel 1-Tunnel Anava</t>
  </si>
  <si>
    <t>18-1.11</t>
  </si>
  <si>
    <t>18-1.12</t>
  </si>
  <si>
    <t>18-1.13</t>
  </si>
  <si>
    <t>18-1.14</t>
  </si>
  <si>
    <t>Bridge 1</t>
  </si>
  <si>
    <t>18-1.15</t>
  </si>
  <si>
    <t>18-1.16</t>
  </si>
  <si>
    <t>18-1.17</t>
  </si>
  <si>
    <t>18-1.18</t>
  </si>
  <si>
    <t>18-1.19</t>
  </si>
  <si>
    <t>18-1.20</t>
  </si>
  <si>
    <t>19-1.01</t>
  </si>
  <si>
    <t>19-1.02</t>
  </si>
  <si>
    <t>19-1.03</t>
  </si>
  <si>
    <t>19-1.04</t>
  </si>
  <si>
    <t>19-1.05</t>
  </si>
  <si>
    <t>19-1.06</t>
  </si>
  <si>
    <t>19-1.07</t>
  </si>
  <si>
    <t>19-1.08</t>
  </si>
  <si>
    <t>19-1.09</t>
  </si>
  <si>
    <t>19-1.10</t>
  </si>
  <si>
    <t>19-1.11</t>
  </si>
  <si>
    <t>19-1.12</t>
  </si>
  <si>
    <t>19-1.13</t>
  </si>
  <si>
    <t>19-1.14</t>
  </si>
  <si>
    <t>19-1.15</t>
  </si>
  <si>
    <t>19-1.16</t>
  </si>
  <si>
    <t>19-1.17</t>
  </si>
  <si>
    <t>20-1.01</t>
  </si>
  <si>
    <t>20-1.02</t>
  </si>
  <si>
    <t>Start "bridge 2B"</t>
  </si>
  <si>
    <t>20-1.03</t>
  </si>
  <si>
    <t>20-1.04</t>
  </si>
  <si>
    <t>End "Bridge 2B"</t>
  </si>
  <si>
    <t>20-1.05</t>
  </si>
  <si>
    <t>20-1.06</t>
  </si>
  <si>
    <t>Start TZOMET DANIEL</t>
  </si>
  <si>
    <t>20-1.07</t>
  </si>
  <si>
    <t>20-1.08</t>
  </si>
  <si>
    <t>20-1.09</t>
  </si>
  <si>
    <t>A/S S/A</t>
  </si>
  <si>
    <t>End TZOMET DANIEL</t>
  </si>
  <si>
    <t>21-1.13</t>
  </si>
  <si>
    <t>21-1.14</t>
  </si>
  <si>
    <t>21-1.15</t>
  </si>
  <si>
    <t>21-1.16</t>
  </si>
  <si>
    <t>21-1.17</t>
  </si>
  <si>
    <t>21-1.18</t>
  </si>
  <si>
    <t>21-1.19</t>
  </si>
  <si>
    <t>Start Bridge 4</t>
  </si>
  <si>
    <t>21-1.20</t>
  </si>
  <si>
    <t>Fin Bridge 4</t>
  </si>
  <si>
    <t>22-1.01</t>
  </si>
  <si>
    <t>22-1.02</t>
  </si>
  <si>
    <t>22-1.03</t>
  </si>
  <si>
    <t>22-1.04</t>
  </si>
  <si>
    <t>22-1.05</t>
  </si>
  <si>
    <t>Start Mishmar</t>
  </si>
  <si>
    <t>22-1.06</t>
  </si>
  <si>
    <t>22-1.07</t>
  </si>
  <si>
    <t>S/A A/S-Diag</t>
  </si>
  <si>
    <t>11-2.02</t>
  </si>
  <si>
    <t>11-2.03</t>
  </si>
  <si>
    <t>11-2.04</t>
  </si>
  <si>
    <t>11-2.05</t>
  </si>
  <si>
    <t>11-2.06</t>
  </si>
  <si>
    <t>11-2.07</t>
  </si>
  <si>
    <t>11-2.08</t>
  </si>
  <si>
    <t>11-2.09</t>
  </si>
  <si>
    <t>11-2.10</t>
  </si>
  <si>
    <t>11-2.11</t>
  </si>
  <si>
    <t>11-2.12</t>
  </si>
  <si>
    <t>11-2.13</t>
  </si>
  <si>
    <t>11-2.14</t>
  </si>
  <si>
    <t>11-2.15</t>
  </si>
  <si>
    <t>11-2.16</t>
  </si>
  <si>
    <t>11-2.17</t>
  </si>
  <si>
    <t>11-2.18</t>
  </si>
  <si>
    <t>12-2.01</t>
  </si>
  <si>
    <t>12-2.02</t>
  </si>
  <si>
    <t>12-2.03</t>
  </si>
  <si>
    <t>12-2.04</t>
  </si>
  <si>
    <t>12-2.05</t>
  </si>
  <si>
    <t>12-2.06</t>
  </si>
  <si>
    <t>12-2.07</t>
  </si>
  <si>
    <t>12-2.08</t>
  </si>
  <si>
    <t>12-2.09</t>
  </si>
  <si>
    <t>12-2.10</t>
  </si>
  <si>
    <t>12-2.11</t>
  </si>
  <si>
    <t>12-2.12</t>
  </si>
  <si>
    <t>12-2.13</t>
  </si>
  <si>
    <t>12-2.14</t>
  </si>
  <si>
    <t>12-2.15</t>
  </si>
  <si>
    <t>12-2.16</t>
  </si>
  <si>
    <t>12-2.17</t>
  </si>
  <si>
    <t>12-2.18</t>
  </si>
  <si>
    <t>12-2.19</t>
  </si>
  <si>
    <t>13-2.01</t>
  </si>
  <si>
    <t>13-2.02</t>
  </si>
  <si>
    <t>13-2.03</t>
  </si>
  <si>
    <t>13-2.04</t>
  </si>
  <si>
    <t>13-2.05</t>
  </si>
  <si>
    <t>13-2.06</t>
  </si>
  <si>
    <t>13-2.07</t>
  </si>
  <si>
    <t>13-2.08</t>
  </si>
  <si>
    <t>13-2.09</t>
  </si>
  <si>
    <t>13-2.10</t>
  </si>
  <si>
    <t>13-2.11</t>
  </si>
  <si>
    <t>13-2.12</t>
  </si>
  <si>
    <t>13-2.13</t>
  </si>
  <si>
    <t>13-2.14</t>
  </si>
  <si>
    <t>13-2.15</t>
  </si>
  <si>
    <t>13-2.16</t>
  </si>
  <si>
    <t>13-2.17</t>
  </si>
  <si>
    <t>13-2.18</t>
  </si>
  <si>
    <t>13-2.19</t>
  </si>
  <si>
    <t>14-2.01</t>
  </si>
  <si>
    <t>14-2.02</t>
  </si>
  <si>
    <t>14-2.03</t>
  </si>
  <si>
    <t>14-2.04</t>
  </si>
  <si>
    <t>14-2.05</t>
  </si>
  <si>
    <t>14-2.06</t>
  </si>
  <si>
    <t>14-2.07</t>
  </si>
  <si>
    <t>14-2.08</t>
  </si>
  <si>
    <t>14-2.09</t>
  </si>
  <si>
    <t>14-2.10</t>
  </si>
  <si>
    <t>14-2.11</t>
  </si>
  <si>
    <t>14-2.12</t>
  </si>
  <si>
    <t>14-2.13</t>
  </si>
  <si>
    <t>14-2.14</t>
  </si>
  <si>
    <t>14-2.15</t>
  </si>
  <si>
    <t>14-2.16</t>
  </si>
  <si>
    <t>14-2.17</t>
  </si>
  <si>
    <t>15-2.01</t>
  </si>
  <si>
    <t>15-2.02</t>
  </si>
  <si>
    <t>15-2.03</t>
  </si>
  <si>
    <t>15-2.04</t>
  </si>
  <si>
    <t>15-2.05</t>
  </si>
  <si>
    <t>15-2.06</t>
  </si>
  <si>
    <t>15-2.07</t>
  </si>
  <si>
    <t>15-2.08</t>
  </si>
  <si>
    <t>15-2.09</t>
  </si>
  <si>
    <t>15-2.10</t>
  </si>
  <si>
    <t>15-2.11</t>
  </si>
  <si>
    <t>15-2.12</t>
  </si>
  <si>
    <t>15-2.13</t>
  </si>
  <si>
    <t>15-2.14</t>
  </si>
  <si>
    <t>15-2.15</t>
  </si>
  <si>
    <t>15-2.16</t>
  </si>
  <si>
    <t>15-2.17</t>
  </si>
  <si>
    <t>15-2.24</t>
  </si>
  <si>
    <t>16-2.01</t>
  </si>
  <si>
    <t>16-2.02</t>
  </si>
  <si>
    <t>16-2.03</t>
  </si>
  <si>
    <t>16-2.04</t>
  </si>
  <si>
    <t>16-2.05</t>
  </si>
  <si>
    <t>16-2.06</t>
  </si>
  <si>
    <t>16-2.07</t>
  </si>
  <si>
    <t>16-2.08</t>
  </si>
  <si>
    <t>16-2.09</t>
  </si>
  <si>
    <t>16-2.10</t>
  </si>
  <si>
    <t>16-2.11</t>
  </si>
  <si>
    <t>16-2.12</t>
  </si>
  <si>
    <t>16-2.13</t>
  </si>
  <si>
    <t>16-2.14</t>
  </si>
  <si>
    <t>16-2.15</t>
  </si>
  <si>
    <t>16-2.16</t>
  </si>
  <si>
    <t>17-2.01</t>
  </si>
  <si>
    <t>17-2.02</t>
  </si>
  <si>
    <t>17-2.03</t>
  </si>
  <si>
    <t>17-2.04</t>
  </si>
  <si>
    <t>17-2.05</t>
  </si>
  <si>
    <t>17-2.06</t>
  </si>
  <si>
    <t>17-2.07</t>
  </si>
  <si>
    <t>17-2.08</t>
  </si>
  <si>
    <t>17-2.09</t>
  </si>
  <si>
    <t>17-2.10</t>
  </si>
  <si>
    <t>17-2.11</t>
  </si>
  <si>
    <t>17-2.12</t>
  </si>
  <si>
    <t>17-2.14</t>
  </si>
  <si>
    <t>17-2.15</t>
  </si>
  <si>
    <t>17-2.16</t>
  </si>
  <si>
    <t>17-2.17</t>
  </si>
  <si>
    <t>17-2.18</t>
  </si>
  <si>
    <t>17-2.19</t>
  </si>
  <si>
    <t>17-2.20</t>
  </si>
  <si>
    <t>17-2.21</t>
  </si>
  <si>
    <t>18-2.01</t>
  </si>
  <si>
    <t>18-2.02</t>
  </si>
  <si>
    <t>18-2.03</t>
  </si>
  <si>
    <t>18-2.04</t>
  </si>
  <si>
    <t>18-2.05</t>
  </si>
  <si>
    <t>18-2.06</t>
  </si>
  <si>
    <t>18-2.07</t>
  </si>
  <si>
    <t>18-2.08</t>
  </si>
  <si>
    <t>18-2.09</t>
  </si>
  <si>
    <t>18-2.10</t>
  </si>
  <si>
    <t>18-2.11</t>
  </si>
  <si>
    <t>18-2.12</t>
  </si>
  <si>
    <t>18-2.13</t>
  </si>
  <si>
    <t>18-2.14</t>
  </si>
  <si>
    <t>18-2.15</t>
  </si>
  <si>
    <t>18-2.16</t>
  </si>
  <si>
    <t>18-2.17</t>
  </si>
  <si>
    <t>18-2.18</t>
  </si>
  <si>
    <t>18-2.19</t>
  </si>
  <si>
    <t>18-2.20</t>
  </si>
  <si>
    <t>19-2.01</t>
  </si>
  <si>
    <t>19-2.02</t>
  </si>
  <si>
    <t>19-2.03</t>
  </si>
  <si>
    <t>19-2.04</t>
  </si>
  <si>
    <t>19-2.05</t>
  </si>
  <si>
    <t>19-2.06</t>
  </si>
  <si>
    <t>19-2.07</t>
  </si>
  <si>
    <t>19-2.08</t>
  </si>
  <si>
    <t>19-2.09</t>
  </si>
  <si>
    <t>19-2.10</t>
  </si>
  <si>
    <t>19-2.11</t>
  </si>
  <si>
    <t>19-2.12</t>
  </si>
  <si>
    <t>19-2.13</t>
  </si>
  <si>
    <t>19-2.14</t>
  </si>
  <si>
    <t>19-2.15</t>
  </si>
  <si>
    <t>19-2.16</t>
  </si>
  <si>
    <t>19-2.17</t>
  </si>
  <si>
    <t>20-2.01</t>
  </si>
  <si>
    <t>20-2.02</t>
  </si>
  <si>
    <t>20-2.03</t>
  </si>
  <si>
    <t>20-2.04</t>
  </si>
  <si>
    <t>20-2.05</t>
  </si>
  <si>
    <t>20-2.06</t>
  </si>
  <si>
    <t>20-2.07</t>
  </si>
  <si>
    <t>20-2.08</t>
  </si>
  <si>
    <t>20-2.09</t>
  </si>
  <si>
    <t>20-2.10</t>
  </si>
  <si>
    <t>20-2.11</t>
  </si>
  <si>
    <t>20-2.12</t>
  </si>
  <si>
    <t>20-2.13</t>
  </si>
  <si>
    <t>20-2.14</t>
  </si>
  <si>
    <t>20-2.15</t>
  </si>
  <si>
    <t>20-2.16</t>
  </si>
  <si>
    <t>20-2.18</t>
  </si>
  <si>
    <t>21-2.09</t>
  </si>
  <si>
    <t>21-2.10</t>
  </si>
  <si>
    <t>21-2.11</t>
  </si>
  <si>
    <t>21-2.12</t>
  </si>
  <si>
    <t>21-2.13</t>
  </si>
  <si>
    <t>21-2.14</t>
  </si>
  <si>
    <t>21-2.15</t>
  </si>
  <si>
    <t>21-2.16</t>
  </si>
  <si>
    <t>21-2.17</t>
  </si>
  <si>
    <t>21-2.18</t>
  </si>
  <si>
    <t>21-2.19</t>
  </si>
  <si>
    <t>21-2.20</t>
  </si>
  <si>
    <t>21-2.22</t>
  </si>
  <si>
    <t>21-2.23</t>
  </si>
  <si>
    <t>22-2.01</t>
  </si>
  <si>
    <t>22-2.02</t>
  </si>
  <si>
    <t>22-2.03</t>
  </si>
  <si>
    <t>22-2.04</t>
  </si>
  <si>
    <t>22-2.05</t>
  </si>
  <si>
    <t>22-2.06</t>
  </si>
  <si>
    <t>22-2.07</t>
  </si>
  <si>
    <t>22-2.08</t>
  </si>
  <si>
    <t>22-2.09</t>
  </si>
  <si>
    <t>22-2.10</t>
  </si>
  <si>
    <t>22-2.11</t>
  </si>
  <si>
    <t>22-2.12</t>
  </si>
  <si>
    <t>22-2.13</t>
  </si>
  <si>
    <t>22-2.17</t>
  </si>
  <si>
    <t>22-2.20</t>
  </si>
  <si>
    <t>22-2.22</t>
  </si>
  <si>
    <t>22-2.24</t>
  </si>
  <si>
    <t>23-2.01</t>
  </si>
  <si>
    <t>23-2.03</t>
  </si>
  <si>
    <t>23-2.04</t>
  </si>
  <si>
    <t>23-2.05</t>
  </si>
  <si>
    <t>23-2.16</t>
  </si>
  <si>
    <t>20-3.08</t>
  </si>
  <si>
    <t>20-3.09</t>
  </si>
  <si>
    <t>20-3.10</t>
  </si>
  <si>
    <t>20-3.11</t>
  </si>
  <si>
    <t>20-3.12</t>
  </si>
  <si>
    <t>20-3.13</t>
  </si>
  <si>
    <t>20-3.14</t>
  </si>
  <si>
    <t>20-3.15</t>
  </si>
  <si>
    <t>20-3.16</t>
  </si>
  <si>
    <t>20-3.18</t>
  </si>
  <si>
    <t>20-3.21</t>
  </si>
  <si>
    <t>21-3.01</t>
  </si>
  <si>
    <t>22-3.15</t>
  </si>
  <si>
    <t>22-3.16</t>
  </si>
  <si>
    <t>22-3.17</t>
  </si>
  <si>
    <t>22-3.19</t>
  </si>
  <si>
    <t>22-3.21</t>
  </si>
  <si>
    <t>22-3.22</t>
  </si>
  <si>
    <t>22-3.23</t>
  </si>
  <si>
    <t>22-3.24</t>
  </si>
  <si>
    <t>23-3.01</t>
  </si>
  <si>
    <t>23-3.03</t>
  </si>
  <si>
    <t>23-3.04</t>
  </si>
  <si>
    <t>23-3.05</t>
  </si>
  <si>
    <t>23-3.06</t>
  </si>
  <si>
    <t>23-3.07</t>
  </si>
  <si>
    <t>23-3.08</t>
  </si>
  <si>
    <t>23-3.09</t>
  </si>
  <si>
    <t>23-3.10</t>
  </si>
  <si>
    <t>23-3.11</t>
  </si>
  <si>
    <t>20-4.21</t>
  </si>
  <si>
    <t>21-4.01</t>
  </si>
  <si>
    <t>21-4.02</t>
  </si>
  <si>
    <t>21-5.04</t>
  </si>
  <si>
    <t>21-5.05</t>
  </si>
  <si>
    <t>21-5.06</t>
  </si>
  <si>
    <t>21-5.08</t>
  </si>
  <si>
    <t>21-5.09</t>
  </si>
  <si>
    <t>20-6.15</t>
  </si>
  <si>
    <t>20-6.16</t>
  </si>
  <si>
    <t>20-6.17</t>
  </si>
  <si>
    <t>20-6.19</t>
  </si>
  <si>
    <t>20-6.20</t>
  </si>
  <si>
    <t>20-6.21</t>
  </si>
  <si>
    <t>21-6.04</t>
  </si>
  <si>
    <t>21-6.05</t>
  </si>
  <si>
    <t>21-6.07</t>
  </si>
  <si>
    <t>18-3.01</t>
  </si>
  <si>
    <t>22-4.22</t>
  </si>
  <si>
    <t>2HEB-320L</t>
  </si>
  <si>
    <t>2HEB-550L</t>
  </si>
  <si>
    <t>PRC-21.22</t>
  </si>
  <si>
    <t>PRD-22.25</t>
  </si>
  <si>
    <t>Medidas porticos</t>
  </si>
  <si>
    <t>Eje poste-Eje poste</t>
  </si>
  <si>
    <t>Longitud total</t>
  </si>
  <si>
    <t>PK</t>
  </si>
  <si>
    <t>S/A A/S</t>
  </si>
  <si>
    <t>Sect-I</t>
  </si>
  <si>
    <t>TRACK 6</t>
  </si>
  <si>
    <t>CANTON 2</t>
  </si>
  <si>
    <t>TUNELES VARIOS</t>
  </si>
  <si>
    <t>VIADUCTO pk 11</t>
  </si>
  <si>
    <t>VIADUCTO pk 12</t>
  </si>
  <si>
    <t>VIADUCTO pk 15</t>
  </si>
  <si>
    <t>VIADUCTO 1</t>
  </si>
  <si>
    <t>VIADUCTO 2b</t>
  </si>
  <si>
    <t>VIADUCTO 4</t>
  </si>
  <si>
    <t>23-4.10</t>
  </si>
  <si>
    <t>23-2.02</t>
  </si>
  <si>
    <t>23-2.07</t>
  </si>
  <si>
    <t>23-2.10</t>
  </si>
  <si>
    <t>23-2.13</t>
  </si>
  <si>
    <t>23-2.15</t>
  </si>
  <si>
    <t>23-3.02</t>
  </si>
  <si>
    <t>23-3.14</t>
  </si>
  <si>
    <t>2HEB-280 V</t>
  </si>
  <si>
    <t>M6 Ø36</t>
  </si>
  <si>
    <t>M3 Ø36</t>
  </si>
  <si>
    <t>M6 Ø42</t>
  </si>
  <si>
    <t>M5 Ø42</t>
  </si>
  <si>
    <t>M5 Ø36</t>
  </si>
  <si>
    <t>M3 Ø42</t>
  </si>
  <si>
    <t>M3*</t>
  </si>
  <si>
    <t>M5*</t>
  </si>
  <si>
    <t>M6*</t>
  </si>
  <si>
    <t>M7*</t>
  </si>
  <si>
    <t>M8*</t>
  </si>
  <si>
    <t>M7 Ø36</t>
  </si>
  <si>
    <t>M8 Ø36</t>
  </si>
  <si>
    <t>21-3.03</t>
  </si>
  <si>
    <t>21-3.04</t>
  </si>
  <si>
    <t>21-3.05</t>
  </si>
  <si>
    <t>21-6.06</t>
  </si>
  <si>
    <t>21-6.09</t>
  </si>
  <si>
    <t>20-3.20</t>
  </si>
  <si>
    <t>21-2.04</t>
  </si>
  <si>
    <t>21-2.24</t>
  </si>
  <si>
    <t>20-2.19</t>
  </si>
  <si>
    <t>20-4.19</t>
  </si>
  <si>
    <t>20-4.20</t>
  </si>
  <si>
    <t>21-4.05</t>
  </si>
  <si>
    <t>P90 A/S</t>
  </si>
  <si>
    <t>A/S P90</t>
  </si>
  <si>
    <t>22-2.18</t>
  </si>
  <si>
    <t>22-2.16</t>
  </si>
  <si>
    <t>22-2.23</t>
  </si>
  <si>
    <t>22-2.19</t>
  </si>
  <si>
    <t>22-2.25</t>
  </si>
  <si>
    <t>21-5.07</t>
  </si>
  <si>
    <t>22-4.23</t>
  </si>
  <si>
    <t>22-4.21</t>
  </si>
  <si>
    <t>22-3.25</t>
  </si>
  <si>
    <t>S/A AnMP</t>
  </si>
  <si>
    <t>23-3.13</t>
  </si>
  <si>
    <t>23-2.06</t>
  </si>
  <si>
    <t>23-2.08</t>
  </si>
  <si>
    <t>23-2.09</t>
  </si>
  <si>
    <t>23-4.11</t>
  </si>
  <si>
    <t>23-4.13</t>
  </si>
  <si>
    <t>Surge A</t>
  </si>
  <si>
    <t>PRF-40.45</t>
  </si>
  <si>
    <t>Bridge 11 over road 6</t>
  </si>
  <si>
    <t>17-1.22</t>
  </si>
  <si>
    <t>17-2.22</t>
  </si>
  <si>
    <t>20-4.17</t>
  </si>
  <si>
    <t>-1000</t>
  </si>
  <si>
    <t>RW3</t>
  </si>
  <si>
    <t>23-1.25</t>
  </si>
  <si>
    <t>23-2.25</t>
  </si>
  <si>
    <t>18-4.01</t>
  </si>
  <si>
    <t>Poste HEB-360LL(B7)</t>
  </si>
  <si>
    <t>HEB-360LL(B7)</t>
  </si>
  <si>
    <t>2HEB-300 V (CP)</t>
  </si>
  <si>
    <t>C-218-V</t>
  </si>
  <si>
    <t>C-219-VCP</t>
  </si>
  <si>
    <t>Poste 2HEB-280 V</t>
  </si>
  <si>
    <t>Poste 2HEB-300 V (CP)</t>
  </si>
  <si>
    <t>Bridge 8</t>
  </si>
  <si>
    <t>Bridge 9</t>
  </si>
  <si>
    <t>Bridge 10</t>
  </si>
  <si>
    <t>2-S.04d</t>
  </si>
  <si>
    <t>Poste Tipo 2HEB-280 de 7.6 m. de altura - viaducto</t>
  </si>
  <si>
    <t>2-S.05d</t>
  </si>
  <si>
    <t>Poste Tipo 2HEB-300 de 7.6 m. de altura - viaducto y compensacion</t>
  </si>
  <si>
    <t>Poste Especial para B7</t>
  </si>
  <si>
    <t>Pole 2HEB-300 (7.6 m height in viaduct with automatic tensioning device)</t>
  </si>
  <si>
    <t>Pole 2HEB-280 (7.6 m height in viaduct)</t>
  </si>
  <si>
    <t>Pole for special semi portals B7</t>
  </si>
  <si>
    <t>C-212-B7</t>
  </si>
  <si>
    <t>2-S.13b</t>
  </si>
  <si>
    <t>AnMP T1</t>
  </si>
  <si>
    <t>Pole HEB-360LL(B7)</t>
  </si>
  <si>
    <t>Pole 2HEB-280 V</t>
  </si>
  <si>
    <t>Pole 2HEB-300 V (CP)</t>
  </si>
  <si>
    <t>Pole 2HEB-240 (7.6 m height)</t>
  </si>
  <si>
    <t>Pole 2HEB-260 (7.6 m height)</t>
  </si>
  <si>
    <t>CALCULAR:</t>
  </si>
  <si>
    <t>CTRL+ALT+F9</t>
  </si>
  <si>
    <t>TRACK 4</t>
  </si>
  <si>
    <t>CW heigh</t>
  </si>
  <si>
    <t>CW height</t>
  </si>
  <si>
    <t>Catenary heigh</t>
  </si>
  <si>
    <t>Unit 1</t>
  </si>
  <si>
    <t>Unit 2</t>
  </si>
  <si>
    <t>Unit 3</t>
  </si>
  <si>
    <t>Unit 4</t>
  </si>
  <si>
    <t>Unit 5</t>
  </si>
  <si>
    <t>Unit 6</t>
  </si>
  <si>
    <t>C2H-260</t>
  </si>
  <si>
    <t>=BUSCARV(C6;'Foundation Calculation'!$A$2:$C$33;3;1)</t>
  </si>
  <si>
    <t>=BUSCARV(C6;'Foundation Calculation'!$E$2:$G$33;3;1)</t>
  </si>
  <si>
    <t>=SI(AX6="PT";BUSCARV(M6;'Foundation Calculation'!$L$2:$R$15;BUSCARV(AW6;'Foundation Calculation'!$I$2:$J$8;2;FALSO);0);SI(AX6="K";BUSCARV(M6;'Foundation Calculation'!$L$17:$R$29;BUSCARV(AW6;'Foundation Calculation'!$I$2:$J$8;2;FALSO);0);""))</t>
  </si>
  <si>
    <t>23-1.26</t>
  </si>
  <si>
    <t>23-1.27</t>
  </si>
  <si>
    <t>23-2.26</t>
  </si>
  <si>
    <t>23-2.27</t>
  </si>
  <si>
    <t>10-1.10</t>
  </si>
  <si>
    <t>10-1.11</t>
  </si>
  <si>
    <t>10-1.12</t>
  </si>
  <si>
    <t>10-1.13</t>
  </si>
  <si>
    <t>10-1.14</t>
  </si>
  <si>
    <t>10-1.15</t>
  </si>
  <si>
    <t>10-1.16</t>
  </si>
  <si>
    <t>10-1.17</t>
  </si>
  <si>
    <t>10-1.18</t>
  </si>
  <si>
    <t>10-2.09</t>
  </si>
  <si>
    <t>10-2.10</t>
  </si>
  <si>
    <t>10-2.11</t>
  </si>
  <si>
    <t>10-2.12</t>
  </si>
  <si>
    <t>10-2.13</t>
  </si>
  <si>
    <t>10-2.14</t>
  </si>
  <si>
    <t>10-2.16</t>
  </si>
  <si>
    <t>10-2.17</t>
  </si>
  <si>
    <t>10-2.18</t>
  </si>
  <si>
    <t>11-2.01</t>
  </si>
  <si>
    <t>10-2.19</t>
  </si>
  <si>
    <t>10-2.20</t>
  </si>
  <si>
    <t>10-2.21</t>
  </si>
  <si>
    <t>10-1.19</t>
  </si>
  <si>
    <t>10-1.20</t>
  </si>
  <si>
    <t>10-1.21</t>
  </si>
  <si>
    <t>AnRW2</t>
  </si>
  <si>
    <t>AnM_L</t>
  </si>
  <si>
    <t>AnMC_L</t>
  </si>
  <si>
    <t>C3R</t>
  </si>
  <si>
    <t>C4R</t>
  </si>
  <si>
    <t>C4R_L</t>
  </si>
  <si>
    <t>C3R_L</t>
  </si>
  <si>
    <t>C7R</t>
  </si>
  <si>
    <t>C5R</t>
  </si>
  <si>
    <t>C7R_L</t>
  </si>
  <si>
    <t>C5R_L</t>
  </si>
  <si>
    <t>TS HASHFELA</t>
  </si>
  <si>
    <t>15-1.25</t>
  </si>
  <si>
    <t>15-2.25</t>
  </si>
  <si>
    <t>C3_L</t>
  </si>
  <si>
    <t>C4_L</t>
  </si>
  <si>
    <t>HEB-240 VL</t>
  </si>
  <si>
    <t>HEB-260 VL</t>
  </si>
  <si>
    <t>C2H-240_L</t>
  </si>
  <si>
    <t>C5_L</t>
  </si>
  <si>
    <t>C6_L</t>
  </si>
  <si>
    <t>C7_L</t>
  </si>
  <si>
    <t>C6R_L</t>
  </si>
  <si>
    <t>PI FOUNDATION</t>
  </si>
  <si>
    <t>C2H-240R_L</t>
  </si>
  <si>
    <t>HEB-280 VL</t>
  </si>
  <si>
    <t>HEB-300 VL</t>
  </si>
  <si>
    <t>AnRW / AnRW2</t>
  </si>
  <si>
    <t>considerado el q va a EP11A</t>
  </si>
  <si>
    <t>Equipo tensorex  (2 tensorex en BD)</t>
  </si>
  <si>
    <t>considerado los q va a EP11A</t>
  </si>
  <si>
    <t>PRE-30.34</t>
  </si>
  <si>
    <t>PRF-34.40</t>
  </si>
  <si>
    <t>T-2A-INT-2</t>
  </si>
  <si>
    <t>95 o 150</t>
  </si>
  <si>
    <t>PLT-1</t>
  </si>
  <si>
    <t>PLT-2</t>
  </si>
  <si>
    <t>PLT-3</t>
  </si>
  <si>
    <t>PLT-4</t>
  </si>
  <si>
    <t>Silleta en L para HEB-240</t>
  </si>
  <si>
    <t>Silleta en L para HEB-280, 300 y 320</t>
  </si>
  <si>
    <t>Poste HEB-240L de base a definir y altura a definir según viaducto</t>
  </si>
  <si>
    <t>Rejilla de CP en viaducto</t>
  </si>
  <si>
    <t>Cimentación Tipo Puente, confirmar si se va a realizar</t>
  </si>
  <si>
    <t>PLT-A</t>
  </si>
  <si>
    <t>Silleta en L para Anclaje, confirmar si se va a realizar</t>
  </si>
  <si>
    <t>Tirante intermedio para anclajes de longitud 2 m</t>
  </si>
  <si>
    <t>Rejilla en viaducto</t>
  </si>
  <si>
    <t>RECUENTO DE CONJUNTOS y PIEZAS ESPECIALES DE CATENARIA</t>
  </si>
  <si>
    <t>CP/TX-T</t>
  </si>
  <si>
    <t>CP/TX-P</t>
  </si>
  <si>
    <t>4-S.12</t>
  </si>
  <si>
    <t>Tensorex equipment in tunnel</t>
  </si>
  <si>
    <t>Tensorex equipment in pole</t>
  </si>
  <si>
    <t>C-420</t>
  </si>
  <si>
    <t>Depth Anchor</t>
  </si>
  <si>
    <t xml:space="preserve">P90 </t>
  </si>
  <si>
    <t>A/S-Diag1</t>
  </si>
  <si>
    <t>P90 - A/S</t>
  </si>
  <si>
    <t>20-3.17</t>
  </si>
  <si>
    <t>A/S (T1)</t>
  </si>
  <si>
    <t>20-6.14</t>
  </si>
  <si>
    <t>20-6.15B</t>
  </si>
  <si>
    <t>-3000</t>
  </si>
  <si>
    <t>S/A A/S AnRW1 AnRW2</t>
  </si>
  <si>
    <t>3,4</t>
  </si>
  <si>
    <t>2,5</t>
  </si>
  <si>
    <t>5,5</t>
  </si>
  <si>
    <t>2.5</t>
  </si>
  <si>
    <t>Soporte para un equipo de tensorex sencillo en poste</t>
  </si>
  <si>
    <t>Silleta en L para 2HEB-240</t>
  </si>
  <si>
    <t>Poste HEB-260L de base a definir y altura a definir según viaducto</t>
  </si>
  <si>
    <t>Poste HEB-280L de base a definir y altura a definir según viaducto</t>
  </si>
  <si>
    <t>Poste HEB-300L de base a definir y altura a definir según viaducto</t>
  </si>
  <si>
    <t>Silleta en L para HEB-260</t>
  </si>
  <si>
    <t>24-2.10</t>
  </si>
  <si>
    <t>27+155,00</t>
  </si>
  <si>
    <t>T1:27+130</t>
  </si>
  <si>
    <t>27+160,00</t>
  </si>
  <si>
    <t>21-2.01/21-4.01 prov</t>
  </si>
  <si>
    <t>P90 S/A</t>
  </si>
  <si>
    <t>20-2.20</t>
  </si>
  <si>
    <t>21-2.06</t>
  </si>
  <si>
    <t>A/S-Diag  S/A</t>
  </si>
  <si>
    <t>P90 A/S - Diag</t>
  </si>
  <si>
    <t xml:space="preserve"> AnMP T A/S-Diag</t>
  </si>
  <si>
    <t>21-2.21</t>
  </si>
  <si>
    <t>S/A A/S-Diag1</t>
  </si>
  <si>
    <t>C4RT</t>
  </si>
  <si>
    <t>C3RT</t>
  </si>
  <si>
    <t>C5RT</t>
  </si>
  <si>
    <t>C2H240RT</t>
  </si>
  <si>
    <t>C2H240</t>
  </si>
  <si>
    <t>AnMR</t>
  </si>
  <si>
    <t>AnMCR</t>
  </si>
  <si>
    <t>P100</t>
  </si>
  <si>
    <t>S/A P85  A/S</t>
  </si>
  <si>
    <t xml:space="preserve">A/S </t>
  </si>
  <si>
    <t>A/S P50</t>
  </si>
  <si>
    <t>rg</t>
  </si>
  <si>
    <t>Edited by</t>
  </si>
  <si>
    <t>SDA</t>
  </si>
  <si>
    <t>Foundation for POLE HEB-240: C3 . Diameter= 0,75 m. Depth=3,4 m. GEWI= Ø25-L=2m . Nº=4 . Concrete=1,502 m3.</t>
  </si>
  <si>
    <t>Foundation for POLE HEB-240: C3R . Diameter= 0,75 m. Depth=3,4 m. GEWI= Ø25-L=2m . Nº=4 . Long. Armor=8 Ø18 . Transv. Armor=13 Ø8 . Steel Weight =63,4 kg. Concrete=1,502 m3.</t>
  </si>
  <si>
    <t>Foundation for POLE HEB-240: C3RT . Diameter= 0,75 m. Depth=4,2 m. GEWI= Ø25-L=2m . Nº=4 . Long. Armor=8 Ø18 . Transv. Armor=16 Ø8 . Steel Weight =80,7 kg. Concrete=1,856 m3.</t>
  </si>
  <si>
    <t>Foundation for POLE HEB-260: C4 . Diameter= 0,75 m. Depth=3,4 m. GEWI= Ø32-L=2m . Nº=4 . Concrete=1,502 m3.</t>
  </si>
  <si>
    <t>Foundation for POLE HEB-260: C4R . Diameter= 0,75 m. Depth=3,4 m. GEWI= Ø32-L=2m . Nº=4 . Long. Armor=8 Ø18 . Transv. Armor=13 Ø8 . Steel Weight =63,4 kg. Concrete=1,502 m3.</t>
  </si>
  <si>
    <t>Foundation for POLE HEB-260: C4RT . Diameter= 0,75 m. Depth=4,2 m. GEWI= Ø32-L=2m . Nº=4 . Long. Armor=8 Ø18 . Transv. Armor=16 Ø8 . Steel Weight =80,7 kg. Concrete=1,856 m3.</t>
  </si>
  <si>
    <t>Foundation for POLE HEB-280: C5 . Diameter= 1 m. Depth=3,3 m. GEWI= Ø32-L=2m . Nº=4 . Concrete=2,592 m3.</t>
  </si>
  <si>
    <t>Foundation for POLE HEB-280: C5R . Diameter= 1 m. Depth=3,3 m. GEWI= Ø32-L=2m . Nº=4 . Long. Armor=10 Ø20 . Transv. Armor=13 Ø8 . Steel Weight =97,2 kg. Concrete=2,592 m3.</t>
  </si>
  <si>
    <t>Foundation for POLE HEB-280: C5RT . Diameter= 1 m. Depth=4,2 m. GEWI= Ø32-L=2m . Nº=4 . Long. Armor=10 Ø20 . Transv. Armor=16 Ø8 . Steel Weight =120,5 kg. Concrete=3,299 m3.</t>
  </si>
  <si>
    <t>Foundation for POLE HEB-300: C6 . Diameter= 1 m. Depth=3,4 m. GEWI= Ø40-L=2m . Nº=4 . Concrete=2,67 m3.</t>
  </si>
  <si>
    <t>C6R</t>
  </si>
  <si>
    <t>Foundation for POLE HEB-300: C6R . Diameter= 1 m. Depth=4,2 m. GEWI= Ø40-L=2m . Nº=4 . Long. Armor=10 Ø20 . Transv. Armor=16 Ø8 . Steel Weight =120,5 kg. Concrete=3,299 m3.</t>
  </si>
  <si>
    <t>C6RT</t>
  </si>
  <si>
    <t>Foundation for POLE HEB-300: C6RT . Diameter= 1 m. Depth=4,2 m. GEWI= Ø40-L=2m . Nº=4 . Long. Armor=10 Ø20 . Transv. Armor=16 Ø8 . Steel Weight =120,5 kg. Concrete=3,299 m3.</t>
  </si>
  <si>
    <t>Foundation: C2H-240 . Diameter= 1 m. Depth=3,4 m. GEWI= Ø25-L=2m . Nº=6 . Concrete=2,67 m3.</t>
  </si>
  <si>
    <t>C2H-240R</t>
  </si>
  <si>
    <t>Foundation: C2H-240R . Diameter= 1 m. Depth=4,2 m. GEWI= Ø25-L=2m . Nº=6 . Long. Armor=10 Ø20 . Transv. Armor=16 Ø8 . Steel Weight =120,5 kg. Concrete=3,299 m3.</t>
  </si>
  <si>
    <t>C7RT</t>
  </si>
  <si>
    <t>P8R</t>
  </si>
  <si>
    <t>Foundation for POLE 2HEB-320: P8R . Diameter= 0,75 m. Depth=5,5 m. GEWI= Ø36-L=1,15m . Steel Weight =634,67 kg. Concrete=7,596 m3.</t>
  </si>
  <si>
    <t>P9R</t>
  </si>
  <si>
    <t>Foundation for POLE 2HEB-550: P9R .</t>
  </si>
  <si>
    <t>Foundation: AnMC . Diameter= 0,75 m. Depth=2,5 m. GEWI= Ø16-L=2m . Nº=4 . Concrete=1,104 m3.</t>
  </si>
  <si>
    <t>PL3</t>
  </si>
  <si>
    <t>Soporte para poste HEB-240 en viaducto existente, de acuerdo al plano GAS0164.</t>
  </si>
  <si>
    <t>GAS0164</t>
  </si>
  <si>
    <t>PL4</t>
  </si>
  <si>
    <t>Soporte para poste HEB-260 en viaducto existente, de acuerdo al plano GAS0164.</t>
  </si>
  <si>
    <t>VIADUCTO EXISTENTE</t>
  </si>
  <si>
    <t>PL5</t>
  </si>
  <si>
    <t>Soporte para poste HEB-280 en viaducto existente, de acuerdo al plano GAS0164.</t>
  </si>
  <si>
    <t>PL6</t>
  </si>
  <si>
    <t>Soporte para poste HEB-300 en viaducto existente, de acuerdo al plano GAS0164.</t>
  </si>
  <si>
    <t>PL2H240</t>
  </si>
  <si>
    <t>Soporte para poste 2xHEB-240 en viaducto existente, de acuerdo al plano GAS0164.</t>
  </si>
  <si>
    <t>PL2H280</t>
  </si>
  <si>
    <t>Soporte para poste 2xHEB-280 en viaducto existente, de acuerdo al plano GAS0164.</t>
  </si>
  <si>
    <t>PL2H300</t>
  </si>
  <si>
    <t>Soporte para poste 2xHEB-300 en viaducto existente, de acuerdo al plano GAS0164.</t>
  </si>
  <si>
    <t>W4</t>
  </si>
  <si>
    <t>W5</t>
  </si>
  <si>
    <t>WD3</t>
  </si>
  <si>
    <t>Soporte para poste HEB-240 en canaleta de drenaje existente.</t>
  </si>
  <si>
    <t>WD4</t>
  </si>
  <si>
    <t>Soporte para poste HEB-260 en canaleta de drenaje existente.</t>
  </si>
  <si>
    <t>WD5</t>
  </si>
  <si>
    <t>Soporte para poste HEB-280 en canaleta de drenaje existente.</t>
  </si>
  <si>
    <t>C-202-VL</t>
  </si>
  <si>
    <t>Poste HEB-240 VL</t>
  </si>
  <si>
    <t>Pole HEB-240 VL</t>
  </si>
  <si>
    <t>C-203-VL</t>
  </si>
  <si>
    <t>Poste HEB-260 VL</t>
  </si>
  <si>
    <t>Pole HEB-260 VL</t>
  </si>
  <si>
    <t>C-204-VL</t>
  </si>
  <si>
    <t>Poste HEB-280 VL</t>
  </si>
  <si>
    <t>Pole HEB-280 VL</t>
  </si>
  <si>
    <t>C-205-VL</t>
  </si>
  <si>
    <t>Poste HEB-300 VL</t>
  </si>
  <si>
    <t>2HEB-280 VL</t>
  </si>
  <si>
    <t>C-218-VL</t>
  </si>
  <si>
    <t>Poste 2HEB-280 VL</t>
  </si>
  <si>
    <t>Pole 2HEB-280 VL</t>
  </si>
  <si>
    <t>2HEB-300 VL</t>
  </si>
  <si>
    <t>C-219-VL</t>
  </si>
  <si>
    <t>Poste 2HEB-300 VL</t>
  </si>
  <si>
    <t>Pole 2HEB-300 VL</t>
  </si>
  <si>
    <t>Soporte para una ménsula en Pórtico Rígido para pórtico tipo B/C</t>
  </si>
  <si>
    <t>Soporte para dos ménsulas en Pórtico Rígido para pórtico tipo B/C</t>
  </si>
  <si>
    <t>Soporte para una ménsula en Pórtico Rígido para pórtico tipo D</t>
  </si>
  <si>
    <t>Soporte para dos ménsulas en Pórtico Rígido para pórtico tipo D</t>
  </si>
  <si>
    <t>C-272b</t>
  </si>
  <si>
    <t>Soporte para una ménsula en Pórtico Rígido para pórtico tipo E</t>
  </si>
  <si>
    <t>C-273b</t>
  </si>
  <si>
    <t>Soporte para dos ménsulas en Pórtico Rígido para pórtico tipo E</t>
  </si>
  <si>
    <t>Soporte en túnel para dos ménsulas (2*)</t>
  </si>
  <si>
    <t>Soporte en muro para una ménsulas</t>
  </si>
  <si>
    <t>CP/TX-W</t>
  </si>
  <si>
    <t>C-419</t>
  </si>
  <si>
    <t>Soporte para un equipo de tensorex sencillo en pared</t>
  </si>
  <si>
    <t>ud</t>
  </si>
  <si>
    <r>
      <t>Pórtico rígido tipo A (de 9 a 11 m)</t>
    </r>
    <r>
      <rPr>
        <sz val="11"/>
        <color indexed="10"/>
        <rFont val="ISOCPEUR"/>
        <family val="2"/>
      </rPr>
      <t xml:space="preserve"> </t>
    </r>
  </si>
  <si>
    <t>2-S.14b</t>
  </si>
  <si>
    <t>Pórtico rígido tipo A (de 11 a 13 m)</t>
  </si>
  <si>
    <t>2-S.14c</t>
  </si>
  <si>
    <t>Portico rígido tipo B (de 13 a 15 m)</t>
  </si>
  <si>
    <t>Pórtico rígido tipo B (de 15 a 17 m)</t>
  </si>
  <si>
    <t>2-S.15b</t>
  </si>
  <si>
    <t>Pórtico rígido tipo B (de 17 a 19 m)</t>
  </si>
  <si>
    <t>Pórtico Rígido Tipo tipo C (de 19 a 21 m)</t>
  </si>
  <si>
    <t>2-S.16b</t>
  </si>
  <si>
    <t>Pórtico Rígido Tipo C (de 21 a 23 m)</t>
  </si>
  <si>
    <t>2-S.16c</t>
  </si>
  <si>
    <t>Pórtico Rígido Tipo D (de 23 a 25 m)</t>
  </si>
  <si>
    <t>Pórtico Rígido Tipo E (de 25 a 30 m)</t>
  </si>
  <si>
    <t>Pórtico Rígido Tipo E (de 30 a 34m)</t>
  </si>
  <si>
    <t>2-S.18b</t>
  </si>
  <si>
    <t>Pórtico Rígido Tipo F (de 34 a 40m)</t>
  </si>
  <si>
    <t>2-S.18c</t>
  </si>
  <si>
    <t>Pórtico Rígido Tipo F (de 40 a 45m)</t>
  </si>
  <si>
    <t>Soporte de longitud variable en PR-B/C para una ménsula. Incluye una silleta, un jabalcón, los herrajes y la tornillería necesarios. (angular 60-80)</t>
  </si>
  <si>
    <t>Soporte de longitud variable en PR-D para una ménsula. Angular 100</t>
  </si>
  <si>
    <t>2-S.20a1</t>
  </si>
  <si>
    <t>Soporte de longitud variable en PR-E para una ménsula. Angular 100</t>
  </si>
  <si>
    <t>Soporte de longitud variable en PR B/C para dos ménsulas. Incluye una silleta, un jabalcón, los herrajes y la tornillería necesarios. (angular 60 a 80)</t>
  </si>
  <si>
    <t>Soporte de longitud variable en PR D para dos ménsulas. Incluye una silleta, un jabalcón, los herrajes y la tornillería necesarios. (angular 100)</t>
  </si>
  <si>
    <t>2-S.21a1</t>
  </si>
  <si>
    <t>Soporte de longitud variable en PR E para dos ménsulas. Incluye una silleta, un jabalcón, los herrajes y la tornillería necesarios. (angular 100)</t>
  </si>
  <si>
    <t>2-S.22b</t>
  </si>
  <si>
    <t>Soporte en muro para una ménsula. Incluye silleta, jabalcones, elementos de fijación a túnel, herrajes y tornillería necesarios.</t>
  </si>
  <si>
    <t>2-S.23b</t>
  </si>
  <si>
    <t>Soporte en muro para dos ménsulas. Incluye silleta,  jabalcones, elementos de fijación a túnel, herrajes y tornillería necesarios.</t>
  </si>
  <si>
    <t>Equipo Tensorex para compensación de catenaria formado por dos módulos de tensión automática sin contrapesos, incluidos aisladores, cables y piecerío necesario en TUNEL</t>
  </si>
  <si>
    <t>4-S.11b</t>
  </si>
  <si>
    <t>Equipo Tensorex para compensación de catenaria formado por dos módulos de tensión automática sin contrapesos, incluidos aisladores, cables y piecerío necesario en MURO</t>
  </si>
  <si>
    <t>Equipo Tensorex para compensación de catenaria formado por dos módulos de tensión automática sin contrapesos, incluidos aisladores, cables y piecerío necesario en POSTE</t>
  </si>
  <si>
    <t>2-S.02a1</t>
  </si>
  <si>
    <t>Poste Tipo HEB-240 - VL en viaducto existente</t>
  </si>
  <si>
    <t>2-S.03a1</t>
  </si>
  <si>
    <t>Poste Tipo HEB-260 - VL en viaducto existente</t>
  </si>
  <si>
    <t>2-S.04a1</t>
  </si>
  <si>
    <t>Poste Tipo HEB-280 VL en viaducto existente</t>
  </si>
  <si>
    <t>2-S.04d1</t>
  </si>
  <si>
    <t>Poste Tipo 2HEB-280 VL en viaducto existente</t>
  </si>
  <si>
    <t>2-S.05a1</t>
  </si>
  <si>
    <t>Poste Tipo HEB-300 VL en viaducto existente</t>
  </si>
  <si>
    <t>2-S.05d1</t>
  </si>
  <si>
    <t>Poste Tipo 2HEB-300 VL en viaducto existente</t>
  </si>
  <si>
    <t>Pole HEB-240-VL in existing viaduct</t>
  </si>
  <si>
    <t>Pole HEB-260 VL in existing viaduct</t>
  </si>
  <si>
    <t>Pole HEB-280 VL in existing viaduct</t>
  </si>
  <si>
    <t>Pole HEB-300 VL in existing viaduct</t>
  </si>
  <si>
    <t>Pole 2HEB-300 VL in existing viaduct</t>
  </si>
  <si>
    <t xml:space="preserve">Portal type to (from 9 to 11 m) </t>
  </si>
  <si>
    <t>Portal type to (from 11 to 13 m)</t>
  </si>
  <si>
    <t>Portico rígido tipo B (from 13 to 15 m)</t>
  </si>
  <si>
    <t>Portal type B (from 15 to 17 m)</t>
  </si>
  <si>
    <t>Portal type B (from 17 to 19 m)</t>
  </si>
  <si>
    <t>Portal type tipo C (from 19 to 21 m)</t>
  </si>
  <si>
    <t>Portal type C (from 21 to 23 m)</t>
  </si>
  <si>
    <t>Portal type D (from 23 to 25 m)</t>
  </si>
  <si>
    <t>Portal type E (from 25 to 30 m)</t>
  </si>
  <si>
    <t>Portal type E (from 30 to 34m)</t>
  </si>
  <si>
    <t>Portal type F (from 34 to 40m)</t>
  </si>
  <si>
    <t>Portal type F (from 40 to 45m)</t>
  </si>
  <si>
    <t>Variable lenght support on PR-B/C for one cantilever. Included the support, strut tube, steelworks, nuts and bolts used. (LPN 60-80)</t>
  </si>
  <si>
    <t>Variable lenght support on PR-D to 4 for one cantilever. (LPN 100)</t>
  </si>
  <si>
    <t>Variable lenght support on PR-E to 4 for one cantilever. (LPN 100)</t>
  </si>
  <si>
    <t>Variable lenght support on PR-B/C for two cantilevers.Include one support, strut tube, steelworks, nuts and bolt necessary. (LPN 60 to 80)</t>
  </si>
  <si>
    <t>Varible lenght support on PR D for two cantilevers. Include one support, strut tube, steelworks, nuts and bolts necessary. (LPN 100)</t>
  </si>
  <si>
    <t>Varible lenght support on PR E for two cantilevers. Include one support, strut tube, steelworks, nuts and bolts necessary. (LPN 100)</t>
  </si>
  <si>
    <t>Wall support for two cantilevers. Include support, two strut tubes, attachment elements to tunnel, steelworks, nuts and bolts necessary.</t>
  </si>
  <si>
    <t>2-I. POLES, PÓRTICOS Y SILLETAS DE ANCLAJE - INSTALACION</t>
  </si>
  <si>
    <t>Tensorex equipment in WALL</t>
  </si>
  <si>
    <t>Soporte para dos aisladores de apoyo en pórtico tipo (B/C)</t>
  </si>
  <si>
    <t>Soporte para dos aisladores de apoyo en pórtico tipo (D)</t>
  </si>
  <si>
    <t>Soporte para dos aisladores de apoyo en pórtico tipo (E)</t>
  </si>
  <si>
    <t>C-635a</t>
  </si>
  <si>
    <t>C-635b</t>
  </si>
  <si>
    <t>C-635c</t>
  </si>
  <si>
    <t>Conjunto de anclaje de poste en viaducto (HEB-220 a HEB-240) (taladrando el tablero)</t>
  </si>
  <si>
    <t xml:space="preserve">Conjunto de anclaje de poste en viaducto (HEB-260 a HEB-300) (taladrando el tablero) </t>
  </si>
  <si>
    <t xml:space="preserve">Conjunto de anclaje de poste en viaducto (HEB-320) (taladrando el tablero)  </t>
  </si>
  <si>
    <t>Poste Tipo HEB-240 de 9 a 10 m. de altura</t>
  </si>
  <si>
    <t>Poste Tipo HEB-260 de 9 a10 m. de altura</t>
  </si>
  <si>
    <t>Poste Tipo HEB-280 de 9 a 10 m. de altura</t>
  </si>
  <si>
    <t>Poste Tipo HEB-320 de 9 a10 m. de altura</t>
  </si>
  <si>
    <t>Seccionador monopolar de AC en túnel</t>
  </si>
  <si>
    <t>(puntas de feeder) FS-1 + 2xFS/PP-2 + 2xFS/PP-3</t>
  </si>
  <si>
    <t>6-S.08a</t>
  </si>
  <si>
    <t>Seccionador monopolar de apertura en carga, incluido el aparellaje EN TÚNEL</t>
  </si>
  <si>
    <t>Load Breaker, Connections and transmission mortor drive in tunnel</t>
  </si>
  <si>
    <t>C-625a</t>
  </si>
  <si>
    <t xml:space="preserve">Aparellaje de  Earthing Device en poste (Sin feeder) </t>
  </si>
  <si>
    <t>ED+Disc</t>
  </si>
  <si>
    <t>C-625b</t>
  </si>
  <si>
    <t>Earthing device en poste, incluido el aparellaje necesario para su conexionado  a la catenaria.</t>
  </si>
  <si>
    <t>6-S.07d</t>
  </si>
  <si>
    <t>Seccionador monopolar de apertura en vacío y Earthing device en poste, incluido el aparellaje necesario para su conexionado  a la catenaria.</t>
  </si>
  <si>
    <t xml:space="preserve">Earthing Device in pole, Connections and transmission mortor drive </t>
  </si>
  <si>
    <t>0 </t>
  </si>
  <si>
    <t> 0</t>
  </si>
  <si>
    <t> 20</t>
  </si>
  <si>
    <t>2 </t>
  </si>
  <si>
    <t>21064,13 </t>
  </si>
  <si>
    <t>468 </t>
  </si>
  <si>
    <t>30+719</t>
  </si>
  <si>
    <t>30+860</t>
  </si>
  <si>
    <t>HEB-240 WALL</t>
  </si>
  <si>
    <t>30-2.23B</t>
  </si>
  <si>
    <t>30-2.16b</t>
  </si>
  <si>
    <t>30+728</t>
  </si>
  <si>
    <t>30+869</t>
  </si>
  <si>
    <t>30-1.23b</t>
  </si>
  <si>
    <t>PHQ-1150</t>
  </si>
  <si>
    <t xml:space="preserve">                                        </t>
  </si>
  <si>
    <t>PHQ-950</t>
  </si>
  <si>
    <t>PHQ-2000</t>
  </si>
  <si>
    <t>PHQ-1500</t>
  </si>
  <si>
    <t>PHC-1500</t>
  </si>
  <si>
    <t>PHC-2000</t>
  </si>
  <si>
    <t>PHQ-1450</t>
  </si>
  <si>
    <t>PHQ-1350</t>
  </si>
  <si>
    <t>PHQ-1050</t>
  </si>
  <si>
    <t>PH-850</t>
  </si>
  <si>
    <t>PHQ-1250</t>
  </si>
  <si>
    <t>PHQ-1200</t>
  </si>
  <si>
    <t>Cantilevers Center</t>
  </si>
  <si>
    <t>S-1T-W</t>
  </si>
  <si>
    <t>S-2T-W</t>
  </si>
  <si>
    <t>Poste HEB-2400 para muro</t>
  </si>
  <si>
    <t>10-1.09</t>
  </si>
  <si>
    <t>10-2.15</t>
  </si>
  <si>
    <t xml:space="preserve">Soporte en muro especial para poste </t>
  </si>
  <si>
    <t>*SLABTRACK*</t>
  </si>
  <si>
    <t>2W3</t>
  </si>
  <si>
    <t>AnM/TX</t>
  </si>
  <si>
    <t>CP/TX*</t>
  </si>
  <si>
    <t>PHQ-1000</t>
  </si>
  <si>
    <t>PHQ-1100</t>
  </si>
  <si>
    <t>PHQ-1300</t>
  </si>
  <si>
    <t>PHQ-1400</t>
  </si>
  <si>
    <t>PHC-950</t>
  </si>
  <si>
    <t>PHC-1000</t>
  </si>
  <si>
    <t>PHC-1050</t>
  </si>
  <si>
    <t>PHC-1100</t>
  </si>
  <si>
    <t>PHC-1150</t>
  </si>
  <si>
    <t>PHC-1200</t>
  </si>
  <si>
    <t>PHC-1250</t>
  </si>
  <si>
    <t>PHC-1300</t>
  </si>
  <si>
    <t>PHC-1350</t>
  </si>
  <si>
    <t>PHC-1400</t>
  </si>
  <si>
    <t>PHC-1450</t>
  </si>
  <si>
    <t>CurrentT</t>
  </si>
  <si>
    <t>18-1.04b</t>
  </si>
  <si>
    <t>18-2.04b</t>
  </si>
  <si>
    <t>EarthingD - TN1-TE2</t>
  </si>
  <si>
    <t>EarthingD - TN1-TE1</t>
  </si>
  <si>
    <t xml:space="preserve">(puestas en paralelo) LoadB/PP + 1xPP-2 + 5xPP-4 + 1xFS/PP-2 + 3xFS/PP-3 </t>
  </si>
  <si>
    <t>LoadB/PP</t>
  </si>
  <si>
    <t>HEB-160 AT</t>
  </si>
  <si>
    <t>Transformador de Intensidad</t>
  </si>
  <si>
    <t>Approved by KEDMOR</t>
  </si>
  <si>
    <t>ü</t>
  </si>
  <si>
    <t>Theorical K.P. (m)</t>
  </si>
  <si>
    <t>Th. Span</t>
  </si>
  <si>
    <t>Current Track PK</t>
  </si>
  <si>
    <t>Th. SPAN</t>
  </si>
  <si>
    <t>AnMC-RT</t>
  </si>
  <si>
    <t>AnM-RT</t>
  </si>
  <si>
    <t>Foundation: AnM . Diameter= 0,75 m. Depth=2,4 m. GEWI= Ø16-L=2m . Nº=4 . Concrete=1,060 m3.</t>
  </si>
  <si>
    <t>Foundation: AnM-RT . Diameter= 0,75 m. Depth=3 m. GEWI= Ø16-L=2m . Nº=4 . Long. Armor=8 Ø18 . Transv. Armor=16 Ø8 . Steel Weight =65,1 kg. Concrete=1,325 m3.</t>
  </si>
  <si>
    <t>FOUNDATION IN L</t>
  </si>
  <si>
    <t>Cimentacion Tipo C3 &amp; Soporte en L</t>
  </si>
  <si>
    <t>Cimentacion Tipo C4 &amp; Soporte en L</t>
  </si>
  <si>
    <t>Cimentacion Tipo C5 &amp; Soporte en L</t>
  </si>
  <si>
    <t>Cimentacion Tipo C6 &amp; Soporte en L</t>
  </si>
  <si>
    <t>Cimentacion Tipo C7 &amp; Soporte en L</t>
  </si>
  <si>
    <t>Cimentacion Tipo C2H-240 &amp; Soporte en L</t>
  </si>
  <si>
    <t>SUPPORTS IN WALLS</t>
  </si>
  <si>
    <t>2W4</t>
  </si>
  <si>
    <t>W6</t>
  </si>
  <si>
    <t>W7</t>
  </si>
  <si>
    <t>2W7</t>
  </si>
  <si>
    <t>WT3</t>
  </si>
  <si>
    <t>Soporte en cabeza de muro para poste HEB-240 en muro existente.</t>
  </si>
  <si>
    <t>2WT3</t>
  </si>
  <si>
    <t>Soporte en cabeza de muro para poste 2HEB-240 en muro existente.</t>
  </si>
  <si>
    <t>WT4</t>
  </si>
  <si>
    <t>Soporte en cabeza de muro para poste HEB-260 en muro existente.</t>
  </si>
  <si>
    <t>2WT4</t>
  </si>
  <si>
    <t>Soporte en cabeza de muro para poste 2HEB-260 en muro existente.</t>
  </si>
  <si>
    <t>WT5</t>
  </si>
  <si>
    <t>Soporte en cabeza de muro para poste HEB-280 en muro existente.</t>
  </si>
  <si>
    <t>WT6</t>
  </si>
  <si>
    <t>Soporte en cabeza de muro para poste HEB-300 en muro existente.</t>
  </si>
  <si>
    <t>WT7</t>
  </si>
  <si>
    <t>Soporte en cabeza de muro para poste HEB-320L en muro existente.</t>
  </si>
  <si>
    <t>2WT7</t>
  </si>
  <si>
    <t>Soporte en cabeza de muro para poste 2HEB-320L en muro existente.</t>
  </si>
  <si>
    <t>2WD3</t>
  </si>
  <si>
    <t>Soporte para poste 2HEB-240 en canaleta de drenaje existente.</t>
  </si>
  <si>
    <t>2WD4</t>
  </si>
  <si>
    <t>Soporte para poste 2HEB-260 en canaleta de drenaje existente.</t>
  </si>
  <si>
    <t>WD6</t>
  </si>
  <si>
    <t>Soporte para poste HEB-300 en canaleta de drenaje existente.</t>
  </si>
  <si>
    <t>WD7</t>
  </si>
  <si>
    <t>Soporte para poste 2HEB-320L en canaleta de drenaje existente.</t>
  </si>
  <si>
    <t>2WD7</t>
  </si>
  <si>
    <t>Cimentacion Tipo AnM &amp; Soporte en L</t>
  </si>
  <si>
    <t>Cimentacion Tipo AnMC &amp; Soporte en L</t>
  </si>
  <si>
    <t>AnM/W</t>
  </si>
  <si>
    <t>Placa de anclaje para tirante en muro existente.</t>
  </si>
  <si>
    <t>AnMC/W</t>
  </si>
  <si>
    <t>AnM/WT</t>
  </si>
  <si>
    <t>Placa de anclaje en cabez de muro para tirante en muro existente.</t>
  </si>
  <si>
    <t>AnMC/WT</t>
  </si>
  <si>
    <t>AnM/WD</t>
  </si>
  <si>
    <t>Placa de anclaje para tirante en canaleta de drenaje existente.</t>
  </si>
  <si>
    <t>AnMC/WD</t>
  </si>
  <si>
    <t>ANCLAJES EN TUNEL</t>
  </si>
  <si>
    <t>Comprobacion</t>
  </si>
  <si>
    <t>Anclaje en tunel CR / FN / MP</t>
  </si>
  <si>
    <t>Anclaje en tunel OCS CP / FP</t>
  </si>
  <si>
    <t>ANCLAJE TX TUNEL / MURO</t>
  </si>
  <si>
    <t>Anclaje en tunel / muro Tensorex</t>
  </si>
  <si>
    <t>C2H-240RT</t>
  </si>
  <si>
    <t>Foundation: C2H-240RT . Diameter= 1 m. Depth=4,2 m. GEWI= Ø25-L=2m . Nº=6 . Long. Armor=10 Ø20 . Transv. Armor=16 Ø8 . Steel Weight =120,5 kg. Concrete=3,299 m3.</t>
  </si>
  <si>
    <t>P8RT</t>
  </si>
  <si>
    <t>Foundation for POLE 2HEB-320: P8RT . Diameter= 0,75 m. Depth=5,5 m. GEWI= Ø36-L=1,15m . Steel Weight =634,67 kg. Concrete=7,596 m3.</t>
  </si>
  <si>
    <t>P9RT</t>
  </si>
  <si>
    <t>C-276-W</t>
  </si>
  <si>
    <t>S-1T-R</t>
  </si>
  <si>
    <t>C-276-R</t>
  </si>
  <si>
    <t>S-2T-R</t>
  </si>
  <si>
    <t>S-1T-H</t>
  </si>
  <si>
    <t>C-276-H</t>
  </si>
  <si>
    <t>S-2T-H</t>
  </si>
  <si>
    <t>2-S.22c</t>
  </si>
  <si>
    <t>Soporte en muro para una ménsula tipo R. Incluye silleta, jabalcones, elementos de fijación a túnel, herrajes y tornillería necesarios.</t>
  </si>
  <si>
    <t>2-S.23c</t>
  </si>
  <si>
    <t>Soporte en muro para dos ménsulas tipo R. Incluye silleta,  jabalcones, elementos de fijación a túnel, herrajes y tornillería necesarios.</t>
  </si>
  <si>
    <t>2-S.22d</t>
  </si>
  <si>
    <t>Soporte en muro para una ménsula tipo H. Incluye silleta, jabalcones, elementos de fijación a túnel, herrajes y tornillería necesarios.</t>
  </si>
  <si>
    <t>2-S.23d</t>
  </si>
  <si>
    <t>Soporte en muro para dos ménsulas tipo H. Incluye silleta,  jabalcones, elementos de fijación a túnel, herrajes y tornillería necesarios.</t>
  </si>
  <si>
    <t>C-648</t>
  </si>
  <si>
    <t>6-S.13</t>
  </si>
  <si>
    <t>Equipamiento ZN con Aisladores de Seccion</t>
  </si>
  <si>
    <t>6-S.14</t>
  </si>
  <si>
    <t>Section Insulator Neutral Zone</t>
  </si>
  <si>
    <t>Current Transformer</t>
  </si>
  <si>
    <t>JFM</t>
  </si>
  <si>
    <t>LoadB/PP-pr</t>
  </si>
  <si>
    <t>DISC/IO-pr</t>
  </si>
  <si>
    <t>DISC/PP-pr</t>
  </si>
  <si>
    <t>(láminas de aire) DISC/NZ + DISC/IO* + DISC/PP*</t>
  </si>
  <si>
    <t>DISC/NZ + DISC/IO + DISC/PP</t>
  </si>
  <si>
    <t>DISC/IO-pr + DISC/PP-pr</t>
  </si>
  <si>
    <t>Aparellaje tipo de conjunto de seccionador monopolar  AV en portico Catenaria Estacion</t>
  </si>
  <si>
    <t>Aparellaje de conjunto de seccionador monopolar  AC en poste (Sin feeder)</t>
  </si>
  <si>
    <t>Aparellaje tipo de conjunto de seccionador monopolar  AC en portico Catenaria Estacion</t>
  </si>
  <si>
    <t>Accionamiento y transmisión para seccionador en portico Cat Estacion</t>
  </si>
  <si>
    <t>ED/T + ED</t>
  </si>
  <si>
    <t>C-636</t>
  </si>
  <si>
    <t>C-637</t>
  </si>
  <si>
    <t>C-640b</t>
  </si>
  <si>
    <t>6-S.07e</t>
  </si>
  <si>
    <t>Seccionador monopolar de apertura en vacío en portico Catenaria, incluido el aparellaje necesario para su conexionado  a la catenaria.</t>
  </si>
  <si>
    <t>Disconnector, Connections and transmission mortor drive in catenary portal  (without feeder)</t>
  </si>
  <si>
    <t>6-S.08b</t>
  </si>
  <si>
    <t>Seccionador monopolar de apertura en carga en poste, incluido el aparellaje necesario para su conexionado a la catenaria.</t>
  </si>
  <si>
    <t>Seccionador monopolar de apertura en carga en portico Catenaria, incluido el aparellaje necesario para su conexionado a la catenaria.</t>
  </si>
  <si>
    <t>Load Breaker, Connections and transmission mortor drive in pole</t>
  </si>
  <si>
    <t>Load Breaker, Connections and transmission mortor drive in catenary portal</t>
  </si>
  <si>
    <t>Seccionador monopolar de apertura en vacio, incluido el aparellaje necesario para su conexionado a la catenaria desnudo a aislado.</t>
  </si>
  <si>
    <t>Disconnector, Connections and transmission mortor drive, transition cable</t>
  </si>
  <si>
    <t>6-S.07f</t>
  </si>
  <si>
    <t xml:space="preserve"> LoadB + LoadB/t</t>
  </si>
  <si>
    <t>Disc/t + LoadB/t</t>
  </si>
  <si>
    <t>C-638</t>
  </si>
  <si>
    <t>Rejilla-V</t>
  </si>
  <si>
    <t>Soporte lateral para poste HEB-240 en muro existente.</t>
  </si>
  <si>
    <t>Soporte lateral para poste 2HEB-240 en muro existente.</t>
  </si>
  <si>
    <t>Soporte lateral para poste HEB-260 en muro existente.</t>
  </si>
  <si>
    <t>Soporte lateral para poste 2HEB-260 en muro existente.</t>
  </si>
  <si>
    <t>Soporte lateral para poste HEB-280 en muro existente.</t>
  </si>
  <si>
    <t>Soporte lateral para poste HEB-300 en muro existente.</t>
  </si>
  <si>
    <t>Soporte lateral para poste HEB-320L en muro existente.</t>
  </si>
  <si>
    <t>Soporte lateral para poste 2HEB-320L en muro existente.</t>
  </si>
  <si>
    <t>Foundation for POLE HEB-320L: C7R . Diameter= 1 m. Depth=3,8 m. GEWI= Ø40-L=2m . Nº=4 . Concrete=2,985 m3.</t>
  </si>
  <si>
    <t>Foundation for POLE HEB-320L: C7R . Diameter= 1 m. Depth=3,8 m. GEWI= Ø40-L=2m . Nº=4 . Long. Armor=10 Ø20 . Transv. Armor=14 Ø8 . Steel Weight =106,8 kg. Concrete=2,985 m3.</t>
  </si>
  <si>
    <t>Foundation for POLE HEB-320L: C7RT . Diameter= 1 m. Depth=4,8 m. GEWI= Ø40-L=2m . Nº=4 . Long. Armor=10 Ø20 . Transv. Armor=18 Ø8 . Steel Weight =139,7 kg. Concrete=3,77 m3.</t>
  </si>
  <si>
    <t>Aparellaje de conjunto de seccionador monopolar  AV en poste (Sin feeder)</t>
  </si>
  <si>
    <t>Soporte en muro para una ménsula Tipo W</t>
  </si>
  <si>
    <t>Soporte en muro para dos ménsulas Tipo W (2*)</t>
  </si>
  <si>
    <t>Soporte en muro para una ménsula Tipo R</t>
  </si>
  <si>
    <t>Soporte en muro para dos ménsulas Tipo R (2*)</t>
  </si>
  <si>
    <t>Soporte en muro para una ménsula Tipo H</t>
  </si>
  <si>
    <t>Soporte en muro para dos ménsulas Tipo H (2*)</t>
  </si>
  <si>
    <t>Foundation: AnMCR . Diameter= 0,75 m. Depth=2,5 m. GEWI= Ø16-L=2m . Nº=4 . Concrete=1,104 m3.</t>
  </si>
  <si>
    <t>Foundation: AnMC-RT . Diameter= 0,75 m. Depth=3,5 m. GEWI= Ø16-L=2m . Nº=4 . Long. Armor=8 Ø18 . Transv. Armor=16 Ø8 . Steel Weight =65,1 kg. Concrete=1,546 m3.</t>
  </si>
  <si>
    <t>Foundation: AnMR . Diameter= 0,75 m. Depth=2,4 m. GEWI= Ø16-L=2m . Nº=4 . Concrete=1,060 m3.</t>
  </si>
  <si>
    <t>22-1-10a</t>
  </si>
  <si>
    <t>22-2-10a</t>
  </si>
  <si>
    <t>2-S.08a</t>
  </si>
  <si>
    <t>Poste Tipo HEB-300 de 9 a 10 m. de altura</t>
  </si>
  <si>
    <t>Pole HEB-300 (9.2 m height)</t>
  </si>
  <si>
    <t>20-1.10</t>
  </si>
  <si>
    <t>20-1.11</t>
  </si>
  <si>
    <t>20-1.12</t>
  </si>
  <si>
    <t>20-1.13</t>
  </si>
  <si>
    <t>20-1.14</t>
  </si>
  <si>
    <t>20-1.15</t>
  </si>
  <si>
    <t>20-1.16</t>
  </si>
  <si>
    <t>20-1.18</t>
  </si>
  <si>
    <t>20-1.20</t>
  </si>
  <si>
    <t>21-1.01</t>
  </si>
  <si>
    <t>21-1.04</t>
  </si>
  <si>
    <t>21-1.07</t>
  </si>
  <si>
    <t>21-1.09</t>
  </si>
  <si>
    <t>21-1.10</t>
  </si>
  <si>
    <t>21-1.11</t>
  </si>
  <si>
    <t>21-1.12</t>
  </si>
  <si>
    <t>21-1.21</t>
  </si>
  <si>
    <t>21-1.22</t>
  </si>
  <si>
    <t>21-1.23</t>
  </si>
  <si>
    <t>21-1.24</t>
  </si>
  <si>
    <t>22-1.08</t>
  </si>
  <si>
    <t>22-1.09</t>
  </si>
  <si>
    <t>22-1.10</t>
  </si>
  <si>
    <t>22-1.11</t>
  </si>
  <si>
    <t>22-1.12</t>
  </si>
  <si>
    <t>22-1.13</t>
  </si>
  <si>
    <t>22-1.14</t>
  </si>
  <si>
    <t>22-1.16</t>
  </si>
  <si>
    <t>22-1.17</t>
  </si>
  <si>
    <t>22-1.19</t>
  </si>
  <si>
    <t>22-1.21</t>
  </si>
  <si>
    <t>22-1.22</t>
  </si>
  <si>
    <t>22-1.23</t>
  </si>
  <si>
    <t>22-1.24</t>
  </si>
  <si>
    <t>22-1.25</t>
  </si>
  <si>
    <t>23-1.01</t>
  </si>
  <si>
    <t>23-1.02</t>
  </si>
  <si>
    <t>23-1.03</t>
  </si>
  <si>
    <t>23-1.04</t>
  </si>
  <si>
    <t>23-1.05</t>
  </si>
  <si>
    <t>23-1.06</t>
  </si>
  <si>
    <t>23-1.07</t>
  </si>
  <si>
    <t>23-1.08</t>
  </si>
  <si>
    <t>23-1.09</t>
  </si>
  <si>
    <t>23-1.10</t>
  </si>
  <si>
    <t>23-1.11</t>
  </si>
  <si>
    <t>23-1.14</t>
  </si>
  <si>
    <t>23-1.16</t>
  </si>
  <si>
    <t>23-1.18</t>
  </si>
  <si>
    <t>23-1.20</t>
  </si>
  <si>
    <t>23-1.21</t>
  </si>
  <si>
    <t>Unique solution</t>
  </si>
  <si>
    <t>3,3</t>
  </si>
  <si>
    <t>23-2.17</t>
  </si>
  <si>
    <t>JFM
SDA</t>
  </si>
  <si>
    <t>Remove Axis profiles in Mishmar
Adjust KP in track 2  Bridge 11
Replace HEB-160AT by foundations
Remove insulated overlap in Track 1&amp;2 of PK27
Profile 18-1.02 C5R_L</t>
  </si>
  <si>
    <t>No registered</t>
  </si>
  <si>
    <t>Changed Disconnectors in Daniel Zone</t>
  </si>
  <si>
    <t>Insulated overlaps in Mismar&amp;Daniel and Cross Coupling
Reduced gauge 2.90m</t>
  </si>
  <si>
    <t>Initial layout</t>
  </si>
  <si>
    <t>KP17 and 18 updated</t>
  </si>
  <si>
    <t>Profiles 21-x-12 updates due clashes with OCS ties and profile 23-2-12</t>
  </si>
  <si>
    <t>BTC-2000</t>
  </si>
  <si>
    <t>BCE-1500</t>
  </si>
  <si>
    <t>In MP 23-1-04, Move AnMP for next span in both sides
Move A/S from 22-3-16 to 22-3-21
Change WD by L foundations in KP18</t>
  </si>
  <si>
    <t>Removed Cross Coupling in TZOMET DANIEL and MISHMAR and updated the disconnector type according TD10</t>
  </si>
  <si>
    <t>DNI-01</t>
  </si>
  <si>
    <t>LoadB/IO</t>
  </si>
  <si>
    <t>DNI-02</t>
  </si>
  <si>
    <t>DNI-03</t>
  </si>
  <si>
    <t>DNI-B01</t>
  </si>
  <si>
    <t>DNI-07</t>
  </si>
  <si>
    <t>DNI-08</t>
  </si>
  <si>
    <t>BMO-01</t>
  </si>
  <si>
    <t>LoadB/IO-pr</t>
  </si>
  <si>
    <t>BMO-B02</t>
  </si>
  <si>
    <t>BMO-03</t>
  </si>
  <si>
    <t>BMO-04</t>
  </si>
  <si>
    <t>BMO-05</t>
  </si>
  <si>
    <t>BMO-06</t>
  </si>
  <si>
    <t>MSM-02</t>
  </si>
  <si>
    <t>MSM-01</t>
  </si>
  <si>
    <t>MSM-B01</t>
  </si>
  <si>
    <t>MSM-04</t>
  </si>
  <si>
    <t>DISC/PP</t>
  </si>
  <si>
    <t>MSM-03</t>
  </si>
  <si>
    <t>MSM-05</t>
  </si>
  <si>
    <t>MSM-06</t>
  </si>
  <si>
    <t>MSM-07</t>
  </si>
  <si>
    <t>MSM-10</t>
  </si>
  <si>
    <t>MSM-09</t>
  </si>
  <si>
    <t>LoadB/NZ</t>
  </si>
  <si>
    <t>EMT-R</t>
  </si>
  <si>
    <t>EMT-E</t>
  </si>
  <si>
    <t>EMT-ET</t>
  </si>
  <si>
    <t>PH 1150</t>
  </si>
  <si>
    <t>Disc/PP-pr</t>
  </si>
  <si>
    <t>Disc/IO-pr</t>
  </si>
  <si>
    <t>BC 1500</t>
  </si>
  <si>
    <t>BTC-1651</t>
  </si>
  <si>
    <t>PH-C 950</t>
  </si>
  <si>
    <t>EMT-EP</t>
  </si>
  <si>
    <t>BTC-2001</t>
  </si>
  <si>
    <t>PH- 1450</t>
  </si>
  <si>
    <t>PHC-1650</t>
  </si>
  <si>
    <t>A/S Diag 1</t>
  </si>
  <si>
    <t>S/A A/S Diag</t>
  </si>
  <si>
    <t>A/S Diag 1 - AnMP (T1)</t>
  </si>
  <si>
    <t>P50 A/S Diag 2</t>
  </si>
  <si>
    <t>AnMP - AnMP (T1)</t>
  </si>
  <si>
    <t>AnMP - MP (T1)</t>
  </si>
  <si>
    <t>P71 A/S (T1)</t>
  </si>
  <si>
    <t>A/S Diag1</t>
  </si>
  <si>
    <t>P50 A/S Diag2</t>
  </si>
  <si>
    <t>A/S Diag2</t>
  </si>
  <si>
    <t>25-1.01Bis</t>
  </si>
  <si>
    <t>Ø500*1700</t>
  </si>
  <si>
    <t>T-SIGN</t>
  </si>
  <si>
    <t>25-1.07Bis</t>
  </si>
  <si>
    <t>25-2.01Bis</t>
  </si>
  <si>
    <t>25-2.07Bis</t>
  </si>
  <si>
    <t>Updated L foundations in profiles 16-2.06 and 16-2.07
Moved BMO-01 Disconnector from 20-1.20 to 20-3.18
Updated Tensorex in profiles 26-1.04, 26-2.04, 27-1.04 and 26-2.04 due to the road under Bridge 6
Included T-SIGN profiles for EL SIGN in 25-1.01Bis, 25-1.07Bis, 25-2.01Bis and 25-2.07Bis</t>
  </si>
  <si>
    <t>HRL-FP3</t>
  </si>
  <si>
    <t>30-1.16b</t>
  </si>
  <si>
    <t>HRL-NS1</t>
  </si>
  <si>
    <t>TN1-TE4</t>
  </si>
  <si>
    <t>TN1-TE3</t>
  </si>
  <si>
    <t>HRL-NS2</t>
  </si>
  <si>
    <t>HRL-FP4</t>
  </si>
  <si>
    <t>HRL-B01</t>
  </si>
  <si>
    <t>HRL-NS3</t>
  </si>
  <si>
    <t>HRL-NS4</t>
  </si>
  <si>
    <t>HRL-FP5</t>
  </si>
  <si>
    <t>HRL-FP6</t>
  </si>
  <si>
    <t>HRL-B02</t>
  </si>
  <si>
    <t>HRL-NS5</t>
  </si>
  <si>
    <t>HRL-NS6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</si>
</sst>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4" formatCode="_-* #,##0.00\ &quot;€&quot;_-;\-* #,##0.00\ &quot;€&quot;_-;_-* &quot;-&quot;??\ &quot;€&quot;_-;_-@_-"/>
    <numFmt numFmtId="164" formatCode="&quot;€&quot;#,##0.00_);[Red]\(&quot;€&quot;#,##0.00\)"/>
    <numFmt numFmtId="165" formatCode="_(&quot;€&quot;* #,##0.00_);_(&quot;€&quot;* \(#,##0.00\);_(&quot;€&quot;* &quot;-&quot;??_);_(@_)"/>
    <numFmt numFmtId="166" formatCode="0.0"/>
    <numFmt numFmtId="167" formatCode="0.000"/>
    <numFmt numFmtId="168" formatCode="0.0000"/>
    <numFmt numFmtId="169" formatCode="#\+##0"/>
    <numFmt numFmtId="170" formatCode="#\+##0.0"/>
    <numFmt numFmtId="171" formatCode="000\+000.00"/>
    <numFmt numFmtId="172" formatCode="##\+##0.0"/>
    <numFmt numFmtId="173" formatCode="00\+000.00"/>
    <numFmt numFmtId="174" formatCode="#,###&quot; m&quot;"/>
    <numFmt numFmtId="175" formatCode="#,###&quot; kg&quot;"/>
    <numFmt numFmtId="176" formatCode="#.0\+##0"/>
  </numFmts>
  <fonts count="12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b/>
      <sz val="14"/>
      <name val="Arial"/>
      <family val="2"/>
    </font>
    <font>
      <b/>
      <sz val="9"/>
      <color indexed="12"/>
      <name val="Weidemann Bk BT"/>
      <family val="1"/>
    </font>
    <font>
      <b/>
      <sz val="9"/>
      <name val="Weidemann Bk BT"/>
      <family val="1"/>
    </font>
    <font>
      <sz val="9"/>
      <name val="Weidemann Bk BT"/>
      <family val="1"/>
    </font>
    <font>
      <sz val="10"/>
      <name val="Weidemann Bk BT"/>
      <family val="1"/>
    </font>
    <font>
      <b/>
      <sz val="10"/>
      <name val="Weidemann Bk BT"/>
      <family val="1"/>
    </font>
    <font>
      <b/>
      <sz val="10"/>
      <color indexed="62"/>
      <name val="Weidemann Bk BT"/>
      <family val="1"/>
    </font>
    <font>
      <sz val="10"/>
      <name val="Weidemann Bk BT"/>
      <family val="1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u/>
      <sz val="10"/>
      <color indexed="12"/>
      <name val="Arial"/>
      <family val="2"/>
    </font>
    <font>
      <sz val="10"/>
      <color indexed="62"/>
      <name val="Mona Lisa Recut"/>
    </font>
    <font>
      <sz val="10"/>
      <name val="Mona Lisa Recut"/>
    </font>
    <font>
      <sz val="10"/>
      <color indexed="62"/>
      <name val="Weidemann Bk BT"/>
      <family val="1"/>
    </font>
    <font>
      <sz val="10"/>
      <color indexed="10"/>
      <name val="Weidemann Bk BT"/>
      <family val="1"/>
    </font>
    <font>
      <b/>
      <u/>
      <sz val="16"/>
      <color indexed="18"/>
      <name val="Stylus BT"/>
      <family val="2"/>
    </font>
    <font>
      <b/>
      <sz val="10"/>
      <name val="Stylus BT"/>
      <family val="2"/>
    </font>
    <font>
      <sz val="10"/>
      <name val="Arial"/>
      <family val="2"/>
    </font>
    <font>
      <sz val="11"/>
      <color indexed="8"/>
      <name val="Futura Lt BT"/>
      <family val="2"/>
    </font>
    <font>
      <b/>
      <sz val="9"/>
      <color indexed="12"/>
      <name val="Futura Lt BT"/>
      <family val="2"/>
    </font>
    <font>
      <b/>
      <sz val="9"/>
      <name val="Futura Lt BT"/>
      <family val="2"/>
    </font>
    <font>
      <b/>
      <sz val="9"/>
      <color indexed="9"/>
      <name val="Futura Lt BT"/>
      <family val="2"/>
    </font>
    <font>
      <sz val="9"/>
      <name val="Futura Lt BT"/>
      <family val="2"/>
    </font>
    <font>
      <sz val="10"/>
      <name val="Futura Lt BT"/>
      <family val="2"/>
    </font>
    <font>
      <b/>
      <sz val="10"/>
      <name val="Futura Lt BT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name val="Cambria"/>
      <family val="1"/>
    </font>
    <font>
      <b/>
      <sz val="18"/>
      <color indexed="62"/>
      <name val="Cambria"/>
      <family val="2"/>
    </font>
    <font>
      <sz val="9"/>
      <name val="Arial"/>
      <family val="2"/>
    </font>
    <font>
      <b/>
      <sz val="9"/>
      <name val="Arial"/>
      <family val="2"/>
    </font>
    <font>
      <sz val="9"/>
      <name val="Arial (WC)"/>
      <family val="2"/>
      <charset val="204"/>
    </font>
    <font>
      <b/>
      <u/>
      <sz val="10"/>
      <name val="Arial"/>
      <family val="2"/>
    </font>
    <font>
      <sz val="10"/>
      <color indexed="8"/>
      <name val="Arial"/>
      <family val="2"/>
    </font>
    <font>
      <sz val="10"/>
      <name val="ISOCPEUR"/>
      <family val="2"/>
    </font>
    <font>
      <b/>
      <sz val="10"/>
      <name val="ISOCPEUR"/>
      <family val="2"/>
    </font>
    <font>
      <sz val="11"/>
      <name val="ISOCPEUR"/>
      <family val="2"/>
    </font>
    <font>
      <sz val="11"/>
      <color indexed="10"/>
      <name val="ISOCPEUR"/>
      <family val="2"/>
    </font>
    <font>
      <i/>
      <sz val="10"/>
      <name val="ISOCPEUR"/>
      <family val="2"/>
    </font>
    <font>
      <sz val="11"/>
      <color indexed="8"/>
      <name val="ISOCPEUR"/>
      <family val="2"/>
    </font>
    <font>
      <b/>
      <sz val="14"/>
      <color indexed="48"/>
      <name val="ISOCPEUR"/>
      <family val="2"/>
    </font>
    <font>
      <b/>
      <i/>
      <sz val="10"/>
      <name val="ISOCPEUR"/>
      <family val="2"/>
    </font>
    <font>
      <b/>
      <sz val="11"/>
      <color indexed="8"/>
      <name val="ISOCPEUR"/>
      <family val="2"/>
    </font>
    <font>
      <i/>
      <sz val="11"/>
      <color indexed="8"/>
      <name val="ISOCPEUR"/>
      <family val="2"/>
    </font>
    <font>
      <i/>
      <u/>
      <sz val="11"/>
      <color indexed="8"/>
      <name val="ISOCPEUR"/>
      <family val="2"/>
    </font>
    <font>
      <b/>
      <i/>
      <sz val="11"/>
      <color indexed="8"/>
      <name val="ISOCPEUR"/>
      <family val="2"/>
    </font>
    <font>
      <i/>
      <u/>
      <sz val="11"/>
      <name val="ISOCPEUR"/>
      <family val="2"/>
    </font>
    <font>
      <b/>
      <sz val="11"/>
      <color rgb="FFFF0000"/>
      <name val="ISOCPEUR"/>
      <family val="2"/>
    </font>
    <font>
      <sz val="11"/>
      <color rgb="FFFF0000"/>
      <name val="ISOCPEUR"/>
      <family val="2"/>
    </font>
    <font>
      <b/>
      <sz val="11"/>
      <color rgb="FF002060"/>
      <name val="ISOCPEUR"/>
      <family val="2"/>
    </font>
    <font>
      <b/>
      <i/>
      <u/>
      <sz val="11"/>
      <color theme="0"/>
      <name val="ISOCPEUR"/>
      <family val="2"/>
    </font>
    <font>
      <i/>
      <sz val="9"/>
      <name val="Futura Lt BT"/>
      <family val="2"/>
    </font>
    <font>
      <sz val="11"/>
      <color rgb="FFFF0000"/>
      <name val="Calibri"/>
      <family val="2"/>
    </font>
    <font>
      <i/>
      <sz val="10"/>
      <color indexed="8"/>
      <name val="ISOCPEUR"/>
      <family val="2"/>
    </font>
    <font>
      <b/>
      <sz val="18"/>
      <name val="Arial"/>
      <family val="2"/>
    </font>
    <font>
      <b/>
      <sz val="11"/>
      <name val="Arial"/>
      <family val="2"/>
    </font>
    <font>
      <i/>
      <sz val="11"/>
      <name val="Arial"/>
      <family val="2"/>
    </font>
    <font>
      <sz val="11"/>
      <name val="Arial"/>
      <family val="2"/>
    </font>
    <font>
      <b/>
      <i/>
      <u/>
      <sz val="14"/>
      <name val="Arial"/>
      <family val="2"/>
    </font>
    <font>
      <b/>
      <u/>
      <sz val="11"/>
      <name val="Arial"/>
      <family val="2"/>
    </font>
    <font>
      <sz val="8"/>
      <color indexed="8"/>
      <name val="ISOCPEUR"/>
      <family val="2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color rgb="FFFF0000"/>
      <name val="Calibri"/>
      <family val="2"/>
    </font>
    <font>
      <sz val="10"/>
      <color rgb="FFFF0000"/>
      <name val="ISOCPEUR"/>
      <family val="2"/>
    </font>
    <font>
      <i/>
      <sz val="10"/>
      <color rgb="FFFF0000"/>
      <name val="ISOCPEUR"/>
      <family val="2"/>
    </font>
    <font>
      <sz val="18"/>
      <name val="Arial"/>
      <family val="2"/>
    </font>
    <font>
      <i/>
      <u/>
      <sz val="14"/>
      <name val="Arial"/>
      <family val="2"/>
    </font>
    <font>
      <u/>
      <sz val="11"/>
      <name val="Arial"/>
      <family val="2"/>
    </font>
    <font>
      <i/>
      <sz val="14"/>
      <name val="Arial"/>
      <family val="2"/>
    </font>
    <font>
      <sz val="10"/>
      <name val="Calibri"/>
      <family val="2"/>
      <scheme val="minor"/>
    </font>
    <font>
      <i/>
      <sz val="11"/>
      <name val="ISOCPEUR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i/>
      <sz val="9"/>
      <color theme="5"/>
      <name val="Futura Lt BT"/>
      <family val="2"/>
    </font>
    <font>
      <sz val="11"/>
      <color theme="0"/>
      <name val="ISOCPEUR"/>
      <family val="2"/>
    </font>
    <font>
      <b/>
      <i/>
      <sz val="9"/>
      <color theme="0"/>
      <name val="Futura Lt BT"/>
      <family val="2"/>
    </font>
    <font>
      <i/>
      <sz val="1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2060"/>
      <name val="ISOCPEUR"/>
      <family val="2"/>
    </font>
    <font>
      <b/>
      <sz val="10"/>
      <name val="Wingdings"/>
      <charset val="2"/>
    </font>
    <font>
      <b/>
      <sz val="10"/>
      <name val="Calibri"/>
      <family val="2"/>
      <scheme val="minor"/>
    </font>
    <font>
      <sz val="11"/>
      <name val="Calibri"/>
      <family val="2"/>
    </font>
    <font>
      <sz val="10"/>
      <name val="Calibri"/>
      <family val="2"/>
    </font>
  </fonts>
  <fills count="10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55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9"/>
      </patternFill>
    </fill>
    <fill>
      <patternFill patternType="solid">
        <fgColor indexed="62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9BBB5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50"/>
        <bgColor indexed="64"/>
      </patternFill>
    </fill>
    <fill>
      <gradientFill>
        <stop position="0">
          <color rgb="FF0070C0"/>
        </stop>
        <stop position="0.5">
          <color rgb="FFFF0000"/>
        </stop>
        <stop position="1">
          <color rgb="FF0070C0"/>
        </stop>
      </gradientFill>
    </fill>
    <fill>
      <patternFill patternType="solid">
        <fgColor rgb="FFFFCC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 tint="-0.34998626667073579"/>
        <bgColor indexed="64"/>
      </patternFill>
    </fill>
  </fills>
  <borders count="13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18"/>
      </bottom>
      <diagonal/>
    </border>
    <border>
      <left/>
      <right style="thin">
        <color indexed="64"/>
      </right>
      <top style="thin">
        <color indexed="64"/>
      </top>
      <bottom style="thin">
        <color indexed="1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22"/>
      </left>
      <right style="thin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22"/>
      </left>
      <right/>
      <top style="thin">
        <color indexed="64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22"/>
      </bottom>
      <diagonal/>
    </border>
    <border>
      <left/>
      <right style="thin">
        <color indexed="22"/>
      </right>
      <top style="thin">
        <color indexed="64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2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thin">
        <color indexed="22"/>
      </left>
      <right style="thin">
        <color indexed="64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22"/>
      </left>
      <right style="thin">
        <color indexed="64"/>
      </right>
      <top/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2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22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</borders>
  <cellStyleXfs count="1087">
    <xf numFmtId="0" fontId="0" fillId="0" borderId="0"/>
    <xf numFmtId="0" fontId="16" fillId="2" borderId="0" applyNumberFormat="0" applyBorder="0" applyAlignment="0" applyProtection="0"/>
    <xf numFmtId="0" fontId="16" fillId="3" borderId="0" applyNumberFormat="0" applyBorder="0" applyAlignment="0" applyProtection="0"/>
    <xf numFmtId="0" fontId="16" fillId="4" borderId="0" applyNumberFormat="0" applyBorder="0" applyAlignment="0" applyProtection="0"/>
    <xf numFmtId="0" fontId="16" fillId="2" borderId="0" applyNumberFormat="0" applyBorder="0" applyAlignment="0" applyProtection="0"/>
    <xf numFmtId="0" fontId="16" fillId="5" borderId="0" applyNumberFormat="0" applyBorder="0" applyAlignment="0" applyProtection="0"/>
    <xf numFmtId="0" fontId="16" fillId="3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2" borderId="0" applyNumberFormat="0" applyBorder="0" applyAlignment="0" applyProtection="0"/>
    <xf numFmtId="0" fontId="16" fillId="10" borderId="0" applyNumberFormat="0" applyBorder="0" applyAlignment="0" applyProtection="0"/>
    <xf numFmtId="0" fontId="16" fillId="11" borderId="0" applyNumberFormat="0" applyBorder="0" applyAlignment="0" applyProtection="0"/>
    <xf numFmtId="0" fontId="16" fillId="2" borderId="0" applyNumberFormat="0" applyBorder="0" applyAlignment="0" applyProtection="0"/>
    <xf numFmtId="0" fontId="16" fillId="12" borderId="0" applyNumberFormat="0" applyBorder="0" applyAlignment="0" applyProtection="0"/>
    <xf numFmtId="0" fontId="16" fillId="3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4" borderId="0" applyNumberFormat="0" applyBorder="0" applyAlignment="0" applyProtection="0"/>
    <xf numFmtId="0" fontId="16" fillId="14" borderId="0" applyNumberFormat="0" applyBorder="0" applyAlignment="0" applyProtection="0"/>
    <xf numFmtId="0" fontId="16" fillId="14" borderId="0" applyNumberFormat="0" applyBorder="0" applyAlignment="0" applyProtection="0"/>
    <xf numFmtId="0" fontId="16" fillId="14" borderId="0" applyNumberFormat="0" applyBorder="0" applyAlignment="0" applyProtection="0"/>
    <xf numFmtId="0" fontId="16" fillId="14" borderId="0" applyNumberFormat="0" applyBorder="0" applyAlignment="0" applyProtection="0"/>
    <xf numFmtId="0" fontId="16" fillId="14" borderId="0" applyNumberFormat="0" applyBorder="0" applyAlignment="0" applyProtection="0"/>
    <xf numFmtId="0" fontId="16" fillId="14" borderId="0" applyNumberFormat="0" applyBorder="0" applyAlignment="0" applyProtection="0"/>
    <xf numFmtId="0" fontId="16" fillId="14" borderId="0" applyNumberFormat="0" applyBorder="0" applyAlignment="0" applyProtection="0"/>
    <xf numFmtId="0" fontId="16" fillId="14" borderId="0" applyNumberFormat="0" applyBorder="0" applyAlignment="0" applyProtection="0"/>
    <xf numFmtId="0" fontId="16" fillId="14" borderId="0" applyNumberFormat="0" applyBorder="0" applyAlignment="0" applyProtection="0"/>
    <xf numFmtId="0" fontId="16" fillId="14" borderId="0" applyNumberFormat="0" applyBorder="0" applyAlignment="0" applyProtection="0"/>
    <xf numFmtId="0" fontId="16" fillId="14" borderId="0" applyNumberFormat="0" applyBorder="0" applyAlignment="0" applyProtection="0"/>
    <xf numFmtId="0" fontId="16" fillId="14" borderId="0" applyNumberFormat="0" applyBorder="0" applyAlignment="0" applyProtection="0"/>
    <xf numFmtId="0" fontId="16" fillId="14" borderId="0" applyNumberFormat="0" applyBorder="0" applyAlignment="0" applyProtection="0"/>
    <xf numFmtId="0" fontId="16" fillId="14" borderId="0" applyNumberFormat="0" applyBorder="0" applyAlignment="0" applyProtection="0"/>
    <xf numFmtId="0" fontId="16" fillId="14" borderId="0" applyNumberFormat="0" applyBorder="0" applyAlignment="0" applyProtection="0"/>
    <xf numFmtId="0" fontId="16" fillId="14" borderId="0" applyNumberFormat="0" applyBorder="0" applyAlignment="0" applyProtection="0"/>
    <xf numFmtId="0" fontId="16" fillId="14" borderId="0" applyNumberFormat="0" applyBorder="0" applyAlignment="0" applyProtection="0"/>
    <xf numFmtId="0" fontId="16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0" borderId="0" applyNumberFormat="0" applyBorder="0" applyAlignment="0" applyProtection="0"/>
    <xf numFmtId="0" fontId="17" fillId="11" borderId="0" applyNumberFormat="0" applyBorder="0" applyAlignment="0" applyProtection="0"/>
    <xf numFmtId="0" fontId="17" fillId="16" borderId="0" applyNumberFormat="0" applyBorder="0" applyAlignment="0" applyProtection="0"/>
    <xf numFmtId="0" fontId="17" fillId="15" borderId="0" applyNumberFormat="0" applyBorder="0" applyAlignment="0" applyProtection="0"/>
    <xf numFmtId="0" fontId="17" fillId="3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5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15" borderId="0" applyNumberFormat="0" applyBorder="0" applyAlignment="0" applyProtection="0"/>
    <xf numFmtId="0" fontId="17" fillId="23" borderId="0" applyNumberFormat="0" applyBorder="0" applyAlignment="0" applyProtection="0"/>
    <xf numFmtId="0" fontId="24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8" borderId="0" applyNumberFormat="0" applyBorder="0" applyAlignment="0" applyProtection="0"/>
    <xf numFmtId="0" fontId="18" fillId="8" borderId="0" applyNumberFormat="0" applyBorder="0" applyAlignment="0" applyProtection="0"/>
    <xf numFmtId="0" fontId="18" fillId="8" borderId="0" applyNumberFormat="0" applyBorder="0" applyAlignment="0" applyProtection="0"/>
    <xf numFmtId="0" fontId="18" fillId="8" borderId="0" applyNumberFormat="0" applyBorder="0" applyAlignment="0" applyProtection="0"/>
    <xf numFmtId="0" fontId="18" fillId="8" borderId="0" applyNumberFormat="0" applyBorder="0" applyAlignment="0" applyProtection="0"/>
    <xf numFmtId="0" fontId="18" fillId="8" borderId="0" applyNumberFormat="0" applyBorder="0" applyAlignment="0" applyProtection="0"/>
    <xf numFmtId="0" fontId="18" fillId="8" borderId="0" applyNumberFormat="0" applyBorder="0" applyAlignment="0" applyProtection="0"/>
    <xf numFmtId="0" fontId="18" fillId="8" borderId="0" applyNumberFormat="0" applyBorder="0" applyAlignment="0" applyProtection="0"/>
    <xf numFmtId="0" fontId="18" fillId="8" borderId="0" applyNumberFormat="0" applyBorder="0" applyAlignment="0" applyProtection="0"/>
    <xf numFmtId="0" fontId="18" fillId="8" borderId="0" applyNumberFormat="0" applyBorder="0" applyAlignment="0" applyProtection="0"/>
    <xf numFmtId="0" fontId="18" fillId="8" borderId="0" applyNumberFormat="0" applyBorder="0" applyAlignment="0" applyProtection="0"/>
    <xf numFmtId="0" fontId="18" fillId="8" borderId="0" applyNumberFormat="0" applyBorder="0" applyAlignment="0" applyProtection="0"/>
    <xf numFmtId="0" fontId="18" fillId="8" borderId="0" applyNumberFormat="0" applyBorder="0" applyAlignment="0" applyProtection="0"/>
    <xf numFmtId="0" fontId="18" fillId="8" borderId="0" applyNumberFormat="0" applyBorder="0" applyAlignment="0" applyProtection="0"/>
    <xf numFmtId="0" fontId="18" fillId="8" borderId="0" applyNumberFormat="0" applyBorder="0" applyAlignment="0" applyProtection="0"/>
    <xf numFmtId="0" fontId="18" fillId="8" borderId="0" applyNumberFormat="0" applyBorder="0" applyAlignment="0" applyProtection="0"/>
    <xf numFmtId="0" fontId="18" fillId="8" borderId="0" applyNumberFormat="0" applyBorder="0" applyAlignment="0" applyProtection="0"/>
    <xf numFmtId="0" fontId="19" fillId="24" borderId="1" applyNumberFormat="0" applyAlignment="0" applyProtection="0"/>
    <xf numFmtId="0" fontId="19" fillId="2" borderId="1" applyNumberFormat="0" applyAlignment="0" applyProtection="0"/>
    <xf numFmtId="0" fontId="19" fillId="2" borderId="1" applyNumberFormat="0" applyAlignment="0" applyProtection="0"/>
    <xf numFmtId="0" fontId="19" fillId="2" borderId="1" applyNumberFormat="0" applyAlignment="0" applyProtection="0"/>
    <xf numFmtId="0" fontId="19" fillId="2" borderId="1" applyNumberFormat="0" applyAlignment="0" applyProtection="0"/>
    <xf numFmtId="0" fontId="19" fillId="2" borderId="1" applyNumberFormat="0" applyAlignment="0" applyProtection="0"/>
    <xf numFmtId="0" fontId="19" fillId="2" borderId="1" applyNumberFormat="0" applyAlignment="0" applyProtection="0"/>
    <xf numFmtId="0" fontId="19" fillId="2" borderId="1" applyNumberFormat="0" applyAlignment="0" applyProtection="0"/>
    <xf numFmtId="0" fontId="19" fillId="2" borderId="1" applyNumberFormat="0" applyAlignment="0" applyProtection="0"/>
    <xf numFmtId="0" fontId="19" fillId="2" borderId="1" applyNumberFormat="0" applyAlignment="0" applyProtection="0"/>
    <xf numFmtId="0" fontId="19" fillId="2" borderId="1" applyNumberFormat="0" applyAlignment="0" applyProtection="0"/>
    <xf numFmtId="0" fontId="19" fillId="2" borderId="1" applyNumberFormat="0" applyAlignment="0" applyProtection="0"/>
    <xf numFmtId="0" fontId="19" fillId="2" borderId="1" applyNumberFormat="0" applyAlignment="0" applyProtection="0"/>
    <xf numFmtId="0" fontId="19" fillId="2" borderId="1" applyNumberFormat="0" applyAlignment="0" applyProtection="0"/>
    <xf numFmtId="0" fontId="19" fillId="2" borderId="1" applyNumberFormat="0" applyAlignment="0" applyProtection="0"/>
    <xf numFmtId="0" fontId="19" fillId="2" borderId="1" applyNumberFormat="0" applyAlignment="0" applyProtection="0"/>
    <xf numFmtId="0" fontId="19" fillId="2" borderId="1" applyNumberFormat="0" applyAlignment="0" applyProtection="0"/>
    <xf numFmtId="0" fontId="19" fillId="2" borderId="1" applyNumberFormat="0" applyAlignment="0" applyProtection="0"/>
    <xf numFmtId="0" fontId="19" fillId="2" borderId="1" applyNumberFormat="0" applyAlignment="0" applyProtection="0"/>
    <xf numFmtId="0" fontId="19" fillId="2" borderId="1" applyNumberFormat="0" applyAlignment="0" applyProtection="0"/>
    <xf numFmtId="0" fontId="20" fillId="16" borderId="2" applyNumberFormat="0" applyAlignment="0" applyProtection="0"/>
    <xf numFmtId="0" fontId="20" fillId="16" borderId="2" applyNumberFormat="0" applyAlignment="0" applyProtection="0"/>
    <xf numFmtId="0" fontId="20" fillId="16" borderId="2" applyNumberFormat="0" applyAlignment="0" applyProtection="0"/>
    <xf numFmtId="0" fontId="20" fillId="16" borderId="2" applyNumberFormat="0" applyAlignment="0" applyProtection="0"/>
    <xf numFmtId="0" fontId="20" fillId="16" borderId="2" applyNumberFormat="0" applyAlignment="0" applyProtection="0"/>
    <xf numFmtId="0" fontId="20" fillId="16" borderId="2" applyNumberFormat="0" applyAlignment="0" applyProtection="0"/>
    <xf numFmtId="0" fontId="20" fillId="16" borderId="2" applyNumberFormat="0" applyAlignment="0" applyProtection="0"/>
    <xf numFmtId="0" fontId="20" fillId="16" borderId="2" applyNumberFormat="0" applyAlignment="0" applyProtection="0"/>
    <xf numFmtId="0" fontId="20" fillId="16" borderId="2" applyNumberFormat="0" applyAlignment="0" applyProtection="0"/>
    <xf numFmtId="0" fontId="20" fillId="16" borderId="2" applyNumberFormat="0" applyAlignment="0" applyProtection="0"/>
    <xf numFmtId="0" fontId="20" fillId="16" borderId="2" applyNumberFormat="0" applyAlignment="0" applyProtection="0"/>
    <xf numFmtId="0" fontId="20" fillId="16" borderId="2" applyNumberFormat="0" applyAlignment="0" applyProtection="0"/>
    <xf numFmtId="0" fontId="20" fillId="16" borderId="2" applyNumberFormat="0" applyAlignment="0" applyProtection="0"/>
    <xf numFmtId="0" fontId="20" fillId="16" borderId="2" applyNumberFormat="0" applyAlignment="0" applyProtection="0"/>
    <xf numFmtId="0" fontId="20" fillId="16" borderId="2" applyNumberFormat="0" applyAlignment="0" applyProtection="0"/>
    <xf numFmtId="0" fontId="20" fillId="16" borderId="2" applyNumberFormat="0" applyAlignment="0" applyProtection="0"/>
    <xf numFmtId="0" fontId="20" fillId="16" borderId="2" applyNumberFormat="0" applyAlignment="0" applyProtection="0"/>
    <xf numFmtId="0" fontId="20" fillId="16" borderId="2" applyNumberFormat="0" applyAlignment="0" applyProtection="0"/>
    <xf numFmtId="0" fontId="21" fillId="0" borderId="3" applyNumberFormat="0" applyFill="0" applyAlignment="0" applyProtection="0"/>
    <xf numFmtId="0" fontId="21" fillId="0" borderId="3" applyNumberFormat="0" applyFill="0" applyAlignment="0" applyProtection="0"/>
    <xf numFmtId="0" fontId="21" fillId="0" borderId="3" applyNumberFormat="0" applyFill="0" applyAlignment="0" applyProtection="0"/>
    <xf numFmtId="0" fontId="21" fillId="0" borderId="3" applyNumberFormat="0" applyFill="0" applyAlignment="0" applyProtection="0"/>
    <xf numFmtId="0" fontId="21" fillId="0" borderId="3" applyNumberFormat="0" applyFill="0" applyAlignment="0" applyProtection="0"/>
    <xf numFmtId="0" fontId="21" fillId="0" borderId="3" applyNumberFormat="0" applyFill="0" applyAlignment="0" applyProtection="0"/>
    <xf numFmtId="0" fontId="21" fillId="0" borderId="3" applyNumberFormat="0" applyFill="0" applyAlignment="0" applyProtection="0"/>
    <xf numFmtId="0" fontId="21" fillId="0" borderId="3" applyNumberFormat="0" applyFill="0" applyAlignment="0" applyProtection="0"/>
    <xf numFmtId="0" fontId="21" fillId="0" borderId="3" applyNumberFormat="0" applyFill="0" applyAlignment="0" applyProtection="0"/>
    <xf numFmtId="0" fontId="21" fillId="0" borderId="3" applyNumberFormat="0" applyFill="0" applyAlignment="0" applyProtection="0"/>
    <xf numFmtId="0" fontId="21" fillId="0" borderId="3" applyNumberFormat="0" applyFill="0" applyAlignment="0" applyProtection="0"/>
    <xf numFmtId="0" fontId="21" fillId="0" borderId="3" applyNumberFormat="0" applyFill="0" applyAlignment="0" applyProtection="0"/>
    <xf numFmtId="0" fontId="21" fillId="0" borderId="3" applyNumberFormat="0" applyFill="0" applyAlignment="0" applyProtection="0"/>
    <xf numFmtId="0" fontId="21" fillId="0" borderId="3" applyNumberFormat="0" applyFill="0" applyAlignment="0" applyProtection="0"/>
    <xf numFmtId="0" fontId="21" fillId="0" borderId="3" applyNumberFormat="0" applyFill="0" applyAlignment="0" applyProtection="0"/>
    <xf numFmtId="0" fontId="21" fillId="0" borderId="3" applyNumberFormat="0" applyFill="0" applyAlignment="0" applyProtection="0"/>
    <xf numFmtId="0" fontId="21" fillId="0" borderId="3" applyNumberFormat="0" applyFill="0" applyAlignment="0" applyProtection="0"/>
    <xf numFmtId="0" fontId="21" fillId="0" borderId="3" applyNumberFormat="0" applyFill="0" applyAlignment="0" applyProtection="0"/>
    <xf numFmtId="0" fontId="20" fillId="16" borderId="2" applyNumberFormat="0" applyAlignment="0" applyProtection="0"/>
    <xf numFmtId="0" fontId="20" fillId="16" borderId="2" applyNumberFormat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0" borderId="0" applyNumberFormat="0" applyBorder="0" applyAlignment="0" applyProtection="0"/>
    <xf numFmtId="0" fontId="17" fillId="20" borderId="0" applyNumberFormat="0" applyBorder="0" applyAlignment="0" applyProtection="0"/>
    <xf numFmtId="0" fontId="17" fillId="20" borderId="0" applyNumberFormat="0" applyBorder="0" applyAlignment="0" applyProtection="0"/>
    <xf numFmtId="0" fontId="17" fillId="20" borderId="0" applyNumberFormat="0" applyBorder="0" applyAlignment="0" applyProtection="0"/>
    <xf numFmtId="0" fontId="17" fillId="20" borderId="0" applyNumberFormat="0" applyBorder="0" applyAlignment="0" applyProtection="0"/>
    <xf numFmtId="0" fontId="17" fillId="20" borderId="0" applyNumberFormat="0" applyBorder="0" applyAlignment="0" applyProtection="0"/>
    <xf numFmtId="0" fontId="17" fillId="20" borderId="0" applyNumberFormat="0" applyBorder="0" applyAlignment="0" applyProtection="0"/>
    <xf numFmtId="0" fontId="17" fillId="20" borderId="0" applyNumberFormat="0" applyBorder="0" applyAlignment="0" applyProtection="0"/>
    <xf numFmtId="0" fontId="17" fillId="20" borderId="0" applyNumberFormat="0" applyBorder="0" applyAlignment="0" applyProtection="0"/>
    <xf numFmtId="0" fontId="17" fillId="20" borderId="0" applyNumberFormat="0" applyBorder="0" applyAlignment="0" applyProtection="0"/>
    <xf numFmtId="0" fontId="17" fillId="20" borderId="0" applyNumberFormat="0" applyBorder="0" applyAlignment="0" applyProtection="0"/>
    <xf numFmtId="0" fontId="17" fillId="20" borderId="0" applyNumberFormat="0" applyBorder="0" applyAlignment="0" applyProtection="0"/>
    <xf numFmtId="0" fontId="17" fillId="20" borderId="0" applyNumberFormat="0" applyBorder="0" applyAlignment="0" applyProtection="0"/>
    <xf numFmtId="0" fontId="17" fillId="20" borderId="0" applyNumberFormat="0" applyBorder="0" applyAlignment="0" applyProtection="0"/>
    <xf numFmtId="0" fontId="17" fillId="20" borderId="0" applyNumberFormat="0" applyBorder="0" applyAlignment="0" applyProtection="0"/>
    <xf numFmtId="0" fontId="17" fillId="20" borderId="0" applyNumberFormat="0" applyBorder="0" applyAlignment="0" applyProtection="0"/>
    <xf numFmtId="0" fontId="17" fillId="20" borderId="0" applyNumberFormat="0" applyBorder="0" applyAlignment="0" applyProtection="0"/>
    <xf numFmtId="0" fontId="17" fillId="20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23" borderId="0" applyNumberFormat="0" applyBorder="0" applyAlignment="0" applyProtection="0"/>
    <xf numFmtId="0" fontId="17" fillId="23" borderId="0" applyNumberFormat="0" applyBorder="0" applyAlignment="0" applyProtection="0"/>
    <xf numFmtId="0" fontId="17" fillId="23" borderId="0" applyNumberFormat="0" applyBorder="0" applyAlignment="0" applyProtection="0"/>
    <xf numFmtId="0" fontId="17" fillId="23" borderId="0" applyNumberFormat="0" applyBorder="0" applyAlignment="0" applyProtection="0"/>
    <xf numFmtId="0" fontId="17" fillId="23" borderId="0" applyNumberFormat="0" applyBorder="0" applyAlignment="0" applyProtection="0"/>
    <xf numFmtId="0" fontId="17" fillId="23" borderId="0" applyNumberFormat="0" applyBorder="0" applyAlignment="0" applyProtection="0"/>
    <xf numFmtId="0" fontId="17" fillId="23" borderId="0" applyNumberFormat="0" applyBorder="0" applyAlignment="0" applyProtection="0"/>
    <xf numFmtId="0" fontId="17" fillId="23" borderId="0" applyNumberFormat="0" applyBorder="0" applyAlignment="0" applyProtection="0"/>
    <xf numFmtId="0" fontId="17" fillId="23" borderId="0" applyNumberFormat="0" applyBorder="0" applyAlignment="0" applyProtection="0"/>
    <xf numFmtId="0" fontId="17" fillId="23" borderId="0" applyNumberFormat="0" applyBorder="0" applyAlignment="0" applyProtection="0"/>
    <xf numFmtId="0" fontId="17" fillId="23" borderId="0" applyNumberFormat="0" applyBorder="0" applyAlignment="0" applyProtection="0"/>
    <xf numFmtId="0" fontId="17" fillId="23" borderId="0" applyNumberFormat="0" applyBorder="0" applyAlignment="0" applyProtection="0"/>
    <xf numFmtId="0" fontId="17" fillId="23" borderId="0" applyNumberFormat="0" applyBorder="0" applyAlignment="0" applyProtection="0"/>
    <xf numFmtId="0" fontId="17" fillId="23" borderId="0" applyNumberFormat="0" applyBorder="0" applyAlignment="0" applyProtection="0"/>
    <xf numFmtId="0" fontId="17" fillId="23" borderId="0" applyNumberFormat="0" applyBorder="0" applyAlignment="0" applyProtection="0"/>
    <xf numFmtId="0" fontId="17" fillId="23" borderId="0" applyNumberFormat="0" applyBorder="0" applyAlignment="0" applyProtection="0"/>
    <xf numFmtId="0" fontId="17" fillId="23" borderId="0" applyNumberFormat="0" applyBorder="0" applyAlignment="0" applyProtection="0"/>
    <xf numFmtId="0" fontId="17" fillId="23" borderId="0" applyNumberFormat="0" applyBorder="0" applyAlignment="0" applyProtection="0"/>
    <xf numFmtId="0" fontId="17" fillId="23" borderId="0" applyNumberFormat="0" applyBorder="0" applyAlignment="0" applyProtection="0"/>
    <xf numFmtId="0" fontId="23" fillId="3" borderId="1" applyNumberFormat="0" applyAlignment="0" applyProtection="0"/>
    <xf numFmtId="0" fontId="23" fillId="3" borderId="1" applyNumberFormat="0" applyAlignment="0" applyProtection="0"/>
    <xf numFmtId="0" fontId="23" fillId="3" borderId="1" applyNumberFormat="0" applyAlignment="0" applyProtection="0"/>
    <xf numFmtId="0" fontId="23" fillId="3" borderId="1" applyNumberFormat="0" applyAlignment="0" applyProtection="0"/>
    <xf numFmtId="0" fontId="23" fillId="3" borderId="1" applyNumberFormat="0" applyAlignment="0" applyProtection="0"/>
    <xf numFmtId="0" fontId="23" fillId="3" borderId="1" applyNumberFormat="0" applyAlignment="0" applyProtection="0"/>
    <xf numFmtId="0" fontId="23" fillId="3" borderId="1" applyNumberFormat="0" applyAlignment="0" applyProtection="0"/>
    <xf numFmtId="0" fontId="23" fillId="3" borderId="1" applyNumberFormat="0" applyAlignment="0" applyProtection="0"/>
    <xf numFmtId="0" fontId="23" fillId="3" borderId="1" applyNumberFormat="0" applyAlignment="0" applyProtection="0"/>
    <xf numFmtId="0" fontId="23" fillId="3" borderId="1" applyNumberFormat="0" applyAlignment="0" applyProtection="0"/>
    <xf numFmtId="0" fontId="23" fillId="3" borderId="1" applyNumberFormat="0" applyAlignment="0" applyProtection="0"/>
    <xf numFmtId="0" fontId="23" fillId="3" borderId="1" applyNumberFormat="0" applyAlignment="0" applyProtection="0"/>
    <xf numFmtId="0" fontId="23" fillId="3" borderId="1" applyNumberFormat="0" applyAlignment="0" applyProtection="0"/>
    <xf numFmtId="0" fontId="23" fillId="3" borderId="1" applyNumberFormat="0" applyAlignment="0" applyProtection="0"/>
    <xf numFmtId="0" fontId="23" fillId="3" borderId="1" applyNumberFormat="0" applyAlignment="0" applyProtection="0"/>
    <xf numFmtId="0" fontId="23" fillId="3" borderId="1" applyNumberFormat="0" applyAlignment="0" applyProtection="0"/>
    <xf numFmtId="0" fontId="23" fillId="3" borderId="1" applyNumberFormat="0" applyAlignment="0" applyProtection="0"/>
    <xf numFmtId="0" fontId="23" fillId="3" borderId="1" applyNumberFormat="0" applyAlignment="0" applyProtection="0"/>
    <xf numFmtId="165" fontId="4" fillId="0" borderId="0" applyFont="0" applyFill="0" applyBorder="0" applyAlignment="0" applyProtection="0"/>
    <xf numFmtId="165" fontId="40" fillId="0" borderId="0" applyFont="0" applyFill="0" applyBorder="0" applyAlignment="0" applyProtection="0"/>
    <xf numFmtId="165" fontId="15" fillId="0" borderId="0" applyFont="0" applyFill="0" applyBorder="0" applyAlignment="0" applyProtection="0"/>
    <xf numFmtId="165" fontId="15" fillId="0" borderId="0" applyFont="0" applyFill="0" applyBorder="0" applyAlignment="0" applyProtection="0"/>
    <xf numFmtId="165" fontId="15" fillId="0" borderId="0" applyFont="0" applyFill="0" applyBorder="0" applyAlignment="0" applyProtection="0"/>
    <xf numFmtId="165" fontId="15" fillId="0" borderId="0" applyFont="0" applyFill="0" applyBorder="0" applyAlignment="0" applyProtection="0"/>
    <xf numFmtId="165" fontId="1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18" fillId="8" borderId="0" applyNumberFormat="0" applyBorder="0" applyAlignment="0" applyProtection="0"/>
    <xf numFmtId="0" fontId="18" fillId="8" borderId="0" applyNumberFormat="0" applyBorder="0" applyAlignment="0" applyProtection="0"/>
    <xf numFmtId="0" fontId="48" fillId="0" borderId="5" applyNumberFormat="0" applyFill="0" applyAlignment="0" applyProtection="0"/>
    <xf numFmtId="0" fontId="48" fillId="0" borderId="5" applyNumberFormat="0" applyFill="0" applyAlignment="0" applyProtection="0"/>
    <xf numFmtId="0" fontId="49" fillId="0" borderId="6" applyNumberFormat="0" applyFill="0" applyAlignment="0" applyProtection="0"/>
    <xf numFmtId="0" fontId="50" fillId="0" borderId="7" applyNumberFormat="0" applyFill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33" fillId="0" borderId="0" applyNumberFormat="0" applyFill="0" applyBorder="0" applyAlignment="0" applyProtection="0">
      <alignment vertical="top"/>
      <protection locked="0"/>
    </xf>
    <xf numFmtId="0" fontId="24" fillId="7" borderId="0" applyNumberFormat="0" applyBorder="0" applyAlignment="0" applyProtection="0"/>
    <xf numFmtId="0" fontId="24" fillId="7" borderId="0" applyNumberFormat="0" applyBorder="0" applyAlignment="0" applyProtection="0"/>
    <xf numFmtId="0" fontId="24" fillId="7" borderId="0" applyNumberFormat="0" applyBorder="0" applyAlignment="0" applyProtection="0"/>
    <xf numFmtId="0" fontId="24" fillId="7" borderId="0" applyNumberFormat="0" applyBorder="0" applyAlignment="0" applyProtection="0"/>
    <xf numFmtId="0" fontId="24" fillId="7" borderId="0" applyNumberFormat="0" applyBorder="0" applyAlignment="0" applyProtection="0"/>
    <xf numFmtId="0" fontId="24" fillId="7" borderId="0" applyNumberFormat="0" applyBorder="0" applyAlignment="0" applyProtection="0"/>
    <xf numFmtId="0" fontId="24" fillId="7" borderId="0" applyNumberFormat="0" applyBorder="0" applyAlignment="0" applyProtection="0"/>
    <xf numFmtId="0" fontId="24" fillId="7" borderId="0" applyNumberFormat="0" applyBorder="0" applyAlignment="0" applyProtection="0"/>
    <xf numFmtId="0" fontId="24" fillId="7" borderId="0" applyNumberFormat="0" applyBorder="0" applyAlignment="0" applyProtection="0"/>
    <xf numFmtId="0" fontId="24" fillId="7" borderId="0" applyNumberFormat="0" applyBorder="0" applyAlignment="0" applyProtection="0"/>
    <xf numFmtId="0" fontId="24" fillId="7" borderId="0" applyNumberFormat="0" applyBorder="0" applyAlignment="0" applyProtection="0"/>
    <xf numFmtId="0" fontId="24" fillId="7" borderId="0" applyNumberFormat="0" applyBorder="0" applyAlignment="0" applyProtection="0"/>
    <xf numFmtId="0" fontId="24" fillId="7" borderId="0" applyNumberFormat="0" applyBorder="0" applyAlignment="0" applyProtection="0"/>
    <xf numFmtId="0" fontId="24" fillId="7" borderId="0" applyNumberFormat="0" applyBorder="0" applyAlignment="0" applyProtection="0"/>
    <xf numFmtId="0" fontId="24" fillId="7" borderId="0" applyNumberFormat="0" applyBorder="0" applyAlignment="0" applyProtection="0"/>
    <xf numFmtId="0" fontId="24" fillId="7" borderId="0" applyNumberFormat="0" applyBorder="0" applyAlignment="0" applyProtection="0"/>
    <xf numFmtId="0" fontId="24" fillId="7" borderId="0" applyNumberFormat="0" applyBorder="0" applyAlignment="0" applyProtection="0"/>
    <xf numFmtId="0" fontId="24" fillId="7" borderId="0" applyNumberFormat="0" applyBorder="0" applyAlignment="0" applyProtection="0"/>
    <xf numFmtId="0" fontId="24" fillId="7" borderId="0" applyNumberFormat="0" applyBorder="0" applyAlignment="0" applyProtection="0"/>
    <xf numFmtId="0" fontId="23" fillId="3" borderId="1" applyNumberFormat="0" applyAlignment="0" applyProtection="0"/>
    <xf numFmtId="0" fontId="23" fillId="3" borderId="1" applyNumberFormat="0" applyAlignment="0" applyProtection="0"/>
    <xf numFmtId="0" fontId="21" fillId="0" borderId="3" applyNumberFormat="0" applyFill="0" applyAlignment="0" applyProtection="0"/>
    <xf numFmtId="0" fontId="21" fillId="0" borderId="3" applyNumberFormat="0" applyFill="0" applyAlignment="0" applyProtection="0"/>
    <xf numFmtId="0" fontId="25" fillId="11" borderId="0" applyNumberFormat="0" applyBorder="0" applyAlignment="0" applyProtection="0"/>
    <xf numFmtId="0" fontId="25" fillId="11" borderId="0" applyNumberFormat="0" applyBorder="0" applyAlignment="0" applyProtection="0"/>
    <xf numFmtId="0" fontId="25" fillId="11" borderId="0" applyNumberFormat="0" applyBorder="0" applyAlignment="0" applyProtection="0"/>
    <xf numFmtId="0" fontId="25" fillId="11" borderId="0" applyNumberFormat="0" applyBorder="0" applyAlignment="0" applyProtection="0"/>
    <xf numFmtId="0" fontId="25" fillId="11" borderId="0" applyNumberFormat="0" applyBorder="0" applyAlignment="0" applyProtection="0"/>
    <xf numFmtId="0" fontId="25" fillId="11" borderId="0" applyNumberFormat="0" applyBorder="0" applyAlignment="0" applyProtection="0"/>
    <xf numFmtId="0" fontId="25" fillId="11" borderId="0" applyNumberFormat="0" applyBorder="0" applyAlignment="0" applyProtection="0"/>
    <xf numFmtId="0" fontId="25" fillId="11" borderId="0" applyNumberFormat="0" applyBorder="0" applyAlignment="0" applyProtection="0"/>
    <xf numFmtId="0" fontId="25" fillId="11" borderId="0" applyNumberFormat="0" applyBorder="0" applyAlignment="0" applyProtection="0"/>
    <xf numFmtId="0" fontId="25" fillId="11" borderId="0" applyNumberFormat="0" applyBorder="0" applyAlignment="0" applyProtection="0"/>
    <xf numFmtId="0" fontId="25" fillId="11" borderId="0" applyNumberFormat="0" applyBorder="0" applyAlignment="0" applyProtection="0"/>
    <xf numFmtId="0" fontId="25" fillId="11" borderId="0" applyNumberFormat="0" applyBorder="0" applyAlignment="0" applyProtection="0"/>
    <xf numFmtId="0" fontId="25" fillId="11" borderId="0" applyNumberFormat="0" applyBorder="0" applyAlignment="0" applyProtection="0"/>
    <xf numFmtId="0" fontId="25" fillId="11" borderId="0" applyNumberFormat="0" applyBorder="0" applyAlignment="0" applyProtection="0"/>
    <xf numFmtId="0" fontId="25" fillId="11" borderId="0" applyNumberFormat="0" applyBorder="0" applyAlignment="0" applyProtection="0"/>
    <xf numFmtId="0" fontId="25" fillId="11" borderId="0" applyNumberFormat="0" applyBorder="0" applyAlignment="0" applyProtection="0"/>
    <xf numFmtId="0" fontId="25" fillId="11" borderId="0" applyNumberFormat="0" applyBorder="0" applyAlignment="0" applyProtection="0"/>
    <xf numFmtId="0" fontId="25" fillId="11" borderId="0" applyNumberFormat="0" applyBorder="0" applyAlignment="0" applyProtection="0"/>
    <xf numFmtId="0" fontId="25" fillId="11" borderId="0" applyNumberForma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15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15" fillId="0" borderId="0"/>
    <xf numFmtId="0" fontId="51" fillId="0" borderId="0"/>
    <xf numFmtId="0" fontId="15" fillId="0" borderId="0"/>
    <xf numFmtId="0" fontId="15" fillId="0" borderId="0"/>
    <xf numFmtId="0" fontId="51" fillId="0" borderId="0"/>
    <xf numFmtId="0" fontId="51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57" fillId="0" borderId="0"/>
    <xf numFmtId="0" fontId="15" fillId="4" borderId="8" applyNumberFormat="0" applyFont="0" applyAlignment="0" applyProtection="0"/>
    <xf numFmtId="0" fontId="15" fillId="4" borderId="8" applyNumberFormat="0" applyFont="0" applyAlignment="0" applyProtection="0"/>
    <xf numFmtId="0" fontId="15" fillId="4" borderId="8" applyNumberFormat="0" applyFont="0" applyAlignment="0" applyProtection="0"/>
    <xf numFmtId="0" fontId="15" fillId="4" borderId="8" applyNumberFormat="0" applyFont="0" applyAlignment="0" applyProtection="0"/>
    <xf numFmtId="0" fontId="15" fillId="4" borderId="8" applyNumberFormat="0" applyFont="0" applyAlignment="0" applyProtection="0"/>
    <xf numFmtId="0" fontId="15" fillId="4" borderId="8" applyNumberFormat="0" applyFont="0" applyAlignment="0" applyProtection="0"/>
    <xf numFmtId="0" fontId="15" fillId="4" borderId="8" applyNumberFormat="0" applyFont="0" applyAlignment="0" applyProtection="0"/>
    <xf numFmtId="0" fontId="15" fillId="4" borderId="8" applyNumberFormat="0" applyFont="0" applyAlignment="0" applyProtection="0"/>
    <xf numFmtId="0" fontId="15" fillId="4" borderId="8" applyNumberFormat="0" applyFont="0" applyAlignment="0" applyProtection="0"/>
    <xf numFmtId="0" fontId="15" fillId="4" borderId="8" applyNumberFormat="0" applyFont="0" applyAlignment="0" applyProtection="0"/>
    <xf numFmtId="0" fontId="15" fillId="4" borderId="8" applyNumberFormat="0" applyFont="0" applyAlignment="0" applyProtection="0"/>
    <xf numFmtId="0" fontId="15" fillId="4" borderId="8" applyNumberFormat="0" applyFont="0" applyAlignment="0" applyProtection="0"/>
    <xf numFmtId="0" fontId="15" fillId="4" borderId="8" applyNumberFormat="0" applyFont="0" applyAlignment="0" applyProtection="0"/>
    <xf numFmtId="0" fontId="15" fillId="4" borderId="8" applyNumberFormat="0" applyFont="0" applyAlignment="0" applyProtection="0"/>
    <xf numFmtId="0" fontId="15" fillId="4" borderId="8" applyNumberFormat="0" applyFont="0" applyAlignment="0" applyProtection="0"/>
    <xf numFmtId="0" fontId="15" fillId="4" borderId="8" applyNumberFormat="0" applyFont="0" applyAlignment="0" applyProtection="0"/>
    <xf numFmtId="0" fontId="15" fillId="4" borderId="8" applyNumberFormat="0" applyFont="0" applyAlignment="0" applyProtection="0"/>
    <xf numFmtId="0" fontId="15" fillId="4" borderId="8" applyNumberFormat="0" applyFont="0" applyAlignment="0" applyProtection="0"/>
    <xf numFmtId="0" fontId="15" fillId="4" borderId="8" applyNumberFormat="0" applyFont="0" applyAlignment="0" applyProtection="0"/>
    <xf numFmtId="0" fontId="51" fillId="4" borderId="9" applyNumberFormat="0" applyFont="0" applyAlignment="0" applyProtection="0"/>
    <xf numFmtId="0" fontId="51" fillId="4" borderId="9" applyNumberFormat="0" applyFont="0" applyAlignment="0" applyProtection="0"/>
    <xf numFmtId="0" fontId="26" fillId="24" borderId="10" applyNumberFormat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0" fontId="26" fillId="2" borderId="10" applyNumberFormat="0" applyAlignment="0" applyProtection="0"/>
    <xf numFmtId="0" fontId="26" fillId="2" borderId="10" applyNumberFormat="0" applyAlignment="0" applyProtection="0"/>
    <xf numFmtId="0" fontId="26" fillId="2" borderId="10" applyNumberFormat="0" applyAlignment="0" applyProtection="0"/>
    <xf numFmtId="0" fontId="26" fillId="2" borderId="10" applyNumberFormat="0" applyAlignment="0" applyProtection="0"/>
    <xf numFmtId="0" fontId="26" fillId="2" borderId="10" applyNumberFormat="0" applyAlignment="0" applyProtection="0"/>
    <xf numFmtId="0" fontId="26" fillId="2" borderId="10" applyNumberFormat="0" applyAlignment="0" applyProtection="0"/>
    <xf numFmtId="0" fontId="26" fillId="2" borderId="10" applyNumberFormat="0" applyAlignment="0" applyProtection="0"/>
    <xf numFmtId="0" fontId="26" fillId="2" borderId="10" applyNumberFormat="0" applyAlignment="0" applyProtection="0"/>
    <xf numFmtId="0" fontId="26" fillId="2" borderId="10" applyNumberFormat="0" applyAlignment="0" applyProtection="0"/>
    <xf numFmtId="0" fontId="26" fillId="2" borderId="10" applyNumberFormat="0" applyAlignment="0" applyProtection="0"/>
    <xf numFmtId="0" fontId="26" fillId="2" borderId="10" applyNumberFormat="0" applyAlignment="0" applyProtection="0"/>
    <xf numFmtId="0" fontId="26" fillId="2" borderId="10" applyNumberFormat="0" applyAlignment="0" applyProtection="0"/>
    <xf numFmtId="0" fontId="26" fillId="2" borderId="10" applyNumberFormat="0" applyAlignment="0" applyProtection="0"/>
    <xf numFmtId="0" fontId="26" fillId="2" borderId="10" applyNumberFormat="0" applyAlignment="0" applyProtection="0"/>
    <xf numFmtId="0" fontId="26" fillId="2" borderId="10" applyNumberFormat="0" applyAlignment="0" applyProtection="0"/>
    <xf numFmtId="0" fontId="26" fillId="2" borderId="10" applyNumberFormat="0" applyAlignment="0" applyProtection="0"/>
    <xf numFmtId="0" fontId="26" fillId="2" borderId="10" applyNumberFormat="0" applyAlignment="0" applyProtection="0"/>
    <xf numFmtId="0" fontId="26" fillId="2" borderId="10" applyNumberFormat="0" applyAlignment="0" applyProtection="0"/>
    <xf numFmtId="0" fontId="26" fillId="2" borderId="10" applyNumberFormat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4" applyNumberFormat="0" applyFill="0" applyAlignment="0" applyProtection="0"/>
    <xf numFmtId="0" fontId="30" fillId="0" borderId="4" applyNumberFormat="0" applyFill="0" applyAlignment="0" applyProtection="0"/>
    <xf numFmtId="0" fontId="30" fillId="0" borderId="4" applyNumberFormat="0" applyFill="0" applyAlignment="0" applyProtection="0"/>
    <xf numFmtId="0" fontId="30" fillId="0" borderId="4" applyNumberFormat="0" applyFill="0" applyAlignment="0" applyProtection="0"/>
    <xf numFmtId="0" fontId="30" fillId="0" borderId="4" applyNumberFormat="0" applyFill="0" applyAlignment="0" applyProtection="0"/>
    <xf numFmtId="0" fontId="30" fillId="0" borderId="4" applyNumberFormat="0" applyFill="0" applyAlignment="0" applyProtection="0"/>
    <xf numFmtId="0" fontId="30" fillId="0" borderId="4" applyNumberFormat="0" applyFill="0" applyAlignment="0" applyProtection="0"/>
    <xf numFmtId="0" fontId="30" fillId="0" borderId="4" applyNumberFormat="0" applyFill="0" applyAlignment="0" applyProtection="0"/>
    <xf numFmtId="0" fontId="30" fillId="0" borderId="4" applyNumberFormat="0" applyFill="0" applyAlignment="0" applyProtection="0"/>
    <xf numFmtId="0" fontId="30" fillId="0" borderId="4" applyNumberFormat="0" applyFill="0" applyAlignment="0" applyProtection="0"/>
    <xf numFmtId="0" fontId="30" fillId="0" borderId="4" applyNumberFormat="0" applyFill="0" applyAlignment="0" applyProtection="0"/>
    <xf numFmtId="0" fontId="30" fillId="0" borderId="4" applyNumberFormat="0" applyFill="0" applyAlignment="0" applyProtection="0"/>
    <xf numFmtId="0" fontId="30" fillId="0" borderId="4" applyNumberFormat="0" applyFill="0" applyAlignment="0" applyProtection="0"/>
    <xf numFmtId="0" fontId="30" fillId="0" borderId="4" applyNumberFormat="0" applyFill="0" applyAlignment="0" applyProtection="0"/>
    <xf numFmtId="0" fontId="30" fillId="0" borderId="4" applyNumberFormat="0" applyFill="0" applyAlignment="0" applyProtection="0"/>
    <xf numFmtId="0" fontId="30" fillId="0" borderId="4" applyNumberFormat="0" applyFill="0" applyAlignment="0" applyProtection="0"/>
    <xf numFmtId="0" fontId="30" fillId="0" borderId="4" applyNumberFormat="0" applyFill="0" applyAlignment="0" applyProtection="0"/>
    <xf numFmtId="0" fontId="30" fillId="0" borderId="4" applyNumberFormat="0" applyFill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1" fillId="0" borderId="6" applyNumberFormat="0" applyFill="0" applyAlignment="0" applyProtection="0"/>
    <xf numFmtId="0" fontId="31" fillId="0" borderId="6" applyNumberFormat="0" applyFill="0" applyAlignment="0" applyProtection="0"/>
    <xf numFmtId="0" fontId="31" fillId="0" borderId="6" applyNumberFormat="0" applyFill="0" applyAlignment="0" applyProtection="0"/>
    <xf numFmtId="0" fontId="31" fillId="0" borderId="6" applyNumberFormat="0" applyFill="0" applyAlignment="0" applyProtection="0"/>
    <xf numFmtId="0" fontId="31" fillId="0" borderId="6" applyNumberFormat="0" applyFill="0" applyAlignment="0" applyProtection="0"/>
    <xf numFmtId="0" fontId="31" fillId="0" borderId="6" applyNumberFormat="0" applyFill="0" applyAlignment="0" applyProtection="0"/>
    <xf numFmtId="0" fontId="31" fillId="0" borderId="6" applyNumberFormat="0" applyFill="0" applyAlignment="0" applyProtection="0"/>
    <xf numFmtId="0" fontId="31" fillId="0" borderId="6" applyNumberFormat="0" applyFill="0" applyAlignment="0" applyProtection="0"/>
    <xf numFmtId="0" fontId="31" fillId="0" borderId="6" applyNumberFormat="0" applyFill="0" applyAlignment="0" applyProtection="0"/>
    <xf numFmtId="0" fontId="31" fillId="0" borderId="6" applyNumberFormat="0" applyFill="0" applyAlignment="0" applyProtection="0"/>
    <xf numFmtId="0" fontId="31" fillId="0" borderId="6" applyNumberFormat="0" applyFill="0" applyAlignment="0" applyProtection="0"/>
    <xf numFmtId="0" fontId="31" fillId="0" borderId="6" applyNumberFormat="0" applyFill="0" applyAlignment="0" applyProtection="0"/>
    <xf numFmtId="0" fontId="31" fillId="0" borderId="6" applyNumberFormat="0" applyFill="0" applyAlignment="0" applyProtection="0"/>
    <xf numFmtId="0" fontId="31" fillId="0" borderId="6" applyNumberFormat="0" applyFill="0" applyAlignment="0" applyProtection="0"/>
    <xf numFmtId="0" fontId="31" fillId="0" borderId="6" applyNumberFormat="0" applyFill="0" applyAlignment="0" applyProtection="0"/>
    <xf numFmtId="0" fontId="31" fillId="0" borderId="6" applyNumberFormat="0" applyFill="0" applyAlignment="0" applyProtection="0"/>
    <xf numFmtId="0" fontId="31" fillId="0" borderId="6" applyNumberFormat="0" applyFill="0" applyAlignment="0" applyProtection="0"/>
    <xf numFmtId="0" fontId="31" fillId="0" borderId="6" applyNumberFormat="0" applyFill="0" applyAlignment="0" applyProtection="0"/>
    <xf numFmtId="0" fontId="31" fillId="0" borderId="6" applyNumberFormat="0" applyFill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2" fillId="0" borderId="12" applyNumberFormat="0" applyFill="0" applyAlignment="0" applyProtection="0"/>
    <xf numFmtId="0" fontId="32" fillId="0" borderId="12" applyNumberFormat="0" applyFill="0" applyAlignment="0" applyProtection="0"/>
    <xf numFmtId="0" fontId="32" fillId="0" borderId="12" applyNumberFormat="0" applyFill="0" applyAlignment="0" applyProtection="0"/>
    <xf numFmtId="0" fontId="32" fillId="0" borderId="12" applyNumberFormat="0" applyFill="0" applyAlignment="0" applyProtection="0"/>
    <xf numFmtId="0" fontId="32" fillId="0" borderId="12" applyNumberFormat="0" applyFill="0" applyAlignment="0" applyProtection="0"/>
    <xf numFmtId="0" fontId="32" fillId="0" borderId="12" applyNumberFormat="0" applyFill="0" applyAlignment="0" applyProtection="0"/>
    <xf numFmtId="0" fontId="32" fillId="0" borderId="12" applyNumberFormat="0" applyFill="0" applyAlignment="0" applyProtection="0"/>
    <xf numFmtId="0" fontId="32" fillId="0" borderId="12" applyNumberFormat="0" applyFill="0" applyAlignment="0" applyProtection="0"/>
    <xf numFmtId="0" fontId="32" fillId="0" borderId="12" applyNumberFormat="0" applyFill="0" applyAlignment="0" applyProtection="0"/>
    <xf numFmtId="0" fontId="32" fillId="0" borderId="12" applyNumberFormat="0" applyFill="0" applyAlignment="0" applyProtection="0"/>
    <xf numFmtId="0" fontId="32" fillId="0" borderId="12" applyNumberFormat="0" applyFill="0" applyAlignment="0" applyProtection="0"/>
    <xf numFmtId="0" fontId="32" fillId="0" borderId="12" applyNumberFormat="0" applyFill="0" applyAlignment="0" applyProtection="0"/>
    <xf numFmtId="0" fontId="32" fillId="0" borderId="12" applyNumberFormat="0" applyFill="0" applyAlignment="0" applyProtection="0"/>
    <xf numFmtId="0" fontId="32" fillId="0" borderId="12" applyNumberFormat="0" applyFill="0" applyAlignment="0" applyProtection="0"/>
    <xf numFmtId="0" fontId="32" fillId="0" borderId="12" applyNumberFormat="0" applyFill="0" applyAlignment="0" applyProtection="0"/>
    <xf numFmtId="0" fontId="32" fillId="0" borderId="12" applyNumberFormat="0" applyFill="0" applyAlignment="0" applyProtection="0"/>
    <xf numFmtId="0" fontId="32" fillId="0" borderId="12" applyNumberFormat="0" applyFill="0" applyAlignment="0" applyProtection="0"/>
    <xf numFmtId="0" fontId="32" fillId="0" borderId="12" applyNumberFormat="0" applyFill="0" applyAlignment="0" applyProtection="0"/>
    <xf numFmtId="0" fontId="32" fillId="0" borderId="12" applyNumberFormat="0" applyFill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4" fillId="0" borderId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4" borderId="8" applyNumberFormat="0" applyFont="0" applyAlignment="0" applyProtection="0"/>
    <xf numFmtId="0" fontId="4" fillId="4" borderId="8" applyNumberFormat="0" applyFont="0" applyAlignment="0" applyProtection="0"/>
    <xf numFmtId="0" fontId="4" fillId="4" borderId="8" applyNumberFormat="0" applyFont="0" applyAlignment="0" applyProtection="0"/>
    <xf numFmtId="0" fontId="4" fillId="4" borderId="8" applyNumberFormat="0" applyFont="0" applyAlignment="0" applyProtection="0"/>
    <xf numFmtId="0" fontId="4" fillId="4" borderId="8" applyNumberFormat="0" applyFont="0" applyAlignment="0" applyProtection="0"/>
    <xf numFmtId="0" fontId="4" fillId="4" borderId="8" applyNumberFormat="0" applyFont="0" applyAlignment="0" applyProtection="0"/>
    <xf numFmtId="0" fontId="4" fillId="4" borderId="8" applyNumberFormat="0" applyFont="0" applyAlignment="0" applyProtection="0"/>
    <xf numFmtId="0" fontId="4" fillId="4" borderId="8" applyNumberFormat="0" applyFont="0" applyAlignment="0" applyProtection="0"/>
    <xf numFmtId="0" fontId="4" fillId="4" borderId="8" applyNumberFormat="0" applyFont="0" applyAlignment="0" applyProtection="0"/>
    <xf numFmtId="0" fontId="4" fillId="4" borderId="8" applyNumberFormat="0" applyFont="0" applyAlignment="0" applyProtection="0"/>
    <xf numFmtId="0" fontId="4" fillId="4" borderId="8" applyNumberFormat="0" applyFont="0" applyAlignment="0" applyProtection="0"/>
    <xf numFmtId="0" fontId="4" fillId="4" borderId="8" applyNumberFormat="0" applyFont="0" applyAlignment="0" applyProtection="0"/>
    <xf numFmtId="0" fontId="4" fillId="4" borderId="8" applyNumberFormat="0" applyFont="0" applyAlignment="0" applyProtection="0"/>
    <xf numFmtId="0" fontId="4" fillId="4" borderId="8" applyNumberFormat="0" applyFont="0" applyAlignment="0" applyProtection="0"/>
    <xf numFmtId="0" fontId="4" fillId="4" borderId="8" applyNumberFormat="0" applyFont="0" applyAlignment="0" applyProtection="0"/>
    <xf numFmtId="0" fontId="4" fillId="4" borderId="8" applyNumberFormat="0" applyFont="0" applyAlignment="0" applyProtection="0"/>
    <xf numFmtId="0" fontId="4" fillId="4" borderId="8" applyNumberFormat="0" applyFont="0" applyAlignment="0" applyProtection="0"/>
    <xf numFmtId="0" fontId="4" fillId="4" borderId="8" applyNumberFormat="0" applyFont="0" applyAlignment="0" applyProtection="0"/>
    <xf numFmtId="0" fontId="4" fillId="4" borderId="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103" fillId="0" borderId="0" applyNumberFormat="0" applyFill="0" applyBorder="0" applyAlignment="0" applyProtection="0"/>
    <xf numFmtId="0" fontId="104" fillId="0" borderId="116" applyNumberFormat="0" applyFill="0" applyAlignment="0" applyProtection="0"/>
    <xf numFmtId="0" fontId="105" fillId="0" borderId="117" applyNumberFormat="0" applyFill="0" applyAlignment="0" applyProtection="0"/>
    <xf numFmtId="0" fontId="106" fillId="0" borderId="118" applyNumberFormat="0" applyFill="0" applyAlignment="0" applyProtection="0"/>
    <xf numFmtId="0" fontId="107" fillId="75" borderId="0" applyNumberFormat="0" applyBorder="0" applyAlignment="0" applyProtection="0"/>
    <xf numFmtId="0" fontId="108" fillId="76" borderId="0" applyNumberFormat="0" applyBorder="0" applyAlignment="0" applyProtection="0"/>
    <xf numFmtId="0" fontId="109" fillId="77" borderId="119" applyNumberFormat="0" applyAlignment="0" applyProtection="0"/>
    <xf numFmtId="0" fontId="110" fillId="77" borderId="120" applyNumberFormat="0" applyAlignment="0" applyProtection="0"/>
    <xf numFmtId="0" fontId="111" fillId="0" borderId="0" applyNumberFormat="0" applyFill="0" applyBorder="0" applyAlignment="0" applyProtection="0"/>
    <xf numFmtId="0" fontId="112" fillId="78" borderId="0" applyNumberFormat="0" applyBorder="0" applyAlignment="0" applyProtection="0"/>
    <xf numFmtId="0" fontId="3" fillId="79" borderId="0" applyNumberFormat="0" applyBorder="0" applyAlignment="0" applyProtection="0"/>
    <xf numFmtId="0" fontId="3" fillId="80" borderId="0" applyNumberFormat="0" applyBorder="0" applyAlignment="0" applyProtection="0"/>
    <xf numFmtId="0" fontId="112" fillId="82" borderId="0" applyNumberFormat="0" applyBorder="0" applyAlignment="0" applyProtection="0"/>
    <xf numFmtId="0" fontId="3" fillId="83" borderId="0" applyNumberFormat="0" applyBorder="0" applyAlignment="0" applyProtection="0"/>
    <xf numFmtId="0" fontId="3" fillId="84" borderId="0" applyNumberFormat="0" applyBorder="0" applyAlignment="0" applyProtection="0"/>
    <xf numFmtId="0" fontId="112" fillId="86" borderId="0" applyNumberFormat="0" applyBorder="0" applyAlignment="0" applyProtection="0"/>
    <xf numFmtId="0" fontId="3" fillId="87" borderId="0" applyNumberFormat="0" applyBorder="0" applyAlignment="0" applyProtection="0"/>
    <xf numFmtId="0" fontId="3" fillId="88" borderId="0" applyNumberFormat="0" applyBorder="0" applyAlignment="0" applyProtection="0"/>
    <xf numFmtId="0" fontId="112" fillId="90" borderId="0" applyNumberFormat="0" applyBorder="0" applyAlignment="0" applyProtection="0"/>
    <xf numFmtId="0" fontId="3" fillId="91" borderId="0" applyNumberFormat="0" applyBorder="0" applyAlignment="0" applyProtection="0"/>
    <xf numFmtId="0" fontId="3" fillId="92" borderId="0" applyNumberFormat="0" applyBorder="0" applyAlignment="0" applyProtection="0"/>
    <xf numFmtId="0" fontId="112" fillId="94" borderId="0" applyNumberFormat="0" applyBorder="0" applyAlignment="0" applyProtection="0"/>
    <xf numFmtId="0" fontId="3" fillId="95" borderId="0" applyNumberFormat="0" applyBorder="0" applyAlignment="0" applyProtection="0"/>
    <xf numFmtId="0" fontId="3" fillId="96" borderId="0" applyNumberFormat="0" applyBorder="0" applyAlignment="0" applyProtection="0"/>
    <xf numFmtId="0" fontId="112" fillId="98" borderId="0" applyNumberFormat="0" applyBorder="0" applyAlignment="0" applyProtection="0"/>
    <xf numFmtId="0" fontId="3" fillId="99" borderId="0" applyNumberFormat="0" applyBorder="0" applyAlignment="0" applyProtection="0"/>
    <xf numFmtId="0" fontId="3" fillId="100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3" fillId="0" borderId="0"/>
    <xf numFmtId="0" fontId="3" fillId="81" borderId="0" applyNumberFormat="0" applyBorder="0" applyAlignment="0" applyProtection="0"/>
    <xf numFmtId="0" fontId="3" fillId="85" borderId="0" applyNumberFormat="0" applyBorder="0" applyAlignment="0" applyProtection="0"/>
    <xf numFmtId="0" fontId="3" fillId="89" borderId="0" applyNumberFormat="0" applyBorder="0" applyAlignment="0" applyProtection="0"/>
    <xf numFmtId="0" fontId="3" fillId="93" borderId="0" applyNumberFormat="0" applyBorder="0" applyAlignment="0" applyProtection="0"/>
    <xf numFmtId="0" fontId="3" fillId="97" borderId="0" applyNumberFormat="0" applyBorder="0" applyAlignment="0" applyProtection="0"/>
    <xf numFmtId="0" fontId="3" fillId="101" borderId="0" applyNumberFormat="0" applyBorder="0" applyAlignment="0" applyProtection="0"/>
    <xf numFmtId="0" fontId="113" fillId="102" borderId="121" applyNumberFormat="0" applyAlignment="0" applyProtection="0"/>
    <xf numFmtId="0" fontId="114" fillId="0" borderId="122" applyNumberFormat="0" applyFill="0" applyAlignment="0" applyProtection="0"/>
    <xf numFmtId="0" fontId="106" fillId="0" borderId="0" applyNumberFormat="0" applyFill="0" applyBorder="0" applyAlignment="0" applyProtection="0"/>
    <xf numFmtId="0" fontId="115" fillId="103" borderId="120" applyNumberFormat="0" applyAlignment="0" applyProtection="0"/>
    <xf numFmtId="0" fontId="116" fillId="104" borderId="0" applyNumberFormat="0" applyBorder="0" applyAlignment="0" applyProtection="0"/>
    <xf numFmtId="0" fontId="3" fillId="105" borderId="123" applyNumberFormat="0" applyFont="0" applyAlignment="0" applyProtection="0"/>
    <xf numFmtId="0" fontId="117" fillId="0" borderId="0" applyNumberFormat="0" applyFill="0" applyBorder="0" applyAlignment="0" applyProtection="0"/>
    <xf numFmtId="0" fontId="86" fillId="0" borderId="124" applyNumberFormat="0" applyFill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2" fillId="79" borderId="0" applyNumberFormat="0" applyBorder="0" applyAlignment="0" applyProtection="0"/>
    <xf numFmtId="0" fontId="2" fillId="80" borderId="0" applyNumberFormat="0" applyBorder="0" applyAlignment="0" applyProtection="0"/>
    <xf numFmtId="0" fontId="2" fillId="83" borderId="0" applyNumberFormat="0" applyBorder="0" applyAlignment="0" applyProtection="0"/>
    <xf numFmtId="0" fontId="2" fillId="84" borderId="0" applyNumberFormat="0" applyBorder="0" applyAlignment="0" applyProtection="0"/>
    <xf numFmtId="0" fontId="2" fillId="87" borderId="0" applyNumberFormat="0" applyBorder="0" applyAlignment="0" applyProtection="0"/>
    <xf numFmtId="0" fontId="2" fillId="88" borderId="0" applyNumberFormat="0" applyBorder="0" applyAlignment="0" applyProtection="0"/>
    <xf numFmtId="0" fontId="2" fillId="91" borderId="0" applyNumberFormat="0" applyBorder="0" applyAlignment="0" applyProtection="0"/>
    <xf numFmtId="0" fontId="2" fillId="92" borderId="0" applyNumberFormat="0" applyBorder="0" applyAlignment="0" applyProtection="0"/>
    <xf numFmtId="0" fontId="2" fillId="95" borderId="0" applyNumberFormat="0" applyBorder="0" applyAlignment="0" applyProtection="0"/>
    <xf numFmtId="0" fontId="2" fillId="96" borderId="0" applyNumberFormat="0" applyBorder="0" applyAlignment="0" applyProtection="0"/>
    <xf numFmtId="0" fontId="2" fillId="99" borderId="0" applyNumberFormat="0" applyBorder="0" applyAlignment="0" applyProtection="0"/>
    <xf numFmtId="0" fontId="2" fillId="100" borderId="0" applyNumberFormat="0" applyBorder="0" applyAlignment="0" applyProtection="0"/>
    <xf numFmtId="0" fontId="2" fillId="0" borderId="0"/>
    <xf numFmtId="0" fontId="2" fillId="81" borderId="0" applyNumberFormat="0" applyBorder="0" applyAlignment="0" applyProtection="0"/>
    <xf numFmtId="0" fontId="2" fillId="85" borderId="0" applyNumberFormat="0" applyBorder="0" applyAlignment="0" applyProtection="0"/>
    <xf numFmtId="0" fontId="2" fillId="89" borderId="0" applyNumberFormat="0" applyBorder="0" applyAlignment="0" applyProtection="0"/>
    <xf numFmtId="0" fontId="2" fillId="93" borderId="0" applyNumberFormat="0" applyBorder="0" applyAlignment="0" applyProtection="0"/>
    <xf numFmtId="0" fontId="2" fillId="97" borderId="0" applyNumberFormat="0" applyBorder="0" applyAlignment="0" applyProtection="0"/>
    <xf numFmtId="0" fontId="2" fillId="101" borderId="0" applyNumberFormat="0" applyBorder="0" applyAlignment="0" applyProtection="0"/>
    <xf numFmtId="0" fontId="2" fillId="105" borderId="123" applyNumberFormat="0" applyFont="0" applyAlignment="0" applyProtection="0"/>
    <xf numFmtId="0" fontId="2" fillId="0" borderId="0"/>
    <xf numFmtId="0" fontId="2" fillId="79" borderId="0" applyNumberFormat="0" applyBorder="0" applyAlignment="0" applyProtection="0"/>
    <xf numFmtId="0" fontId="2" fillId="83" borderId="0" applyNumberFormat="0" applyBorder="0" applyAlignment="0" applyProtection="0"/>
    <xf numFmtId="0" fontId="2" fillId="87" borderId="0" applyNumberFormat="0" applyBorder="0" applyAlignment="0" applyProtection="0"/>
    <xf numFmtId="0" fontId="2" fillId="91" borderId="0" applyNumberFormat="0" applyBorder="0" applyAlignment="0" applyProtection="0"/>
    <xf numFmtId="0" fontId="2" fillId="95" borderId="0" applyNumberFormat="0" applyBorder="0" applyAlignment="0" applyProtection="0"/>
    <xf numFmtId="0" fontId="2" fillId="99" borderId="0" applyNumberFormat="0" applyBorder="0" applyAlignment="0" applyProtection="0"/>
    <xf numFmtId="0" fontId="2" fillId="80" borderId="0" applyNumberFormat="0" applyBorder="0" applyAlignment="0" applyProtection="0"/>
    <xf numFmtId="0" fontId="2" fillId="84" borderId="0" applyNumberFormat="0" applyBorder="0" applyAlignment="0" applyProtection="0"/>
    <xf numFmtId="0" fontId="2" fillId="88" borderId="0" applyNumberFormat="0" applyBorder="0" applyAlignment="0" applyProtection="0"/>
    <xf numFmtId="0" fontId="2" fillId="92" borderId="0" applyNumberFormat="0" applyBorder="0" applyAlignment="0" applyProtection="0"/>
    <xf numFmtId="0" fontId="2" fillId="96" borderId="0" applyNumberFormat="0" applyBorder="0" applyAlignment="0" applyProtection="0"/>
    <xf numFmtId="0" fontId="2" fillId="100" borderId="0" applyNumberFormat="0" applyBorder="0" applyAlignment="0" applyProtection="0"/>
    <xf numFmtId="0" fontId="2" fillId="81" borderId="0" applyNumberFormat="0" applyBorder="0" applyAlignment="0" applyProtection="0"/>
    <xf numFmtId="0" fontId="2" fillId="85" borderId="0" applyNumberFormat="0" applyBorder="0" applyAlignment="0" applyProtection="0"/>
    <xf numFmtId="0" fontId="2" fillId="89" borderId="0" applyNumberFormat="0" applyBorder="0" applyAlignment="0" applyProtection="0"/>
    <xf numFmtId="0" fontId="2" fillId="93" borderId="0" applyNumberFormat="0" applyBorder="0" applyAlignment="0" applyProtection="0"/>
    <xf numFmtId="0" fontId="2" fillId="97" borderId="0" applyNumberFormat="0" applyBorder="0" applyAlignment="0" applyProtection="0"/>
    <xf numFmtId="0" fontId="2" fillId="101" borderId="0" applyNumberFormat="0" applyBorder="0" applyAlignment="0" applyProtection="0"/>
    <xf numFmtId="0" fontId="2" fillId="105" borderId="123" applyNumberFormat="0" applyFont="0" applyAlignment="0" applyProtection="0"/>
    <xf numFmtId="0" fontId="1" fillId="0" borderId="0"/>
    <xf numFmtId="0" fontId="1" fillId="79" borderId="0" applyNumberFormat="0" applyBorder="0" applyAlignment="0" applyProtection="0"/>
    <xf numFmtId="0" fontId="1" fillId="83" borderId="0" applyNumberFormat="0" applyBorder="0" applyAlignment="0" applyProtection="0"/>
    <xf numFmtId="0" fontId="1" fillId="87" borderId="0" applyNumberFormat="0" applyBorder="0" applyAlignment="0" applyProtection="0"/>
    <xf numFmtId="0" fontId="1" fillId="91" borderId="0" applyNumberFormat="0" applyBorder="0" applyAlignment="0" applyProtection="0"/>
    <xf numFmtId="0" fontId="1" fillId="95" borderId="0" applyNumberFormat="0" applyBorder="0" applyAlignment="0" applyProtection="0"/>
    <xf numFmtId="0" fontId="1" fillId="99" borderId="0" applyNumberFormat="0" applyBorder="0" applyAlignment="0" applyProtection="0"/>
    <xf numFmtId="0" fontId="1" fillId="80" borderId="0" applyNumberFormat="0" applyBorder="0" applyAlignment="0" applyProtection="0"/>
    <xf numFmtId="0" fontId="1" fillId="84" borderId="0" applyNumberFormat="0" applyBorder="0" applyAlignment="0" applyProtection="0"/>
    <xf numFmtId="0" fontId="1" fillId="88" borderId="0" applyNumberFormat="0" applyBorder="0" applyAlignment="0" applyProtection="0"/>
    <xf numFmtId="0" fontId="1" fillId="92" borderId="0" applyNumberFormat="0" applyBorder="0" applyAlignment="0" applyProtection="0"/>
    <xf numFmtId="0" fontId="1" fillId="96" borderId="0" applyNumberFormat="0" applyBorder="0" applyAlignment="0" applyProtection="0"/>
    <xf numFmtId="0" fontId="1" fillId="100" borderId="0" applyNumberFormat="0" applyBorder="0" applyAlignment="0" applyProtection="0"/>
    <xf numFmtId="0" fontId="1" fillId="81" borderId="0" applyNumberFormat="0" applyBorder="0" applyAlignment="0" applyProtection="0"/>
    <xf numFmtId="0" fontId="1" fillId="85" borderId="0" applyNumberFormat="0" applyBorder="0" applyAlignment="0" applyProtection="0"/>
    <xf numFmtId="0" fontId="1" fillId="89" borderId="0" applyNumberFormat="0" applyBorder="0" applyAlignment="0" applyProtection="0"/>
    <xf numFmtId="0" fontId="1" fillId="93" borderId="0" applyNumberFormat="0" applyBorder="0" applyAlignment="0" applyProtection="0"/>
    <xf numFmtId="0" fontId="1" fillId="97" borderId="0" applyNumberFormat="0" applyBorder="0" applyAlignment="0" applyProtection="0"/>
    <xf numFmtId="0" fontId="1" fillId="101" borderId="0" applyNumberFormat="0" applyBorder="0" applyAlignment="0" applyProtection="0"/>
    <xf numFmtId="0" fontId="1" fillId="105" borderId="123" applyNumberFormat="0" applyFont="0" applyAlignment="0" applyProtection="0"/>
  </cellStyleXfs>
  <cellXfs count="1318">
    <xf numFmtId="0" fontId="0" fillId="0" borderId="0" xfId="0"/>
    <xf numFmtId="0" fontId="0" fillId="0" borderId="0" xfId="0" applyFill="1" applyAlignment="1">
      <alignment horizontal="center"/>
    </xf>
    <xf numFmtId="0" fontId="11" fillId="0" borderId="16" xfId="696" applyFont="1" applyBorder="1" applyAlignment="1">
      <alignment horizontal="center" vertical="center" wrapText="1"/>
    </xf>
    <xf numFmtId="4" fontId="11" fillId="0" borderId="20" xfId="696" applyNumberFormat="1" applyFont="1" applyBorder="1" applyAlignment="1">
      <alignment horizontal="center" vertical="center" wrapText="1"/>
    </xf>
    <xf numFmtId="0" fontId="14" fillId="0" borderId="0" xfId="0" applyFont="1"/>
    <xf numFmtId="0" fontId="34" fillId="0" borderId="0" xfId="0" applyFont="1" applyAlignment="1">
      <alignment horizontal="center"/>
    </xf>
    <xf numFmtId="0" fontId="35" fillId="0" borderId="0" xfId="0" applyFont="1"/>
    <xf numFmtId="0" fontId="36" fillId="0" borderId="22" xfId="0" applyFont="1" applyBorder="1" applyAlignment="1">
      <alignment horizontal="center"/>
    </xf>
    <xf numFmtId="1" fontId="36" fillId="0" borderId="23" xfId="0" applyNumberFormat="1" applyFont="1" applyBorder="1" applyAlignment="1">
      <alignment horizontal="center"/>
    </xf>
    <xf numFmtId="0" fontId="14" fillId="0" borderId="0" xfId="0" applyFont="1" applyBorder="1"/>
    <xf numFmtId="1" fontId="36" fillId="0" borderId="20" xfId="0" applyNumberFormat="1" applyFont="1" applyBorder="1" applyAlignment="1">
      <alignment horizontal="center"/>
    </xf>
    <xf numFmtId="167" fontId="36" fillId="0" borderId="20" xfId="0" applyNumberFormat="1" applyFont="1" applyBorder="1" applyAlignment="1">
      <alignment horizontal="center"/>
    </xf>
    <xf numFmtId="0" fontId="36" fillId="0" borderId="23" xfId="0" applyFont="1" applyBorder="1" applyAlignment="1">
      <alignment horizontal="center"/>
    </xf>
    <xf numFmtId="0" fontId="36" fillId="0" borderId="0" xfId="0" applyFont="1" applyAlignment="1">
      <alignment horizontal="center"/>
    </xf>
    <xf numFmtId="1" fontId="36" fillId="30" borderId="20" xfId="0" applyNumberFormat="1" applyFont="1" applyFill="1" applyBorder="1" applyAlignment="1">
      <alignment horizontal="center"/>
    </xf>
    <xf numFmtId="168" fontId="36" fillId="30" borderId="20" xfId="0" applyNumberFormat="1" applyFont="1" applyFill="1" applyBorder="1" applyAlignment="1">
      <alignment horizontal="center"/>
    </xf>
    <xf numFmtId="0" fontId="36" fillId="30" borderId="20" xfId="0" applyFont="1" applyFill="1" applyBorder="1" applyAlignment="1">
      <alignment horizontal="center"/>
    </xf>
    <xf numFmtId="1" fontId="36" fillId="31" borderId="23" xfId="0" applyNumberFormat="1" applyFont="1" applyFill="1" applyBorder="1" applyAlignment="1">
      <alignment horizontal="center"/>
    </xf>
    <xf numFmtId="167" fontId="36" fillId="0" borderId="19" xfId="0" applyNumberFormat="1" applyFont="1" applyBorder="1" applyAlignment="1">
      <alignment horizontal="center"/>
    </xf>
    <xf numFmtId="167" fontId="36" fillId="0" borderId="23" xfId="0" applyNumberFormat="1" applyFont="1" applyBorder="1" applyAlignment="1">
      <alignment horizontal="center"/>
    </xf>
    <xf numFmtId="0" fontId="14" fillId="0" borderId="24" xfId="0" applyFont="1" applyBorder="1"/>
    <xf numFmtId="0" fontId="36" fillId="0" borderId="19" xfId="0" applyFont="1" applyBorder="1" applyAlignment="1">
      <alignment horizontal="center"/>
    </xf>
    <xf numFmtId="1" fontId="36" fillId="0" borderId="23" xfId="0" applyNumberFormat="1" applyFont="1" applyFill="1" applyBorder="1" applyAlignment="1">
      <alignment horizontal="center"/>
    </xf>
    <xf numFmtId="0" fontId="14" fillId="0" borderId="25" xfId="0" applyFont="1" applyBorder="1"/>
    <xf numFmtId="0" fontId="14" fillId="32" borderId="26" xfId="0" applyFont="1" applyFill="1" applyBorder="1" applyAlignment="1">
      <alignment horizontal="left" indent="1"/>
    </xf>
    <xf numFmtId="0" fontId="14" fillId="0" borderId="24" xfId="0" applyFont="1" applyBorder="1" applyAlignment="1">
      <alignment horizontal="left" indent="2"/>
    </xf>
    <xf numFmtId="0" fontId="14" fillId="0" borderId="24" xfId="0" applyFont="1" applyBorder="1" applyAlignment="1">
      <alignment horizontal="left" indent="4"/>
    </xf>
    <xf numFmtId="0" fontId="14" fillId="0" borderId="24" xfId="0" applyFont="1" applyFill="1" applyBorder="1" applyAlignment="1">
      <alignment horizontal="left" indent="1"/>
    </xf>
    <xf numFmtId="0" fontId="14" fillId="0" borderId="24" xfId="0" applyFont="1" applyBorder="1" applyAlignment="1">
      <alignment horizontal="left" indent="1"/>
    </xf>
    <xf numFmtId="0" fontId="14" fillId="0" borderId="26" xfId="0" applyFont="1" applyBorder="1" applyAlignment="1">
      <alignment horizontal="left" indent="2"/>
    </xf>
    <xf numFmtId="0" fontId="14" fillId="0" borderId="26" xfId="0" applyFont="1" applyBorder="1" applyAlignment="1">
      <alignment horizontal="left" indent="1"/>
    </xf>
    <xf numFmtId="0" fontId="14" fillId="0" borderId="25" xfId="0" applyFont="1" applyBorder="1" applyAlignment="1">
      <alignment horizontal="left" indent="2"/>
    </xf>
    <xf numFmtId="0" fontId="14" fillId="0" borderId="27" xfId="0" applyFont="1" applyBorder="1" applyAlignment="1">
      <alignment horizontal="left" indent="2"/>
    </xf>
    <xf numFmtId="0" fontId="36" fillId="0" borderId="28" xfId="0" applyFont="1" applyBorder="1" applyAlignment="1">
      <alignment horizontal="center"/>
    </xf>
    <xf numFmtId="1" fontId="36" fillId="0" borderId="19" xfId="0" applyNumberFormat="1" applyFont="1" applyBorder="1" applyAlignment="1">
      <alignment horizontal="center"/>
    </xf>
    <xf numFmtId="1" fontId="36" fillId="30" borderId="29" xfId="0" applyNumberFormat="1" applyFont="1" applyFill="1" applyBorder="1" applyAlignment="1">
      <alignment horizontal="center"/>
    </xf>
    <xf numFmtId="167" fontId="36" fillId="0" borderId="29" xfId="0" applyNumberFormat="1" applyFont="1" applyBorder="1" applyAlignment="1">
      <alignment horizontal="center"/>
    </xf>
    <xf numFmtId="168" fontId="36" fillId="30" borderId="29" xfId="0" applyNumberFormat="1" applyFont="1" applyFill="1" applyBorder="1" applyAlignment="1">
      <alignment horizontal="center"/>
    </xf>
    <xf numFmtId="1" fontId="36" fillId="0" borderId="29" xfId="0" applyNumberFormat="1" applyFont="1" applyBorder="1" applyAlignment="1">
      <alignment horizontal="center"/>
    </xf>
    <xf numFmtId="1" fontId="36" fillId="0" borderId="19" xfId="0" applyNumberFormat="1" applyFont="1" applyFill="1" applyBorder="1" applyAlignment="1">
      <alignment horizontal="center"/>
    </xf>
    <xf numFmtId="0" fontId="36" fillId="30" borderId="29" xfId="0" applyFont="1" applyFill="1" applyBorder="1" applyAlignment="1">
      <alignment horizontal="center"/>
    </xf>
    <xf numFmtId="0" fontId="39" fillId="0" borderId="0" xfId="0" applyFont="1" applyAlignment="1">
      <alignment horizontal="left"/>
    </xf>
    <xf numFmtId="0" fontId="45" fillId="0" borderId="16" xfId="696" applyFont="1" applyFill="1" applyBorder="1" applyAlignment="1">
      <alignment horizontal="left" vertical="center" wrapText="1" indent="1"/>
    </xf>
    <xf numFmtId="0" fontId="5" fillId="0" borderId="20" xfId="0" applyFont="1" applyFill="1" applyBorder="1" applyAlignment="1">
      <alignment horizontal="center"/>
    </xf>
    <xf numFmtId="14" fontId="0" fillId="0" borderId="20" xfId="0" applyNumberFormat="1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53" fillId="0" borderId="0" xfId="0" applyFont="1"/>
    <xf numFmtId="0" fontId="53" fillId="0" borderId="0" xfId="0" applyFont="1" applyFill="1"/>
    <xf numFmtId="0" fontId="55" fillId="0" borderId="0" xfId="0" applyFont="1" applyBorder="1"/>
    <xf numFmtId="0" fontId="0" fillId="0" borderId="35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59" fillId="0" borderId="0" xfId="0" applyFont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58" fillId="0" borderId="0" xfId="0" applyFont="1" applyAlignment="1">
      <alignment vertical="center"/>
    </xf>
    <xf numFmtId="0" fontId="62" fillId="0" borderId="0" xfId="0" applyFont="1" applyAlignment="1">
      <alignment horizontal="left" vertical="center" indent="1"/>
    </xf>
    <xf numFmtId="0" fontId="58" fillId="0" borderId="0" xfId="0" applyFont="1" applyFill="1" applyBorder="1" applyAlignment="1">
      <alignment horizontal="center" vertical="center"/>
    </xf>
    <xf numFmtId="0" fontId="58" fillId="0" borderId="0" xfId="0" applyFont="1" applyFill="1" applyAlignment="1">
      <alignment horizontal="center" vertical="center"/>
    </xf>
    <xf numFmtId="0" fontId="58" fillId="0" borderId="0" xfId="0" applyFont="1" applyBorder="1" applyAlignment="1">
      <alignment horizontal="left" vertical="center" indent="2"/>
    </xf>
    <xf numFmtId="0" fontId="58" fillId="0" borderId="0" xfId="0" applyFont="1" applyAlignment="1">
      <alignment horizontal="left" vertical="center" indent="2"/>
    </xf>
    <xf numFmtId="0" fontId="59" fillId="43" borderId="20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 indent="1"/>
    </xf>
    <xf numFmtId="0" fontId="59" fillId="0" borderId="0" xfId="0" applyFont="1" applyAlignment="1">
      <alignment vertical="center"/>
    </xf>
    <xf numFmtId="0" fontId="58" fillId="0" borderId="0" xfId="0" applyFont="1" applyFill="1" applyBorder="1" applyAlignment="1">
      <alignment horizontal="left" vertical="center" indent="2"/>
    </xf>
    <xf numFmtId="0" fontId="62" fillId="0" borderId="0" xfId="0" applyFont="1" applyAlignment="1">
      <alignment horizontal="left" vertical="center"/>
    </xf>
    <xf numFmtId="0" fontId="62" fillId="0" borderId="0" xfId="0" applyFont="1" applyAlignment="1">
      <alignment vertical="center"/>
    </xf>
    <xf numFmtId="0" fontId="66" fillId="0" borderId="54" xfId="697" applyFont="1" applyFill="1" applyBorder="1" applyAlignment="1">
      <alignment horizontal="center" vertical="center" wrapText="1"/>
    </xf>
    <xf numFmtId="0" fontId="63" fillId="47" borderId="50" xfId="697" applyFont="1" applyFill="1" applyBorder="1" applyAlignment="1">
      <alignment horizontal="center" vertical="center" wrapText="1"/>
    </xf>
    <xf numFmtId="0" fontId="66" fillId="0" borderId="55" xfId="697" applyFont="1" applyFill="1" applyBorder="1" applyAlignment="1">
      <alignment horizontal="center" vertical="center" wrapText="1"/>
    </xf>
    <xf numFmtId="0" fontId="63" fillId="47" borderId="52" xfId="697" applyFont="1" applyFill="1" applyBorder="1" applyAlignment="1">
      <alignment horizontal="center" vertical="center" wrapText="1"/>
    </xf>
    <xf numFmtId="0" fontId="66" fillId="43" borderId="20" xfId="697" applyFont="1" applyFill="1" applyBorder="1" applyAlignment="1">
      <alignment horizontal="center" vertical="center" wrapText="1"/>
    </xf>
    <xf numFmtId="0" fontId="62" fillId="0" borderId="0" xfId="0" applyFont="1" applyFill="1" applyAlignment="1">
      <alignment horizontal="left" vertical="center" indent="1"/>
    </xf>
    <xf numFmtId="0" fontId="58" fillId="0" borderId="0" xfId="0" applyFont="1" applyFill="1" applyAlignment="1">
      <alignment vertical="center"/>
    </xf>
    <xf numFmtId="0" fontId="63" fillId="0" borderId="46" xfId="697" applyFont="1" applyFill="1" applyBorder="1" applyAlignment="1">
      <alignment horizontal="center" wrapText="1"/>
    </xf>
    <xf numFmtId="0" fontId="58" fillId="0" borderId="0" xfId="0" applyFont="1" applyBorder="1" applyAlignment="1">
      <alignment vertical="center"/>
    </xf>
    <xf numFmtId="0" fontId="62" fillId="0" borderId="0" xfId="0" applyFont="1" applyAlignment="1">
      <alignment horizontal="center" vertical="center"/>
    </xf>
    <xf numFmtId="0" fontId="43" fillId="0" borderId="16" xfId="696" applyFont="1" applyFill="1" applyBorder="1" applyAlignment="1">
      <alignment horizontal="center" vertical="center" wrapText="1"/>
    </xf>
    <xf numFmtId="0" fontId="44" fillId="0" borderId="16" xfId="696" applyFont="1" applyFill="1" applyBorder="1" applyAlignment="1">
      <alignment horizontal="center" vertical="center" wrapText="1"/>
    </xf>
    <xf numFmtId="0" fontId="9" fillId="0" borderId="16" xfId="696" applyFont="1" applyBorder="1" applyAlignment="1">
      <alignment horizontal="center" vertical="center" wrapText="1"/>
    </xf>
    <xf numFmtId="0" fontId="44" fillId="0" borderId="16" xfId="696" applyFont="1" applyFill="1" applyBorder="1" applyAlignment="1">
      <alignment horizontal="left" vertical="center" wrapText="1" indent="1"/>
    </xf>
    <xf numFmtId="0" fontId="43" fillId="0" borderId="16" xfId="696" applyFont="1" applyFill="1" applyBorder="1" applyAlignment="1">
      <alignment horizontal="left" vertical="center" wrapText="1" indent="1"/>
    </xf>
    <xf numFmtId="0" fontId="45" fillId="0" borderId="16" xfId="696" applyFont="1" applyFill="1" applyBorder="1" applyAlignment="1">
      <alignment horizontal="center" vertical="center" wrapText="1"/>
    </xf>
    <xf numFmtId="0" fontId="10" fillId="0" borderId="16" xfId="696" applyFont="1" applyBorder="1" applyAlignment="1">
      <alignment horizontal="center" vertical="center" wrapText="1"/>
    </xf>
    <xf numFmtId="0" fontId="43" fillId="0" borderId="20" xfId="696" applyFont="1" applyFill="1" applyBorder="1" applyAlignment="1">
      <alignment horizontal="center" vertical="center" wrapText="1"/>
    </xf>
    <xf numFmtId="0" fontId="46" fillId="0" borderId="16" xfId="696" applyFont="1" applyFill="1" applyBorder="1" applyAlignment="1">
      <alignment horizontal="center" vertical="center" wrapText="1"/>
    </xf>
    <xf numFmtId="4" fontId="11" fillId="0" borderId="16" xfId="696" applyNumberFormat="1" applyFont="1" applyBorder="1" applyAlignment="1">
      <alignment horizontal="center" vertical="center" wrapText="1"/>
    </xf>
    <xf numFmtId="0" fontId="46" fillId="0" borderId="20" xfId="696" applyFont="1" applyFill="1" applyBorder="1" applyAlignment="1">
      <alignment horizontal="center" vertical="center" wrapText="1"/>
    </xf>
    <xf numFmtId="4" fontId="11" fillId="0" borderId="0" xfId="696" applyNumberFormat="1" applyFont="1" applyBorder="1" applyAlignment="1">
      <alignment horizontal="center" vertical="center" wrapText="1"/>
    </xf>
    <xf numFmtId="0" fontId="47" fillId="0" borderId="16" xfId="696" applyFont="1" applyFill="1" applyBorder="1" applyAlignment="1">
      <alignment horizontal="center" vertical="center" wrapText="1"/>
    </xf>
    <xf numFmtId="4" fontId="12" fillId="0" borderId="18" xfId="696" applyNumberFormat="1" applyFont="1" applyBorder="1" applyAlignment="1">
      <alignment horizontal="center" vertical="center" wrapText="1"/>
    </xf>
    <xf numFmtId="0" fontId="47" fillId="0" borderId="20" xfId="696" applyFont="1" applyFill="1" applyBorder="1" applyAlignment="1">
      <alignment horizontal="center" vertical="center" wrapText="1"/>
    </xf>
    <xf numFmtId="0" fontId="12" fillId="0" borderId="16" xfId="696" applyFont="1" applyBorder="1" applyAlignment="1">
      <alignment horizontal="center" vertical="center" wrapText="1"/>
    </xf>
    <xf numFmtId="0" fontId="45" fillId="0" borderId="20" xfId="696" applyFont="1" applyFill="1" applyBorder="1" applyAlignment="1">
      <alignment horizontal="center" vertical="center" wrapText="1"/>
    </xf>
    <xf numFmtId="4" fontId="37" fillId="0" borderId="19" xfId="696" applyNumberFormat="1" applyFont="1" applyBorder="1" applyAlignment="1">
      <alignment horizontal="center" vertical="center" wrapText="1"/>
    </xf>
    <xf numFmtId="4" fontId="11" fillId="0" borderId="19" xfId="696" applyNumberFormat="1" applyFont="1" applyBorder="1" applyAlignment="1">
      <alignment horizontal="center" vertical="center" wrapText="1"/>
    </xf>
    <xf numFmtId="4" fontId="12" fillId="0" borderId="13" xfId="696" applyNumberFormat="1" applyFont="1" applyBorder="1" applyAlignment="1">
      <alignment horizontal="center" vertical="center" wrapText="1"/>
    </xf>
    <xf numFmtId="167" fontId="46" fillId="0" borderId="16" xfId="696" applyNumberFormat="1" applyFont="1" applyFill="1" applyBorder="1" applyAlignment="1">
      <alignment horizontal="center" vertical="center" wrapText="1"/>
    </xf>
    <xf numFmtId="1" fontId="46" fillId="0" borderId="16" xfId="696" applyNumberFormat="1" applyFont="1" applyFill="1" applyBorder="1" applyAlignment="1">
      <alignment horizontal="center" vertical="center" wrapText="1"/>
    </xf>
    <xf numFmtId="0" fontId="45" fillId="0" borderId="21" xfId="696" applyFont="1" applyFill="1" applyBorder="1" applyAlignment="1">
      <alignment horizontal="center" vertical="center" wrapText="1"/>
    </xf>
    <xf numFmtId="2" fontId="46" fillId="0" borderId="16" xfId="696" applyNumberFormat="1" applyFont="1" applyFill="1" applyBorder="1" applyAlignment="1">
      <alignment horizontal="center" vertical="center" wrapText="1"/>
    </xf>
    <xf numFmtId="0" fontId="45" fillId="0" borderId="19" xfId="696" applyFont="1" applyFill="1" applyBorder="1" applyAlignment="1">
      <alignment horizontal="center" vertical="center" wrapText="1"/>
    </xf>
    <xf numFmtId="0" fontId="45" fillId="0" borderId="33" xfId="696" applyFont="1" applyFill="1" applyBorder="1" applyAlignment="1">
      <alignment horizontal="center" vertical="center" wrapText="1"/>
    </xf>
    <xf numFmtId="0" fontId="11" fillId="0" borderId="19" xfId="696" applyFont="1" applyBorder="1" applyAlignment="1">
      <alignment horizontal="center" vertical="center" wrapText="1"/>
    </xf>
    <xf numFmtId="0" fontId="45" fillId="0" borderId="28" xfId="696" applyFont="1" applyFill="1" applyBorder="1" applyAlignment="1">
      <alignment horizontal="center" vertical="center" wrapText="1"/>
    </xf>
    <xf numFmtId="0" fontId="45" fillId="0" borderId="29" xfId="696" applyFont="1" applyFill="1" applyBorder="1" applyAlignment="1">
      <alignment horizontal="center" vertical="center" wrapText="1"/>
    </xf>
    <xf numFmtId="164" fontId="13" fillId="0" borderId="13" xfId="696" applyNumberFormat="1" applyFont="1" applyBorder="1" applyAlignment="1">
      <alignment horizontal="center" vertical="center" wrapText="1"/>
    </xf>
    <xf numFmtId="0" fontId="42" fillId="0" borderId="16" xfId="696" applyFont="1" applyFill="1" applyBorder="1" applyAlignment="1">
      <alignment horizontal="left" vertical="center" wrapText="1" indent="1"/>
    </xf>
    <xf numFmtId="0" fontId="45" fillId="0" borderId="20" xfId="696" applyFont="1" applyFill="1" applyBorder="1" applyAlignment="1">
      <alignment horizontal="left" vertical="center" wrapText="1" indent="1"/>
    </xf>
    <xf numFmtId="0" fontId="45" fillId="0" borderId="21" xfId="696" applyFont="1" applyFill="1" applyBorder="1" applyAlignment="1">
      <alignment horizontal="left" vertical="center" wrapText="1" indent="1"/>
    </xf>
    <xf numFmtId="0" fontId="45" fillId="0" borderId="19" xfId="696" applyFont="1" applyFill="1" applyBorder="1" applyAlignment="1">
      <alignment horizontal="left" vertical="center" wrapText="1" indent="1"/>
    </xf>
    <xf numFmtId="0" fontId="45" fillId="0" borderId="33" xfId="696" applyFont="1" applyFill="1" applyBorder="1" applyAlignment="1">
      <alignment horizontal="left" vertical="center" wrapText="1" indent="1"/>
    </xf>
    <xf numFmtId="0" fontId="42" fillId="0" borderId="29" xfId="696" applyFont="1" applyFill="1" applyBorder="1" applyAlignment="1">
      <alignment horizontal="left" vertical="center" wrapText="1" indent="1"/>
    </xf>
    <xf numFmtId="0" fontId="45" fillId="47" borderId="16" xfId="696" applyFont="1" applyFill="1" applyBorder="1" applyAlignment="1">
      <alignment horizontal="center" vertical="center" wrapText="1"/>
    </xf>
    <xf numFmtId="0" fontId="45" fillId="47" borderId="16" xfId="696" applyFont="1" applyFill="1" applyBorder="1" applyAlignment="1">
      <alignment horizontal="left" vertical="center" wrapText="1" indent="1"/>
    </xf>
    <xf numFmtId="166" fontId="46" fillId="0" borderId="20" xfId="696" applyNumberFormat="1" applyFont="1" applyFill="1" applyBorder="1" applyAlignment="1">
      <alignment horizontal="center" vertical="center" wrapText="1"/>
    </xf>
    <xf numFmtId="0" fontId="46" fillId="47" borderId="16" xfId="696" applyFont="1" applyFill="1" applyBorder="1" applyAlignment="1">
      <alignment horizontal="left" vertical="center" wrapText="1" indent="1"/>
    </xf>
    <xf numFmtId="0" fontId="38" fillId="0" borderId="64" xfId="696" applyFont="1" applyBorder="1" applyAlignment="1">
      <alignment horizontal="left" vertical="center" wrapText="1"/>
    </xf>
    <xf numFmtId="0" fontId="38" fillId="0" borderId="29" xfId="696" applyFont="1" applyBorder="1" applyAlignment="1">
      <alignment horizontal="left" vertical="center" wrapText="1"/>
    </xf>
    <xf numFmtId="0" fontId="16" fillId="0" borderId="0" xfId="696" applyFill="1" applyAlignment="1">
      <alignment vertical="center" wrapText="1"/>
    </xf>
    <xf numFmtId="0" fontId="16" fillId="0" borderId="0" xfId="696" applyAlignment="1">
      <alignment vertical="center" wrapText="1"/>
    </xf>
    <xf numFmtId="0" fontId="41" fillId="0" borderId="64" xfId="696" applyFont="1" applyFill="1" applyBorder="1" applyAlignment="1">
      <alignment vertical="center" wrapText="1"/>
    </xf>
    <xf numFmtId="0" fontId="16" fillId="0" borderId="0" xfId="696" applyAlignment="1">
      <alignment horizontal="left" vertical="center" wrapText="1"/>
    </xf>
    <xf numFmtId="0" fontId="41" fillId="0" borderId="0" xfId="696" applyFont="1" applyFill="1" applyAlignment="1">
      <alignment vertical="center" wrapText="1"/>
    </xf>
    <xf numFmtId="0" fontId="27" fillId="0" borderId="0" xfId="696" applyFont="1" applyAlignment="1">
      <alignment vertical="center" wrapText="1"/>
    </xf>
    <xf numFmtId="0" fontId="41" fillId="0" borderId="0" xfId="696" applyFont="1" applyFill="1" applyAlignment="1">
      <alignment wrapText="1"/>
    </xf>
    <xf numFmtId="0" fontId="16" fillId="0" borderId="0" xfId="696" applyAlignment="1">
      <alignment wrapText="1"/>
    </xf>
    <xf numFmtId="0" fontId="38" fillId="0" borderId="64" xfId="696" applyFont="1" applyBorder="1" applyAlignment="1">
      <alignment horizontal="left" vertical="center" wrapText="1" indent="1"/>
    </xf>
    <xf numFmtId="0" fontId="41" fillId="0" borderId="64" xfId="696" applyFont="1" applyFill="1" applyBorder="1" applyAlignment="1">
      <alignment horizontal="left" vertical="center" wrapText="1" indent="1"/>
    </xf>
    <xf numFmtId="0" fontId="41" fillId="0" borderId="0" xfId="696" applyFont="1" applyFill="1" applyAlignment="1">
      <alignment horizontal="left" vertical="center" wrapText="1" indent="1"/>
    </xf>
    <xf numFmtId="0" fontId="41" fillId="0" borderId="0" xfId="696" applyFont="1" applyFill="1" applyAlignment="1">
      <alignment horizontal="left" vertical="center" wrapText="1" indent="2"/>
    </xf>
    <xf numFmtId="0" fontId="41" fillId="0" borderId="0" xfId="696" applyFont="1" applyFill="1" applyAlignment="1">
      <alignment horizontal="left" wrapText="1" indent="2"/>
    </xf>
    <xf numFmtId="0" fontId="42" fillId="54" borderId="88" xfId="696" applyFont="1" applyFill="1" applyBorder="1" applyAlignment="1">
      <alignment horizontal="center" vertical="center" wrapText="1"/>
    </xf>
    <xf numFmtId="0" fontId="42" fillId="54" borderId="88" xfId="696" applyFont="1" applyFill="1" applyBorder="1" applyAlignment="1">
      <alignment horizontal="left" vertical="center" wrapText="1" indent="1"/>
    </xf>
    <xf numFmtId="0" fontId="8" fillId="54" borderId="15" xfId="696" applyFont="1" applyFill="1" applyBorder="1" applyAlignment="1">
      <alignment horizontal="center" vertical="center" wrapText="1"/>
    </xf>
    <xf numFmtId="0" fontId="42" fillId="54" borderId="15" xfId="696" applyFont="1" applyFill="1" applyBorder="1" applyAlignment="1">
      <alignment horizontal="center" vertical="center" wrapText="1"/>
    </xf>
    <xf numFmtId="0" fontId="46" fillId="47" borderId="20" xfId="696" applyFont="1" applyFill="1" applyBorder="1" applyAlignment="1">
      <alignment horizontal="center" vertical="center" wrapText="1"/>
    </xf>
    <xf numFmtId="1" fontId="46" fillId="47" borderId="16" xfId="696" applyNumberFormat="1" applyFont="1" applyFill="1" applyBorder="1" applyAlignment="1">
      <alignment horizontal="center" vertical="center" wrapText="1"/>
    </xf>
    <xf numFmtId="1" fontId="46" fillId="52" borderId="16" xfId="696" applyNumberFormat="1" applyFont="1" applyFill="1" applyBorder="1" applyAlignment="1">
      <alignment horizontal="center" vertical="center" wrapText="1"/>
    </xf>
    <xf numFmtId="0" fontId="11" fillId="0" borderId="29" xfId="696" applyFont="1" applyBorder="1" applyAlignment="1">
      <alignment horizontal="center" vertical="center" wrapText="1"/>
    </xf>
    <xf numFmtId="1" fontId="46" fillId="0" borderId="29" xfId="696" applyNumberFormat="1" applyFont="1" applyFill="1" applyBorder="1" applyAlignment="1">
      <alignment horizontal="center" vertical="center" wrapText="1"/>
    </xf>
    <xf numFmtId="0" fontId="45" fillId="0" borderId="29" xfId="696" applyFont="1" applyFill="1" applyBorder="1" applyAlignment="1">
      <alignment horizontal="left" vertical="center" wrapText="1" indent="1"/>
    </xf>
    <xf numFmtId="4" fontId="11" fillId="0" borderId="29" xfId="696" applyNumberFormat="1" applyFont="1" applyBorder="1" applyAlignment="1">
      <alignment horizontal="center" vertical="center" wrapText="1"/>
    </xf>
    <xf numFmtId="167" fontId="46" fillId="0" borderId="29" xfId="696" applyNumberFormat="1" applyFont="1" applyFill="1" applyBorder="1" applyAlignment="1">
      <alignment horizontal="center" vertical="center" wrapText="1"/>
    </xf>
    <xf numFmtId="4" fontId="12" fillId="0" borderId="90" xfId="696" applyNumberFormat="1" applyFont="1" applyBorder="1" applyAlignment="1">
      <alignment horizontal="center" vertical="center" wrapText="1"/>
    </xf>
    <xf numFmtId="0" fontId="43" fillId="0" borderId="29" xfId="696" applyFont="1" applyFill="1" applyBorder="1" applyAlignment="1">
      <alignment horizontal="left" vertical="center" wrapText="1" indent="1"/>
    </xf>
    <xf numFmtId="0" fontId="46" fillId="52" borderId="20" xfId="696" applyFont="1" applyFill="1" applyBorder="1" applyAlignment="1">
      <alignment horizontal="center" vertical="center" wrapText="1"/>
    </xf>
    <xf numFmtId="0" fontId="46" fillId="47" borderId="16" xfId="696" applyFont="1" applyFill="1" applyBorder="1" applyAlignment="1">
      <alignment horizontal="center" vertical="center" wrapText="1"/>
    </xf>
    <xf numFmtId="0" fontId="58" fillId="0" borderId="0" xfId="0" applyFont="1" applyBorder="1" applyAlignment="1">
      <alignment horizontal="center" vertical="center"/>
    </xf>
    <xf numFmtId="166" fontId="36" fillId="0" borderId="23" xfId="0" applyNumberFormat="1" applyFont="1" applyBorder="1" applyAlignment="1">
      <alignment horizontal="center"/>
    </xf>
    <xf numFmtId="0" fontId="16" fillId="0" borderId="0" xfId="696" applyAlignment="1">
      <alignment horizontal="left" vertical="center" wrapText="1" indent="1"/>
    </xf>
    <xf numFmtId="0" fontId="16" fillId="0" borderId="0" xfId="696" applyAlignment="1">
      <alignment horizontal="left" wrapText="1" indent="1"/>
    </xf>
    <xf numFmtId="0" fontId="0" fillId="53" borderId="0" xfId="0" applyFill="1" applyAlignment="1">
      <alignment horizontal="center"/>
    </xf>
    <xf numFmtId="0" fontId="78" fillId="51" borderId="69" xfId="798" applyFont="1" applyFill="1" applyBorder="1" applyAlignment="1">
      <alignment horizontal="center" vertical="center"/>
    </xf>
    <xf numFmtId="0" fontId="79" fillId="51" borderId="70" xfId="0" applyFont="1" applyFill="1" applyBorder="1" applyAlignment="1">
      <alignment horizontal="center" vertical="center"/>
    </xf>
    <xf numFmtId="0" fontId="79" fillId="0" borderId="0" xfId="0" applyFont="1" applyFill="1" applyBorder="1" applyAlignment="1">
      <alignment horizontal="center" vertical="center"/>
    </xf>
    <xf numFmtId="0" fontId="78" fillId="51" borderId="34" xfId="798" applyFont="1" applyFill="1" applyBorder="1" applyAlignment="1">
      <alignment horizontal="center" vertical="center"/>
    </xf>
    <xf numFmtId="0" fontId="79" fillId="51" borderId="39" xfId="0" applyFont="1" applyFill="1" applyBorder="1" applyAlignment="1">
      <alignment horizontal="center" vertical="center"/>
    </xf>
    <xf numFmtId="0" fontId="79" fillId="0" borderId="0" xfId="0" applyFont="1" applyAlignment="1" applyProtection="1">
      <alignment horizontal="center" vertical="center" wrapText="1"/>
      <protection locked="0"/>
    </xf>
    <xf numFmtId="169" fontId="79" fillId="35" borderId="13" xfId="0" applyNumberFormat="1" applyFont="1" applyFill="1" applyBorder="1" applyAlignment="1" applyProtection="1">
      <alignment horizontal="center" vertical="center" wrapText="1"/>
      <protection locked="0"/>
    </xf>
    <xf numFmtId="0" fontId="79" fillId="35" borderId="13" xfId="0" applyFont="1" applyFill="1" applyBorder="1" applyAlignment="1" applyProtection="1">
      <alignment horizontal="center" vertical="center"/>
      <protection locked="0"/>
    </xf>
    <xf numFmtId="166" fontId="79" fillId="35" borderId="39" xfId="0" applyNumberFormat="1" applyFont="1" applyFill="1" applyBorder="1" applyAlignment="1" applyProtection="1">
      <alignment horizontal="center" vertical="center" wrapText="1"/>
      <protection locked="0"/>
    </xf>
    <xf numFmtId="166" fontId="79" fillId="35" borderId="13" xfId="0" applyNumberFormat="1" applyFont="1" applyFill="1" applyBorder="1" applyAlignment="1" applyProtection="1">
      <alignment horizontal="center" vertical="center" wrapText="1"/>
      <protection locked="0"/>
    </xf>
    <xf numFmtId="1" fontId="79" fillId="35" borderId="13" xfId="0" applyNumberFormat="1" applyFont="1" applyFill="1" applyBorder="1" applyAlignment="1" applyProtection="1">
      <alignment horizontal="center" vertical="center" wrapText="1"/>
      <protection locked="0"/>
    </xf>
    <xf numFmtId="1" fontId="79" fillId="35" borderId="13" xfId="0" applyNumberFormat="1" applyFont="1" applyFill="1" applyBorder="1" applyAlignment="1" applyProtection="1">
      <alignment horizontal="center" vertical="center"/>
      <protection locked="0"/>
    </xf>
    <xf numFmtId="172" fontId="79" fillId="35" borderId="13" xfId="0" applyNumberFormat="1" applyFont="1" applyFill="1" applyBorder="1" applyAlignment="1" applyProtection="1">
      <alignment horizontal="center" vertical="center" wrapText="1"/>
      <protection locked="0"/>
    </xf>
    <xf numFmtId="0" fontId="79" fillId="35" borderId="13" xfId="0" applyFont="1" applyFill="1" applyBorder="1" applyAlignment="1" applyProtection="1">
      <alignment horizontal="center" vertical="center" wrapText="1"/>
      <protection locked="0"/>
    </xf>
    <xf numFmtId="0" fontId="79" fillId="35" borderId="13" xfId="0" applyFont="1" applyFill="1" applyBorder="1" applyAlignment="1" applyProtection="1">
      <alignment horizontal="center" vertical="center" wrapText="1" shrinkToFit="1"/>
      <protection locked="0"/>
    </xf>
    <xf numFmtId="0" fontId="79" fillId="38" borderId="13" xfId="0" applyFont="1" applyFill="1" applyBorder="1" applyAlignment="1" applyProtection="1">
      <alignment horizontal="center"/>
      <protection locked="0"/>
    </xf>
    <xf numFmtId="0" fontId="79" fillId="0" borderId="70" xfId="0" applyFont="1" applyFill="1" applyBorder="1" applyAlignment="1">
      <alignment horizontal="center" vertical="center"/>
    </xf>
    <xf numFmtId="0" fontId="79" fillId="51" borderId="40" xfId="0" applyFont="1" applyFill="1" applyBorder="1" applyAlignment="1">
      <alignment horizontal="center" vertical="center"/>
    </xf>
    <xf numFmtId="0" fontId="81" fillId="0" borderId="0" xfId="0" applyFont="1" applyFill="1" applyAlignment="1">
      <alignment horizontal="center"/>
    </xf>
    <xf numFmtId="0" fontId="79" fillId="36" borderId="13" xfId="0" applyFont="1" applyFill="1" applyBorder="1" applyAlignment="1" applyProtection="1">
      <alignment horizontal="center" vertical="center" wrapText="1"/>
      <protection locked="0"/>
    </xf>
    <xf numFmtId="0" fontId="79" fillId="36" borderId="13" xfId="0" applyFont="1" applyFill="1" applyBorder="1" applyAlignment="1" applyProtection="1">
      <alignment horizontal="center" vertical="center"/>
      <protection locked="0"/>
    </xf>
    <xf numFmtId="166" fontId="79" fillId="36" borderId="39" xfId="0" applyNumberFormat="1" applyFont="1" applyFill="1" applyBorder="1" applyAlignment="1" applyProtection="1">
      <alignment horizontal="center" vertical="center" wrapText="1"/>
      <protection locked="0"/>
    </xf>
    <xf numFmtId="166" fontId="79" fillId="36" borderId="13" xfId="0" applyNumberFormat="1" applyFont="1" applyFill="1" applyBorder="1" applyAlignment="1" applyProtection="1">
      <alignment horizontal="center" vertical="center" wrapText="1"/>
      <protection locked="0"/>
    </xf>
    <xf numFmtId="3" fontId="79" fillId="36" borderId="13" xfId="0" applyNumberFormat="1" applyFont="1" applyFill="1" applyBorder="1" applyAlignment="1" applyProtection="1">
      <alignment horizontal="center" vertical="center" wrapText="1"/>
      <protection locked="0"/>
    </xf>
    <xf numFmtId="0" fontId="79" fillId="36" borderId="13" xfId="0" applyFont="1" applyFill="1" applyBorder="1" applyAlignment="1" applyProtection="1">
      <alignment horizontal="center" vertical="center" wrapText="1" shrinkToFit="1"/>
      <protection locked="0"/>
    </xf>
    <xf numFmtId="0" fontId="11" fillId="0" borderId="24" xfId="0" applyFont="1" applyBorder="1" applyAlignment="1">
      <alignment horizontal="left" indent="2"/>
    </xf>
    <xf numFmtId="0" fontId="16" fillId="0" borderId="0" xfId="696" applyFill="1" applyAlignment="1" applyProtection="1">
      <alignment vertical="center" wrapText="1"/>
      <protection locked="0"/>
    </xf>
    <xf numFmtId="0" fontId="41" fillId="0" borderId="0" xfId="696" applyFont="1" applyFill="1" applyAlignment="1" applyProtection="1">
      <alignment vertical="center" wrapText="1"/>
      <protection locked="0"/>
    </xf>
    <xf numFmtId="0" fontId="42" fillId="54" borderId="15" xfId="696" applyFont="1" applyFill="1" applyBorder="1" applyAlignment="1" applyProtection="1">
      <alignment horizontal="center" vertical="center" wrapText="1"/>
      <protection locked="0"/>
    </xf>
    <xf numFmtId="0" fontId="44" fillId="0" borderId="16" xfId="696" applyFont="1" applyFill="1" applyBorder="1" applyAlignment="1" applyProtection="1">
      <alignment horizontal="center" vertical="center" wrapText="1"/>
      <protection locked="0"/>
    </xf>
    <xf numFmtId="0" fontId="43" fillId="0" borderId="16" xfId="696" applyFont="1" applyFill="1" applyBorder="1" applyAlignment="1" applyProtection="1">
      <alignment horizontal="center" vertical="center" wrapText="1"/>
      <protection locked="0"/>
    </xf>
    <xf numFmtId="0" fontId="45" fillId="0" borderId="16" xfId="696" applyFont="1" applyFill="1" applyBorder="1" applyAlignment="1" applyProtection="1">
      <alignment horizontal="center" vertical="center" wrapText="1"/>
      <protection locked="0"/>
    </xf>
    <xf numFmtId="0" fontId="43" fillId="0" borderId="20" xfId="696" applyFont="1" applyFill="1" applyBorder="1" applyAlignment="1" applyProtection="1">
      <alignment horizontal="center" vertical="center" wrapText="1"/>
      <protection locked="0"/>
    </xf>
    <xf numFmtId="0" fontId="46" fillId="0" borderId="20" xfId="696" applyFont="1" applyFill="1" applyBorder="1" applyAlignment="1" applyProtection="1">
      <alignment horizontal="center" vertical="center" wrapText="1"/>
      <protection locked="0"/>
    </xf>
    <xf numFmtId="0" fontId="47" fillId="0" borderId="20" xfId="696" applyFont="1" applyFill="1" applyBorder="1" applyAlignment="1" applyProtection="1">
      <alignment horizontal="center" vertical="center" wrapText="1"/>
      <protection locked="0"/>
    </xf>
    <xf numFmtId="0" fontId="47" fillId="0" borderId="16" xfId="696" applyFont="1" applyFill="1" applyBorder="1" applyAlignment="1" applyProtection="1">
      <alignment horizontal="center" vertical="center" wrapText="1"/>
      <protection locked="0"/>
    </xf>
    <xf numFmtId="0" fontId="46" fillId="0" borderId="16" xfId="696" applyFont="1" applyFill="1" applyBorder="1" applyAlignment="1" applyProtection="1">
      <alignment horizontal="center" vertical="center" wrapText="1"/>
      <protection locked="0"/>
    </xf>
    <xf numFmtId="0" fontId="46" fillId="47" borderId="20" xfId="696" applyFont="1" applyFill="1" applyBorder="1" applyAlignment="1" applyProtection="1">
      <alignment horizontal="center" vertical="center" wrapText="1"/>
      <protection locked="0"/>
    </xf>
    <xf numFmtId="166" fontId="46" fillId="0" borderId="20" xfId="696" applyNumberFormat="1" applyFont="1" applyFill="1" applyBorder="1" applyAlignment="1" applyProtection="1">
      <alignment horizontal="center" vertical="center" wrapText="1"/>
      <protection locked="0"/>
    </xf>
    <xf numFmtId="167" fontId="46" fillId="0" borderId="16" xfId="696" applyNumberFormat="1" applyFont="1" applyFill="1" applyBorder="1" applyAlignment="1" applyProtection="1">
      <alignment horizontal="center" vertical="center" wrapText="1"/>
      <protection locked="0"/>
    </xf>
    <xf numFmtId="1" fontId="46" fillId="0" borderId="16" xfId="696" applyNumberFormat="1" applyFont="1" applyFill="1" applyBorder="1" applyAlignment="1" applyProtection="1">
      <alignment horizontal="center" vertical="center" wrapText="1"/>
      <protection locked="0"/>
    </xf>
    <xf numFmtId="1" fontId="46" fillId="47" borderId="16" xfId="696" applyNumberFormat="1" applyFont="1" applyFill="1" applyBorder="1" applyAlignment="1" applyProtection="1">
      <alignment horizontal="center" vertical="center" wrapText="1"/>
      <protection locked="0"/>
    </xf>
    <xf numFmtId="1" fontId="46" fillId="0" borderId="29" xfId="696" applyNumberFormat="1" applyFont="1" applyFill="1" applyBorder="1" applyAlignment="1" applyProtection="1">
      <alignment horizontal="center" vertical="center" wrapText="1"/>
      <protection locked="0"/>
    </xf>
    <xf numFmtId="167" fontId="46" fillId="0" borderId="29" xfId="696" applyNumberFormat="1" applyFont="1" applyFill="1" applyBorder="1" applyAlignment="1" applyProtection="1">
      <alignment horizontal="center" vertical="center" wrapText="1"/>
      <protection locked="0"/>
    </xf>
    <xf numFmtId="0" fontId="41" fillId="0" borderId="0" xfId="696" applyFont="1" applyFill="1" applyAlignment="1" applyProtection="1">
      <alignment wrapText="1"/>
      <protection locked="0"/>
    </xf>
    <xf numFmtId="0" fontId="84" fillId="47" borderId="52" xfId="697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5" fillId="55" borderId="76" xfId="0" applyFont="1" applyFill="1" applyBorder="1" applyAlignment="1">
      <alignment horizontal="center" vertical="center"/>
    </xf>
    <xf numFmtId="0" fontId="85" fillId="56" borderId="81" xfId="0" applyFont="1" applyFill="1" applyBorder="1" applyAlignment="1">
      <alignment horizontal="center" vertical="center" wrapText="1"/>
    </xf>
    <xf numFmtId="0" fontId="0" fillId="57" borderId="35" xfId="0" applyFill="1" applyBorder="1" applyAlignment="1">
      <alignment horizontal="center" vertical="center"/>
    </xf>
    <xf numFmtId="0" fontId="0" fillId="57" borderId="79" xfId="0" applyFill="1" applyBorder="1" applyAlignment="1">
      <alignment horizontal="center" vertical="center"/>
    </xf>
    <xf numFmtId="174" fontId="0" fillId="0" borderId="80" xfId="0" applyNumberFormat="1" applyFill="1" applyBorder="1" applyAlignment="1">
      <alignment horizontal="center" vertical="center"/>
    </xf>
    <xf numFmtId="0" fontId="0" fillId="57" borderId="36" xfId="0" applyFill="1" applyBorder="1" applyAlignment="1">
      <alignment horizontal="center" vertical="center"/>
    </xf>
    <xf numFmtId="174" fontId="0" fillId="0" borderId="82" xfId="0" applyNumberFormat="1" applyFill="1" applyBorder="1" applyAlignment="1">
      <alignment horizontal="center" vertical="center"/>
    </xf>
    <xf numFmtId="14" fontId="0" fillId="0" borderId="80" xfId="0" applyNumberFormat="1" applyBorder="1" applyAlignment="1">
      <alignment horizontal="center" vertical="center"/>
    </xf>
    <xf numFmtId="0" fontId="0" fillId="57" borderId="37" xfId="0" applyFill="1" applyBorder="1" applyAlignment="1">
      <alignment horizontal="center" vertical="center"/>
    </xf>
    <xf numFmtId="0" fontId="0" fillId="57" borderId="20" xfId="0" applyFill="1" applyBorder="1" applyAlignment="1">
      <alignment horizontal="center" vertical="center"/>
    </xf>
    <xf numFmtId="174" fontId="0" fillId="0" borderId="71" xfId="0" applyNumberFormat="1" applyFill="1" applyBorder="1" applyAlignment="1">
      <alignment horizontal="center" vertical="center"/>
    </xf>
    <xf numFmtId="0" fontId="0" fillId="57" borderId="29" xfId="0" applyFill="1" applyBorder="1" applyAlignment="1">
      <alignment horizontal="center" vertical="center"/>
    </xf>
    <xf numFmtId="174" fontId="0" fillId="0" borderId="26" xfId="0" applyNumberFormat="1" applyFill="1" applyBorder="1" applyAlignment="1">
      <alignment horizontal="center" vertical="center"/>
    </xf>
    <xf numFmtId="14" fontId="0" fillId="0" borderId="71" xfId="0" applyNumberFormat="1" applyBorder="1" applyAlignment="1">
      <alignment horizontal="center" vertical="center"/>
    </xf>
    <xf numFmtId="174" fontId="0" fillId="0" borderId="93" xfId="0" applyNumberFormat="1" applyFill="1" applyBorder="1" applyAlignment="1">
      <alignment horizontal="center" vertical="center"/>
    </xf>
    <xf numFmtId="174" fontId="86" fillId="58" borderId="35" xfId="0" applyNumberFormat="1" applyFont="1" applyFill="1" applyBorder="1" applyAlignment="1">
      <alignment horizontal="center" vertical="center"/>
    </xf>
    <xf numFmtId="175" fontId="86" fillId="58" borderId="79" xfId="0" applyNumberFormat="1" applyFont="1" applyFill="1" applyBorder="1" applyAlignment="1">
      <alignment horizontal="center" vertical="center"/>
    </xf>
    <xf numFmtId="0" fontId="86" fillId="58" borderId="80" xfId="0" applyFont="1" applyFill="1" applyBorder="1" applyAlignment="1">
      <alignment horizontal="center" vertical="center"/>
    </xf>
    <xf numFmtId="0" fontId="86" fillId="58" borderId="83" xfId="0" applyFont="1" applyFill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174" fontId="0" fillId="0" borderId="97" xfId="0" applyNumberFormat="1" applyFill="1" applyBorder="1" applyAlignment="1">
      <alignment horizontal="center" vertical="center"/>
    </xf>
    <xf numFmtId="174" fontId="86" fillId="58" borderId="37" xfId="0" applyNumberFormat="1" applyFont="1" applyFill="1" applyBorder="1" applyAlignment="1">
      <alignment horizontal="center" vertical="center"/>
    </xf>
    <xf numFmtId="175" fontId="86" fillId="58" borderId="20" xfId="0" applyNumberFormat="1" applyFont="1" applyFill="1" applyBorder="1" applyAlignment="1">
      <alignment horizontal="center" vertical="center"/>
    </xf>
    <xf numFmtId="0" fontId="86" fillId="58" borderId="71" xfId="0" applyFont="1" applyFill="1" applyBorder="1" applyAlignment="1">
      <alignment horizontal="center" vertical="center"/>
    </xf>
    <xf numFmtId="0" fontId="86" fillId="58" borderId="64" xfId="0" applyFont="1" applyFill="1" applyBorder="1" applyAlignment="1">
      <alignment horizontal="center" vertical="center"/>
    </xf>
    <xf numFmtId="0" fontId="0" fillId="57" borderId="38" xfId="0" applyFill="1" applyBorder="1" applyAlignment="1">
      <alignment horizontal="center" vertical="center"/>
    </xf>
    <xf numFmtId="0" fontId="0" fillId="57" borderId="31" xfId="0" applyFill="1" applyBorder="1" applyAlignment="1">
      <alignment horizontal="center" vertical="center"/>
    </xf>
    <xf numFmtId="174" fontId="0" fillId="0" borderId="81" xfId="0" applyNumberFormat="1" applyFill="1" applyBorder="1" applyAlignment="1">
      <alignment horizontal="center" vertical="center"/>
    </xf>
    <xf numFmtId="174" fontId="0" fillId="0" borderId="98" xfId="0" applyNumberFormat="1" applyFill="1" applyBorder="1" applyAlignment="1">
      <alignment horizontal="center" vertical="center"/>
    </xf>
    <xf numFmtId="174" fontId="86" fillId="58" borderId="38" xfId="0" applyNumberFormat="1" applyFont="1" applyFill="1" applyBorder="1" applyAlignment="1">
      <alignment horizontal="center" vertical="center"/>
    </xf>
    <xf numFmtId="175" fontId="86" fillId="58" borderId="31" xfId="0" applyNumberFormat="1" applyFont="1" applyFill="1" applyBorder="1" applyAlignment="1">
      <alignment horizontal="center" vertical="center"/>
    </xf>
    <xf numFmtId="0" fontId="86" fillId="58" borderId="81" xfId="0" applyFont="1" applyFill="1" applyBorder="1" applyAlignment="1">
      <alignment horizontal="center" vertical="center"/>
    </xf>
    <xf numFmtId="0" fontId="86" fillId="58" borderId="96" xfId="0" applyFont="1" applyFill="1" applyBorder="1" applyAlignment="1">
      <alignment horizontal="center" vertical="center"/>
    </xf>
    <xf numFmtId="14" fontId="0" fillId="0" borderId="81" xfId="0" applyNumberFormat="1" applyBorder="1" applyAlignment="1">
      <alignment horizontal="center" vertical="center"/>
    </xf>
    <xf numFmtId="0" fontId="85" fillId="56" borderId="38" xfId="0" applyFont="1" applyFill="1" applyBorder="1" applyAlignment="1">
      <alignment horizontal="center" vertical="center" wrapText="1"/>
    </xf>
    <xf numFmtId="0" fontId="85" fillId="56" borderId="31" xfId="0" applyFont="1" applyFill="1" applyBorder="1" applyAlignment="1">
      <alignment horizontal="center" vertical="center" wrapText="1"/>
    </xf>
    <xf numFmtId="0" fontId="85" fillId="56" borderId="77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85" fillId="56" borderId="96" xfId="0" applyFont="1" applyFill="1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4" fillId="0" borderId="20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0" xfId="0" applyFont="1" applyFill="1" applyBorder="1" applyAlignment="1">
      <alignment horizontal="center" vertical="center"/>
    </xf>
    <xf numFmtId="0" fontId="0" fillId="0" borderId="0" xfId="0" quotePrefix="1" applyAlignment="1">
      <alignment horizontal="left" vertical="center"/>
    </xf>
    <xf numFmtId="0" fontId="4" fillId="0" borderId="0" xfId="0" quotePrefix="1" applyFont="1"/>
    <xf numFmtId="0" fontId="53" fillId="0" borderId="0" xfId="911" applyFont="1"/>
    <xf numFmtId="0" fontId="4" fillId="0" borderId="0" xfId="911"/>
    <xf numFmtId="0" fontId="54" fillId="0" borderId="13" xfId="911" applyFont="1" applyBorder="1" applyAlignment="1">
      <alignment horizontal="center"/>
    </xf>
    <xf numFmtId="0" fontId="53" fillId="0" borderId="30" xfId="911" applyFont="1" applyBorder="1" applyAlignment="1">
      <alignment horizontal="center"/>
    </xf>
    <xf numFmtId="0" fontId="53" fillId="0" borderId="0" xfId="911" applyFont="1" applyBorder="1" applyAlignment="1">
      <alignment horizontal="center"/>
    </xf>
    <xf numFmtId="0" fontId="53" fillId="0" borderId="0" xfId="911" applyFont="1" applyBorder="1" applyAlignment="1"/>
    <xf numFmtId="0" fontId="53" fillId="0" borderId="0" xfId="911" applyFont="1" applyFill="1" applyBorder="1" applyAlignment="1"/>
    <xf numFmtId="0" fontId="53" fillId="0" borderId="0" xfId="0" quotePrefix="1" applyFont="1"/>
    <xf numFmtId="166" fontId="36" fillId="0" borderId="23" xfId="0" applyNumberFormat="1" applyFont="1" applyFill="1" applyBorder="1" applyAlignment="1">
      <alignment horizontal="center"/>
    </xf>
    <xf numFmtId="0" fontId="0" fillId="53" borderId="0" xfId="0" applyFill="1"/>
    <xf numFmtId="0" fontId="81" fillId="0" borderId="0" xfId="0" applyFont="1"/>
    <xf numFmtId="0" fontId="81" fillId="53" borderId="0" xfId="0" applyFont="1" applyFill="1"/>
    <xf numFmtId="0" fontId="81" fillId="53" borderId="0" xfId="0" applyFont="1" applyFill="1" applyAlignment="1">
      <alignment horizontal="center"/>
    </xf>
    <xf numFmtId="0" fontId="81" fillId="53" borderId="0" xfId="0" applyFont="1" applyFill="1" applyAlignment="1">
      <alignment horizontal="left"/>
    </xf>
    <xf numFmtId="0" fontId="53" fillId="0" borderId="20" xfId="911" applyFont="1" applyBorder="1"/>
    <xf numFmtId="0" fontId="5" fillId="64" borderId="13" xfId="0" applyFont="1" applyFill="1" applyBorder="1" applyAlignment="1">
      <alignment horizontal="center" vertical="center" wrapText="1"/>
    </xf>
    <xf numFmtId="0" fontId="5" fillId="56" borderId="13" xfId="0" applyFont="1" applyFill="1" applyBorder="1" applyAlignment="1">
      <alignment horizontal="center" vertical="center" wrapText="1"/>
    </xf>
    <xf numFmtId="0" fontId="58" fillId="0" borderId="20" xfId="901" applyFont="1" applyBorder="1" applyAlignment="1">
      <alignment horizontal="center" vertical="center"/>
    </xf>
    <xf numFmtId="173" fontId="79" fillId="36" borderId="13" xfId="0" applyNumberFormat="1" applyFont="1" applyFill="1" applyBorder="1" applyAlignment="1" applyProtection="1">
      <alignment horizontal="center" vertical="center" wrapText="1"/>
      <protection locked="0"/>
    </xf>
    <xf numFmtId="173" fontId="5" fillId="64" borderId="13" xfId="0" applyNumberFormat="1" applyFont="1" applyFill="1" applyBorder="1" applyAlignment="1">
      <alignment horizontal="center" vertical="center" wrapText="1"/>
    </xf>
    <xf numFmtId="173" fontId="5" fillId="56" borderId="13" xfId="0" applyNumberFormat="1" applyFont="1" applyFill="1" applyBorder="1" applyAlignment="1">
      <alignment horizontal="center" vertical="center" wrapText="1"/>
    </xf>
    <xf numFmtId="2" fontId="81" fillId="42" borderId="20" xfId="0" quotePrefix="1" applyNumberFormat="1" applyFont="1" applyFill="1" applyBorder="1" applyAlignment="1" applyProtection="1">
      <alignment horizontal="center"/>
      <protection locked="0"/>
    </xf>
    <xf numFmtId="0" fontId="89" fillId="0" borderId="0" xfId="0" applyFont="1" applyAlignment="1">
      <alignment vertical="center"/>
    </xf>
    <xf numFmtId="0" fontId="64" fillId="0" borderId="0" xfId="0" applyFont="1" applyBorder="1" applyAlignment="1">
      <alignment vertical="center"/>
    </xf>
    <xf numFmtId="0" fontId="59" fillId="0" borderId="0" xfId="0" applyFont="1" applyFill="1" applyBorder="1" applyAlignment="1">
      <alignment vertical="center"/>
    </xf>
    <xf numFmtId="0" fontId="58" fillId="0" borderId="0" xfId="0" applyFont="1" applyFill="1" applyBorder="1" applyAlignment="1">
      <alignment vertical="center"/>
    </xf>
    <xf numFmtId="166" fontId="58" fillId="0" borderId="0" xfId="0" applyNumberFormat="1" applyFont="1" applyFill="1" applyBorder="1" applyAlignment="1">
      <alignment vertical="center"/>
    </xf>
    <xf numFmtId="0" fontId="58" fillId="0" borderId="20" xfId="0" applyFont="1" applyBorder="1" applyAlignment="1">
      <alignment vertical="center"/>
    </xf>
    <xf numFmtId="0" fontId="58" fillId="0" borderId="20" xfId="0" applyFont="1" applyFill="1" applyBorder="1" applyAlignment="1">
      <alignment vertical="center"/>
    </xf>
    <xf numFmtId="0" fontId="62" fillId="0" borderId="20" xfId="0" applyFont="1" applyBorder="1" applyAlignment="1">
      <alignment horizontal="center" vertical="center"/>
    </xf>
    <xf numFmtId="0" fontId="62" fillId="0" borderId="0" xfId="0" applyFont="1" applyBorder="1" applyAlignment="1">
      <alignment horizontal="center" vertical="center"/>
    </xf>
    <xf numFmtId="0" fontId="58" fillId="0" borderId="20" xfId="0" applyFont="1" applyBorder="1" applyAlignment="1">
      <alignment horizontal="center" vertical="center"/>
    </xf>
    <xf numFmtId="0" fontId="89" fillId="0" borderId="20" xfId="0" applyFont="1" applyBorder="1" applyAlignment="1">
      <alignment horizontal="center" vertical="center" wrapText="1"/>
    </xf>
    <xf numFmtId="0" fontId="89" fillId="0" borderId="20" xfId="0" applyFont="1" applyBorder="1" applyAlignment="1">
      <alignment horizontal="center" vertical="center"/>
    </xf>
    <xf numFmtId="0" fontId="89" fillId="0" borderId="20" xfId="0" applyFont="1" applyFill="1" applyBorder="1" applyAlignment="1">
      <alignment vertical="center"/>
    </xf>
    <xf numFmtId="0" fontId="89" fillId="0" borderId="20" xfId="0" applyFont="1" applyFill="1" applyBorder="1" applyAlignment="1">
      <alignment vertical="center" wrapText="1"/>
    </xf>
    <xf numFmtId="0" fontId="58" fillId="68" borderId="20" xfId="0" applyFont="1" applyFill="1" applyBorder="1" applyAlignment="1">
      <alignment horizontal="center" vertical="center"/>
    </xf>
    <xf numFmtId="0" fontId="89" fillId="0" borderId="20" xfId="0" applyFont="1" applyBorder="1" applyAlignment="1">
      <alignment vertical="center"/>
    </xf>
    <xf numFmtId="0" fontId="90" fillId="0" borderId="20" xfId="0" applyFont="1" applyBorder="1" applyAlignment="1">
      <alignment horizontal="center" vertical="center"/>
    </xf>
    <xf numFmtId="0" fontId="89" fillId="0" borderId="0" xfId="0" applyFont="1" applyFill="1" applyBorder="1" applyAlignment="1">
      <alignment vertical="center"/>
    </xf>
    <xf numFmtId="0" fontId="90" fillId="0" borderId="0" xfId="0" applyFont="1" applyAlignment="1">
      <alignment horizontal="left" vertical="center" indent="1"/>
    </xf>
    <xf numFmtId="49" fontId="4" fillId="0" borderId="20" xfId="0" applyNumberFormat="1" applyFont="1" applyFill="1" applyBorder="1" applyAlignment="1" applyProtection="1">
      <alignment horizontal="center" vertical="center"/>
      <protection locked="0"/>
    </xf>
    <xf numFmtId="173" fontId="4" fillId="0" borderId="20" xfId="0" applyNumberFormat="1" applyFont="1" applyFill="1" applyBorder="1" applyAlignment="1" applyProtection="1">
      <alignment horizontal="center" vertical="center"/>
      <protection locked="0"/>
    </xf>
    <xf numFmtId="1" fontId="4" fillId="0" borderId="20" xfId="0" applyNumberFormat="1" applyFont="1" applyFill="1" applyBorder="1" applyAlignment="1" applyProtection="1">
      <alignment horizontal="center" vertical="center"/>
      <protection locked="0"/>
    </xf>
    <xf numFmtId="1" fontId="81" fillId="0" borderId="0" xfId="0" applyNumberFormat="1" applyFont="1" applyFill="1" applyAlignment="1" applyProtection="1">
      <alignment horizontal="center" vertical="center"/>
      <protection locked="0"/>
    </xf>
    <xf numFmtId="0" fontId="4" fillId="0" borderId="20" xfId="0" applyFont="1" applyFill="1" applyBorder="1" applyAlignment="1">
      <alignment horizontal="center" vertical="center"/>
    </xf>
    <xf numFmtId="166" fontId="4" fillId="0" borderId="20" xfId="0" applyNumberFormat="1" applyFont="1" applyFill="1" applyBorder="1" applyAlignment="1" applyProtection="1">
      <alignment horizontal="center" vertical="center"/>
      <protection locked="0"/>
    </xf>
    <xf numFmtId="0" fontId="4" fillId="0" borderId="20" xfId="0" applyFont="1" applyFill="1" applyBorder="1" applyAlignment="1">
      <alignment horizontal="center" vertical="center" wrapText="1"/>
    </xf>
    <xf numFmtId="1" fontId="4" fillId="0" borderId="20" xfId="0" applyNumberFormat="1" applyFont="1" applyFill="1" applyBorder="1" applyAlignment="1">
      <alignment horizontal="center" vertical="center"/>
    </xf>
    <xf numFmtId="0" fontId="81" fillId="0" borderId="0" xfId="0" applyFont="1" applyAlignment="1" applyProtection="1">
      <alignment horizontal="center" vertical="center" wrapText="1"/>
      <protection locked="0"/>
    </xf>
    <xf numFmtId="0" fontId="91" fillId="51" borderId="69" xfId="798" applyFont="1" applyFill="1" applyBorder="1" applyAlignment="1">
      <alignment horizontal="center" vertical="center"/>
    </xf>
    <xf numFmtId="0" fontId="81" fillId="51" borderId="70" xfId="0" applyFont="1" applyFill="1" applyBorder="1" applyAlignment="1">
      <alignment horizontal="center" vertical="center"/>
    </xf>
    <xf numFmtId="0" fontId="81" fillId="0" borderId="0" xfId="0" applyFont="1" applyFill="1" applyBorder="1" applyAlignment="1">
      <alignment horizontal="center" vertical="center"/>
    </xf>
    <xf numFmtId="0" fontId="91" fillId="51" borderId="34" xfId="798" applyFont="1" applyFill="1" applyBorder="1" applyAlignment="1">
      <alignment horizontal="center" vertical="center"/>
    </xf>
    <xf numFmtId="0" fontId="81" fillId="51" borderId="39" xfId="0" applyFont="1" applyFill="1" applyBorder="1" applyAlignment="1">
      <alignment horizontal="center" vertical="center"/>
    </xf>
    <xf numFmtId="0" fontId="81" fillId="0" borderId="70" xfId="0" applyFont="1" applyFill="1" applyBorder="1" applyAlignment="1">
      <alignment horizontal="center" vertical="center"/>
    </xf>
    <xf numFmtId="0" fontId="81" fillId="51" borderId="40" xfId="0" applyFont="1" applyFill="1" applyBorder="1" applyAlignment="1">
      <alignment horizontal="center" vertical="center"/>
    </xf>
    <xf numFmtId="0" fontId="81" fillId="0" borderId="0" xfId="0" applyFont="1" applyFill="1" applyBorder="1" applyAlignment="1" applyProtection="1">
      <alignment horizontal="center" vertical="center" wrapText="1"/>
      <protection locked="0"/>
    </xf>
    <xf numFmtId="0" fontId="81" fillId="0" borderId="69" xfId="0" applyFont="1" applyFill="1" applyBorder="1" applyAlignment="1">
      <alignment horizontal="center" vertical="center"/>
    </xf>
    <xf numFmtId="0" fontId="94" fillId="51" borderId="67" xfId="798" applyFont="1" applyFill="1" applyBorder="1" applyAlignment="1">
      <alignment horizontal="center" vertical="center"/>
    </xf>
    <xf numFmtId="0" fontId="81" fillId="0" borderId="0" xfId="0" applyFont="1" applyFill="1" applyBorder="1" applyAlignment="1" applyProtection="1">
      <alignment horizontal="center" vertical="center"/>
      <protection locked="0"/>
    </xf>
    <xf numFmtId="0" fontId="81" fillId="0" borderId="0" xfId="0" applyFont="1" applyFill="1" applyAlignment="1" applyProtection="1">
      <alignment horizontal="center" vertical="center"/>
      <protection locked="0"/>
    </xf>
    <xf numFmtId="169" fontId="81" fillId="0" borderId="0" xfId="0" applyNumberFormat="1" applyFont="1" applyAlignment="1" applyProtection="1">
      <alignment horizontal="center" vertical="center"/>
      <protection locked="0"/>
    </xf>
    <xf numFmtId="169" fontId="81" fillId="0" borderId="0" xfId="0" applyNumberFormat="1" applyFont="1" applyBorder="1" applyAlignment="1" applyProtection="1">
      <alignment horizontal="center" vertical="center"/>
      <protection locked="0"/>
    </xf>
    <xf numFmtId="1" fontId="81" fillId="0" borderId="0" xfId="0" applyNumberFormat="1" applyFont="1" applyAlignment="1" applyProtection="1">
      <alignment horizontal="center" vertical="center"/>
      <protection locked="0"/>
    </xf>
    <xf numFmtId="172" fontId="81" fillId="0" borderId="0" xfId="0" applyNumberFormat="1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  <protection locked="0"/>
    </xf>
    <xf numFmtId="0" fontId="4" fillId="38" borderId="78" xfId="0" applyFont="1" applyFill="1" applyBorder="1" applyAlignment="1" applyProtection="1">
      <alignment horizontal="center" vertical="center"/>
      <protection locked="0"/>
    </xf>
    <xf numFmtId="0" fontId="81" fillId="0" borderId="40" xfId="0" applyFont="1" applyBorder="1" applyAlignment="1" applyProtection="1">
      <alignment horizontal="center" vertical="center"/>
      <protection locked="0"/>
    </xf>
    <xf numFmtId="2" fontId="4" fillId="0" borderId="20" xfId="0" applyNumberFormat="1" applyFont="1" applyFill="1" applyBorder="1" applyAlignment="1" applyProtection="1">
      <alignment horizontal="center" vertical="center"/>
      <protection locked="0"/>
    </xf>
    <xf numFmtId="0" fontId="81" fillId="0" borderId="67" xfId="0" applyFont="1" applyFill="1" applyBorder="1" applyAlignment="1" applyProtection="1">
      <alignment horizontal="center" vertical="center"/>
      <protection locked="0"/>
    </xf>
    <xf numFmtId="169" fontId="81" fillId="0" borderId="0" xfId="0" applyNumberFormat="1" applyFont="1" applyFill="1" applyBorder="1" applyAlignment="1" applyProtection="1">
      <alignment horizontal="center" vertical="center"/>
      <protection locked="0"/>
    </xf>
    <xf numFmtId="169" fontId="4" fillId="42" borderId="20" xfId="0" applyNumberFormat="1" applyFont="1" applyFill="1" applyBorder="1" applyAlignment="1" applyProtection="1">
      <alignment horizontal="center" vertical="center"/>
      <protection locked="0"/>
    </xf>
    <xf numFmtId="1" fontId="4" fillId="42" borderId="20" xfId="0" applyNumberFormat="1" applyFont="1" applyFill="1" applyBorder="1" applyAlignment="1">
      <alignment horizontal="center" vertical="center"/>
    </xf>
    <xf numFmtId="173" fontId="4" fillId="42" borderId="20" xfId="0" applyNumberFormat="1" applyFont="1" applyFill="1" applyBorder="1" applyAlignment="1" applyProtection="1">
      <alignment horizontal="center" vertical="center"/>
      <protection locked="0"/>
    </xf>
    <xf numFmtId="2" fontId="4" fillId="42" borderId="20" xfId="0" applyNumberFormat="1" applyFont="1" applyFill="1" applyBorder="1" applyAlignment="1" applyProtection="1">
      <alignment horizontal="center" vertical="center"/>
      <protection locked="0"/>
    </xf>
    <xf numFmtId="0" fontId="81" fillId="0" borderId="67" xfId="0" applyFont="1" applyBorder="1" applyAlignment="1">
      <alignment horizontal="center" vertical="center"/>
    </xf>
    <xf numFmtId="0" fontId="81" fillId="0" borderId="67" xfId="0" applyFont="1" applyFill="1" applyBorder="1" applyAlignment="1">
      <alignment horizontal="center" vertical="center"/>
    </xf>
    <xf numFmtId="0" fontId="81" fillId="0" borderId="40" xfId="0" applyFont="1" applyFill="1" applyBorder="1" applyAlignment="1">
      <alignment horizontal="center" vertical="center"/>
    </xf>
    <xf numFmtId="49" fontId="4" fillId="42" borderId="20" xfId="0" quotePrefix="1" applyNumberFormat="1" applyFont="1" applyFill="1" applyBorder="1" applyAlignment="1" applyProtection="1">
      <alignment horizontal="center" vertical="center"/>
      <protection locked="0"/>
    </xf>
    <xf numFmtId="1" fontId="4" fillId="42" borderId="20" xfId="0" applyNumberFormat="1" applyFont="1" applyFill="1" applyBorder="1" applyAlignment="1" applyProtection="1">
      <alignment horizontal="center" vertical="center"/>
      <protection locked="0"/>
    </xf>
    <xf numFmtId="166" fontId="4" fillId="42" borderId="20" xfId="0" applyNumberFormat="1" applyFont="1" applyFill="1" applyBorder="1" applyAlignment="1" applyProtection="1">
      <alignment horizontal="center" vertical="center"/>
      <protection locked="0"/>
    </xf>
    <xf numFmtId="0" fontId="81" fillId="26" borderId="71" xfId="0" applyFont="1" applyFill="1" applyBorder="1" applyAlignment="1">
      <alignment horizontal="center" vertical="center"/>
    </xf>
    <xf numFmtId="49" fontId="4" fillId="42" borderId="20" xfId="0" applyNumberFormat="1" applyFont="1" applyFill="1" applyBorder="1" applyAlignment="1" applyProtection="1">
      <alignment horizontal="center" vertical="center"/>
      <protection locked="0"/>
    </xf>
    <xf numFmtId="0" fontId="81" fillId="67" borderId="71" xfId="0" applyFont="1" applyFill="1" applyBorder="1" applyAlignment="1">
      <alignment horizontal="center" vertical="center"/>
    </xf>
    <xf numFmtId="0" fontId="81" fillId="59" borderId="71" xfId="0" applyFont="1" applyFill="1" applyBorder="1" applyAlignment="1">
      <alignment horizontal="center" vertical="center"/>
    </xf>
    <xf numFmtId="0" fontId="81" fillId="42" borderId="71" xfId="0" applyFont="1" applyFill="1" applyBorder="1" applyAlignment="1">
      <alignment horizontal="center" vertical="center"/>
    </xf>
    <xf numFmtId="0" fontId="81" fillId="32" borderId="71" xfId="0" applyFont="1" applyFill="1" applyBorder="1" applyAlignment="1">
      <alignment horizontal="center" vertical="center"/>
    </xf>
    <xf numFmtId="171" fontId="4" fillId="0" borderId="20" xfId="0" applyNumberFormat="1" applyFont="1" applyFill="1" applyBorder="1" applyAlignment="1" applyProtection="1">
      <alignment horizontal="center" vertical="center"/>
      <protection locked="0"/>
    </xf>
    <xf numFmtId="0" fontId="81" fillId="0" borderId="20" xfId="0" applyFont="1" applyBorder="1" applyAlignment="1" applyProtection="1">
      <alignment horizontal="center" vertical="center"/>
      <protection locked="0"/>
    </xf>
    <xf numFmtId="0" fontId="81" fillId="0" borderId="17" xfId="0" applyFont="1" applyFill="1" applyBorder="1" applyAlignment="1" applyProtection="1">
      <alignment horizontal="center" vertical="center"/>
      <protection locked="0"/>
    </xf>
    <xf numFmtId="0" fontId="4" fillId="42" borderId="20" xfId="0" applyFont="1" applyFill="1" applyBorder="1" applyAlignment="1">
      <alignment horizontal="center" vertical="center"/>
    </xf>
    <xf numFmtId="0" fontId="81" fillId="0" borderId="40" xfId="0" applyFont="1" applyFill="1" applyBorder="1" applyAlignment="1" applyProtection="1">
      <alignment horizontal="center" vertical="center"/>
      <protection locked="0"/>
    </xf>
    <xf numFmtId="169" fontId="4" fillId="0" borderId="20" xfId="0" applyNumberFormat="1" applyFont="1" applyBorder="1" applyAlignment="1" applyProtection="1">
      <alignment horizontal="center" vertical="center"/>
      <protection locked="0"/>
    </xf>
    <xf numFmtId="169" fontId="4" fillId="0" borderId="20" xfId="0" applyNumberFormat="1" applyFont="1" applyFill="1" applyBorder="1" applyAlignment="1" applyProtection="1">
      <alignment horizontal="center" vertical="center"/>
      <protection locked="0"/>
    </xf>
    <xf numFmtId="169" fontId="4" fillId="62" borderId="20" xfId="0" applyNumberFormat="1" applyFont="1" applyFill="1" applyBorder="1" applyAlignment="1" applyProtection="1">
      <alignment horizontal="center" vertical="center"/>
      <protection locked="0"/>
    </xf>
    <xf numFmtId="173" fontId="4" fillId="62" borderId="20" xfId="0" applyNumberFormat="1" applyFont="1" applyFill="1" applyBorder="1" applyAlignment="1" applyProtection="1">
      <alignment horizontal="center" vertical="center"/>
      <protection locked="0"/>
    </xf>
    <xf numFmtId="0" fontId="4" fillId="62" borderId="20" xfId="0" applyFont="1" applyFill="1" applyBorder="1" applyAlignment="1" applyProtection="1">
      <alignment horizontal="center" vertical="center"/>
      <protection locked="0"/>
    </xf>
    <xf numFmtId="1" fontId="4" fillId="62" borderId="20" xfId="0" applyNumberFormat="1" applyFont="1" applyFill="1" applyBorder="1" applyAlignment="1" applyProtection="1">
      <alignment horizontal="center" vertical="center"/>
      <protection locked="0"/>
    </xf>
    <xf numFmtId="166" fontId="4" fillId="62" borderId="20" xfId="0" applyNumberFormat="1" applyFont="1" applyFill="1" applyBorder="1" applyAlignment="1" applyProtection="1">
      <alignment horizontal="center" vertical="center"/>
      <protection locked="0"/>
    </xf>
    <xf numFmtId="1" fontId="4" fillId="62" borderId="20" xfId="0" applyNumberFormat="1" applyFont="1" applyFill="1" applyBorder="1" applyAlignment="1">
      <alignment horizontal="center" vertical="center"/>
    </xf>
    <xf numFmtId="2" fontId="4" fillId="62" borderId="20" xfId="0" applyNumberFormat="1" applyFont="1" applyFill="1" applyBorder="1" applyAlignment="1" applyProtection="1">
      <alignment horizontal="center" vertical="center"/>
      <protection locked="0"/>
    </xf>
    <xf numFmtId="0" fontId="81" fillId="0" borderId="68" xfId="0" applyFont="1" applyFill="1" applyBorder="1" applyAlignment="1" applyProtection="1">
      <alignment horizontal="center" vertical="center"/>
      <protection locked="0"/>
    </xf>
    <xf numFmtId="0" fontId="80" fillId="0" borderId="91" xfId="0" applyFont="1" applyBorder="1" applyAlignment="1" applyProtection="1">
      <alignment horizontal="center" vertical="center"/>
      <protection locked="0"/>
    </xf>
    <xf numFmtId="0" fontId="80" fillId="0" borderId="0" xfId="0" applyFont="1" applyAlignment="1" applyProtection="1">
      <alignment horizontal="center" vertical="center"/>
      <protection locked="0"/>
    </xf>
    <xf numFmtId="0" fontId="81" fillId="0" borderId="91" xfId="0" applyFont="1" applyFill="1" applyBorder="1" applyAlignment="1" applyProtection="1">
      <alignment horizontal="center" vertical="center"/>
      <protection locked="0"/>
    </xf>
    <xf numFmtId="169" fontId="4" fillId="57" borderId="20" xfId="0" applyNumberFormat="1" applyFont="1" applyFill="1" applyBorder="1" applyAlignment="1" applyProtection="1">
      <alignment horizontal="center" vertical="center"/>
      <protection locked="0"/>
    </xf>
    <xf numFmtId="0" fontId="4" fillId="57" borderId="20" xfId="0" applyFont="1" applyFill="1" applyBorder="1" applyAlignment="1" applyProtection="1">
      <alignment horizontal="center" vertical="center"/>
      <protection locked="0"/>
    </xf>
    <xf numFmtId="173" fontId="4" fillId="57" borderId="20" xfId="0" applyNumberFormat="1" applyFont="1" applyFill="1" applyBorder="1" applyAlignment="1" applyProtection="1">
      <alignment horizontal="center" vertical="center"/>
      <protection locked="0"/>
    </xf>
    <xf numFmtId="1" fontId="4" fillId="57" borderId="20" xfId="0" applyNumberFormat="1" applyFont="1" applyFill="1" applyBorder="1" applyAlignment="1" applyProtection="1">
      <alignment horizontal="center" vertical="center"/>
      <protection locked="0"/>
    </xf>
    <xf numFmtId="166" fontId="4" fillId="57" borderId="20" xfId="0" applyNumberFormat="1" applyFont="1" applyFill="1" applyBorder="1" applyAlignment="1" applyProtection="1">
      <alignment horizontal="center" vertical="center"/>
      <protection locked="0"/>
    </xf>
    <xf numFmtId="0" fontId="4" fillId="57" borderId="20" xfId="0" applyFont="1" applyFill="1" applyBorder="1" applyAlignment="1">
      <alignment horizontal="center" vertical="center"/>
    </xf>
    <xf numFmtId="1" fontId="4" fillId="57" borderId="20" xfId="0" applyNumberFormat="1" applyFont="1" applyFill="1" applyBorder="1" applyAlignment="1">
      <alignment horizontal="center" vertical="center"/>
    </xf>
    <xf numFmtId="2" fontId="4" fillId="57" borderId="20" xfId="0" applyNumberFormat="1" applyFont="1" applyFill="1" applyBorder="1" applyAlignment="1" applyProtection="1">
      <alignment horizontal="center" vertical="center"/>
      <protection locked="0"/>
    </xf>
    <xf numFmtId="0" fontId="4" fillId="62" borderId="20" xfId="0" applyFont="1" applyFill="1" applyBorder="1" applyAlignment="1">
      <alignment horizontal="center" vertical="center"/>
    </xf>
    <xf numFmtId="2" fontId="4" fillId="0" borderId="20" xfId="0" quotePrefix="1" applyNumberFormat="1" applyFont="1" applyFill="1" applyBorder="1" applyAlignment="1" applyProtection="1">
      <alignment horizontal="center" vertical="center"/>
      <protection locked="0"/>
    </xf>
    <xf numFmtId="0" fontId="80" fillId="0" borderId="0" xfId="0" applyFont="1" applyFill="1" applyAlignment="1" applyProtection="1">
      <alignment horizontal="center" vertical="center"/>
      <protection locked="0"/>
    </xf>
    <xf numFmtId="49" fontId="4" fillId="62" borderId="20" xfId="0" applyNumberFormat="1" applyFont="1" applyFill="1" applyBorder="1" applyAlignment="1" applyProtection="1">
      <alignment horizontal="center" vertical="center"/>
      <protection locked="0"/>
    </xf>
    <xf numFmtId="166" fontId="4" fillId="62" borderId="20" xfId="0" applyNumberFormat="1" applyFont="1" applyFill="1" applyBorder="1" applyAlignment="1">
      <alignment horizontal="center" vertical="center"/>
    </xf>
    <xf numFmtId="2" fontId="4" fillId="69" borderId="20" xfId="0" applyNumberFormat="1" applyFont="1" applyFill="1" applyBorder="1" applyAlignment="1" applyProtection="1">
      <alignment horizontal="center" vertical="center"/>
      <protection locked="0"/>
    </xf>
    <xf numFmtId="169" fontId="4" fillId="61" borderId="20" xfId="0" applyNumberFormat="1" applyFont="1" applyFill="1" applyBorder="1" applyAlignment="1" applyProtection="1">
      <alignment horizontal="center" vertical="center"/>
      <protection locked="0"/>
    </xf>
    <xf numFmtId="173" fontId="4" fillId="61" borderId="20" xfId="0" applyNumberFormat="1" applyFont="1" applyFill="1" applyBorder="1" applyAlignment="1" applyProtection="1">
      <alignment horizontal="center" vertical="center"/>
      <protection locked="0"/>
    </xf>
    <xf numFmtId="0" fontId="4" fillId="61" borderId="20" xfId="0" applyFont="1" applyFill="1" applyBorder="1" applyAlignment="1" applyProtection="1">
      <alignment horizontal="center" vertical="center"/>
      <protection locked="0"/>
    </xf>
    <xf numFmtId="1" fontId="4" fillId="61" borderId="20" xfId="0" applyNumberFormat="1" applyFont="1" applyFill="1" applyBorder="1" applyAlignment="1" applyProtection="1">
      <alignment horizontal="center" vertical="center"/>
      <protection locked="0"/>
    </xf>
    <xf numFmtId="166" fontId="4" fillId="61" borderId="20" xfId="0" applyNumberFormat="1" applyFont="1" applyFill="1" applyBorder="1" applyAlignment="1" applyProtection="1">
      <alignment horizontal="center" vertical="center"/>
      <protection locked="0"/>
    </xf>
    <xf numFmtId="0" fontId="4" fillId="61" borderId="20" xfId="0" applyFont="1" applyFill="1" applyBorder="1" applyAlignment="1">
      <alignment horizontal="center" vertical="center"/>
    </xf>
    <xf numFmtId="1" fontId="4" fillId="61" borderId="20" xfId="0" applyNumberFormat="1" applyFont="1" applyFill="1" applyBorder="1" applyAlignment="1">
      <alignment horizontal="center" vertical="center"/>
    </xf>
    <xf numFmtId="2" fontId="4" fillId="61" borderId="20" xfId="0" applyNumberFormat="1" applyFont="1" applyFill="1" applyBorder="1" applyAlignment="1" applyProtection="1">
      <alignment horizontal="center" vertical="center"/>
      <protection locked="0"/>
    </xf>
    <xf numFmtId="0" fontId="4" fillId="59" borderId="20" xfId="0" applyFont="1" applyFill="1" applyBorder="1" applyAlignment="1" applyProtection="1">
      <alignment horizontal="center" vertical="center"/>
      <protection locked="0"/>
    </xf>
    <xf numFmtId="1" fontId="4" fillId="59" borderId="20" xfId="0" applyNumberFormat="1" applyFont="1" applyFill="1" applyBorder="1" applyAlignment="1">
      <alignment horizontal="center" vertical="center"/>
    </xf>
    <xf numFmtId="0" fontId="4" fillId="59" borderId="20" xfId="0" applyFont="1" applyFill="1" applyBorder="1" applyAlignment="1">
      <alignment horizontal="center" vertical="center"/>
    </xf>
    <xf numFmtId="173" fontId="4" fillId="59" borderId="20" xfId="0" applyNumberFormat="1" applyFont="1" applyFill="1" applyBorder="1" applyAlignment="1" applyProtection="1">
      <alignment horizontal="center" vertical="center"/>
      <protection locked="0"/>
    </xf>
    <xf numFmtId="169" fontId="4" fillId="59" borderId="20" xfId="0" applyNumberFormat="1" applyFont="1" applyFill="1" applyBorder="1" applyAlignment="1" applyProtection="1">
      <alignment horizontal="center" vertical="center"/>
      <protection locked="0"/>
    </xf>
    <xf numFmtId="2" fontId="4" fillId="59" borderId="20" xfId="0" applyNumberFormat="1" applyFont="1" applyFill="1" applyBorder="1" applyAlignment="1" applyProtection="1">
      <alignment horizontal="center" vertical="center"/>
      <protection locked="0"/>
    </xf>
    <xf numFmtId="0" fontId="4" fillId="62" borderId="20" xfId="901" applyFont="1" applyFill="1" applyBorder="1" applyAlignment="1" applyProtection="1">
      <alignment horizontal="center" vertical="center"/>
      <protection locked="0"/>
    </xf>
    <xf numFmtId="2" fontId="4" fillId="60" borderId="20" xfId="0" applyNumberFormat="1" applyFont="1" applyFill="1" applyBorder="1" applyAlignment="1" applyProtection="1">
      <alignment horizontal="center" vertical="center"/>
      <protection locked="0"/>
    </xf>
    <xf numFmtId="2" fontId="4" fillId="0" borderId="20" xfId="0" applyNumberFormat="1" applyFont="1" applyFill="1" applyBorder="1" applyAlignment="1">
      <alignment horizontal="center" vertical="center"/>
    </xf>
    <xf numFmtId="173" fontId="4" fillId="0" borderId="20" xfId="0" applyNumberFormat="1" applyFont="1" applyFill="1" applyBorder="1" applyAlignment="1">
      <alignment horizontal="center" vertical="center"/>
    </xf>
    <xf numFmtId="169" fontId="4" fillId="0" borderId="20" xfId="0" applyNumberFormat="1" applyFont="1" applyFill="1" applyBorder="1" applyAlignment="1" applyProtection="1">
      <alignment horizontal="center" vertical="center" wrapText="1"/>
      <protection locked="0"/>
    </xf>
    <xf numFmtId="166" fontId="4" fillId="0" borderId="20" xfId="0" applyNumberFormat="1" applyFont="1" applyFill="1" applyBorder="1" applyAlignment="1">
      <alignment horizontal="center" vertical="center"/>
    </xf>
    <xf numFmtId="0" fontId="4" fillId="0" borderId="20" xfId="901" applyFont="1" applyFill="1" applyBorder="1" applyAlignment="1" applyProtection="1">
      <alignment horizontal="center" vertical="center"/>
      <protection locked="0"/>
    </xf>
    <xf numFmtId="0" fontId="4" fillId="60" borderId="20" xfId="0" applyFont="1" applyFill="1" applyBorder="1" applyAlignment="1">
      <alignment horizontal="center" vertical="center"/>
    </xf>
    <xf numFmtId="166" fontId="4" fillId="60" borderId="20" xfId="0" applyNumberFormat="1" applyFont="1" applyFill="1" applyBorder="1" applyAlignment="1">
      <alignment horizontal="center" vertical="center"/>
    </xf>
    <xf numFmtId="173" fontId="4" fillId="60" borderId="20" xfId="0" applyNumberFormat="1" applyFont="1" applyFill="1" applyBorder="1" applyAlignment="1" applyProtection="1">
      <alignment horizontal="center" vertical="center"/>
      <protection locked="0"/>
    </xf>
    <xf numFmtId="0" fontId="4" fillId="60" borderId="20" xfId="0" applyFont="1" applyFill="1" applyBorder="1" applyAlignment="1" applyProtection="1">
      <alignment horizontal="center" vertical="center"/>
      <protection locked="0"/>
    </xf>
    <xf numFmtId="49" fontId="4" fillId="0" borderId="20" xfId="0" applyNumberFormat="1" applyFont="1" applyFill="1" applyBorder="1" applyAlignment="1">
      <alignment horizontal="center" vertical="center"/>
    </xf>
    <xf numFmtId="169" fontId="4" fillId="60" borderId="20" xfId="0" applyNumberFormat="1" applyFont="1" applyFill="1" applyBorder="1" applyAlignment="1" applyProtection="1">
      <alignment horizontal="center" vertical="center"/>
      <protection locked="0"/>
    </xf>
    <xf numFmtId="171" fontId="4" fillId="60" borderId="20" xfId="0" applyNumberFormat="1" applyFont="1" applyFill="1" applyBorder="1" applyAlignment="1" applyProtection="1">
      <alignment horizontal="center" vertical="center"/>
      <protection locked="0"/>
    </xf>
    <xf numFmtId="1" fontId="4" fillId="60" borderId="20" xfId="0" applyNumberFormat="1" applyFont="1" applyFill="1" applyBorder="1" applyAlignment="1" applyProtection="1">
      <alignment horizontal="center" vertical="center"/>
      <protection locked="0"/>
    </xf>
    <xf numFmtId="166" fontId="4" fillId="60" borderId="20" xfId="0" applyNumberFormat="1" applyFont="1" applyFill="1" applyBorder="1" applyAlignment="1" applyProtection="1">
      <alignment horizontal="center" vertical="center"/>
      <protection locked="0"/>
    </xf>
    <xf numFmtId="173" fontId="4" fillId="60" borderId="20" xfId="0" applyNumberFormat="1" applyFont="1" applyFill="1" applyBorder="1" applyAlignment="1">
      <alignment horizontal="center" vertical="center"/>
    </xf>
    <xf numFmtId="0" fontId="4" fillId="60" borderId="20" xfId="901" applyFont="1" applyFill="1" applyBorder="1" applyAlignment="1" applyProtection="1">
      <alignment horizontal="center" vertical="center"/>
      <protection locked="0"/>
    </xf>
    <xf numFmtId="1" fontId="4" fillId="60" borderId="20" xfId="0" applyNumberFormat="1" applyFont="1" applyFill="1" applyBorder="1" applyAlignment="1">
      <alignment horizontal="center" vertical="center"/>
    </xf>
    <xf numFmtId="0" fontId="4" fillId="69" borderId="20" xfId="0" applyFont="1" applyFill="1" applyBorder="1" applyAlignment="1" applyProtection="1">
      <alignment horizontal="center" vertical="center"/>
      <protection locked="0"/>
    </xf>
    <xf numFmtId="169" fontId="4" fillId="69" borderId="20" xfId="0" applyNumberFormat="1" applyFont="1" applyFill="1" applyBorder="1" applyAlignment="1" applyProtection="1">
      <alignment horizontal="center" vertical="center"/>
      <protection locked="0"/>
    </xf>
    <xf numFmtId="171" fontId="4" fillId="69" borderId="20" xfId="0" applyNumberFormat="1" applyFont="1" applyFill="1" applyBorder="1" applyAlignment="1" applyProtection="1">
      <alignment horizontal="center" vertical="center"/>
      <protection locked="0"/>
    </xf>
    <xf numFmtId="173" fontId="4" fillId="69" borderId="20" xfId="0" applyNumberFormat="1" applyFont="1" applyFill="1" applyBorder="1" applyAlignment="1" applyProtection="1">
      <alignment horizontal="center" vertical="center"/>
      <protection locked="0"/>
    </xf>
    <xf numFmtId="1" fontId="4" fillId="69" borderId="20" xfId="0" applyNumberFormat="1" applyFont="1" applyFill="1" applyBorder="1" applyAlignment="1" applyProtection="1">
      <alignment horizontal="center" vertical="center"/>
      <protection locked="0"/>
    </xf>
    <xf numFmtId="166" fontId="4" fillId="69" borderId="20" xfId="0" applyNumberFormat="1" applyFont="1" applyFill="1" applyBorder="1" applyAlignment="1" applyProtection="1">
      <alignment horizontal="center" vertical="center"/>
      <protection locked="0"/>
    </xf>
    <xf numFmtId="0" fontId="4" fillId="69" borderId="20" xfId="0" applyFont="1" applyFill="1" applyBorder="1" applyAlignment="1">
      <alignment horizontal="center" vertical="center"/>
    </xf>
    <xf numFmtId="171" fontId="4" fillId="59" borderId="20" xfId="0" applyNumberFormat="1" applyFont="1" applyFill="1" applyBorder="1" applyAlignment="1" applyProtection="1">
      <alignment horizontal="center" vertical="center"/>
      <protection locked="0"/>
    </xf>
    <xf numFmtId="1" fontId="4" fillId="59" borderId="20" xfId="0" applyNumberFormat="1" applyFont="1" applyFill="1" applyBorder="1" applyAlignment="1" applyProtection="1">
      <alignment horizontal="center" vertical="center"/>
      <protection locked="0"/>
    </xf>
    <xf numFmtId="166" fontId="4" fillId="59" borderId="20" xfId="0" applyNumberFormat="1" applyFont="1" applyFill="1" applyBorder="1" applyAlignment="1" applyProtection="1">
      <alignment horizontal="center" vertical="center"/>
      <protection locked="0"/>
    </xf>
    <xf numFmtId="173" fontId="4" fillId="59" borderId="20" xfId="0" applyNumberFormat="1" applyFont="1" applyFill="1" applyBorder="1" applyAlignment="1">
      <alignment horizontal="center" vertical="center"/>
    </xf>
    <xf numFmtId="49" fontId="4" fillId="59" borderId="20" xfId="0" applyNumberFormat="1" applyFont="1" applyFill="1" applyBorder="1" applyAlignment="1" applyProtection="1">
      <alignment horizontal="center" vertical="center"/>
      <protection locked="0"/>
    </xf>
    <xf numFmtId="2" fontId="4" fillId="59" borderId="20" xfId="0" applyNumberFormat="1" applyFont="1" applyFill="1" applyBorder="1" applyAlignment="1">
      <alignment horizontal="center" vertical="center"/>
    </xf>
    <xf numFmtId="49" fontId="4" fillId="59" borderId="20" xfId="0" applyNumberFormat="1" applyFont="1" applyFill="1" applyBorder="1" applyAlignment="1">
      <alignment horizontal="center" vertical="center"/>
    </xf>
    <xf numFmtId="49" fontId="4" fillId="42" borderId="20" xfId="0" applyNumberFormat="1" applyFont="1" applyFill="1" applyBorder="1" applyAlignment="1">
      <alignment horizontal="center" vertical="center"/>
    </xf>
    <xf numFmtId="173" fontId="4" fillId="42" borderId="20" xfId="0" applyNumberFormat="1" applyFont="1" applyFill="1" applyBorder="1" applyAlignment="1">
      <alignment horizontal="center" vertical="center"/>
    </xf>
    <xf numFmtId="169" fontId="4" fillId="0" borderId="0" xfId="0" applyNumberFormat="1" applyFont="1" applyFill="1" applyBorder="1" applyAlignment="1" applyProtection="1">
      <alignment horizontal="center" vertical="center"/>
      <protection locked="0"/>
    </xf>
    <xf numFmtId="49" fontId="4" fillId="0" borderId="0" xfId="0" applyNumberFormat="1" applyFont="1" applyFill="1" applyBorder="1" applyAlignment="1">
      <alignment horizontal="center" vertical="center"/>
    </xf>
    <xf numFmtId="171" fontId="4" fillId="0" borderId="0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 applyProtection="1">
      <alignment horizontal="center" vertical="center"/>
      <protection locked="0"/>
    </xf>
    <xf numFmtId="1" fontId="4" fillId="0" borderId="0" xfId="0" applyNumberFormat="1" applyFont="1" applyFill="1" applyBorder="1" applyAlignment="1" applyProtection="1">
      <alignment horizontal="center" vertical="center"/>
      <protection locked="0"/>
    </xf>
    <xf numFmtId="166" fontId="4" fillId="0" borderId="0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>
      <alignment horizontal="center" vertical="center"/>
    </xf>
    <xf numFmtId="172" fontId="4" fillId="0" borderId="0" xfId="0" applyNumberFormat="1" applyFont="1" applyFill="1" applyBorder="1" applyAlignment="1">
      <alignment horizontal="center" vertical="center"/>
    </xf>
    <xf numFmtId="2" fontId="4" fillId="0" borderId="0" xfId="0" applyNumberFormat="1" applyFont="1" applyFill="1" applyBorder="1" applyAlignment="1" applyProtection="1">
      <alignment horizontal="center" vertical="center"/>
      <protection locked="0"/>
    </xf>
    <xf numFmtId="173" fontId="4" fillId="0" borderId="0" xfId="0" applyNumberFormat="1" applyFont="1" applyFill="1" applyBorder="1" applyAlignment="1" applyProtection="1">
      <alignment horizontal="center" vertical="center"/>
      <protection locked="0"/>
    </xf>
    <xf numFmtId="1" fontId="4" fillId="0" borderId="0" xfId="0" applyNumberFormat="1" applyFont="1" applyFill="1" applyBorder="1" applyAlignment="1">
      <alignment horizontal="center" vertical="center"/>
    </xf>
    <xf numFmtId="49" fontId="4" fillId="0" borderId="0" xfId="0" quotePrefix="1" applyNumberFormat="1" applyFont="1" applyFill="1" applyBorder="1" applyAlignment="1">
      <alignment horizontal="center" vertical="center"/>
    </xf>
    <xf numFmtId="172" fontId="4" fillId="0" borderId="0" xfId="0" applyNumberFormat="1" applyFont="1" applyFill="1" applyBorder="1" applyAlignment="1" applyProtection="1">
      <alignment horizontal="center" vertical="center"/>
      <protection locked="0"/>
    </xf>
    <xf numFmtId="0" fontId="4" fillId="0" borderId="0" xfId="901" applyFont="1" applyFill="1" applyBorder="1" applyAlignment="1" applyProtection="1">
      <alignment horizontal="center" vertical="center"/>
      <protection locked="0"/>
    </xf>
    <xf numFmtId="166" fontId="4" fillId="0" borderId="0" xfId="0" applyNumberFormat="1" applyFont="1" applyFill="1" applyBorder="1" applyAlignment="1">
      <alignment horizontal="center" vertical="center"/>
    </xf>
    <xf numFmtId="49" fontId="81" fillId="0" borderId="0" xfId="0" applyNumberFormat="1" applyFont="1" applyFill="1" applyBorder="1" applyAlignment="1">
      <alignment horizontal="center" vertical="center"/>
    </xf>
    <xf numFmtId="1" fontId="81" fillId="0" borderId="0" xfId="0" applyNumberFormat="1" applyFont="1" applyFill="1" applyBorder="1" applyAlignment="1" applyProtection="1">
      <alignment horizontal="center" vertical="center"/>
      <protection locked="0"/>
    </xf>
    <xf numFmtId="1" fontId="81" fillId="0" borderId="0" xfId="0" applyNumberFormat="1" applyFont="1" applyFill="1" applyBorder="1" applyAlignment="1">
      <alignment horizontal="center" vertical="center"/>
    </xf>
    <xf numFmtId="172" fontId="81" fillId="0" borderId="0" xfId="0" applyNumberFormat="1" applyFont="1" applyFill="1" applyBorder="1" applyAlignment="1">
      <alignment horizontal="center" vertical="center"/>
    </xf>
    <xf numFmtId="2" fontId="81" fillId="0" borderId="0" xfId="0" applyNumberFormat="1" applyFont="1" applyFill="1" applyBorder="1" applyAlignment="1" applyProtection="1">
      <alignment horizontal="center" vertical="center"/>
      <protection locked="0"/>
    </xf>
    <xf numFmtId="172" fontId="81" fillId="0" borderId="0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49" fontId="81" fillId="0" borderId="0" xfId="0" applyNumberFormat="1" applyFont="1" applyFill="1" applyAlignment="1">
      <alignment horizontal="center" vertical="center"/>
    </xf>
    <xf numFmtId="0" fontId="81" fillId="0" borderId="0" xfId="0" applyFont="1" applyFill="1" applyAlignment="1">
      <alignment horizontal="center" vertical="center"/>
    </xf>
    <xf numFmtId="1" fontId="81" fillId="0" borderId="0" xfId="0" applyNumberFormat="1" applyFont="1" applyFill="1" applyAlignment="1">
      <alignment horizontal="center" vertical="center"/>
    </xf>
    <xf numFmtId="172" fontId="81" fillId="0" borderId="0" xfId="0" applyNumberFormat="1" applyFont="1" applyFill="1" applyAlignment="1">
      <alignment horizontal="center" vertical="center"/>
    </xf>
    <xf numFmtId="169" fontId="81" fillId="0" borderId="0" xfId="0" applyNumberFormat="1" applyFont="1" applyFill="1" applyAlignment="1" applyProtection="1">
      <alignment horizontal="center" vertical="center"/>
      <protection locked="0"/>
    </xf>
    <xf numFmtId="49" fontId="81" fillId="0" borderId="0" xfId="0" applyNumberFormat="1" applyFont="1" applyFill="1" applyAlignment="1" applyProtection="1">
      <alignment horizontal="center" vertical="center"/>
      <protection locked="0"/>
    </xf>
    <xf numFmtId="1" fontId="81" fillId="0" borderId="17" xfId="0" applyNumberFormat="1" applyFont="1" applyFill="1" applyBorder="1" applyAlignment="1" applyProtection="1">
      <alignment horizontal="center" vertical="center"/>
      <protection locked="0"/>
    </xf>
    <xf numFmtId="172" fontId="81" fillId="0" borderId="17" xfId="0" applyNumberFormat="1" applyFont="1" applyFill="1" applyBorder="1" applyAlignment="1">
      <alignment horizontal="center" vertical="center"/>
    </xf>
    <xf numFmtId="169" fontId="4" fillId="0" borderId="0" xfId="0" applyNumberFormat="1" applyFont="1" applyAlignment="1" applyProtection="1">
      <alignment horizontal="center" vertical="center"/>
      <protection locked="0"/>
    </xf>
    <xf numFmtId="169" fontId="4" fillId="0" borderId="0" xfId="0" applyNumberFormat="1" applyFont="1" applyBorder="1" applyAlignment="1" applyProtection="1">
      <alignment horizontal="center" vertical="center"/>
      <protection locked="0"/>
    </xf>
    <xf numFmtId="1" fontId="4" fillId="0" borderId="0" xfId="0" applyNumberFormat="1" applyFont="1" applyFill="1" applyAlignment="1" applyProtection="1">
      <alignment horizontal="center" vertical="center"/>
      <protection locked="0"/>
    </xf>
    <xf numFmtId="1" fontId="4" fillId="0" borderId="0" xfId="0" applyNumberFormat="1" applyFont="1" applyAlignment="1" applyProtection="1">
      <alignment horizontal="center" vertical="center"/>
      <protection locked="0"/>
    </xf>
    <xf numFmtId="172" fontId="4" fillId="0" borderId="0" xfId="0" applyNumberFormat="1" applyFont="1" applyAlignment="1" applyProtection="1">
      <alignment horizontal="center" vertical="center"/>
      <protection locked="0"/>
    </xf>
    <xf numFmtId="172" fontId="4" fillId="0" borderId="20" xfId="0" applyNumberFormat="1" applyFont="1" applyFill="1" applyBorder="1" applyAlignment="1" applyProtection="1">
      <alignment horizontal="center" vertical="center"/>
      <protection locked="0"/>
    </xf>
    <xf numFmtId="2" fontId="4" fillId="42" borderId="20" xfId="0" quotePrefix="1" applyNumberFormat="1" applyFont="1" applyFill="1" applyBorder="1" applyAlignment="1" applyProtection="1">
      <alignment horizontal="center" vertical="center"/>
      <protection locked="0"/>
    </xf>
    <xf numFmtId="0" fontId="95" fillId="0" borderId="20" xfId="0" applyFont="1" applyFill="1" applyBorder="1" applyAlignment="1">
      <alignment horizontal="center" vertical="center" wrapText="1"/>
    </xf>
    <xf numFmtId="49" fontId="4" fillId="0" borderId="20" xfId="0" applyNumberFormat="1" applyFont="1" applyFill="1" applyBorder="1" applyAlignment="1" applyProtection="1">
      <alignment horizontal="center" vertical="center" wrapText="1"/>
      <protection locked="0"/>
    </xf>
    <xf numFmtId="166" fontId="4" fillId="61" borderId="20" xfId="0" applyNumberFormat="1" applyFont="1" applyFill="1" applyBorder="1" applyAlignment="1">
      <alignment horizontal="center" vertical="center" wrapText="1"/>
    </xf>
    <xf numFmtId="0" fontId="4" fillId="51" borderId="69" xfId="798" applyFont="1" applyFill="1" applyBorder="1" applyAlignment="1">
      <alignment horizontal="center" vertical="center"/>
    </xf>
    <xf numFmtId="0" fontId="4" fillId="51" borderId="70" xfId="0" applyFont="1" applyFill="1" applyBorder="1" applyAlignment="1">
      <alignment horizontal="center" vertical="center"/>
    </xf>
    <xf numFmtId="0" fontId="4" fillId="51" borderId="34" xfId="798" applyFont="1" applyFill="1" applyBorder="1" applyAlignment="1">
      <alignment horizontal="center" vertical="center"/>
    </xf>
    <xf numFmtId="0" fontId="4" fillId="51" borderId="39" xfId="0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70" xfId="0" applyFont="1" applyFill="1" applyBorder="1" applyAlignment="1">
      <alignment horizontal="center" vertical="center"/>
    </xf>
    <xf numFmtId="0" fontId="4" fillId="51" borderId="4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48" borderId="93" xfId="0" applyFont="1" applyFill="1" applyBorder="1" applyAlignment="1" applyProtection="1">
      <alignment horizontal="center" vertical="center"/>
      <protection locked="0"/>
    </xf>
    <xf numFmtId="0" fontId="4" fillId="48" borderId="83" xfId="0" applyFont="1" applyFill="1" applyBorder="1" applyAlignment="1" applyProtection="1">
      <alignment horizontal="center" vertical="center"/>
      <protection locked="0"/>
    </xf>
    <xf numFmtId="0" fontId="4" fillId="48" borderId="84" xfId="0" applyFont="1" applyFill="1" applyBorder="1" applyAlignment="1" applyProtection="1">
      <alignment horizontal="center" vertical="center"/>
      <protection locked="0"/>
    </xf>
    <xf numFmtId="173" fontId="4" fillId="0" borderId="0" xfId="0" applyNumberFormat="1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66" fontId="4" fillId="0" borderId="0" xfId="0" applyNumberFormat="1" applyFont="1" applyFill="1" applyAlignment="1">
      <alignment horizontal="center" vertical="center"/>
    </xf>
    <xf numFmtId="173" fontId="4" fillId="0" borderId="0" xfId="0" applyNumberFormat="1" applyFont="1" applyFill="1" applyAlignment="1">
      <alignment horizontal="center" vertical="center"/>
    </xf>
    <xf numFmtId="0" fontId="4" fillId="33" borderId="78" xfId="0" applyFont="1" applyFill="1" applyBorder="1" applyAlignment="1">
      <alignment horizontal="center" vertical="center"/>
    </xf>
    <xf numFmtId="0" fontId="4" fillId="27" borderId="78" xfId="0" applyFont="1" applyFill="1" applyBorder="1" applyAlignment="1">
      <alignment horizontal="center" vertical="center"/>
    </xf>
    <xf numFmtId="0" fontId="4" fillId="27" borderId="92" xfId="0" applyFont="1" applyFill="1" applyBorder="1" applyAlignment="1">
      <alignment horizontal="center" vertical="center"/>
    </xf>
    <xf numFmtId="0" fontId="4" fillId="0" borderId="69" xfId="0" applyFont="1" applyFill="1" applyBorder="1" applyAlignment="1">
      <alignment horizontal="center" vertical="center"/>
    </xf>
    <xf numFmtId="0" fontId="4" fillId="0" borderId="67" xfId="0" applyFont="1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center" vertical="center"/>
      <protection locked="0"/>
    </xf>
    <xf numFmtId="0" fontId="4" fillId="0" borderId="40" xfId="0" applyFont="1" applyBorder="1" applyAlignment="1" applyProtection="1">
      <alignment horizontal="center" vertical="center"/>
      <protection locked="0"/>
    </xf>
    <xf numFmtId="3" fontId="4" fillId="0" borderId="20" xfId="0" applyNumberFormat="1" applyFont="1" applyFill="1" applyBorder="1" applyAlignment="1" applyProtection="1">
      <alignment horizontal="center" vertical="center"/>
      <protection locked="0"/>
    </xf>
    <xf numFmtId="0" fontId="4" fillId="0" borderId="67" xfId="0" applyFont="1" applyFill="1" applyBorder="1" applyAlignment="1">
      <alignment horizontal="center" vertical="center"/>
    </xf>
    <xf numFmtId="0" fontId="4" fillId="0" borderId="40" xfId="0" applyFont="1" applyFill="1" applyBorder="1" applyAlignment="1">
      <alignment horizontal="center" vertical="center"/>
    </xf>
    <xf numFmtId="0" fontId="4" fillId="0" borderId="67" xfId="0" applyFont="1" applyFill="1" applyBorder="1" applyAlignment="1" applyProtection="1">
      <alignment horizontal="center" vertical="center"/>
      <protection locked="0"/>
    </xf>
    <xf numFmtId="0" fontId="4" fillId="0" borderId="67" xfId="0" applyFont="1" applyBorder="1" applyAlignment="1">
      <alignment horizontal="center" vertical="center"/>
    </xf>
    <xf numFmtId="0" fontId="4" fillId="39" borderId="71" xfId="0" applyFont="1" applyFill="1" applyBorder="1" applyAlignment="1">
      <alignment horizontal="center" vertical="center"/>
    </xf>
    <xf numFmtId="0" fontId="4" fillId="67" borderId="71" xfId="0" applyFont="1" applyFill="1" applyBorder="1" applyAlignment="1">
      <alignment horizontal="center" vertical="center"/>
    </xf>
    <xf numFmtId="0" fontId="4" fillId="59" borderId="71" xfId="0" applyFont="1" applyFill="1" applyBorder="1" applyAlignment="1">
      <alignment horizontal="center" vertical="center"/>
    </xf>
    <xf numFmtId="0" fontId="4" fillId="51" borderId="67" xfId="798" applyFont="1" applyFill="1" applyBorder="1" applyAlignment="1">
      <alignment horizontal="center" vertical="center"/>
    </xf>
    <xf numFmtId="0" fontId="4" fillId="48" borderId="68" xfId="0" applyFont="1" applyFill="1" applyBorder="1" applyAlignment="1" applyProtection="1">
      <alignment horizontal="center" vertical="center"/>
      <protection locked="0"/>
    </xf>
    <xf numFmtId="0" fontId="4" fillId="48" borderId="85" xfId="0" applyFont="1" applyFill="1" applyBorder="1" applyAlignment="1" applyProtection="1">
      <alignment horizontal="center" vertical="center"/>
      <protection locked="0"/>
    </xf>
    <xf numFmtId="0" fontId="4" fillId="48" borderId="91" xfId="0" applyFont="1" applyFill="1" applyBorder="1" applyAlignment="1" applyProtection="1">
      <alignment horizontal="center" vertical="center"/>
      <protection locked="0"/>
    </xf>
    <xf numFmtId="0" fontId="4" fillId="42" borderId="71" xfId="0" applyFont="1" applyFill="1" applyBorder="1" applyAlignment="1">
      <alignment horizontal="center" vertical="center"/>
    </xf>
    <xf numFmtId="0" fontId="4" fillId="48" borderId="0" xfId="0" applyFont="1" applyFill="1" applyBorder="1" applyAlignment="1" applyProtection="1">
      <alignment horizontal="center" vertical="center"/>
      <protection locked="0"/>
    </xf>
    <xf numFmtId="0" fontId="4" fillId="48" borderId="0" xfId="0" applyFont="1" applyFill="1" applyAlignment="1" applyProtection="1">
      <alignment horizontal="center" vertical="center"/>
      <protection locked="0"/>
    </xf>
    <xf numFmtId="173" fontId="4" fillId="0" borderId="0" xfId="0" applyNumberFormat="1" applyFont="1" applyFill="1" applyBorder="1" applyAlignment="1">
      <alignment horizontal="center" vertical="center"/>
    </xf>
    <xf numFmtId="3" fontId="4" fillId="0" borderId="0" xfId="0" applyNumberFormat="1" applyFont="1" applyFill="1" applyBorder="1" applyAlignment="1" applyProtection="1">
      <alignment horizontal="center" vertical="center"/>
      <protection locked="0"/>
    </xf>
    <xf numFmtId="0" fontId="4" fillId="48" borderId="17" xfId="0" applyFont="1" applyFill="1" applyBorder="1" applyAlignment="1" applyProtection="1">
      <alignment horizontal="center" vertical="center"/>
      <protection locked="0"/>
    </xf>
    <xf numFmtId="169" fontId="4" fillId="0" borderId="17" xfId="0" applyNumberFormat="1" applyFont="1" applyFill="1" applyBorder="1" applyAlignment="1" applyProtection="1">
      <alignment horizontal="center" vertical="center"/>
      <protection locked="0"/>
    </xf>
    <xf numFmtId="0" fontId="4" fillId="0" borderId="17" xfId="0" applyFont="1" applyFill="1" applyBorder="1" applyAlignment="1" applyProtection="1">
      <alignment horizontal="center" vertical="center"/>
      <protection locked="0"/>
    </xf>
    <xf numFmtId="0" fontId="4" fillId="0" borderId="99" xfId="0" applyFont="1" applyBorder="1" applyAlignment="1" applyProtection="1">
      <alignment horizontal="center" vertical="center"/>
      <protection locked="0"/>
    </xf>
    <xf numFmtId="0" fontId="4" fillId="48" borderId="67" xfId="0" applyFont="1" applyFill="1" applyBorder="1" applyAlignment="1" applyProtection="1">
      <alignment horizontal="center" vertical="center"/>
      <protection locked="0"/>
    </xf>
    <xf numFmtId="0" fontId="4" fillId="48" borderId="40" xfId="0" applyFont="1" applyFill="1" applyBorder="1" applyAlignment="1" applyProtection="1">
      <alignment horizontal="center" vertical="center"/>
      <protection locked="0"/>
    </xf>
    <xf numFmtId="0" fontId="4" fillId="0" borderId="40" xfId="0" applyFont="1" applyFill="1" applyBorder="1" applyAlignment="1" applyProtection="1">
      <alignment horizontal="center" vertical="center"/>
      <protection locked="0"/>
    </xf>
    <xf numFmtId="49" fontId="4" fillId="72" borderId="20" xfId="0" applyNumberFormat="1" applyFont="1" applyFill="1" applyBorder="1" applyAlignment="1" applyProtection="1">
      <alignment horizontal="center" vertical="center"/>
      <protection locked="0"/>
    </xf>
    <xf numFmtId="0" fontId="4" fillId="0" borderId="69" xfId="0" applyFont="1" applyFill="1" applyBorder="1" applyAlignment="1" applyProtection="1">
      <alignment horizontal="center" vertical="center"/>
      <protection locked="0"/>
    </xf>
    <xf numFmtId="169" fontId="4" fillId="0" borderId="92" xfId="0" applyNumberFormat="1" applyFont="1" applyFill="1" applyBorder="1" applyAlignment="1" applyProtection="1">
      <alignment horizontal="center" vertical="center"/>
      <protection locked="0"/>
    </xf>
    <xf numFmtId="0" fontId="4" fillId="0" borderId="92" xfId="0" applyFont="1" applyBorder="1" applyAlignment="1" applyProtection="1">
      <alignment horizontal="center" vertical="center"/>
      <protection locked="0"/>
    </xf>
    <xf numFmtId="0" fontId="4" fillId="0" borderId="70" xfId="0" applyFont="1" applyBorder="1" applyAlignment="1" applyProtection="1">
      <alignment horizontal="center" vertical="center"/>
      <protection locked="0"/>
    </xf>
    <xf numFmtId="169" fontId="4" fillId="48" borderId="91" xfId="0" applyNumberFormat="1" applyFont="1" applyFill="1" applyBorder="1" applyAlignment="1" applyProtection="1">
      <alignment horizontal="center" vertical="center"/>
      <protection locked="0"/>
    </xf>
    <xf numFmtId="169" fontId="4" fillId="48" borderId="0" xfId="0" applyNumberFormat="1" applyFont="1" applyFill="1" applyBorder="1" applyAlignment="1" applyProtection="1">
      <alignment horizontal="center" vertical="center"/>
      <protection locked="0"/>
    </xf>
    <xf numFmtId="1" fontId="4" fillId="0" borderId="20" xfId="0" applyNumberFormat="1" applyFont="1" applyFill="1" applyBorder="1" applyAlignment="1">
      <alignment horizontal="center" vertical="center" wrapText="1"/>
    </xf>
    <xf numFmtId="49" fontId="4" fillId="0" borderId="0" xfId="0" applyNumberFormat="1" applyFont="1" applyFill="1" applyBorder="1" applyAlignment="1" applyProtection="1">
      <alignment horizontal="center" vertical="center"/>
      <protection locked="0"/>
    </xf>
    <xf numFmtId="0" fontId="4" fillId="0" borderId="68" xfId="0" applyFont="1" applyFill="1" applyBorder="1" applyAlignment="1" applyProtection="1">
      <alignment horizontal="center" vertical="center"/>
      <protection locked="0"/>
    </xf>
    <xf numFmtId="0" fontId="4" fillId="0" borderId="91" xfId="0" applyFont="1" applyBorder="1" applyAlignment="1" applyProtection="1">
      <alignment horizontal="center" vertical="center"/>
      <protection locked="0"/>
    </xf>
    <xf numFmtId="0" fontId="4" fillId="0" borderId="91" xfId="0" applyFont="1" applyFill="1" applyBorder="1" applyAlignment="1" applyProtection="1">
      <alignment horizontal="center" vertical="center"/>
      <protection locked="0"/>
    </xf>
    <xf numFmtId="0" fontId="4" fillId="0" borderId="0" xfId="0" applyFont="1" applyBorder="1" applyAlignment="1">
      <alignment horizontal="center" vertical="center"/>
    </xf>
    <xf numFmtId="49" fontId="4" fillId="0" borderId="0" xfId="0" applyNumberFormat="1" applyFont="1" applyFill="1" applyAlignment="1">
      <alignment horizontal="center" vertical="center"/>
    </xf>
    <xf numFmtId="1" fontId="4" fillId="0" borderId="0" xfId="0" applyNumberFormat="1" applyFont="1" applyFill="1" applyAlignment="1">
      <alignment horizontal="center" vertical="center"/>
    </xf>
    <xf numFmtId="3" fontId="4" fillId="0" borderId="0" xfId="0" applyNumberFormat="1" applyFont="1" applyFill="1" applyAlignment="1">
      <alignment horizontal="center" vertical="center"/>
    </xf>
    <xf numFmtId="0" fontId="79" fillId="26" borderId="13" xfId="0" applyFont="1" applyFill="1" applyBorder="1" applyAlignment="1">
      <alignment horizontal="center" vertical="center" wrapText="1"/>
    </xf>
    <xf numFmtId="173" fontId="79" fillId="26" borderId="13" xfId="0" applyNumberFormat="1" applyFont="1" applyFill="1" applyBorder="1" applyAlignment="1">
      <alignment horizontal="center" vertical="center" wrapText="1"/>
    </xf>
    <xf numFmtId="0" fontId="81" fillId="48" borderId="93" xfId="0" applyFont="1" applyFill="1" applyBorder="1" applyAlignment="1" applyProtection="1">
      <alignment horizontal="center" vertical="center"/>
      <protection locked="0"/>
    </xf>
    <xf numFmtId="0" fontId="81" fillId="48" borderId="83" xfId="0" applyFont="1" applyFill="1" applyBorder="1" applyAlignment="1" applyProtection="1">
      <alignment horizontal="center" vertical="center"/>
      <protection locked="0"/>
    </xf>
    <xf numFmtId="0" fontId="81" fillId="48" borderId="84" xfId="0" applyFont="1" applyFill="1" applyBorder="1" applyAlignment="1" applyProtection="1">
      <alignment horizontal="center" vertical="center"/>
      <protection locked="0"/>
    </xf>
    <xf numFmtId="0" fontId="4" fillId="29" borderId="78" xfId="0" applyFont="1" applyFill="1" applyBorder="1" applyAlignment="1">
      <alignment horizontal="center" vertical="center"/>
    </xf>
    <xf numFmtId="0" fontId="4" fillId="29" borderId="92" xfId="0" applyFont="1" applyFill="1" applyBorder="1" applyAlignment="1">
      <alignment horizontal="center" vertical="center"/>
    </xf>
    <xf numFmtId="0" fontId="81" fillId="51" borderId="69" xfId="798" applyFont="1" applyFill="1" applyBorder="1" applyAlignment="1">
      <alignment horizontal="center" vertical="center"/>
    </xf>
    <xf numFmtId="0" fontId="81" fillId="51" borderId="34" xfId="798" applyFont="1" applyFill="1" applyBorder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79" fillId="28" borderId="13" xfId="0" applyFont="1" applyFill="1" applyBorder="1" applyAlignment="1">
      <alignment horizontal="center" vertical="center" wrapText="1"/>
    </xf>
    <xf numFmtId="173" fontId="79" fillId="28" borderId="13" xfId="0" applyNumberFormat="1" applyFont="1" applyFill="1" applyBorder="1" applyAlignment="1">
      <alignment horizontal="center" vertical="center" wrapText="1"/>
    </xf>
    <xf numFmtId="14" fontId="4" fillId="0" borderId="20" xfId="0" applyNumberFormat="1" applyFont="1" applyBorder="1" applyAlignment="1">
      <alignment horizontal="center" vertical="center"/>
    </xf>
    <xf numFmtId="0" fontId="64" fillId="0" borderId="0" xfId="901" applyFont="1" applyBorder="1" applyAlignment="1">
      <alignment horizontal="left" vertical="center"/>
    </xf>
    <xf numFmtId="0" fontId="58" fillId="0" borderId="0" xfId="901" applyFont="1" applyBorder="1" applyAlignment="1">
      <alignment horizontal="left" vertical="center"/>
    </xf>
    <xf numFmtId="0" fontId="58" fillId="0" borderId="0" xfId="901" applyFont="1" applyFill="1" applyBorder="1" applyAlignment="1">
      <alignment horizontal="left" vertical="center" indent="1"/>
    </xf>
    <xf numFmtId="0" fontId="58" fillId="0" borderId="0" xfId="901" applyFont="1" applyBorder="1" applyAlignment="1">
      <alignment horizontal="left" vertical="center" indent="1"/>
    </xf>
    <xf numFmtId="0" fontId="64" fillId="0" borderId="0" xfId="901" applyFont="1" applyFill="1" applyBorder="1" applyAlignment="1">
      <alignment horizontal="left" vertical="center"/>
    </xf>
    <xf numFmtId="0" fontId="59" fillId="0" borderId="0" xfId="901" applyFont="1" applyAlignment="1">
      <alignment horizontal="center" vertical="center"/>
    </xf>
    <xf numFmtId="0" fontId="58" fillId="0" borderId="0" xfId="901" applyFont="1" applyAlignment="1">
      <alignment horizontal="center" vertical="center"/>
    </xf>
    <xf numFmtId="0" fontId="58" fillId="0" borderId="0" xfId="901" applyFont="1" applyAlignment="1">
      <alignment vertical="center"/>
    </xf>
    <xf numFmtId="0" fontId="58" fillId="0" borderId="0" xfId="901" applyFont="1" applyFill="1" applyAlignment="1">
      <alignment vertical="center"/>
    </xf>
    <xf numFmtId="0" fontId="62" fillId="0" borderId="0" xfId="901" applyFont="1" applyAlignment="1">
      <alignment horizontal="left" vertical="center"/>
    </xf>
    <xf numFmtId="0" fontId="59" fillId="43" borderId="20" xfId="901" applyFont="1" applyFill="1" applyBorder="1" applyAlignment="1">
      <alignment horizontal="center" vertical="center"/>
    </xf>
    <xf numFmtId="0" fontId="59" fillId="43" borderId="20" xfId="901" applyFont="1" applyFill="1" applyBorder="1" applyAlignment="1">
      <alignment horizontal="left" vertical="center"/>
    </xf>
    <xf numFmtId="0" fontId="59" fillId="43" borderId="20" xfId="901" applyFont="1" applyFill="1" applyBorder="1" applyAlignment="1">
      <alignment horizontal="left" vertical="center" indent="1"/>
    </xf>
    <xf numFmtId="0" fontId="59" fillId="0" borderId="0" xfId="901" applyFont="1" applyFill="1" applyBorder="1" applyAlignment="1">
      <alignment horizontal="center" vertical="center"/>
    </xf>
    <xf numFmtId="0" fontId="65" fillId="0" borderId="0" xfId="901" applyFont="1" applyAlignment="1">
      <alignment horizontal="left" vertical="center"/>
    </xf>
    <xf numFmtId="0" fontId="59" fillId="0" borderId="0" xfId="901" applyFont="1" applyAlignment="1">
      <alignment vertical="center"/>
    </xf>
    <xf numFmtId="0" fontId="63" fillId="0" borderId="20" xfId="697" applyFont="1" applyFill="1" applyBorder="1" applyAlignment="1">
      <alignment horizontal="center" vertical="center" wrapText="1"/>
    </xf>
    <xf numFmtId="0" fontId="63" fillId="0" borderId="58" xfId="697" applyFont="1" applyFill="1" applyBorder="1" applyAlignment="1">
      <alignment horizontal="left" vertical="center" wrapText="1" indent="1"/>
    </xf>
    <xf numFmtId="0" fontId="63" fillId="0" borderId="49" xfId="697" applyFont="1" applyFill="1" applyBorder="1" applyAlignment="1">
      <alignment horizontal="left" vertical="center" wrapText="1" indent="1"/>
    </xf>
    <xf numFmtId="0" fontId="63" fillId="0" borderId="100" xfId="697" applyFont="1" applyFill="1" applyBorder="1" applyAlignment="1">
      <alignment horizontal="center" vertical="center" wrapText="1"/>
    </xf>
    <xf numFmtId="0" fontId="59" fillId="0" borderId="20" xfId="901" applyFont="1" applyFill="1" applyBorder="1" applyAlignment="1">
      <alignment horizontal="center" vertical="center"/>
    </xf>
    <xf numFmtId="0" fontId="58" fillId="0" borderId="64" xfId="901" applyFont="1" applyFill="1" applyBorder="1" applyAlignment="1">
      <alignment horizontal="center" vertical="center"/>
    </xf>
    <xf numFmtId="0" fontId="58" fillId="0" borderId="29" xfId="901" applyFont="1" applyFill="1" applyBorder="1" applyAlignment="1">
      <alignment horizontal="center" vertical="center"/>
    </xf>
    <xf numFmtId="0" fontId="58" fillId="0" borderId="0" xfId="901" applyFont="1" applyFill="1" applyBorder="1" applyAlignment="1">
      <alignment horizontal="center" vertical="center"/>
    </xf>
    <xf numFmtId="0" fontId="63" fillId="0" borderId="49" xfId="697" applyFont="1" applyFill="1" applyBorder="1" applyAlignment="1">
      <alignment horizontal="left" vertical="center" wrapText="1"/>
    </xf>
    <xf numFmtId="0" fontId="63" fillId="44" borderId="22" xfId="697" applyFont="1" applyFill="1" applyBorder="1" applyAlignment="1">
      <alignment horizontal="center" vertical="center" wrapText="1"/>
    </xf>
    <xf numFmtId="0" fontId="60" fillId="73" borderId="101" xfId="697" applyFont="1" applyFill="1" applyBorder="1" applyAlignment="1">
      <alignment horizontal="left" vertical="center" wrapText="1" indent="1"/>
    </xf>
    <xf numFmtId="0" fontId="65" fillId="73" borderId="101" xfId="901" applyFont="1" applyFill="1" applyBorder="1" applyAlignment="1">
      <alignment horizontal="center" vertical="center"/>
    </xf>
    <xf numFmtId="0" fontId="62" fillId="73" borderId="102" xfId="901" applyFont="1" applyFill="1" applyBorder="1" applyAlignment="1">
      <alignment horizontal="center" vertical="center"/>
    </xf>
    <xf numFmtId="0" fontId="58" fillId="73" borderId="103" xfId="901" applyFont="1" applyFill="1" applyBorder="1" applyAlignment="1">
      <alignment horizontal="center" vertical="center"/>
    </xf>
    <xf numFmtId="0" fontId="58" fillId="73" borderId="104" xfId="901" applyFont="1" applyFill="1" applyBorder="1" applyAlignment="1">
      <alignment horizontal="center" vertical="center"/>
    </xf>
    <xf numFmtId="0" fontId="62" fillId="0" borderId="0" xfId="901" applyFont="1" applyAlignment="1">
      <alignment horizontal="center" vertical="center"/>
    </xf>
    <xf numFmtId="0" fontId="63" fillId="44" borderId="28" xfId="697" applyFont="1" applyFill="1" applyBorder="1" applyAlignment="1">
      <alignment horizontal="left" vertical="center" wrapText="1"/>
    </xf>
    <xf numFmtId="0" fontId="67" fillId="44" borderId="23" xfId="697" applyFont="1" applyFill="1" applyBorder="1" applyAlignment="1">
      <alignment horizontal="center" vertical="center" wrapText="1"/>
    </xf>
    <xf numFmtId="0" fontId="60" fillId="73" borderId="105" xfId="697" applyFont="1" applyFill="1" applyBorder="1" applyAlignment="1">
      <alignment horizontal="left" vertical="center" wrapText="1" indent="1"/>
    </xf>
    <xf numFmtId="0" fontId="65" fillId="73" borderId="105" xfId="901" applyFont="1" applyFill="1" applyBorder="1" applyAlignment="1">
      <alignment horizontal="center" vertical="center"/>
    </xf>
    <xf numFmtId="0" fontId="62" fillId="73" borderId="106" xfId="901" applyFont="1" applyFill="1" applyBorder="1" applyAlignment="1">
      <alignment horizontal="center" vertical="center"/>
    </xf>
    <xf numFmtId="0" fontId="62" fillId="73" borderId="107" xfId="901" applyFont="1" applyFill="1" applyBorder="1" applyAlignment="1">
      <alignment horizontal="center" vertical="center"/>
    </xf>
    <xf numFmtId="0" fontId="62" fillId="73" borderId="108" xfId="901" applyFont="1" applyFill="1" applyBorder="1" applyAlignment="1">
      <alignment horizontal="center" vertical="center"/>
    </xf>
    <xf numFmtId="0" fontId="62" fillId="0" borderId="0" xfId="901" applyFont="1" applyAlignment="1">
      <alignment vertical="center"/>
    </xf>
    <xf numFmtId="0" fontId="67" fillId="44" borderId="19" xfId="697" applyFont="1" applyFill="1" applyBorder="1" applyAlignment="1">
      <alignment horizontal="left" vertical="center" wrapText="1"/>
    </xf>
    <xf numFmtId="0" fontId="68" fillId="44" borderId="23" xfId="697" applyFont="1" applyFill="1" applyBorder="1" applyAlignment="1">
      <alignment horizontal="center" vertical="center" wrapText="1"/>
    </xf>
    <xf numFmtId="0" fontId="96" fillId="73" borderId="105" xfId="697" applyFont="1" applyFill="1" applyBorder="1" applyAlignment="1">
      <alignment horizontal="left" vertical="center" wrapText="1" indent="1"/>
    </xf>
    <xf numFmtId="0" fontId="58" fillId="73" borderId="106" xfId="901" applyFont="1" applyFill="1" applyBorder="1" applyAlignment="1">
      <alignment horizontal="center" vertical="center"/>
    </xf>
    <xf numFmtId="0" fontId="58" fillId="73" borderId="107" xfId="901" applyFont="1" applyFill="1" applyBorder="1" applyAlignment="1">
      <alignment horizontal="center" vertical="center"/>
    </xf>
    <xf numFmtId="0" fontId="58" fillId="73" borderId="108" xfId="901" applyFont="1" applyFill="1" applyBorder="1" applyAlignment="1">
      <alignment horizontal="center" vertical="center"/>
    </xf>
    <xf numFmtId="0" fontId="58" fillId="0" borderId="0" xfId="901" applyFont="1" applyBorder="1" applyAlignment="1">
      <alignment vertical="center"/>
    </xf>
    <xf numFmtId="0" fontId="63" fillId="44" borderId="19" xfId="697" applyFont="1" applyFill="1" applyBorder="1" applyAlignment="1">
      <alignment horizontal="left" vertical="center" wrapText="1"/>
    </xf>
    <xf numFmtId="0" fontId="68" fillId="74" borderId="23" xfId="697" applyFont="1" applyFill="1" applyBorder="1" applyAlignment="1">
      <alignment horizontal="center" vertical="center" wrapText="1"/>
    </xf>
    <xf numFmtId="0" fontId="63" fillId="74" borderId="23" xfId="697" applyFont="1" applyFill="1" applyBorder="1" applyAlignment="1">
      <alignment horizontal="center" vertical="center" wrapText="1"/>
    </xf>
    <xf numFmtId="0" fontId="59" fillId="73" borderId="105" xfId="901" applyFont="1" applyFill="1" applyBorder="1" applyAlignment="1">
      <alignment horizontal="center" vertical="center"/>
    </xf>
    <xf numFmtId="0" fontId="89" fillId="0" borderId="20" xfId="901" applyFont="1" applyBorder="1" applyAlignment="1">
      <alignment vertical="center"/>
    </xf>
    <xf numFmtId="0" fontId="58" fillId="0" borderId="20" xfId="901" applyFont="1" applyBorder="1" applyAlignment="1">
      <alignment vertical="center"/>
    </xf>
    <xf numFmtId="0" fontId="63" fillId="44" borderId="44" xfId="697" applyFont="1" applyFill="1" applyBorder="1" applyAlignment="1">
      <alignment horizontal="left" vertical="center" wrapText="1"/>
    </xf>
    <xf numFmtId="0" fontId="63" fillId="44" borderId="23" xfId="697" applyFont="1" applyFill="1" applyBorder="1" applyAlignment="1">
      <alignment horizontal="center" vertical="center" wrapText="1"/>
    </xf>
    <xf numFmtId="0" fontId="63" fillId="44" borderId="0" xfId="697" applyFont="1" applyFill="1" applyBorder="1" applyAlignment="1">
      <alignment horizontal="left" vertical="center" wrapText="1"/>
    </xf>
    <xf numFmtId="0" fontId="60" fillId="73" borderId="109" xfId="697" applyFont="1" applyFill="1" applyBorder="1" applyAlignment="1">
      <alignment horizontal="left" vertical="center" wrapText="1" indent="1"/>
    </xf>
    <xf numFmtId="0" fontId="58" fillId="73" borderId="110" xfId="901" applyFont="1" applyFill="1" applyBorder="1" applyAlignment="1">
      <alignment horizontal="center" vertical="center"/>
    </xf>
    <xf numFmtId="0" fontId="58" fillId="73" borderId="111" xfId="901" applyFont="1" applyFill="1" applyBorder="1" applyAlignment="1">
      <alignment horizontal="center" vertical="center"/>
    </xf>
    <xf numFmtId="0" fontId="63" fillId="50" borderId="101" xfId="697" applyFont="1" applyFill="1" applyBorder="1" applyAlignment="1">
      <alignment horizontal="left" vertical="center" wrapText="1" indent="1"/>
    </xf>
    <xf numFmtId="0" fontId="59" fillId="50" borderId="101" xfId="901" applyFont="1" applyFill="1" applyBorder="1" applyAlignment="1">
      <alignment horizontal="center" vertical="center"/>
    </xf>
    <xf numFmtId="0" fontId="58" fillId="50" borderId="103" xfId="901" applyFont="1" applyFill="1" applyBorder="1" applyAlignment="1">
      <alignment horizontal="center" vertical="center"/>
    </xf>
    <xf numFmtId="0" fontId="58" fillId="50" borderId="104" xfId="901" applyFont="1" applyFill="1" applyBorder="1" applyAlignment="1">
      <alignment horizontal="center" vertical="center"/>
    </xf>
    <xf numFmtId="0" fontId="4" fillId="0" borderId="0" xfId="901" applyAlignment="1">
      <alignment vertical="center"/>
    </xf>
    <xf numFmtId="0" fontId="63" fillId="0" borderId="41" xfId="697" applyFont="1" applyFill="1" applyBorder="1" applyAlignment="1">
      <alignment horizontal="left" vertical="center" wrapText="1"/>
    </xf>
    <xf numFmtId="0" fontId="63" fillId="50" borderId="105" xfId="697" applyFont="1" applyFill="1" applyBorder="1" applyAlignment="1">
      <alignment horizontal="left" vertical="center" wrapText="1" indent="1"/>
    </xf>
    <xf numFmtId="0" fontId="59" fillId="50" borderId="105" xfId="901" applyFont="1" applyFill="1" applyBorder="1" applyAlignment="1">
      <alignment horizontal="center" vertical="center"/>
    </xf>
    <xf numFmtId="0" fontId="58" fillId="50" borderId="107" xfId="901" applyFont="1" applyFill="1" applyBorder="1" applyAlignment="1">
      <alignment horizontal="center" vertical="center"/>
    </xf>
    <xf numFmtId="0" fontId="58" fillId="50" borderId="108" xfId="901" applyFont="1" applyFill="1" applyBorder="1" applyAlignment="1">
      <alignment horizontal="center" vertical="center"/>
    </xf>
    <xf numFmtId="0" fontId="63" fillId="45" borderId="42" xfId="697" applyFont="1" applyFill="1" applyBorder="1" applyAlignment="1">
      <alignment horizontal="left" vertical="center" wrapText="1"/>
    </xf>
    <xf numFmtId="0" fontId="63" fillId="50" borderId="109" xfId="697" applyFont="1" applyFill="1" applyBorder="1" applyAlignment="1">
      <alignment horizontal="left" vertical="center" wrapText="1" indent="1"/>
    </xf>
    <xf numFmtId="0" fontId="59" fillId="50" borderId="109" xfId="901" applyFont="1" applyFill="1" applyBorder="1" applyAlignment="1">
      <alignment horizontal="center" vertical="center"/>
    </xf>
    <xf numFmtId="0" fontId="58" fillId="50" borderId="110" xfId="901" applyFont="1" applyFill="1" applyBorder="1" applyAlignment="1">
      <alignment horizontal="center" vertical="center"/>
    </xf>
    <xf numFmtId="0" fontId="58" fillId="50" borderId="111" xfId="901" applyFont="1" applyFill="1" applyBorder="1" applyAlignment="1">
      <alignment horizontal="center" vertical="center"/>
    </xf>
    <xf numFmtId="0" fontId="60" fillId="50" borderId="50" xfId="697" applyFont="1" applyFill="1" applyBorder="1" applyAlignment="1">
      <alignment horizontal="left" vertical="center" wrapText="1"/>
    </xf>
    <xf numFmtId="0" fontId="63" fillId="50" borderId="112" xfId="697" applyFont="1" applyFill="1" applyBorder="1" applyAlignment="1">
      <alignment horizontal="left" vertical="center" wrapText="1" indent="1"/>
    </xf>
    <xf numFmtId="0" fontId="59" fillId="50" borderId="112" xfId="901" applyFont="1" applyFill="1" applyBorder="1" applyAlignment="1">
      <alignment horizontal="center" vertical="center"/>
    </xf>
    <xf numFmtId="0" fontId="58" fillId="50" borderId="114" xfId="901" applyFont="1" applyFill="1" applyBorder="1" applyAlignment="1">
      <alignment horizontal="center" vertical="center"/>
    </xf>
    <xf numFmtId="0" fontId="58" fillId="50" borderId="113" xfId="901" applyFont="1" applyFill="1" applyBorder="1" applyAlignment="1">
      <alignment horizontal="center" vertical="center"/>
    </xf>
    <xf numFmtId="0" fontId="60" fillId="50" borderId="74" xfId="697" applyFont="1" applyFill="1" applyBorder="1" applyAlignment="1">
      <alignment horizontal="left" vertical="center" wrapText="1"/>
    </xf>
    <xf numFmtId="0" fontId="60" fillId="50" borderId="23" xfId="697" applyFont="1" applyFill="1" applyBorder="1" applyAlignment="1">
      <alignment horizontal="left" vertical="center" wrapText="1"/>
    </xf>
    <xf numFmtId="0" fontId="60" fillId="50" borderId="30" xfId="697" applyFont="1" applyFill="1" applyBorder="1" applyAlignment="1">
      <alignment horizontal="left" vertical="center" wrapText="1"/>
    </xf>
    <xf numFmtId="0" fontId="63" fillId="0" borderId="42" xfId="697" applyFont="1" applyFill="1" applyBorder="1" applyAlignment="1">
      <alignment horizontal="left" vertical="center" wrapText="1"/>
    </xf>
    <xf numFmtId="0" fontId="60" fillId="44" borderId="74" xfId="697" applyFont="1" applyFill="1" applyBorder="1" applyAlignment="1">
      <alignment horizontal="left" vertical="center" wrapText="1"/>
    </xf>
    <xf numFmtId="0" fontId="58" fillId="0" borderId="0" xfId="901" applyFont="1" applyBorder="1" applyAlignment="1">
      <alignment horizontal="center" vertical="center"/>
    </xf>
    <xf numFmtId="0" fontId="58" fillId="0" borderId="0" xfId="901" applyFont="1" applyAlignment="1">
      <alignment horizontal="left" vertical="center"/>
    </xf>
    <xf numFmtId="0" fontId="63" fillId="0" borderId="50" xfId="697" applyFont="1" applyFill="1" applyBorder="1" applyAlignment="1">
      <alignment horizontal="center" vertical="center" wrapText="1"/>
    </xf>
    <xf numFmtId="0" fontId="59" fillId="0" borderId="22" xfId="901" applyFont="1" applyFill="1" applyBorder="1" applyAlignment="1">
      <alignment horizontal="center" vertical="center"/>
    </xf>
    <xf numFmtId="0" fontId="58" fillId="0" borderId="44" xfId="901" applyFont="1" applyFill="1" applyBorder="1" applyAlignment="1">
      <alignment horizontal="center" vertical="center"/>
    </xf>
    <xf numFmtId="0" fontId="58" fillId="0" borderId="28" xfId="901" applyFont="1" applyFill="1" applyBorder="1" applyAlignment="1">
      <alignment horizontal="center" vertical="center"/>
    </xf>
    <xf numFmtId="0" fontId="63" fillId="0" borderId="52" xfId="697" applyFont="1" applyFill="1" applyBorder="1" applyAlignment="1">
      <alignment horizontal="center" vertical="center" wrapText="1"/>
    </xf>
    <xf numFmtId="0" fontId="59" fillId="68" borderId="23" xfId="901" applyFont="1" applyFill="1" applyBorder="1" applyAlignment="1">
      <alignment horizontal="center" vertical="center"/>
    </xf>
    <xf numFmtId="0" fontId="58" fillId="68" borderId="0" xfId="901" applyFont="1" applyFill="1" applyBorder="1" applyAlignment="1">
      <alignment horizontal="center" vertical="center"/>
    </xf>
    <xf numFmtId="0" fontId="58" fillId="68" borderId="19" xfId="901" applyFont="1" applyFill="1" applyBorder="1" applyAlignment="1">
      <alignment horizontal="center" vertical="center"/>
    </xf>
    <xf numFmtId="0" fontId="58" fillId="0" borderId="27" xfId="901" applyFont="1" applyBorder="1" applyAlignment="1">
      <alignment horizontal="center" vertical="center"/>
    </xf>
    <xf numFmtId="0" fontId="58" fillId="0" borderId="17" xfId="901" applyFont="1" applyBorder="1" applyAlignment="1">
      <alignment horizontal="center" vertical="center"/>
    </xf>
    <xf numFmtId="0" fontId="58" fillId="0" borderId="16" xfId="901" applyFont="1" applyBorder="1" applyAlignment="1">
      <alignment horizontal="center" vertical="center"/>
    </xf>
    <xf numFmtId="0" fontId="63" fillId="68" borderId="42" xfId="697" applyFont="1" applyFill="1" applyBorder="1" applyAlignment="1">
      <alignment horizontal="left" vertical="center" wrapText="1"/>
    </xf>
    <xf numFmtId="0" fontId="59" fillId="53" borderId="23" xfId="901" applyFont="1" applyFill="1" applyBorder="1" applyAlignment="1">
      <alignment horizontal="center" vertical="center"/>
    </xf>
    <xf numFmtId="0" fontId="58" fillId="53" borderId="0" xfId="901" applyFont="1" applyFill="1" applyBorder="1" applyAlignment="1">
      <alignment horizontal="center" vertical="center"/>
    </xf>
    <xf numFmtId="0" fontId="58" fillId="53" borderId="19" xfId="901" applyFont="1" applyFill="1" applyBorder="1" applyAlignment="1">
      <alignment horizontal="center" vertical="center"/>
    </xf>
    <xf numFmtId="0" fontId="62" fillId="0" borderId="0" xfId="901" applyFont="1" applyFill="1" applyAlignment="1">
      <alignment horizontal="center" vertical="center"/>
    </xf>
    <xf numFmtId="0" fontId="58" fillId="0" borderId="25" xfId="901" applyFont="1" applyFill="1" applyBorder="1" applyAlignment="1">
      <alignment horizontal="center" vertical="center"/>
    </xf>
    <xf numFmtId="0" fontId="58" fillId="0" borderId="0" xfId="901" applyFont="1" applyFill="1" applyAlignment="1">
      <alignment horizontal="center" vertical="center"/>
    </xf>
    <xf numFmtId="0" fontId="63" fillId="53" borderId="42" xfId="697" applyFont="1" applyFill="1" applyBorder="1" applyAlignment="1">
      <alignment horizontal="left" vertical="center" wrapText="1"/>
    </xf>
    <xf numFmtId="0" fontId="59" fillId="43" borderId="23" xfId="901" applyFont="1" applyFill="1" applyBorder="1" applyAlignment="1">
      <alignment horizontal="center" vertical="center"/>
    </xf>
    <xf numFmtId="0" fontId="58" fillId="43" borderId="0" xfId="901" applyFont="1" applyFill="1" applyBorder="1" applyAlignment="1">
      <alignment horizontal="center" vertical="center"/>
    </xf>
    <xf numFmtId="0" fontId="58" fillId="43" borderId="19" xfId="901" applyFont="1" applyFill="1" applyBorder="1" applyAlignment="1">
      <alignment horizontal="center" vertical="center"/>
    </xf>
    <xf numFmtId="0" fontId="58" fillId="0" borderId="24" xfId="901" applyFont="1" applyFill="1" applyBorder="1" applyAlignment="1">
      <alignment horizontal="center" vertical="center"/>
    </xf>
    <xf numFmtId="0" fontId="58" fillId="0" borderId="19" xfId="901" applyFont="1" applyFill="1" applyBorder="1" applyAlignment="1">
      <alignment horizontal="center" vertical="center"/>
    </xf>
    <xf numFmtId="0" fontId="63" fillId="46" borderId="42" xfId="697" applyFont="1" applyFill="1" applyBorder="1" applyAlignment="1">
      <alignment horizontal="left" vertical="center" wrapText="1"/>
    </xf>
    <xf numFmtId="0" fontId="58" fillId="0" borderId="24" xfId="901" applyFont="1" applyBorder="1" applyAlignment="1">
      <alignment horizontal="center" vertical="center"/>
    </xf>
    <xf numFmtId="0" fontId="58" fillId="0" borderId="19" xfId="901" applyFont="1" applyBorder="1" applyAlignment="1">
      <alignment horizontal="center" vertical="center"/>
    </xf>
    <xf numFmtId="0" fontId="59" fillId="46" borderId="23" xfId="901" applyFont="1" applyFill="1" applyBorder="1" applyAlignment="1">
      <alignment horizontal="center" vertical="center"/>
    </xf>
    <xf numFmtId="0" fontId="58" fillId="46" borderId="0" xfId="901" applyFont="1" applyFill="1" applyBorder="1" applyAlignment="1">
      <alignment horizontal="center" vertical="center"/>
    </xf>
    <xf numFmtId="0" fontId="58" fillId="46" borderId="19" xfId="901" applyFont="1" applyFill="1" applyBorder="1" applyAlignment="1">
      <alignment horizontal="center" vertical="center"/>
    </xf>
    <xf numFmtId="0" fontId="59" fillId="0" borderId="23" xfId="901" applyFont="1" applyFill="1" applyBorder="1" applyAlignment="1">
      <alignment horizontal="center" vertical="center"/>
    </xf>
    <xf numFmtId="0" fontId="63" fillId="0" borderId="72" xfId="697" applyFont="1" applyFill="1" applyBorder="1" applyAlignment="1">
      <alignment horizontal="center" vertical="center" wrapText="1"/>
    </xf>
    <xf numFmtId="0" fontId="63" fillId="0" borderId="73" xfId="697" applyFont="1" applyFill="1" applyBorder="1" applyAlignment="1">
      <alignment horizontal="left" vertical="center" wrapText="1"/>
    </xf>
    <xf numFmtId="0" fontId="63" fillId="0" borderId="51" xfId="697" applyFont="1" applyFill="1" applyBorder="1" applyAlignment="1">
      <alignment horizontal="center" vertical="center" wrapText="1"/>
    </xf>
    <xf numFmtId="0" fontId="59" fillId="0" borderId="30" xfId="901" applyFont="1" applyFill="1" applyBorder="1" applyAlignment="1">
      <alignment horizontal="center" vertical="center"/>
    </xf>
    <xf numFmtId="0" fontId="58" fillId="0" borderId="17" xfId="901" applyFont="1" applyFill="1" applyBorder="1" applyAlignment="1">
      <alignment horizontal="center" vertical="center"/>
    </xf>
    <xf numFmtId="0" fontId="58" fillId="0" borderId="16" xfId="901" applyFont="1" applyFill="1" applyBorder="1" applyAlignment="1">
      <alignment horizontal="center" vertical="center"/>
    </xf>
    <xf numFmtId="0" fontId="63" fillId="0" borderId="43" xfId="697" applyFont="1" applyFill="1" applyBorder="1" applyAlignment="1">
      <alignment horizontal="left" vertical="center" wrapText="1"/>
    </xf>
    <xf numFmtId="0" fontId="63" fillId="0" borderId="74" xfId="697" applyFont="1" applyFill="1" applyBorder="1" applyAlignment="1">
      <alignment horizontal="center" vertical="center" wrapText="1"/>
    </xf>
    <xf numFmtId="0" fontId="63" fillId="0" borderId="75" xfId="697" applyFont="1" applyFill="1" applyBorder="1" applyAlignment="1">
      <alignment horizontal="left" vertical="center" wrapText="1"/>
    </xf>
    <xf numFmtId="0" fontId="59" fillId="68" borderId="22" xfId="901" applyFont="1" applyFill="1" applyBorder="1" applyAlignment="1">
      <alignment horizontal="center" vertical="center"/>
    </xf>
    <xf numFmtId="0" fontId="58" fillId="68" borderId="44" xfId="901" applyFont="1" applyFill="1" applyBorder="1" applyAlignment="1">
      <alignment horizontal="center" vertical="center"/>
    </xf>
    <xf numFmtId="0" fontId="58" fillId="68" borderId="28" xfId="901" applyFont="1" applyFill="1" applyBorder="1" applyAlignment="1">
      <alignment horizontal="center" vertical="center"/>
    </xf>
    <xf numFmtId="0" fontId="58" fillId="53" borderId="26" xfId="901" applyFont="1" applyFill="1" applyBorder="1" applyAlignment="1">
      <alignment horizontal="center" vertical="center"/>
    </xf>
    <xf numFmtId="0" fontId="58" fillId="53" borderId="64" xfId="901" applyFont="1" applyFill="1" applyBorder="1" applyAlignment="1">
      <alignment horizontal="center" vertical="center"/>
    </xf>
    <xf numFmtId="0" fontId="58" fillId="53" borderId="29" xfId="901" applyFont="1" applyFill="1" applyBorder="1" applyAlignment="1">
      <alignment horizontal="center" vertical="center"/>
    </xf>
    <xf numFmtId="0" fontId="62" fillId="0" borderId="0" xfId="901" applyFont="1" applyFill="1" applyAlignment="1">
      <alignment horizontal="left" vertical="center"/>
    </xf>
    <xf numFmtId="0" fontId="58" fillId="0" borderId="26" xfId="901" applyFont="1" applyBorder="1" applyAlignment="1">
      <alignment horizontal="center" vertical="center"/>
    </xf>
    <xf numFmtId="0" fontId="58" fillId="0" borderId="64" xfId="901" applyFont="1" applyBorder="1" applyAlignment="1">
      <alignment horizontal="center" vertical="center"/>
    </xf>
    <xf numFmtId="0" fontId="58" fillId="0" borderId="29" xfId="901" applyFont="1" applyBorder="1" applyAlignment="1">
      <alignment horizontal="center" vertical="center"/>
    </xf>
    <xf numFmtId="0" fontId="58" fillId="53" borderId="25" xfId="901" applyFont="1" applyFill="1" applyBorder="1" applyAlignment="1">
      <alignment horizontal="center" vertical="center"/>
    </xf>
    <xf numFmtId="0" fontId="58" fillId="53" borderId="44" xfId="901" applyFont="1" applyFill="1" applyBorder="1" applyAlignment="1">
      <alignment horizontal="center" vertical="center"/>
    </xf>
    <xf numFmtId="0" fontId="58" fillId="53" borderId="28" xfId="901" applyFont="1" applyFill="1" applyBorder="1" applyAlignment="1">
      <alignment horizontal="center" vertical="center"/>
    </xf>
    <xf numFmtId="0" fontId="58" fillId="46" borderId="25" xfId="901" applyFont="1" applyFill="1" applyBorder="1" applyAlignment="1">
      <alignment horizontal="center" vertical="center"/>
    </xf>
    <xf numFmtId="0" fontId="58" fillId="46" borderId="44" xfId="901" applyFont="1" applyFill="1" applyBorder="1" applyAlignment="1">
      <alignment horizontal="center" vertical="center"/>
    </xf>
    <xf numFmtId="0" fontId="58" fillId="46" borderId="28" xfId="901" applyFont="1" applyFill="1" applyBorder="1" applyAlignment="1">
      <alignment horizontal="center" vertical="center"/>
    </xf>
    <xf numFmtId="0" fontId="63" fillId="0" borderId="30" xfId="697" applyFont="1" applyFill="1" applyBorder="1" applyAlignment="1">
      <alignment horizontal="center" vertical="center" wrapText="1"/>
    </xf>
    <xf numFmtId="0" fontId="59" fillId="53" borderId="30" xfId="901" applyFont="1" applyFill="1" applyBorder="1" applyAlignment="1">
      <alignment horizontal="center" vertical="center"/>
    </xf>
    <xf numFmtId="0" fontId="58" fillId="53" borderId="17" xfId="901" applyFont="1" applyFill="1" applyBorder="1" applyAlignment="1">
      <alignment horizontal="center" vertical="center"/>
    </xf>
    <xf numFmtId="0" fontId="58" fillId="53" borderId="16" xfId="901" applyFont="1" applyFill="1" applyBorder="1" applyAlignment="1">
      <alignment horizontal="center" vertical="center"/>
    </xf>
    <xf numFmtId="0" fontId="58" fillId="53" borderId="27" xfId="901" applyFont="1" applyFill="1" applyBorder="1" applyAlignment="1">
      <alignment horizontal="center" vertical="center"/>
    </xf>
    <xf numFmtId="0" fontId="63" fillId="53" borderId="43" xfId="697" applyFont="1" applyFill="1" applyBorder="1" applyAlignment="1">
      <alignment horizontal="left" vertical="center" wrapText="1"/>
    </xf>
    <xf numFmtId="0" fontId="59" fillId="46" borderId="30" xfId="901" applyFont="1" applyFill="1" applyBorder="1" applyAlignment="1">
      <alignment horizontal="center" vertical="center"/>
    </xf>
    <xf numFmtId="0" fontId="58" fillId="46" borderId="17" xfId="901" applyFont="1" applyFill="1" applyBorder="1" applyAlignment="1">
      <alignment horizontal="center" vertical="center"/>
    </xf>
    <xf numFmtId="0" fontId="58" fillId="46" borderId="16" xfId="901" applyFont="1" applyFill="1" applyBorder="1" applyAlignment="1">
      <alignment horizontal="center" vertical="center"/>
    </xf>
    <xf numFmtId="0" fontId="58" fillId="46" borderId="27" xfId="901" applyFont="1" applyFill="1" applyBorder="1" applyAlignment="1">
      <alignment horizontal="center" vertical="center"/>
    </xf>
    <xf numFmtId="0" fontId="63" fillId="46" borderId="43" xfId="697" applyFont="1" applyFill="1" applyBorder="1" applyAlignment="1">
      <alignment horizontal="left" vertical="center" wrapText="1"/>
    </xf>
    <xf numFmtId="0" fontId="66" fillId="46" borderId="57" xfId="697" applyFont="1" applyFill="1" applyBorder="1" applyAlignment="1">
      <alignment horizontal="center" vertical="center" wrapText="1"/>
    </xf>
    <xf numFmtId="0" fontId="63" fillId="46" borderId="50" xfId="697" applyFont="1" applyFill="1" applyBorder="1" applyAlignment="1">
      <alignment horizontal="center" vertical="center" wrapText="1"/>
    </xf>
    <xf numFmtId="0" fontId="63" fillId="0" borderId="45" xfId="697" applyFont="1" applyFill="1" applyBorder="1" applyAlignment="1">
      <alignment horizontal="left" vertical="center" wrapText="1"/>
    </xf>
    <xf numFmtId="0" fontId="66" fillId="47" borderId="53" xfId="697" applyFont="1" applyFill="1" applyBorder="1" applyAlignment="1">
      <alignment horizontal="center" vertical="center" wrapText="1"/>
    </xf>
    <xf numFmtId="0" fontId="63" fillId="46" borderId="51" xfId="697" applyFont="1" applyFill="1" applyBorder="1" applyAlignment="1">
      <alignment horizontal="center" vertical="center" wrapText="1"/>
    </xf>
    <xf numFmtId="0" fontId="63" fillId="0" borderId="47" xfId="697" applyFont="1" applyFill="1" applyBorder="1" applyAlignment="1">
      <alignment horizontal="left" vertical="center" wrapText="1"/>
    </xf>
    <xf numFmtId="0" fontId="66" fillId="46" borderId="26" xfId="697" applyFont="1" applyFill="1" applyBorder="1" applyAlignment="1">
      <alignment horizontal="center" vertical="center" wrapText="1"/>
    </xf>
    <xf numFmtId="0" fontId="66" fillId="0" borderId="53" xfId="697" applyFont="1" applyFill="1" applyBorder="1" applyAlignment="1">
      <alignment horizontal="center" vertical="center" wrapText="1"/>
    </xf>
    <xf numFmtId="0" fontId="63" fillId="0" borderId="41" xfId="697" applyFont="1" applyFill="1" applyBorder="1" applyAlignment="1">
      <alignment horizontal="left" vertical="center"/>
    </xf>
    <xf numFmtId="0" fontId="63" fillId="0" borderId="42" xfId="697" applyFont="1" applyFill="1" applyBorder="1" applyAlignment="1">
      <alignment horizontal="left" vertical="center"/>
    </xf>
    <xf numFmtId="0" fontId="58" fillId="0" borderId="27" xfId="901" applyFont="1" applyFill="1" applyBorder="1" applyAlignment="1">
      <alignment horizontal="center" vertical="center"/>
    </xf>
    <xf numFmtId="0" fontId="66" fillId="45" borderId="55" xfId="697" applyFont="1" applyFill="1" applyBorder="1" applyAlignment="1">
      <alignment horizontal="center" vertical="center" wrapText="1"/>
    </xf>
    <xf numFmtId="0" fontId="68" fillId="45" borderId="50" xfId="697" quotePrefix="1" applyFont="1" applyFill="1" applyBorder="1" applyAlignment="1">
      <alignment horizontal="left" vertical="center" wrapText="1"/>
    </xf>
    <xf numFmtId="0" fontId="59" fillId="45" borderId="22" xfId="901" applyFont="1" applyFill="1" applyBorder="1" applyAlignment="1">
      <alignment horizontal="center" vertical="center"/>
    </xf>
    <xf numFmtId="0" fontId="58" fillId="45" borderId="44" xfId="901" applyFont="1" applyFill="1" applyBorder="1" applyAlignment="1">
      <alignment horizontal="center" vertical="center"/>
    </xf>
    <xf numFmtId="0" fontId="58" fillId="45" borderId="28" xfId="901" applyFont="1" applyFill="1" applyBorder="1" applyAlignment="1">
      <alignment horizontal="center" vertical="center"/>
    </xf>
    <xf numFmtId="0" fontId="63" fillId="45" borderId="45" xfId="697" applyFont="1" applyFill="1" applyBorder="1" applyAlignment="1">
      <alignment horizontal="left" vertical="center" wrapText="1"/>
    </xf>
    <xf numFmtId="0" fontId="63" fillId="45" borderId="52" xfId="697" applyFont="1" applyFill="1" applyBorder="1" applyAlignment="1">
      <alignment horizontal="center" vertical="center" wrapText="1"/>
    </xf>
    <xf numFmtId="0" fontId="59" fillId="45" borderId="30" xfId="901" applyFont="1" applyFill="1" applyBorder="1" applyAlignment="1">
      <alignment horizontal="center" vertical="center"/>
    </xf>
    <xf numFmtId="0" fontId="58" fillId="45" borderId="17" xfId="901" applyFont="1" applyFill="1" applyBorder="1" applyAlignment="1">
      <alignment horizontal="center" vertical="center"/>
    </xf>
    <xf numFmtId="0" fontId="58" fillId="45" borderId="16" xfId="901" applyFont="1" applyFill="1" applyBorder="1" applyAlignment="1">
      <alignment horizontal="center" vertical="center"/>
    </xf>
    <xf numFmtId="0" fontId="63" fillId="45" borderId="46" xfId="697" applyFont="1" applyFill="1" applyBorder="1" applyAlignment="1">
      <alignment horizontal="left" vertical="center" wrapText="1"/>
    </xf>
    <xf numFmtId="0" fontId="68" fillId="45" borderId="52" xfId="697" quotePrefix="1" applyFont="1" applyFill="1" applyBorder="1" applyAlignment="1">
      <alignment horizontal="left" vertical="center" wrapText="1"/>
    </xf>
    <xf numFmtId="0" fontId="59" fillId="45" borderId="23" xfId="901" applyFont="1" applyFill="1" applyBorder="1" applyAlignment="1">
      <alignment horizontal="center" vertical="center"/>
    </xf>
    <xf numFmtId="0" fontId="58" fillId="45" borderId="0" xfId="901" applyFont="1" applyFill="1" applyBorder="1" applyAlignment="1">
      <alignment horizontal="center" vertical="center"/>
    </xf>
    <xf numFmtId="0" fontId="58" fillId="45" borderId="19" xfId="901" applyFont="1" applyFill="1" applyBorder="1" applyAlignment="1">
      <alignment horizontal="center" vertical="center"/>
    </xf>
    <xf numFmtId="0" fontId="63" fillId="45" borderId="51" xfId="697" applyFont="1" applyFill="1" applyBorder="1" applyAlignment="1">
      <alignment horizontal="center" vertical="center" wrapText="1"/>
    </xf>
    <xf numFmtId="0" fontId="63" fillId="45" borderId="47" xfId="697" applyFont="1" applyFill="1" applyBorder="1" applyAlignment="1">
      <alignment horizontal="left" vertical="center" wrapText="1"/>
    </xf>
    <xf numFmtId="0" fontId="63" fillId="0" borderId="48" xfId="697" applyFont="1" applyFill="1" applyBorder="1" applyAlignment="1">
      <alignment horizontal="left" vertical="center" wrapText="1"/>
    </xf>
    <xf numFmtId="0" fontId="63" fillId="0" borderId="46" xfId="697" applyFont="1" applyFill="1" applyBorder="1" applyAlignment="1">
      <alignment horizontal="left" vertical="center" wrapText="1"/>
    </xf>
    <xf numFmtId="0" fontId="66" fillId="0" borderId="65" xfId="697" applyFont="1" applyFill="1" applyBorder="1" applyAlignment="1">
      <alignment horizontal="center" vertical="center" wrapText="1"/>
    </xf>
    <xf numFmtId="0" fontId="58" fillId="51" borderId="0" xfId="901" applyFont="1" applyFill="1" applyBorder="1" applyAlignment="1">
      <alignment horizontal="center" vertical="center"/>
    </xf>
    <xf numFmtId="0" fontId="58" fillId="51" borderId="19" xfId="901" applyFont="1" applyFill="1" applyBorder="1" applyAlignment="1">
      <alignment horizontal="center" vertical="center"/>
    </xf>
    <xf numFmtId="0" fontId="63" fillId="0" borderId="62" xfId="697" applyFont="1" applyFill="1" applyBorder="1" applyAlignment="1">
      <alignment horizontal="left" vertical="center" wrapText="1"/>
    </xf>
    <xf numFmtId="0" fontId="58" fillId="45" borderId="24" xfId="901" applyFont="1" applyFill="1" applyBorder="1" applyAlignment="1">
      <alignment horizontal="center" vertical="center"/>
    </xf>
    <xf numFmtId="0" fontId="58" fillId="45" borderId="27" xfId="901" applyFont="1" applyFill="1" applyBorder="1" applyAlignment="1">
      <alignment horizontal="center" vertical="center"/>
    </xf>
    <xf numFmtId="2" fontId="59" fillId="0" borderId="22" xfId="901" applyNumberFormat="1" applyFont="1" applyFill="1" applyBorder="1" applyAlignment="1">
      <alignment horizontal="center" vertical="center"/>
    </xf>
    <xf numFmtId="166" fontId="58" fillId="0" borderId="44" xfId="901" applyNumberFormat="1" applyFont="1" applyFill="1" applyBorder="1" applyAlignment="1">
      <alignment horizontal="center" vertical="center"/>
    </xf>
    <xf numFmtId="166" fontId="58" fillId="0" borderId="28" xfId="901" applyNumberFormat="1" applyFont="1" applyFill="1" applyBorder="1" applyAlignment="1">
      <alignment horizontal="center" vertical="center"/>
    </xf>
    <xf numFmtId="166" fontId="58" fillId="0" borderId="0" xfId="901" applyNumberFormat="1" applyFont="1" applyFill="1" applyBorder="1" applyAlignment="1">
      <alignment horizontal="center" vertical="center"/>
    </xf>
    <xf numFmtId="0" fontId="63" fillId="45" borderId="62" xfId="697" applyFont="1" applyFill="1" applyBorder="1" applyAlignment="1">
      <alignment horizontal="left" vertical="center" wrapText="1"/>
    </xf>
    <xf numFmtId="0" fontId="63" fillId="0" borderId="59" xfId="697" applyFont="1" applyFill="1" applyBorder="1" applyAlignment="1">
      <alignment horizontal="left" vertical="center" wrapText="1"/>
    </xf>
    <xf numFmtId="0" fontId="63" fillId="48" borderId="48" xfId="697" applyFont="1" applyFill="1" applyBorder="1" applyAlignment="1">
      <alignment horizontal="left" vertical="center" wrapText="1"/>
    </xf>
    <xf numFmtId="0" fontId="63" fillId="48" borderId="46" xfId="697" applyFont="1" applyFill="1" applyBorder="1" applyAlignment="1">
      <alignment horizontal="left" vertical="center" wrapText="1"/>
    </xf>
    <xf numFmtId="0" fontId="63" fillId="48" borderId="47" xfId="697" applyFont="1" applyFill="1" applyBorder="1" applyAlignment="1">
      <alignment horizontal="left" vertical="center" wrapText="1"/>
    </xf>
    <xf numFmtId="0" fontId="74" fillId="49" borderId="20" xfId="697" quotePrefix="1" applyFont="1" applyFill="1" applyBorder="1" applyAlignment="1">
      <alignment horizontal="left" vertical="center" wrapText="1"/>
    </xf>
    <xf numFmtId="0" fontId="59" fillId="50" borderId="23" xfId="901" applyFont="1" applyFill="1" applyBorder="1" applyAlignment="1">
      <alignment horizontal="center" vertical="center"/>
    </xf>
    <xf numFmtId="0" fontId="58" fillId="50" borderId="0" xfId="901" applyFont="1" applyFill="1" applyBorder="1" applyAlignment="1">
      <alignment horizontal="center" vertical="center"/>
    </xf>
    <xf numFmtId="0" fontId="58" fillId="50" borderId="19" xfId="901" applyFont="1" applyFill="1" applyBorder="1" applyAlignment="1">
      <alignment horizontal="center" vertical="center"/>
    </xf>
    <xf numFmtId="0" fontId="63" fillId="50" borderId="46" xfId="697" applyFont="1" applyFill="1" applyBorder="1" applyAlignment="1">
      <alignment horizontal="left" vertical="center" wrapText="1"/>
    </xf>
    <xf numFmtId="0" fontId="59" fillId="50" borderId="30" xfId="901" applyFont="1" applyFill="1" applyBorder="1" applyAlignment="1">
      <alignment horizontal="center" vertical="center"/>
    </xf>
    <xf numFmtId="0" fontId="58" fillId="50" borderId="17" xfId="901" applyFont="1" applyFill="1" applyBorder="1" applyAlignment="1">
      <alignment horizontal="center" vertical="center"/>
    </xf>
    <xf numFmtId="0" fontId="58" fillId="50" borderId="16" xfId="901" applyFont="1" applyFill="1" applyBorder="1" applyAlignment="1">
      <alignment horizontal="center" vertical="center"/>
    </xf>
    <xf numFmtId="0" fontId="63" fillId="50" borderId="47" xfId="697" applyFont="1" applyFill="1" applyBorder="1" applyAlignment="1">
      <alignment horizontal="left" vertical="center" wrapText="1"/>
    </xf>
    <xf numFmtId="0" fontId="58" fillId="50" borderId="26" xfId="901" applyFont="1" applyFill="1" applyBorder="1" applyAlignment="1">
      <alignment vertical="center"/>
    </xf>
    <xf numFmtId="0" fontId="59" fillId="50" borderId="20" xfId="901" applyFont="1" applyFill="1" applyBorder="1" applyAlignment="1">
      <alignment horizontal="center" vertical="center"/>
    </xf>
    <xf numFmtId="0" fontId="58" fillId="50" borderId="64" xfId="901" applyFont="1" applyFill="1" applyBorder="1" applyAlignment="1">
      <alignment horizontal="center" vertical="center"/>
    </xf>
    <xf numFmtId="0" fontId="58" fillId="50" borderId="29" xfId="901" applyFont="1" applyFill="1" applyBorder="1" applyAlignment="1">
      <alignment horizontal="center" vertical="center"/>
    </xf>
    <xf numFmtId="0" fontId="63" fillId="50" borderId="63" xfId="697" applyFont="1" applyFill="1" applyBorder="1" applyAlignment="1">
      <alignment horizontal="left" vertical="center" wrapText="1"/>
    </xf>
    <xf numFmtId="0" fontId="72" fillId="0" borderId="47" xfId="697" applyFont="1" applyFill="1" applyBorder="1" applyAlignment="1">
      <alignment horizontal="left" vertical="center" wrapText="1"/>
    </xf>
    <xf numFmtId="0" fontId="66" fillId="0" borderId="24" xfId="697" applyFont="1" applyFill="1" applyBorder="1" applyAlignment="1">
      <alignment horizontal="center" vertical="center" wrapText="1"/>
    </xf>
    <xf numFmtId="0" fontId="63" fillId="0" borderId="66" xfId="697" applyFont="1" applyFill="1" applyBorder="1" applyAlignment="1">
      <alignment horizontal="left" vertical="center" wrapText="1"/>
    </xf>
    <xf numFmtId="0" fontId="66" fillId="0" borderId="0" xfId="697" applyFont="1" applyFill="1" applyBorder="1" applyAlignment="1">
      <alignment horizontal="center" vertical="center" wrapText="1"/>
    </xf>
    <xf numFmtId="0" fontId="59" fillId="51" borderId="30" xfId="901" applyFont="1" applyFill="1" applyBorder="1" applyAlignment="1">
      <alignment horizontal="center" vertical="center"/>
    </xf>
    <xf numFmtId="0" fontId="58" fillId="51" borderId="17" xfId="901" applyFont="1" applyFill="1" applyBorder="1" applyAlignment="1">
      <alignment horizontal="center" vertical="center"/>
    </xf>
    <xf numFmtId="0" fontId="58" fillId="51" borderId="16" xfId="901" applyFont="1" applyFill="1" applyBorder="1" applyAlignment="1">
      <alignment horizontal="center" vertical="center"/>
    </xf>
    <xf numFmtId="0" fontId="63" fillId="51" borderId="47" xfId="697" applyFont="1" applyFill="1" applyBorder="1" applyAlignment="1">
      <alignment horizontal="left" vertical="center" wrapText="1"/>
    </xf>
    <xf numFmtId="0" fontId="66" fillId="43" borderId="57" xfId="697" applyFont="1" applyFill="1" applyBorder="1" applyAlignment="1">
      <alignment horizontal="center" vertical="center" wrapText="1"/>
    </xf>
    <xf numFmtId="0" fontId="58" fillId="50" borderId="24" xfId="901" applyFont="1" applyFill="1" applyBorder="1" applyAlignment="1">
      <alignment horizontal="center" vertical="center"/>
    </xf>
    <xf numFmtId="0" fontId="63" fillId="50" borderId="60" xfId="697" applyFont="1" applyFill="1" applyBorder="1" applyAlignment="1">
      <alignment horizontal="left" vertical="center" wrapText="1"/>
    </xf>
    <xf numFmtId="0" fontId="66" fillId="50" borderId="55" xfId="697" applyFont="1" applyFill="1" applyBorder="1" applyAlignment="1">
      <alignment horizontal="center" vertical="center" wrapText="1"/>
    </xf>
    <xf numFmtId="0" fontId="63" fillId="50" borderId="56" xfId="697" applyFont="1" applyFill="1" applyBorder="1" applyAlignment="1">
      <alignment horizontal="left" vertical="center" wrapText="1"/>
    </xf>
    <xf numFmtId="0" fontId="66" fillId="50" borderId="53" xfId="697" applyFont="1" applyFill="1" applyBorder="1" applyAlignment="1">
      <alignment horizontal="center" vertical="center" wrapText="1"/>
    </xf>
    <xf numFmtId="0" fontId="58" fillId="50" borderId="27" xfId="901" applyFont="1" applyFill="1" applyBorder="1" applyAlignment="1">
      <alignment horizontal="center" vertical="center"/>
    </xf>
    <xf numFmtId="0" fontId="63" fillId="50" borderId="61" xfId="697" applyFont="1" applyFill="1" applyBorder="1" applyAlignment="1">
      <alignment horizontal="left" vertical="center" wrapText="1"/>
    </xf>
    <xf numFmtId="0" fontId="58" fillId="0" borderId="0" xfId="901" applyFont="1" applyFill="1" applyBorder="1" applyAlignment="1">
      <alignment horizontal="left" vertical="center"/>
    </xf>
    <xf numFmtId="0" fontId="58" fillId="0" borderId="0" xfId="901" quotePrefix="1" applyFont="1" applyAlignment="1">
      <alignment horizontal="center" vertical="center" wrapText="1"/>
    </xf>
    <xf numFmtId="0" fontId="58" fillId="0" borderId="0" xfId="901" applyFont="1" applyFill="1" applyAlignment="1">
      <alignment horizontal="left" vertical="center" indent="1"/>
    </xf>
    <xf numFmtId="0" fontId="58" fillId="0" borderId="0" xfId="901" applyFont="1" applyAlignment="1">
      <alignment horizontal="left" vertical="center" indent="1"/>
    </xf>
    <xf numFmtId="0" fontId="58" fillId="0" borderId="0" xfId="901" applyFont="1" applyAlignment="1">
      <alignment horizontal="left" vertical="center" indent="3"/>
    </xf>
    <xf numFmtId="0" fontId="62" fillId="0" borderId="0" xfId="901" applyFont="1" applyAlignment="1">
      <alignment horizontal="left" vertical="center" indent="1"/>
    </xf>
    <xf numFmtId="0" fontId="58" fillId="0" borderId="0" xfId="901" applyFont="1" applyAlignment="1">
      <alignment horizontal="left" vertical="center" indent="2"/>
    </xf>
    <xf numFmtId="0" fontId="45" fillId="51" borderId="20" xfId="696" applyFont="1" applyFill="1" applyBorder="1" applyAlignment="1">
      <alignment horizontal="center" vertical="center" wrapText="1"/>
    </xf>
    <xf numFmtId="0" fontId="63" fillId="51" borderId="20" xfId="697" applyFont="1" applyFill="1" applyBorder="1" applyAlignment="1">
      <alignment horizontal="left" vertical="center" wrapText="1" indent="1"/>
    </xf>
    <xf numFmtId="0" fontId="46" fillId="51" borderId="20" xfId="696" applyFont="1" applyFill="1" applyBorder="1" applyAlignment="1">
      <alignment horizontal="center" vertical="center" wrapText="1"/>
    </xf>
    <xf numFmtId="0" fontId="46" fillId="51" borderId="20" xfId="696" applyFont="1" applyFill="1" applyBorder="1" applyAlignment="1" applyProtection="1">
      <alignment horizontal="center" vertical="center" wrapText="1"/>
      <protection locked="0"/>
    </xf>
    <xf numFmtId="0" fontId="63" fillId="0" borderId="20" xfId="697" applyFont="1" applyFill="1" applyBorder="1" applyAlignment="1">
      <alignment horizontal="left" vertical="center" wrapText="1" indent="1"/>
    </xf>
    <xf numFmtId="0" fontId="46" fillId="0" borderId="30" xfId="696" applyFont="1" applyFill="1" applyBorder="1" applyAlignment="1">
      <alignment horizontal="center" vertical="center" wrapText="1"/>
    </xf>
    <xf numFmtId="0" fontId="45" fillId="51" borderId="30" xfId="696" applyFont="1" applyFill="1" applyBorder="1" applyAlignment="1">
      <alignment horizontal="center" vertical="center" wrapText="1"/>
    </xf>
    <xf numFmtId="0" fontId="45" fillId="51" borderId="16" xfId="696" applyFont="1" applyFill="1" applyBorder="1" applyAlignment="1">
      <alignment horizontal="left" vertical="center" wrapText="1" indent="1"/>
    </xf>
    <xf numFmtId="0" fontId="45" fillId="51" borderId="16" xfId="696" applyFont="1" applyFill="1" applyBorder="1" applyAlignment="1">
      <alignment horizontal="center" vertical="center" wrapText="1"/>
    </xf>
    <xf numFmtId="2" fontId="4" fillId="53" borderId="20" xfId="0" applyNumberFormat="1" applyFont="1" applyFill="1" applyBorder="1" applyAlignment="1" applyProtection="1">
      <alignment horizontal="center" vertical="center"/>
      <protection locked="0"/>
    </xf>
    <xf numFmtId="0" fontId="45" fillId="51" borderId="19" xfId="696" applyFont="1" applyFill="1" applyBorder="1" applyAlignment="1">
      <alignment horizontal="center" vertical="center" wrapText="1"/>
    </xf>
    <xf numFmtId="0" fontId="45" fillId="51" borderId="19" xfId="696" applyFont="1" applyFill="1" applyBorder="1" applyAlignment="1">
      <alignment horizontal="left" vertical="center" wrapText="1" indent="1"/>
    </xf>
    <xf numFmtId="0" fontId="46" fillId="51" borderId="22" xfId="696" applyFont="1" applyFill="1" applyBorder="1" applyAlignment="1">
      <alignment horizontal="center" vertical="center" wrapText="1"/>
    </xf>
    <xf numFmtId="0" fontId="46" fillId="51" borderId="22" xfId="696" applyFont="1" applyFill="1" applyBorder="1" applyAlignment="1" applyProtection="1">
      <alignment horizontal="center" vertical="center" wrapText="1"/>
      <protection locked="0"/>
    </xf>
    <xf numFmtId="0" fontId="66" fillId="44" borderId="57" xfId="697" applyFont="1" applyFill="1" applyBorder="1" applyAlignment="1">
      <alignment horizontal="center" vertical="center" wrapText="1"/>
    </xf>
    <xf numFmtId="0" fontId="69" fillId="44" borderId="55" xfId="697" applyFont="1" applyFill="1" applyBorder="1" applyAlignment="1">
      <alignment horizontal="center" vertical="center" wrapText="1"/>
    </xf>
    <xf numFmtId="0" fontId="73" fillId="44" borderId="65" xfId="697" applyFont="1" applyFill="1" applyBorder="1" applyAlignment="1">
      <alignment horizontal="center" vertical="center" wrapText="1"/>
    </xf>
    <xf numFmtId="0" fontId="73" fillId="74" borderId="24" xfId="697" applyFont="1" applyFill="1" applyBorder="1" applyAlignment="1">
      <alignment horizontal="center" vertical="center" wrapText="1"/>
    </xf>
    <xf numFmtId="0" fontId="73" fillId="44" borderId="24" xfId="697" applyFont="1" applyFill="1" applyBorder="1" applyAlignment="1">
      <alignment horizontal="center" vertical="center" wrapText="1"/>
    </xf>
    <xf numFmtId="0" fontId="73" fillId="74" borderId="54" xfId="697" applyFont="1" applyFill="1" applyBorder="1" applyAlignment="1">
      <alignment horizontal="center" vertical="center" wrapText="1"/>
    </xf>
    <xf numFmtId="0" fontId="60" fillId="50" borderId="57" xfId="697" applyFont="1" applyFill="1" applyBorder="1" applyAlignment="1">
      <alignment horizontal="left" vertical="center" wrapText="1"/>
    </xf>
    <xf numFmtId="0" fontId="60" fillId="50" borderId="54" xfId="697" applyFont="1" applyFill="1" applyBorder="1" applyAlignment="1">
      <alignment horizontal="left" vertical="center" wrapText="1"/>
    </xf>
    <xf numFmtId="0" fontId="60" fillId="50" borderId="24" xfId="697" applyFont="1" applyFill="1" applyBorder="1" applyAlignment="1">
      <alignment horizontal="left" vertical="center" wrapText="1"/>
    </xf>
    <xf numFmtId="0" fontId="60" fillId="50" borderId="27" xfId="697" applyFont="1" applyFill="1" applyBorder="1" applyAlignment="1">
      <alignment horizontal="left" vertical="center" wrapText="1"/>
    </xf>
    <xf numFmtId="0" fontId="60" fillId="44" borderId="54" xfId="697" applyFont="1" applyFill="1" applyBorder="1" applyAlignment="1">
      <alignment horizontal="left" vertical="center" wrapText="1"/>
    </xf>
    <xf numFmtId="0" fontId="66" fillId="45" borderId="53" xfId="697" applyFont="1" applyFill="1" applyBorder="1" applyAlignment="1">
      <alignment horizontal="center" vertical="center" wrapText="1"/>
    </xf>
    <xf numFmtId="0" fontId="66" fillId="45" borderId="57" xfId="697" applyFont="1" applyFill="1" applyBorder="1" applyAlignment="1">
      <alignment horizontal="center" vertical="center" wrapText="1"/>
    </xf>
    <xf numFmtId="0" fontId="66" fillId="43" borderId="24" xfId="697" applyFont="1" applyFill="1" applyBorder="1" applyAlignment="1">
      <alignment horizontal="center" vertical="center" wrapText="1"/>
    </xf>
    <xf numFmtId="0" fontId="66" fillId="48" borderId="55" xfId="697" applyFont="1" applyFill="1" applyBorder="1" applyAlignment="1">
      <alignment horizontal="center" vertical="center" wrapText="1"/>
    </xf>
    <xf numFmtId="0" fontId="66" fillId="48" borderId="115" xfId="697" applyFont="1" applyFill="1" applyBorder="1" applyAlignment="1">
      <alignment horizontal="center" vertical="center" wrapText="1"/>
    </xf>
    <xf numFmtId="0" fontId="66" fillId="43" borderId="26" xfId="697" applyFont="1" applyFill="1" applyBorder="1" applyAlignment="1">
      <alignment horizontal="center" vertical="center" wrapText="1"/>
    </xf>
    <xf numFmtId="0" fontId="66" fillId="0" borderId="57" xfId="697" applyFont="1" applyFill="1" applyBorder="1" applyAlignment="1">
      <alignment horizontal="center" vertical="center" wrapText="1"/>
    </xf>
    <xf numFmtId="0" fontId="66" fillId="43" borderId="25" xfId="697" applyFont="1" applyFill="1" applyBorder="1" applyAlignment="1">
      <alignment horizontal="center" vertical="center" wrapText="1"/>
    </xf>
    <xf numFmtId="0" fontId="63" fillId="0" borderId="55" xfId="697" applyFont="1" applyFill="1" applyBorder="1" applyAlignment="1">
      <alignment horizontal="center" vertical="center" wrapText="1"/>
    </xf>
    <xf numFmtId="0" fontId="66" fillId="51" borderId="55" xfId="697" applyFont="1" applyFill="1" applyBorder="1" applyAlignment="1">
      <alignment horizontal="center" vertical="center" wrapText="1"/>
    </xf>
    <xf numFmtId="0" fontId="60" fillId="73" borderId="101" xfId="697" applyFont="1" applyFill="1" applyBorder="1" applyAlignment="1">
      <alignment horizontal="center" vertical="center" wrapText="1"/>
    </xf>
    <xf numFmtId="0" fontId="96" fillId="73" borderId="105" xfId="697" applyFont="1" applyFill="1" applyBorder="1" applyAlignment="1">
      <alignment horizontal="center" vertical="center" wrapText="1"/>
    </xf>
    <xf numFmtId="0" fontId="70" fillId="73" borderId="105" xfId="697" applyFont="1" applyFill="1" applyBorder="1" applyAlignment="1">
      <alignment horizontal="center" vertical="center" wrapText="1"/>
    </xf>
    <xf numFmtId="0" fontId="60" fillId="73" borderId="105" xfId="697" applyFont="1" applyFill="1" applyBorder="1" applyAlignment="1">
      <alignment horizontal="center" vertical="center" wrapText="1"/>
    </xf>
    <xf numFmtId="0" fontId="60" fillId="73" borderId="109" xfId="697" applyFont="1" applyFill="1" applyBorder="1" applyAlignment="1">
      <alignment horizontal="center" vertical="center" wrapText="1"/>
    </xf>
    <xf numFmtId="0" fontId="63" fillId="50" borderId="101" xfId="697" applyFont="1" applyFill="1" applyBorder="1" applyAlignment="1">
      <alignment horizontal="center" vertical="center" wrapText="1"/>
    </xf>
    <xf numFmtId="0" fontId="68" fillId="50" borderId="105" xfId="697" quotePrefix="1" applyFont="1" applyFill="1" applyBorder="1" applyAlignment="1">
      <alignment horizontal="left" vertical="center" wrapText="1"/>
    </xf>
    <xf numFmtId="0" fontId="63" fillId="50" borderId="109" xfId="697" applyFont="1" applyFill="1" applyBorder="1" applyAlignment="1">
      <alignment horizontal="center" vertical="center" wrapText="1"/>
    </xf>
    <xf numFmtId="0" fontId="63" fillId="50" borderId="112" xfId="697" applyFont="1" applyFill="1" applyBorder="1" applyAlignment="1">
      <alignment horizontal="center" vertical="center" wrapText="1"/>
    </xf>
    <xf numFmtId="0" fontId="63" fillId="50" borderId="105" xfId="697" applyFont="1" applyFill="1" applyBorder="1" applyAlignment="1">
      <alignment horizontal="center" vertical="center" wrapText="1"/>
    </xf>
    <xf numFmtId="0" fontId="60" fillId="0" borderId="50" xfId="697" applyFont="1" applyFill="1" applyBorder="1" applyAlignment="1">
      <alignment horizontal="left" vertical="center" wrapText="1"/>
    </xf>
    <xf numFmtId="0" fontId="63" fillId="0" borderId="50" xfId="697" applyFont="1" applyFill="1" applyBorder="1" applyAlignment="1">
      <alignment horizontal="left" vertical="center" wrapText="1" indent="1"/>
    </xf>
    <xf numFmtId="0" fontId="63" fillId="68" borderId="52" xfId="697" applyFont="1" applyFill="1" applyBorder="1" applyAlignment="1">
      <alignment horizontal="left" vertical="center" wrapText="1" indent="1"/>
    </xf>
    <xf numFmtId="0" fontId="63" fillId="68" borderId="52" xfId="697" applyFont="1" applyFill="1" applyBorder="1" applyAlignment="1">
      <alignment horizontal="center" vertical="center" wrapText="1"/>
    </xf>
    <xf numFmtId="0" fontId="63" fillId="53" borderId="52" xfId="697" applyFont="1" applyFill="1" applyBorder="1" applyAlignment="1">
      <alignment horizontal="left" vertical="center" wrapText="1" indent="1"/>
    </xf>
    <xf numFmtId="0" fontId="63" fillId="53" borderId="52" xfId="697" applyFont="1" applyFill="1" applyBorder="1" applyAlignment="1">
      <alignment horizontal="center" vertical="center" wrapText="1"/>
    </xf>
    <xf numFmtId="0" fontId="63" fillId="43" borderId="52" xfId="697" applyFont="1" applyFill="1" applyBorder="1" applyAlignment="1">
      <alignment horizontal="left" vertical="center" wrapText="1" indent="1"/>
    </xf>
    <xf numFmtId="0" fontId="63" fillId="43" borderId="52" xfId="697" applyFont="1" applyFill="1" applyBorder="1" applyAlignment="1">
      <alignment horizontal="center" vertical="center" wrapText="1"/>
    </xf>
    <xf numFmtId="0" fontId="63" fillId="46" borderId="52" xfId="697" applyFont="1" applyFill="1" applyBorder="1" applyAlignment="1">
      <alignment horizontal="left" vertical="center" wrapText="1" indent="1"/>
    </xf>
    <xf numFmtId="0" fontId="63" fillId="46" borderId="52" xfId="697" applyFont="1" applyFill="1" applyBorder="1" applyAlignment="1">
      <alignment horizontal="center" vertical="center" wrapText="1"/>
    </xf>
    <xf numFmtId="0" fontId="60" fillId="0" borderId="52" xfId="697" applyFont="1" applyFill="1" applyBorder="1" applyAlignment="1">
      <alignment horizontal="left" vertical="center" wrapText="1"/>
    </xf>
    <xf numFmtId="0" fontId="63" fillId="0" borderId="52" xfId="697" applyFont="1" applyFill="1" applyBorder="1" applyAlignment="1">
      <alignment horizontal="left" vertical="center" wrapText="1" indent="1"/>
    </xf>
    <xf numFmtId="0" fontId="63" fillId="0" borderId="72" xfId="697" applyFont="1" applyFill="1" applyBorder="1" applyAlignment="1">
      <alignment horizontal="left" vertical="center" wrapText="1" indent="1"/>
    </xf>
    <xf numFmtId="0" fontId="63" fillId="0" borderId="51" xfId="697" applyFont="1" applyFill="1" applyBorder="1" applyAlignment="1">
      <alignment horizontal="left" vertical="center" wrapText="1" indent="1"/>
    </xf>
    <xf numFmtId="0" fontId="63" fillId="0" borderId="74" xfId="697" applyFont="1" applyFill="1" applyBorder="1" applyAlignment="1">
      <alignment horizontal="left" vertical="center" wrapText="1" indent="1"/>
    </xf>
    <xf numFmtId="0" fontId="63" fillId="68" borderId="50" xfId="697" applyFont="1" applyFill="1" applyBorder="1" applyAlignment="1">
      <alignment horizontal="left" vertical="center" wrapText="1" indent="1"/>
    </xf>
    <xf numFmtId="0" fontId="63" fillId="68" borderId="50" xfId="697" applyFont="1" applyFill="1" applyBorder="1" applyAlignment="1">
      <alignment horizontal="center" vertical="center" wrapText="1"/>
    </xf>
    <xf numFmtId="0" fontId="63" fillId="53" borderId="74" xfId="697" applyFont="1" applyFill="1" applyBorder="1" applyAlignment="1">
      <alignment horizontal="left" vertical="center" wrapText="1" indent="1"/>
    </xf>
    <xf numFmtId="0" fontId="63" fillId="46" borderId="74" xfId="697" applyFont="1" applyFill="1" applyBorder="1" applyAlignment="1">
      <alignment horizontal="left" vertical="center" wrapText="1" indent="1"/>
    </xf>
    <xf numFmtId="0" fontId="63" fillId="53" borderId="30" xfId="697" applyFont="1" applyFill="1" applyBorder="1" applyAlignment="1">
      <alignment horizontal="left" vertical="center" wrapText="1" indent="1"/>
    </xf>
    <xf numFmtId="0" fontId="63" fillId="53" borderId="51" xfId="697" applyFont="1" applyFill="1" applyBorder="1" applyAlignment="1">
      <alignment horizontal="left" vertical="center" wrapText="1" indent="1"/>
    </xf>
    <xf numFmtId="0" fontId="63" fillId="53" borderId="51" xfId="697" applyFont="1" applyFill="1" applyBorder="1" applyAlignment="1">
      <alignment horizontal="center" vertical="center" wrapText="1"/>
    </xf>
    <xf numFmtId="0" fontId="63" fillId="46" borderId="30" xfId="697" applyFont="1" applyFill="1" applyBorder="1" applyAlignment="1">
      <alignment horizontal="left" vertical="center" wrapText="1" indent="1"/>
    </xf>
    <xf numFmtId="0" fontId="63" fillId="46" borderId="51" xfId="697" applyFont="1" applyFill="1" applyBorder="1" applyAlignment="1">
      <alignment horizontal="left" vertical="center" wrapText="1" indent="1"/>
    </xf>
    <xf numFmtId="0" fontId="72" fillId="0" borderId="50" xfId="697" applyFont="1" applyFill="1" applyBorder="1" applyAlignment="1">
      <alignment horizontal="center" vertical="center" wrapText="1"/>
    </xf>
    <xf numFmtId="0" fontId="72" fillId="0" borderId="52" xfId="697" applyFont="1" applyFill="1" applyBorder="1" applyAlignment="1">
      <alignment horizontal="center" vertical="center" wrapText="1"/>
    </xf>
    <xf numFmtId="0" fontId="63" fillId="45" borderId="50" xfId="697" applyFont="1" applyFill="1" applyBorder="1" applyAlignment="1">
      <alignment horizontal="left" vertical="center" wrapText="1" indent="1"/>
    </xf>
    <xf numFmtId="0" fontId="63" fillId="45" borderId="50" xfId="697" applyFont="1" applyFill="1" applyBorder="1" applyAlignment="1">
      <alignment horizontal="center" vertical="center" wrapText="1"/>
    </xf>
    <xf numFmtId="0" fontId="63" fillId="45" borderId="51" xfId="697" applyFont="1" applyFill="1" applyBorder="1" applyAlignment="1">
      <alignment horizontal="left" vertical="center" wrapText="1" indent="1"/>
    </xf>
    <xf numFmtId="0" fontId="63" fillId="45" borderId="74" xfId="697" applyFont="1" applyFill="1" applyBorder="1" applyAlignment="1">
      <alignment horizontal="left" vertical="center" wrapText="1" indent="1"/>
    </xf>
    <xf numFmtId="0" fontId="63" fillId="45" borderId="74" xfId="697" applyFont="1" applyFill="1" applyBorder="1" applyAlignment="1">
      <alignment horizontal="center" vertical="center" wrapText="1"/>
    </xf>
    <xf numFmtId="0" fontId="71" fillId="0" borderId="52" xfId="697" applyFont="1" applyFill="1" applyBorder="1" applyAlignment="1">
      <alignment horizontal="center" vertical="center" wrapText="1"/>
    </xf>
    <xf numFmtId="0" fontId="71" fillId="0" borderId="72" xfId="697" applyFont="1" applyFill="1" applyBorder="1" applyAlignment="1">
      <alignment horizontal="center" vertical="center" wrapText="1"/>
    </xf>
    <xf numFmtId="0" fontId="63" fillId="51" borderId="52" xfId="697" applyFont="1" applyFill="1" applyBorder="1" applyAlignment="1">
      <alignment horizontal="center" vertical="center" wrapText="1"/>
    </xf>
    <xf numFmtId="0" fontId="63" fillId="45" borderId="52" xfId="697" applyFont="1" applyFill="1" applyBorder="1" applyAlignment="1">
      <alignment horizontal="left" vertical="center" wrapText="1" indent="1"/>
    </xf>
    <xf numFmtId="0" fontId="58" fillId="0" borderId="23" xfId="901" applyFont="1" applyBorder="1" applyAlignment="1">
      <alignment horizontal="center" vertical="center"/>
    </xf>
    <xf numFmtId="0" fontId="63" fillId="0" borderId="22" xfId="697" applyFont="1" applyFill="1" applyBorder="1" applyAlignment="1">
      <alignment horizontal="left" vertical="center" wrapText="1" indent="1"/>
    </xf>
    <xf numFmtId="0" fontId="63" fillId="0" borderId="22" xfId="697" applyFont="1" applyFill="1" applyBorder="1" applyAlignment="1">
      <alignment horizontal="center" vertical="center" wrapText="1"/>
    </xf>
    <xf numFmtId="0" fontId="68" fillId="45" borderId="51" xfId="697" quotePrefix="1" applyFont="1" applyFill="1" applyBorder="1" applyAlignment="1">
      <alignment horizontal="left" vertical="center" wrapText="1"/>
    </xf>
    <xf numFmtId="0" fontId="63" fillId="50" borderId="74" xfId="697" applyFont="1" applyFill="1" applyBorder="1" applyAlignment="1">
      <alignment horizontal="center" vertical="center" wrapText="1"/>
    </xf>
    <xf numFmtId="0" fontId="63" fillId="50" borderId="23" xfId="697" applyFont="1" applyFill="1" applyBorder="1" applyAlignment="1">
      <alignment horizontal="left" vertical="center" wrapText="1" indent="1"/>
    </xf>
    <xf numFmtId="0" fontId="63" fillId="50" borderId="52" xfId="697" applyFont="1" applyFill="1" applyBorder="1" applyAlignment="1">
      <alignment horizontal="left" vertical="center" wrapText="1" indent="1"/>
    </xf>
    <xf numFmtId="0" fontId="63" fillId="50" borderId="52" xfId="697" applyFont="1" applyFill="1" applyBorder="1" applyAlignment="1">
      <alignment horizontal="center" vertical="center" wrapText="1"/>
    </xf>
    <xf numFmtId="0" fontId="63" fillId="0" borderId="23" xfId="697" applyFont="1" applyFill="1" applyBorder="1" applyAlignment="1">
      <alignment horizontal="left" vertical="center" wrapText="1" indent="1"/>
    </xf>
    <xf numFmtId="0" fontId="63" fillId="50" borderId="51" xfId="697" applyFont="1" applyFill="1" applyBorder="1" applyAlignment="1">
      <alignment horizontal="center" vertical="center" wrapText="1"/>
    </xf>
    <xf numFmtId="0" fontId="63" fillId="50" borderId="51" xfId="697" applyFont="1" applyFill="1" applyBorder="1" applyAlignment="1">
      <alignment horizontal="left" vertical="center" wrapText="1" indent="1"/>
    </xf>
    <xf numFmtId="0" fontId="63" fillId="50" borderId="20" xfId="697" applyFont="1" applyFill="1" applyBorder="1" applyAlignment="1">
      <alignment horizontal="center" vertical="center" wrapText="1"/>
    </xf>
    <xf numFmtId="0" fontId="63" fillId="50" borderId="20" xfId="697" applyFont="1" applyFill="1" applyBorder="1" applyAlignment="1">
      <alignment horizontal="left" vertical="center" wrapText="1" indent="1"/>
    </xf>
    <xf numFmtId="0" fontId="77" fillId="0" borderId="74" xfId="697" applyFont="1" applyFill="1" applyBorder="1" applyAlignment="1">
      <alignment horizontal="center" vertical="center" wrapText="1"/>
    </xf>
    <xf numFmtId="0" fontId="63" fillId="0" borderId="23" xfId="697" applyFont="1" applyFill="1" applyBorder="1" applyAlignment="1">
      <alignment horizontal="center" vertical="center" wrapText="1"/>
    </xf>
    <xf numFmtId="0" fontId="63" fillId="51" borderId="51" xfId="697" applyFont="1" applyFill="1" applyBorder="1" applyAlignment="1">
      <alignment horizontal="center" vertical="center" wrapText="1"/>
    </xf>
    <xf numFmtId="0" fontId="63" fillId="51" borderId="51" xfId="697" applyFont="1" applyFill="1" applyBorder="1" applyAlignment="1">
      <alignment horizontal="left" vertical="center" wrapText="1" indent="1"/>
    </xf>
    <xf numFmtId="0" fontId="68" fillId="50" borderId="50" xfId="697" quotePrefix="1" applyFont="1" applyFill="1" applyBorder="1" applyAlignment="1">
      <alignment horizontal="left" vertical="center" wrapText="1"/>
    </xf>
    <xf numFmtId="0" fontId="63" fillId="50" borderId="50" xfId="697" applyFont="1" applyFill="1" applyBorder="1" applyAlignment="1">
      <alignment horizontal="left" vertical="center" wrapText="1" indent="1"/>
    </xf>
    <xf numFmtId="0" fontId="63" fillId="50" borderId="50" xfId="697" applyFont="1" applyFill="1" applyBorder="1" applyAlignment="1">
      <alignment horizontal="center" vertical="center" wrapText="1"/>
    </xf>
    <xf numFmtId="0" fontId="60" fillId="0" borderId="20" xfId="697" applyFont="1" applyFill="1" applyBorder="1" applyAlignment="1">
      <alignment horizontal="left" vertical="center" wrapText="1" indent="1"/>
    </xf>
    <xf numFmtId="0" fontId="60" fillId="50" borderId="101" xfId="697" applyFont="1" applyFill="1" applyBorder="1" applyAlignment="1">
      <alignment horizontal="left" vertical="center" wrapText="1" indent="1"/>
    </xf>
    <xf numFmtId="0" fontId="70" fillId="50" borderId="105" xfId="697" quotePrefix="1" applyFont="1" applyFill="1" applyBorder="1" applyAlignment="1">
      <alignment horizontal="left" vertical="center" wrapText="1" indent="1"/>
    </xf>
    <xf numFmtId="0" fontId="60" fillId="50" borderId="109" xfId="697" applyFont="1" applyFill="1" applyBorder="1" applyAlignment="1">
      <alignment horizontal="left" vertical="center" wrapText="1" indent="1"/>
    </xf>
    <xf numFmtId="0" fontId="60" fillId="50" borderId="112" xfId="697" applyFont="1" applyFill="1" applyBorder="1" applyAlignment="1">
      <alignment horizontal="left" vertical="center" wrapText="1" indent="1"/>
    </xf>
    <xf numFmtId="0" fontId="60" fillId="50" borderId="105" xfId="697" applyFont="1" applyFill="1" applyBorder="1" applyAlignment="1">
      <alignment horizontal="left" vertical="center" wrapText="1" indent="1"/>
    </xf>
    <xf numFmtId="0" fontId="60" fillId="0" borderId="50" xfId="697" applyFont="1" applyFill="1" applyBorder="1" applyAlignment="1">
      <alignment horizontal="left" vertical="center" wrapText="1" indent="1"/>
    </xf>
    <xf numFmtId="0" fontId="60" fillId="68" borderId="52" xfId="697" applyFont="1" applyFill="1" applyBorder="1" applyAlignment="1">
      <alignment horizontal="left" vertical="center" wrapText="1" indent="1"/>
    </xf>
    <xf numFmtId="0" fontId="60" fillId="53" borderId="52" xfId="697" applyFont="1" applyFill="1" applyBorder="1" applyAlignment="1">
      <alignment horizontal="left" vertical="center" wrapText="1" indent="1"/>
    </xf>
    <xf numFmtId="0" fontId="60" fillId="43" borderId="52" xfId="697" applyFont="1" applyFill="1" applyBorder="1" applyAlignment="1">
      <alignment horizontal="left" vertical="center" wrapText="1" indent="1"/>
    </xf>
    <xf numFmtId="0" fontId="60" fillId="46" borderId="52" xfId="697" applyFont="1" applyFill="1" applyBorder="1" applyAlignment="1">
      <alignment horizontal="left" vertical="center" wrapText="1" indent="1"/>
    </xf>
    <xf numFmtId="0" fontId="60" fillId="0" borderId="52" xfId="697" applyFont="1" applyFill="1" applyBorder="1" applyAlignment="1">
      <alignment horizontal="left" vertical="center" wrapText="1" indent="1"/>
    </xf>
    <xf numFmtId="0" fontId="60" fillId="0" borderId="72" xfId="697" applyFont="1" applyFill="1" applyBorder="1" applyAlignment="1">
      <alignment horizontal="left" vertical="center" wrapText="1" indent="1"/>
    </xf>
    <xf numFmtId="0" fontId="60" fillId="0" borderId="51" xfId="697" applyFont="1" applyFill="1" applyBorder="1" applyAlignment="1">
      <alignment horizontal="left" vertical="center" wrapText="1" indent="1"/>
    </xf>
    <xf numFmtId="0" fontId="60" fillId="0" borderId="74" xfId="697" applyFont="1" applyFill="1" applyBorder="1" applyAlignment="1">
      <alignment horizontal="left" vertical="center" wrapText="1" indent="1"/>
    </xf>
    <xf numFmtId="0" fontId="60" fillId="68" borderId="50" xfId="697" applyFont="1" applyFill="1" applyBorder="1" applyAlignment="1">
      <alignment horizontal="left" vertical="center" wrapText="1" indent="1"/>
    </xf>
    <xf numFmtId="0" fontId="60" fillId="53" borderId="74" xfId="697" applyFont="1" applyFill="1" applyBorder="1" applyAlignment="1">
      <alignment horizontal="left" vertical="center" wrapText="1" indent="1"/>
    </xf>
    <xf numFmtId="0" fontId="60" fillId="46" borderId="74" xfId="697" applyFont="1" applyFill="1" applyBorder="1" applyAlignment="1">
      <alignment horizontal="left" vertical="center" wrapText="1" indent="1"/>
    </xf>
    <xf numFmtId="0" fontId="60" fillId="53" borderId="30" xfId="697" applyFont="1" applyFill="1" applyBorder="1" applyAlignment="1">
      <alignment horizontal="left" vertical="center" wrapText="1" indent="1"/>
    </xf>
    <xf numFmtId="0" fontId="60" fillId="46" borderId="30" xfId="697" applyFont="1" applyFill="1" applyBorder="1" applyAlignment="1">
      <alignment horizontal="left" vertical="center" wrapText="1" indent="1"/>
    </xf>
    <xf numFmtId="0" fontId="70" fillId="45" borderId="50" xfId="697" quotePrefix="1" applyFont="1" applyFill="1" applyBorder="1" applyAlignment="1">
      <alignment horizontal="left" vertical="center" wrapText="1" indent="1"/>
    </xf>
    <xf numFmtId="0" fontId="60" fillId="45" borderId="51" xfId="697" applyFont="1" applyFill="1" applyBorder="1" applyAlignment="1">
      <alignment horizontal="left" vertical="center" wrapText="1" indent="1"/>
    </xf>
    <xf numFmtId="0" fontId="60" fillId="45" borderId="22" xfId="697" applyFont="1" applyFill="1" applyBorder="1" applyAlignment="1">
      <alignment horizontal="left" vertical="center" wrapText="1" indent="1"/>
    </xf>
    <xf numFmtId="0" fontId="60" fillId="45" borderId="30" xfId="697" applyFont="1" applyFill="1" applyBorder="1" applyAlignment="1">
      <alignment horizontal="left" vertical="center" wrapText="1" indent="1"/>
    </xf>
    <xf numFmtId="0" fontId="70" fillId="45" borderId="74" xfId="697" quotePrefix="1" applyFont="1" applyFill="1" applyBorder="1" applyAlignment="1">
      <alignment horizontal="left" vertical="center" wrapText="1" indent="1"/>
    </xf>
    <xf numFmtId="0" fontId="70" fillId="45" borderId="52" xfId="697" quotePrefix="1" applyFont="1" applyFill="1" applyBorder="1" applyAlignment="1">
      <alignment horizontal="left" vertical="center" wrapText="1" indent="1"/>
    </xf>
    <xf numFmtId="0" fontId="60" fillId="0" borderId="22" xfId="697" applyFont="1" applyFill="1" applyBorder="1" applyAlignment="1">
      <alignment horizontal="left" vertical="center" wrapText="1" indent="1"/>
    </xf>
    <xf numFmtId="0" fontId="74" fillId="0" borderId="23" xfId="697" quotePrefix="1" applyFont="1" applyFill="1" applyBorder="1" applyAlignment="1">
      <alignment horizontal="left" vertical="center" wrapText="1" indent="1"/>
    </xf>
    <xf numFmtId="0" fontId="60" fillId="0" borderId="30" xfId="697" applyFont="1" applyFill="1" applyBorder="1" applyAlignment="1">
      <alignment horizontal="left" vertical="center" wrapText="1" indent="1"/>
    </xf>
    <xf numFmtId="0" fontId="60" fillId="45" borderId="52" xfId="697" applyFont="1" applyFill="1" applyBorder="1" applyAlignment="1">
      <alignment horizontal="left" vertical="center" wrapText="1" indent="1"/>
    </xf>
    <xf numFmtId="0" fontId="70" fillId="45" borderId="51" xfId="697" quotePrefix="1" applyFont="1" applyFill="1" applyBorder="1" applyAlignment="1">
      <alignment horizontal="left" vertical="center" wrapText="1" indent="1"/>
    </xf>
    <xf numFmtId="0" fontId="74" fillId="0" borderId="22" xfId="697" quotePrefix="1" applyFont="1" applyFill="1" applyBorder="1" applyAlignment="1">
      <alignment horizontal="left" vertical="center" wrapText="1" indent="1"/>
    </xf>
    <xf numFmtId="0" fontId="60" fillId="50" borderId="23" xfId="697" applyFont="1" applyFill="1" applyBorder="1" applyAlignment="1">
      <alignment horizontal="left" vertical="center" wrapText="1" indent="1"/>
    </xf>
    <xf numFmtId="0" fontId="60" fillId="0" borderId="23" xfId="697" applyFont="1" applyFill="1" applyBorder="1" applyAlignment="1">
      <alignment horizontal="left" vertical="center" wrapText="1" indent="1"/>
    </xf>
    <xf numFmtId="0" fontId="60" fillId="50" borderId="51" xfId="697" applyFont="1" applyFill="1" applyBorder="1" applyAlignment="1">
      <alignment horizontal="left" vertical="center" wrapText="1" indent="1"/>
    </xf>
    <xf numFmtId="0" fontId="60" fillId="50" borderId="20" xfId="697" applyFont="1" applyFill="1" applyBorder="1" applyAlignment="1">
      <alignment horizontal="left" vertical="center" wrapText="1" indent="1"/>
    </xf>
    <xf numFmtId="0" fontId="60" fillId="50" borderId="52" xfId="697" applyFont="1" applyFill="1" applyBorder="1" applyAlignment="1">
      <alignment horizontal="left" vertical="center" wrapText="1" indent="1"/>
    </xf>
    <xf numFmtId="0" fontId="58" fillId="0" borderId="50" xfId="901" applyFont="1" applyBorder="1" applyAlignment="1">
      <alignment horizontal="left" vertical="center" indent="1"/>
    </xf>
    <xf numFmtId="0" fontId="58" fillId="0" borderId="22" xfId="901" applyFont="1" applyFill="1" applyBorder="1" applyAlignment="1">
      <alignment horizontal="left" vertical="center" indent="1"/>
    </xf>
    <xf numFmtId="0" fontId="60" fillId="0" borderId="23" xfId="901" applyFont="1" applyFill="1" applyBorder="1" applyAlignment="1">
      <alignment horizontal="left" vertical="center" indent="1"/>
    </xf>
    <xf numFmtId="0" fontId="60" fillId="51" borderId="51" xfId="697" applyFont="1" applyFill="1" applyBorder="1" applyAlignment="1">
      <alignment horizontal="left" vertical="center" wrapText="1" indent="1"/>
    </xf>
    <xf numFmtId="0" fontId="70" fillId="50" borderId="50" xfId="697" quotePrefix="1" applyFont="1" applyFill="1" applyBorder="1" applyAlignment="1">
      <alignment horizontal="left" vertical="center" wrapText="1" indent="1"/>
    </xf>
    <xf numFmtId="0" fontId="38" fillId="0" borderId="26" xfId="696" applyFont="1" applyBorder="1" applyAlignment="1">
      <alignment horizontal="left" vertical="center" wrapText="1"/>
    </xf>
    <xf numFmtId="0" fontId="41" fillId="0" borderId="26" xfId="696" applyFont="1" applyFill="1" applyBorder="1" applyAlignment="1">
      <alignment horizontal="left" vertical="center" wrapText="1"/>
    </xf>
    <xf numFmtId="0" fontId="42" fillId="54" borderId="89" xfId="696" applyFont="1" applyFill="1" applyBorder="1" applyAlignment="1">
      <alignment horizontal="left" vertical="center" wrapText="1"/>
    </xf>
    <xf numFmtId="0" fontId="8" fillId="54" borderId="15" xfId="696" applyFont="1" applyFill="1" applyBorder="1" applyAlignment="1">
      <alignment horizontal="left" vertical="center" wrapText="1" indent="1"/>
    </xf>
    <xf numFmtId="0" fontId="43" fillId="0" borderId="30" xfId="696" applyFont="1" applyFill="1" applyBorder="1" applyAlignment="1">
      <alignment horizontal="left" vertical="center" wrapText="1"/>
    </xf>
    <xf numFmtId="0" fontId="9" fillId="0" borderId="16" xfId="696" applyFont="1" applyBorder="1" applyAlignment="1">
      <alignment horizontal="left" vertical="center" wrapText="1" indent="1"/>
    </xf>
    <xf numFmtId="0" fontId="45" fillId="0" borderId="30" xfId="696" applyFont="1" applyFill="1" applyBorder="1" applyAlignment="1">
      <alignment horizontal="left" vertical="center" wrapText="1"/>
    </xf>
    <xf numFmtId="0" fontId="88" fillId="53" borderId="0" xfId="696" applyFont="1" applyFill="1" applyAlignment="1">
      <alignment horizontal="left" vertical="center" wrapText="1"/>
    </xf>
    <xf numFmtId="0" fontId="10" fillId="0" borderId="16" xfId="696" applyFont="1" applyBorder="1" applyAlignment="1">
      <alignment horizontal="left" vertical="center" wrapText="1" indent="1"/>
    </xf>
    <xf numFmtId="0" fontId="11" fillId="0" borderId="16" xfId="696" applyFont="1" applyBorder="1" applyAlignment="1">
      <alignment horizontal="left" vertical="center" wrapText="1" indent="1"/>
    </xf>
    <xf numFmtId="0" fontId="11" fillId="0" borderId="26" xfId="696" applyFont="1" applyBorder="1" applyAlignment="1">
      <alignment horizontal="left" vertical="center" wrapText="1" indent="1"/>
    </xf>
    <xf numFmtId="0" fontId="11" fillId="0" borderId="20" xfId="696" applyFont="1" applyBorder="1" applyAlignment="1">
      <alignment horizontal="left" vertical="center" wrapText="1" indent="1"/>
    </xf>
    <xf numFmtId="0" fontId="45" fillId="0" borderId="20" xfId="696" applyFont="1" applyFill="1" applyBorder="1" applyAlignment="1">
      <alignment horizontal="left" vertical="center" wrapText="1"/>
    </xf>
    <xf numFmtId="0" fontId="12" fillId="0" borderId="17" xfId="696" applyFont="1" applyBorder="1" applyAlignment="1">
      <alignment horizontal="left" vertical="center" wrapText="1" indent="1"/>
    </xf>
    <xf numFmtId="0" fontId="12" fillId="0" borderId="16" xfId="696" applyFont="1" applyBorder="1" applyAlignment="1">
      <alignment horizontal="left" vertical="center" wrapText="1" indent="1"/>
    </xf>
    <xf numFmtId="4" fontId="11" fillId="0" borderId="16" xfId="696" applyNumberFormat="1" applyFont="1" applyBorder="1" applyAlignment="1">
      <alignment horizontal="left" vertical="center" wrapText="1" indent="1"/>
    </xf>
    <xf numFmtId="0" fontId="45" fillId="51" borderId="30" xfId="696" applyFont="1" applyFill="1" applyBorder="1" applyAlignment="1">
      <alignment horizontal="left" vertical="center" wrapText="1"/>
    </xf>
    <xf numFmtId="0" fontId="16" fillId="0" borderId="0" xfId="696" applyFill="1" applyAlignment="1">
      <alignment horizontal="left" vertical="center" wrapText="1"/>
    </xf>
    <xf numFmtId="0" fontId="11" fillId="51" borderId="16" xfId="696" applyFont="1" applyFill="1" applyBorder="1" applyAlignment="1">
      <alignment horizontal="left" vertical="center" wrapText="1" indent="1"/>
    </xf>
    <xf numFmtId="0" fontId="75" fillId="0" borderId="30" xfId="696" applyFont="1" applyFill="1" applyBorder="1" applyAlignment="1">
      <alignment horizontal="left" vertical="center" wrapText="1"/>
    </xf>
    <xf numFmtId="0" fontId="11" fillId="0" borderId="16" xfId="696" applyFont="1" applyFill="1" applyBorder="1" applyAlignment="1">
      <alignment horizontal="left" vertical="center" wrapText="1" indent="1"/>
    </xf>
    <xf numFmtId="0" fontId="99" fillId="0" borderId="30" xfId="696" applyFont="1" applyFill="1" applyBorder="1" applyAlignment="1">
      <alignment horizontal="left" vertical="center" wrapText="1"/>
    </xf>
    <xf numFmtId="0" fontId="75" fillId="51" borderId="30" xfId="696" applyFont="1" applyFill="1" applyBorder="1" applyAlignment="1">
      <alignment horizontal="left" vertical="center" wrapText="1"/>
    </xf>
    <xf numFmtId="4" fontId="11" fillId="51" borderId="16" xfId="696" applyNumberFormat="1" applyFont="1" applyFill="1" applyBorder="1" applyAlignment="1">
      <alignment horizontal="left" vertical="center" wrapText="1" indent="1"/>
    </xf>
    <xf numFmtId="4" fontId="11" fillId="0" borderId="16" xfId="696" applyNumberFormat="1" applyFont="1" applyFill="1" applyBorder="1" applyAlignment="1">
      <alignment horizontal="left" vertical="center" wrapText="1" indent="1"/>
    </xf>
    <xf numFmtId="0" fontId="45" fillId="51" borderId="20" xfId="696" applyFont="1" applyFill="1" applyBorder="1" applyAlignment="1">
      <alignment horizontal="left" vertical="center" wrapText="1"/>
    </xf>
    <xf numFmtId="0" fontId="75" fillId="51" borderId="23" xfId="696" applyFont="1" applyFill="1" applyBorder="1" applyAlignment="1">
      <alignment horizontal="left" vertical="center" wrapText="1"/>
    </xf>
    <xf numFmtId="4" fontId="11" fillId="51" borderId="19" xfId="696" applyNumberFormat="1" applyFont="1" applyFill="1" applyBorder="1" applyAlignment="1">
      <alignment horizontal="left" vertical="center" wrapText="1" indent="1"/>
    </xf>
    <xf numFmtId="0" fontId="11" fillId="51" borderId="20" xfId="696" applyFont="1" applyFill="1" applyBorder="1" applyAlignment="1">
      <alignment horizontal="left" vertical="center" wrapText="1" indent="1"/>
    </xf>
    <xf numFmtId="0" fontId="76" fillId="0" borderId="0" xfId="696" applyFont="1" applyAlignment="1">
      <alignment horizontal="left" vertical="center" wrapText="1"/>
    </xf>
    <xf numFmtId="0" fontId="75" fillId="47" borderId="30" xfId="696" applyFont="1" applyFill="1" applyBorder="1" applyAlignment="1">
      <alignment horizontal="left" vertical="center" wrapText="1"/>
    </xf>
    <xf numFmtId="0" fontId="11" fillId="0" borderId="17" xfId="696" applyFont="1" applyBorder="1" applyAlignment="1">
      <alignment horizontal="left" vertical="center" wrapText="1" indent="1"/>
    </xf>
    <xf numFmtId="0" fontId="27" fillId="0" borderId="0" xfId="696" applyFont="1" applyAlignment="1">
      <alignment horizontal="left" vertical="center" wrapText="1"/>
    </xf>
    <xf numFmtId="0" fontId="37" fillId="0" borderId="16" xfId="696" applyFont="1" applyBorder="1" applyAlignment="1">
      <alignment horizontal="left" vertical="center" wrapText="1" indent="1"/>
    </xf>
    <xf numFmtId="0" fontId="45" fillId="0" borderId="32" xfId="696" applyFont="1" applyFill="1" applyBorder="1" applyAlignment="1">
      <alignment horizontal="left" vertical="center" wrapText="1"/>
    </xf>
    <xf numFmtId="0" fontId="11" fillId="0" borderId="21" xfId="696" applyFont="1" applyBorder="1" applyAlignment="1">
      <alignment horizontal="left" vertical="center" wrapText="1" indent="1"/>
    </xf>
    <xf numFmtId="0" fontId="45" fillId="47" borderId="30" xfId="696" applyFont="1" applyFill="1" applyBorder="1" applyAlignment="1">
      <alignment horizontal="left" vertical="center" wrapText="1"/>
    </xf>
    <xf numFmtId="4" fontId="11" fillId="47" borderId="16" xfId="696" applyNumberFormat="1" applyFont="1" applyFill="1" applyBorder="1" applyAlignment="1">
      <alignment horizontal="left" vertical="center" wrapText="1" indent="1"/>
    </xf>
    <xf numFmtId="0" fontId="11" fillId="0" borderId="29" xfId="696" applyFont="1" applyBorder="1" applyAlignment="1">
      <alignment horizontal="left" vertical="center" wrapText="1" indent="1"/>
    </xf>
    <xf numFmtId="4" fontId="11" fillId="0" borderId="29" xfId="696" applyNumberFormat="1" applyFont="1" applyBorder="1" applyAlignment="1">
      <alignment horizontal="left" vertical="center" wrapText="1" indent="1"/>
    </xf>
    <xf numFmtId="0" fontId="12" fillId="0" borderId="64" xfId="696" applyFont="1" applyBorder="1" applyAlignment="1">
      <alignment horizontal="left" vertical="center" wrapText="1" indent="1"/>
    </xf>
    <xf numFmtId="0" fontId="45" fillId="0" borderId="23" xfId="696" applyFont="1" applyFill="1" applyBorder="1" applyAlignment="1">
      <alignment horizontal="left" vertical="center" wrapText="1"/>
    </xf>
    <xf numFmtId="0" fontId="45" fillId="0" borderId="22" xfId="696" applyFont="1" applyFill="1" applyBorder="1" applyAlignment="1">
      <alignment horizontal="left" vertical="center" wrapText="1"/>
    </xf>
    <xf numFmtId="0" fontId="11" fillId="0" borderId="19" xfId="696" applyFont="1" applyBorder="1" applyAlignment="1">
      <alignment horizontal="left" vertical="center" wrapText="1" indent="1"/>
    </xf>
    <xf numFmtId="4" fontId="11" fillId="0" borderId="21" xfId="696" applyNumberFormat="1" applyFont="1" applyBorder="1" applyAlignment="1">
      <alignment horizontal="left" vertical="center" wrapText="1" indent="1"/>
    </xf>
    <xf numFmtId="0" fontId="45" fillId="47" borderId="20" xfId="696" applyFont="1" applyFill="1" applyBorder="1" applyAlignment="1">
      <alignment horizontal="left" vertical="center" wrapText="1"/>
    </xf>
    <xf numFmtId="0" fontId="11" fillId="47" borderId="17" xfId="696" applyFont="1" applyFill="1" applyBorder="1" applyAlignment="1">
      <alignment horizontal="left" vertical="center" wrapText="1" indent="1"/>
    </xf>
    <xf numFmtId="0" fontId="41" fillId="0" borderId="0" xfId="696" applyFont="1" applyFill="1" applyAlignment="1">
      <alignment horizontal="left" vertical="center" wrapText="1"/>
    </xf>
    <xf numFmtId="0" fontId="46" fillId="52" borderId="20" xfId="696" applyFont="1" applyFill="1" applyBorder="1" applyAlignment="1" applyProtection="1">
      <alignment horizontal="center" vertical="center" wrapText="1"/>
      <protection locked="0"/>
    </xf>
    <xf numFmtId="0" fontId="100" fillId="52" borderId="50" xfId="697" applyFont="1" applyFill="1" applyBorder="1" applyAlignment="1">
      <alignment horizontal="left" vertical="center" wrapText="1" indent="1"/>
    </xf>
    <xf numFmtId="0" fontId="100" fillId="52" borderId="74" xfId="697" applyFont="1" applyFill="1" applyBorder="1" applyAlignment="1">
      <alignment horizontal="left" vertical="center" wrapText="1" indent="1"/>
    </xf>
    <xf numFmtId="0" fontId="100" fillId="52" borderId="52" xfId="697" applyFont="1" applyFill="1" applyBorder="1" applyAlignment="1">
      <alignment horizontal="left" vertical="center" wrapText="1" indent="1"/>
    </xf>
    <xf numFmtId="0" fontId="101" fillId="52" borderId="30" xfId="696" applyFont="1" applyFill="1" applyBorder="1" applyAlignment="1">
      <alignment horizontal="left" vertical="center" wrapText="1"/>
    </xf>
    <xf numFmtId="0" fontId="46" fillId="47" borderId="20" xfId="696" quotePrefix="1" applyFont="1" applyFill="1" applyBorder="1" applyAlignment="1">
      <alignment horizontal="center" vertical="center" wrapText="1"/>
    </xf>
    <xf numFmtId="0" fontId="43" fillId="52" borderId="20" xfId="696" applyFont="1" applyFill="1" applyBorder="1" applyAlignment="1" applyProtection="1">
      <alignment horizontal="center" vertical="center" wrapText="1"/>
      <protection locked="0"/>
    </xf>
    <xf numFmtId="0" fontId="60" fillId="52" borderId="52" xfId="697" applyFont="1" applyFill="1" applyBorder="1" applyAlignment="1">
      <alignment horizontal="left" vertical="center" wrapText="1" indent="1"/>
    </xf>
    <xf numFmtId="0" fontId="63" fillId="52" borderId="52" xfId="697" applyFont="1" applyFill="1" applyBorder="1" applyAlignment="1">
      <alignment horizontal="left" vertical="center" wrapText="1" indent="1"/>
    </xf>
    <xf numFmtId="0" fontId="58" fillId="67" borderId="0" xfId="901" applyFont="1" applyFill="1" applyBorder="1" applyAlignment="1">
      <alignment horizontal="center" vertical="center"/>
    </xf>
    <xf numFmtId="0" fontId="58" fillId="67" borderId="19" xfId="901" applyFont="1" applyFill="1" applyBorder="1" applyAlignment="1">
      <alignment horizontal="center" vertical="center"/>
    </xf>
    <xf numFmtId="0" fontId="60" fillId="67" borderId="52" xfId="697" applyFont="1" applyFill="1" applyBorder="1" applyAlignment="1">
      <alignment horizontal="left" vertical="center" wrapText="1" indent="1"/>
    </xf>
    <xf numFmtId="0" fontId="63" fillId="67" borderId="52" xfId="697" applyFont="1" applyFill="1" applyBorder="1" applyAlignment="1">
      <alignment horizontal="left" vertical="center" wrapText="1" indent="1"/>
    </xf>
    <xf numFmtId="0" fontId="63" fillId="67" borderId="52" xfId="697" applyFont="1" applyFill="1" applyBorder="1" applyAlignment="1">
      <alignment horizontal="center" vertical="center" wrapText="1"/>
    </xf>
    <xf numFmtId="0" fontId="59" fillId="67" borderId="23" xfId="901" applyFont="1" applyFill="1" applyBorder="1" applyAlignment="1">
      <alignment horizontal="center" vertical="center"/>
    </xf>
    <xf numFmtId="0" fontId="75" fillId="52" borderId="30" xfId="696" applyFont="1" applyFill="1" applyBorder="1" applyAlignment="1">
      <alignment horizontal="left" vertical="center" wrapText="1"/>
    </xf>
    <xf numFmtId="0" fontId="4" fillId="0" borderId="29" xfId="0" applyFont="1" applyFill="1" applyBorder="1" applyAlignment="1" applyProtection="1">
      <alignment horizontal="center" vertical="center"/>
      <protection locked="0"/>
    </xf>
    <xf numFmtId="0" fontId="4" fillId="0" borderId="29" xfId="0" applyFont="1" applyFill="1" applyBorder="1" applyAlignment="1">
      <alignment horizontal="center" vertical="center"/>
    </xf>
    <xf numFmtId="0" fontId="4" fillId="0" borderId="30" xfId="0" applyFont="1" applyFill="1" applyBorder="1" applyAlignment="1" applyProtection="1">
      <alignment horizontal="center" vertical="center"/>
      <protection locked="0"/>
    </xf>
    <xf numFmtId="0" fontId="4" fillId="54" borderId="20" xfId="0" applyFont="1" applyFill="1" applyBorder="1" applyAlignment="1">
      <alignment horizontal="center" vertical="center"/>
    </xf>
    <xf numFmtId="0" fontId="102" fillId="0" borderId="20" xfId="0" applyFont="1" applyFill="1" applyBorder="1" applyAlignment="1">
      <alignment horizontal="center" vertical="center" wrapText="1"/>
    </xf>
    <xf numFmtId="0" fontId="4" fillId="42" borderId="20" xfId="0" applyFont="1" applyFill="1" applyBorder="1" applyAlignment="1" applyProtection="1">
      <alignment horizontal="center" vertical="center"/>
      <protection locked="0"/>
    </xf>
    <xf numFmtId="0" fontId="5" fillId="42" borderId="20" xfId="0" applyFont="1" applyFill="1" applyBorder="1" applyAlignment="1" applyProtection="1">
      <alignment horizontal="center" vertical="center"/>
      <protection locked="0"/>
    </xf>
    <xf numFmtId="1" fontId="4" fillId="61" borderId="20" xfId="0" applyNumberFormat="1" applyFont="1" applyFill="1" applyBorder="1" applyAlignment="1">
      <alignment horizontal="center" vertical="center" wrapText="1"/>
    </xf>
    <xf numFmtId="0" fontId="4" fillId="61" borderId="20" xfId="0" applyFont="1" applyFill="1" applyBorder="1" applyAlignment="1">
      <alignment horizontal="center" vertical="center" wrapText="1"/>
    </xf>
    <xf numFmtId="0" fontId="68" fillId="0" borderId="50" xfId="697" quotePrefix="1" applyFont="1" applyFill="1" applyBorder="1" applyAlignment="1">
      <alignment horizontal="left" vertical="center" wrapText="1"/>
    </xf>
    <xf numFmtId="0" fontId="68" fillId="0" borderId="23" xfId="697" quotePrefix="1" applyFont="1" applyFill="1" applyBorder="1" applyAlignment="1">
      <alignment horizontal="left" vertical="center" wrapText="1"/>
    </xf>
    <xf numFmtId="0" fontId="53" fillId="0" borderId="30" xfId="911" applyFont="1" applyBorder="1" applyAlignment="1">
      <alignment horizontal="center"/>
    </xf>
    <xf numFmtId="0" fontId="6" fillId="40" borderId="0" xfId="0" applyFont="1" applyFill="1" applyBorder="1" applyAlignment="1" applyProtection="1">
      <alignment horizontal="center" vertical="center"/>
      <protection locked="0"/>
    </xf>
    <xf numFmtId="166" fontId="79" fillId="35" borderId="20" xfId="0" applyNumberFormat="1" applyFont="1" applyFill="1" applyBorder="1" applyAlignment="1" applyProtection="1">
      <alignment horizontal="center" vertical="center" wrapText="1"/>
      <protection locked="0"/>
    </xf>
    <xf numFmtId="0" fontId="73" fillId="44" borderId="24" xfId="697" applyFont="1" applyFill="1" applyBorder="1" applyAlignment="1">
      <alignment horizontal="center" vertical="center" wrapText="1"/>
    </xf>
    <xf numFmtId="0" fontId="60" fillId="73" borderId="23" xfId="697" applyFont="1" applyFill="1" applyBorder="1" applyAlignment="1">
      <alignment horizontal="left" vertical="center" wrapText="1" indent="1"/>
    </xf>
    <xf numFmtId="0" fontId="60" fillId="73" borderId="23" xfId="697" applyFont="1" applyFill="1" applyBorder="1" applyAlignment="1">
      <alignment horizontal="center" vertical="center" wrapText="1"/>
    </xf>
    <xf numFmtId="0" fontId="73" fillId="44" borderId="25" xfId="697" applyFont="1" applyFill="1" applyBorder="1" applyAlignment="1">
      <alignment vertical="center" wrapText="1"/>
    </xf>
    <xf numFmtId="0" fontId="73" fillId="44" borderId="24" xfId="697" applyFont="1" applyFill="1" applyBorder="1" applyAlignment="1">
      <alignment vertical="center" wrapText="1"/>
    </xf>
    <xf numFmtId="0" fontId="60" fillId="73" borderId="112" xfId="697" applyFont="1" applyFill="1" applyBorder="1" applyAlignment="1">
      <alignment horizontal="left" vertical="center" wrapText="1" indent="1"/>
    </xf>
    <xf numFmtId="0" fontId="60" fillId="73" borderId="112" xfId="697" applyFont="1" applyFill="1" applyBorder="1" applyAlignment="1">
      <alignment horizontal="center" vertical="center" wrapText="1"/>
    </xf>
    <xf numFmtId="0" fontId="65" fillId="73" borderId="112" xfId="901" applyFont="1" applyFill="1" applyBorder="1" applyAlignment="1">
      <alignment horizontal="center" vertical="center"/>
    </xf>
    <xf numFmtId="0" fontId="60" fillId="73" borderId="126" xfId="697" applyFont="1" applyFill="1" applyBorder="1" applyAlignment="1">
      <alignment horizontal="left" vertical="center" wrapText="1" indent="1"/>
    </xf>
    <xf numFmtId="0" fontId="60" fillId="73" borderId="126" xfId="697" applyFont="1" applyFill="1" applyBorder="1" applyAlignment="1">
      <alignment horizontal="center" vertical="center" wrapText="1"/>
    </xf>
    <xf numFmtId="0" fontId="65" fillId="73" borderId="126" xfId="901" applyFont="1" applyFill="1" applyBorder="1" applyAlignment="1">
      <alignment horizontal="center" vertical="center"/>
    </xf>
    <xf numFmtId="0" fontId="118" fillId="74" borderId="24" xfId="697" applyFont="1" applyFill="1" applyBorder="1" applyAlignment="1">
      <alignment horizontal="center" vertical="center" wrapText="1"/>
    </xf>
    <xf numFmtId="0" fontId="65" fillId="73" borderId="109" xfId="901" applyFont="1" applyFill="1" applyBorder="1" applyAlignment="1">
      <alignment horizontal="center" vertical="center"/>
    </xf>
    <xf numFmtId="0" fontId="60" fillId="44" borderId="74" xfId="697" applyFont="1" applyFill="1" applyBorder="1" applyAlignment="1">
      <alignment horizontal="center" vertical="center" wrapText="1"/>
    </xf>
    <xf numFmtId="0" fontId="58" fillId="73" borderId="102" xfId="901" applyFont="1" applyFill="1" applyBorder="1" applyAlignment="1">
      <alignment horizontal="center" vertical="center"/>
    </xf>
    <xf numFmtId="0" fontId="58" fillId="73" borderId="127" xfId="901" applyFont="1" applyFill="1" applyBorder="1" applyAlignment="1">
      <alignment horizontal="center" vertical="center"/>
    </xf>
    <xf numFmtId="0" fontId="58" fillId="73" borderId="128" xfId="901" applyFont="1" applyFill="1" applyBorder="1" applyAlignment="1">
      <alignment horizontal="center" vertical="center"/>
    </xf>
    <xf numFmtId="0" fontId="58" fillId="73" borderId="129" xfId="901" applyFont="1" applyFill="1" applyBorder="1" applyAlignment="1">
      <alignment horizontal="center" vertical="center"/>
    </xf>
    <xf numFmtId="0" fontId="58" fillId="73" borderId="130" xfId="901" applyFont="1" applyFill="1" applyBorder="1" applyAlignment="1">
      <alignment horizontal="center" vertical="center"/>
    </xf>
    <xf numFmtId="0" fontId="58" fillId="73" borderId="131" xfId="901" applyFont="1" applyFill="1" applyBorder="1" applyAlignment="1">
      <alignment horizontal="center" vertical="center"/>
    </xf>
    <xf numFmtId="0" fontId="58" fillId="73" borderId="114" xfId="901" applyFont="1" applyFill="1" applyBorder="1" applyAlignment="1">
      <alignment horizontal="center" vertical="center"/>
    </xf>
    <xf numFmtId="0" fontId="58" fillId="73" borderId="113" xfId="901" applyFont="1" applyFill="1" applyBorder="1" applyAlignment="1">
      <alignment horizontal="center" vertical="center"/>
    </xf>
    <xf numFmtId="0" fontId="66" fillId="0" borderId="25" xfId="697" applyFont="1" applyFill="1" applyBorder="1" applyAlignment="1">
      <alignment horizontal="center" vertical="center" wrapText="1"/>
    </xf>
    <xf numFmtId="0" fontId="71" fillId="0" borderId="22" xfId="697" applyFont="1" applyFill="1" applyBorder="1" applyAlignment="1">
      <alignment horizontal="center" vertical="center" wrapText="1"/>
    </xf>
    <xf numFmtId="0" fontId="71" fillId="0" borderId="51" xfId="697" applyFont="1" applyFill="1" applyBorder="1" applyAlignment="1">
      <alignment horizontal="center" vertical="center" wrapText="1"/>
    </xf>
    <xf numFmtId="0" fontId="63" fillId="0" borderId="30" xfId="697" applyFont="1" applyFill="1" applyBorder="1" applyAlignment="1">
      <alignment horizontal="left" vertical="center" wrapText="1" indent="1"/>
    </xf>
    <xf numFmtId="0" fontId="60" fillId="0" borderId="74" xfId="697" applyFont="1" applyFill="1" applyBorder="1" applyAlignment="1">
      <alignment horizontal="left" vertical="center" wrapText="1"/>
    </xf>
    <xf numFmtId="0" fontId="58" fillId="0" borderId="74" xfId="901" applyFont="1" applyBorder="1" applyAlignment="1">
      <alignment horizontal="left" vertical="center" indent="1"/>
    </xf>
    <xf numFmtId="0" fontId="75" fillId="53" borderId="30" xfId="696" applyFont="1" applyFill="1" applyBorder="1" applyAlignment="1">
      <alignment horizontal="left" vertical="center" wrapText="1"/>
    </xf>
    <xf numFmtId="0" fontId="45" fillId="53" borderId="20" xfId="696" applyFont="1" applyFill="1" applyBorder="1" applyAlignment="1">
      <alignment horizontal="left" vertical="center" wrapText="1"/>
    </xf>
    <xf numFmtId="0" fontId="53" fillId="0" borderId="30" xfId="911" applyFont="1" applyBorder="1" applyAlignment="1">
      <alignment horizontal="center"/>
    </xf>
    <xf numFmtId="0" fontId="81" fillId="69" borderId="0" xfId="0" applyFont="1" applyFill="1" applyAlignment="1" applyProtection="1">
      <alignment horizontal="center" vertical="center"/>
      <protection locked="0"/>
    </xf>
    <xf numFmtId="166" fontId="4" fillId="0" borderId="20" xfId="0" applyNumberFormat="1" applyFont="1" applyFill="1" applyBorder="1" applyAlignment="1">
      <alignment horizontal="center" vertical="center" wrapText="1"/>
    </xf>
    <xf numFmtId="0" fontId="79" fillId="35" borderId="13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0" xfId="0" applyNumberFormat="1" applyFont="1" applyAlignment="1" applyProtection="1">
      <alignment horizontal="center" vertical="center"/>
      <protection locked="0"/>
    </xf>
    <xf numFmtId="0" fontId="4" fillId="42" borderId="20" xfId="0" applyNumberFormat="1" applyFont="1" applyFill="1" applyBorder="1" applyAlignment="1" applyProtection="1">
      <alignment horizontal="center" vertical="center"/>
      <protection locked="0"/>
    </xf>
    <xf numFmtId="0" fontId="4" fillId="59" borderId="20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NumberFormat="1" applyFont="1" applyFill="1" applyBorder="1" applyAlignment="1" applyProtection="1">
      <alignment horizontal="center" vertical="center"/>
      <protection locked="0"/>
    </xf>
    <xf numFmtId="0" fontId="81" fillId="0" borderId="0" xfId="0" applyNumberFormat="1" applyFont="1" applyFill="1" applyBorder="1" applyAlignment="1" applyProtection="1">
      <alignment horizontal="center" vertical="center"/>
      <protection locked="0"/>
    </xf>
    <xf numFmtId="0" fontId="81" fillId="0" borderId="0" xfId="0" applyNumberFormat="1" applyFont="1" applyAlignment="1" applyProtection="1">
      <alignment horizontal="center" vertical="center"/>
      <protection locked="0"/>
    </xf>
    <xf numFmtId="0" fontId="119" fillId="0" borderId="20" xfId="0" applyFont="1" applyFill="1" applyBorder="1" applyAlignment="1" applyProtection="1">
      <alignment horizontal="center" vertical="center"/>
      <protection locked="0"/>
    </xf>
    <xf numFmtId="0" fontId="80" fillId="48" borderId="93" xfId="0" applyFont="1" applyFill="1" applyBorder="1" applyAlignment="1" applyProtection="1">
      <alignment horizontal="center" vertical="center"/>
      <protection locked="0"/>
    </xf>
    <xf numFmtId="0" fontId="80" fillId="48" borderId="83" xfId="0" applyFont="1" applyFill="1" applyBorder="1" applyAlignment="1" applyProtection="1">
      <alignment horizontal="center" vertical="center"/>
      <protection locked="0"/>
    </xf>
    <xf numFmtId="0" fontId="81" fillId="0" borderId="0" xfId="0" applyFont="1" applyBorder="1" applyAlignment="1" applyProtection="1">
      <alignment horizontal="center" vertical="center"/>
      <protection locked="0"/>
    </xf>
    <xf numFmtId="0" fontId="81" fillId="48" borderId="85" xfId="0" applyFont="1" applyFill="1" applyBorder="1" applyAlignment="1" applyProtection="1">
      <alignment horizontal="center" vertical="center"/>
      <protection locked="0"/>
    </xf>
    <xf numFmtId="0" fontId="81" fillId="48" borderId="0" xfId="0" applyFont="1" applyFill="1" applyBorder="1" applyAlignment="1" applyProtection="1">
      <alignment horizontal="center" vertical="center"/>
      <protection locked="0"/>
    </xf>
    <xf numFmtId="0" fontId="81" fillId="48" borderId="0" xfId="0" applyFont="1" applyFill="1" applyAlignment="1" applyProtection="1">
      <alignment horizontal="center" vertical="center"/>
      <protection locked="0"/>
    </xf>
    <xf numFmtId="0" fontId="80" fillId="48" borderId="17" xfId="0" applyFont="1" applyFill="1" applyBorder="1" applyAlignment="1" applyProtection="1">
      <alignment horizontal="center" vertical="center"/>
      <protection locked="0"/>
    </xf>
    <xf numFmtId="169" fontId="81" fillId="0" borderId="92" xfId="0" applyNumberFormat="1" applyFont="1" applyFill="1" applyBorder="1" applyAlignment="1" applyProtection="1">
      <alignment horizontal="center" vertical="center"/>
      <protection locked="0"/>
    </xf>
    <xf numFmtId="0" fontId="81" fillId="0" borderId="92" xfId="0" applyFont="1" applyBorder="1" applyAlignment="1" applyProtection="1">
      <alignment horizontal="center" vertical="center"/>
      <protection locked="0"/>
    </xf>
    <xf numFmtId="169" fontId="81" fillId="0" borderId="17" xfId="0" applyNumberFormat="1" applyFont="1" applyFill="1" applyBorder="1" applyAlignment="1" applyProtection="1">
      <alignment horizontal="center" vertical="center"/>
      <protection locked="0"/>
    </xf>
    <xf numFmtId="49" fontId="4" fillId="71" borderId="20" xfId="0" applyNumberFormat="1" applyFont="1" applyFill="1" applyBorder="1" applyAlignment="1" applyProtection="1">
      <alignment horizontal="center" vertical="center"/>
      <protection locked="0"/>
    </xf>
    <xf numFmtId="169" fontId="4" fillId="70" borderId="20" xfId="0" applyNumberFormat="1" applyFont="1" applyFill="1" applyBorder="1" applyAlignment="1" applyProtection="1">
      <alignment horizontal="center" vertical="center"/>
      <protection locked="0"/>
    </xf>
    <xf numFmtId="0" fontId="80" fillId="48" borderId="84" xfId="0" applyFont="1" applyFill="1" applyBorder="1" applyAlignment="1" applyProtection="1">
      <alignment horizontal="center" vertical="center"/>
      <protection locked="0"/>
    </xf>
    <xf numFmtId="0" fontId="81" fillId="0" borderId="67" xfId="0" applyFont="1" applyBorder="1" applyAlignment="1" applyProtection="1">
      <alignment horizontal="center" vertical="center"/>
      <protection locked="0"/>
    </xf>
    <xf numFmtId="0" fontId="81" fillId="48" borderId="68" xfId="0" applyFont="1" applyFill="1" applyBorder="1" applyAlignment="1" applyProtection="1">
      <alignment horizontal="center" vertical="center"/>
      <protection locked="0"/>
    </xf>
    <xf numFmtId="0" fontId="83" fillId="48" borderId="91" xfId="0" applyFont="1" applyFill="1" applyBorder="1" applyAlignment="1" applyProtection="1">
      <alignment horizontal="center" vertical="center"/>
      <protection locked="0"/>
    </xf>
    <xf numFmtId="0" fontId="83" fillId="48" borderId="0" xfId="0" applyFont="1" applyFill="1" applyAlignment="1" applyProtection="1">
      <alignment horizontal="center" vertical="center"/>
      <protection locked="0"/>
    </xf>
    <xf numFmtId="0" fontId="81" fillId="0" borderId="69" xfId="0" applyFont="1" applyFill="1" applyBorder="1" applyAlignment="1" applyProtection="1">
      <alignment horizontal="center" vertical="center"/>
      <protection locked="0"/>
    </xf>
    <xf numFmtId="0" fontId="81" fillId="0" borderId="70" xfId="0" applyFont="1" applyBorder="1" applyAlignment="1" applyProtection="1">
      <alignment horizontal="center" vertical="center"/>
      <protection locked="0"/>
    </xf>
    <xf numFmtId="0" fontId="81" fillId="0" borderId="99" xfId="0" applyFont="1" applyBorder="1" applyAlignment="1" applyProtection="1">
      <alignment horizontal="center" vertical="center"/>
      <protection locked="0"/>
    </xf>
    <xf numFmtId="0" fontId="81" fillId="48" borderId="67" xfId="0" applyFont="1" applyFill="1" applyBorder="1" applyAlignment="1" applyProtection="1">
      <alignment horizontal="center" vertical="center"/>
      <protection locked="0"/>
    </xf>
    <xf numFmtId="0" fontId="79" fillId="48" borderId="40" xfId="0" applyFont="1" applyFill="1" applyBorder="1" applyAlignment="1" applyProtection="1">
      <alignment horizontal="center" vertical="center"/>
      <protection locked="0"/>
    </xf>
    <xf numFmtId="2" fontId="83" fillId="48" borderId="91" xfId="0" applyNumberFormat="1" applyFont="1" applyFill="1" applyBorder="1" applyAlignment="1" applyProtection="1">
      <alignment horizontal="center" vertical="center"/>
      <protection locked="0"/>
    </xf>
    <xf numFmtId="0" fontId="92" fillId="51" borderId="67" xfId="798" applyFont="1" applyFill="1" applyBorder="1" applyAlignment="1">
      <alignment horizontal="center" vertical="center"/>
    </xf>
    <xf numFmtId="170" fontId="81" fillId="0" borderId="0" xfId="0" applyNumberFormat="1" applyFont="1" applyAlignment="1" applyProtection="1">
      <alignment horizontal="center" vertical="center"/>
      <protection locked="0"/>
    </xf>
    <xf numFmtId="173" fontId="81" fillId="0" borderId="0" xfId="0" applyNumberFormat="1" applyFont="1" applyBorder="1" applyAlignment="1" applyProtection="1">
      <alignment horizontal="center" vertical="center"/>
      <protection locked="0"/>
    </xf>
    <xf numFmtId="3" fontId="81" fillId="0" borderId="0" xfId="0" applyNumberFormat="1" applyFont="1" applyFill="1" applyAlignment="1" applyProtection="1">
      <alignment horizontal="center" vertical="center"/>
      <protection locked="0"/>
    </xf>
    <xf numFmtId="173" fontId="81" fillId="0" borderId="0" xfId="0" applyNumberFormat="1" applyFont="1" applyAlignment="1" applyProtection="1">
      <alignment horizontal="center" vertical="center"/>
      <protection locked="0"/>
    </xf>
    <xf numFmtId="0" fontId="81" fillId="37" borderId="78" xfId="0" applyFont="1" applyFill="1" applyBorder="1" applyAlignment="1" applyProtection="1">
      <alignment horizontal="center" vertical="center"/>
      <protection locked="0"/>
    </xf>
    <xf numFmtId="166" fontId="81" fillId="0" borderId="0" xfId="0" applyNumberFormat="1" applyFont="1" applyAlignment="1" applyProtection="1">
      <alignment horizontal="center" vertical="center"/>
      <protection locked="0"/>
    </xf>
    <xf numFmtId="0" fontId="81" fillId="39" borderId="71" xfId="0" applyFont="1" applyFill="1" applyBorder="1" applyAlignment="1">
      <alignment horizontal="center" vertical="center"/>
    </xf>
    <xf numFmtId="0" fontId="93" fillId="48" borderId="91" xfId="0" applyFont="1" applyFill="1" applyBorder="1" applyAlignment="1" applyProtection="1">
      <alignment horizontal="center" vertical="center"/>
      <protection locked="0"/>
    </xf>
    <xf numFmtId="0" fontId="93" fillId="48" borderId="0" xfId="0" applyFont="1" applyFill="1" applyAlignment="1" applyProtection="1">
      <alignment horizontal="center" vertical="center"/>
      <protection locked="0"/>
    </xf>
    <xf numFmtId="0" fontId="81" fillId="48" borderId="40" xfId="0" applyFont="1" applyFill="1" applyBorder="1" applyAlignment="1" applyProtection="1">
      <alignment horizontal="center" vertical="center"/>
      <protection locked="0"/>
    </xf>
    <xf numFmtId="2" fontId="93" fillId="48" borderId="91" xfId="0" applyNumberFormat="1" applyFont="1" applyFill="1" applyBorder="1" applyAlignment="1" applyProtection="1">
      <alignment horizontal="center" vertical="center"/>
      <protection locked="0"/>
    </xf>
    <xf numFmtId="49" fontId="4" fillId="57" borderId="20" xfId="0" applyNumberFormat="1" applyFont="1" applyFill="1" applyBorder="1" applyAlignment="1" applyProtection="1">
      <alignment horizontal="center" vertical="center"/>
      <protection locked="0"/>
    </xf>
    <xf numFmtId="171" fontId="4" fillId="61" borderId="20" xfId="0" applyNumberFormat="1" applyFont="1" applyFill="1" applyBorder="1" applyAlignment="1" applyProtection="1">
      <alignment horizontal="center" vertical="center"/>
      <protection locked="0"/>
    </xf>
    <xf numFmtId="1" fontId="4" fillId="69" borderId="20" xfId="0" applyNumberFormat="1" applyFont="1" applyFill="1" applyBorder="1" applyAlignment="1">
      <alignment horizontal="center" vertical="center"/>
    </xf>
    <xf numFmtId="169" fontId="4" fillId="72" borderId="20" xfId="0" applyNumberFormat="1" applyFont="1" applyFill="1" applyBorder="1" applyAlignment="1" applyProtection="1">
      <alignment horizontal="center" vertical="center"/>
      <protection locked="0"/>
    </xf>
    <xf numFmtId="0" fontId="4" fillId="0" borderId="20" xfId="0" applyFont="1" applyFill="1" applyBorder="1" applyAlignment="1" applyProtection="1">
      <alignment horizontal="center" vertical="center" wrapText="1"/>
      <protection locked="0"/>
    </xf>
    <xf numFmtId="170" fontId="4" fillId="0" borderId="20" xfId="0" applyNumberFormat="1" applyFont="1" applyFill="1" applyBorder="1" applyAlignment="1" applyProtection="1">
      <alignment horizontal="center" vertical="center"/>
      <protection locked="0"/>
    </xf>
    <xf numFmtId="170" fontId="4" fillId="62" borderId="20" xfId="0" applyNumberFormat="1" applyFont="1" applyFill="1" applyBorder="1" applyAlignment="1" applyProtection="1">
      <alignment horizontal="center" vertical="center"/>
      <protection locked="0"/>
    </xf>
    <xf numFmtId="166" fontId="4" fillId="0" borderId="0" xfId="0" applyNumberFormat="1" applyFont="1" applyFill="1" applyAlignment="1" applyProtection="1">
      <alignment horizontal="center" vertical="center"/>
      <protection locked="0"/>
    </xf>
    <xf numFmtId="49" fontId="4" fillId="69" borderId="20" xfId="0" applyNumberFormat="1" applyFont="1" applyFill="1" applyBorder="1" applyAlignment="1" applyProtection="1">
      <alignment horizontal="center" vertical="center"/>
      <protection locked="0"/>
    </xf>
    <xf numFmtId="176" fontId="4" fillId="0" borderId="20" xfId="0" applyNumberFormat="1" applyFont="1" applyFill="1" applyBorder="1" applyAlignment="1" applyProtection="1">
      <alignment horizontal="center" vertical="center"/>
      <protection locked="0"/>
    </xf>
    <xf numFmtId="0" fontId="81" fillId="53" borderId="0" xfId="0" applyFont="1" applyFill="1" applyAlignment="1" applyProtection="1">
      <alignment horizontal="center" vertical="center"/>
      <protection locked="0"/>
    </xf>
    <xf numFmtId="14" fontId="4" fillId="59" borderId="20" xfId="0" applyNumberFormat="1" applyFont="1" applyFill="1" applyBorder="1" applyAlignment="1" applyProtection="1">
      <alignment horizontal="center" vertical="center"/>
      <protection locked="0"/>
    </xf>
    <xf numFmtId="166" fontId="4" fillId="42" borderId="20" xfId="0" quotePrefix="1" applyNumberFormat="1" applyFont="1" applyFill="1" applyBorder="1" applyAlignment="1" applyProtection="1">
      <alignment horizontal="center" vertical="center"/>
      <protection locked="0"/>
    </xf>
    <xf numFmtId="171" fontId="4" fillId="42" borderId="20" xfId="0" applyNumberFormat="1" applyFont="1" applyFill="1" applyBorder="1" applyAlignment="1" applyProtection="1">
      <alignment horizontal="center" vertical="center"/>
      <protection locked="0"/>
    </xf>
    <xf numFmtId="170" fontId="4" fillId="0" borderId="0" xfId="0" applyNumberFormat="1" applyFont="1" applyFill="1" applyBorder="1" applyAlignment="1" applyProtection="1">
      <alignment horizontal="center" vertical="center"/>
      <protection locked="0"/>
    </xf>
    <xf numFmtId="170" fontId="4" fillId="0" borderId="0" xfId="0" applyNumberFormat="1" applyFont="1" applyFill="1" applyAlignment="1" applyProtection="1">
      <alignment horizontal="center" vertical="center"/>
      <protection locked="0"/>
    </xf>
    <xf numFmtId="3" fontId="4" fillId="0" borderId="0" xfId="0" applyNumberFormat="1" applyFont="1" applyFill="1" applyAlignment="1" applyProtection="1">
      <alignment horizontal="center" vertical="center"/>
      <protection locked="0"/>
    </xf>
    <xf numFmtId="173" fontId="4" fillId="0" borderId="0" xfId="0" applyNumberFormat="1" applyFont="1" applyBorder="1" applyAlignment="1" applyProtection="1">
      <alignment horizontal="center" vertical="center"/>
      <protection locked="0"/>
    </xf>
    <xf numFmtId="173" fontId="4" fillId="0" borderId="0" xfId="0" applyNumberFormat="1" applyFont="1" applyAlignment="1" applyProtection="1">
      <alignment horizontal="center" vertical="center"/>
      <protection locked="0"/>
    </xf>
    <xf numFmtId="49" fontId="4" fillId="0" borderId="0" xfId="0" applyNumberFormat="1" applyFont="1" applyFill="1" applyAlignment="1" applyProtection="1">
      <alignment horizontal="center" vertical="center"/>
      <protection locked="0"/>
    </xf>
    <xf numFmtId="173" fontId="4" fillId="0" borderId="17" xfId="0" applyNumberFormat="1" applyFont="1" applyFill="1" applyBorder="1" applyAlignment="1">
      <alignment horizontal="center" vertical="center"/>
    </xf>
    <xf numFmtId="170" fontId="4" fillId="0" borderId="0" xfId="0" applyNumberFormat="1" applyFont="1" applyAlignment="1" applyProtection="1">
      <alignment horizontal="center" vertical="center"/>
      <protection locked="0"/>
    </xf>
    <xf numFmtId="1" fontId="120" fillId="0" borderId="125" xfId="1047" applyNumberFormat="1" applyFont="1" applyFill="1" applyBorder="1" applyAlignment="1">
      <alignment horizontal="center" vertical="center" wrapText="1"/>
    </xf>
    <xf numFmtId="0" fontId="4" fillId="106" borderId="20" xfId="0" applyFont="1" applyFill="1" applyBorder="1" applyAlignment="1">
      <alignment horizontal="center" vertical="center"/>
    </xf>
    <xf numFmtId="173" fontId="4" fillId="106" borderId="20" xfId="0" applyNumberFormat="1" applyFont="1" applyFill="1" applyBorder="1" applyAlignment="1">
      <alignment horizontal="center" vertical="center"/>
    </xf>
    <xf numFmtId="49" fontId="4" fillId="106" borderId="20" xfId="0" applyNumberFormat="1" applyFont="1" applyFill="1" applyBorder="1" applyAlignment="1">
      <alignment horizontal="center" vertical="center"/>
    </xf>
    <xf numFmtId="1" fontId="4" fillId="106" borderId="20" xfId="0" applyNumberFormat="1" applyFont="1" applyFill="1" applyBorder="1" applyAlignment="1" applyProtection="1">
      <alignment horizontal="center" vertical="center"/>
      <protection locked="0"/>
    </xf>
    <xf numFmtId="166" fontId="4" fillId="106" borderId="20" xfId="0" applyNumberFormat="1" applyFont="1" applyFill="1" applyBorder="1" applyAlignment="1" applyProtection="1">
      <alignment horizontal="center" vertical="center"/>
      <protection locked="0"/>
    </xf>
    <xf numFmtId="173" fontId="4" fillId="106" borderId="20" xfId="0" applyNumberFormat="1" applyFont="1" applyFill="1" applyBorder="1" applyAlignment="1" applyProtection="1">
      <alignment horizontal="center" vertical="center"/>
      <protection locked="0"/>
    </xf>
    <xf numFmtId="0" fontId="4" fillId="106" borderId="20" xfId="0" applyFont="1" applyFill="1" applyBorder="1" applyAlignment="1" applyProtection="1">
      <alignment horizontal="center" vertical="center"/>
      <protection locked="0"/>
    </xf>
    <xf numFmtId="3" fontId="4" fillId="106" borderId="20" xfId="0" applyNumberFormat="1" applyFont="1" applyFill="1" applyBorder="1" applyAlignment="1" applyProtection="1">
      <alignment horizontal="center" vertical="center"/>
      <protection locked="0"/>
    </xf>
    <xf numFmtId="169" fontId="4" fillId="106" borderId="20" xfId="0" applyNumberFormat="1" applyFont="1" applyFill="1" applyBorder="1" applyAlignment="1" applyProtection="1">
      <alignment horizontal="center" vertical="center"/>
      <protection locked="0"/>
    </xf>
    <xf numFmtId="49" fontId="4" fillId="106" borderId="20" xfId="0" applyNumberFormat="1" applyFont="1" applyFill="1" applyBorder="1" applyAlignment="1" applyProtection="1">
      <alignment horizontal="center" vertical="center"/>
      <protection locked="0"/>
    </xf>
    <xf numFmtId="169" fontId="4" fillId="106" borderId="0" xfId="0" applyNumberFormat="1" applyFont="1" applyFill="1" applyBorder="1" applyAlignment="1" applyProtection="1">
      <alignment horizontal="center" vertical="center"/>
      <protection locked="0"/>
    </xf>
    <xf numFmtId="49" fontId="4" fillId="106" borderId="0" xfId="0" applyNumberFormat="1" applyFont="1" applyFill="1" applyBorder="1" applyAlignment="1" applyProtection="1">
      <alignment horizontal="center" vertical="center"/>
      <protection locked="0"/>
    </xf>
    <xf numFmtId="173" fontId="4" fillId="106" borderId="0" xfId="0" applyNumberFormat="1" applyFont="1" applyFill="1" applyBorder="1" applyAlignment="1" applyProtection="1">
      <alignment horizontal="center" vertical="center"/>
      <protection locked="0"/>
    </xf>
    <xf numFmtId="0" fontId="4" fillId="106" borderId="0" xfId="0" applyFont="1" applyFill="1" applyBorder="1" applyAlignment="1" applyProtection="1">
      <alignment horizontal="center" vertical="center"/>
      <protection locked="0"/>
    </xf>
    <xf numFmtId="1" fontId="4" fillId="106" borderId="0" xfId="0" applyNumberFormat="1" applyFont="1" applyFill="1" applyBorder="1" applyAlignment="1" applyProtection="1">
      <alignment horizontal="center" vertical="center"/>
      <protection locked="0"/>
    </xf>
    <xf numFmtId="166" fontId="4" fillId="106" borderId="0" xfId="0" applyNumberFormat="1" applyFont="1" applyFill="1" applyBorder="1" applyAlignment="1" applyProtection="1">
      <alignment horizontal="center" vertical="center"/>
      <protection locked="0"/>
    </xf>
    <xf numFmtId="0" fontId="4" fillId="106" borderId="0" xfId="0" applyFont="1" applyFill="1" applyBorder="1" applyAlignment="1">
      <alignment horizontal="center" vertical="center"/>
    </xf>
    <xf numFmtId="1" fontId="4" fillId="106" borderId="20" xfId="0" applyNumberFormat="1" applyFont="1" applyFill="1" applyBorder="1" applyAlignment="1">
      <alignment horizontal="center" vertical="center"/>
    </xf>
    <xf numFmtId="1" fontId="4" fillId="106" borderId="0" xfId="0" applyNumberFormat="1" applyFont="1" applyFill="1" applyBorder="1" applyAlignment="1">
      <alignment horizontal="center" vertical="center"/>
    </xf>
    <xf numFmtId="0" fontId="5" fillId="29" borderId="78" xfId="0" applyFont="1" applyFill="1" applyBorder="1" applyAlignment="1">
      <alignment horizontal="center" vertical="center"/>
    </xf>
    <xf numFmtId="0" fontId="5" fillId="29" borderId="13" xfId="0" applyFont="1" applyFill="1" applyBorder="1" applyAlignment="1">
      <alignment horizontal="center" vertical="center"/>
    </xf>
    <xf numFmtId="0" fontId="5" fillId="29" borderId="14" xfId="0" applyFont="1" applyFill="1" applyBorder="1" applyAlignment="1">
      <alignment horizontal="center" vertical="center"/>
    </xf>
    <xf numFmtId="0" fontId="79" fillId="0" borderId="69" xfId="0" applyFont="1" applyFill="1" applyBorder="1" applyAlignment="1">
      <alignment horizontal="center" vertical="center"/>
    </xf>
    <xf numFmtId="0" fontId="79" fillId="0" borderId="67" xfId="0" applyFont="1" applyBorder="1" applyAlignment="1">
      <alignment horizontal="center" vertical="center"/>
    </xf>
    <xf numFmtId="0" fontId="79" fillId="0" borderId="67" xfId="0" applyFont="1" applyFill="1" applyBorder="1" applyAlignment="1">
      <alignment horizontal="center" vertical="center"/>
    </xf>
    <xf numFmtId="0" fontId="79" fillId="0" borderId="40" xfId="0" applyFont="1" applyFill="1" applyBorder="1" applyAlignment="1">
      <alignment horizontal="center" vertical="center"/>
    </xf>
    <xf numFmtId="0" fontId="82" fillId="51" borderId="67" xfId="798" applyFont="1" applyFill="1" applyBorder="1" applyAlignment="1">
      <alignment horizontal="center" vertical="center"/>
    </xf>
    <xf numFmtId="49" fontId="4" fillId="71" borderId="20" xfId="0" applyNumberFormat="1" applyFont="1" applyFill="1" applyBorder="1" applyAlignment="1">
      <alignment horizontal="center" vertical="center"/>
    </xf>
    <xf numFmtId="173" fontId="4" fillId="0" borderId="0" xfId="0" applyNumberFormat="1" applyFont="1" applyFill="1" applyAlignment="1" applyProtection="1">
      <alignment horizontal="center" vertical="center"/>
      <protection locked="0"/>
    </xf>
    <xf numFmtId="0" fontId="5" fillId="0" borderId="0" xfId="0" applyFont="1" applyFill="1" applyAlignment="1" applyProtection="1">
      <alignment horizontal="center" vertical="center"/>
      <protection locked="0"/>
    </xf>
    <xf numFmtId="169" fontId="83" fillId="48" borderId="9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center" vertical="center"/>
    </xf>
    <xf numFmtId="166" fontId="5" fillId="0" borderId="0" xfId="0" applyNumberFormat="1" applyFont="1" applyFill="1" applyAlignment="1">
      <alignment horizontal="center" vertical="center"/>
    </xf>
    <xf numFmtId="14" fontId="4" fillId="0" borderId="20" xfId="0" quotePrefix="1" applyNumberFormat="1" applyFont="1" applyBorder="1" applyAlignment="1">
      <alignment horizontal="center" vertical="center"/>
    </xf>
    <xf numFmtId="0" fontId="81" fillId="0" borderId="0" xfId="0" applyFont="1" applyAlignment="1" applyProtection="1">
      <alignment horizontal="center" vertical="center"/>
      <protection locked="0"/>
    </xf>
    <xf numFmtId="0" fontId="79" fillId="35" borderId="34" xfId="0" applyFont="1" applyFill="1" applyBorder="1" applyAlignment="1" applyProtection="1">
      <alignment horizontal="center" vertical="center" wrapText="1"/>
      <protection locked="0"/>
    </xf>
    <xf numFmtId="0" fontId="4" fillId="0" borderId="20" xfId="0" applyFont="1" applyFill="1" applyBorder="1" applyAlignment="1" applyProtection="1">
      <alignment horizontal="center" vertical="center"/>
      <protection locked="0"/>
    </xf>
    <xf numFmtId="0" fontId="79" fillId="36" borderId="34" xfId="0" applyFont="1" applyFill="1" applyBorder="1" applyAlignment="1" applyProtection="1">
      <alignment horizontal="center" vertical="center" wrapText="1"/>
      <protection locked="0"/>
    </xf>
    <xf numFmtId="0" fontId="79" fillId="26" borderId="34" xfId="0" applyFont="1" applyFill="1" applyBorder="1" applyAlignment="1">
      <alignment horizontal="center" vertical="center" wrapText="1"/>
    </xf>
    <xf numFmtId="0" fontId="79" fillId="28" borderId="34" xfId="0" applyFont="1" applyFill="1" applyBorder="1" applyAlignment="1">
      <alignment horizontal="center" vertical="center" wrapText="1"/>
    </xf>
    <xf numFmtId="0" fontId="5" fillId="64" borderId="34" xfId="0" applyFont="1" applyFill="1" applyBorder="1" applyAlignment="1">
      <alignment horizontal="center" vertical="center" wrapText="1"/>
    </xf>
    <xf numFmtId="0" fontId="5" fillId="56" borderId="34" xfId="0" applyFont="1" applyFill="1" applyBorder="1" applyAlignment="1">
      <alignment horizontal="center" vertical="center" wrapText="1"/>
    </xf>
    <xf numFmtId="0" fontId="119" fillId="42" borderId="20" xfId="0" applyFont="1" applyFill="1" applyBorder="1" applyAlignment="1" applyProtection="1">
      <alignment horizontal="center" vertical="center"/>
      <protection locked="0"/>
    </xf>
    <xf numFmtId="0" fontId="4" fillId="0" borderId="20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4" fillId="0" borderId="20" xfId="0" applyFont="1" applyFill="1" applyBorder="1" applyAlignment="1" applyProtection="1">
      <alignment vertical="center"/>
      <protection locked="0"/>
    </xf>
    <xf numFmtId="1" fontId="4" fillId="0" borderId="0" xfId="0" applyNumberFormat="1" applyFont="1" applyFill="1" applyBorder="1" applyAlignment="1" applyProtection="1">
      <alignment vertical="center"/>
      <protection locked="0"/>
    </xf>
    <xf numFmtId="173" fontId="4" fillId="0" borderId="0" xfId="0" applyNumberFormat="1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vertical="center"/>
    </xf>
    <xf numFmtId="0" fontId="81" fillId="0" borderId="0" xfId="0" applyFont="1" applyFill="1" applyBorder="1" applyAlignment="1" applyProtection="1">
      <alignment horizontal="left" vertical="center"/>
      <protection locked="0"/>
    </xf>
    <xf numFmtId="0" fontId="81" fillId="0" borderId="0" xfId="0" applyFont="1" applyAlignment="1" applyProtection="1">
      <alignment vertical="center"/>
      <protection locked="0"/>
    </xf>
    <xf numFmtId="0" fontId="81" fillId="0" borderId="0" xfId="0" applyFont="1" applyFill="1" applyAlignment="1" applyProtection="1">
      <alignment vertical="center"/>
      <protection locked="0"/>
    </xf>
    <xf numFmtId="0" fontId="81" fillId="0" borderId="0" xfId="0" applyFont="1" applyAlignment="1" applyProtection="1">
      <alignment horizontal="right" vertical="center"/>
      <protection locked="0"/>
    </xf>
    <xf numFmtId="0" fontId="80" fillId="48" borderId="84" xfId="0" applyFont="1" applyFill="1" applyBorder="1" applyAlignment="1" applyProtection="1">
      <alignment horizontal="right" vertical="center"/>
      <protection locked="0"/>
    </xf>
    <xf numFmtId="173" fontId="4" fillId="0" borderId="0" xfId="0" applyNumberFormat="1" applyFont="1" applyAlignment="1">
      <alignment vertical="center"/>
    </xf>
    <xf numFmtId="0" fontId="4" fillId="0" borderId="0" xfId="0" applyFont="1" applyFill="1" applyAlignment="1">
      <alignment vertical="center"/>
    </xf>
    <xf numFmtId="166" fontId="4" fillId="0" borderId="0" xfId="0" applyNumberFormat="1" applyFont="1" applyFill="1" applyAlignment="1">
      <alignment vertical="center"/>
    </xf>
    <xf numFmtId="0" fontId="4" fillId="66" borderId="13" xfId="0" applyFont="1" applyFill="1" applyBorder="1" applyAlignment="1">
      <alignment horizontal="center" vertical="center"/>
    </xf>
    <xf numFmtId="0" fontId="5" fillId="66" borderId="13" xfId="0" applyFont="1" applyFill="1" applyBorder="1" applyAlignment="1">
      <alignment horizontal="center" vertical="center"/>
    </xf>
    <xf numFmtId="0" fontId="5" fillId="66" borderId="14" xfId="0" applyFont="1" applyFill="1" applyBorder="1" applyAlignment="1">
      <alignment horizontal="center" vertical="center"/>
    </xf>
    <xf numFmtId="0" fontId="79" fillId="0" borderId="69" xfId="0" applyFont="1" applyFill="1" applyBorder="1" applyAlignment="1">
      <alignment horizontal="left" vertical="center"/>
    </xf>
    <xf numFmtId="0" fontId="81" fillId="0" borderId="67" xfId="0" applyFont="1" applyBorder="1" applyAlignment="1" applyProtection="1">
      <alignment vertical="center"/>
      <protection locked="0"/>
    </xf>
    <xf numFmtId="0" fontId="81" fillId="0" borderId="0" xfId="0" applyFont="1" applyBorder="1" applyAlignment="1" applyProtection="1">
      <alignment vertical="center"/>
      <protection locked="0"/>
    </xf>
    <xf numFmtId="0" fontId="81" fillId="0" borderId="40" xfId="0" applyFont="1" applyBorder="1" applyAlignment="1" applyProtection="1">
      <alignment horizontal="right" vertical="center"/>
      <protection locked="0"/>
    </xf>
    <xf numFmtId="0" fontId="4" fillId="0" borderId="22" xfId="0" applyFont="1" applyFill="1" applyBorder="1" applyAlignment="1">
      <alignment vertical="center"/>
    </xf>
    <xf numFmtId="49" fontId="4" fillId="0" borderId="22" xfId="0" applyNumberFormat="1" applyFont="1" applyFill="1" applyBorder="1" applyAlignment="1">
      <alignment horizontal="center" vertical="center"/>
    </xf>
    <xf numFmtId="173" fontId="4" fillId="0" borderId="22" xfId="0" applyNumberFormat="1" applyFont="1" applyFill="1" applyBorder="1" applyAlignment="1" applyProtection="1">
      <alignment horizontal="center" vertical="center"/>
      <protection locked="0"/>
    </xf>
    <xf numFmtId="1" fontId="4" fillId="0" borderId="22" xfId="0" applyNumberFormat="1" applyFont="1" applyFill="1" applyBorder="1" applyAlignment="1" applyProtection="1">
      <alignment horizontal="center" vertical="center"/>
      <protection locked="0"/>
    </xf>
    <xf numFmtId="0" fontId="4" fillId="0" borderId="22" xfId="0" applyFont="1" applyFill="1" applyBorder="1" applyAlignment="1">
      <alignment horizontal="center" vertical="center"/>
    </xf>
    <xf numFmtId="0" fontId="4" fillId="0" borderId="22" xfId="0" applyFont="1" applyFill="1" applyBorder="1" applyAlignment="1" applyProtection="1">
      <alignment horizontal="center" vertical="center"/>
      <protection locked="0"/>
    </xf>
    <xf numFmtId="3" fontId="4" fillId="0" borderId="22" xfId="0" applyNumberFormat="1" applyFont="1" applyFill="1" applyBorder="1" applyAlignment="1" applyProtection="1">
      <alignment horizontal="center" vertical="center"/>
      <protection locked="0"/>
    </xf>
    <xf numFmtId="0" fontId="4" fillId="0" borderId="22" xfId="0" applyNumberFormat="1" applyFont="1" applyFill="1" applyBorder="1" applyAlignment="1" applyProtection="1">
      <alignment horizontal="center" vertical="center"/>
      <protection locked="0"/>
    </xf>
    <xf numFmtId="0" fontId="79" fillId="0" borderId="67" xfId="0" applyFont="1" applyBorder="1" applyAlignment="1">
      <alignment horizontal="left" vertical="center"/>
    </xf>
    <xf numFmtId="0" fontId="81" fillId="67" borderId="71" xfId="0" applyFont="1" applyFill="1" applyBorder="1" applyAlignment="1">
      <alignment vertical="center"/>
    </xf>
    <xf numFmtId="0" fontId="81" fillId="0" borderId="0" xfId="0" applyFont="1" applyFill="1" applyBorder="1" applyAlignment="1">
      <alignment vertical="center"/>
    </xf>
    <xf numFmtId="0" fontId="79" fillId="0" borderId="67" xfId="0" applyFont="1" applyFill="1" applyBorder="1" applyAlignment="1">
      <alignment horizontal="left" vertical="center"/>
    </xf>
    <xf numFmtId="0" fontId="81" fillId="0" borderId="67" xfId="0" applyFont="1" applyFill="1" applyBorder="1" applyAlignment="1" applyProtection="1">
      <alignment horizontal="left" vertical="center"/>
      <protection locked="0"/>
    </xf>
    <xf numFmtId="0" fontId="4" fillId="0" borderId="20" xfId="0" applyNumberFormat="1" applyFont="1" applyFill="1" applyBorder="1" applyAlignment="1" applyProtection="1">
      <alignment horizontal="center" vertical="center"/>
      <protection locked="0"/>
    </xf>
    <xf numFmtId="0" fontId="81" fillId="26" borderId="71" xfId="0" applyFont="1" applyFill="1" applyBorder="1" applyAlignment="1">
      <alignment vertical="center"/>
    </xf>
    <xf numFmtId="0" fontId="4" fillId="0" borderId="20" xfId="0" applyFont="1" applyFill="1" applyBorder="1" applyAlignment="1">
      <alignment vertical="center"/>
    </xf>
    <xf numFmtId="0" fontId="81" fillId="59" borderId="71" xfId="0" applyFont="1" applyFill="1" applyBorder="1" applyAlignment="1">
      <alignment vertical="center"/>
    </xf>
    <xf numFmtId="0" fontId="82" fillId="51" borderId="67" xfId="798" applyFont="1" applyFill="1" applyBorder="1" applyAlignment="1">
      <alignment horizontal="left" vertical="center"/>
    </xf>
    <xf numFmtId="0" fontId="81" fillId="48" borderId="68" xfId="0" applyFont="1" applyFill="1" applyBorder="1" applyAlignment="1" applyProtection="1">
      <alignment horizontal="left" vertical="center"/>
      <protection locked="0"/>
    </xf>
    <xf numFmtId="0" fontId="83" fillId="48" borderId="91" xfId="0" applyFont="1" applyFill="1" applyBorder="1" applyAlignment="1" applyProtection="1">
      <alignment horizontal="right" vertical="center"/>
      <protection locked="0"/>
    </xf>
    <xf numFmtId="0" fontId="81" fillId="42" borderId="71" xfId="0" applyFont="1" applyFill="1" applyBorder="1" applyAlignment="1">
      <alignment vertical="center"/>
    </xf>
    <xf numFmtId="0" fontId="81" fillId="32" borderId="71" xfId="0" applyFont="1" applyFill="1" applyBorder="1" applyAlignment="1">
      <alignment vertical="center"/>
    </xf>
    <xf numFmtId="0" fontId="81" fillId="48" borderId="0" xfId="0" applyFont="1" applyFill="1" applyBorder="1" applyAlignment="1" applyProtection="1">
      <alignment horizontal="left" vertical="center"/>
      <protection locked="0"/>
    </xf>
    <xf numFmtId="0" fontId="83" fillId="48" borderId="0" xfId="0" applyFont="1" applyFill="1" applyAlignment="1" applyProtection="1">
      <alignment horizontal="right" vertical="center"/>
      <protection locked="0"/>
    </xf>
    <xf numFmtId="0" fontId="81" fillId="0" borderId="40" xfId="0" applyFont="1" applyFill="1" applyBorder="1" applyAlignment="1">
      <alignment vertical="center"/>
    </xf>
    <xf numFmtId="0" fontId="80" fillId="48" borderId="17" xfId="0" applyFont="1" applyFill="1" applyBorder="1" applyAlignment="1" applyProtection="1">
      <alignment horizontal="right" vertical="center"/>
      <protection locked="0"/>
    </xf>
    <xf numFmtId="173" fontId="4" fillId="0" borderId="20" xfId="0" applyNumberFormat="1" applyFont="1" applyFill="1" applyBorder="1" applyAlignment="1">
      <alignment vertical="center"/>
    </xf>
    <xf numFmtId="0" fontId="81" fillId="0" borderId="69" xfId="0" applyFont="1" applyFill="1" applyBorder="1" applyAlignment="1" applyProtection="1">
      <alignment horizontal="left" vertical="center"/>
      <protection locked="0"/>
    </xf>
    <xf numFmtId="0" fontId="81" fillId="0" borderId="70" xfId="0" applyFont="1" applyBorder="1" applyAlignment="1" applyProtection="1">
      <alignment horizontal="right" vertical="center"/>
      <protection locked="0"/>
    </xf>
    <xf numFmtId="0" fontId="81" fillId="0" borderId="99" xfId="0" applyFont="1" applyBorder="1" applyAlignment="1" applyProtection="1">
      <alignment horizontal="right" vertical="center"/>
      <protection locked="0"/>
    </xf>
    <xf numFmtId="0" fontId="81" fillId="48" borderId="67" xfId="0" applyFont="1" applyFill="1" applyBorder="1" applyAlignment="1" applyProtection="1">
      <alignment horizontal="left" vertical="center"/>
      <protection locked="0"/>
    </xf>
    <xf numFmtId="0" fontId="81" fillId="0" borderId="0" xfId="0" applyFont="1" applyFill="1" applyBorder="1" applyAlignment="1" applyProtection="1">
      <alignment vertical="center"/>
      <protection locked="0"/>
    </xf>
    <xf numFmtId="0" fontId="79" fillId="48" borderId="40" xfId="0" applyFont="1" applyFill="1" applyBorder="1" applyAlignment="1" applyProtection="1">
      <alignment horizontal="right" vertical="center"/>
      <protection locked="0"/>
    </xf>
    <xf numFmtId="0" fontId="81" fillId="0" borderId="67" xfId="0" applyFont="1" applyFill="1" applyBorder="1" applyAlignment="1" applyProtection="1">
      <alignment vertical="center"/>
      <protection locked="0"/>
    </xf>
    <xf numFmtId="0" fontId="81" fillId="0" borderId="40" xfId="0" applyFont="1" applyFill="1" applyBorder="1" applyAlignment="1" applyProtection="1">
      <alignment horizontal="right" vertical="center"/>
      <protection locked="0"/>
    </xf>
    <xf numFmtId="0" fontId="4" fillId="106" borderId="20" xfId="0" applyNumberFormat="1" applyFont="1" applyFill="1" applyBorder="1" applyAlignment="1" applyProtection="1">
      <alignment horizontal="center" vertical="center"/>
      <protection locked="0"/>
    </xf>
    <xf numFmtId="0" fontId="81" fillId="0" borderId="67" xfId="0" applyFont="1" applyBorder="1" applyAlignment="1" applyProtection="1">
      <alignment horizontal="right" vertical="center"/>
      <protection locked="0"/>
    </xf>
    <xf numFmtId="0" fontId="81" fillId="0" borderId="40" xfId="0" applyFont="1" applyBorder="1" applyAlignment="1" applyProtection="1">
      <alignment vertical="center"/>
      <protection locked="0"/>
    </xf>
    <xf numFmtId="169" fontId="83" fillId="48" borderId="91" xfId="0" applyNumberFormat="1" applyFont="1" applyFill="1" applyBorder="1" applyAlignment="1" applyProtection="1">
      <alignment horizontal="right" vertical="center"/>
      <protection locked="0"/>
    </xf>
    <xf numFmtId="0" fontId="81" fillId="0" borderId="40" xfId="0" applyFont="1" applyFill="1" applyBorder="1" applyAlignment="1" applyProtection="1">
      <alignment vertical="center"/>
      <protection locked="0"/>
    </xf>
    <xf numFmtId="173" fontId="4" fillId="0" borderId="0" xfId="0" applyNumberFormat="1" applyFont="1" applyFill="1" applyAlignment="1" applyProtection="1">
      <alignment vertical="center"/>
      <protection locked="0"/>
    </xf>
    <xf numFmtId="0" fontId="81" fillId="0" borderId="68" xfId="0" applyFont="1" applyFill="1" applyBorder="1" applyAlignment="1" applyProtection="1">
      <alignment horizontal="left" vertical="center"/>
      <protection locked="0"/>
    </xf>
    <xf numFmtId="0" fontId="80" fillId="0" borderId="91" xfId="0" applyFont="1" applyBorder="1" applyAlignment="1" applyProtection="1">
      <alignment vertical="center"/>
      <protection locked="0"/>
    </xf>
    <xf numFmtId="0" fontId="81" fillId="0" borderId="0" xfId="0" applyFont="1" applyFill="1" applyAlignment="1" applyProtection="1">
      <alignment horizontal="left" vertical="center"/>
      <protection locked="0"/>
    </xf>
    <xf numFmtId="0" fontId="80" fillId="0" borderId="0" xfId="0" applyFont="1" applyAlignment="1" applyProtection="1">
      <alignment vertical="center"/>
      <protection locked="0"/>
    </xf>
    <xf numFmtId="0" fontId="81" fillId="0" borderId="68" xfId="0" applyFont="1" applyFill="1" applyBorder="1" applyAlignment="1" applyProtection="1">
      <alignment vertical="center"/>
      <protection locked="0"/>
    </xf>
    <xf numFmtId="0" fontId="81" fillId="0" borderId="91" xfId="0" applyFont="1" applyFill="1" applyBorder="1" applyAlignment="1" applyProtection="1">
      <alignment vertical="center"/>
      <protection locked="0"/>
    </xf>
    <xf numFmtId="0" fontId="4" fillId="0" borderId="0" xfId="0" applyFont="1" applyFill="1" applyAlignment="1" applyProtection="1">
      <alignment vertical="center"/>
      <protection locked="0"/>
    </xf>
    <xf numFmtId="0" fontId="81" fillId="0" borderId="0" xfId="0" applyFont="1" applyFill="1" applyAlignment="1" applyProtection="1">
      <alignment horizontal="right" vertical="center"/>
      <protection locked="0"/>
    </xf>
    <xf numFmtId="0" fontId="81" fillId="0" borderId="0" xfId="0" applyFont="1" applyAlignment="1" applyProtection="1">
      <alignment horizontal="left" vertical="center"/>
      <protection locked="0"/>
    </xf>
    <xf numFmtId="0" fontId="80" fillId="0" borderId="0" xfId="0" applyFont="1" applyFill="1" applyAlignment="1" applyProtection="1">
      <alignment vertical="center"/>
      <protection locked="0"/>
    </xf>
    <xf numFmtId="0" fontId="4" fillId="0" borderId="0" xfId="0" applyFont="1" applyFill="1" applyBorder="1" applyAlignment="1" applyProtection="1">
      <alignment vertical="center"/>
      <protection locked="0"/>
    </xf>
    <xf numFmtId="173" fontId="4" fillId="0" borderId="0" xfId="0" applyNumberFormat="1" applyFont="1" applyFill="1" applyAlignment="1">
      <alignment vertical="center"/>
    </xf>
    <xf numFmtId="1" fontId="81" fillId="0" borderId="0" xfId="0" applyNumberFormat="1" applyFont="1" applyFill="1" applyAlignment="1" applyProtection="1">
      <alignment horizontal="left" vertical="center"/>
      <protection locked="0"/>
    </xf>
    <xf numFmtId="0" fontId="81" fillId="0" borderId="0" xfId="0" applyFont="1" applyAlignment="1" applyProtection="1">
      <alignment horizontal="center" vertical="center"/>
      <protection locked="0"/>
    </xf>
    <xf numFmtId="0" fontId="81" fillId="0" borderId="20" xfId="0" applyFont="1" applyBorder="1" applyAlignment="1">
      <alignment horizontal="left" vertical="center" wrapText="1" indent="1"/>
    </xf>
    <xf numFmtId="0" fontId="121" fillId="0" borderId="20" xfId="0" applyFont="1" applyBorder="1" applyAlignment="1">
      <alignment horizontal="left" vertical="center" wrapText="1" indent="1"/>
    </xf>
    <xf numFmtId="0" fontId="4" fillId="0" borderId="20" xfId="0" applyFont="1" applyBorder="1" applyAlignment="1">
      <alignment horizontal="center" vertical="center" wrapText="1"/>
    </xf>
    <xf numFmtId="0" fontId="122" fillId="42" borderId="20" xfId="0" applyFont="1" applyFill="1" applyBorder="1" applyAlignment="1" applyProtection="1">
      <alignment horizontal="center" vertical="center"/>
      <protection locked="0"/>
    </xf>
    <xf numFmtId="0" fontId="56" fillId="47" borderId="20" xfId="0" applyFont="1" applyFill="1" applyBorder="1" applyAlignment="1">
      <alignment horizontal="center" vertical="center"/>
    </xf>
    <xf numFmtId="0" fontId="6" fillId="40" borderId="68" xfId="0" applyFont="1" applyFill="1" applyBorder="1" applyAlignment="1" applyProtection="1">
      <alignment horizontal="center" vertical="center"/>
      <protection locked="0"/>
    </xf>
    <xf numFmtId="0" fontId="6" fillId="40" borderId="85" xfId="0" applyFont="1" applyFill="1" applyBorder="1" applyAlignment="1" applyProtection="1">
      <alignment horizontal="center" vertical="center"/>
      <protection locked="0"/>
    </xf>
    <xf numFmtId="169" fontId="4" fillId="59" borderId="20" xfId="0" applyNumberFormat="1" applyFont="1" applyFill="1" applyBorder="1" applyAlignment="1" applyProtection="1">
      <alignment horizontal="center" vertical="center" wrapText="1"/>
      <protection locked="0"/>
    </xf>
    <xf numFmtId="0" fontId="81" fillId="0" borderId="0" xfId="0" applyFont="1" applyAlignment="1" applyProtection="1">
      <alignment horizontal="center" vertical="center"/>
      <protection locked="0"/>
    </xf>
    <xf numFmtId="0" fontId="79" fillId="35" borderId="34" xfId="0" applyFont="1" applyFill="1" applyBorder="1" applyAlignment="1" applyProtection="1">
      <alignment horizontal="center" vertical="center" wrapText="1"/>
      <protection locked="0"/>
    </xf>
    <xf numFmtId="0" fontId="79" fillId="35" borderId="14" xfId="0" applyFont="1" applyFill="1" applyBorder="1" applyAlignment="1" applyProtection="1">
      <alignment horizontal="center" vertical="center" wrapText="1"/>
      <protection locked="0"/>
    </xf>
    <xf numFmtId="0" fontId="79" fillId="35" borderId="39" xfId="0" applyFont="1" applyFill="1" applyBorder="1" applyAlignment="1" applyProtection="1">
      <alignment horizontal="center" vertical="center" wrapText="1"/>
      <protection locked="0"/>
    </xf>
    <xf numFmtId="0" fontId="87" fillId="35" borderId="34" xfId="0" applyFont="1" applyFill="1" applyBorder="1" applyAlignment="1" applyProtection="1">
      <alignment horizontal="center" vertical="center" wrapText="1"/>
      <protection locked="0"/>
    </xf>
    <xf numFmtId="0" fontId="87" fillId="35" borderId="14" xfId="0" applyFont="1" applyFill="1" applyBorder="1" applyAlignment="1" applyProtection="1">
      <alignment horizontal="center" vertical="center" wrapText="1"/>
      <protection locked="0"/>
    </xf>
    <xf numFmtId="0" fontId="87" fillId="35" borderId="39" xfId="0" applyFont="1" applyFill="1" applyBorder="1" applyAlignment="1" applyProtection="1">
      <alignment horizontal="center" vertical="center" wrapText="1"/>
      <protection locked="0"/>
    </xf>
    <xf numFmtId="0" fontId="79" fillId="35" borderId="34" xfId="0" applyFont="1" applyFill="1" applyBorder="1" applyAlignment="1" applyProtection="1">
      <alignment horizontal="center" vertical="center"/>
      <protection locked="0"/>
    </xf>
    <xf numFmtId="0" fontId="79" fillId="35" borderId="14" xfId="0" applyFont="1" applyFill="1" applyBorder="1" applyAlignment="1" applyProtection="1">
      <alignment horizontal="center" vertical="center"/>
      <protection locked="0"/>
    </xf>
    <xf numFmtId="0" fontId="79" fillId="35" borderId="39" xfId="0" applyFont="1" applyFill="1" applyBorder="1" applyAlignment="1" applyProtection="1">
      <alignment horizontal="center" vertical="center"/>
      <protection locked="0"/>
    </xf>
    <xf numFmtId="0" fontId="6" fillId="42" borderId="67" xfId="0" applyFont="1" applyFill="1" applyBorder="1" applyAlignment="1" applyProtection="1">
      <alignment horizontal="center" vertical="center"/>
      <protection locked="0"/>
    </xf>
    <xf numFmtId="0" fontId="6" fillId="42" borderId="0" xfId="0" applyFont="1" applyFill="1" applyBorder="1" applyAlignment="1" applyProtection="1">
      <alignment horizontal="center" vertical="center"/>
      <protection locked="0"/>
    </xf>
    <xf numFmtId="0" fontId="4" fillId="0" borderId="20" xfId="0" applyFont="1" applyFill="1" applyBorder="1" applyAlignment="1" applyProtection="1">
      <alignment horizontal="center" vertical="center"/>
      <protection locked="0"/>
    </xf>
    <xf numFmtId="0" fontId="4" fillId="59" borderId="20" xfId="0" applyFont="1" applyFill="1" applyBorder="1" applyAlignment="1" applyProtection="1">
      <alignment horizontal="center" vertical="center" wrapText="1"/>
      <protection locked="0"/>
    </xf>
    <xf numFmtId="0" fontId="79" fillId="36" borderId="34" xfId="0" applyFont="1" applyFill="1" applyBorder="1" applyAlignment="1" applyProtection="1">
      <alignment horizontal="center" vertical="center" wrapText="1"/>
      <protection locked="0"/>
    </xf>
    <xf numFmtId="0" fontId="79" fillId="36" borderId="14" xfId="0" applyFont="1" applyFill="1" applyBorder="1" applyAlignment="1" applyProtection="1">
      <alignment horizontal="center" vertical="center" wrapText="1"/>
      <protection locked="0"/>
    </xf>
    <xf numFmtId="0" fontId="79" fillId="36" borderId="39" xfId="0" applyFont="1" applyFill="1" applyBorder="1" applyAlignment="1" applyProtection="1">
      <alignment horizontal="center" vertical="center" wrapText="1"/>
      <protection locked="0"/>
    </xf>
    <xf numFmtId="0" fontId="79" fillId="36" borderId="34" xfId="0" applyFont="1" applyFill="1" applyBorder="1" applyAlignment="1" applyProtection="1">
      <alignment horizontal="center" vertical="center"/>
      <protection locked="0"/>
    </xf>
    <xf numFmtId="0" fontId="79" fillId="36" borderId="14" xfId="0" applyFont="1" applyFill="1" applyBorder="1" applyAlignment="1" applyProtection="1">
      <alignment horizontal="center" vertical="center"/>
      <protection locked="0"/>
    </xf>
    <xf numFmtId="0" fontId="79" fillId="36" borderId="39" xfId="0" applyFont="1" applyFill="1" applyBorder="1" applyAlignment="1" applyProtection="1">
      <alignment horizontal="center" vertical="center"/>
      <protection locked="0"/>
    </xf>
    <xf numFmtId="169" fontId="4" fillId="0" borderId="22" xfId="0" applyNumberFormat="1" applyFont="1" applyFill="1" applyBorder="1" applyAlignment="1" applyProtection="1">
      <alignment horizontal="center" vertical="center" wrapText="1"/>
      <protection locked="0"/>
    </xf>
    <xf numFmtId="169" fontId="4" fillId="0" borderId="30" xfId="0" applyNumberFormat="1" applyFont="1" applyFill="1" applyBorder="1" applyAlignment="1" applyProtection="1">
      <alignment horizontal="center" vertical="center" wrapText="1"/>
      <protection locked="0"/>
    </xf>
    <xf numFmtId="0" fontId="6" fillId="34" borderId="68" xfId="0" applyFont="1" applyFill="1" applyBorder="1" applyAlignment="1">
      <alignment horizontal="center" vertical="center"/>
    </xf>
    <xf numFmtId="0" fontId="6" fillId="34" borderId="85" xfId="0" applyFont="1" applyFill="1" applyBorder="1" applyAlignment="1">
      <alignment horizontal="center" vertical="center"/>
    </xf>
    <xf numFmtId="0" fontId="79" fillId="26" borderId="34" xfId="0" applyFont="1" applyFill="1" applyBorder="1" applyAlignment="1">
      <alignment horizontal="center" vertical="center" wrapText="1"/>
    </xf>
    <xf numFmtId="0" fontId="79" fillId="26" borderId="14" xfId="0" applyFont="1" applyFill="1" applyBorder="1" applyAlignment="1">
      <alignment horizontal="center" vertical="center" wrapText="1"/>
    </xf>
    <xf numFmtId="0" fontId="79" fillId="26" borderId="39" xfId="0" applyFont="1" applyFill="1" applyBorder="1" applyAlignment="1">
      <alignment horizontal="center" vertical="center" wrapText="1"/>
    </xf>
    <xf numFmtId="0" fontId="6" fillId="41" borderId="67" xfId="0" applyFont="1" applyFill="1" applyBorder="1" applyAlignment="1">
      <alignment horizontal="center" vertical="center"/>
    </xf>
    <xf numFmtId="0" fontId="6" fillId="41" borderId="0" xfId="0" applyFont="1" applyFill="1" applyBorder="1" applyAlignment="1">
      <alignment horizontal="center" vertical="center"/>
    </xf>
    <xf numFmtId="0" fontId="79" fillId="28" borderId="34" xfId="0" applyFont="1" applyFill="1" applyBorder="1" applyAlignment="1">
      <alignment horizontal="center" vertical="center" wrapText="1"/>
    </xf>
    <xf numFmtId="0" fontId="79" fillId="28" borderId="14" xfId="0" applyFont="1" applyFill="1" applyBorder="1" applyAlignment="1">
      <alignment horizontal="center" vertical="center" wrapText="1"/>
    </xf>
    <xf numFmtId="0" fontId="79" fillId="28" borderId="39" xfId="0" applyFont="1" applyFill="1" applyBorder="1" applyAlignment="1">
      <alignment horizontal="center" vertical="center" wrapText="1"/>
    </xf>
    <xf numFmtId="0" fontId="6" fillId="63" borderId="67" xfId="0" applyFont="1" applyFill="1" applyBorder="1" applyAlignment="1">
      <alignment horizontal="center" vertical="center"/>
    </xf>
    <xf numFmtId="0" fontId="6" fillId="63" borderId="0" xfId="0" applyFont="1" applyFill="1" applyBorder="1" applyAlignment="1">
      <alignment horizontal="center" vertical="center"/>
    </xf>
    <xf numFmtId="0" fontId="5" fillId="64" borderId="34" xfId="0" applyFont="1" applyFill="1" applyBorder="1" applyAlignment="1">
      <alignment horizontal="center" vertical="center" wrapText="1"/>
    </xf>
    <xf numFmtId="0" fontId="5" fillId="64" borderId="14" xfId="0" applyFont="1" applyFill="1" applyBorder="1" applyAlignment="1">
      <alignment horizontal="center" vertical="center" wrapText="1"/>
    </xf>
    <xf numFmtId="0" fontId="5" fillId="64" borderId="39" xfId="0" applyFont="1" applyFill="1" applyBorder="1" applyAlignment="1">
      <alignment horizontal="center" vertical="center" wrapText="1"/>
    </xf>
    <xf numFmtId="0" fontId="6" fillId="65" borderId="67" xfId="0" applyFont="1" applyFill="1" applyBorder="1" applyAlignment="1">
      <alignment horizontal="center" vertical="center"/>
    </xf>
    <xf numFmtId="0" fontId="6" fillId="65" borderId="0" xfId="0" applyFont="1" applyFill="1" applyBorder="1" applyAlignment="1">
      <alignment horizontal="center" vertical="center"/>
    </xf>
    <xf numFmtId="0" fontId="5" fillId="56" borderId="34" xfId="0" applyFont="1" applyFill="1" applyBorder="1" applyAlignment="1">
      <alignment horizontal="center" vertical="center" wrapText="1"/>
    </xf>
    <xf numFmtId="0" fontId="5" fillId="56" borderId="14" xfId="0" applyFont="1" applyFill="1" applyBorder="1" applyAlignment="1">
      <alignment horizontal="center" vertical="center" wrapText="1"/>
    </xf>
    <xf numFmtId="0" fontId="5" fillId="56" borderId="39" xfId="0" applyFont="1" applyFill="1" applyBorder="1" applyAlignment="1">
      <alignment horizontal="center" vertical="center" wrapText="1"/>
    </xf>
    <xf numFmtId="0" fontId="58" fillId="0" borderId="25" xfId="901" applyFont="1" applyBorder="1" applyAlignment="1">
      <alignment horizontal="center" vertical="center"/>
    </xf>
    <xf numFmtId="0" fontId="58" fillId="0" borderId="44" xfId="901" applyFont="1" applyBorder="1" applyAlignment="1">
      <alignment horizontal="center" vertical="center"/>
    </xf>
    <xf numFmtId="0" fontId="58" fillId="0" borderId="28" xfId="901" applyFont="1" applyBorder="1" applyAlignment="1">
      <alignment horizontal="center" vertical="center"/>
    </xf>
    <xf numFmtId="0" fontId="63" fillId="46" borderId="22" xfId="697" applyFont="1" applyFill="1" applyBorder="1" applyAlignment="1">
      <alignment horizontal="center" vertical="center" wrapText="1"/>
    </xf>
    <xf numFmtId="0" fontId="63" fillId="46" borderId="23" xfId="697" applyFont="1" applyFill="1" applyBorder="1" applyAlignment="1">
      <alignment horizontal="center" vertical="center" wrapText="1"/>
    </xf>
    <xf numFmtId="0" fontId="63" fillId="46" borderId="74" xfId="697" applyFont="1" applyFill="1" applyBorder="1" applyAlignment="1">
      <alignment horizontal="center" vertical="center" wrapText="1"/>
    </xf>
    <xf numFmtId="0" fontId="77" fillId="0" borderId="22" xfId="697" applyFont="1" applyFill="1" applyBorder="1" applyAlignment="1">
      <alignment horizontal="center" vertical="center" wrapText="1"/>
    </xf>
    <xf numFmtId="0" fontId="77" fillId="0" borderId="23" xfId="697" applyFont="1" applyFill="1" applyBorder="1" applyAlignment="1">
      <alignment horizontal="center" vertical="center" wrapText="1"/>
    </xf>
    <xf numFmtId="0" fontId="77" fillId="0" borderId="74" xfId="697" applyFont="1" applyFill="1" applyBorder="1" applyAlignment="1">
      <alignment horizontal="center" vertical="center" wrapText="1"/>
    </xf>
    <xf numFmtId="0" fontId="118" fillId="74" borderId="72" xfId="697" applyFont="1" applyFill="1" applyBorder="1" applyAlignment="1">
      <alignment horizontal="center" vertical="center" wrapText="1"/>
    </xf>
    <xf numFmtId="0" fontId="118" fillId="74" borderId="23" xfId="697" applyFont="1" applyFill="1" applyBorder="1" applyAlignment="1">
      <alignment horizontal="center" vertical="center" wrapText="1"/>
    </xf>
    <xf numFmtId="0" fontId="60" fillId="44" borderId="23" xfId="697" applyFont="1" applyFill="1" applyBorder="1" applyAlignment="1">
      <alignment horizontal="center" vertical="center" wrapText="1"/>
    </xf>
    <xf numFmtId="0" fontId="60" fillId="44" borderId="74" xfId="697" applyFont="1" applyFill="1" applyBorder="1" applyAlignment="1">
      <alignment horizontal="center" vertical="center" wrapText="1"/>
    </xf>
    <xf numFmtId="0" fontId="4" fillId="0" borderId="26" xfId="0" applyFont="1" applyBorder="1" applyAlignment="1">
      <alignment horizontal="center" vertical="center"/>
    </xf>
    <xf numFmtId="0" fontId="4" fillId="0" borderId="64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53" borderId="0" xfId="0" applyFont="1" applyFill="1" applyAlignment="1">
      <alignment horizontal="left"/>
    </xf>
    <xf numFmtId="0" fontId="4" fillId="53" borderId="0" xfId="0" applyFont="1" applyFill="1" applyAlignment="1">
      <alignment horizontal="center" vertical="center"/>
    </xf>
    <xf numFmtId="0" fontId="85" fillId="55" borderId="35" xfId="0" applyFont="1" applyFill="1" applyBorder="1" applyAlignment="1">
      <alignment horizontal="center" vertical="center"/>
    </xf>
    <xf numFmtId="0" fontId="85" fillId="55" borderId="79" xfId="0" applyFont="1" applyFill="1" applyBorder="1" applyAlignment="1">
      <alignment horizontal="center" vertical="center"/>
    </xf>
    <xf numFmtId="0" fontId="85" fillId="55" borderId="80" xfId="0" applyFont="1" applyFill="1" applyBorder="1" applyAlignment="1">
      <alignment horizontal="center" vertical="center"/>
    </xf>
    <xf numFmtId="0" fontId="5" fillId="35" borderId="67" xfId="0" applyFont="1" applyFill="1" applyBorder="1" applyAlignment="1">
      <alignment horizontal="center"/>
    </xf>
    <xf numFmtId="0" fontId="5" fillId="35" borderId="0" xfId="0" applyFont="1" applyFill="1" applyBorder="1" applyAlignment="1">
      <alignment horizontal="center"/>
    </xf>
    <xf numFmtId="0" fontId="85" fillId="55" borderId="93" xfId="0" applyFont="1" applyFill="1" applyBorder="1" applyAlignment="1">
      <alignment horizontal="center" vertical="center"/>
    </xf>
    <xf numFmtId="0" fontId="85" fillId="55" borderId="83" xfId="0" applyFont="1" applyFill="1" applyBorder="1" applyAlignment="1">
      <alignment horizontal="center" vertical="center"/>
    </xf>
    <xf numFmtId="0" fontId="85" fillId="55" borderId="84" xfId="0" applyFont="1" applyFill="1" applyBorder="1" applyAlignment="1">
      <alignment horizontal="center" vertical="center"/>
    </xf>
    <xf numFmtId="0" fontId="81" fillId="53" borderId="0" xfId="0" applyFont="1" applyFill="1" applyAlignment="1">
      <alignment horizontal="left"/>
    </xf>
    <xf numFmtId="174" fontId="0" fillId="0" borderId="76" xfId="0" applyNumberFormat="1" applyFill="1" applyBorder="1" applyAlignment="1">
      <alignment horizontal="center" vertical="center"/>
    </xf>
    <xf numFmtId="174" fontId="0" fillId="0" borderId="90" xfId="0" applyNumberFormat="1" applyFill="1" applyBorder="1" applyAlignment="1">
      <alignment horizontal="center" vertical="center"/>
    </xf>
    <xf numFmtId="174" fontId="86" fillId="58" borderId="35" xfId="0" applyNumberFormat="1" applyFont="1" applyFill="1" applyBorder="1" applyAlignment="1">
      <alignment horizontal="center" vertical="center"/>
    </xf>
    <xf numFmtId="174" fontId="86" fillId="58" borderId="37" xfId="0" applyNumberFormat="1" applyFont="1" applyFill="1" applyBorder="1" applyAlignment="1">
      <alignment horizontal="center" vertical="center"/>
    </xf>
    <xf numFmtId="175" fontId="86" fillId="58" borderId="79" xfId="0" applyNumberFormat="1" applyFont="1" applyFill="1" applyBorder="1" applyAlignment="1">
      <alignment horizontal="center" vertical="center"/>
    </xf>
    <xf numFmtId="175" fontId="86" fillId="58" borderId="20" xfId="0" applyNumberFormat="1" applyFont="1" applyFill="1" applyBorder="1" applyAlignment="1">
      <alignment horizontal="center" vertical="center"/>
    </xf>
    <xf numFmtId="0" fontId="86" fillId="58" borderId="80" xfId="0" applyFont="1" applyFill="1" applyBorder="1" applyAlignment="1">
      <alignment horizontal="center" vertical="center"/>
    </xf>
    <xf numFmtId="0" fontId="86" fillId="58" borderId="71" xfId="0" applyFont="1" applyFill="1" applyBorder="1" applyAlignment="1">
      <alignment horizontal="center" vertical="center"/>
    </xf>
    <xf numFmtId="0" fontId="86" fillId="58" borderId="80" xfId="0" applyFont="1" applyFill="1" applyBorder="1" applyAlignment="1">
      <alignment horizontal="center" vertical="center" wrapText="1"/>
    </xf>
    <xf numFmtId="0" fontId="86" fillId="58" borderId="71" xfId="0" applyFont="1" applyFill="1" applyBorder="1" applyAlignment="1">
      <alignment horizontal="center" vertical="center" wrapText="1"/>
    </xf>
    <xf numFmtId="0" fontId="86" fillId="58" borderId="94" xfId="0" applyFont="1" applyFill="1" applyBorder="1" applyAlignment="1">
      <alignment horizontal="center" vertical="center"/>
    </xf>
    <xf numFmtId="0" fontId="86" fillId="58" borderId="95" xfId="0" applyFont="1" applyFill="1" applyBorder="1" applyAlignment="1">
      <alignment horizontal="center" vertical="center"/>
    </xf>
    <xf numFmtId="0" fontId="86" fillId="58" borderId="94" xfId="0" applyFont="1" applyFill="1" applyBorder="1" applyAlignment="1">
      <alignment horizontal="center" vertical="center" wrapText="1"/>
    </xf>
    <xf numFmtId="0" fontId="86" fillId="58" borderId="95" xfId="0" applyFont="1" applyFill="1" applyBorder="1" applyAlignment="1">
      <alignment horizontal="center" vertical="center" wrapText="1"/>
    </xf>
    <xf numFmtId="0" fontId="53" fillId="0" borderId="20" xfId="911" applyFont="1" applyBorder="1" applyAlignment="1">
      <alignment horizontal="left"/>
    </xf>
    <xf numFmtId="0" fontId="7" fillId="0" borderId="35" xfId="911" applyFont="1" applyBorder="1" applyAlignment="1">
      <alignment horizontal="center" vertical="center"/>
    </xf>
    <xf numFmtId="0" fontId="7" fillId="0" borderId="79" xfId="911" applyFont="1" applyBorder="1" applyAlignment="1">
      <alignment horizontal="center" vertical="center"/>
    </xf>
    <xf numFmtId="0" fontId="7" fillId="0" borderId="80" xfId="911" applyFont="1" applyBorder="1" applyAlignment="1">
      <alignment horizontal="center" vertical="center"/>
    </xf>
    <xf numFmtId="0" fontId="7" fillId="0" borderId="38" xfId="911" applyFont="1" applyBorder="1" applyAlignment="1">
      <alignment horizontal="center" vertical="center"/>
    </xf>
    <xf numFmtId="0" fontId="7" fillId="0" borderId="31" xfId="911" applyFont="1" applyBorder="1" applyAlignment="1">
      <alignment horizontal="center" vertical="center"/>
    </xf>
    <xf numFmtId="0" fontId="7" fillId="0" borderId="81" xfId="911" applyFont="1" applyBorder="1" applyAlignment="1">
      <alignment horizontal="center" vertical="center"/>
    </xf>
    <xf numFmtId="0" fontId="79" fillId="0" borderId="35" xfId="911" applyFont="1" applyBorder="1" applyAlignment="1">
      <alignment horizontal="center" vertical="center"/>
    </xf>
    <xf numFmtId="0" fontId="79" fillId="0" borderId="79" xfId="911" applyFont="1" applyBorder="1" applyAlignment="1">
      <alignment horizontal="center" vertical="center"/>
    </xf>
    <xf numFmtId="0" fontId="79" fillId="0" borderId="80" xfId="911" applyFont="1" applyBorder="1" applyAlignment="1">
      <alignment horizontal="center" vertical="center"/>
    </xf>
    <xf numFmtId="0" fontId="79" fillId="0" borderId="38" xfId="911" applyFont="1" applyBorder="1" applyAlignment="1">
      <alignment horizontal="center" vertical="center"/>
    </xf>
    <xf numFmtId="0" fontId="79" fillId="0" borderId="31" xfId="911" applyFont="1" applyBorder="1" applyAlignment="1">
      <alignment horizontal="center" vertical="center"/>
    </xf>
    <xf numFmtId="0" fontId="79" fillId="0" borderId="81" xfId="911" applyFont="1" applyBorder="1" applyAlignment="1">
      <alignment horizontal="center" vertical="center"/>
    </xf>
    <xf numFmtId="0" fontId="53" fillId="0" borderId="20" xfId="911" applyFont="1" applyBorder="1" applyAlignment="1">
      <alignment horizontal="center"/>
    </xf>
    <xf numFmtId="0" fontId="54" fillId="0" borderId="86" xfId="911" applyFont="1" applyBorder="1" applyAlignment="1">
      <alignment horizontal="center"/>
    </xf>
    <xf numFmtId="0" fontId="54" fillId="0" borderId="87" xfId="911" applyFont="1" applyBorder="1" applyAlignment="1">
      <alignment horizontal="center"/>
    </xf>
    <xf numFmtId="0" fontId="53" fillId="0" borderId="30" xfId="911" applyFont="1" applyBorder="1" applyAlignment="1">
      <alignment horizontal="center"/>
    </xf>
  </cellXfs>
  <cellStyles count="1087">
    <cellStyle name="20% - Accent1" xfId="7"/>
    <cellStyle name="20% - Accent1 2" xfId="1"/>
    <cellStyle name="20% - Accent2" xfId="26"/>
    <cellStyle name="20% - Accent2 2" xfId="2"/>
    <cellStyle name="20% - Accent3" xfId="45"/>
    <cellStyle name="20% - Accent3 2" xfId="3"/>
    <cellStyle name="20% - Accent4" xfId="64"/>
    <cellStyle name="20% - Accent4 2" xfId="4"/>
    <cellStyle name="20% - Accent5" xfId="83"/>
    <cellStyle name="20% - Accent5 2" xfId="5"/>
    <cellStyle name="20% - Accent6" xfId="102"/>
    <cellStyle name="20% - Accent6 2" xfId="6"/>
    <cellStyle name="20% - Énfasis1" xfId="969" builtinId="30" customBuiltin="1"/>
    <cellStyle name="20% - Énfasis1 10" xfId="8"/>
    <cellStyle name="20% - Énfasis1 11" xfId="9"/>
    <cellStyle name="20% - Énfasis1 12" xfId="10"/>
    <cellStyle name="20% - Énfasis1 13" xfId="11"/>
    <cellStyle name="20% - Énfasis1 14" xfId="12"/>
    <cellStyle name="20% - Énfasis1 15" xfId="13"/>
    <cellStyle name="20% - Énfasis1 16" xfId="14"/>
    <cellStyle name="20% - Énfasis1 17" xfId="15"/>
    <cellStyle name="20% - Énfasis1 18" xfId="16"/>
    <cellStyle name="20% - Énfasis1 19" xfId="17"/>
    <cellStyle name="20% - Énfasis1 2" xfId="18"/>
    <cellStyle name="20% - Énfasis1 20" xfId="1048"/>
    <cellStyle name="20% - Énfasis1 21" xfId="1027"/>
    <cellStyle name="20% - Énfasis1 22" xfId="1068"/>
    <cellStyle name="20% - Énfasis1 3" xfId="19"/>
    <cellStyle name="20% - Énfasis1 4" xfId="20"/>
    <cellStyle name="20% - Énfasis1 5" xfId="21"/>
    <cellStyle name="20% - Énfasis1 6" xfId="22"/>
    <cellStyle name="20% - Énfasis1 7" xfId="23"/>
    <cellStyle name="20% - Énfasis1 8" xfId="24"/>
    <cellStyle name="20% - Énfasis1 9" xfId="25"/>
    <cellStyle name="20% - Énfasis2" xfId="972" builtinId="34" customBuiltin="1"/>
    <cellStyle name="20% - Énfasis2 10" xfId="27"/>
    <cellStyle name="20% - Énfasis2 11" xfId="28"/>
    <cellStyle name="20% - Énfasis2 12" xfId="29"/>
    <cellStyle name="20% - Énfasis2 13" xfId="30"/>
    <cellStyle name="20% - Énfasis2 14" xfId="31"/>
    <cellStyle name="20% - Énfasis2 15" xfId="32"/>
    <cellStyle name="20% - Énfasis2 16" xfId="33"/>
    <cellStyle name="20% - Énfasis2 17" xfId="34"/>
    <cellStyle name="20% - Énfasis2 18" xfId="35"/>
    <cellStyle name="20% - Énfasis2 19" xfId="36"/>
    <cellStyle name="20% - Énfasis2 2" xfId="37"/>
    <cellStyle name="20% - Énfasis2 20" xfId="1049"/>
    <cellStyle name="20% - Énfasis2 21" xfId="1029"/>
    <cellStyle name="20% - Énfasis2 22" xfId="1069"/>
    <cellStyle name="20% - Énfasis2 3" xfId="38"/>
    <cellStyle name="20% - Énfasis2 4" xfId="39"/>
    <cellStyle name="20% - Énfasis2 5" xfId="40"/>
    <cellStyle name="20% - Énfasis2 6" xfId="41"/>
    <cellStyle name="20% - Énfasis2 7" xfId="42"/>
    <cellStyle name="20% - Énfasis2 8" xfId="43"/>
    <cellStyle name="20% - Énfasis2 9" xfId="44"/>
    <cellStyle name="20% - Énfasis3" xfId="975" builtinId="38" customBuiltin="1"/>
    <cellStyle name="20% - Énfasis3 10" xfId="46"/>
    <cellStyle name="20% - Énfasis3 11" xfId="47"/>
    <cellStyle name="20% - Énfasis3 12" xfId="48"/>
    <cellStyle name="20% - Énfasis3 13" xfId="49"/>
    <cellStyle name="20% - Énfasis3 14" xfId="50"/>
    <cellStyle name="20% - Énfasis3 15" xfId="51"/>
    <cellStyle name="20% - Énfasis3 16" xfId="52"/>
    <cellStyle name="20% - Énfasis3 17" xfId="53"/>
    <cellStyle name="20% - Énfasis3 18" xfId="54"/>
    <cellStyle name="20% - Énfasis3 19" xfId="55"/>
    <cellStyle name="20% - Énfasis3 2" xfId="56"/>
    <cellStyle name="20% - Énfasis3 20" xfId="1050"/>
    <cellStyle name="20% - Énfasis3 21" xfId="1031"/>
    <cellStyle name="20% - Énfasis3 22" xfId="1070"/>
    <cellStyle name="20% - Énfasis3 3" xfId="57"/>
    <cellStyle name="20% - Énfasis3 4" xfId="58"/>
    <cellStyle name="20% - Énfasis3 5" xfId="59"/>
    <cellStyle name="20% - Énfasis3 6" xfId="60"/>
    <cellStyle name="20% - Énfasis3 7" xfId="61"/>
    <cellStyle name="20% - Énfasis3 8" xfId="62"/>
    <cellStyle name="20% - Énfasis3 9" xfId="63"/>
    <cellStyle name="20% - Énfasis4" xfId="978" builtinId="42" customBuiltin="1"/>
    <cellStyle name="20% - Énfasis4 10" xfId="65"/>
    <cellStyle name="20% - Énfasis4 11" xfId="66"/>
    <cellStyle name="20% - Énfasis4 12" xfId="67"/>
    <cellStyle name="20% - Énfasis4 13" xfId="68"/>
    <cellStyle name="20% - Énfasis4 14" xfId="69"/>
    <cellStyle name="20% - Énfasis4 15" xfId="70"/>
    <cellStyle name="20% - Énfasis4 16" xfId="71"/>
    <cellStyle name="20% - Énfasis4 17" xfId="72"/>
    <cellStyle name="20% - Énfasis4 18" xfId="73"/>
    <cellStyle name="20% - Énfasis4 19" xfId="74"/>
    <cellStyle name="20% - Énfasis4 2" xfId="75"/>
    <cellStyle name="20% - Énfasis4 20" xfId="1051"/>
    <cellStyle name="20% - Énfasis4 21" xfId="1033"/>
    <cellStyle name="20% - Énfasis4 22" xfId="1071"/>
    <cellStyle name="20% - Énfasis4 3" xfId="76"/>
    <cellStyle name="20% - Énfasis4 4" xfId="77"/>
    <cellStyle name="20% - Énfasis4 5" xfId="78"/>
    <cellStyle name="20% - Énfasis4 6" xfId="79"/>
    <cellStyle name="20% - Énfasis4 7" xfId="80"/>
    <cellStyle name="20% - Énfasis4 8" xfId="81"/>
    <cellStyle name="20% - Énfasis4 9" xfId="82"/>
    <cellStyle name="20% - Énfasis5" xfId="981" builtinId="46" customBuiltin="1"/>
    <cellStyle name="20% - Énfasis5 10" xfId="84"/>
    <cellStyle name="20% - Énfasis5 11" xfId="85"/>
    <cellStyle name="20% - Énfasis5 12" xfId="86"/>
    <cellStyle name="20% - Énfasis5 13" xfId="87"/>
    <cellStyle name="20% - Énfasis5 14" xfId="88"/>
    <cellStyle name="20% - Énfasis5 15" xfId="89"/>
    <cellStyle name="20% - Énfasis5 16" xfId="90"/>
    <cellStyle name="20% - Énfasis5 17" xfId="91"/>
    <cellStyle name="20% - Énfasis5 18" xfId="92"/>
    <cellStyle name="20% - Énfasis5 19" xfId="93"/>
    <cellStyle name="20% - Énfasis5 2" xfId="94"/>
    <cellStyle name="20% - Énfasis5 20" xfId="1052"/>
    <cellStyle name="20% - Énfasis5 21" xfId="1035"/>
    <cellStyle name="20% - Énfasis5 22" xfId="1072"/>
    <cellStyle name="20% - Énfasis5 3" xfId="95"/>
    <cellStyle name="20% - Énfasis5 4" xfId="96"/>
    <cellStyle name="20% - Énfasis5 5" xfId="97"/>
    <cellStyle name="20% - Énfasis5 6" xfId="98"/>
    <cellStyle name="20% - Énfasis5 7" xfId="99"/>
    <cellStyle name="20% - Énfasis5 8" xfId="100"/>
    <cellStyle name="20% - Énfasis5 9" xfId="101"/>
    <cellStyle name="20% - Énfasis6" xfId="984" builtinId="50" customBuiltin="1"/>
    <cellStyle name="20% - Énfasis6 10" xfId="103"/>
    <cellStyle name="20% - Énfasis6 11" xfId="104"/>
    <cellStyle name="20% - Énfasis6 12" xfId="105"/>
    <cellStyle name="20% - Énfasis6 13" xfId="106"/>
    <cellStyle name="20% - Énfasis6 14" xfId="107"/>
    <cellStyle name="20% - Énfasis6 15" xfId="108"/>
    <cellStyle name="20% - Énfasis6 16" xfId="109"/>
    <cellStyle name="20% - Énfasis6 17" xfId="110"/>
    <cellStyle name="20% - Énfasis6 18" xfId="111"/>
    <cellStyle name="20% - Énfasis6 19" xfId="112"/>
    <cellStyle name="20% - Énfasis6 2" xfId="113"/>
    <cellStyle name="20% - Énfasis6 20" xfId="1053"/>
    <cellStyle name="20% - Énfasis6 21" xfId="1037"/>
    <cellStyle name="20% - Énfasis6 22" xfId="1073"/>
    <cellStyle name="20% - Énfasis6 3" xfId="114"/>
    <cellStyle name="20% - Énfasis6 4" xfId="115"/>
    <cellStyle name="20% - Énfasis6 5" xfId="116"/>
    <cellStyle name="20% - Énfasis6 6" xfId="117"/>
    <cellStyle name="20% - Énfasis6 7" xfId="118"/>
    <cellStyle name="20% - Énfasis6 8" xfId="119"/>
    <cellStyle name="20% - Énfasis6 9" xfId="120"/>
    <cellStyle name="40% - Accent1" xfId="127"/>
    <cellStyle name="40% - Accent1 2" xfId="121"/>
    <cellStyle name="40% - Accent2" xfId="146"/>
    <cellStyle name="40% - Accent2 2" xfId="122"/>
    <cellStyle name="40% - Accent3" xfId="165"/>
    <cellStyle name="40% - Accent3 2" xfId="123"/>
    <cellStyle name="40% - Accent4" xfId="184"/>
    <cellStyle name="40% - Accent4 2" xfId="124"/>
    <cellStyle name="40% - Accent5" xfId="203"/>
    <cellStyle name="40% - Accent5 2" xfId="125"/>
    <cellStyle name="40% - Accent6" xfId="222"/>
    <cellStyle name="40% - Accent6 2" xfId="126"/>
    <cellStyle name="40% - Énfasis1" xfId="970" builtinId="31" customBuiltin="1"/>
    <cellStyle name="40% - Énfasis1 10" xfId="128"/>
    <cellStyle name="40% - Énfasis1 11" xfId="129"/>
    <cellStyle name="40% - Énfasis1 12" xfId="130"/>
    <cellStyle name="40% - Énfasis1 13" xfId="131"/>
    <cellStyle name="40% - Énfasis1 14" xfId="132"/>
    <cellStyle name="40% - Énfasis1 15" xfId="133"/>
    <cellStyle name="40% - Énfasis1 16" xfId="134"/>
    <cellStyle name="40% - Énfasis1 17" xfId="135"/>
    <cellStyle name="40% - Énfasis1 18" xfId="136"/>
    <cellStyle name="40% - Énfasis1 19" xfId="137"/>
    <cellStyle name="40% - Énfasis1 2" xfId="138"/>
    <cellStyle name="40% - Énfasis1 20" xfId="1054"/>
    <cellStyle name="40% - Énfasis1 21" xfId="1028"/>
    <cellStyle name="40% - Énfasis1 22" xfId="1074"/>
    <cellStyle name="40% - Énfasis1 3" xfId="139"/>
    <cellStyle name="40% - Énfasis1 4" xfId="140"/>
    <cellStyle name="40% - Énfasis1 5" xfId="141"/>
    <cellStyle name="40% - Énfasis1 6" xfId="142"/>
    <cellStyle name="40% - Énfasis1 7" xfId="143"/>
    <cellStyle name="40% - Énfasis1 8" xfId="144"/>
    <cellStyle name="40% - Énfasis1 9" xfId="145"/>
    <cellStyle name="40% - Énfasis2" xfId="973" builtinId="35" customBuiltin="1"/>
    <cellStyle name="40% - Énfasis2 10" xfId="147"/>
    <cellStyle name="40% - Énfasis2 11" xfId="148"/>
    <cellStyle name="40% - Énfasis2 12" xfId="149"/>
    <cellStyle name="40% - Énfasis2 13" xfId="150"/>
    <cellStyle name="40% - Énfasis2 14" xfId="151"/>
    <cellStyle name="40% - Énfasis2 15" xfId="152"/>
    <cellStyle name="40% - Énfasis2 16" xfId="153"/>
    <cellStyle name="40% - Énfasis2 17" xfId="154"/>
    <cellStyle name="40% - Énfasis2 18" xfId="155"/>
    <cellStyle name="40% - Énfasis2 19" xfId="156"/>
    <cellStyle name="40% - Énfasis2 2" xfId="157"/>
    <cellStyle name="40% - Énfasis2 20" xfId="1055"/>
    <cellStyle name="40% - Énfasis2 21" xfId="1030"/>
    <cellStyle name="40% - Énfasis2 22" xfId="1075"/>
    <cellStyle name="40% - Énfasis2 3" xfId="158"/>
    <cellStyle name="40% - Énfasis2 4" xfId="159"/>
    <cellStyle name="40% - Énfasis2 5" xfId="160"/>
    <cellStyle name="40% - Énfasis2 6" xfId="161"/>
    <cellStyle name="40% - Énfasis2 7" xfId="162"/>
    <cellStyle name="40% - Énfasis2 8" xfId="163"/>
    <cellStyle name="40% - Énfasis2 9" xfId="164"/>
    <cellStyle name="40% - Énfasis3" xfId="976" builtinId="39" customBuiltin="1"/>
    <cellStyle name="40% - Énfasis3 10" xfId="166"/>
    <cellStyle name="40% - Énfasis3 11" xfId="167"/>
    <cellStyle name="40% - Énfasis3 12" xfId="168"/>
    <cellStyle name="40% - Énfasis3 13" xfId="169"/>
    <cellStyle name="40% - Énfasis3 14" xfId="170"/>
    <cellStyle name="40% - Énfasis3 15" xfId="171"/>
    <cellStyle name="40% - Énfasis3 16" xfId="172"/>
    <cellStyle name="40% - Énfasis3 17" xfId="173"/>
    <cellStyle name="40% - Énfasis3 18" xfId="174"/>
    <cellStyle name="40% - Énfasis3 19" xfId="175"/>
    <cellStyle name="40% - Énfasis3 2" xfId="176"/>
    <cellStyle name="40% - Énfasis3 20" xfId="1056"/>
    <cellStyle name="40% - Énfasis3 21" xfId="1032"/>
    <cellStyle name="40% - Énfasis3 22" xfId="1076"/>
    <cellStyle name="40% - Énfasis3 3" xfId="177"/>
    <cellStyle name="40% - Énfasis3 4" xfId="178"/>
    <cellStyle name="40% - Énfasis3 5" xfId="179"/>
    <cellStyle name="40% - Énfasis3 6" xfId="180"/>
    <cellStyle name="40% - Énfasis3 7" xfId="181"/>
    <cellStyle name="40% - Énfasis3 8" xfId="182"/>
    <cellStyle name="40% - Énfasis3 9" xfId="183"/>
    <cellStyle name="40% - Énfasis4" xfId="979" builtinId="43" customBuiltin="1"/>
    <cellStyle name="40% - Énfasis4 10" xfId="185"/>
    <cellStyle name="40% - Énfasis4 11" xfId="186"/>
    <cellStyle name="40% - Énfasis4 12" xfId="187"/>
    <cellStyle name="40% - Énfasis4 13" xfId="188"/>
    <cellStyle name="40% - Énfasis4 14" xfId="189"/>
    <cellStyle name="40% - Énfasis4 15" xfId="190"/>
    <cellStyle name="40% - Énfasis4 16" xfId="191"/>
    <cellStyle name="40% - Énfasis4 17" xfId="192"/>
    <cellStyle name="40% - Énfasis4 18" xfId="193"/>
    <cellStyle name="40% - Énfasis4 19" xfId="194"/>
    <cellStyle name="40% - Énfasis4 2" xfId="195"/>
    <cellStyle name="40% - Énfasis4 20" xfId="1057"/>
    <cellStyle name="40% - Énfasis4 21" xfId="1034"/>
    <cellStyle name="40% - Énfasis4 22" xfId="1077"/>
    <cellStyle name="40% - Énfasis4 3" xfId="196"/>
    <cellStyle name="40% - Énfasis4 4" xfId="197"/>
    <cellStyle name="40% - Énfasis4 5" xfId="198"/>
    <cellStyle name="40% - Énfasis4 6" xfId="199"/>
    <cellStyle name="40% - Énfasis4 7" xfId="200"/>
    <cellStyle name="40% - Énfasis4 8" xfId="201"/>
    <cellStyle name="40% - Énfasis4 9" xfId="202"/>
    <cellStyle name="40% - Énfasis5" xfId="982" builtinId="47" customBuiltin="1"/>
    <cellStyle name="40% - Énfasis5 10" xfId="204"/>
    <cellStyle name="40% - Énfasis5 11" xfId="205"/>
    <cellStyle name="40% - Énfasis5 12" xfId="206"/>
    <cellStyle name="40% - Énfasis5 13" xfId="207"/>
    <cellStyle name="40% - Énfasis5 14" xfId="208"/>
    <cellStyle name="40% - Énfasis5 15" xfId="209"/>
    <cellStyle name="40% - Énfasis5 16" xfId="210"/>
    <cellStyle name="40% - Énfasis5 17" xfId="211"/>
    <cellStyle name="40% - Énfasis5 18" xfId="212"/>
    <cellStyle name="40% - Énfasis5 19" xfId="213"/>
    <cellStyle name="40% - Énfasis5 2" xfId="214"/>
    <cellStyle name="40% - Énfasis5 20" xfId="1058"/>
    <cellStyle name="40% - Énfasis5 21" xfId="1036"/>
    <cellStyle name="40% - Énfasis5 22" xfId="1078"/>
    <cellStyle name="40% - Énfasis5 3" xfId="215"/>
    <cellStyle name="40% - Énfasis5 4" xfId="216"/>
    <cellStyle name="40% - Énfasis5 5" xfId="217"/>
    <cellStyle name="40% - Énfasis5 6" xfId="218"/>
    <cellStyle name="40% - Énfasis5 7" xfId="219"/>
    <cellStyle name="40% - Énfasis5 8" xfId="220"/>
    <cellStyle name="40% - Énfasis5 9" xfId="221"/>
    <cellStyle name="40% - Énfasis6" xfId="985" builtinId="51" customBuiltin="1"/>
    <cellStyle name="40% - Énfasis6 10" xfId="223"/>
    <cellStyle name="40% - Énfasis6 11" xfId="224"/>
    <cellStyle name="40% - Énfasis6 12" xfId="225"/>
    <cellStyle name="40% - Énfasis6 13" xfId="226"/>
    <cellStyle name="40% - Énfasis6 14" xfId="227"/>
    <cellStyle name="40% - Énfasis6 15" xfId="228"/>
    <cellStyle name="40% - Énfasis6 16" xfId="229"/>
    <cellStyle name="40% - Énfasis6 17" xfId="230"/>
    <cellStyle name="40% - Énfasis6 18" xfId="231"/>
    <cellStyle name="40% - Énfasis6 19" xfId="232"/>
    <cellStyle name="40% - Énfasis6 2" xfId="233"/>
    <cellStyle name="40% - Énfasis6 20" xfId="1059"/>
    <cellStyle name="40% - Énfasis6 21" xfId="1038"/>
    <cellStyle name="40% - Énfasis6 22" xfId="1079"/>
    <cellStyle name="40% - Énfasis6 3" xfId="234"/>
    <cellStyle name="40% - Énfasis6 4" xfId="235"/>
    <cellStyle name="40% - Énfasis6 5" xfId="236"/>
    <cellStyle name="40% - Énfasis6 6" xfId="237"/>
    <cellStyle name="40% - Énfasis6 7" xfId="238"/>
    <cellStyle name="40% - Énfasis6 8" xfId="239"/>
    <cellStyle name="40% - Énfasis6 9" xfId="240"/>
    <cellStyle name="60% - Accent1" xfId="247"/>
    <cellStyle name="60% - Accent1 2" xfId="241"/>
    <cellStyle name="60% - Accent2" xfId="266"/>
    <cellStyle name="60% - Accent2 2" xfId="242"/>
    <cellStyle name="60% - Accent3" xfId="285"/>
    <cellStyle name="60% - Accent3 2" xfId="243"/>
    <cellStyle name="60% - Accent4" xfId="304"/>
    <cellStyle name="60% - Accent4 2" xfId="244"/>
    <cellStyle name="60% - Accent5" xfId="323"/>
    <cellStyle name="60% - Accent5 2" xfId="245"/>
    <cellStyle name="60% - Accent6" xfId="342"/>
    <cellStyle name="60% - Accent6 2" xfId="246"/>
    <cellStyle name="60% - Énfasis1 10" xfId="248"/>
    <cellStyle name="60% - Énfasis1 11" xfId="249"/>
    <cellStyle name="60% - Énfasis1 12" xfId="250"/>
    <cellStyle name="60% - Énfasis1 13" xfId="251"/>
    <cellStyle name="60% - Énfasis1 14" xfId="252"/>
    <cellStyle name="60% - Énfasis1 15" xfId="253"/>
    <cellStyle name="60% - Énfasis1 16" xfId="254"/>
    <cellStyle name="60% - Énfasis1 17" xfId="255"/>
    <cellStyle name="60% - Énfasis1 18" xfId="256"/>
    <cellStyle name="60% - Énfasis1 19" xfId="257"/>
    <cellStyle name="60% - Énfasis1 2" xfId="258"/>
    <cellStyle name="60% - Énfasis1 20" xfId="1000"/>
    <cellStyle name="60% - Énfasis1 20 2" xfId="1040"/>
    <cellStyle name="60% - Énfasis1 21" xfId="1060"/>
    <cellStyle name="60% - Énfasis1 22" xfId="1080"/>
    <cellStyle name="60% - Énfasis1 3" xfId="259"/>
    <cellStyle name="60% - Énfasis1 4" xfId="260"/>
    <cellStyle name="60% - Énfasis1 5" xfId="261"/>
    <cellStyle name="60% - Énfasis1 6" xfId="262"/>
    <cellStyle name="60% - Énfasis1 7" xfId="263"/>
    <cellStyle name="60% - Énfasis1 8" xfId="264"/>
    <cellStyle name="60% - Énfasis1 9" xfId="265"/>
    <cellStyle name="60% - Énfasis2 10" xfId="267"/>
    <cellStyle name="60% - Énfasis2 11" xfId="268"/>
    <cellStyle name="60% - Énfasis2 12" xfId="269"/>
    <cellStyle name="60% - Énfasis2 13" xfId="270"/>
    <cellStyle name="60% - Énfasis2 14" xfId="271"/>
    <cellStyle name="60% - Énfasis2 15" xfId="272"/>
    <cellStyle name="60% - Énfasis2 16" xfId="273"/>
    <cellStyle name="60% - Énfasis2 17" xfId="274"/>
    <cellStyle name="60% - Énfasis2 18" xfId="275"/>
    <cellStyle name="60% - Énfasis2 19" xfId="276"/>
    <cellStyle name="60% - Énfasis2 2" xfId="277"/>
    <cellStyle name="60% - Énfasis2 20" xfId="1001"/>
    <cellStyle name="60% - Énfasis2 20 2" xfId="1041"/>
    <cellStyle name="60% - Énfasis2 21" xfId="1061"/>
    <cellStyle name="60% - Énfasis2 22" xfId="1081"/>
    <cellStyle name="60% - Énfasis2 3" xfId="278"/>
    <cellStyle name="60% - Énfasis2 4" xfId="279"/>
    <cellStyle name="60% - Énfasis2 5" xfId="280"/>
    <cellStyle name="60% - Énfasis2 6" xfId="281"/>
    <cellStyle name="60% - Énfasis2 7" xfId="282"/>
    <cellStyle name="60% - Énfasis2 8" xfId="283"/>
    <cellStyle name="60% - Énfasis2 9" xfId="284"/>
    <cellStyle name="60% - Énfasis3 10" xfId="286"/>
    <cellStyle name="60% - Énfasis3 11" xfId="287"/>
    <cellStyle name="60% - Énfasis3 12" xfId="288"/>
    <cellStyle name="60% - Énfasis3 13" xfId="289"/>
    <cellStyle name="60% - Énfasis3 14" xfId="290"/>
    <cellStyle name="60% - Énfasis3 15" xfId="291"/>
    <cellStyle name="60% - Énfasis3 16" xfId="292"/>
    <cellStyle name="60% - Énfasis3 17" xfId="293"/>
    <cellStyle name="60% - Énfasis3 18" xfId="294"/>
    <cellStyle name="60% - Énfasis3 19" xfId="295"/>
    <cellStyle name="60% - Énfasis3 2" xfId="296"/>
    <cellStyle name="60% - Énfasis3 20" xfId="1002"/>
    <cellStyle name="60% - Énfasis3 20 2" xfId="1042"/>
    <cellStyle name="60% - Énfasis3 21" xfId="1062"/>
    <cellStyle name="60% - Énfasis3 22" xfId="1082"/>
    <cellStyle name="60% - Énfasis3 3" xfId="297"/>
    <cellStyle name="60% - Énfasis3 4" xfId="298"/>
    <cellStyle name="60% - Énfasis3 5" xfId="299"/>
    <cellStyle name="60% - Énfasis3 6" xfId="300"/>
    <cellStyle name="60% - Énfasis3 7" xfId="301"/>
    <cellStyle name="60% - Énfasis3 8" xfId="302"/>
    <cellStyle name="60% - Énfasis3 9" xfId="303"/>
    <cellStyle name="60% - Énfasis4 10" xfId="305"/>
    <cellStyle name="60% - Énfasis4 11" xfId="306"/>
    <cellStyle name="60% - Énfasis4 12" xfId="307"/>
    <cellStyle name="60% - Énfasis4 13" xfId="308"/>
    <cellStyle name="60% - Énfasis4 14" xfId="309"/>
    <cellStyle name="60% - Énfasis4 15" xfId="310"/>
    <cellStyle name="60% - Énfasis4 16" xfId="311"/>
    <cellStyle name="60% - Énfasis4 17" xfId="312"/>
    <cellStyle name="60% - Énfasis4 18" xfId="313"/>
    <cellStyle name="60% - Énfasis4 19" xfId="314"/>
    <cellStyle name="60% - Énfasis4 2" xfId="315"/>
    <cellStyle name="60% - Énfasis4 20" xfId="1003"/>
    <cellStyle name="60% - Énfasis4 20 2" xfId="1043"/>
    <cellStyle name="60% - Énfasis4 21" xfId="1063"/>
    <cellStyle name="60% - Énfasis4 22" xfId="1083"/>
    <cellStyle name="60% - Énfasis4 3" xfId="316"/>
    <cellStyle name="60% - Énfasis4 4" xfId="317"/>
    <cellStyle name="60% - Énfasis4 5" xfId="318"/>
    <cellStyle name="60% - Énfasis4 6" xfId="319"/>
    <cellStyle name="60% - Énfasis4 7" xfId="320"/>
    <cellStyle name="60% - Énfasis4 8" xfId="321"/>
    <cellStyle name="60% - Énfasis4 9" xfId="322"/>
    <cellStyle name="60% - Énfasis5 10" xfId="324"/>
    <cellStyle name="60% - Énfasis5 11" xfId="325"/>
    <cellStyle name="60% - Énfasis5 12" xfId="326"/>
    <cellStyle name="60% - Énfasis5 13" xfId="327"/>
    <cellStyle name="60% - Énfasis5 14" xfId="328"/>
    <cellStyle name="60% - Énfasis5 15" xfId="329"/>
    <cellStyle name="60% - Énfasis5 16" xfId="330"/>
    <cellStyle name="60% - Énfasis5 17" xfId="331"/>
    <cellStyle name="60% - Énfasis5 18" xfId="332"/>
    <cellStyle name="60% - Énfasis5 19" xfId="333"/>
    <cellStyle name="60% - Énfasis5 2" xfId="334"/>
    <cellStyle name="60% - Énfasis5 20" xfId="1004"/>
    <cellStyle name="60% - Énfasis5 20 2" xfId="1044"/>
    <cellStyle name="60% - Énfasis5 21" xfId="1064"/>
    <cellStyle name="60% - Énfasis5 22" xfId="1084"/>
    <cellStyle name="60% - Énfasis5 3" xfId="335"/>
    <cellStyle name="60% - Énfasis5 4" xfId="336"/>
    <cellStyle name="60% - Énfasis5 5" xfId="337"/>
    <cellStyle name="60% - Énfasis5 6" xfId="338"/>
    <cellStyle name="60% - Énfasis5 7" xfId="339"/>
    <cellStyle name="60% - Énfasis5 8" xfId="340"/>
    <cellStyle name="60% - Énfasis5 9" xfId="341"/>
    <cellStyle name="60% - Énfasis6 10" xfId="343"/>
    <cellStyle name="60% - Énfasis6 11" xfId="344"/>
    <cellStyle name="60% - Énfasis6 12" xfId="345"/>
    <cellStyle name="60% - Énfasis6 13" xfId="346"/>
    <cellStyle name="60% - Énfasis6 14" xfId="347"/>
    <cellStyle name="60% - Énfasis6 15" xfId="348"/>
    <cellStyle name="60% - Énfasis6 16" xfId="349"/>
    <cellStyle name="60% - Énfasis6 17" xfId="350"/>
    <cellStyle name="60% - Énfasis6 18" xfId="351"/>
    <cellStyle name="60% - Énfasis6 19" xfId="352"/>
    <cellStyle name="60% - Énfasis6 2" xfId="353"/>
    <cellStyle name="60% - Énfasis6 20" xfId="1005"/>
    <cellStyle name="60% - Énfasis6 20 2" xfId="1045"/>
    <cellStyle name="60% - Énfasis6 21" xfId="1065"/>
    <cellStyle name="60% - Énfasis6 22" xfId="1085"/>
    <cellStyle name="60% - Énfasis6 3" xfId="354"/>
    <cellStyle name="60% - Énfasis6 4" xfId="355"/>
    <cellStyle name="60% - Énfasis6 5" xfId="356"/>
    <cellStyle name="60% - Énfasis6 6" xfId="357"/>
    <cellStyle name="60% - Énfasis6 7" xfId="358"/>
    <cellStyle name="60% - Énfasis6 8" xfId="359"/>
    <cellStyle name="60% - Énfasis6 9" xfId="360"/>
    <cellStyle name="Accent1" xfId="462"/>
    <cellStyle name="Accent1 2" xfId="361"/>
    <cellStyle name="Accent2" xfId="481"/>
    <cellStyle name="Accent2 2" xfId="362"/>
    <cellStyle name="Accent3" xfId="500"/>
    <cellStyle name="Accent3 2" xfId="363"/>
    <cellStyle name="Accent4" xfId="519"/>
    <cellStyle name="Accent4 2" xfId="364"/>
    <cellStyle name="Accent5" xfId="538"/>
    <cellStyle name="Accent5 2" xfId="365"/>
    <cellStyle name="Accent6" xfId="557"/>
    <cellStyle name="Accent6 2" xfId="366"/>
    <cellStyle name="Bad" xfId="611"/>
    <cellStyle name="Bad 2" xfId="367"/>
    <cellStyle name="Buena" xfId="963" builtinId="26" customBuiltin="1"/>
    <cellStyle name="Buena 10" xfId="368"/>
    <cellStyle name="Buena 11" xfId="369"/>
    <cellStyle name="Buena 12" xfId="370"/>
    <cellStyle name="Buena 13" xfId="371"/>
    <cellStyle name="Buena 14" xfId="372"/>
    <cellStyle name="Buena 15" xfId="373"/>
    <cellStyle name="Buena 16" xfId="374"/>
    <cellStyle name="Buena 17" xfId="375"/>
    <cellStyle name="Buena 18" xfId="376"/>
    <cellStyle name="Buena 19" xfId="377"/>
    <cellStyle name="Buena 2" xfId="378"/>
    <cellStyle name="Buena 3" xfId="379"/>
    <cellStyle name="Buena 4" xfId="380"/>
    <cellStyle name="Buena 5" xfId="381"/>
    <cellStyle name="Buena 6" xfId="382"/>
    <cellStyle name="Buena 7" xfId="383"/>
    <cellStyle name="Buena 8" xfId="384"/>
    <cellStyle name="Buena 9" xfId="385"/>
    <cellStyle name="Calculation" xfId="387"/>
    <cellStyle name="Calculation 2" xfId="386"/>
    <cellStyle name="Cálculo" xfId="966" builtinId="22" customBuiltin="1"/>
    <cellStyle name="Cálculo 10" xfId="388"/>
    <cellStyle name="Cálculo 11" xfId="389"/>
    <cellStyle name="Cálculo 12" xfId="390"/>
    <cellStyle name="Cálculo 13" xfId="391"/>
    <cellStyle name="Cálculo 14" xfId="392"/>
    <cellStyle name="Cálculo 15" xfId="393"/>
    <cellStyle name="Cálculo 16" xfId="394"/>
    <cellStyle name="Cálculo 17" xfId="395"/>
    <cellStyle name="Cálculo 18" xfId="396"/>
    <cellStyle name="Cálculo 19" xfId="397"/>
    <cellStyle name="Cálculo 2" xfId="398"/>
    <cellStyle name="Cálculo 3" xfId="399"/>
    <cellStyle name="Cálculo 4" xfId="400"/>
    <cellStyle name="Cálculo 5" xfId="401"/>
    <cellStyle name="Cálculo 6" xfId="402"/>
    <cellStyle name="Cálculo 7" xfId="403"/>
    <cellStyle name="Cálculo 8" xfId="404"/>
    <cellStyle name="Cálculo 9" xfId="405"/>
    <cellStyle name="Celda de comprobación" xfId="442" builtinId="23" customBuiltin="1"/>
    <cellStyle name="Celda de comprobación 10" xfId="406"/>
    <cellStyle name="Celda de comprobación 11" xfId="407"/>
    <cellStyle name="Celda de comprobación 12" xfId="408"/>
    <cellStyle name="Celda de comprobación 13" xfId="409"/>
    <cellStyle name="Celda de comprobación 14" xfId="410"/>
    <cellStyle name="Celda de comprobación 15" xfId="411"/>
    <cellStyle name="Celda de comprobación 16" xfId="412"/>
    <cellStyle name="Celda de comprobación 17" xfId="413"/>
    <cellStyle name="Celda de comprobación 18" xfId="414"/>
    <cellStyle name="Celda de comprobación 19" xfId="415"/>
    <cellStyle name="Celda de comprobación 2" xfId="416"/>
    <cellStyle name="Celda de comprobación 20" xfId="1006"/>
    <cellStyle name="Celda de comprobación 3" xfId="417"/>
    <cellStyle name="Celda de comprobación 4" xfId="418"/>
    <cellStyle name="Celda de comprobación 5" xfId="419"/>
    <cellStyle name="Celda de comprobación 6" xfId="420"/>
    <cellStyle name="Celda de comprobación 7" xfId="421"/>
    <cellStyle name="Celda de comprobación 8" xfId="422"/>
    <cellStyle name="Celda de comprobación 9" xfId="423"/>
    <cellStyle name="Celda vinculada" xfId="632" builtinId="24" customBuiltin="1"/>
    <cellStyle name="Celda vinculada 10" xfId="424"/>
    <cellStyle name="Celda vinculada 11" xfId="425"/>
    <cellStyle name="Celda vinculada 12" xfId="426"/>
    <cellStyle name="Celda vinculada 13" xfId="427"/>
    <cellStyle name="Celda vinculada 14" xfId="428"/>
    <cellStyle name="Celda vinculada 15" xfId="429"/>
    <cellStyle name="Celda vinculada 16" xfId="430"/>
    <cellStyle name="Celda vinculada 17" xfId="431"/>
    <cellStyle name="Celda vinculada 18" xfId="432"/>
    <cellStyle name="Celda vinculada 19" xfId="433"/>
    <cellStyle name="Celda vinculada 2" xfId="434"/>
    <cellStyle name="Celda vinculada 20" xfId="1007"/>
    <cellStyle name="Celda vinculada 3" xfId="435"/>
    <cellStyle name="Celda vinculada 4" xfId="436"/>
    <cellStyle name="Celda vinculada 5" xfId="437"/>
    <cellStyle name="Celda vinculada 6" xfId="438"/>
    <cellStyle name="Celda vinculada 7" xfId="439"/>
    <cellStyle name="Celda vinculada 8" xfId="440"/>
    <cellStyle name="Celda vinculada 9" xfId="441"/>
    <cellStyle name="Check Cell 2" xfId="443"/>
    <cellStyle name="Encabezado 1" xfId="960" builtinId="16" customBuiltin="1"/>
    <cellStyle name="Encabezado 4" xfId="608" builtinId="19" customBuiltin="1"/>
    <cellStyle name="Encabezado 4 10" xfId="444"/>
    <cellStyle name="Encabezado 4 11" xfId="445"/>
    <cellStyle name="Encabezado 4 12" xfId="446"/>
    <cellStyle name="Encabezado 4 13" xfId="447"/>
    <cellStyle name="Encabezado 4 14" xfId="448"/>
    <cellStyle name="Encabezado 4 15" xfId="449"/>
    <cellStyle name="Encabezado 4 16" xfId="450"/>
    <cellStyle name="Encabezado 4 17" xfId="451"/>
    <cellStyle name="Encabezado 4 18" xfId="452"/>
    <cellStyle name="Encabezado 4 19" xfId="453"/>
    <cellStyle name="Encabezado 4 2" xfId="454"/>
    <cellStyle name="Encabezado 4 20" xfId="1008"/>
    <cellStyle name="Encabezado 4 3" xfId="455"/>
    <cellStyle name="Encabezado 4 4" xfId="456"/>
    <cellStyle name="Encabezado 4 5" xfId="457"/>
    <cellStyle name="Encabezado 4 6" xfId="458"/>
    <cellStyle name="Encabezado 4 7" xfId="459"/>
    <cellStyle name="Encabezado 4 8" xfId="460"/>
    <cellStyle name="Encabezado 4 9" xfId="461"/>
    <cellStyle name="Énfasis1" xfId="968" builtinId="29" customBuiltin="1"/>
    <cellStyle name="Énfasis1 10" xfId="463"/>
    <cellStyle name="Énfasis1 11" xfId="464"/>
    <cellStyle name="Énfasis1 12" xfId="465"/>
    <cellStyle name="Énfasis1 13" xfId="466"/>
    <cellStyle name="Énfasis1 14" xfId="467"/>
    <cellStyle name="Énfasis1 15" xfId="468"/>
    <cellStyle name="Énfasis1 16" xfId="469"/>
    <cellStyle name="Énfasis1 17" xfId="470"/>
    <cellStyle name="Énfasis1 18" xfId="471"/>
    <cellStyle name="Énfasis1 19" xfId="472"/>
    <cellStyle name="Énfasis1 2" xfId="473"/>
    <cellStyle name="Énfasis1 3" xfId="474"/>
    <cellStyle name="Énfasis1 4" xfId="475"/>
    <cellStyle name="Énfasis1 5" xfId="476"/>
    <cellStyle name="Énfasis1 6" xfId="477"/>
    <cellStyle name="Énfasis1 7" xfId="478"/>
    <cellStyle name="Énfasis1 8" xfId="479"/>
    <cellStyle name="Énfasis1 9" xfId="480"/>
    <cellStyle name="Énfasis2" xfId="971" builtinId="33" customBuiltin="1"/>
    <cellStyle name="Énfasis2 10" xfId="482"/>
    <cellStyle name="Énfasis2 11" xfId="483"/>
    <cellStyle name="Énfasis2 12" xfId="484"/>
    <cellStyle name="Énfasis2 13" xfId="485"/>
    <cellStyle name="Énfasis2 14" xfId="486"/>
    <cellStyle name="Énfasis2 15" xfId="487"/>
    <cellStyle name="Énfasis2 16" xfId="488"/>
    <cellStyle name="Énfasis2 17" xfId="489"/>
    <cellStyle name="Énfasis2 18" xfId="490"/>
    <cellStyle name="Énfasis2 19" xfId="491"/>
    <cellStyle name="Énfasis2 2" xfId="492"/>
    <cellStyle name="Énfasis2 3" xfId="493"/>
    <cellStyle name="Énfasis2 4" xfId="494"/>
    <cellStyle name="Énfasis2 5" xfId="495"/>
    <cellStyle name="Énfasis2 6" xfId="496"/>
    <cellStyle name="Énfasis2 7" xfId="497"/>
    <cellStyle name="Énfasis2 8" xfId="498"/>
    <cellStyle name="Énfasis2 9" xfId="499"/>
    <cellStyle name="Énfasis3" xfId="974" builtinId="37" customBuiltin="1"/>
    <cellStyle name="Énfasis3 10" xfId="501"/>
    <cellStyle name="Énfasis3 11" xfId="502"/>
    <cellStyle name="Énfasis3 12" xfId="503"/>
    <cellStyle name="Énfasis3 13" xfId="504"/>
    <cellStyle name="Énfasis3 14" xfId="505"/>
    <cellStyle name="Énfasis3 15" xfId="506"/>
    <cellStyle name="Énfasis3 16" xfId="507"/>
    <cellStyle name="Énfasis3 17" xfId="508"/>
    <cellStyle name="Énfasis3 18" xfId="509"/>
    <cellStyle name="Énfasis3 19" xfId="510"/>
    <cellStyle name="Énfasis3 2" xfId="511"/>
    <cellStyle name="Énfasis3 3" xfId="512"/>
    <cellStyle name="Énfasis3 4" xfId="513"/>
    <cellStyle name="Énfasis3 5" xfId="514"/>
    <cellStyle name="Énfasis3 6" xfId="515"/>
    <cellStyle name="Énfasis3 7" xfId="516"/>
    <cellStyle name="Énfasis3 8" xfId="517"/>
    <cellStyle name="Énfasis3 9" xfId="518"/>
    <cellStyle name="Énfasis4" xfId="977" builtinId="41" customBuiltin="1"/>
    <cellStyle name="Énfasis4 10" xfId="520"/>
    <cellStyle name="Énfasis4 11" xfId="521"/>
    <cellStyle name="Énfasis4 12" xfId="522"/>
    <cellStyle name="Énfasis4 13" xfId="523"/>
    <cellStyle name="Énfasis4 14" xfId="524"/>
    <cellStyle name="Énfasis4 15" xfId="525"/>
    <cellStyle name="Énfasis4 16" xfId="526"/>
    <cellStyle name="Énfasis4 17" xfId="527"/>
    <cellStyle name="Énfasis4 18" xfId="528"/>
    <cellStyle name="Énfasis4 19" xfId="529"/>
    <cellStyle name="Énfasis4 2" xfId="530"/>
    <cellStyle name="Énfasis4 3" xfId="531"/>
    <cellStyle name="Énfasis4 4" xfId="532"/>
    <cellStyle name="Énfasis4 5" xfId="533"/>
    <cellStyle name="Énfasis4 6" xfId="534"/>
    <cellStyle name="Énfasis4 7" xfId="535"/>
    <cellStyle name="Énfasis4 8" xfId="536"/>
    <cellStyle name="Énfasis4 9" xfId="537"/>
    <cellStyle name="Énfasis5" xfId="980" builtinId="45" customBuiltin="1"/>
    <cellStyle name="Énfasis5 10" xfId="539"/>
    <cellStyle name="Énfasis5 11" xfId="540"/>
    <cellStyle name="Énfasis5 12" xfId="541"/>
    <cellStyle name="Énfasis5 13" xfId="542"/>
    <cellStyle name="Énfasis5 14" xfId="543"/>
    <cellStyle name="Énfasis5 15" xfId="544"/>
    <cellStyle name="Énfasis5 16" xfId="545"/>
    <cellStyle name="Énfasis5 17" xfId="546"/>
    <cellStyle name="Énfasis5 18" xfId="547"/>
    <cellStyle name="Énfasis5 19" xfId="548"/>
    <cellStyle name="Énfasis5 2" xfId="549"/>
    <cellStyle name="Énfasis5 3" xfId="550"/>
    <cellStyle name="Énfasis5 4" xfId="551"/>
    <cellStyle name="Énfasis5 5" xfId="552"/>
    <cellStyle name="Énfasis5 6" xfId="553"/>
    <cellStyle name="Énfasis5 7" xfId="554"/>
    <cellStyle name="Énfasis5 8" xfId="555"/>
    <cellStyle name="Énfasis5 9" xfId="556"/>
    <cellStyle name="Énfasis6" xfId="983" builtinId="49" customBuiltin="1"/>
    <cellStyle name="Énfasis6 10" xfId="558"/>
    <cellStyle name="Énfasis6 11" xfId="559"/>
    <cellStyle name="Énfasis6 12" xfId="560"/>
    <cellStyle name="Énfasis6 13" xfId="561"/>
    <cellStyle name="Énfasis6 14" xfId="562"/>
    <cellStyle name="Énfasis6 15" xfId="563"/>
    <cellStyle name="Énfasis6 16" xfId="564"/>
    <cellStyle name="Énfasis6 17" xfId="565"/>
    <cellStyle name="Énfasis6 18" xfId="566"/>
    <cellStyle name="Énfasis6 19" xfId="567"/>
    <cellStyle name="Énfasis6 2" xfId="568"/>
    <cellStyle name="Énfasis6 3" xfId="569"/>
    <cellStyle name="Énfasis6 4" xfId="570"/>
    <cellStyle name="Énfasis6 5" xfId="571"/>
    <cellStyle name="Énfasis6 6" xfId="572"/>
    <cellStyle name="Énfasis6 7" xfId="573"/>
    <cellStyle name="Énfasis6 8" xfId="574"/>
    <cellStyle name="Énfasis6 9" xfId="575"/>
    <cellStyle name="Entrada" xfId="630" builtinId="20" customBuiltin="1"/>
    <cellStyle name="Entrada 10" xfId="576"/>
    <cellStyle name="Entrada 11" xfId="577"/>
    <cellStyle name="Entrada 12" xfId="578"/>
    <cellStyle name="Entrada 13" xfId="579"/>
    <cellStyle name="Entrada 14" xfId="580"/>
    <cellStyle name="Entrada 15" xfId="581"/>
    <cellStyle name="Entrada 16" xfId="582"/>
    <cellStyle name="Entrada 17" xfId="583"/>
    <cellStyle name="Entrada 18" xfId="584"/>
    <cellStyle name="Entrada 19" xfId="585"/>
    <cellStyle name="Entrada 2" xfId="586"/>
    <cellStyle name="Entrada 20" xfId="1009"/>
    <cellStyle name="Entrada 3" xfId="587"/>
    <cellStyle name="Entrada 4" xfId="588"/>
    <cellStyle name="Entrada 5" xfId="589"/>
    <cellStyle name="Entrada 6" xfId="590"/>
    <cellStyle name="Entrada 7" xfId="591"/>
    <cellStyle name="Entrada 8" xfId="592"/>
    <cellStyle name="Entrada 9" xfId="593"/>
    <cellStyle name="Euro" xfId="594"/>
    <cellStyle name="Euro 2" xfId="595"/>
    <cellStyle name="Euro 2 2" xfId="596"/>
    <cellStyle name="Euro 2 2 2" xfId="896"/>
    <cellStyle name="Euro 2 2 2 2" xfId="954"/>
    <cellStyle name="Euro 2 2 2 2 2" xfId="994"/>
    <cellStyle name="Euro 2 2 2 2 3" xfId="1022"/>
    <cellStyle name="Euro 2 2 3" xfId="948"/>
    <cellStyle name="Euro 2 2 3 2" xfId="988"/>
    <cellStyle name="Euro 2 2 3 3" xfId="1016"/>
    <cellStyle name="Euro 2 3" xfId="895"/>
    <cellStyle name="Euro 2 3 2" xfId="953"/>
    <cellStyle name="Euro 2 3 2 2" xfId="993"/>
    <cellStyle name="Euro 2 3 2 3" xfId="1021"/>
    <cellStyle name="Euro 2 4" xfId="947"/>
    <cellStyle name="Euro 2 4 2" xfId="987"/>
    <cellStyle name="Euro 2 4 3" xfId="1015"/>
    <cellStyle name="Euro 3" xfId="597"/>
    <cellStyle name="Euro 3 2" xfId="598"/>
    <cellStyle name="Euro 3 2 2" xfId="898"/>
    <cellStyle name="Euro 3 2 2 2" xfId="956"/>
    <cellStyle name="Euro 3 2 2 2 2" xfId="996"/>
    <cellStyle name="Euro 3 2 2 2 3" xfId="1024"/>
    <cellStyle name="Euro 3 2 3" xfId="950"/>
    <cellStyle name="Euro 3 2 3 2" xfId="990"/>
    <cellStyle name="Euro 3 2 3 3" xfId="1018"/>
    <cellStyle name="Euro 3 3" xfId="897"/>
    <cellStyle name="Euro 3 3 2" xfId="955"/>
    <cellStyle name="Euro 3 3 2 2" xfId="995"/>
    <cellStyle name="Euro 3 3 2 3" xfId="1023"/>
    <cellStyle name="Euro 3 4" xfId="949"/>
    <cellStyle name="Euro 3 4 2" xfId="989"/>
    <cellStyle name="Euro 3 4 3" xfId="1017"/>
    <cellStyle name="Euro 4" xfId="599"/>
    <cellStyle name="Euro 4 2" xfId="899"/>
    <cellStyle name="Euro 4 2 2" xfId="957"/>
    <cellStyle name="Euro 4 2 2 2" xfId="997"/>
    <cellStyle name="Euro 4 2 2 3" xfId="1025"/>
    <cellStyle name="Euro 4 3" xfId="951"/>
    <cellStyle name="Euro 4 3 2" xfId="991"/>
    <cellStyle name="Euro 4 3 3" xfId="1019"/>
    <cellStyle name="Euro 5" xfId="600"/>
    <cellStyle name="Euro 5 2" xfId="900"/>
    <cellStyle name="Euro 5 2 2" xfId="958"/>
    <cellStyle name="Euro 5 2 2 2" xfId="998"/>
    <cellStyle name="Euro 5 2 2 3" xfId="1026"/>
    <cellStyle name="Euro 5 3" xfId="952"/>
    <cellStyle name="Euro 5 3 2" xfId="992"/>
    <cellStyle name="Euro 5 3 3" xfId="1020"/>
    <cellStyle name="Euro 6" xfId="946"/>
    <cellStyle name="Euro 6 2" xfId="986"/>
    <cellStyle name="Euro 6 3" xfId="1014"/>
    <cellStyle name="Explanatory Text" xfId="778"/>
    <cellStyle name="Explanatory Text 2" xfId="601"/>
    <cellStyle name="Good" xfId="602"/>
    <cellStyle name="Good 2" xfId="603"/>
    <cellStyle name="Heading 1" xfId="604"/>
    <cellStyle name="Heading 1 2" xfId="605"/>
    <cellStyle name="Heading 2" xfId="827"/>
    <cellStyle name="Heading 2 2" xfId="606"/>
    <cellStyle name="Heading 3" xfId="848"/>
    <cellStyle name="Heading 3 2" xfId="607"/>
    <cellStyle name="Heading 4 2" xfId="609"/>
    <cellStyle name="Hipervínculo 2" xfId="610"/>
    <cellStyle name="Incorrecto" xfId="964" builtinId="27" customBuiltin="1"/>
    <cellStyle name="Incorrecto 10" xfId="612"/>
    <cellStyle name="Incorrecto 11" xfId="613"/>
    <cellStyle name="Incorrecto 12" xfId="614"/>
    <cellStyle name="Incorrecto 13" xfId="615"/>
    <cellStyle name="Incorrecto 14" xfId="616"/>
    <cellStyle name="Incorrecto 15" xfId="617"/>
    <cellStyle name="Incorrecto 16" xfId="618"/>
    <cellStyle name="Incorrecto 17" xfId="619"/>
    <cellStyle name="Incorrecto 18" xfId="620"/>
    <cellStyle name="Incorrecto 19" xfId="621"/>
    <cellStyle name="Incorrecto 2" xfId="622"/>
    <cellStyle name="Incorrecto 3" xfId="623"/>
    <cellStyle name="Incorrecto 4" xfId="624"/>
    <cellStyle name="Incorrecto 5" xfId="625"/>
    <cellStyle name="Incorrecto 6" xfId="626"/>
    <cellStyle name="Incorrecto 7" xfId="627"/>
    <cellStyle name="Incorrecto 8" xfId="628"/>
    <cellStyle name="Incorrecto 9" xfId="629"/>
    <cellStyle name="Input 2" xfId="631"/>
    <cellStyle name="Linked Cell 2" xfId="633"/>
    <cellStyle name="Neutral" xfId="634" builtinId="28" customBuiltin="1"/>
    <cellStyle name="Neutral 10" xfId="635"/>
    <cellStyle name="Neutral 11" xfId="636"/>
    <cellStyle name="Neutral 12" xfId="637"/>
    <cellStyle name="Neutral 13" xfId="638"/>
    <cellStyle name="Neutral 14" xfId="639"/>
    <cellStyle name="Neutral 15" xfId="640"/>
    <cellStyle name="Neutral 16" xfId="641"/>
    <cellStyle name="Neutral 17" xfId="642"/>
    <cellStyle name="Neutral 18" xfId="643"/>
    <cellStyle name="Neutral 19" xfId="644"/>
    <cellStyle name="Neutral 2" xfId="645"/>
    <cellStyle name="Neutral 20" xfId="1010"/>
    <cellStyle name="Neutral 3" xfId="646"/>
    <cellStyle name="Neutral 4" xfId="647"/>
    <cellStyle name="Neutral 5" xfId="648"/>
    <cellStyle name="Neutral 6" xfId="649"/>
    <cellStyle name="Neutral 7" xfId="650"/>
    <cellStyle name="Neutral 8" xfId="651"/>
    <cellStyle name="Neutral 9" xfId="652"/>
    <cellStyle name="Normal" xfId="0" builtinId="0"/>
    <cellStyle name="Normal 10" xfId="653"/>
    <cellStyle name="Normal 10 2" xfId="901"/>
    <cellStyle name="Normal 11" xfId="654"/>
    <cellStyle name="Normal 11 2" xfId="902"/>
    <cellStyle name="Normal 12" xfId="655"/>
    <cellStyle name="Normal 12 2" xfId="903"/>
    <cellStyle name="Normal 13" xfId="656"/>
    <cellStyle name="Normal 13 2" xfId="904"/>
    <cellStyle name="Normal 14" xfId="657"/>
    <cellStyle name="Normal 14 2" xfId="905"/>
    <cellStyle name="Normal 15" xfId="658"/>
    <cellStyle name="Normal 15 2" xfId="906"/>
    <cellStyle name="Normal 16" xfId="659"/>
    <cellStyle name="Normal 16 2" xfId="907"/>
    <cellStyle name="Normal 17" xfId="660"/>
    <cellStyle name="Normal 17 2" xfId="908"/>
    <cellStyle name="Normal 18" xfId="661"/>
    <cellStyle name="Normal 18 2" xfId="909"/>
    <cellStyle name="Normal 19" xfId="662"/>
    <cellStyle name="Normal 19 2" xfId="910"/>
    <cellStyle name="Normal 2" xfId="663"/>
    <cellStyle name="Normal 2 2" xfId="911"/>
    <cellStyle name="Normal 20" xfId="664"/>
    <cellStyle name="Normal 20 2" xfId="912"/>
    <cellStyle name="Normal 21" xfId="665"/>
    <cellStyle name="Normal 21 2" xfId="913"/>
    <cellStyle name="Normal 22" xfId="666"/>
    <cellStyle name="Normal 22 2" xfId="914"/>
    <cellStyle name="Normal 23" xfId="667"/>
    <cellStyle name="Normal 23 2" xfId="915"/>
    <cellStyle name="Normal 24" xfId="668"/>
    <cellStyle name="Normal 25" xfId="669"/>
    <cellStyle name="Normal 26" xfId="670"/>
    <cellStyle name="Normal 27" xfId="671"/>
    <cellStyle name="Normal 28" xfId="672"/>
    <cellStyle name="Normal 29" xfId="673"/>
    <cellStyle name="Normal 3" xfId="674"/>
    <cellStyle name="Normal 3 2" xfId="916"/>
    <cellStyle name="Normal 30" xfId="675"/>
    <cellStyle name="Normal 31" xfId="676"/>
    <cellStyle name="Normal 32" xfId="677"/>
    <cellStyle name="Normal 33" xfId="678"/>
    <cellStyle name="Normal 34" xfId="679"/>
    <cellStyle name="Normal 35" xfId="680"/>
    <cellStyle name="Normal 36" xfId="681"/>
    <cellStyle name="Normal 37" xfId="682"/>
    <cellStyle name="Normal 38" xfId="683"/>
    <cellStyle name="Normal 39" xfId="684"/>
    <cellStyle name="Normal 4" xfId="685"/>
    <cellStyle name="Normal 4 2" xfId="917"/>
    <cellStyle name="Normal 40" xfId="686"/>
    <cellStyle name="Normal 41" xfId="687"/>
    <cellStyle name="Normal 41 2" xfId="688"/>
    <cellStyle name="Normal 41 2 2" xfId="919"/>
    <cellStyle name="Normal 41 3" xfId="918"/>
    <cellStyle name="Normal 42" xfId="689"/>
    <cellStyle name="Normal 42 2" xfId="690"/>
    <cellStyle name="Normal 43" xfId="894"/>
    <cellStyle name="Normal 44" xfId="999"/>
    <cellStyle name="Normal 44 2" xfId="1039"/>
    <cellStyle name="Normal 45" xfId="1047"/>
    <cellStyle name="Normal 46" xfId="1067"/>
    <cellStyle name="Normal 5" xfId="691"/>
    <cellStyle name="Normal 5 2" xfId="920"/>
    <cellStyle name="Normal 6" xfId="692"/>
    <cellStyle name="Normal 6 2" xfId="921"/>
    <cellStyle name="Normal 7" xfId="693"/>
    <cellStyle name="Normal 7 2" xfId="922"/>
    <cellStyle name="Normal 8" xfId="694"/>
    <cellStyle name="Normal 8 2" xfId="923"/>
    <cellStyle name="Normal 9" xfId="695"/>
    <cellStyle name="Normal 9 2" xfId="924"/>
    <cellStyle name="Normal_Plantilla Mediciones" xfId="696"/>
    <cellStyle name="Normal_Recuento Conjuntos" xfId="697"/>
    <cellStyle name="Notas" xfId="717" builtinId="10" customBuiltin="1"/>
    <cellStyle name="Notas 10" xfId="698"/>
    <cellStyle name="Notas 10 2" xfId="925"/>
    <cellStyle name="Notas 11" xfId="699"/>
    <cellStyle name="Notas 11 2" xfId="926"/>
    <cellStyle name="Notas 12" xfId="700"/>
    <cellStyle name="Notas 12 2" xfId="927"/>
    <cellStyle name="Notas 13" xfId="701"/>
    <cellStyle name="Notas 13 2" xfId="928"/>
    <cellStyle name="Notas 14" xfId="702"/>
    <cellStyle name="Notas 14 2" xfId="929"/>
    <cellStyle name="Notas 15" xfId="703"/>
    <cellStyle name="Notas 15 2" xfId="930"/>
    <cellStyle name="Notas 16" xfId="704"/>
    <cellStyle name="Notas 16 2" xfId="931"/>
    <cellStyle name="Notas 17" xfId="705"/>
    <cellStyle name="Notas 17 2" xfId="932"/>
    <cellStyle name="Notas 18" xfId="706"/>
    <cellStyle name="Notas 18 2" xfId="933"/>
    <cellStyle name="Notas 19" xfId="707"/>
    <cellStyle name="Notas 19 2" xfId="934"/>
    <cellStyle name="Notas 2" xfId="708"/>
    <cellStyle name="Notas 2 2" xfId="935"/>
    <cellStyle name="Notas 20" xfId="709"/>
    <cellStyle name="Notas 20 2" xfId="936"/>
    <cellStyle name="Notas 21" xfId="1011"/>
    <cellStyle name="Notas 21 2" xfId="1046"/>
    <cellStyle name="Notas 22" xfId="1066"/>
    <cellStyle name="Notas 23" xfId="1086"/>
    <cellStyle name="Notas 3" xfId="710"/>
    <cellStyle name="Notas 3 2" xfId="937"/>
    <cellStyle name="Notas 4" xfId="711"/>
    <cellStyle name="Notas 4 2" xfId="938"/>
    <cellStyle name="Notas 5" xfId="712"/>
    <cellStyle name="Notas 5 2" xfId="939"/>
    <cellStyle name="Notas 6" xfId="713"/>
    <cellStyle name="Notas 6 2" xfId="940"/>
    <cellStyle name="Notas 7" xfId="714"/>
    <cellStyle name="Notas 7 2" xfId="941"/>
    <cellStyle name="Notas 8" xfId="715"/>
    <cellStyle name="Notas 8 2" xfId="942"/>
    <cellStyle name="Notas 9" xfId="716"/>
    <cellStyle name="Notas 9 2" xfId="943"/>
    <cellStyle name="Note 2" xfId="718"/>
    <cellStyle name="Output" xfId="741"/>
    <cellStyle name="Output 2" xfId="719"/>
    <cellStyle name="Porcentual 10" xfId="720"/>
    <cellStyle name="Porcentual 11" xfId="721"/>
    <cellStyle name="Porcentual 12" xfId="722"/>
    <cellStyle name="Porcentual 13" xfId="723"/>
    <cellStyle name="Porcentual 14" xfId="724"/>
    <cellStyle name="Porcentual 15" xfId="725"/>
    <cellStyle name="Porcentual 16" xfId="726"/>
    <cellStyle name="Porcentual 17" xfId="727"/>
    <cellStyle name="Porcentual 18" xfId="728"/>
    <cellStyle name="Porcentual 19" xfId="729"/>
    <cellStyle name="Porcentual 19 2" xfId="730"/>
    <cellStyle name="Porcentual 19 2 2" xfId="945"/>
    <cellStyle name="Porcentual 19 3" xfId="944"/>
    <cellStyle name="Porcentual 2" xfId="731"/>
    <cellStyle name="Porcentual 20" xfId="732"/>
    <cellStyle name="Porcentual 20 2" xfId="733"/>
    <cellStyle name="Porcentual 3" xfId="734"/>
    <cellStyle name="Porcentual 4" xfId="735"/>
    <cellStyle name="Porcentual 5" xfId="736"/>
    <cellStyle name="Porcentual 6" xfId="737"/>
    <cellStyle name="Porcentual 7" xfId="738"/>
    <cellStyle name="Porcentual 8" xfId="739"/>
    <cellStyle name="Porcentual 9" xfId="740"/>
    <cellStyle name="Salida" xfId="965" builtinId="21" customBuiltin="1"/>
    <cellStyle name="Salida 10" xfId="742"/>
    <cellStyle name="Salida 11" xfId="743"/>
    <cellStyle name="Salida 12" xfId="744"/>
    <cellStyle name="Salida 13" xfId="745"/>
    <cellStyle name="Salida 14" xfId="746"/>
    <cellStyle name="Salida 15" xfId="747"/>
    <cellStyle name="Salida 16" xfId="748"/>
    <cellStyle name="Salida 17" xfId="749"/>
    <cellStyle name="Salida 18" xfId="750"/>
    <cellStyle name="Salida 19" xfId="751"/>
    <cellStyle name="Salida 2" xfId="752"/>
    <cellStyle name="Salida 3" xfId="753"/>
    <cellStyle name="Salida 4" xfId="754"/>
    <cellStyle name="Salida 5" xfId="755"/>
    <cellStyle name="Salida 6" xfId="756"/>
    <cellStyle name="Salida 7" xfId="757"/>
    <cellStyle name="Salida 8" xfId="758"/>
    <cellStyle name="Salida 9" xfId="759"/>
    <cellStyle name="Texto de advertencia" xfId="892" builtinId="11" customBuiltin="1"/>
    <cellStyle name="Texto de advertencia 10" xfId="760"/>
    <cellStyle name="Texto de advertencia 11" xfId="761"/>
    <cellStyle name="Texto de advertencia 12" xfId="762"/>
    <cellStyle name="Texto de advertencia 13" xfId="763"/>
    <cellStyle name="Texto de advertencia 14" xfId="764"/>
    <cellStyle name="Texto de advertencia 15" xfId="765"/>
    <cellStyle name="Texto de advertencia 16" xfId="766"/>
    <cellStyle name="Texto de advertencia 17" xfId="767"/>
    <cellStyle name="Texto de advertencia 18" xfId="768"/>
    <cellStyle name="Texto de advertencia 19" xfId="769"/>
    <cellStyle name="Texto de advertencia 2" xfId="770"/>
    <cellStyle name="Texto de advertencia 20" xfId="1012"/>
    <cellStyle name="Texto de advertencia 3" xfId="771"/>
    <cellStyle name="Texto de advertencia 4" xfId="772"/>
    <cellStyle name="Texto de advertencia 5" xfId="773"/>
    <cellStyle name="Texto de advertencia 6" xfId="774"/>
    <cellStyle name="Texto de advertencia 7" xfId="775"/>
    <cellStyle name="Texto de advertencia 8" xfId="776"/>
    <cellStyle name="Texto de advertencia 9" xfId="777"/>
    <cellStyle name="Texto explicativo" xfId="967" builtinId="53" customBuiltin="1"/>
    <cellStyle name="Texto explicativo 10" xfId="779"/>
    <cellStyle name="Texto explicativo 11" xfId="780"/>
    <cellStyle name="Texto explicativo 12" xfId="781"/>
    <cellStyle name="Texto explicativo 13" xfId="782"/>
    <cellStyle name="Texto explicativo 14" xfId="783"/>
    <cellStyle name="Texto explicativo 15" xfId="784"/>
    <cellStyle name="Texto explicativo 16" xfId="785"/>
    <cellStyle name="Texto explicativo 17" xfId="786"/>
    <cellStyle name="Texto explicativo 18" xfId="787"/>
    <cellStyle name="Texto explicativo 19" xfId="788"/>
    <cellStyle name="Texto explicativo 2" xfId="789"/>
    <cellStyle name="Texto explicativo 3" xfId="790"/>
    <cellStyle name="Texto explicativo 4" xfId="791"/>
    <cellStyle name="Texto explicativo 5" xfId="792"/>
    <cellStyle name="Texto explicativo 6" xfId="793"/>
    <cellStyle name="Texto explicativo 7" xfId="794"/>
    <cellStyle name="Texto explicativo 8" xfId="795"/>
    <cellStyle name="Texto explicativo 9" xfId="796"/>
    <cellStyle name="Title" xfId="798"/>
    <cellStyle name="Title 2" xfId="797"/>
    <cellStyle name="Título" xfId="959" builtinId="15" customBuiltin="1"/>
    <cellStyle name="Título 1 10" xfId="799"/>
    <cellStyle name="Título 1 11" xfId="800"/>
    <cellStyle name="Título 1 12" xfId="801"/>
    <cellStyle name="Título 1 13" xfId="802"/>
    <cellStyle name="Título 1 14" xfId="803"/>
    <cellStyle name="Título 1 15" xfId="804"/>
    <cellStyle name="Título 1 16" xfId="805"/>
    <cellStyle name="Título 1 17" xfId="806"/>
    <cellStyle name="Título 1 18" xfId="807"/>
    <cellStyle name="Título 1 19" xfId="808"/>
    <cellStyle name="Título 1 2" xfId="809"/>
    <cellStyle name="Título 1 3" xfId="810"/>
    <cellStyle name="Título 1 4" xfId="811"/>
    <cellStyle name="Título 1 5" xfId="812"/>
    <cellStyle name="Título 1 6" xfId="813"/>
    <cellStyle name="Título 1 7" xfId="814"/>
    <cellStyle name="Título 1 8" xfId="815"/>
    <cellStyle name="Título 1 9" xfId="816"/>
    <cellStyle name="Título 10" xfId="817"/>
    <cellStyle name="Título 11" xfId="818"/>
    <cellStyle name="Título 12" xfId="819"/>
    <cellStyle name="Título 13" xfId="820"/>
    <cellStyle name="Título 14" xfId="821"/>
    <cellStyle name="Título 15" xfId="822"/>
    <cellStyle name="Título 16" xfId="823"/>
    <cellStyle name="Título 17" xfId="824"/>
    <cellStyle name="Título 18" xfId="825"/>
    <cellStyle name="Título 19" xfId="826"/>
    <cellStyle name="Título 2" xfId="961" builtinId="17" customBuiltin="1"/>
    <cellStyle name="Título 2 10" xfId="828"/>
    <cellStyle name="Título 2 11" xfId="829"/>
    <cellStyle name="Título 2 12" xfId="830"/>
    <cellStyle name="Título 2 13" xfId="831"/>
    <cellStyle name="Título 2 14" xfId="832"/>
    <cellStyle name="Título 2 15" xfId="833"/>
    <cellStyle name="Título 2 16" xfId="834"/>
    <cellStyle name="Título 2 17" xfId="835"/>
    <cellStyle name="Título 2 18" xfId="836"/>
    <cellStyle name="Título 2 19" xfId="837"/>
    <cellStyle name="Título 2 2" xfId="838"/>
    <cellStyle name="Título 2 3" xfId="839"/>
    <cellStyle name="Título 2 4" xfId="840"/>
    <cellStyle name="Título 2 5" xfId="841"/>
    <cellStyle name="Título 2 6" xfId="842"/>
    <cellStyle name="Título 2 7" xfId="843"/>
    <cellStyle name="Título 2 8" xfId="844"/>
    <cellStyle name="Título 2 9" xfId="845"/>
    <cellStyle name="Título 20" xfId="846"/>
    <cellStyle name="Título 21" xfId="847"/>
    <cellStyle name="Título 3" xfId="962" builtinId="18" customBuiltin="1"/>
    <cellStyle name="Título 3 10" xfId="849"/>
    <cellStyle name="Título 3 11" xfId="850"/>
    <cellStyle name="Título 3 12" xfId="851"/>
    <cellStyle name="Título 3 13" xfId="852"/>
    <cellStyle name="Título 3 14" xfId="853"/>
    <cellStyle name="Título 3 15" xfId="854"/>
    <cellStyle name="Título 3 16" xfId="855"/>
    <cellStyle name="Título 3 17" xfId="856"/>
    <cellStyle name="Título 3 18" xfId="857"/>
    <cellStyle name="Título 3 19" xfId="858"/>
    <cellStyle name="Título 3 2" xfId="859"/>
    <cellStyle name="Título 3 3" xfId="860"/>
    <cellStyle name="Título 3 4" xfId="861"/>
    <cellStyle name="Título 3 5" xfId="862"/>
    <cellStyle name="Título 3 6" xfId="863"/>
    <cellStyle name="Título 3 7" xfId="864"/>
    <cellStyle name="Título 3 8" xfId="865"/>
    <cellStyle name="Título 3 9" xfId="866"/>
    <cellStyle name="Título 4" xfId="867"/>
    <cellStyle name="Título 5" xfId="868"/>
    <cellStyle name="Título 6" xfId="869"/>
    <cellStyle name="Título 7" xfId="870"/>
    <cellStyle name="Título 8" xfId="871"/>
    <cellStyle name="Título 9" xfId="872"/>
    <cellStyle name="Total" xfId="873" builtinId="25" customBuiltin="1"/>
    <cellStyle name="Total 10" xfId="874"/>
    <cellStyle name="Total 11" xfId="875"/>
    <cellStyle name="Total 12" xfId="876"/>
    <cellStyle name="Total 13" xfId="877"/>
    <cellStyle name="Total 14" xfId="878"/>
    <cellStyle name="Total 15" xfId="879"/>
    <cellStyle name="Total 16" xfId="880"/>
    <cellStyle name="Total 17" xfId="881"/>
    <cellStyle name="Total 18" xfId="882"/>
    <cellStyle name="Total 19" xfId="883"/>
    <cellStyle name="Total 2" xfId="884"/>
    <cellStyle name="Total 20" xfId="1013"/>
    <cellStyle name="Total 3" xfId="885"/>
    <cellStyle name="Total 4" xfId="886"/>
    <cellStyle name="Total 5" xfId="887"/>
    <cellStyle name="Total 6" xfId="888"/>
    <cellStyle name="Total 7" xfId="889"/>
    <cellStyle name="Total 8" xfId="890"/>
    <cellStyle name="Total 9" xfId="891"/>
    <cellStyle name="Warning Text 2" xfId="893"/>
  </cellStyles>
  <dxfs count="42"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9" defaultPivotStyle="PivotStyleLight16"/>
  <colors>
    <mruColors>
      <color rgb="FFDA9694"/>
      <color rgb="FF00CC00"/>
      <color rgb="FFFF9999"/>
      <color rgb="FF9BBB5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tif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tif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tif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tif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tif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tif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523874</xdr:colOff>
      <xdr:row>36</xdr:row>
      <xdr:rowOff>11906</xdr:rowOff>
    </xdr:from>
    <xdr:to>
      <xdr:col>4</xdr:col>
      <xdr:colOff>498942</xdr:colOff>
      <xdr:row>39</xdr:row>
      <xdr:rowOff>118362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56B2367C-A09B-4DB1-BC78-D5F834D116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4" y="202406"/>
          <a:ext cx="2919413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919165</xdr:colOff>
      <xdr:row>36</xdr:row>
      <xdr:rowOff>33337</xdr:rowOff>
    </xdr:from>
    <xdr:to>
      <xdr:col>16</xdr:col>
      <xdr:colOff>758261</xdr:colOff>
      <xdr:row>39</xdr:row>
      <xdr:rowOff>21011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FE475005-A529-45DF-BBA9-91C7A0443E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48129" y="1339623"/>
          <a:ext cx="764382" cy="4775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523874</xdr:colOff>
      <xdr:row>9</xdr:row>
      <xdr:rowOff>11906</xdr:rowOff>
    </xdr:from>
    <xdr:to>
      <xdr:col>8</xdr:col>
      <xdr:colOff>753174</xdr:colOff>
      <xdr:row>12</xdr:row>
      <xdr:rowOff>102487</xdr:rowOff>
    </xdr:to>
    <xdr:pic>
      <xdr:nvPicPr>
        <xdr:cNvPr id="4" name="Imagen 1">
          <a:extLst>
            <a:ext uri="{FF2B5EF4-FFF2-40B4-BE49-F238E27FC236}">
              <a16:creationId xmlns:a16="http://schemas.microsoft.com/office/drawing/2014/main" xmlns="" id="{9DEEB984-9204-4846-9D57-51A2A9A26B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2524" y="202406"/>
          <a:ext cx="291703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1042990</xdr:colOff>
      <xdr:row>9</xdr:row>
      <xdr:rowOff>33337</xdr:rowOff>
    </xdr:from>
    <xdr:to>
      <xdr:col>16</xdr:col>
      <xdr:colOff>758262</xdr:colOff>
      <xdr:row>12</xdr:row>
      <xdr:rowOff>5135</xdr:rowOff>
    </xdr:to>
    <xdr:pic>
      <xdr:nvPicPr>
        <xdr:cNvPr id="5" name="Imagen 2">
          <a:extLst>
            <a:ext uri="{FF2B5EF4-FFF2-40B4-BE49-F238E27FC236}">
              <a16:creationId xmlns:a16="http://schemas.microsoft.com/office/drawing/2014/main" xmlns="" id="{9DE73105-606D-4E79-81F1-C92F323AAD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06415" y="223837"/>
          <a:ext cx="1250158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5%20LAYOUT/05.02%20LAYOUT%20SHEET/EP09/ISRELC-ECS-SEM-DES-E09-LIS-004457-12-LAYOUT_SHEET_NSHOLTZ_NSHASHFEL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Data"/>
      <sheetName val="HR Track 1TLV S."/>
      <sheetName val="HR Track 2TLV S."/>
      <sheetName val="HR Track 3TLV S."/>
      <sheetName val="HR Track 4TLV S."/>
      <sheetName val="HR Track 5TLV S."/>
      <sheetName val="HR Track 6TLV S."/>
      <sheetName val="HR Track 5TLV S(SIDING)."/>
      <sheetName val="HR Track 8TLV S."/>
      <sheetName val="HR Track 9TLV S."/>
      <sheetName val="HR Track 10TLV S."/>
      <sheetName val="HR Track 1"/>
      <sheetName val="HR Track 2"/>
      <sheetName val="HR Track 3"/>
      <sheetName val="HR Track 21"/>
      <sheetName val="HR Track 1 to Kafar"/>
      <sheetName val="HR Track 2 to Kafar"/>
      <sheetName val="HR Track 2 LOD"/>
      <sheetName val="Recuento Conjuntos"/>
      <sheetName val="Recuento Especiales"/>
      <sheetName val="Mediciones TOTAL"/>
      <sheetName val="Arms"/>
      <sheetName val="Foundation Calculation"/>
      <sheetName val="CW&amp;MW Drums"/>
      <sheetName val="control"/>
      <sheetName val="Signal Affected NE"/>
      <sheetName val="Signal Affected E"/>
    </sheetNames>
    <sheetDataSet>
      <sheetData sheetId="0"/>
      <sheetData sheetId="1">
        <row r="2">
          <cell r="I2" t="str">
            <v>Anchorage</v>
          </cell>
        </row>
        <row r="3">
          <cell r="O3" t="str">
            <v>M2</v>
          </cell>
        </row>
        <row r="4">
          <cell r="G4">
            <v>30</v>
          </cell>
        </row>
        <row r="5">
          <cell r="A5" t="str">
            <v>Overcrossing</v>
          </cell>
          <cell r="B5" t="str">
            <v>97-1.06</v>
          </cell>
          <cell r="C5">
            <v>97208.5</v>
          </cell>
          <cell r="F5">
            <v>-335</v>
          </cell>
          <cell r="H5" t="str">
            <v>A/S</v>
          </cell>
          <cell r="I5" t="str">
            <v>CP/TX-W</v>
          </cell>
          <cell r="J5">
            <v>97218.5</v>
          </cell>
          <cell r="K5" t="str">
            <v>AnM/TX</v>
          </cell>
          <cell r="L5" t="str">
            <v>S-1T-L</v>
          </cell>
          <cell r="M5" t="str">
            <v xml:space="preserve">UNIQUE SOLUTION </v>
          </cell>
          <cell r="N5" t="str">
            <v>EMT-2T</v>
          </cell>
          <cell r="T5">
            <v>30</v>
          </cell>
          <cell r="W5">
            <v>1.4</v>
          </cell>
        </row>
        <row r="6">
          <cell r="G6">
            <v>33</v>
          </cell>
        </row>
        <row r="7">
          <cell r="B7" t="str">
            <v>97-1.07</v>
          </cell>
          <cell r="C7">
            <v>97241.5</v>
          </cell>
          <cell r="F7">
            <v>-335</v>
          </cell>
          <cell r="H7" t="str">
            <v>S/A</v>
          </cell>
          <cell r="L7" t="str">
            <v>S2T</v>
          </cell>
          <cell r="N7" t="str">
            <v>EMT-TT</v>
          </cell>
          <cell r="O7" t="str">
            <v>EMT-1T</v>
          </cell>
          <cell r="T7">
            <v>15</v>
          </cell>
          <cell r="U7">
            <v>-30</v>
          </cell>
          <cell r="W7">
            <v>1</v>
          </cell>
          <cell r="X7" t="str">
            <v>0.8</v>
          </cell>
          <cell r="Z7">
            <v>0.5</v>
          </cell>
          <cell r="AC7" t="str">
            <v>PH-C</v>
          </cell>
        </row>
        <row r="8">
          <cell r="G8">
            <v>33</v>
          </cell>
          <cell r="S8">
            <v>97309.87</v>
          </cell>
        </row>
        <row r="9">
          <cell r="A9" t="str">
            <v>TSO-01</v>
          </cell>
          <cell r="B9" t="str">
            <v>97-1.08</v>
          </cell>
          <cell r="C9">
            <v>97274.5</v>
          </cell>
          <cell r="F9">
            <v>-335</v>
          </cell>
          <cell r="H9" t="str">
            <v>S/A</v>
          </cell>
          <cell r="I9" t="str">
            <v>IO</v>
          </cell>
          <cell r="L9" t="str">
            <v>HEB-320L</v>
          </cell>
          <cell r="M9" t="str">
            <v>C7R</v>
          </cell>
          <cell r="N9" t="str">
            <v>EMT-1</v>
          </cell>
          <cell r="O9" t="str">
            <v>EMT-1</v>
          </cell>
          <cell r="Q9">
            <v>80</v>
          </cell>
          <cell r="R9">
            <v>-378</v>
          </cell>
          <cell r="T9">
            <v>15</v>
          </cell>
          <cell r="U9">
            <v>-30</v>
          </cell>
          <cell r="W9">
            <v>0.8</v>
          </cell>
          <cell r="X9">
            <v>1</v>
          </cell>
          <cell r="Z9">
            <v>0.1</v>
          </cell>
          <cell r="AC9" t="str">
            <v>PH-C</v>
          </cell>
          <cell r="AG9">
            <v>97309.87</v>
          </cell>
          <cell r="AH9">
            <v>2584</v>
          </cell>
          <cell r="AI9">
            <v>299</v>
          </cell>
          <cell r="AJ9" t="str">
            <v>DISC/IO-pr</v>
          </cell>
          <cell r="AL9" t="str">
            <v>PR1C</v>
          </cell>
          <cell r="AM9" t="str">
            <v>RW2</v>
          </cell>
        </row>
        <row r="10">
          <cell r="G10">
            <v>30</v>
          </cell>
          <cell r="S10">
            <v>30.169999999998254</v>
          </cell>
        </row>
        <row r="11">
          <cell r="B11" t="str">
            <v>97-1.09</v>
          </cell>
          <cell r="C11">
            <v>97304.5</v>
          </cell>
          <cell r="F11">
            <v>-335</v>
          </cell>
          <cell r="H11" t="str">
            <v>S/A</v>
          </cell>
          <cell r="L11" t="str">
            <v>HEB-320L</v>
          </cell>
          <cell r="M11" t="str">
            <v>C7R</v>
          </cell>
          <cell r="N11" t="str">
            <v>EMT-1</v>
          </cell>
          <cell r="O11" t="str">
            <v>EMT-1</v>
          </cell>
          <cell r="Q11">
            <v>60</v>
          </cell>
          <cell r="R11">
            <v>-1171.4000000000001</v>
          </cell>
          <cell r="T11">
            <v>15</v>
          </cell>
          <cell r="U11">
            <v>-30</v>
          </cell>
          <cell r="W11">
            <v>1.4</v>
          </cell>
          <cell r="X11">
            <v>2.2999999999999998</v>
          </cell>
          <cell r="AA11">
            <v>0.1</v>
          </cell>
          <cell r="AC11" t="str">
            <v>PH-C</v>
          </cell>
          <cell r="AG11">
            <v>97340.04</v>
          </cell>
          <cell r="AH11">
            <v>2268</v>
          </cell>
          <cell r="AI11">
            <v>403</v>
          </cell>
          <cell r="AL11" t="str">
            <v>PR1C</v>
          </cell>
          <cell r="AM11" t="str">
            <v>RW2</v>
          </cell>
        </row>
        <row r="12">
          <cell r="G12">
            <v>30</v>
          </cell>
          <cell r="J12">
            <v>97327</v>
          </cell>
          <cell r="K12" t="str">
            <v>AnMC</v>
          </cell>
          <cell r="S12">
            <v>30.070000000006985</v>
          </cell>
        </row>
        <row r="13">
          <cell r="B13" t="str">
            <v>97-1.10</v>
          </cell>
          <cell r="C13">
            <v>97334.5</v>
          </cell>
          <cell r="F13">
            <v>-1500</v>
          </cell>
          <cell r="H13" t="str">
            <v>S/A A/S-Diag</v>
          </cell>
          <cell r="I13" t="str">
            <v>CP+AnMC</v>
          </cell>
          <cell r="L13" t="str">
            <v>HEB-320L</v>
          </cell>
          <cell r="M13" t="str">
            <v>C5R</v>
          </cell>
          <cell r="N13" t="str">
            <v>EMT-1</v>
          </cell>
          <cell r="O13" t="str">
            <v>EMT-T</v>
          </cell>
          <cell r="Q13">
            <v>30</v>
          </cell>
          <cell r="R13">
            <v>-1171.4000000000001</v>
          </cell>
          <cell r="T13">
            <v>-10</v>
          </cell>
          <cell r="U13">
            <v>-55</v>
          </cell>
          <cell r="W13">
            <v>1.4</v>
          </cell>
          <cell r="X13">
            <v>2.2999999999999998</v>
          </cell>
          <cell r="AA13">
            <v>0.6</v>
          </cell>
          <cell r="AC13" t="str">
            <v>PH</v>
          </cell>
          <cell r="AG13">
            <v>97370.11</v>
          </cell>
          <cell r="AH13">
            <v>2164</v>
          </cell>
          <cell r="AI13">
            <v>306</v>
          </cell>
          <cell r="AL13" t="str">
            <v>PR1C</v>
          </cell>
          <cell r="AM13" t="str">
            <v>RW2</v>
          </cell>
        </row>
        <row r="14">
          <cell r="G14">
            <v>30</v>
          </cell>
          <cell r="I14">
            <v>358</v>
          </cell>
          <cell r="S14">
            <v>-97370.11</v>
          </cell>
        </row>
        <row r="15">
          <cell r="B15" t="str">
            <v>97-1.11</v>
          </cell>
          <cell r="C15">
            <v>97392</v>
          </cell>
          <cell r="F15">
            <v>0</v>
          </cell>
          <cell r="H15" t="str">
            <v>S/A A/S S/A</v>
          </cell>
          <cell r="L15" t="str">
            <v>HEB-280L_s</v>
          </cell>
          <cell r="M15" t="str">
            <v>W5</v>
          </cell>
          <cell r="N15" t="str">
            <v>EMT-T</v>
          </cell>
          <cell r="O15" t="str">
            <v>EMT-1</v>
          </cell>
          <cell r="P15" t="str">
            <v>EMT-T</v>
          </cell>
          <cell r="T15">
            <v>-50</v>
          </cell>
          <cell r="U15">
            <v>-35</v>
          </cell>
          <cell r="V15">
            <v>55</v>
          </cell>
          <cell r="W15">
            <v>2.2999999999999998</v>
          </cell>
          <cell r="X15">
            <v>1.8</v>
          </cell>
          <cell r="Y15">
            <v>1.4</v>
          </cell>
          <cell r="Z15">
            <v>0.45</v>
          </cell>
          <cell r="AB15">
            <v>0.6</v>
          </cell>
          <cell r="AC15" t="str">
            <v>PH-Q</v>
          </cell>
          <cell r="AL15" t="str">
            <v>PR1B</v>
          </cell>
          <cell r="AM15" t="str">
            <v>RW2</v>
          </cell>
        </row>
        <row r="16">
          <cell r="G16">
            <v>30</v>
          </cell>
          <cell r="I16" t="str">
            <v>CP+AnMC</v>
          </cell>
          <cell r="J16">
            <v>97399.5</v>
          </cell>
          <cell r="K16" t="str">
            <v>AnMC/W</v>
          </cell>
          <cell r="S16">
            <v>0</v>
          </cell>
        </row>
        <row r="17">
          <cell r="B17" t="str">
            <v>97-1.12</v>
          </cell>
          <cell r="C17">
            <v>97422</v>
          </cell>
          <cell r="F17">
            <v>0</v>
          </cell>
          <cell r="H17" t="str">
            <v>P50 A/S</v>
          </cell>
          <cell r="I17" t="str">
            <v>CP+AnMC</v>
          </cell>
          <cell r="L17" t="str">
            <v>HEB-280L_s</v>
          </cell>
          <cell r="M17" t="str">
            <v>W5</v>
          </cell>
          <cell r="N17" t="str">
            <v>EMT-1</v>
          </cell>
          <cell r="O17" t="str">
            <v>EMT-2</v>
          </cell>
          <cell r="T17">
            <v>15</v>
          </cell>
          <cell r="U17">
            <v>30</v>
          </cell>
          <cell r="W17">
            <v>2.2999999999999998</v>
          </cell>
          <cell r="X17">
            <v>1.4</v>
          </cell>
          <cell r="AC17" t="str">
            <v>PH</v>
          </cell>
          <cell r="AJ17" t="str">
            <v>SECT-I</v>
          </cell>
          <cell r="AL17" t="str">
            <v>PR1B</v>
          </cell>
          <cell r="AM17" t="str">
            <v>RW2</v>
          </cell>
        </row>
        <row r="18">
          <cell r="G18">
            <v>44</v>
          </cell>
          <cell r="J18">
            <v>97429.5</v>
          </cell>
          <cell r="K18" t="str">
            <v>AnMC/W</v>
          </cell>
          <cell r="S18">
            <v>97464.57</v>
          </cell>
        </row>
        <row r="19">
          <cell r="B19" t="str">
            <v>97-1.13</v>
          </cell>
          <cell r="C19">
            <v>97466</v>
          </cell>
          <cell r="F19">
            <v>0</v>
          </cell>
          <cell r="H19" t="str">
            <v>P30</v>
          </cell>
          <cell r="L19" t="str">
            <v>HEB-280L</v>
          </cell>
          <cell r="M19" t="str">
            <v>C5R</v>
          </cell>
          <cell r="N19" t="str">
            <v>EMT-2</v>
          </cell>
          <cell r="O19" t="str">
            <v>EMT-1</v>
          </cell>
          <cell r="Q19">
            <v>0</v>
          </cell>
          <cell r="R19" t="str">
            <v>inf</v>
          </cell>
          <cell r="T19">
            <v>25</v>
          </cell>
          <cell r="U19">
            <v>10</v>
          </cell>
          <cell r="W19">
            <v>1.4</v>
          </cell>
          <cell r="X19">
            <v>2.2999999999999998</v>
          </cell>
          <cell r="AC19" t="str">
            <v>PH</v>
          </cell>
          <cell r="AG19">
            <v>97464.57</v>
          </cell>
          <cell r="AH19">
            <v>2797</v>
          </cell>
          <cell r="AI19">
            <v>181</v>
          </cell>
          <cell r="AJ19" t="str">
            <v>SECT-I</v>
          </cell>
          <cell r="AL19" t="str">
            <v>PR1B</v>
          </cell>
          <cell r="AM19" t="str">
            <v>RW2</v>
          </cell>
        </row>
        <row r="20">
          <cell r="G20">
            <v>34</v>
          </cell>
          <cell r="S20">
            <v>34.009999999994761</v>
          </cell>
        </row>
        <row r="21">
          <cell r="B21" t="str">
            <v>97-1.14</v>
          </cell>
          <cell r="C21">
            <v>97500</v>
          </cell>
          <cell r="F21">
            <v>0</v>
          </cell>
          <cell r="H21" t="str">
            <v>S/A</v>
          </cell>
          <cell r="L21" t="str">
            <v>HEB-280L</v>
          </cell>
          <cell r="M21" t="str">
            <v>C5R</v>
          </cell>
          <cell r="N21" t="str">
            <v>EMT-1</v>
          </cell>
          <cell r="O21" t="str">
            <v>EMT-T</v>
          </cell>
          <cell r="Q21">
            <v>0</v>
          </cell>
          <cell r="R21" t="str">
            <v>inf</v>
          </cell>
          <cell r="T21">
            <v>-5</v>
          </cell>
          <cell r="U21">
            <v>-20</v>
          </cell>
          <cell r="W21">
            <v>1.4</v>
          </cell>
          <cell r="X21">
            <v>2.2999999999999998</v>
          </cell>
          <cell r="AA21" t="str">
            <v>0.45</v>
          </cell>
          <cell r="AC21" t="str">
            <v>PH</v>
          </cell>
          <cell r="AG21">
            <v>97498.58</v>
          </cell>
          <cell r="AH21">
            <v>2542</v>
          </cell>
          <cell r="AI21">
            <v>139</v>
          </cell>
          <cell r="AL21" t="str">
            <v>PR1B</v>
          </cell>
          <cell r="AM21" t="str">
            <v>RW2</v>
          </cell>
        </row>
        <row r="22">
          <cell r="G22">
            <v>40</v>
          </cell>
          <cell r="I22">
            <v>208</v>
          </cell>
          <cell r="S22">
            <v>-97498.58</v>
          </cell>
        </row>
        <row r="23">
          <cell r="B23" t="str">
            <v>97-1.15</v>
          </cell>
          <cell r="C23">
            <v>97540</v>
          </cell>
          <cell r="F23">
            <v>2500</v>
          </cell>
          <cell r="H23" t="str">
            <v>A/S-Diag</v>
          </cell>
          <cell r="I23" t="str">
            <v>CP+AnMC</v>
          </cell>
          <cell r="L23" t="str">
            <v>HEB-320L</v>
          </cell>
          <cell r="M23" t="str">
            <v>C7R</v>
          </cell>
          <cell r="N23" t="str">
            <v>EMT-2</v>
          </cell>
          <cell r="T23">
            <v>30</v>
          </cell>
          <cell r="W23">
            <v>1.4</v>
          </cell>
          <cell r="AC23" t="str">
            <v>PH-Q</v>
          </cell>
          <cell r="AL23" t="str">
            <v>PR1D</v>
          </cell>
          <cell r="AM23" t="str">
            <v>RW2</v>
          </cell>
        </row>
        <row r="24">
          <cell r="G24">
            <v>36.5</v>
          </cell>
          <cell r="J24">
            <v>97547.5</v>
          </cell>
          <cell r="K24" t="str">
            <v>AnMC</v>
          </cell>
          <cell r="S24">
            <v>97574.86</v>
          </cell>
        </row>
        <row r="25">
          <cell r="B25" t="str">
            <v>97-1.16</v>
          </cell>
          <cell r="C25">
            <v>97576.5</v>
          </cell>
          <cell r="F25">
            <v>1500</v>
          </cell>
          <cell r="L25" t="str">
            <v>HEB-320L</v>
          </cell>
          <cell r="M25" t="str">
            <v>C7R</v>
          </cell>
          <cell r="N25" t="str">
            <v>EMT-2</v>
          </cell>
          <cell r="Q25">
            <v>25</v>
          </cell>
          <cell r="R25">
            <v>1500</v>
          </cell>
          <cell r="T25">
            <v>30</v>
          </cell>
          <cell r="W25">
            <v>1.4</v>
          </cell>
          <cell r="AC25" t="str">
            <v>PH-Q</v>
          </cell>
          <cell r="AG25">
            <v>97574.86</v>
          </cell>
          <cell r="AH25">
            <v>2466</v>
          </cell>
          <cell r="AI25">
            <v>487</v>
          </cell>
          <cell r="AL25" t="str">
            <v>PR1D</v>
          </cell>
          <cell r="AM25" t="str">
            <v>RW2</v>
          </cell>
        </row>
        <row r="26">
          <cell r="G26">
            <v>37.5</v>
          </cell>
          <cell r="J26">
            <v>97606.5</v>
          </cell>
          <cell r="K26" t="str">
            <v>AnM</v>
          </cell>
          <cell r="S26">
            <v>36.779999999998836</v>
          </cell>
        </row>
        <row r="27">
          <cell r="B27" t="str">
            <v>97-1.17</v>
          </cell>
          <cell r="C27">
            <v>97614</v>
          </cell>
          <cell r="F27">
            <v>1500</v>
          </cell>
          <cell r="H27" t="str">
            <v>S/A AnMP</v>
          </cell>
          <cell r="I27">
            <v>230</v>
          </cell>
          <cell r="L27" t="str">
            <v>HEB-320L</v>
          </cell>
          <cell r="M27" t="str">
            <v>C7R</v>
          </cell>
          <cell r="N27" t="str">
            <v>EMT-2</v>
          </cell>
          <cell r="O27" t="str">
            <v>EMT-T</v>
          </cell>
          <cell r="Q27">
            <v>29</v>
          </cell>
          <cell r="R27">
            <v>1500</v>
          </cell>
          <cell r="T27">
            <v>30</v>
          </cell>
          <cell r="U27">
            <v>50</v>
          </cell>
          <cell r="W27">
            <v>2</v>
          </cell>
          <cell r="X27">
            <v>1.1000000000000001</v>
          </cell>
          <cell r="AA27">
            <v>0.6</v>
          </cell>
          <cell r="AC27" t="str">
            <v>PH-Q</v>
          </cell>
          <cell r="AG27">
            <v>97611.64</v>
          </cell>
          <cell r="AH27">
            <v>2636</v>
          </cell>
          <cell r="AI27">
            <v>488</v>
          </cell>
          <cell r="AL27" t="str">
            <v>PR1D</v>
          </cell>
          <cell r="AM27" t="str">
            <v>RW2</v>
          </cell>
        </row>
        <row r="28">
          <cell r="G28">
            <v>39</v>
          </cell>
          <cell r="I28">
            <v>408</v>
          </cell>
          <cell r="S28">
            <v>-97611.64</v>
          </cell>
        </row>
        <row r="29">
          <cell r="A29" t="str">
            <v>Overhead Cable</v>
          </cell>
          <cell r="B29" t="str">
            <v>97-1.18</v>
          </cell>
          <cell r="C29">
            <v>97653</v>
          </cell>
          <cell r="F29">
            <v>1500</v>
          </cell>
          <cell r="H29" t="str">
            <v>A/S-Diag MP</v>
          </cell>
          <cell r="I29" t="str">
            <v>CP+AnMC</v>
          </cell>
          <cell r="L29" t="str">
            <v>HEB-260 (CP)</v>
          </cell>
          <cell r="M29" t="str">
            <v>C4R</v>
          </cell>
          <cell r="N29" t="str">
            <v>EMT-2</v>
          </cell>
          <cell r="T29">
            <v>30</v>
          </cell>
          <cell r="W29">
            <v>0.6</v>
          </cell>
          <cell r="AC29" t="str">
            <v>PH-C</v>
          </cell>
          <cell r="AM29" t="str">
            <v>RW2</v>
          </cell>
        </row>
        <row r="30">
          <cell r="A30" t="str">
            <v>Overcrossing</v>
          </cell>
          <cell r="G30">
            <v>49.5</v>
          </cell>
          <cell r="I30">
            <v>502</v>
          </cell>
          <cell r="J30">
            <v>97660.5</v>
          </cell>
          <cell r="K30" t="str">
            <v>AnMC</v>
          </cell>
          <cell r="S30">
            <v>97699.99</v>
          </cell>
        </row>
        <row r="31">
          <cell r="B31" t="str">
            <v>97-1.20</v>
          </cell>
          <cell r="C31">
            <v>97702</v>
          </cell>
          <cell r="F31">
            <v>0</v>
          </cell>
          <cell r="H31" t="str">
            <v>AnMP</v>
          </cell>
          <cell r="L31" t="str">
            <v>HEB-280L</v>
          </cell>
          <cell r="M31" t="str">
            <v>C5R</v>
          </cell>
          <cell r="N31" t="str">
            <v>EMT-1</v>
          </cell>
          <cell r="Q31">
            <v>0</v>
          </cell>
          <cell r="R31" t="str">
            <v>inf</v>
          </cell>
          <cell r="T31">
            <v>-35</v>
          </cell>
          <cell r="W31">
            <v>0.6</v>
          </cell>
          <cell r="AC31" t="str">
            <v>PH-Q</v>
          </cell>
          <cell r="AG31">
            <v>97699.99</v>
          </cell>
          <cell r="AH31">
            <v>2223</v>
          </cell>
          <cell r="AI31">
            <v>467</v>
          </cell>
          <cell r="AL31" t="str">
            <v>PR1B</v>
          </cell>
          <cell r="AM31" t="str">
            <v>RW2</v>
          </cell>
        </row>
        <row r="32">
          <cell r="G32">
            <v>44</v>
          </cell>
          <cell r="J32">
            <v>97709.5</v>
          </cell>
          <cell r="K32" t="str">
            <v>AnM</v>
          </cell>
          <cell r="S32">
            <v>43.839999999996508</v>
          </cell>
        </row>
        <row r="33">
          <cell r="B33" t="str">
            <v>97-1.21</v>
          </cell>
          <cell r="C33">
            <v>97746</v>
          </cell>
          <cell r="F33">
            <v>0</v>
          </cell>
          <cell r="L33" t="str">
            <v>HEB-320L</v>
          </cell>
          <cell r="M33" t="str">
            <v>C7R</v>
          </cell>
          <cell r="N33" t="str">
            <v>EMT-2</v>
          </cell>
          <cell r="Q33">
            <v>0</v>
          </cell>
          <cell r="R33" t="str">
            <v>inf</v>
          </cell>
          <cell r="T33">
            <v>15</v>
          </cell>
          <cell r="W33">
            <v>1.2</v>
          </cell>
          <cell r="AC33" t="str">
            <v>PH</v>
          </cell>
          <cell r="AG33">
            <v>97743.83</v>
          </cell>
          <cell r="AH33">
            <v>2203</v>
          </cell>
          <cell r="AI33">
            <v>370</v>
          </cell>
          <cell r="AM33" t="str">
            <v>RW2</v>
          </cell>
        </row>
        <row r="34">
          <cell r="G34">
            <v>34</v>
          </cell>
          <cell r="S34">
            <v>-97743.83</v>
          </cell>
        </row>
        <row r="35">
          <cell r="A35" t="str">
            <v>FEEDER SUPPTY PORTAL</v>
          </cell>
          <cell r="B35" t="str">
            <v>97-1.21A</v>
          </cell>
          <cell r="C35">
            <v>97780</v>
          </cell>
          <cell r="F35">
            <v>0</v>
          </cell>
          <cell r="L35" t="str">
            <v>HEB-320LL(P)</v>
          </cell>
          <cell r="M35" t="str">
            <v>C11LR</v>
          </cell>
          <cell r="AM35" t="str">
            <v>RW2</v>
          </cell>
        </row>
        <row r="36">
          <cell r="A36" t="str">
            <v>TS HOLTZ</v>
          </cell>
          <cell r="G36">
            <v>8</v>
          </cell>
          <cell r="S36">
            <v>0</v>
          </cell>
        </row>
        <row r="37">
          <cell r="B37" t="str">
            <v>97-1.21B</v>
          </cell>
          <cell r="C37">
            <v>97788</v>
          </cell>
          <cell r="F37">
            <v>0</v>
          </cell>
          <cell r="H37" t="str">
            <v>AnFW</v>
          </cell>
          <cell r="L37" t="str">
            <v>HEB-320LL(P)</v>
          </cell>
          <cell r="M37" t="str">
            <v>C11LR</v>
          </cell>
          <cell r="AM37" t="str">
            <v>RW2</v>
          </cell>
        </row>
        <row r="38">
          <cell r="G38">
            <v>13</v>
          </cell>
          <cell r="S38">
            <v>97799.72</v>
          </cell>
        </row>
        <row r="39">
          <cell r="B39" t="str">
            <v>97-1.22</v>
          </cell>
          <cell r="C39">
            <v>97801</v>
          </cell>
          <cell r="F39">
            <v>0</v>
          </cell>
          <cell r="H39" t="str">
            <v>P50</v>
          </cell>
          <cell r="L39" t="str">
            <v>2HEB-240</v>
          </cell>
          <cell r="M39" t="str">
            <v>C2H-240</v>
          </cell>
          <cell r="N39" t="str">
            <v>EMT-2</v>
          </cell>
          <cell r="O39" t="str">
            <v>EMT-1</v>
          </cell>
          <cell r="Q39">
            <v>0</v>
          </cell>
          <cell r="R39" t="str">
            <v>inf</v>
          </cell>
          <cell r="T39">
            <v>30</v>
          </cell>
          <cell r="U39">
            <v>15</v>
          </cell>
          <cell r="W39">
            <v>1.4</v>
          </cell>
          <cell r="X39">
            <v>2.2999999999999998</v>
          </cell>
          <cell r="AC39" t="str">
            <v>PH-Q</v>
          </cell>
          <cell r="AG39">
            <v>97799.72</v>
          </cell>
          <cell r="AH39">
            <v>2353</v>
          </cell>
          <cell r="AI39">
            <v>402</v>
          </cell>
          <cell r="AJ39" t="str">
            <v>SECT-I</v>
          </cell>
          <cell r="AM39" t="str">
            <v>RW2</v>
          </cell>
        </row>
        <row r="40">
          <cell r="G40">
            <v>43</v>
          </cell>
          <cell r="S40">
            <v>42.970000000001164</v>
          </cell>
        </row>
        <row r="41">
          <cell r="B41" t="str">
            <v>97-1.23</v>
          </cell>
          <cell r="C41">
            <v>97844</v>
          </cell>
          <cell r="F41">
            <v>0</v>
          </cell>
          <cell r="H41" t="str">
            <v xml:space="preserve">P50 </v>
          </cell>
          <cell r="L41" t="str">
            <v>2HEB-240</v>
          </cell>
          <cell r="M41" t="str">
            <v>C2H-240</v>
          </cell>
          <cell r="N41" t="str">
            <v>EMT-1</v>
          </cell>
          <cell r="O41" t="str">
            <v>EMT-2</v>
          </cell>
          <cell r="Q41">
            <v>0</v>
          </cell>
          <cell r="R41" t="str">
            <v>inf</v>
          </cell>
          <cell r="T41">
            <v>-15</v>
          </cell>
          <cell r="U41">
            <v>-30</v>
          </cell>
          <cell r="W41">
            <v>1.4</v>
          </cell>
          <cell r="X41">
            <v>2.2999999999999998</v>
          </cell>
          <cell r="AC41" t="str">
            <v>PH-Q</v>
          </cell>
          <cell r="AG41">
            <v>97842.69</v>
          </cell>
          <cell r="AH41">
            <v>2743</v>
          </cell>
          <cell r="AI41">
            <v>496</v>
          </cell>
          <cell r="AJ41" t="str">
            <v>SECT-I</v>
          </cell>
          <cell r="AM41" t="str">
            <v>RW2</v>
          </cell>
        </row>
        <row r="42">
          <cell r="G42">
            <v>33</v>
          </cell>
          <cell r="S42">
            <v>-97842.69</v>
          </cell>
        </row>
        <row r="43">
          <cell r="B43" t="str">
            <v>97-1.24</v>
          </cell>
          <cell r="C43">
            <v>97877</v>
          </cell>
          <cell r="F43">
            <v>0</v>
          </cell>
          <cell r="N43" t="str">
            <v>EMT-1P</v>
          </cell>
          <cell r="T43">
            <v>-30</v>
          </cell>
          <cell r="W43">
            <v>1.4</v>
          </cell>
          <cell r="AC43" t="str">
            <v>PH-C</v>
          </cell>
          <cell r="AK43" t="str">
            <v>S1</v>
          </cell>
        </row>
        <row r="44">
          <cell r="G44">
            <v>27.5</v>
          </cell>
          <cell r="S44">
            <v>0</v>
          </cell>
        </row>
        <row r="45">
          <cell r="B45" t="str">
            <v>97-1.25</v>
          </cell>
          <cell r="C45">
            <v>97904.5</v>
          </cell>
          <cell r="F45">
            <v>0</v>
          </cell>
          <cell r="N45" t="str">
            <v>EMT-1P</v>
          </cell>
          <cell r="T45">
            <v>-35</v>
          </cell>
          <cell r="W45">
            <v>1.4</v>
          </cell>
          <cell r="AK45" t="str">
            <v>S1</v>
          </cell>
        </row>
        <row r="46">
          <cell r="G46">
            <v>33.5</v>
          </cell>
          <cell r="S46">
            <v>0</v>
          </cell>
        </row>
        <row r="47">
          <cell r="B47" t="str">
            <v>97-1.26</v>
          </cell>
          <cell r="C47">
            <v>97938</v>
          </cell>
          <cell r="F47">
            <v>0</v>
          </cell>
          <cell r="N47" t="str">
            <v>EMT-2P</v>
          </cell>
          <cell r="T47">
            <v>35</v>
          </cell>
          <cell r="W47">
            <v>1.4</v>
          </cell>
          <cell r="AK47" t="str">
            <v>S1</v>
          </cell>
        </row>
        <row r="48">
          <cell r="G48">
            <v>30</v>
          </cell>
          <cell r="S48">
            <v>0</v>
          </cell>
        </row>
        <row r="49">
          <cell r="B49" t="str">
            <v>97-1.27</v>
          </cell>
          <cell r="C49">
            <v>97968</v>
          </cell>
          <cell r="F49">
            <v>0</v>
          </cell>
          <cell r="N49" t="str">
            <v>EMT-1P</v>
          </cell>
          <cell r="T49">
            <v>-35</v>
          </cell>
          <cell r="W49">
            <v>1.4</v>
          </cell>
          <cell r="AC49" t="str">
            <v>PH-C</v>
          </cell>
          <cell r="AK49" t="str">
            <v>S1</v>
          </cell>
        </row>
        <row r="50">
          <cell r="G50">
            <v>43</v>
          </cell>
          <cell r="S50">
            <v>0</v>
          </cell>
        </row>
        <row r="51">
          <cell r="B51" t="str">
            <v>98-1.01</v>
          </cell>
          <cell r="C51">
            <v>98011</v>
          </cell>
          <cell r="F51">
            <v>0</v>
          </cell>
          <cell r="N51" t="str">
            <v>EMT-2P</v>
          </cell>
          <cell r="T51">
            <v>35</v>
          </cell>
          <cell r="W51">
            <v>1.4</v>
          </cell>
          <cell r="AC51" t="str">
            <v>PH-Q</v>
          </cell>
          <cell r="AK51" t="str">
            <v>S1</v>
          </cell>
        </row>
        <row r="52">
          <cell r="G52">
            <v>38</v>
          </cell>
          <cell r="S52">
            <v>0</v>
          </cell>
        </row>
        <row r="53">
          <cell r="B53" t="str">
            <v>98-1.02</v>
          </cell>
          <cell r="C53">
            <v>98049</v>
          </cell>
          <cell r="F53">
            <v>0</v>
          </cell>
          <cell r="H53" t="str">
            <v>S/A</v>
          </cell>
          <cell r="N53" t="str">
            <v>EMT-TP</v>
          </cell>
          <cell r="O53" t="str">
            <v>EMT-1P</v>
          </cell>
          <cell r="T53">
            <v>15</v>
          </cell>
          <cell r="U53">
            <v>-30</v>
          </cell>
          <cell r="W53">
            <v>1.4</v>
          </cell>
          <cell r="X53">
            <v>2.2999999999999998</v>
          </cell>
          <cell r="Z53">
            <v>0.45</v>
          </cell>
          <cell r="AC53" t="str">
            <v>PH-Q</v>
          </cell>
          <cell r="AK53" t="str">
            <v>S2</v>
          </cell>
        </row>
        <row r="54">
          <cell r="G54">
            <v>49</v>
          </cell>
          <cell r="S54">
            <v>0</v>
          </cell>
        </row>
        <row r="55">
          <cell r="A55" t="str">
            <v>TSO-07</v>
          </cell>
          <cell r="B55" t="str">
            <v>98-1.03</v>
          </cell>
          <cell r="C55">
            <v>98098</v>
          </cell>
          <cell r="F55">
            <v>0</v>
          </cell>
          <cell r="H55" t="str">
            <v>S/A</v>
          </cell>
          <cell r="I55" t="str">
            <v>IO</v>
          </cell>
          <cell r="N55" t="str">
            <v>EMT-2P</v>
          </cell>
          <cell r="O55" t="str">
            <v>EMT-TP</v>
          </cell>
          <cell r="T55">
            <v>30</v>
          </cell>
          <cell r="U55">
            <v>-15</v>
          </cell>
          <cell r="W55">
            <v>1.4</v>
          </cell>
          <cell r="X55">
            <v>2.2999999999999998</v>
          </cell>
          <cell r="AA55">
            <v>0.45</v>
          </cell>
          <cell r="AC55" t="str">
            <v>PH</v>
          </cell>
          <cell r="AJ55" t="str">
            <v>Disc/IO-pr</v>
          </cell>
          <cell r="AK55" t="str">
            <v>S2</v>
          </cell>
        </row>
        <row r="56">
          <cell r="G56">
            <v>56.5</v>
          </cell>
          <cell r="I56">
            <v>487</v>
          </cell>
          <cell r="S56">
            <v>0</v>
          </cell>
        </row>
        <row r="57">
          <cell r="B57" t="str">
            <v>98-1.03BIS</v>
          </cell>
          <cell r="C57">
            <v>98154.5</v>
          </cell>
          <cell r="F57">
            <v>0</v>
          </cell>
          <cell r="H57" t="str">
            <v>P50 A/S</v>
          </cell>
          <cell r="I57" t="str">
            <v>CP/TX-P+AnMC</v>
          </cell>
          <cell r="L57" t="str">
            <v>HEB-280L</v>
          </cell>
          <cell r="M57" t="str">
            <v>C5R</v>
          </cell>
          <cell r="N57" t="str">
            <v>EMT-2</v>
          </cell>
          <cell r="O57" t="str">
            <v>EMT-1</v>
          </cell>
          <cell r="T57">
            <v>30</v>
          </cell>
          <cell r="U57">
            <v>15</v>
          </cell>
          <cell r="W57">
            <v>1.4</v>
          </cell>
          <cell r="X57">
            <v>2.2999999999999998</v>
          </cell>
          <cell r="AC57" t="str">
            <v>PH</v>
          </cell>
          <cell r="AL57" t="str">
            <v>PR1B</v>
          </cell>
          <cell r="AM57" t="str">
            <v>RW2</v>
          </cell>
        </row>
        <row r="58">
          <cell r="G58">
            <v>18</v>
          </cell>
          <cell r="J58">
            <v>98162</v>
          </cell>
          <cell r="K58" t="str">
            <v>AnMC</v>
          </cell>
          <cell r="S58">
            <v>0</v>
          </cell>
        </row>
        <row r="59">
          <cell r="B59" t="str">
            <v>98-1.04BIS</v>
          </cell>
          <cell r="C59">
            <v>98172.5</v>
          </cell>
          <cell r="F59">
            <v>0</v>
          </cell>
          <cell r="H59" t="str">
            <v>A/S</v>
          </cell>
          <cell r="I59" t="str">
            <v>FP+AnMC</v>
          </cell>
          <cell r="J59">
            <v>98165</v>
          </cell>
          <cell r="K59" t="str">
            <v>AnMC</v>
          </cell>
          <cell r="L59" t="str">
            <v>HEB-260 (CP)</v>
          </cell>
          <cell r="M59" t="str">
            <v>C4R</v>
          </cell>
          <cell r="AM59" t="str">
            <v>RW2</v>
          </cell>
        </row>
        <row r="60">
          <cell r="G60">
            <v>37</v>
          </cell>
          <cell r="S60">
            <v>98207.92</v>
          </cell>
        </row>
        <row r="61">
          <cell r="B61" t="str">
            <v>98-1.04</v>
          </cell>
          <cell r="C61">
            <v>98209.5</v>
          </cell>
          <cell r="F61">
            <v>0</v>
          </cell>
          <cell r="H61" t="str">
            <v>S/A S/A</v>
          </cell>
          <cell r="L61" t="str">
            <v>HEB-280L</v>
          </cell>
          <cell r="M61" t="str">
            <v>C5R</v>
          </cell>
          <cell r="N61" t="str">
            <v>EMT-T</v>
          </cell>
          <cell r="O61" t="str">
            <v>EMT-1</v>
          </cell>
          <cell r="P61" t="str">
            <v>EMT-T</v>
          </cell>
          <cell r="Q61">
            <v>35</v>
          </cell>
          <cell r="R61">
            <v>-1100</v>
          </cell>
          <cell r="T61">
            <v>15</v>
          </cell>
          <cell r="U61">
            <v>-30</v>
          </cell>
          <cell r="V61">
            <v>-55</v>
          </cell>
          <cell r="W61">
            <v>1.4</v>
          </cell>
          <cell r="X61">
            <v>1.8</v>
          </cell>
          <cell r="Y61">
            <v>2.2999999999999998</v>
          </cell>
          <cell r="Z61">
            <v>0.45</v>
          </cell>
          <cell r="AB61">
            <v>0.45</v>
          </cell>
          <cell r="AC61" t="str">
            <v>PH</v>
          </cell>
          <cell r="AG61">
            <v>98207.92</v>
          </cell>
          <cell r="AH61">
            <v>2293</v>
          </cell>
          <cell r="AI61">
            <v>658</v>
          </cell>
          <cell r="AL61" t="str">
            <v>PR1B</v>
          </cell>
          <cell r="AM61" t="str">
            <v>RW2</v>
          </cell>
        </row>
        <row r="62">
          <cell r="G62">
            <v>41</v>
          </cell>
          <cell r="I62">
            <v>335</v>
          </cell>
          <cell r="S62">
            <v>-98207.92</v>
          </cell>
        </row>
        <row r="63">
          <cell r="A63" t="str">
            <v>TSO-09</v>
          </cell>
          <cell r="B63" t="str">
            <v>98-1.05</v>
          </cell>
          <cell r="C63">
            <v>98250.5</v>
          </cell>
          <cell r="F63">
            <v>-1000</v>
          </cell>
          <cell r="H63" t="str">
            <v>S/A A/S-Diag</v>
          </cell>
          <cell r="I63" t="str">
            <v>FP+AnMC</v>
          </cell>
          <cell r="L63" t="str">
            <v>2HEB-360LL</v>
          </cell>
          <cell r="M63" t="str">
            <v>CHEM. ANCHOR</v>
          </cell>
          <cell r="N63" t="str">
            <v>EMT-1</v>
          </cell>
          <cell r="O63" t="str">
            <v>EMT-T</v>
          </cell>
          <cell r="T63">
            <v>10</v>
          </cell>
          <cell r="U63">
            <v>-35</v>
          </cell>
          <cell r="W63">
            <v>1.4</v>
          </cell>
          <cell r="X63">
            <v>2.2999999999999998</v>
          </cell>
          <cell r="AA63">
            <v>0.4</v>
          </cell>
          <cell r="AC63" t="str">
            <v>PH-Q</v>
          </cell>
          <cell r="AJ63" t="str">
            <v>LoadB/IO-pr</v>
          </cell>
          <cell r="AL63" t="str">
            <v>SPR1</v>
          </cell>
          <cell r="AM63" t="str">
            <v>RW2</v>
          </cell>
        </row>
        <row r="64">
          <cell r="G64">
            <v>41</v>
          </cell>
          <cell r="I64" t="str">
            <v>IO</v>
          </cell>
          <cell r="J64">
            <v>98258</v>
          </cell>
          <cell r="K64" t="str">
            <v>AnMC</v>
          </cell>
          <cell r="M64" t="str">
            <v>CHEM. ANCHOR</v>
          </cell>
          <cell r="S64">
            <v>0</v>
          </cell>
        </row>
        <row r="65">
          <cell r="B65" t="str">
            <v>98-1.06</v>
          </cell>
          <cell r="C65">
            <v>98291.5</v>
          </cell>
          <cell r="F65">
            <v>-516</v>
          </cell>
          <cell r="H65" t="str">
            <v>S/A A/S</v>
          </cell>
          <cell r="I65" t="str">
            <v>FP+AnMC</v>
          </cell>
          <cell r="J65">
            <v>98299</v>
          </cell>
          <cell r="K65" t="str">
            <v>AnMC</v>
          </cell>
          <cell r="L65" t="str">
            <v>2HEB-360LL</v>
          </cell>
          <cell r="M65" t="str">
            <v>CHEM. ANCHOR</v>
          </cell>
          <cell r="N65" t="str">
            <v>EMT-1</v>
          </cell>
          <cell r="O65" t="str">
            <v>EMT-T</v>
          </cell>
          <cell r="T65">
            <v>-30</v>
          </cell>
          <cell r="U65">
            <v>55</v>
          </cell>
          <cell r="W65">
            <v>2.2999999999999998</v>
          </cell>
          <cell r="X65">
            <v>1.4</v>
          </cell>
          <cell r="AC65" t="str">
            <v>PH-C</v>
          </cell>
          <cell r="AL65" t="str">
            <v>SPR1</v>
          </cell>
          <cell r="AM65" t="str">
            <v>RW2</v>
          </cell>
        </row>
        <row r="66">
          <cell r="G66">
            <v>41</v>
          </cell>
          <cell r="I66">
            <v>325</v>
          </cell>
          <cell r="S66">
            <v>0</v>
          </cell>
        </row>
        <row r="67">
          <cell r="B67" t="str">
            <v>98-1.07</v>
          </cell>
          <cell r="C67">
            <v>98332.5</v>
          </cell>
          <cell r="F67">
            <v>-516</v>
          </cell>
          <cell r="H67" t="str">
            <v>A/S</v>
          </cell>
          <cell r="I67" t="str">
            <v>FP+AnMC</v>
          </cell>
          <cell r="J67">
            <v>98340</v>
          </cell>
          <cell r="K67" t="str">
            <v>AnMC</v>
          </cell>
          <cell r="L67" t="str">
            <v>2HEB-360LL</v>
          </cell>
          <cell r="M67" t="str">
            <v>CHEM. ANCHOR</v>
          </cell>
          <cell r="N67" t="str">
            <v>EMT-1</v>
          </cell>
          <cell r="T67">
            <v>-30</v>
          </cell>
          <cell r="W67">
            <v>1.4</v>
          </cell>
          <cell r="AC67" t="str">
            <v>PH-C</v>
          </cell>
          <cell r="AL67" t="str">
            <v>SPR1</v>
          </cell>
          <cell r="AM67" t="str">
            <v>RW2</v>
          </cell>
        </row>
        <row r="68">
          <cell r="G68">
            <v>34</v>
          </cell>
          <cell r="I68">
            <v>397</v>
          </cell>
          <cell r="S68">
            <v>0</v>
          </cell>
        </row>
        <row r="69">
          <cell r="A69" t="str">
            <v>HLZ-F2.1-2</v>
          </cell>
          <cell r="B69" t="str">
            <v>98-1.08</v>
          </cell>
          <cell r="C69">
            <v>98364.5</v>
          </cell>
          <cell r="F69">
            <v>-516</v>
          </cell>
          <cell r="L69" t="str">
            <v>HEB-450LL</v>
          </cell>
          <cell r="M69" t="str">
            <v>CHEM. ANCHOR</v>
          </cell>
          <cell r="N69" t="str">
            <v>EMT-1</v>
          </cell>
          <cell r="T69">
            <v>-30</v>
          </cell>
          <cell r="W69">
            <v>1.4</v>
          </cell>
          <cell r="AC69" t="str">
            <v>PH-C</v>
          </cell>
          <cell r="AJ69" t="str">
            <v>Disc/IO-pr</v>
          </cell>
          <cell r="AL69" t="str">
            <v>SPR1</v>
          </cell>
          <cell r="AM69" t="str">
            <v>RW2</v>
          </cell>
        </row>
        <row r="70">
          <cell r="G70">
            <v>30</v>
          </cell>
          <cell r="S70">
            <v>0</v>
          </cell>
        </row>
        <row r="71">
          <cell r="B71" t="str">
            <v>98-1.09</v>
          </cell>
          <cell r="C71">
            <v>98394.5</v>
          </cell>
          <cell r="F71">
            <v>-516</v>
          </cell>
          <cell r="L71" t="str">
            <v>HEB-260</v>
          </cell>
          <cell r="M71" t="str">
            <v xml:space="preserve">UNIQUE SOLUTION </v>
          </cell>
          <cell r="N71" t="str">
            <v>EMT-1</v>
          </cell>
          <cell r="T71">
            <v>-20</v>
          </cell>
          <cell r="W71">
            <v>1.4</v>
          </cell>
          <cell r="AC71" t="str">
            <v>PH-C</v>
          </cell>
          <cell r="AM71" t="str">
            <v>RW2</v>
          </cell>
        </row>
        <row r="72">
          <cell r="G72">
            <v>31</v>
          </cell>
          <cell r="J72">
            <v>98418</v>
          </cell>
          <cell r="K72" t="str">
            <v>AnMC</v>
          </cell>
          <cell r="M72" t="str">
            <v xml:space="preserve">UNIQUE SOLUTION </v>
          </cell>
          <cell r="S72">
            <v>0</v>
          </cell>
        </row>
        <row r="73">
          <cell r="B73" t="str">
            <v>98-1.10</v>
          </cell>
          <cell r="C73">
            <v>98425.5</v>
          </cell>
          <cell r="F73">
            <v>0</v>
          </cell>
          <cell r="H73" t="str">
            <v>A/S-Diag</v>
          </cell>
          <cell r="I73" t="str">
            <v>CP+AnMC</v>
          </cell>
          <cell r="L73" t="str">
            <v>HEB-260 (CP)</v>
          </cell>
          <cell r="M73" t="str">
            <v xml:space="preserve">UNIQUE SOLUTION </v>
          </cell>
          <cell r="N73" t="str">
            <v>EMT-2</v>
          </cell>
          <cell r="T73">
            <v>30</v>
          </cell>
          <cell r="W73">
            <v>1.4</v>
          </cell>
          <cell r="AC73" t="str">
            <v>PH-Q</v>
          </cell>
          <cell r="AM73" t="str">
            <v>RW2</v>
          </cell>
        </row>
        <row r="74">
          <cell r="A74" t="str">
            <v>Level crossing</v>
          </cell>
          <cell r="G74">
            <v>30</v>
          </cell>
          <cell r="I74">
            <v>248</v>
          </cell>
          <cell r="S74">
            <v>98457.99</v>
          </cell>
        </row>
        <row r="75">
          <cell r="B75" t="str">
            <v>98-1.11</v>
          </cell>
          <cell r="C75">
            <v>98455.5</v>
          </cell>
          <cell r="F75">
            <v>0</v>
          </cell>
          <cell r="H75" t="str">
            <v>S/A</v>
          </cell>
          <cell r="L75" t="str">
            <v>2HEB-240</v>
          </cell>
          <cell r="M75" t="str">
            <v>C2H-240</v>
          </cell>
          <cell r="N75" t="str">
            <v>EMT-T</v>
          </cell>
          <cell r="O75" t="str">
            <v>EMT-1</v>
          </cell>
          <cell r="Q75">
            <v>0</v>
          </cell>
          <cell r="R75" t="str">
            <v>inf</v>
          </cell>
          <cell r="T75">
            <v>-15</v>
          </cell>
          <cell r="U75">
            <v>-30</v>
          </cell>
          <cell r="W75">
            <v>1.4</v>
          </cell>
          <cell r="X75">
            <v>2.2999999999999998</v>
          </cell>
          <cell r="Z75">
            <v>0.45</v>
          </cell>
          <cell r="AG75">
            <v>98457.99</v>
          </cell>
          <cell r="AH75">
            <v>2653</v>
          </cell>
          <cell r="AI75">
            <v>-3</v>
          </cell>
          <cell r="AM75" t="str">
            <v>RW2</v>
          </cell>
        </row>
        <row r="76">
          <cell r="G76">
            <v>30</v>
          </cell>
          <cell r="S76">
            <v>30.049999999988358</v>
          </cell>
        </row>
        <row r="77">
          <cell r="B77" t="str">
            <v>98-1.12</v>
          </cell>
          <cell r="C77">
            <v>98485.5</v>
          </cell>
          <cell r="F77">
            <v>0</v>
          </cell>
          <cell r="H77" t="str">
            <v>P50</v>
          </cell>
          <cell r="L77" t="str">
            <v>2HEB-240</v>
          </cell>
          <cell r="M77" t="str">
            <v>C2H-240</v>
          </cell>
          <cell r="N77" t="str">
            <v>EMT-2</v>
          </cell>
          <cell r="O77" t="str">
            <v>EMT-1</v>
          </cell>
          <cell r="Q77">
            <v>0</v>
          </cell>
          <cell r="R77" t="str">
            <v>inf</v>
          </cell>
          <cell r="T77">
            <v>-15</v>
          </cell>
          <cell r="U77">
            <v>-30</v>
          </cell>
          <cell r="W77">
            <v>1.4</v>
          </cell>
          <cell r="X77">
            <v>2.2999999999999998</v>
          </cell>
          <cell r="AC77" t="str">
            <v>PH</v>
          </cell>
          <cell r="AG77">
            <v>98488.04</v>
          </cell>
          <cell r="AH77">
            <v>3041</v>
          </cell>
          <cell r="AI77">
            <v>171</v>
          </cell>
          <cell r="AJ77" t="str">
            <v>SECT-I</v>
          </cell>
          <cell r="AM77" t="str">
            <v>RW2</v>
          </cell>
        </row>
        <row r="78">
          <cell r="G78">
            <v>27</v>
          </cell>
        </row>
        <row r="79">
          <cell r="B79" t="str">
            <v>98-1.13</v>
          </cell>
          <cell r="C79">
            <v>98512.5</v>
          </cell>
          <cell r="F79">
            <v>0</v>
          </cell>
          <cell r="N79" t="str">
            <v>EMT-1P</v>
          </cell>
          <cell r="T79">
            <v>-30</v>
          </cell>
          <cell r="W79">
            <v>1.4</v>
          </cell>
          <cell r="AC79" t="str">
            <v>PH-C</v>
          </cell>
          <cell r="AK79" t="str">
            <v>S1</v>
          </cell>
        </row>
        <row r="80">
          <cell r="G80">
            <v>24.5</v>
          </cell>
        </row>
        <row r="81">
          <cell r="B81" t="str">
            <v>98-1.14</v>
          </cell>
          <cell r="C81">
            <v>98537</v>
          </cell>
          <cell r="F81">
            <v>0</v>
          </cell>
          <cell r="N81" t="str">
            <v>EMT-2P</v>
          </cell>
          <cell r="T81">
            <v>30</v>
          </cell>
          <cell r="W81">
            <v>1.4</v>
          </cell>
          <cell r="AC81" t="str">
            <v>PH-C</v>
          </cell>
          <cell r="AK81" t="str">
            <v>S1</v>
          </cell>
        </row>
        <row r="82">
          <cell r="G82">
            <v>32.5</v>
          </cell>
        </row>
        <row r="83">
          <cell r="B83" t="str">
            <v>98-1.15</v>
          </cell>
          <cell r="C83">
            <v>98569.5</v>
          </cell>
          <cell r="F83">
            <v>0</v>
          </cell>
          <cell r="H83" t="str">
            <v>S/A</v>
          </cell>
          <cell r="N83" t="str">
            <v>EMT-TP</v>
          </cell>
          <cell r="O83" t="str">
            <v>EMT-1P</v>
          </cell>
          <cell r="T83">
            <v>15</v>
          </cell>
          <cell r="U83">
            <v>-30</v>
          </cell>
          <cell r="W83">
            <v>2.2999999999999998</v>
          </cell>
          <cell r="X83">
            <v>1.4</v>
          </cell>
          <cell r="Z83">
            <v>0.6</v>
          </cell>
          <cell r="AC83" t="str">
            <v>PH-Q</v>
          </cell>
          <cell r="AK83" t="str">
            <v>S2</v>
          </cell>
        </row>
        <row r="84">
          <cell r="G84">
            <v>34</v>
          </cell>
        </row>
        <row r="85">
          <cell r="B85" t="str">
            <v>98-1.16</v>
          </cell>
          <cell r="C85">
            <v>98603.5</v>
          </cell>
          <cell r="F85">
            <v>0</v>
          </cell>
          <cell r="H85" t="str">
            <v>S/A</v>
          </cell>
          <cell r="N85" t="str">
            <v>EMT-2P</v>
          </cell>
          <cell r="O85" t="str">
            <v>EMT-2P</v>
          </cell>
          <cell r="T85">
            <v>35</v>
          </cell>
          <cell r="U85">
            <v>-10</v>
          </cell>
          <cell r="W85">
            <v>2.2999999999999998</v>
          </cell>
          <cell r="X85">
            <v>1.4</v>
          </cell>
          <cell r="Z85">
            <v>0.1</v>
          </cell>
          <cell r="AC85" t="str">
            <v>BC</v>
          </cell>
          <cell r="AK85" t="str">
            <v>S2</v>
          </cell>
        </row>
        <row r="86">
          <cell r="G86">
            <v>33</v>
          </cell>
        </row>
        <row r="87">
          <cell r="B87" t="str">
            <v>98-1.17</v>
          </cell>
          <cell r="C87">
            <v>98636.5</v>
          </cell>
          <cell r="F87">
            <v>-500</v>
          </cell>
          <cell r="H87" t="str">
            <v>S/A</v>
          </cell>
          <cell r="N87" t="str">
            <v>EMT-1P</v>
          </cell>
          <cell r="O87" t="str">
            <v>EMT-1P</v>
          </cell>
          <cell r="T87">
            <v>15</v>
          </cell>
          <cell r="U87">
            <v>-30</v>
          </cell>
          <cell r="W87">
            <v>2.2999999999999998</v>
          </cell>
          <cell r="X87">
            <v>1.4</v>
          </cell>
          <cell r="AA87">
            <v>0.1</v>
          </cell>
          <cell r="AC87" t="str">
            <v>BC</v>
          </cell>
          <cell r="AK87" t="str">
            <v>S2</v>
          </cell>
        </row>
        <row r="88">
          <cell r="G88">
            <v>36</v>
          </cell>
        </row>
        <row r="89">
          <cell r="A89" t="str">
            <v>TSO-12</v>
          </cell>
          <cell r="B89" t="str">
            <v>98-1.18</v>
          </cell>
          <cell r="C89">
            <v>98672</v>
          </cell>
          <cell r="F89">
            <v>-500</v>
          </cell>
          <cell r="H89" t="str">
            <v>S/A</v>
          </cell>
          <cell r="I89" t="str">
            <v>IO</v>
          </cell>
          <cell r="N89" t="str">
            <v>EMT-2P</v>
          </cell>
          <cell r="O89" t="str">
            <v>EMT-TP</v>
          </cell>
          <cell r="T89">
            <v>30</v>
          </cell>
          <cell r="U89">
            <v>-15</v>
          </cell>
          <cell r="W89">
            <v>2.2999999999999998</v>
          </cell>
          <cell r="X89">
            <v>1.4</v>
          </cell>
          <cell r="AA89">
            <v>0.6</v>
          </cell>
          <cell r="AC89" t="str">
            <v>PH-C</v>
          </cell>
          <cell r="AJ89" t="str">
            <v>Disc/IO-pr</v>
          </cell>
          <cell r="AK89" t="str">
            <v>S2</v>
          </cell>
        </row>
        <row r="90">
          <cell r="G90">
            <v>49</v>
          </cell>
        </row>
        <row r="91">
          <cell r="B91" t="str">
            <v>98-1.19</v>
          </cell>
          <cell r="C91">
            <v>98721</v>
          </cell>
          <cell r="F91">
            <v>-1500</v>
          </cell>
          <cell r="N91" t="str">
            <v>EMT-1P</v>
          </cell>
          <cell r="T91">
            <v>-35</v>
          </cell>
          <cell r="W91">
            <v>1.4</v>
          </cell>
          <cell r="AC91" t="str">
            <v>PH-C</v>
          </cell>
          <cell r="AK91" t="str">
            <v>S1</v>
          </cell>
        </row>
        <row r="92">
          <cell r="A92" t="str">
            <v>Drainage Works</v>
          </cell>
          <cell r="G92">
            <v>49</v>
          </cell>
        </row>
        <row r="93">
          <cell r="A93" t="str">
            <v>Overcrossing</v>
          </cell>
          <cell r="B93" t="str">
            <v>98-1.20</v>
          </cell>
          <cell r="C93">
            <v>98770</v>
          </cell>
          <cell r="F93">
            <v>0</v>
          </cell>
          <cell r="N93" t="str">
            <v>EMT-2P</v>
          </cell>
          <cell r="T93">
            <v>30</v>
          </cell>
          <cell r="W93">
            <v>1</v>
          </cell>
          <cell r="AC93" t="str">
            <v>PH</v>
          </cell>
          <cell r="AK93" t="str">
            <v>S1</v>
          </cell>
        </row>
        <row r="94">
          <cell r="G94">
            <v>57</v>
          </cell>
        </row>
        <row r="95">
          <cell r="B95" t="str">
            <v>98-1.21</v>
          </cell>
          <cell r="C95">
            <v>98827</v>
          </cell>
          <cell r="F95">
            <v>0</v>
          </cell>
          <cell r="H95" t="str">
            <v>P50</v>
          </cell>
          <cell r="N95" t="str">
            <v>EMT-2P</v>
          </cell>
          <cell r="O95" t="str">
            <v>EMT-1P</v>
          </cell>
          <cell r="T95">
            <v>30</v>
          </cell>
          <cell r="U95">
            <v>15</v>
          </cell>
          <cell r="W95">
            <v>1.4</v>
          </cell>
          <cell r="X95">
            <v>2.2999999999999998</v>
          </cell>
          <cell r="AC95" t="str">
            <v>PH</v>
          </cell>
          <cell r="AJ95" t="str">
            <v>SECT-I</v>
          </cell>
          <cell r="AK95" t="str">
            <v>S2</v>
          </cell>
        </row>
        <row r="96">
          <cell r="G96">
            <v>55</v>
          </cell>
        </row>
        <row r="97">
          <cell r="B97" t="str">
            <v>98-1.22</v>
          </cell>
          <cell r="C97">
            <v>98882</v>
          </cell>
          <cell r="F97">
            <v>0</v>
          </cell>
          <cell r="H97" t="str">
            <v>P50</v>
          </cell>
          <cell r="N97" t="str">
            <v>EMT-1P</v>
          </cell>
          <cell r="O97" t="str">
            <v>EMT-2P</v>
          </cell>
          <cell r="T97">
            <v>15</v>
          </cell>
          <cell r="U97">
            <v>30</v>
          </cell>
          <cell r="W97">
            <v>2.2999999999999998</v>
          </cell>
          <cell r="X97">
            <v>1.4</v>
          </cell>
          <cell r="AC97" t="str">
            <v>PH</v>
          </cell>
          <cell r="AJ97" t="str">
            <v>SECT-I</v>
          </cell>
          <cell r="AK97" t="str">
            <v>S2</v>
          </cell>
        </row>
        <row r="98">
          <cell r="A98" t="str">
            <v>Overhead Cable</v>
          </cell>
          <cell r="G98">
            <v>53</v>
          </cell>
          <cell r="I98">
            <v>420</v>
          </cell>
        </row>
        <row r="99">
          <cell r="B99" t="str">
            <v>98-1.23</v>
          </cell>
          <cell r="C99">
            <v>98935</v>
          </cell>
          <cell r="F99">
            <v>0</v>
          </cell>
          <cell r="H99" t="str">
            <v>MP</v>
          </cell>
          <cell r="N99" t="str">
            <v>EMT-1P</v>
          </cell>
          <cell r="T99">
            <v>-30</v>
          </cell>
          <cell r="W99">
            <v>1.4</v>
          </cell>
          <cell r="AC99" t="str">
            <v>PH</v>
          </cell>
          <cell r="AJ99" t="str">
            <v>PP-2</v>
          </cell>
          <cell r="AK99" t="str">
            <v>S1</v>
          </cell>
        </row>
        <row r="100">
          <cell r="G100">
            <v>54</v>
          </cell>
          <cell r="I100">
            <v>394</v>
          </cell>
        </row>
        <row r="101">
          <cell r="B101" t="str">
            <v>98-1.24</v>
          </cell>
          <cell r="C101">
            <v>98989</v>
          </cell>
          <cell r="F101">
            <v>0</v>
          </cell>
          <cell r="N101" t="str">
            <v>EMT-2P</v>
          </cell>
          <cell r="T101">
            <v>25</v>
          </cell>
          <cell r="W101">
            <v>1.4</v>
          </cell>
          <cell r="AC101" t="str">
            <v>PH</v>
          </cell>
          <cell r="AK101" t="str">
            <v>S1</v>
          </cell>
        </row>
        <row r="102">
          <cell r="G102">
            <v>50</v>
          </cell>
        </row>
        <row r="103">
          <cell r="B103" t="str">
            <v>99-1.01</v>
          </cell>
          <cell r="C103">
            <v>99039</v>
          </cell>
          <cell r="F103">
            <v>0</v>
          </cell>
          <cell r="N103" t="str">
            <v>EMT-2P</v>
          </cell>
          <cell r="T103">
            <v>25</v>
          </cell>
          <cell r="W103">
            <v>1.4</v>
          </cell>
          <cell r="AC103" t="str">
            <v>PH</v>
          </cell>
          <cell r="AK103" t="str">
            <v>S1</v>
          </cell>
        </row>
        <row r="104">
          <cell r="G104">
            <v>58</v>
          </cell>
        </row>
        <row r="105">
          <cell r="B105" t="str">
            <v>99-1.02</v>
          </cell>
          <cell r="C105">
            <v>99097</v>
          </cell>
          <cell r="F105">
            <v>0</v>
          </cell>
          <cell r="L105" t="str">
            <v>HEB-240</v>
          </cell>
          <cell r="M105" t="str">
            <v>C3R</v>
          </cell>
          <cell r="N105" t="str">
            <v>EMT-1</v>
          </cell>
          <cell r="T105">
            <v>-30</v>
          </cell>
          <cell r="W105">
            <v>1.4</v>
          </cell>
          <cell r="AC105" t="str">
            <v>PH</v>
          </cell>
          <cell r="AM105" t="str">
            <v>RW2</v>
          </cell>
        </row>
        <row r="106">
          <cell r="G106">
            <v>55.5</v>
          </cell>
          <cell r="J106">
            <v>5413.5</v>
          </cell>
          <cell r="K106" t="str">
            <v>AnMC</v>
          </cell>
        </row>
        <row r="107">
          <cell r="B107" t="str">
            <v>5-2.01</v>
          </cell>
          <cell r="C107">
            <v>5421</v>
          </cell>
          <cell r="F107">
            <v>0</v>
          </cell>
          <cell r="H107" t="str">
            <v>A/S</v>
          </cell>
          <cell r="I107" t="str">
            <v>CP+AnMC</v>
          </cell>
          <cell r="L107" t="str">
            <v>HEB-260 (CP)</v>
          </cell>
          <cell r="M107" t="str">
            <v>C4R</v>
          </cell>
          <cell r="N107" t="str">
            <v>EMT-2</v>
          </cell>
          <cell r="T107">
            <v>35</v>
          </cell>
          <cell r="W107">
            <v>1.4</v>
          </cell>
          <cell r="AC107" t="str">
            <v>PH</v>
          </cell>
          <cell r="AM107" t="str">
            <v>RW2</v>
          </cell>
        </row>
        <row r="108">
          <cell r="G108">
            <v>60</v>
          </cell>
        </row>
        <row r="109">
          <cell r="T109">
            <v>-30</v>
          </cell>
        </row>
        <row r="110">
          <cell r="G110">
            <v>55.5</v>
          </cell>
        </row>
        <row r="112">
          <cell r="I112">
            <v>333</v>
          </cell>
        </row>
        <row r="114">
          <cell r="I114">
            <v>0</v>
          </cell>
        </row>
        <row r="531">
          <cell r="A531" t="str">
            <v>Observations of Workbook preparation</v>
          </cell>
        </row>
      </sheetData>
      <sheetData sheetId="2">
        <row r="2">
          <cell r="I2" t="str">
            <v>Anchorage</v>
          </cell>
        </row>
        <row r="3">
          <cell r="O3" t="str">
            <v>M2</v>
          </cell>
        </row>
        <row r="4">
          <cell r="G4">
            <v>30</v>
          </cell>
        </row>
        <row r="5">
          <cell r="B5" t="str">
            <v>97-2.06</v>
          </cell>
          <cell r="C5">
            <v>97208.5</v>
          </cell>
          <cell r="F5">
            <v>-445</v>
          </cell>
          <cell r="H5" t="str">
            <v>A/S</v>
          </cell>
          <cell r="L5" t="str">
            <v>S-1T-L</v>
          </cell>
          <cell r="M5" t="str">
            <v>UNIQUE SOLUTION</v>
          </cell>
          <cell r="N5" t="str">
            <v>EMT-1T</v>
          </cell>
          <cell r="T5">
            <v>-30</v>
          </cell>
          <cell r="W5">
            <v>1</v>
          </cell>
        </row>
        <row r="6">
          <cell r="A6" t="str">
            <v>Overcrossing</v>
          </cell>
          <cell r="G6">
            <v>36</v>
          </cell>
          <cell r="I6" t="str">
            <v>CP/TX-W</v>
          </cell>
          <cell r="J6">
            <v>97226</v>
          </cell>
          <cell r="K6" t="str">
            <v>AnM/TX</v>
          </cell>
          <cell r="S6">
            <v>0</v>
          </cell>
        </row>
        <row r="7">
          <cell r="B7" t="str">
            <v>97-2.07</v>
          </cell>
          <cell r="C7">
            <v>97244.5</v>
          </cell>
          <cell r="F7">
            <v>-445</v>
          </cell>
          <cell r="H7" t="str">
            <v>S/A</v>
          </cell>
          <cell r="L7" t="str">
            <v>2HEB-240</v>
          </cell>
          <cell r="M7" t="str">
            <v>C2H-240</v>
          </cell>
          <cell r="N7" t="str">
            <v>EMT-TT</v>
          </cell>
          <cell r="O7" t="str">
            <v>EMT-1T</v>
          </cell>
          <cell r="T7">
            <v>15</v>
          </cell>
          <cell r="U7">
            <v>-30</v>
          </cell>
          <cell r="W7">
            <v>0.8</v>
          </cell>
          <cell r="X7">
            <v>1</v>
          </cell>
          <cell r="Z7" t="str">
            <v>0.5</v>
          </cell>
        </row>
        <row r="8">
          <cell r="G8">
            <v>30</v>
          </cell>
          <cell r="S8">
            <v>0</v>
          </cell>
        </row>
        <row r="9">
          <cell r="B9" t="str">
            <v>97-2.08</v>
          </cell>
          <cell r="C9">
            <v>97274.5</v>
          </cell>
          <cell r="F9">
            <v>-445</v>
          </cell>
          <cell r="H9" t="str">
            <v>S/A</v>
          </cell>
          <cell r="N9" t="str">
            <v>EMT-2P</v>
          </cell>
          <cell r="O9" t="str">
            <v>EMT-2P</v>
          </cell>
          <cell r="T9">
            <v>-10</v>
          </cell>
          <cell r="U9">
            <v>35</v>
          </cell>
          <cell r="W9">
            <v>1.8</v>
          </cell>
          <cell r="X9">
            <v>1.4</v>
          </cell>
          <cell r="Z9">
            <v>0.1</v>
          </cell>
          <cell r="AK9" t="str">
            <v>S2</v>
          </cell>
        </row>
        <row r="10">
          <cell r="G10">
            <v>30</v>
          </cell>
          <cell r="S10">
            <v>0</v>
          </cell>
        </row>
        <row r="11">
          <cell r="A11" t="str">
            <v>TSO-02</v>
          </cell>
          <cell r="B11" t="str">
            <v>97-2.09</v>
          </cell>
          <cell r="C11">
            <v>97304.5</v>
          </cell>
          <cell r="F11">
            <v>-445</v>
          </cell>
          <cell r="H11" t="str">
            <v>S/A</v>
          </cell>
          <cell r="I11" t="str">
            <v>IO</v>
          </cell>
          <cell r="N11" t="str">
            <v>EMT-2P</v>
          </cell>
          <cell r="O11" t="str">
            <v>EMT-2P</v>
          </cell>
          <cell r="T11">
            <v>-10</v>
          </cell>
          <cell r="U11">
            <v>35</v>
          </cell>
          <cell r="W11">
            <v>2.2999999999999998</v>
          </cell>
          <cell r="X11">
            <v>1.4</v>
          </cell>
          <cell r="AA11">
            <v>0.1</v>
          </cell>
          <cell r="AC11" t="str">
            <v>PH-C</v>
          </cell>
          <cell r="AJ11" t="str">
            <v>Disc/IO-pr</v>
          </cell>
          <cell r="AK11" t="str">
            <v>S2</v>
          </cell>
        </row>
        <row r="12">
          <cell r="G12">
            <v>30</v>
          </cell>
          <cell r="S12">
            <v>0</v>
          </cell>
        </row>
        <row r="13">
          <cell r="B13" t="str">
            <v>97-2.10</v>
          </cell>
          <cell r="C13">
            <v>97334.5</v>
          </cell>
          <cell r="F13">
            <v>0</v>
          </cell>
          <cell r="H13" t="str">
            <v>S/A</v>
          </cell>
          <cell r="N13" t="str">
            <v>EMT-2P</v>
          </cell>
          <cell r="O13" t="str">
            <v>EMT-TP</v>
          </cell>
          <cell r="T13">
            <v>-10</v>
          </cell>
          <cell r="U13">
            <v>35</v>
          </cell>
          <cell r="W13">
            <v>2.2999999999999998</v>
          </cell>
          <cell r="X13">
            <v>1.4</v>
          </cell>
          <cell r="AA13">
            <v>0.6</v>
          </cell>
          <cell r="AC13" t="str">
            <v>PH</v>
          </cell>
          <cell r="AK13" t="str">
            <v>S2</v>
          </cell>
        </row>
        <row r="14">
          <cell r="G14">
            <v>30</v>
          </cell>
          <cell r="S14">
            <v>0</v>
          </cell>
        </row>
        <row r="15">
          <cell r="B15" t="str">
            <v>97-2.11</v>
          </cell>
          <cell r="C15">
            <v>97392</v>
          </cell>
          <cell r="F15">
            <v>0</v>
          </cell>
          <cell r="H15" t="str">
            <v>S/A</v>
          </cell>
          <cell r="N15" t="str">
            <v>EMT-TP</v>
          </cell>
          <cell r="O15" t="str">
            <v>EMT-2P</v>
          </cell>
          <cell r="T15">
            <v>-5</v>
          </cell>
          <cell r="U15">
            <v>10</v>
          </cell>
          <cell r="W15">
            <v>2.2999999999999998</v>
          </cell>
          <cell r="X15">
            <v>1.4</v>
          </cell>
          <cell r="Z15">
            <v>0.45</v>
          </cell>
          <cell r="AK15" t="str">
            <v>S2</v>
          </cell>
        </row>
        <row r="16">
          <cell r="G16">
            <v>30</v>
          </cell>
          <cell r="S16">
            <v>0</v>
          </cell>
        </row>
        <row r="17">
          <cell r="B17" t="str">
            <v>97-2.12</v>
          </cell>
          <cell r="C17">
            <v>97422</v>
          </cell>
          <cell r="F17">
            <v>0</v>
          </cell>
          <cell r="H17" t="str">
            <v>P50</v>
          </cell>
          <cell r="N17" t="str">
            <v>EMT-1P</v>
          </cell>
          <cell r="O17" t="str">
            <v>EMT-2P</v>
          </cell>
          <cell r="T17">
            <v>15</v>
          </cell>
          <cell r="U17">
            <v>30</v>
          </cell>
          <cell r="W17">
            <v>2.2999999999999998</v>
          </cell>
          <cell r="X17">
            <v>1.4</v>
          </cell>
          <cell r="AC17" t="str">
            <v>PH</v>
          </cell>
          <cell r="AK17" t="str">
            <v>S2</v>
          </cell>
        </row>
        <row r="18">
          <cell r="G18">
            <v>44</v>
          </cell>
          <cell r="S18">
            <v>0</v>
          </cell>
        </row>
        <row r="19">
          <cell r="B19" t="str">
            <v>97-2.13</v>
          </cell>
          <cell r="C19">
            <v>97466</v>
          </cell>
          <cell r="F19">
            <v>0</v>
          </cell>
          <cell r="H19" t="str">
            <v xml:space="preserve">P30 </v>
          </cell>
          <cell r="N19" t="str">
            <v>EMT-2P</v>
          </cell>
          <cell r="O19" t="str">
            <v>EMT-1P</v>
          </cell>
          <cell r="T19">
            <v>25</v>
          </cell>
          <cell r="U19">
            <v>10</v>
          </cell>
          <cell r="W19">
            <v>1.4</v>
          </cell>
          <cell r="X19">
            <v>2.2999999999999998</v>
          </cell>
          <cell r="AC19" t="str">
            <v>PH</v>
          </cell>
          <cell r="AK19" t="str">
            <v>S2</v>
          </cell>
        </row>
        <row r="20">
          <cell r="G20">
            <v>34</v>
          </cell>
          <cell r="S20">
            <v>0</v>
          </cell>
        </row>
        <row r="21">
          <cell r="B21" t="str">
            <v>97-2.14</v>
          </cell>
          <cell r="C21">
            <v>97500</v>
          </cell>
          <cell r="F21">
            <v>0</v>
          </cell>
          <cell r="H21" t="str">
            <v>P50</v>
          </cell>
          <cell r="N21" t="str">
            <v>EMT-1P</v>
          </cell>
          <cell r="O21" t="str">
            <v>EMT-2P</v>
          </cell>
          <cell r="T21">
            <v>15</v>
          </cell>
          <cell r="U21">
            <v>30</v>
          </cell>
          <cell r="W21">
            <v>2.2999999999999998</v>
          </cell>
          <cell r="X21">
            <v>1.4</v>
          </cell>
          <cell r="AC21" t="str">
            <v>PH</v>
          </cell>
          <cell r="AJ21" t="str">
            <v>SECT-I</v>
          </cell>
          <cell r="AK21" t="str">
            <v>S2</v>
          </cell>
        </row>
        <row r="22">
          <cell r="G22">
            <v>40</v>
          </cell>
          <cell r="S22">
            <v>0</v>
          </cell>
        </row>
        <row r="23">
          <cell r="B23" t="str">
            <v>97-2.15</v>
          </cell>
          <cell r="C23">
            <v>97540</v>
          </cell>
          <cell r="F23">
            <v>0</v>
          </cell>
          <cell r="H23" t="str">
            <v>P50</v>
          </cell>
          <cell r="N23" t="str">
            <v>EMT-2P</v>
          </cell>
          <cell r="O23" t="str">
            <v>EMT-1P</v>
          </cell>
          <cell r="T23">
            <v>30</v>
          </cell>
          <cell r="U23">
            <v>15</v>
          </cell>
          <cell r="W23">
            <v>1.4</v>
          </cell>
          <cell r="X23">
            <v>2.2999999999999998</v>
          </cell>
          <cell r="AC23" t="str">
            <v>PH</v>
          </cell>
          <cell r="AJ23" t="str">
            <v>SECT-I</v>
          </cell>
          <cell r="AK23" t="str">
            <v>S2</v>
          </cell>
        </row>
        <row r="24">
          <cell r="G24">
            <v>36.5</v>
          </cell>
          <cell r="S24">
            <v>0</v>
          </cell>
        </row>
        <row r="25">
          <cell r="B25" t="str">
            <v>97-2.16</v>
          </cell>
          <cell r="C25">
            <v>97576.5</v>
          </cell>
          <cell r="F25">
            <v>6000</v>
          </cell>
          <cell r="H25" t="str">
            <v>S/A</v>
          </cell>
          <cell r="N25" t="str">
            <v>EMT-2P</v>
          </cell>
          <cell r="O25" t="str">
            <v>EMT-TP</v>
          </cell>
          <cell r="T25">
            <v>0</v>
          </cell>
          <cell r="U25">
            <v>-15</v>
          </cell>
          <cell r="W25">
            <v>1.4</v>
          </cell>
          <cell r="X25">
            <v>2.2999999999999998</v>
          </cell>
          <cell r="AA25">
            <v>0.45</v>
          </cell>
          <cell r="AC25" t="str">
            <v>PH</v>
          </cell>
          <cell r="AK25" t="str">
            <v>S2</v>
          </cell>
        </row>
        <row r="26">
          <cell r="G26">
            <v>37.5</v>
          </cell>
          <cell r="S26">
            <v>0</v>
          </cell>
        </row>
        <row r="27">
          <cell r="B27" t="str">
            <v>97-2.17</v>
          </cell>
          <cell r="C27">
            <v>97614</v>
          </cell>
          <cell r="F27">
            <v>1300</v>
          </cell>
          <cell r="N27" t="str">
            <v>EMT-1P</v>
          </cell>
          <cell r="T27">
            <v>-25</v>
          </cell>
          <cell r="W27">
            <v>1.1000000000000001</v>
          </cell>
          <cell r="AC27" t="str">
            <v>PH</v>
          </cell>
          <cell r="AK27" t="str">
            <v>S1</v>
          </cell>
        </row>
        <row r="28">
          <cell r="A28" t="str">
            <v>Overhead Cable</v>
          </cell>
          <cell r="G28">
            <v>46.5</v>
          </cell>
          <cell r="J28">
            <v>97653</v>
          </cell>
          <cell r="K28" t="str">
            <v>AnMC</v>
          </cell>
          <cell r="S28">
            <v>0</v>
          </cell>
        </row>
        <row r="29">
          <cell r="B29" t="str">
            <v>97-2.18</v>
          </cell>
          <cell r="C29">
            <v>97660.5</v>
          </cell>
          <cell r="F29">
            <v>1300</v>
          </cell>
          <cell r="H29" t="str">
            <v>A/S-Diag</v>
          </cell>
          <cell r="I29" t="str">
            <v>FP+AnMC</v>
          </cell>
          <cell r="L29" t="str">
            <v>HEB-280 (CP)</v>
          </cell>
          <cell r="M29" t="str">
            <v>C5</v>
          </cell>
          <cell r="N29" t="str">
            <v>EMT-1P</v>
          </cell>
          <cell r="T29">
            <v>-30</v>
          </cell>
          <cell r="W29">
            <v>0.6</v>
          </cell>
          <cell r="AC29" t="str">
            <v>PH-C</v>
          </cell>
          <cell r="AM29" t="str">
            <v>RW1</v>
          </cell>
        </row>
        <row r="30">
          <cell r="A30" t="str">
            <v>Overcrossing</v>
          </cell>
          <cell r="G30">
            <v>42</v>
          </cell>
          <cell r="H30" t="str">
            <v>AnRW</v>
          </cell>
          <cell r="S30">
            <v>0</v>
          </cell>
        </row>
        <row r="31">
          <cell r="B31" t="str">
            <v>97-2.20</v>
          </cell>
          <cell r="C31">
            <v>97702</v>
          </cell>
          <cell r="F31">
            <v>1300</v>
          </cell>
          <cell r="H31" t="str">
            <v>S/A</v>
          </cell>
          <cell r="N31" t="str">
            <v>EMT-TP</v>
          </cell>
          <cell r="O31" t="str">
            <v>EMT-1P</v>
          </cell>
          <cell r="T31">
            <v>15</v>
          </cell>
          <cell r="U31">
            <v>0</v>
          </cell>
          <cell r="W31">
            <v>0.6</v>
          </cell>
          <cell r="X31">
            <v>0.8</v>
          </cell>
          <cell r="AA31">
            <v>0.15</v>
          </cell>
          <cell r="AK31" t="str">
            <v>S2</v>
          </cell>
        </row>
        <row r="32">
          <cell r="G32">
            <v>44</v>
          </cell>
          <cell r="J32">
            <v>97738.5</v>
          </cell>
          <cell r="K32" t="str">
            <v>AnM</v>
          </cell>
          <cell r="S32">
            <v>0</v>
          </cell>
          <cell r="X32" t="str">
            <v>ali</v>
          </cell>
        </row>
        <row r="33">
          <cell r="B33" t="str">
            <v>97-2.21</v>
          </cell>
          <cell r="C33">
            <v>97746</v>
          </cell>
          <cell r="F33">
            <v>6000</v>
          </cell>
          <cell r="H33" t="str">
            <v>P50 MP</v>
          </cell>
          <cell r="I33" t="str">
            <v>AnRW</v>
          </cell>
          <cell r="L33" t="str">
            <v>2HEB-260L</v>
          </cell>
          <cell r="M33" t="str">
            <v>C2H-260LR</v>
          </cell>
          <cell r="N33" t="str">
            <v>EMT-1</v>
          </cell>
          <cell r="O33" t="str">
            <v>EMT-2</v>
          </cell>
          <cell r="T33">
            <v>15</v>
          </cell>
          <cell r="U33">
            <v>30</v>
          </cell>
          <cell r="W33">
            <v>2.1</v>
          </cell>
          <cell r="X33">
            <v>1.2</v>
          </cell>
          <cell r="AC33" t="str">
            <v>PH</v>
          </cell>
          <cell r="AM33" t="str">
            <v>RW1</v>
          </cell>
        </row>
        <row r="34">
          <cell r="G34">
            <v>34</v>
          </cell>
          <cell r="S34">
            <v>0</v>
          </cell>
        </row>
        <row r="35">
          <cell r="A35" t="str">
            <v>FEEDER SUPPTY PORTAL</v>
          </cell>
          <cell r="B35" t="str">
            <v>97-2.21A</v>
          </cell>
          <cell r="C35">
            <v>97780</v>
          </cell>
          <cell r="F35">
            <v>0</v>
          </cell>
          <cell r="L35" t="str">
            <v>HEB-320LL(P)</v>
          </cell>
          <cell r="M35" t="str">
            <v>C11LR</v>
          </cell>
          <cell r="AM35" t="str">
            <v>RW1</v>
          </cell>
        </row>
        <row r="36">
          <cell r="A36" t="str">
            <v>TS HOLTZ</v>
          </cell>
          <cell r="G36">
            <v>8</v>
          </cell>
          <cell r="S36">
            <v>0</v>
          </cell>
        </row>
        <row r="37">
          <cell r="B37" t="str">
            <v>97-2.21B</v>
          </cell>
          <cell r="C37">
            <v>97788</v>
          </cell>
          <cell r="F37">
            <v>0</v>
          </cell>
          <cell r="I37" t="str">
            <v>AnFW</v>
          </cell>
          <cell r="L37" t="str">
            <v>HEB-320LL(P)</v>
          </cell>
          <cell r="M37" t="str">
            <v>C11LR</v>
          </cell>
          <cell r="AM37" t="str">
            <v>RW1</v>
          </cell>
        </row>
        <row r="38">
          <cell r="G38">
            <v>14</v>
          </cell>
          <cell r="S38">
            <v>97801.16</v>
          </cell>
        </row>
        <row r="39">
          <cell r="B39" t="str">
            <v>97-2.22</v>
          </cell>
          <cell r="C39">
            <v>97801</v>
          </cell>
          <cell r="F39">
            <v>0</v>
          </cell>
          <cell r="H39" t="str">
            <v>AnMP</v>
          </cell>
          <cell r="L39" t="str">
            <v>HEB-260</v>
          </cell>
          <cell r="M39" t="str">
            <v>C4R</v>
          </cell>
          <cell r="N39" t="str">
            <v>EMT-2</v>
          </cell>
          <cell r="Q39">
            <v>0</v>
          </cell>
          <cell r="R39" t="str">
            <v>inf</v>
          </cell>
          <cell r="T39">
            <v>-20</v>
          </cell>
          <cell r="W39">
            <v>1.4</v>
          </cell>
          <cell r="AC39" t="str">
            <v>PH</v>
          </cell>
          <cell r="AG39">
            <v>97801.16</v>
          </cell>
          <cell r="AH39">
            <v>2590</v>
          </cell>
          <cell r="AI39">
            <v>261</v>
          </cell>
          <cell r="AM39" t="str">
            <v>RW1</v>
          </cell>
        </row>
        <row r="40">
          <cell r="G40">
            <v>43</v>
          </cell>
          <cell r="J40">
            <v>97808.5</v>
          </cell>
          <cell r="K40" t="str">
            <v>AnMP</v>
          </cell>
          <cell r="S40">
            <v>43.089999999996508</v>
          </cell>
        </row>
        <row r="41">
          <cell r="B41" t="str">
            <v>97-2.23</v>
          </cell>
          <cell r="C41">
            <v>97844</v>
          </cell>
          <cell r="F41">
            <v>0</v>
          </cell>
          <cell r="L41" t="str">
            <v>HEB-240</v>
          </cell>
          <cell r="M41" t="str">
            <v>C3R</v>
          </cell>
          <cell r="N41" t="str">
            <v>EMT-1</v>
          </cell>
          <cell r="Q41">
            <v>0</v>
          </cell>
          <cell r="R41" t="str">
            <v>inf</v>
          </cell>
          <cell r="T41">
            <v>-20</v>
          </cell>
          <cell r="W41">
            <v>1.4</v>
          </cell>
          <cell r="AC41" t="str">
            <v>PH</v>
          </cell>
          <cell r="AG41">
            <v>97844.25</v>
          </cell>
          <cell r="AH41">
            <v>2575</v>
          </cell>
          <cell r="AI41">
            <v>236</v>
          </cell>
          <cell r="AM41" t="str">
            <v>RW1</v>
          </cell>
        </row>
        <row r="42">
          <cell r="G42">
            <v>33</v>
          </cell>
          <cell r="S42">
            <v>32.759999999994761</v>
          </cell>
        </row>
        <row r="43">
          <cell r="B43" t="str">
            <v>97-2.24</v>
          </cell>
          <cell r="C43">
            <v>97877</v>
          </cell>
          <cell r="F43">
            <v>0</v>
          </cell>
          <cell r="L43" t="str">
            <v>HEB-280L</v>
          </cell>
          <cell r="M43" t="str">
            <v>C5R</v>
          </cell>
          <cell r="N43" t="str">
            <v>EMT-2</v>
          </cell>
          <cell r="Q43">
            <v>0</v>
          </cell>
          <cell r="R43" t="str">
            <v>inf</v>
          </cell>
          <cell r="T43">
            <v>30</v>
          </cell>
          <cell r="W43">
            <v>1.4</v>
          </cell>
          <cell r="AC43" t="str">
            <v>PH-Q</v>
          </cell>
          <cell r="AG43">
            <v>97877.01</v>
          </cell>
          <cell r="AH43">
            <v>2563</v>
          </cell>
          <cell r="AI43">
            <v>278</v>
          </cell>
          <cell r="AJ43" t="str">
            <v>FW+25</v>
          </cell>
          <cell r="AL43" t="str">
            <v>PR1B</v>
          </cell>
          <cell r="AM43" t="str">
            <v>RW1</v>
          </cell>
        </row>
        <row r="44">
          <cell r="G44">
            <v>27.5</v>
          </cell>
          <cell r="S44">
            <v>27.410000000003492</v>
          </cell>
        </row>
        <row r="45">
          <cell r="B45" t="str">
            <v>97-2.25</v>
          </cell>
          <cell r="C45">
            <v>97904.5</v>
          </cell>
          <cell r="F45">
            <v>0</v>
          </cell>
          <cell r="L45" t="str">
            <v>HEB-280L</v>
          </cell>
          <cell r="M45" t="str">
            <v>C5R</v>
          </cell>
          <cell r="N45" t="str">
            <v>EMT-1</v>
          </cell>
          <cell r="Q45">
            <v>0</v>
          </cell>
          <cell r="R45" t="str">
            <v>inf</v>
          </cell>
          <cell r="T45">
            <v>-30</v>
          </cell>
          <cell r="W45">
            <v>1.4</v>
          </cell>
          <cell r="AC45" t="str">
            <v>PH-C</v>
          </cell>
          <cell r="AG45">
            <v>97904.42</v>
          </cell>
          <cell r="AH45">
            <v>2513</v>
          </cell>
          <cell r="AI45">
            <v>137</v>
          </cell>
          <cell r="AJ45" t="str">
            <v>FW+25</v>
          </cell>
          <cell r="AL45" t="str">
            <v>PR1B</v>
          </cell>
          <cell r="AM45" t="str">
            <v>RW1</v>
          </cell>
        </row>
        <row r="46">
          <cell r="G46">
            <v>33.5</v>
          </cell>
          <cell r="S46">
            <v>-97904.42</v>
          </cell>
        </row>
        <row r="47">
          <cell r="B47" t="str">
            <v>97-2.26</v>
          </cell>
          <cell r="C47">
            <v>97938</v>
          </cell>
          <cell r="F47">
            <v>0</v>
          </cell>
          <cell r="N47" t="str">
            <v>EMT-2P</v>
          </cell>
          <cell r="T47">
            <v>30</v>
          </cell>
          <cell r="W47">
            <v>1.4</v>
          </cell>
          <cell r="AC47" t="str">
            <v>PH-Q</v>
          </cell>
          <cell r="AK47" t="str">
            <v>S1</v>
          </cell>
        </row>
        <row r="48">
          <cell r="G48">
            <v>30</v>
          </cell>
          <cell r="S48">
            <v>0</v>
          </cell>
        </row>
        <row r="49">
          <cell r="B49" t="str">
            <v>97-2.27</v>
          </cell>
          <cell r="C49">
            <v>97968</v>
          </cell>
          <cell r="F49">
            <v>0</v>
          </cell>
          <cell r="H49" t="str">
            <v>S/A</v>
          </cell>
          <cell r="N49" t="str">
            <v>EMT-T</v>
          </cell>
          <cell r="O49" t="str">
            <v>EMT-2</v>
          </cell>
          <cell r="T49">
            <v>15</v>
          </cell>
          <cell r="U49">
            <v>-30</v>
          </cell>
          <cell r="W49">
            <v>1.4</v>
          </cell>
          <cell r="X49">
            <v>2.2999999999999998</v>
          </cell>
          <cell r="Z49">
            <v>0.45</v>
          </cell>
        </row>
        <row r="50">
          <cell r="G50">
            <v>43</v>
          </cell>
          <cell r="S50">
            <v>0</v>
          </cell>
        </row>
        <row r="51">
          <cell r="A51" t="str">
            <v>TSO-08</v>
          </cell>
          <cell r="B51" t="str">
            <v>98-2.01</v>
          </cell>
          <cell r="C51">
            <v>98011</v>
          </cell>
          <cell r="F51">
            <v>0</v>
          </cell>
          <cell r="H51" t="str">
            <v>S/A</v>
          </cell>
          <cell r="I51" t="str">
            <v>IO</v>
          </cell>
          <cell r="N51" t="str">
            <v>EMT-2P</v>
          </cell>
          <cell r="O51" t="str">
            <v>EMT-TP</v>
          </cell>
          <cell r="T51">
            <v>-30</v>
          </cell>
          <cell r="U51">
            <v>15</v>
          </cell>
          <cell r="W51">
            <v>2.2999999999999998</v>
          </cell>
          <cell r="X51">
            <v>1.4</v>
          </cell>
          <cell r="AA51">
            <v>0.45</v>
          </cell>
          <cell r="AC51" t="str">
            <v>PH</v>
          </cell>
          <cell r="AJ51" t="str">
            <v>Disc/IO-pr</v>
          </cell>
          <cell r="AK51" t="str">
            <v>S2</v>
          </cell>
        </row>
        <row r="52">
          <cell r="G52">
            <v>38</v>
          </cell>
          <cell r="S52">
            <v>0</v>
          </cell>
        </row>
        <row r="53">
          <cell r="B53" t="str">
            <v>98-2.02</v>
          </cell>
          <cell r="C53">
            <v>98049</v>
          </cell>
          <cell r="F53">
            <v>0</v>
          </cell>
          <cell r="H53" t="str">
            <v>P50 S/A</v>
          </cell>
          <cell r="N53" t="str">
            <v>EMT-2P</v>
          </cell>
          <cell r="O53" t="str">
            <v>EMT-1P</v>
          </cell>
          <cell r="P53" t="str">
            <v>EMT-TP</v>
          </cell>
          <cell r="T53">
            <v>-30</v>
          </cell>
          <cell r="U53">
            <v>-15</v>
          </cell>
          <cell r="V53">
            <v>-55</v>
          </cell>
          <cell r="W53">
            <v>1.8</v>
          </cell>
          <cell r="X53">
            <v>1.4</v>
          </cell>
          <cell r="Y53">
            <v>2.2999999999999998</v>
          </cell>
          <cell r="AB53">
            <v>0.45</v>
          </cell>
          <cell r="AC53" t="str">
            <v>PH-Q</v>
          </cell>
          <cell r="AK53" t="str">
            <v>S3</v>
          </cell>
        </row>
        <row r="54">
          <cell r="G54">
            <v>49</v>
          </cell>
          <cell r="S54">
            <v>0</v>
          </cell>
        </row>
        <row r="55">
          <cell r="B55" t="str">
            <v>98-2.03</v>
          </cell>
          <cell r="C55">
            <v>98098</v>
          </cell>
          <cell r="F55">
            <v>0</v>
          </cell>
          <cell r="H55" t="str">
            <v>P50</v>
          </cell>
          <cell r="N55" t="str">
            <v>EMT-1P</v>
          </cell>
          <cell r="O55" t="str">
            <v>EMT-2P</v>
          </cell>
          <cell r="T55">
            <v>15</v>
          </cell>
          <cell r="U55">
            <v>30</v>
          </cell>
          <cell r="W55">
            <v>2.2999999999999998</v>
          </cell>
          <cell r="X55">
            <v>1.4</v>
          </cell>
          <cell r="AC55" t="str">
            <v>PH</v>
          </cell>
          <cell r="AK55" t="str">
            <v>S2</v>
          </cell>
        </row>
        <row r="56">
          <cell r="G56">
            <v>56.5</v>
          </cell>
          <cell r="S56">
            <v>0</v>
          </cell>
        </row>
        <row r="57">
          <cell r="B57" t="str">
            <v>98-2.03BIS</v>
          </cell>
          <cell r="C57">
            <v>98154.5</v>
          </cell>
          <cell r="F57">
            <v>0</v>
          </cell>
          <cell r="N57" t="str">
            <v>EMT-1P</v>
          </cell>
          <cell r="T57">
            <v>-25</v>
          </cell>
          <cell r="W57">
            <v>1.4</v>
          </cell>
          <cell r="AC57" t="str">
            <v>PH</v>
          </cell>
          <cell r="AK57" t="str">
            <v>S1</v>
          </cell>
        </row>
        <row r="58">
          <cell r="G58">
            <v>55</v>
          </cell>
          <cell r="S58">
            <v>0</v>
          </cell>
        </row>
        <row r="59">
          <cell r="A59" t="str">
            <v>TSO-10</v>
          </cell>
          <cell r="B59" t="str">
            <v>98-2.04</v>
          </cell>
          <cell r="C59">
            <v>98209.5</v>
          </cell>
          <cell r="F59">
            <v>-600</v>
          </cell>
          <cell r="H59" t="str">
            <v>S/A</v>
          </cell>
          <cell r="I59" t="str">
            <v>IO</v>
          </cell>
          <cell r="N59" t="str">
            <v>EMT-TP</v>
          </cell>
          <cell r="O59" t="str">
            <v>EMT-1P</v>
          </cell>
          <cell r="T59">
            <v>15</v>
          </cell>
          <cell r="U59">
            <v>-30</v>
          </cell>
          <cell r="W59">
            <v>1.4</v>
          </cell>
          <cell r="X59">
            <v>2.2999999999999998</v>
          </cell>
          <cell r="AC59" t="str">
            <v>PH-C</v>
          </cell>
          <cell r="AJ59" t="str">
            <v>LoadB/IO-pr</v>
          </cell>
          <cell r="AK59" t="str">
            <v>S2</v>
          </cell>
        </row>
        <row r="60">
          <cell r="G60">
            <v>41</v>
          </cell>
          <cell r="S60">
            <v>0</v>
          </cell>
        </row>
        <row r="61">
          <cell r="B61" t="str">
            <v>98-2.05</v>
          </cell>
          <cell r="C61">
            <v>98250.5</v>
          </cell>
          <cell r="F61">
            <v>-600</v>
          </cell>
          <cell r="H61" t="str">
            <v>S/A</v>
          </cell>
          <cell r="N61" t="str">
            <v>EMT-1P</v>
          </cell>
          <cell r="O61" t="str">
            <v>EMT-TP</v>
          </cell>
          <cell r="T61">
            <v>-25</v>
          </cell>
          <cell r="U61">
            <v>-70</v>
          </cell>
          <cell r="W61">
            <v>1.4</v>
          </cell>
          <cell r="X61">
            <v>2.2999999999999998</v>
          </cell>
          <cell r="AC61" t="str">
            <v>PH-C</v>
          </cell>
          <cell r="AK61" t="str">
            <v>S2</v>
          </cell>
        </row>
        <row r="62">
          <cell r="G62">
            <v>41</v>
          </cell>
          <cell r="S62">
            <v>0</v>
          </cell>
        </row>
        <row r="63">
          <cell r="B63" t="str">
            <v>98-2.06</v>
          </cell>
          <cell r="C63">
            <v>98291.5</v>
          </cell>
          <cell r="F63">
            <v>-600</v>
          </cell>
          <cell r="N63" t="str">
            <v>EMT-1P</v>
          </cell>
          <cell r="T63">
            <v>-30</v>
          </cell>
          <cell r="W63">
            <v>1.4</v>
          </cell>
          <cell r="AC63" t="str">
            <v>PH-C</v>
          </cell>
          <cell r="AK63" t="str">
            <v>S1</v>
          </cell>
        </row>
        <row r="64">
          <cell r="G64">
            <v>41</v>
          </cell>
          <cell r="S64">
            <v>0</v>
          </cell>
        </row>
        <row r="65">
          <cell r="B65" t="str">
            <v>98-2.07</v>
          </cell>
          <cell r="C65">
            <v>98332.5</v>
          </cell>
          <cell r="F65">
            <v>-600</v>
          </cell>
          <cell r="N65" t="str">
            <v>EMT-1P</v>
          </cell>
          <cell r="T65">
            <v>-30</v>
          </cell>
          <cell r="W65">
            <v>1.4</v>
          </cell>
          <cell r="AC65" t="str">
            <v>PH-C</v>
          </cell>
          <cell r="AK65" t="str">
            <v>S1</v>
          </cell>
        </row>
        <row r="66">
          <cell r="G66">
            <v>34</v>
          </cell>
          <cell r="S66">
            <v>0</v>
          </cell>
        </row>
        <row r="67">
          <cell r="B67" t="str">
            <v>98-2.08</v>
          </cell>
          <cell r="C67">
            <v>98364.5</v>
          </cell>
          <cell r="F67">
            <v>-600</v>
          </cell>
          <cell r="N67" t="str">
            <v>EMT-1P</v>
          </cell>
          <cell r="T67">
            <v>-30</v>
          </cell>
          <cell r="W67">
            <v>1.4</v>
          </cell>
          <cell r="AC67" t="str">
            <v>PH-C</v>
          </cell>
          <cell r="AK67" t="str">
            <v>S1</v>
          </cell>
        </row>
        <row r="68">
          <cell r="G68">
            <v>30</v>
          </cell>
          <cell r="S68">
            <v>0</v>
          </cell>
        </row>
        <row r="69">
          <cell r="B69" t="str">
            <v>98-2.09</v>
          </cell>
          <cell r="C69">
            <v>98394.5</v>
          </cell>
          <cell r="F69">
            <v>-600</v>
          </cell>
          <cell r="H69" t="str">
            <v>A/S</v>
          </cell>
          <cell r="I69" t="str">
            <v>CP+AnMC</v>
          </cell>
          <cell r="L69" t="str">
            <v>HEB-280</v>
          </cell>
          <cell r="M69" t="str">
            <v>C5R</v>
          </cell>
          <cell r="N69" t="str">
            <v>EMT-2</v>
          </cell>
          <cell r="T69">
            <v>20</v>
          </cell>
          <cell r="W69">
            <v>1.4</v>
          </cell>
          <cell r="AC69" t="str">
            <v>PH-C</v>
          </cell>
          <cell r="AM69" t="str">
            <v>RW2</v>
          </cell>
        </row>
        <row r="70">
          <cell r="G70">
            <v>31</v>
          </cell>
          <cell r="J70">
            <v>98402</v>
          </cell>
          <cell r="K70" t="str">
            <v>AnMC</v>
          </cell>
          <cell r="S70">
            <v>98427.45</v>
          </cell>
        </row>
        <row r="71">
          <cell r="B71" t="str">
            <v>98-2.10</v>
          </cell>
          <cell r="C71">
            <v>98425.5</v>
          </cell>
          <cell r="F71">
            <v>0</v>
          </cell>
          <cell r="H71" t="str">
            <v>AnMP</v>
          </cell>
          <cell r="J71">
            <v>98418</v>
          </cell>
          <cell r="K71" t="str">
            <v>AnM</v>
          </cell>
          <cell r="L71" t="str">
            <v>HEB-240</v>
          </cell>
          <cell r="M71" t="str">
            <v>C3R</v>
          </cell>
          <cell r="N71" t="str">
            <v>EMT-E</v>
          </cell>
          <cell r="Q71">
            <v>32</v>
          </cell>
          <cell r="R71">
            <v>-2718</v>
          </cell>
          <cell r="T71">
            <v>-30</v>
          </cell>
          <cell r="W71">
            <v>1.4</v>
          </cell>
          <cell r="AC71" t="str">
            <v>PH-C 1450</v>
          </cell>
          <cell r="AF71">
            <v>6000</v>
          </cell>
          <cell r="AG71">
            <v>98427.45</v>
          </cell>
          <cell r="AH71">
            <v>2088</v>
          </cell>
          <cell r="AI71">
            <v>136</v>
          </cell>
          <cell r="AM71" t="str">
            <v>RW2</v>
          </cell>
        </row>
        <row r="72">
          <cell r="A72" t="str">
            <v>Level crossing</v>
          </cell>
          <cell r="G72">
            <v>30</v>
          </cell>
          <cell r="I72">
            <v>409</v>
          </cell>
          <cell r="S72">
            <v>30.110000000000582</v>
          </cell>
        </row>
        <row r="73">
          <cell r="B73" t="str">
            <v>98-2.11</v>
          </cell>
          <cell r="C73">
            <v>98455.5</v>
          </cell>
          <cell r="F73">
            <v>0</v>
          </cell>
          <cell r="H73" t="str">
            <v>MP</v>
          </cell>
          <cell r="L73" t="str">
            <v>HEB-240</v>
          </cell>
          <cell r="M73" t="str">
            <v>C3R</v>
          </cell>
          <cell r="N73" t="str">
            <v>EMT-2</v>
          </cell>
          <cell r="Q73">
            <v>0</v>
          </cell>
          <cell r="R73">
            <v>0</v>
          </cell>
          <cell r="T73">
            <v>35</v>
          </cell>
          <cell r="W73">
            <v>1.4</v>
          </cell>
          <cell r="AC73" t="str">
            <v>PH-Q 1150</v>
          </cell>
          <cell r="AF73">
            <v>6000</v>
          </cell>
          <cell r="AG73">
            <v>98457.56</v>
          </cell>
          <cell r="AH73">
            <v>2658</v>
          </cell>
          <cell r="AI73">
            <v>564</v>
          </cell>
          <cell r="AM73" t="str">
            <v>RW2</v>
          </cell>
        </row>
        <row r="74">
          <cell r="G74">
            <v>30</v>
          </cell>
          <cell r="I74">
            <v>476</v>
          </cell>
          <cell r="S74">
            <v>29.850000000005821</v>
          </cell>
        </row>
        <row r="75">
          <cell r="B75" t="str">
            <v>98-2.12</v>
          </cell>
          <cell r="C75">
            <v>98485.5</v>
          </cell>
          <cell r="F75">
            <v>0</v>
          </cell>
          <cell r="H75" t="str">
            <v>AnMP</v>
          </cell>
          <cell r="J75">
            <v>98493</v>
          </cell>
          <cell r="K75" t="str">
            <v>AnM</v>
          </cell>
          <cell r="L75" t="str">
            <v>HEB-240</v>
          </cell>
          <cell r="M75" t="str">
            <v>C3R</v>
          </cell>
          <cell r="N75" t="str">
            <v>EMT-E</v>
          </cell>
          <cell r="Q75">
            <v>0</v>
          </cell>
          <cell r="R75">
            <v>0</v>
          </cell>
          <cell r="T75">
            <v>-35</v>
          </cell>
          <cell r="W75">
            <v>1.4</v>
          </cell>
          <cell r="AC75" t="str">
            <v>PH-C 1450</v>
          </cell>
          <cell r="AF75">
            <v>6000</v>
          </cell>
          <cell r="AG75">
            <v>98487.41</v>
          </cell>
          <cell r="AH75">
            <v>2678</v>
          </cell>
          <cell r="AI75">
            <v>571</v>
          </cell>
          <cell r="AM75" t="str">
            <v>RW2</v>
          </cell>
        </row>
        <row r="76">
          <cell r="G76">
            <v>27</v>
          </cell>
          <cell r="J76">
            <v>98505</v>
          </cell>
          <cell r="K76" t="str">
            <v>AnMC</v>
          </cell>
          <cell r="S76">
            <v>27.110000000000582</v>
          </cell>
        </row>
        <row r="77">
          <cell r="B77" t="str">
            <v>98-2.13</v>
          </cell>
          <cell r="C77">
            <v>98512.5</v>
          </cell>
          <cell r="F77">
            <v>0</v>
          </cell>
          <cell r="H77" t="str">
            <v>A/S</v>
          </cell>
          <cell r="I77" t="str">
            <v>CP+AnMC</v>
          </cell>
          <cell r="L77" t="str">
            <v>HEB-320L</v>
          </cell>
          <cell r="M77" t="str">
            <v>C7R</v>
          </cell>
          <cell r="N77" t="str">
            <v>EMT-2</v>
          </cell>
          <cell r="Q77">
            <v>0</v>
          </cell>
          <cell r="R77" t="str">
            <v>inf</v>
          </cell>
          <cell r="T77">
            <v>35</v>
          </cell>
          <cell r="W77">
            <v>1.4</v>
          </cell>
          <cell r="AC77" t="str">
            <v>PH</v>
          </cell>
          <cell r="AG77">
            <v>98514.52</v>
          </cell>
          <cell r="AH77">
            <v>2544</v>
          </cell>
          <cell r="AI77">
            <v>524</v>
          </cell>
          <cell r="AL77" t="str">
            <v>PR1C</v>
          </cell>
          <cell r="AM77" t="str">
            <v>RW2</v>
          </cell>
        </row>
        <row r="78">
          <cell r="G78">
            <v>24.5</v>
          </cell>
          <cell r="S78">
            <v>24.149999999994179</v>
          </cell>
          <cell r="AJ78" t="str">
            <v>Current T</v>
          </cell>
        </row>
        <row r="79">
          <cell r="A79" t="str">
            <v>TSO-B02</v>
          </cell>
          <cell r="B79" t="str">
            <v>98-2.14</v>
          </cell>
          <cell r="C79">
            <v>98537</v>
          </cell>
          <cell r="F79">
            <v>0</v>
          </cell>
          <cell r="H79" t="str">
            <v>S/A</v>
          </cell>
          <cell r="L79" t="str">
            <v>HEB-320L</v>
          </cell>
          <cell r="M79" t="str">
            <v>C7R</v>
          </cell>
          <cell r="N79" t="str">
            <v>EMT-T</v>
          </cell>
          <cell r="O79" t="str">
            <v>EMT-1</v>
          </cell>
          <cell r="Q79">
            <v>0</v>
          </cell>
          <cell r="R79" t="str">
            <v>inf</v>
          </cell>
          <cell r="T79">
            <v>55</v>
          </cell>
          <cell r="U79">
            <v>-35</v>
          </cell>
          <cell r="W79">
            <v>1.4</v>
          </cell>
          <cell r="X79">
            <v>2.2999999999999998</v>
          </cell>
          <cell r="Z79" t="str">
            <v>0.6</v>
          </cell>
          <cell r="AC79" t="str">
            <v>PH-C</v>
          </cell>
          <cell r="AG79">
            <v>98538.67</v>
          </cell>
          <cell r="AH79">
            <v>2468</v>
          </cell>
          <cell r="AI79">
            <v>514</v>
          </cell>
          <cell r="AJ79" t="str">
            <v>LoadB/PP-pr</v>
          </cell>
          <cell r="AL79" t="str">
            <v>PR1C</v>
          </cell>
          <cell r="AM79" t="str">
            <v>RW2</v>
          </cell>
        </row>
        <row r="80">
          <cell r="G80">
            <v>32.5</v>
          </cell>
          <cell r="S80">
            <v>-98538.67</v>
          </cell>
          <cell r="AJ80" t="str">
            <v>Current T</v>
          </cell>
        </row>
        <row r="81">
          <cell r="B81" t="str">
            <v>98-2.15</v>
          </cell>
          <cell r="C81">
            <v>98569.5</v>
          </cell>
          <cell r="F81">
            <v>0</v>
          </cell>
          <cell r="L81" t="str">
            <v>HEB-320L</v>
          </cell>
          <cell r="M81" t="str">
            <v>UNIQUE SOLUTION</v>
          </cell>
          <cell r="N81" t="str">
            <v>EMT-2</v>
          </cell>
          <cell r="T81">
            <v>35</v>
          </cell>
          <cell r="W81">
            <v>1.4</v>
          </cell>
          <cell r="AC81" t="str">
            <v>PH</v>
          </cell>
          <cell r="AL81" t="str">
            <v>PR1C</v>
          </cell>
          <cell r="AM81" t="str">
            <v>RW2</v>
          </cell>
        </row>
        <row r="82">
          <cell r="G82">
            <v>34</v>
          </cell>
          <cell r="S82">
            <v>0</v>
          </cell>
        </row>
        <row r="83">
          <cell r="B83" t="str">
            <v>98-2.16</v>
          </cell>
          <cell r="C83">
            <v>98603.5</v>
          </cell>
          <cell r="F83">
            <v>0</v>
          </cell>
          <cell r="L83" t="str">
            <v>2HEB-320L</v>
          </cell>
          <cell r="M83" t="str">
            <v>UNIQUE SOLUTION</v>
          </cell>
          <cell r="N83" t="str">
            <v>EMT-1</v>
          </cell>
          <cell r="T83">
            <v>-35</v>
          </cell>
          <cell r="W83">
            <v>1.4</v>
          </cell>
          <cell r="AC83" t="str">
            <v>PH-C</v>
          </cell>
          <cell r="AL83" t="str">
            <v>PR1E</v>
          </cell>
          <cell r="AM83" t="str">
            <v>RW2</v>
          </cell>
        </row>
        <row r="84">
          <cell r="G84">
            <v>33</v>
          </cell>
          <cell r="S84">
            <v>0</v>
          </cell>
        </row>
        <row r="85">
          <cell r="B85" t="str">
            <v>98-2.17</v>
          </cell>
          <cell r="C85">
            <v>98636.5</v>
          </cell>
          <cell r="F85">
            <v>-860</v>
          </cell>
          <cell r="L85" t="str">
            <v>HEB-320L</v>
          </cell>
          <cell r="M85" t="str">
            <v>UNIQUE SOLUTION</v>
          </cell>
          <cell r="N85" t="str">
            <v>EMT-2</v>
          </cell>
          <cell r="T85">
            <v>30</v>
          </cell>
          <cell r="W85">
            <v>1.4</v>
          </cell>
          <cell r="AC85" t="str">
            <v>PH-C</v>
          </cell>
          <cell r="AL85" t="str">
            <v>PR1D</v>
          </cell>
          <cell r="AM85" t="str">
            <v>RW2</v>
          </cell>
        </row>
        <row r="86">
          <cell r="G86">
            <v>36</v>
          </cell>
          <cell r="S86">
            <v>0</v>
          </cell>
        </row>
        <row r="87">
          <cell r="B87" t="str">
            <v>98-2.18</v>
          </cell>
          <cell r="C87">
            <v>98672</v>
          </cell>
          <cell r="F87">
            <v>-860</v>
          </cell>
          <cell r="L87" t="str">
            <v>HEB-320L</v>
          </cell>
          <cell r="M87" t="str">
            <v>C7R</v>
          </cell>
          <cell r="N87" t="str">
            <v>EMT-2</v>
          </cell>
          <cell r="T87">
            <v>30</v>
          </cell>
          <cell r="W87">
            <v>1.4</v>
          </cell>
          <cell r="AC87" t="str">
            <v>PH-C</v>
          </cell>
          <cell r="AL87" t="str">
            <v>PR1C</v>
          </cell>
          <cell r="AM87" t="str">
            <v>RW2</v>
          </cell>
        </row>
        <row r="88">
          <cell r="G88">
            <v>49</v>
          </cell>
          <cell r="S88">
            <v>0</v>
          </cell>
        </row>
        <row r="89">
          <cell r="B89" t="str">
            <v>98-2.19</v>
          </cell>
          <cell r="C89">
            <v>98721</v>
          </cell>
          <cell r="F89">
            <v>-860</v>
          </cell>
          <cell r="L89" t="str">
            <v>HEB-280L</v>
          </cell>
          <cell r="M89" t="str">
            <v>C5R</v>
          </cell>
          <cell r="N89" t="str">
            <v>EMT-2</v>
          </cell>
          <cell r="T89">
            <v>30</v>
          </cell>
          <cell r="W89">
            <v>1.4</v>
          </cell>
          <cell r="AC89" t="str">
            <v>PH-C</v>
          </cell>
          <cell r="AL89" t="str">
            <v>PR1B</v>
          </cell>
          <cell r="AM89" t="str">
            <v>RW2</v>
          </cell>
        </row>
        <row r="90">
          <cell r="A90" t="str">
            <v>Drainage Works</v>
          </cell>
          <cell r="G90">
            <v>49</v>
          </cell>
          <cell r="J90">
            <v>98762.5</v>
          </cell>
          <cell r="K90" t="str">
            <v>AnMC</v>
          </cell>
          <cell r="S90">
            <v>98768.83</v>
          </cell>
        </row>
        <row r="91">
          <cell r="A91" t="str">
            <v>Overcrossing</v>
          </cell>
          <cell r="B91" t="str">
            <v>98-2.20</v>
          </cell>
          <cell r="C91">
            <v>98770</v>
          </cell>
          <cell r="F91">
            <v>0</v>
          </cell>
          <cell r="H91" t="str">
            <v>A/S</v>
          </cell>
          <cell r="I91" t="str">
            <v>FP+AnMC</v>
          </cell>
          <cell r="L91" t="str">
            <v>HEB-280L</v>
          </cell>
          <cell r="M91" t="str">
            <v>C5R</v>
          </cell>
          <cell r="N91" t="str">
            <v>EMT-1</v>
          </cell>
          <cell r="Q91">
            <v>0</v>
          </cell>
          <cell r="R91" t="str">
            <v>inf</v>
          </cell>
          <cell r="T91">
            <v>-35</v>
          </cell>
          <cell r="W91">
            <v>1</v>
          </cell>
          <cell r="AC91" t="str">
            <v>PH-Q</v>
          </cell>
          <cell r="AG91">
            <v>98768.83</v>
          </cell>
          <cell r="AH91">
            <v>2627</v>
          </cell>
          <cell r="AI91">
            <v>437</v>
          </cell>
          <cell r="AL91" t="str">
            <v>PR1B</v>
          </cell>
          <cell r="AM91" t="str">
            <v>RW2</v>
          </cell>
        </row>
        <row r="92">
          <cell r="G92">
            <v>57</v>
          </cell>
          <cell r="I92">
            <v>559</v>
          </cell>
          <cell r="S92">
            <v>56.94999999999709</v>
          </cell>
        </row>
        <row r="93">
          <cell r="B93" t="str">
            <v>98-2.21</v>
          </cell>
          <cell r="C93">
            <v>98827</v>
          </cell>
          <cell r="F93">
            <v>0</v>
          </cell>
          <cell r="H93" t="str">
            <v>S/A</v>
          </cell>
          <cell r="L93" t="str">
            <v>HEB-280L</v>
          </cell>
          <cell r="M93" t="str">
            <v>C5R</v>
          </cell>
          <cell r="N93" t="str">
            <v>EMT-T</v>
          </cell>
          <cell r="O93" t="str">
            <v>EMT-2</v>
          </cell>
          <cell r="Q93">
            <v>0</v>
          </cell>
          <cell r="R93" t="str">
            <v>inf</v>
          </cell>
          <cell r="T93">
            <v>55</v>
          </cell>
          <cell r="U93">
            <v>10</v>
          </cell>
          <cell r="W93">
            <v>1.4</v>
          </cell>
          <cell r="X93">
            <v>2.2999999999999998</v>
          </cell>
          <cell r="Z93">
            <v>0.6</v>
          </cell>
          <cell r="AG93">
            <v>98825.78</v>
          </cell>
          <cell r="AH93">
            <v>2598</v>
          </cell>
          <cell r="AI93">
            <v>438</v>
          </cell>
          <cell r="AL93" t="str">
            <v>PR1B</v>
          </cell>
          <cell r="AM93" t="str">
            <v>RW2</v>
          </cell>
        </row>
        <row r="94">
          <cell r="G94">
            <v>55</v>
          </cell>
          <cell r="S94">
            <v>54.720000000001164</v>
          </cell>
        </row>
        <row r="95">
          <cell r="A95" t="str">
            <v>TSO-14</v>
          </cell>
          <cell r="B95" t="str">
            <v>98-2.22</v>
          </cell>
          <cell r="C95">
            <v>98882</v>
          </cell>
          <cell r="F95">
            <v>0</v>
          </cell>
          <cell r="H95" t="str">
            <v>S/A</v>
          </cell>
          <cell r="I95" t="str">
            <v>IO</v>
          </cell>
          <cell r="L95" t="str">
            <v>HEB-280L</v>
          </cell>
          <cell r="M95" t="str">
            <v>C5R</v>
          </cell>
          <cell r="N95" t="str">
            <v>EMT-1</v>
          </cell>
          <cell r="O95" t="str">
            <v>EMT-T</v>
          </cell>
          <cell r="Q95">
            <v>0</v>
          </cell>
          <cell r="R95" t="str">
            <v>inf</v>
          </cell>
          <cell r="T95">
            <v>-10</v>
          </cell>
          <cell r="U95">
            <v>-55</v>
          </cell>
          <cell r="W95">
            <v>1.4</v>
          </cell>
          <cell r="X95">
            <v>2.2999999999999998</v>
          </cell>
          <cell r="AA95">
            <v>0.6</v>
          </cell>
          <cell r="AC95" t="str">
            <v>PH</v>
          </cell>
          <cell r="AG95">
            <v>98880.5</v>
          </cell>
          <cell r="AH95">
            <v>2541</v>
          </cell>
          <cell r="AI95">
            <v>557</v>
          </cell>
          <cell r="AJ95" t="str">
            <v>Disc/IO-pr</v>
          </cell>
          <cell r="AL95" t="str">
            <v>PR1B</v>
          </cell>
          <cell r="AM95" t="str">
            <v>RW2</v>
          </cell>
        </row>
        <row r="96">
          <cell r="A96" t="str">
            <v>Overhead Cable</v>
          </cell>
          <cell r="G96">
            <v>53</v>
          </cell>
          <cell r="I96">
            <v>607</v>
          </cell>
          <cell r="S96">
            <v>-98880.5</v>
          </cell>
        </row>
        <row r="97">
          <cell r="B97" t="str">
            <v>98-2.23</v>
          </cell>
          <cell r="C97">
            <v>98935</v>
          </cell>
          <cell r="F97">
            <v>0</v>
          </cell>
          <cell r="H97" t="str">
            <v>P50 A/S</v>
          </cell>
          <cell r="I97" t="str">
            <v>CP+AnMC</v>
          </cell>
          <cell r="L97" t="str">
            <v>HEB-280L</v>
          </cell>
          <cell r="M97" t="str">
            <v>C5R</v>
          </cell>
          <cell r="N97" t="str">
            <v>EMT-2</v>
          </cell>
          <cell r="O97" t="str">
            <v>EMT-1</v>
          </cell>
          <cell r="T97">
            <v>30</v>
          </cell>
          <cell r="U97">
            <v>15</v>
          </cell>
          <cell r="W97">
            <v>1.4</v>
          </cell>
          <cell r="X97">
            <v>2.2999999999999998</v>
          </cell>
          <cell r="AC97" t="str">
            <v>PH</v>
          </cell>
          <cell r="AL97" t="str">
            <v>PR1B</v>
          </cell>
          <cell r="AM97" t="str">
            <v>RW2</v>
          </cell>
        </row>
        <row r="98">
          <cell r="G98">
            <v>54</v>
          </cell>
          <cell r="J98">
            <v>98942.5</v>
          </cell>
          <cell r="K98" t="str">
            <v>AnMC</v>
          </cell>
          <cell r="S98">
            <v>0</v>
          </cell>
        </row>
        <row r="99">
          <cell r="B99" t="str">
            <v>98-2.24</v>
          </cell>
          <cell r="C99">
            <v>98989</v>
          </cell>
          <cell r="F99">
            <v>0</v>
          </cell>
          <cell r="H99" t="str">
            <v>S/A</v>
          </cell>
          <cell r="L99" t="str">
            <v>HEB-320L</v>
          </cell>
          <cell r="M99" t="str">
            <v>C5R</v>
          </cell>
          <cell r="N99" t="str">
            <v>EMT-2</v>
          </cell>
          <cell r="O99" t="str">
            <v>EMT-T</v>
          </cell>
          <cell r="T99">
            <v>30</v>
          </cell>
          <cell r="U99">
            <v>15</v>
          </cell>
          <cell r="W99">
            <v>1.4</v>
          </cell>
          <cell r="X99">
            <v>2.2999999999999998</v>
          </cell>
          <cell r="AA99">
            <v>0.45</v>
          </cell>
          <cell r="AC99" t="str">
            <v>PH</v>
          </cell>
          <cell r="AL99" t="str">
            <v>PR1C</v>
          </cell>
          <cell r="AM99" t="str">
            <v>RW2</v>
          </cell>
        </row>
        <row r="100">
          <cell r="G100">
            <v>50</v>
          </cell>
          <cell r="S100">
            <v>0</v>
          </cell>
        </row>
        <row r="101">
          <cell r="B101" t="str">
            <v>99-2.01</v>
          </cell>
          <cell r="C101">
            <v>99039</v>
          </cell>
          <cell r="F101">
            <v>0</v>
          </cell>
          <cell r="H101" t="str">
            <v>A/S-Diag</v>
          </cell>
          <cell r="I101" t="str">
            <v>CP+AnMC</v>
          </cell>
          <cell r="L101" t="str">
            <v>HEB-280L</v>
          </cell>
          <cell r="M101" t="str">
            <v>C5R</v>
          </cell>
          <cell r="N101" t="str">
            <v>EMT-1</v>
          </cell>
          <cell r="T101">
            <v>-25</v>
          </cell>
          <cell r="W101">
            <v>1.4</v>
          </cell>
          <cell r="AC101" t="str">
            <v>PH</v>
          </cell>
          <cell r="AL101" t="str">
            <v>PR1B</v>
          </cell>
          <cell r="AM101" t="str">
            <v>RW2</v>
          </cell>
        </row>
        <row r="102">
          <cell r="A102" t="str">
            <v>Drainage Works</v>
          </cell>
          <cell r="G102">
            <v>58</v>
          </cell>
          <cell r="J102">
            <v>99046.5</v>
          </cell>
          <cell r="K102" t="str">
            <v>AnMC</v>
          </cell>
          <cell r="S102">
            <v>0</v>
          </cell>
        </row>
        <row r="103">
          <cell r="B103" t="str">
            <v>99-2.02</v>
          </cell>
          <cell r="C103">
            <v>99097</v>
          </cell>
          <cell r="F103">
            <v>0</v>
          </cell>
          <cell r="L103" t="str">
            <v>HEB-240</v>
          </cell>
          <cell r="M103" t="str">
            <v>C3R</v>
          </cell>
          <cell r="N103" t="str">
            <v>EMT-2</v>
          </cell>
          <cell r="T103">
            <v>30</v>
          </cell>
          <cell r="W103">
            <v>1.4</v>
          </cell>
          <cell r="AC103" t="str">
            <v>PH</v>
          </cell>
          <cell r="AM103" t="str">
            <v>RW2</v>
          </cell>
        </row>
        <row r="104">
          <cell r="G104">
            <v>55.5</v>
          </cell>
          <cell r="J104">
            <v>5413.5</v>
          </cell>
          <cell r="K104" t="str">
            <v>AnMC</v>
          </cell>
          <cell r="S104">
            <v>0</v>
          </cell>
        </row>
        <row r="105">
          <cell r="B105" t="str">
            <v>5-1.01</v>
          </cell>
          <cell r="C105">
            <v>5421</v>
          </cell>
          <cell r="F105">
            <v>0</v>
          </cell>
          <cell r="H105" t="str">
            <v>A/S</v>
          </cell>
          <cell r="I105" t="str">
            <v>CP+AnMC</v>
          </cell>
          <cell r="L105" t="str">
            <v>HEB-260 (CP)</v>
          </cell>
          <cell r="M105" t="str">
            <v>C4R</v>
          </cell>
          <cell r="N105" t="str">
            <v>EMT-1</v>
          </cell>
          <cell r="T105">
            <v>-35</v>
          </cell>
          <cell r="W105">
            <v>1.4</v>
          </cell>
          <cell r="AC105" t="str">
            <v>PH</v>
          </cell>
          <cell r="AM105" t="str">
            <v>RW2</v>
          </cell>
        </row>
        <row r="106">
          <cell r="G106">
            <v>60</v>
          </cell>
          <cell r="I106">
            <v>385.5</v>
          </cell>
          <cell r="S106">
            <v>0</v>
          </cell>
        </row>
        <row r="107">
          <cell r="B107" t="str">
            <v>5-1.02</v>
          </cell>
          <cell r="C107">
            <v>5481</v>
          </cell>
          <cell r="F107">
            <v>0</v>
          </cell>
          <cell r="H107" t="str">
            <v>S/A</v>
          </cell>
          <cell r="L107" t="str">
            <v>HEB-260</v>
          </cell>
          <cell r="M107" t="str">
            <v>C4R</v>
          </cell>
          <cell r="N107" t="str">
            <v>EMT-T</v>
          </cell>
          <cell r="O107" t="str">
            <v>EMT-2</v>
          </cell>
          <cell r="W107">
            <v>1.4</v>
          </cell>
          <cell r="X107">
            <v>2.2999999999999998</v>
          </cell>
          <cell r="Z107">
            <v>0.6</v>
          </cell>
          <cell r="AC107" t="e">
            <v>#VALUE!</v>
          </cell>
          <cell r="AM107" t="str">
            <v>RW2</v>
          </cell>
        </row>
      </sheetData>
      <sheetData sheetId="3">
        <row r="2">
          <cell r="I2" t="str">
            <v>Anchorage</v>
          </cell>
        </row>
        <row r="3">
          <cell r="O3" t="str">
            <v>M2</v>
          </cell>
        </row>
        <row r="4">
          <cell r="G4">
            <v>30</v>
          </cell>
        </row>
        <row r="5">
          <cell r="A5" t="str">
            <v>Overcrossing</v>
          </cell>
          <cell r="B5" t="str">
            <v>97-3.06</v>
          </cell>
          <cell r="C5">
            <v>97208.5</v>
          </cell>
          <cell r="F5">
            <v>-520</v>
          </cell>
          <cell r="H5" t="str">
            <v>A/S</v>
          </cell>
          <cell r="I5" t="str">
            <v>CP/TX-W</v>
          </cell>
          <cell r="K5" t="str">
            <v>AnM/TX</v>
          </cell>
          <cell r="L5" t="str">
            <v>S-1T-W</v>
          </cell>
          <cell r="N5" t="str">
            <v>EMT-1T</v>
          </cell>
          <cell r="T5">
            <v>-30</v>
          </cell>
          <cell r="W5">
            <v>1</v>
          </cell>
          <cell r="AC5" t="e">
            <v>#VALUE!</v>
          </cell>
        </row>
        <row r="6">
          <cell r="G6">
            <v>33</v>
          </cell>
        </row>
        <row r="7">
          <cell r="B7" t="str">
            <v>97-3.07</v>
          </cell>
          <cell r="C7">
            <v>97241.5</v>
          </cell>
          <cell r="F7">
            <v>-520</v>
          </cell>
          <cell r="H7" t="str">
            <v>S/A</v>
          </cell>
          <cell r="L7" t="str">
            <v>2HEB-240</v>
          </cell>
          <cell r="M7" t="str">
            <v>C2H-240</v>
          </cell>
          <cell r="N7" t="str">
            <v>EMT-T</v>
          </cell>
          <cell r="O7" t="str">
            <v>EMT-2</v>
          </cell>
          <cell r="T7">
            <v>55</v>
          </cell>
          <cell r="U7">
            <v>10</v>
          </cell>
          <cell r="W7">
            <v>0.8</v>
          </cell>
          <cell r="X7">
            <v>1</v>
          </cell>
          <cell r="Z7">
            <v>0.5</v>
          </cell>
          <cell r="AM7" t="str">
            <v>RW2</v>
          </cell>
        </row>
        <row r="8">
          <cell r="G8">
            <v>33</v>
          </cell>
        </row>
        <row r="9">
          <cell r="A9" t="str">
            <v>TSO-03</v>
          </cell>
          <cell r="B9" t="str">
            <v>97-3.08</v>
          </cell>
          <cell r="C9">
            <v>97274.5</v>
          </cell>
          <cell r="F9">
            <v>-520</v>
          </cell>
          <cell r="H9" t="str">
            <v xml:space="preserve">S/A </v>
          </cell>
          <cell r="I9" t="str">
            <v>IO</v>
          </cell>
          <cell r="L9" t="str">
            <v>HEB-320L</v>
          </cell>
          <cell r="M9" t="str">
            <v>C7R</v>
          </cell>
          <cell r="N9" t="str">
            <v>EMT-2</v>
          </cell>
          <cell r="O9" t="str">
            <v>EMT-2</v>
          </cell>
          <cell r="T9">
            <v>55</v>
          </cell>
          <cell r="U9">
            <v>10</v>
          </cell>
          <cell r="W9">
            <v>1.4</v>
          </cell>
          <cell r="X9">
            <v>2.2999999999999998</v>
          </cell>
          <cell r="Z9">
            <v>0.1</v>
          </cell>
          <cell r="AJ9" t="str">
            <v>Disc/IO-pr</v>
          </cell>
          <cell r="AL9" t="str">
            <v>PR1C</v>
          </cell>
          <cell r="AM9" t="str">
            <v>RW2</v>
          </cell>
        </row>
        <row r="10">
          <cell r="G10">
            <v>30</v>
          </cell>
          <cell r="J10">
            <v>97297</v>
          </cell>
          <cell r="K10" t="str">
            <v>AnMC</v>
          </cell>
        </row>
        <row r="11">
          <cell r="B11" t="str">
            <v>97-3.09</v>
          </cell>
          <cell r="C11">
            <v>97304.5</v>
          </cell>
          <cell r="F11">
            <v>-520</v>
          </cell>
          <cell r="H11" t="str">
            <v>S/A A/S-Diag</v>
          </cell>
          <cell r="I11" t="str">
            <v>FP+AnMC</v>
          </cell>
          <cell r="L11" t="str">
            <v>HEB-320L</v>
          </cell>
          <cell r="M11" t="str">
            <v>C7R</v>
          </cell>
          <cell r="N11" t="str">
            <v>EMT-1</v>
          </cell>
          <cell r="O11" t="str">
            <v>EMT-1</v>
          </cell>
          <cell r="T11">
            <v>30</v>
          </cell>
          <cell r="U11">
            <v>-15</v>
          </cell>
          <cell r="W11">
            <v>1.4</v>
          </cell>
          <cell r="X11">
            <v>2.2999999999999998</v>
          </cell>
          <cell r="AA11">
            <v>0.1</v>
          </cell>
          <cell r="AC11" t="str">
            <v>PH-C</v>
          </cell>
          <cell r="AL11" t="str">
            <v>PR1C</v>
          </cell>
          <cell r="AM11" t="str">
            <v>RW2</v>
          </cell>
        </row>
        <row r="12">
          <cell r="G12">
            <v>30</v>
          </cell>
          <cell r="I12">
            <v>208</v>
          </cell>
        </row>
        <row r="13">
          <cell r="B13" t="str">
            <v>97-3.10</v>
          </cell>
          <cell r="C13">
            <v>97334.5</v>
          </cell>
          <cell r="F13">
            <v>-520</v>
          </cell>
          <cell r="H13" t="str">
            <v xml:space="preserve">S/A S/A </v>
          </cell>
          <cell r="L13" t="str">
            <v>HEB-320L_s</v>
          </cell>
          <cell r="M13" t="str">
            <v>UNIQUE S. W7</v>
          </cell>
          <cell r="N13" t="str">
            <v>EMT-T</v>
          </cell>
          <cell r="O13" t="str">
            <v>EMT-2</v>
          </cell>
          <cell r="P13" t="str">
            <v>EMT-T</v>
          </cell>
          <cell r="T13">
            <v>55</v>
          </cell>
          <cell r="U13">
            <v>30</v>
          </cell>
          <cell r="V13">
            <v>-15</v>
          </cell>
          <cell r="W13">
            <v>1.4</v>
          </cell>
          <cell r="X13">
            <v>1.8</v>
          </cell>
          <cell r="Y13">
            <v>2.2999999999999998</v>
          </cell>
          <cell r="Z13">
            <v>0.6</v>
          </cell>
          <cell r="AB13">
            <v>0.6</v>
          </cell>
          <cell r="AL13" t="str">
            <v>PR1C</v>
          </cell>
          <cell r="AM13" t="str">
            <v>RW2</v>
          </cell>
        </row>
        <row r="14">
          <cell r="G14">
            <v>30</v>
          </cell>
        </row>
        <row r="15">
          <cell r="B15" t="str">
            <v>97-3.11</v>
          </cell>
          <cell r="C15">
            <v>97392</v>
          </cell>
          <cell r="F15">
            <v>0</v>
          </cell>
          <cell r="H15" t="str">
            <v>A/S</v>
          </cell>
          <cell r="L15" t="str">
            <v>HEB-280L_s</v>
          </cell>
          <cell r="M15" t="str">
            <v>UNIQUE S. WT5</v>
          </cell>
          <cell r="N15" t="str">
            <v>EMT-2</v>
          </cell>
          <cell r="T15">
            <v>35</v>
          </cell>
          <cell r="W15">
            <v>1.4</v>
          </cell>
          <cell r="AC15" t="str">
            <v>PH-Q</v>
          </cell>
          <cell r="AL15" t="str">
            <v>PR1B</v>
          </cell>
          <cell r="AM15" t="str">
            <v>RW2</v>
          </cell>
        </row>
        <row r="16">
          <cell r="G16">
            <v>30</v>
          </cell>
          <cell r="I16" t="str">
            <v>CP+AnMC</v>
          </cell>
          <cell r="J16">
            <v>97399.5</v>
          </cell>
          <cell r="K16" t="str">
            <v>AnMC/W</v>
          </cell>
        </row>
        <row r="17">
          <cell r="B17" t="str">
            <v>97-3.12</v>
          </cell>
          <cell r="C17">
            <v>97422</v>
          </cell>
          <cell r="F17">
            <v>0</v>
          </cell>
          <cell r="H17" t="str">
            <v xml:space="preserve"> A/S-Diag</v>
          </cell>
          <cell r="I17" t="str">
            <v>FP+AnMC</v>
          </cell>
          <cell r="J17">
            <v>97414.5</v>
          </cell>
          <cell r="K17" t="str">
            <v>AnMC/W</v>
          </cell>
          <cell r="L17" t="str">
            <v>HEB-280L_s</v>
          </cell>
          <cell r="M17" t="str">
            <v>UNIQUE S. WT5</v>
          </cell>
          <cell r="N17" t="str">
            <v>EMT-1</v>
          </cell>
          <cell r="T17">
            <v>-35</v>
          </cell>
          <cell r="W17">
            <v>1.4</v>
          </cell>
          <cell r="AC17" t="str">
            <v>PH-Q</v>
          </cell>
          <cell r="AL17" t="str">
            <v>PR1B</v>
          </cell>
          <cell r="AM17" t="str">
            <v>RW2</v>
          </cell>
        </row>
        <row r="18">
          <cell r="G18">
            <v>44</v>
          </cell>
          <cell r="I18">
            <v>230</v>
          </cell>
          <cell r="J18">
            <v>97458.5</v>
          </cell>
          <cell r="K18" t="str">
            <v>AnMC</v>
          </cell>
          <cell r="S18">
            <v>97464.9</v>
          </cell>
        </row>
        <row r="19">
          <cell r="B19" t="str">
            <v>97-3.13</v>
          </cell>
          <cell r="C19">
            <v>97466</v>
          </cell>
          <cell r="F19">
            <v>0</v>
          </cell>
          <cell r="H19" t="str">
            <v>S/A A/S-Diag</v>
          </cell>
          <cell r="I19" t="str">
            <v>CP+AnMC</v>
          </cell>
          <cell r="L19" t="str">
            <v>HEB-280L</v>
          </cell>
          <cell r="M19" t="str">
            <v>C5R</v>
          </cell>
          <cell r="N19" t="str">
            <v>EMT-T</v>
          </cell>
          <cell r="O19" t="str">
            <v>EMT-2</v>
          </cell>
          <cell r="Q19">
            <v>0</v>
          </cell>
          <cell r="R19" t="str">
            <v>inf</v>
          </cell>
          <cell r="T19">
            <v>15</v>
          </cell>
          <cell r="U19">
            <v>30</v>
          </cell>
          <cell r="W19">
            <v>2.2999999999999998</v>
          </cell>
          <cell r="X19">
            <v>1.4</v>
          </cell>
          <cell r="AG19">
            <v>97464.9</v>
          </cell>
          <cell r="AH19">
            <v>2431</v>
          </cell>
          <cell r="AI19">
            <v>199</v>
          </cell>
          <cell r="AL19" t="str">
            <v>PR1B</v>
          </cell>
          <cell r="AM19" t="str">
            <v>RW2</v>
          </cell>
        </row>
        <row r="20">
          <cell r="G20">
            <v>34</v>
          </cell>
          <cell r="I20">
            <v>253</v>
          </cell>
          <cell r="J20">
            <v>97492.5</v>
          </cell>
          <cell r="K20" t="str">
            <v>AnMC</v>
          </cell>
          <cell r="S20">
            <v>33.960000000006403</v>
          </cell>
        </row>
        <row r="21">
          <cell r="B21" t="str">
            <v>97-3.14</v>
          </cell>
          <cell r="C21">
            <v>97500</v>
          </cell>
          <cell r="F21">
            <v>0</v>
          </cell>
          <cell r="H21" t="str">
            <v>P50 S/A A/S</v>
          </cell>
          <cell r="I21" t="str">
            <v>CP+AnMC</v>
          </cell>
          <cell r="L21" t="str">
            <v>HEB-280L</v>
          </cell>
          <cell r="M21" t="str">
            <v>C5R</v>
          </cell>
          <cell r="N21" t="str">
            <v>EMT-T</v>
          </cell>
          <cell r="O21" t="str">
            <v>EMT-1</v>
          </cell>
          <cell r="P21" t="str">
            <v>EMT-2</v>
          </cell>
          <cell r="Q21">
            <v>0</v>
          </cell>
          <cell r="R21" t="str">
            <v>inf</v>
          </cell>
          <cell r="T21">
            <v>55</v>
          </cell>
          <cell r="U21">
            <v>15</v>
          </cell>
          <cell r="V21">
            <v>30</v>
          </cell>
          <cell r="W21">
            <v>1.4</v>
          </cell>
          <cell r="X21">
            <v>2.2999999999999998</v>
          </cell>
          <cell r="Y21">
            <v>1.8</v>
          </cell>
          <cell r="Z21">
            <v>0.45</v>
          </cell>
          <cell r="AC21" t="str">
            <v>PH</v>
          </cell>
          <cell r="AG21">
            <v>97498.86</v>
          </cell>
          <cell r="AH21">
            <v>3025</v>
          </cell>
          <cell r="AI21">
            <v>184</v>
          </cell>
          <cell r="AL21" t="str">
            <v>PR1B</v>
          </cell>
          <cell r="AM21" t="str">
            <v>RW2</v>
          </cell>
        </row>
        <row r="22">
          <cell r="G22">
            <v>40</v>
          </cell>
          <cell r="S22">
            <v>-97498.86</v>
          </cell>
        </row>
        <row r="23">
          <cell r="B23" t="str">
            <v>97-3.15</v>
          </cell>
          <cell r="C23">
            <v>97540</v>
          </cell>
          <cell r="F23">
            <v>0</v>
          </cell>
          <cell r="H23" t="str">
            <v xml:space="preserve">P50 S/A </v>
          </cell>
          <cell r="N23" t="str">
            <v>EMT-TP</v>
          </cell>
          <cell r="O23" t="str">
            <v>EMT-2P</v>
          </cell>
          <cell r="P23" t="str">
            <v>EMT-1P</v>
          </cell>
          <cell r="T23">
            <v>55</v>
          </cell>
          <cell r="U23">
            <v>30</v>
          </cell>
          <cell r="V23">
            <v>15</v>
          </cell>
          <cell r="W23">
            <v>1.4</v>
          </cell>
          <cell r="X23">
            <v>1.8</v>
          </cell>
          <cell r="Y23">
            <v>2.2999999999999998</v>
          </cell>
          <cell r="Z23">
            <v>0.45</v>
          </cell>
          <cell r="AC23" t="str">
            <v>PH</v>
          </cell>
          <cell r="AK23" t="str">
            <v>S3</v>
          </cell>
        </row>
        <row r="24">
          <cell r="G24">
            <v>36.5</v>
          </cell>
          <cell r="S24">
            <v>0</v>
          </cell>
        </row>
        <row r="25">
          <cell r="B25" t="str">
            <v>97-3.16</v>
          </cell>
          <cell r="C25">
            <v>97576.5</v>
          </cell>
          <cell r="F25">
            <v>0</v>
          </cell>
          <cell r="H25" t="str">
            <v>P50 S/A</v>
          </cell>
          <cell r="N25" t="str">
            <v>EMT-1P</v>
          </cell>
          <cell r="O25" t="str">
            <v>EMT-2P</v>
          </cell>
          <cell r="P25" t="str">
            <v>EMT-TP</v>
          </cell>
          <cell r="T25">
            <v>15</v>
          </cell>
          <cell r="U25">
            <v>30</v>
          </cell>
          <cell r="V25">
            <v>55</v>
          </cell>
          <cell r="W25">
            <v>2.2999999999999998</v>
          </cell>
          <cell r="X25">
            <v>1.8</v>
          </cell>
          <cell r="Y25">
            <v>1.4</v>
          </cell>
          <cell r="AB25">
            <v>0.45</v>
          </cell>
          <cell r="AC25" t="str">
            <v>PH</v>
          </cell>
          <cell r="AK25" t="str">
            <v>S2</v>
          </cell>
        </row>
        <row r="26">
          <cell r="G26">
            <v>37.5</v>
          </cell>
          <cell r="S26">
            <v>0</v>
          </cell>
        </row>
        <row r="27">
          <cell r="B27" t="str">
            <v>97-3.17</v>
          </cell>
          <cell r="C27">
            <v>97614</v>
          </cell>
          <cell r="F27">
            <v>0</v>
          </cell>
          <cell r="H27" t="str">
            <v>S/A</v>
          </cell>
          <cell r="N27" t="str">
            <v>EMT-2P</v>
          </cell>
          <cell r="O27" t="str">
            <v>EMT-TP</v>
          </cell>
          <cell r="T27">
            <v>25</v>
          </cell>
          <cell r="U27">
            <v>-35</v>
          </cell>
          <cell r="W27">
            <v>1</v>
          </cell>
          <cell r="X27">
            <v>1.2</v>
          </cell>
          <cell r="AA27">
            <v>0.45</v>
          </cell>
          <cell r="AC27" t="str">
            <v>PH</v>
          </cell>
          <cell r="AK27" t="str">
            <v>S2</v>
          </cell>
        </row>
        <row r="28">
          <cell r="A28" t="str">
            <v>Overhead Cable</v>
          </cell>
          <cell r="G28">
            <v>39</v>
          </cell>
          <cell r="I28">
            <v>290</v>
          </cell>
          <cell r="J28">
            <v>97660.5</v>
          </cell>
          <cell r="K28" t="str">
            <v>AnMC</v>
          </cell>
          <cell r="S28">
            <v>97651.24</v>
          </cell>
        </row>
        <row r="29">
          <cell r="B29" t="str">
            <v>97-3.18</v>
          </cell>
          <cell r="C29">
            <v>97653</v>
          </cell>
          <cell r="F29">
            <v>1000</v>
          </cell>
          <cell r="H29" t="str">
            <v>A/S-Diag</v>
          </cell>
          <cell r="I29" t="str">
            <v>FP+AnMC</v>
          </cell>
          <cell r="J29">
            <v>97692.5</v>
          </cell>
          <cell r="K29" t="str">
            <v>AnM</v>
          </cell>
          <cell r="L29" t="str">
            <v>HEB-260</v>
          </cell>
          <cell r="M29" t="str">
            <v>C4R</v>
          </cell>
          <cell r="N29" t="str">
            <v>EMT-1</v>
          </cell>
          <cell r="Q29">
            <v>20</v>
          </cell>
          <cell r="R29">
            <v>1300</v>
          </cell>
          <cell r="T29">
            <v>-35</v>
          </cell>
          <cell r="W29">
            <v>0.6</v>
          </cell>
          <cell r="AC29" t="str">
            <v>PH</v>
          </cell>
          <cell r="AG29">
            <v>97651.24</v>
          </cell>
          <cell r="AH29">
            <v>2263</v>
          </cell>
          <cell r="AI29">
            <v>635</v>
          </cell>
        </row>
        <row r="30">
          <cell r="A30" t="str">
            <v>Overcrossing</v>
          </cell>
          <cell r="G30">
            <v>50</v>
          </cell>
          <cell r="H30" t="str">
            <v>AnMP</v>
          </cell>
          <cell r="J30">
            <v>97694.5</v>
          </cell>
          <cell r="K30" t="str">
            <v>AnM</v>
          </cell>
          <cell r="S30">
            <v>49.989999999990687</v>
          </cell>
        </row>
        <row r="31">
          <cell r="B31" t="str">
            <v>97-3.20</v>
          </cell>
          <cell r="C31">
            <v>97702</v>
          </cell>
          <cell r="F31">
            <v>1000</v>
          </cell>
          <cell r="H31" t="str">
            <v>AnMP</v>
          </cell>
          <cell r="L31" t="str">
            <v>HEB-280L</v>
          </cell>
          <cell r="M31" t="str">
            <v>C5R</v>
          </cell>
          <cell r="N31" t="str">
            <v>EMT-2</v>
          </cell>
          <cell r="Q31">
            <v>20</v>
          </cell>
          <cell r="R31">
            <v>1300</v>
          </cell>
          <cell r="T31">
            <v>35</v>
          </cell>
          <cell r="W31">
            <v>0.6</v>
          </cell>
          <cell r="AC31" t="str">
            <v>PH-C</v>
          </cell>
          <cell r="AG31">
            <v>97701.23</v>
          </cell>
          <cell r="AH31">
            <v>2493</v>
          </cell>
          <cell r="AI31">
            <v>637</v>
          </cell>
          <cell r="AL31" t="str">
            <v>PR1B</v>
          </cell>
          <cell r="AM31" t="str">
            <v>RW1</v>
          </cell>
        </row>
        <row r="32">
          <cell r="G32">
            <v>44</v>
          </cell>
          <cell r="I32">
            <v>508</v>
          </cell>
          <cell r="S32">
            <v>44.090000000011059</v>
          </cell>
        </row>
        <row r="33">
          <cell r="B33" t="str">
            <v>97-3.21</v>
          </cell>
          <cell r="C33">
            <v>97746</v>
          </cell>
          <cell r="F33">
            <v>0</v>
          </cell>
          <cell r="H33" t="str">
            <v>MP</v>
          </cell>
          <cell r="L33" t="str">
            <v>HEB-260</v>
          </cell>
          <cell r="M33" t="str">
            <v>C4R</v>
          </cell>
          <cell r="N33" t="str">
            <v>EMT-1</v>
          </cell>
          <cell r="Q33">
            <v>0</v>
          </cell>
          <cell r="R33" t="str">
            <v>inf</v>
          </cell>
          <cell r="T33">
            <v>-35</v>
          </cell>
          <cell r="W33">
            <v>1.2</v>
          </cell>
          <cell r="AC33" t="str">
            <v>PH-Q</v>
          </cell>
          <cell r="AG33">
            <v>97745.32</v>
          </cell>
          <cell r="AH33">
            <v>2613</v>
          </cell>
          <cell r="AI33">
            <v>281</v>
          </cell>
          <cell r="AM33" t="str">
            <v>RW1</v>
          </cell>
        </row>
        <row r="34">
          <cell r="G34">
            <v>56</v>
          </cell>
          <cell r="I34">
            <v>409.5</v>
          </cell>
          <cell r="S34">
            <v>55.969999999986612</v>
          </cell>
        </row>
        <row r="35">
          <cell r="B35" t="str">
            <v>97-3.22</v>
          </cell>
          <cell r="C35">
            <v>97801</v>
          </cell>
          <cell r="F35">
            <v>0</v>
          </cell>
          <cell r="H35" t="str">
            <v>AnMP</v>
          </cell>
          <cell r="L35" t="str">
            <v>HEB-260</v>
          </cell>
          <cell r="M35" t="str">
            <v>C4R</v>
          </cell>
          <cell r="N35" t="str">
            <v>EMT-2</v>
          </cell>
          <cell r="Q35">
            <v>0</v>
          </cell>
          <cell r="R35" t="str">
            <v>inf</v>
          </cell>
          <cell r="T35">
            <v>35</v>
          </cell>
          <cell r="W35">
            <v>1.4</v>
          </cell>
          <cell r="AC35" t="str">
            <v>PH-Q</v>
          </cell>
          <cell r="AG35">
            <v>97801.29</v>
          </cell>
          <cell r="AH35">
            <v>2073</v>
          </cell>
          <cell r="AI35">
            <v>290</v>
          </cell>
          <cell r="AM35" t="str">
            <v>RW1</v>
          </cell>
        </row>
        <row r="36">
          <cell r="G36">
            <v>43</v>
          </cell>
          <cell r="J36">
            <v>97808.5</v>
          </cell>
          <cell r="K36" t="str">
            <v>AnM</v>
          </cell>
          <cell r="S36">
            <v>42.760000000009313</v>
          </cell>
        </row>
        <row r="37">
          <cell r="B37" t="str">
            <v>97-3.23</v>
          </cell>
          <cell r="C37">
            <v>97844</v>
          </cell>
          <cell r="F37">
            <v>0</v>
          </cell>
          <cell r="L37" t="str">
            <v>HEB-240</v>
          </cell>
          <cell r="M37" t="str">
            <v>C3R</v>
          </cell>
          <cell r="N37" t="str">
            <v>EMT-1</v>
          </cell>
          <cell r="Q37">
            <v>0</v>
          </cell>
          <cell r="R37" t="str">
            <v>inf</v>
          </cell>
          <cell r="T37">
            <v>-35</v>
          </cell>
          <cell r="W37">
            <v>1.4</v>
          </cell>
          <cell r="AC37" t="str">
            <v>PH-Q</v>
          </cell>
          <cell r="AG37">
            <v>97844.05</v>
          </cell>
          <cell r="AH37">
            <v>2543</v>
          </cell>
          <cell r="AI37">
            <v>146</v>
          </cell>
          <cell r="AM37" t="str">
            <v>RW1</v>
          </cell>
        </row>
        <row r="38">
          <cell r="G38">
            <v>33</v>
          </cell>
          <cell r="S38">
            <v>32.919999999998254</v>
          </cell>
        </row>
        <row r="39">
          <cell r="B39" t="str">
            <v>97-3.24</v>
          </cell>
          <cell r="C39">
            <v>97877</v>
          </cell>
          <cell r="F39">
            <v>0</v>
          </cell>
          <cell r="L39" t="str">
            <v>HEB-240</v>
          </cell>
          <cell r="M39" t="str">
            <v>C3R</v>
          </cell>
          <cell r="N39" t="str">
            <v>EMT-2</v>
          </cell>
          <cell r="Q39">
            <v>0</v>
          </cell>
          <cell r="R39" t="str">
            <v>inf</v>
          </cell>
          <cell r="T39">
            <v>35</v>
          </cell>
          <cell r="W39">
            <v>1.4</v>
          </cell>
          <cell r="AC39" t="str">
            <v>PH</v>
          </cell>
          <cell r="AG39">
            <v>97876.97</v>
          </cell>
          <cell r="AH39">
            <v>2473</v>
          </cell>
          <cell r="AI39">
            <v>226</v>
          </cell>
          <cell r="AM39" t="str">
            <v>RW1</v>
          </cell>
        </row>
        <row r="40">
          <cell r="G40">
            <v>33</v>
          </cell>
          <cell r="S40">
            <v>32.830000000001746</v>
          </cell>
        </row>
        <row r="41">
          <cell r="B41" t="str">
            <v>97-3.25</v>
          </cell>
          <cell r="C41">
            <v>97910</v>
          </cell>
          <cell r="F41">
            <v>600</v>
          </cell>
          <cell r="I41" t="str">
            <v>AnRW</v>
          </cell>
          <cell r="L41" t="str">
            <v>HEB-260</v>
          </cell>
          <cell r="M41" t="str">
            <v>C4R</v>
          </cell>
          <cell r="N41" t="str">
            <v>EMT-2</v>
          </cell>
          <cell r="Q41">
            <v>10</v>
          </cell>
          <cell r="R41">
            <v>600</v>
          </cell>
          <cell r="T41">
            <v>30</v>
          </cell>
          <cell r="W41">
            <v>1.4</v>
          </cell>
          <cell r="AC41" t="str">
            <v>PH-C</v>
          </cell>
          <cell r="AG41">
            <v>97909.8</v>
          </cell>
          <cell r="AH41">
            <v>2473</v>
          </cell>
          <cell r="AI41">
            <v>239</v>
          </cell>
          <cell r="AM41" t="str">
            <v>RW1</v>
          </cell>
        </row>
        <row r="42">
          <cell r="G42">
            <v>28</v>
          </cell>
          <cell r="J42">
            <v>97917.5</v>
          </cell>
          <cell r="K42" t="str">
            <v>AnM</v>
          </cell>
          <cell r="S42">
            <v>28.349999999991269</v>
          </cell>
        </row>
        <row r="43">
          <cell r="B43" t="str">
            <v>97-3.26</v>
          </cell>
          <cell r="C43">
            <v>97938</v>
          </cell>
          <cell r="F43">
            <v>600</v>
          </cell>
          <cell r="H43" t="str">
            <v>A/S</v>
          </cell>
          <cell r="I43" t="str">
            <v>CP+AnMC</v>
          </cell>
          <cell r="J43">
            <v>97930.5</v>
          </cell>
          <cell r="K43" t="str">
            <v>AnMC</v>
          </cell>
          <cell r="L43" t="str">
            <v>HEB-320L</v>
          </cell>
          <cell r="M43" t="str">
            <v>C7R</v>
          </cell>
          <cell r="N43" t="str">
            <v>EMT-2</v>
          </cell>
          <cell r="Q43">
            <v>10</v>
          </cell>
          <cell r="R43">
            <v>600</v>
          </cell>
          <cell r="T43">
            <v>35</v>
          </cell>
          <cell r="W43">
            <v>1.4</v>
          </cell>
          <cell r="AC43" t="str">
            <v>PH-C</v>
          </cell>
          <cell r="AG43">
            <v>97938.15</v>
          </cell>
          <cell r="AH43">
            <v>2513</v>
          </cell>
          <cell r="AI43">
            <v>36</v>
          </cell>
          <cell r="AJ43" t="str">
            <v>FW+25</v>
          </cell>
          <cell r="AL43" t="str">
            <v>PR1C</v>
          </cell>
          <cell r="AM43" t="str">
            <v>RW1</v>
          </cell>
        </row>
        <row r="44">
          <cell r="G44">
            <v>30</v>
          </cell>
          <cell r="I44">
            <v>397</v>
          </cell>
          <cell r="S44">
            <v>30.150000000008731</v>
          </cell>
          <cell r="AJ44" t="str">
            <v>VoltageD</v>
          </cell>
        </row>
        <row r="45">
          <cell r="A45" t="str">
            <v>TSO-06</v>
          </cell>
          <cell r="B45" t="str">
            <v>97-3.27</v>
          </cell>
          <cell r="C45">
            <v>97968</v>
          </cell>
          <cell r="F45">
            <v>0</v>
          </cell>
          <cell r="I45" t="str">
            <v>AnRW</v>
          </cell>
          <cell r="L45" t="str">
            <v>HEB-280L</v>
          </cell>
          <cell r="M45" t="str">
            <v>C5R</v>
          </cell>
          <cell r="N45" t="str">
            <v>EMT-1</v>
          </cell>
          <cell r="Q45">
            <v>0</v>
          </cell>
          <cell r="R45" t="str">
            <v>inf</v>
          </cell>
          <cell r="T45">
            <v>-10</v>
          </cell>
          <cell r="W45">
            <v>1.4</v>
          </cell>
          <cell r="AC45" t="str">
            <v>PH</v>
          </cell>
          <cell r="AG45">
            <v>97968.3</v>
          </cell>
          <cell r="AH45">
            <v>2608</v>
          </cell>
          <cell r="AI45">
            <v>46</v>
          </cell>
          <cell r="AJ45" t="str">
            <v>Disc-pp</v>
          </cell>
          <cell r="AL45" t="str">
            <v>PR1B</v>
          </cell>
          <cell r="AM45" t="str">
            <v>RW1</v>
          </cell>
        </row>
        <row r="46">
          <cell r="G46">
            <v>43</v>
          </cell>
          <cell r="I46" t="str">
            <v>AnFW</v>
          </cell>
          <cell r="J46">
            <v>97975.5</v>
          </cell>
          <cell r="K46" t="str">
            <v>AnM</v>
          </cell>
          <cell r="S46">
            <v>-97968.3</v>
          </cell>
        </row>
        <row r="47">
          <cell r="B47" t="str">
            <v>98-3.01</v>
          </cell>
          <cell r="C47">
            <v>98011</v>
          </cell>
          <cell r="F47">
            <v>0</v>
          </cell>
          <cell r="J47">
            <v>97977.5</v>
          </cell>
          <cell r="K47" t="str">
            <v>AnM</v>
          </cell>
          <cell r="L47" t="str">
            <v>2HEB-320L</v>
          </cell>
          <cell r="M47" t="str">
            <v>C2H-320R</v>
          </cell>
          <cell r="N47" t="str">
            <v>EMT-2</v>
          </cell>
          <cell r="T47">
            <v>25</v>
          </cell>
          <cell r="W47">
            <v>1.4</v>
          </cell>
          <cell r="AC47" t="str">
            <v>PH</v>
          </cell>
          <cell r="AJ47" t="str">
            <v>SECT-I</v>
          </cell>
          <cell r="AL47" t="str">
            <v>PR1E</v>
          </cell>
          <cell r="AM47" t="str">
            <v>RW2</v>
          </cell>
        </row>
        <row r="48">
          <cell r="G48">
            <v>38</v>
          </cell>
          <cell r="J48">
            <v>98041.5</v>
          </cell>
          <cell r="K48" t="str">
            <v>AnMC</v>
          </cell>
          <cell r="S48">
            <v>98048.19</v>
          </cell>
        </row>
        <row r="49">
          <cell r="B49" t="str">
            <v>98-3.02</v>
          </cell>
          <cell r="C49">
            <v>98049</v>
          </cell>
          <cell r="F49">
            <v>-600</v>
          </cell>
          <cell r="H49" t="str">
            <v>S/A A/S</v>
          </cell>
          <cell r="I49" t="str">
            <v>CP+AnMC</v>
          </cell>
          <cell r="L49" t="str">
            <v>HEB-320L</v>
          </cell>
          <cell r="M49" t="str">
            <v>C7R</v>
          </cell>
          <cell r="N49" t="str">
            <v>EMT-2</v>
          </cell>
          <cell r="O49" t="str">
            <v>EMT-T</v>
          </cell>
          <cell r="Q49">
            <v>10</v>
          </cell>
          <cell r="R49">
            <v>-600</v>
          </cell>
          <cell r="T49">
            <v>30</v>
          </cell>
          <cell r="U49">
            <v>50</v>
          </cell>
          <cell r="W49">
            <v>2.2999999999999998</v>
          </cell>
          <cell r="X49">
            <v>1.4</v>
          </cell>
          <cell r="AA49">
            <v>0.6</v>
          </cell>
          <cell r="AC49" t="str">
            <v>PH-C</v>
          </cell>
          <cell r="AG49">
            <v>98048.19</v>
          </cell>
          <cell r="AH49">
            <v>2553</v>
          </cell>
          <cell r="AI49">
            <v>437</v>
          </cell>
          <cell r="AL49" t="str">
            <v>PR1D</v>
          </cell>
          <cell r="AM49" t="str">
            <v>RW2</v>
          </cell>
        </row>
        <row r="50">
          <cell r="G50">
            <v>49</v>
          </cell>
          <cell r="S50">
            <v>49.169999999998254</v>
          </cell>
        </row>
        <row r="51">
          <cell r="B51" t="str">
            <v>98-3.03</v>
          </cell>
          <cell r="C51">
            <v>98098</v>
          </cell>
          <cell r="F51">
            <v>0</v>
          </cell>
          <cell r="H51" t="str">
            <v>S/A S/A A/S</v>
          </cell>
          <cell r="I51" t="str">
            <v>CP/TX-P</v>
          </cell>
          <cell r="L51" t="str">
            <v>HEB-320L</v>
          </cell>
          <cell r="M51" t="str">
            <v>C7R</v>
          </cell>
          <cell r="N51" t="str">
            <v>EMT-T</v>
          </cell>
          <cell r="O51" t="str">
            <v>EMT-2</v>
          </cell>
          <cell r="P51" t="str">
            <v>EMT-T</v>
          </cell>
          <cell r="Q51">
            <v>0</v>
          </cell>
          <cell r="R51" t="str">
            <v>inf</v>
          </cell>
          <cell r="T51">
            <v>75</v>
          </cell>
          <cell r="U51">
            <v>30</v>
          </cell>
          <cell r="V51">
            <v>50</v>
          </cell>
          <cell r="W51">
            <v>1.4</v>
          </cell>
          <cell r="X51">
            <v>2.2999999999999998</v>
          </cell>
          <cell r="Y51">
            <v>1.8</v>
          </cell>
          <cell r="Z51">
            <v>0.6</v>
          </cell>
          <cell r="AB51">
            <v>0.6</v>
          </cell>
          <cell r="AC51" t="str">
            <v>PH</v>
          </cell>
          <cell r="AG51">
            <v>98097.36</v>
          </cell>
          <cell r="AH51">
            <v>2483</v>
          </cell>
          <cell r="AI51">
            <v>393</v>
          </cell>
          <cell r="AL51" t="str">
            <v>PR1D</v>
          </cell>
          <cell r="AM51" t="str">
            <v>RW2</v>
          </cell>
        </row>
        <row r="52">
          <cell r="G52">
            <v>56.5</v>
          </cell>
          <cell r="J52">
            <v>98105.5</v>
          </cell>
          <cell r="K52" t="str">
            <v>AnMC</v>
          </cell>
          <cell r="S52">
            <v>56.360000000000582</v>
          </cell>
        </row>
        <row r="53">
          <cell r="A53" t="str">
            <v>TSO-B01</v>
          </cell>
          <cell r="B53" t="str">
            <v>98-3.03BIS</v>
          </cell>
          <cell r="C53">
            <v>98154.5</v>
          </cell>
          <cell r="F53">
            <v>0</v>
          </cell>
          <cell r="H53" t="str">
            <v>S/A A/S-Diag</v>
          </cell>
          <cell r="I53" t="str">
            <v>FP+AnMC</v>
          </cell>
          <cell r="L53" t="str">
            <v>HEB-280L</v>
          </cell>
          <cell r="M53" t="str">
            <v>C5R</v>
          </cell>
          <cell r="N53" t="str">
            <v>EMT-T</v>
          </cell>
          <cell r="O53" t="str">
            <v>EMT-1</v>
          </cell>
          <cell r="Q53">
            <v>0</v>
          </cell>
          <cell r="R53" t="str">
            <v>inf</v>
          </cell>
          <cell r="T53">
            <v>25</v>
          </cell>
          <cell r="U53">
            <v>-30</v>
          </cell>
          <cell r="W53">
            <v>1.8</v>
          </cell>
          <cell r="X53">
            <v>2.2999999999999998</v>
          </cell>
          <cell r="Z53">
            <v>0.6</v>
          </cell>
          <cell r="AC53" t="str">
            <v>PH</v>
          </cell>
          <cell r="AG53">
            <v>98153.72</v>
          </cell>
          <cell r="AH53">
            <v>2553</v>
          </cell>
          <cell r="AI53">
            <v>238</v>
          </cell>
          <cell r="AJ53" t="str">
            <v>LoadB/PP-pr</v>
          </cell>
          <cell r="AL53" t="str">
            <v>PR1B</v>
          </cell>
          <cell r="AM53" t="str">
            <v>RW2</v>
          </cell>
        </row>
        <row r="54">
          <cell r="G54">
            <v>55</v>
          </cell>
          <cell r="J54">
            <v>98162</v>
          </cell>
          <cell r="K54" t="str">
            <v>AnMC</v>
          </cell>
          <cell r="S54">
            <v>55.059999999997672</v>
          </cell>
        </row>
        <row r="55">
          <cell r="A55" t="str">
            <v>HLZ-F2.2-2</v>
          </cell>
          <cell r="B55" t="str">
            <v>98-3.04</v>
          </cell>
          <cell r="C55">
            <v>98209.5</v>
          </cell>
          <cell r="F55">
            <v>-600</v>
          </cell>
          <cell r="L55" t="str">
            <v>HEB-280L</v>
          </cell>
          <cell r="M55" t="str">
            <v>C5R</v>
          </cell>
          <cell r="N55" t="str">
            <v>EMT-2</v>
          </cell>
          <cell r="Q55">
            <v>10</v>
          </cell>
          <cell r="R55">
            <v>-600</v>
          </cell>
          <cell r="T55">
            <v>35</v>
          </cell>
          <cell r="W55">
            <v>1.4</v>
          </cell>
          <cell r="AC55" t="str">
            <v>PH-C</v>
          </cell>
          <cell r="AG55">
            <v>98208.78</v>
          </cell>
          <cell r="AH55">
            <v>2123</v>
          </cell>
          <cell r="AI55">
            <v>245</v>
          </cell>
          <cell r="AJ55" t="str">
            <v>Disc-pp</v>
          </cell>
          <cell r="AL55" t="str">
            <v>PR1B</v>
          </cell>
          <cell r="AM55" t="str">
            <v>RW2</v>
          </cell>
        </row>
        <row r="56">
          <cell r="G56">
            <v>41</v>
          </cell>
          <cell r="S56">
            <v>-98208.78</v>
          </cell>
        </row>
        <row r="57">
          <cell r="B57" t="str">
            <v>98-3.05</v>
          </cell>
          <cell r="C57">
            <v>98250.5</v>
          </cell>
          <cell r="F57">
            <v>-600</v>
          </cell>
          <cell r="N57" t="str">
            <v>EMT-1P</v>
          </cell>
          <cell r="T57">
            <v>-30</v>
          </cell>
          <cell r="W57">
            <v>1.4</v>
          </cell>
          <cell r="AC57" t="str">
            <v>PH-C</v>
          </cell>
          <cell r="AK57" t="str">
            <v>S1</v>
          </cell>
          <cell r="AM57" t="str">
            <v>RW2</v>
          </cell>
        </row>
        <row r="58">
          <cell r="G58">
            <v>41</v>
          </cell>
          <cell r="S58">
            <v>0</v>
          </cell>
        </row>
        <row r="59">
          <cell r="B59" t="str">
            <v>98-3.06</v>
          </cell>
          <cell r="C59">
            <v>98291.5</v>
          </cell>
          <cell r="F59">
            <v>-600</v>
          </cell>
          <cell r="N59" t="str">
            <v>EMT-1P</v>
          </cell>
          <cell r="T59">
            <v>-30</v>
          </cell>
          <cell r="W59">
            <v>1.4</v>
          </cell>
          <cell r="AC59" t="str">
            <v>PH-C</v>
          </cell>
          <cell r="AK59" t="str">
            <v>S1</v>
          </cell>
          <cell r="AM59" t="str">
            <v>RW2</v>
          </cell>
        </row>
        <row r="60">
          <cell r="G60">
            <v>41</v>
          </cell>
          <cell r="S60">
            <v>0</v>
          </cell>
        </row>
        <row r="61">
          <cell r="B61" t="str">
            <v>98-3.07</v>
          </cell>
          <cell r="C61">
            <v>98332.5</v>
          </cell>
          <cell r="F61">
            <v>-600</v>
          </cell>
          <cell r="N61" t="str">
            <v>EMT-1P</v>
          </cell>
          <cell r="T61">
            <v>-30</v>
          </cell>
          <cell r="W61">
            <v>1.4</v>
          </cell>
          <cell r="AC61" t="str">
            <v>PH-C</v>
          </cell>
          <cell r="AK61" t="str">
            <v>S1</v>
          </cell>
          <cell r="AM61" t="str">
            <v>RW2</v>
          </cell>
        </row>
        <row r="62">
          <cell r="G62">
            <v>34</v>
          </cell>
          <cell r="S62">
            <v>0</v>
          </cell>
        </row>
        <row r="63">
          <cell r="B63" t="str">
            <v>98-3.08</v>
          </cell>
          <cell r="C63">
            <v>98364.5</v>
          </cell>
          <cell r="F63">
            <v>-600</v>
          </cell>
          <cell r="N63" t="str">
            <v>EMT-1P</v>
          </cell>
          <cell r="T63">
            <v>-30</v>
          </cell>
          <cell r="W63">
            <v>1.4</v>
          </cell>
          <cell r="AC63" t="str">
            <v>PHC</v>
          </cell>
          <cell r="AK63" t="str">
            <v>S1</v>
          </cell>
          <cell r="AM63" t="str">
            <v>RW2</v>
          </cell>
        </row>
        <row r="89">
          <cell r="B89" t="str">
            <v>Possible Signalling Interface Detected</v>
          </cell>
        </row>
        <row r="90">
          <cell r="B90" t="str">
            <v>Sorted out by using "L"foundation</v>
          </cell>
        </row>
        <row r="91">
          <cell r="B91" t="str">
            <v>Sorted out by reducing gauge up to 2.90m</v>
          </cell>
        </row>
        <row r="92">
          <cell r="B92" t="str">
            <v>Special and particular solution to be applied</v>
          </cell>
        </row>
      </sheetData>
      <sheetData sheetId="4">
        <row r="2">
          <cell r="I2" t="str">
            <v>Anchorage</v>
          </cell>
        </row>
        <row r="3">
          <cell r="O3" t="str">
            <v>M2</v>
          </cell>
        </row>
        <row r="4">
          <cell r="G4">
            <v>40</v>
          </cell>
        </row>
        <row r="5">
          <cell r="B5" t="str">
            <v>97-4.15</v>
          </cell>
          <cell r="C5">
            <v>97540</v>
          </cell>
          <cell r="F5">
            <v>600</v>
          </cell>
          <cell r="L5" t="str">
            <v>HEB-320L_s</v>
          </cell>
          <cell r="M5" t="str">
            <v>W7 UNIQUE SOLUTION</v>
          </cell>
          <cell r="N5" t="str">
            <v>EMT-1</v>
          </cell>
          <cell r="T5">
            <v>-30</v>
          </cell>
          <cell r="W5">
            <v>1.4</v>
          </cell>
          <cell r="AC5" t="e">
            <v>#VALUE!</v>
          </cell>
          <cell r="AL5" t="str">
            <v>PR1D</v>
          </cell>
          <cell r="AM5" t="str">
            <v>RW2</v>
          </cell>
        </row>
        <row r="6">
          <cell r="G6">
            <v>36.5</v>
          </cell>
          <cell r="S6">
            <v>97575.33</v>
          </cell>
        </row>
        <row r="7">
          <cell r="B7" t="str">
            <v>97-4.16</v>
          </cell>
          <cell r="C7">
            <v>97576.5</v>
          </cell>
          <cell r="F7">
            <v>600</v>
          </cell>
          <cell r="L7" t="str">
            <v>HEB-320L</v>
          </cell>
          <cell r="M7" t="str">
            <v>C7R</v>
          </cell>
          <cell r="N7" t="str">
            <v>EMT-1</v>
          </cell>
          <cell r="Q7" t="str">
            <v>inf</v>
          </cell>
          <cell r="R7">
            <v>0</v>
          </cell>
          <cell r="T7">
            <v>-30</v>
          </cell>
          <cell r="W7">
            <v>1.4</v>
          </cell>
          <cell r="AC7" t="str">
            <v>PH-C</v>
          </cell>
          <cell r="AG7">
            <v>97575.33</v>
          </cell>
          <cell r="AH7">
            <v>2552</v>
          </cell>
          <cell r="AI7">
            <v>588</v>
          </cell>
          <cell r="AL7" t="str">
            <v>PR1D</v>
          </cell>
          <cell r="AM7" t="str">
            <v>RW2</v>
          </cell>
        </row>
        <row r="8">
          <cell r="G8">
            <v>37.5</v>
          </cell>
          <cell r="S8">
            <v>37.169999999998254</v>
          </cell>
        </row>
        <row r="9">
          <cell r="A9" t="str">
            <v>TSO-04</v>
          </cell>
          <cell r="B9" t="str">
            <v>97-4.17</v>
          </cell>
          <cell r="C9">
            <v>97614</v>
          </cell>
          <cell r="F9">
            <v>0</v>
          </cell>
          <cell r="H9" t="str">
            <v>P50</v>
          </cell>
          <cell r="L9" t="str">
            <v>HEB-320L</v>
          </cell>
          <cell r="M9" t="str">
            <v>C7R</v>
          </cell>
          <cell r="N9" t="str">
            <v>EMT-1</v>
          </cell>
          <cell r="O9" t="str">
            <v>EMT-2</v>
          </cell>
          <cell r="Q9" t="str">
            <v>inf</v>
          </cell>
          <cell r="R9">
            <v>0</v>
          </cell>
          <cell r="T9">
            <v>-20</v>
          </cell>
          <cell r="U9">
            <v>0</v>
          </cell>
          <cell r="W9">
            <v>2</v>
          </cell>
          <cell r="X9">
            <v>1</v>
          </cell>
          <cell r="AC9" t="str">
            <v>PH</v>
          </cell>
          <cell r="AG9">
            <v>97612.5</v>
          </cell>
          <cell r="AH9">
            <v>2793</v>
          </cell>
          <cell r="AI9">
            <v>612</v>
          </cell>
          <cell r="AJ9" t="str">
            <v>Disc/PP-pr</v>
          </cell>
          <cell r="AL9" t="str">
            <v>PR1D</v>
          </cell>
          <cell r="AM9" t="str">
            <v>RW2</v>
          </cell>
        </row>
        <row r="10">
          <cell r="G10">
            <v>35</v>
          </cell>
          <cell r="S10">
            <v>-97612.5</v>
          </cell>
        </row>
        <row r="11">
          <cell r="B11" t="str">
            <v>97-4.18</v>
          </cell>
          <cell r="C11">
            <v>97647.5</v>
          </cell>
          <cell r="F11">
            <v>400</v>
          </cell>
          <cell r="H11" t="str">
            <v>S/A</v>
          </cell>
          <cell r="L11" t="str">
            <v>HEB-280</v>
          </cell>
          <cell r="M11" t="str">
            <v>C5</v>
          </cell>
          <cell r="N11" t="str">
            <v>EMT-1</v>
          </cell>
          <cell r="O11" t="str">
            <v>EMT-T</v>
          </cell>
          <cell r="T11">
            <v>-30</v>
          </cell>
          <cell r="U11">
            <v>-55</v>
          </cell>
          <cell r="W11">
            <v>0.55000000000000004</v>
          </cell>
          <cell r="X11">
            <v>0.6</v>
          </cell>
          <cell r="AA11">
            <v>0.2</v>
          </cell>
          <cell r="AC11" t="str">
            <v>PH-C</v>
          </cell>
          <cell r="AM11" t="str">
            <v>RW2</v>
          </cell>
        </row>
        <row r="12">
          <cell r="A12" t="str">
            <v>Overhead Cable</v>
          </cell>
          <cell r="G12">
            <v>35</v>
          </cell>
          <cell r="S12">
            <v>0</v>
          </cell>
        </row>
        <row r="13">
          <cell r="A13" t="str">
            <v>Overcrossing</v>
          </cell>
          <cell r="B13" t="str">
            <v>97-4.19</v>
          </cell>
          <cell r="C13">
            <v>97682.5</v>
          </cell>
          <cell r="F13">
            <v>400</v>
          </cell>
          <cell r="H13" t="str">
            <v>S/A</v>
          </cell>
          <cell r="L13" t="str">
            <v>S1T</v>
          </cell>
          <cell r="N13" t="str">
            <v>EMT-2T</v>
          </cell>
          <cell r="O13" t="str">
            <v>ISOL.SUSP.</v>
          </cell>
          <cell r="T13">
            <v>30</v>
          </cell>
          <cell r="W13">
            <v>0.6</v>
          </cell>
          <cell r="AC13" t="str">
            <v>PH-C</v>
          </cell>
          <cell r="AM13" t="str">
            <v>RW2T-C</v>
          </cell>
        </row>
        <row r="14">
          <cell r="G14">
            <v>35</v>
          </cell>
          <cell r="S14">
            <v>0</v>
          </cell>
        </row>
        <row r="15">
          <cell r="B15" t="str">
            <v>97-4.20</v>
          </cell>
          <cell r="C15">
            <v>97717.5</v>
          </cell>
          <cell r="F15">
            <v>400</v>
          </cell>
          <cell r="H15" t="str">
            <v>A/S-Diag</v>
          </cell>
          <cell r="I15" t="str">
            <v>FP+AnMC</v>
          </cell>
          <cell r="L15" t="str">
            <v>HEB-260</v>
          </cell>
          <cell r="M15" t="str">
            <v>C4R</v>
          </cell>
          <cell r="N15" t="str">
            <v>EMT-1</v>
          </cell>
          <cell r="T15">
            <v>-35</v>
          </cell>
          <cell r="W15">
            <v>1.4</v>
          </cell>
          <cell r="AC15" t="str">
            <v>PH-C</v>
          </cell>
          <cell r="AM15" t="str">
            <v>RW2</v>
          </cell>
        </row>
        <row r="16">
          <cell r="G16">
            <v>41.5</v>
          </cell>
          <cell r="J16">
            <v>97725</v>
          </cell>
          <cell r="K16" t="str">
            <v>AnMC</v>
          </cell>
          <cell r="S16">
            <v>0</v>
          </cell>
        </row>
        <row r="17">
          <cell r="B17" t="str">
            <v>97-4.21</v>
          </cell>
          <cell r="C17">
            <v>97759</v>
          </cell>
          <cell r="F17">
            <v>0</v>
          </cell>
          <cell r="L17" t="str">
            <v>HEB-240</v>
          </cell>
          <cell r="M17" t="str">
            <v>C3R</v>
          </cell>
          <cell r="N17" t="str">
            <v>EMT-2</v>
          </cell>
          <cell r="T17">
            <v>35</v>
          </cell>
          <cell r="W17">
            <v>1.4</v>
          </cell>
          <cell r="AC17" t="str">
            <v>PH-Q</v>
          </cell>
          <cell r="AM17" t="str">
            <v>RW2</v>
          </cell>
        </row>
        <row r="18">
          <cell r="G18">
            <v>21</v>
          </cell>
          <cell r="S18">
            <v>0</v>
          </cell>
        </row>
        <row r="19">
          <cell r="A19" t="str">
            <v>FEEDER SUPPTY PORTAL</v>
          </cell>
          <cell r="B19" t="str">
            <v>97-4.21A</v>
          </cell>
          <cell r="C19">
            <v>97780</v>
          </cell>
          <cell r="L19" t="str">
            <v>HEB-320LL(P)</v>
          </cell>
          <cell r="M19" t="str">
            <v>C11LR</v>
          </cell>
          <cell r="AM19" t="str">
            <v>RW2</v>
          </cell>
        </row>
        <row r="20">
          <cell r="A20" t="str">
            <v>TS HOLTZ</v>
          </cell>
          <cell r="G20">
            <v>8</v>
          </cell>
          <cell r="S20">
            <v>0</v>
          </cell>
        </row>
        <row r="21">
          <cell r="B21" t="str">
            <v>97-4.21B</v>
          </cell>
          <cell r="C21">
            <v>97788</v>
          </cell>
          <cell r="L21" t="str">
            <v>HEB-320LL(P)</v>
          </cell>
          <cell r="M21" t="str">
            <v>C11LR</v>
          </cell>
          <cell r="AM21" t="str">
            <v>RW2</v>
          </cell>
        </row>
        <row r="22">
          <cell r="G22">
            <v>55</v>
          </cell>
          <cell r="S22">
            <v>0</v>
          </cell>
        </row>
        <row r="23">
          <cell r="B23" t="str">
            <v>97-4.22</v>
          </cell>
          <cell r="C23">
            <v>97814</v>
          </cell>
          <cell r="F23">
            <v>0</v>
          </cell>
          <cell r="L23" t="str">
            <v>HEB-240</v>
          </cell>
          <cell r="M23" t="str">
            <v>C3R</v>
          </cell>
          <cell r="N23" t="str">
            <v>EMT-1</v>
          </cell>
          <cell r="T23">
            <v>-35</v>
          </cell>
          <cell r="W23">
            <v>1.4</v>
          </cell>
          <cell r="AC23" t="str">
            <v>PH-Q</v>
          </cell>
          <cell r="AM23" t="str">
            <v>RW2</v>
          </cell>
        </row>
        <row r="24">
          <cell r="G24">
            <v>45</v>
          </cell>
          <cell r="S24">
            <v>97859.3</v>
          </cell>
        </row>
        <row r="25">
          <cell r="B25" t="str">
            <v>97-4.23</v>
          </cell>
          <cell r="C25">
            <v>97859</v>
          </cell>
          <cell r="F25">
            <v>0</v>
          </cell>
          <cell r="L25" t="str">
            <v>HEB-240</v>
          </cell>
          <cell r="M25" t="str">
            <v>C3R</v>
          </cell>
          <cell r="N25" t="str">
            <v>EMT-2</v>
          </cell>
          <cell r="Q25" t="str">
            <v>inf</v>
          </cell>
          <cell r="R25">
            <v>0</v>
          </cell>
          <cell r="T25">
            <v>35</v>
          </cell>
          <cell r="W25">
            <v>1.4</v>
          </cell>
          <cell r="AC25" t="str">
            <v>PH-Q</v>
          </cell>
          <cell r="AG25">
            <v>97859.3</v>
          </cell>
          <cell r="AH25">
            <v>2504</v>
          </cell>
          <cell r="AI25">
            <v>538</v>
          </cell>
          <cell r="AM25" t="str">
            <v>RW2</v>
          </cell>
        </row>
        <row r="26">
          <cell r="G26">
            <v>35</v>
          </cell>
          <cell r="J26">
            <v>97886.5</v>
          </cell>
          <cell r="K26" t="str">
            <v>AnM</v>
          </cell>
          <cell r="S26">
            <v>35.020000000004075</v>
          </cell>
        </row>
        <row r="27">
          <cell r="B27" t="str">
            <v>97-4.24</v>
          </cell>
          <cell r="C27">
            <v>97894</v>
          </cell>
          <cell r="F27">
            <v>0</v>
          </cell>
          <cell r="H27" t="str">
            <v>AnMP</v>
          </cell>
          <cell r="L27" t="str">
            <v>HEB-260</v>
          </cell>
          <cell r="M27" t="str">
            <v>C4R</v>
          </cell>
          <cell r="N27" t="str">
            <v>EMT-1</v>
          </cell>
          <cell r="Q27" t="str">
            <v>inf</v>
          </cell>
          <cell r="R27">
            <v>0</v>
          </cell>
          <cell r="T27">
            <v>-30</v>
          </cell>
          <cell r="W27">
            <v>1.4</v>
          </cell>
          <cell r="AC27" t="str">
            <v>PH</v>
          </cell>
          <cell r="AG27">
            <v>97894.32</v>
          </cell>
          <cell r="AH27">
            <v>2513</v>
          </cell>
          <cell r="AI27">
            <v>557</v>
          </cell>
          <cell r="AM27" t="str">
            <v>RW2</v>
          </cell>
        </row>
        <row r="28">
          <cell r="G28">
            <v>25</v>
          </cell>
          <cell r="I28">
            <v>407</v>
          </cell>
          <cell r="J28">
            <v>97911.5</v>
          </cell>
          <cell r="K28" t="str">
            <v>AnMC</v>
          </cell>
          <cell r="S28">
            <v>-97894.32</v>
          </cell>
        </row>
        <row r="29">
          <cell r="B29" t="str">
            <v>97-4.25</v>
          </cell>
          <cell r="C29">
            <v>97919</v>
          </cell>
          <cell r="F29">
            <v>250</v>
          </cell>
          <cell r="H29" t="str">
            <v>A/S-Diag MP</v>
          </cell>
          <cell r="I29" t="str">
            <v>CP+AnMC</v>
          </cell>
          <cell r="L29" t="str">
            <v>HEB-300 (CP)</v>
          </cell>
          <cell r="M29" t="str">
            <v>C6</v>
          </cell>
          <cell r="N29" t="str">
            <v>EMT-1</v>
          </cell>
          <cell r="T29">
            <v>-30</v>
          </cell>
          <cell r="W29">
            <v>1.4</v>
          </cell>
          <cell r="AC29" t="str">
            <v>PH-C</v>
          </cell>
          <cell r="AM29" t="str">
            <v>RW2</v>
          </cell>
        </row>
        <row r="30">
          <cell r="G30">
            <v>25.5</v>
          </cell>
          <cell r="I30">
            <v>478</v>
          </cell>
          <cell r="S30">
            <v>0</v>
          </cell>
        </row>
        <row r="31">
          <cell r="B31" t="str">
            <v>97-4.26</v>
          </cell>
          <cell r="C31">
            <v>97944.5</v>
          </cell>
          <cell r="F31">
            <v>250</v>
          </cell>
          <cell r="H31" t="str">
            <v>S/A AnMP</v>
          </cell>
          <cell r="L31" t="str">
            <v>2HEB-240</v>
          </cell>
          <cell r="M31" t="str">
            <v>C2H-240</v>
          </cell>
          <cell r="N31" t="str">
            <v>EMT-T</v>
          </cell>
          <cell r="O31" t="str">
            <v>EMT-1</v>
          </cell>
          <cell r="T31">
            <v>-55</v>
          </cell>
          <cell r="U31">
            <v>-30</v>
          </cell>
          <cell r="W31">
            <v>2.2999999999999998</v>
          </cell>
          <cell r="X31">
            <v>1.4</v>
          </cell>
          <cell r="Z31">
            <v>0.45</v>
          </cell>
          <cell r="AM31" t="str">
            <v>RW2</v>
          </cell>
        </row>
        <row r="32">
          <cell r="G32">
            <v>29.5</v>
          </cell>
          <cell r="J32">
            <v>97952</v>
          </cell>
          <cell r="K32" t="str">
            <v>AnM</v>
          </cell>
          <cell r="S32">
            <v>0</v>
          </cell>
        </row>
        <row r="33">
          <cell r="B33" t="str">
            <v>97-4.27</v>
          </cell>
          <cell r="C33">
            <v>97974</v>
          </cell>
          <cell r="F33">
            <v>0</v>
          </cell>
          <cell r="H33" t="str">
            <v>P50</v>
          </cell>
          <cell r="L33" t="str">
            <v>2HEB-240</v>
          </cell>
          <cell r="M33" t="str">
            <v>C2H-240</v>
          </cell>
          <cell r="N33" t="str">
            <v>EMT-2</v>
          </cell>
          <cell r="O33" t="str">
            <v>EMT-1</v>
          </cell>
          <cell r="T33">
            <v>-15</v>
          </cell>
          <cell r="U33">
            <v>-25</v>
          </cell>
          <cell r="W33">
            <v>1.4</v>
          </cell>
          <cell r="X33">
            <v>2.2999999999999998</v>
          </cell>
          <cell r="AC33" t="str">
            <v>PH</v>
          </cell>
          <cell r="AM33" t="str">
            <v>RW2</v>
          </cell>
        </row>
        <row r="34">
          <cell r="G34">
            <v>39.5</v>
          </cell>
          <cell r="S34">
            <v>0</v>
          </cell>
        </row>
        <row r="35">
          <cell r="B35" t="str">
            <v>98-4.01</v>
          </cell>
          <cell r="C35">
            <v>98011</v>
          </cell>
          <cell r="F35">
            <v>0</v>
          </cell>
          <cell r="H35" t="str">
            <v>P15</v>
          </cell>
          <cell r="N35" t="str">
            <v>EMT-1</v>
          </cell>
          <cell r="O35" t="str">
            <v>EMT-2</v>
          </cell>
          <cell r="T35">
            <v>-30</v>
          </cell>
          <cell r="U35">
            <v>15</v>
          </cell>
          <cell r="W35">
            <v>1.4</v>
          </cell>
          <cell r="X35">
            <v>2.2999999999999998</v>
          </cell>
          <cell r="AC35" t="str">
            <v>PH</v>
          </cell>
          <cell r="AJ35" t="str">
            <v>SECT-1</v>
          </cell>
          <cell r="AK35" t="str">
            <v>S2</v>
          </cell>
        </row>
        <row r="36">
          <cell r="G36">
            <v>44</v>
          </cell>
        </row>
        <row r="136">
          <cell r="B136" t="str">
            <v>Possible Signalling Interface Detected</v>
          </cell>
        </row>
        <row r="137">
          <cell r="B137" t="str">
            <v>Sorted out by using "L"foundation</v>
          </cell>
        </row>
        <row r="138">
          <cell r="B138" t="str">
            <v>Sorted out by reducing gauge up to 2.90m</v>
          </cell>
        </row>
        <row r="139">
          <cell r="B139" t="str">
            <v>Special and particular solution to be applied</v>
          </cell>
        </row>
      </sheetData>
      <sheetData sheetId="5">
        <row r="2">
          <cell r="I2" t="str">
            <v>Anchorage</v>
          </cell>
        </row>
        <row r="3">
          <cell r="O3" t="str">
            <v>M2</v>
          </cell>
        </row>
        <row r="4">
          <cell r="G4">
            <v>33</v>
          </cell>
        </row>
        <row r="5">
          <cell r="A5" t="str">
            <v>TSO-05</v>
          </cell>
          <cell r="B5" t="str">
            <v>97-5.24</v>
          </cell>
          <cell r="C5">
            <v>97877</v>
          </cell>
          <cell r="F5">
            <v>-315</v>
          </cell>
          <cell r="L5" t="str">
            <v>HEB-280L</v>
          </cell>
          <cell r="M5" t="str">
            <v>C5R</v>
          </cell>
          <cell r="N5" t="str">
            <v>EMT-1</v>
          </cell>
          <cell r="Q5">
            <v>10</v>
          </cell>
          <cell r="R5">
            <v>314.5</v>
          </cell>
          <cell r="T5">
            <v>-35</v>
          </cell>
          <cell r="W5">
            <v>1.4</v>
          </cell>
          <cell r="AG5">
            <v>97875.65</v>
          </cell>
          <cell r="AH5">
            <v>2163</v>
          </cell>
          <cell r="AI5">
            <v>327</v>
          </cell>
          <cell r="AJ5" t="str">
            <v>Disc/PP-pr</v>
          </cell>
          <cell r="AL5" t="str">
            <v>PR1B</v>
          </cell>
          <cell r="AM5" t="str">
            <v>RW2</v>
          </cell>
        </row>
        <row r="6">
          <cell r="G6">
            <v>27.5</v>
          </cell>
          <cell r="S6">
            <v>27.190000000002328</v>
          </cell>
          <cell r="AJ6" t="str">
            <v>FW+25</v>
          </cell>
        </row>
        <row r="7">
          <cell r="B7" t="str">
            <v>97-5.25</v>
          </cell>
          <cell r="C7">
            <v>97904.5</v>
          </cell>
          <cell r="F7">
            <v>0</v>
          </cell>
          <cell r="L7" t="str">
            <v>HEB-280L</v>
          </cell>
          <cell r="M7" t="str">
            <v>C5R</v>
          </cell>
          <cell r="N7" t="str">
            <v>EMT-1</v>
          </cell>
          <cell r="Q7">
            <v>0</v>
          </cell>
          <cell r="R7" t="str">
            <v>inf</v>
          </cell>
          <cell r="T7">
            <v>-30</v>
          </cell>
          <cell r="W7">
            <v>1.4</v>
          </cell>
          <cell r="AC7" t="str">
            <v>PH</v>
          </cell>
          <cell r="AG7">
            <v>97902.84</v>
          </cell>
          <cell r="AH7">
            <v>2273</v>
          </cell>
          <cell r="AI7">
            <v>417</v>
          </cell>
          <cell r="AJ7" t="str">
            <v>FW+25</v>
          </cell>
          <cell r="AL7" t="str">
            <v>PR1B</v>
          </cell>
          <cell r="AM7" t="str">
            <v>RW2</v>
          </cell>
        </row>
        <row r="8">
          <cell r="G8">
            <v>33.5</v>
          </cell>
          <cell r="S8">
            <v>33.559999999997672</v>
          </cell>
        </row>
        <row r="9">
          <cell r="B9" t="str">
            <v>97-5.26</v>
          </cell>
          <cell r="C9">
            <v>97938</v>
          </cell>
          <cell r="F9">
            <v>0</v>
          </cell>
          <cell r="L9" t="str">
            <v>HEB-320L</v>
          </cell>
          <cell r="M9" t="str">
            <v>C7R</v>
          </cell>
          <cell r="N9" t="str">
            <v>EMT-2</v>
          </cell>
          <cell r="Q9">
            <v>0</v>
          </cell>
          <cell r="R9" t="str">
            <v>inf</v>
          </cell>
          <cell r="T9">
            <v>35</v>
          </cell>
          <cell r="W9">
            <v>1.4</v>
          </cell>
          <cell r="AC9" t="str">
            <v>PH</v>
          </cell>
          <cell r="AG9">
            <v>97936.4</v>
          </cell>
          <cell r="AH9">
            <v>2263</v>
          </cell>
          <cell r="AI9">
            <v>261</v>
          </cell>
          <cell r="AJ9" t="str">
            <v>FW+25</v>
          </cell>
          <cell r="AL9" t="str">
            <v>PR1C</v>
          </cell>
          <cell r="AM9" t="str">
            <v>RW2</v>
          </cell>
        </row>
        <row r="10">
          <cell r="G10">
            <v>30</v>
          </cell>
          <cell r="J10">
            <v>97960.5</v>
          </cell>
          <cell r="K10" t="str">
            <v>AnMC</v>
          </cell>
          <cell r="S10">
            <v>29.990000000005239</v>
          </cell>
        </row>
        <row r="11">
          <cell r="B11" t="str">
            <v>97-5.27</v>
          </cell>
          <cell r="C11">
            <v>97968</v>
          </cell>
          <cell r="F11">
            <v>0</v>
          </cell>
          <cell r="H11" t="str">
            <v>A/S</v>
          </cell>
          <cell r="I11" t="str">
            <v>CP+AnMC</v>
          </cell>
          <cell r="L11" t="str">
            <v>HEB-280L</v>
          </cell>
          <cell r="M11" t="str">
            <v>C5R</v>
          </cell>
          <cell r="N11" t="str">
            <v>EMT-1</v>
          </cell>
          <cell r="Q11">
            <v>0</v>
          </cell>
          <cell r="R11" t="str">
            <v>inf</v>
          </cell>
          <cell r="T11">
            <v>-30</v>
          </cell>
          <cell r="W11">
            <v>1.4</v>
          </cell>
          <cell r="AC11" t="str">
            <v>PH-Q</v>
          </cell>
          <cell r="AG11">
            <v>97966.39</v>
          </cell>
          <cell r="AH11">
            <v>2133</v>
          </cell>
          <cell r="AI11">
            <v>146</v>
          </cell>
          <cell r="AJ11" t="str">
            <v>FW+25</v>
          </cell>
          <cell r="AL11" t="str">
            <v>PR1B</v>
          </cell>
          <cell r="AM11" t="str">
            <v>RW2</v>
          </cell>
        </row>
        <row r="12">
          <cell r="G12">
            <v>43</v>
          </cell>
          <cell r="I12">
            <v>327</v>
          </cell>
          <cell r="S12">
            <v>-97966.39</v>
          </cell>
        </row>
        <row r="13">
          <cell r="B13" t="str">
            <v>98-5.01</v>
          </cell>
          <cell r="C13">
            <v>98011</v>
          </cell>
          <cell r="F13">
            <v>0</v>
          </cell>
          <cell r="H13" t="str">
            <v>S/A</v>
          </cell>
          <cell r="L13" t="str">
            <v>2HEB-320L</v>
          </cell>
          <cell r="M13" t="str">
            <v>C2H-320R</v>
          </cell>
          <cell r="N13" t="str">
            <v>EMT-T</v>
          </cell>
          <cell r="O13" t="str">
            <v>EMT-2</v>
          </cell>
          <cell r="T13">
            <v>55</v>
          </cell>
          <cell r="U13">
            <v>35</v>
          </cell>
          <cell r="W13">
            <v>1.4</v>
          </cell>
          <cell r="AC13" t="str">
            <v>PH-Q</v>
          </cell>
          <cell r="AJ13" t="str">
            <v>FW+25</v>
          </cell>
          <cell r="AL13" t="str">
            <v>PR1E</v>
          </cell>
          <cell r="AM13" t="str">
            <v>RW2</v>
          </cell>
        </row>
        <row r="14">
          <cell r="G14">
            <v>38</v>
          </cell>
          <cell r="S14">
            <v>98047.46</v>
          </cell>
        </row>
        <row r="15">
          <cell r="B15" t="str">
            <v>98-5.02</v>
          </cell>
          <cell r="C15">
            <v>98049</v>
          </cell>
          <cell r="F15">
            <v>0</v>
          </cell>
          <cell r="L15" t="str">
            <v>HEB-320L</v>
          </cell>
          <cell r="M15" t="str">
            <v>C7R</v>
          </cell>
          <cell r="N15" t="str">
            <v>EMT-1</v>
          </cell>
          <cell r="Q15">
            <v>0</v>
          </cell>
          <cell r="R15" t="str">
            <v>inf</v>
          </cell>
          <cell r="T15">
            <v>-30</v>
          </cell>
          <cell r="W15">
            <v>1.4</v>
          </cell>
          <cell r="AC15" t="str">
            <v>PH-Q</v>
          </cell>
          <cell r="AG15">
            <v>98047.46</v>
          </cell>
          <cell r="AH15">
            <v>2243</v>
          </cell>
          <cell r="AI15">
            <v>184</v>
          </cell>
          <cell r="AJ15" t="str">
            <v>FW+25</v>
          </cell>
          <cell r="AL15" t="str">
            <v>PR1D</v>
          </cell>
          <cell r="AM15" t="str">
            <v>RW2</v>
          </cell>
        </row>
        <row r="16">
          <cell r="G16">
            <v>49</v>
          </cell>
          <cell r="S16">
            <v>-98047.46</v>
          </cell>
        </row>
        <row r="17">
          <cell r="B17" t="str">
            <v>98-5.03</v>
          </cell>
          <cell r="C17">
            <v>98098</v>
          </cell>
          <cell r="F17">
            <v>0</v>
          </cell>
          <cell r="L17" t="str">
            <v>HEB-320L</v>
          </cell>
          <cell r="M17" t="str">
            <v>C7R</v>
          </cell>
          <cell r="N17" t="str">
            <v>EMT-2</v>
          </cell>
          <cell r="T17">
            <v>35</v>
          </cell>
          <cell r="W17">
            <v>1.4</v>
          </cell>
          <cell r="AC17" t="str">
            <v>PH</v>
          </cell>
          <cell r="AJ17" t="str">
            <v>FW+25</v>
          </cell>
          <cell r="AL17" t="str">
            <v>PR1D</v>
          </cell>
          <cell r="AM17" t="str">
            <v>RW2</v>
          </cell>
        </row>
        <row r="18">
          <cell r="G18">
            <v>48.5</v>
          </cell>
          <cell r="I18">
            <v>487</v>
          </cell>
          <cell r="S18">
            <v>0</v>
          </cell>
        </row>
        <row r="19">
          <cell r="B19" t="str">
            <v>98-5.03BIS</v>
          </cell>
          <cell r="C19">
            <v>98146.5</v>
          </cell>
          <cell r="H19" t="str">
            <v>A/S</v>
          </cell>
          <cell r="I19" t="str">
            <v>CP+AnMC</v>
          </cell>
          <cell r="L19" t="str">
            <v>2HEB-320(A)</v>
          </cell>
          <cell r="M19" t="str">
            <v>C2H-320R</v>
          </cell>
          <cell r="AJ19" t="str">
            <v>FW+25</v>
          </cell>
          <cell r="AM19" t="str">
            <v>RW2</v>
          </cell>
        </row>
        <row r="56">
          <cell r="B56" t="str">
            <v>Possible Signalling Interface Detected</v>
          </cell>
        </row>
        <row r="57">
          <cell r="B57" t="str">
            <v>Sorted out by using "L"foundation</v>
          </cell>
        </row>
        <row r="58">
          <cell r="B58" t="str">
            <v>Sorted out by reducing gauge up to 2.90m</v>
          </cell>
        </row>
        <row r="59">
          <cell r="B59" t="str">
            <v>Special and particular solution to be applied</v>
          </cell>
        </row>
        <row r="94">
          <cell r="I94">
            <v>0</v>
          </cell>
        </row>
        <row r="96">
          <cell r="I96">
            <v>0</v>
          </cell>
        </row>
      </sheetData>
      <sheetData sheetId="6">
        <row r="2">
          <cell r="I2" t="str">
            <v>Anchorage</v>
          </cell>
        </row>
        <row r="3">
          <cell r="O3" t="str">
            <v>M2</v>
          </cell>
        </row>
        <row r="4">
          <cell r="J4">
            <v>98465.5</v>
          </cell>
          <cell r="K4" t="str">
            <v>AnMC</v>
          </cell>
        </row>
        <row r="5">
          <cell r="B5" t="str">
            <v>98-6.12</v>
          </cell>
          <cell r="C5">
            <v>98473</v>
          </cell>
          <cell r="F5" t="str">
            <v>0</v>
          </cell>
          <cell r="H5" t="str">
            <v>A/S</v>
          </cell>
          <cell r="I5" t="str">
            <v>CP+AnMC</v>
          </cell>
          <cell r="L5" t="str">
            <v>HEB-260 (CP)</v>
          </cell>
          <cell r="M5" t="str">
            <v>C4R</v>
          </cell>
          <cell r="AM5" t="str">
            <v>RW2</v>
          </cell>
        </row>
        <row r="6">
          <cell r="G6">
            <v>39.5</v>
          </cell>
          <cell r="I6">
            <v>600</v>
          </cell>
          <cell r="S6">
            <v>98514.72</v>
          </cell>
        </row>
        <row r="7">
          <cell r="A7" t="str">
            <v>TSO-11</v>
          </cell>
          <cell r="B7" t="str">
            <v>98-6.13</v>
          </cell>
          <cell r="C7">
            <v>98512.5</v>
          </cell>
          <cell r="F7" t="str">
            <v>0</v>
          </cell>
          <cell r="L7" t="str">
            <v>HEB-320L</v>
          </cell>
          <cell r="M7" t="str">
            <v>C7R</v>
          </cell>
          <cell r="N7" t="str">
            <v>EMT-1</v>
          </cell>
          <cell r="Q7">
            <v>0</v>
          </cell>
          <cell r="R7" t="str">
            <v>inf</v>
          </cell>
          <cell r="T7">
            <v>-20</v>
          </cell>
          <cell r="W7">
            <v>1.4</v>
          </cell>
          <cell r="AC7" t="str">
            <v>PH-Q</v>
          </cell>
          <cell r="AG7">
            <v>98514.72</v>
          </cell>
          <cell r="AH7">
            <v>3387</v>
          </cell>
          <cell r="AI7">
            <v>345</v>
          </cell>
          <cell r="AJ7" t="str">
            <v>LoadB/PP-pr</v>
          </cell>
          <cell r="AL7" t="str">
            <v>PR1C</v>
          </cell>
          <cell r="AM7" t="str">
            <v>RW2</v>
          </cell>
        </row>
        <row r="8">
          <cell r="G8">
            <v>24.5</v>
          </cell>
          <cell r="S8">
            <v>23.979999999995925</v>
          </cell>
          <cell r="AJ8" t="str">
            <v>CurrentT</v>
          </cell>
        </row>
        <row r="9">
          <cell r="B9" t="str">
            <v>98-6.14</v>
          </cell>
          <cell r="C9">
            <v>98537</v>
          </cell>
          <cell r="F9" t="str">
            <v>0</v>
          </cell>
          <cell r="H9" t="str">
            <v>P50</v>
          </cell>
          <cell r="L9" t="str">
            <v>HEB-320L</v>
          </cell>
          <cell r="M9" t="str">
            <v>C7R</v>
          </cell>
          <cell r="N9" t="str">
            <v>EMT-2</v>
          </cell>
          <cell r="O9" t="str">
            <v>EMT-1</v>
          </cell>
          <cell r="Q9">
            <v>0</v>
          </cell>
          <cell r="R9" t="str">
            <v>inf</v>
          </cell>
          <cell r="T9">
            <v>30</v>
          </cell>
          <cell r="U9">
            <v>15</v>
          </cell>
          <cell r="W9">
            <v>1.4</v>
          </cell>
          <cell r="X9">
            <v>2.2999999999999998</v>
          </cell>
          <cell r="AC9" t="str">
            <v>PH</v>
          </cell>
          <cell r="AG9">
            <v>98538.7</v>
          </cell>
          <cell r="AH9">
            <v>2446</v>
          </cell>
          <cell r="AI9">
            <v>217</v>
          </cell>
          <cell r="AL9" t="str">
            <v>PR1C</v>
          </cell>
          <cell r="AM9" t="str">
            <v>RW2</v>
          </cell>
        </row>
        <row r="10">
          <cell r="G10">
            <v>32.5</v>
          </cell>
          <cell r="S10">
            <v>-98538.7</v>
          </cell>
        </row>
        <row r="11">
          <cell r="B11" t="str">
            <v>98-6.15</v>
          </cell>
          <cell r="C11">
            <v>98569.5</v>
          </cell>
          <cell r="F11" t="str">
            <v>0</v>
          </cell>
          <cell r="H11" t="str">
            <v>S/A</v>
          </cell>
          <cell r="I11" t="str">
            <v xml:space="preserve">AnRW </v>
          </cell>
          <cell r="J11">
            <v>98577</v>
          </cell>
          <cell r="K11" t="str">
            <v>AnM</v>
          </cell>
          <cell r="L11" t="str">
            <v>HEB-320L</v>
          </cell>
          <cell r="M11" t="str">
            <v>C7R</v>
          </cell>
          <cell r="N11" t="str">
            <v>EMT-2</v>
          </cell>
          <cell r="O11" t="str">
            <v>EMT-T</v>
          </cell>
          <cell r="T11">
            <v>30</v>
          </cell>
          <cell r="U11">
            <v>15</v>
          </cell>
          <cell r="W11">
            <v>1.4</v>
          </cell>
          <cell r="X11">
            <v>2.2999999999999998</v>
          </cell>
          <cell r="AA11">
            <v>0.45</v>
          </cell>
          <cell r="AC11" t="str">
            <v>PH</v>
          </cell>
          <cell r="AL11" t="str">
            <v>PR1C</v>
          </cell>
          <cell r="AM11" t="str">
            <v>RW2</v>
          </cell>
        </row>
        <row r="12">
          <cell r="G12">
            <v>34</v>
          </cell>
          <cell r="I12" t="str">
            <v>AnrRW2</v>
          </cell>
          <cell r="J12">
            <v>98579</v>
          </cell>
          <cell r="K12" t="str">
            <v>AnM</v>
          </cell>
          <cell r="S12">
            <v>0</v>
          </cell>
        </row>
        <row r="13">
          <cell r="B13" t="str">
            <v>98-6.16</v>
          </cell>
          <cell r="C13">
            <v>98603.5</v>
          </cell>
          <cell r="F13" t="str">
            <v>0</v>
          </cell>
          <cell r="H13" t="str">
            <v>S/A</v>
          </cell>
          <cell r="N13" t="str">
            <v>EMT-1</v>
          </cell>
          <cell r="O13" t="str">
            <v>EMT-T</v>
          </cell>
          <cell r="T13">
            <v>-30</v>
          </cell>
          <cell r="U13">
            <v>-50</v>
          </cell>
          <cell r="W13">
            <v>1.4</v>
          </cell>
          <cell r="X13">
            <v>2.2999999999999998</v>
          </cell>
          <cell r="AA13">
            <v>0.6</v>
          </cell>
          <cell r="AC13" t="str">
            <v>PH-Q</v>
          </cell>
          <cell r="AK13" t="str">
            <v>S2</v>
          </cell>
        </row>
        <row r="14">
          <cell r="G14">
            <v>33</v>
          </cell>
          <cell r="S14">
            <v>0</v>
          </cell>
        </row>
        <row r="15">
          <cell r="B15" t="str">
            <v>98-6.17</v>
          </cell>
          <cell r="C15">
            <v>98636.5</v>
          </cell>
          <cell r="F15" t="str">
            <v>0</v>
          </cell>
          <cell r="N15" t="str">
            <v>EMT-2</v>
          </cell>
          <cell r="T15">
            <v>20</v>
          </cell>
          <cell r="W15">
            <v>1.4</v>
          </cell>
          <cell r="AC15" t="str">
            <v>PH</v>
          </cell>
          <cell r="AK15" t="str">
            <v>S1</v>
          </cell>
        </row>
        <row r="16">
          <cell r="G16">
            <v>36</v>
          </cell>
          <cell r="I16">
            <v>248</v>
          </cell>
          <cell r="S16">
            <v>98675.29</v>
          </cell>
        </row>
        <row r="17">
          <cell r="B17" t="str">
            <v>98-6.18</v>
          </cell>
          <cell r="C17">
            <v>98672</v>
          </cell>
          <cell r="F17" t="str">
            <v>0</v>
          </cell>
          <cell r="H17" t="str">
            <v>A/S-Diag P50</v>
          </cell>
          <cell r="I17" t="str">
            <v>FP+AnMC</v>
          </cell>
          <cell r="L17" t="str">
            <v>HEB-320L</v>
          </cell>
          <cell r="M17" t="str">
            <v>C7R</v>
          </cell>
          <cell r="N17" t="str">
            <v>EMT-2</v>
          </cell>
          <cell r="O17" t="str">
            <v>EMT-1</v>
          </cell>
          <cell r="Q17">
            <v>0</v>
          </cell>
          <cell r="R17" t="str">
            <v>inf</v>
          </cell>
          <cell r="T17">
            <v>30</v>
          </cell>
          <cell r="U17">
            <v>15</v>
          </cell>
          <cell r="W17">
            <v>1.4</v>
          </cell>
          <cell r="X17">
            <v>2.2999999999999998</v>
          </cell>
          <cell r="AC17" t="str">
            <v>PH</v>
          </cell>
          <cell r="AG17">
            <v>98675.29</v>
          </cell>
          <cell r="AH17">
            <v>3246</v>
          </cell>
          <cell r="AI17">
            <v>534</v>
          </cell>
          <cell r="AL17" t="str">
            <v>PR1C</v>
          </cell>
          <cell r="AM17" t="str">
            <v>RW2</v>
          </cell>
        </row>
        <row r="18">
          <cell r="G18">
            <v>49</v>
          </cell>
          <cell r="J18">
            <v>98679.5</v>
          </cell>
          <cell r="K18" t="str">
            <v>AnMC</v>
          </cell>
          <cell r="S18">
            <v>48.960000000006403</v>
          </cell>
        </row>
        <row r="19">
          <cell r="B19" t="str">
            <v>98-6.19</v>
          </cell>
          <cell r="C19">
            <v>98721</v>
          </cell>
          <cell r="F19" t="str">
            <v>0</v>
          </cell>
          <cell r="H19" t="str">
            <v>S/A</v>
          </cell>
          <cell r="L19" t="str">
            <v>HEB-280L</v>
          </cell>
          <cell r="M19" t="str">
            <v>C5R</v>
          </cell>
          <cell r="N19" t="str">
            <v>EMT-T</v>
          </cell>
          <cell r="O19" t="str">
            <v>EMT-2</v>
          </cell>
          <cell r="P19" t="str">
            <v>EMT-T</v>
          </cell>
          <cell r="Q19">
            <v>0</v>
          </cell>
          <cell r="R19" t="str">
            <v>inf</v>
          </cell>
          <cell r="T19">
            <v>-40</v>
          </cell>
          <cell r="U19">
            <v>-20</v>
          </cell>
          <cell r="V19">
            <v>55</v>
          </cell>
          <cell r="W19">
            <v>1.8</v>
          </cell>
          <cell r="X19">
            <v>1.4</v>
          </cell>
          <cell r="Y19">
            <v>1</v>
          </cell>
          <cell r="Z19">
            <v>0.45</v>
          </cell>
          <cell r="AB19">
            <v>0.6</v>
          </cell>
          <cell r="AC19" t="str">
            <v>PH-Q</v>
          </cell>
          <cell r="AG19">
            <v>98724.25</v>
          </cell>
          <cell r="AH19">
            <v>3026</v>
          </cell>
          <cell r="AI19">
            <v>566</v>
          </cell>
          <cell r="AL19" t="str">
            <v>PR1B</v>
          </cell>
          <cell r="AM19" t="str">
            <v>RW2</v>
          </cell>
        </row>
        <row r="20">
          <cell r="A20" t="str">
            <v>Drainage Works</v>
          </cell>
          <cell r="G20">
            <v>49</v>
          </cell>
          <cell r="S20">
            <v>46.210000000006403</v>
          </cell>
        </row>
        <row r="21">
          <cell r="A21" t="str">
            <v>Overcrossing</v>
          </cell>
          <cell r="B21" t="str">
            <v>98-6.20</v>
          </cell>
          <cell r="C21">
            <v>98770</v>
          </cell>
          <cell r="F21" t="str">
            <v>0</v>
          </cell>
          <cell r="H21" t="str">
            <v>P50 A/S</v>
          </cell>
          <cell r="I21" t="str">
            <v>CP+AnMC</v>
          </cell>
          <cell r="L21" t="str">
            <v>HEB-280L</v>
          </cell>
          <cell r="M21" t="str">
            <v>C5R</v>
          </cell>
          <cell r="N21" t="str">
            <v>EMT-1</v>
          </cell>
          <cell r="O21" t="str">
            <v>EMT-2</v>
          </cell>
          <cell r="Q21">
            <v>0</v>
          </cell>
          <cell r="R21" t="str">
            <v>inf</v>
          </cell>
          <cell r="T21">
            <v>15</v>
          </cell>
          <cell r="U21">
            <v>30</v>
          </cell>
          <cell r="X21">
            <v>1.2</v>
          </cell>
          <cell r="Y21">
            <v>1</v>
          </cell>
          <cell r="AG21">
            <v>98770.46</v>
          </cell>
          <cell r="AH21">
            <v>2847</v>
          </cell>
          <cell r="AI21">
            <v>444</v>
          </cell>
          <cell r="AL21" t="str">
            <v>PR1B</v>
          </cell>
          <cell r="AM21" t="str">
            <v>RW2</v>
          </cell>
        </row>
        <row r="22">
          <cell r="G22">
            <v>57</v>
          </cell>
          <cell r="J22">
            <v>98777.5</v>
          </cell>
          <cell r="K22" t="str">
            <v>AnMC</v>
          </cell>
          <cell r="S22">
            <v>56.969999999986612</v>
          </cell>
        </row>
        <row r="23">
          <cell r="A23" t="str">
            <v>TSO-13</v>
          </cell>
          <cell r="B23" t="str">
            <v>98-6.21</v>
          </cell>
          <cell r="C23">
            <v>98827</v>
          </cell>
          <cell r="F23" t="str">
            <v>0</v>
          </cell>
          <cell r="L23" t="str">
            <v>HEB-280L</v>
          </cell>
          <cell r="M23" t="str">
            <v>C5R</v>
          </cell>
          <cell r="N23" t="str">
            <v>EMT-1</v>
          </cell>
          <cell r="Q23">
            <v>0</v>
          </cell>
          <cell r="R23" t="str">
            <v>inf</v>
          </cell>
          <cell r="T23">
            <v>-35</v>
          </cell>
          <cell r="X23">
            <v>1.4</v>
          </cell>
          <cell r="AC23" t="str">
            <v>PH</v>
          </cell>
          <cell r="AG23">
            <v>98827.43</v>
          </cell>
          <cell r="AH23">
            <v>2953</v>
          </cell>
          <cell r="AI23">
            <v>637</v>
          </cell>
          <cell r="AJ23" t="str">
            <v>LoadB/PP-pr</v>
          </cell>
          <cell r="AL23" t="str">
            <v>PR1B</v>
          </cell>
          <cell r="AM23" t="str">
            <v>RW2</v>
          </cell>
        </row>
        <row r="24">
          <cell r="G24">
            <v>55</v>
          </cell>
          <cell r="J24">
            <v>98874.5</v>
          </cell>
          <cell r="K24" t="str">
            <v>AnM</v>
          </cell>
          <cell r="S24">
            <v>54.840000000011059</v>
          </cell>
          <cell r="AJ24" t="str">
            <v>CurrentT</v>
          </cell>
        </row>
        <row r="25">
          <cell r="B25" t="str">
            <v>98-6.22</v>
          </cell>
          <cell r="C25">
            <v>98882</v>
          </cell>
          <cell r="F25" t="str">
            <v>0</v>
          </cell>
          <cell r="H25" t="str">
            <v>AnMP</v>
          </cell>
          <cell r="L25" t="str">
            <v>HEB-280L</v>
          </cell>
          <cell r="M25" t="str">
            <v>C5R</v>
          </cell>
          <cell r="N25" t="str">
            <v>EMT-2</v>
          </cell>
          <cell r="Q25">
            <v>0</v>
          </cell>
          <cell r="R25" t="str">
            <v>inf</v>
          </cell>
          <cell r="T25">
            <v>30</v>
          </cell>
          <cell r="X25">
            <v>1.4</v>
          </cell>
          <cell r="AC25" t="str">
            <v>PH-Q</v>
          </cell>
          <cell r="AG25">
            <v>98882.27</v>
          </cell>
          <cell r="AH25">
            <v>2950</v>
          </cell>
          <cell r="AI25">
            <v>381</v>
          </cell>
          <cell r="AL25" t="str">
            <v>PR1B</v>
          </cell>
          <cell r="AM25" t="str">
            <v>RW2</v>
          </cell>
        </row>
        <row r="26">
          <cell r="A26" t="str">
            <v>Overhead Cable</v>
          </cell>
          <cell r="G26">
            <v>53</v>
          </cell>
          <cell r="S26">
            <v>-98882.27</v>
          </cell>
        </row>
        <row r="27">
          <cell r="B27" t="str">
            <v>98-6.23</v>
          </cell>
          <cell r="C27">
            <v>98935</v>
          </cell>
          <cell r="F27" t="str">
            <v>0</v>
          </cell>
          <cell r="L27" t="str">
            <v>HEB-280L</v>
          </cell>
          <cell r="M27" t="str">
            <v>C5R</v>
          </cell>
          <cell r="N27" t="str">
            <v>EMT-1</v>
          </cell>
          <cell r="T27">
            <v>-35</v>
          </cell>
          <cell r="X27">
            <v>1.4</v>
          </cell>
          <cell r="AC27" t="str">
            <v>PH-Q</v>
          </cell>
          <cell r="AL27" t="str">
            <v>PR1B</v>
          </cell>
          <cell r="AM27" t="str">
            <v>RW2</v>
          </cell>
        </row>
        <row r="28">
          <cell r="G28">
            <v>54</v>
          </cell>
          <cell r="S28">
            <v>0</v>
          </cell>
        </row>
        <row r="29">
          <cell r="B29" t="str">
            <v>98-6.24</v>
          </cell>
          <cell r="C29">
            <v>98989</v>
          </cell>
          <cell r="F29" t="str">
            <v>0</v>
          </cell>
          <cell r="H29" t="str">
            <v>AnMP</v>
          </cell>
          <cell r="L29" t="str">
            <v>HEB-320L</v>
          </cell>
          <cell r="M29" t="str">
            <v>C5R</v>
          </cell>
          <cell r="N29" t="str">
            <v>EMT-2</v>
          </cell>
          <cell r="T29">
            <v>35</v>
          </cell>
          <cell r="X29">
            <v>1.4</v>
          </cell>
          <cell r="AC29" t="str">
            <v>PH-Q</v>
          </cell>
          <cell r="AL29" t="str">
            <v>PR1C</v>
          </cell>
          <cell r="AM29" t="str">
            <v>RW2</v>
          </cell>
        </row>
        <row r="30">
          <cell r="G30">
            <v>50</v>
          </cell>
          <cell r="J30">
            <v>98996.5</v>
          </cell>
          <cell r="K30" t="str">
            <v>AnM</v>
          </cell>
          <cell r="S30">
            <v>0</v>
          </cell>
        </row>
        <row r="31">
          <cell r="B31" t="str">
            <v>99-6.01</v>
          </cell>
          <cell r="C31">
            <v>99039</v>
          </cell>
          <cell r="F31" t="str">
            <v>0</v>
          </cell>
          <cell r="L31" t="str">
            <v>HEB-280L</v>
          </cell>
          <cell r="M31" t="str">
            <v>C5R</v>
          </cell>
          <cell r="N31" t="str">
            <v>EMT-1</v>
          </cell>
          <cell r="T31">
            <v>-35</v>
          </cell>
          <cell r="X31">
            <v>1.4</v>
          </cell>
          <cell r="AC31" t="str">
            <v>PH-Q</v>
          </cell>
          <cell r="AL31" t="str">
            <v>PR1B</v>
          </cell>
          <cell r="AM31" t="str">
            <v>RW2</v>
          </cell>
        </row>
        <row r="32">
          <cell r="G32">
            <v>35.5</v>
          </cell>
          <cell r="I32">
            <v>600</v>
          </cell>
          <cell r="S32">
            <v>0</v>
          </cell>
        </row>
        <row r="33">
          <cell r="B33" t="str">
            <v>99-6.02</v>
          </cell>
          <cell r="C33">
            <v>99074.5</v>
          </cell>
          <cell r="F33" t="str">
            <v>0</v>
          </cell>
          <cell r="H33" t="str">
            <v>A/S</v>
          </cell>
          <cell r="I33" t="str">
            <v>FP+AnMC</v>
          </cell>
          <cell r="L33" t="str">
            <v>HEB-260 (CP)</v>
          </cell>
          <cell r="M33" t="str">
            <v>C4R</v>
          </cell>
          <cell r="AM33" t="str">
            <v>RW2</v>
          </cell>
        </row>
        <row r="34">
          <cell r="J34">
            <v>99082</v>
          </cell>
          <cell r="K34" t="str">
            <v>AnMC</v>
          </cell>
        </row>
        <row r="73">
          <cell r="B73" t="str">
            <v>Possible Signalling Interface Detected</v>
          </cell>
        </row>
        <row r="74">
          <cell r="B74" t="str">
            <v>Sorted out by using "L"foundation</v>
          </cell>
        </row>
        <row r="75">
          <cell r="B75" t="str">
            <v>Sorted out by reducing gauge up to 2.90m</v>
          </cell>
        </row>
        <row r="76">
          <cell r="B76" t="str">
            <v>Special and particular solution to be applied</v>
          </cell>
        </row>
        <row r="95">
          <cell r="I95">
            <v>0</v>
          </cell>
        </row>
        <row r="97">
          <cell r="I97">
            <v>0</v>
          </cell>
        </row>
      </sheetData>
      <sheetData sheetId="7">
        <row r="2">
          <cell r="I2" t="str">
            <v>Anchorage</v>
          </cell>
        </row>
        <row r="3">
          <cell r="O3" t="str">
            <v>M2</v>
          </cell>
        </row>
        <row r="4">
          <cell r="B4" t="str">
            <v>4-5.01</v>
          </cell>
          <cell r="C4">
            <v>4396</v>
          </cell>
          <cell r="F4">
            <v>0</v>
          </cell>
          <cell r="H4" t="str">
            <v>A/S-Diang</v>
          </cell>
          <cell r="I4" t="str">
            <v>FP+AnMC</v>
          </cell>
          <cell r="L4" t="str">
            <v>2HEB-320(A)</v>
          </cell>
          <cell r="M4" t="str">
            <v>C2H-320R</v>
          </cell>
        </row>
        <row r="5">
          <cell r="G5">
            <v>32.5</v>
          </cell>
          <cell r="I5" t="str">
            <v>AnRW</v>
          </cell>
        </row>
        <row r="6">
          <cell r="B6" t="str">
            <v>4-5.02</v>
          </cell>
          <cell r="C6">
            <v>4428.5</v>
          </cell>
          <cell r="F6">
            <v>-402</v>
          </cell>
          <cell r="I6">
            <v>206</v>
          </cell>
          <cell r="L6" t="str">
            <v>HEB-260</v>
          </cell>
          <cell r="M6" t="str">
            <v>C4R</v>
          </cell>
          <cell r="N6" t="str">
            <v>EMT-2</v>
          </cell>
          <cell r="T6">
            <v>30</v>
          </cell>
          <cell r="W6">
            <v>1.4</v>
          </cell>
          <cell r="AC6" t="str">
            <v>PH-C</v>
          </cell>
          <cell r="AM6" t="str">
            <v>RW1</v>
          </cell>
        </row>
        <row r="7">
          <cell r="G7">
            <v>32</v>
          </cell>
        </row>
        <row r="8">
          <cell r="B8" t="str">
            <v>4-5.03</v>
          </cell>
          <cell r="C8">
            <v>4460.5</v>
          </cell>
          <cell r="F8">
            <v>-402</v>
          </cell>
          <cell r="L8" t="str">
            <v>HEB-260</v>
          </cell>
          <cell r="M8" t="str">
            <v>C4R</v>
          </cell>
          <cell r="N8" t="str">
            <v>EMT-2</v>
          </cell>
          <cell r="T8">
            <v>25</v>
          </cell>
          <cell r="W8">
            <v>1.4</v>
          </cell>
          <cell r="AC8" t="str">
            <v>PH-C</v>
          </cell>
          <cell r="AM8" t="str">
            <v>RW1</v>
          </cell>
        </row>
        <row r="9">
          <cell r="G9">
            <v>32</v>
          </cell>
        </row>
        <row r="10">
          <cell r="B10" t="str">
            <v>4-5.04</v>
          </cell>
          <cell r="C10">
            <v>4492.5</v>
          </cell>
          <cell r="F10">
            <v>-402</v>
          </cell>
          <cell r="L10" t="str">
            <v>HEB-260</v>
          </cell>
          <cell r="M10" t="str">
            <v>C4R</v>
          </cell>
          <cell r="N10" t="str">
            <v>EMT-2</v>
          </cell>
          <cell r="T10">
            <v>25</v>
          </cell>
          <cell r="W10">
            <v>1.4</v>
          </cell>
          <cell r="AC10" t="str">
            <v>PH-C</v>
          </cell>
          <cell r="AM10" t="str">
            <v>RW1</v>
          </cell>
        </row>
        <row r="11">
          <cell r="G11">
            <v>27</v>
          </cell>
        </row>
        <row r="12">
          <cell r="B12" t="str">
            <v>4-5.05</v>
          </cell>
          <cell r="C12">
            <v>4519.5</v>
          </cell>
          <cell r="F12">
            <v>0</v>
          </cell>
          <cell r="L12" t="str">
            <v>HEB-260</v>
          </cell>
          <cell r="M12" t="str">
            <v>C4R</v>
          </cell>
          <cell r="N12" t="str">
            <v>EMT-2</v>
          </cell>
          <cell r="T12">
            <v>30</v>
          </cell>
          <cell r="W12">
            <v>1.4</v>
          </cell>
          <cell r="AC12" t="str">
            <v>PH</v>
          </cell>
          <cell r="AM12" t="str">
            <v>RW1</v>
          </cell>
        </row>
        <row r="13">
          <cell r="G13">
            <v>28</v>
          </cell>
        </row>
        <row r="94">
          <cell r="I94">
            <v>0</v>
          </cell>
        </row>
        <row r="96">
          <cell r="I96">
            <v>0</v>
          </cell>
        </row>
        <row r="131">
          <cell r="B131" t="str">
            <v>Possible Signalling Interface Detected</v>
          </cell>
        </row>
        <row r="132">
          <cell r="B132" t="str">
            <v>Sorted out by using "L"foundation</v>
          </cell>
        </row>
        <row r="133">
          <cell r="B133" t="str">
            <v>Sorted out by reducing gauge up to 2.90m</v>
          </cell>
        </row>
        <row r="134">
          <cell r="B134" t="str">
            <v>Special and particular solution to be applied</v>
          </cell>
        </row>
      </sheetData>
      <sheetData sheetId="8">
        <row r="2">
          <cell r="I2" t="str">
            <v>Anchorage</v>
          </cell>
        </row>
        <row r="3">
          <cell r="O3" t="str">
            <v>M2</v>
          </cell>
        </row>
        <row r="5">
          <cell r="B5" t="str">
            <v>4-8.01</v>
          </cell>
          <cell r="C5">
            <v>4148</v>
          </cell>
          <cell r="F5">
            <v>0</v>
          </cell>
          <cell r="H5" t="str">
            <v>A/S-Diang</v>
          </cell>
          <cell r="I5" t="str">
            <v>FP+AnMC</v>
          </cell>
          <cell r="L5" t="str">
            <v>2HEB-320(A)</v>
          </cell>
          <cell r="M5" t="str">
            <v>C2H-320R</v>
          </cell>
          <cell r="T5">
            <v>0</v>
          </cell>
        </row>
        <row r="6">
          <cell r="G6">
            <v>28</v>
          </cell>
          <cell r="I6" t="str">
            <v>AnRW</v>
          </cell>
        </row>
        <row r="7">
          <cell r="B7" t="str">
            <v>4-8.02</v>
          </cell>
          <cell r="C7">
            <v>4176</v>
          </cell>
          <cell r="F7">
            <v>0</v>
          </cell>
          <cell r="H7" t="str">
            <v>S/A</v>
          </cell>
          <cell r="I7">
            <v>684</v>
          </cell>
          <cell r="L7" t="str">
            <v>2HEB-240</v>
          </cell>
          <cell r="M7" t="str">
            <v>C2H-240</v>
          </cell>
          <cell r="N7" t="str">
            <v>EMT-T</v>
          </cell>
          <cell r="O7" t="str">
            <v>EMT-1</v>
          </cell>
          <cell r="T7">
            <v>-15</v>
          </cell>
          <cell r="U7">
            <v>-30</v>
          </cell>
          <cell r="W7">
            <v>1.4</v>
          </cell>
          <cell r="X7">
            <v>2.2999999999999998</v>
          </cell>
          <cell r="Z7">
            <v>0.45</v>
          </cell>
        </row>
        <row r="8">
          <cell r="G8">
            <v>31.5</v>
          </cell>
        </row>
        <row r="9">
          <cell r="B9" t="str">
            <v>4-8.03</v>
          </cell>
          <cell r="C9">
            <v>4207.5</v>
          </cell>
          <cell r="F9">
            <v>0</v>
          </cell>
          <cell r="H9" t="str">
            <v>P50</v>
          </cell>
          <cell r="L9" t="str">
            <v>2HEB-240</v>
          </cell>
          <cell r="M9" t="str">
            <v>C2H-240</v>
          </cell>
          <cell r="N9" t="str">
            <v>EMT-2</v>
          </cell>
          <cell r="O9" t="str">
            <v>EMT-1</v>
          </cell>
          <cell r="T9">
            <v>-15</v>
          </cell>
          <cell r="U9">
            <v>-30</v>
          </cell>
          <cell r="W9">
            <v>1.4</v>
          </cell>
          <cell r="X9">
            <v>2.2999999999999998</v>
          </cell>
          <cell r="AC9" t="str">
            <v>PH</v>
          </cell>
        </row>
        <row r="10">
          <cell r="G10">
            <v>37</v>
          </cell>
        </row>
        <row r="11">
          <cell r="B11" t="str">
            <v>4-8.04</v>
          </cell>
          <cell r="C11">
            <v>4244.5</v>
          </cell>
          <cell r="F11">
            <v>0</v>
          </cell>
          <cell r="N11" t="str">
            <v>EMT-2P</v>
          </cell>
          <cell r="T11">
            <v>25</v>
          </cell>
          <cell r="W11">
            <v>1.4</v>
          </cell>
          <cell r="AC11" t="str">
            <v>PH-Q</v>
          </cell>
          <cell r="AK11" t="str">
            <v>S1</v>
          </cell>
        </row>
        <row r="12">
          <cell r="G12">
            <v>38.5</v>
          </cell>
        </row>
        <row r="13">
          <cell r="B13" t="str">
            <v>4-8.05</v>
          </cell>
          <cell r="C13">
            <v>4283</v>
          </cell>
          <cell r="F13">
            <v>0</v>
          </cell>
          <cell r="N13" t="str">
            <v>EMT-1P</v>
          </cell>
          <cell r="T13">
            <v>-35</v>
          </cell>
          <cell r="W13">
            <v>1.4</v>
          </cell>
          <cell r="AC13" t="str">
            <v>PH-Q</v>
          </cell>
          <cell r="AK13" t="str">
            <v>S1</v>
          </cell>
        </row>
        <row r="14">
          <cell r="G14">
            <v>34.5</v>
          </cell>
        </row>
        <row r="15">
          <cell r="B15" t="str">
            <v>4-8.06</v>
          </cell>
          <cell r="C15">
            <v>4317.5</v>
          </cell>
          <cell r="F15">
            <v>0</v>
          </cell>
          <cell r="N15" t="str">
            <v>EMT-2P</v>
          </cell>
          <cell r="T15">
            <v>20</v>
          </cell>
          <cell r="W15">
            <v>1.4</v>
          </cell>
          <cell r="AC15" t="str">
            <v>PH</v>
          </cell>
          <cell r="AK15" t="str">
            <v>S1</v>
          </cell>
        </row>
        <row r="16">
          <cell r="G16">
            <v>40.5</v>
          </cell>
        </row>
        <row r="17">
          <cell r="B17" t="str">
            <v>4-8.07</v>
          </cell>
          <cell r="C17">
            <v>4358</v>
          </cell>
          <cell r="F17">
            <v>0</v>
          </cell>
          <cell r="N17" t="str">
            <v>EMT-2P</v>
          </cell>
          <cell r="T17">
            <v>35</v>
          </cell>
          <cell r="W17">
            <v>1.4</v>
          </cell>
          <cell r="AC17" t="str">
            <v>PH</v>
          </cell>
          <cell r="AK17" t="str">
            <v>S1</v>
          </cell>
        </row>
        <row r="18">
          <cell r="G18">
            <v>37</v>
          </cell>
        </row>
        <row r="19">
          <cell r="B19" t="str">
            <v>4-8.08</v>
          </cell>
          <cell r="C19">
            <v>4395</v>
          </cell>
          <cell r="F19">
            <v>-200</v>
          </cell>
          <cell r="N19" t="str">
            <v>EMT-1P</v>
          </cell>
          <cell r="T19">
            <v>-35</v>
          </cell>
          <cell r="W19">
            <v>1.4</v>
          </cell>
          <cell r="AC19" t="b">
            <v>0</v>
          </cell>
          <cell r="AK19" t="str">
            <v>S1</v>
          </cell>
        </row>
        <row r="20">
          <cell r="G20">
            <v>27</v>
          </cell>
        </row>
        <row r="21">
          <cell r="B21" t="str">
            <v>4-8.09</v>
          </cell>
          <cell r="C21">
            <v>4422</v>
          </cell>
          <cell r="F21">
            <v>-200</v>
          </cell>
          <cell r="H21" t="str">
            <v>AnRw</v>
          </cell>
          <cell r="L21" t="str">
            <v>HEB-280L</v>
          </cell>
          <cell r="M21" t="str">
            <v>C5R</v>
          </cell>
          <cell r="N21" t="str">
            <v>EMT-2</v>
          </cell>
          <cell r="T21">
            <v>35</v>
          </cell>
          <cell r="W21">
            <v>1.4</v>
          </cell>
          <cell r="AC21" t="str">
            <v>PH-C</v>
          </cell>
          <cell r="AM21" t="str">
            <v>PR1B</v>
          </cell>
        </row>
        <row r="22">
          <cell r="G22">
            <v>27</v>
          </cell>
        </row>
        <row r="23">
          <cell r="B23" t="str">
            <v>4-8.10</v>
          </cell>
          <cell r="C23">
            <v>4449</v>
          </cell>
          <cell r="F23">
            <v>-200</v>
          </cell>
          <cell r="L23" t="str">
            <v>HEB-280L</v>
          </cell>
          <cell r="M23" t="str">
            <v>C5R</v>
          </cell>
          <cell r="N23" t="str">
            <v>EMT-2</v>
          </cell>
          <cell r="T23">
            <v>35</v>
          </cell>
          <cell r="W23">
            <v>1.4</v>
          </cell>
          <cell r="AC23" t="str">
            <v>PH-C</v>
          </cell>
          <cell r="AM23" t="str">
            <v>PR1B</v>
          </cell>
        </row>
        <row r="24">
          <cell r="G24">
            <v>27</v>
          </cell>
        </row>
        <row r="25">
          <cell r="B25" t="str">
            <v>4-8.11</v>
          </cell>
          <cell r="C25">
            <v>4476</v>
          </cell>
          <cell r="F25">
            <v>-200</v>
          </cell>
          <cell r="H25" t="str">
            <v>AnRw</v>
          </cell>
          <cell r="L25" t="str">
            <v>HEB-280L</v>
          </cell>
          <cell r="M25" t="str">
            <v>C5R</v>
          </cell>
          <cell r="N25" t="str">
            <v>EMT-2</v>
          </cell>
          <cell r="T25">
            <v>35</v>
          </cell>
          <cell r="W25">
            <v>1.4</v>
          </cell>
          <cell r="AC25" t="str">
            <v>PH-C</v>
          </cell>
          <cell r="AM25" t="str">
            <v>PR1B</v>
          </cell>
        </row>
        <row r="26">
          <cell r="G26">
            <v>27</v>
          </cell>
        </row>
        <row r="27">
          <cell r="B27" t="str">
            <v>4-8.12</v>
          </cell>
          <cell r="C27">
            <v>4503</v>
          </cell>
          <cell r="F27">
            <v>-200</v>
          </cell>
          <cell r="N27" t="str">
            <v>EMT-1P</v>
          </cell>
          <cell r="T27">
            <v>-35</v>
          </cell>
          <cell r="W27">
            <v>1.4</v>
          </cell>
          <cell r="AC27" t="b">
            <v>0</v>
          </cell>
          <cell r="AK27" t="str">
            <v>S1</v>
          </cell>
        </row>
        <row r="28">
          <cell r="G28">
            <v>41</v>
          </cell>
        </row>
        <row r="29">
          <cell r="B29" t="str">
            <v>4-8.12BIS</v>
          </cell>
          <cell r="C29">
            <v>4503</v>
          </cell>
          <cell r="L29" t="str">
            <v>HEB-320L</v>
          </cell>
          <cell r="M29" t="str">
            <v>C7R</v>
          </cell>
          <cell r="AM29" t="str">
            <v>PR1D</v>
          </cell>
        </row>
        <row r="31">
          <cell r="A31" t="str">
            <v>HDO-01</v>
          </cell>
          <cell r="B31" t="str">
            <v>4-8.13</v>
          </cell>
          <cell r="C31">
            <v>4544</v>
          </cell>
          <cell r="F31">
            <v>0</v>
          </cell>
          <cell r="H31" t="str">
            <v>AnRW</v>
          </cell>
          <cell r="L31" t="str">
            <v>HEB-240</v>
          </cell>
          <cell r="M31" t="str">
            <v>C3R</v>
          </cell>
          <cell r="N31" t="str">
            <v>EMT-1</v>
          </cell>
          <cell r="T31">
            <v>-20</v>
          </cell>
          <cell r="W31">
            <v>1.4</v>
          </cell>
          <cell r="AC31" t="str">
            <v>PH</v>
          </cell>
          <cell r="AJ31" t="str">
            <v>DISC/IO</v>
          </cell>
        </row>
        <row r="32">
          <cell r="G32">
            <v>36</v>
          </cell>
          <cell r="AJ32" t="str">
            <v>SECT-I</v>
          </cell>
        </row>
        <row r="33">
          <cell r="B33" t="str">
            <v>4-8.14</v>
          </cell>
          <cell r="C33">
            <v>4580</v>
          </cell>
          <cell r="F33">
            <v>0</v>
          </cell>
          <cell r="H33" t="str">
            <v>P50</v>
          </cell>
          <cell r="L33" t="str">
            <v>2HEB-240</v>
          </cell>
          <cell r="M33" t="str">
            <v>C2H-240</v>
          </cell>
          <cell r="N33" t="str">
            <v>EMT-1</v>
          </cell>
          <cell r="O33" t="str">
            <v>EMT-2</v>
          </cell>
          <cell r="P33" t="str">
            <v>EMT-T</v>
          </cell>
          <cell r="T33">
            <v>-30</v>
          </cell>
          <cell r="U33">
            <v>-15</v>
          </cell>
          <cell r="V33">
            <v>-55</v>
          </cell>
          <cell r="W33">
            <v>1.8</v>
          </cell>
          <cell r="X33">
            <v>1.4</v>
          </cell>
          <cell r="Y33">
            <v>2.2999999999999998</v>
          </cell>
          <cell r="AB33">
            <v>0.45</v>
          </cell>
          <cell r="AC33" t="str">
            <v>PH-Q</v>
          </cell>
        </row>
        <row r="34">
          <cell r="G34">
            <v>26.5</v>
          </cell>
          <cell r="H34" t="str">
            <v>AnRW</v>
          </cell>
          <cell r="J34">
            <v>4587.5</v>
          </cell>
          <cell r="K34" t="str">
            <v>AnM</v>
          </cell>
        </row>
        <row r="35">
          <cell r="B35" t="str">
            <v>4-8.15</v>
          </cell>
          <cell r="C35">
            <v>4606.5</v>
          </cell>
          <cell r="F35">
            <v>0</v>
          </cell>
          <cell r="H35" t="str">
            <v>P50 S/A A/S-Diang</v>
          </cell>
          <cell r="I35" t="str">
            <v>CP+AnMC</v>
          </cell>
          <cell r="L35" t="str">
            <v>2HEB-240 (CP)</v>
          </cell>
          <cell r="M35" t="str">
            <v>C2H-240</v>
          </cell>
          <cell r="N35" t="str">
            <v>EMT-2</v>
          </cell>
          <cell r="O35" t="str">
            <v>EMT-1</v>
          </cell>
          <cell r="T35">
            <v>30</v>
          </cell>
          <cell r="U35">
            <v>15</v>
          </cell>
          <cell r="W35">
            <v>1.4</v>
          </cell>
          <cell r="X35">
            <v>2.2999999999999998</v>
          </cell>
          <cell r="AC35" t="str">
            <v>PH</v>
          </cell>
          <cell r="AM35" t="str">
            <v>RW1</v>
          </cell>
        </row>
        <row r="36">
          <cell r="G36">
            <v>27</v>
          </cell>
          <cell r="I36">
            <v>460</v>
          </cell>
          <cell r="J36">
            <v>4614</v>
          </cell>
          <cell r="K36" t="str">
            <v>AnMC</v>
          </cell>
        </row>
        <row r="37">
          <cell r="B37" t="str">
            <v>4-8.16</v>
          </cell>
          <cell r="C37">
            <v>4633.5</v>
          </cell>
          <cell r="F37">
            <v>0</v>
          </cell>
          <cell r="H37" t="str">
            <v>S/A A/S-Diag</v>
          </cell>
          <cell r="I37" t="str">
            <v>CP+AnMC</v>
          </cell>
          <cell r="J37">
            <v>4641</v>
          </cell>
          <cell r="K37" t="str">
            <v>AnMC</v>
          </cell>
          <cell r="L37" t="str">
            <v>2HEB-240 (CP)</v>
          </cell>
          <cell r="M37" t="str">
            <v>C2H-240</v>
          </cell>
          <cell r="N37" t="str">
            <v>EMT-2</v>
          </cell>
          <cell r="O37" t="str">
            <v>EMT-T</v>
          </cell>
          <cell r="T37">
            <v>30</v>
          </cell>
          <cell r="U37">
            <v>50</v>
          </cell>
          <cell r="W37">
            <v>1.8</v>
          </cell>
          <cell r="X37">
            <v>1</v>
          </cell>
          <cell r="AA37">
            <v>0.45</v>
          </cell>
          <cell r="AC37" t="str">
            <v>PH</v>
          </cell>
          <cell r="AM37" t="str">
            <v>RW1</v>
          </cell>
        </row>
        <row r="38">
          <cell r="G38">
            <v>39</v>
          </cell>
          <cell r="I38">
            <v>206</v>
          </cell>
        </row>
        <row r="39">
          <cell r="B39" t="str">
            <v>4-8.17</v>
          </cell>
          <cell r="C39">
            <v>4672.5</v>
          </cell>
          <cell r="F39">
            <v>0</v>
          </cell>
          <cell r="H39" t="str">
            <v>A/S-Diang</v>
          </cell>
          <cell r="I39" t="str">
            <v>FP/Tunnel</v>
          </cell>
          <cell r="K39" t="str">
            <v>AnMC/Tunnel</v>
          </cell>
          <cell r="L39" t="str">
            <v>S1T</v>
          </cell>
          <cell r="N39" t="str">
            <v>EMT-1</v>
          </cell>
          <cell r="T39">
            <v>-20</v>
          </cell>
          <cell r="W39" t="str">
            <v>0.75</v>
          </cell>
          <cell r="AC39" t="str">
            <v>PH</v>
          </cell>
          <cell r="AM39" t="str">
            <v>RW1T-S</v>
          </cell>
        </row>
        <row r="40">
          <cell r="A40" t="str">
            <v>Tunnel</v>
          </cell>
          <cell r="G40">
            <v>40</v>
          </cell>
          <cell r="I40">
            <v>519</v>
          </cell>
          <cell r="J40">
            <v>4662.5</v>
          </cell>
        </row>
        <row r="41">
          <cell r="B41" t="str">
            <v>4-8.18</v>
          </cell>
          <cell r="C41">
            <v>4712.5</v>
          </cell>
          <cell r="F41">
            <v>0</v>
          </cell>
          <cell r="H41" t="str">
            <v>A/S-Diang</v>
          </cell>
          <cell r="I41" t="str">
            <v>FP/Tunnel</v>
          </cell>
          <cell r="J41">
            <v>4722.5</v>
          </cell>
          <cell r="K41" t="str">
            <v>AnMC/Tunnel</v>
          </cell>
          <cell r="L41" t="str">
            <v>S1T</v>
          </cell>
          <cell r="N41" t="str">
            <v>EMT-1</v>
          </cell>
          <cell r="T41">
            <v>-30</v>
          </cell>
          <cell r="W41" t="str">
            <v>0.75</v>
          </cell>
          <cell r="AC41" t="str">
            <v>PH</v>
          </cell>
          <cell r="AM41" t="str">
            <v>RW1T-S</v>
          </cell>
        </row>
        <row r="42">
          <cell r="G42">
            <v>36</v>
          </cell>
          <cell r="I42" t="str">
            <v>AnRW/Tunnel</v>
          </cell>
          <cell r="J42">
            <v>4737</v>
          </cell>
          <cell r="K42" t="str">
            <v>AnRW/Tunnel</v>
          </cell>
        </row>
        <row r="43">
          <cell r="B43" t="str">
            <v>4-8.19</v>
          </cell>
          <cell r="C43">
            <v>4748.5</v>
          </cell>
          <cell r="F43">
            <v>0</v>
          </cell>
          <cell r="H43" t="str">
            <v>S/A</v>
          </cell>
          <cell r="I43" t="str">
            <v>AnRW/Tunnel</v>
          </cell>
          <cell r="J43">
            <v>4737</v>
          </cell>
          <cell r="K43" t="str">
            <v>AnRW/Tunnel</v>
          </cell>
          <cell r="L43" t="str">
            <v>2HEB-240</v>
          </cell>
          <cell r="M43" t="str">
            <v>C2H-240</v>
          </cell>
          <cell r="N43" t="str">
            <v>EMT-T</v>
          </cell>
          <cell r="O43" t="str">
            <v>EMT-2</v>
          </cell>
          <cell r="T43">
            <v>15</v>
          </cell>
          <cell r="U43">
            <v>35</v>
          </cell>
          <cell r="W43">
            <v>1.8</v>
          </cell>
          <cell r="X43">
            <v>1</v>
          </cell>
          <cell r="Z43">
            <v>0.45</v>
          </cell>
          <cell r="AM43" t="str">
            <v>RW2</v>
          </cell>
        </row>
        <row r="44">
          <cell r="G44">
            <v>45</v>
          </cell>
          <cell r="I44">
            <v>615</v>
          </cell>
        </row>
        <row r="45">
          <cell r="B45" t="str">
            <v>4-8.20</v>
          </cell>
          <cell r="C45">
            <v>4793.5</v>
          </cell>
          <cell r="F45">
            <v>0</v>
          </cell>
          <cell r="H45" t="str">
            <v>S/A</v>
          </cell>
          <cell r="L45" t="str">
            <v>2HEB-240</v>
          </cell>
          <cell r="M45" t="str">
            <v>C2H-240</v>
          </cell>
          <cell r="N45" t="str">
            <v>EMT-1</v>
          </cell>
          <cell r="O45" t="str">
            <v>EMT-T</v>
          </cell>
          <cell r="T45">
            <v>-30</v>
          </cell>
          <cell r="U45">
            <v>-10</v>
          </cell>
          <cell r="W45">
            <v>2.2999999999999998</v>
          </cell>
          <cell r="X45">
            <v>1.4</v>
          </cell>
          <cell r="AA45">
            <v>0.45</v>
          </cell>
          <cell r="AC45" t="str">
            <v>PH</v>
          </cell>
          <cell r="AM45" t="str">
            <v>RW2</v>
          </cell>
        </row>
        <row r="46">
          <cell r="G46">
            <v>38.5</v>
          </cell>
        </row>
        <row r="47">
          <cell r="B47" t="str">
            <v>4-8.21</v>
          </cell>
          <cell r="C47">
            <v>4832</v>
          </cell>
          <cell r="F47">
            <v>0</v>
          </cell>
          <cell r="H47" t="str">
            <v>A/S</v>
          </cell>
          <cell r="I47" t="str">
            <v>CP+AnMC</v>
          </cell>
          <cell r="L47" t="str">
            <v>HEB-260 (CP)</v>
          </cell>
          <cell r="M47" t="str">
            <v>C4R</v>
          </cell>
          <cell r="N47" t="str">
            <v>EMT-2</v>
          </cell>
          <cell r="T47">
            <v>30</v>
          </cell>
          <cell r="W47">
            <v>1.4</v>
          </cell>
          <cell r="AC47" t="str">
            <v>PH</v>
          </cell>
          <cell r="AM47" t="str">
            <v>RW2</v>
          </cell>
        </row>
        <row r="48">
          <cell r="G48">
            <v>36.5</v>
          </cell>
          <cell r="J48">
            <v>4839.5</v>
          </cell>
          <cell r="K48" t="str">
            <v>AnMC</v>
          </cell>
        </row>
        <row r="49">
          <cell r="B49" t="str">
            <v>98-08.15</v>
          </cell>
          <cell r="C49">
            <v>98569.5</v>
          </cell>
          <cell r="F49">
            <v>327</v>
          </cell>
          <cell r="L49" t="str">
            <v>HEB-260</v>
          </cell>
          <cell r="M49" t="str">
            <v>C4R</v>
          </cell>
          <cell r="N49" t="str">
            <v>EMT-2</v>
          </cell>
          <cell r="T49">
            <v>35</v>
          </cell>
          <cell r="W49">
            <v>1.4</v>
          </cell>
          <cell r="AC49" t="str">
            <v>PH-C</v>
          </cell>
          <cell r="AM49" t="str">
            <v>RW2</v>
          </cell>
        </row>
        <row r="50">
          <cell r="G50">
            <v>34</v>
          </cell>
        </row>
        <row r="51">
          <cell r="B51" t="str">
            <v>98-08.16</v>
          </cell>
          <cell r="C51">
            <v>98603.5</v>
          </cell>
          <cell r="F51">
            <v>-168</v>
          </cell>
          <cell r="L51" t="str">
            <v>2HEB-320L</v>
          </cell>
          <cell r="M51" t="str">
            <v>C2H-320R</v>
          </cell>
          <cell r="N51" t="str">
            <v>EMT-1</v>
          </cell>
          <cell r="T51">
            <v>-35</v>
          </cell>
          <cell r="W51">
            <v>1.4</v>
          </cell>
          <cell r="AC51" t="str">
            <v>PH-C</v>
          </cell>
          <cell r="AL51" t="str">
            <v>PR1E</v>
          </cell>
          <cell r="AM51" t="str">
            <v>RW2</v>
          </cell>
        </row>
        <row r="52">
          <cell r="G52">
            <v>33</v>
          </cell>
        </row>
        <row r="53">
          <cell r="B53" t="str">
            <v>98-08.17</v>
          </cell>
          <cell r="C53">
            <v>98636.5</v>
          </cell>
          <cell r="F53">
            <v>0</v>
          </cell>
          <cell r="H53" t="str">
            <v>S/A</v>
          </cell>
          <cell r="L53" t="str">
            <v>HEB-320L</v>
          </cell>
          <cell r="M53" t="str">
            <v>C7R</v>
          </cell>
          <cell r="N53" t="str">
            <v>EMT-1</v>
          </cell>
          <cell r="O53" t="str">
            <v>EMT-T</v>
          </cell>
          <cell r="T53">
            <v>-35</v>
          </cell>
          <cell r="U53">
            <v>55</v>
          </cell>
          <cell r="W53">
            <v>2.2999999999999998</v>
          </cell>
          <cell r="X53">
            <v>1.4</v>
          </cell>
          <cell r="AA53">
            <v>0.6</v>
          </cell>
          <cell r="AC53" t="str">
            <v>PH</v>
          </cell>
          <cell r="AL53" t="str">
            <v>PR1D</v>
          </cell>
          <cell r="AM53" t="str">
            <v>RW2</v>
          </cell>
        </row>
        <row r="54">
          <cell r="G54">
            <v>36</v>
          </cell>
        </row>
        <row r="131">
          <cell r="B131" t="str">
            <v>Possible Signalling Interface Detected</v>
          </cell>
        </row>
        <row r="132">
          <cell r="B132" t="str">
            <v>Sorted out by using "L"foundation</v>
          </cell>
        </row>
        <row r="133">
          <cell r="B133" t="str">
            <v>Sorted out by reducing gauge up to 2.90m</v>
          </cell>
        </row>
        <row r="134">
          <cell r="B134" t="str">
            <v>Special and particular solution to be applied</v>
          </cell>
        </row>
      </sheetData>
      <sheetData sheetId="9">
        <row r="2">
          <cell r="I2" t="str">
            <v>Anchorage</v>
          </cell>
        </row>
        <row r="3">
          <cell r="O3" t="str">
            <v>M2</v>
          </cell>
        </row>
        <row r="5">
          <cell r="B5" t="str">
            <v>4-9.01</v>
          </cell>
          <cell r="C5">
            <v>4148</v>
          </cell>
          <cell r="F5">
            <v>0</v>
          </cell>
          <cell r="H5" t="str">
            <v>A/S-Diang</v>
          </cell>
          <cell r="I5" t="str">
            <v>FP+AnMC</v>
          </cell>
          <cell r="L5" t="str">
            <v>2HEB-320(A)</v>
          </cell>
          <cell r="M5" t="str">
            <v>C2H-320R</v>
          </cell>
          <cell r="T5">
            <v>0</v>
          </cell>
        </row>
        <row r="6">
          <cell r="G6">
            <v>28</v>
          </cell>
          <cell r="H6">
            <v>460</v>
          </cell>
        </row>
        <row r="7">
          <cell r="B7" t="str">
            <v>4-8.02</v>
          </cell>
          <cell r="C7">
            <v>4176</v>
          </cell>
          <cell r="F7">
            <v>0</v>
          </cell>
          <cell r="H7" t="str">
            <v>S/A</v>
          </cell>
          <cell r="N7" t="str">
            <v>EMT-T</v>
          </cell>
          <cell r="O7" t="str">
            <v>EMT-1</v>
          </cell>
          <cell r="T7">
            <v>-15</v>
          </cell>
          <cell r="U7">
            <v>-30</v>
          </cell>
          <cell r="W7">
            <v>1.4</v>
          </cell>
          <cell r="X7">
            <v>2.2999999999999998</v>
          </cell>
          <cell r="Z7">
            <v>0.45</v>
          </cell>
        </row>
        <row r="8">
          <cell r="G8">
            <v>31.5</v>
          </cell>
        </row>
        <row r="9">
          <cell r="B9" t="str">
            <v>4-8.03</v>
          </cell>
          <cell r="C9">
            <v>4207.5</v>
          </cell>
          <cell r="F9">
            <v>0</v>
          </cell>
          <cell r="H9" t="str">
            <v>P50</v>
          </cell>
          <cell r="N9" t="str">
            <v>EMT-2</v>
          </cell>
          <cell r="O9" t="str">
            <v>EMT-1</v>
          </cell>
          <cell r="T9">
            <v>-15</v>
          </cell>
          <cell r="U9">
            <v>-30</v>
          </cell>
          <cell r="W9">
            <v>1.4</v>
          </cell>
          <cell r="X9">
            <v>2.2999999999999998</v>
          </cell>
          <cell r="AC9" t="str">
            <v>PH</v>
          </cell>
        </row>
        <row r="10">
          <cell r="G10">
            <v>37</v>
          </cell>
        </row>
        <row r="11">
          <cell r="B11" t="str">
            <v>4-9.04</v>
          </cell>
          <cell r="C11">
            <v>4244.5</v>
          </cell>
          <cell r="F11">
            <v>-358</v>
          </cell>
          <cell r="N11" t="str">
            <v>EMT-1P</v>
          </cell>
          <cell r="T11">
            <v>-35</v>
          </cell>
          <cell r="W11">
            <v>1.4</v>
          </cell>
          <cell r="AC11" t="str">
            <v>PH-C</v>
          </cell>
          <cell r="AK11" t="str">
            <v>S1</v>
          </cell>
        </row>
        <row r="12">
          <cell r="G12">
            <v>38.5</v>
          </cell>
        </row>
        <row r="13">
          <cell r="B13" t="str">
            <v>4-9.05</v>
          </cell>
          <cell r="C13">
            <v>4283</v>
          </cell>
          <cell r="F13">
            <v>0</v>
          </cell>
          <cell r="N13" t="str">
            <v>EMT-1P</v>
          </cell>
          <cell r="T13">
            <v>-35</v>
          </cell>
          <cell r="W13">
            <v>1.4</v>
          </cell>
          <cell r="AC13" t="str">
            <v>PH</v>
          </cell>
          <cell r="AK13" t="str">
            <v>S1</v>
          </cell>
        </row>
        <row r="14">
          <cell r="G14">
            <v>34.5</v>
          </cell>
        </row>
        <row r="15">
          <cell r="B15" t="str">
            <v>4-9.06</v>
          </cell>
          <cell r="C15">
            <v>4317.5</v>
          </cell>
          <cell r="F15">
            <v>0</v>
          </cell>
          <cell r="N15" t="str">
            <v>EMT-2P</v>
          </cell>
          <cell r="T15">
            <v>20</v>
          </cell>
          <cell r="W15">
            <v>1.4</v>
          </cell>
          <cell r="AC15" t="str">
            <v>PH</v>
          </cell>
          <cell r="AK15" t="str">
            <v>S1</v>
          </cell>
        </row>
        <row r="16">
          <cell r="G16">
            <v>40.5</v>
          </cell>
        </row>
        <row r="17">
          <cell r="B17" t="str">
            <v>4-9.07</v>
          </cell>
          <cell r="C17">
            <v>4358</v>
          </cell>
          <cell r="F17">
            <v>0</v>
          </cell>
          <cell r="N17" t="str">
            <v>EMT-2P</v>
          </cell>
          <cell r="T17">
            <v>35</v>
          </cell>
          <cell r="W17">
            <v>1.4</v>
          </cell>
          <cell r="AC17" t="str">
            <v>PH</v>
          </cell>
          <cell r="AK17" t="str">
            <v>S1</v>
          </cell>
        </row>
        <row r="18">
          <cell r="G18">
            <v>37</v>
          </cell>
        </row>
        <row r="19">
          <cell r="B19" t="str">
            <v>4-9.08</v>
          </cell>
          <cell r="C19">
            <v>4395</v>
          </cell>
          <cell r="F19">
            <v>-353</v>
          </cell>
          <cell r="N19" t="str">
            <v>EMT-1P</v>
          </cell>
          <cell r="T19">
            <v>-35</v>
          </cell>
          <cell r="W19">
            <v>1.4</v>
          </cell>
          <cell r="AC19" t="str">
            <v>PH-C</v>
          </cell>
          <cell r="AK19" t="str">
            <v>S1</v>
          </cell>
        </row>
        <row r="20">
          <cell r="G20">
            <v>27</v>
          </cell>
        </row>
        <row r="21">
          <cell r="B21" t="str">
            <v>4-9.09</v>
          </cell>
          <cell r="C21">
            <v>4422</v>
          </cell>
          <cell r="F21">
            <v>-353</v>
          </cell>
          <cell r="N21" t="str">
            <v>EMT-1P</v>
          </cell>
          <cell r="T21">
            <v>-35</v>
          </cell>
          <cell r="W21">
            <v>1.4</v>
          </cell>
          <cell r="AC21" t="str">
            <v>PH-C</v>
          </cell>
          <cell r="AK21" t="str">
            <v>S1</v>
          </cell>
        </row>
        <row r="22">
          <cell r="G22">
            <v>27</v>
          </cell>
        </row>
        <row r="23">
          <cell r="B23" t="str">
            <v>4-9.10</v>
          </cell>
          <cell r="C23">
            <v>4449</v>
          </cell>
          <cell r="F23">
            <v>-353</v>
          </cell>
          <cell r="N23" t="str">
            <v>EMT-1P</v>
          </cell>
          <cell r="T23">
            <v>-30</v>
          </cell>
          <cell r="W23">
            <v>1.4</v>
          </cell>
          <cell r="AC23" t="str">
            <v>PH-C</v>
          </cell>
          <cell r="AK23" t="str">
            <v>S1</v>
          </cell>
        </row>
        <row r="24">
          <cell r="G24">
            <v>27</v>
          </cell>
        </row>
        <row r="25">
          <cell r="B25" t="str">
            <v>4-9.11</v>
          </cell>
          <cell r="C25">
            <v>4476</v>
          </cell>
          <cell r="F25">
            <v>-353</v>
          </cell>
          <cell r="N25" t="str">
            <v>EMT-1P</v>
          </cell>
          <cell r="T25">
            <v>-35</v>
          </cell>
          <cell r="W25">
            <v>1.4</v>
          </cell>
          <cell r="AC25" t="str">
            <v>PH-C</v>
          </cell>
          <cell r="AK25" t="str">
            <v>S1</v>
          </cell>
        </row>
        <row r="26">
          <cell r="G26">
            <v>27</v>
          </cell>
        </row>
        <row r="27">
          <cell r="B27" t="str">
            <v>4-9.12</v>
          </cell>
          <cell r="C27">
            <v>4503</v>
          </cell>
          <cell r="F27">
            <v>-353</v>
          </cell>
          <cell r="N27" t="str">
            <v>EMT-1P</v>
          </cell>
          <cell r="T27">
            <v>-30</v>
          </cell>
          <cell r="W27">
            <v>1.4</v>
          </cell>
          <cell r="AC27" t="str">
            <v>PH-C</v>
          </cell>
          <cell r="AK27" t="str">
            <v>S1</v>
          </cell>
        </row>
        <row r="28">
          <cell r="G28">
            <v>27</v>
          </cell>
        </row>
        <row r="29">
          <cell r="B29" t="str">
            <v>4-9.13</v>
          </cell>
          <cell r="C29">
            <v>4530</v>
          </cell>
          <cell r="F29">
            <v>0</v>
          </cell>
          <cell r="H29" t="str">
            <v>AnRW</v>
          </cell>
          <cell r="L29" t="str">
            <v>HEB-240</v>
          </cell>
          <cell r="M29" t="str">
            <v>C3R</v>
          </cell>
          <cell r="N29" t="str">
            <v>EMT-2</v>
          </cell>
          <cell r="T29">
            <v>20</v>
          </cell>
          <cell r="W29">
            <v>1.4</v>
          </cell>
          <cell r="AC29" t="str">
            <v>PH-Q</v>
          </cell>
        </row>
        <row r="30">
          <cell r="G30">
            <v>30</v>
          </cell>
        </row>
        <row r="31">
          <cell r="T31">
            <v>0</v>
          </cell>
        </row>
        <row r="94">
          <cell r="I94">
            <v>0</v>
          </cell>
        </row>
        <row r="96">
          <cell r="I96">
            <v>0</v>
          </cell>
        </row>
        <row r="131">
          <cell r="B131" t="str">
            <v>Possible Signalling Interface Detected</v>
          </cell>
        </row>
        <row r="132">
          <cell r="B132" t="str">
            <v>Sorted out by using "L"foundation</v>
          </cell>
        </row>
        <row r="133">
          <cell r="B133" t="str">
            <v>Sorted out by reducing gauge up to 2.90m</v>
          </cell>
        </row>
        <row r="134">
          <cell r="B134" t="str">
            <v>Special and particular solution to be applied</v>
          </cell>
        </row>
      </sheetData>
      <sheetData sheetId="10">
        <row r="2">
          <cell r="I2" t="str">
            <v>Anchorage</v>
          </cell>
        </row>
        <row r="3">
          <cell r="O3" t="str">
            <v>M2</v>
          </cell>
        </row>
        <row r="5">
          <cell r="B5" t="str">
            <v>4-10.01</v>
          </cell>
          <cell r="C5">
            <v>4148</v>
          </cell>
          <cell r="F5">
            <v>0</v>
          </cell>
          <cell r="H5" t="str">
            <v>A/S-Diang</v>
          </cell>
          <cell r="I5" t="str">
            <v>FP+AnMC</v>
          </cell>
          <cell r="L5" t="str">
            <v>2HEB-320(A)</v>
          </cell>
          <cell r="M5" t="str">
            <v>C2H-320R</v>
          </cell>
          <cell r="T5">
            <v>0</v>
          </cell>
        </row>
        <row r="6">
          <cell r="G6">
            <v>28</v>
          </cell>
        </row>
        <row r="7">
          <cell r="B7" t="str">
            <v>4-10.02</v>
          </cell>
          <cell r="C7">
            <v>4176</v>
          </cell>
          <cell r="F7">
            <v>0</v>
          </cell>
          <cell r="L7" t="str">
            <v>HEB-240_s</v>
          </cell>
          <cell r="M7" t="str">
            <v>C3R</v>
          </cell>
          <cell r="N7" t="str">
            <v>EMT-1</v>
          </cell>
          <cell r="T7">
            <v>-35</v>
          </cell>
          <cell r="W7">
            <v>1.4</v>
          </cell>
          <cell r="AC7" t="str">
            <v>PH-Q</v>
          </cell>
          <cell r="AM7" t="str">
            <v>RW1</v>
          </cell>
        </row>
        <row r="8">
          <cell r="G8">
            <v>31.5</v>
          </cell>
        </row>
        <row r="9">
          <cell r="B9" t="str">
            <v>4-10.03</v>
          </cell>
          <cell r="C9">
            <v>4207.5</v>
          </cell>
          <cell r="F9">
            <v>0</v>
          </cell>
          <cell r="L9" t="str">
            <v>HEB-240_s</v>
          </cell>
          <cell r="M9" t="str">
            <v>C3R</v>
          </cell>
          <cell r="N9" t="str">
            <v>EMT-2</v>
          </cell>
          <cell r="T9">
            <v>35</v>
          </cell>
          <cell r="W9">
            <v>1.4</v>
          </cell>
          <cell r="AC9" t="str">
            <v>PH-C</v>
          </cell>
          <cell r="AM9" t="str">
            <v>RW1</v>
          </cell>
        </row>
        <row r="10">
          <cell r="G10">
            <v>37</v>
          </cell>
        </row>
        <row r="11">
          <cell r="B11" t="str">
            <v>4-10.04</v>
          </cell>
          <cell r="C11">
            <v>4244.5</v>
          </cell>
          <cell r="F11">
            <v>0</v>
          </cell>
          <cell r="L11" t="str">
            <v>2HEB-450LL</v>
          </cell>
          <cell r="M11" t="str">
            <v>-</v>
          </cell>
          <cell r="N11" t="str">
            <v>EMT-1</v>
          </cell>
          <cell r="T11">
            <v>-35</v>
          </cell>
          <cell r="W11">
            <v>1.4</v>
          </cell>
          <cell r="AC11" t="str">
            <v>PH-Q</v>
          </cell>
          <cell r="AL11" t="str">
            <v>SPR1</v>
          </cell>
          <cell r="AM11" t="str">
            <v>RW1</v>
          </cell>
        </row>
        <row r="12">
          <cell r="G12">
            <v>38.5</v>
          </cell>
        </row>
        <row r="13">
          <cell r="B13" t="str">
            <v>4-10.05</v>
          </cell>
          <cell r="C13">
            <v>4283</v>
          </cell>
          <cell r="F13">
            <v>0</v>
          </cell>
          <cell r="L13" t="str">
            <v>2HEB-450LL</v>
          </cell>
          <cell r="M13" t="str">
            <v>-</v>
          </cell>
          <cell r="N13" t="str">
            <v>EMT-2</v>
          </cell>
          <cell r="T13">
            <v>35</v>
          </cell>
          <cell r="W13">
            <v>1.4</v>
          </cell>
          <cell r="AC13" t="str">
            <v>PH-C</v>
          </cell>
          <cell r="AL13" t="str">
            <v>SPR1</v>
          </cell>
          <cell r="AM13" t="str">
            <v>RW1</v>
          </cell>
        </row>
        <row r="14">
          <cell r="G14">
            <v>34.5</v>
          </cell>
        </row>
        <row r="15">
          <cell r="B15" t="str">
            <v>4-10.06</v>
          </cell>
          <cell r="C15">
            <v>4317.5</v>
          </cell>
          <cell r="F15">
            <v>0</v>
          </cell>
          <cell r="L15" t="str">
            <v>2HEB-450LL</v>
          </cell>
          <cell r="M15" t="str">
            <v>-</v>
          </cell>
          <cell r="N15" t="str">
            <v>EMT-1</v>
          </cell>
          <cell r="T15">
            <v>-35</v>
          </cell>
          <cell r="W15">
            <v>1.4</v>
          </cell>
          <cell r="AC15" t="str">
            <v>PH-Q</v>
          </cell>
          <cell r="AL15" t="str">
            <v>SPR1</v>
          </cell>
          <cell r="AM15" t="str">
            <v>RW1</v>
          </cell>
        </row>
        <row r="16">
          <cell r="G16">
            <v>40.5</v>
          </cell>
        </row>
        <row r="17">
          <cell r="B17" t="str">
            <v>4-10.07</v>
          </cell>
          <cell r="C17">
            <v>4358</v>
          </cell>
          <cell r="F17">
            <v>0</v>
          </cell>
          <cell r="L17" t="str">
            <v>2HEB-450LL</v>
          </cell>
          <cell r="M17" t="str">
            <v>-</v>
          </cell>
          <cell r="N17" t="str">
            <v>EMT-2</v>
          </cell>
          <cell r="T17">
            <v>35</v>
          </cell>
          <cell r="W17">
            <v>1.4</v>
          </cell>
          <cell r="AC17" t="str">
            <v>PH-Q</v>
          </cell>
          <cell r="AL17" t="str">
            <v>SPR1</v>
          </cell>
          <cell r="AM17" t="str">
            <v>RW1</v>
          </cell>
        </row>
        <row r="18">
          <cell r="G18">
            <v>37</v>
          </cell>
        </row>
        <row r="19">
          <cell r="B19" t="str">
            <v>4-10.08</v>
          </cell>
          <cell r="C19">
            <v>4395</v>
          </cell>
          <cell r="F19">
            <v>-225</v>
          </cell>
          <cell r="L19" t="str">
            <v>2HEB-450LL</v>
          </cell>
          <cell r="M19" t="str">
            <v>-</v>
          </cell>
          <cell r="N19" t="str">
            <v>EMT-1</v>
          </cell>
          <cell r="T19">
            <v>-35</v>
          </cell>
          <cell r="W19">
            <v>1.4</v>
          </cell>
          <cell r="AC19" t="str">
            <v>PH-C</v>
          </cell>
          <cell r="AL19" t="str">
            <v>SPR1</v>
          </cell>
          <cell r="AM19" t="str">
            <v>RW1</v>
          </cell>
        </row>
        <row r="20">
          <cell r="G20">
            <v>27</v>
          </cell>
        </row>
        <row r="21">
          <cell r="B21" t="str">
            <v>4-10.09</v>
          </cell>
          <cell r="C21">
            <v>4422</v>
          </cell>
          <cell r="F21">
            <v>-225</v>
          </cell>
          <cell r="L21" t="str">
            <v>HEB-280L</v>
          </cell>
          <cell r="M21" t="str">
            <v>C5R</v>
          </cell>
          <cell r="N21" t="str">
            <v>EMT-1</v>
          </cell>
          <cell r="T21">
            <v>-30</v>
          </cell>
          <cell r="W21">
            <v>1.4</v>
          </cell>
          <cell r="AC21" t="str">
            <v>PH-C</v>
          </cell>
          <cell r="AL21" t="str">
            <v>PR1B</v>
          </cell>
          <cell r="AM21" t="str">
            <v>RW1</v>
          </cell>
        </row>
        <row r="22">
          <cell r="G22">
            <v>27</v>
          </cell>
        </row>
        <row r="23">
          <cell r="B23" t="str">
            <v>4-10.10</v>
          </cell>
          <cell r="C23">
            <v>4449</v>
          </cell>
          <cell r="F23">
            <v>-225</v>
          </cell>
          <cell r="L23" t="str">
            <v>HEB-280L</v>
          </cell>
          <cell r="M23" t="str">
            <v>C5R</v>
          </cell>
          <cell r="N23" t="str">
            <v>EMT-1</v>
          </cell>
          <cell r="T23">
            <v>-30</v>
          </cell>
          <cell r="W23">
            <v>1.4</v>
          </cell>
          <cell r="AC23" t="str">
            <v>PH-C</v>
          </cell>
          <cell r="AL23" t="str">
            <v>PR1B</v>
          </cell>
          <cell r="AM23" t="str">
            <v>RW1</v>
          </cell>
        </row>
        <row r="24">
          <cell r="G24">
            <v>27</v>
          </cell>
        </row>
        <row r="25">
          <cell r="B25" t="str">
            <v>4-10.11</v>
          </cell>
          <cell r="C25">
            <v>4476</v>
          </cell>
          <cell r="F25">
            <v>-225</v>
          </cell>
          <cell r="L25" t="str">
            <v>HEB-280L</v>
          </cell>
          <cell r="M25" t="str">
            <v>C5R</v>
          </cell>
          <cell r="N25" t="str">
            <v>EMT-1</v>
          </cell>
          <cell r="T25">
            <v>-30</v>
          </cell>
          <cell r="W25">
            <v>1.4</v>
          </cell>
          <cell r="AC25" t="str">
            <v>PH-C</v>
          </cell>
          <cell r="AL25" t="str">
            <v>PR1B</v>
          </cell>
          <cell r="AM25" t="str">
            <v>RW1</v>
          </cell>
        </row>
        <row r="26">
          <cell r="G26">
            <v>27</v>
          </cell>
        </row>
        <row r="27">
          <cell r="B27" t="str">
            <v>4-10.12</v>
          </cell>
          <cell r="C27">
            <v>4503</v>
          </cell>
          <cell r="F27">
            <v>-225</v>
          </cell>
          <cell r="L27" t="str">
            <v>HEB-320L</v>
          </cell>
          <cell r="M27" t="str">
            <v>C7R</v>
          </cell>
          <cell r="N27" t="str">
            <v>EMT-1</v>
          </cell>
          <cell r="T27">
            <v>-30</v>
          </cell>
          <cell r="W27">
            <v>1.4</v>
          </cell>
          <cell r="AC27" t="str">
            <v>PH-C</v>
          </cell>
          <cell r="AL27" t="str">
            <v>PR1D</v>
          </cell>
          <cell r="AM27" t="str">
            <v>RW1</v>
          </cell>
        </row>
        <row r="28">
          <cell r="G28">
            <v>27</v>
          </cell>
        </row>
        <row r="29">
          <cell r="B29" t="str">
            <v>4-10.13</v>
          </cell>
          <cell r="C29">
            <v>4530</v>
          </cell>
          <cell r="F29">
            <v>-225</v>
          </cell>
          <cell r="L29" t="str">
            <v>HEB-260</v>
          </cell>
          <cell r="M29" t="str">
            <v>C4R</v>
          </cell>
          <cell r="N29" t="str">
            <v>EMT-1</v>
          </cell>
          <cell r="T29">
            <v>-30</v>
          </cell>
          <cell r="W29">
            <v>1.4</v>
          </cell>
          <cell r="AC29" t="str">
            <v>PH-C</v>
          </cell>
          <cell r="AM29" t="str">
            <v>RW1</v>
          </cell>
        </row>
        <row r="30">
          <cell r="G30">
            <v>27</v>
          </cell>
        </row>
        <row r="31">
          <cell r="B31" t="str">
            <v>4-10.14</v>
          </cell>
          <cell r="C31">
            <v>4558</v>
          </cell>
          <cell r="F31">
            <v>-225</v>
          </cell>
          <cell r="H31" t="str">
            <v>P50</v>
          </cell>
          <cell r="L31" t="str">
            <v>2HEB-240</v>
          </cell>
          <cell r="M31" t="str">
            <v>C2H-240</v>
          </cell>
          <cell r="N31" t="str">
            <v>EMT-2</v>
          </cell>
          <cell r="O31" t="str">
            <v>EMT-1</v>
          </cell>
          <cell r="T31">
            <v>30</v>
          </cell>
          <cell r="U31">
            <v>15</v>
          </cell>
          <cell r="W31">
            <v>1.4</v>
          </cell>
          <cell r="X31">
            <v>2.2999999999999998</v>
          </cell>
          <cell r="AC31" t="str">
            <v>PH-C</v>
          </cell>
          <cell r="AM31" t="str">
            <v>RW1</v>
          </cell>
        </row>
        <row r="32">
          <cell r="G32">
            <v>26.5</v>
          </cell>
        </row>
        <row r="33">
          <cell r="A33" t="str">
            <v>HDO-02</v>
          </cell>
          <cell r="B33" t="str">
            <v>4-10.15</v>
          </cell>
          <cell r="C33">
            <v>4584.5</v>
          </cell>
          <cell r="F33">
            <v>0</v>
          </cell>
          <cell r="H33" t="str">
            <v>S/A</v>
          </cell>
          <cell r="L33" t="str">
            <v>2HEB-240</v>
          </cell>
          <cell r="M33" t="str">
            <v>C2H-240</v>
          </cell>
          <cell r="N33" t="str">
            <v>EMT-1</v>
          </cell>
          <cell r="O33" t="str">
            <v>EMT-T</v>
          </cell>
          <cell r="T33">
            <v>-5</v>
          </cell>
          <cell r="U33">
            <v>-35</v>
          </cell>
          <cell r="W33">
            <v>1.4</v>
          </cell>
          <cell r="X33">
            <v>2.2999999999999998</v>
          </cell>
          <cell r="AA33">
            <v>0.45</v>
          </cell>
          <cell r="AC33" t="b">
            <v>0</v>
          </cell>
          <cell r="AJ33" t="str">
            <v>DISC/IO</v>
          </cell>
          <cell r="AM33" t="str">
            <v>RW1</v>
          </cell>
        </row>
        <row r="34">
          <cell r="AJ34" t="str">
            <v>SECT-I</v>
          </cell>
        </row>
        <row r="95">
          <cell r="I95">
            <v>0</v>
          </cell>
        </row>
        <row r="97">
          <cell r="I97">
            <v>0</v>
          </cell>
        </row>
        <row r="132">
          <cell r="B132" t="str">
            <v>Possible Signalling Interface Detected</v>
          </cell>
        </row>
        <row r="133">
          <cell r="B133" t="str">
            <v>Sorted out by using "L"foundation</v>
          </cell>
        </row>
        <row r="134">
          <cell r="B134" t="str">
            <v>Sorted out by reducing gauge up to 2.90m</v>
          </cell>
        </row>
        <row r="135">
          <cell r="B135" t="str">
            <v>Special and particular solution to be applied</v>
          </cell>
        </row>
      </sheetData>
      <sheetData sheetId="11">
        <row r="2">
          <cell r="I2" t="str">
            <v>Anchorage</v>
          </cell>
        </row>
        <row r="3">
          <cell r="O3" t="str">
            <v>M2</v>
          </cell>
        </row>
        <row r="4">
          <cell r="G4">
            <v>55.5</v>
          </cell>
          <cell r="J4">
            <v>5413.5</v>
          </cell>
          <cell r="K4" t="str">
            <v>AnMC</v>
          </cell>
        </row>
        <row r="5">
          <cell r="B5" t="str">
            <v>5-1.01</v>
          </cell>
          <cell r="C5">
            <v>5421</v>
          </cell>
          <cell r="F5">
            <v>0</v>
          </cell>
          <cell r="H5" t="str">
            <v>A/S</v>
          </cell>
          <cell r="I5" t="str">
            <v>CP+AnMC</v>
          </cell>
          <cell r="L5" t="str">
            <v>HEB-260 (CP)</v>
          </cell>
          <cell r="M5" t="str">
            <v>C4R</v>
          </cell>
          <cell r="N5" t="str">
            <v>EMT-1</v>
          </cell>
          <cell r="Q5">
            <v>0</v>
          </cell>
          <cell r="R5">
            <v>0</v>
          </cell>
          <cell r="T5">
            <v>-35</v>
          </cell>
          <cell r="W5">
            <v>1.4</v>
          </cell>
          <cell r="AC5" t="str">
            <v>PH-1150</v>
          </cell>
          <cell r="AF5">
            <v>6000</v>
          </cell>
          <cell r="AG5">
            <v>5420.71</v>
          </cell>
          <cell r="AH5">
            <v>2628</v>
          </cell>
          <cell r="AI5">
            <v>661</v>
          </cell>
          <cell r="AM5" t="str">
            <v>RW2</v>
          </cell>
        </row>
        <row r="6">
          <cell r="G6">
            <v>60</v>
          </cell>
          <cell r="S6">
            <v>60.039999999999964</v>
          </cell>
        </row>
        <row r="7">
          <cell r="B7" t="str">
            <v>5-1.02</v>
          </cell>
          <cell r="C7">
            <v>5481</v>
          </cell>
          <cell r="F7">
            <v>0</v>
          </cell>
          <cell r="H7" t="str">
            <v>S/A</v>
          </cell>
          <cell r="L7" t="str">
            <v>HEB-260</v>
          </cell>
          <cell r="M7" t="str">
            <v>C4R</v>
          </cell>
          <cell r="N7" t="str">
            <v>EMT-T</v>
          </cell>
          <cell r="O7" t="str">
            <v>EMT-2</v>
          </cell>
          <cell r="Q7">
            <v>0</v>
          </cell>
          <cell r="R7">
            <v>0</v>
          </cell>
          <cell r="T7">
            <v>55</v>
          </cell>
          <cell r="U7">
            <v>10</v>
          </cell>
          <cell r="W7">
            <v>1.4</v>
          </cell>
          <cell r="X7">
            <v>2.2999999999999998</v>
          </cell>
          <cell r="Z7">
            <v>0.6</v>
          </cell>
          <cell r="AD7" t="str">
            <v>PH-1150</v>
          </cell>
          <cell r="AF7">
            <v>6000</v>
          </cell>
          <cell r="AG7">
            <v>5480.75</v>
          </cell>
          <cell r="AH7">
            <v>2462</v>
          </cell>
          <cell r="AI7">
            <v>719</v>
          </cell>
          <cell r="AM7" t="str">
            <v>RW2</v>
          </cell>
        </row>
        <row r="8">
          <cell r="G8">
            <v>56</v>
          </cell>
          <cell r="S8">
            <v>56.010000000000218</v>
          </cell>
        </row>
        <row r="9">
          <cell r="A9" t="str">
            <v xml:space="preserve"> TSO-15</v>
          </cell>
          <cell r="B9" t="str">
            <v>5-1.03</v>
          </cell>
          <cell r="C9">
            <v>5537</v>
          </cell>
          <cell r="F9">
            <v>0</v>
          </cell>
          <cell r="H9" t="str">
            <v>S/A</v>
          </cell>
          <cell r="I9" t="str">
            <v>IO</v>
          </cell>
          <cell r="L9" t="str">
            <v>2HEB-240</v>
          </cell>
          <cell r="M9" t="str">
            <v>C2H-240</v>
          </cell>
          <cell r="N9" t="str">
            <v>EMT-1</v>
          </cell>
          <cell r="O9" t="str">
            <v>EMT-T</v>
          </cell>
          <cell r="Q9">
            <v>0</v>
          </cell>
          <cell r="R9">
            <v>0</v>
          </cell>
          <cell r="T9">
            <v>-10</v>
          </cell>
          <cell r="U9">
            <v>-55</v>
          </cell>
          <cell r="W9">
            <v>1.4</v>
          </cell>
          <cell r="X9">
            <v>2.2999999999999998</v>
          </cell>
          <cell r="AA9">
            <v>0.6</v>
          </cell>
          <cell r="AC9" t="str">
            <v>PH-1150</v>
          </cell>
          <cell r="AF9">
            <v>6000</v>
          </cell>
          <cell r="AG9">
            <v>5536.76</v>
          </cell>
          <cell r="AH9">
            <v>2572</v>
          </cell>
          <cell r="AI9">
            <v>665</v>
          </cell>
          <cell r="AJ9" t="str">
            <v>LoadB/IO</v>
          </cell>
          <cell r="AM9" t="str">
            <v>RW2</v>
          </cell>
        </row>
        <row r="10">
          <cell r="G10">
            <v>60</v>
          </cell>
          <cell r="I10">
            <v>559</v>
          </cell>
          <cell r="S10">
            <v>59.989999999999782</v>
          </cell>
        </row>
        <row r="11">
          <cell r="B11" t="str">
            <v>5-1.04</v>
          </cell>
          <cell r="C11">
            <v>5597</v>
          </cell>
          <cell r="F11">
            <v>0</v>
          </cell>
          <cell r="H11" t="str">
            <v>A/S</v>
          </cell>
          <cell r="I11" t="str">
            <v>CP+AnMC</v>
          </cell>
          <cell r="L11" t="str">
            <v>HEB-260 (CP)</v>
          </cell>
          <cell r="M11" t="str">
            <v>C4R</v>
          </cell>
          <cell r="N11" t="str">
            <v>EMT-2</v>
          </cell>
          <cell r="Q11">
            <v>0</v>
          </cell>
          <cell r="R11">
            <v>0</v>
          </cell>
          <cell r="T11">
            <v>25</v>
          </cell>
          <cell r="W11">
            <v>1.4</v>
          </cell>
          <cell r="AC11" t="str">
            <v>PH-1150</v>
          </cell>
          <cell r="AF11">
            <v>6000</v>
          </cell>
          <cell r="AG11">
            <v>5596.75</v>
          </cell>
          <cell r="AH11">
            <v>2503</v>
          </cell>
          <cell r="AI11">
            <v>683</v>
          </cell>
          <cell r="AM11" t="str">
            <v>RW2</v>
          </cell>
        </row>
        <row r="12">
          <cell r="G12">
            <v>65</v>
          </cell>
          <cell r="J12">
            <v>5604.5</v>
          </cell>
          <cell r="K12" t="str">
            <v>AnMC</v>
          </cell>
          <cell r="S12">
            <v>64.979999999999563</v>
          </cell>
        </row>
        <row r="13">
          <cell r="B13" t="str">
            <v>5-1.05</v>
          </cell>
          <cell r="C13">
            <v>5662</v>
          </cell>
          <cell r="F13">
            <v>0</v>
          </cell>
          <cell r="L13" t="str">
            <v>HEB-240</v>
          </cell>
          <cell r="M13" t="str">
            <v>C3R</v>
          </cell>
          <cell r="N13" t="str">
            <v>EMT-1</v>
          </cell>
          <cell r="Q13">
            <v>0</v>
          </cell>
          <cell r="R13">
            <v>0</v>
          </cell>
          <cell r="T13">
            <v>-35</v>
          </cell>
          <cell r="W13">
            <v>1.4</v>
          </cell>
          <cell r="AC13" t="str">
            <v>PH-1150</v>
          </cell>
          <cell r="AF13">
            <v>6000</v>
          </cell>
          <cell r="AG13">
            <v>5661.73</v>
          </cell>
          <cell r="AH13">
            <v>2650</v>
          </cell>
          <cell r="AI13">
            <v>628</v>
          </cell>
          <cell r="AM13" t="str">
            <v>RW2</v>
          </cell>
        </row>
        <row r="14">
          <cell r="G14">
            <v>65</v>
          </cell>
          <cell r="S14">
            <v>65.140000000000327</v>
          </cell>
        </row>
        <row r="15">
          <cell r="B15" t="str">
            <v>5-1.06</v>
          </cell>
          <cell r="C15">
            <v>5727</v>
          </cell>
          <cell r="F15">
            <v>0</v>
          </cell>
          <cell r="L15" t="str">
            <v>HEB-240</v>
          </cell>
          <cell r="M15" t="str">
            <v>C3R</v>
          </cell>
          <cell r="N15" t="str">
            <v>EMT-2</v>
          </cell>
          <cell r="Q15">
            <v>0</v>
          </cell>
          <cell r="R15">
            <v>0</v>
          </cell>
          <cell r="T15">
            <v>35</v>
          </cell>
          <cell r="W15">
            <v>1.4</v>
          </cell>
          <cell r="AC15" t="str">
            <v>PH-1150</v>
          </cell>
          <cell r="AF15">
            <v>6000</v>
          </cell>
          <cell r="AG15">
            <v>5726.87</v>
          </cell>
          <cell r="AH15">
            <v>2638</v>
          </cell>
          <cell r="AI15">
            <v>636</v>
          </cell>
          <cell r="AM15" t="str">
            <v>RW2</v>
          </cell>
        </row>
        <row r="16">
          <cell r="G16">
            <v>65</v>
          </cell>
          <cell r="S16">
            <v>65.170000000000073</v>
          </cell>
        </row>
        <row r="17">
          <cell r="B17" t="str">
            <v>5-1.07</v>
          </cell>
          <cell r="C17">
            <v>5792</v>
          </cell>
          <cell r="F17">
            <v>0</v>
          </cell>
          <cell r="L17" t="str">
            <v>HEB-240</v>
          </cell>
          <cell r="M17" t="str">
            <v>C3R</v>
          </cell>
          <cell r="N17" t="str">
            <v>EMT-1</v>
          </cell>
          <cell r="Q17">
            <v>0</v>
          </cell>
          <cell r="R17">
            <v>0</v>
          </cell>
          <cell r="T17">
            <v>-35</v>
          </cell>
          <cell r="W17">
            <v>1.4</v>
          </cell>
          <cell r="AC17" t="str">
            <v>PH-1150</v>
          </cell>
          <cell r="AF17">
            <v>6000</v>
          </cell>
          <cell r="AG17">
            <v>5792.04</v>
          </cell>
          <cell r="AH17">
            <v>2599</v>
          </cell>
          <cell r="AI17">
            <v>701</v>
          </cell>
          <cell r="AM17" t="str">
            <v>RW2</v>
          </cell>
        </row>
        <row r="18">
          <cell r="G18">
            <v>65</v>
          </cell>
          <cell r="S18">
            <v>64.930000000000291</v>
          </cell>
        </row>
        <row r="19">
          <cell r="B19" t="str">
            <v>5-1.08</v>
          </cell>
          <cell r="C19">
            <v>5857</v>
          </cell>
          <cell r="F19">
            <v>0</v>
          </cell>
          <cell r="L19" t="str">
            <v>HEB-240</v>
          </cell>
          <cell r="M19" t="str">
            <v>C3R</v>
          </cell>
          <cell r="N19" t="str">
            <v>EMT-2</v>
          </cell>
          <cell r="Q19">
            <v>0</v>
          </cell>
          <cell r="R19">
            <v>0</v>
          </cell>
          <cell r="T19">
            <v>35</v>
          </cell>
          <cell r="W19">
            <v>1.4</v>
          </cell>
          <cell r="AC19" t="str">
            <v>PH-1150</v>
          </cell>
          <cell r="AF19">
            <v>6000</v>
          </cell>
          <cell r="AG19">
            <v>5856.97</v>
          </cell>
          <cell r="AH19">
            <v>2537</v>
          </cell>
          <cell r="AI19">
            <v>679</v>
          </cell>
          <cell r="AM19" t="str">
            <v>RW2</v>
          </cell>
        </row>
        <row r="20">
          <cell r="G20">
            <v>63</v>
          </cell>
          <cell r="J20">
            <v>5912.5</v>
          </cell>
          <cell r="K20" t="str">
            <v>AnM</v>
          </cell>
          <cell r="S20">
            <v>63.009999999999309</v>
          </cell>
        </row>
        <row r="21">
          <cell r="B21" t="str">
            <v>5-1.09</v>
          </cell>
          <cell r="C21">
            <v>5920</v>
          </cell>
          <cell r="F21">
            <v>0</v>
          </cell>
          <cell r="H21" t="str">
            <v>AnMP</v>
          </cell>
          <cell r="L21" t="str">
            <v>HEB-260</v>
          </cell>
          <cell r="M21" t="str">
            <v>C4R</v>
          </cell>
          <cell r="N21" t="str">
            <v>EMT-1</v>
          </cell>
          <cell r="Q21">
            <v>0</v>
          </cell>
          <cell r="R21">
            <v>0</v>
          </cell>
          <cell r="T21">
            <v>-35</v>
          </cell>
          <cell r="W21">
            <v>1.4</v>
          </cell>
          <cell r="AC21" t="str">
            <v>PH-1150</v>
          </cell>
          <cell r="AF21">
            <v>6000</v>
          </cell>
          <cell r="AG21">
            <v>5919.98</v>
          </cell>
          <cell r="AH21">
            <v>2559</v>
          </cell>
          <cell r="AI21">
            <v>694</v>
          </cell>
          <cell r="AM21" t="str">
            <v>RW2</v>
          </cell>
        </row>
        <row r="22">
          <cell r="G22">
            <v>65</v>
          </cell>
          <cell r="I22">
            <v>564</v>
          </cell>
          <cell r="S22">
            <v>65.010000000000218</v>
          </cell>
        </row>
        <row r="23">
          <cell r="B23" t="str">
            <v>5-1.10</v>
          </cell>
          <cell r="C23">
            <v>5985</v>
          </cell>
          <cell r="F23">
            <v>0</v>
          </cell>
          <cell r="H23" t="str">
            <v>MP</v>
          </cell>
          <cell r="L23" t="str">
            <v>HEB-240</v>
          </cell>
          <cell r="M23" t="str">
            <v>C3R</v>
          </cell>
          <cell r="N23" t="str">
            <v>EMT-2</v>
          </cell>
          <cell r="Q23">
            <v>0</v>
          </cell>
          <cell r="R23">
            <v>0</v>
          </cell>
          <cell r="T23">
            <v>35</v>
          </cell>
          <cell r="W23">
            <v>1.4</v>
          </cell>
          <cell r="AC23" t="str">
            <v>PH-1150</v>
          </cell>
          <cell r="AF23">
            <v>6000</v>
          </cell>
          <cell r="AG23">
            <v>5984.99</v>
          </cell>
          <cell r="AH23">
            <v>2633</v>
          </cell>
          <cell r="AI23">
            <v>613</v>
          </cell>
          <cell r="AM23" t="str">
            <v>RW2</v>
          </cell>
        </row>
        <row r="24">
          <cell r="G24">
            <v>65</v>
          </cell>
          <cell r="I24">
            <v>617</v>
          </cell>
          <cell r="S24">
            <v>64.970000000000255</v>
          </cell>
        </row>
        <row r="25">
          <cell r="B25" t="str">
            <v>6-1.01</v>
          </cell>
          <cell r="C25">
            <v>6050</v>
          </cell>
          <cell r="F25">
            <v>0</v>
          </cell>
          <cell r="H25" t="str">
            <v>AnMP</v>
          </cell>
          <cell r="L25" t="str">
            <v>HEB-260</v>
          </cell>
          <cell r="M25" t="str">
            <v>C4R</v>
          </cell>
          <cell r="N25" t="str">
            <v>EMT-1</v>
          </cell>
          <cell r="Q25">
            <v>0</v>
          </cell>
          <cell r="R25">
            <v>0</v>
          </cell>
          <cell r="T25">
            <v>-35</v>
          </cell>
          <cell r="W25">
            <v>1.4</v>
          </cell>
          <cell r="AC25" t="str">
            <v>PH-1050</v>
          </cell>
          <cell r="AF25">
            <v>6000</v>
          </cell>
          <cell r="AG25">
            <v>6049.96</v>
          </cell>
          <cell r="AH25">
            <v>2455</v>
          </cell>
          <cell r="AI25">
            <v>718</v>
          </cell>
          <cell r="AM25" t="str">
            <v>RW2</v>
          </cell>
        </row>
        <row r="26">
          <cell r="G26">
            <v>59</v>
          </cell>
          <cell r="J26">
            <v>6057.5</v>
          </cell>
          <cell r="K26" t="str">
            <v>AnM</v>
          </cell>
          <cell r="S26">
            <v>59.050000000000182</v>
          </cell>
        </row>
        <row r="27">
          <cell r="B27" t="str">
            <v>6-1.02</v>
          </cell>
          <cell r="C27">
            <v>6109</v>
          </cell>
          <cell r="F27">
            <v>0</v>
          </cell>
          <cell r="L27" t="str">
            <v>HEB-240</v>
          </cell>
          <cell r="M27" t="str">
            <v>C3R</v>
          </cell>
          <cell r="N27" t="str">
            <v>EMT-2</v>
          </cell>
          <cell r="Q27">
            <v>0</v>
          </cell>
          <cell r="R27">
            <v>0</v>
          </cell>
          <cell r="T27">
            <v>30</v>
          </cell>
          <cell r="W27">
            <v>1.4</v>
          </cell>
          <cell r="AC27" t="str">
            <v>PH-1150</v>
          </cell>
          <cell r="AF27">
            <v>6000</v>
          </cell>
          <cell r="AG27">
            <v>6109.01</v>
          </cell>
          <cell r="AH27">
            <v>2549</v>
          </cell>
          <cell r="AI27">
            <v>655</v>
          </cell>
          <cell r="AM27" t="str">
            <v>RW2</v>
          </cell>
        </row>
        <row r="28">
          <cell r="G28">
            <v>65</v>
          </cell>
          <cell r="S28">
            <v>64.969999999999345</v>
          </cell>
        </row>
        <row r="29">
          <cell r="B29" t="str">
            <v>6-1.03</v>
          </cell>
          <cell r="C29">
            <v>6174</v>
          </cell>
          <cell r="F29">
            <v>0</v>
          </cell>
          <cell r="L29" t="str">
            <v>HEB-240</v>
          </cell>
          <cell r="M29" t="str">
            <v>C3R</v>
          </cell>
          <cell r="N29" t="str">
            <v>EMT-1</v>
          </cell>
          <cell r="Q29">
            <v>0</v>
          </cell>
          <cell r="R29">
            <v>0</v>
          </cell>
          <cell r="T29">
            <v>-30</v>
          </cell>
          <cell r="W29">
            <v>1.4</v>
          </cell>
          <cell r="AC29" t="str">
            <v>PH-1150</v>
          </cell>
          <cell r="AF29">
            <v>6000</v>
          </cell>
          <cell r="AG29">
            <v>6173.98</v>
          </cell>
          <cell r="AH29">
            <v>2637</v>
          </cell>
          <cell r="AI29">
            <v>684</v>
          </cell>
          <cell r="AM29" t="str">
            <v>RW2</v>
          </cell>
        </row>
        <row r="30">
          <cell r="G30">
            <v>65</v>
          </cell>
          <cell r="S30">
            <v>64.990000000000691</v>
          </cell>
        </row>
        <row r="31">
          <cell r="B31" t="str">
            <v>6-1.04</v>
          </cell>
          <cell r="C31">
            <v>6239</v>
          </cell>
          <cell r="F31">
            <v>0</v>
          </cell>
          <cell r="L31" t="str">
            <v>HEB-240</v>
          </cell>
          <cell r="M31" t="str">
            <v>C3R</v>
          </cell>
          <cell r="N31" t="str">
            <v>EMT-2</v>
          </cell>
          <cell r="Q31">
            <v>0</v>
          </cell>
          <cell r="R31">
            <v>0</v>
          </cell>
          <cell r="T31">
            <v>30</v>
          </cell>
          <cell r="W31">
            <v>1.4</v>
          </cell>
          <cell r="AC31" t="str">
            <v>PH-1150</v>
          </cell>
          <cell r="AF31">
            <v>6000</v>
          </cell>
          <cell r="AG31">
            <v>6238.97</v>
          </cell>
          <cell r="AH31">
            <v>2611</v>
          </cell>
          <cell r="AI31">
            <v>623</v>
          </cell>
          <cell r="AM31" t="str">
            <v>RW2</v>
          </cell>
        </row>
        <row r="32">
          <cell r="G32">
            <v>65</v>
          </cell>
          <cell r="S32">
            <v>64.969999999999345</v>
          </cell>
        </row>
        <row r="33">
          <cell r="B33" t="str">
            <v>6-1.05</v>
          </cell>
          <cell r="C33">
            <v>6304</v>
          </cell>
          <cell r="F33">
            <v>0</v>
          </cell>
          <cell r="L33" t="str">
            <v>HEB-240</v>
          </cell>
          <cell r="M33" t="str">
            <v>C3R</v>
          </cell>
          <cell r="N33" t="str">
            <v>EMT-1</v>
          </cell>
          <cell r="Q33">
            <v>0</v>
          </cell>
          <cell r="R33">
            <v>0</v>
          </cell>
          <cell r="T33">
            <v>-30</v>
          </cell>
          <cell r="W33">
            <v>1.4</v>
          </cell>
          <cell r="AC33" t="str">
            <v>PH-1150</v>
          </cell>
          <cell r="AF33">
            <v>6000</v>
          </cell>
          <cell r="AG33">
            <v>6303.94</v>
          </cell>
          <cell r="AH33">
            <v>2524</v>
          </cell>
          <cell r="AI33">
            <v>636</v>
          </cell>
          <cell r="AM33" t="str">
            <v>RW2</v>
          </cell>
        </row>
        <row r="34">
          <cell r="G34">
            <v>65</v>
          </cell>
          <cell r="S34">
            <v>64.950000000000728</v>
          </cell>
        </row>
        <row r="35">
          <cell r="B35" t="str">
            <v>6-1.06</v>
          </cell>
          <cell r="C35">
            <v>6369</v>
          </cell>
          <cell r="F35">
            <v>0</v>
          </cell>
          <cell r="L35" t="str">
            <v>HEB-240</v>
          </cell>
          <cell r="M35" t="str">
            <v>C3R</v>
          </cell>
          <cell r="N35" t="str">
            <v>EMT-2</v>
          </cell>
          <cell r="Q35">
            <v>0</v>
          </cell>
          <cell r="R35">
            <v>0</v>
          </cell>
          <cell r="T35">
            <v>30</v>
          </cell>
          <cell r="W35">
            <v>1.4</v>
          </cell>
          <cell r="AC35" t="str">
            <v>PH-1150</v>
          </cell>
          <cell r="AF35">
            <v>6000</v>
          </cell>
          <cell r="AG35">
            <v>6368.89</v>
          </cell>
          <cell r="AH35">
            <v>2498</v>
          </cell>
          <cell r="AI35">
            <v>623</v>
          </cell>
          <cell r="AM35" t="str">
            <v>RW2</v>
          </cell>
        </row>
        <row r="36">
          <cell r="G36">
            <v>65</v>
          </cell>
          <cell r="J36">
            <v>6426.5</v>
          </cell>
          <cell r="K36" t="str">
            <v>AnMC</v>
          </cell>
          <cell r="S36">
            <v>65.019999999999527</v>
          </cell>
        </row>
        <row r="37">
          <cell r="B37" t="str">
            <v>6-1.07</v>
          </cell>
          <cell r="C37">
            <v>6434</v>
          </cell>
          <cell r="F37">
            <v>0</v>
          </cell>
          <cell r="H37" t="str">
            <v>A/S</v>
          </cell>
          <cell r="I37" t="str">
            <v>FP+AnMC</v>
          </cell>
          <cell r="L37" t="str">
            <v>HEB-260 (CP)</v>
          </cell>
          <cell r="M37" t="str">
            <v>C4R</v>
          </cell>
          <cell r="N37" t="str">
            <v>EMT-1</v>
          </cell>
          <cell r="Q37">
            <v>0</v>
          </cell>
          <cell r="R37">
            <v>0</v>
          </cell>
          <cell r="T37">
            <v>-25</v>
          </cell>
          <cell r="W37">
            <v>1.4</v>
          </cell>
          <cell r="AC37" t="str">
            <v>PH-1150</v>
          </cell>
          <cell r="AF37">
            <v>6000</v>
          </cell>
          <cell r="AG37">
            <v>6433.91</v>
          </cell>
          <cell r="AH37">
            <v>2498</v>
          </cell>
          <cell r="AI37">
            <v>639</v>
          </cell>
          <cell r="AM37" t="str">
            <v>RW2</v>
          </cell>
        </row>
        <row r="38">
          <cell r="G38">
            <v>56</v>
          </cell>
          <cell r="I38">
            <v>579</v>
          </cell>
          <cell r="S38">
            <v>55.930000000000291</v>
          </cell>
        </row>
        <row r="39">
          <cell r="B39" t="str">
            <v>6-1.08</v>
          </cell>
          <cell r="C39">
            <v>6490</v>
          </cell>
          <cell r="F39">
            <v>0</v>
          </cell>
          <cell r="H39" t="str">
            <v>S/A</v>
          </cell>
          <cell r="L39" t="str">
            <v>HEB-260</v>
          </cell>
          <cell r="M39" t="str">
            <v>C4R</v>
          </cell>
          <cell r="N39" t="str">
            <v>EMT-T</v>
          </cell>
          <cell r="O39" t="str">
            <v>EMT-2</v>
          </cell>
          <cell r="Q39">
            <v>0</v>
          </cell>
          <cell r="R39">
            <v>0</v>
          </cell>
          <cell r="T39">
            <v>35</v>
          </cell>
          <cell r="U39">
            <v>15</v>
          </cell>
          <cell r="W39">
            <v>1.4</v>
          </cell>
          <cell r="X39">
            <v>2.2999999999999998</v>
          </cell>
          <cell r="Z39">
            <v>0.5</v>
          </cell>
          <cell r="AD39" t="str">
            <v>PH-1150</v>
          </cell>
          <cell r="AF39">
            <v>6000</v>
          </cell>
          <cell r="AG39">
            <v>6489.84</v>
          </cell>
          <cell r="AH39">
            <v>2592</v>
          </cell>
          <cell r="AI39">
            <v>591</v>
          </cell>
          <cell r="AM39" t="str">
            <v>RW2</v>
          </cell>
        </row>
        <row r="40">
          <cell r="G40">
            <v>58</v>
          </cell>
          <cell r="S40">
            <v>58.109999999999673</v>
          </cell>
        </row>
        <row r="41">
          <cell r="B41" t="str">
            <v>6-1.09</v>
          </cell>
          <cell r="C41">
            <v>6548</v>
          </cell>
          <cell r="F41">
            <v>0</v>
          </cell>
          <cell r="H41" t="str">
            <v>S/A</v>
          </cell>
          <cell r="L41" t="str">
            <v>HEB-260</v>
          </cell>
          <cell r="M41" t="str">
            <v>C4R</v>
          </cell>
          <cell r="N41" t="str">
            <v>EMT-1</v>
          </cell>
          <cell r="O41" t="str">
            <v>EMT-T</v>
          </cell>
          <cell r="Q41">
            <v>0</v>
          </cell>
          <cell r="R41">
            <v>0</v>
          </cell>
          <cell r="T41">
            <v>-15</v>
          </cell>
          <cell r="U41">
            <v>-35</v>
          </cell>
          <cell r="W41">
            <v>1.4</v>
          </cell>
          <cell r="X41">
            <v>2.2999999999999998</v>
          </cell>
          <cell r="AA41">
            <v>0.5</v>
          </cell>
          <cell r="AC41" t="str">
            <v>PH-1050</v>
          </cell>
          <cell r="AF41">
            <v>6000</v>
          </cell>
          <cell r="AG41">
            <v>6547.95</v>
          </cell>
          <cell r="AH41">
            <v>2588</v>
          </cell>
          <cell r="AI41">
            <v>659</v>
          </cell>
          <cell r="AM41" t="str">
            <v>RW2</v>
          </cell>
        </row>
        <row r="42">
          <cell r="G42">
            <v>54</v>
          </cell>
          <cell r="S42">
            <v>54.050000000000182</v>
          </cell>
        </row>
        <row r="43">
          <cell r="B43" t="str">
            <v>6-1.10</v>
          </cell>
          <cell r="C43">
            <v>6602</v>
          </cell>
          <cell r="F43">
            <v>0</v>
          </cell>
          <cell r="H43" t="str">
            <v>A/S</v>
          </cell>
          <cell r="I43" t="str">
            <v>CP+AnMC</v>
          </cell>
          <cell r="L43" t="str">
            <v>HEB-260 (CP)</v>
          </cell>
          <cell r="M43" t="str">
            <v>C4R</v>
          </cell>
          <cell r="N43" t="str">
            <v>EMT-2</v>
          </cell>
          <cell r="Q43">
            <v>0</v>
          </cell>
          <cell r="R43">
            <v>0</v>
          </cell>
          <cell r="T43">
            <v>25</v>
          </cell>
          <cell r="W43">
            <v>1.4</v>
          </cell>
          <cell r="AC43" t="str">
            <v>PH-1150</v>
          </cell>
          <cell r="AF43">
            <v>6000</v>
          </cell>
          <cell r="AG43">
            <v>6602</v>
          </cell>
          <cell r="AH43">
            <v>2534</v>
          </cell>
          <cell r="AI43">
            <v>616</v>
          </cell>
          <cell r="AM43" t="str">
            <v>RW2</v>
          </cell>
        </row>
        <row r="44">
          <cell r="G44">
            <v>64</v>
          </cell>
          <cell r="J44">
            <v>6609.5</v>
          </cell>
          <cell r="K44" t="str">
            <v>AnMC</v>
          </cell>
          <cell r="S44">
            <v>65.010000000000218</v>
          </cell>
        </row>
        <row r="45">
          <cell r="B45" t="str">
            <v>6-1.12</v>
          </cell>
          <cell r="C45">
            <v>6666</v>
          </cell>
          <cell r="F45">
            <v>0</v>
          </cell>
          <cell r="L45" t="str">
            <v>HEB-240</v>
          </cell>
          <cell r="M45" t="str">
            <v>C3R</v>
          </cell>
          <cell r="N45" t="str">
            <v>EMT-1</v>
          </cell>
          <cell r="Q45">
            <v>0</v>
          </cell>
          <cell r="R45">
            <v>0</v>
          </cell>
          <cell r="T45">
            <v>-30</v>
          </cell>
          <cell r="W45">
            <v>1</v>
          </cell>
          <cell r="AC45" t="str">
            <v>PH-1150</v>
          </cell>
          <cell r="AF45">
            <v>6000</v>
          </cell>
          <cell r="AG45">
            <v>6667.01</v>
          </cell>
          <cell r="AH45">
            <v>2588</v>
          </cell>
          <cell r="AI45">
            <v>658</v>
          </cell>
          <cell r="AM45" t="str">
            <v>RW2</v>
          </cell>
        </row>
        <row r="46">
          <cell r="A46" t="str">
            <v xml:space="preserve"> Drainage Works</v>
          </cell>
          <cell r="G46">
            <v>58</v>
          </cell>
          <cell r="S46">
            <v>58.079999999999927</v>
          </cell>
        </row>
        <row r="47">
          <cell r="B47" t="str">
            <v>6-1.14</v>
          </cell>
          <cell r="C47">
            <v>6724</v>
          </cell>
          <cell r="F47">
            <v>0</v>
          </cell>
          <cell r="L47" t="str">
            <v>HEB-240</v>
          </cell>
          <cell r="M47" t="str">
            <v>C3R</v>
          </cell>
          <cell r="N47" t="str">
            <v>EMT-2</v>
          </cell>
          <cell r="Q47">
            <v>0</v>
          </cell>
          <cell r="R47">
            <v>0</v>
          </cell>
          <cell r="T47">
            <v>35</v>
          </cell>
          <cell r="W47">
            <v>0.8</v>
          </cell>
          <cell r="AC47" t="str">
            <v>PHQ-1150</v>
          </cell>
          <cell r="AF47">
            <v>5800</v>
          </cell>
          <cell r="AG47">
            <v>6725.09</v>
          </cell>
          <cell r="AH47">
            <v>2612</v>
          </cell>
          <cell r="AI47">
            <v>651</v>
          </cell>
          <cell r="AM47" t="str">
            <v>RW2</v>
          </cell>
        </row>
        <row r="48">
          <cell r="A48" t="str">
            <v>Overcrossing</v>
          </cell>
          <cell r="G48">
            <v>44</v>
          </cell>
          <cell r="S48">
            <v>43.949999999999818</v>
          </cell>
        </row>
        <row r="49">
          <cell r="B49" t="str">
            <v>6-1.15</v>
          </cell>
          <cell r="C49">
            <v>6768</v>
          </cell>
          <cell r="F49">
            <v>0</v>
          </cell>
          <cell r="L49" t="str">
            <v>HEB-240</v>
          </cell>
          <cell r="M49" t="str">
            <v>C3R</v>
          </cell>
          <cell r="N49" t="str">
            <v>EMT-1</v>
          </cell>
          <cell r="Q49">
            <v>0</v>
          </cell>
          <cell r="R49">
            <v>0</v>
          </cell>
          <cell r="T49">
            <v>-35</v>
          </cell>
          <cell r="W49">
            <v>0.8</v>
          </cell>
          <cell r="AC49" t="str">
            <v>PHQ-1150</v>
          </cell>
          <cell r="AF49">
            <v>5800</v>
          </cell>
          <cell r="AG49">
            <v>6769.04</v>
          </cell>
          <cell r="AH49">
            <v>2638</v>
          </cell>
          <cell r="AI49">
            <v>604</v>
          </cell>
          <cell r="AM49" t="str">
            <v>RW2</v>
          </cell>
        </row>
        <row r="50">
          <cell r="G50">
            <v>55</v>
          </cell>
          <cell r="J50">
            <v>6815.5</v>
          </cell>
          <cell r="K50" t="str">
            <v>AnMC</v>
          </cell>
          <cell r="S50">
            <v>54.980000000000473</v>
          </cell>
        </row>
        <row r="51">
          <cell r="B51" t="str">
            <v>6-1.16</v>
          </cell>
          <cell r="C51">
            <v>6823</v>
          </cell>
          <cell r="F51">
            <v>0</v>
          </cell>
          <cell r="H51" t="str">
            <v>A/S</v>
          </cell>
          <cell r="I51" t="str">
            <v>CP+AnMC</v>
          </cell>
          <cell r="L51" t="str">
            <v>HEB-260 (CP)</v>
          </cell>
          <cell r="M51" t="str">
            <v>C4R</v>
          </cell>
          <cell r="N51" t="str">
            <v>EMT-2</v>
          </cell>
          <cell r="Q51">
            <v>0</v>
          </cell>
          <cell r="R51">
            <v>0</v>
          </cell>
          <cell r="T51">
            <v>35</v>
          </cell>
          <cell r="W51">
            <v>1</v>
          </cell>
          <cell r="AC51" t="str">
            <v>PH-1150</v>
          </cell>
          <cell r="AF51">
            <v>6000</v>
          </cell>
          <cell r="AG51">
            <v>6824.02</v>
          </cell>
          <cell r="AH51">
            <v>2485</v>
          </cell>
          <cell r="AI51">
            <v>660</v>
          </cell>
          <cell r="AM51" t="str">
            <v>RW2</v>
          </cell>
        </row>
        <row r="52">
          <cell r="G52">
            <v>65</v>
          </cell>
          <cell r="I52" t="str">
            <v>AnRW</v>
          </cell>
          <cell r="J52">
            <v>6880.5</v>
          </cell>
          <cell r="K52" t="str">
            <v>AnM</v>
          </cell>
          <cell r="S52">
            <v>65.049999999999272</v>
          </cell>
        </row>
        <row r="53">
          <cell r="B53" t="str">
            <v>6-1.17</v>
          </cell>
          <cell r="C53">
            <v>6888</v>
          </cell>
          <cell r="F53">
            <v>0</v>
          </cell>
          <cell r="H53" t="str">
            <v>S/A</v>
          </cell>
          <cell r="L53" t="str">
            <v>HEB-260</v>
          </cell>
          <cell r="M53" t="str">
            <v>C4R</v>
          </cell>
          <cell r="N53" t="str">
            <v>EMT-T</v>
          </cell>
          <cell r="O53" t="str">
            <v>EMT-1</v>
          </cell>
          <cell r="Q53">
            <v>0</v>
          </cell>
          <cell r="R53">
            <v>0</v>
          </cell>
          <cell r="T53">
            <v>-15</v>
          </cell>
          <cell r="U53">
            <v>-35</v>
          </cell>
          <cell r="W53">
            <v>1.4</v>
          </cell>
          <cell r="X53">
            <v>2.2999999999999998</v>
          </cell>
          <cell r="Z53">
            <v>0.6</v>
          </cell>
          <cell r="AD53" t="str">
            <v>PH-1150</v>
          </cell>
          <cell r="AF53">
            <v>6000</v>
          </cell>
          <cell r="AG53">
            <v>6889.07</v>
          </cell>
          <cell r="AH53">
            <v>2609</v>
          </cell>
          <cell r="AI53">
            <v>657</v>
          </cell>
          <cell r="AM53" t="str">
            <v>RW2</v>
          </cell>
        </row>
        <row r="54">
          <cell r="G54">
            <v>65</v>
          </cell>
          <cell r="I54" t="str">
            <v>AnRW</v>
          </cell>
          <cell r="J54">
            <v>6895.5</v>
          </cell>
          <cell r="K54" t="str">
            <v>AnM</v>
          </cell>
          <cell r="S54">
            <v>64.990000000000691</v>
          </cell>
        </row>
        <row r="55">
          <cell r="B55" t="str">
            <v>6-1.18</v>
          </cell>
          <cell r="C55">
            <v>6953</v>
          </cell>
          <cell r="F55">
            <v>0</v>
          </cell>
          <cell r="H55" t="str">
            <v>S/A</v>
          </cell>
          <cell r="L55" t="str">
            <v>HEB-260</v>
          </cell>
          <cell r="M55" t="str">
            <v>C4R</v>
          </cell>
          <cell r="N55" t="str">
            <v>EMT-2</v>
          </cell>
          <cell r="O55" t="str">
            <v>EMT-T</v>
          </cell>
          <cell r="Q55">
            <v>0</v>
          </cell>
          <cell r="R55">
            <v>0</v>
          </cell>
          <cell r="T55">
            <v>35</v>
          </cell>
          <cell r="U55">
            <v>15</v>
          </cell>
          <cell r="W55">
            <v>1.4</v>
          </cell>
          <cell r="X55">
            <v>2.2999999999999998</v>
          </cell>
          <cell r="AA55">
            <v>0.6</v>
          </cell>
          <cell r="AC55" t="str">
            <v>PH-1150</v>
          </cell>
          <cell r="AF55">
            <v>6000</v>
          </cell>
          <cell r="AG55">
            <v>6954.06</v>
          </cell>
          <cell r="AH55">
            <v>2523</v>
          </cell>
          <cell r="AI55">
            <v>657</v>
          </cell>
          <cell r="AM55" t="str">
            <v>RW2</v>
          </cell>
        </row>
        <row r="56">
          <cell r="G56">
            <v>60</v>
          </cell>
          <cell r="I56" t="str">
            <v>AnRW</v>
          </cell>
          <cell r="J56">
            <v>6960.5</v>
          </cell>
          <cell r="K56" t="str">
            <v>AnM</v>
          </cell>
          <cell r="S56">
            <v>59.699999999999818</v>
          </cell>
        </row>
        <row r="57">
          <cell r="B57" t="str">
            <v>7-1.01</v>
          </cell>
          <cell r="C57">
            <v>7013</v>
          </cell>
          <cell r="F57">
            <v>0</v>
          </cell>
          <cell r="H57" t="str">
            <v>A/S</v>
          </cell>
          <cell r="I57" t="str">
            <v>CP+AnMC</v>
          </cell>
          <cell r="L57" t="str">
            <v>HEB-260 (CP)</v>
          </cell>
          <cell r="M57" t="str">
            <v>C4R</v>
          </cell>
          <cell r="N57" t="str">
            <v>EMT-1</v>
          </cell>
          <cell r="Q57">
            <v>0</v>
          </cell>
          <cell r="R57">
            <v>0</v>
          </cell>
          <cell r="T57">
            <v>-35</v>
          </cell>
          <cell r="W57">
            <v>1.4</v>
          </cell>
          <cell r="AC57" t="str">
            <v>PH-1150</v>
          </cell>
          <cell r="AF57">
            <v>6000</v>
          </cell>
          <cell r="AG57">
            <v>7013.76</v>
          </cell>
          <cell r="AH57">
            <v>2614</v>
          </cell>
          <cell r="AI57">
            <v>645</v>
          </cell>
          <cell r="AM57" t="str">
            <v>RW1</v>
          </cell>
        </row>
        <row r="58">
          <cell r="G58">
            <v>65</v>
          </cell>
          <cell r="J58">
            <v>7020.5</v>
          </cell>
          <cell r="K58" t="str">
            <v>AnMC</v>
          </cell>
          <cell r="S58">
            <v>65.090000000000146</v>
          </cell>
        </row>
        <row r="59">
          <cell r="B59" t="str">
            <v>7-1.02</v>
          </cell>
          <cell r="C59">
            <v>7078</v>
          </cell>
          <cell r="F59">
            <v>0</v>
          </cell>
          <cell r="L59" t="str">
            <v>HEB-240</v>
          </cell>
          <cell r="M59" t="str">
            <v>C3R</v>
          </cell>
          <cell r="N59" t="str">
            <v>EMT-2</v>
          </cell>
          <cell r="Q59">
            <v>0</v>
          </cell>
          <cell r="R59">
            <v>0</v>
          </cell>
          <cell r="T59">
            <v>35</v>
          </cell>
          <cell r="W59">
            <v>1.4</v>
          </cell>
          <cell r="AC59" t="str">
            <v>PH-1150</v>
          </cell>
          <cell r="AF59">
            <v>6000</v>
          </cell>
          <cell r="AG59">
            <v>7078.85</v>
          </cell>
          <cell r="AH59">
            <v>2602</v>
          </cell>
          <cell r="AI59">
            <v>601</v>
          </cell>
          <cell r="AM59" t="str">
            <v>RW1</v>
          </cell>
        </row>
        <row r="60">
          <cell r="G60">
            <v>63</v>
          </cell>
          <cell r="S60">
            <v>62.849999999999454</v>
          </cell>
        </row>
        <row r="61">
          <cell r="B61" t="str">
            <v>7-1.03</v>
          </cell>
          <cell r="C61">
            <v>7141</v>
          </cell>
          <cell r="F61">
            <v>0</v>
          </cell>
          <cell r="L61" t="str">
            <v>HEB-240</v>
          </cell>
          <cell r="M61" t="str">
            <v>C3R</v>
          </cell>
          <cell r="N61" t="str">
            <v>EMT-1</v>
          </cell>
          <cell r="Q61">
            <v>0</v>
          </cell>
          <cell r="R61">
            <v>0</v>
          </cell>
          <cell r="T61">
            <v>-35</v>
          </cell>
          <cell r="W61">
            <v>1.4</v>
          </cell>
          <cell r="AC61" t="str">
            <v>PH-1150</v>
          </cell>
          <cell r="AF61">
            <v>6000</v>
          </cell>
          <cell r="AG61">
            <v>7141.7</v>
          </cell>
          <cell r="AH61">
            <v>2533</v>
          </cell>
          <cell r="AI61">
            <v>553</v>
          </cell>
          <cell r="AM61" t="str">
            <v>RW1</v>
          </cell>
        </row>
        <row r="62">
          <cell r="G62">
            <v>59</v>
          </cell>
          <cell r="S62">
            <v>59.090000000000146</v>
          </cell>
        </row>
        <row r="63">
          <cell r="B63" t="str">
            <v>7-1.04</v>
          </cell>
          <cell r="C63">
            <v>7200</v>
          </cell>
          <cell r="F63">
            <v>0</v>
          </cell>
          <cell r="L63" t="str">
            <v>HEB-240</v>
          </cell>
          <cell r="M63" t="str">
            <v>C3R</v>
          </cell>
          <cell r="N63" t="str">
            <v>EMT-2</v>
          </cell>
          <cell r="Q63">
            <v>0</v>
          </cell>
          <cell r="R63">
            <v>0</v>
          </cell>
          <cell r="T63">
            <v>35</v>
          </cell>
          <cell r="W63">
            <v>1.4</v>
          </cell>
          <cell r="AC63" t="str">
            <v>PH-1150</v>
          </cell>
          <cell r="AF63">
            <v>6000</v>
          </cell>
          <cell r="AG63">
            <v>7200.79</v>
          </cell>
          <cell r="AH63">
            <v>2579</v>
          </cell>
          <cell r="AI63">
            <v>576</v>
          </cell>
          <cell r="AM63" t="str">
            <v>RW1</v>
          </cell>
        </row>
        <row r="64">
          <cell r="G64">
            <v>64</v>
          </cell>
          <cell r="S64">
            <v>64.329999999999927</v>
          </cell>
        </row>
        <row r="65">
          <cell r="B65" t="str">
            <v>7-1.05</v>
          </cell>
          <cell r="C65">
            <v>7264</v>
          </cell>
          <cell r="F65">
            <v>0</v>
          </cell>
          <cell r="L65" t="str">
            <v>HEB-240</v>
          </cell>
          <cell r="M65" t="str">
            <v>C3R</v>
          </cell>
          <cell r="N65" t="str">
            <v>EMT-1</v>
          </cell>
          <cell r="Q65">
            <v>0</v>
          </cell>
          <cell r="R65">
            <v>0</v>
          </cell>
          <cell r="T65">
            <v>-35</v>
          </cell>
          <cell r="W65">
            <v>1.4</v>
          </cell>
          <cell r="AC65" t="str">
            <v>PH-1150</v>
          </cell>
          <cell r="AF65">
            <v>6000</v>
          </cell>
          <cell r="AG65">
            <v>7265.12</v>
          </cell>
          <cell r="AH65">
            <v>2640</v>
          </cell>
          <cell r="AI65">
            <v>558</v>
          </cell>
          <cell r="AM65" t="str">
            <v>RW1</v>
          </cell>
        </row>
        <row r="66">
          <cell r="G66">
            <v>58</v>
          </cell>
          <cell r="S66">
            <v>57.869999999999891</v>
          </cell>
        </row>
        <row r="67">
          <cell r="B67" t="str">
            <v>7-1.06</v>
          </cell>
          <cell r="C67">
            <v>7322</v>
          </cell>
          <cell r="F67">
            <v>0</v>
          </cell>
          <cell r="L67" t="str">
            <v>HEB-240</v>
          </cell>
          <cell r="M67" t="str">
            <v>C3R</v>
          </cell>
          <cell r="N67" t="str">
            <v>EMT-2</v>
          </cell>
          <cell r="Q67">
            <v>0</v>
          </cell>
          <cell r="R67">
            <v>0</v>
          </cell>
          <cell r="T67">
            <v>35</v>
          </cell>
          <cell r="W67">
            <v>1.4</v>
          </cell>
          <cell r="AC67" t="str">
            <v>PH-1150</v>
          </cell>
          <cell r="AF67">
            <v>6000</v>
          </cell>
          <cell r="AG67">
            <v>7322.99</v>
          </cell>
          <cell r="AH67">
            <v>2631</v>
          </cell>
          <cell r="AI67">
            <v>589</v>
          </cell>
          <cell r="AM67" t="str">
            <v>RW1</v>
          </cell>
        </row>
        <row r="68">
          <cell r="G68">
            <v>65</v>
          </cell>
          <cell r="J68">
            <v>7379.5</v>
          </cell>
          <cell r="K68" t="str">
            <v>AnM</v>
          </cell>
          <cell r="S68">
            <v>65.050000000000182</v>
          </cell>
        </row>
        <row r="69">
          <cell r="B69" t="str">
            <v>7-1.07</v>
          </cell>
          <cell r="C69">
            <v>7387</v>
          </cell>
          <cell r="F69">
            <v>0</v>
          </cell>
          <cell r="H69" t="str">
            <v>AnMP</v>
          </cell>
          <cell r="L69" t="str">
            <v>HEB-260</v>
          </cell>
          <cell r="M69" t="str">
            <v>C4R</v>
          </cell>
          <cell r="N69" t="str">
            <v>EMT-1</v>
          </cell>
          <cell r="Q69">
            <v>0</v>
          </cell>
          <cell r="R69">
            <v>0</v>
          </cell>
          <cell r="T69">
            <v>-35</v>
          </cell>
          <cell r="W69">
            <v>1.4</v>
          </cell>
          <cell r="AC69" t="str">
            <v>PH-1150</v>
          </cell>
          <cell r="AF69">
            <v>6000</v>
          </cell>
          <cell r="AG69">
            <v>7388.04</v>
          </cell>
          <cell r="AH69">
            <v>2618</v>
          </cell>
          <cell r="AI69">
            <v>535</v>
          </cell>
          <cell r="AM69" t="str">
            <v>RW1</v>
          </cell>
        </row>
        <row r="70">
          <cell r="G70">
            <v>65</v>
          </cell>
          <cell r="I70">
            <v>629</v>
          </cell>
          <cell r="S70">
            <v>65.039999999999964</v>
          </cell>
        </row>
        <row r="71">
          <cell r="B71" t="str">
            <v>7-1.08</v>
          </cell>
          <cell r="C71">
            <v>7452</v>
          </cell>
          <cell r="F71">
            <v>0</v>
          </cell>
          <cell r="H71" t="str">
            <v>MP</v>
          </cell>
          <cell r="L71" t="str">
            <v>HEB-240</v>
          </cell>
          <cell r="M71" t="str">
            <v>C3R</v>
          </cell>
          <cell r="N71" t="str">
            <v>EMT-2</v>
          </cell>
          <cell r="Q71">
            <v>0</v>
          </cell>
          <cell r="R71">
            <v>0</v>
          </cell>
          <cell r="T71">
            <v>35</v>
          </cell>
          <cell r="W71">
            <v>1.4</v>
          </cell>
          <cell r="AC71" t="str">
            <v>PH-1150</v>
          </cell>
          <cell r="AF71">
            <v>6000</v>
          </cell>
          <cell r="AG71">
            <v>7453.08</v>
          </cell>
          <cell r="AH71">
            <v>2629</v>
          </cell>
          <cell r="AI71">
            <v>545</v>
          </cell>
          <cell r="AM71" t="str">
            <v>RW1</v>
          </cell>
        </row>
        <row r="72">
          <cell r="G72">
            <v>62</v>
          </cell>
          <cell r="I72">
            <v>636</v>
          </cell>
          <cell r="S72">
            <v>61.970000000000255</v>
          </cell>
        </row>
        <row r="73">
          <cell r="B73" t="str">
            <v>7-1.09</v>
          </cell>
          <cell r="C73">
            <v>7514</v>
          </cell>
          <cell r="F73">
            <v>0</v>
          </cell>
          <cell r="H73" t="str">
            <v>AnMP</v>
          </cell>
          <cell r="L73" t="str">
            <v>HEB-260</v>
          </cell>
          <cell r="M73" t="str">
            <v>C4R</v>
          </cell>
          <cell r="N73" t="str">
            <v>EMT-1</v>
          </cell>
          <cell r="Q73">
            <v>0</v>
          </cell>
          <cell r="R73">
            <v>0</v>
          </cell>
          <cell r="T73">
            <v>-35</v>
          </cell>
          <cell r="W73">
            <v>1.4</v>
          </cell>
          <cell r="AC73" t="str">
            <v>PHQ-1150</v>
          </cell>
          <cell r="AF73">
            <v>6000</v>
          </cell>
          <cell r="AG73">
            <v>7515.05</v>
          </cell>
          <cell r="AH73">
            <v>2608</v>
          </cell>
          <cell r="AI73">
            <v>578</v>
          </cell>
          <cell r="AM73" t="str">
            <v>RW1</v>
          </cell>
        </row>
        <row r="74">
          <cell r="G74">
            <v>49</v>
          </cell>
          <cell r="J74">
            <v>7521.5</v>
          </cell>
          <cell r="K74" t="str">
            <v>AnM</v>
          </cell>
          <cell r="S74">
            <v>48.809999999999491</v>
          </cell>
        </row>
        <row r="75">
          <cell r="B75" t="str">
            <v>7-1.10</v>
          </cell>
          <cell r="C75">
            <v>7563</v>
          </cell>
          <cell r="F75">
            <v>0</v>
          </cell>
          <cell r="L75" t="str">
            <v>HEB-240</v>
          </cell>
          <cell r="M75" t="str">
            <v>C3R</v>
          </cell>
          <cell r="N75" t="str">
            <v>EMT-2</v>
          </cell>
          <cell r="Q75">
            <v>0</v>
          </cell>
          <cell r="R75">
            <v>0</v>
          </cell>
          <cell r="T75">
            <v>35</v>
          </cell>
          <cell r="W75">
            <v>1.4</v>
          </cell>
          <cell r="AC75" t="str">
            <v>PHQ-1150</v>
          </cell>
          <cell r="AF75">
            <v>6000</v>
          </cell>
          <cell r="AG75">
            <v>7563.86</v>
          </cell>
          <cell r="AH75">
            <v>2548</v>
          </cell>
          <cell r="AI75">
            <v>574</v>
          </cell>
          <cell r="AM75" t="str">
            <v>RW1</v>
          </cell>
        </row>
        <row r="76">
          <cell r="A76" t="str">
            <v>Overhead Cable</v>
          </cell>
          <cell r="G76">
            <v>60</v>
          </cell>
          <cell r="S76">
            <v>60.090000000000146</v>
          </cell>
        </row>
        <row r="77">
          <cell r="B77" t="str">
            <v>7-1.12</v>
          </cell>
          <cell r="C77">
            <v>7623</v>
          </cell>
          <cell r="F77">
            <v>0</v>
          </cell>
          <cell r="L77" t="str">
            <v>HEB-240</v>
          </cell>
          <cell r="M77" t="str">
            <v>C3R</v>
          </cell>
          <cell r="N77" t="str">
            <v>EMT-1</v>
          </cell>
          <cell r="Q77">
            <v>0</v>
          </cell>
          <cell r="R77">
            <v>0</v>
          </cell>
          <cell r="T77">
            <v>-35</v>
          </cell>
          <cell r="W77">
            <v>1.4</v>
          </cell>
          <cell r="AC77" t="str">
            <v>PHQ-1150</v>
          </cell>
          <cell r="AF77">
            <v>6000</v>
          </cell>
          <cell r="AG77">
            <v>7623.95</v>
          </cell>
          <cell r="AH77">
            <v>2598</v>
          </cell>
          <cell r="AI77">
            <v>594</v>
          </cell>
          <cell r="AM77" t="str">
            <v>RW1</v>
          </cell>
        </row>
        <row r="78">
          <cell r="G78">
            <v>58</v>
          </cell>
          <cell r="S78">
            <v>58.100000000000364</v>
          </cell>
        </row>
        <row r="79">
          <cell r="B79" t="str">
            <v>7-1.14</v>
          </cell>
          <cell r="C79">
            <v>7681</v>
          </cell>
          <cell r="F79">
            <v>0</v>
          </cell>
          <cell r="L79" t="str">
            <v>HEB-240</v>
          </cell>
          <cell r="M79" t="str">
            <v>C3R</v>
          </cell>
          <cell r="N79" t="str">
            <v>EMT-2</v>
          </cell>
          <cell r="Q79">
            <v>0</v>
          </cell>
          <cell r="R79">
            <v>0</v>
          </cell>
          <cell r="T79">
            <v>35</v>
          </cell>
          <cell r="W79">
            <v>1.4</v>
          </cell>
          <cell r="AC79" t="str">
            <v>PHQ-1150</v>
          </cell>
          <cell r="AF79">
            <v>6000</v>
          </cell>
          <cell r="AG79">
            <v>7682.05</v>
          </cell>
          <cell r="AH79">
            <v>2660</v>
          </cell>
          <cell r="AI79">
            <v>549</v>
          </cell>
          <cell r="AM79" t="str">
            <v>RW1</v>
          </cell>
        </row>
        <row r="80">
          <cell r="G80">
            <v>49</v>
          </cell>
          <cell r="S80">
            <v>47.920000000000073</v>
          </cell>
        </row>
        <row r="81">
          <cell r="B81" t="str">
            <v>7-1.15</v>
          </cell>
          <cell r="C81">
            <v>7730</v>
          </cell>
          <cell r="F81">
            <v>0</v>
          </cell>
          <cell r="L81" t="str">
            <v>HEB-240</v>
          </cell>
          <cell r="M81" t="str">
            <v>C3R</v>
          </cell>
          <cell r="N81" t="str">
            <v>EMT-1</v>
          </cell>
          <cell r="Q81">
            <v>0</v>
          </cell>
          <cell r="R81">
            <v>0</v>
          </cell>
          <cell r="T81">
            <v>-35</v>
          </cell>
          <cell r="W81">
            <v>1.4</v>
          </cell>
          <cell r="AC81" t="str">
            <v>PHQ-1150</v>
          </cell>
          <cell r="AF81">
            <v>6000</v>
          </cell>
          <cell r="AG81">
            <v>7729.97</v>
          </cell>
          <cell r="AH81">
            <v>2548</v>
          </cell>
          <cell r="AI81">
            <v>629</v>
          </cell>
          <cell r="AM81" t="str">
            <v>RW1</v>
          </cell>
        </row>
        <row r="82">
          <cell r="G82">
            <v>60</v>
          </cell>
          <cell r="S82">
            <v>55.019999999999527</v>
          </cell>
        </row>
        <row r="83">
          <cell r="B83" t="str">
            <v>7-1.16</v>
          </cell>
          <cell r="C83">
            <v>7790</v>
          </cell>
          <cell r="F83">
            <v>0</v>
          </cell>
          <cell r="L83" t="str">
            <v>HEB-240</v>
          </cell>
          <cell r="M83" t="str">
            <v>C3R</v>
          </cell>
          <cell r="N83" t="str">
            <v>EMT-2</v>
          </cell>
          <cell r="Q83">
            <v>0</v>
          </cell>
          <cell r="R83">
            <v>0</v>
          </cell>
          <cell r="T83">
            <v>30</v>
          </cell>
          <cell r="W83">
            <v>1.4</v>
          </cell>
          <cell r="AC83" t="str">
            <v>PH-1150</v>
          </cell>
          <cell r="AF83">
            <v>6000</v>
          </cell>
          <cell r="AG83">
            <v>7784.99</v>
          </cell>
          <cell r="AH83">
            <v>2559</v>
          </cell>
          <cell r="AI83">
            <v>554</v>
          </cell>
          <cell r="AM83" t="str">
            <v>RW1</v>
          </cell>
        </row>
        <row r="84">
          <cell r="A84" t="str">
            <v>NS GANNOT</v>
          </cell>
          <cell r="G84">
            <v>50</v>
          </cell>
          <cell r="J84">
            <v>7832.5</v>
          </cell>
          <cell r="K84" t="str">
            <v>AnMC</v>
          </cell>
          <cell r="S84">
            <v>50.010000000000218</v>
          </cell>
        </row>
        <row r="85">
          <cell r="B85" t="str">
            <v>7-1.17</v>
          </cell>
          <cell r="C85">
            <v>7840</v>
          </cell>
          <cell r="F85">
            <v>0</v>
          </cell>
          <cell r="H85" t="str">
            <v>A/S</v>
          </cell>
          <cell r="I85" t="str">
            <v>CP+AnMC</v>
          </cell>
          <cell r="L85" t="str">
            <v>HEB-260 (CP)</v>
          </cell>
          <cell r="M85" t="str">
            <v>C4R</v>
          </cell>
          <cell r="N85" t="str">
            <v>EMT-1</v>
          </cell>
          <cell r="Q85">
            <v>0</v>
          </cell>
          <cell r="R85">
            <v>0</v>
          </cell>
          <cell r="T85">
            <v>-20</v>
          </cell>
          <cell r="W85">
            <v>1.4</v>
          </cell>
          <cell r="AC85" t="str">
            <v>PH-1150</v>
          </cell>
          <cell r="AF85">
            <v>6000</v>
          </cell>
          <cell r="AG85">
            <v>7835</v>
          </cell>
          <cell r="AH85">
            <v>2588</v>
          </cell>
          <cell r="AI85">
            <v>649</v>
          </cell>
          <cell r="AM85" t="str">
            <v>RW1</v>
          </cell>
        </row>
        <row r="86">
          <cell r="G86">
            <v>57</v>
          </cell>
          <cell r="S86">
            <v>56.9399999999996</v>
          </cell>
        </row>
        <row r="87">
          <cell r="A87" t="str">
            <v>GAN-NS1</v>
          </cell>
          <cell r="B87" t="str">
            <v>7-1.18</v>
          </cell>
          <cell r="C87">
            <v>7897</v>
          </cell>
          <cell r="F87">
            <v>7408.333333333333</v>
          </cell>
          <cell r="H87" t="str">
            <v>S/A</v>
          </cell>
          <cell r="I87" t="str">
            <v>IO</v>
          </cell>
          <cell r="L87" t="str">
            <v>HEB-260</v>
          </cell>
          <cell r="M87" t="str">
            <v>C4R</v>
          </cell>
          <cell r="N87" t="str">
            <v>EMT-T</v>
          </cell>
          <cell r="O87" t="str">
            <v>EMT-2</v>
          </cell>
          <cell r="Q87">
            <v>40</v>
          </cell>
          <cell r="R87">
            <v>10500</v>
          </cell>
          <cell r="T87">
            <v>60</v>
          </cell>
          <cell r="U87">
            <v>15</v>
          </cell>
          <cell r="W87">
            <v>1.4</v>
          </cell>
          <cell r="X87">
            <v>2.2999999999999998</v>
          </cell>
          <cell r="Z87">
            <v>0.45</v>
          </cell>
          <cell r="AD87" t="str">
            <v>PH-1150</v>
          </cell>
          <cell r="AF87">
            <v>6000</v>
          </cell>
          <cell r="AG87">
            <v>7891.94</v>
          </cell>
          <cell r="AH87">
            <v>2598</v>
          </cell>
          <cell r="AI87">
            <v>590</v>
          </cell>
          <cell r="AJ87" t="str">
            <v>LoadB/NZ</v>
          </cell>
          <cell r="AM87" t="str">
            <v>RW1</v>
          </cell>
        </row>
        <row r="88">
          <cell r="G88">
            <v>42</v>
          </cell>
          <cell r="S88">
            <v>47.110000000000582</v>
          </cell>
          <cell r="AJ88" t="str">
            <v>VoltageD</v>
          </cell>
        </row>
        <row r="89">
          <cell r="A89" t="str">
            <v>GAN-B01</v>
          </cell>
          <cell r="B89" t="str">
            <v>7-1.19</v>
          </cell>
          <cell r="C89">
            <v>7939</v>
          </cell>
          <cell r="L89" t="str">
            <v>HEB-300L</v>
          </cell>
          <cell r="M89" t="str">
            <v>C6</v>
          </cell>
          <cell r="AJ89" t="str">
            <v>PP-2</v>
          </cell>
          <cell r="AM89" t="str">
            <v>RW1</v>
          </cell>
        </row>
        <row r="90">
          <cell r="G90">
            <v>5</v>
          </cell>
        </row>
        <row r="91">
          <cell r="A91" t="str">
            <v>GAN-NS3</v>
          </cell>
          <cell r="B91" t="str">
            <v>7-1.20</v>
          </cell>
          <cell r="C91">
            <v>7944</v>
          </cell>
          <cell r="F91">
            <v>4154.2056074766351</v>
          </cell>
          <cell r="H91" t="str">
            <v>S/A</v>
          </cell>
          <cell r="I91" t="str">
            <v>IO</v>
          </cell>
          <cell r="L91" t="str">
            <v>HEB-260</v>
          </cell>
          <cell r="M91" t="str">
            <v>C4R</v>
          </cell>
          <cell r="N91" t="str">
            <v>EMT-1</v>
          </cell>
          <cell r="O91" t="str">
            <v>EMT-T</v>
          </cell>
          <cell r="Q91">
            <v>23</v>
          </cell>
          <cell r="R91">
            <v>3118.6</v>
          </cell>
          <cell r="T91">
            <v>25</v>
          </cell>
          <cell r="U91">
            <v>-20</v>
          </cell>
          <cell r="W91">
            <v>1.4</v>
          </cell>
          <cell r="X91">
            <v>2.2999999999999998</v>
          </cell>
          <cell r="AA91">
            <v>0.45</v>
          </cell>
          <cell r="AC91" t="str">
            <v>PHQ-1450</v>
          </cell>
          <cell r="AF91">
            <v>6000</v>
          </cell>
          <cell r="AG91">
            <v>7939.05</v>
          </cell>
          <cell r="AH91">
            <v>2548</v>
          </cell>
          <cell r="AI91">
            <v>659</v>
          </cell>
          <cell r="AJ91" t="str">
            <v>LoadB/NZ</v>
          </cell>
          <cell r="AM91" t="str">
            <v>RW1</v>
          </cell>
        </row>
        <row r="92">
          <cell r="G92">
            <v>47</v>
          </cell>
          <cell r="S92">
            <v>47.050000000000182</v>
          </cell>
        </row>
        <row r="93">
          <cell r="B93" t="str">
            <v>7-1.21</v>
          </cell>
          <cell r="C93">
            <v>7991</v>
          </cell>
          <cell r="F93">
            <v>3500</v>
          </cell>
          <cell r="H93" t="str">
            <v>S/A</v>
          </cell>
          <cell r="L93" t="str">
            <v>HEB-260</v>
          </cell>
          <cell r="M93" t="str">
            <v>C4R</v>
          </cell>
          <cell r="N93" t="str">
            <v>EMT-T</v>
          </cell>
          <cell r="O93" t="str">
            <v>EMT-2</v>
          </cell>
          <cell r="Q93">
            <v>0</v>
          </cell>
          <cell r="R93">
            <v>0</v>
          </cell>
          <cell r="T93">
            <v>45</v>
          </cell>
          <cell r="U93">
            <v>0</v>
          </cell>
          <cell r="W93">
            <v>1.4</v>
          </cell>
          <cell r="X93">
            <v>2.2999999999999998</v>
          </cell>
          <cell r="Z93">
            <v>0.45</v>
          </cell>
          <cell r="AD93" t="str">
            <v>PH-1250</v>
          </cell>
          <cell r="AF93">
            <v>5800</v>
          </cell>
          <cell r="AG93">
            <v>7986.1</v>
          </cell>
          <cell r="AH93">
            <v>3438</v>
          </cell>
          <cell r="AI93">
            <v>875</v>
          </cell>
          <cell r="AM93" t="str">
            <v>RW1</v>
          </cell>
        </row>
        <row r="94">
          <cell r="G94">
            <v>5</v>
          </cell>
          <cell r="S94">
            <v>47.039999999999964</v>
          </cell>
        </row>
        <row r="95">
          <cell r="A95" t="str">
            <v>GAN-B02</v>
          </cell>
          <cell r="B95" t="str">
            <v>7-1.22</v>
          </cell>
          <cell r="C95">
            <v>7996</v>
          </cell>
          <cell r="L95" t="str">
            <v>HEB-300L</v>
          </cell>
          <cell r="M95" t="str">
            <v>C6</v>
          </cell>
          <cell r="AJ95" t="str">
            <v>PP-2</v>
          </cell>
          <cell r="AM95" t="str">
            <v>RW1</v>
          </cell>
        </row>
        <row r="96">
          <cell r="G96">
            <v>42</v>
          </cell>
        </row>
        <row r="97">
          <cell r="A97" t="str">
            <v>GAN-NS5</v>
          </cell>
          <cell r="B97" t="str">
            <v>8-1.01</v>
          </cell>
          <cell r="C97">
            <v>8038</v>
          </cell>
          <cell r="F97">
            <v>-3500</v>
          </cell>
          <cell r="H97" t="str">
            <v>S/A</v>
          </cell>
          <cell r="I97" t="str">
            <v>IO</v>
          </cell>
          <cell r="L97" t="str">
            <v>HEB-260</v>
          </cell>
          <cell r="M97" t="str">
            <v>C4R</v>
          </cell>
          <cell r="N97" t="str">
            <v>EMT-2</v>
          </cell>
          <cell r="O97" t="str">
            <v>EMT-T</v>
          </cell>
          <cell r="Q97">
            <v>7</v>
          </cell>
          <cell r="R97">
            <v>-2500</v>
          </cell>
          <cell r="T97">
            <v>20</v>
          </cell>
          <cell r="U97">
            <v>-25</v>
          </cell>
          <cell r="W97">
            <v>1.4</v>
          </cell>
          <cell r="X97">
            <v>2.2999999999999998</v>
          </cell>
          <cell r="AA97">
            <v>0.45</v>
          </cell>
          <cell r="AC97" t="str">
            <v>PH-1150</v>
          </cell>
          <cell r="AF97">
            <v>5800</v>
          </cell>
          <cell r="AG97">
            <v>8033.14</v>
          </cell>
          <cell r="AH97">
            <v>3418</v>
          </cell>
          <cell r="AI97">
            <v>565</v>
          </cell>
          <cell r="AJ97" t="str">
            <v>LoadB/NZ</v>
          </cell>
          <cell r="AM97" t="str">
            <v>RW1</v>
          </cell>
        </row>
        <row r="98">
          <cell r="G98">
            <v>50</v>
          </cell>
          <cell r="S98">
            <v>54.909999999999854</v>
          </cell>
          <cell r="AJ98" t="str">
            <v>VoltageD</v>
          </cell>
        </row>
        <row r="99">
          <cell r="B99" t="str">
            <v>8-1.02</v>
          </cell>
          <cell r="C99">
            <v>8088</v>
          </cell>
          <cell r="F99">
            <v>-4500</v>
          </cell>
          <cell r="H99" t="str">
            <v>A/S</v>
          </cell>
          <cell r="I99" t="str">
            <v>CP+AnMC</v>
          </cell>
          <cell r="L99" t="str">
            <v>HEB-260 (CP)</v>
          </cell>
          <cell r="M99" t="str">
            <v>C4R</v>
          </cell>
          <cell r="N99" t="str">
            <v>EMT-2</v>
          </cell>
          <cell r="Q99">
            <v>24</v>
          </cell>
          <cell r="R99">
            <v>-3500</v>
          </cell>
          <cell r="T99">
            <v>20</v>
          </cell>
          <cell r="W99">
            <v>1</v>
          </cell>
          <cell r="AD99" t="str">
            <v>PHQ-1150</v>
          </cell>
          <cell r="AF99">
            <v>5800</v>
          </cell>
          <cell r="AG99">
            <v>8088.05</v>
          </cell>
          <cell r="AH99">
            <v>3258</v>
          </cell>
          <cell r="AI99">
            <v>856</v>
          </cell>
          <cell r="AM99" t="str">
            <v>RW1</v>
          </cell>
        </row>
        <row r="100">
          <cell r="A100" t="str">
            <v>NS GANNOT</v>
          </cell>
          <cell r="G100">
            <v>50</v>
          </cell>
          <cell r="J100">
            <v>8095.5</v>
          </cell>
          <cell r="K100" t="str">
            <v>AnMC</v>
          </cell>
          <cell r="S100">
            <v>48.929999999999382</v>
          </cell>
        </row>
        <row r="101">
          <cell r="B101" t="str">
            <v>8-1.03</v>
          </cell>
          <cell r="C101">
            <v>8138</v>
          </cell>
          <cell r="F101">
            <v>-8000</v>
          </cell>
          <cell r="L101" t="str">
            <v>HEB-240</v>
          </cell>
          <cell r="M101" t="str">
            <v>C3R</v>
          </cell>
          <cell r="N101" t="str">
            <v>EMT-2</v>
          </cell>
          <cell r="Q101">
            <v>15</v>
          </cell>
          <cell r="R101">
            <v>-3500</v>
          </cell>
          <cell r="T101">
            <v>20</v>
          </cell>
          <cell r="W101">
            <v>0.5</v>
          </cell>
          <cell r="AC101" t="str">
            <v>PH-1150</v>
          </cell>
          <cell r="AF101">
            <v>6440</v>
          </cell>
          <cell r="AG101">
            <v>8136.98</v>
          </cell>
          <cell r="AH101">
            <v>3338</v>
          </cell>
          <cell r="AI101">
            <v>881</v>
          </cell>
          <cell r="AM101" t="str">
            <v>RW1</v>
          </cell>
        </row>
        <row r="102">
          <cell r="A102" t="str">
            <v>Overcrossing</v>
          </cell>
          <cell r="G102">
            <v>48</v>
          </cell>
          <cell r="I102" t="str">
            <v>AnRW</v>
          </cell>
          <cell r="J102">
            <v>8145.5</v>
          </cell>
          <cell r="K102" t="str">
            <v>AnM</v>
          </cell>
          <cell r="S102">
            <v>46.940000000000509</v>
          </cell>
        </row>
        <row r="103">
          <cell r="B103" t="str">
            <v>8-1.04</v>
          </cell>
          <cell r="C103">
            <v>8186</v>
          </cell>
          <cell r="F103">
            <v>0</v>
          </cell>
          <cell r="I103" t="str">
            <v>AnRW</v>
          </cell>
          <cell r="J103">
            <v>8178.5</v>
          </cell>
          <cell r="K103" t="str">
            <v>AnM</v>
          </cell>
          <cell r="L103" t="str">
            <v>HEB-240</v>
          </cell>
          <cell r="M103" t="str">
            <v>C3R</v>
          </cell>
          <cell r="N103" t="str">
            <v>EMT-2</v>
          </cell>
          <cell r="Q103">
            <v>0</v>
          </cell>
          <cell r="R103">
            <v>0</v>
          </cell>
          <cell r="T103">
            <v>25</v>
          </cell>
          <cell r="W103">
            <v>0.5</v>
          </cell>
          <cell r="AC103" t="str">
            <v>PH-950</v>
          </cell>
          <cell r="AF103">
            <v>6280</v>
          </cell>
          <cell r="AG103">
            <v>8183.92</v>
          </cell>
          <cell r="AH103">
            <v>2648</v>
          </cell>
          <cell r="AI103">
            <v>671</v>
          </cell>
          <cell r="AM103" t="str">
            <v>RW1</v>
          </cell>
        </row>
        <row r="104">
          <cell r="G104">
            <v>55</v>
          </cell>
          <cell r="S104">
            <v>54.059999999999491</v>
          </cell>
        </row>
        <row r="105">
          <cell r="B105" t="str">
            <v>8-1.05</v>
          </cell>
          <cell r="C105">
            <v>8241</v>
          </cell>
          <cell r="F105">
            <v>0</v>
          </cell>
          <cell r="L105" t="str">
            <v>HEB-240</v>
          </cell>
          <cell r="M105" t="str">
            <v>C3R</v>
          </cell>
          <cell r="N105" t="str">
            <v>EMT-2</v>
          </cell>
          <cell r="Q105">
            <v>0</v>
          </cell>
          <cell r="R105">
            <v>0</v>
          </cell>
          <cell r="T105">
            <v>15</v>
          </cell>
          <cell r="W105">
            <v>1</v>
          </cell>
          <cell r="AC105" t="str">
            <v>PH-1050</v>
          </cell>
          <cell r="AF105">
            <v>5800</v>
          </cell>
          <cell r="AG105">
            <v>8237.98</v>
          </cell>
          <cell r="AH105">
            <v>2578</v>
          </cell>
          <cell r="AI105">
            <v>673</v>
          </cell>
          <cell r="AM105" t="str">
            <v>RW1</v>
          </cell>
        </row>
        <row r="106">
          <cell r="G106">
            <v>46</v>
          </cell>
          <cell r="S106">
            <v>46.130000000001019</v>
          </cell>
        </row>
        <row r="107">
          <cell r="B107" t="str">
            <v>8-1.06</v>
          </cell>
          <cell r="C107">
            <v>8287</v>
          </cell>
          <cell r="F107">
            <v>0</v>
          </cell>
          <cell r="L107" t="str">
            <v>HEB-240</v>
          </cell>
          <cell r="M107" t="str">
            <v>C3R</v>
          </cell>
          <cell r="N107" t="str">
            <v>EMT-1</v>
          </cell>
          <cell r="Q107">
            <v>0</v>
          </cell>
          <cell r="R107">
            <v>0</v>
          </cell>
          <cell r="T107">
            <v>-35</v>
          </cell>
          <cell r="W107">
            <v>1.4</v>
          </cell>
          <cell r="AC107" t="str">
            <v>PHQ-1150</v>
          </cell>
          <cell r="AF107">
            <v>5800</v>
          </cell>
          <cell r="AG107">
            <v>8284.11</v>
          </cell>
          <cell r="AH107">
            <v>2638</v>
          </cell>
          <cell r="AI107">
            <v>699</v>
          </cell>
          <cell r="AM107" t="str">
            <v>RW1</v>
          </cell>
        </row>
        <row r="108">
          <cell r="A108" t="str">
            <v>Overhead Cable</v>
          </cell>
          <cell r="G108">
            <v>49</v>
          </cell>
          <cell r="S108">
            <v>48.8799999999992</v>
          </cell>
        </row>
        <row r="109">
          <cell r="B109" t="str">
            <v>8-1.08</v>
          </cell>
          <cell r="C109">
            <v>8336</v>
          </cell>
          <cell r="F109">
            <v>0</v>
          </cell>
          <cell r="L109" t="str">
            <v>HEB-240</v>
          </cell>
          <cell r="M109" t="str">
            <v>C3R</v>
          </cell>
          <cell r="N109" t="str">
            <v>EMT-2</v>
          </cell>
          <cell r="Q109">
            <v>0</v>
          </cell>
          <cell r="R109">
            <v>0</v>
          </cell>
          <cell r="T109">
            <v>35</v>
          </cell>
          <cell r="W109">
            <v>1.4</v>
          </cell>
          <cell r="AC109" t="str">
            <v>PHQ-1150</v>
          </cell>
          <cell r="AF109">
            <v>5800</v>
          </cell>
          <cell r="AG109">
            <v>8332.99</v>
          </cell>
          <cell r="AH109">
            <v>2658</v>
          </cell>
          <cell r="AI109">
            <v>681</v>
          </cell>
          <cell r="AM109" t="str">
            <v>RW1</v>
          </cell>
        </row>
        <row r="110">
          <cell r="A110" t="str">
            <v xml:space="preserve"> Drainage Works</v>
          </cell>
          <cell r="G110">
            <v>56</v>
          </cell>
          <cell r="J110">
            <v>8384.5</v>
          </cell>
          <cell r="K110" t="str">
            <v>AnM</v>
          </cell>
          <cell r="S110">
            <v>55.979999999999563</v>
          </cell>
        </row>
        <row r="111">
          <cell r="B111" t="str">
            <v>8-1.10</v>
          </cell>
          <cell r="C111">
            <v>8392</v>
          </cell>
          <cell r="F111">
            <v>0</v>
          </cell>
          <cell r="H111" t="str">
            <v>AnMP</v>
          </cell>
          <cell r="L111" t="str">
            <v>HEB-260</v>
          </cell>
          <cell r="M111" t="str">
            <v>C4R</v>
          </cell>
          <cell r="N111" t="str">
            <v>EMT-1</v>
          </cell>
          <cell r="Q111">
            <v>0</v>
          </cell>
          <cell r="R111">
            <v>0</v>
          </cell>
          <cell r="T111">
            <v>-35</v>
          </cell>
          <cell r="W111">
            <v>1.4</v>
          </cell>
          <cell r="AC111" t="str">
            <v>PHC-1150</v>
          </cell>
          <cell r="AF111">
            <v>5800</v>
          </cell>
          <cell r="AG111">
            <v>8388.9699999999993</v>
          </cell>
          <cell r="AH111">
            <v>2678</v>
          </cell>
          <cell r="AI111">
            <v>501</v>
          </cell>
          <cell r="AM111" t="str">
            <v>RW1</v>
          </cell>
        </row>
        <row r="112">
          <cell r="G112">
            <v>55</v>
          </cell>
          <cell r="I112">
            <v>607</v>
          </cell>
          <cell r="S112">
            <v>55.190000000000509</v>
          </cell>
        </row>
        <row r="113">
          <cell r="B113" t="str">
            <v>8-1.12</v>
          </cell>
          <cell r="C113">
            <v>8447</v>
          </cell>
          <cell r="F113">
            <v>0</v>
          </cell>
          <cell r="H113" t="str">
            <v>MP</v>
          </cell>
          <cell r="L113" t="str">
            <v>HEB-240</v>
          </cell>
          <cell r="M113" t="str">
            <v>C3R</v>
          </cell>
          <cell r="N113" t="str">
            <v>EMT-2</v>
          </cell>
          <cell r="Q113">
            <v>0</v>
          </cell>
          <cell r="R113">
            <v>0</v>
          </cell>
          <cell r="T113">
            <v>35</v>
          </cell>
          <cell r="W113">
            <v>1.1000000000000001</v>
          </cell>
          <cell r="AC113" t="str">
            <v>PHQ-1150</v>
          </cell>
          <cell r="AF113">
            <v>5800</v>
          </cell>
          <cell r="AG113">
            <v>8444.16</v>
          </cell>
          <cell r="AH113">
            <v>2628</v>
          </cell>
          <cell r="AI113">
            <v>604</v>
          </cell>
          <cell r="AM113" t="str">
            <v>RW1</v>
          </cell>
        </row>
        <row r="114">
          <cell r="G114">
            <v>55</v>
          </cell>
          <cell r="I114">
            <v>695</v>
          </cell>
          <cell r="S114">
            <v>54.899999999999636</v>
          </cell>
        </row>
        <row r="115">
          <cell r="B115" t="str">
            <v>8-1.14</v>
          </cell>
          <cell r="C115">
            <v>8502</v>
          </cell>
          <cell r="F115">
            <v>0</v>
          </cell>
          <cell r="H115" t="str">
            <v>AnMP</v>
          </cell>
          <cell r="L115" t="str">
            <v>HEB-260</v>
          </cell>
          <cell r="M115" t="str">
            <v>C4R</v>
          </cell>
          <cell r="N115" t="str">
            <v>EMT-E</v>
          </cell>
          <cell r="Q115">
            <v>0</v>
          </cell>
          <cell r="R115">
            <v>0</v>
          </cell>
          <cell r="T115">
            <v>-35</v>
          </cell>
          <cell r="W115">
            <v>0.85</v>
          </cell>
          <cell r="AC115" t="str">
            <v>PHC-1150</v>
          </cell>
          <cell r="AF115">
            <v>5800</v>
          </cell>
          <cell r="AG115">
            <v>8499.06</v>
          </cell>
          <cell r="AH115">
            <v>2718</v>
          </cell>
          <cell r="AI115">
            <v>674</v>
          </cell>
          <cell r="AM115" t="str">
            <v>RW1</v>
          </cell>
        </row>
        <row r="116">
          <cell r="A116" t="str">
            <v>Overcrossing</v>
          </cell>
          <cell r="G116">
            <v>45</v>
          </cell>
          <cell r="J116">
            <v>8509.5</v>
          </cell>
          <cell r="K116" t="str">
            <v>AnM</v>
          </cell>
          <cell r="S116">
            <v>45.010000000000218</v>
          </cell>
        </row>
        <row r="117">
          <cell r="B117" t="str">
            <v>8-1.15</v>
          </cell>
          <cell r="C117">
            <v>8547</v>
          </cell>
          <cell r="F117">
            <v>0</v>
          </cell>
          <cell r="L117" t="str">
            <v>HEB-240</v>
          </cell>
          <cell r="M117" t="str">
            <v>C3R</v>
          </cell>
          <cell r="N117" t="str">
            <v>EMT-2</v>
          </cell>
          <cell r="Q117">
            <v>0</v>
          </cell>
          <cell r="R117">
            <v>0</v>
          </cell>
          <cell r="T117">
            <v>35</v>
          </cell>
          <cell r="W117">
            <v>0.7</v>
          </cell>
          <cell r="AC117" t="str">
            <v>PH-1150</v>
          </cell>
          <cell r="AF117">
            <v>5600</v>
          </cell>
          <cell r="AG117">
            <v>8544.07</v>
          </cell>
          <cell r="AH117">
            <v>2678</v>
          </cell>
          <cell r="AI117">
            <v>579</v>
          </cell>
          <cell r="AM117" t="str">
            <v>RW1</v>
          </cell>
        </row>
        <row r="118">
          <cell r="A118" t="str">
            <v>Overcrossing</v>
          </cell>
          <cell r="G118">
            <v>54</v>
          </cell>
          <cell r="S118">
            <v>54.790000000000873</v>
          </cell>
        </row>
        <row r="119">
          <cell r="B119" t="str">
            <v>8-1.16</v>
          </cell>
          <cell r="C119">
            <v>8601</v>
          </cell>
          <cell r="F119">
            <v>0</v>
          </cell>
          <cell r="L119" t="str">
            <v>HEB-240</v>
          </cell>
          <cell r="M119" t="str">
            <v>C3R</v>
          </cell>
          <cell r="N119" t="str">
            <v>EMT-1</v>
          </cell>
          <cell r="Q119">
            <v>0</v>
          </cell>
          <cell r="R119">
            <v>0</v>
          </cell>
          <cell r="T119">
            <v>-35</v>
          </cell>
          <cell r="W119">
            <v>0.6</v>
          </cell>
          <cell r="AC119" t="str">
            <v>PH-1150</v>
          </cell>
          <cell r="AF119">
            <v>5400</v>
          </cell>
          <cell r="AG119">
            <v>8598.86</v>
          </cell>
          <cell r="AH119">
            <v>2568</v>
          </cell>
          <cell r="AI119">
            <v>441</v>
          </cell>
          <cell r="AM119" t="str">
            <v>RW1</v>
          </cell>
        </row>
        <row r="120">
          <cell r="A120" t="str">
            <v>Overcrossing</v>
          </cell>
          <cell r="G120">
            <v>56</v>
          </cell>
          <cell r="S120">
            <v>55.209999999999127</v>
          </cell>
        </row>
        <row r="121">
          <cell r="B121" t="str">
            <v>8-1.18</v>
          </cell>
          <cell r="C121">
            <v>8657</v>
          </cell>
          <cell r="F121">
            <v>0</v>
          </cell>
          <cell r="L121" t="str">
            <v>HEB-240</v>
          </cell>
          <cell r="M121" t="str">
            <v>C3R</v>
          </cell>
          <cell r="N121" t="str">
            <v>EMT-2</v>
          </cell>
          <cell r="Q121">
            <v>0</v>
          </cell>
          <cell r="R121">
            <v>0</v>
          </cell>
          <cell r="T121">
            <v>35</v>
          </cell>
          <cell r="W121">
            <v>1</v>
          </cell>
          <cell r="AC121" t="str">
            <v>PH-1150</v>
          </cell>
          <cell r="AF121">
            <v>6000</v>
          </cell>
          <cell r="AG121">
            <v>8654.07</v>
          </cell>
          <cell r="AH121">
            <v>2618</v>
          </cell>
          <cell r="AI121">
            <v>671</v>
          </cell>
          <cell r="AM121" t="str">
            <v>RW1</v>
          </cell>
        </row>
        <row r="122">
          <cell r="A122" t="str">
            <v>Overhead Cable</v>
          </cell>
          <cell r="G122">
            <v>61</v>
          </cell>
          <cell r="I122" t="str">
            <v>AnRW</v>
          </cell>
          <cell r="J122">
            <v>8664.5</v>
          </cell>
          <cell r="K122" t="str">
            <v>AnM</v>
          </cell>
          <cell r="S122">
            <v>59.800000000001091</v>
          </cell>
        </row>
        <row r="123">
          <cell r="B123" t="str">
            <v>8-1.20</v>
          </cell>
          <cell r="C123">
            <v>8718</v>
          </cell>
          <cell r="F123">
            <v>-8000</v>
          </cell>
          <cell r="I123" t="str">
            <v>AnRW</v>
          </cell>
          <cell r="J123">
            <v>8710.5</v>
          </cell>
          <cell r="K123" t="str">
            <v>AnM</v>
          </cell>
          <cell r="L123" t="str">
            <v>HEB-240</v>
          </cell>
          <cell r="M123" t="str">
            <v>C3R</v>
          </cell>
          <cell r="N123" t="str">
            <v>EMT-1</v>
          </cell>
          <cell r="Q123">
            <v>0</v>
          </cell>
          <cell r="R123">
            <v>0</v>
          </cell>
          <cell r="T123">
            <v>-20</v>
          </cell>
          <cell r="W123">
            <v>1.4</v>
          </cell>
          <cell r="AC123" t="str">
            <v>PH-1150</v>
          </cell>
          <cell r="AF123">
            <v>6000</v>
          </cell>
          <cell r="AG123">
            <v>8713.8700000000008</v>
          </cell>
          <cell r="AH123">
            <v>2548</v>
          </cell>
          <cell r="AI123">
            <v>389</v>
          </cell>
          <cell r="AM123" t="str">
            <v>RW1</v>
          </cell>
        </row>
        <row r="124">
          <cell r="G124">
            <v>55</v>
          </cell>
          <cell r="S124">
            <v>54.979999999999563</v>
          </cell>
        </row>
        <row r="125">
          <cell r="B125" t="str">
            <v>8-1.22</v>
          </cell>
          <cell r="C125">
            <v>8773</v>
          </cell>
          <cell r="F125">
            <v>-2000</v>
          </cell>
          <cell r="L125" t="str">
            <v>HEB-260</v>
          </cell>
          <cell r="M125" t="str">
            <v>C4R</v>
          </cell>
          <cell r="N125" t="str">
            <v>EMT-2</v>
          </cell>
          <cell r="Q125">
            <v>50</v>
          </cell>
          <cell r="R125">
            <v>2000</v>
          </cell>
          <cell r="T125">
            <v>30</v>
          </cell>
          <cell r="W125">
            <v>1.4</v>
          </cell>
          <cell r="AC125" t="str">
            <v>PHC-1150</v>
          </cell>
          <cell r="AF125">
            <v>6000</v>
          </cell>
          <cell r="AG125">
            <v>8768.85</v>
          </cell>
          <cell r="AH125">
            <v>2578</v>
          </cell>
          <cell r="AI125">
            <v>451</v>
          </cell>
          <cell r="AM125" t="str">
            <v>RW1</v>
          </cell>
        </row>
        <row r="126">
          <cell r="G126">
            <v>58</v>
          </cell>
          <cell r="J126">
            <v>8823.5</v>
          </cell>
          <cell r="K126" t="str">
            <v>AnMC</v>
          </cell>
          <cell r="S126">
            <v>58.119999999998981</v>
          </cell>
        </row>
        <row r="127">
          <cell r="B127" t="str">
            <v>8-1.24</v>
          </cell>
          <cell r="C127">
            <v>8831</v>
          </cell>
          <cell r="F127">
            <v>-2000</v>
          </cell>
          <cell r="H127" t="str">
            <v>A/S-Diag</v>
          </cell>
          <cell r="I127" t="str">
            <v>CP+AnMC</v>
          </cell>
          <cell r="L127" t="str">
            <v>HEB-280 (CP)</v>
          </cell>
          <cell r="M127" t="str">
            <v>C5</v>
          </cell>
          <cell r="N127" t="str">
            <v>EMT-2</v>
          </cell>
          <cell r="Q127">
            <v>61</v>
          </cell>
          <cell r="R127">
            <v>2000</v>
          </cell>
          <cell r="T127">
            <v>25</v>
          </cell>
          <cell r="W127">
            <v>1.4</v>
          </cell>
          <cell r="AC127" t="str">
            <v>PHC-1150</v>
          </cell>
          <cell r="AF127">
            <v>6000</v>
          </cell>
          <cell r="AG127">
            <v>8826.9699999999993</v>
          </cell>
          <cell r="AH127">
            <v>2528</v>
          </cell>
          <cell r="AI127">
            <v>472</v>
          </cell>
          <cell r="AM127" t="str">
            <v>RW1</v>
          </cell>
        </row>
        <row r="128">
          <cell r="G128">
            <v>58</v>
          </cell>
          <cell r="I128">
            <v>421.5</v>
          </cell>
          <cell r="S128">
            <v>57.950000000000728</v>
          </cell>
        </row>
        <row r="129">
          <cell r="B129" t="str">
            <v>8-1.26</v>
          </cell>
          <cell r="C129">
            <v>8889</v>
          </cell>
          <cell r="F129">
            <v>0</v>
          </cell>
          <cell r="H129" t="str">
            <v>S/A</v>
          </cell>
          <cell r="L129" t="str">
            <v>HEB-260</v>
          </cell>
          <cell r="M129" t="str">
            <v>C4R</v>
          </cell>
          <cell r="N129" t="str">
            <v>EMT-T</v>
          </cell>
          <cell r="O129" t="str">
            <v>EMT-2</v>
          </cell>
          <cell r="Q129">
            <v>17</v>
          </cell>
          <cell r="R129">
            <v>9359.83</v>
          </cell>
          <cell r="T129">
            <v>80</v>
          </cell>
          <cell r="U129">
            <v>30</v>
          </cell>
          <cell r="W129">
            <v>1.4</v>
          </cell>
          <cell r="X129">
            <v>2.2999999999999998</v>
          </cell>
          <cell r="Z129">
            <v>0.6</v>
          </cell>
          <cell r="AD129" t="str">
            <v>PH-1150</v>
          </cell>
          <cell r="AF129">
            <v>6000</v>
          </cell>
          <cell r="AG129">
            <v>8884.92</v>
          </cell>
          <cell r="AH129">
            <v>2558</v>
          </cell>
          <cell r="AI129">
            <v>509</v>
          </cell>
          <cell r="AM129" t="str">
            <v>RW1</v>
          </cell>
        </row>
        <row r="130">
          <cell r="G130">
            <v>59</v>
          </cell>
          <cell r="S130">
            <v>59.780000000000655</v>
          </cell>
        </row>
        <row r="131">
          <cell r="B131" t="str">
            <v>8-1.28</v>
          </cell>
          <cell r="C131">
            <v>8947.5</v>
          </cell>
          <cell r="F131">
            <v>0</v>
          </cell>
          <cell r="H131" t="str">
            <v>P90</v>
          </cell>
          <cell r="L131" t="str">
            <v>2HEB-240</v>
          </cell>
          <cell r="M131" t="str">
            <v>C2H-240</v>
          </cell>
          <cell r="N131" t="str">
            <v>EMT-E</v>
          </cell>
          <cell r="O131" t="str">
            <v>EMT-2</v>
          </cell>
          <cell r="Q131">
            <v>0</v>
          </cell>
          <cell r="R131">
            <v>0</v>
          </cell>
          <cell r="T131">
            <v>80</v>
          </cell>
          <cell r="U131">
            <v>25</v>
          </cell>
          <cell r="W131">
            <v>1.4</v>
          </cell>
          <cell r="X131">
            <v>2.2999999999999998</v>
          </cell>
          <cell r="Z131">
            <v>-0.05</v>
          </cell>
          <cell r="AC131" t="str">
            <v>BTC-2001</v>
          </cell>
          <cell r="AD131" t="str">
            <v>PH-1500</v>
          </cell>
          <cell r="AF131">
            <v>5600</v>
          </cell>
          <cell r="AG131">
            <v>8944.7000000000007</v>
          </cell>
          <cell r="AH131">
            <v>2579</v>
          </cell>
          <cell r="AI131">
            <v>314</v>
          </cell>
          <cell r="AM131" t="str">
            <v>RW1</v>
          </cell>
        </row>
        <row r="132">
          <cell r="A132" t="str">
            <v>8928,10 =207,48</v>
          </cell>
          <cell r="G132">
            <v>47</v>
          </cell>
          <cell r="J132">
            <v>262.5</v>
          </cell>
          <cell r="K132" t="str">
            <v>AnMC</v>
          </cell>
          <cell r="S132">
            <v>46.529999999998836</v>
          </cell>
        </row>
        <row r="133">
          <cell r="B133" t="str">
            <v>0-1.30</v>
          </cell>
          <cell r="C133">
            <v>270</v>
          </cell>
          <cell r="F133">
            <v>0</v>
          </cell>
          <cell r="H133" t="str">
            <v>A/S-Diag</v>
          </cell>
          <cell r="I133" t="str">
            <v>CP+AnMC</v>
          </cell>
          <cell r="L133" t="str">
            <v>HEB-260 (CP)</v>
          </cell>
          <cell r="M133" t="str">
            <v>C4R</v>
          </cell>
          <cell r="N133" t="str">
            <v>EMT-2</v>
          </cell>
          <cell r="Q133">
            <v>0</v>
          </cell>
          <cell r="R133">
            <v>0</v>
          </cell>
          <cell r="T133">
            <v>-20</v>
          </cell>
          <cell r="W133">
            <v>1.4</v>
          </cell>
          <cell r="AC133" t="str">
            <v>PHQ-1150</v>
          </cell>
          <cell r="AF133">
            <v>6000</v>
          </cell>
          <cell r="AG133">
            <v>270.61</v>
          </cell>
          <cell r="AH133">
            <v>2244</v>
          </cell>
          <cell r="AI133">
            <v>410</v>
          </cell>
          <cell r="AM133" t="str">
            <v>RW1</v>
          </cell>
        </row>
        <row r="134">
          <cell r="G134">
            <v>40</v>
          </cell>
          <cell r="I134">
            <v>347</v>
          </cell>
          <cell r="S134">
            <v>-270.61</v>
          </cell>
        </row>
        <row r="135">
          <cell r="B135" t="str">
            <v>0-1.31</v>
          </cell>
          <cell r="C135">
            <v>310</v>
          </cell>
          <cell r="F135">
            <v>0</v>
          </cell>
          <cell r="H135" t="str">
            <v>S/A</v>
          </cell>
          <cell r="N135" t="str">
            <v>EMT-T</v>
          </cell>
          <cell r="O135" t="str">
            <v>EMT-1</v>
          </cell>
          <cell r="T135">
            <v>-80</v>
          </cell>
          <cell r="U135">
            <v>-25</v>
          </cell>
          <cell r="W135">
            <v>2.2999999999999998</v>
          </cell>
          <cell r="X135">
            <v>1.4</v>
          </cell>
          <cell r="Z135">
            <v>0.6</v>
          </cell>
          <cell r="AC135" t="str">
            <v>PH</v>
          </cell>
          <cell r="AK135" t="str">
            <v>S2</v>
          </cell>
        </row>
        <row r="136">
          <cell r="G136">
            <v>47</v>
          </cell>
          <cell r="S136">
            <v>355.62</v>
          </cell>
        </row>
        <row r="137">
          <cell r="B137" t="str">
            <v>0-1.32</v>
          </cell>
          <cell r="C137">
            <v>357</v>
          </cell>
          <cell r="F137">
            <v>0</v>
          </cell>
          <cell r="H137" t="str">
            <v>P90 A/S</v>
          </cell>
          <cell r="I137" t="str">
            <v>CP/TX-P</v>
          </cell>
          <cell r="J137">
            <v>349.5</v>
          </cell>
          <cell r="K137" t="str">
            <v>AnMC</v>
          </cell>
          <cell r="L137" t="str">
            <v>HEB-280 (CP)</v>
          </cell>
          <cell r="M137" t="str">
            <v>C5</v>
          </cell>
          <cell r="N137" t="str">
            <v>EMT-1</v>
          </cell>
          <cell r="O137" t="str">
            <v>EMT-2</v>
          </cell>
          <cell r="Q137">
            <v>0</v>
          </cell>
          <cell r="R137">
            <v>0</v>
          </cell>
          <cell r="T137">
            <v>80</v>
          </cell>
          <cell r="U137">
            <v>25</v>
          </cell>
          <cell r="W137">
            <v>1.4</v>
          </cell>
          <cell r="X137">
            <v>2.2999999999999998</v>
          </cell>
          <cell r="Z137">
            <v>-0.05</v>
          </cell>
          <cell r="AC137" t="str">
            <v>BTC-2000</v>
          </cell>
          <cell r="AD137" t="str">
            <v>PH-1450</v>
          </cell>
          <cell r="AF137">
            <v>5800</v>
          </cell>
          <cell r="AG137">
            <v>355.62</v>
          </cell>
          <cell r="AH137">
            <v>2630</v>
          </cell>
          <cell r="AI137">
            <v>249</v>
          </cell>
          <cell r="AJ137" t="str">
            <v>SECT-I</v>
          </cell>
          <cell r="AM137" t="str">
            <v>RW1</v>
          </cell>
        </row>
        <row r="138">
          <cell r="A138" t="str">
            <v>Star zone between wall</v>
          </cell>
          <cell r="G138">
            <v>37</v>
          </cell>
          <cell r="J138">
            <v>386.5</v>
          </cell>
          <cell r="K138" t="str">
            <v>AnM</v>
          </cell>
          <cell r="S138">
            <v>38.79000000000002</v>
          </cell>
        </row>
        <row r="139">
          <cell r="B139" t="str">
            <v>0-1.34</v>
          </cell>
          <cell r="C139">
            <v>394</v>
          </cell>
          <cell r="F139">
            <v>0</v>
          </cell>
          <cell r="H139" t="str">
            <v>S/A</v>
          </cell>
          <cell r="I139" t="str">
            <v>AnRW</v>
          </cell>
          <cell r="L139" t="str">
            <v>2HEB-240</v>
          </cell>
          <cell r="M139" t="str">
            <v>C2H-240</v>
          </cell>
          <cell r="N139" t="str">
            <v>EMT-T</v>
          </cell>
          <cell r="O139" t="str">
            <v>EMT-1</v>
          </cell>
          <cell r="Q139">
            <v>0</v>
          </cell>
          <cell r="R139">
            <v>0</v>
          </cell>
          <cell r="T139">
            <v>30</v>
          </cell>
          <cell r="U139">
            <v>-20</v>
          </cell>
          <cell r="W139">
            <v>1.4</v>
          </cell>
          <cell r="X139">
            <v>2.2999999999999998</v>
          </cell>
          <cell r="Z139">
            <v>0.6</v>
          </cell>
          <cell r="AD139" t="str">
            <v>PH-1150</v>
          </cell>
          <cell r="AF139">
            <v>6000</v>
          </cell>
          <cell r="AG139">
            <v>394.41</v>
          </cell>
          <cell r="AH139">
            <v>3266</v>
          </cell>
          <cell r="AI139">
            <v>661</v>
          </cell>
          <cell r="AM139" t="str">
            <v>RW1</v>
          </cell>
        </row>
        <row r="140">
          <cell r="G140">
            <v>33</v>
          </cell>
          <cell r="S140">
            <v>33.199999999999989</v>
          </cell>
        </row>
        <row r="141">
          <cell r="B141" t="str">
            <v>0-1,36</v>
          </cell>
          <cell r="C141">
            <v>427</v>
          </cell>
          <cell r="F141">
            <v>0</v>
          </cell>
          <cell r="H141" t="str">
            <v>S/A</v>
          </cell>
          <cell r="L141" t="str">
            <v>HEB-260</v>
          </cell>
          <cell r="M141" t="str">
            <v>C4R</v>
          </cell>
          <cell r="N141" t="str">
            <v>EMT-T</v>
          </cell>
          <cell r="O141" t="str">
            <v>EMT-2</v>
          </cell>
          <cell r="Q141">
            <v>0</v>
          </cell>
          <cell r="R141">
            <v>0</v>
          </cell>
          <cell r="T141">
            <v>15</v>
          </cell>
          <cell r="U141">
            <v>-35</v>
          </cell>
          <cell r="W141">
            <v>1.4</v>
          </cell>
          <cell r="X141">
            <v>2.2999999999999998</v>
          </cell>
          <cell r="Z141">
            <v>0.1</v>
          </cell>
          <cell r="AC141" t="str">
            <v>BC-1401</v>
          </cell>
          <cell r="AD141" t="str">
            <v>PH-1150</v>
          </cell>
          <cell r="AF141">
            <v>6000</v>
          </cell>
          <cell r="AG141">
            <v>427.61</v>
          </cell>
          <cell r="AH141">
            <v>3360</v>
          </cell>
          <cell r="AI141">
            <v>695</v>
          </cell>
          <cell r="AM141" t="str">
            <v>RW1</v>
          </cell>
        </row>
        <row r="142">
          <cell r="G142">
            <v>30</v>
          </cell>
          <cell r="S142">
            <v>29.729999999999961</v>
          </cell>
        </row>
        <row r="143">
          <cell r="B143" t="str">
            <v>0-1.37</v>
          </cell>
          <cell r="C143">
            <v>457</v>
          </cell>
          <cell r="F143">
            <v>0</v>
          </cell>
          <cell r="H143" t="str">
            <v>S/A</v>
          </cell>
          <cell r="L143" t="str">
            <v>2HEB-260L</v>
          </cell>
          <cell r="M143" t="str">
            <v>C2H-260LR</v>
          </cell>
          <cell r="N143" t="str">
            <v>EMT-1</v>
          </cell>
          <cell r="O143" t="str">
            <v>EMT-T</v>
          </cell>
          <cell r="Q143">
            <v>0</v>
          </cell>
          <cell r="R143">
            <v>0</v>
          </cell>
          <cell r="T143">
            <v>30</v>
          </cell>
          <cell r="U143">
            <v>-20</v>
          </cell>
          <cell r="W143">
            <v>1.4</v>
          </cell>
          <cell r="X143">
            <v>2.2999999999999998</v>
          </cell>
          <cell r="AA143">
            <v>0.1</v>
          </cell>
          <cell r="AC143" t="str">
            <v>PH-1150</v>
          </cell>
          <cell r="AD143" t="str">
            <v>BC-1501</v>
          </cell>
          <cell r="AF143">
            <v>6000</v>
          </cell>
          <cell r="AG143">
            <v>457.34</v>
          </cell>
          <cell r="AH143">
            <v>3365</v>
          </cell>
          <cell r="AI143">
            <v>614</v>
          </cell>
          <cell r="AM143" t="str">
            <v>RW1</v>
          </cell>
        </row>
        <row r="144">
          <cell r="G144">
            <v>33.5</v>
          </cell>
          <cell r="S144">
            <v>33.990000000000009</v>
          </cell>
        </row>
        <row r="145">
          <cell r="A145" t="str">
            <v>TZG-03</v>
          </cell>
          <cell r="B145" t="str">
            <v>0-1.38</v>
          </cell>
          <cell r="C145">
            <v>490.5</v>
          </cell>
          <cell r="F145">
            <v>0</v>
          </cell>
          <cell r="H145" t="str">
            <v>S/A</v>
          </cell>
          <cell r="I145" t="str">
            <v>IO</v>
          </cell>
          <cell r="L145" t="str">
            <v>2HEB-240</v>
          </cell>
          <cell r="M145" t="str">
            <v>C2H-240</v>
          </cell>
          <cell r="N145" t="str">
            <v>EMT-1</v>
          </cell>
          <cell r="O145" t="str">
            <v>EMT-T</v>
          </cell>
          <cell r="Q145">
            <v>0</v>
          </cell>
          <cell r="R145">
            <v>0</v>
          </cell>
          <cell r="T145">
            <v>-10</v>
          </cell>
          <cell r="U145">
            <v>-60</v>
          </cell>
          <cell r="W145">
            <v>1.4</v>
          </cell>
          <cell r="X145">
            <v>2.2999999999999998</v>
          </cell>
          <cell r="AA145">
            <v>0.6</v>
          </cell>
          <cell r="AC145" t="str">
            <v>PH-1150</v>
          </cell>
          <cell r="AF145">
            <v>6000</v>
          </cell>
          <cell r="AG145">
            <v>491.33</v>
          </cell>
          <cell r="AH145">
            <v>3235</v>
          </cell>
          <cell r="AI145">
            <v>663</v>
          </cell>
          <cell r="AJ145" t="str">
            <v>Disc/IO</v>
          </cell>
          <cell r="AM145" t="str">
            <v>RW1</v>
          </cell>
        </row>
        <row r="146">
          <cell r="G146">
            <v>37</v>
          </cell>
          <cell r="S146">
            <v>36.920000000000016</v>
          </cell>
        </row>
        <row r="147">
          <cell r="B147" t="str">
            <v>0-1.39</v>
          </cell>
          <cell r="C147">
            <v>527.5</v>
          </cell>
          <cell r="F147">
            <v>0</v>
          </cell>
          <cell r="H147" t="str">
            <v>P90 A/S</v>
          </cell>
          <cell r="L147" t="str">
            <v>HEB-280</v>
          </cell>
          <cell r="M147" t="str">
            <v>C5</v>
          </cell>
          <cell r="N147" t="str">
            <v>EMT-2</v>
          </cell>
          <cell r="O147" t="str">
            <v>EMT-1</v>
          </cell>
          <cell r="Q147">
            <v>0</v>
          </cell>
          <cell r="R147">
            <v>0</v>
          </cell>
          <cell r="T147">
            <v>25</v>
          </cell>
          <cell r="U147">
            <v>80</v>
          </cell>
          <cell r="W147">
            <v>2.2999999999999998</v>
          </cell>
          <cell r="X147">
            <v>1.4</v>
          </cell>
          <cell r="AB147">
            <v>-0.05</v>
          </cell>
          <cell r="AC147" t="str">
            <v>PH-1450</v>
          </cell>
          <cell r="AD147" t="str">
            <v>BTC-2000</v>
          </cell>
          <cell r="AF147">
            <v>6000</v>
          </cell>
          <cell r="AG147">
            <v>528.25</v>
          </cell>
          <cell r="AH147">
            <v>3166</v>
          </cell>
          <cell r="AI147">
            <v>675</v>
          </cell>
          <cell r="AJ147" t="str">
            <v>SECT-I</v>
          </cell>
          <cell r="AM147" t="str">
            <v>RW1</v>
          </cell>
        </row>
        <row r="148">
          <cell r="G148">
            <v>47.5</v>
          </cell>
          <cell r="I148" t="str">
            <v>FP+AnMC</v>
          </cell>
          <cell r="J148">
            <v>535</v>
          </cell>
          <cell r="K148" t="str">
            <v>AnMC</v>
          </cell>
          <cell r="S148">
            <v>47.710000000000036</v>
          </cell>
        </row>
        <row r="149">
          <cell r="B149" t="str">
            <v>0-1.40</v>
          </cell>
          <cell r="C149">
            <v>575</v>
          </cell>
          <cell r="F149">
            <v>0</v>
          </cell>
          <cell r="H149" t="str">
            <v>S/A</v>
          </cell>
          <cell r="L149" t="str">
            <v>2HEB-240</v>
          </cell>
          <cell r="M149" t="str">
            <v>C2H-240</v>
          </cell>
          <cell r="N149" t="str">
            <v>EMT-2</v>
          </cell>
          <cell r="O149" t="str">
            <v>EMT-T</v>
          </cell>
          <cell r="Q149">
            <v>0</v>
          </cell>
          <cell r="R149">
            <v>0</v>
          </cell>
          <cell r="T149">
            <v>25</v>
          </cell>
          <cell r="U149">
            <v>80</v>
          </cell>
          <cell r="W149">
            <v>2.2999999999999998</v>
          </cell>
          <cell r="X149">
            <v>1.4</v>
          </cell>
          <cell r="AA149">
            <v>0.6</v>
          </cell>
          <cell r="AC149" t="str">
            <v>PH-1150</v>
          </cell>
          <cell r="AF149">
            <v>6000</v>
          </cell>
          <cell r="AG149">
            <v>575.96</v>
          </cell>
          <cell r="AH149">
            <v>3175</v>
          </cell>
          <cell r="AI149">
            <v>761</v>
          </cell>
          <cell r="AM149" t="str">
            <v>RW1</v>
          </cell>
        </row>
        <row r="150">
          <cell r="G150">
            <v>42</v>
          </cell>
          <cell r="S150">
            <v>41.909999999999968</v>
          </cell>
        </row>
        <row r="151">
          <cell r="B151" t="str">
            <v>0-1.41</v>
          </cell>
          <cell r="C151">
            <v>617</v>
          </cell>
          <cell r="F151">
            <v>0</v>
          </cell>
          <cell r="H151" t="str">
            <v>A/S-Diag</v>
          </cell>
          <cell r="I151" t="str">
            <v>FP+AnMC</v>
          </cell>
          <cell r="J151">
            <v>624.5</v>
          </cell>
          <cell r="K151" t="str">
            <v>AnMC</v>
          </cell>
          <cell r="L151" t="str">
            <v>HEB-260 (CP)</v>
          </cell>
          <cell r="M151" t="str">
            <v>C4R</v>
          </cell>
          <cell r="N151" t="str">
            <v>EMT-1</v>
          </cell>
          <cell r="Q151">
            <v>0</v>
          </cell>
          <cell r="R151">
            <v>0</v>
          </cell>
          <cell r="T151">
            <v>-35</v>
          </cell>
          <cell r="W151">
            <v>1.1000000000000001</v>
          </cell>
          <cell r="AC151" t="str">
            <v>PHQ-1150</v>
          </cell>
          <cell r="AF151">
            <v>6000</v>
          </cell>
          <cell r="AG151">
            <v>617.87</v>
          </cell>
          <cell r="AH151">
            <v>3319</v>
          </cell>
          <cell r="AI151">
            <v>776</v>
          </cell>
          <cell r="AM151" t="str">
            <v>RW1</v>
          </cell>
        </row>
        <row r="152">
          <cell r="A152" t="str">
            <v>Start Tunnel</v>
          </cell>
          <cell r="G152">
            <v>45</v>
          </cell>
          <cell r="H152" t="str">
            <v>AnRW/Tunnel</v>
          </cell>
          <cell r="J152">
            <v>1000</v>
          </cell>
          <cell r="K152" t="str">
            <v>AnM/Tunnel</v>
          </cell>
          <cell r="S152">
            <v>43.970000000000027</v>
          </cell>
        </row>
        <row r="153">
          <cell r="B153" t="str">
            <v>0-1.42</v>
          </cell>
          <cell r="C153">
            <v>662</v>
          </cell>
          <cell r="F153">
            <v>0</v>
          </cell>
          <cell r="H153" t="str">
            <v>AnRW/Tunnel</v>
          </cell>
          <cell r="J153">
            <v>1000</v>
          </cell>
          <cell r="K153" t="str">
            <v>AnM/Tunnel</v>
          </cell>
          <cell r="L153" t="str">
            <v>S1T</v>
          </cell>
          <cell r="N153" t="str">
            <v>EMT-2T</v>
          </cell>
          <cell r="Q153">
            <v>0</v>
          </cell>
          <cell r="R153" t="str">
            <v>inf</v>
          </cell>
          <cell r="T153">
            <v>35</v>
          </cell>
          <cell r="W153">
            <v>0.9</v>
          </cell>
          <cell r="AC153" t="str">
            <v>PH-Q 950</v>
          </cell>
          <cell r="AF153">
            <v>600</v>
          </cell>
          <cell r="AG153">
            <v>661.84</v>
          </cell>
          <cell r="AH153">
            <v>2110</v>
          </cell>
          <cell r="AI153">
            <v>-4642</v>
          </cell>
          <cell r="AM153" t="str">
            <v>RW1T-S</v>
          </cell>
        </row>
        <row r="154">
          <cell r="G154">
            <v>45</v>
          </cell>
          <cell r="S154">
            <v>45.980000000000018</v>
          </cell>
        </row>
        <row r="155">
          <cell r="B155" t="str">
            <v>0-1.43</v>
          </cell>
          <cell r="C155">
            <v>707</v>
          </cell>
          <cell r="F155">
            <v>0</v>
          </cell>
          <cell r="L155" t="str">
            <v>S1T</v>
          </cell>
          <cell r="N155" t="str">
            <v>EMT-ET</v>
          </cell>
          <cell r="Q155">
            <v>0</v>
          </cell>
          <cell r="R155" t="str">
            <v>inf</v>
          </cell>
          <cell r="T155">
            <v>-35</v>
          </cell>
          <cell r="W155">
            <v>0.9</v>
          </cell>
          <cell r="AC155" t="str">
            <v>PH-Q 950</v>
          </cell>
          <cell r="AF155">
            <v>600</v>
          </cell>
          <cell r="AG155">
            <v>707.82</v>
          </cell>
          <cell r="AH155">
            <v>2161</v>
          </cell>
          <cell r="AI155">
            <v>-4565</v>
          </cell>
          <cell r="AM155" t="str">
            <v>RW1T-S</v>
          </cell>
        </row>
        <row r="156">
          <cell r="G156">
            <v>45</v>
          </cell>
          <cell r="S156">
            <v>46.039999999999964</v>
          </cell>
        </row>
        <row r="157">
          <cell r="B157" t="str">
            <v>0-1.44</v>
          </cell>
          <cell r="C157">
            <v>752</v>
          </cell>
          <cell r="F157">
            <v>0</v>
          </cell>
          <cell r="L157" t="str">
            <v>S1T</v>
          </cell>
          <cell r="N157" t="str">
            <v>EMT-2T</v>
          </cell>
          <cell r="Q157">
            <v>0</v>
          </cell>
          <cell r="R157" t="str">
            <v>inf</v>
          </cell>
          <cell r="T157">
            <v>35</v>
          </cell>
          <cell r="W157">
            <v>0.9</v>
          </cell>
          <cell r="AC157" t="str">
            <v>PH-Q 950</v>
          </cell>
          <cell r="AF157">
            <v>600</v>
          </cell>
          <cell r="AG157">
            <v>753.86</v>
          </cell>
          <cell r="AH157">
            <v>2114</v>
          </cell>
          <cell r="AI157">
            <v>-4744</v>
          </cell>
          <cell r="AM157" t="str">
            <v>RW1T-S</v>
          </cell>
        </row>
        <row r="158">
          <cell r="G158">
            <v>45</v>
          </cell>
          <cell r="S158">
            <v>43.960000000000036</v>
          </cell>
        </row>
        <row r="159">
          <cell r="A159" t="str">
            <v>Tunnel Zone with</v>
          </cell>
          <cell r="B159" t="str">
            <v>0-1.45</v>
          </cell>
          <cell r="C159">
            <v>797</v>
          </cell>
          <cell r="F159">
            <v>0</v>
          </cell>
          <cell r="H159" t="str">
            <v>AnMP/Tunnel</v>
          </cell>
          <cell r="L159" t="str">
            <v>S1T</v>
          </cell>
          <cell r="N159" t="str">
            <v>EMT-ET</v>
          </cell>
          <cell r="Q159">
            <v>0</v>
          </cell>
          <cell r="R159" t="str">
            <v>inf</v>
          </cell>
          <cell r="T159">
            <v>-35</v>
          </cell>
          <cell r="W159">
            <v>0.9</v>
          </cell>
          <cell r="AC159" t="str">
            <v>PH-Q 950</v>
          </cell>
          <cell r="AF159">
            <v>600</v>
          </cell>
          <cell r="AG159">
            <v>797.82</v>
          </cell>
          <cell r="AH159">
            <v>2122</v>
          </cell>
          <cell r="AI159">
            <v>-4698</v>
          </cell>
          <cell r="AM159" t="str">
            <v>RW1T-S</v>
          </cell>
        </row>
        <row r="160">
          <cell r="A160" t="str">
            <v>prefabricate concrete beams</v>
          </cell>
          <cell r="G160">
            <v>45</v>
          </cell>
          <cell r="I160">
            <v>485</v>
          </cell>
          <cell r="J160">
            <v>798</v>
          </cell>
          <cell r="K160" t="str">
            <v>AnM/Tunnel</v>
          </cell>
          <cell r="S160">
            <v>45.389999999999986</v>
          </cell>
        </row>
        <row r="161">
          <cell r="B161" t="str">
            <v>0-1.46</v>
          </cell>
          <cell r="C161">
            <v>842</v>
          </cell>
          <cell r="F161">
            <v>0</v>
          </cell>
          <cell r="H161" t="str">
            <v>MP/Tunnel</v>
          </cell>
          <cell r="L161" t="str">
            <v>S1T</v>
          </cell>
          <cell r="N161" t="str">
            <v>EMT-2T</v>
          </cell>
          <cell r="Q161">
            <v>0</v>
          </cell>
          <cell r="R161" t="str">
            <v>inf</v>
          </cell>
          <cell r="T161">
            <v>35</v>
          </cell>
          <cell r="W161">
            <v>0.9</v>
          </cell>
          <cell r="AC161" t="str">
            <v>PH-Q 950</v>
          </cell>
          <cell r="AF161">
            <v>600</v>
          </cell>
          <cell r="AG161">
            <v>843.21</v>
          </cell>
          <cell r="AH161">
            <v>2118</v>
          </cell>
          <cell r="AI161">
            <v>-4773</v>
          </cell>
          <cell r="AM161" t="str">
            <v>RW1T-S</v>
          </cell>
        </row>
        <row r="162">
          <cell r="G162">
            <v>45</v>
          </cell>
          <cell r="I162">
            <v>493</v>
          </cell>
          <cell r="J162">
            <v>886</v>
          </cell>
          <cell r="K162" t="str">
            <v>AnM/Tunnel</v>
          </cell>
          <cell r="S162">
            <v>43.67999999999995</v>
          </cell>
        </row>
        <row r="163">
          <cell r="B163" t="str">
            <v>0-1.47</v>
          </cell>
          <cell r="C163">
            <v>887</v>
          </cell>
          <cell r="F163">
            <v>0</v>
          </cell>
          <cell r="H163" t="str">
            <v>AnMP/Tunnel</v>
          </cell>
          <cell r="L163" t="str">
            <v>S1T</v>
          </cell>
          <cell r="N163" t="str">
            <v>EMT-ET</v>
          </cell>
          <cell r="Q163">
            <v>0</v>
          </cell>
          <cell r="R163" t="str">
            <v>inf</v>
          </cell>
          <cell r="T163">
            <v>-35</v>
          </cell>
          <cell r="W163">
            <v>1.1000000000000001</v>
          </cell>
          <cell r="AC163" t="str">
            <v>PH-Q 1150</v>
          </cell>
          <cell r="AF163">
            <v>600</v>
          </cell>
          <cell r="AG163">
            <v>886.89</v>
          </cell>
          <cell r="AH163">
            <v>2235</v>
          </cell>
          <cell r="AI163">
            <v>-4672</v>
          </cell>
          <cell r="AM163" t="str">
            <v>RW1T-S</v>
          </cell>
        </row>
        <row r="164">
          <cell r="G164">
            <v>45</v>
          </cell>
          <cell r="S164">
            <v>45.529999999999973</v>
          </cell>
        </row>
        <row r="165">
          <cell r="B165" t="str">
            <v>0-1.48</v>
          </cell>
          <cell r="C165">
            <v>932</v>
          </cell>
          <cell r="F165">
            <v>0</v>
          </cell>
          <cell r="L165" t="str">
            <v>S1T</v>
          </cell>
          <cell r="N165" t="str">
            <v>EMT-2T</v>
          </cell>
          <cell r="Q165">
            <v>16</v>
          </cell>
          <cell r="R165">
            <v>-3943.87</v>
          </cell>
          <cell r="T165">
            <v>35</v>
          </cell>
          <cell r="W165">
            <v>1.1000000000000001</v>
          </cell>
          <cell r="AC165" t="str">
            <v>PH-Q 950</v>
          </cell>
          <cell r="AF165">
            <v>600</v>
          </cell>
          <cell r="AG165">
            <v>932.42</v>
          </cell>
          <cell r="AH165">
            <v>2163</v>
          </cell>
          <cell r="AI165">
            <v>-4713</v>
          </cell>
          <cell r="AM165" t="str">
            <v>RW1T-S</v>
          </cell>
        </row>
        <row r="166">
          <cell r="G166">
            <v>45</v>
          </cell>
          <cell r="S166">
            <v>45.629999999999995</v>
          </cell>
        </row>
        <row r="167">
          <cell r="B167" t="str">
            <v>0-1.49</v>
          </cell>
          <cell r="C167">
            <v>977</v>
          </cell>
          <cell r="F167">
            <v>-3393.939393939394</v>
          </cell>
          <cell r="L167" t="str">
            <v>S1T</v>
          </cell>
          <cell r="N167" t="str">
            <v>EMT-2T</v>
          </cell>
          <cell r="Q167">
            <v>44</v>
          </cell>
          <cell r="R167">
            <v>-5217.1400000000003</v>
          </cell>
          <cell r="T167">
            <v>20</v>
          </cell>
          <cell r="W167">
            <v>1.1000000000000001</v>
          </cell>
          <cell r="AC167" t="str">
            <v>PH 1150</v>
          </cell>
          <cell r="AF167">
            <v>600</v>
          </cell>
          <cell r="AG167">
            <v>978.05</v>
          </cell>
          <cell r="AH167">
            <v>2363</v>
          </cell>
          <cell r="AI167">
            <v>-4643</v>
          </cell>
          <cell r="AM167" t="str">
            <v>RW1T-S</v>
          </cell>
        </row>
        <row r="168">
          <cell r="G168">
            <v>45</v>
          </cell>
          <cell r="S168">
            <v>44.840000000000032</v>
          </cell>
        </row>
        <row r="169">
          <cell r="B169" t="str">
            <v>1-1.01</v>
          </cell>
          <cell r="C169">
            <v>1022</v>
          </cell>
          <cell r="F169">
            <v>-2018.018018018018</v>
          </cell>
          <cell r="L169" t="str">
            <v>S1T</v>
          </cell>
          <cell r="N169" t="str">
            <v>EMT-2T</v>
          </cell>
          <cell r="Q169">
            <v>77</v>
          </cell>
          <cell r="R169">
            <v>-2357.0700000000002</v>
          </cell>
          <cell r="T169">
            <v>30</v>
          </cell>
          <cell r="W169">
            <v>1.1000000000000001</v>
          </cell>
          <cell r="AC169" t="str">
            <v>PH 1150</v>
          </cell>
          <cell r="AF169">
            <v>400</v>
          </cell>
          <cell r="AG169">
            <v>1022.89</v>
          </cell>
          <cell r="AH169">
            <v>2129</v>
          </cell>
          <cell r="AI169">
            <v>-4686</v>
          </cell>
          <cell r="AM169" t="str">
            <v>RW1T-S</v>
          </cell>
        </row>
        <row r="170">
          <cell r="G170">
            <v>42</v>
          </cell>
          <cell r="S170">
            <v>41.979999999999905</v>
          </cell>
        </row>
        <row r="171">
          <cell r="B171" t="str">
            <v>1-1.02</v>
          </cell>
          <cell r="C171">
            <v>1064</v>
          </cell>
          <cell r="F171">
            <v>-1800</v>
          </cell>
          <cell r="L171" t="str">
            <v>S1T</v>
          </cell>
          <cell r="N171" t="str">
            <v>EMT-2T</v>
          </cell>
          <cell r="Q171">
            <v>90</v>
          </cell>
          <cell r="R171">
            <v>-1602</v>
          </cell>
          <cell r="T171">
            <v>30</v>
          </cell>
          <cell r="W171">
            <v>1.1000000000000001</v>
          </cell>
          <cell r="AC171" t="str">
            <v>PH-Q 1150</v>
          </cell>
          <cell r="AF171">
            <v>400</v>
          </cell>
          <cell r="AG171">
            <v>1064.8699999999999</v>
          </cell>
          <cell r="AH171">
            <v>2043</v>
          </cell>
          <cell r="AI171">
            <v>-4658</v>
          </cell>
          <cell r="AM171" t="str">
            <v>RW1T-S</v>
          </cell>
        </row>
        <row r="172">
          <cell r="G172">
            <v>40</v>
          </cell>
          <cell r="S172">
            <v>40.270000000000209</v>
          </cell>
        </row>
        <row r="173">
          <cell r="B173" t="str">
            <v>1-1.03</v>
          </cell>
          <cell r="C173">
            <v>1104</v>
          </cell>
          <cell r="F173">
            <v>-1600</v>
          </cell>
          <cell r="L173" t="str">
            <v>S1T</v>
          </cell>
          <cell r="N173" t="str">
            <v>EMT-2T</v>
          </cell>
          <cell r="Q173">
            <v>93</v>
          </cell>
          <cell r="R173">
            <v>-1602</v>
          </cell>
          <cell r="T173">
            <v>30</v>
          </cell>
          <cell r="W173">
            <v>1.1000000000000001</v>
          </cell>
          <cell r="AC173" t="str">
            <v>PH-Q 1150</v>
          </cell>
          <cell r="AF173">
            <v>400</v>
          </cell>
          <cell r="AG173">
            <v>1105.1400000000001</v>
          </cell>
          <cell r="AH173">
            <v>2173</v>
          </cell>
          <cell r="AI173">
            <v>-4608</v>
          </cell>
          <cell r="AM173" t="str">
            <v>RW1T-S</v>
          </cell>
        </row>
        <row r="174">
          <cell r="G174">
            <v>40</v>
          </cell>
          <cell r="S174">
            <v>39.8599999999999</v>
          </cell>
        </row>
        <row r="175">
          <cell r="B175" t="str">
            <v>1-1.04</v>
          </cell>
          <cell r="C175">
            <v>1144</v>
          </cell>
          <cell r="F175">
            <v>-1600</v>
          </cell>
          <cell r="L175" t="str">
            <v>S1T</v>
          </cell>
          <cell r="N175" t="str">
            <v>EMT-2T</v>
          </cell>
          <cell r="Q175">
            <v>93</v>
          </cell>
          <cell r="R175">
            <v>-1602</v>
          </cell>
          <cell r="T175">
            <v>30</v>
          </cell>
          <cell r="W175">
            <v>1.1000000000000001</v>
          </cell>
          <cell r="AC175" t="str">
            <v>PH-Q 1150</v>
          </cell>
          <cell r="AF175">
            <v>400</v>
          </cell>
          <cell r="AG175">
            <v>1145</v>
          </cell>
          <cell r="AH175">
            <v>2073</v>
          </cell>
          <cell r="AI175">
            <v>-4651</v>
          </cell>
          <cell r="AM175" t="str">
            <v>RW1T-S</v>
          </cell>
        </row>
        <row r="176">
          <cell r="G176">
            <v>50</v>
          </cell>
          <cell r="S176">
            <v>49.460000000000036</v>
          </cell>
        </row>
        <row r="177">
          <cell r="B177" t="str">
            <v>1-1.05</v>
          </cell>
          <cell r="C177">
            <v>1194</v>
          </cell>
          <cell r="F177">
            <v>-1600</v>
          </cell>
          <cell r="H177" t="str">
            <v>A/S</v>
          </cell>
          <cell r="I177" t="str">
            <v>CP/TX-W</v>
          </cell>
          <cell r="L177" t="str">
            <v>S1T</v>
          </cell>
          <cell r="N177" t="str">
            <v>EMT-2T</v>
          </cell>
          <cell r="Q177">
            <v>98</v>
          </cell>
          <cell r="R177">
            <v>-1602</v>
          </cell>
          <cell r="T177">
            <v>30</v>
          </cell>
          <cell r="W177">
            <v>1.1000000000000001</v>
          </cell>
          <cell r="AC177" t="str">
            <v>PH-Q 1150</v>
          </cell>
          <cell r="AF177">
            <v>400</v>
          </cell>
          <cell r="AG177">
            <v>1194.46</v>
          </cell>
          <cell r="AH177">
            <v>2103</v>
          </cell>
          <cell r="AI177">
            <v>-4629</v>
          </cell>
          <cell r="AM177" t="str">
            <v>RW1T-S</v>
          </cell>
        </row>
        <row r="178">
          <cell r="G178">
            <v>50</v>
          </cell>
          <cell r="J178">
            <v>1204</v>
          </cell>
          <cell r="K178" t="str">
            <v>AnM/TX</v>
          </cell>
          <cell r="S178">
            <v>49.819999999999936</v>
          </cell>
        </row>
        <row r="179">
          <cell r="B179" t="str">
            <v>1-1.06</v>
          </cell>
          <cell r="C179">
            <v>1244</v>
          </cell>
          <cell r="F179">
            <v>-1600</v>
          </cell>
          <cell r="H179" t="str">
            <v>S/A</v>
          </cell>
          <cell r="L179" t="str">
            <v>S2T</v>
          </cell>
          <cell r="N179" t="str">
            <v>EMT-TT</v>
          </cell>
          <cell r="O179" t="str">
            <v>EMT-2T</v>
          </cell>
          <cell r="Q179">
            <v>97</v>
          </cell>
          <cell r="R179">
            <v>-1602</v>
          </cell>
          <cell r="T179">
            <v>30</v>
          </cell>
          <cell r="U179">
            <v>10</v>
          </cell>
          <cell r="W179">
            <v>1</v>
          </cell>
          <cell r="X179">
            <v>1.2</v>
          </cell>
          <cell r="Z179">
            <v>0.45</v>
          </cell>
          <cell r="AD179" t="str">
            <v>PH-Q 1150</v>
          </cell>
          <cell r="AF179">
            <v>600</v>
          </cell>
          <cell r="AG179">
            <v>1244.28</v>
          </cell>
          <cell r="AH179">
            <v>2083</v>
          </cell>
          <cell r="AI179">
            <v>-4714</v>
          </cell>
          <cell r="AM179" t="str">
            <v>RW1T-S</v>
          </cell>
        </row>
        <row r="180">
          <cell r="G180">
            <v>50</v>
          </cell>
          <cell r="Q180">
            <v>97</v>
          </cell>
          <cell r="R180">
            <v>-1602</v>
          </cell>
          <cell r="S180">
            <v>49.940000000000055</v>
          </cell>
          <cell r="AG180">
            <v>1245.67</v>
          </cell>
          <cell r="AH180">
            <v>2073</v>
          </cell>
          <cell r="AI180">
            <v>-4688</v>
          </cell>
        </row>
        <row r="181">
          <cell r="B181" t="str">
            <v>1-1.07</v>
          </cell>
          <cell r="C181">
            <v>1294</v>
          </cell>
          <cell r="F181">
            <v>-1600</v>
          </cell>
          <cell r="H181" t="str">
            <v>S/A</v>
          </cell>
          <cell r="L181" t="str">
            <v>S2T</v>
          </cell>
          <cell r="N181" t="str">
            <v>EMT-ET</v>
          </cell>
          <cell r="O181" t="str">
            <v>EMT-TT</v>
          </cell>
          <cell r="Q181">
            <v>99</v>
          </cell>
          <cell r="R181">
            <v>-1602</v>
          </cell>
          <cell r="T181">
            <v>-30</v>
          </cell>
          <cell r="U181">
            <v>-10</v>
          </cell>
          <cell r="W181">
            <v>1.2</v>
          </cell>
          <cell r="X181">
            <v>1</v>
          </cell>
          <cell r="AA181">
            <v>0.45</v>
          </cell>
          <cell r="AC181" t="str">
            <v>PH-C 1250</v>
          </cell>
          <cell r="AF181">
            <v>200</v>
          </cell>
          <cell r="AG181">
            <v>1294.22</v>
          </cell>
          <cell r="AH181">
            <v>1433</v>
          </cell>
          <cell r="AI181">
            <v>-5139</v>
          </cell>
          <cell r="AM181" t="str">
            <v>RW1T-S</v>
          </cell>
        </row>
        <row r="182">
          <cell r="G182">
            <v>41</v>
          </cell>
          <cell r="J182">
            <v>1325</v>
          </cell>
          <cell r="K182" t="str">
            <v>AnM/TX</v>
          </cell>
          <cell r="Q182">
            <v>100</v>
          </cell>
          <cell r="R182">
            <v>-1602</v>
          </cell>
          <cell r="S182">
            <v>40.759999999999991</v>
          </cell>
          <cell r="AG182">
            <v>1295.72</v>
          </cell>
          <cell r="AH182">
            <v>1443</v>
          </cell>
          <cell r="AI182">
            <v>-5135</v>
          </cell>
        </row>
        <row r="183">
          <cell r="B183" t="str">
            <v>1-1.08</v>
          </cell>
          <cell r="C183">
            <v>1335</v>
          </cell>
          <cell r="F183">
            <v>-1600</v>
          </cell>
          <cell r="H183" t="str">
            <v>A/S</v>
          </cell>
          <cell r="I183" t="str">
            <v>CP/TX-W</v>
          </cell>
          <cell r="L183" t="str">
            <v>S1T</v>
          </cell>
          <cell r="N183" t="str">
            <v>EMT-ET</v>
          </cell>
          <cell r="Q183">
            <v>98</v>
          </cell>
          <cell r="R183">
            <v>-1602</v>
          </cell>
          <cell r="T183">
            <v>-30</v>
          </cell>
          <cell r="W183">
            <v>1.1000000000000001</v>
          </cell>
          <cell r="AC183" t="str">
            <v>PH-Q 1150</v>
          </cell>
          <cell r="AF183">
            <v>200</v>
          </cell>
          <cell r="AG183">
            <v>1334.98</v>
          </cell>
          <cell r="AH183">
            <v>1483</v>
          </cell>
          <cell r="AI183">
            <v>-5065</v>
          </cell>
          <cell r="AM183" t="str">
            <v>RW1T-S</v>
          </cell>
        </row>
        <row r="184">
          <cell r="G184">
            <v>50</v>
          </cell>
          <cell r="S184">
            <v>-1334.98</v>
          </cell>
        </row>
        <row r="185">
          <cell r="B185" t="str">
            <v>1-1.09</v>
          </cell>
          <cell r="C185">
            <v>1385</v>
          </cell>
          <cell r="F185">
            <v>-1600</v>
          </cell>
          <cell r="L185" t="str">
            <v>S1T</v>
          </cell>
          <cell r="N185" t="str">
            <v>EMT-1T</v>
          </cell>
          <cell r="T185">
            <v>-30</v>
          </cell>
          <cell r="W185">
            <v>1.1000000000000001</v>
          </cell>
          <cell r="AC185" t="str">
            <v>PH-Q</v>
          </cell>
          <cell r="AM185" t="str">
            <v>RW1T-S</v>
          </cell>
        </row>
        <row r="186">
          <cell r="G186">
            <v>50</v>
          </cell>
          <cell r="S186">
            <v>0</v>
          </cell>
        </row>
        <row r="187">
          <cell r="B187" t="str">
            <v>1-1.10</v>
          </cell>
          <cell r="C187">
            <v>1435</v>
          </cell>
          <cell r="F187">
            <v>-1600</v>
          </cell>
          <cell r="L187" t="str">
            <v>S1T</v>
          </cell>
          <cell r="N187" t="str">
            <v>EMT-1T</v>
          </cell>
          <cell r="T187">
            <v>-30</v>
          </cell>
          <cell r="W187">
            <v>1.1000000000000001</v>
          </cell>
          <cell r="AC187" t="str">
            <v>PH</v>
          </cell>
          <cell r="AM187" t="str">
            <v>RW1T-S</v>
          </cell>
        </row>
        <row r="188">
          <cell r="A188" t="str">
            <v>End Tunnel</v>
          </cell>
          <cell r="G188">
            <v>45</v>
          </cell>
          <cell r="I188" t="str">
            <v>AnRW/Tunnel</v>
          </cell>
          <cell r="J188">
            <v>1450</v>
          </cell>
          <cell r="K188" t="str">
            <v>AnM/Tunnel</v>
          </cell>
          <cell r="S188">
            <v>0</v>
          </cell>
        </row>
        <row r="189">
          <cell r="B189" t="str">
            <v>1-1.11</v>
          </cell>
          <cell r="C189">
            <v>1480</v>
          </cell>
          <cell r="F189">
            <v>-1600</v>
          </cell>
          <cell r="L189" t="str">
            <v>HEB-240</v>
          </cell>
          <cell r="M189" t="str">
            <v>C3R</v>
          </cell>
          <cell r="N189" t="str">
            <v>EMT-2</v>
          </cell>
          <cell r="T189">
            <v>30</v>
          </cell>
          <cell r="W189" t="str">
            <v>1.2</v>
          </cell>
          <cell r="AC189" t="str">
            <v>PH-C</v>
          </cell>
          <cell r="AM189" t="str">
            <v>RW1</v>
          </cell>
        </row>
        <row r="190">
          <cell r="A190" t="str">
            <v>Pedestal Bridge (Overcrossing)</v>
          </cell>
          <cell r="G190">
            <v>46</v>
          </cell>
          <cell r="S190">
            <v>0</v>
          </cell>
        </row>
        <row r="191">
          <cell r="A191" t="str">
            <v xml:space="preserve"> Zone between wall</v>
          </cell>
          <cell r="B191" t="str">
            <v>1-1.12</v>
          </cell>
          <cell r="C191">
            <v>1526</v>
          </cell>
          <cell r="F191">
            <v>-1600</v>
          </cell>
          <cell r="L191" t="str">
            <v>HEB-240</v>
          </cell>
          <cell r="M191" t="str">
            <v>C3R</v>
          </cell>
          <cell r="N191" t="str">
            <v>EMT-2</v>
          </cell>
          <cell r="T191">
            <v>30</v>
          </cell>
          <cell r="W191" t="str">
            <v>1.4</v>
          </cell>
          <cell r="AC191" t="str">
            <v>PH-Q</v>
          </cell>
          <cell r="AM191" t="str">
            <v>RW1</v>
          </cell>
        </row>
        <row r="192">
          <cell r="A192" t="str">
            <v>Overhead Cable</v>
          </cell>
          <cell r="G192">
            <v>40</v>
          </cell>
          <cell r="S192">
            <v>0</v>
          </cell>
        </row>
        <row r="193">
          <cell r="B193" t="str">
            <v>1-1.13</v>
          </cell>
          <cell r="C193">
            <v>1566</v>
          </cell>
          <cell r="F193">
            <v>-1600</v>
          </cell>
          <cell r="L193" t="str">
            <v>HEB-240</v>
          </cell>
          <cell r="M193" t="str">
            <v>C3R</v>
          </cell>
          <cell r="N193" t="str">
            <v>EMT-2</v>
          </cell>
          <cell r="T193">
            <v>30</v>
          </cell>
          <cell r="W193" t="str">
            <v>1.4</v>
          </cell>
          <cell r="AC193" t="str">
            <v>PH-Q</v>
          </cell>
          <cell r="AM193" t="str">
            <v>RW1</v>
          </cell>
        </row>
        <row r="194">
          <cell r="G194">
            <v>41</v>
          </cell>
          <cell r="S194">
            <v>0</v>
          </cell>
        </row>
        <row r="195">
          <cell r="B195" t="str">
            <v>1-1.14</v>
          </cell>
          <cell r="C195">
            <v>1607</v>
          </cell>
          <cell r="F195">
            <v>-1600</v>
          </cell>
          <cell r="L195" t="str">
            <v>HEB-240</v>
          </cell>
          <cell r="M195" t="str">
            <v>C3R</v>
          </cell>
          <cell r="N195" t="str">
            <v>EMT-2</v>
          </cell>
          <cell r="T195">
            <v>30</v>
          </cell>
          <cell r="W195" t="str">
            <v>1.2</v>
          </cell>
          <cell r="AC195" t="str">
            <v>PH-Q</v>
          </cell>
          <cell r="AM195" t="str">
            <v>RW1</v>
          </cell>
        </row>
        <row r="196">
          <cell r="A196" t="str">
            <v>Start Tunnel
Rectagular Section</v>
          </cell>
          <cell r="G196">
            <v>45</v>
          </cell>
          <cell r="I196" t="str">
            <v>AnRW/Tunnel</v>
          </cell>
          <cell r="J196">
            <v>1625</v>
          </cell>
          <cell r="K196" t="str">
            <v>AnM/Tunnel</v>
          </cell>
          <cell r="S196">
            <v>0</v>
          </cell>
        </row>
        <row r="197">
          <cell r="B197" t="str">
            <v>1-1.15</v>
          </cell>
          <cell r="C197">
            <v>1652</v>
          </cell>
          <cell r="F197">
            <v>-1600</v>
          </cell>
          <cell r="L197" t="str">
            <v>S1T</v>
          </cell>
          <cell r="N197" t="str">
            <v>EMT-2T</v>
          </cell>
          <cell r="T197">
            <v>30</v>
          </cell>
          <cell r="W197">
            <v>1.1000000000000001</v>
          </cell>
          <cell r="AC197" t="str">
            <v>PH-Q</v>
          </cell>
          <cell r="AM197" t="str">
            <v>RW1T-S</v>
          </cell>
        </row>
        <row r="198">
          <cell r="G198">
            <v>50</v>
          </cell>
          <cell r="S198">
            <v>0</v>
          </cell>
        </row>
        <row r="199">
          <cell r="B199" t="str">
            <v>1-1.16</v>
          </cell>
          <cell r="C199">
            <v>1702</v>
          </cell>
          <cell r="F199">
            <v>-1600</v>
          </cell>
          <cell r="L199" t="str">
            <v>S1T</v>
          </cell>
          <cell r="N199" t="str">
            <v>EMT-2T</v>
          </cell>
          <cell r="T199">
            <v>30</v>
          </cell>
          <cell r="W199">
            <v>1.1000000000000001</v>
          </cell>
          <cell r="AC199" t="str">
            <v>PH-Q</v>
          </cell>
          <cell r="AM199" t="str">
            <v>RW1T-S</v>
          </cell>
        </row>
        <row r="200">
          <cell r="A200" t="str">
            <v>Road Section</v>
          </cell>
          <cell r="G200">
            <v>50</v>
          </cell>
          <cell r="S200">
            <v>0</v>
          </cell>
        </row>
        <row r="201">
          <cell r="B201" t="str">
            <v>1-1.17</v>
          </cell>
          <cell r="C201">
            <v>1752</v>
          </cell>
          <cell r="F201">
            <v>-1600</v>
          </cell>
          <cell r="L201" t="str">
            <v>S1T</v>
          </cell>
          <cell r="N201" t="str">
            <v>EMT-2T</v>
          </cell>
          <cell r="T201">
            <v>30</v>
          </cell>
          <cell r="W201">
            <v>1.1000000000000001</v>
          </cell>
          <cell r="AC201" t="str">
            <v>PH-Q</v>
          </cell>
          <cell r="AM201" t="str">
            <v>RW1T-S</v>
          </cell>
        </row>
        <row r="202">
          <cell r="G202">
            <v>50</v>
          </cell>
          <cell r="S202">
            <v>0</v>
          </cell>
        </row>
        <row r="203">
          <cell r="A203" t="str">
            <v>Rectangular Section</v>
          </cell>
          <cell r="B203" t="str">
            <v>1-1.18</v>
          </cell>
          <cell r="C203">
            <v>1804</v>
          </cell>
          <cell r="F203">
            <v>-1600</v>
          </cell>
          <cell r="H203" t="str">
            <v>AnMP/Tunnel</v>
          </cell>
          <cell r="I203">
            <v>658</v>
          </cell>
          <cell r="J203">
            <v>1812</v>
          </cell>
          <cell r="K203" t="str">
            <v>AnM/Tunnel</v>
          </cell>
          <cell r="L203" t="str">
            <v>S1T</v>
          </cell>
          <cell r="N203" t="str">
            <v>EMT-2T</v>
          </cell>
          <cell r="T203">
            <v>30</v>
          </cell>
          <cell r="W203">
            <v>1.1000000000000001</v>
          </cell>
          <cell r="AC203" t="str">
            <v>PH-Q</v>
          </cell>
          <cell r="AM203" t="str">
            <v>RW1T-S</v>
          </cell>
        </row>
        <row r="204">
          <cell r="A204" t="str">
            <v>End Tunnel</v>
          </cell>
          <cell r="G204">
            <v>50</v>
          </cell>
          <cell r="S204">
            <v>1850.89</v>
          </cell>
        </row>
        <row r="205">
          <cell r="B205" t="str">
            <v>1-1.19</v>
          </cell>
          <cell r="C205">
            <v>1854</v>
          </cell>
          <cell r="F205">
            <v>-1600</v>
          </cell>
          <cell r="H205" t="str">
            <v>MP/Tunnel</v>
          </cell>
          <cell r="L205" t="str">
            <v>HEB-260</v>
          </cell>
          <cell r="M205" t="str">
            <v>C4R</v>
          </cell>
          <cell r="N205" t="str">
            <v>EMT-2</v>
          </cell>
          <cell r="Q205">
            <v>95</v>
          </cell>
          <cell r="R205">
            <v>-1602</v>
          </cell>
          <cell r="T205">
            <v>30</v>
          </cell>
          <cell r="W205">
            <v>1.2</v>
          </cell>
          <cell r="AC205" t="str">
            <v>PH-C 1150</v>
          </cell>
          <cell r="AF205">
            <v>6000</v>
          </cell>
          <cell r="AG205">
            <v>1850.89</v>
          </cell>
          <cell r="AH205">
            <v>2148</v>
          </cell>
          <cell r="AI205">
            <v>739</v>
          </cell>
          <cell r="AM205" t="str">
            <v>RW1</v>
          </cell>
        </row>
        <row r="206">
          <cell r="G206">
            <v>47</v>
          </cell>
          <cell r="I206">
            <v>611</v>
          </cell>
          <cell r="S206">
            <v>47.119999999999891</v>
          </cell>
        </row>
        <row r="207">
          <cell r="B207" t="str">
            <v>1-1.20</v>
          </cell>
          <cell r="C207">
            <v>1901</v>
          </cell>
          <cell r="F207">
            <v>-1600</v>
          </cell>
          <cell r="H207" t="str">
            <v>AnMP</v>
          </cell>
          <cell r="L207" t="str">
            <v>HEB-260</v>
          </cell>
          <cell r="M207" t="str">
            <v>C4R</v>
          </cell>
          <cell r="N207" t="str">
            <v>EMT-2</v>
          </cell>
          <cell r="Q207">
            <v>103</v>
          </cell>
          <cell r="R207">
            <v>-1602</v>
          </cell>
          <cell r="T207">
            <v>30</v>
          </cell>
          <cell r="W207">
            <v>1.4</v>
          </cell>
          <cell r="AC207" t="str">
            <v>PH-C 1150</v>
          </cell>
          <cell r="AF207">
            <v>6000</v>
          </cell>
          <cell r="AG207">
            <v>1898.01</v>
          </cell>
          <cell r="AH207">
            <v>2176</v>
          </cell>
          <cell r="AI207">
            <v>716</v>
          </cell>
          <cell r="AM207" t="str">
            <v>RW1</v>
          </cell>
        </row>
        <row r="208">
          <cell r="A208" t="str">
            <v>Overhead Cable</v>
          </cell>
          <cell r="G208">
            <v>40</v>
          </cell>
          <cell r="J208">
            <v>1908.5</v>
          </cell>
          <cell r="K208" t="str">
            <v>AnM</v>
          </cell>
          <cell r="S208">
            <v>40.029999999999973</v>
          </cell>
        </row>
        <row r="209">
          <cell r="A209" t="str">
            <v xml:space="preserve">Zone with </v>
          </cell>
          <cell r="B209" t="str">
            <v>1-1.21</v>
          </cell>
          <cell r="C209">
            <v>1941</v>
          </cell>
          <cell r="F209">
            <v>-1600</v>
          </cell>
          <cell r="L209" t="str">
            <v>HEB-260</v>
          </cell>
          <cell r="M209" t="str">
            <v>C4R</v>
          </cell>
          <cell r="N209" t="str">
            <v>EMT-2</v>
          </cell>
          <cell r="Q209">
            <v>97</v>
          </cell>
          <cell r="R209">
            <v>-1602</v>
          </cell>
          <cell r="T209">
            <v>30</v>
          </cell>
          <cell r="W209">
            <v>1.4</v>
          </cell>
          <cell r="AC209" t="str">
            <v>PH-C 1150</v>
          </cell>
          <cell r="AF209">
            <v>6000</v>
          </cell>
          <cell r="AG209">
            <v>1938.04</v>
          </cell>
          <cell r="AH209">
            <v>2193</v>
          </cell>
          <cell r="AI209">
            <v>652</v>
          </cell>
          <cell r="AM209" t="str">
            <v>RW1</v>
          </cell>
        </row>
        <row r="210">
          <cell r="A210" t="str">
            <v xml:space="preserve">Concrete retaining wall/ </v>
          </cell>
          <cell r="G210">
            <v>41</v>
          </cell>
          <cell r="S210">
            <v>39.900000000000091</v>
          </cell>
        </row>
        <row r="211">
          <cell r="A211" t="str">
            <v>on  reinforced soil</v>
          </cell>
          <cell r="B211" t="str">
            <v>1-1.22</v>
          </cell>
          <cell r="C211">
            <v>1982</v>
          </cell>
          <cell r="F211">
            <v>-1600</v>
          </cell>
          <cell r="L211" t="str">
            <v>HEB-260</v>
          </cell>
          <cell r="M211" t="str">
            <v>C4R</v>
          </cell>
          <cell r="N211" t="str">
            <v>EMT-2</v>
          </cell>
          <cell r="Q211">
            <v>97</v>
          </cell>
          <cell r="R211">
            <v>-1602</v>
          </cell>
          <cell r="T211">
            <v>30</v>
          </cell>
          <cell r="W211">
            <v>1.4</v>
          </cell>
          <cell r="AC211" t="str">
            <v>PH-C 1150</v>
          </cell>
          <cell r="AF211">
            <v>6000</v>
          </cell>
          <cell r="AG211">
            <v>1977.94</v>
          </cell>
          <cell r="AH211">
            <v>2212</v>
          </cell>
          <cell r="AI211">
            <v>663</v>
          </cell>
          <cell r="AM211" t="str">
            <v>RW1</v>
          </cell>
        </row>
        <row r="212">
          <cell r="A212" t="str">
            <v>Overcrossing</v>
          </cell>
          <cell r="G212">
            <v>45</v>
          </cell>
          <cell r="S212">
            <v>45.200000000000045</v>
          </cell>
        </row>
        <row r="213">
          <cell r="B213" t="str">
            <v>2-1.01</v>
          </cell>
          <cell r="C213">
            <v>2027</v>
          </cell>
          <cell r="F213">
            <v>-1600</v>
          </cell>
          <cell r="L213" t="str">
            <v>HEB-260</v>
          </cell>
          <cell r="M213" t="str">
            <v>C4R</v>
          </cell>
          <cell r="N213" t="str">
            <v>EMT-2</v>
          </cell>
          <cell r="Q213">
            <v>96</v>
          </cell>
          <cell r="R213">
            <v>-1602</v>
          </cell>
          <cell r="T213">
            <v>30</v>
          </cell>
          <cell r="W213">
            <v>1.4</v>
          </cell>
          <cell r="AC213" t="str">
            <v>PH-C 1150</v>
          </cell>
          <cell r="AF213">
            <v>6000</v>
          </cell>
          <cell r="AG213">
            <v>2023.14</v>
          </cell>
          <cell r="AH213">
            <v>2228</v>
          </cell>
          <cell r="AI213">
            <v>628</v>
          </cell>
          <cell r="AM213" t="str">
            <v>RW1</v>
          </cell>
        </row>
        <row r="214">
          <cell r="G214">
            <v>51</v>
          </cell>
          <cell r="S214">
            <v>50.919999999999845</v>
          </cell>
        </row>
        <row r="215">
          <cell r="B215" t="str">
            <v>2-1.02</v>
          </cell>
          <cell r="C215">
            <v>2078</v>
          </cell>
          <cell r="F215">
            <v>-1600</v>
          </cell>
          <cell r="L215" t="str">
            <v>HEB-260</v>
          </cell>
          <cell r="M215" t="str">
            <v>C4R</v>
          </cell>
          <cell r="N215" t="str">
            <v>EMT-2</v>
          </cell>
          <cell r="Q215">
            <v>98</v>
          </cell>
          <cell r="R215">
            <v>-1602</v>
          </cell>
          <cell r="T215">
            <v>30</v>
          </cell>
          <cell r="W215">
            <v>1.4</v>
          </cell>
          <cell r="AC215" t="str">
            <v>PH-C 1150</v>
          </cell>
          <cell r="AF215">
            <v>6000</v>
          </cell>
          <cell r="AG215">
            <v>2074.06</v>
          </cell>
          <cell r="AH215">
            <v>2178</v>
          </cell>
          <cell r="AI215">
            <v>655</v>
          </cell>
          <cell r="AM215" t="str">
            <v>RW1</v>
          </cell>
        </row>
        <row r="216">
          <cell r="G216">
            <v>50</v>
          </cell>
          <cell r="S216">
            <v>49.929999999999836</v>
          </cell>
        </row>
        <row r="217">
          <cell r="B217" t="str">
            <v>2-1.03</v>
          </cell>
          <cell r="C217">
            <v>2128</v>
          </cell>
          <cell r="F217">
            <v>-1600</v>
          </cell>
          <cell r="L217" t="str">
            <v>HEB-260</v>
          </cell>
          <cell r="M217" t="str">
            <v>C4R</v>
          </cell>
          <cell r="N217" t="str">
            <v>EMT-2</v>
          </cell>
          <cell r="Q217">
            <v>100</v>
          </cell>
          <cell r="R217">
            <v>-1602</v>
          </cell>
          <cell r="T217">
            <v>30</v>
          </cell>
          <cell r="W217">
            <v>1.1000000000000001</v>
          </cell>
          <cell r="AC217" t="str">
            <v>PH-C 1150</v>
          </cell>
          <cell r="AF217">
            <v>6000</v>
          </cell>
          <cell r="AG217">
            <v>2123.9899999999998</v>
          </cell>
          <cell r="AH217">
            <v>2178</v>
          </cell>
          <cell r="AI217">
            <v>621</v>
          </cell>
          <cell r="AM217" t="str">
            <v>RW1</v>
          </cell>
        </row>
        <row r="218">
          <cell r="A218" t="str">
            <v>Start Tunnel</v>
          </cell>
          <cell r="G218">
            <v>50</v>
          </cell>
          <cell r="I218" t="str">
            <v>AnRW/Tunnel</v>
          </cell>
          <cell r="J218">
            <v>2141</v>
          </cell>
          <cell r="K218" t="str">
            <v>AnM/Tunnel</v>
          </cell>
          <cell r="S218">
            <v>-2123.9899999999998</v>
          </cell>
        </row>
        <row r="219">
          <cell r="A219" t="str">
            <v>Rectangular Section</v>
          </cell>
          <cell r="B219" t="str">
            <v>2-1.04</v>
          </cell>
          <cell r="C219">
            <v>2178</v>
          </cell>
          <cell r="F219">
            <v>-1600</v>
          </cell>
          <cell r="I219" t="str">
            <v>AnRW/Tunnel</v>
          </cell>
          <cell r="J219">
            <v>2202</v>
          </cell>
          <cell r="K219" t="str">
            <v>AnM/Tunnel</v>
          </cell>
          <cell r="L219" t="str">
            <v>S1T</v>
          </cell>
          <cell r="N219" t="str">
            <v>EMT-2T</v>
          </cell>
          <cell r="T219">
            <v>30</v>
          </cell>
          <cell r="W219">
            <v>1.1000000000000001</v>
          </cell>
          <cell r="AC219" t="str">
            <v>PH-Q</v>
          </cell>
          <cell r="AM219" t="str">
            <v>RW1T-S</v>
          </cell>
        </row>
        <row r="220">
          <cell r="A220" t="str">
            <v>End Tunnel</v>
          </cell>
          <cell r="G220">
            <v>52</v>
          </cell>
          <cell r="I220" t="str">
            <v>AnRW/Tunnel</v>
          </cell>
          <cell r="J220">
            <v>2202</v>
          </cell>
          <cell r="K220" t="str">
            <v>AnM/Tunnel</v>
          </cell>
          <cell r="S220">
            <v>2224.98</v>
          </cell>
        </row>
        <row r="221">
          <cell r="B221" t="str">
            <v>2-1.05</v>
          </cell>
          <cell r="C221">
            <v>2230</v>
          </cell>
          <cell r="F221">
            <v>-1600</v>
          </cell>
          <cell r="L221" t="str">
            <v>HEB-260</v>
          </cell>
          <cell r="M221" t="str">
            <v>C4R</v>
          </cell>
          <cell r="N221" t="str">
            <v>EMT-2</v>
          </cell>
          <cell r="Q221">
            <v>98</v>
          </cell>
          <cell r="R221">
            <v>-1602</v>
          </cell>
          <cell r="T221">
            <v>30</v>
          </cell>
          <cell r="W221">
            <v>1.2</v>
          </cell>
          <cell r="AC221" t="str">
            <v>PH-C 1150</v>
          </cell>
          <cell r="AF221">
            <v>6000</v>
          </cell>
          <cell r="AG221">
            <v>2224.98</v>
          </cell>
          <cell r="AH221">
            <v>2178</v>
          </cell>
          <cell r="AI221">
            <v>680</v>
          </cell>
          <cell r="AM221" t="str">
            <v>RW2</v>
          </cell>
        </row>
        <row r="222">
          <cell r="G222">
            <v>47</v>
          </cell>
          <cell r="S222">
            <v>47.139999999999873</v>
          </cell>
        </row>
        <row r="223">
          <cell r="B223" t="str">
            <v>2-1.06</v>
          </cell>
          <cell r="C223">
            <v>2277</v>
          </cell>
          <cell r="F223">
            <v>-1600</v>
          </cell>
          <cell r="L223" t="str">
            <v>HEB-260</v>
          </cell>
          <cell r="M223" t="str">
            <v>C4R</v>
          </cell>
          <cell r="N223" t="str">
            <v>EMT-2</v>
          </cell>
          <cell r="Q223">
            <v>97</v>
          </cell>
          <cell r="R223">
            <v>-1602</v>
          </cell>
          <cell r="T223">
            <v>30</v>
          </cell>
          <cell r="W223">
            <v>1.4</v>
          </cell>
          <cell r="AC223" t="str">
            <v>PH-C 1150</v>
          </cell>
          <cell r="AF223">
            <v>6000</v>
          </cell>
          <cell r="AG223">
            <v>2272.12</v>
          </cell>
          <cell r="AH223">
            <v>2178</v>
          </cell>
          <cell r="AI223">
            <v>623</v>
          </cell>
          <cell r="AM223" t="str">
            <v>RW2</v>
          </cell>
        </row>
        <row r="224">
          <cell r="G224">
            <v>47</v>
          </cell>
          <cell r="J224">
            <v>2316.5</v>
          </cell>
          <cell r="K224" t="str">
            <v>AnMC</v>
          </cell>
          <cell r="S224">
            <v>46.880000000000109</v>
          </cell>
        </row>
        <row r="225">
          <cell r="B225" t="str">
            <v>2-1.08</v>
          </cell>
          <cell r="C225">
            <v>2324</v>
          </cell>
          <cell r="F225">
            <v>-1600</v>
          </cell>
          <cell r="H225" t="str">
            <v>A/S</v>
          </cell>
          <cell r="I225" t="str">
            <v>CP+AnMC</v>
          </cell>
          <cell r="L225" t="str">
            <v>HEB-260 (CP)</v>
          </cell>
          <cell r="M225" t="str">
            <v>C4R</v>
          </cell>
          <cell r="N225" t="str">
            <v>EMT-2</v>
          </cell>
          <cell r="Q225">
            <v>93</v>
          </cell>
          <cell r="R225">
            <v>-1581.15</v>
          </cell>
          <cell r="T225">
            <v>30</v>
          </cell>
          <cell r="W225">
            <v>1.4</v>
          </cell>
          <cell r="AC225" t="str">
            <v>PH-Q 1150</v>
          </cell>
          <cell r="AF225">
            <v>6000</v>
          </cell>
          <cell r="AG225">
            <v>2319</v>
          </cell>
          <cell r="AH225">
            <v>2078</v>
          </cell>
          <cell r="AI225">
            <v>641</v>
          </cell>
          <cell r="AM225" t="str">
            <v>RW2</v>
          </cell>
        </row>
        <row r="226">
          <cell r="G226">
            <v>47</v>
          </cell>
          <cell r="S226">
            <v>47.170000000000073</v>
          </cell>
        </row>
        <row r="227">
          <cell r="B227" t="str">
            <v>2-1.09</v>
          </cell>
          <cell r="C227">
            <v>2371</v>
          </cell>
          <cell r="F227">
            <v>-3000</v>
          </cell>
          <cell r="H227" t="str">
            <v>S/A</v>
          </cell>
          <cell r="L227" t="str">
            <v>2HEB-240</v>
          </cell>
          <cell r="M227" t="str">
            <v>C2H-240</v>
          </cell>
          <cell r="N227" t="str">
            <v>EMT-T</v>
          </cell>
          <cell r="O227" t="str">
            <v>EMT-2</v>
          </cell>
          <cell r="Q227">
            <v>60</v>
          </cell>
          <cell r="R227">
            <v>-1581.15</v>
          </cell>
          <cell r="T227">
            <v>30</v>
          </cell>
          <cell r="U227">
            <v>10</v>
          </cell>
          <cell r="W227">
            <v>1.4</v>
          </cell>
          <cell r="X227">
            <v>2.2999999999999998</v>
          </cell>
          <cell r="Z227">
            <v>0.45</v>
          </cell>
          <cell r="AD227" t="str">
            <v>PH-Q 1150</v>
          </cell>
          <cell r="AF227">
            <v>6000</v>
          </cell>
          <cell r="AG227">
            <v>2366.17</v>
          </cell>
          <cell r="AH227">
            <v>2164</v>
          </cell>
          <cell r="AI227">
            <v>652</v>
          </cell>
          <cell r="AM227" t="str">
            <v>RW2</v>
          </cell>
        </row>
        <row r="228">
          <cell r="G228">
            <v>47</v>
          </cell>
          <cell r="S228">
            <v>46.960000000000036</v>
          </cell>
        </row>
        <row r="229">
          <cell r="B229" t="str">
            <v>2-1.10</v>
          </cell>
          <cell r="C229">
            <v>2419</v>
          </cell>
          <cell r="F229">
            <v>-5000</v>
          </cell>
          <cell r="H229" t="str">
            <v>S/A</v>
          </cell>
          <cell r="L229" t="str">
            <v>2HEB-240</v>
          </cell>
          <cell r="M229" t="str">
            <v>C2H-240</v>
          </cell>
          <cell r="N229" t="str">
            <v>EMT-2</v>
          </cell>
          <cell r="O229" t="str">
            <v>EMT-T</v>
          </cell>
          <cell r="Q229">
            <v>30</v>
          </cell>
          <cell r="R229">
            <v>-3246.52</v>
          </cell>
          <cell r="T229">
            <v>30</v>
          </cell>
          <cell r="U229">
            <v>10</v>
          </cell>
          <cell r="W229">
            <v>1.4</v>
          </cell>
          <cell r="X229">
            <v>2.2999999999999998</v>
          </cell>
          <cell r="AA229">
            <v>0.45</v>
          </cell>
          <cell r="AC229" t="str">
            <v>PH-Q 1150</v>
          </cell>
          <cell r="AF229">
            <v>6000</v>
          </cell>
          <cell r="AG229">
            <v>2413.13</v>
          </cell>
          <cell r="AH229">
            <v>2158</v>
          </cell>
          <cell r="AI229">
            <v>654</v>
          </cell>
          <cell r="AM229" t="str">
            <v>RW2</v>
          </cell>
        </row>
        <row r="230">
          <cell r="G230">
            <v>47</v>
          </cell>
          <cell r="S230">
            <v>46.960000000000036</v>
          </cell>
        </row>
        <row r="231">
          <cell r="B231" t="str">
            <v>2-1.11</v>
          </cell>
          <cell r="C231">
            <v>2466</v>
          </cell>
          <cell r="F231">
            <v>-20000</v>
          </cell>
          <cell r="H231" t="str">
            <v>A/S</v>
          </cell>
          <cell r="I231" t="str">
            <v>CP/TX-P</v>
          </cell>
          <cell r="L231" t="str">
            <v>HEB-260 (CP)</v>
          </cell>
          <cell r="M231" t="str">
            <v>C4R</v>
          </cell>
          <cell r="N231" t="str">
            <v>EMT-1</v>
          </cell>
          <cell r="Q231">
            <v>13</v>
          </cell>
          <cell r="R231" t="str">
            <v>inf</v>
          </cell>
          <cell r="T231">
            <v>-30</v>
          </cell>
          <cell r="W231">
            <v>1.4</v>
          </cell>
          <cell r="AC231" t="str">
            <v>PH-Q 950</v>
          </cell>
          <cell r="AF231">
            <v>6000</v>
          </cell>
          <cell r="AG231">
            <v>2460.09</v>
          </cell>
          <cell r="AH231">
            <v>2138</v>
          </cell>
          <cell r="AI231">
            <v>630</v>
          </cell>
          <cell r="AM231" t="str">
            <v>RW2</v>
          </cell>
        </row>
        <row r="232">
          <cell r="G232">
            <v>44</v>
          </cell>
          <cell r="J232">
            <v>2473.5</v>
          </cell>
          <cell r="K232" t="str">
            <v>AnMC</v>
          </cell>
          <cell r="S232">
            <v>44.019999999999982</v>
          </cell>
        </row>
        <row r="233">
          <cell r="B233" t="str">
            <v>2-1.12</v>
          </cell>
          <cell r="C233">
            <v>2507</v>
          </cell>
          <cell r="F233">
            <v>0</v>
          </cell>
          <cell r="L233" t="str">
            <v>HEB-240</v>
          </cell>
          <cell r="M233" t="str">
            <v>C3R</v>
          </cell>
          <cell r="N233" t="str">
            <v>EMT-2</v>
          </cell>
          <cell r="Q233">
            <v>0</v>
          </cell>
          <cell r="R233" t="str">
            <v>inf</v>
          </cell>
          <cell r="T233">
            <v>35</v>
          </cell>
          <cell r="W233">
            <v>1.4</v>
          </cell>
          <cell r="AC233" t="str">
            <v>PH-Q 1150</v>
          </cell>
          <cell r="AF233">
            <v>6000</v>
          </cell>
          <cell r="AG233">
            <v>2504.11</v>
          </cell>
          <cell r="AH233">
            <v>2178</v>
          </cell>
          <cell r="AI233">
            <v>653</v>
          </cell>
          <cell r="AM233" t="str">
            <v>RW2</v>
          </cell>
        </row>
        <row r="234">
          <cell r="G234">
            <v>50</v>
          </cell>
          <cell r="S234">
            <v>49.989999999999782</v>
          </cell>
        </row>
        <row r="235">
          <cell r="B235" t="str">
            <v>2-1.13</v>
          </cell>
          <cell r="C235">
            <v>2557</v>
          </cell>
          <cell r="F235">
            <v>0</v>
          </cell>
          <cell r="L235" t="str">
            <v>HEB-240</v>
          </cell>
          <cell r="M235" t="str">
            <v>C3R</v>
          </cell>
          <cell r="N235" t="str">
            <v>EMT-1</v>
          </cell>
          <cell r="Q235">
            <v>0</v>
          </cell>
          <cell r="R235">
            <v>0</v>
          </cell>
          <cell r="T235">
            <v>-35</v>
          </cell>
          <cell r="W235">
            <v>1.4</v>
          </cell>
          <cell r="AC235" t="str">
            <v>PH-Q 1050</v>
          </cell>
          <cell r="AF235">
            <v>6000</v>
          </cell>
          <cell r="AG235">
            <v>2554.1</v>
          </cell>
          <cell r="AH235">
            <v>2172</v>
          </cell>
          <cell r="AI235">
            <v>640</v>
          </cell>
          <cell r="AM235" t="str">
            <v>RW2</v>
          </cell>
        </row>
        <row r="236">
          <cell r="A236" t="str">
            <v>Overcrossing 2+575 H:7,09</v>
          </cell>
          <cell r="G236">
            <v>65</v>
          </cell>
          <cell r="J236">
            <v>2614.5</v>
          </cell>
          <cell r="K236" t="str">
            <v>AnM</v>
          </cell>
          <cell r="S236">
            <v>64.840000000000146</v>
          </cell>
        </row>
        <row r="237">
          <cell r="B237" t="str">
            <v>2-1.14</v>
          </cell>
          <cell r="C237">
            <v>2622</v>
          </cell>
          <cell r="F237">
            <v>0</v>
          </cell>
          <cell r="H237" t="str">
            <v>AnMP</v>
          </cell>
          <cell r="L237" t="str">
            <v>HEB-260</v>
          </cell>
          <cell r="M237" t="str">
            <v>C4R</v>
          </cell>
          <cell r="N237" t="str">
            <v>EMT-2</v>
          </cell>
          <cell r="Q237">
            <v>0</v>
          </cell>
          <cell r="R237" t="str">
            <v>inf</v>
          </cell>
          <cell r="T237">
            <v>35</v>
          </cell>
          <cell r="W237">
            <v>1.4</v>
          </cell>
          <cell r="AC237" t="str">
            <v>PH 1150</v>
          </cell>
          <cell r="AF237">
            <v>6000</v>
          </cell>
          <cell r="AG237">
            <v>2618.94</v>
          </cell>
          <cell r="AH237">
            <v>2218</v>
          </cell>
          <cell r="AI237">
            <v>612</v>
          </cell>
          <cell r="AM237" t="str">
            <v>RW2</v>
          </cell>
        </row>
        <row r="238">
          <cell r="G238">
            <v>65</v>
          </cell>
          <cell r="I238">
            <v>365</v>
          </cell>
          <cell r="S238">
            <v>64.929999999999836</v>
          </cell>
        </row>
        <row r="239">
          <cell r="B239" t="str">
            <v>2-1.15</v>
          </cell>
          <cell r="C239">
            <v>2687</v>
          </cell>
          <cell r="F239">
            <v>0</v>
          </cell>
          <cell r="H239" t="str">
            <v>MP</v>
          </cell>
          <cell r="L239" t="str">
            <v>HEB-240</v>
          </cell>
          <cell r="M239" t="str">
            <v>C3R</v>
          </cell>
          <cell r="N239" t="str">
            <v>EMT-1</v>
          </cell>
          <cell r="Q239">
            <v>0</v>
          </cell>
          <cell r="R239">
            <v>0</v>
          </cell>
          <cell r="T239">
            <v>-35</v>
          </cell>
          <cell r="W239">
            <v>1.4</v>
          </cell>
          <cell r="AC239" t="str">
            <v>PH-1050</v>
          </cell>
          <cell r="AF239">
            <v>6000</v>
          </cell>
          <cell r="AG239">
            <v>2683.87</v>
          </cell>
          <cell r="AH239">
            <v>2203</v>
          </cell>
          <cell r="AI239">
            <v>594</v>
          </cell>
          <cell r="AM239" t="str">
            <v>RW2</v>
          </cell>
        </row>
        <row r="240">
          <cell r="G240">
            <v>65</v>
          </cell>
          <cell r="I240">
            <v>433</v>
          </cell>
          <cell r="S240">
            <v>65.180000000000291</v>
          </cell>
        </row>
        <row r="241">
          <cell r="B241" t="str">
            <v>2-1.16</v>
          </cell>
          <cell r="C241">
            <v>2752</v>
          </cell>
          <cell r="F241">
            <v>0</v>
          </cell>
          <cell r="H241" t="str">
            <v>AnMP</v>
          </cell>
          <cell r="L241" t="str">
            <v>HEB-260</v>
          </cell>
          <cell r="M241" t="str">
            <v>C4R</v>
          </cell>
          <cell r="N241" t="str">
            <v>EMT-2</v>
          </cell>
          <cell r="Q241">
            <v>0</v>
          </cell>
          <cell r="R241">
            <v>0</v>
          </cell>
          <cell r="T241">
            <v>35</v>
          </cell>
          <cell r="W241">
            <v>1.4</v>
          </cell>
          <cell r="AC241" t="str">
            <v>PH-1150</v>
          </cell>
          <cell r="AF241">
            <v>6000</v>
          </cell>
          <cell r="AG241">
            <v>2749.05</v>
          </cell>
          <cell r="AH241">
            <v>2274</v>
          </cell>
          <cell r="AI241">
            <v>569</v>
          </cell>
          <cell r="AM241" t="str">
            <v>RW2</v>
          </cell>
        </row>
        <row r="242">
          <cell r="G242">
            <v>63</v>
          </cell>
          <cell r="J242">
            <v>2759.5</v>
          </cell>
          <cell r="K242" t="str">
            <v>AnM</v>
          </cell>
          <cell r="S242">
            <v>62.779999999999745</v>
          </cell>
        </row>
        <row r="243">
          <cell r="B243" t="str">
            <v>2-1.17</v>
          </cell>
          <cell r="C243">
            <v>2815</v>
          </cell>
          <cell r="F243">
            <v>0</v>
          </cell>
          <cell r="L243" t="str">
            <v>HEB-240</v>
          </cell>
          <cell r="M243" t="str">
            <v>C3R</v>
          </cell>
          <cell r="N243" t="str">
            <v>EMT-1</v>
          </cell>
          <cell r="Q243">
            <v>0</v>
          </cell>
          <cell r="R243">
            <v>0</v>
          </cell>
          <cell r="T243">
            <v>-35</v>
          </cell>
          <cell r="W243">
            <v>1.4</v>
          </cell>
          <cell r="AC243" t="str">
            <v>PH-1050</v>
          </cell>
          <cell r="AF243">
            <v>6000</v>
          </cell>
          <cell r="AG243">
            <v>2811.83</v>
          </cell>
          <cell r="AH243">
            <v>2157</v>
          </cell>
          <cell r="AI243">
            <v>610</v>
          </cell>
          <cell r="AM243" t="str">
            <v>RW2</v>
          </cell>
        </row>
        <row r="244">
          <cell r="A244" t="str">
            <v>NS AIRPORT</v>
          </cell>
          <cell r="G244">
            <v>62</v>
          </cell>
          <cell r="J244">
            <v>2869.5</v>
          </cell>
          <cell r="K244" t="str">
            <v>AnMC</v>
          </cell>
          <cell r="S244">
            <v>62.159999999999854</v>
          </cell>
        </row>
        <row r="245">
          <cell r="B245" t="str">
            <v>2-1.18</v>
          </cell>
          <cell r="C245">
            <v>2877</v>
          </cell>
          <cell r="F245">
            <v>0</v>
          </cell>
          <cell r="H245" t="str">
            <v>A/S</v>
          </cell>
          <cell r="I245" t="str">
            <v>CP+AnMC</v>
          </cell>
          <cell r="L245" t="str">
            <v>HEB-260 (CP)</v>
          </cell>
          <cell r="M245" t="str">
            <v>C4R</v>
          </cell>
          <cell r="N245" t="str">
            <v>EMT-2</v>
          </cell>
          <cell r="Q245">
            <v>0</v>
          </cell>
          <cell r="R245">
            <v>0</v>
          </cell>
          <cell r="T245">
            <v>35</v>
          </cell>
          <cell r="W245">
            <v>1.4</v>
          </cell>
          <cell r="AC245" t="str">
            <v>PH-1150</v>
          </cell>
          <cell r="AF245">
            <v>6000</v>
          </cell>
          <cell r="AG245">
            <v>2873.99</v>
          </cell>
          <cell r="AH245">
            <v>2234</v>
          </cell>
          <cell r="AI245">
            <v>639</v>
          </cell>
          <cell r="AM245" t="str">
            <v>RW2</v>
          </cell>
        </row>
        <row r="246">
          <cell r="G246">
            <v>57</v>
          </cell>
          <cell r="S246">
            <v>56.660000000000309</v>
          </cell>
        </row>
        <row r="247">
          <cell r="A247" t="str">
            <v>AIR-NS1</v>
          </cell>
          <cell r="B247" t="str">
            <v>2-1.19</v>
          </cell>
          <cell r="C247">
            <v>2934</v>
          </cell>
          <cell r="F247">
            <v>0</v>
          </cell>
          <cell r="H247" t="str">
            <v>S/A</v>
          </cell>
          <cell r="I247" t="str">
            <v>IO</v>
          </cell>
          <cell r="L247" t="str">
            <v>HEB-260</v>
          </cell>
          <cell r="M247" t="str">
            <v>C4R</v>
          </cell>
          <cell r="N247" t="str">
            <v>EMT-T</v>
          </cell>
          <cell r="O247" t="str">
            <v>EMT-1</v>
          </cell>
          <cell r="Q247">
            <v>0</v>
          </cell>
          <cell r="R247" t="str">
            <v>inf</v>
          </cell>
          <cell r="T247">
            <v>20</v>
          </cell>
          <cell r="U247">
            <v>-25</v>
          </cell>
          <cell r="W247">
            <v>1.4</v>
          </cell>
          <cell r="X247">
            <v>2.2999999999999998</v>
          </cell>
          <cell r="Z247">
            <v>0.45</v>
          </cell>
          <cell r="AD247" t="str">
            <v>PH-1150</v>
          </cell>
          <cell r="AF247">
            <v>6000</v>
          </cell>
          <cell r="AG247">
            <v>2930.65</v>
          </cell>
          <cell r="AH247">
            <v>2194</v>
          </cell>
          <cell r="AI247">
            <v>658</v>
          </cell>
          <cell r="AJ247" t="str">
            <v>LoadB/NZ</v>
          </cell>
          <cell r="AM247" t="str">
            <v>RW2</v>
          </cell>
        </row>
        <row r="248">
          <cell r="G248">
            <v>42</v>
          </cell>
          <cell r="S248">
            <v>42.139999999999873</v>
          </cell>
          <cell r="AG248" t="str">
            <v xml:space="preserve"> </v>
          </cell>
          <cell r="AJ248" t="str">
            <v>VoltageD</v>
          </cell>
        </row>
        <row r="249">
          <cell r="A249" t="str">
            <v>AIR-B01</v>
          </cell>
          <cell r="B249" t="str">
            <v>2-1.20</v>
          </cell>
          <cell r="C249">
            <v>2976</v>
          </cell>
          <cell r="L249" t="str">
            <v>HEB-300L</v>
          </cell>
          <cell r="M249" t="str">
            <v>C6</v>
          </cell>
          <cell r="Q249">
            <v>0</v>
          </cell>
          <cell r="R249" t="str">
            <v>inf</v>
          </cell>
          <cell r="AF249">
            <v>6000</v>
          </cell>
          <cell r="AG249">
            <v>2972.79</v>
          </cell>
          <cell r="AH249">
            <v>2147</v>
          </cell>
          <cell r="AI249">
            <v>645</v>
          </cell>
          <cell r="AJ249" t="str">
            <v>PP-2</v>
          </cell>
          <cell r="AM249" t="str">
            <v>RW2</v>
          </cell>
        </row>
        <row r="250">
          <cell r="G250">
            <v>5</v>
          </cell>
          <cell r="S250">
            <v>4.8499999999999091</v>
          </cell>
        </row>
        <row r="251">
          <cell r="A251" t="str">
            <v>AIR-NS3</v>
          </cell>
          <cell r="B251" t="str">
            <v>2-1.21</v>
          </cell>
          <cell r="C251">
            <v>2981</v>
          </cell>
          <cell r="F251">
            <v>0</v>
          </cell>
          <cell r="H251" t="str">
            <v>S/A</v>
          </cell>
          <cell r="I251" t="str">
            <v>IO</v>
          </cell>
          <cell r="L251" t="str">
            <v>HEB-260</v>
          </cell>
          <cell r="M251" t="str">
            <v>C4R</v>
          </cell>
          <cell r="N251" t="str">
            <v>EMT-2</v>
          </cell>
          <cell r="O251" t="str">
            <v>EMT-T</v>
          </cell>
          <cell r="Q251">
            <v>0</v>
          </cell>
          <cell r="R251" t="str">
            <v>inf</v>
          </cell>
          <cell r="T251">
            <v>10</v>
          </cell>
          <cell r="U251">
            <v>55</v>
          </cell>
          <cell r="W251">
            <v>2.2999999999999998</v>
          </cell>
          <cell r="X251">
            <v>1.4</v>
          </cell>
          <cell r="AA251">
            <v>0.45</v>
          </cell>
          <cell r="AC251" t="str">
            <v>PH-1150</v>
          </cell>
          <cell r="AF251">
            <v>6000</v>
          </cell>
          <cell r="AG251">
            <v>2977.64</v>
          </cell>
          <cell r="AH251">
            <v>2169</v>
          </cell>
          <cell r="AI251">
            <v>639</v>
          </cell>
          <cell r="AJ251" t="str">
            <v>LoadB/NZ</v>
          </cell>
          <cell r="AM251" t="str">
            <v>RW2</v>
          </cell>
        </row>
        <row r="252">
          <cell r="G252">
            <v>47</v>
          </cell>
          <cell r="S252">
            <v>46.870000000000346</v>
          </cell>
        </row>
        <row r="253">
          <cell r="B253" t="str">
            <v>3-1.01</v>
          </cell>
          <cell r="C253">
            <v>3028</v>
          </cell>
          <cell r="F253">
            <v>0</v>
          </cell>
          <cell r="H253" t="str">
            <v>S/A</v>
          </cell>
          <cell r="L253" t="str">
            <v>HEB-260</v>
          </cell>
          <cell r="M253" t="str">
            <v>C4R</v>
          </cell>
          <cell r="N253" t="str">
            <v>EMT-T</v>
          </cell>
          <cell r="O253" t="str">
            <v>EMT-E</v>
          </cell>
          <cell r="Q253">
            <v>0</v>
          </cell>
          <cell r="R253" t="str">
            <v>inf</v>
          </cell>
          <cell r="T253">
            <v>-55</v>
          </cell>
          <cell r="U253">
            <v>-10</v>
          </cell>
          <cell r="W253">
            <v>2.2999999999999998</v>
          </cell>
          <cell r="X253">
            <v>1.4</v>
          </cell>
          <cell r="Z253">
            <v>0.45</v>
          </cell>
          <cell r="AD253" t="str">
            <v>PH-1150</v>
          </cell>
          <cell r="AF253">
            <v>6000</v>
          </cell>
          <cell r="AG253">
            <v>3024.51</v>
          </cell>
          <cell r="AH253">
            <v>2158</v>
          </cell>
          <cell r="AI253">
            <v>647</v>
          </cell>
          <cell r="AM253" t="str">
            <v>RW2</v>
          </cell>
        </row>
        <row r="254">
          <cell r="G254">
            <v>5</v>
          </cell>
          <cell r="S254">
            <v>5.1799999999998363</v>
          </cell>
        </row>
        <row r="255">
          <cell r="A255" t="str">
            <v>AIR-B02</v>
          </cell>
          <cell r="B255" t="str">
            <v>3-1.01BIS</v>
          </cell>
          <cell r="C255">
            <v>3033</v>
          </cell>
          <cell r="L255" t="str">
            <v>HEB-300L</v>
          </cell>
          <cell r="M255" t="str">
            <v>C6</v>
          </cell>
          <cell r="Q255">
            <v>0</v>
          </cell>
          <cell r="R255" t="str">
            <v>inf</v>
          </cell>
          <cell r="AF255">
            <v>6000</v>
          </cell>
          <cell r="AG255">
            <v>3029.69</v>
          </cell>
          <cell r="AH255">
            <v>2172</v>
          </cell>
          <cell r="AI255">
            <v>649</v>
          </cell>
          <cell r="AJ255" t="str">
            <v>PP-2</v>
          </cell>
          <cell r="AM255" t="str">
            <v>RW2</v>
          </cell>
        </row>
        <row r="256">
          <cell r="G256">
            <v>42</v>
          </cell>
          <cell r="S256">
            <v>42.029999999999745</v>
          </cell>
        </row>
        <row r="257">
          <cell r="A257" t="str">
            <v>AIR-NS5</v>
          </cell>
          <cell r="B257" t="str">
            <v>3-1.02</v>
          </cell>
          <cell r="C257">
            <v>3075</v>
          </cell>
          <cell r="F257">
            <v>0</v>
          </cell>
          <cell r="H257" t="str">
            <v>S/A</v>
          </cell>
          <cell r="I257" t="str">
            <v>IO</v>
          </cell>
          <cell r="L257" t="str">
            <v>2HEB-240</v>
          </cell>
          <cell r="M257" t="str">
            <v>C2H-240</v>
          </cell>
          <cell r="N257" t="str">
            <v>EMT-2R</v>
          </cell>
          <cell r="O257" t="str">
            <v>EMT-T</v>
          </cell>
          <cell r="Q257">
            <v>0</v>
          </cell>
          <cell r="R257" t="str">
            <v>inf</v>
          </cell>
          <cell r="T257">
            <v>25</v>
          </cell>
          <cell r="U257">
            <v>20</v>
          </cell>
          <cell r="W257">
            <v>1.4</v>
          </cell>
          <cell r="X257">
            <v>2.2999999999999998</v>
          </cell>
          <cell r="AA257">
            <v>0.45</v>
          </cell>
          <cell r="AC257" t="str">
            <v>PH-Q 1150</v>
          </cell>
          <cell r="AF257">
            <v>6000</v>
          </cell>
          <cell r="AG257">
            <v>3071.72</v>
          </cell>
          <cell r="AH257">
            <v>2127</v>
          </cell>
          <cell r="AI257">
            <v>687</v>
          </cell>
          <cell r="AJ257" t="str">
            <v>LoadB/NZ</v>
          </cell>
          <cell r="AM257" t="str">
            <v>RW2</v>
          </cell>
        </row>
        <row r="258">
          <cell r="G258">
            <v>45</v>
          </cell>
          <cell r="S258">
            <v>44.680000000000291</v>
          </cell>
          <cell r="AJ258" t="str">
            <v>VoltageD</v>
          </cell>
        </row>
        <row r="259">
          <cell r="A259" t="str">
            <v>NS AIRPORT</v>
          </cell>
          <cell r="B259" t="str">
            <v>3-1.03</v>
          </cell>
          <cell r="C259">
            <v>3120</v>
          </cell>
          <cell r="F259">
            <v>0</v>
          </cell>
          <cell r="H259" t="str">
            <v>A/S</v>
          </cell>
          <cell r="I259" t="str">
            <v>CP+AnMC</v>
          </cell>
          <cell r="L259" t="str">
            <v>HEB-260 (CP)</v>
          </cell>
          <cell r="M259" t="str">
            <v>C4R</v>
          </cell>
          <cell r="N259" t="str">
            <v>EMT-1</v>
          </cell>
          <cell r="Q259">
            <v>0</v>
          </cell>
          <cell r="R259" t="str">
            <v>inf</v>
          </cell>
          <cell r="T259">
            <v>-35</v>
          </cell>
          <cell r="W259">
            <v>1.1000000000000001</v>
          </cell>
          <cell r="AC259" t="str">
            <v>PH-Q</v>
          </cell>
          <cell r="AF259">
            <v>6000</v>
          </cell>
          <cell r="AG259">
            <v>3116.4</v>
          </cell>
          <cell r="AH259">
            <v>2146</v>
          </cell>
          <cell r="AI259">
            <v>707</v>
          </cell>
          <cell r="AM259" t="str">
            <v>RW2</v>
          </cell>
        </row>
        <row r="260">
          <cell r="A260" t="str">
            <v>End Zone Between Wall</v>
          </cell>
          <cell r="G260">
            <v>35</v>
          </cell>
          <cell r="J260">
            <v>3127.5</v>
          </cell>
          <cell r="K260" t="str">
            <v>AnMC</v>
          </cell>
          <cell r="S260">
            <v>35.039999999999964</v>
          </cell>
        </row>
        <row r="261">
          <cell r="B261" t="str">
            <v>3-1.04</v>
          </cell>
          <cell r="C261">
            <v>3155</v>
          </cell>
          <cell r="F261">
            <v>0</v>
          </cell>
          <cell r="L261" t="str">
            <v>HEB-240 AirPort</v>
          </cell>
          <cell r="M261" t="str">
            <v>C3R</v>
          </cell>
          <cell r="N261" t="str">
            <v>EMT-2-RH</v>
          </cell>
          <cell r="Q261">
            <v>0</v>
          </cell>
          <cell r="R261" t="str">
            <v>inf</v>
          </cell>
          <cell r="T261">
            <v>35</v>
          </cell>
          <cell r="W261">
            <v>0.6</v>
          </cell>
          <cell r="AC261" t="str">
            <v>PH-1150</v>
          </cell>
          <cell r="AF261">
            <v>5560</v>
          </cell>
          <cell r="AG261">
            <v>3151.44</v>
          </cell>
          <cell r="AH261">
            <v>2520</v>
          </cell>
          <cell r="AI261">
            <v>436</v>
          </cell>
          <cell r="AM261" t="str">
            <v>RW2</v>
          </cell>
        </row>
        <row r="262">
          <cell r="G262">
            <v>31</v>
          </cell>
          <cell r="S262">
            <v>31.170000000000073</v>
          </cell>
        </row>
        <row r="263">
          <cell r="B263" t="str">
            <v>3-1.05</v>
          </cell>
          <cell r="C263">
            <v>3186</v>
          </cell>
          <cell r="F263">
            <v>0</v>
          </cell>
          <cell r="L263" t="str">
            <v>HEB-240 AirPort</v>
          </cell>
          <cell r="M263" t="str">
            <v>C3R</v>
          </cell>
          <cell r="N263" t="str">
            <v>EMT-1-RH</v>
          </cell>
          <cell r="Q263">
            <v>0</v>
          </cell>
          <cell r="R263" t="str">
            <v>inf</v>
          </cell>
          <cell r="T263">
            <v>-35</v>
          </cell>
          <cell r="W263">
            <v>0.55000000000000004</v>
          </cell>
          <cell r="AC263" t="str">
            <v>PH-1150</v>
          </cell>
          <cell r="AF263">
            <v>5560</v>
          </cell>
          <cell r="AG263">
            <v>3182.61</v>
          </cell>
          <cell r="AH263">
            <v>2591</v>
          </cell>
          <cell r="AI263">
            <v>711</v>
          </cell>
          <cell r="AM263" t="str">
            <v>RW2</v>
          </cell>
        </row>
        <row r="264">
          <cell r="G264">
            <v>32</v>
          </cell>
          <cell r="S264">
            <v>32.009999999999764</v>
          </cell>
        </row>
        <row r="265">
          <cell r="B265" t="str">
            <v>3-1.06</v>
          </cell>
          <cell r="C265">
            <v>3218</v>
          </cell>
          <cell r="F265">
            <v>0</v>
          </cell>
          <cell r="L265" t="str">
            <v>HEB-240 AirPort</v>
          </cell>
          <cell r="M265" t="str">
            <v>C3R</v>
          </cell>
          <cell r="N265" t="str">
            <v>EMT-2-RH</v>
          </cell>
          <cell r="Q265">
            <v>0</v>
          </cell>
          <cell r="R265" t="str">
            <v>inf</v>
          </cell>
          <cell r="T265">
            <v>35</v>
          </cell>
          <cell r="W265">
            <v>0.55000000000000004</v>
          </cell>
          <cell r="AC265" t="str">
            <v>PH-1150</v>
          </cell>
          <cell r="AF265">
            <v>5560</v>
          </cell>
          <cell r="AG265">
            <v>3214.62</v>
          </cell>
          <cell r="AH265">
            <v>2584</v>
          </cell>
          <cell r="AI265">
            <v>699</v>
          </cell>
          <cell r="AM265" t="str">
            <v>RW2</v>
          </cell>
        </row>
        <row r="266">
          <cell r="G266">
            <v>30</v>
          </cell>
          <cell r="S266">
            <v>30.410000000000309</v>
          </cell>
        </row>
        <row r="267">
          <cell r="A267" t="str">
            <v>Overcrossing 3+260</v>
          </cell>
          <cell r="B267" t="str">
            <v>3-1.07</v>
          </cell>
          <cell r="C267">
            <v>3248</v>
          </cell>
          <cell r="F267">
            <v>0</v>
          </cell>
          <cell r="L267" t="str">
            <v>HEB-240 AirPort</v>
          </cell>
          <cell r="M267" t="str">
            <v>C3R</v>
          </cell>
          <cell r="N267" t="str">
            <v>EMT-1-RH</v>
          </cell>
          <cell r="Q267">
            <v>0</v>
          </cell>
          <cell r="R267" t="str">
            <v>inf</v>
          </cell>
          <cell r="T267">
            <v>-35</v>
          </cell>
          <cell r="W267">
            <v>0.55000000000000004</v>
          </cell>
          <cell r="AC267" t="str">
            <v>PH-1150</v>
          </cell>
          <cell r="AF267">
            <v>5560</v>
          </cell>
          <cell r="AG267">
            <v>3245.03</v>
          </cell>
          <cell r="AH267">
            <v>3818</v>
          </cell>
          <cell r="AI267">
            <v>1063</v>
          </cell>
          <cell r="AM267" t="str">
            <v>RW2</v>
          </cell>
        </row>
        <row r="268">
          <cell r="G268">
            <v>38</v>
          </cell>
          <cell r="S268">
            <v>37.509999999999764</v>
          </cell>
        </row>
        <row r="269">
          <cell r="B269" t="str">
            <v>3-1.08</v>
          </cell>
          <cell r="C269">
            <v>3286</v>
          </cell>
          <cell r="F269">
            <v>0</v>
          </cell>
          <cell r="L269" t="str">
            <v>HEB-240 AirPort</v>
          </cell>
          <cell r="M269" t="str">
            <v>C3R</v>
          </cell>
          <cell r="N269" t="str">
            <v>EMT-2-RH</v>
          </cell>
          <cell r="Q269">
            <v>0</v>
          </cell>
          <cell r="R269" t="str">
            <v>inf</v>
          </cell>
          <cell r="T269">
            <v>35</v>
          </cell>
          <cell r="W269">
            <v>0.55000000000000004</v>
          </cell>
          <cell r="AC269" t="str">
            <v>PH-1150</v>
          </cell>
          <cell r="AF269">
            <v>5560</v>
          </cell>
          <cell r="AG269">
            <v>3282.54</v>
          </cell>
          <cell r="AH269">
            <v>2494</v>
          </cell>
          <cell r="AI269">
            <v>720</v>
          </cell>
          <cell r="AM269" t="str">
            <v>RW2</v>
          </cell>
        </row>
        <row r="270">
          <cell r="G270">
            <v>32</v>
          </cell>
          <cell r="S270">
            <v>32.159999999999854</v>
          </cell>
        </row>
        <row r="271">
          <cell r="B271" t="str">
            <v>3-1.09</v>
          </cell>
          <cell r="C271">
            <v>3318</v>
          </cell>
          <cell r="F271">
            <v>0</v>
          </cell>
          <cell r="L271" t="str">
            <v>HEB-240 AirPort</v>
          </cell>
          <cell r="M271" t="str">
            <v>C3R</v>
          </cell>
          <cell r="N271" t="str">
            <v>EMT-1-RH</v>
          </cell>
          <cell r="Q271">
            <v>0</v>
          </cell>
          <cell r="R271" t="str">
            <v>inf</v>
          </cell>
          <cell r="T271">
            <v>-35</v>
          </cell>
          <cell r="W271">
            <v>0.55000000000000004</v>
          </cell>
          <cell r="AC271" t="str">
            <v>PH-1150</v>
          </cell>
          <cell r="AF271">
            <v>5560</v>
          </cell>
          <cell r="AG271">
            <v>3314.7</v>
          </cell>
          <cell r="AH271">
            <v>2619</v>
          </cell>
          <cell r="AI271">
            <v>731</v>
          </cell>
          <cell r="AM271" t="str">
            <v>RW2</v>
          </cell>
        </row>
        <row r="272">
          <cell r="G272">
            <v>35</v>
          </cell>
          <cell r="J272">
            <v>3345.5</v>
          </cell>
          <cell r="K272" t="str">
            <v>AnM</v>
          </cell>
          <cell r="S272">
            <v>35.080000000000382</v>
          </cell>
        </row>
        <row r="273">
          <cell r="B273" t="str">
            <v>3-1.10</v>
          </cell>
          <cell r="C273">
            <v>3353</v>
          </cell>
          <cell r="F273">
            <v>3000</v>
          </cell>
          <cell r="H273" t="str">
            <v>AnMP</v>
          </cell>
          <cell r="L273" t="str">
            <v>HEB-260 AirPort</v>
          </cell>
          <cell r="M273" t="str">
            <v>C4R</v>
          </cell>
          <cell r="N273" t="str">
            <v>EMT-1-RH</v>
          </cell>
          <cell r="Q273">
            <v>30</v>
          </cell>
          <cell r="R273">
            <v>3937.94</v>
          </cell>
          <cell r="T273">
            <v>-25</v>
          </cell>
          <cell r="W273">
            <v>0.55000000000000004</v>
          </cell>
          <cell r="AC273" t="str">
            <v>PH-1150</v>
          </cell>
          <cell r="AF273">
            <v>5560</v>
          </cell>
          <cell r="AG273">
            <v>3349.78</v>
          </cell>
          <cell r="AH273">
            <v>2551</v>
          </cell>
          <cell r="AI273">
            <v>782</v>
          </cell>
          <cell r="AM273" t="str">
            <v>RW2</v>
          </cell>
        </row>
        <row r="274">
          <cell r="G274">
            <v>35</v>
          </cell>
          <cell r="I274">
            <v>511</v>
          </cell>
          <cell r="S274">
            <v>34.859999999999673</v>
          </cell>
        </row>
        <row r="275">
          <cell r="B275" t="str">
            <v>3-1.11</v>
          </cell>
          <cell r="C275">
            <v>3388</v>
          </cell>
          <cell r="F275">
            <v>1306.4516129032259</v>
          </cell>
          <cell r="H275" t="str">
            <v>MP</v>
          </cell>
          <cell r="L275" t="str">
            <v>HEB-260 AirPort</v>
          </cell>
          <cell r="M275" t="str">
            <v>C4R</v>
          </cell>
          <cell r="N275" t="str">
            <v>EMT-1-RH</v>
          </cell>
          <cell r="Q275">
            <v>70</v>
          </cell>
          <cell r="R275">
            <v>1100.8599999999999</v>
          </cell>
          <cell r="T275">
            <v>-30</v>
          </cell>
          <cell r="W275">
            <v>0.55000000000000004</v>
          </cell>
          <cell r="AC275" t="str">
            <v>PH-1150</v>
          </cell>
          <cell r="AF275">
            <v>5560</v>
          </cell>
          <cell r="AG275">
            <v>3384.64</v>
          </cell>
          <cell r="AH275">
            <v>2603</v>
          </cell>
          <cell r="AI275">
            <v>617</v>
          </cell>
          <cell r="AM275" t="str">
            <v>RW2</v>
          </cell>
        </row>
        <row r="276">
          <cell r="G276">
            <v>35</v>
          </cell>
          <cell r="I276">
            <v>420</v>
          </cell>
          <cell r="S276">
            <v>35.170000000000073</v>
          </cell>
        </row>
        <row r="277">
          <cell r="B277" t="str">
            <v>3-1.12</v>
          </cell>
          <cell r="C277">
            <v>3423</v>
          </cell>
          <cell r="F277">
            <v>835.05154639175259</v>
          </cell>
          <cell r="H277" t="str">
            <v>AnMP</v>
          </cell>
          <cell r="L277" t="str">
            <v>HEB-280 AirPort</v>
          </cell>
          <cell r="M277" t="str">
            <v>C5</v>
          </cell>
          <cell r="N277" t="str">
            <v>EMT-1-RH</v>
          </cell>
          <cell r="Q277">
            <v>105</v>
          </cell>
          <cell r="R277">
            <v>1100.8599999999999</v>
          </cell>
          <cell r="T277">
            <v>-30</v>
          </cell>
          <cell r="W277">
            <v>0.55000000000000004</v>
          </cell>
          <cell r="AC277" t="str">
            <v>PH-1150</v>
          </cell>
          <cell r="AF277">
            <v>5560</v>
          </cell>
          <cell r="AG277">
            <v>3419.81</v>
          </cell>
          <cell r="AH277">
            <v>2523</v>
          </cell>
          <cell r="AI277">
            <v>634</v>
          </cell>
          <cell r="AM277" t="str">
            <v>RW2</v>
          </cell>
        </row>
        <row r="278">
          <cell r="G278">
            <v>35</v>
          </cell>
          <cell r="J278">
            <v>3430.5</v>
          </cell>
          <cell r="K278" t="str">
            <v>AnM</v>
          </cell>
          <cell r="S278">
            <v>34.940000000000055</v>
          </cell>
        </row>
        <row r="279">
          <cell r="B279" t="str">
            <v>3-1.13</v>
          </cell>
          <cell r="C279">
            <v>3458</v>
          </cell>
          <cell r="F279">
            <v>675</v>
          </cell>
          <cell r="L279" t="str">
            <v>HEB-260 AirPort</v>
          </cell>
          <cell r="M279" t="str">
            <v>C4R</v>
          </cell>
          <cell r="N279" t="str">
            <v>EMT-1-RH</v>
          </cell>
          <cell r="Q279">
            <v>124</v>
          </cell>
          <cell r="R279">
            <v>679</v>
          </cell>
          <cell r="T279">
            <v>-30</v>
          </cell>
          <cell r="W279">
            <v>0.55000000000000004</v>
          </cell>
          <cell r="AC279" t="str">
            <v>PH-1150</v>
          </cell>
          <cell r="AF279">
            <v>5560</v>
          </cell>
          <cell r="AG279">
            <v>3454.75</v>
          </cell>
          <cell r="AH279">
            <v>2633</v>
          </cell>
          <cell r="AI279">
            <v>745</v>
          </cell>
          <cell r="AM279" t="str">
            <v>RW2</v>
          </cell>
        </row>
        <row r="280">
          <cell r="G280">
            <v>35</v>
          </cell>
          <cell r="S280">
            <v>35.019999999999982</v>
          </cell>
        </row>
        <row r="281">
          <cell r="B281" t="str">
            <v>3-1.14</v>
          </cell>
          <cell r="C281">
            <v>3493</v>
          </cell>
          <cell r="F281">
            <v>675</v>
          </cell>
          <cell r="L281" t="str">
            <v>HEB-260 AirPort</v>
          </cell>
          <cell r="M281" t="str">
            <v>C4R</v>
          </cell>
          <cell r="N281" t="str">
            <v>EMT-1-RH</v>
          </cell>
          <cell r="Q281">
            <v>135</v>
          </cell>
          <cell r="R281">
            <v>679</v>
          </cell>
          <cell r="T281">
            <v>-30</v>
          </cell>
          <cell r="W281">
            <v>0.55000000000000004</v>
          </cell>
          <cell r="AC281" t="str">
            <v>PH-1150</v>
          </cell>
          <cell r="AF281">
            <v>5560</v>
          </cell>
          <cell r="AG281">
            <v>3489.77</v>
          </cell>
          <cell r="AH281">
            <v>2563</v>
          </cell>
          <cell r="AI281">
            <v>710</v>
          </cell>
          <cell r="AM281" t="str">
            <v>RW2</v>
          </cell>
        </row>
        <row r="282">
          <cell r="G282">
            <v>40</v>
          </cell>
          <cell r="I282" t="str">
            <v>AnRW1</v>
          </cell>
          <cell r="J282">
            <v>3524.5</v>
          </cell>
          <cell r="K282" t="str">
            <v>AnM</v>
          </cell>
          <cell r="S282">
            <v>39.990000000000236</v>
          </cell>
        </row>
        <row r="283">
          <cell r="B283" t="str">
            <v>3-1.15</v>
          </cell>
          <cell r="C283">
            <v>3532</v>
          </cell>
          <cell r="F283">
            <v>675</v>
          </cell>
          <cell r="L283" t="str">
            <v>HEB-260</v>
          </cell>
          <cell r="M283" t="str">
            <v>C4R</v>
          </cell>
          <cell r="N283" t="str">
            <v>EMT-1</v>
          </cell>
          <cell r="Q283">
            <v>135</v>
          </cell>
          <cell r="R283">
            <v>679</v>
          </cell>
          <cell r="T283">
            <v>-30</v>
          </cell>
          <cell r="W283">
            <v>1</v>
          </cell>
          <cell r="AC283" t="str">
            <v>PHC-1150</v>
          </cell>
          <cell r="AF283">
            <v>5800</v>
          </cell>
          <cell r="AG283">
            <v>3529.76</v>
          </cell>
          <cell r="AH283">
            <v>2735</v>
          </cell>
          <cell r="AI283">
            <v>636</v>
          </cell>
          <cell r="AM283" t="str">
            <v>RW2</v>
          </cell>
        </row>
        <row r="284">
          <cell r="G284">
            <v>40</v>
          </cell>
          <cell r="I284" t="str">
            <v>AnRW1</v>
          </cell>
          <cell r="J284">
            <v>3539.5</v>
          </cell>
          <cell r="K284" t="str">
            <v>AnM</v>
          </cell>
          <cell r="S284">
            <v>39.949999999999818</v>
          </cell>
        </row>
        <row r="285">
          <cell r="B285" t="str">
            <v>3-1.16</v>
          </cell>
          <cell r="C285">
            <v>3572</v>
          </cell>
          <cell r="F285">
            <v>675</v>
          </cell>
          <cell r="L285" t="str">
            <v>HEB-260</v>
          </cell>
          <cell r="M285" t="str">
            <v>C4R</v>
          </cell>
          <cell r="N285" t="str">
            <v>EMT-1</v>
          </cell>
          <cell r="Q285">
            <v>130</v>
          </cell>
          <cell r="R285">
            <v>679</v>
          </cell>
          <cell r="T285">
            <v>-30</v>
          </cell>
          <cell r="W285">
            <v>1.4</v>
          </cell>
          <cell r="AC285" t="str">
            <v>PHC-1150</v>
          </cell>
          <cell r="AF285">
            <v>5500</v>
          </cell>
          <cell r="AG285">
            <v>3569.71</v>
          </cell>
          <cell r="AH285">
            <v>2561</v>
          </cell>
          <cell r="AI285">
            <v>578</v>
          </cell>
          <cell r="AM285" t="str">
            <v>RW2</v>
          </cell>
        </row>
        <row r="286">
          <cell r="G286">
            <v>40</v>
          </cell>
          <cell r="J286">
            <v>3604.5</v>
          </cell>
          <cell r="K286" t="str">
            <v>AnMC</v>
          </cell>
          <cell r="S286">
            <v>40.079999999999927</v>
          </cell>
        </row>
        <row r="287">
          <cell r="B287" t="str">
            <v>3-1.17</v>
          </cell>
          <cell r="C287">
            <v>3612</v>
          </cell>
          <cell r="F287">
            <v>675</v>
          </cell>
          <cell r="H287" t="str">
            <v>A/S</v>
          </cell>
          <cell r="I287" t="str">
            <v>FP+AnMC</v>
          </cell>
          <cell r="L287" t="str">
            <v>HEB-280 (CP)</v>
          </cell>
          <cell r="M287" t="str">
            <v>C5</v>
          </cell>
          <cell r="N287" t="str">
            <v>EMT-1</v>
          </cell>
          <cell r="Q287">
            <v>133</v>
          </cell>
          <cell r="R287">
            <v>679</v>
          </cell>
          <cell r="T287">
            <v>-30</v>
          </cell>
          <cell r="W287">
            <v>1.4</v>
          </cell>
          <cell r="AC287" t="str">
            <v>PHC-1150</v>
          </cell>
          <cell r="AF287">
            <v>5800</v>
          </cell>
          <cell r="AG287">
            <v>3609.79</v>
          </cell>
          <cell r="AH287">
            <v>2663</v>
          </cell>
          <cell r="AI287">
            <v>658</v>
          </cell>
          <cell r="AM287" t="str">
            <v>RW2</v>
          </cell>
        </row>
        <row r="288">
          <cell r="G288">
            <v>40</v>
          </cell>
          <cell r="I288">
            <v>661</v>
          </cell>
          <cell r="S288">
            <v>39.990000000000236</v>
          </cell>
        </row>
        <row r="289">
          <cell r="B289" t="str">
            <v>3-1.18</v>
          </cell>
          <cell r="C289">
            <v>3652</v>
          </cell>
          <cell r="F289">
            <v>675</v>
          </cell>
          <cell r="H289" t="str">
            <v>S/A</v>
          </cell>
          <cell r="L289" t="str">
            <v>2HEB-240</v>
          </cell>
          <cell r="M289" t="str">
            <v>C2H-240</v>
          </cell>
          <cell r="N289" t="str">
            <v>EMT-T</v>
          </cell>
          <cell r="O289" t="str">
            <v>EMT-1</v>
          </cell>
          <cell r="Q289">
            <v>134</v>
          </cell>
          <cell r="R289">
            <v>679</v>
          </cell>
          <cell r="T289">
            <v>-10</v>
          </cell>
          <cell r="U289">
            <v>-30</v>
          </cell>
          <cell r="W289">
            <v>1.4</v>
          </cell>
          <cell r="X289">
            <v>2.2999999999999998</v>
          </cell>
          <cell r="Z289">
            <v>0.6</v>
          </cell>
          <cell r="AD289" t="str">
            <v>PHC-1150</v>
          </cell>
          <cell r="AF289">
            <v>5800</v>
          </cell>
          <cell r="AG289">
            <v>3649.78</v>
          </cell>
          <cell r="AH289">
            <v>2613</v>
          </cell>
          <cell r="AI289">
            <v>644</v>
          </cell>
          <cell r="AM289" t="str">
            <v>RW2</v>
          </cell>
        </row>
        <row r="290">
          <cell r="G290">
            <v>40</v>
          </cell>
          <cell r="S290">
            <v>40.059999999999945</v>
          </cell>
        </row>
        <row r="291">
          <cell r="B291" t="str">
            <v>3-1.19</v>
          </cell>
          <cell r="C291">
            <v>3692</v>
          </cell>
          <cell r="F291">
            <v>675</v>
          </cell>
          <cell r="H291" t="str">
            <v>S/A</v>
          </cell>
          <cell r="L291" t="str">
            <v>HEB-280</v>
          </cell>
          <cell r="M291" t="str">
            <v>C5</v>
          </cell>
          <cell r="N291" t="str">
            <v>EMT-T</v>
          </cell>
          <cell r="O291" t="str">
            <v>EMT-1</v>
          </cell>
          <cell r="Q291">
            <v>132</v>
          </cell>
          <cell r="R291">
            <v>679</v>
          </cell>
          <cell r="T291">
            <v>-10</v>
          </cell>
          <cell r="U291">
            <v>-30</v>
          </cell>
          <cell r="W291">
            <v>1.4</v>
          </cell>
          <cell r="X291">
            <v>2.2999999999999998</v>
          </cell>
          <cell r="Z291">
            <v>0.15</v>
          </cell>
          <cell r="AC291" t="str">
            <v>PHQ-950</v>
          </cell>
          <cell r="AD291" t="str">
            <v>PHC-1150</v>
          </cell>
          <cell r="AF291">
            <v>5800</v>
          </cell>
          <cell r="AG291">
            <v>3689.84</v>
          </cell>
          <cell r="AH291">
            <v>2586</v>
          </cell>
          <cell r="AI291">
            <v>630</v>
          </cell>
          <cell r="AM291" t="str">
            <v>RW2</v>
          </cell>
        </row>
        <row r="292">
          <cell r="G292">
            <v>40</v>
          </cell>
          <cell r="S292">
            <v>39.909999999999854</v>
          </cell>
        </row>
        <row r="293">
          <cell r="B293" t="str">
            <v>3-1.20</v>
          </cell>
          <cell r="C293">
            <v>3732</v>
          </cell>
          <cell r="F293">
            <v>675</v>
          </cell>
          <cell r="H293" t="str">
            <v>S/A</v>
          </cell>
          <cell r="L293" t="str">
            <v>HEB-280</v>
          </cell>
          <cell r="M293" t="str">
            <v>C5</v>
          </cell>
          <cell r="N293" t="str">
            <v>EMT-1</v>
          </cell>
          <cell r="O293" t="str">
            <v>EMT-T</v>
          </cell>
          <cell r="Q293">
            <v>134</v>
          </cell>
          <cell r="R293">
            <v>679</v>
          </cell>
          <cell r="T293">
            <v>-10</v>
          </cell>
          <cell r="U293">
            <v>-30</v>
          </cell>
          <cell r="W293">
            <v>1.4</v>
          </cell>
          <cell r="X293">
            <v>2.2999999999999998</v>
          </cell>
          <cell r="AA293">
            <v>0.1</v>
          </cell>
          <cell r="AC293" t="str">
            <v>BC-1401</v>
          </cell>
          <cell r="AD293" t="str">
            <v>PHQ-1150</v>
          </cell>
          <cell r="AF293">
            <v>6000</v>
          </cell>
          <cell r="AG293">
            <v>3729.75</v>
          </cell>
          <cell r="AH293">
            <v>2687</v>
          </cell>
          <cell r="AI293">
            <v>723</v>
          </cell>
          <cell r="AM293" t="str">
            <v>RW2</v>
          </cell>
        </row>
        <row r="294">
          <cell r="G294">
            <v>35</v>
          </cell>
          <cell r="S294">
            <v>35.079999999999927</v>
          </cell>
        </row>
        <row r="295">
          <cell r="B295" t="str">
            <v>3-1.21</v>
          </cell>
          <cell r="C295">
            <v>3767</v>
          </cell>
          <cell r="F295">
            <v>675</v>
          </cell>
          <cell r="H295" t="str">
            <v>S/A</v>
          </cell>
          <cell r="L295" t="str">
            <v>2HEB-240</v>
          </cell>
          <cell r="M295" t="str">
            <v>C2H-240</v>
          </cell>
          <cell r="N295" t="str">
            <v>EMT-1</v>
          </cell>
          <cell r="O295" t="str">
            <v>EMT-T</v>
          </cell>
          <cell r="Q295">
            <v>127</v>
          </cell>
          <cell r="R295">
            <v>679</v>
          </cell>
          <cell r="T295">
            <v>-10</v>
          </cell>
          <cell r="U295">
            <v>-30</v>
          </cell>
          <cell r="W295">
            <v>1.4</v>
          </cell>
          <cell r="X295">
            <v>2.2999999999999998</v>
          </cell>
          <cell r="AA295">
            <v>0.6</v>
          </cell>
          <cell r="AC295" t="str">
            <v>PHQ-1350</v>
          </cell>
          <cell r="AF295">
            <v>5800</v>
          </cell>
          <cell r="AG295">
            <v>3764.83</v>
          </cell>
          <cell r="AH295">
            <v>2643</v>
          </cell>
          <cell r="AI295">
            <v>572</v>
          </cell>
          <cell r="AM295" t="str">
            <v>RW2</v>
          </cell>
        </row>
        <row r="296">
          <cell r="G296">
            <v>40</v>
          </cell>
          <cell r="S296">
            <v>41.592999999999847</v>
          </cell>
        </row>
        <row r="297">
          <cell r="B297" t="str">
            <v>3-1.22</v>
          </cell>
          <cell r="C297">
            <v>3805</v>
          </cell>
          <cell r="F297">
            <v>675</v>
          </cell>
          <cell r="H297" t="str">
            <v>A/S</v>
          </cell>
          <cell r="I297" t="str">
            <v>CP+AnMC</v>
          </cell>
          <cell r="L297" t="str">
            <v>HEB-280L</v>
          </cell>
          <cell r="M297" t="str">
            <v>C5R</v>
          </cell>
          <cell r="N297" t="str">
            <v>EMT-1</v>
          </cell>
          <cell r="Q297">
            <v>130</v>
          </cell>
          <cell r="R297">
            <v>679</v>
          </cell>
          <cell r="T297">
            <v>-30</v>
          </cell>
          <cell r="W297">
            <v>1.4</v>
          </cell>
          <cell r="AC297" t="str">
            <v>PHC-1150</v>
          </cell>
          <cell r="AF297">
            <v>7100</v>
          </cell>
          <cell r="AG297">
            <v>3806.4229999999998</v>
          </cell>
          <cell r="AH297">
            <v>3857</v>
          </cell>
          <cell r="AI297">
            <v>2144</v>
          </cell>
          <cell r="AM297" t="str">
            <v>RW2</v>
          </cell>
        </row>
        <row r="298">
          <cell r="G298">
            <v>40</v>
          </cell>
          <cell r="J298">
            <v>3812.5</v>
          </cell>
          <cell r="K298" t="str">
            <v>AnMC</v>
          </cell>
          <cell r="S298">
            <v>-3806.4229999999998</v>
          </cell>
        </row>
        <row r="299">
          <cell r="A299" t="str">
            <v>Start Bridge1</v>
          </cell>
          <cell r="B299" t="str">
            <v>3-1.23</v>
          </cell>
          <cell r="C299">
            <v>3845</v>
          </cell>
          <cell r="F299">
            <v>675</v>
          </cell>
          <cell r="L299" t="str">
            <v>HEB-260</v>
          </cell>
          <cell r="M299" t="str">
            <v>PL4</v>
          </cell>
          <cell r="N299" t="str">
            <v>EMT-1</v>
          </cell>
          <cell r="T299">
            <v>-30</v>
          </cell>
          <cell r="W299">
            <v>1.4</v>
          </cell>
          <cell r="AC299" t="str">
            <v>PH-C</v>
          </cell>
          <cell r="AM299" t="str">
            <v>RW2</v>
          </cell>
        </row>
        <row r="300">
          <cell r="G300">
            <v>36</v>
          </cell>
          <cell r="S300">
            <v>0</v>
          </cell>
        </row>
        <row r="301">
          <cell r="B301" t="str">
            <v>3-1.24</v>
          </cell>
          <cell r="C301">
            <v>3881</v>
          </cell>
          <cell r="F301">
            <v>675</v>
          </cell>
          <cell r="L301" t="str">
            <v>HEB-260</v>
          </cell>
          <cell r="M301" t="str">
            <v>PL4</v>
          </cell>
          <cell r="N301" t="str">
            <v>EMT-1</v>
          </cell>
          <cell r="T301">
            <v>-30</v>
          </cell>
          <cell r="W301">
            <v>1.4</v>
          </cell>
          <cell r="AC301" t="str">
            <v>PH-C</v>
          </cell>
          <cell r="AM301" t="str">
            <v>RW2</v>
          </cell>
        </row>
        <row r="302">
          <cell r="G302">
            <v>36</v>
          </cell>
          <cell r="S302">
            <v>0</v>
          </cell>
        </row>
        <row r="303">
          <cell r="B303" t="str">
            <v>3-1.25</v>
          </cell>
          <cell r="C303">
            <v>3917</v>
          </cell>
          <cell r="F303">
            <v>675</v>
          </cell>
          <cell r="L303" t="str">
            <v>HEB-260</v>
          </cell>
          <cell r="M303" t="str">
            <v>PL4</v>
          </cell>
          <cell r="N303" t="str">
            <v>EMT-1</v>
          </cell>
          <cell r="T303">
            <v>-30</v>
          </cell>
          <cell r="W303">
            <v>1.4</v>
          </cell>
          <cell r="AC303" t="str">
            <v>PH-C</v>
          </cell>
          <cell r="AM303" t="str">
            <v>RW2</v>
          </cell>
        </row>
        <row r="304">
          <cell r="G304">
            <v>36</v>
          </cell>
          <cell r="S304">
            <v>0</v>
          </cell>
        </row>
        <row r="305">
          <cell r="B305" t="str">
            <v>3-1.26</v>
          </cell>
          <cell r="C305">
            <v>3953</v>
          </cell>
          <cell r="F305">
            <v>675</v>
          </cell>
          <cell r="L305" t="str">
            <v>HEB-260</v>
          </cell>
          <cell r="M305" t="str">
            <v>PL4</v>
          </cell>
          <cell r="N305" t="str">
            <v>EMT-1</v>
          </cell>
          <cell r="T305">
            <v>-30</v>
          </cell>
          <cell r="W305">
            <v>1.4</v>
          </cell>
          <cell r="AC305" t="str">
            <v>PH-C</v>
          </cell>
          <cell r="AM305" t="str">
            <v>RW2</v>
          </cell>
        </row>
        <row r="306">
          <cell r="G306">
            <v>36</v>
          </cell>
          <cell r="S306">
            <v>0</v>
          </cell>
        </row>
        <row r="307">
          <cell r="B307" t="str">
            <v>3-1.27</v>
          </cell>
          <cell r="C307">
            <v>3989</v>
          </cell>
          <cell r="F307">
            <v>675</v>
          </cell>
          <cell r="L307" t="str">
            <v>HEB-260</v>
          </cell>
          <cell r="M307" t="str">
            <v>PL4</v>
          </cell>
          <cell r="N307" t="str">
            <v>EMT-1</v>
          </cell>
          <cell r="T307">
            <v>-30</v>
          </cell>
          <cell r="W307">
            <v>1.4</v>
          </cell>
          <cell r="AC307" t="str">
            <v>PH-C</v>
          </cell>
          <cell r="AM307" t="str">
            <v>RW2</v>
          </cell>
        </row>
        <row r="308">
          <cell r="G308">
            <v>36</v>
          </cell>
          <cell r="S308">
            <v>0</v>
          </cell>
        </row>
        <row r="309">
          <cell r="B309" t="str">
            <v>4-1.01</v>
          </cell>
          <cell r="C309">
            <v>4025</v>
          </cell>
          <cell r="F309">
            <v>675</v>
          </cell>
          <cell r="L309" t="str">
            <v>HEB-260</v>
          </cell>
          <cell r="M309" t="str">
            <v>PL4</v>
          </cell>
          <cell r="N309" t="str">
            <v>EMT-1</v>
          </cell>
          <cell r="T309">
            <v>-30</v>
          </cell>
          <cell r="W309">
            <v>1.4</v>
          </cell>
          <cell r="AC309" t="str">
            <v>PH-C</v>
          </cell>
          <cell r="AM309" t="str">
            <v>RW2</v>
          </cell>
        </row>
        <row r="310">
          <cell r="A310" t="str">
            <v>End Brigde 1</v>
          </cell>
          <cell r="G310">
            <v>31</v>
          </cell>
          <cell r="S310">
            <v>4057.91</v>
          </cell>
        </row>
        <row r="311">
          <cell r="B311" t="str">
            <v>4-1.02</v>
          </cell>
          <cell r="C311">
            <v>4056</v>
          </cell>
          <cell r="F311">
            <v>675</v>
          </cell>
          <cell r="L311" t="str">
            <v>HEB-240</v>
          </cell>
          <cell r="M311" t="str">
            <v>C3R</v>
          </cell>
          <cell r="N311" t="str">
            <v>EMT-1</v>
          </cell>
          <cell r="Q311">
            <v>136</v>
          </cell>
          <cell r="R311">
            <v>679</v>
          </cell>
          <cell r="T311">
            <v>-30</v>
          </cell>
          <cell r="W311">
            <v>1.4</v>
          </cell>
          <cell r="AC311" t="str">
            <v>PHQ-1150</v>
          </cell>
          <cell r="AF311">
            <v>6000</v>
          </cell>
          <cell r="AG311">
            <v>4057.91</v>
          </cell>
          <cell r="AH311">
            <v>2584</v>
          </cell>
          <cell r="AI311">
            <v>623</v>
          </cell>
          <cell r="AM311" t="str">
            <v>RW2</v>
          </cell>
        </row>
        <row r="312">
          <cell r="G312">
            <v>32</v>
          </cell>
          <cell r="S312">
            <v>31.890000000000327</v>
          </cell>
        </row>
        <row r="313">
          <cell r="B313" t="str">
            <v>4-1.03</v>
          </cell>
          <cell r="C313">
            <v>4088</v>
          </cell>
          <cell r="F313">
            <v>675</v>
          </cell>
          <cell r="L313" t="str">
            <v>HEB-260</v>
          </cell>
          <cell r="M313" t="str">
            <v>C4R</v>
          </cell>
          <cell r="N313" t="str">
            <v>EMT-1</v>
          </cell>
          <cell r="Q313">
            <v>133</v>
          </cell>
          <cell r="R313">
            <v>679</v>
          </cell>
          <cell r="T313">
            <v>-30</v>
          </cell>
          <cell r="W313">
            <v>1.4</v>
          </cell>
          <cell r="AC313" t="str">
            <v>PH-C 1150</v>
          </cell>
          <cell r="AF313">
            <v>6000</v>
          </cell>
          <cell r="AG313">
            <v>4089.8</v>
          </cell>
          <cell r="AH313">
            <v>2538</v>
          </cell>
          <cell r="AI313">
            <v>575</v>
          </cell>
          <cell r="AM313" t="str">
            <v>RW2</v>
          </cell>
        </row>
        <row r="314">
          <cell r="G314">
            <v>35</v>
          </cell>
          <cell r="J314">
            <v>4115.5</v>
          </cell>
          <cell r="K314" t="str">
            <v>AnMC</v>
          </cell>
          <cell r="S314">
            <v>36.170000000000073</v>
          </cell>
        </row>
        <row r="315">
          <cell r="B315" t="str">
            <v>4-1.04</v>
          </cell>
          <cell r="C315">
            <v>4123</v>
          </cell>
          <cell r="F315">
            <v>675</v>
          </cell>
          <cell r="H315" t="str">
            <v>A/S</v>
          </cell>
          <cell r="I315" t="str">
            <v>CP+AnMC</v>
          </cell>
          <cell r="L315" t="str">
            <v>HEB-280 (CP)</v>
          </cell>
          <cell r="M315" t="str">
            <v>C5</v>
          </cell>
          <cell r="N315" t="str">
            <v>EMT-1</v>
          </cell>
          <cell r="Q315">
            <v>117</v>
          </cell>
          <cell r="R315">
            <v>792</v>
          </cell>
          <cell r="T315">
            <v>-30</v>
          </cell>
          <cell r="W315">
            <v>1.4</v>
          </cell>
          <cell r="AC315" t="str">
            <v>PH-C 1150</v>
          </cell>
          <cell r="AF315">
            <v>6000</v>
          </cell>
          <cell r="AG315">
            <v>4125.97</v>
          </cell>
          <cell r="AH315">
            <v>3022</v>
          </cell>
          <cell r="AI315">
            <v>576</v>
          </cell>
          <cell r="AM315" t="str">
            <v>RW2</v>
          </cell>
        </row>
        <row r="316">
          <cell r="G316">
            <v>45</v>
          </cell>
          <cell r="I316">
            <v>596.5</v>
          </cell>
          <cell r="S316">
            <v>44.920000000000073</v>
          </cell>
        </row>
        <row r="317">
          <cell r="B317" t="str">
            <v>4-1.05</v>
          </cell>
          <cell r="C317">
            <v>4168</v>
          </cell>
          <cell r="F317">
            <v>1200</v>
          </cell>
          <cell r="H317" t="str">
            <v>S/A</v>
          </cell>
          <cell r="L317" t="str">
            <v>2HEB-240</v>
          </cell>
          <cell r="M317" t="str">
            <v>C2H-240</v>
          </cell>
          <cell r="N317" t="str">
            <v>EMT-T</v>
          </cell>
          <cell r="O317" t="str">
            <v>EMT-1</v>
          </cell>
          <cell r="Q317">
            <v>60</v>
          </cell>
          <cell r="R317">
            <v>1551.77</v>
          </cell>
          <cell r="T317">
            <v>15</v>
          </cell>
          <cell r="U317">
            <v>-30</v>
          </cell>
          <cell r="W317">
            <v>1.4</v>
          </cell>
          <cell r="X317">
            <v>2.2999999999999998</v>
          </cell>
          <cell r="Z317">
            <v>0.45</v>
          </cell>
          <cell r="AD317" t="str">
            <v>PHQ-1150</v>
          </cell>
          <cell r="AF317">
            <v>6000</v>
          </cell>
          <cell r="AG317">
            <v>4170.8900000000003</v>
          </cell>
          <cell r="AH317">
            <v>2576</v>
          </cell>
          <cell r="AI317">
            <v>617</v>
          </cell>
          <cell r="AM317" t="str">
            <v>RW2</v>
          </cell>
        </row>
        <row r="318">
          <cell r="G318">
            <v>50</v>
          </cell>
          <cell r="S318">
            <v>50.009999999999309</v>
          </cell>
        </row>
        <row r="319">
          <cell r="A319" t="str">
            <v xml:space="preserve"> BEN-01</v>
          </cell>
          <cell r="B319" t="str">
            <v>4-1.06</v>
          </cell>
          <cell r="C319">
            <v>4217</v>
          </cell>
          <cell r="F319">
            <v>5000</v>
          </cell>
          <cell r="H319" t="str">
            <v>S/A</v>
          </cell>
          <cell r="I319" t="str">
            <v>IO</v>
          </cell>
          <cell r="L319" t="str">
            <v>2HEB-240</v>
          </cell>
          <cell r="M319" t="str">
            <v>C2H-240</v>
          </cell>
          <cell r="N319" t="str">
            <v>EMT-1</v>
          </cell>
          <cell r="O319" t="str">
            <v>EMT-T</v>
          </cell>
          <cell r="Q319">
            <v>9</v>
          </cell>
          <cell r="R319">
            <v>1551.77</v>
          </cell>
          <cell r="T319">
            <v>10</v>
          </cell>
          <cell r="U319">
            <v>-35</v>
          </cell>
          <cell r="W319">
            <v>1.4</v>
          </cell>
          <cell r="X319">
            <v>2.2999999999999998</v>
          </cell>
          <cell r="AA319">
            <v>0.45</v>
          </cell>
          <cell r="AC319" t="str">
            <v>PHQ-1350</v>
          </cell>
          <cell r="AF319">
            <v>6000</v>
          </cell>
          <cell r="AG319">
            <v>4220.8999999999996</v>
          </cell>
          <cell r="AH319">
            <v>2635</v>
          </cell>
          <cell r="AI319">
            <v>651</v>
          </cell>
          <cell r="AJ319" t="str">
            <v>LoadB/IO</v>
          </cell>
          <cell r="AM319" t="str">
            <v>RW2</v>
          </cell>
        </row>
        <row r="320">
          <cell r="G320">
            <v>53</v>
          </cell>
          <cell r="S320">
            <v>52.160000000000764</v>
          </cell>
        </row>
        <row r="321">
          <cell r="B321" t="str">
            <v>4-1.07</v>
          </cell>
          <cell r="C321">
            <v>4270</v>
          </cell>
          <cell r="F321">
            <v>0</v>
          </cell>
          <cell r="H321" t="str">
            <v>A/S</v>
          </cell>
          <cell r="I321" t="str">
            <v>CP+AnMC</v>
          </cell>
          <cell r="L321" t="str">
            <v>HEB-260 (CP)</v>
          </cell>
          <cell r="M321" t="str">
            <v>C4R</v>
          </cell>
          <cell r="N321" t="str">
            <v>EMT-1</v>
          </cell>
          <cell r="Q321">
            <v>0</v>
          </cell>
          <cell r="R321">
            <v>0</v>
          </cell>
          <cell r="T321">
            <v>-5</v>
          </cell>
          <cell r="W321">
            <v>1.4</v>
          </cell>
          <cell r="AC321" t="str">
            <v>PH-1050</v>
          </cell>
          <cell r="AF321">
            <v>6000</v>
          </cell>
          <cell r="AG321">
            <v>4273.0600000000004</v>
          </cell>
          <cell r="AH321">
            <v>2491</v>
          </cell>
          <cell r="AI321">
            <v>617</v>
          </cell>
          <cell r="AM321" t="str">
            <v>RW2</v>
          </cell>
        </row>
        <row r="322">
          <cell r="G322">
            <v>50</v>
          </cell>
          <cell r="J322">
            <v>4277.5</v>
          </cell>
          <cell r="K322" t="str">
            <v>AnMC</v>
          </cell>
          <cell r="S322">
            <v>50.909999999999854</v>
          </cell>
        </row>
        <row r="323">
          <cell r="A323" t="str">
            <v>Start zone between walls</v>
          </cell>
          <cell r="B323" t="str">
            <v>4-1.08</v>
          </cell>
          <cell r="C323">
            <v>4320</v>
          </cell>
          <cell r="F323">
            <v>0</v>
          </cell>
          <cell r="H323" t="str">
            <v>A/S-Diag</v>
          </cell>
          <cell r="I323" t="str">
            <v>CP+AnMC</v>
          </cell>
          <cell r="J323">
            <v>4312.5</v>
          </cell>
          <cell r="K323" t="str">
            <v>AnMC</v>
          </cell>
          <cell r="L323" t="str">
            <v>HEB-260 (CP)</v>
          </cell>
          <cell r="M323" t="str">
            <v>C4R</v>
          </cell>
          <cell r="N323" t="str">
            <v>EMT-2</v>
          </cell>
          <cell r="Q323">
            <v>0</v>
          </cell>
          <cell r="R323">
            <v>0</v>
          </cell>
          <cell r="T323">
            <v>30</v>
          </cell>
          <cell r="W323">
            <v>1.4</v>
          </cell>
          <cell r="AC323" t="str">
            <v>PH 1150</v>
          </cell>
          <cell r="AF323">
            <v>6000</v>
          </cell>
          <cell r="AG323">
            <v>4323.97</v>
          </cell>
          <cell r="AH323">
            <v>2689</v>
          </cell>
          <cell r="AI323">
            <v>708</v>
          </cell>
          <cell r="AM323" t="str">
            <v>RW2</v>
          </cell>
        </row>
        <row r="324">
          <cell r="G324">
            <v>49</v>
          </cell>
          <cell r="I324">
            <v>292.5</v>
          </cell>
          <cell r="S324">
            <v>49.039999999999964</v>
          </cell>
        </row>
        <row r="325">
          <cell r="B325" t="str">
            <v>4-1.09</v>
          </cell>
          <cell r="C325">
            <v>4369</v>
          </cell>
          <cell r="F325">
            <v>0</v>
          </cell>
          <cell r="H325" t="str">
            <v>S/A</v>
          </cell>
          <cell r="L325" t="str">
            <v>2HEB-240</v>
          </cell>
          <cell r="M325" t="str">
            <v>C2H-240</v>
          </cell>
          <cell r="N325" t="str">
            <v>EMT-T</v>
          </cell>
          <cell r="O325" t="str">
            <v>EMT-E</v>
          </cell>
          <cell r="Q325">
            <v>0</v>
          </cell>
          <cell r="R325" t="str">
            <v>inf</v>
          </cell>
          <cell r="T325">
            <v>-25</v>
          </cell>
          <cell r="U325">
            <v>-10</v>
          </cell>
          <cell r="W325">
            <v>2.2999999999999998</v>
          </cell>
          <cell r="X325">
            <v>1.4</v>
          </cell>
          <cell r="Z325">
            <v>0.45</v>
          </cell>
          <cell r="AD325" t="str">
            <v>PH 1150</v>
          </cell>
          <cell r="AF325">
            <v>6000</v>
          </cell>
          <cell r="AG325">
            <v>4373.01</v>
          </cell>
          <cell r="AH325">
            <v>2738</v>
          </cell>
          <cell r="AI325">
            <v>691</v>
          </cell>
          <cell r="AM325" t="str">
            <v>RW2</v>
          </cell>
        </row>
        <row r="326">
          <cell r="G326">
            <v>52</v>
          </cell>
          <cell r="S326">
            <v>51.829999999999927</v>
          </cell>
        </row>
        <row r="327">
          <cell r="B327" t="str">
            <v>4-1.10</v>
          </cell>
          <cell r="C327">
            <v>4421</v>
          </cell>
          <cell r="F327">
            <v>0</v>
          </cell>
          <cell r="H327" t="str">
            <v>P50</v>
          </cell>
          <cell r="L327" t="str">
            <v>2HEB-240</v>
          </cell>
          <cell r="M327" t="str">
            <v>C2H-240</v>
          </cell>
          <cell r="N327" t="str">
            <v>EMT-1</v>
          </cell>
          <cell r="O327" t="str">
            <v>EMT-2</v>
          </cell>
          <cell r="Q327">
            <v>0</v>
          </cell>
          <cell r="R327" t="str">
            <v>inf</v>
          </cell>
          <cell r="T327">
            <v>15</v>
          </cell>
          <cell r="U327">
            <v>30</v>
          </cell>
          <cell r="W327">
            <v>2.2999999999999998</v>
          </cell>
          <cell r="X327">
            <v>1.4</v>
          </cell>
          <cell r="AC327" t="str">
            <v>BTC 1651</v>
          </cell>
          <cell r="AD327" t="str">
            <v>PH-C 1150</v>
          </cell>
          <cell r="AF327">
            <v>6000</v>
          </cell>
          <cell r="AG327">
            <v>4424.84</v>
          </cell>
          <cell r="AH327">
            <v>2598</v>
          </cell>
          <cell r="AI327">
            <v>690</v>
          </cell>
          <cell r="AJ327" t="str">
            <v xml:space="preserve">SECT-I </v>
          </cell>
          <cell r="AM327" t="str">
            <v>RW2</v>
          </cell>
        </row>
        <row r="328">
          <cell r="A328" t="str">
            <v>Bretelle</v>
          </cell>
          <cell r="G328">
            <v>49.5</v>
          </cell>
          <cell r="S328">
            <v>49.619999999999891</v>
          </cell>
        </row>
        <row r="329">
          <cell r="B329" t="str">
            <v>4-1.11</v>
          </cell>
          <cell r="C329">
            <v>4470.5</v>
          </cell>
          <cell r="F329">
            <v>0</v>
          </cell>
          <cell r="H329" t="str">
            <v>P60</v>
          </cell>
          <cell r="L329" t="str">
            <v>2HEB-240</v>
          </cell>
          <cell r="M329" t="str">
            <v>C2H-240</v>
          </cell>
          <cell r="N329" t="str">
            <v>EMT-2</v>
          </cell>
          <cell r="O329" t="str">
            <v>EMT-1</v>
          </cell>
          <cell r="Q329">
            <v>0</v>
          </cell>
          <cell r="R329">
            <v>0</v>
          </cell>
          <cell r="T329">
            <v>30</v>
          </cell>
          <cell r="U329">
            <v>15</v>
          </cell>
          <cell r="W329">
            <v>1.2</v>
          </cell>
          <cell r="X329">
            <v>1.6</v>
          </cell>
          <cell r="AC329" t="str">
            <v>PH 1150</v>
          </cell>
          <cell r="AD329" t="str">
            <v>BTC 1651</v>
          </cell>
          <cell r="AF329">
            <v>6000</v>
          </cell>
          <cell r="AG329">
            <v>4474.46</v>
          </cell>
          <cell r="AH329">
            <v>2696</v>
          </cell>
          <cell r="AI329">
            <v>682</v>
          </cell>
          <cell r="AJ329" t="str">
            <v>SECT-I</v>
          </cell>
          <cell r="AM329" t="str">
            <v>RW2</v>
          </cell>
        </row>
        <row r="330">
          <cell r="A330" t="str">
            <v xml:space="preserve">Overcrossing </v>
          </cell>
          <cell r="G330">
            <v>40.5</v>
          </cell>
          <cell r="S330">
            <v>40.019999999999527</v>
          </cell>
        </row>
        <row r="331">
          <cell r="B331" t="str">
            <v>4-1.12</v>
          </cell>
          <cell r="C331">
            <v>4512</v>
          </cell>
          <cell r="F331">
            <v>0</v>
          </cell>
          <cell r="H331" t="str">
            <v>S/A</v>
          </cell>
          <cell r="L331" t="str">
            <v>2HEB-260L</v>
          </cell>
          <cell r="M331" t="str">
            <v>C2H-260LR</v>
          </cell>
          <cell r="N331" t="str">
            <v>EMT-E</v>
          </cell>
          <cell r="O331" t="str">
            <v>EMT-T</v>
          </cell>
          <cell r="Q331">
            <v>0</v>
          </cell>
          <cell r="R331" t="str">
            <v>inf</v>
          </cell>
          <cell r="T331">
            <v>0</v>
          </cell>
          <cell r="U331">
            <v>-15</v>
          </cell>
          <cell r="W331">
            <v>1.2</v>
          </cell>
          <cell r="X331">
            <v>2.1</v>
          </cell>
          <cell r="AA331">
            <v>0.45</v>
          </cell>
          <cell r="AC331" t="str">
            <v>PH 1150</v>
          </cell>
          <cell r="AF331">
            <v>6000</v>
          </cell>
          <cell r="AG331">
            <v>4514.4799999999996</v>
          </cell>
          <cell r="AH331">
            <v>2198</v>
          </cell>
          <cell r="AI331">
            <v>657</v>
          </cell>
          <cell r="AM331" t="str">
            <v>RW2</v>
          </cell>
        </row>
        <row r="332">
          <cell r="G332">
            <v>51.5</v>
          </cell>
          <cell r="J332">
            <v>4556</v>
          </cell>
          <cell r="K332" t="str">
            <v>AnMC</v>
          </cell>
          <cell r="S332">
            <v>50.940000000000509</v>
          </cell>
        </row>
        <row r="333">
          <cell r="B333" t="str">
            <v>4-1.13</v>
          </cell>
          <cell r="C333">
            <v>4563.5</v>
          </cell>
          <cell r="F333">
            <v>0</v>
          </cell>
          <cell r="H333" t="str">
            <v>S/A A/S</v>
          </cell>
          <cell r="I333" t="str">
            <v>FP+AnMC</v>
          </cell>
          <cell r="L333" t="str">
            <v>HEB-280 (CP)</v>
          </cell>
          <cell r="M333" t="str">
            <v>C5</v>
          </cell>
          <cell r="N333" t="str">
            <v>EMT-1</v>
          </cell>
          <cell r="O333" t="str">
            <v>EMT-T</v>
          </cell>
          <cell r="Q333">
            <v>0</v>
          </cell>
          <cell r="R333" t="str">
            <v>inf</v>
          </cell>
          <cell r="T333">
            <v>30</v>
          </cell>
          <cell r="U333">
            <v>-15</v>
          </cell>
          <cell r="W333">
            <v>1.4</v>
          </cell>
          <cell r="X333">
            <v>2.2999999999999998</v>
          </cell>
          <cell r="AA333">
            <v>0.45</v>
          </cell>
          <cell r="AC333" t="str">
            <v>PH 1150</v>
          </cell>
          <cell r="AF333">
            <v>6000</v>
          </cell>
          <cell r="AG333">
            <v>4565.42</v>
          </cell>
          <cell r="AH333">
            <v>2203</v>
          </cell>
          <cell r="AI333">
            <v>658</v>
          </cell>
          <cell r="AM333" t="str">
            <v>RW2</v>
          </cell>
        </row>
        <row r="334">
          <cell r="G334">
            <v>50</v>
          </cell>
          <cell r="I334">
            <v>614.5</v>
          </cell>
          <cell r="S334">
            <v>50.989999999999782</v>
          </cell>
        </row>
        <row r="335">
          <cell r="B335" t="str">
            <v>4-1.14</v>
          </cell>
          <cell r="C335">
            <v>4613.5</v>
          </cell>
          <cell r="F335">
            <v>-3111.1111111111113</v>
          </cell>
          <cell r="H335" t="str">
            <v>S/A A/S-Diag</v>
          </cell>
          <cell r="I335" t="str">
            <v>FP+AnMC</v>
          </cell>
          <cell r="L335" t="str">
            <v>HEB-280 (CP)</v>
          </cell>
          <cell r="M335" t="str">
            <v>C5</v>
          </cell>
          <cell r="N335" t="str">
            <v>EMT-T</v>
          </cell>
          <cell r="O335" t="str">
            <v>EMT-2</v>
          </cell>
          <cell r="Q335">
            <v>29</v>
          </cell>
          <cell r="R335">
            <v>-2636.02</v>
          </cell>
          <cell r="T335">
            <v>15</v>
          </cell>
          <cell r="U335">
            <v>-30</v>
          </cell>
          <cell r="W335">
            <v>1.4</v>
          </cell>
          <cell r="X335">
            <v>2.2999999999999998</v>
          </cell>
          <cell r="Z335">
            <v>0.45</v>
          </cell>
          <cell r="AD335" t="str">
            <v>PH-Q 1650</v>
          </cell>
          <cell r="AF335">
            <v>6000</v>
          </cell>
          <cell r="AG335">
            <v>4616.41</v>
          </cell>
          <cell r="AH335">
            <v>2147</v>
          </cell>
          <cell r="AI335">
            <v>600</v>
          </cell>
          <cell r="AM335" t="str">
            <v>RW2</v>
          </cell>
        </row>
        <row r="336">
          <cell r="G336">
            <v>55</v>
          </cell>
          <cell r="J336">
            <v>4621</v>
          </cell>
          <cell r="K336" t="str">
            <v>AnMC</v>
          </cell>
          <cell r="S336">
            <v>53.680000000000291</v>
          </cell>
        </row>
        <row r="337">
          <cell r="A337" t="str">
            <v>BEN-03</v>
          </cell>
          <cell r="B337" t="str">
            <v>4-1.15</v>
          </cell>
          <cell r="C337">
            <v>4668.5</v>
          </cell>
          <cell r="F337">
            <v>-1076.9230769230769</v>
          </cell>
          <cell r="H337" t="str">
            <v>S/A</v>
          </cell>
          <cell r="I337" t="str">
            <v>IO</v>
          </cell>
          <cell r="L337" t="str">
            <v>2HEB-240</v>
          </cell>
          <cell r="M337" t="str">
            <v>C2H-240</v>
          </cell>
          <cell r="N337" t="str">
            <v>EMT-2</v>
          </cell>
          <cell r="O337" t="str">
            <v>EMT-T</v>
          </cell>
          <cell r="Q337">
            <v>79</v>
          </cell>
          <cell r="R337">
            <v>2636.02</v>
          </cell>
          <cell r="T337">
            <v>15</v>
          </cell>
          <cell r="U337">
            <v>-30</v>
          </cell>
          <cell r="W337">
            <v>1.4</v>
          </cell>
          <cell r="X337">
            <v>2.2999999999999998</v>
          </cell>
          <cell r="AA337">
            <v>0.45</v>
          </cell>
          <cell r="AC337" t="str">
            <v>PH 1150</v>
          </cell>
          <cell r="AF337">
            <v>6000</v>
          </cell>
          <cell r="AG337">
            <v>4670.09</v>
          </cell>
          <cell r="AH337">
            <v>2183</v>
          </cell>
          <cell r="AI337">
            <v>671</v>
          </cell>
          <cell r="AJ337" t="str">
            <v>Disc/IO</v>
          </cell>
          <cell r="AM337" t="str">
            <v>RW2</v>
          </cell>
        </row>
        <row r="338">
          <cell r="G338">
            <v>51</v>
          </cell>
          <cell r="S338">
            <v>51.059999999999491</v>
          </cell>
        </row>
        <row r="339">
          <cell r="B339" t="str">
            <v>4-1.16</v>
          </cell>
          <cell r="C339">
            <v>4721.5</v>
          </cell>
          <cell r="F339">
            <v>-656.25</v>
          </cell>
          <cell r="H339" t="str">
            <v>A/S</v>
          </cell>
          <cell r="I339" t="str">
            <v>FP+AnMC</v>
          </cell>
          <cell r="L339" t="str">
            <v>HEB-280 (CP)</v>
          </cell>
          <cell r="M339" t="str">
            <v>C5</v>
          </cell>
          <cell r="N339" t="str">
            <v>EMT-2</v>
          </cell>
          <cell r="Q339">
            <v>131</v>
          </cell>
          <cell r="R339">
            <v>-888.64</v>
          </cell>
          <cell r="T339">
            <v>35</v>
          </cell>
          <cell r="W339">
            <v>1.4</v>
          </cell>
          <cell r="AC339" t="str">
            <v>PHC-1150</v>
          </cell>
          <cell r="AF339">
            <v>6000</v>
          </cell>
          <cell r="AG339">
            <v>4721.1499999999996</v>
          </cell>
          <cell r="AH339">
            <v>2126</v>
          </cell>
          <cell r="AI339">
            <v>626</v>
          </cell>
          <cell r="AM339" t="str">
            <v>RW2</v>
          </cell>
        </row>
        <row r="340">
          <cell r="A340" t="str">
            <v xml:space="preserve">Overcrossing </v>
          </cell>
          <cell r="G340">
            <v>39.5</v>
          </cell>
          <cell r="J340">
            <v>4727.5</v>
          </cell>
          <cell r="K340" t="str">
            <v>AnMC</v>
          </cell>
          <cell r="S340">
            <v>41.3700000000008</v>
          </cell>
        </row>
        <row r="341">
          <cell r="B341" t="str">
            <v>4-1.17</v>
          </cell>
          <cell r="C341">
            <v>4761</v>
          </cell>
          <cell r="F341">
            <v>-600</v>
          </cell>
          <cell r="L341" t="str">
            <v>HEB-260</v>
          </cell>
          <cell r="M341" t="str">
            <v>C4R</v>
          </cell>
          <cell r="N341" t="str">
            <v>EMT-2</v>
          </cell>
          <cell r="Q341">
            <v>141</v>
          </cell>
          <cell r="R341">
            <v>-600</v>
          </cell>
          <cell r="T341">
            <v>30</v>
          </cell>
          <cell r="W341">
            <v>1.4</v>
          </cell>
          <cell r="AC341" t="str">
            <v>PHC-1150</v>
          </cell>
          <cell r="AF341">
            <v>6000</v>
          </cell>
          <cell r="AG341">
            <v>4762.5200000000004</v>
          </cell>
          <cell r="AH341">
            <v>2219</v>
          </cell>
          <cell r="AI341">
            <v>603</v>
          </cell>
          <cell r="AM341" t="str">
            <v>RW2</v>
          </cell>
        </row>
        <row r="342">
          <cell r="G342">
            <v>30</v>
          </cell>
          <cell r="S342">
            <v>30.019999999999527</v>
          </cell>
        </row>
        <row r="343">
          <cell r="B343" t="str">
            <v>4-1.18</v>
          </cell>
          <cell r="C343">
            <v>4791</v>
          </cell>
          <cell r="F343">
            <v>-600</v>
          </cell>
          <cell r="L343" t="str">
            <v>HEB-260</v>
          </cell>
          <cell r="M343" t="str">
            <v>C4R</v>
          </cell>
          <cell r="N343" t="str">
            <v>EMT-2</v>
          </cell>
          <cell r="Q343">
            <v>148</v>
          </cell>
          <cell r="R343">
            <v>-600</v>
          </cell>
          <cell r="T343">
            <v>30</v>
          </cell>
          <cell r="W343">
            <v>1.4</v>
          </cell>
          <cell r="AC343" t="str">
            <v>PHC-1150</v>
          </cell>
          <cell r="AF343">
            <v>6000</v>
          </cell>
          <cell r="AG343">
            <v>4792.54</v>
          </cell>
          <cell r="AH343">
            <v>2280</v>
          </cell>
          <cell r="AI343">
            <v>633</v>
          </cell>
          <cell r="AM343" t="str">
            <v>RW2</v>
          </cell>
        </row>
        <row r="344">
          <cell r="G344">
            <v>40</v>
          </cell>
          <cell r="S344">
            <v>39.909999999999854</v>
          </cell>
        </row>
        <row r="345">
          <cell r="B345" t="str">
            <v>4-1.19</v>
          </cell>
          <cell r="C345">
            <v>4831</v>
          </cell>
          <cell r="F345">
            <v>-600</v>
          </cell>
          <cell r="L345" t="str">
            <v>HEB-260</v>
          </cell>
          <cell r="M345" t="str">
            <v>C4R</v>
          </cell>
          <cell r="N345" t="str">
            <v>EMT-2</v>
          </cell>
          <cell r="Q345">
            <v>142</v>
          </cell>
          <cell r="R345">
            <v>-600</v>
          </cell>
          <cell r="T345">
            <v>30</v>
          </cell>
          <cell r="W345">
            <v>1.4</v>
          </cell>
          <cell r="AC345" t="str">
            <v>PHC-1150</v>
          </cell>
          <cell r="AF345">
            <v>6000</v>
          </cell>
          <cell r="AG345">
            <v>4832.45</v>
          </cell>
          <cell r="AH345">
            <v>2170</v>
          </cell>
          <cell r="AI345">
            <v>609</v>
          </cell>
          <cell r="AM345" t="str">
            <v>RW2</v>
          </cell>
        </row>
        <row r="346">
          <cell r="G346">
            <v>40</v>
          </cell>
          <cell r="S346">
            <v>40.050000000000182</v>
          </cell>
        </row>
        <row r="347">
          <cell r="B347" t="str">
            <v>4-1.20</v>
          </cell>
          <cell r="C347">
            <v>4871</v>
          </cell>
          <cell r="F347">
            <v>-682.92682926829264</v>
          </cell>
          <cell r="L347" t="str">
            <v>HEB-260</v>
          </cell>
          <cell r="M347" t="str">
            <v>C4R</v>
          </cell>
          <cell r="N347" t="str">
            <v>EMT-2</v>
          </cell>
          <cell r="Q347">
            <v>123</v>
          </cell>
          <cell r="R347">
            <v>-633.04</v>
          </cell>
          <cell r="T347">
            <v>30</v>
          </cell>
          <cell r="W347">
            <v>1.4</v>
          </cell>
          <cell r="AC347" t="str">
            <v>PHC-1150</v>
          </cell>
          <cell r="AF347">
            <v>6000</v>
          </cell>
          <cell r="AG347">
            <v>4872.5</v>
          </cell>
          <cell r="AH347">
            <v>2164</v>
          </cell>
          <cell r="AI347">
            <v>609</v>
          </cell>
          <cell r="AM347" t="str">
            <v>RW2</v>
          </cell>
        </row>
        <row r="348">
          <cell r="G348">
            <v>41</v>
          </cell>
          <cell r="S348">
            <v>40.824999999999818</v>
          </cell>
        </row>
        <row r="349">
          <cell r="B349" t="str">
            <v>4-1.21</v>
          </cell>
          <cell r="C349">
            <v>4912</v>
          </cell>
          <cell r="F349">
            <v>-1024.3902439024391</v>
          </cell>
          <cell r="L349" t="str">
            <v>HEB-260</v>
          </cell>
          <cell r="M349" t="str">
            <v>C4R</v>
          </cell>
          <cell r="N349" t="str">
            <v>EMT-2</v>
          </cell>
          <cell r="Q349">
            <v>86</v>
          </cell>
          <cell r="R349">
            <v>-1309.46</v>
          </cell>
          <cell r="T349">
            <v>30</v>
          </cell>
          <cell r="W349">
            <v>1.4</v>
          </cell>
          <cell r="AC349" t="str">
            <v>PHQ-1150</v>
          </cell>
          <cell r="AF349">
            <v>6000</v>
          </cell>
          <cell r="AG349">
            <v>4913.3249999999998</v>
          </cell>
          <cell r="AH349">
            <v>2142</v>
          </cell>
          <cell r="AI349">
            <v>614</v>
          </cell>
          <cell r="AM349" t="str">
            <v>RW2</v>
          </cell>
        </row>
        <row r="350">
          <cell r="G350">
            <v>45</v>
          </cell>
          <cell r="S350">
            <v>45.100000000000364</v>
          </cell>
        </row>
        <row r="351">
          <cell r="B351" t="str">
            <v>4-1.22</v>
          </cell>
          <cell r="C351">
            <v>4957</v>
          </cell>
          <cell r="F351">
            <v>-2270.2702702702704</v>
          </cell>
          <cell r="L351" t="str">
            <v>HEB-260</v>
          </cell>
          <cell r="M351" t="str">
            <v>C4R</v>
          </cell>
          <cell r="N351" t="str">
            <v>EMT-2</v>
          </cell>
          <cell r="Q351">
            <v>33</v>
          </cell>
          <cell r="R351">
            <v>-3553.5</v>
          </cell>
          <cell r="T351">
            <v>30</v>
          </cell>
          <cell r="W351">
            <v>1.4</v>
          </cell>
          <cell r="AC351" t="str">
            <v>PHQ-1150</v>
          </cell>
          <cell r="AF351">
            <v>6000</v>
          </cell>
          <cell r="AG351">
            <v>4958.4250000000002</v>
          </cell>
          <cell r="AH351">
            <v>2222</v>
          </cell>
          <cell r="AI351">
            <v>567</v>
          </cell>
          <cell r="AM351" t="str">
            <v>RW2</v>
          </cell>
        </row>
        <row r="352">
          <cell r="A352" t="str">
            <v xml:space="preserve">Overcrossing </v>
          </cell>
          <cell r="G352">
            <v>60</v>
          </cell>
          <cell r="J352">
            <v>5009.5</v>
          </cell>
          <cell r="K352" t="str">
            <v>AnMC</v>
          </cell>
          <cell r="S352">
            <v>59.764999999999418</v>
          </cell>
        </row>
        <row r="353">
          <cell r="B353" t="str">
            <v>5-1.01</v>
          </cell>
          <cell r="C353">
            <v>5017</v>
          </cell>
          <cell r="F353">
            <v>0</v>
          </cell>
          <cell r="H353" t="str">
            <v>A/S</v>
          </cell>
          <cell r="I353" t="str">
            <v>CP/TX-P</v>
          </cell>
          <cell r="L353" t="str">
            <v>HEB-260 (CP)</v>
          </cell>
          <cell r="M353" t="str">
            <v>C4R</v>
          </cell>
          <cell r="N353" t="str">
            <v>EMT-1</v>
          </cell>
          <cell r="Q353">
            <v>0</v>
          </cell>
          <cell r="R353">
            <v>0</v>
          </cell>
          <cell r="T353">
            <v>-25</v>
          </cell>
          <cell r="W353">
            <v>1.4</v>
          </cell>
          <cell r="AC353" t="str">
            <v>PH-1150</v>
          </cell>
          <cell r="AF353">
            <v>6000</v>
          </cell>
          <cell r="AG353">
            <v>5018.1899999999996</v>
          </cell>
          <cell r="AH353">
            <v>2536</v>
          </cell>
          <cell r="AI353">
            <v>587</v>
          </cell>
          <cell r="AM353" t="str">
            <v>RW2</v>
          </cell>
        </row>
        <row r="354">
          <cell r="G354">
            <v>64</v>
          </cell>
          <cell r="S354">
            <v>63.300000000000182</v>
          </cell>
        </row>
        <row r="355">
          <cell r="A355" t="str">
            <v>BEN-BF01</v>
          </cell>
          <cell r="B355" t="str">
            <v>5-1.02</v>
          </cell>
          <cell r="C355">
            <v>5081</v>
          </cell>
          <cell r="F355">
            <v>0</v>
          </cell>
          <cell r="H355" t="str">
            <v>S/A</v>
          </cell>
          <cell r="L355" t="str">
            <v>HEB-260</v>
          </cell>
          <cell r="M355" t="str">
            <v>C4R</v>
          </cell>
          <cell r="N355" t="str">
            <v>EMT-T</v>
          </cell>
          <cell r="O355" t="str">
            <v>EMT-2</v>
          </cell>
          <cell r="Q355">
            <v>0</v>
          </cell>
          <cell r="R355">
            <v>0</v>
          </cell>
          <cell r="T355">
            <v>55</v>
          </cell>
          <cell r="U355">
            <v>10</v>
          </cell>
          <cell r="W355">
            <v>1.4</v>
          </cell>
          <cell r="X355">
            <v>2.2999999999999998</v>
          </cell>
          <cell r="Z355">
            <v>0.5</v>
          </cell>
          <cell r="AD355" t="str">
            <v>PH-1150</v>
          </cell>
          <cell r="AF355">
            <v>6000</v>
          </cell>
          <cell r="AG355">
            <v>5081.49</v>
          </cell>
          <cell r="AH355">
            <v>2539</v>
          </cell>
          <cell r="AI355">
            <v>570</v>
          </cell>
          <cell r="AJ355" t="str">
            <v>Disc</v>
          </cell>
          <cell r="AM355" t="str">
            <v>RW2</v>
          </cell>
        </row>
        <row r="356">
          <cell r="G356">
            <v>56</v>
          </cell>
          <cell r="S356">
            <v>56.840000000000146</v>
          </cell>
        </row>
        <row r="357">
          <cell r="A357" t="str">
            <v>BEN-05</v>
          </cell>
          <cell r="B357" t="str">
            <v>5-1.03</v>
          </cell>
          <cell r="C357">
            <v>5137</v>
          </cell>
          <cell r="F357">
            <v>0</v>
          </cell>
          <cell r="H357" t="str">
            <v>S/A</v>
          </cell>
          <cell r="I357" t="str">
            <v>IO</v>
          </cell>
          <cell r="L357" t="str">
            <v>HEB-260</v>
          </cell>
          <cell r="M357" t="str">
            <v>C4R</v>
          </cell>
          <cell r="N357" t="str">
            <v>EMT-1</v>
          </cell>
          <cell r="O357" t="str">
            <v>EMT-T</v>
          </cell>
          <cell r="Q357">
            <v>0</v>
          </cell>
          <cell r="R357">
            <v>0</v>
          </cell>
          <cell r="T357">
            <v>-10</v>
          </cell>
          <cell r="U357">
            <v>-55</v>
          </cell>
          <cell r="W357">
            <v>1.4</v>
          </cell>
          <cell r="X357">
            <v>2.2999999999999998</v>
          </cell>
          <cell r="AA357">
            <v>0.5</v>
          </cell>
          <cell r="AC357" t="str">
            <v>PH-1150</v>
          </cell>
          <cell r="AF357">
            <v>6000</v>
          </cell>
          <cell r="AG357">
            <v>5138.33</v>
          </cell>
          <cell r="AH357">
            <v>2538</v>
          </cell>
          <cell r="AI357">
            <v>550</v>
          </cell>
          <cell r="AJ357" t="str">
            <v>Disc/IO</v>
          </cell>
          <cell r="AM357" t="str">
            <v>RW2</v>
          </cell>
        </row>
        <row r="358">
          <cell r="G358">
            <v>43</v>
          </cell>
          <cell r="I358" t="str">
            <v>AnRW</v>
          </cell>
          <cell r="J358">
            <v>5144.5</v>
          </cell>
          <cell r="K358" t="str">
            <v>AnM</v>
          </cell>
          <cell r="S358">
            <v>43.920000000000073</v>
          </cell>
        </row>
        <row r="359">
          <cell r="B359" t="str">
            <v>5-1.04</v>
          </cell>
          <cell r="C359">
            <v>5180</v>
          </cell>
          <cell r="F359">
            <v>0</v>
          </cell>
          <cell r="H359" t="str">
            <v>A/S</v>
          </cell>
          <cell r="I359" t="str">
            <v>CP+AnMC</v>
          </cell>
          <cell r="L359" t="str">
            <v>HEB-260 (CP)</v>
          </cell>
          <cell r="M359" t="str">
            <v>C4R</v>
          </cell>
          <cell r="N359" t="str">
            <v>EMT-2</v>
          </cell>
          <cell r="Q359">
            <v>0</v>
          </cell>
          <cell r="R359">
            <v>0</v>
          </cell>
          <cell r="T359">
            <v>25</v>
          </cell>
          <cell r="W359">
            <v>1.1000000000000001</v>
          </cell>
          <cell r="AC359" t="str">
            <v>PH-1150</v>
          </cell>
          <cell r="AF359">
            <v>6000</v>
          </cell>
          <cell r="AG359">
            <v>5182.25</v>
          </cell>
          <cell r="AH359">
            <v>2549</v>
          </cell>
          <cell r="AI359">
            <v>565</v>
          </cell>
          <cell r="AM359" t="str">
            <v>RW2</v>
          </cell>
        </row>
        <row r="360">
          <cell r="G360">
            <v>43</v>
          </cell>
          <cell r="J360">
            <v>5187.5</v>
          </cell>
          <cell r="K360" t="str">
            <v>AnMC</v>
          </cell>
          <cell r="S360">
            <v>43.510000000000218</v>
          </cell>
        </row>
        <row r="361">
          <cell r="B361" t="str">
            <v>5-1.05</v>
          </cell>
          <cell r="C361">
            <v>5223</v>
          </cell>
          <cell r="F361">
            <v>0</v>
          </cell>
          <cell r="L361" t="str">
            <v>HEB-240_s</v>
          </cell>
          <cell r="M361" t="str">
            <v>W3</v>
          </cell>
          <cell r="N361" t="str">
            <v>EMT-E</v>
          </cell>
          <cell r="Q361">
            <v>0</v>
          </cell>
          <cell r="R361">
            <v>0</v>
          </cell>
          <cell r="T361">
            <v>-35</v>
          </cell>
          <cell r="W361">
            <v>0.8</v>
          </cell>
          <cell r="AC361" t="str">
            <v>PH-Q 950</v>
          </cell>
          <cell r="AF361">
            <v>5000</v>
          </cell>
          <cell r="AG361">
            <v>5225.76</v>
          </cell>
          <cell r="AH361">
            <v>2226</v>
          </cell>
          <cell r="AI361">
            <v>-293</v>
          </cell>
          <cell r="AM361" t="str">
            <v>RW2</v>
          </cell>
        </row>
        <row r="362">
          <cell r="G362">
            <v>57</v>
          </cell>
          <cell r="S362">
            <v>56.739999999999782</v>
          </cell>
        </row>
        <row r="363">
          <cell r="B363" t="str">
            <v>5-1.06</v>
          </cell>
          <cell r="C363">
            <v>5280</v>
          </cell>
          <cell r="F363">
            <v>0</v>
          </cell>
          <cell r="L363" t="str">
            <v>HEB-240_s</v>
          </cell>
          <cell r="M363" t="str">
            <v>W3</v>
          </cell>
          <cell r="N363" t="str">
            <v>EMT-2</v>
          </cell>
          <cell r="Q363">
            <v>0</v>
          </cell>
          <cell r="R363">
            <v>0</v>
          </cell>
          <cell r="T363">
            <v>35</v>
          </cell>
          <cell r="W363">
            <v>0.8</v>
          </cell>
          <cell r="AC363" t="str">
            <v>PH-Q 950</v>
          </cell>
          <cell r="AF363">
            <v>5000</v>
          </cell>
          <cell r="AG363">
            <v>5282.5</v>
          </cell>
          <cell r="AH363">
            <v>2249</v>
          </cell>
          <cell r="AI363">
            <v>-260</v>
          </cell>
          <cell r="AM363" t="str">
            <v>RW2</v>
          </cell>
        </row>
        <row r="364">
          <cell r="A364" t="str">
            <v>Station NATBAG</v>
          </cell>
          <cell r="G364">
            <v>58</v>
          </cell>
          <cell r="S364">
            <v>59</v>
          </cell>
        </row>
        <row r="365">
          <cell r="B365" t="str">
            <v>5-1.07</v>
          </cell>
          <cell r="C365">
            <v>5338</v>
          </cell>
          <cell r="F365">
            <v>0</v>
          </cell>
          <cell r="L365" t="str">
            <v>HEB-240_s</v>
          </cell>
          <cell r="M365" t="str">
            <v>W3</v>
          </cell>
          <cell r="N365" t="str">
            <v>EMT-E</v>
          </cell>
          <cell r="Q365">
            <v>0</v>
          </cell>
          <cell r="R365">
            <v>0</v>
          </cell>
          <cell r="T365">
            <v>-35</v>
          </cell>
          <cell r="W365">
            <v>0.8</v>
          </cell>
          <cell r="AC365" t="str">
            <v>PH-Q 950</v>
          </cell>
          <cell r="AF365">
            <v>5000</v>
          </cell>
          <cell r="AG365">
            <v>5341.5</v>
          </cell>
          <cell r="AH365">
            <v>2204</v>
          </cell>
          <cell r="AI365">
            <v>-276</v>
          </cell>
          <cell r="AM365" t="str">
            <v>RW2</v>
          </cell>
        </row>
        <row r="366">
          <cell r="G366">
            <v>58</v>
          </cell>
          <cell r="S366">
            <v>58.029999999999745</v>
          </cell>
        </row>
        <row r="367">
          <cell r="B367" t="str">
            <v>5-1.08</v>
          </cell>
          <cell r="C367">
            <v>5396</v>
          </cell>
          <cell r="F367">
            <v>0</v>
          </cell>
          <cell r="L367" t="str">
            <v>HEB-240_s</v>
          </cell>
          <cell r="M367" t="str">
            <v>W3</v>
          </cell>
          <cell r="N367" t="str">
            <v>EMT-2</v>
          </cell>
          <cell r="Q367">
            <v>0</v>
          </cell>
          <cell r="R367">
            <v>0</v>
          </cell>
          <cell r="T367">
            <v>35</v>
          </cell>
          <cell r="W367">
            <v>0.8</v>
          </cell>
          <cell r="AC367" t="str">
            <v>PH-Q 950</v>
          </cell>
          <cell r="AF367">
            <v>5000</v>
          </cell>
          <cell r="AG367">
            <v>5399.53</v>
          </cell>
          <cell r="AH367">
            <v>2210</v>
          </cell>
          <cell r="AI367">
            <v>-302</v>
          </cell>
          <cell r="AM367" t="str">
            <v>RW2</v>
          </cell>
        </row>
        <row r="368">
          <cell r="G368">
            <v>48</v>
          </cell>
          <cell r="S368">
            <v>47.850000000000364</v>
          </cell>
        </row>
        <row r="369">
          <cell r="B369" t="str">
            <v>5-1.09</v>
          </cell>
          <cell r="C369">
            <v>5444</v>
          </cell>
          <cell r="F369">
            <v>0</v>
          </cell>
          <cell r="L369" t="str">
            <v>HEB-240_s</v>
          </cell>
          <cell r="M369" t="str">
            <v>W3</v>
          </cell>
          <cell r="N369" t="str">
            <v>EMT-E</v>
          </cell>
          <cell r="Q369">
            <v>0</v>
          </cell>
          <cell r="R369">
            <v>0</v>
          </cell>
          <cell r="T369">
            <v>-35</v>
          </cell>
          <cell r="W369">
            <v>1.1000000000000001</v>
          </cell>
          <cell r="AC369" t="str">
            <v>PH-Q 1150</v>
          </cell>
          <cell r="AF369">
            <v>5000</v>
          </cell>
          <cell r="AG369">
            <v>5447.38</v>
          </cell>
          <cell r="AH369">
            <v>2200</v>
          </cell>
          <cell r="AI369">
            <v>-274</v>
          </cell>
          <cell r="AM369" t="str">
            <v>RW2</v>
          </cell>
        </row>
        <row r="370">
          <cell r="G370">
            <v>48</v>
          </cell>
          <cell r="S370">
            <v>48.099999999999454</v>
          </cell>
        </row>
        <row r="371">
          <cell r="B371" t="str">
            <v>5-1.10</v>
          </cell>
          <cell r="C371">
            <v>5492</v>
          </cell>
          <cell r="F371">
            <v>0</v>
          </cell>
          <cell r="I371" t="str">
            <v>AnRW</v>
          </cell>
          <cell r="J371">
            <v>5530.5</v>
          </cell>
          <cell r="K371" t="str">
            <v>AnM</v>
          </cell>
          <cell r="L371" t="str">
            <v>HEB-240</v>
          </cell>
          <cell r="M371" t="str">
            <v>C3R</v>
          </cell>
          <cell r="N371" t="str">
            <v>EMT-2</v>
          </cell>
          <cell r="Q371">
            <v>0</v>
          </cell>
          <cell r="R371">
            <v>0</v>
          </cell>
          <cell r="T371">
            <v>35</v>
          </cell>
          <cell r="W371">
            <v>1.2</v>
          </cell>
          <cell r="AC371" t="str">
            <v>PH-Q 950</v>
          </cell>
          <cell r="AF371">
            <v>5150</v>
          </cell>
          <cell r="AG371">
            <v>5495.48</v>
          </cell>
          <cell r="AH371">
            <v>2210</v>
          </cell>
          <cell r="AI371">
            <v>-150</v>
          </cell>
          <cell r="AM371" t="str">
            <v>RW2</v>
          </cell>
        </row>
        <row r="372">
          <cell r="G372">
            <v>48</v>
          </cell>
          <cell r="I372" t="str">
            <v>AnRW</v>
          </cell>
          <cell r="J372">
            <v>5532.5</v>
          </cell>
          <cell r="K372" t="str">
            <v>AnM</v>
          </cell>
          <cell r="S372">
            <v>47.040000000000873</v>
          </cell>
        </row>
        <row r="373">
          <cell r="B373" t="str">
            <v>5-1.11</v>
          </cell>
          <cell r="C373">
            <v>5540</v>
          </cell>
          <cell r="F373">
            <v>3000</v>
          </cell>
          <cell r="H373" t="str">
            <v>AnMP</v>
          </cell>
          <cell r="L373" t="str">
            <v>HEB-260</v>
          </cell>
          <cell r="M373" t="str">
            <v>C4R</v>
          </cell>
          <cell r="N373" t="str">
            <v>EMT-1</v>
          </cell>
          <cell r="Q373">
            <v>5</v>
          </cell>
          <cell r="R373">
            <v>3000</v>
          </cell>
          <cell r="T373">
            <v>-20</v>
          </cell>
          <cell r="W373">
            <v>1.4</v>
          </cell>
          <cell r="AC373" t="str">
            <v>PH-Q 1150</v>
          </cell>
          <cell r="AF373">
            <v>6000</v>
          </cell>
          <cell r="AG373">
            <v>5542.52</v>
          </cell>
          <cell r="AH373">
            <v>2708</v>
          </cell>
          <cell r="AI373">
            <v>582</v>
          </cell>
          <cell r="AM373" t="str">
            <v>RW2</v>
          </cell>
        </row>
        <row r="374">
          <cell r="G374">
            <v>48</v>
          </cell>
          <cell r="I374">
            <v>571</v>
          </cell>
          <cell r="S374">
            <v>48.1299999999992</v>
          </cell>
        </row>
        <row r="375">
          <cell r="A375" t="str">
            <v>BEN-BF03</v>
          </cell>
          <cell r="B375" t="str">
            <v>5-1.12</v>
          </cell>
          <cell r="C375">
            <v>5588</v>
          </cell>
          <cell r="F375">
            <v>3000</v>
          </cell>
          <cell r="H375" t="str">
            <v>MP</v>
          </cell>
          <cell r="L375" t="str">
            <v>HEB-260</v>
          </cell>
          <cell r="M375" t="str">
            <v>C4R</v>
          </cell>
          <cell r="N375" t="str">
            <v>EMT-1</v>
          </cell>
          <cell r="Q375">
            <v>3</v>
          </cell>
          <cell r="R375">
            <v>3000</v>
          </cell>
          <cell r="T375">
            <v>-20</v>
          </cell>
          <cell r="W375">
            <v>1.4</v>
          </cell>
          <cell r="AC375" t="str">
            <v>PH-1150</v>
          </cell>
          <cell r="AF375">
            <v>6000</v>
          </cell>
          <cell r="AG375">
            <v>5590.65</v>
          </cell>
          <cell r="AH375">
            <v>2598</v>
          </cell>
          <cell r="AI375">
            <v>563</v>
          </cell>
          <cell r="AM375" t="str">
            <v>RW2</v>
          </cell>
        </row>
        <row r="376">
          <cell r="G376">
            <v>40</v>
          </cell>
          <cell r="I376">
            <v>561</v>
          </cell>
          <cell r="S376">
            <v>39.940000000000509</v>
          </cell>
        </row>
        <row r="377">
          <cell r="B377" t="str">
            <v>5-1.13</v>
          </cell>
          <cell r="C377">
            <v>5631</v>
          </cell>
          <cell r="F377">
            <v>3000</v>
          </cell>
          <cell r="H377" t="str">
            <v>AnMP</v>
          </cell>
          <cell r="L377" t="str">
            <v>HEB-260</v>
          </cell>
          <cell r="M377" t="str">
            <v>C4R</v>
          </cell>
          <cell r="N377" t="str">
            <v>EMT-1</v>
          </cell>
          <cell r="Q377">
            <v>0</v>
          </cell>
          <cell r="R377">
            <v>3000</v>
          </cell>
          <cell r="T377">
            <v>-20</v>
          </cell>
          <cell r="W377">
            <v>1.4</v>
          </cell>
          <cell r="AC377" t="str">
            <v>PH-Q 1150</v>
          </cell>
          <cell r="AF377">
            <v>6000</v>
          </cell>
          <cell r="AG377">
            <v>5630.59</v>
          </cell>
          <cell r="AH377">
            <v>2678</v>
          </cell>
          <cell r="AI377">
            <v>638</v>
          </cell>
          <cell r="AM377" t="str">
            <v>RW2</v>
          </cell>
        </row>
        <row r="378">
          <cell r="A378" t="str">
            <v xml:space="preserve">Overcrossing </v>
          </cell>
          <cell r="G378">
            <v>50</v>
          </cell>
          <cell r="J378">
            <v>5638.5</v>
          </cell>
          <cell r="K378" t="str">
            <v>AnM</v>
          </cell>
          <cell r="S378">
            <v>50.109999999999673</v>
          </cell>
        </row>
        <row r="379">
          <cell r="B379" t="str">
            <v>5-1.14</v>
          </cell>
          <cell r="C379">
            <v>5681</v>
          </cell>
          <cell r="F379">
            <v>0</v>
          </cell>
          <cell r="L379" t="str">
            <v>HEB-240</v>
          </cell>
          <cell r="M379" t="str">
            <v>C3R</v>
          </cell>
          <cell r="N379" t="str">
            <v>EMT-2</v>
          </cell>
          <cell r="Q379">
            <v>0</v>
          </cell>
          <cell r="R379">
            <v>0</v>
          </cell>
          <cell r="T379">
            <v>35</v>
          </cell>
          <cell r="W379">
            <v>1.4</v>
          </cell>
          <cell r="AC379" t="str">
            <v>PH-1150</v>
          </cell>
          <cell r="AF379">
            <v>6000</v>
          </cell>
          <cell r="AG379">
            <v>5680.7</v>
          </cell>
          <cell r="AH379">
            <v>2698</v>
          </cell>
          <cell r="AI379">
            <v>597</v>
          </cell>
          <cell r="AM379" t="str">
            <v>RW2</v>
          </cell>
        </row>
        <row r="380">
          <cell r="G380">
            <v>60</v>
          </cell>
          <cell r="S380">
            <v>59.489999999999782</v>
          </cell>
        </row>
        <row r="381">
          <cell r="B381" t="str">
            <v>5-1.15</v>
          </cell>
          <cell r="C381">
            <v>5741</v>
          </cell>
          <cell r="F381">
            <v>-7500</v>
          </cell>
          <cell r="L381" t="str">
            <v>HEB-260</v>
          </cell>
          <cell r="M381" t="str">
            <v>C4R</v>
          </cell>
          <cell r="N381" t="str">
            <v>EMT-1</v>
          </cell>
          <cell r="Q381">
            <v>0</v>
          </cell>
          <cell r="R381">
            <v>0</v>
          </cell>
          <cell r="T381">
            <v>-20</v>
          </cell>
          <cell r="W381">
            <v>1.4</v>
          </cell>
          <cell r="AC381" t="str">
            <v>PH-1150</v>
          </cell>
          <cell r="AF381">
            <v>6000</v>
          </cell>
          <cell r="AG381">
            <v>5740.19</v>
          </cell>
          <cell r="AH381">
            <v>2718</v>
          </cell>
          <cell r="AI381">
            <v>557</v>
          </cell>
          <cell r="AM381" t="str">
            <v>RW2</v>
          </cell>
        </row>
        <row r="382">
          <cell r="G382">
            <v>50</v>
          </cell>
          <cell r="S382">
            <v>49.580000000000837</v>
          </cell>
        </row>
        <row r="383">
          <cell r="B383" t="str">
            <v>5-1.16</v>
          </cell>
          <cell r="C383">
            <v>5791</v>
          </cell>
          <cell r="F383">
            <v>-1000</v>
          </cell>
          <cell r="L383" t="str">
            <v>HEB-260</v>
          </cell>
          <cell r="M383" t="str">
            <v>C4R</v>
          </cell>
          <cell r="N383" t="str">
            <v>EMT-2</v>
          </cell>
          <cell r="Q383">
            <v>60</v>
          </cell>
          <cell r="R383">
            <v>-1000</v>
          </cell>
          <cell r="T383">
            <v>30</v>
          </cell>
          <cell r="W383">
            <v>1.4</v>
          </cell>
          <cell r="AC383" t="str">
            <v>PH-C 1150</v>
          </cell>
          <cell r="AF383">
            <v>6000</v>
          </cell>
          <cell r="AG383">
            <v>5789.77</v>
          </cell>
          <cell r="AH383">
            <v>3593</v>
          </cell>
          <cell r="AI383">
            <v>550</v>
          </cell>
          <cell r="AM383" t="str">
            <v>RW2</v>
          </cell>
        </row>
        <row r="384">
          <cell r="G384">
            <v>50</v>
          </cell>
          <cell r="J384">
            <v>5833.5</v>
          </cell>
          <cell r="K384" t="str">
            <v>AnMC</v>
          </cell>
          <cell r="S384">
            <v>50.149999999999636</v>
          </cell>
        </row>
        <row r="385">
          <cell r="B385" t="str">
            <v>5-1.17</v>
          </cell>
          <cell r="C385">
            <v>5841</v>
          </cell>
          <cell r="F385">
            <v>-1000</v>
          </cell>
          <cell r="H385" t="str">
            <v>A/S-Diag</v>
          </cell>
          <cell r="I385" t="str">
            <v>CP+AnMC</v>
          </cell>
          <cell r="L385" t="str">
            <v>HEB-280 (CP)</v>
          </cell>
          <cell r="M385" t="str">
            <v>C5</v>
          </cell>
          <cell r="N385" t="str">
            <v>EMT-2</v>
          </cell>
          <cell r="Q385">
            <v>60</v>
          </cell>
          <cell r="R385">
            <v>-1000</v>
          </cell>
          <cell r="T385">
            <v>30</v>
          </cell>
          <cell r="W385">
            <v>1.2</v>
          </cell>
          <cell r="AC385" t="str">
            <v>PH-C 1150</v>
          </cell>
          <cell r="AF385">
            <v>6000</v>
          </cell>
          <cell r="AG385">
            <v>5839.92</v>
          </cell>
          <cell r="AH385">
            <v>3623</v>
          </cell>
          <cell r="AI385">
            <v>510</v>
          </cell>
          <cell r="AM385" t="str">
            <v>RW2</v>
          </cell>
        </row>
        <row r="386">
          <cell r="G386">
            <v>50</v>
          </cell>
          <cell r="S386">
            <v>49.699999999999818</v>
          </cell>
        </row>
        <row r="387">
          <cell r="B387" t="str">
            <v>5-1.18</v>
          </cell>
          <cell r="C387">
            <v>5891</v>
          </cell>
          <cell r="F387">
            <v>-5000</v>
          </cell>
          <cell r="H387" t="str">
            <v>S/A</v>
          </cell>
          <cell r="L387" t="str">
            <v>HEB-260</v>
          </cell>
          <cell r="M387" t="str">
            <v>C4R</v>
          </cell>
          <cell r="N387" t="str">
            <v>EMT-T</v>
          </cell>
          <cell r="O387" t="str">
            <v>EMT-2</v>
          </cell>
          <cell r="Q387">
            <v>23</v>
          </cell>
          <cell r="R387" t="str">
            <v>inf</v>
          </cell>
          <cell r="T387">
            <v>15</v>
          </cell>
          <cell r="U387">
            <v>30</v>
          </cell>
          <cell r="W387">
            <v>1</v>
          </cell>
          <cell r="X387">
            <v>0.8</v>
          </cell>
          <cell r="Z387">
            <v>0.45</v>
          </cell>
          <cell r="AD387" t="str">
            <v>PH-1150</v>
          </cell>
          <cell r="AF387">
            <v>5800</v>
          </cell>
          <cell r="AG387">
            <v>5889.62</v>
          </cell>
          <cell r="AH387">
            <v>3248</v>
          </cell>
          <cell r="AI387">
            <v>502</v>
          </cell>
          <cell r="AM387" t="str">
            <v>RW2</v>
          </cell>
        </row>
        <row r="388">
          <cell r="A388" t="str">
            <v xml:space="preserve">Overcrossing </v>
          </cell>
          <cell r="G388">
            <v>47</v>
          </cell>
          <cell r="S388">
            <v>46.739999999999782</v>
          </cell>
        </row>
        <row r="389">
          <cell r="B389" t="str">
            <v>5-1.19</v>
          </cell>
          <cell r="C389">
            <v>5938</v>
          </cell>
          <cell r="F389">
            <v>0</v>
          </cell>
          <cell r="H389" t="str">
            <v>P60</v>
          </cell>
          <cell r="L389" t="str">
            <v>2HEB-260L</v>
          </cell>
          <cell r="M389" t="str">
            <v>C2H-260LR</v>
          </cell>
          <cell r="N389" t="str">
            <v>EMT-E</v>
          </cell>
          <cell r="O389" t="str">
            <v>EMT-2</v>
          </cell>
          <cell r="Q389">
            <v>0</v>
          </cell>
          <cell r="R389" t="str">
            <v>inf</v>
          </cell>
          <cell r="T389">
            <v>15</v>
          </cell>
          <cell r="U389">
            <v>30</v>
          </cell>
          <cell r="W389">
            <v>1</v>
          </cell>
          <cell r="X389">
            <v>0.8</v>
          </cell>
          <cell r="AC389" t="str">
            <v>BTC-1651</v>
          </cell>
          <cell r="AD389" t="str">
            <v>PHC-950</v>
          </cell>
          <cell r="AF389">
            <v>6000</v>
          </cell>
          <cell r="AG389">
            <v>5936.36</v>
          </cell>
          <cell r="AH389">
            <v>2158</v>
          </cell>
          <cell r="AI389">
            <v>659</v>
          </cell>
          <cell r="AJ389" t="str">
            <v xml:space="preserve">SECT-I </v>
          </cell>
          <cell r="AM389" t="str">
            <v>RW2</v>
          </cell>
        </row>
        <row r="390">
          <cell r="A390" t="str">
            <v>Start Overcrossing</v>
          </cell>
          <cell r="G390">
            <v>46</v>
          </cell>
          <cell r="S390">
            <v>46.160000000000764</v>
          </cell>
          <cell r="AJ390" t="str">
            <v>PP-2</v>
          </cell>
        </row>
        <row r="391">
          <cell r="B391" t="str">
            <v>5-1.20</v>
          </cell>
          <cell r="C391">
            <v>5984</v>
          </cell>
          <cell r="F391">
            <v>0</v>
          </cell>
          <cell r="L391" t="str">
            <v>HEB-240</v>
          </cell>
          <cell r="M391" t="str">
            <v>C3R</v>
          </cell>
          <cell r="N391" t="str">
            <v>EMT-E</v>
          </cell>
          <cell r="Q391">
            <v>0</v>
          </cell>
          <cell r="R391" t="str">
            <v>inf</v>
          </cell>
          <cell r="T391">
            <v>-35</v>
          </cell>
          <cell r="W391">
            <v>1</v>
          </cell>
          <cell r="AC391" t="str">
            <v>PH-Q 1150</v>
          </cell>
          <cell r="AF391">
            <v>5800</v>
          </cell>
          <cell r="AG391">
            <v>5982.52</v>
          </cell>
          <cell r="AH391">
            <v>2278</v>
          </cell>
          <cell r="AI391">
            <v>588</v>
          </cell>
          <cell r="AM391" t="str">
            <v>RW2</v>
          </cell>
        </row>
        <row r="392">
          <cell r="G392">
            <v>35</v>
          </cell>
          <cell r="S392">
            <v>35.049999999999272</v>
          </cell>
        </row>
        <row r="393">
          <cell r="B393" t="str">
            <v>6-1.01</v>
          </cell>
          <cell r="C393">
            <v>6019</v>
          </cell>
          <cell r="F393">
            <v>0</v>
          </cell>
          <cell r="H393" t="str">
            <v>A/S</v>
          </cell>
          <cell r="I393" t="str">
            <v>FP/Tunnel</v>
          </cell>
          <cell r="L393" t="str">
            <v>HEB-240</v>
          </cell>
          <cell r="M393" t="str">
            <v>C3R</v>
          </cell>
          <cell r="N393" t="str">
            <v>EMT-2</v>
          </cell>
          <cell r="Q393">
            <v>0</v>
          </cell>
          <cell r="R393" t="str">
            <v>inf</v>
          </cell>
          <cell r="T393">
            <v>35</v>
          </cell>
          <cell r="W393">
            <v>1</v>
          </cell>
          <cell r="AC393" t="str">
            <v>PH-1150</v>
          </cell>
          <cell r="AF393">
            <v>6000</v>
          </cell>
          <cell r="AG393">
            <v>6017.57</v>
          </cell>
          <cell r="AH393">
            <v>2258</v>
          </cell>
          <cell r="AI393">
            <v>-5458</v>
          </cell>
          <cell r="AM393" t="str">
            <v>RW2</v>
          </cell>
        </row>
        <row r="394">
          <cell r="G394">
            <v>46</v>
          </cell>
          <cell r="J394">
            <v>6027</v>
          </cell>
          <cell r="K394" t="str">
            <v>AnMC/Tunnel</v>
          </cell>
          <cell r="S394">
            <v>45.960000000000036</v>
          </cell>
        </row>
        <row r="395">
          <cell r="A395" t="str">
            <v>Overcrossing Zone with</v>
          </cell>
          <cell r="B395" t="str">
            <v>6-1.02</v>
          </cell>
          <cell r="C395">
            <v>6065</v>
          </cell>
          <cell r="F395">
            <v>0</v>
          </cell>
          <cell r="H395" t="str">
            <v>S/A</v>
          </cell>
          <cell r="I395">
            <v>423</v>
          </cell>
          <cell r="L395" t="str">
            <v>HEB-260</v>
          </cell>
          <cell r="M395" t="str">
            <v>C4R</v>
          </cell>
          <cell r="N395" t="str">
            <v>EMT-T</v>
          </cell>
          <cell r="O395" t="str">
            <v>EMT-E</v>
          </cell>
          <cell r="Q395">
            <v>0</v>
          </cell>
          <cell r="R395" t="str">
            <v>inf</v>
          </cell>
          <cell r="T395">
            <v>15</v>
          </cell>
          <cell r="U395">
            <v>-30</v>
          </cell>
          <cell r="W395">
            <v>1</v>
          </cell>
          <cell r="X395">
            <v>0.8</v>
          </cell>
          <cell r="Z395">
            <v>0.45</v>
          </cell>
          <cell r="AD395" t="str">
            <v>PH-1450</v>
          </cell>
          <cell r="AF395">
            <v>6300</v>
          </cell>
          <cell r="AG395">
            <v>6063.53</v>
          </cell>
          <cell r="AH395">
            <v>2138</v>
          </cell>
          <cell r="AI395">
            <v>539</v>
          </cell>
          <cell r="AM395" t="str">
            <v>RW2</v>
          </cell>
        </row>
        <row r="396">
          <cell r="A396" t="str">
            <v>prefabricate concrete beams</v>
          </cell>
          <cell r="G396">
            <v>42</v>
          </cell>
          <cell r="S396">
            <v>41.860000000000582</v>
          </cell>
        </row>
        <row r="397">
          <cell r="A397" t="str">
            <v>BEN-07</v>
          </cell>
          <cell r="B397" t="str">
            <v>6-1.03</v>
          </cell>
          <cell r="C397">
            <v>6107</v>
          </cell>
          <cell r="F397">
            <v>0</v>
          </cell>
          <cell r="H397" t="str">
            <v>S/A</v>
          </cell>
          <cell r="I397" t="str">
            <v>IO</v>
          </cell>
          <cell r="L397" t="str">
            <v>HEB-260</v>
          </cell>
          <cell r="M397" t="str">
            <v>C4R</v>
          </cell>
          <cell r="N397" t="str">
            <v>EMT-2</v>
          </cell>
          <cell r="O397" t="str">
            <v>EMT-T</v>
          </cell>
          <cell r="Q397">
            <v>0</v>
          </cell>
          <cell r="R397" t="str">
            <v>inf</v>
          </cell>
          <cell r="T397">
            <v>30</v>
          </cell>
          <cell r="U397">
            <v>-15</v>
          </cell>
          <cell r="W397">
            <v>0.8</v>
          </cell>
          <cell r="X397">
            <v>1</v>
          </cell>
          <cell r="AA397">
            <v>0.45</v>
          </cell>
          <cell r="AC397" t="str">
            <v>PH-1150</v>
          </cell>
          <cell r="AF397">
            <v>6000</v>
          </cell>
          <cell r="AG397">
            <v>6105.39</v>
          </cell>
          <cell r="AH397">
            <v>2208</v>
          </cell>
          <cell r="AI397">
            <v>601</v>
          </cell>
          <cell r="AJ397" t="str">
            <v>Disc/IO</v>
          </cell>
          <cell r="AM397" t="str">
            <v>RW2</v>
          </cell>
        </row>
        <row r="398">
          <cell r="G398">
            <v>45</v>
          </cell>
          <cell r="J398">
            <v>6142</v>
          </cell>
          <cell r="K398" t="str">
            <v>AnM/TX</v>
          </cell>
          <cell r="S398">
            <v>44.449999999999818</v>
          </cell>
        </row>
        <row r="399">
          <cell r="B399" t="str">
            <v>6-1.04</v>
          </cell>
          <cell r="C399">
            <v>6152</v>
          </cell>
          <cell r="F399">
            <v>0</v>
          </cell>
          <cell r="H399" t="str">
            <v>A/S</v>
          </cell>
          <cell r="I399" t="str">
            <v>CP/TX-W</v>
          </cell>
          <cell r="L399" t="str">
            <v>HEB-240</v>
          </cell>
          <cell r="M399" t="str">
            <v>C3R</v>
          </cell>
          <cell r="N399" t="str">
            <v>EMT-1</v>
          </cell>
          <cell r="Q399">
            <v>0</v>
          </cell>
          <cell r="R399" t="str">
            <v>inf</v>
          </cell>
          <cell r="T399">
            <v>-35</v>
          </cell>
          <cell r="W399">
            <v>1</v>
          </cell>
          <cell r="AC399" t="str">
            <v>PH-Q 1450</v>
          </cell>
          <cell r="AF399">
            <v>5800</v>
          </cell>
          <cell r="AG399">
            <v>6149.84</v>
          </cell>
          <cell r="AH399">
            <v>2258</v>
          </cell>
          <cell r="AI399">
            <v>248</v>
          </cell>
          <cell r="AM399" t="str">
            <v>RW2</v>
          </cell>
        </row>
        <row r="400">
          <cell r="A400" t="str">
            <v>End Overcrossing</v>
          </cell>
          <cell r="G400">
            <v>52.5</v>
          </cell>
          <cell r="S400">
            <v>53.010000000000218</v>
          </cell>
        </row>
        <row r="401">
          <cell r="B401" t="str">
            <v>6-1.05</v>
          </cell>
          <cell r="C401">
            <v>6204.5</v>
          </cell>
          <cell r="F401">
            <v>0</v>
          </cell>
          <cell r="H401" t="str">
            <v>P50 A/S</v>
          </cell>
          <cell r="I401" t="str">
            <v>CP+AnMC</v>
          </cell>
          <cell r="J401">
            <v>6197</v>
          </cell>
          <cell r="K401" t="str">
            <v>AnMC</v>
          </cell>
          <cell r="L401" t="str">
            <v>HEB-280</v>
          </cell>
          <cell r="M401" t="str">
            <v>C5</v>
          </cell>
          <cell r="N401" t="str">
            <v>EMT-2</v>
          </cell>
          <cell r="O401" t="str">
            <v>EMT-1</v>
          </cell>
          <cell r="Q401">
            <v>0</v>
          </cell>
          <cell r="R401" t="str">
            <v>inf</v>
          </cell>
          <cell r="T401">
            <v>30</v>
          </cell>
          <cell r="U401">
            <v>15</v>
          </cell>
          <cell r="W401">
            <v>1</v>
          </cell>
          <cell r="X401">
            <v>1.5</v>
          </cell>
          <cell r="AC401" t="str">
            <v>PH-Q 1150</v>
          </cell>
          <cell r="AD401" t="str">
            <v>BTC-1651</v>
          </cell>
          <cell r="AF401">
            <v>5800</v>
          </cell>
          <cell r="AG401">
            <v>6202.85</v>
          </cell>
          <cell r="AH401">
            <v>2648</v>
          </cell>
          <cell r="AI401">
            <v>506</v>
          </cell>
          <cell r="AJ401" t="str">
            <v xml:space="preserve">SECT-I </v>
          </cell>
          <cell r="AM401" t="str">
            <v>RW2</v>
          </cell>
        </row>
        <row r="402">
          <cell r="G402">
            <v>49</v>
          </cell>
          <cell r="S402">
            <v>48.349999999999454</v>
          </cell>
        </row>
        <row r="403">
          <cell r="B403" t="str">
            <v>6-22.07</v>
          </cell>
          <cell r="C403">
            <v>6253.5</v>
          </cell>
          <cell r="F403">
            <v>0</v>
          </cell>
          <cell r="H403" t="str">
            <v xml:space="preserve"> P50</v>
          </cell>
          <cell r="N403" t="str">
            <v>EMT-2P</v>
          </cell>
          <cell r="O403" t="str">
            <v>EMT-1P</v>
          </cell>
          <cell r="Q403">
            <v>0</v>
          </cell>
          <cell r="R403" t="str">
            <v>inf</v>
          </cell>
          <cell r="T403">
            <v>-15</v>
          </cell>
          <cell r="U403">
            <v>-30</v>
          </cell>
          <cell r="W403">
            <v>1.4</v>
          </cell>
          <cell r="X403">
            <v>2.2999999999999998</v>
          </cell>
          <cell r="AC403" t="str">
            <v>BTC 1651</v>
          </cell>
          <cell r="AD403" t="str">
            <v>PH 1150</v>
          </cell>
          <cell r="AF403">
            <v>100</v>
          </cell>
          <cell r="AG403">
            <v>6251.2</v>
          </cell>
          <cell r="AH403">
            <v>1882.5</v>
          </cell>
          <cell r="AI403">
            <v>-5582.0000000000009</v>
          </cell>
          <cell r="AJ403" t="str">
            <v>PP-2</v>
          </cell>
          <cell r="AK403" t="str">
            <v>S2</v>
          </cell>
        </row>
        <row r="404">
          <cell r="G404">
            <v>55</v>
          </cell>
          <cell r="S404">
            <v>55.550000000000182</v>
          </cell>
          <cell r="AJ404" t="str">
            <v>SECT-I</v>
          </cell>
        </row>
        <row r="405">
          <cell r="B405" t="str">
            <v>6-22.08</v>
          </cell>
          <cell r="C405">
            <v>6308.5</v>
          </cell>
          <cell r="F405">
            <v>2650</v>
          </cell>
          <cell r="H405" t="str">
            <v>S/A</v>
          </cell>
          <cell r="N405" t="str">
            <v>EMT-TP</v>
          </cell>
          <cell r="O405" t="str">
            <v>EMT-1P</v>
          </cell>
          <cell r="Q405">
            <v>30</v>
          </cell>
          <cell r="R405">
            <v>1603</v>
          </cell>
          <cell r="T405">
            <v>15</v>
          </cell>
          <cell r="U405">
            <v>-30</v>
          </cell>
          <cell r="W405">
            <v>1.4</v>
          </cell>
          <cell r="X405">
            <v>2.2999999999999998</v>
          </cell>
          <cell r="Z405">
            <v>0.45</v>
          </cell>
          <cell r="AD405" t="str">
            <v>PH-Q 950</v>
          </cell>
          <cell r="AF405">
            <v>100</v>
          </cell>
          <cell r="AG405">
            <v>6306.75</v>
          </cell>
          <cell r="AH405">
            <v>1622.5</v>
          </cell>
          <cell r="AI405">
            <v>-5280</v>
          </cell>
          <cell r="AK405" t="str">
            <v>S2</v>
          </cell>
        </row>
        <row r="406">
          <cell r="G406">
            <v>47.5</v>
          </cell>
          <cell r="S406">
            <v>47.5600000000004</v>
          </cell>
        </row>
        <row r="407">
          <cell r="A407" t="str">
            <v>BEN-11</v>
          </cell>
          <cell r="B407" t="str">
            <v>6-22.09</v>
          </cell>
          <cell r="C407">
            <v>6356</v>
          </cell>
          <cell r="F407">
            <v>850</v>
          </cell>
          <cell r="H407" t="str">
            <v>S/A</v>
          </cell>
          <cell r="I407" t="str">
            <v>IO</v>
          </cell>
          <cell r="N407" t="str">
            <v>EMT-EP</v>
          </cell>
          <cell r="O407" t="str">
            <v>EMT-TP</v>
          </cell>
          <cell r="Q407">
            <v>63</v>
          </cell>
          <cell r="R407">
            <v>854</v>
          </cell>
          <cell r="T407">
            <v>0</v>
          </cell>
          <cell r="U407">
            <v>-45</v>
          </cell>
          <cell r="W407">
            <v>1.4</v>
          </cell>
          <cell r="X407">
            <v>2.2999999999999998</v>
          </cell>
          <cell r="AA407">
            <v>0.45</v>
          </cell>
          <cell r="AC407" t="str">
            <v>PH-C 1500</v>
          </cell>
          <cell r="AF407">
            <v>100</v>
          </cell>
          <cell r="AG407">
            <v>6354.31</v>
          </cell>
          <cell r="AH407">
            <v>1782.5</v>
          </cell>
          <cell r="AI407">
            <v>-5622</v>
          </cell>
          <cell r="AJ407" t="str">
            <v>Disc/IO</v>
          </cell>
          <cell r="AK407" t="str">
            <v>S2</v>
          </cell>
        </row>
        <row r="408">
          <cell r="G408">
            <v>43</v>
          </cell>
          <cell r="S408">
            <v>43.059999999999491</v>
          </cell>
        </row>
        <row r="409">
          <cell r="B409" t="str">
            <v>6-22.10</v>
          </cell>
          <cell r="C409">
            <v>6399</v>
          </cell>
          <cell r="F409">
            <v>850</v>
          </cell>
          <cell r="N409" t="str">
            <v>EMT-EP</v>
          </cell>
          <cell r="Q409">
            <v>63</v>
          </cell>
          <cell r="R409">
            <v>854</v>
          </cell>
          <cell r="T409">
            <v>-30</v>
          </cell>
          <cell r="W409">
            <v>1.4</v>
          </cell>
          <cell r="AC409" t="str">
            <v>PH-C 1250</v>
          </cell>
          <cell r="AF409">
            <v>100</v>
          </cell>
          <cell r="AG409">
            <v>6397.37</v>
          </cell>
          <cell r="AH409">
            <v>1702.5</v>
          </cell>
          <cell r="AI409">
            <v>-5490.0000000000018</v>
          </cell>
          <cell r="AK409" t="str">
            <v>S1</v>
          </cell>
        </row>
        <row r="410">
          <cell r="G410">
            <v>43</v>
          </cell>
          <cell r="S410">
            <v>43.069999999999709</v>
          </cell>
        </row>
        <row r="411">
          <cell r="A411" t="str">
            <v>End zone between walls</v>
          </cell>
          <cell r="B411" t="str">
            <v>6-22.11</v>
          </cell>
          <cell r="C411">
            <v>6442</v>
          </cell>
          <cell r="F411">
            <v>850</v>
          </cell>
          <cell r="N411" t="str">
            <v>EMT-EP</v>
          </cell>
          <cell r="Q411">
            <v>63</v>
          </cell>
          <cell r="R411">
            <v>854</v>
          </cell>
          <cell r="T411">
            <v>-30</v>
          </cell>
          <cell r="W411">
            <v>1.4</v>
          </cell>
          <cell r="AC411" t="str">
            <v>PH-C 1500</v>
          </cell>
          <cell r="AF411">
            <v>100</v>
          </cell>
          <cell r="AG411">
            <v>6440.44</v>
          </cell>
          <cell r="AH411">
            <v>1942.5</v>
          </cell>
          <cell r="AI411">
            <v>-5620.0000000000045</v>
          </cell>
          <cell r="AK411" t="str">
            <v>S1</v>
          </cell>
        </row>
        <row r="412">
          <cell r="G412">
            <v>43</v>
          </cell>
          <cell r="S412">
            <v>43.550000000000182</v>
          </cell>
        </row>
        <row r="413">
          <cell r="B413" t="str">
            <v>6-22.12</v>
          </cell>
          <cell r="C413">
            <v>6485</v>
          </cell>
          <cell r="F413">
            <v>850</v>
          </cell>
          <cell r="N413" t="str">
            <v>EMT-EP</v>
          </cell>
          <cell r="Q413">
            <v>63</v>
          </cell>
          <cell r="R413">
            <v>854</v>
          </cell>
          <cell r="T413">
            <v>-30</v>
          </cell>
          <cell r="W413">
            <v>1.4</v>
          </cell>
          <cell r="AC413" t="str">
            <v>PH-C 1250</v>
          </cell>
          <cell r="AF413">
            <v>100</v>
          </cell>
          <cell r="AG413">
            <v>6483.99</v>
          </cell>
          <cell r="AH413">
            <v>1702.5</v>
          </cell>
          <cell r="AI413">
            <v>-5300.0000000000045</v>
          </cell>
          <cell r="AK413" t="str">
            <v>S1</v>
          </cell>
        </row>
        <row r="414">
          <cell r="G414">
            <v>44</v>
          </cell>
          <cell r="S414">
            <v>44.030000000000655</v>
          </cell>
        </row>
        <row r="415">
          <cell r="B415" t="str">
            <v>6-22.13</v>
          </cell>
          <cell r="C415">
            <v>6529</v>
          </cell>
          <cell r="F415">
            <v>850</v>
          </cell>
          <cell r="N415" t="str">
            <v>EMT-EP</v>
          </cell>
          <cell r="Q415">
            <v>63</v>
          </cell>
          <cell r="R415">
            <v>854</v>
          </cell>
          <cell r="T415">
            <v>-30</v>
          </cell>
          <cell r="W415">
            <v>1.4</v>
          </cell>
          <cell r="AC415" t="str">
            <v>PH-C 1500</v>
          </cell>
          <cell r="AF415">
            <v>100</v>
          </cell>
          <cell r="AG415">
            <v>6528.02</v>
          </cell>
          <cell r="AH415">
            <v>1762.5</v>
          </cell>
          <cell r="AI415">
            <v>-5640.0000000000009</v>
          </cell>
          <cell r="AK415" t="str">
            <v>S1</v>
          </cell>
        </row>
        <row r="416">
          <cell r="G416">
            <v>44</v>
          </cell>
          <cell r="S416">
            <v>44.6299999999992</v>
          </cell>
        </row>
        <row r="417">
          <cell r="B417" t="str">
            <v>6-22.14</v>
          </cell>
          <cell r="C417">
            <v>6573</v>
          </cell>
          <cell r="F417">
            <v>850</v>
          </cell>
          <cell r="N417" t="str">
            <v>EMT-1P</v>
          </cell>
          <cell r="Q417">
            <v>63</v>
          </cell>
          <cell r="R417">
            <v>854</v>
          </cell>
          <cell r="T417">
            <v>-30</v>
          </cell>
          <cell r="W417">
            <v>1.4</v>
          </cell>
          <cell r="AC417" t="str">
            <v>PH-C 1150</v>
          </cell>
          <cell r="AF417">
            <v>100</v>
          </cell>
          <cell r="AG417">
            <v>6572.65</v>
          </cell>
          <cell r="AH417">
            <v>1782.5</v>
          </cell>
          <cell r="AI417">
            <v>-5637</v>
          </cell>
          <cell r="AK417" t="str">
            <v>S1</v>
          </cell>
        </row>
        <row r="418">
          <cell r="G418">
            <v>44</v>
          </cell>
          <cell r="S418">
            <v>43.990000000000691</v>
          </cell>
        </row>
        <row r="419">
          <cell r="B419" t="str">
            <v>6-22.15</v>
          </cell>
          <cell r="C419">
            <v>6617</v>
          </cell>
          <cell r="F419">
            <v>850</v>
          </cell>
          <cell r="N419" t="str">
            <v>EMT-1P</v>
          </cell>
          <cell r="Q419">
            <v>64</v>
          </cell>
          <cell r="R419">
            <v>854</v>
          </cell>
          <cell r="T419">
            <v>-30</v>
          </cell>
          <cell r="W419">
            <v>1.4</v>
          </cell>
          <cell r="AC419" t="str">
            <v>PH-C 1150</v>
          </cell>
          <cell r="AF419">
            <v>100</v>
          </cell>
          <cell r="AG419">
            <v>6616.64</v>
          </cell>
          <cell r="AH419">
            <v>1872.5</v>
          </cell>
          <cell r="AI419">
            <v>-5510.0000000000055</v>
          </cell>
          <cell r="AK419" t="str">
            <v>S1</v>
          </cell>
        </row>
        <row r="420">
          <cell r="G420">
            <v>45</v>
          </cell>
          <cell r="S420">
            <v>45.639999999999418</v>
          </cell>
        </row>
        <row r="421">
          <cell r="B421" t="str">
            <v>6-22.16</v>
          </cell>
          <cell r="C421">
            <v>6662</v>
          </cell>
          <cell r="F421">
            <v>925</v>
          </cell>
          <cell r="N421" t="str">
            <v>EMT-EP</v>
          </cell>
          <cell r="Q421">
            <v>54</v>
          </cell>
          <cell r="R421">
            <v>1321</v>
          </cell>
          <cell r="T421">
            <v>-30</v>
          </cell>
          <cell r="W421">
            <v>1.4</v>
          </cell>
          <cell r="AC421" t="str">
            <v>PH-C 1150</v>
          </cell>
          <cell r="AF421">
            <v>100</v>
          </cell>
          <cell r="AG421">
            <v>6662.28</v>
          </cell>
          <cell r="AH421">
            <v>1672.5</v>
          </cell>
          <cell r="AI421">
            <v>-5513.9999999999955</v>
          </cell>
          <cell r="AK421" t="str">
            <v>S1</v>
          </cell>
        </row>
        <row r="422">
          <cell r="G422">
            <v>50</v>
          </cell>
          <cell r="I422">
            <v>507.5</v>
          </cell>
          <cell r="S422">
            <v>49.970000000000255</v>
          </cell>
        </row>
        <row r="423">
          <cell r="B423" t="str">
            <v>6-22.17</v>
          </cell>
          <cell r="C423">
            <v>6712</v>
          </cell>
          <cell r="F423">
            <v>0</v>
          </cell>
          <cell r="H423" t="str">
            <v>MP</v>
          </cell>
          <cell r="N423" t="str">
            <v>EMT-2P</v>
          </cell>
          <cell r="Q423">
            <v>0</v>
          </cell>
          <cell r="R423">
            <v>0</v>
          </cell>
          <cell r="T423">
            <v>35</v>
          </cell>
          <cell r="W423">
            <v>1.4</v>
          </cell>
          <cell r="AC423" t="str">
            <v>PH-Q 1150</v>
          </cell>
          <cell r="AF423">
            <v>100</v>
          </cell>
          <cell r="AG423">
            <v>6712.25</v>
          </cell>
          <cell r="AH423">
            <v>1972.5</v>
          </cell>
          <cell r="AI423">
            <v>-5484.0000000000018</v>
          </cell>
          <cell r="AK423" t="str">
            <v>S1</v>
          </cell>
        </row>
        <row r="424">
          <cell r="G424">
            <v>57</v>
          </cell>
          <cell r="I424">
            <v>512.5</v>
          </cell>
          <cell r="S424">
            <v>56.979999999999563</v>
          </cell>
        </row>
        <row r="425">
          <cell r="B425" t="str">
            <v>6-22.18</v>
          </cell>
          <cell r="C425">
            <v>6769</v>
          </cell>
          <cell r="F425">
            <v>0</v>
          </cell>
          <cell r="N425" t="str">
            <v>EMT-EP</v>
          </cell>
          <cell r="Q425">
            <v>0</v>
          </cell>
          <cell r="R425">
            <v>0</v>
          </cell>
          <cell r="T425">
            <v>-35</v>
          </cell>
          <cell r="W425">
            <v>1.4</v>
          </cell>
          <cell r="AC425" t="str">
            <v>PH-Q 1150</v>
          </cell>
          <cell r="AF425">
            <v>100</v>
          </cell>
          <cell r="AG425">
            <v>6769.23</v>
          </cell>
          <cell r="AH425">
            <v>1692.5</v>
          </cell>
          <cell r="AI425">
            <v>-5530.9999999999991</v>
          </cell>
          <cell r="AK425" t="str">
            <v>S1</v>
          </cell>
        </row>
        <row r="426">
          <cell r="G426">
            <v>59</v>
          </cell>
          <cell r="S426">
            <v>59</v>
          </cell>
        </row>
        <row r="427">
          <cell r="B427" t="str">
            <v>6-22.19</v>
          </cell>
          <cell r="C427">
            <v>6828</v>
          </cell>
          <cell r="F427">
            <v>0</v>
          </cell>
          <cell r="N427" t="str">
            <v>EMT-2P</v>
          </cell>
          <cell r="Q427">
            <v>0</v>
          </cell>
          <cell r="R427">
            <v>0</v>
          </cell>
          <cell r="T427">
            <v>35</v>
          </cell>
          <cell r="W427">
            <v>1.4</v>
          </cell>
          <cell r="AC427" t="str">
            <v>PH-Q 1150</v>
          </cell>
          <cell r="AF427">
            <v>100</v>
          </cell>
          <cell r="AG427">
            <v>6828.23</v>
          </cell>
          <cell r="AH427">
            <v>1812.5</v>
          </cell>
          <cell r="AI427">
            <v>-5580.9999999999964</v>
          </cell>
          <cell r="AK427" t="str">
            <v>S1</v>
          </cell>
        </row>
        <row r="428">
          <cell r="G428">
            <v>53</v>
          </cell>
          <cell r="S428">
            <v>52.940000000000509</v>
          </cell>
        </row>
        <row r="429">
          <cell r="B429" t="str">
            <v>6-22.20</v>
          </cell>
          <cell r="C429">
            <v>6881</v>
          </cell>
          <cell r="F429">
            <v>0</v>
          </cell>
          <cell r="N429" t="str">
            <v>EMT-EP</v>
          </cell>
          <cell r="Q429">
            <v>0</v>
          </cell>
          <cell r="R429">
            <v>0</v>
          </cell>
          <cell r="T429">
            <v>-35</v>
          </cell>
          <cell r="W429">
            <v>1.4</v>
          </cell>
          <cell r="AC429" t="str">
            <v>PH-Q 1150</v>
          </cell>
          <cell r="AF429">
            <v>100</v>
          </cell>
          <cell r="AG429">
            <v>6881.17</v>
          </cell>
          <cell r="AH429">
            <v>1782.5</v>
          </cell>
          <cell r="AI429">
            <v>-5595.9999999999964</v>
          </cell>
          <cell r="AK429" t="str">
            <v>S1</v>
          </cell>
        </row>
        <row r="430">
          <cell r="G430">
            <v>50.5</v>
          </cell>
          <cell r="S430">
            <v>50.399999999999636</v>
          </cell>
        </row>
        <row r="431">
          <cell r="B431" t="str">
            <v>6-22.21</v>
          </cell>
          <cell r="C431">
            <v>6931.5</v>
          </cell>
          <cell r="F431">
            <v>0</v>
          </cell>
          <cell r="N431" t="str">
            <v>EMT-2P</v>
          </cell>
          <cell r="Q431">
            <v>0</v>
          </cell>
          <cell r="R431">
            <v>0</v>
          </cell>
          <cell r="T431">
            <v>35</v>
          </cell>
          <cell r="W431">
            <v>1.4</v>
          </cell>
          <cell r="AC431" t="str">
            <v>PH-Q 950</v>
          </cell>
          <cell r="AF431">
            <v>100</v>
          </cell>
          <cell r="AG431">
            <v>6931.57</v>
          </cell>
          <cell r="AH431">
            <v>1692.5</v>
          </cell>
          <cell r="AI431">
            <v>-5460.0000000000009</v>
          </cell>
          <cell r="AK431" t="str">
            <v>S1</v>
          </cell>
        </row>
        <row r="432">
          <cell r="G432">
            <v>44</v>
          </cell>
          <cell r="S432">
            <v>43.960000000000036</v>
          </cell>
        </row>
        <row r="433">
          <cell r="B433" t="str">
            <v>6-22.22</v>
          </cell>
          <cell r="C433">
            <v>6975.5</v>
          </cell>
          <cell r="F433">
            <v>0</v>
          </cell>
          <cell r="N433" t="str">
            <v>EMT-EP</v>
          </cell>
          <cell r="Q433">
            <v>0</v>
          </cell>
          <cell r="R433">
            <v>0</v>
          </cell>
          <cell r="T433">
            <v>-35</v>
          </cell>
          <cell r="W433">
            <v>1.4</v>
          </cell>
          <cell r="AC433" t="str">
            <v>PH-Q 1150</v>
          </cell>
          <cell r="AF433">
            <v>100</v>
          </cell>
          <cell r="AG433">
            <v>6975.53</v>
          </cell>
          <cell r="AH433">
            <v>1682.5</v>
          </cell>
          <cell r="AI433">
            <v>-5500</v>
          </cell>
          <cell r="AK433" t="str">
            <v>S1</v>
          </cell>
        </row>
        <row r="434">
          <cell r="G434">
            <v>44</v>
          </cell>
          <cell r="S434">
            <v>44.030000000000655</v>
          </cell>
        </row>
        <row r="435">
          <cell r="B435" t="str">
            <v>6-22.23</v>
          </cell>
          <cell r="C435">
            <v>7019.5</v>
          </cell>
          <cell r="F435">
            <v>0</v>
          </cell>
          <cell r="H435" t="str">
            <v>S/A</v>
          </cell>
          <cell r="N435" t="str">
            <v>EMT-TP</v>
          </cell>
          <cell r="O435" t="str">
            <v>EMT-2P</v>
          </cell>
          <cell r="Q435">
            <v>0</v>
          </cell>
          <cell r="R435">
            <v>0</v>
          </cell>
          <cell r="T435">
            <v>55</v>
          </cell>
          <cell r="U435">
            <v>10</v>
          </cell>
          <cell r="W435">
            <v>1.4</v>
          </cell>
          <cell r="X435">
            <v>2.2999999999999998</v>
          </cell>
          <cell r="Z435">
            <v>0.6</v>
          </cell>
          <cell r="AD435" t="str">
            <v>PH 1150</v>
          </cell>
          <cell r="AF435">
            <v>100</v>
          </cell>
          <cell r="AG435">
            <v>7019.56</v>
          </cell>
          <cell r="AH435">
            <v>1712.5</v>
          </cell>
          <cell r="AI435">
            <v>-5496.0000000000018</v>
          </cell>
          <cell r="AK435" t="str">
            <v>S2</v>
          </cell>
        </row>
        <row r="436">
          <cell r="G436">
            <v>44</v>
          </cell>
          <cell r="S436">
            <v>43.989999999999782</v>
          </cell>
        </row>
        <row r="437">
          <cell r="A437" t="str">
            <v>BEN-13</v>
          </cell>
          <cell r="B437" t="str">
            <v>7-22.01</v>
          </cell>
          <cell r="C437">
            <v>7063.5</v>
          </cell>
          <cell r="F437">
            <v>0</v>
          </cell>
          <cell r="H437" t="str">
            <v>S/A</v>
          </cell>
          <cell r="I437" t="str">
            <v>IO</v>
          </cell>
          <cell r="N437" t="str">
            <v>EMT-EP</v>
          </cell>
          <cell r="O437" t="str">
            <v>EMT-1P</v>
          </cell>
          <cell r="Q437">
            <v>0</v>
          </cell>
          <cell r="R437">
            <v>0</v>
          </cell>
          <cell r="T437">
            <v>15</v>
          </cell>
          <cell r="U437">
            <v>-30</v>
          </cell>
          <cell r="W437">
            <v>1.4</v>
          </cell>
          <cell r="X437">
            <v>2.2999999999999998</v>
          </cell>
          <cell r="Z437">
            <v>0.1</v>
          </cell>
          <cell r="AC437" t="str">
            <v>BC 1400</v>
          </cell>
          <cell r="AD437" t="str">
            <v>PH 1150</v>
          </cell>
          <cell r="AF437">
            <v>100</v>
          </cell>
          <cell r="AG437">
            <v>7063.55</v>
          </cell>
          <cell r="AH437">
            <v>2062.5</v>
          </cell>
          <cell r="AI437">
            <v>-5462.0000000000036</v>
          </cell>
          <cell r="AJ437" t="str">
            <v>Disc/IO</v>
          </cell>
          <cell r="AK437" t="str">
            <v>S2</v>
          </cell>
        </row>
        <row r="438">
          <cell r="G438">
            <v>34</v>
          </cell>
          <cell r="S438">
            <v>34</v>
          </cell>
        </row>
        <row r="439">
          <cell r="B439" t="str">
            <v>7-22.01BIS</v>
          </cell>
          <cell r="C439">
            <v>7097.5</v>
          </cell>
          <cell r="F439">
            <v>0</v>
          </cell>
          <cell r="H439" t="str">
            <v>S/A</v>
          </cell>
          <cell r="N439" t="str">
            <v>EMT-1P</v>
          </cell>
          <cell r="O439" t="str">
            <v>EMT-EP</v>
          </cell>
          <cell r="Q439">
            <v>0</v>
          </cell>
          <cell r="R439">
            <v>0</v>
          </cell>
          <cell r="T439">
            <v>-35</v>
          </cell>
          <cell r="U439">
            <v>10</v>
          </cell>
          <cell r="W439">
            <v>2.2999999999999998</v>
          </cell>
          <cell r="X439">
            <v>1.4</v>
          </cell>
          <cell r="AA439">
            <v>0.1</v>
          </cell>
          <cell r="AC439" t="str">
            <v>PH-Q 900</v>
          </cell>
          <cell r="AD439" t="str">
            <v>BCE 1500</v>
          </cell>
          <cell r="AF439">
            <v>150</v>
          </cell>
          <cell r="AG439">
            <v>7097.55</v>
          </cell>
          <cell r="AH439">
            <v>1750</v>
          </cell>
          <cell r="AI439">
            <v>-5297</v>
          </cell>
          <cell r="AK439" t="str">
            <v>S2</v>
          </cell>
        </row>
        <row r="440">
          <cell r="G440">
            <v>34</v>
          </cell>
          <cell r="S440">
            <v>34.159999999999854</v>
          </cell>
        </row>
        <row r="441">
          <cell r="B441" t="str">
            <v>7-22.02</v>
          </cell>
          <cell r="C441">
            <v>7131.5</v>
          </cell>
          <cell r="F441">
            <v>0</v>
          </cell>
          <cell r="H441" t="str">
            <v>S/A P50</v>
          </cell>
          <cell r="N441" t="str">
            <v>EMT-2P</v>
          </cell>
          <cell r="O441" t="str">
            <v>EMT-EP</v>
          </cell>
          <cell r="P441" t="str">
            <v>EMT-TP</v>
          </cell>
          <cell r="Q441">
            <v>0</v>
          </cell>
          <cell r="R441">
            <v>0</v>
          </cell>
          <cell r="T441">
            <v>-10</v>
          </cell>
          <cell r="U441">
            <v>-25</v>
          </cell>
          <cell r="V441">
            <v>-60</v>
          </cell>
          <cell r="W441">
            <v>1.4</v>
          </cell>
          <cell r="X441">
            <v>1.8</v>
          </cell>
          <cell r="Y441">
            <v>2.2999999999999998</v>
          </cell>
          <cell r="AB441">
            <v>0.6</v>
          </cell>
          <cell r="AC441" t="str">
            <v>PH-C 1450</v>
          </cell>
          <cell r="AD441" t="str">
            <v>PH-Q 1350</v>
          </cell>
          <cell r="AF441">
            <v>100</v>
          </cell>
          <cell r="AG441">
            <v>7131.71</v>
          </cell>
          <cell r="AH441">
            <v>1902.5</v>
          </cell>
          <cell r="AI441">
            <v>-5520.9999999999936</v>
          </cell>
          <cell r="AK441" t="str">
            <v>S3</v>
          </cell>
        </row>
        <row r="442">
          <cell r="G442">
            <v>47.5</v>
          </cell>
          <cell r="S442">
            <v>47.269999999999527</v>
          </cell>
        </row>
        <row r="443">
          <cell r="B443" t="str">
            <v>7-22.03</v>
          </cell>
          <cell r="C443">
            <v>7179</v>
          </cell>
          <cell r="F443">
            <v>0</v>
          </cell>
          <cell r="H443" t="str">
            <v>P50</v>
          </cell>
          <cell r="N443" t="str">
            <v>EMT-2P</v>
          </cell>
          <cell r="O443" t="str">
            <v>EMT-EP</v>
          </cell>
          <cell r="Q443">
            <v>0</v>
          </cell>
          <cell r="R443">
            <v>0</v>
          </cell>
          <cell r="T443">
            <v>30</v>
          </cell>
          <cell r="U443">
            <v>15</v>
          </cell>
          <cell r="W443">
            <v>1.4</v>
          </cell>
          <cell r="X443">
            <v>2.2999999999999998</v>
          </cell>
          <cell r="AC443" t="str">
            <v>PH 1150</v>
          </cell>
          <cell r="AD443" t="str">
            <v>BTC 1651</v>
          </cell>
          <cell r="AF443">
            <v>100</v>
          </cell>
          <cell r="AG443">
            <v>7178.98</v>
          </cell>
          <cell r="AH443">
            <v>1932.5</v>
          </cell>
          <cell r="AI443">
            <v>-5260</v>
          </cell>
          <cell r="AK443" t="str">
            <v>S2</v>
          </cell>
        </row>
        <row r="444">
          <cell r="G444">
            <v>53.5</v>
          </cell>
          <cell r="S444">
            <v>53.650000000000546</v>
          </cell>
        </row>
        <row r="445">
          <cell r="B445" t="str">
            <v>7-22.04</v>
          </cell>
          <cell r="C445">
            <v>7232.5</v>
          </cell>
          <cell r="F445">
            <v>0</v>
          </cell>
          <cell r="N445" t="str">
            <v>EMT-EP</v>
          </cell>
          <cell r="Q445">
            <v>0</v>
          </cell>
          <cell r="R445">
            <v>0</v>
          </cell>
          <cell r="T445">
            <v>-25</v>
          </cell>
          <cell r="W445">
            <v>1.4</v>
          </cell>
          <cell r="AC445" t="str">
            <v>PH-C 1250</v>
          </cell>
          <cell r="AF445">
            <v>100</v>
          </cell>
          <cell r="AG445">
            <v>7232.63</v>
          </cell>
          <cell r="AH445">
            <v>1662.5</v>
          </cell>
          <cell r="AI445">
            <v>-5503.9999999999982</v>
          </cell>
          <cell r="AK445" t="str">
            <v>S1</v>
          </cell>
        </row>
        <row r="446">
          <cell r="G446">
            <v>51</v>
          </cell>
          <cell r="J446">
            <v>7276</v>
          </cell>
          <cell r="K446" t="str">
            <v>AnMC</v>
          </cell>
          <cell r="S446">
            <v>51.099999999999454</v>
          </cell>
        </row>
        <row r="447">
          <cell r="B447" t="str">
            <v>7-1.05</v>
          </cell>
          <cell r="C447">
            <v>7283.5</v>
          </cell>
          <cell r="F447">
            <v>-3450</v>
          </cell>
          <cell r="H447" t="str">
            <v>A/S</v>
          </cell>
          <cell r="I447" t="str">
            <v>CP+AnMC</v>
          </cell>
          <cell r="L447" t="str">
            <v>HEB-260 (CP)</v>
          </cell>
          <cell r="M447" t="str">
            <v>C4R</v>
          </cell>
          <cell r="N447" t="str">
            <v>EMT-2</v>
          </cell>
          <cell r="Q447">
            <v>20</v>
          </cell>
          <cell r="R447">
            <v>-2435.91</v>
          </cell>
          <cell r="T447">
            <v>20</v>
          </cell>
          <cell r="W447">
            <v>1.4</v>
          </cell>
          <cell r="AC447" t="str">
            <v>PHQ-1150</v>
          </cell>
          <cell r="AF447">
            <v>6000</v>
          </cell>
          <cell r="AG447">
            <v>7283.73</v>
          </cell>
          <cell r="AH447">
            <v>2615</v>
          </cell>
          <cell r="AI447">
            <v>300</v>
          </cell>
          <cell r="AM447" t="str">
            <v>RW2</v>
          </cell>
        </row>
        <row r="448">
          <cell r="G448">
            <v>45</v>
          </cell>
          <cell r="I448" t="str">
            <v>AnRW</v>
          </cell>
          <cell r="J448">
            <v>7319</v>
          </cell>
          <cell r="K448" t="str">
            <v>AnM</v>
          </cell>
          <cell r="S448">
            <v>44.8100000000004</v>
          </cell>
        </row>
        <row r="449">
          <cell r="B449" t="str">
            <v>7-1.06</v>
          </cell>
          <cell r="C449">
            <v>7328.5</v>
          </cell>
          <cell r="F449">
            <v>-900</v>
          </cell>
          <cell r="H449" t="str">
            <v>S/A</v>
          </cell>
          <cell r="I449" t="str">
            <v>AnRW</v>
          </cell>
          <cell r="J449">
            <v>7321</v>
          </cell>
          <cell r="K449" t="str">
            <v>AnM</v>
          </cell>
          <cell r="L449" t="str">
            <v>2HEB-240</v>
          </cell>
          <cell r="M449" t="str">
            <v>C2H-240</v>
          </cell>
          <cell r="N449" t="str">
            <v>EMT-T</v>
          </cell>
          <cell r="O449" t="str">
            <v>EMT-2</v>
          </cell>
          <cell r="Q449">
            <v>66</v>
          </cell>
          <cell r="R449">
            <v>-900</v>
          </cell>
          <cell r="T449">
            <v>40</v>
          </cell>
          <cell r="U449">
            <v>-5</v>
          </cell>
          <cell r="W449">
            <v>1.4</v>
          </cell>
          <cell r="X449">
            <v>2.2999999999999998</v>
          </cell>
          <cell r="Z449">
            <v>0.6</v>
          </cell>
          <cell r="AD449" t="str">
            <v>PHQ-1350</v>
          </cell>
          <cell r="AF449">
            <v>5800</v>
          </cell>
          <cell r="AG449">
            <v>7328.54</v>
          </cell>
          <cell r="AH449">
            <v>2547</v>
          </cell>
          <cell r="AI449">
            <v>478</v>
          </cell>
          <cell r="AM449" t="str">
            <v>RW2</v>
          </cell>
        </row>
        <row r="450">
          <cell r="G450">
            <v>45</v>
          </cell>
          <cell r="S450">
            <v>45.039999999999964</v>
          </cell>
        </row>
        <row r="451">
          <cell r="B451" t="str">
            <v>7-1.07</v>
          </cell>
          <cell r="C451">
            <v>7373.5</v>
          </cell>
          <cell r="F451">
            <v>-900</v>
          </cell>
          <cell r="H451" t="str">
            <v>S/A</v>
          </cell>
          <cell r="L451" t="str">
            <v>HEB-280</v>
          </cell>
          <cell r="M451" t="str">
            <v>C5</v>
          </cell>
          <cell r="N451" t="str">
            <v>EMT-2</v>
          </cell>
          <cell r="O451" t="str">
            <v>EMT-2</v>
          </cell>
          <cell r="Q451">
            <v>64</v>
          </cell>
          <cell r="R451">
            <v>-900</v>
          </cell>
          <cell r="T451">
            <v>35</v>
          </cell>
          <cell r="U451">
            <v>-10</v>
          </cell>
          <cell r="W451">
            <v>1.4</v>
          </cell>
          <cell r="X451">
            <v>2.2999999999999998</v>
          </cell>
          <cell r="Z451">
            <v>0.1</v>
          </cell>
          <cell r="AC451" t="str">
            <v>PHC-1150</v>
          </cell>
          <cell r="AD451" t="str">
            <v>BCE-1500</v>
          </cell>
          <cell r="AF451">
            <v>6000</v>
          </cell>
          <cell r="AG451">
            <v>7373.58</v>
          </cell>
          <cell r="AH451">
            <v>2579</v>
          </cell>
          <cell r="AI451">
            <v>582</v>
          </cell>
          <cell r="AM451" t="str">
            <v>RW2</v>
          </cell>
        </row>
        <row r="452">
          <cell r="G452">
            <v>43</v>
          </cell>
          <cell r="S452">
            <v>43.170000000000073</v>
          </cell>
        </row>
        <row r="453">
          <cell r="A453" t="str">
            <v xml:space="preserve"> BEN-15</v>
          </cell>
          <cell r="B453" t="str">
            <v>7-1.08</v>
          </cell>
          <cell r="C453">
            <v>7416.5</v>
          </cell>
          <cell r="F453">
            <v>-900</v>
          </cell>
          <cell r="H453" t="str">
            <v>S/A</v>
          </cell>
          <cell r="I453" t="str">
            <v>IO</v>
          </cell>
          <cell r="L453" t="str">
            <v>HEB-280</v>
          </cell>
          <cell r="M453" t="str">
            <v>C5</v>
          </cell>
          <cell r="N453" t="str">
            <v>EMT-2</v>
          </cell>
          <cell r="O453" t="str">
            <v>EMT-2</v>
          </cell>
          <cell r="Q453">
            <v>65</v>
          </cell>
          <cell r="R453">
            <v>-900</v>
          </cell>
          <cell r="T453">
            <v>35</v>
          </cell>
          <cell r="U453">
            <v>-10</v>
          </cell>
          <cell r="W453">
            <v>1.4</v>
          </cell>
          <cell r="X453">
            <v>2.2999999999999998</v>
          </cell>
          <cell r="AA453">
            <v>0.1</v>
          </cell>
          <cell r="AC453" t="str">
            <v>PHQ-1150</v>
          </cell>
          <cell r="AD453" t="str">
            <v>BC-1501</v>
          </cell>
          <cell r="AF453">
            <v>6000</v>
          </cell>
          <cell r="AG453">
            <v>7416.75</v>
          </cell>
          <cell r="AH453">
            <v>2568</v>
          </cell>
          <cell r="AI453">
            <v>624</v>
          </cell>
          <cell r="AJ453" t="str">
            <v>Disc/IO</v>
          </cell>
          <cell r="AM453" t="str">
            <v>RW2</v>
          </cell>
        </row>
        <row r="454">
          <cell r="G454">
            <v>38</v>
          </cell>
          <cell r="S454">
            <v>37.890000000000327</v>
          </cell>
        </row>
        <row r="455">
          <cell r="A455" t="str">
            <v>Start bridge 7</v>
          </cell>
          <cell r="B455" t="str">
            <v>7-1.09</v>
          </cell>
          <cell r="C455">
            <v>7454.5</v>
          </cell>
          <cell r="F455">
            <v>-900</v>
          </cell>
          <cell r="H455" t="str">
            <v>S/A</v>
          </cell>
          <cell r="L455" t="str">
            <v>2HEB-240</v>
          </cell>
          <cell r="M455" t="str">
            <v>CV-PAW</v>
          </cell>
          <cell r="N455" t="str">
            <v>EMT-2</v>
          </cell>
          <cell r="O455" t="str">
            <v>EMT-T</v>
          </cell>
          <cell r="Q455">
            <v>68</v>
          </cell>
          <cell r="R455">
            <v>-900</v>
          </cell>
          <cell r="T455">
            <v>35</v>
          </cell>
          <cell r="U455">
            <v>-10</v>
          </cell>
          <cell r="W455">
            <v>1.4</v>
          </cell>
          <cell r="X455">
            <v>2.2999999999999998</v>
          </cell>
          <cell r="AA455">
            <v>0.6</v>
          </cell>
          <cell r="AC455" t="str">
            <v>PH-Q 1150</v>
          </cell>
          <cell r="AF455">
            <v>6000</v>
          </cell>
          <cell r="AG455">
            <v>7454.64</v>
          </cell>
          <cell r="AH455">
            <v>3249</v>
          </cell>
          <cell r="AI455">
            <v>281</v>
          </cell>
          <cell r="AM455" t="str">
            <v>RW2</v>
          </cell>
        </row>
        <row r="456">
          <cell r="G456">
            <v>36</v>
          </cell>
          <cell r="I456">
            <v>560</v>
          </cell>
          <cell r="S456">
            <v>36.109999999999673</v>
          </cell>
        </row>
        <row r="457">
          <cell r="B457" t="str">
            <v>7-1.10</v>
          </cell>
          <cell r="C457">
            <v>7490.5</v>
          </cell>
          <cell r="F457">
            <v>-900</v>
          </cell>
          <cell r="H457" t="str">
            <v xml:space="preserve">A/S </v>
          </cell>
          <cell r="I457" t="str">
            <v>CP+AnMC</v>
          </cell>
          <cell r="L457" t="str">
            <v>HEB-280 (CP)</v>
          </cell>
          <cell r="M457" t="str">
            <v>CV-PAW</v>
          </cell>
          <cell r="N457" t="str">
            <v>EMT-2</v>
          </cell>
          <cell r="Q457">
            <v>65</v>
          </cell>
          <cell r="R457">
            <v>-900</v>
          </cell>
          <cell r="T457">
            <v>30</v>
          </cell>
          <cell r="W457">
            <v>1.4</v>
          </cell>
          <cell r="AC457" t="str">
            <v>PH-Q 1150</v>
          </cell>
          <cell r="AF457">
            <v>6000</v>
          </cell>
          <cell r="AG457">
            <v>7490.75</v>
          </cell>
          <cell r="AH457">
            <v>3237</v>
          </cell>
          <cell r="AI457">
            <v>314</v>
          </cell>
          <cell r="AM457" t="str">
            <v>RW2</v>
          </cell>
        </row>
        <row r="458">
          <cell r="G458">
            <v>36</v>
          </cell>
          <cell r="J458">
            <v>7502.5</v>
          </cell>
          <cell r="K458" t="str">
            <v>AnMC</v>
          </cell>
          <cell r="M458" t="str">
            <v>CV-PAW</v>
          </cell>
          <cell r="S458">
            <v>35.9399999999996</v>
          </cell>
        </row>
        <row r="459">
          <cell r="B459" t="str">
            <v>7-1.11</v>
          </cell>
          <cell r="C459">
            <v>7526.5</v>
          </cell>
          <cell r="F459">
            <v>-900</v>
          </cell>
          <cell r="L459" t="str">
            <v>HEB-260</v>
          </cell>
          <cell r="M459" t="str">
            <v>CV-PAW</v>
          </cell>
          <cell r="N459" t="str">
            <v>EMT-2</v>
          </cell>
          <cell r="Q459">
            <v>65</v>
          </cell>
          <cell r="R459">
            <v>-900</v>
          </cell>
          <cell r="T459">
            <v>30</v>
          </cell>
          <cell r="W459">
            <v>1.4</v>
          </cell>
          <cell r="AC459" t="str">
            <v>PH-Q 1150</v>
          </cell>
          <cell r="AF459">
            <v>6000</v>
          </cell>
          <cell r="AG459">
            <v>7526.69</v>
          </cell>
          <cell r="AH459">
            <v>3248</v>
          </cell>
          <cell r="AI459">
            <v>269</v>
          </cell>
          <cell r="AM459" t="str">
            <v>RW2</v>
          </cell>
        </row>
        <row r="460">
          <cell r="G460">
            <v>36</v>
          </cell>
          <cell r="S460">
            <v>36.100000000000364</v>
          </cell>
        </row>
        <row r="461">
          <cell r="B461" t="str">
            <v>7-1.12</v>
          </cell>
          <cell r="C461">
            <v>7562.5</v>
          </cell>
          <cell r="F461">
            <v>-900</v>
          </cell>
          <cell r="L461" t="str">
            <v>HEB-260</v>
          </cell>
          <cell r="M461" t="str">
            <v>CV-PAW</v>
          </cell>
          <cell r="N461" t="str">
            <v>EMT-2</v>
          </cell>
          <cell r="Q461">
            <v>64</v>
          </cell>
          <cell r="R461">
            <v>-900</v>
          </cell>
          <cell r="T461">
            <v>30</v>
          </cell>
          <cell r="W461">
            <v>1.4</v>
          </cell>
          <cell r="AC461" t="str">
            <v>PH-Q 1150</v>
          </cell>
          <cell r="AF461">
            <v>6000</v>
          </cell>
          <cell r="AG461">
            <v>7562.79</v>
          </cell>
          <cell r="AH461">
            <v>3353</v>
          </cell>
          <cell r="AI461">
            <v>251</v>
          </cell>
          <cell r="AM461" t="str">
            <v>RW2</v>
          </cell>
        </row>
        <row r="462">
          <cell r="A462" t="str">
            <v>Bridge 7.0</v>
          </cell>
          <cell r="G462">
            <v>36</v>
          </cell>
          <cell r="S462">
            <v>35.779999999999745</v>
          </cell>
        </row>
        <row r="463">
          <cell r="B463" t="str">
            <v>7-1.13</v>
          </cell>
          <cell r="C463">
            <v>7598.5</v>
          </cell>
          <cell r="F463">
            <v>-900</v>
          </cell>
          <cell r="L463" t="str">
            <v>HEB-260</v>
          </cell>
          <cell r="M463" t="str">
            <v>CV-PAW</v>
          </cell>
          <cell r="N463" t="str">
            <v>EMT-2</v>
          </cell>
          <cell r="Q463">
            <v>63</v>
          </cell>
          <cell r="R463">
            <v>-900</v>
          </cell>
          <cell r="T463">
            <v>30</v>
          </cell>
          <cell r="W463">
            <v>1.4</v>
          </cell>
          <cell r="AC463" t="str">
            <v>PH-Q 1150</v>
          </cell>
          <cell r="AF463">
            <v>6000</v>
          </cell>
          <cell r="AG463">
            <v>7598.57</v>
          </cell>
          <cell r="AH463">
            <v>3278</v>
          </cell>
          <cell r="AI463">
            <v>455</v>
          </cell>
          <cell r="AM463" t="str">
            <v>RW2</v>
          </cell>
        </row>
        <row r="464">
          <cell r="G464">
            <v>36</v>
          </cell>
          <cell r="S464">
            <v>35.960000000000036</v>
          </cell>
        </row>
        <row r="465">
          <cell r="B465" t="str">
            <v>7-1.14</v>
          </cell>
          <cell r="C465">
            <v>7634.5</v>
          </cell>
          <cell r="F465">
            <v>-900</v>
          </cell>
          <cell r="L465" t="str">
            <v>HEB-260</v>
          </cell>
          <cell r="M465" t="str">
            <v>CV-PAW</v>
          </cell>
          <cell r="N465" t="str">
            <v>EMT-2</v>
          </cell>
          <cell r="Q465">
            <v>39</v>
          </cell>
          <cell r="R465">
            <v>-900</v>
          </cell>
          <cell r="T465">
            <v>30</v>
          </cell>
          <cell r="W465">
            <v>1.4</v>
          </cell>
          <cell r="AC465" t="str">
            <v>PH-Q 1150</v>
          </cell>
          <cell r="AF465">
            <v>6000</v>
          </cell>
          <cell r="AG465">
            <v>7634.53</v>
          </cell>
          <cell r="AH465">
            <v>3229</v>
          </cell>
          <cell r="AI465">
            <v>387</v>
          </cell>
          <cell r="AM465" t="str">
            <v>RW2</v>
          </cell>
        </row>
        <row r="466">
          <cell r="G466">
            <v>36</v>
          </cell>
          <cell r="S466">
            <v>36.170000000000073</v>
          </cell>
        </row>
        <row r="467">
          <cell r="B467" t="str">
            <v>7-1.15</v>
          </cell>
          <cell r="C467">
            <v>7670.5</v>
          </cell>
          <cell r="F467">
            <v>-1225</v>
          </cell>
          <cell r="L467" t="str">
            <v>HEB-260</v>
          </cell>
          <cell r="M467" t="str">
            <v>CV-PAW</v>
          </cell>
          <cell r="N467" t="str">
            <v>EMT-2</v>
          </cell>
          <cell r="Q467">
            <v>5</v>
          </cell>
          <cell r="R467">
            <v>-18827</v>
          </cell>
          <cell r="T467">
            <v>30</v>
          </cell>
          <cell r="W467">
            <v>1.4</v>
          </cell>
          <cell r="AC467" t="str">
            <v>PH 1150</v>
          </cell>
          <cell r="AF467">
            <v>6000</v>
          </cell>
          <cell r="AG467">
            <v>7670.7</v>
          </cell>
          <cell r="AH467">
            <v>3208</v>
          </cell>
          <cell r="AI467">
            <v>378</v>
          </cell>
          <cell r="AM467" t="str">
            <v>RW2</v>
          </cell>
        </row>
        <row r="468">
          <cell r="G468">
            <v>36</v>
          </cell>
          <cell r="S468">
            <v>35.800000000000182</v>
          </cell>
        </row>
        <row r="469">
          <cell r="B469" t="str">
            <v>7-1.16</v>
          </cell>
          <cell r="C469">
            <v>7706.5</v>
          </cell>
          <cell r="F469">
            <v>0</v>
          </cell>
          <cell r="L469" t="str">
            <v>HEB-260</v>
          </cell>
          <cell r="M469" t="str">
            <v>PL4</v>
          </cell>
          <cell r="N469" t="str">
            <v>EMT-1</v>
          </cell>
          <cell r="Q469">
            <v>0</v>
          </cell>
          <cell r="R469" t="str">
            <v>inf</v>
          </cell>
          <cell r="T469">
            <v>-35</v>
          </cell>
          <cell r="W469">
            <v>1.4</v>
          </cell>
          <cell r="AC469" t="str">
            <v>PH-Q 1150</v>
          </cell>
          <cell r="AF469">
            <v>6000</v>
          </cell>
          <cell r="AG469">
            <v>7706.5</v>
          </cell>
          <cell r="AH469">
            <v>2773</v>
          </cell>
          <cell r="AI469">
            <v>557</v>
          </cell>
          <cell r="AM469" t="str">
            <v>RW2</v>
          </cell>
        </row>
        <row r="470">
          <cell r="G470">
            <v>36</v>
          </cell>
          <cell r="S470">
            <v>36.039999999999964</v>
          </cell>
        </row>
        <row r="471">
          <cell r="B471" t="str">
            <v>7-1.17</v>
          </cell>
          <cell r="C471">
            <v>7742.5</v>
          </cell>
          <cell r="F471">
            <v>0</v>
          </cell>
          <cell r="L471" t="str">
            <v>HEB-260</v>
          </cell>
          <cell r="M471" t="str">
            <v>PL4</v>
          </cell>
          <cell r="N471" t="str">
            <v>EMT-2</v>
          </cell>
          <cell r="Q471">
            <v>0</v>
          </cell>
          <cell r="R471" t="str">
            <v>inf</v>
          </cell>
          <cell r="T471">
            <v>30</v>
          </cell>
          <cell r="W471">
            <v>1.4</v>
          </cell>
          <cell r="AC471" t="str">
            <v>PH-Q 1150</v>
          </cell>
          <cell r="AF471">
            <v>6000</v>
          </cell>
          <cell r="AG471">
            <v>7742.54</v>
          </cell>
          <cell r="AH471">
            <v>2783</v>
          </cell>
          <cell r="AI471">
            <v>580</v>
          </cell>
          <cell r="AM471" t="str">
            <v>RW2</v>
          </cell>
        </row>
        <row r="472">
          <cell r="G472">
            <v>35.5</v>
          </cell>
          <cell r="S472">
            <v>34.359999999999673</v>
          </cell>
        </row>
        <row r="473">
          <cell r="B473" t="str">
            <v>7-1.18</v>
          </cell>
          <cell r="C473">
            <v>7778</v>
          </cell>
          <cell r="F473">
            <v>0</v>
          </cell>
          <cell r="H473" t="str">
            <v>A/S</v>
          </cell>
          <cell r="I473" t="str">
            <v>CP+AnMC</v>
          </cell>
          <cell r="L473" t="str">
            <v>2HEB-300 (CP)</v>
          </cell>
          <cell r="M473" t="str">
            <v>PL2H300</v>
          </cell>
          <cell r="N473" t="str">
            <v>EMT-1</v>
          </cell>
          <cell r="Q473">
            <v>0</v>
          </cell>
          <cell r="R473" t="str">
            <v>inf</v>
          </cell>
          <cell r="T473">
            <v>-25</v>
          </cell>
          <cell r="W473">
            <v>1.4</v>
          </cell>
          <cell r="AC473" t="str">
            <v>PH-Q 1150</v>
          </cell>
          <cell r="AF473">
            <v>6000</v>
          </cell>
          <cell r="AG473">
            <v>7776.9</v>
          </cell>
          <cell r="AH473">
            <v>2858</v>
          </cell>
          <cell r="AI473">
            <v>480</v>
          </cell>
          <cell r="AM473" t="str">
            <v>RW2</v>
          </cell>
        </row>
        <row r="474">
          <cell r="G474">
            <v>36</v>
          </cell>
          <cell r="S474">
            <v>38.289999999999964</v>
          </cell>
        </row>
        <row r="475">
          <cell r="B475" t="str">
            <v>7-1.19</v>
          </cell>
          <cell r="C475">
            <v>7814</v>
          </cell>
          <cell r="F475">
            <v>0</v>
          </cell>
          <cell r="H475" t="str">
            <v>S/A</v>
          </cell>
          <cell r="L475" t="str">
            <v>2HEB-240</v>
          </cell>
          <cell r="M475" t="str">
            <v>PL2H240</v>
          </cell>
          <cell r="N475" t="str">
            <v>EMT-T</v>
          </cell>
          <cell r="O475" t="str">
            <v>EMT-2</v>
          </cell>
          <cell r="Q475">
            <v>0</v>
          </cell>
          <cell r="R475" t="str">
            <v>inf</v>
          </cell>
          <cell r="T475">
            <v>35</v>
          </cell>
          <cell r="U475">
            <v>15</v>
          </cell>
          <cell r="W475">
            <v>1.4</v>
          </cell>
          <cell r="X475">
            <v>2.2999999999999998</v>
          </cell>
          <cell r="Z475">
            <v>0.45</v>
          </cell>
          <cell r="AD475" t="str">
            <v>PH 1150</v>
          </cell>
          <cell r="AF475">
            <v>6000</v>
          </cell>
          <cell r="AG475">
            <v>7815.19</v>
          </cell>
          <cell r="AH475">
            <v>2806</v>
          </cell>
          <cell r="AI475">
            <v>564</v>
          </cell>
          <cell r="AM475" t="str">
            <v>RW2</v>
          </cell>
        </row>
        <row r="476">
          <cell r="A476" t="str">
            <v>Bridge 7.1</v>
          </cell>
          <cell r="G476">
            <v>50</v>
          </cell>
          <cell r="S476">
            <v>47.650000000000546</v>
          </cell>
        </row>
        <row r="477">
          <cell r="B477" t="str">
            <v>7-1.20</v>
          </cell>
          <cell r="C477">
            <v>7864</v>
          </cell>
          <cell r="F477">
            <v>0</v>
          </cell>
          <cell r="H477" t="str">
            <v>S/A</v>
          </cell>
          <cell r="L477" t="str">
            <v>2HEB-240</v>
          </cell>
          <cell r="M477" t="str">
            <v>PL2H240</v>
          </cell>
          <cell r="N477" t="str">
            <v>EMT-1</v>
          </cell>
          <cell r="O477" t="str">
            <v>EMT-T</v>
          </cell>
          <cell r="Q477">
            <v>0</v>
          </cell>
          <cell r="R477" t="str">
            <v>inf</v>
          </cell>
          <cell r="T477">
            <v>-15</v>
          </cell>
          <cell r="U477">
            <v>-35</v>
          </cell>
          <cell r="W477">
            <v>1.4</v>
          </cell>
          <cell r="X477">
            <v>2.2999999999999998</v>
          </cell>
          <cell r="AA477">
            <v>0.45</v>
          </cell>
          <cell r="AC477" t="str">
            <v>PH 1150</v>
          </cell>
          <cell r="AF477">
            <v>6000</v>
          </cell>
          <cell r="AG477">
            <v>7862.84</v>
          </cell>
          <cell r="AH477">
            <v>2809</v>
          </cell>
          <cell r="AI477">
            <v>471</v>
          </cell>
          <cell r="AM477" t="str">
            <v>RW2</v>
          </cell>
        </row>
        <row r="478">
          <cell r="G478">
            <v>50</v>
          </cell>
          <cell r="I478">
            <v>630.5</v>
          </cell>
          <cell r="S478">
            <v>50.809999999999491</v>
          </cell>
        </row>
        <row r="479">
          <cell r="B479" t="str">
            <v>7-1.21</v>
          </cell>
          <cell r="C479">
            <v>7914</v>
          </cell>
          <cell r="F479">
            <v>0</v>
          </cell>
          <cell r="H479" t="str">
            <v>A/S</v>
          </cell>
          <cell r="I479" t="str">
            <v>FP+AnMC</v>
          </cell>
          <cell r="L479" t="str">
            <v>2HEB-300 (CP)</v>
          </cell>
          <cell r="M479" t="str">
            <v>PL2H300</v>
          </cell>
          <cell r="N479" t="str">
            <v>EMT-2</v>
          </cell>
          <cell r="Q479">
            <v>0</v>
          </cell>
          <cell r="R479" t="str">
            <v>inf</v>
          </cell>
          <cell r="T479">
            <v>25</v>
          </cell>
          <cell r="W479">
            <v>1.4</v>
          </cell>
          <cell r="AC479" t="str">
            <v>PH 1150</v>
          </cell>
          <cell r="AF479">
            <v>6000</v>
          </cell>
          <cell r="AG479">
            <v>7913.65</v>
          </cell>
          <cell r="AH479">
            <v>2829</v>
          </cell>
          <cell r="AI479">
            <v>526</v>
          </cell>
          <cell r="AM479" t="str">
            <v>RW2</v>
          </cell>
        </row>
        <row r="480">
          <cell r="G480">
            <v>50</v>
          </cell>
          <cell r="S480">
            <v>50.100000000000364</v>
          </cell>
        </row>
        <row r="481">
          <cell r="B481" t="str">
            <v>7-1.22</v>
          </cell>
          <cell r="C481">
            <v>7964</v>
          </cell>
          <cell r="F481">
            <v>0</v>
          </cell>
          <cell r="L481" t="str">
            <v>HEB-260</v>
          </cell>
          <cell r="M481" t="str">
            <v>PL4</v>
          </cell>
          <cell r="N481" t="str">
            <v>EMT-1</v>
          </cell>
          <cell r="Q481">
            <v>0</v>
          </cell>
          <cell r="R481" t="str">
            <v>inf</v>
          </cell>
          <cell r="T481">
            <v>-35</v>
          </cell>
          <cell r="W481">
            <v>1.4</v>
          </cell>
          <cell r="AC481" t="str">
            <v>PH-Q 1150</v>
          </cell>
          <cell r="AF481">
            <v>6000</v>
          </cell>
          <cell r="AG481">
            <v>7963.75</v>
          </cell>
          <cell r="AH481">
            <v>2822</v>
          </cell>
          <cell r="AI481">
            <v>628</v>
          </cell>
          <cell r="AM481" t="str">
            <v>RW2</v>
          </cell>
        </row>
        <row r="482">
          <cell r="G482">
            <v>53</v>
          </cell>
          <cell r="S482">
            <v>52.720000000000255</v>
          </cell>
        </row>
        <row r="483">
          <cell r="B483" t="str">
            <v>8-1.01</v>
          </cell>
          <cell r="C483">
            <v>8017</v>
          </cell>
          <cell r="F483">
            <v>0</v>
          </cell>
          <cell r="L483" t="str">
            <v>HEB-260</v>
          </cell>
          <cell r="M483" t="str">
            <v>PL4</v>
          </cell>
          <cell r="N483" t="str">
            <v>EMT-2</v>
          </cell>
          <cell r="Q483">
            <v>0</v>
          </cell>
          <cell r="R483" t="str">
            <v>inf</v>
          </cell>
          <cell r="T483">
            <v>35</v>
          </cell>
          <cell r="W483">
            <v>1.4</v>
          </cell>
          <cell r="AC483" t="str">
            <v>PH-Q 1150</v>
          </cell>
          <cell r="AF483">
            <v>6000</v>
          </cell>
          <cell r="AG483">
            <v>8016.47</v>
          </cell>
          <cell r="AH483">
            <v>2820</v>
          </cell>
          <cell r="AI483">
            <v>669</v>
          </cell>
          <cell r="AM483" t="str">
            <v>RW2</v>
          </cell>
        </row>
        <row r="484">
          <cell r="A484" t="str">
            <v>Bridge 7.2</v>
          </cell>
          <cell r="G484">
            <v>42</v>
          </cell>
          <cell r="S484">
            <v>42.349999999999454</v>
          </cell>
        </row>
        <row r="485">
          <cell r="B485" t="str">
            <v>8-1.02</v>
          </cell>
          <cell r="C485">
            <v>8059</v>
          </cell>
          <cell r="F485">
            <v>0</v>
          </cell>
          <cell r="L485" t="str">
            <v>HEB-260</v>
          </cell>
          <cell r="M485" t="str">
            <v>PL4</v>
          </cell>
          <cell r="N485" t="str">
            <v>EMT-1</v>
          </cell>
          <cell r="Q485">
            <v>0</v>
          </cell>
          <cell r="R485" t="str">
            <v>inf</v>
          </cell>
          <cell r="T485">
            <v>-35</v>
          </cell>
          <cell r="W485">
            <v>1.4</v>
          </cell>
          <cell r="AC485" t="str">
            <v>PH 1150</v>
          </cell>
          <cell r="AF485">
            <v>6000</v>
          </cell>
          <cell r="AG485">
            <v>8058.82</v>
          </cell>
          <cell r="AH485">
            <v>2885</v>
          </cell>
          <cell r="AI485">
            <v>791</v>
          </cell>
          <cell r="AM485" t="str">
            <v>RW2</v>
          </cell>
        </row>
        <row r="486">
          <cell r="G486">
            <v>50</v>
          </cell>
          <cell r="S486">
            <v>49.829999999999927</v>
          </cell>
        </row>
        <row r="487">
          <cell r="B487" t="str">
            <v>8-1.03</v>
          </cell>
          <cell r="C487">
            <v>8109</v>
          </cell>
          <cell r="F487">
            <v>3450</v>
          </cell>
          <cell r="L487" t="str">
            <v>HEB-260</v>
          </cell>
          <cell r="M487" t="str">
            <v>PL4</v>
          </cell>
          <cell r="N487" t="str">
            <v>EMT-E</v>
          </cell>
          <cell r="Q487">
            <v>20</v>
          </cell>
          <cell r="R487">
            <v>4435</v>
          </cell>
          <cell r="T487">
            <v>-30</v>
          </cell>
          <cell r="W487">
            <v>1.4</v>
          </cell>
          <cell r="AC487" t="str">
            <v>PH 1150</v>
          </cell>
          <cell r="AF487">
            <v>6000</v>
          </cell>
          <cell r="AG487">
            <v>8108.65</v>
          </cell>
          <cell r="AH487">
            <v>2744</v>
          </cell>
          <cell r="AI487">
            <v>800</v>
          </cell>
          <cell r="AM487" t="str">
            <v>RW2</v>
          </cell>
        </row>
        <row r="488">
          <cell r="G488">
            <v>50</v>
          </cell>
          <cell r="S488">
            <v>50.5</v>
          </cell>
        </row>
        <row r="489">
          <cell r="B489" t="str">
            <v>8-1.04</v>
          </cell>
          <cell r="C489">
            <v>8159</v>
          </cell>
          <cell r="F489">
            <v>1600</v>
          </cell>
          <cell r="L489" t="str">
            <v>HEB-280</v>
          </cell>
          <cell r="M489" t="str">
            <v>PL5</v>
          </cell>
          <cell r="N489" t="str">
            <v>EMT-1</v>
          </cell>
          <cell r="Q489">
            <v>80</v>
          </cell>
          <cell r="R489">
            <v>745</v>
          </cell>
          <cell r="T489">
            <v>-30</v>
          </cell>
          <cell r="W489">
            <v>1.4</v>
          </cell>
          <cell r="AC489" t="str">
            <v>PH-C 1150</v>
          </cell>
          <cell r="AF489">
            <v>6300</v>
          </cell>
          <cell r="AG489">
            <v>8159.15</v>
          </cell>
          <cell r="AH489">
            <v>2873</v>
          </cell>
          <cell r="AI489">
            <v>814</v>
          </cell>
          <cell r="AM489" t="str">
            <v>RW2</v>
          </cell>
        </row>
        <row r="490">
          <cell r="G490">
            <v>36</v>
          </cell>
          <cell r="S490">
            <v>36.479999999999563</v>
          </cell>
        </row>
        <row r="491">
          <cell r="B491" t="str">
            <v>8-1.05</v>
          </cell>
          <cell r="C491">
            <v>8195</v>
          </cell>
          <cell r="F491">
            <v>800</v>
          </cell>
          <cell r="L491" t="str">
            <v>HEB-280</v>
          </cell>
          <cell r="M491" t="str">
            <v>PL5</v>
          </cell>
          <cell r="N491" t="str">
            <v>EMT-1</v>
          </cell>
          <cell r="Q491">
            <v>112</v>
          </cell>
          <cell r="R491">
            <v>805</v>
          </cell>
          <cell r="T491">
            <v>-30</v>
          </cell>
          <cell r="W491">
            <v>1.4</v>
          </cell>
          <cell r="AC491" t="str">
            <v>PH-Q 1150</v>
          </cell>
          <cell r="AF491">
            <v>6000</v>
          </cell>
          <cell r="AG491">
            <v>8195.6299999999992</v>
          </cell>
          <cell r="AH491">
            <v>3047</v>
          </cell>
          <cell r="AI491">
            <v>815</v>
          </cell>
          <cell r="AM491" t="str">
            <v>RW2</v>
          </cell>
        </row>
        <row r="492">
          <cell r="G492">
            <v>36</v>
          </cell>
          <cell r="S492">
            <v>35.160000000001673</v>
          </cell>
        </row>
        <row r="493">
          <cell r="B493" t="str">
            <v>8-1.06</v>
          </cell>
          <cell r="C493">
            <v>8231</v>
          </cell>
          <cell r="F493">
            <v>800</v>
          </cell>
          <cell r="H493" t="str">
            <v>AnMP</v>
          </cell>
          <cell r="L493" t="str">
            <v>2HEB-280</v>
          </cell>
          <cell r="M493" t="str">
            <v>PL2H280</v>
          </cell>
          <cell r="N493" t="str">
            <v>EMT-1</v>
          </cell>
          <cell r="Q493">
            <v>110</v>
          </cell>
          <cell r="R493">
            <v>805</v>
          </cell>
          <cell r="T493">
            <v>-30</v>
          </cell>
          <cell r="W493">
            <v>1.4</v>
          </cell>
          <cell r="AC493" t="str">
            <v>PH-Q 1150</v>
          </cell>
          <cell r="AF493">
            <v>6000</v>
          </cell>
          <cell r="AG493">
            <v>8230.7900000000009</v>
          </cell>
          <cell r="AH493">
            <v>3118</v>
          </cell>
          <cell r="AI493">
            <v>783</v>
          </cell>
          <cell r="AM493" t="str">
            <v>RW2</v>
          </cell>
        </row>
        <row r="494">
          <cell r="G494">
            <v>36</v>
          </cell>
          <cell r="I494">
            <v>489</v>
          </cell>
          <cell r="S494">
            <v>36.509999999998399</v>
          </cell>
        </row>
        <row r="495">
          <cell r="B495" t="str">
            <v>8-1.07</v>
          </cell>
          <cell r="C495">
            <v>8267</v>
          </cell>
          <cell r="F495">
            <v>800</v>
          </cell>
          <cell r="H495" t="str">
            <v>MP</v>
          </cell>
          <cell r="L495" t="str">
            <v>HEB-280</v>
          </cell>
          <cell r="M495" t="str">
            <v>PL5</v>
          </cell>
          <cell r="N495" t="str">
            <v>EMT-1</v>
          </cell>
          <cell r="Q495">
            <v>108</v>
          </cell>
          <cell r="R495">
            <v>805</v>
          </cell>
          <cell r="T495">
            <v>-30</v>
          </cell>
          <cell r="W495">
            <v>1.4</v>
          </cell>
          <cell r="AC495" t="str">
            <v>PH-Q 1150</v>
          </cell>
          <cell r="AF495">
            <v>6000</v>
          </cell>
          <cell r="AG495">
            <v>8267.2999999999993</v>
          </cell>
          <cell r="AH495">
            <v>3213</v>
          </cell>
          <cell r="AI495">
            <v>832</v>
          </cell>
          <cell r="AM495" t="str">
            <v>RW2</v>
          </cell>
        </row>
        <row r="496">
          <cell r="A496" t="str">
            <v>Bridge 7.3</v>
          </cell>
          <cell r="G496">
            <v>39</v>
          </cell>
          <cell r="I496">
            <v>468</v>
          </cell>
          <cell r="S496">
            <v>38.150000000001455</v>
          </cell>
        </row>
        <row r="497">
          <cell r="B497" t="str">
            <v>8-1.08</v>
          </cell>
          <cell r="C497">
            <v>8306</v>
          </cell>
          <cell r="F497">
            <v>800</v>
          </cell>
          <cell r="H497" t="str">
            <v>AnMP</v>
          </cell>
          <cell r="L497" t="str">
            <v>2HEB-280</v>
          </cell>
          <cell r="M497" t="str">
            <v>PL2H280</v>
          </cell>
          <cell r="N497" t="str">
            <v>EMT-1</v>
          </cell>
          <cell r="Q497">
            <v>110</v>
          </cell>
          <cell r="R497">
            <v>805</v>
          </cell>
          <cell r="T497">
            <v>-30</v>
          </cell>
          <cell r="W497">
            <v>1.4</v>
          </cell>
          <cell r="AC497" t="str">
            <v>PH-Q 1150</v>
          </cell>
          <cell r="AF497">
            <v>6000</v>
          </cell>
          <cell r="AG497">
            <v>8305.4500000000007</v>
          </cell>
          <cell r="AH497">
            <v>3121</v>
          </cell>
          <cell r="AI497">
            <v>771</v>
          </cell>
          <cell r="AM497" t="str">
            <v>RW2</v>
          </cell>
        </row>
        <row r="498">
          <cell r="G498">
            <v>33</v>
          </cell>
          <cell r="S498">
            <v>33.18999999999869</v>
          </cell>
        </row>
        <row r="499">
          <cell r="B499" t="str">
            <v>8-1.09</v>
          </cell>
          <cell r="C499">
            <v>8339</v>
          </cell>
          <cell r="F499">
            <v>800</v>
          </cell>
          <cell r="L499" t="str">
            <v>HEB-280</v>
          </cell>
          <cell r="M499" t="str">
            <v>PL5</v>
          </cell>
          <cell r="N499" t="str">
            <v>EMT-1</v>
          </cell>
          <cell r="Q499">
            <v>108</v>
          </cell>
          <cell r="R499">
            <v>805</v>
          </cell>
          <cell r="T499">
            <v>-30</v>
          </cell>
          <cell r="W499">
            <v>1.4</v>
          </cell>
          <cell r="AC499" t="str">
            <v>PH-Q 1150</v>
          </cell>
          <cell r="AF499">
            <v>6000</v>
          </cell>
          <cell r="AG499">
            <v>8338.64</v>
          </cell>
          <cell r="AH499">
            <v>3113</v>
          </cell>
          <cell r="AI499">
            <v>841</v>
          </cell>
          <cell r="AM499" t="str">
            <v>RW2</v>
          </cell>
        </row>
        <row r="500">
          <cell r="G500">
            <v>36</v>
          </cell>
          <cell r="S500">
            <v>36.400000000001455</v>
          </cell>
        </row>
        <row r="501">
          <cell r="B501" t="str">
            <v>8-1.10</v>
          </cell>
          <cell r="C501">
            <v>8375</v>
          </cell>
          <cell r="F501">
            <v>800</v>
          </cell>
          <cell r="L501" t="str">
            <v>HEB-280</v>
          </cell>
          <cell r="M501" t="str">
            <v>PL5</v>
          </cell>
          <cell r="N501" t="str">
            <v>EMT-1</v>
          </cell>
          <cell r="Q501">
            <v>110</v>
          </cell>
          <cell r="R501">
            <v>805</v>
          </cell>
          <cell r="T501">
            <v>-30</v>
          </cell>
          <cell r="W501">
            <v>1.4</v>
          </cell>
          <cell r="AC501" t="str">
            <v>PH-Q 1150</v>
          </cell>
          <cell r="AF501">
            <v>6000</v>
          </cell>
          <cell r="AG501">
            <v>8375.0400000000009</v>
          </cell>
          <cell r="AH501">
            <v>3233</v>
          </cell>
          <cell r="AI501">
            <v>761</v>
          </cell>
          <cell r="AM501" t="str">
            <v>RW2</v>
          </cell>
        </row>
        <row r="502">
          <cell r="G502">
            <v>36</v>
          </cell>
          <cell r="S502">
            <v>35.169999999998254</v>
          </cell>
        </row>
        <row r="503">
          <cell r="B503" t="str">
            <v>8-1.11</v>
          </cell>
          <cell r="C503">
            <v>8411</v>
          </cell>
          <cell r="F503">
            <v>800</v>
          </cell>
          <cell r="L503" t="str">
            <v>HEB-280</v>
          </cell>
          <cell r="M503" t="str">
            <v>PL5</v>
          </cell>
          <cell r="N503" t="str">
            <v>EMT-1</v>
          </cell>
          <cell r="Q503">
            <v>105</v>
          </cell>
          <cell r="R503">
            <v>805</v>
          </cell>
          <cell r="T503">
            <v>-30</v>
          </cell>
          <cell r="W503">
            <v>1.4</v>
          </cell>
          <cell r="AC503" t="str">
            <v>PH-Q 1150</v>
          </cell>
          <cell r="AF503">
            <v>6000</v>
          </cell>
          <cell r="AG503">
            <v>8410.2099999999991</v>
          </cell>
          <cell r="AH503">
            <v>3205</v>
          </cell>
          <cell r="AI503">
            <v>826</v>
          </cell>
          <cell r="AM503" t="str">
            <v>RW2</v>
          </cell>
        </row>
        <row r="504">
          <cell r="G504">
            <v>36</v>
          </cell>
          <cell r="S504">
            <v>35.880000000001019</v>
          </cell>
        </row>
        <row r="505">
          <cell r="B505" t="str">
            <v>8-1.12</v>
          </cell>
          <cell r="C505">
            <v>8447</v>
          </cell>
          <cell r="F505">
            <v>800</v>
          </cell>
          <cell r="L505" t="str">
            <v>HEB-280</v>
          </cell>
          <cell r="M505" t="str">
            <v>PL5</v>
          </cell>
          <cell r="N505" t="str">
            <v>EMT-1</v>
          </cell>
          <cell r="Q505">
            <v>103</v>
          </cell>
          <cell r="R505">
            <v>805</v>
          </cell>
          <cell r="T505">
            <v>-30</v>
          </cell>
          <cell r="W505">
            <v>1.4</v>
          </cell>
          <cell r="AC505" t="str">
            <v>PH-Q 1150</v>
          </cell>
          <cell r="AF505">
            <v>6000</v>
          </cell>
          <cell r="AG505">
            <v>8446.09</v>
          </cell>
          <cell r="AH505">
            <v>3255</v>
          </cell>
          <cell r="AI505">
            <v>822</v>
          </cell>
          <cell r="AM505" t="str">
            <v>RW2</v>
          </cell>
        </row>
        <row r="506">
          <cell r="G506">
            <v>36</v>
          </cell>
          <cell r="S506">
            <v>36.450000000000728</v>
          </cell>
        </row>
        <row r="507">
          <cell r="B507" t="str">
            <v>8-1.13</v>
          </cell>
          <cell r="C507">
            <v>8483</v>
          </cell>
          <cell r="F507">
            <v>800</v>
          </cell>
          <cell r="L507" t="str">
            <v>HEB-280</v>
          </cell>
          <cell r="M507" t="str">
            <v>PL5</v>
          </cell>
          <cell r="N507" t="str">
            <v>EMT-1</v>
          </cell>
          <cell r="Q507">
            <v>104</v>
          </cell>
          <cell r="R507">
            <v>805</v>
          </cell>
          <cell r="T507">
            <v>-30</v>
          </cell>
          <cell r="W507">
            <v>1.4</v>
          </cell>
          <cell r="AC507" t="str">
            <v>PH-Q 1150</v>
          </cell>
          <cell r="AF507">
            <v>6000</v>
          </cell>
          <cell r="AG507">
            <v>8482.5400000000009</v>
          </cell>
          <cell r="AH507">
            <v>3207</v>
          </cell>
          <cell r="AI507">
            <v>894</v>
          </cell>
          <cell r="AM507" t="str">
            <v>RW2</v>
          </cell>
        </row>
        <row r="508">
          <cell r="G508">
            <v>36</v>
          </cell>
          <cell r="S508">
            <v>35.43999999999869</v>
          </cell>
        </row>
        <row r="509">
          <cell r="B509" t="str">
            <v>8-1.14</v>
          </cell>
          <cell r="C509">
            <v>8519</v>
          </cell>
          <cell r="F509">
            <v>800</v>
          </cell>
          <cell r="L509" t="str">
            <v>HEB-280</v>
          </cell>
          <cell r="M509" t="str">
            <v>PL5</v>
          </cell>
          <cell r="N509" t="str">
            <v>EMT-1</v>
          </cell>
          <cell r="Q509">
            <v>110</v>
          </cell>
          <cell r="R509">
            <v>805</v>
          </cell>
          <cell r="T509">
            <v>-30</v>
          </cell>
          <cell r="W509">
            <v>1.4</v>
          </cell>
          <cell r="AC509" t="str">
            <v>PH-Q 1150</v>
          </cell>
          <cell r="AF509">
            <v>6000</v>
          </cell>
          <cell r="AG509">
            <v>8517.98</v>
          </cell>
          <cell r="AH509">
            <v>3213</v>
          </cell>
          <cell r="AI509">
            <v>993</v>
          </cell>
          <cell r="AM509" t="str">
            <v>RW2</v>
          </cell>
        </row>
        <row r="510">
          <cell r="G510">
            <v>36</v>
          </cell>
          <cell r="S510">
            <v>36.710000000000946</v>
          </cell>
        </row>
        <row r="511">
          <cell r="B511" t="str">
            <v>8-1.15</v>
          </cell>
          <cell r="C511">
            <v>8555</v>
          </cell>
          <cell r="F511">
            <v>800</v>
          </cell>
          <cell r="H511" t="str">
            <v>A/S</v>
          </cell>
          <cell r="I511" t="str">
            <v>FP+AnMC</v>
          </cell>
          <cell r="L511" t="str">
            <v>2HEB-300 (CP)</v>
          </cell>
          <cell r="M511" t="str">
            <v>PL2H300</v>
          </cell>
          <cell r="N511" t="str">
            <v>EMT-1</v>
          </cell>
          <cell r="Q511">
            <v>110</v>
          </cell>
          <cell r="R511">
            <v>805</v>
          </cell>
          <cell r="T511">
            <v>-30</v>
          </cell>
          <cell r="W511">
            <v>1.4</v>
          </cell>
          <cell r="AC511" t="str">
            <v>PH-Q 1150</v>
          </cell>
          <cell r="AF511">
            <v>6000</v>
          </cell>
          <cell r="AG511">
            <v>8554.69</v>
          </cell>
          <cell r="AH511">
            <v>3206</v>
          </cell>
          <cell r="AI511">
            <v>809</v>
          </cell>
          <cell r="AM511" t="str">
            <v>RW2</v>
          </cell>
        </row>
        <row r="512">
          <cell r="G512">
            <v>36</v>
          </cell>
          <cell r="I512">
            <v>562</v>
          </cell>
          <cell r="S512">
            <v>36.170000000000073</v>
          </cell>
        </row>
        <row r="513">
          <cell r="B513" t="str">
            <v>8-1.16</v>
          </cell>
          <cell r="C513">
            <v>8591</v>
          </cell>
          <cell r="F513">
            <v>800</v>
          </cell>
          <cell r="H513" t="str">
            <v>S/A</v>
          </cell>
          <cell r="L513" t="str">
            <v>2HEB-260</v>
          </cell>
          <cell r="M513" t="str">
            <v>PL2H260</v>
          </cell>
          <cell r="N513" t="str">
            <v>EMT-T</v>
          </cell>
          <cell r="O513" t="str">
            <v>EMT-1</v>
          </cell>
          <cell r="Q513">
            <v>110</v>
          </cell>
          <cell r="R513">
            <v>805</v>
          </cell>
          <cell r="T513">
            <v>15</v>
          </cell>
          <cell r="U513">
            <v>-30</v>
          </cell>
          <cell r="W513">
            <v>1.4</v>
          </cell>
          <cell r="X513">
            <v>2.2999999999999998</v>
          </cell>
          <cell r="Z513">
            <v>0.6</v>
          </cell>
          <cell r="AD513" t="str">
            <v>PH-Q 1150</v>
          </cell>
          <cell r="AF513">
            <v>6000</v>
          </cell>
          <cell r="AG513">
            <v>8590.86</v>
          </cell>
          <cell r="AH513">
            <v>3234</v>
          </cell>
          <cell r="AI513">
            <v>810</v>
          </cell>
          <cell r="AM513" t="str">
            <v>RW2</v>
          </cell>
        </row>
        <row r="514">
          <cell r="G514">
            <v>36</v>
          </cell>
          <cell r="S514">
            <v>35.899999999999636</v>
          </cell>
        </row>
        <row r="515">
          <cell r="B515" t="str">
            <v>8-1.17</v>
          </cell>
          <cell r="C515">
            <v>8627</v>
          </cell>
          <cell r="F515">
            <v>800</v>
          </cell>
          <cell r="H515" t="str">
            <v>S/A</v>
          </cell>
          <cell r="L515" t="str">
            <v>2HEB-260</v>
          </cell>
          <cell r="M515" t="str">
            <v>PL2H260</v>
          </cell>
          <cell r="N515" t="str">
            <v>EMT-E</v>
          </cell>
          <cell r="O515" t="str">
            <v>EMT-1</v>
          </cell>
          <cell r="Q515">
            <v>110</v>
          </cell>
          <cell r="R515">
            <v>805</v>
          </cell>
          <cell r="T515">
            <v>15</v>
          </cell>
          <cell r="U515">
            <v>-30</v>
          </cell>
          <cell r="W515">
            <v>1.4</v>
          </cell>
          <cell r="X515">
            <v>2.2999999999999998</v>
          </cell>
          <cell r="Z515">
            <v>0.1</v>
          </cell>
          <cell r="AC515" t="str">
            <v>BCE 1500</v>
          </cell>
          <cell r="AD515" t="str">
            <v>PH-Q 1150</v>
          </cell>
          <cell r="AF515">
            <v>6000</v>
          </cell>
          <cell r="AG515">
            <v>8626.76</v>
          </cell>
          <cell r="AH515">
            <v>3219</v>
          </cell>
          <cell r="AI515">
            <v>759</v>
          </cell>
          <cell r="AM515" t="str">
            <v>RW2</v>
          </cell>
        </row>
        <row r="516">
          <cell r="A516" t="str">
            <v>Bridge 7.4</v>
          </cell>
          <cell r="G516">
            <v>36</v>
          </cell>
          <cell r="S516">
            <v>35.860000000000582</v>
          </cell>
        </row>
        <row r="517">
          <cell r="A517" t="str">
            <v>TEU-01</v>
          </cell>
          <cell r="B517" t="str">
            <v>8-1.18</v>
          </cell>
          <cell r="C517">
            <v>8663</v>
          </cell>
          <cell r="F517">
            <v>800</v>
          </cell>
          <cell r="H517" t="str">
            <v>S/A</v>
          </cell>
          <cell r="I517" t="str">
            <v>IO</v>
          </cell>
          <cell r="L517" t="str">
            <v>2HEB-260</v>
          </cell>
          <cell r="M517" t="str">
            <v>PL2H260</v>
          </cell>
          <cell r="N517" t="str">
            <v>EMT-E</v>
          </cell>
          <cell r="O517" t="str">
            <v>EMT-1</v>
          </cell>
          <cell r="Q517">
            <v>114</v>
          </cell>
          <cell r="R517">
            <v>805</v>
          </cell>
          <cell r="T517">
            <v>-10</v>
          </cell>
          <cell r="U517">
            <v>-55</v>
          </cell>
          <cell r="W517">
            <v>1.4</v>
          </cell>
          <cell r="X517">
            <v>2.2999999999999998</v>
          </cell>
          <cell r="AA517">
            <v>0.1</v>
          </cell>
          <cell r="AC517" t="str">
            <v>BCE 1500</v>
          </cell>
          <cell r="AD517" t="str">
            <v>PH-C 1150</v>
          </cell>
          <cell r="AF517">
            <v>6000</v>
          </cell>
          <cell r="AG517">
            <v>8662.6200000000008</v>
          </cell>
          <cell r="AH517">
            <v>3222</v>
          </cell>
          <cell r="AI517">
            <v>998</v>
          </cell>
          <cell r="AJ517" t="str">
            <v>Disc/IO</v>
          </cell>
          <cell r="AM517" t="str">
            <v>RW2</v>
          </cell>
        </row>
        <row r="518">
          <cell r="G518">
            <v>36</v>
          </cell>
          <cell r="S518">
            <v>36.1299999999992</v>
          </cell>
        </row>
        <row r="519">
          <cell r="B519" t="str">
            <v>8-1.19</v>
          </cell>
          <cell r="C519">
            <v>8699</v>
          </cell>
          <cell r="F519">
            <v>1275</v>
          </cell>
          <cell r="H519" t="str">
            <v>S/A A/S-Diag</v>
          </cell>
          <cell r="I519" t="str">
            <v>FP+AnMC</v>
          </cell>
          <cell r="L519" t="str">
            <v>2HEB-300 (CP)</v>
          </cell>
          <cell r="M519" t="str">
            <v>PL2H300</v>
          </cell>
          <cell r="N519" t="str">
            <v>EMT-E</v>
          </cell>
          <cell r="O519" t="str">
            <v>EMT-T</v>
          </cell>
          <cell r="Q519">
            <v>60</v>
          </cell>
          <cell r="R519">
            <v>937</v>
          </cell>
          <cell r="T519">
            <v>-10</v>
          </cell>
          <cell r="U519">
            <v>-55</v>
          </cell>
          <cell r="W519">
            <v>1.4</v>
          </cell>
          <cell r="X519">
            <v>2.2999999999999998</v>
          </cell>
          <cell r="AA519">
            <v>0.6</v>
          </cell>
          <cell r="AC519" t="str">
            <v>PH-C 1500</v>
          </cell>
          <cell r="AF519">
            <v>5400</v>
          </cell>
          <cell r="AG519">
            <v>8698.75</v>
          </cell>
          <cell r="AH519">
            <v>3593</v>
          </cell>
          <cell r="AI519">
            <v>174</v>
          </cell>
          <cell r="AM519" t="str">
            <v>RW2</v>
          </cell>
        </row>
        <row r="520">
          <cell r="G520">
            <v>36</v>
          </cell>
          <cell r="I520">
            <v>432</v>
          </cell>
          <cell r="S520">
            <v>35.8799999999992</v>
          </cell>
        </row>
        <row r="521">
          <cell r="A521" t="str">
            <v>End bridge 7</v>
          </cell>
          <cell r="B521" t="str">
            <v>8-1.20</v>
          </cell>
          <cell r="C521">
            <v>8735</v>
          </cell>
          <cell r="F521">
            <v>7200</v>
          </cell>
          <cell r="H521" t="str">
            <v>A/S S/A</v>
          </cell>
          <cell r="I521" t="str">
            <v>CP+AnMC</v>
          </cell>
          <cell r="L521" t="str">
            <v>2HEB-300 (CP)</v>
          </cell>
          <cell r="M521" t="str">
            <v>PL2H300</v>
          </cell>
          <cell r="N521" t="str">
            <v>EMT-2</v>
          </cell>
          <cell r="O521" t="str">
            <v>EMT-T</v>
          </cell>
          <cell r="Q521">
            <v>20</v>
          </cell>
          <cell r="R521">
            <v>3324</v>
          </cell>
          <cell r="T521">
            <v>20</v>
          </cell>
          <cell r="U521">
            <v>35</v>
          </cell>
          <cell r="W521">
            <v>2.2999999999999998</v>
          </cell>
          <cell r="X521">
            <v>1.4</v>
          </cell>
          <cell r="Z521">
            <v>0.45</v>
          </cell>
          <cell r="AC521" t="str">
            <v>PH-C 1150</v>
          </cell>
          <cell r="AF521">
            <v>6000</v>
          </cell>
          <cell r="AG521">
            <v>8734.6299999999992</v>
          </cell>
          <cell r="AH521">
            <v>3258</v>
          </cell>
          <cell r="AI521">
            <v>746</v>
          </cell>
          <cell r="AM521" t="str">
            <v>RW2</v>
          </cell>
        </row>
        <row r="522">
          <cell r="G522">
            <v>45</v>
          </cell>
          <cell r="S522">
            <v>45.930000000000291</v>
          </cell>
        </row>
        <row r="523">
          <cell r="B523" t="str">
            <v>8-1.21</v>
          </cell>
          <cell r="C523">
            <v>8780</v>
          </cell>
          <cell r="F523">
            <v>0</v>
          </cell>
          <cell r="H523" t="str">
            <v>P60</v>
          </cell>
          <cell r="L523" t="str">
            <v>2HEB-240</v>
          </cell>
          <cell r="M523" t="str">
            <v>C2H-240RT</v>
          </cell>
          <cell r="N523" t="str">
            <v>EMT-1</v>
          </cell>
          <cell r="O523" t="str">
            <v>EMT-2</v>
          </cell>
          <cell r="Q523">
            <v>0</v>
          </cell>
          <cell r="R523" t="str">
            <v>inf</v>
          </cell>
          <cell r="T523">
            <v>15</v>
          </cell>
          <cell r="U523">
            <v>30</v>
          </cell>
          <cell r="W523">
            <v>2.2999999999999998</v>
          </cell>
          <cell r="X523">
            <v>1.4</v>
          </cell>
          <cell r="AC523" t="str">
            <v>BTC 1651</v>
          </cell>
          <cell r="AD523" t="str">
            <v>PH 1150</v>
          </cell>
          <cell r="AF523">
            <v>6000</v>
          </cell>
          <cell r="AG523">
            <v>8780.56</v>
          </cell>
          <cell r="AH523">
            <v>2515</v>
          </cell>
          <cell r="AI523">
            <v>523</v>
          </cell>
          <cell r="AJ523">
            <v>523</v>
          </cell>
          <cell r="AM523" t="str">
            <v>RW2</v>
          </cell>
        </row>
        <row r="524">
          <cell r="G524">
            <v>50.5</v>
          </cell>
          <cell r="S524">
            <v>50.510000000000218</v>
          </cell>
        </row>
        <row r="525">
          <cell r="B525" t="str">
            <v>8-1.22</v>
          </cell>
          <cell r="C525">
            <v>8830.5</v>
          </cell>
          <cell r="F525">
            <v>0</v>
          </cell>
          <cell r="L525" t="str">
            <v>HEB-320L</v>
          </cell>
          <cell r="M525" t="str">
            <v>C5RT</v>
          </cell>
          <cell r="N525" t="str">
            <v>EMT-1</v>
          </cell>
          <cell r="Q525">
            <v>0</v>
          </cell>
          <cell r="R525">
            <v>0</v>
          </cell>
          <cell r="T525">
            <v>-35</v>
          </cell>
          <cell r="W525">
            <v>1.4</v>
          </cell>
          <cell r="AC525" t="str">
            <v>PHQ-1050</v>
          </cell>
          <cell r="AF525">
            <v>6000</v>
          </cell>
          <cell r="AG525">
            <v>8831.07</v>
          </cell>
          <cell r="AH525">
            <v>2127</v>
          </cell>
          <cell r="AI525">
            <v>593</v>
          </cell>
          <cell r="AL525" t="str">
            <v>PR1C</v>
          </cell>
          <cell r="AM525" t="str">
            <v>RW2</v>
          </cell>
        </row>
        <row r="526">
          <cell r="G526">
            <v>48</v>
          </cell>
          <cell r="S526">
            <v>47.610000000000582</v>
          </cell>
        </row>
        <row r="527">
          <cell r="B527" t="str">
            <v>8-1.23</v>
          </cell>
          <cell r="C527">
            <v>8878.5</v>
          </cell>
          <cell r="F527">
            <v>0</v>
          </cell>
          <cell r="L527" t="str">
            <v>HEB-320L</v>
          </cell>
          <cell r="M527" t="str">
            <v>C5RT</v>
          </cell>
          <cell r="N527" t="str">
            <v>EMT-2</v>
          </cell>
          <cell r="Q527">
            <v>0</v>
          </cell>
          <cell r="R527">
            <v>0</v>
          </cell>
          <cell r="T527">
            <v>35</v>
          </cell>
          <cell r="W527">
            <v>1.4</v>
          </cell>
          <cell r="AC527" t="str">
            <v>PHQ-1150</v>
          </cell>
          <cell r="AF527">
            <v>6000</v>
          </cell>
          <cell r="AG527">
            <v>8878.68</v>
          </cell>
          <cell r="AH527">
            <v>2490</v>
          </cell>
          <cell r="AI527">
            <v>526</v>
          </cell>
          <cell r="AL527" t="str">
            <v>PR1C</v>
          </cell>
          <cell r="AM527" t="str">
            <v>RW2</v>
          </cell>
        </row>
        <row r="528">
          <cell r="G528">
            <v>55.5</v>
          </cell>
          <cell r="S528">
            <v>55.069999999999709</v>
          </cell>
        </row>
        <row r="529">
          <cell r="B529" t="str">
            <v>8-1.24</v>
          </cell>
          <cell r="C529">
            <v>8934</v>
          </cell>
          <cell r="F529">
            <v>0</v>
          </cell>
          <cell r="L529" t="str">
            <v>HEB-280L</v>
          </cell>
          <cell r="M529" t="str">
            <v>C5RT</v>
          </cell>
          <cell r="N529" t="str">
            <v>EMT-1</v>
          </cell>
          <cell r="Q529">
            <v>0</v>
          </cell>
          <cell r="R529">
            <v>0</v>
          </cell>
          <cell r="T529">
            <v>-35</v>
          </cell>
          <cell r="W529">
            <v>1.4</v>
          </cell>
          <cell r="AC529" t="str">
            <v>PHQ-1050</v>
          </cell>
          <cell r="AF529">
            <v>6000</v>
          </cell>
          <cell r="AG529">
            <v>8933.75</v>
          </cell>
          <cell r="AH529">
            <v>2500</v>
          </cell>
          <cell r="AI529">
            <v>748</v>
          </cell>
          <cell r="AL529" t="str">
            <v>PR1B</v>
          </cell>
          <cell r="AM529" t="str">
            <v>RW2</v>
          </cell>
        </row>
        <row r="530">
          <cell r="G530">
            <v>40.5</v>
          </cell>
          <cell r="J530">
            <v>8967</v>
          </cell>
          <cell r="K530" t="str">
            <v>AnMC-RT</v>
          </cell>
          <cell r="S530">
            <v>41.729999999999563</v>
          </cell>
        </row>
        <row r="531">
          <cell r="B531" t="str">
            <v>8-1.25</v>
          </cell>
          <cell r="C531">
            <v>8974.5</v>
          </cell>
          <cell r="F531">
            <v>0</v>
          </cell>
          <cell r="H531" t="str">
            <v>A/S</v>
          </cell>
          <cell r="I531" t="str">
            <v>CP+AnMC</v>
          </cell>
          <cell r="L531" t="str">
            <v>HEB-260 (CP)</v>
          </cell>
          <cell r="M531" t="str">
            <v>C4RT</v>
          </cell>
          <cell r="N531" t="str">
            <v>EMT-2</v>
          </cell>
          <cell r="Q531">
            <v>0</v>
          </cell>
          <cell r="R531">
            <v>0</v>
          </cell>
          <cell r="T531">
            <v>35</v>
          </cell>
          <cell r="W531">
            <v>1.4</v>
          </cell>
          <cell r="AC531" t="str">
            <v>PHQ-1150</v>
          </cell>
          <cell r="AF531">
            <v>6000</v>
          </cell>
          <cell r="AG531">
            <v>8975.48</v>
          </cell>
          <cell r="AH531">
            <v>2515</v>
          </cell>
          <cell r="AI531">
            <v>664</v>
          </cell>
          <cell r="AM531" t="str">
            <v>RW2</v>
          </cell>
        </row>
        <row r="532">
          <cell r="G532">
            <v>39.5</v>
          </cell>
          <cell r="S532">
            <v>38.489999999999782</v>
          </cell>
        </row>
        <row r="533">
          <cell r="B533" t="str">
            <v>9-1.01</v>
          </cell>
          <cell r="C533">
            <v>9014</v>
          </cell>
          <cell r="F533">
            <v>0</v>
          </cell>
          <cell r="H533" t="str">
            <v>S/A</v>
          </cell>
          <cell r="L533" t="str">
            <v>2HEB-240</v>
          </cell>
          <cell r="M533" t="str">
            <v>C2H-240RT</v>
          </cell>
          <cell r="N533" t="str">
            <v>EMT-T</v>
          </cell>
          <cell r="O533" t="str">
            <v>EMT-1</v>
          </cell>
          <cell r="Q533">
            <v>0</v>
          </cell>
          <cell r="R533">
            <v>0</v>
          </cell>
          <cell r="T533">
            <v>15</v>
          </cell>
          <cell r="U533">
            <v>-30</v>
          </cell>
          <cell r="W533">
            <v>1.4</v>
          </cell>
          <cell r="X533">
            <v>2.2999999999999998</v>
          </cell>
          <cell r="Z533">
            <v>0.45</v>
          </cell>
          <cell r="AD533" t="str">
            <v>PH-1150</v>
          </cell>
          <cell r="AF533">
            <v>6000</v>
          </cell>
          <cell r="AG533">
            <v>9013.9699999999993</v>
          </cell>
          <cell r="AH533">
            <v>2616</v>
          </cell>
          <cell r="AI533">
            <v>680</v>
          </cell>
          <cell r="AM533" t="str">
            <v>RW2</v>
          </cell>
        </row>
        <row r="534">
          <cell r="G534">
            <v>45</v>
          </cell>
          <cell r="S534">
            <v>44.829999999999927</v>
          </cell>
        </row>
        <row r="535">
          <cell r="A535" t="str">
            <v>TEU-03</v>
          </cell>
          <cell r="B535" t="str">
            <v>9-1.02</v>
          </cell>
          <cell r="C535">
            <v>9059</v>
          </cell>
          <cell r="F535">
            <v>0</v>
          </cell>
          <cell r="H535" t="str">
            <v>S/A</v>
          </cell>
          <cell r="I535" t="str">
            <v>IO</v>
          </cell>
          <cell r="L535" t="str">
            <v>HEB-260</v>
          </cell>
          <cell r="M535" t="str">
            <v>C4RT</v>
          </cell>
          <cell r="N535" t="str">
            <v>EMT-2</v>
          </cell>
          <cell r="O535" t="str">
            <v>EMT-T</v>
          </cell>
          <cell r="Q535">
            <v>7</v>
          </cell>
          <cell r="R535">
            <v>9346.06</v>
          </cell>
          <cell r="T535">
            <v>30</v>
          </cell>
          <cell r="U535">
            <v>-15</v>
          </cell>
          <cell r="W535">
            <v>1.4</v>
          </cell>
          <cell r="X535">
            <v>2.2999999999999998</v>
          </cell>
          <cell r="AA535">
            <v>0.45</v>
          </cell>
          <cell r="AC535" t="str">
            <v>PH-1150</v>
          </cell>
          <cell r="AF535">
            <v>6000</v>
          </cell>
          <cell r="AG535">
            <v>9058.7999999999993</v>
          </cell>
          <cell r="AH535">
            <v>2558</v>
          </cell>
          <cell r="AI535">
            <v>662</v>
          </cell>
          <cell r="AJ535" t="str">
            <v>Disc/IO</v>
          </cell>
          <cell r="AM535" t="str">
            <v>RW2</v>
          </cell>
        </row>
        <row r="536">
          <cell r="G536">
            <v>58</v>
          </cell>
          <cell r="S536">
            <v>58.25</v>
          </cell>
        </row>
        <row r="537">
          <cell r="B537" t="str">
            <v>9-1.03</v>
          </cell>
          <cell r="C537">
            <v>9117</v>
          </cell>
          <cell r="F537">
            <v>3400</v>
          </cell>
          <cell r="H537" t="str">
            <v>A/S</v>
          </cell>
          <cell r="I537" t="str">
            <v>CP+AnMC</v>
          </cell>
          <cell r="L537" t="str">
            <v>HEB-260 (CP)</v>
          </cell>
          <cell r="M537" t="str">
            <v>C4RT</v>
          </cell>
          <cell r="N537" t="str">
            <v>EMT-1</v>
          </cell>
          <cell r="Q537">
            <v>60</v>
          </cell>
          <cell r="R537">
            <v>2724.13</v>
          </cell>
          <cell r="T537">
            <v>-20</v>
          </cell>
          <cell r="W537">
            <v>1.4</v>
          </cell>
          <cell r="AC537" t="str">
            <v>PH-Q 1150</v>
          </cell>
          <cell r="AF537">
            <v>6000</v>
          </cell>
          <cell r="AG537">
            <v>9117.0499999999993</v>
          </cell>
          <cell r="AH537">
            <v>3522</v>
          </cell>
          <cell r="AI537">
            <v>643</v>
          </cell>
          <cell r="AM537" t="str">
            <v>RW2</v>
          </cell>
        </row>
        <row r="538">
          <cell r="G538">
            <v>56</v>
          </cell>
          <cell r="J538">
            <v>9124.5</v>
          </cell>
          <cell r="K538" t="str">
            <v>AnMC-RT</v>
          </cell>
          <cell r="S538">
            <v>55.8700000000008</v>
          </cell>
        </row>
        <row r="539">
          <cell r="B539" t="str">
            <v>9-1.04</v>
          </cell>
          <cell r="C539">
            <v>9173</v>
          </cell>
          <cell r="F539">
            <v>2000</v>
          </cell>
          <cell r="L539" t="str">
            <v>HEB-260</v>
          </cell>
          <cell r="M539" t="str">
            <v>C4RT</v>
          </cell>
          <cell r="N539" t="str">
            <v>EMT-1</v>
          </cell>
          <cell r="Q539">
            <v>111</v>
          </cell>
          <cell r="R539">
            <v>2724.13</v>
          </cell>
          <cell r="T539">
            <v>-30</v>
          </cell>
          <cell r="W539">
            <v>1.4</v>
          </cell>
          <cell r="AC539" t="str">
            <v>PH-1150</v>
          </cell>
          <cell r="AF539">
            <v>6000</v>
          </cell>
          <cell r="AG539">
            <v>9172.92</v>
          </cell>
          <cell r="AH539">
            <v>2620</v>
          </cell>
          <cell r="AI539">
            <v>713</v>
          </cell>
          <cell r="AM539" t="str">
            <v>RW2</v>
          </cell>
        </row>
        <row r="540">
          <cell r="G540">
            <v>53</v>
          </cell>
          <cell r="S540">
            <v>52.920000000000073</v>
          </cell>
        </row>
        <row r="541">
          <cell r="B541" t="str">
            <v>9-1.05</v>
          </cell>
          <cell r="C541">
            <v>9226</v>
          </cell>
          <cell r="F541">
            <v>2375</v>
          </cell>
          <cell r="L541" t="str">
            <v>HEB-260</v>
          </cell>
          <cell r="M541" t="str">
            <v>C4RT</v>
          </cell>
          <cell r="N541" t="str">
            <v>EMT-1</v>
          </cell>
          <cell r="Q541">
            <v>95</v>
          </cell>
          <cell r="R541">
            <v>2405.19</v>
          </cell>
          <cell r="T541">
            <v>-30</v>
          </cell>
          <cell r="W541">
            <v>1.4</v>
          </cell>
          <cell r="AC541" t="str">
            <v>PHQ-1150</v>
          </cell>
          <cell r="AF541">
            <v>6000</v>
          </cell>
          <cell r="AG541">
            <v>9225.84</v>
          </cell>
          <cell r="AH541">
            <v>2691</v>
          </cell>
          <cell r="AI541">
            <v>732</v>
          </cell>
          <cell r="AM541" t="str">
            <v>RW2</v>
          </cell>
        </row>
        <row r="542">
          <cell r="G542">
            <v>53</v>
          </cell>
          <cell r="S542">
            <v>53.039999999999054</v>
          </cell>
        </row>
        <row r="543">
          <cell r="B543" t="str">
            <v>9-1.06</v>
          </cell>
          <cell r="C543">
            <v>9279</v>
          </cell>
          <cell r="F543">
            <v>4625</v>
          </cell>
          <cell r="L543" t="str">
            <v>HEB-240</v>
          </cell>
          <cell r="M543" t="str">
            <v>C3RT</v>
          </cell>
          <cell r="N543" t="str">
            <v>EMT-1</v>
          </cell>
          <cell r="Q543">
            <v>49</v>
          </cell>
          <cell r="R543">
            <v>4867.71</v>
          </cell>
          <cell r="T543">
            <v>-20</v>
          </cell>
          <cell r="W543">
            <v>1.4</v>
          </cell>
          <cell r="AC543" t="str">
            <v>PH-1150</v>
          </cell>
          <cell r="AF543">
            <v>6000</v>
          </cell>
          <cell r="AG543">
            <v>9278.8799999999992</v>
          </cell>
          <cell r="AH543">
            <v>2634</v>
          </cell>
          <cell r="AI543">
            <v>717</v>
          </cell>
          <cell r="AM543" t="str">
            <v>RW2</v>
          </cell>
        </row>
        <row r="544">
          <cell r="A544" t="str">
            <v>FEEDER SUPPTY PORTAL</v>
          </cell>
          <cell r="G544">
            <v>33.5</v>
          </cell>
          <cell r="S544">
            <v>-9278.8799999999992</v>
          </cell>
        </row>
        <row r="545">
          <cell r="A545" t="str">
            <v>HSA-FP1.1/1.2</v>
          </cell>
          <cell r="B545" t="str">
            <v>9-1.07</v>
          </cell>
          <cell r="C545">
            <v>9312.5</v>
          </cell>
          <cell r="L545" t="str">
            <v>HEB-320LL(P)</v>
          </cell>
          <cell r="M545" t="str">
            <v>C7RT</v>
          </cell>
          <cell r="AM545" t="str">
            <v>RW2</v>
          </cell>
        </row>
        <row r="546">
          <cell r="A546" t="str">
            <v>TS HASHFELA</v>
          </cell>
          <cell r="G546">
            <v>8</v>
          </cell>
          <cell r="I546" t="str">
            <v>AnFW</v>
          </cell>
          <cell r="S546">
            <v>0</v>
          </cell>
          <cell r="AJ546" t="str">
            <v>FS/PP-2</v>
          </cell>
        </row>
        <row r="547">
          <cell r="A547" t="str">
            <v>HSA-FP2.1/2.2</v>
          </cell>
          <cell r="B547" t="str">
            <v>9-1.08</v>
          </cell>
          <cell r="C547">
            <v>9320.5</v>
          </cell>
          <cell r="L547" t="str">
            <v>HEB-320LL(P)</v>
          </cell>
          <cell r="M547" t="str">
            <v>C7RT</v>
          </cell>
          <cell r="AM547" t="str">
            <v>RW2</v>
          </cell>
        </row>
        <row r="548">
          <cell r="G548">
            <v>18</v>
          </cell>
          <cell r="S548">
            <v>9338.9699999999993</v>
          </cell>
        </row>
        <row r="549">
          <cell r="B549" t="str">
            <v>9-1.10</v>
          </cell>
          <cell r="C549">
            <v>9339</v>
          </cell>
          <cell r="F549">
            <v>0</v>
          </cell>
          <cell r="L549" t="str">
            <v>HEB-240</v>
          </cell>
          <cell r="M549" t="str">
            <v>C3RT</v>
          </cell>
          <cell r="N549" t="str">
            <v>EMT-2</v>
          </cell>
          <cell r="Q549">
            <v>0</v>
          </cell>
          <cell r="R549">
            <v>0</v>
          </cell>
          <cell r="T549">
            <v>35</v>
          </cell>
          <cell r="W549">
            <v>1.4</v>
          </cell>
          <cell r="AC549" t="str">
            <v>PH-1150</v>
          </cell>
          <cell r="AF549">
            <v>6000</v>
          </cell>
          <cell r="AG549">
            <v>9338.9699999999993</v>
          </cell>
          <cell r="AH549">
            <v>2659</v>
          </cell>
          <cell r="AI549">
            <v>656</v>
          </cell>
          <cell r="AJ549" t="str">
            <v>FW</v>
          </cell>
          <cell r="AM549" t="str">
            <v>RW2</v>
          </cell>
        </row>
        <row r="550">
          <cell r="G550">
            <v>50</v>
          </cell>
          <cell r="S550">
            <v>49.920000000000073</v>
          </cell>
        </row>
        <row r="551">
          <cell r="B551" t="str">
            <v>9-1.11</v>
          </cell>
          <cell r="C551">
            <v>9389</v>
          </cell>
          <cell r="F551">
            <v>0</v>
          </cell>
          <cell r="L551" t="str">
            <v>HEB-240</v>
          </cell>
          <cell r="M551" t="str">
            <v>C3RT</v>
          </cell>
          <cell r="N551" t="str">
            <v>EMT-1</v>
          </cell>
          <cell r="Q551">
            <v>0</v>
          </cell>
          <cell r="R551">
            <v>0</v>
          </cell>
          <cell r="T551">
            <v>-30</v>
          </cell>
          <cell r="W551">
            <v>1.4</v>
          </cell>
          <cell r="AC551" t="str">
            <v>PHQ-1150</v>
          </cell>
          <cell r="AF551">
            <v>6000</v>
          </cell>
          <cell r="AG551">
            <v>9388.89</v>
          </cell>
          <cell r="AH551">
            <v>3148</v>
          </cell>
          <cell r="AI551">
            <v>686</v>
          </cell>
          <cell r="AJ551" t="str">
            <v>FW</v>
          </cell>
          <cell r="AM551" t="str">
            <v>RW2</v>
          </cell>
        </row>
        <row r="552">
          <cell r="A552" t="str">
            <v>Start Brigde 2</v>
          </cell>
          <cell r="G552">
            <v>54</v>
          </cell>
          <cell r="S552">
            <v>54.110000000000582</v>
          </cell>
        </row>
        <row r="553">
          <cell r="B553" t="str">
            <v>9-1.12</v>
          </cell>
          <cell r="C553">
            <v>9443</v>
          </cell>
          <cell r="F553">
            <v>0</v>
          </cell>
          <cell r="L553" t="str">
            <v>HEB-260</v>
          </cell>
          <cell r="M553" t="str">
            <v>CV-PAW</v>
          </cell>
          <cell r="N553" t="str">
            <v>EMT-2</v>
          </cell>
          <cell r="Q553">
            <v>0</v>
          </cell>
          <cell r="R553" t="str">
            <v>inf</v>
          </cell>
          <cell r="T553">
            <v>30</v>
          </cell>
          <cell r="W553">
            <v>1.4</v>
          </cell>
          <cell r="AC553" t="str">
            <v>PH 1150</v>
          </cell>
          <cell r="AF553">
            <v>6000</v>
          </cell>
          <cell r="AG553">
            <v>9443</v>
          </cell>
          <cell r="AH553">
            <v>2961</v>
          </cell>
          <cell r="AI553">
            <v>279</v>
          </cell>
          <cell r="AJ553" t="str">
            <v>FW</v>
          </cell>
          <cell r="AM553" t="str">
            <v>RW2</v>
          </cell>
        </row>
        <row r="554">
          <cell r="G554">
            <v>50</v>
          </cell>
          <cell r="S554">
            <v>50.200000000000728</v>
          </cell>
        </row>
        <row r="555">
          <cell r="B555" t="str">
            <v>9-1.13</v>
          </cell>
          <cell r="C555">
            <v>9493</v>
          </cell>
          <cell r="F555">
            <v>0</v>
          </cell>
          <cell r="L555" t="str">
            <v>HEB-260</v>
          </cell>
          <cell r="M555" t="str">
            <v>PL4</v>
          </cell>
          <cell r="N555" t="str">
            <v>EMT-1</v>
          </cell>
          <cell r="Q555">
            <v>11</v>
          </cell>
          <cell r="R555" t="str">
            <v>inf</v>
          </cell>
          <cell r="T555">
            <v>-30</v>
          </cell>
          <cell r="W555">
            <v>1.4</v>
          </cell>
          <cell r="AC555" t="str">
            <v>PH-Q 1150</v>
          </cell>
          <cell r="AF555">
            <v>5200</v>
          </cell>
          <cell r="AG555">
            <v>9493.2000000000007</v>
          </cell>
          <cell r="AH555">
            <v>2767</v>
          </cell>
          <cell r="AI555">
            <v>-218</v>
          </cell>
          <cell r="AJ555" t="str">
            <v>FW</v>
          </cell>
          <cell r="AM555" t="str">
            <v>RW2</v>
          </cell>
        </row>
        <row r="556">
          <cell r="G556">
            <v>50</v>
          </cell>
          <cell r="S556">
            <v>50.039999999999054</v>
          </cell>
        </row>
        <row r="557">
          <cell r="B557" t="str">
            <v>9-1.14</v>
          </cell>
          <cell r="C557">
            <v>9543</v>
          </cell>
          <cell r="F557">
            <v>0</v>
          </cell>
          <cell r="L557" t="str">
            <v>HEB-260</v>
          </cell>
          <cell r="M557" t="str">
            <v>PL4</v>
          </cell>
          <cell r="N557" t="str">
            <v>EMT-2</v>
          </cell>
          <cell r="Q557">
            <v>0</v>
          </cell>
          <cell r="R557" t="str">
            <v>inf</v>
          </cell>
          <cell r="T557">
            <v>30</v>
          </cell>
          <cell r="W557">
            <v>1.4</v>
          </cell>
          <cell r="AC557" t="str">
            <v>PH-Q 1150</v>
          </cell>
          <cell r="AF557">
            <v>5800</v>
          </cell>
          <cell r="AG557">
            <v>9543.24</v>
          </cell>
          <cell r="AH557">
            <v>2787</v>
          </cell>
          <cell r="AI557">
            <v>82</v>
          </cell>
          <cell r="AJ557" t="str">
            <v>FW</v>
          </cell>
          <cell r="AM557" t="str">
            <v>RW2</v>
          </cell>
        </row>
        <row r="558">
          <cell r="G558">
            <v>52.5</v>
          </cell>
          <cell r="S558">
            <v>54.930000000000291</v>
          </cell>
        </row>
        <row r="559">
          <cell r="B559" t="str">
            <v>9-1.15</v>
          </cell>
          <cell r="C559">
            <v>9595.5</v>
          </cell>
          <cell r="F559">
            <v>0</v>
          </cell>
          <cell r="H559" t="str">
            <v>AnMP</v>
          </cell>
          <cell r="L559" t="str">
            <v>2HEB-280</v>
          </cell>
          <cell r="M559" t="str">
            <v>PL2H280</v>
          </cell>
          <cell r="N559" t="str">
            <v>EMT-1</v>
          </cell>
          <cell r="Q559">
            <v>0</v>
          </cell>
          <cell r="R559" t="str">
            <v>inf</v>
          </cell>
          <cell r="T559">
            <v>-35</v>
          </cell>
          <cell r="W559">
            <v>1.4</v>
          </cell>
          <cell r="AC559" t="str">
            <v>PH-Q 1150</v>
          </cell>
          <cell r="AF559">
            <v>6000</v>
          </cell>
          <cell r="AG559">
            <v>9598.17</v>
          </cell>
          <cell r="AH559">
            <v>2827</v>
          </cell>
          <cell r="AI559">
            <v>660</v>
          </cell>
          <cell r="AJ559" t="str">
            <v>FW</v>
          </cell>
          <cell r="AM559" t="str">
            <v>RW2</v>
          </cell>
        </row>
        <row r="560">
          <cell r="G560">
            <v>47.5</v>
          </cell>
          <cell r="I560">
            <v>608.5</v>
          </cell>
          <cell r="S560">
            <v>45.229999999999563</v>
          </cell>
        </row>
        <row r="561">
          <cell r="B561" t="str">
            <v>9-1.16</v>
          </cell>
          <cell r="C561">
            <v>9643</v>
          </cell>
          <cell r="F561">
            <v>0</v>
          </cell>
          <cell r="H561" t="str">
            <v>MP</v>
          </cell>
          <cell r="L561" t="str">
            <v>HEB-260</v>
          </cell>
          <cell r="M561" t="str">
            <v>PL4</v>
          </cell>
          <cell r="N561" t="str">
            <v>EMT-2</v>
          </cell>
          <cell r="Q561">
            <v>0</v>
          </cell>
          <cell r="R561" t="str">
            <v>inf</v>
          </cell>
          <cell r="T561">
            <v>35</v>
          </cell>
          <cell r="W561">
            <v>1.4</v>
          </cell>
          <cell r="AC561" t="str">
            <v>PH-Q 1150</v>
          </cell>
          <cell r="AF561">
            <v>6000</v>
          </cell>
          <cell r="AG561">
            <v>9643.4</v>
          </cell>
          <cell r="AH561">
            <v>2837</v>
          </cell>
          <cell r="AI561">
            <v>494</v>
          </cell>
          <cell r="AJ561" t="str">
            <v>FW</v>
          </cell>
          <cell r="AM561" t="str">
            <v>RW2</v>
          </cell>
        </row>
        <row r="562">
          <cell r="G562">
            <v>50</v>
          </cell>
          <cell r="I562">
            <v>636</v>
          </cell>
          <cell r="S562">
            <v>50.140000000001237</v>
          </cell>
        </row>
        <row r="563">
          <cell r="B563" t="str">
            <v>9-1.17</v>
          </cell>
          <cell r="C563">
            <v>9693</v>
          </cell>
          <cell r="F563">
            <v>0</v>
          </cell>
          <cell r="H563" t="str">
            <v>AnMP</v>
          </cell>
          <cell r="L563" t="str">
            <v>2HEB-280</v>
          </cell>
          <cell r="M563" t="str">
            <v>PL2H280</v>
          </cell>
          <cell r="N563" t="str">
            <v>EMT-1</v>
          </cell>
          <cell r="Q563">
            <v>0</v>
          </cell>
          <cell r="R563" t="str">
            <v>inf</v>
          </cell>
          <cell r="T563">
            <v>-35</v>
          </cell>
          <cell r="W563">
            <v>1.4</v>
          </cell>
          <cell r="AC563" t="str">
            <v>PH-Q 1150</v>
          </cell>
          <cell r="AF563">
            <v>6000</v>
          </cell>
          <cell r="AG563">
            <v>9693.5400000000009</v>
          </cell>
          <cell r="AH563">
            <v>2796</v>
          </cell>
          <cell r="AI563">
            <v>792</v>
          </cell>
          <cell r="AJ563" t="str">
            <v>FW</v>
          </cell>
          <cell r="AM563" t="str">
            <v>RW2</v>
          </cell>
        </row>
        <row r="564">
          <cell r="G564">
            <v>50</v>
          </cell>
          <cell r="S564">
            <v>50.109999999998763</v>
          </cell>
        </row>
        <row r="565">
          <cell r="B565" t="str">
            <v>9-1.18</v>
          </cell>
          <cell r="C565">
            <v>9743</v>
          </cell>
          <cell r="F565">
            <v>0</v>
          </cell>
          <cell r="L565" t="str">
            <v>HEB-260</v>
          </cell>
          <cell r="M565" t="str">
            <v>PL4</v>
          </cell>
          <cell r="N565" t="str">
            <v>EMT-2</v>
          </cell>
          <cell r="Q565">
            <v>0</v>
          </cell>
          <cell r="R565" t="str">
            <v>inf</v>
          </cell>
          <cell r="T565">
            <v>35</v>
          </cell>
          <cell r="W565">
            <v>1.4</v>
          </cell>
          <cell r="AC565" t="str">
            <v>PH-Q 1150</v>
          </cell>
          <cell r="AF565">
            <v>6000</v>
          </cell>
          <cell r="AG565">
            <v>9743.65</v>
          </cell>
          <cell r="AH565">
            <v>2813</v>
          </cell>
          <cell r="AI565">
            <v>576</v>
          </cell>
          <cell r="AJ565" t="str">
            <v>FW</v>
          </cell>
          <cell r="AM565" t="str">
            <v>RW2</v>
          </cell>
        </row>
        <row r="566">
          <cell r="G566">
            <v>50</v>
          </cell>
          <cell r="S566">
            <v>49.489999999999782</v>
          </cell>
        </row>
        <row r="567">
          <cell r="B567" t="str">
            <v>9-1.19</v>
          </cell>
          <cell r="C567">
            <v>9793</v>
          </cell>
          <cell r="F567">
            <v>0</v>
          </cell>
          <cell r="L567" t="str">
            <v>HEB-260</v>
          </cell>
          <cell r="M567" t="str">
            <v>PL4</v>
          </cell>
          <cell r="N567" t="str">
            <v>EMT-1</v>
          </cell>
          <cell r="Q567">
            <v>0</v>
          </cell>
          <cell r="R567" t="str">
            <v>inf</v>
          </cell>
          <cell r="T567">
            <v>-35</v>
          </cell>
          <cell r="W567">
            <v>1.4</v>
          </cell>
          <cell r="AC567" t="str">
            <v>PH-Q 1150</v>
          </cell>
          <cell r="AF567">
            <v>6000</v>
          </cell>
          <cell r="AG567">
            <v>9793.14</v>
          </cell>
          <cell r="AH567">
            <v>2833</v>
          </cell>
          <cell r="AI567">
            <v>557</v>
          </cell>
          <cell r="AJ567" t="str">
            <v>FW</v>
          </cell>
          <cell r="AM567" t="str">
            <v>RW2</v>
          </cell>
        </row>
        <row r="568">
          <cell r="G568">
            <v>50</v>
          </cell>
          <cell r="S568">
            <v>49.940000000000509</v>
          </cell>
        </row>
        <row r="569">
          <cell r="B569" t="str">
            <v>9-1.20</v>
          </cell>
          <cell r="C569">
            <v>9843</v>
          </cell>
          <cell r="F569">
            <v>0</v>
          </cell>
          <cell r="L569" t="str">
            <v>HEB-260</v>
          </cell>
          <cell r="M569" t="str">
            <v>PL4</v>
          </cell>
          <cell r="N569" t="str">
            <v>EMT-2</v>
          </cell>
          <cell r="Q569">
            <v>0</v>
          </cell>
          <cell r="R569" t="str">
            <v>inf</v>
          </cell>
          <cell r="T569">
            <v>35</v>
          </cell>
          <cell r="W569">
            <v>1.4</v>
          </cell>
          <cell r="AC569" t="str">
            <v>PH-Q 1150</v>
          </cell>
          <cell r="AF569">
            <v>6000</v>
          </cell>
          <cell r="AG569">
            <v>9843.08</v>
          </cell>
          <cell r="AH569">
            <v>2798</v>
          </cell>
          <cell r="AI569">
            <v>529</v>
          </cell>
          <cell r="AJ569" t="str">
            <v>FW</v>
          </cell>
          <cell r="AM569" t="str">
            <v>RW2</v>
          </cell>
        </row>
        <row r="570">
          <cell r="G570">
            <v>50</v>
          </cell>
          <cell r="S570">
            <v>50.920000000000073</v>
          </cell>
        </row>
        <row r="571">
          <cell r="B571" t="str">
            <v>9-1.21</v>
          </cell>
          <cell r="C571">
            <v>9893</v>
          </cell>
          <cell r="F571">
            <v>0</v>
          </cell>
          <cell r="L571" t="str">
            <v>HEB-260</v>
          </cell>
          <cell r="M571" t="str">
            <v>PL4</v>
          </cell>
          <cell r="N571" t="str">
            <v>EMT-1</v>
          </cell>
          <cell r="Q571">
            <v>0</v>
          </cell>
          <cell r="R571" t="str">
            <v>inf</v>
          </cell>
          <cell r="T571">
            <v>-35</v>
          </cell>
          <cell r="W571">
            <v>1.4</v>
          </cell>
          <cell r="AC571" t="str">
            <v>PH-Q 1150</v>
          </cell>
          <cell r="AF571">
            <v>6000</v>
          </cell>
          <cell r="AG571">
            <v>9894</v>
          </cell>
          <cell r="AH571">
            <v>2815</v>
          </cell>
          <cell r="AI571">
            <v>597</v>
          </cell>
          <cell r="AJ571" t="str">
            <v>FW</v>
          </cell>
          <cell r="AM571" t="str">
            <v>RW2</v>
          </cell>
        </row>
        <row r="572">
          <cell r="G572">
            <v>50</v>
          </cell>
          <cell r="S572">
            <v>48.799999999999272</v>
          </cell>
        </row>
        <row r="573">
          <cell r="B573" t="str">
            <v>9-1.22</v>
          </cell>
          <cell r="C573">
            <v>9943</v>
          </cell>
          <cell r="F573">
            <v>0</v>
          </cell>
          <cell r="L573" t="str">
            <v>HEB-260</v>
          </cell>
          <cell r="M573" t="str">
            <v>PL4</v>
          </cell>
          <cell r="N573" t="str">
            <v>EMT-2</v>
          </cell>
          <cell r="Q573">
            <v>0</v>
          </cell>
          <cell r="R573" t="str">
            <v>inf</v>
          </cell>
          <cell r="T573">
            <v>35</v>
          </cell>
          <cell r="W573">
            <v>1.4</v>
          </cell>
          <cell r="AC573" t="str">
            <v>PH-Q 1150</v>
          </cell>
          <cell r="AF573">
            <v>6000</v>
          </cell>
          <cell r="AG573">
            <v>9942.7999999999993</v>
          </cell>
          <cell r="AH573">
            <v>2773</v>
          </cell>
          <cell r="AI573">
            <v>536</v>
          </cell>
          <cell r="AJ573" t="str">
            <v>FW</v>
          </cell>
          <cell r="AM573" t="str">
            <v>RW2</v>
          </cell>
        </row>
        <row r="574">
          <cell r="G574">
            <v>50</v>
          </cell>
          <cell r="S574">
            <v>50.430000000000291</v>
          </cell>
        </row>
        <row r="575">
          <cell r="B575" t="str">
            <v>9-1.23</v>
          </cell>
          <cell r="C575">
            <v>9993</v>
          </cell>
          <cell r="F575">
            <v>0</v>
          </cell>
          <cell r="L575" t="str">
            <v>HEB-260</v>
          </cell>
          <cell r="M575" t="str">
            <v>PL4</v>
          </cell>
          <cell r="N575" t="str">
            <v>EMT-1</v>
          </cell>
          <cell r="Q575">
            <v>0</v>
          </cell>
          <cell r="R575" t="str">
            <v>inf</v>
          </cell>
          <cell r="T575">
            <v>-35</v>
          </cell>
          <cell r="W575">
            <v>1.4</v>
          </cell>
          <cell r="AC575" t="str">
            <v>PH-C 1150</v>
          </cell>
          <cell r="AF575">
            <v>6000</v>
          </cell>
          <cell r="AG575">
            <v>9993.23</v>
          </cell>
          <cell r="AH575">
            <v>2753</v>
          </cell>
          <cell r="AI575">
            <v>486</v>
          </cell>
          <cell r="AJ575" t="str">
            <v>FW</v>
          </cell>
          <cell r="AM575" t="str">
            <v>RW2</v>
          </cell>
        </row>
        <row r="576">
          <cell r="A576" t="str">
            <v>End Brigde 2</v>
          </cell>
          <cell r="G576">
            <v>55</v>
          </cell>
          <cell r="S576">
            <v>54.700000000000728</v>
          </cell>
        </row>
        <row r="577">
          <cell r="B577" t="str">
            <v>10-1.01</v>
          </cell>
          <cell r="C577">
            <v>10048</v>
          </cell>
          <cell r="F577">
            <v>0</v>
          </cell>
          <cell r="L577" t="str">
            <v>HEB-240</v>
          </cell>
          <cell r="M577" t="str">
            <v>C3RT</v>
          </cell>
          <cell r="N577" t="str">
            <v>EMT-2</v>
          </cell>
          <cell r="Q577">
            <v>34</v>
          </cell>
          <cell r="R577">
            <v>9206.7999999999993</v>
          </cell>
          <cell r="T577">
            <v>30</v>
          </cell>
          <cell r="W577">
            <v>1.4</v>
          </cell>
          <cell r="AC577" t="str">
            <v>PH-1150</v>
          </cell>
          <cell r="AF577">
            <v>6000</v>
          </cell>
          <cell r="AG577">
            <v>10047.93</v>
          </cell>
          <cell r="AH577">
            <v>3094</v>
          </cell>
          <cell r="AI577">
            <v>656</v>
          </cell>
          <cell r="AJ577" t="str">
            <v>FW</v>
          </cell>
          <cell r="AM577" t="str">
            <v>RW2</v>
          </cell>
        </row>
        <row r="578">
          <cell r="G578">
            <v>57</v>
          </cell>
          <cell r="I578" t="str">
            <v>FP+AnMC</v>
          </cell>
          <cell r="J578">
            <v>10097.5</v>
          </cell>
          <cell r="K578" t="str">
            <v>AnMC-RT</v>
          </cell>
          <cell r="S578">
            <v>57.110000000000582</v>
          </cell>
        </row>
        <row r="579">
          <cell r="B579" t="str">
            <v>10-1.02</v>
          </cell>
          <cell r="C579">
            <v>10105</v>
          </cell>
          <cell r="F579">
            <v>5000</v>
          </cell>
          <cell r="H579" t="str">
            <v>A/S</v>
          </cell>
          <cell r="I579">
            <v>653</v>
          </cell>
          <cell r="L579" t="str">
            <v>HEB-260 (CP)</v>
          </cell>
          <cell r="M579" t="str">
            <v>C4RT</v>
          </cell>
          <cell r="N579" t="str">
            <v>EMT-1</v>
          </cell>
          <cell r="Q579">
            <v>40</v>
          </cell>
          <cell r="R579">
            <v>5005</v>
          </cell>
          <cell r="T579">
            <v>-20</v>
          </cell>
          <cell r="W579">
            <v>1.4</v>
          </cell>
          <cell r="AC579" t="str">
            <v>PH-Q 1150</v>
          </cell>
          <cell r="AF579">
            <v>6000</v>
          </cell>
          <cell r="AG579">
            <v>10105.040000000001</v>
          </cell>
          <cell r="AH579">
            <v>3983</v>
          </cell>
          <cell r="AI579">
            <v>618</v>
          </cell>
          <cell r="AJ579" t="str">
            <v>FW</v>
          </cell>
          <cell r="AM579" t="str">
            <v>RW2</v>
          </cell>
        </row>
        <row r="580">
          <cell r="G580">
            <v>58</v>
          </cell>
          <cell r="I580" t="str">
            <v>AnRW</v>
          </cell>
          <cell r="J580">
            <v>10155.5</v>
          </cell>
          <cell r="K580" t="str">
            <v>AnM-RT</v>
          </cell>
          <cell r="S580">
            <v>57.909999999999854</v>
          </cell>
        </row>
        <row r="581">
          <cell r="B581" t="str">
            <v>10-1.03</v>
          </cell>
          <cell r="C581">
            <v>10163</v>
          </cell>
          <cell r="F581">
            <v>0</v>
          </cell>
          <cell r="H581" t="str">
            <v>S/A</v>
          </cell>
          <cell r="I581" t="str">
            <v>AnRW</v>
          </cell>
          <cell r="J581">
            <v>10170.5</v>
          </cell>
          <cell r="K581" t="str">
            <v>AnM-RT</v>
          </cell>
          <cell r="L581" t="str">
            <v>HEB-260</v>
          </cell>
          <cell r="M581" t="str">
            <v>C4RT</v>
          </cell>
          <cell r="N581" t="str">
            <v>EMT-T</v>
          </cell>
          <cell r="O581" t="str">
            <v>EMT-2</v>
          </cell>
          <cell r="Q581">
            <v>37</v>
          </cell>
          <cell r="R581">
            <v>10730.8</v>
          </cell>
          <cell r="T581">
            <v>35</v>
          </cell>
          <cell r="U581">
            <v>15</v>
          </cell>
          <cell r="W581">
            <v>1.4</v>
          </cell>
          <cell r="X581">
            <v>2.2999999999999998</v>
          </cell>
          <cell r="Z581">
            <v>0.5</v>
          </cell>
          <cell r="AD581" t="str">
            <v>PH-1150</v>
          </cell>
          <cell r="AF581">
            <v>6000</v>
          </cell>
          <cell r="AG581">
            <v>10162.950000000001</v>
          </cell>
          <cell r="AH581">
            <v>2637</v>
          </cell>
          <cell r="AI581">
            <v>690</v>
          </cell>
          <cell r="AJ581" t="str">
            <v>FW</v>
          </cell>
          <cell r="AM581" t="str">
            <v>RW2</v>
          </cell>
        </row>
        <row r="582">
          <cell r="G582">
            <v>58</v>
          </cell>
          <cell r="S582">
            <v>57.899999999999636</v>
          </cell>
        </row>
        <row r="583">
          <cell r="B583" t="str">
            <v>10-1.04</v>
          </cell>
          <cell r="C583">
            <v>10221</v>
          </cell>
          <cell r="F583">
            <v>0</v>
          </cell>
          <cell r="H583" t="str">
            <v>S/A</v>
          </cell>
          <cell r="I583" t="str">
            <v>AnRW</v>
          </cell>
          <cell r="J583">
            <v>10213.5</v>
          </cell>
          <cell r="K583" t="str">
            <v>AnM-RT</v>
          </cell>
          <cell r="L583" t="str">
            <v>HEB-260</v>
          </cell>
          <cell r="M583" t="str">
            <v>C4RT</v>
          </cell>
          <cell r="N583" t="str">
            <v>EMT-1</v>
          </cell>
          <cell r="O583" t="str">
            <v>EMT-T</v>
          </cell>
          <cell r="Q583">
            <v>0</v>
          </cell>
          <cell r="R583">
            <v>0</v>
          </cell>
          <cell r="T583">
            <v>-15</v>
          </cell>
          <cell r="U583">
            <v>-35</v>
          </cell>
          <cell r="W583">
            <v>1.4</v>
          </cell>
          <cell r="X583">
            <v>2.2999999999999998</v>
          </cell>
          <cell r="AA583">
            <v>0.5</v>
          </cell>
          <cell r="AC583" t="str">
            <v>PH-1050</v>
          </cell>
          <cell r="AF583">
            <v>6000</v>
          </cell>
          <cell r="AG583">
            <v>10220.85</v>
          </cell>
          <cell r="AH583">
            <v>2590</v>
          </cell>
          <cell r="AI583">
            <v>662</v>
          </cell>
          <cell r="AJ583" t="str">
            <v>FW</v>
          </cell>
          <cell r="AM583" t="str">
            <v>RW2</v>
          </cell>
        </row>
        <row r="584">
          <cell r="G584">
            <v>58</v>
          </cell>
          <cell r="I584" t="str">
            <v>AnRW</v>
          </cell>
          <cell r="J584">
            <v>10228.5</v>
          </cell>
          <cell r="K584" t="str">
            <v>AnM-RT</v>
          </cell>
          <cell r="S584">
            <v>58</v>
          </cell>
        </row>
        <row r="585">
          <cell r="B585" t="str">
            <v>10-1.05</v>
          </cell>
          <cell r="C585">
            <v>10279</v>
          </cell>
          <cell r="F585">
            <v>0</v>
          </cell>
          <cell r="H585" t="str">
            <v>A/S</v>
          </cell>
          <cell r="I585" t="str">
            <v>CP+AnMC</v>
          </cell>
          <cell r="L585" t="str">
            <v>HEB-260 (CP)</v>
          </cell>
          <cell r="M585" t="str">
            <v>C4RT</v>
          </cell>
          <cell r="N585" t="str">
            <v>EMT-2</v>
          </cell>
          <cell r="Q585">
            <v>0</v>
          </cell>
          <cell r="R585">
            <v>0</v>
          </cell>
          <cell r="T585">
            <v>25</v>
          </cell>
          <cell r="W585">
            <v>1.4</v>
          </cell>
          <cell r="AC585" t="str">
            <v>PH-1150</v>
          </cell>
          <cell r="AF585">
            <v>6000</v>
          </cell>
          <cell r="AG585">
            <v>10278.85</v>
          </cell>
          <cell r="AH585">
            <v>2601</v>
          </cell>
          <cell r="AI585">
            <v>692</v>
          </cell>
          <cell r="AJ585" t="str">
            <v>FW</v>
          </cell>
          <cell r="AM585" t="str">
            <v>RW2</v>
          </cell>
        </row>
        <row r="586">
          <cell r="G586">
            <v>58</v>
          </cell>
          <cell r="J586">
            <v>10286.5</v>
          </cell>
          <cell r="K586" t="str">
            <v>AnMC-RT</v>
          </cell>
          <cell r="S586">
            <v>58.209999999999127</v>
          </cell>
        </row>
        <row r="587">
          <cell r="B587" t="str">
            <v>10-1.06</v>
          </cell>
          <cell r="C587">
            <v>10337</v>
          </cell>
          <cell r="F587">
            <v>0</v>
          </cell>
          <cell r="L587" t="str">
            <v>HEB-240</v>
          </cell>
          <cell r="M587" t="str">
            <v>C3RT</v>
          </cell>
          <cell r="N587" t="str">
            <v>EMT-1</v>
          </cell>
          <cell r="Q587">
            <v>0</v>
          </cell>
          <cell r="R587">
            <v>0</v>
          </cell>
          <cell r="T587">
            <v>-35</v>
          </cell>
          <cell r="W587">
            <v>1.4</v>
          </cell>
          <cell r="AC587" t="str">
            <v>PH-1150</v>
          </cell>
          <cell r="AF587">
            <v>6000</v>
          </cell>
          <cell r="AG587">
            <v>10337.06</v>
          </cell>
          <cell r="AH587">
            <v>2473</v>
          </cell>
          <cell r="AI587">
            <v>686</v>
          </cell>
          <cell r="AJ587" t="str">
            <v>FW</v>
          </cell>
          <cell r="AM587" t="str">
            <v>RW2</v>
          </cell>
        </row>
        <row r="588">
          <cell r="G588">
            <v>58</v>
          </cell>
          <cell r="S588">
            <v>57.8700000000008</v>
          </cell>
        </row>
        <row r="589">
          <cell r="B589" t="str">
            <v>10-1.07</v>
          </cell>
          <cell r="C589">
            <v>10395</v>
          </cell>
          <cell r="F589">
            <v>0</v>
          </cell>
          <cell r="L589" t="str">
            <v>HEB-240</v>
          </cell>
          <cell r="M589" t="str">
            <v>C3RT</v>
          </cell>
          <cell r="N589" t="str">
            <v>EMT-2</v>
          </cell>
          <cell r="Q589">
            <v>0</v>
          </cell>
          <cell r="R589">
            <v>0</v>
          </cell>
          <cell r="T589">
            <v>35</v>
          </cell>
          <cell r="W589">
            <v>1.4</v>
          </cell>
          <cell r="AC589" t="str">
            <v>PHQ-1150</v>
          </cell>
          <cell r="AF589">
            <v>6000</v>
          </cell>
          <cell r="AG589">
            <v>10394.93</v>
          </cell>
          <cell r="AH589">
            <v>2581</v>
          </cell>
          <cell r="AI589">
            <v>631</v>
          </cell>
          <cell r="AJ589" t="str">
            <v>FW</v>
          </cell>
          <cell r="AM589" t="str">
            <v>RW2</v>
          </cell>
        </row>
        <row r="590">
          <cell r="G590">
            <v>57</v>
          </cell>
          <cell r="S590">
            <v>56.889999999999418</v>
          </cell>
        </row>
        <row r="591">
          <cell r="B591" t="str">
            <v>10-1.08</v>
          </cell>
          <cell r="C591">
            <v>10452</v>
          </cell>
          <cell r="F591">
            <v>0</v>
          </cell>
          <cell r="L591" t="str">
            <v>HEB-240</v>
          </cell>
          <cell r="M591" t="str">
            <v>C3RT</v>
          </cell>
          <cell r="N591" t="str">
            <v>EMT-1</v>
          </cell>
          <cell r="Q591">
            <v>0</v>
          </cell>
          <cell r="R591">
            <v>0</v>
          </cell>
          <cell r="T591">
            <v>-35</v>
          </cell>
          <cell r="W591">
            <v>1.4</v>
          </cell>
          <cell r="AC591" t="str">
            <v>PHQ-1150</v>
          </cell>
          <cell r="AF591">
            <v>6000</v>
          </cell>
          <cell r="AG591">
            <v>10451.82</v>
          </cell>
          <cell r="AH591">
            <v>2563</v>
          </cell>
          <cell r="AI591">
            <v>640</v>
          </cell>
          <cell r="AJ591" t="str">
            <v>FW</v>
          </cell>
          <cell r="AM591" t="str">
            <v>RW2</v>
          </cell>
        </row>
        <row r="592">
          <cell r="A592" t="str">
            <v>NS HASHFELA</v>
          </cell>
          <cell r="G592">
            <v>55</v>
          </cell>
          <cell r="J592">
            <v>10499.5</v>
          </cell>
          <cell r="K592" t="str">
            <v>AnMC-RT</v>
          </cell>
          <cell r="S592">
            <v>54.989999999999782</v>
          </cell>
        </row>
        <row r="593">
          <cell r="B593" t="str">
            <v>10-1.09</v>
          </cell>
          <cell r="C593">
            <v>10507</v>
          </cell>
          <cell r="F593">
            <v>0</v>
          </cell>
          <cell r="H593" t="str">
            <v>A/S</v>
          </cell>
          <cell r="I593" t="str">
            <v>CP+AnMC</v>
          </cell>
          <cell r="L593" t="str">
            <v>HEB-260 (CP)</v>
          </cell>
          <cell r="M593" t="str">
            <v>C4RT</v>
          </cell>
          <cell r="N593" t="str">
            <v>EMT-2</v>
          </cell>
          <cell r="Q593">
            <v>18</v>
          </cell>
          <cell r="R593">
            <v>0</v>
          </cell>
          <cell r="T593">
            <v>35</v>
          </cell>
          <cell r="W593">
            <v>1.4</v>
          </cell>
          <cell r="AC593" t="str">
            <v>PHQ-1150</v>
          </cell>
          <cell r="AF593">
            <v>6000</v>
          </cell>
          <cell r="AG593">
            <v>10506.81</v>
          </cell>
          <cell r="AH593">
            <v>2523</v>
          </cell>
          <cell r="AI593">
            <v>644</v>
          </cell>
          <cell r="AJ593" t="str">
            <v>FW</v>
          </cell>
          <cell r="AM593" t="str">
            <v>RW2</v>
          </cell>
        </row>
        <row r="594">
          <cell r="G594">
            <v>50</v>
          </cell>
          <cell r="S594">
            <v>54.940000000000509</v>
          </cell>
        </row>
        <row r="595">
          <cell r="A595" t="str">
            <v>HSA-B01</v>
          </cell>
          <cell r="B595" t="str">
            <v>10-1.10</v>
          </cell>
          <cell r="C595">
            <v>10557</v>
          </cell>
          <cell r="F595">
            <v>0</v>
          </cell>
          <cell r="L595" t="str">
            <v>HEB-300L</v>
          </cell>
          <cell r="M595" t="str">
            <v>C6RT</v>
          </cell>
          <cell r="AJ595" t="str">
            <v>PP-2</v>
          </cell>
          <cell r="AM595" t="str">
            <v>RW2</v>
          </cell>
        </row>
        <row r="596">
          <cell r="G596">
            <v>5</v>
          </cell>
        </row>
        <row r="597">
          <cell r="A597" t="str">
            <v>HSA-NS1</v>
          </cell>
          <cell r="B597" t="str">
            <v>10-1.11</v>
          </cell>
          <cell r="C597">
            <v>10562</v>
          </cell>
          <cell r="F597">
            <v>0</v>
          </cell>
          <cell r="H597" t="str">
            <v>S/A</v>
          </cell>
          <cell r="I597" t="str">
            <v>IO</v>
          </cell>
          <cell r="L597" t="str">
            <v>HEB-260</v>
          </cell>
          <cell r="M597" t="str">
            <v>C4RT</v>
          </cell>
          <cell r="N597" t="str">
            <v>EMT-T</v>
          </cell>
          <cell r="O597" t="str">
            <v>EMT-1</v>
          </cell>
          <cell r="Q597">
            <v>0</v>
          </cell>
          <cell r="R597">
            <v>0</v>
          </cell>
          <cell r="T597">
            <v>15</v>
          </cell>
          <cell r="U597">
            <v>-30</v>
          </cell>
          <cell r="W597">
            <v>1.4</v>
          </cell>
          <cell r="X597">
            <v>2.2999999999999998</v>
          </cell>
          <cell r="Z597">
            <v>0.45</v>
          </cell>
          <cell r="AD597" t="str">
            <v>PH-1150</v>
          </cell>
          <cell r="AF597">
            <v>6000</v>
          </cell>
          <cell r="AG597">
            <v>10561.75</v>
          </cell>
          <cell r="AH597">
            <v>2588</v>
          </cell>
          <cell r="AI597">
            <v>652</v>
          </cell>
          <cell r="AJ597" t="str">
            <v>LoadB/NZ</v>
          </cell>
          <cell r="AM597" t="str">
            <v>RW2</v>
          </cell>
        </row>
        <row r="598">
          <cell r="G598">
            <v>47</v>
          </cell>
          <cell r="S598">
            <v>47.010000000000218</v>
          </cell>
          <cell r="AJ598" t="str">
            <v>FW</v>
          </cell>
        </row>
        <row r="599">
          <cell r="A599" t="str">
            <v>HSA-NS3</v>
          </cell>
          <cell r="B599" t="str">
            <v>10-1.12</v>
          </cell>
          <cell r="C599">
            <v>10609</v>
          </cell>
          <cell r="F599">
            <v>0</v>
          </cell>
          <cell r="H599" t="str">
            <v>S/A</v>
          </cell>
          <cell r="I599" t="str">
            <v>IO</v>
          </cell>
          <cell r="L599" t="str">
            <v>HEB-260</v>
          </cell>
          <cell r="M599" t="str">
            <v>C4RT</v>
          </cell>
          <cell r="N599" t="str">
            <v>EMT-2</v>
          </cell>
          <cell r="O599" t="str">
            <v>EMT-T</v>
          </cell>
          <cell r="Q599">
            <v>0</v>
          </cell>
          <cell r="R599">
            <v>0</v>
          </cell>
          <cell r="T599">
            <v>35</v>
          </cell>
          <cell r="U599">
            <v>-10</v>
          </cell>
          <cell r="W599">
            <v>1.4</v>
          </cell>
          <cell r="X599">
            <v>2.2999999999999998</v>
          </cell>
          <cell r="AA599">
            <v>0.45</v>
          </cell>
          <cell r="AC599" t="str">
            <v>PH-1150</v>
          </cell>
          <cell r="AF599">
            <v>6000</v>
          </cell>
          <cell r="AG599">
            <v>10608.76</v>
          </cell>
          <cell r="AH599">
            <v>2610</v>
          </cell>
          <cell r="AI599">
            <v>660</v>
          </cell>
          <cell r="AJ599" t="str">
            <v>LoadB/NZ</v>
          </cell>
          <cell r="AM599" t="str">
            <v>RW2</v>
          </cell>
        </row>
        <row r="600">
          <cell r="G600">
            <v>47</v>
          </cell>
          <cell r="S600">
            <v>47.059999999999491</v>
          </cell>
          <cell r="AJ600" t="str">
            <v>FW</v>
          </cell>
        </row>
        <row r="601">
          <cell r="B601" t="str">
            <v>10-1.13</v>
          </cell>
          <cell r="C601">
            <v>10656</v>
          </cell>
          <cell r="F601">
            <v>0</v>
          </cell>
          <cell r="H601" t="str">
            <v>S/A</v>
          </cell>
          <cell r="L601" t="str">
            <v>HEB-260</v>
          </cell>
          <cell r="M601" t="str">
            <v>C4RT</v>
          </cell>
          <cell r="N601" t="str">
            <v>EMT-T</v>
          </cell>
          <cell r="O601" t="str">
            <v>EMT-1</v>
          </cell>
          <cell r="Q601">
            <v>0</v>
          </cell>
          <cell r="R601">
            <v>0</v>
          </cell>
          <cell r="T601">
            <v>15</v>
          </cell>
          <cell r="U601">
            <v>-30</v>
          </cell>
          <cell r="W601">
            <v>1.4</v>
          </cell>
          <cell r="X601">
            <v>2.2999999999999998</v>
          </cell>
          <cell r="Z601">
            <v>0.45</v>
          </cell>
          <cell r="AD601" t="str">
            <v>PH-1150</v>
          </cell>
          <cell r="AF601">
            <v>6000</v>
          </cell>
          <cell r="AG601">
            <v>10655.82</v>
          </cell>
          <cell r="AH601">
            <v>2553</v>
          </cell>
          <cell r="AI601">
            <v>619</v>
          </cell>
          <cell r="AM601" t="str">
            <v>RW2</v>
          </cell>
        </row>
        <row r="602">
          <cell r="G602">
            <v>5</v>
          </cell>
          <cell r="S602">
            <v>47.020000000000437</v>
          </cell>
        </row>
        <row r="603">
          <cell r="A603" t="str">
            <v>HSA-FP2.1</v>
          </cell>
          <cell r="B603" t="str">
            <v>10-1.14</v>
          </cell>
          <cell r="C603">
            <v>10661</v>
          </cell>
          <cell r="F603">
            <v>0</v>
          </cell>
          <cell r="I603" t="str">
            <v>AnFW</v>
          </cell>
          <cell r="L603" t="str">
            <v>HEB-320LL(P)</v>
          </cell>
          <cell r="M603" t="str">
            <v>C7RT</v>
          </cell>
          <cell r="AM603" t="str">
            <v>RW2</v>
          </cell>
        </row>
        <row r="604">
          <cell r="G604">
            <v>3</v>
          </cell>
          <cell r="AJ604" t="str">
            <v>FS/PP-2</v>
          </cell>
        </row>
        <row r="605">
          <cell r="A605" t="str">
            <v>HSA-B02</v>
          </cell>
          <cell r="B605" t="str">
            <v>10-1.15</v>
          </cell>
          <cell r="C605">
            <v>10664</v>
          </cell>
          <cell r="F605">
            <v>0</v>
          </cell>
          <cell r="L605" t="str">
            <v>HEB-320LL(P)</v>
          </cell>
          <cell r="M605" t="str">
            <v>C7RT</v>
          </cell>
          <cell r="AM605" t="str">
            <v>RW2</v>
          </cell>
        </row>
        <row r="606">
          <cell r="G606">
            <v>39</v>
          </cell>
        </row>
        <row r="607">
          <cell r="A607" t="str">
            <v>HSA-NS5</v>
          </cell>
          <cell r="B607" t="str">
            <v>10-1.16</v>
          </cell>
          <cell r="C607">
            <v>10703</v>
          </cell>
          <cell r="F607">
            <v>0</v>
          </cell>
          <cell r="H607" t="str">
            <v>S/A</v>
          </cell>
          <cell r="I607" t="str">
            <v>IO</v>
          </cell>
          <cell r="L607" t="str">
            <v>HEB-260</v>
          </cell>
          <cell r="M607" t="str">
            <v>C4RT</v>
          </cell>
          <cell r="N607" t="str">
            <v>EMT-2</v>
          </cell>
          <cell r="O607" t="str">
            <v>EMT-T</v>
          </cell>
          <cell r="Q607">
            <v>0</v>
          </cell>
          <cell r="R607">
            <v>0</v>
          </cell>
          <cell r="T607">
            <v>30</v>
          </cell>
          <cell r="U607">
            <v>-15</v>
          </cell>
          <cell r="W607">
            <v>1.4</v>
          </cell>
          <cell r="X607">
            <v>2.2999999999999998</v>
          </cell>
          <cell r="AA607">
            <v>0.45</v>
          </cell>
          <cell r="AC607" t="str">
            <v>PH-1150</v>
          </cell>
          <cell r="AF607">
            <v>6000</v>
          </cell>
          <cell r="AG607">
            <v>10702.84</v>
          </cell>
          <cell r="AH607">
            <v>2516</v>
          </cell>
          <cell r="AI607">
            <v>622</v>
          </cell>
          <cell r="AJ607" t="str">
            <v>LoadB/NZ</v>
          </cell>
          <cell r="AM607" t="str">
            <v>RW2</v>
          </cell>
        </row>
        <row r="608">
          <cell r="G608">
            <v>55</v>
          </cell>
          <cell r="S608">
            <v>54.030000000000655</v>
          </cell>
          <cell r="AJ608" t="str">
            <v>Disc/NZ</v>
          </cell>
        </row>
        <row r="609">
          <cell r="B609" t="str">
            <v>10-1.17</v>
          </cell>
          <cell r="C609">
            <v>10758</v>
          </cell>
          <cell r="F609">
            <v>0</v>
          </cell>
          <cell r="H609" t="str">
            <v>A/S</v>
          </cell>
          <cell r="I609" t="str">
            <v>CP+AnMC</v>
          </cell>
          <cell r="L609" t="str">
            <v>HEB-260 (CP)</v>
          </cell>
          <cell r="M609" t="str">
            <v>C4RT</v>
          </cell>
          <cell r="N609" t="str">
            <v>EMT-1</v>
          </cell>
          <cell r="Q609">
            <v>0</v>
          </cell>
          <cell r="R609">
            <v>0</v>
          </cell>
          <cell r="T609">
            <v>-25</v>
          </cell>
          <cell r="W609">
            <v>1.4</v>
          </cell>
          <cell r="AC609" t="str">
            <v>PH-1150</v>
          </cell>
          <cell r="AF609">
            <v>6000</v>
          </cell>
          <cell r="AG609">
            <v>10756.87</v>
          </cell>
          <cell r="AH609">
            <v>2613</v>
          </cell>
          <cell r="AI609">
            <v>634</v>
          </cell>
          <cell r="AM609" t="str">
            <v>RW2</v>
          </cell>
        </row>
        <row r="610">
          <cell r="A610" t="str">
            <v>NS HASHFELA</v>
          </cell>
          <cell r="G610">
            <v>60</v>
          </cell>
          <cell r="J610">
            <v>10765.5</v>
          </cell>
          <cell r="K610" t="str">
            <v>AnMC-RT</v>
          </cell>
        </row>
        <row r="611">
          <cell r="T611">
            <v>30</v>
          </cell>
        </row>
      </sheetData>
      <sheetData sheetId="12">
        <row r="2">
          <cell r="I2" t="str">
            <v>Anchorage</v>
          </cell>
        </row>
        <row r="3">
          <cell r="O3" t="str">
            <v>M2</v>
          </cell>
        </row>
        <row r="4">
          <cell r="G4">
            <v>55.5</v>
          </cell>
          <cell r="J4">
            <v>5413.5</v>
          </cell>
          <cell r="K4" t="str">
            <v>AnMC_RL</v>
          </cell>
          <cell r="S4">
            <v>0</v>
          </cell>
        </row>
        <row r="5">
          <cell r="B5" t="str">
            <v>5-2.01</v>
          </cell>
          <cell r="C5">
            <v>5421</v>
          </cell>
          <cell r="F5">
            <v>0</v>
          </cell>
          <cell r="H5" t="str">
            <v>A/S</v>
          </cell>
          <cell r="I5" t="str">
            <v>CP+AnMC</v>
          </cell>
          <cell r="L5" t="str">
            <v>HEB-260 (CP)</v>
          </cell>
          <cell r="M5" t="str">
            <v>C4_L</v>
          </cell>
          <cell r="N5" t="str">
            <v>EMT-2</v>
          </cell>
          <cell r="T5">
            <v>35</v>
          </cell>
          <cell r="W5">
            <v>1.4</v>
          </cell>
          <cell r="AC5" t="str">
            <v>PH</v>
          </cell>
          <cell r="AM5" t="str">
            <v>RW2</v>
          </cell>
        </row>
        <row r="6">
          <cell r="G6">
            <v>60</v>
          </cell>
          <cell r="S6">
            <v>0</v>
          </cell>
        </row>
        <row r="7">
          <cell r="B7" t="str">
            <v>5-2.02</v>
          </cell>
          <cell r="C7">
            <v>5481</v>
          </cell>
          <cell r="F7">
            <v>0</v>
          </cell>
          <cell r="H7" t="str">
            <v>S/A</v>
          </cell>
          <cell r="L7" t="str">
            <v>HEB-260</v>
          </cell>
          <cell r="M7" t="str">
            <v>C4_L</v>
          </cell>
          <cell r="N7" t="str">
            <v>EMT-T</v>
          </cell>
          <cell r="O7" t="str">
            <v>EMT-1</v>
          </cell>
          <cell r="T7">
            <v>15</v>
          </cell>
          <cell r="U7">
            <v>-30</v>
          </cell>
          <cell r="W7">
            <v>2.2999999999999998</v>
          </cell>
          <cell r="X7">
            <v>1.4</v>
          </cell>
          <cell r="Z7">
            <v>0.6</v>
          </cell>
          <cell r="AC7" t="str">
            <v>PH</v>
          </cell>
          <cell r="AM7" t="str">
            <v>RW2</v>
          </cell>
        </row>
        <row r="8">
          <cell r="G8">
            <v>56</v>
          </cell>
          <cell r="S8">
            <v>0</v>
          </cell>
        </row>
        <row r="9">
          <cell r="A9" t="str">
            <v>TSO-16</v>
          </cell>
          <cell r="B9" t="str">
            <v>5-2.03</v>
          </cell>
          <cell r="C9">
            <v>5537</v>
          </cell>
          <cell r="F9">
            <v>0</v>
          </cell>
          <cell r="H9" t="str">
            <v>S/A</v>
          </cell>
          <cell r="I9" t="str">
            <v>IO</v>
          </cell>
          <cell r="L9" t="str">
            <v>2HEB-240</v>
          </cell>
          <cell r="M9" t="str">
            <v>C2H-240_L</v>
          </cell>
          <cell r="N9" t="str">
            <v>EMT-2</v>
          </cell>
          <cell r="O9" t="str">
            <v>EMT-T</v>
          </cell>
          <cell r="T9">
            <v>30</v>
          </cell>
          <cell r="U9">
            <v>-15</v>
          </cell>
          <cell r="W9">
            <v>1.4</v>
          </cell>
          <cell r="X9">
            <v>2.2999999999999998</v>
          </cell>
          <cell r="AA9">
            <v>0.6</v>
          </cell>
          <cell r="AC9" t="str">
            <v>PH</v>
          </cell>
          <cell r="AJ9" t="str">
            <v>LoadB/IO</v>
          </cell>
          <cell r="AM9" t="str">
            <v>RW2</v>
          </cell>
        </row>
        <row r="10">
          <cell r="G10">
            <v>60</v>
          </cell>
          <cell r="S10">
            <v>0</v>
          </cell>
        </row>
        <row r="11">
          <cell r="B11" t="str">
            <v>5-2.04</v>
          </cell>
          <cell r="C11">
            <v>5597</v>
          </cell>
          <cell r="F11">
            <v>0</v>
          </cell>
          <cell r="H11" t="str">
            <v>A/S</v>
          </cell>
          <cell r="I11" t="str">
            <v>CP+AnMC</v>
          </cell>
          <cell r="L11" t="str">
            <v>HEB-260 (CP)</v>
          </cell>
          <cell r="M11" t="str">
            <v>C4_L</v>
          </cell>
          <cell r="N11" t="str">
            <v>EMT-1</v>
          </cell>
          <cell r="T11">
            <v>-30</v>
          </cell>
          <cell r="W11">
            <v>1.4</v>
          </cell>
          <cell r="AC11" t="str">
            <v>PH</v>
          </cell>
          <cell r="AM11" t="str">
            <v>RW2</v>
          </cell>
        </row>
        <row r="12">
          <cell r="G12">
            <v>65</v>
          </cell>
          <cell r="J12">
            <v>5604.5</v>
          </cell>
          <cell r="K12" t="str">
            <v>AnMC_RL</v>
          </cell>
          <cell r="S12">
            <v>0</v>
          </cell>
        </row>
        <row r="13">
          <cell r="B13" t="str">
            <v>5-2.05</v>
          </cell>
          <cell r="C13">
            <v>5662</v>
          </cell>
          <cell r="F13">
            <v>0</v>
          </cell>
          <cell r="L13" t="str">
            <v>HEB-240</v>
          </cell>
          <cell r="M13" t="str">
            <v>C3_L</v>
          </cell>
          <cell r="N13" t="str">
            <v>EMT-2</v>
          </cell>
          <cell r="T13">
            <v>35</v>
          </cell>
          <cell r="W13">
            <v>1.4</v>
          </cell>
          <cell r="AC13" t="str">
            <v>PH</v>
          </cell>
          <cell r="AM13" t="str">
            <v>RW2</v>
          </cell>
        </row>
        <row r="14">
          <cell r="G14">
            <v>65</v>
          </cell>
          <cell r="S14">
            <v>0</v>
          </cell>
        </row>
        <row r="15">
          <cell r="B15" t="str">
            <v>5-2.06</v>
          </cell>
          <cell r="C15">
            <v>5727</v>
          </cell>
          <cell r="F15">
            <v>0</v>
          </cell>
          <cell r="L15" t="str">
            <v>HEB-240</v>
          </cell>
          <cell r="M15" t="str">
            <v>C3_L</v>
          </cell>
          <cell r="N15" t="str">
            <v>EMT-1</v>
          </cell>
          <cell r="T15">
            <v>-35</v>
          </cell>
          <cell r="W15">
            <v>1.4</v>
          </cell>
          <cell r="AC15" t="str">
            <v>PH</v>
          </cell>
          <cell r="AM15" t="str">
            <v>RW2</v>
          </cell>
        </row>
        <row r="16">
          <cell r="G16">
            <v>65</v>
          </cell>
          <cell r="S16">
            <v>0</v>
          </cell>
        </row>
        <row r="17">
          <cell r="B17" t="str">
            <v>5-2.07</v>
          </cell>
          <cell r="C17">
            <v>5792</v>
          </cell>
          <cell r="F17">
            <v>0</v>
          </cell>
          <cell r="L17" t="str">
            <v>HEB-240</v>
          </cell>
          <cell r="M17" t="str">
            <v>C3_L</v>
          </cell>
          <cell r="N17" t="str">
            <v>EMT-2</v>
          </cell>
          <cell r="T17">
            <v>35</v>
          </cell>
          <cell r="W17">
            <v>1.4</v>
          </cell>
          <cell r="AC17" t="str">
            <v>PH</v>
          </cell>
          <cell r="AM17" t="str">
            <v>RW2</v>
          </cell>
        </row>
        <row r="18">
          <cell r="G18">
            <v>65</v>
          </cell>
          <cell r="S18">
            <v>0</v>
          </cell>
        </row>
        <row r="19">
          <cell r="B19" t="str">
            <v>5-2.08</v>
          </cell>
          <cell r="C19">
            <v>5857</v>
          </cell>
          <cell r="F19">
            <v>0</v>
          </cell>
          <cell r="L19" t="str">
            <v>HEB-240</v>
          </cell>
          <cell r="M19" t="str">
            <v>C3_L</v>
          </cell>
          <cell r="N19" t="str">
            <v>EMT-1</v>
          </cell>
          <cell r="T19">
            <v>-35</v>
          </cell>
          <cell r="W19">
            <v>1.4</v>
          </cell>
          <cell r="AC19" t="str">
            <v>PH</v>
          </cell>
          <cell r="AM19" t="str">
            <v>RW2</v>
          </cell>
        </row>
        <row r="20">
          <cell r="G20">
            <v>63</v>
          </cell>
          <cell r="J20">
            <v>5912.5</v>
          </cell>
          <cell r="K20" t="str">
            <v>AnM_RL</v>
          </cell>
          <cell r="S20">
            <v>0</v>
          </cell>
        </row>
        <row r="21">
          <cell r="B21" t="str">
            <v>5-2.09</v>
          </cell>
          <cell r="C21">
            <v>5920</v>
          </cell>
          <cell r="F21">
            <v>0</v>
          </cell>
          <cell r="H21" t="str">
            <v>AnMP</v>
          </cell>
          <cell r="L21" t="str">
            <v>HEB-260</v>
          </cell>
          <cell r="M21" t="str">
            <v>C4_L</v>
          </cell>
          <cell r="N21" t="str">
            <v>EMT-2</v>
          </cell>
          <cell r="T21">
            <v>35</v>
          </cell>
          <cell r="W21">
            <v>1.4</v>
          </cell>
          <cell r="AC21" t="str">
            <v>PH</v>
          </cell>
          <cell r="AM21" t="str">
            <v>RW2</v>
          </cell>
        </row>
        <row r="22">
          <cell r="G22">
            <v>65</v>
          </cell>
          <cell r="I22">
            <v>564</v>
          </cell>
          <cell r="S22">
            <v>0</v>
          </cell>
        </row>
        <row r="23">
          <cell r="B23" t="str">
            <v>5-2.10</v>
          </cell>
          <cell r="C23">
            <v>5985</v>
          </cell>
          <cell r="F23">
            <v>0</v>
          </cell>
          <cell r="H23" t="str">
            <v>MP</v>
          </cell>
          <cell r="L23" t="str">
            <v>HEB-240</v>
          </cell>
          <cell r="M23" t="str">
            <v>C3_L</v>
          </cell>
          <cell r="N23" t="str">
            <v>EMT-1</v>
          </cell>
          <cell r="T23">
            <v>-35</v>
          </cell>
          <cell r="W23">
            <v>1.4</v>
          </cell>
          <cell r="AC23" t="str">
            <v>PH</v>
          </cell>
          <cell r="AM23" t="str">
            <v>RW2</v>
          </cell>
        </row>
        <row r="24">
          <cell r="G24">
            <v>65</v>
          </cell>
          <cell r="I24">
            <v>617</v>
          </cell>
          <cell r="S24">
            <v>0</v>
          </cell>
        </row>
        <row r="25">
          <cell r="B25" t="str">
            <v>6-2.01</v>
          </cell>
          <cell r="C25">
            <v>6050</v>
          </cell>
          <cell r="F25">
            <v>0</v>
          </cell>
          <cell r="H25" t="str">
            <v>AnMP</v>
          </cell>
          <cell r="L25" t="str">
            <v>HEB-260</v>
          </cell>
          <cell r="M25" t="str">
            <v>C4_L</v>
          </cell>
          <cell r="N25" t="str">
            <v>EMT-2</v>
          </cell>
          <cell r="T25">
            <v>35</v>
          </cell>
          <cell r="W25">
            <v>1.4</v>
          </cell>
          <cell r="AC25" t="str">
            <v>PH</v>
          </cell>
          <cell r="AM25" t="str">
            <v>RW2</v>
          </cell>
        </row>
        <row r="26">
          <cell r="G26">
            <v>59</v>
          </cell>
          <cell r="J26">
            <v>6057.5</v>
          </cell>
          <cell r="K26" t="str">
            <v>AnM_RL</v>
          </cell>
          <cell r="S26">
            <v>0</v>
          </cell>
        </row>
        <row r="27">
          <cell r="B27" t="str">
            <v>6-2.02</v>
          </cell>
          <cell r="C27">
            <v>6109</v>
          </cell>
          <cell r="F27">
            <v>0</v>
          </cell>
          <cell r="L27" t="str">
            <v>HEB-240</v>
          </cell>
          <cell r="M27" t="str">
            <v>C3_L</v>
          </cell>
          <cell r="N27" t="str">
            <v>EMT-1</v>
          </cell>
          <cell r="T27">
            <v>-35</v>
          </cell>
          <cell r="W27">
            <v>1.4</v>
          </cell>
          <cell r="AC27" t="str">
            <v>PH</v>
          </cell>
          <cell r="AM27" t="str">
            <v>RW2</v>
          </cell>
        </row>
        <row r="28">
          <cell r="G28">
            <v>65</v>
          </cell>
          <cell r="S28">
            <v>0</v>
          </cell>
        </row>
        <row r="29">
          <cell r="B29" t="str">
            <v>6-2.03</v>
          </cell>
          <cell r="C29">
            <v>6174</v>
          </cell>
          <cell r="F29">
            <v>0</v>
          </cell>
          <cell r="L29" t="str">
            <v>HEB-240</v>
          </cell>
          <cell r="M29" t="str">
            <v>C3_L</v>
          </cell>
          <cell r="N29" t="str">
            <v>EMT-2</v>
          </cell>
          <cell r="T29">
            <v>35</v>
          </cell>
          <cell r="W29">
            <v>1.4</v>
          </cell>
          <cell r="AC29" t="str">
            <v>PH</v>
          </cell>
          <cell r="AM29" t="str">
            <v>RW2</v>
          </cell>
        </row>
        <row r="30">
          <cell r="G30">
            <v>65</v>
          </cell>
          <cell r="S30">
            <v>0</v>
          </cell>
        </row>
        <row r="31">
          <cell r="B31" t="str">
            <v>6-2.04</v>
          </cell>
          <cell r="C31">
            <v>6239</v>
          </cell>
          <cell r="F31">
            <v>0</v>
          </cell>
          <cell r="L31" t="str">
            <v>HEB-240</v>
          </cell>
          <cell r="M31" t="str">
            <v>C3_L</v>
          </cell>
          <cell r="N31" t="str">
            <v>EMT-1</v>
          </cell>
          <cell r="T31">
            <v>-35</v>
          </cell>
          <cell r="W31">
            <v>1.4</v>
          </cell>
          <cell r="AC31" t="str">
            <v>PH</v>
          </cell>
          <cell r="AM31" t="str">
            <v>RW2</v>
          </cell>
        </row>
        <row r="32">
          <cell r="G32">
            <v>65</v>
          </cell>
          <cell r="S32">
            <v>0</v>
          </cell>
        </row>
        <row r="33">
          <cell r="B33" t="str">
            <v>6-2.05</v>
          </cell>
          <cell r="C33">
            <v>6304</v>
          </cell>
          <cell r="F33">
            <v>0</v>
          </cell>
          <cell r="L33" t="str">
            <v>HEB-240</v>
          </cell>
          <cell r="M33" t="str">
            <v>C3_L</v>
          </cell>
          <cell r="N33" t="str">
            <v>EMT-2</v>
          </cell>
          <cell r="T33">
            <v>35</v>
          </cell>
          <cell r="W33">
            <v>1.4</v>
          </cell>
          <cell r="AC33" t="str">
            <v>PH</v>
          </cell>
          <cell r="AM33" t="str">
            <v>RW2</v>
          </cell>
        </row>
        <row r="34">
          <cell r="G34">
            <v>65</v>
          </cell>
          <cell r="S34">
            <v>0</v>
          </cell>
        </row>
        <row r="35">
          <cell r="B35" t="str">
            <v>6-2.06</v>
          </cell>
          <cell r="C35">
            <v>6369</v>
          </cell>
          <cell r="F35">
            <v>0</v>
          </cell>
          <cell r="L35" t="str">
            <v>HEB-240</v>
          </cell>
          <cell r="M35" t="str">
            <v>C3_L</v>
          </cell>
          <cell r="N35" t="str">
            <v>EMT-1</v>
          </cell>
          <cell r="T35">
            <v>-35</v>
          </cell>
          <cell r="W35">
            <v>1.4</v>
          </cell>
          <cell r="AC35" t="str">
            <v>PH</v>
          </cell>
          <cell r="AM35" t="str">
            <v>RW2</v>
          </cell>
        </row>
        <row r="36">
          <cell r="G36">
            <v>65</v>
          </cell>
          <cell r="J36">
            <v>6426.5</v>
          </cell>
          <cell r="K36" t="str">
            <v>AnMC_RL</v>
          </cell>
          <cell r="S36">
            <v>0</v>
          </cell>
        </row>
        <row r="37">
          <cell r="B37" t="str">
            <v>6-2.07</v>
          </cell>
          <cell r="C37">
            <v>6434</v>
          </cell>
          <cell r="F37">
            <v>0</v>
          </cell>
          <cell r="H37" t="str">
            <v>A/S</v>
          </cell>
          <cell r="I37" t="str">
            <v>FP+AnMC</v>
          </cell>
          <cell r="L37" t="str">
            <v>HEB-260 (CP)</v>
          </cell>
          <cell r="M37" t="str">
            <v>C4_L</v>
          </cell>
          <cell r="N37" t="str">
            <v>EMT-2</v>
          </cell>
          <cell r="T37">
            <v>35</v>
          </cell>
          <cell r="W37">
            <v>1.4</v>
          </cell>
          <cell r="AC37" t="str">
            <v>PH</v>
          </cell>
          <cell r="AM37" t="str">
            <v>RW2</v>
          </cell>
        </row>
        <row r="38">
          <cell r="G38">
            <v>56</v>
          </cell>
          <cell r="I38">
            <v>579</v>
          </cell>
          <cell r="S38">
            <v>0</v>
          </cell>
        </row>
        <row r="39">
          <cell r="B39" t="str">
            <v>6-2.08</v>
          </cell>
          <cell r="C39">
            <v>6490</v>
          </cell>
          <cell r="F39">
            <v>0</v>
          </cell>
          <cell r="H39" t="str">
            <v>S/A</v>
          </cell>
          <cell r="L39" t="str">
            <v>HEB-260</v>
          </cell>
          <cell r="M39" t="str">
            <v>C4_L</v>
          </cell>
          <cell r="N39" t="str">
            <v>EMT-T</v>
          </cell>
          <cell r="O39" t="str">
            <v>EMT-1</v>
          </cell>
          <cell r="T39">
            <v>-15</v>
          </cell>
          <cell r="U39">
            <v>-35</v>
          </cell>
          <cell r="W39">
            <v>1.4</v>
          </cell>
          <cell r="X39">
            <v>2.2999999999999998</v>
          </cell>
          <cell r="Z39">
            <v>0.5</v>
          </cell>
          <cell r="AM39" t="str">
            <v>RW2</v>
          </cell>
        </row>
        <row r="40">
          <cell r="G40">
            <v>58</v>
          </cell>
          <cell r="S40">
            <v>0</v>
          </cell>
        </row>
        <row r="41">
          <cell r="B41" t="str">
            <v>6-2.09</v>
          </cell>
          <cell r="C41">
            <v>6548</v>
          </cell>
          <cell r="F41">
            <v>0</v>
          </cell>
          <cell r="H41" t="str">
            <v>S/A</v>
          </cell>
          <cell r="L41" t="str">
            <v>HEB-260</v>
          </cell>
          <cell r="M41" t="str">
            <v>C4_L</v>
          </cell>
          <cell r="N41" t="str">
            <v>EMT-2</v>
          </cell>
          <cell r="O41" t="str">
            <v>EMT-T</v>
          </cell>
          <cell r="T41">
            <v>35</v>
          </cell>
          <cell r="U41">
            <v>15</v>
          </cell>
          <cell r="W41">
            <v>1.4</v>
          </cell>
          <cell r="X41">
            <v>2.2999999999999998</v>
          </cell>
          <cell r="AA41">
            <v>0.5</v>
          </cell>
          <cell r="AC41" t="str">
            <v>PH</v>
          </cell>
          <cell r="AM41" t="str">
            <v>RW2</v>
          </cell>
        </row>
        <row r="42">
          <cell r="G42">
            <v>54</v>
          </cell>
          <cell r="S42">
            <v>0</v>
          </cell>
        </row>
        <row r="43">
          <cell r="B43" t="str">
            <v>6-2.10</v>
          </cell>
          <cell r="C43">
            <v>6602</v>
          </cell>
          <cell r="F43">
            <v>0</v>
          </cell>
          <cell r="H43" t="str">
            <v>A/S</v>
          </cell>
          <cell r="I43" t="str">
            <v>CP+AnMC</v>
          </cell>
          <cell r="L43" t="str">
            <v>HEB-260 (CP)</v>
          </cell>
          <cell r="M43" t="str">
            <v>C4_L</v>
          </cell>
          <cell r="N43" t="str">
            <v>EMT-1</v>
          </cell>
          <cell r="T43">
            <v>-35</v>
          </cell>
          <cell r="W43">
            <v>1.4</v>
          </cell>
          <cell r="AC43" t="str">
            <v>PH-Q</v>
          </cell>
          <cell r="AM43" t="str">
            <v>RW2</v>
          </cell>
        </row>
        <row r="44">
          <cell r="G44">
            <v>56</v>
          </cell>
          <cell r="J44">
            <v>6609.5</v>
          </cell>
          <cell r="K44" t="str">
            <v>AnMC_RL</v>
          </cell>
          <cell r="S44">
            <v>0</v>
          </cell>
        </row>
        <row r="45">
          <cell r="B45" t="str">
            <v>6-2.11</v>
          </cell>
          <cell r="C45">
            <v>6658</v>
          </cell>
          <cell r="F45">
            <v>0</v>
          </cell>
          <cell r="L45" t="str">
            <v>HEB-240</v>
          </cell>
          <cell r="M45" t="str">
            <v>C3_L</v>
          </cell>
          <cell r="N45" t="str">
            <v>EMT-2</v>
          </cell>
          <cell r="T45">
            <v>35</v>
          </cell>
          <cell r="W45">
            <v>1.2</v>
          </cell>
          <cell r="AC45" t="str">
            <v>PH-Q</v>
          </cell>
          <cell r="AM45" t="str">
            <v>RW2</v>
          </cell>
        </row>
        <row r="46">
          <cell r="G46">
            <v>50</v>
          </cell>
          <cell r="S46">
            <v>0</v>
          </cell>
        </row>
        <row r="47">
          <cell r="B47" t="str">
            <v>6-2.13</v>
          </cell>
          <cell r="C47">
            <v>6708</v>
          </cell>
          <cell r="F47">
            <v>0</v>
          </cell>
          <cell r="L47" t="str">
            <v>HEB-240</v>
          </cell>
          <cell r="M47" t="str">
            <v>C3_L</v>
          </cell>
          <cell r="N47" t="str">
            <v>EMT-1</v>
          </cell>
          <cell r="T47">
            <v>-35</v>
          </cell>
          <cell r="W47">
            <v>1</v>
          </cell>
          <cell r="AC47" t="str">
            <v>PH-Q</v>
          </cell>
          <cell r="AM47" t="str">
            <v>RW2</v>
          </cell>
        </row>
        <row r="48">
          <cell r="A48" t="str">
            <v>Overcrossing and Wall</v>
          </cell>
          <cell r="G48">
            <v>60</v>
          </cell>
          <cell r="S48">
            <v>0</v>
          </cell>
        </row>
        <row r="49">
          <cell r="B49" t="str">
            <v>6-2.15</v>
          </cell>
          <cell r="C49">
            <v>6768</v>
          </cell>
          <cell r="F49">
            <v>0</v>
          </cell>
          <cell r="L49" t="str">
            <v>HEB-240</v>
          </cell>
          <cell r="M49" t="str">
            <v>C3_L</v>
          </cell>
          <cell r="N49" t="str">
            <v>EMT-2</v>
          </cell>
          <cell r="T49">
            <v>30</v>
          </cell>
          <cell r="W49">
            <v>1</v>
          </cell>
          <cell r="AC49" t="str">
            <v>PH</v>
          </cell>
          <cell r="AM49" t="str">
            <v>RW2</v>
          </cell>
        </row>
        <row r="50">
          <cell r="G50">
            <v>55</v>
          </cell>
          <cell r="J50">
            <v>6815.5</v>
          </cell>
          <cell r="K50" t="str">
            <v>AnMC</v>
          </cell>
          <cell r="S50">
            <v>0</v>
          </cell>
        </row>
        <row r="51">
          <cell r="B51" t="str">
            <v>6-2.16</v>
          </cell>
          <cell r="C51">
            <v>6823</v>
          </cell>
          <cell r="F51">
            <v>0</v>
          </cell>
          <cell r="H51" t="str">
            <v>A/S</v>
          </cell>
          <cell r="I51" t="str">
            <v>CP+AnMC</v>
          </cell>
          <cell r="L51" t="str">
            <v>HEB-260 (CP)</v>
          </cell>
          <cell r="M51" t="str">
            <v>C4R</v>
          </cell>
          <cell r="N51" t="str">
            <v>EMT-1</v>
          </cell>
          <cell r="T51">
            <v>-25</v>
          </cell>
          <cell r="W51">
            <v>1.2</v>
          </cell>
          <cell r="AC51" t="str">
            <v>PH</v>
          </cell>
          <cell r="AM51" t="str">
            <v>RW2</v>
          </cell>
        </row>
        <row r="52">
          <cell r="G52">
            <v>65</v>
          </cell>
          <cell r="S52">
            <v>0</v>
          </cell>
        </row>
        <row r="53">
          <cell r="B53" t="str">
            <v>6-2.17</v>
          </cell>
          <cell r="C53">
            <v>6888</v>
          </cell>
          <cell r="F53">
            <v>0</v>
          </cell>
          <cell r="H53" t="str">
            <v>S/A</v>
          </cell>
          <cell r="L53" t="str">
            <v>HEB-260</v>
          </cell>
          <cell r="M53" t="str">
            <v>C4_L</v>
          </cell>
          <cell r="N53" t="str">
            <v>EMT-T</v>
          </cell>
          <cell r="O53" t="str">
            <v>EMT-2</v>
          </cell>
          <cell r="T53">
            <v>35</v>
          </cell>
          <cell r="U53">
            <v>15</v>
          </cell>
          <cell r="W53">
            <v>1.4</v>
          </cell>
          <cell r="X53">
            <v>2.2999999999999998</v>
          </cell>
          <cell r="Z53">
            <v>0.6</v>
          </cell>
          <cell r="AC53" t="str">
            <v>PH</v>
          </cell>
          <cell r="AM53" t="str">
            <v>RW2</v>
          </cell>
        </row>
        <row r="54">
          <cell r="G54">
            <v>65</v>
          </cell>
          <cell r="S54">
            <v>0</v>
          </cell>
        </row>
        <row r="55">
          <cell r="B55" t="str">
            <v>6-2.18</v>
          </cell>
          <cell r="C55">
            <v>6953</v>
          </cell>
          <cell r="F55">
            <v>0</v>
          </cell>
          <cell r="H55" t="str">
            <v>S/A</v>
          </cell>
          <cell r="L55" t="str">
            <v>HEB-260</v>
          </cell>
          <cell r="M55" t="str">
            <v>C4_L</v>
          </cell>
          <cell r="N55" t="str">
            <v>EMT-1</v>
          </cell>
          <cell r="O55" t="str">
            <v>EMT-T</v>
          </cell>
          <cell r="T55">
            <v>-15</v>
          </cell>
          <cell r="U55">
            <v>-35</v>
          </cell>
          <cell r="W55">
            <v>1.4</v>
          </cell>
          <cell r="X55">
            <v>2.2999999999999998</v>
          </cell>
          <cell r="AA55">
            <v>0.6</v>
          </cell>
          <cell r="AC55" t="str">
            <v>PH</v>
          </cell>
          <cell r="AM55" t="str">
            <v>RW2</v>
          </cell>
        </row>
        <row r="56">
          <cell r="G56">
            <v>60</v>
          </cell>
          <cell r="I56" t="str">
            <v>AnRW</v>
          </cell>
          <cell r="J56">
            <v>6960.5</v>
          </cell>
          <cell r="K56" t="str">
            <v>AnM_RL</v>
          </cell>
          <cell r="S56">
            <v>0</v>
          </cell>
        </row>
        <row r="57">
          <cell r="B57" t="str">
            <v>7-2.01</v>
          </cell>
          <cell r="C57">
            <v>7013</v>
          </cell>
          <cell r="F57">
            <v>0</v>
          </cell>
          <cell r="H57" t="str">
            <v>A/S</v>
          </cell>
          <cell r="I57" t="str">
            <v>CP+AnMC</v>
          </cell>
          <cell r="L57" t="str">
            <v>HEB-260 (CP)</v>
          </cell>
          <cell r="M57" t="str">
            <v>C4R</v>
          </cell>
          <cell r="N57" t="str">
            <v>EMT-2</v>
          </cell>
          <cell r="T57">
            <v>25</v>
          </cell>
          <cell r="W57">
            <v>1.4</v>
          </cell>
          <cell r="AC57" t="str">
            <v>PH</v>
          </cell>
          <cell r="AM57" t="str">
            <v>RW1</v>
          </cell>
        </row>
        <row r="58">
          <cell r="G58">
            <v>65</v>
          </cell>
          <cell r="J58">
            <v>7020.5</v>
          </cell>
          <cell r="K58" t="str">
            <v>AnMC</v>
          </cell>
          <cell r="S58">
            <v>0</v>
          </cell>
        </row>
        <row r="59">
          <cell r="B59" t="str">
            <v>7-2.02</v>
          </cell>
          <cell r="C59">
            <v>7078</v>
          </cell>
          <cell r="F59">
            <v>0</v>
          </cell>
          <cell r="L59" t="str">
            <v>HEB-240</v>
          </cell>
          <cell r="M59" t="str">
            <v>C3_L</v>
          </cell>
          <cell r="N59" t="str">
            <v>EMT-1</v>
          </cell>
          <cell r="T59">
            <v>-30</v>
          </cell>
          <cell r="W59">
            <v>1.4</v>
          </cell>
          <cell r="AC59" t="str">
            <v>PH</v>
          </cell>
          <cell r="AM59" t="str">
            <v>RW1</v>
          </cell>
        </row>
        <row r="60">
          <cell r="G60">
            <v>63</v>
          </cell>
          <cell r="S60">
            <v>0</v>
          </cell>
        </row>
        <row r="61">
          <cell r="B61" t="str">
            <v>7-2.03</v>
          </cell>
          <cell r="C61">
            <v>7141</v>
          </cell>
          <cell r="F61">
            <v>0</v>
          </cell>
          <cell r="L61" t="str">
            <v>HEB-240</v>
          </cell>
          <cell r="M61" t="str">
            <v>C3_L</v>
          </cell>
          <cell r="N61" t="str">
            <v>EMT-2</v>
          </cell>
          <cell r="T61">
            <v>35</v>
          </cell>
          <cell r="W61">
            <v>1.4</v>
          </cell>
          <cell r="AC61" t="str">
            <v>PH</v>
          </cell>
          <cell r="AM61" t="str">
            <v>RW1</v>
          </cell>
        </row>
        <row r="62">
          <cell r="G62">
            <v>59</v>
          </cell>
          <cell r="S62">
            <v>0</v>
          </cell>
        </row>
        <row r="63">
          <cell r="B63" t="str">
            <v>7-2.04</v>
          </cell>
          <cell r="C63">
            <v>7200</v>
          </cell>
          <cell r="F63">
            <v>0</v>
          </cell>
          <cell r="L63" t="str">
            <v>HEB-240</v>
          </cell>
          <cell r="M63" t="str">
            <v>C3_L</v>
          </cell>
          <cell r="N63" t="str">
            <v>EMT-1</v>
          </cell>
          <cell r="T63">
            <v>-35</v>
          </cell>
          <cell r="W63">
            <v>1.4</v>
          </cell>
          <cell r="AC63" t="str">
            <v>PH</v>
          </cell>
          <cell r="AM63" t="str">
            <v>RW1</v>
          </cell>
        </row>
        <row r="64">
          <cell r="G64">
            <v>64</v>
          </cell>
          <cell r="S64">
            <v>0</v>
          </cell>
        </row>
        <row r="65">
          <cell r="B65" t="str">
            <v>7-2.05</v>
          </cell>
          <cell r="C65">
            <v>7264</v>
          </cell>
          <cell r="F65">
            <v>0</v>
          </cell>
          <cell r="L65" t="str">
            <v>HEB-240</v>
          </cell>
          <cell r="M65" t="str">
            <v>C3R</v>
          </cell>
          <cell r="N65" t="str">
            <v>EMT-2</v>
          </cell>
          <cell r="T65">
            <v>35</v>
          </cell>
          <cell r="W65">
            <v>1.4</v>
          </cell>
          <cell r="AC65" t="str">
            <v>PH</v>
          </cell>
          <cell r="AM65" t="str">
            <v>RW1</v>
          </cell>
        </row>
        <row r="66">
          <cell r="G66">
            <v>58</v>
          </cell>
          <cell r="S66">
            <v>0</v>
          </cell>
        </row>
        <row r="67">
          <cell r="B67" t="str">
            <v>7-2.06</v>
          </cell>
          <cell r="C67">
            <v>7322</v>
          </cell>
          <cell r="F67">
            <v>0</v>
          </cell>
          <cell r="L67" t="str">
            <v>HEB-240</v>
          </cell>
          <cell r="M67" t="str">
            <v>C3_L</v>
          </cell>
          <cell r="N67" t="str">
            <v>EMT-1</v>
          </cell>
          <cell r="T67">
            <v>-35</v>
          </cell>
          <cell r="W67">
            <v>1.4</v>
          </cell>
          <cell r="AC67" t="str">
            <v>PH</v>
          </cell>
          <cell r="AM67" t="str">
            <v>RW1</v>
          </cell>
        </row>
        <row r="68">
          <cell r="G68">
            <v>65</v>
          </cell>
          <cell r="J68">
            <v>7379.5</v>
          </cell>
          <cell r="K68" t="str">
            <v>AnM_RL</v>
          </cell>
          <cell r="S68">
            <v>0</v>
          </cell>
        </row>
        <row r="69">
          <cell r="B69" t="str">
            <v>7-2.07</v>
          </cell>
          <cell r="C69">
            <v>7387</v>
          </cell>
          <cell r="F69">
            <v>0</v>
          </cell>
          <cell r="H69" t="str">
            <v>AnMP</v>
          </cell>
          <cell r="L69" t="str">
            <v>HEB-260</v>
          </cell>
          <cell r="M69" t="str">
            <v>C4_L</v>
          </cell>
          <cell r="N69" t="str">
            <v>EMT-2</v>
          </cell>
          <cell r="T69">
            <v>35</v>
          </cell>
          <cell r="W69">
            <v>1.4</v>
          </cell>
          <cell r="AC69" t="str">
            <v>PH</v>
          </cell>
          <cell r="AM69" t="str">
            <v>RW1</v>
          </cell>
        </row>
        <row r="70">
          <cell r="G70">
            <v>65</v>
          </cell>
          <cell r="I70">
            <v>629</v>
          </cell>
          <cell r="S70">
            <v>0</v>
          </cell>
        </row>
        <row r="71">
          <cell r="B71" t="str">
            <v>7-2.08</v>
          </cell>
          <cell r="C71">
            <v>7452</v>
          </cell>
          <cell r="F71">
            <v>0</v>
          </cell>
          <cell r="H71" t="str">
            <v>MP</v>
          </cell>
          <cell r="L71" t="str">
            <v>HEB-240</v>
          </cell>
          <cell r="M71" t="str">
            <v>C3R</v>
          </cell>
          <cell r="N71" t="str">
            <v>EMT-1</v>
          </cell>
          <cell r="T71">
            <v>-35</v>
          </cell>
          <cell r="W71">
            <v>1.4</v>
          </cell>
          <cell r="AC71" t="str">
            <v>PH</v>
          </cell>
          <cell r="AM71" t="str">
            <v>RW1</v>
          </cell>
        </row>
        <row r="72">
          <cell r="G72">
            <v>62</v>
          </cell>
          <cell r="I72">
            <v>636</v>
          </cell>
          <cell r="S72">
            <v>0</v>
          </cell>
        </row>
        <row r="73">
          <cell r="B73" t="str">
            <v>7-2.09</v>
          </cell>
          <cell r="C73">
            <v>7514</v>
          </cell>
          <cell r="F73">
            <v>0</v>
          </cell>
          <cell r="H73" t="str">
            <v>AnMP</v>
          </cell>
          <cell r="L73" t="str">
            <v>HEB-260</v>
          </cell>
          <cell r="M73" t="str">
            <v>C4R</v>
          </cell>
          <cell r="N73" t="str">
            <v>EMT-2</v>
          </cell>
          <cell r="T73">
            <v>35</v>
          </cell>
          <cell r="W73">
            <v>1.4</v>
          </cell>
          <cell r="AC73" t="str">
            <v>PH</v>
          </cell>
          <cell r="AM73" t="str">
            <v>RW1</v>
          </cell>
        </row>
        <row r="74">
          <cell r="G74">
            <v>57</v>
          </cell>
          <cell r="J74">
            <v>7521.5</v>
          </cell>
          <cell r="K74" t="str">
            <v>AnM</v>
          </cell>
          <cell r="S74">
            <v>7571.97</v>
          </cell>
        </row>
        <row r="75">
          <cell r="B75" t="str">
            <v>7-2.11</v>
          </cell>
          <cell r="C75">
            <v>7571</v>
          </cell>
          <cell r="F75">
            <v>0</v>
          </cell>
          <cell r="L75" t="str">
            <v>HEB-240</v>
          </cell>
          <cell r="M75" t="str">
            <v>C3R</v>
          </cell>
          <cell r="N75" t="str">
            <v>EMT-1</v>
          </cell>
          <cell r="Q75">
            <v>0</v>
          </cell>
          <cell r="R75">
            <v>0</v>
          </cell>
          <cell r="T75">
            <v>-35</v>
          </cell>
          <cell r="W75">
            <v>1.4</v>
          </cell>
          <cell r="AC75" t="str">
            <v>PHQ-1150</v>
          </cell>
          <cell r="AF75">
            <v>6000</v>
          </cell>
          <cell r="AG75">
            <v>7571.97</v>
          </cell>
          <cell r="AH75">
            <v>2143</v>
          </cell>
          <cell r="AI75">
            <v>383</v>
          </cell>
          <cell r="AM75" t="str">
            <v>RW1</v>
          </cell>
        </row>
        <row r="76">
          <cell r="A76" t="str">
            <v>Overhead Cable</v>
          </cell>
          <cell r="G76">
            <v>60</v>
          </cell>
          <cell r="S76">
            <v>59.969999999999345</v>
          </cell>
        </row>
        <row r="77">
          <cell r="B77" t="str">
            <v>7-2.13</v>
          </cell>
          <cell r="C77">
            <v>7631</v>
          </cell>
          <cell r="F77">
            <v>0</v>
          </cell>
          <cell r="L77" t="str">
            <v>HEB-240</v>
          </cell>
          <cell r="M77" t="str">
            <v>C3R</v>
          </cell>
          <cell r="N77" t="str">
            <v>EMT-2</v>
          </cell>
          <cell r="Q77">
            <v>0</v>
          </cell>
          <cell r="R77">
            <v>0</v>
          </cell>
          <cell r="T77">
            <v>35</v>
          </cell>
          <cell r="W77">
            <v>1.4</v>
          </cell>
          <cell r="AC77" t="str">
            <v>PHQ-1150</v>
          </cell>
          <cell r="AF77">
            <v>6000</v>
          </cell>
          <cell r="AG77">
            <v>7631.94</v>
          </cell>
          <cell r="AH77">
            <v>2140</v>
          </cell>
          <cell r="AI77">
            <v>410</v>
          </cell>
          <cell r="AM77" t="str">
            <v>RW1</v>
          </cell>
        </row>
        <row r="78">
          <cell r="G78">
            <v>50</v>
          </cell>
          <cell r="S78">
            <v>50.140000000000327</v>
          </cell>
        </row>
        <row r="79">
          <cell r="B79" t="str">
            <v>7-2.14</v>
          </cell>
          <cell r="C79">
            <v>7681</v>
          </cell>
          <cell r="F79">
            <v>0</v>
          </cell>
          <cell r="L79" t="str">
            <v>HEB-240</v>
          </cell>
          <cell r="M79" t="str">
            <v>C3R</v>
          </cell>
          <cell r="N79" t="str">
            <v>EMT-1</v>
          </cell>
          <cell r="Q79">
            <v>0</v>
          </cell>
          <cell r="R79">
            <v>0</v>
          </cell>
          <cell r="T79">
            <v>-35</v>
          </cell>
          <cell r="W79">
            <v>1.4</v>
          </cell>
          <cell r="AC79" t="str">
            <v>PHQ-1150</v>
          </cell>
          <cell r="AF79">
            <v>6000</v>
          </cell>
          <cell r="AG79">
            <v>7682.08</v>
          </cell>
          <cell r="AH79">
            <v>2231</v>
          </cell>
          <cell r="AI79">
            <v>536</v>
          </cell>
          <cell r="AM79" t="str">
            <v>RW1</v>
          </cell>
        </row>
        <row r="80">
          <cell r="G80">
            <v>49</v>
          </cell>
          <cell r="S80">
            <v>47.899999999999636</v>
          </cell>
        </row>
        <row r="81">
          <cell r="B81" t="str">
            <v>7-2.15</v>
          </cell>
          <cell r="C81">
            <v>7730</v>
          </cell>
          <cell r="F81">
            <v>0</v>
          </cell>
          <cell r="L81" t="str">
            <v>HEB-240</v>
          </cell>
          <cell r="M81" t="str">
            <v>C3R</v>
          </cell>
          <cell r="N81" t="str">
            <v>EMT-2</v>
          </cell>
          <cell r="Q81">
            <v>0</v>
          </cell>
          <cell r="R81">
            <v>0</v>
          </cell>
          <cell r="T81">
            <v>35</v>
          </cell>
          <cell r="W81">
            <v>1.4</v>
          </cell>
          <cell r="AC81" t="str">
            <v>PHQ-1150</v>
          </cell>
          <cell r="AF81">
            <v>6000</v>
          </cell>
          <cell r="AG81">
            <v>7729.98</v>
          </cell>
          <cell r="AH81">
            <v>2097</v>
          </cell>
          <cell r="AI81">
            <v>782</v>
          </cell>
          <cell r="AM81" t="str">
            <v>RW1</v>
          </cell>
        </row>
        <row r="82">
          <cell r="G82">
            <v>60</v>
          </cell>
          <cell r="S82">
            <v>-7729.98</v>
          </cell>
        </row>
        <row r="83">
          <cell r="B83" t="str">
            <v>7-2.16</v>
          </cell>
          <cell r="C83">
            <v>7790</v>
          </cell>
          <cell r="F83">
            <v>0</v>
          </cell>
          <cell r="L83" t="str">
            <v>HEB-240</v>
          </cell>
          <cell r="M83" t="str">
            <v>C3_L</v>
          </cell>
          <cell r="N83" t="str">
            <v>EMT-1</v>
          </cell>
          <cell r="T83">
            <v>-30</v>
          </cell>
          <cell r="W83">
            <v>1.4</v>
          </cell>
          <cell r="AC83" t="str">
            <v>PH</v>
          </cell>
          <cell r="AM83" t="str">
            <v>RW1</v>
          </cell>
        </row>
        <row r="84">
          <cell r="A84" t="str">
            <v>NS GANNOT</v>
          </cell>
          <cell r="G84">
            <v>50</v>
          </cell>
          <cell r="J84">
            <v>7832.5</v>
          </cell>
          <cell r="K84" t="str">
            <v>AnMC</v>
          </cell>
          <cell r="S84">
            <v>7834.88</v>
          </cell>
        </row>
        <row r="85">
          <cell r="B85" t="str">
            <v>7-2.17</v>
          </cell>
          <cell r="C85">
            <v>7840</v>
          </cell>
          <cell r="F85">
            <v>2500</v>
          </cell>
          <cell r="H85" t="str">
            <v>A/S</v>
          </cell>
          <cell r="I85" t="str">
            <v>CP+AnMC</v>
          </cell>
          <cell r="L85" t="str">
            <v>HEB-280 (CP)</v>
          </cell>
          <cell r="M85" t="str">
            <v>C5</v>
          </cell>
          <cell r="N85" t="str">
            <v>EMT-2</v>
          </cell>
          <cell r="Q85">
            <v>-40</v>
          </cell>
          <cell r="R85">
            <v>-3042</v>
          </cell>
          <cell r="T85">
            <v>30</v>
          </cell>
          <cell r="W85">
            <v>1.4</v>
          </cell>
          <cell r="AC85" t="str">
            <v>PHQ-1150</v>
          </cell>
          <cell r="AF85">
            <v>6000</v>
          </cell>
          <cell r="AG85">
            <v>7834.88</v>
          </cell>
          <cell r="AH85">
            <v>3305</v>
          </cell>
          <cell r="AI85">
            <v>752</v>
          </cell>
          <cell r="AM85" t="str">
            <v>RW1</v>
          </cell>
        </row>
        <row r="86">
          <cell r="G86">
            <v>57</v>
          </cell>
          <cell r="S86">
            <v>57.069999999999709</v>
          </cell>
        </row>
        <row r="87">
          <cell r="A87" t="str">
            <v>GAN-NS2</v>
          </cell>
          <cell r="B87" t="str">
            <v>7-2.18</v>
          </cell>
          <cell r="C87">
            <v>7897</v>
          </cell>
          <cell r="F87">
            <v>2500</v>
          </cell>
          <cell r="H87" t="str">
            <v>S/A</v>
          </cell>
          <cell r="I87" t="str">
            <v>IO</v>
          </cell>
          <cell r="L87" t="str">
            <v>2HEB-240</v>
          </cell>
          <cell r="M87" t="str">
            <v>C2H-240</v>
          </cell>
          <cell r="N87" t="str">
            <v>EMT-T</v>
          </cell>
          <cell r="O87" t="str">
            <v>EMT-1</v>
          </cell>
          <cell r="Q87">
            <v>-50</v>
          </cell>
          <cell r="R87">
            <v>-2500</v>
          </cell>
          <cell r="T87">
            <v>35</v>
          </cell>
          <cell r="U87">
            <v>-10</v>
          </cell>
          <cell r="W87">
            <v>1.4</v>
          </cell>
          <cell r="X87">
            <v>2.2999999999999998</v>
          </cell>
          <cell r="Z87">
            <v>0.45</v>
          </cell>
          <cell r="AD87" t="str">
            <v>PH-Q 1450</v>
          </cell>
          <cell r="AF87">
            <v>6000</v>
          </cell>
          <cell r="AG87">
            <v>7891.95</v>
          </cell>
          <cell r="AH87">
            <v>3305</v>
          </cell>
          <cell r="AI87">
            <v>631</v>
          </cell>
          <cell r="AJ87" t="str">
            <v>LoadB/NZ</v>
          </cell>
          <cell r="AM87" t="str">
            <v>RW1</v>
          </cell>
        </row>
        <row r="88">
          <cell r="G88">
            <v>42</v>
          </cell>
          <cell r="S88">
            <v>-7891.95</v>
          </cell>
          <cell r="AJ88" t="str">
            <v>VoltageD</v>
          </cell>
        </row>
        <row r="89">
          <cell r="B89" t="str">
            <v>7-2.19</v>
          </cell>
          <cell r="C89">
            <v>7939</v>
          </cell>
          <cell r="L89" t="str">
            <v>HEB-300L</v>
          </cell>
          <cell r="M89" t="str">
            <v>C6</v>
          </cell>
          <cell r="AJ89" t="str">
            <v>PP-2</v>
          </cell>
          <cell r="AM89" t="str">
            <v>RW1</v>
          </cell>
        </row>
        <row r="90">
          <cell r="G90">
            <v>5</v>
          </cell>
          <cell r="S90">
            <v>7938.98</v>
          </cell>
        </row>
        <row r="91">
          <cell r="A91" t="str">
            <v>GAN-NS4</v>
          </cell>
          <cell r="B91" t="str">
            <v>7-2.20</v>
          </cell>
          <cell r="C91">
            <v>7944</v>
          </cell>
          <cell r="F91">
            <v>2500</v>
          </cell>
          <cell r="H91" t="str">
            <v>S/A</v>
          </cell>
          <cell r="I91" t="str">
            <v>IO</v>
          </cell>
          <cell r="L91" t="str">
            <v>2HEB-240</v>
          </cell>
          <cell r="M91" t="str">
            <v>C2H-240</v>
          </cell>
          <cell r="N91" t="str">
            <v>EMT-2</v>
          </cell>
          <cell r="O91" t="str">
            <v>EMT-T</v>
          </cell>
          <cell r="Q91">
            <v>-60</v>
          </cell>
          <cell r="R91">
            <v>-2500</v>
          </cell>
          <cell r="T91">
            <v>35</v>
          </cell>
          <cell r="U91">
            <v>-10</v>
          </cell>
          <cell r="W91">
            <v>1.4</v>
          </cell>
          <cell r="X91">
            <v>2.2999999999999998</v>
          </cell>
          <cell r="AA91">
            <v>0.45</v>
          </cell>
          <cell r="AC91" t="str">
            <v>PHQ-1150</v>
          </cell>
          <cell r="AF91">
            <v>6000</v>
          </cell>
          <cell r="AG91">
            <v>7938.98</v>
          </cell>
          <cell r="AH91">
            <v>3275</v>
          </cell>
          <cell r="AI91">
            <v>855</v>
          </cell>
          <cell r="AJ91" t="str">
            <v>LoadB/NZ</v>
          </cell>
          <cell r="AM91" t="str">
            <v>RW1</v>
          </cell>
        </row>
        <row r="92">
          <cell r="G92">
            <v>47</v>
          </cell>
          <cell r="S92">
            <v>-7938.98</v>
          </cell>
        </row>
        <row r="93">
          <cell r="B93" t="str">
            <v>7-2.21</v>
          </cell>
          <cell r="C93">
            <v>7991</v>
          </cell>
          <cell r="F93">
            <v>4913.7931034482763</v>
          </cell>
          <cell r="H93" t="str">
            <v>S/A</v>
          </cell>
          <cell r="L93" t="str">
            <v>HEB-260</v>
          </cell>
          <cell r="M93" t="str">
            <v>C4R</v>
          </cell>
          <cell r="N93" t="str">
            <v>EMT-T</v>
          </cell>
          <cell r="O93" t="str">
            <v>EMT-1</v>
          </cell>
          <cell r="T93">
            <v>35</v>
          </cell>
          <cell r="U93">
            <v>-10</v>
          </cell>
          <cell r="W93">
            <v>1.4</v>
          </cell>
          <cell r="X93">
            <v>2.2999999999999998</v>
          </cell>
          <cell r="Z93">
            <v>0.45</v>
          </cell>
          <cell r="AC93" t="str">
            <v>PH</v>
          </cell>
          <cell r="AM93" t="str">
            <v>RW1</v>
          </cell>
        </row>
        <row r="94">
          <cell r="G94">
            <v>5</v>
          </cell>
          <cell r="S94">
            <v>0</v>
          </cell>
        </row>
        <row r="95">
          <cell r="B95" t="str">
            <v>7-2.22</v>
          </cell>
          <cell r="C95">
            <v>7996</v>
          </cell>
          <cell r="L95" t="str">
            <v>HEB-300L</v>
          </cell>
          <cell r="M95" t="str">
            <v>C6</v>
          </cell>
          <cell r="AJ95" t="str">
            <v>PP-2</v>
          </cell>
          <cell r="AM95" t="str">
            <v>RW1</v>
          </cell>
        </row>
        <row r="96">
          <cell r="G96">
            <v>42</v>
          </cell>
          <cell r="S96">
            <v>8033.52</v>
          </cell>
        </row>
        <row r="97">
          <cell r="A97" t="str">
            <v>GAN-NS6</v>
          </cell>
          <cell r="B97" t="str">
            <v>8-2.01</v>
          </cell>
          <cell r="C97">
            <v>8038</v>
          </cell>
          <cell r="F97">
            <v>0</v>
          </cell>
          <cell r="H97" t="str">
            <v>S/A</v>
          </cell>
          <cell r="I97" t="str">
            <v>IO</v>
          </cell>
          <cell r="L97" t="str">
            <v>HEB-260</v>
          </cell>
          <cell r="M97" t="str">
            <v>C4R</v>
          </cell>
          <cell r="N97" t="str">
            <v>EMT-2</v>
          </cell>
          <cell r="O97" t="str">
            <v>EMT-T</v>
          </cell>
          <cell r="Q97">
            <v>0</v>
          </cell>
          <cell r="R97">
            <v>0</v>
          </cell>
          <cell r="T97">
            <v>30</v>
          </cell>
          <cell r="U97">
            <v>-15</v>
          </cell>
          <cell r="W97">
            <v>1.4</v>
          </cell>
          <cell r="X97">
            <v>2.2999999999999998</v>
          </cell>
          <cell r="AA97">
            <v>0.45</v>
          </cell>
          <cell r="AC97" t="str">
            <v>PH-1150</v>
          </cell>
          <cell r="AF97">
            <v>6000</v>
          </cell>
          <cell r="AG97">
            <v>8033.52</v>
          </cell>
          <cell r="AH97">
            <v>2952</v>
          </cell>
          <cell r="AI97">
            <v>749</v>
          </cell>
          <cell r="AJ97" t="str">
            <v>LoadB/NZ</v>
          </cell>
          <cell r="AM97" t="str">
            <v>RW1</v>
          </cell>
        </row>
        <row r="98">
          <cell r="G98">
            <v>50</v>
          </cell>
          <cell r="S98">
            <v>54.919999999999163</v>
          </cell>
          <cell r="AJ98" t="str">
            <v>VoltageD</v>
          </cell>
        </row>
        <row r="99">
          <cell r="B99" t="str">
            <v>8-2.02</v>
          </cell>
          <cell r="C99">
            <v>8088</v>
          </cell>
          <cell r="F99">
            <v>0</v>
          </cell>
          <cell r="H99" t="str">
            <v>A/S</v>
          </cell>
          <cell r="I99" t="str">
            <v>CP+AnMC</v>
          </cell>
          <cell r="L99" t="str">
            <v>HEB-260 (CP)</v>
          </cell>
          <cell r="M99" t="str">
            <v>C4R</v>
          </cell>
          <cell r="N99" t="str">
            <v>EMT-1</v>
          </cell>
          <cell r="Q99">
            <v>0</v>
          </cell>
          <cell r="R99">
            <v>0</v>
          </cell>
          <cell r="T99">
            <v>-35</v>
          </cell>
          <cell r="W99">
            <v>1.2</v>
          </cell>
          <cell r="AC99" t="str">
            <v>PHQ-1150</v>
          </cell>
          <cell r="AF99">
            <v>6000</v>
          </cell>
          <cell r="AG99">
            <v>8088.44</v>
          </cell>
          <cell r="AH99">
            <v>3159</v>
          </cell>
          <cell r="AI99">
            <v>766</v>
          </cell>
          <cell r="AM99" t="str">
            <v>RW1</v>
          </cell>
        </row>
        <row r="100">
          <cell r="A100" t="str">
            <v>NS GANNOT</v>
          </cell>
          <cell r="G100">
            <v>52</v>
          </cell>
          <cell r="J100">
            <v>8095.5</v>
          </cell>
          <cell r="K100" t="str">
            <v>AnMC</v>
          </cell>
          <cell r="S100">
            <v>-8088.44</v>
          </cell>
        </row>
        <row r="101">
          <cell r="B101" t="str">
            <v>8-2.03</v>
          </cell>
          <cell r="C101">
            <v>8140</v>
          </cell>
          <cell r="F101">
            <v>0</v>
          </cell>
          <cell r="L101" t="str">
            <v>HEB-240</v>
          </cell>
          <cell r="M101" t="str">
            <v>C3R</v>
          </cell>
          <cell r="N101" t="str">
            <v>EMT-2</v>
          </cell>
          <cell r="T101">
            <v>35</v>
          </cell>
          <cell r="W101">
            <v>1</v>
          </cell>
          <cell r="AC101" t="str">
            <v>PH</v>
          </cell>
          <cell r="AM101" t="str">
            <v>RW1</v>
          </cell>
        </row>
        <row r="102">
          <cell r="A102" t="str">
            <v>Overcrossing</v>
          </cell>
          <cell r="G102">
            <v>51</v>
          </cell>
          <cell r="I102" t="str">
            <v>AnRW</v>
          </cell>
          <cell r="J102">
            <v>8147.5</v>
          </cell>
          <cell r="K102" t="str">
            <v>AnM</v>
          </cell>
          <cell r="S102">
            <v>8189.32</v>
          </cell>
        </row>
        <row r="103">
          <cell r="B103" t="str">
            <v>8-2.04</v>
          </cell>
          <cell r="C103">
            <v>8191</v>
          </cell>
          <cell r="F103">
            <v>0</v>
          </cell>
          <cell r="I103" t="str">
            <v>AnRW</v>
          </cell>
          <cell r="J103">
            <v>8183.5</v>
          </cell>
          <cell r="K103" t="str">
            <v>AnM</v>
          </cell>
          <cell r="L103" t="str">
            <v>HEB-240</v>
          </cell>
          <cell r="M103" t="str">
            <v>C3R</v>
          </cell>
          <cell r="N103" t="str">
            <v>EMT-2</v>
          </cell>
          <cell r="Q103">
            <v>0</v>
          </cell>
          <cell r="R103">
            <v>0</v>
          </cell>
          <cell r="T103">
            <v>35</v>
          </cell>
          <cell r="W103">
            <v>1</v>
          </cell>
          <cell r="AC103" t="str">
            <v>PHQ-1150</v>
          </cell>
          <cell r="AF103">
            <v>6000</v>
          </cell>
          <cell r="AG103">
            <v>8189.32</v>
          </cell>
          <cell r="AH103">
            <v>2555</v>
          </cell>
          <cell r="AI103">
            <v>638</v>
          </cell>
          <cell r="AM103" t="str">
            <v>RW1</v>
          </cell>
        </row>
        <row r="104">
          <cell r="G104">
            <v>51</v>
          </cell>
          <cell r="S104">
            <v>50.909999999999854</v>
          </cell>
        </row>
        <row r="105">
          <cell r="B105" t="str">
            <v>8-2.05</v>
          </cell>
          <cell r="C105">
            <v>8242</v>
          </cell>
          <cell r="F105">
            <v>0</v>
          </cell>
          <cell r="L105" t="str">
            <v>HEB-240</v>
          </cell>
          <cell r="M105" t="str">
            <v>C3R</v>
          </cell>
          <cell r="N105" t="str">
            <v>EMT-1</v>
          </cell>
          <cell r="Q105">
            <v>0</v>
          </cell>
          <cell r="R105">
            <v>0</v>
          </cell>
          <cell r="T105">
            <v>-35</v>
          </cell>
          <cell r="W105">
            <v>1.2</v>
          </cell>
          <cell r="AC105" t="str">
            <v>PHQ-1150</v>
          </cell>
          <cell r="AF105">
            <v>6000</v>
          </cell>
          <cell r="AG105">
            <v>8240.23</v>
          </cell>
          <cell r="AH105">
            <v>2528</v>
          </cell>
          <cell r="AI105">
            <v>605</v>
          </cell>
          <cell r="AM105" t="str">
            <v>RW1</v>
          </cell>
        </row>
        <row r="106">
          <cell r="G106">
            <v>56</v>
          </cell>
          <cell r="S106">
            <v>55.06000000000131</v>
          </cell>
        </row>
        <row r="107">
          <cell r="B107" t="str">
            <v>8-2.07</v>
          </cell>
          <cell r="C107">
            <v>8298</v>
          </cell>
          <cell r="F107">
            <v>0</v>
          </cell>
          <cell r="L107" t="str">
            <v>HEB-240</v>
          </cell>
          <cell r="M107" t="str">
            <v>C3R</v>
          </cell>
          <cell r="N107" t="str">
            <v>EMT-2</v>
          </cell>
          <cell r="Q107">
            <v>0</v>
          </cell>
          <cell r="R107">
            <v>0</v>
          </cell>
          <cell r="T107">
            <v>35</v>
          </cell>
          <cell r="W107">
            <v>1.4</v>
          </cell>
          <cell r="AC107" t="str">
            <v>PH-1150</v>
          </cell>
          <cell r="AF107">
            <v>6000</v>
          </cell>
          <cell r="AG107">
            <v>8295.2900000000009</v>
          </cell>
          <cell r="AH107">
            <v>2599</v>
          </cell>
          <cell r="AI107">
            <v>587</v>
          </cell>
          <cell r="AM107" t="str">
            <v>RW1</v>
          </cell>
        </row>
        <row r="108">
          <cell r="A108" t="str">
            <v>Overhead Cable</v>
          </cell>
          <cell r="G108">
            <v>62</v>
          </cell>
          <cell r="S108">
            <v>63.069999999999709</v>
          </cell>
        </row>
        <row r="109">
          <cell r="B109" t="str">
            <v>8-2.09</v>
          </cell>
          <cell r="C109">
            <v>8360</v>
          </cell>
          <cell r="F109">
            <v>0</v>
          </cell>
          <cell r="L109" t="str">
            <v>HEB-260</v>
          </cell>
          <cell r="M109" t="str">
            <v>C4R</v>
          </cell>
          <cell r="N109" t="str">
            <v>EMT-1</v>
          </cell>
          <cell r="Q109">
            <v>1</v>
          </cell>
          <cell r="R109">
            <v>59724</v>
          </cell>
          <cell r="T109">
            <v>-25</v>
          </cell>
          <cell r="W109">
            <v>1.4</v>
          </cell>
          <cell r="AC109" t="str">
            <v>PHQ-1150</v>
          </cell>
          <cell r="AF109">
            <v>6000</v>
          </cell>
          <cell r="AG109">
            <v>8358.36</v>
          </cell>
          <cell r="AH109">
            <v>2641</v>
          </cell>
          <cell r="AI109">
            <v>621</v>
          </cell>
          <cell r="AM109" t="str">
            <v>RW1</v>
          </cell>
        </row>
        <row r="110">
          <cell r="A110" t="str">
            <v xml:space="preserve"> Drainage Works</v>
          </cell>
          <cell r="G110">
            <v>53</v>
          </cell>
          <cell r="J110">
            <v>8405.5</v>
          </cell>
          <cell r="K110" t="str">
            <v>AnM</v>
          </cell>
          <cell r="S110">
            <v>53.079999999999927</v>
          </cell>
        </row>
        <row r="111">
          <cell r="B111" t="str">
            <v>8-2.11</v>
          </cell>
          <cell r="C111">
            <v>8413</v>
          </cell>
          <cell r="F111">
            <v>-2177</v>
          </cell>
          <cell r="H111" t="str">
            <v>AnMP</v>
          </cell>
          <cell r="L111" t="str">
            <v>HEB-260</v>
          </cell>
          <cell r="M111" t="str">
            <v>C4R</v>
          </cell>
          <cell r="N111" t="str">
            <v>EMT-2</v>
          </cell>
          <cell r="Q111">
            <v>-30</v>
          </cell>
          <cell r="R111">
            <v>-2177</v>
          </cell>
          <cell r="T111">
            <v>25</v>
          </cell>
          <cell r="W111">
            <v>1.4</v>
          </cell>
          <cell r="AC111" t="str">
            <v>PHQ-1150</v>
          </cell>
          <cell r="AF111">
            <v>6000</v>
          </cell>
          <cell r="AG111">
            <v>8411.44</v>
          </cell>
          <cell r="AH111">
            <v>2606</v>
          </cell>
          <cell r="AI111">
            <v>680</v>
          </cell>
          <cell r="AM111" t="str">
            <v>RW1</v>
          </cell>
        </row>
        <row r="112">
          <cell r="G112">
            <v>44</v>
          </cell>
          <cell r="I112">
            <v>617</v>
          </cell>
          <cell r="S112">
            <v>42.869999999998981</v>
          </cell>
        </row>
        <row r="113">
          <cell r="B113" t="str">
            <v>8-2.13</v>
          </cell>
          <cell r="C113">
            <v>8457</v>
          </cell>
          <cell r="F113">
            <v>-2177</v>
          </cell>
          <cell r="H113" t="str">
            <v>MP</v>
          </cell>
          <cell r="L113" t="str">
            <v>HEB-260</v>
          </cell>
          <cell r="M113" t="str">
            <v>C4R</v>
          </cell>
          <cell r="N113" t="str">
            <v>EMT-2</v>
          </cell>
          <cell r="Q113">
            <v>-30</v>
          </cell>
          <cell r="R113">
            <v>-2177</v>
          </cell>
          <cell r="T113">
            <v>30</v>
          </cell>
          <cell r="W113">
            <v>1.4</v>
          </cell>
          <cell r="AC113" t="str">
            <v>PHQ-1150</v>
          </cell>
          <cell r="AF113">
            <v>6000</v>
          </cell>
          <cell r="AG113">
            <v>8454.31</v>
          </cell>
          <cell r="AH113">
            <v>2539</v>
          </cell>
          <cell r="AI113">
            <v>642</v>
          </cell>
          <cell r="AM113" t="str">
            <v>RW1</v>
          </cell>
        </row>
        <row r="114">
          <cell r="G114">
            <v>51</v>
          </cell>
          <cell r="I114">
            <v>655</v>
          </cell>
          <cell r="S114">
            <v>51.100000000000364</v>
          </cell>
        </row>
        <row r="115">
          <cell r="B115" t="str">
            <v>8-2.14</v>
          </cell>
          <cell r="C115">
            <v>8508</v>
          </cell>
          <cell r="F115">
            <v>-2177</v>
          </cell>
          <cell r="H115" t="str">
            <v>AnMP</v>
          </cell>
          <cell r="L115" t="str">
            <v>HEB-260</v>
          </cell>
          <cell r="M115" t="str">
            <v>C4R</v>
          </cell>
          <cell r="N115" t="str">
            <v>EMT-2</v>
          </cell>
          <cell r="Q115">
            <v>-30</v>
          </cell>
          <cell r="R115">
            <v>-2177</v>
          </cell>
          <cell r="T115">
            <v>30</v>
          </cell>
          <cell r="W115">
            <v>1</v>
          </cell>
          <cell r="AC115" t="str">
            <v>PHQ-1150</v>
          </cell>
          <cell r="AF115">
            <v>6000</v>
          </cell>
          <cell r="AG115">
            <v>8505.41</v>
          </cell>
          <cell r="AH115">
            <v>2576</v>
          </cell>
          <cell r="AI115">
            <v>546</v>
          </cell>
          <cell r="AM115" t="str">
            <v>RW1</v>
          </cell>
        </row>
        <row r="116">
          <cell r="A116" t="str">
            <v>Overcrossing</v>
          </cell>
          <cell r="G116">
            <v>41</v>
          </cell>
          <cell r="J116">
            <v>8515.5</v>
          </cell>
          <cell r="K116" t="str">
            <v>AnM</v>
          </cell>
          <cell r="S116">
            <v>-8505.41</v>
          </cell>
        </row>
        <row r="117">
          <cell r="B117" t="str">
            <v>8-2.15</v>
          </cell>
          <cell r="C117">
            <v>8549</v>
          </cell>
          <cell r="F117">
            <v>-4061</v>
          </cell>
          <cell r="L117" t="str">
            <v>HEB-240</v>
          </cell>
          <cell r="M117" t="str">
            <v>C3R</v>
          </cell>
          <cell r="N117" t="str">
            <v>EMT-2</v>
          </cell>
          <cell r="T117">
            <v>25</v>
          </cell>
          <cell r="W117">
            <v>0.8</v>
          </cell>
          <cell r="AC117" t="str">
            <v>PH</v>
          </cell>
          <cell r="AM117" t="str">
            <v>RW1</v>
          </cell>
        </row>
        <row r="118">
          <cell r="A118" t="str">
            <v>Overcrossing</v>
          </cell>
          <cell r="G118">
            <v>51</v>
          </cell>
          <cell r="S118">
            <v>8597.86</v>
          </cell>
        </row>
        <row r="119">
          <cell r="B119" t="str">
            <v>8-2.16</v>
          </cell>
          <cell r="C119">
            <v>8600</v>
          </cell>
          <cell r="F119">
            <v>-4061</v>
          </cell>
          <cell r="L119" t="str">
            <v>HEB-240</v>
          </cell>
          <cell r="M119" t="str">
            <v>C3R</v>
          </cell>
          <cell r="N119" t="str">
            <v>EMT-2</v>
          </cell>
          <cell r="Q119">
            <v>0</v>
          </cell>
          <cell r="R119">
            <v>-4061</v>
          </cell>
          <cell r="T119">
            <v>25</v>
          </cell>
          <cell r="W119">
            <v>0.6</v>
          </cell>
          <cell r="AC119" t="str">
            <v>PH 950</v>
          </cell>
          <cell r="AF119">
            <v>5250</v>
          </cell>
          <cell r="AG119">
            <v>8597.86</v>
          </cell>
          <cell r="AH119">
            <v>2684</v>
          </cell>
          <cell r="AI119">
            <v>657</v>
          </cell>
          <cell r="AM119" t="str">
            <v>RW1</v>
          </cell>
        </row>
        <row r="120">
          <cell r="A120" t="str">
            <v>Overcrossing</v>
          </cell>
          <cell r="G120">
            <v>42</v>
          </cell>
          <cell r="S120">
            <v>-8597.86</v>
          </cell>
        </row>
        <row r="121">
          <cell r="B121" t="str">
            <v>8-2.17</v>
          </cell>
          <cell r="C121">
            <v>8642</v>
          </cell>
          <cell r="F121">
            <v>-2145</v>
          </cell>
          <cell r="L121" t="str">
            <v>HEB-260</v>
          </cell>
          <cell r="M121" t="str">
            <v>CHEM. ANCHOR</v>
          </cell>
          <cell r="N121" t="str">
            <v>EMT-2</v>
          </cell>
          <cell r="T121">
            <v>30</v>
          </cell>
          <cell r="W121">
            <v>1</v>
          </cell>
          <cell r="AC121" t="str">
            <v>PH</v>
          </cell>
          <cell r="AM121" t="str">
            <v>RW1</v>
          </cell>
        </row>
        <row r="122">
          <cell r="G122">
            <v>33</v>
          </cell>
          <cell r="I122" t="str">
            <v>FP+AnMC</v>
          </cell>
          <cell r="J122">
            <v>8667.5</v>
          </cell>
          <cell r="K122" t="str">
            <v>AnMC</v>
          </cell>
          <cell r="S122">
            <v>8672.7000000000007</v>
          </cell>
        </row>
        <row r="123">
          <cell r="B123" t="str">
            <v>8-2.19</v>
          </cell>
          <cell r="C123">
            <v>8675</v>
          </cell>
          <cell r="F123">
            <v>-2145</v>
          </cell>
          <cell r="H123" t="str">
            <v>A/S-Diag</v>
          </cell>
          <cell r="I123">
            <v>360.5</v>
          </cell>
          <cell r="L123" t="str">
            <v>HEB-280</v>
          </cell>
          <cell r="M123" t="str">
            <v>C5</v>
          </cell>
          <cell r="N123" t="str">
            <v>EMT-2</v>
          </cell>
          <cell r="Q123">
            <v>-20</v>
          </cell>
          <cell r="R123">
            <v>-2177</v>
          </cell>
          <cell r="T123">
            <v>30</v>
          </cell>
          <cell r="W123">
            <v>1.4</v>
          </cell>
          <cell r="AC123" t="str">
            <v>PHQ-1150</v>
          </cell>
          <cell r="AF123">
            <v>6000</v>
          </cell>
          <cell r="AG123">
            <v>8672.7000000000007</v>
          </cell>
          <cell r="AH123">
            <v>2532</v>
          </cell>
          <cell r="AI123">
            <v>607</v>
          </cell>
          <cell r="AM123" t="str">
            <v>RW1</v>
          </cell>
        </row>
        <row r="124">
          <cell r="G124">
            <v>43</v>
          </cell>
          <cell r="I124" t="str">
            <v xml:space="preserve"> </v>
          </cell>
          <cell r="J124">
            <v>8710.5</v>
          </cell>
          <cell r="K124" t="str">
            <v>AnMC</v>
          </cell>
          <cell r="S124">
            <v>42.989999999999782</v>
          </cell>
        </row>
        <row r="125">
          <cell r="B125" t="str">
            <v>8-2.20</v>
          </cell>
          <cell r="C125">
            <v>8718</v>
          </cell>
          <cell r="F125">
            <v>0</v>
          </cell>
          <cell r="H125" t="str">
            <v xml:space="preserve">S/A A/S </v>
          </cell>
          <cell r="I125" t="str">
            <v>FP+AnMC</v>
          </cell>
          <cell r="L125" t="str">
            <v>HEB-280</v>
          </cell>
          <cell r="M125" t="str">
            <v>C5</v>
          </cell>
          <cell r="N125" t="str">
            <v>EMT-T</v>
          </cell>
          <cell r="O125" t="str">
            <v>EMT-E</v>
          </cell>
          <cell r="Q125">
            <v>0</v>
          </cell>
          <cell r="R125">
            <v>-8944</v>
          </cell>
          <cell r="T125">
            <v>-80</v>
          </cell>
          <cell r="U125">
            <v>-20</v>
          </cell>
          <cell r="W125">
            <v>2.2999999999999998</v>
          </cell>
          <cell r="X125">
            <v>1.4</v>
          </cell>
          <cell r="Z125">
            <v>0.6</v>
          </cell>
          <cell r="AD125" t="str">
            <v>PH 1450</v>
          </cell>
          <cell r="AF125">
            <v>6000</v>
          </cell>
          <cell r="AG125">
            <v>8715.69</v>
          </cell>
          <cell r="AH125">
            <v>2651</v>
          </cell>
          <cell r="AI125">
            <v>552</v>
          </cell>
          <cell r="AM125" t="str">
            <v>RW1</v>
          </cell>
        </row>
        <row r="126">
          <cell r="A126" t="str">
            <v>Overhead Cable</v>
          </cell>
          <cell r="G126">
            <v>52</v>
          </cell>
          <cell r="I126">
            <v>222</v>
          </cell>
          <cell r="S126">
            <v>-8715.69</v>
          </cell>
        </row>
        <row r="127">
          <cell r="B127" t="str">
            <v>8-2.22</v>
          </cell>
          <cell r="C127">
            <v>8770</v>
          </cell>
          <cell r="F127">
            <v>0</v>
          </cell>
          <cell r="H127" t="str">
            <v>P90</v>
          </cell>
          <cell r="N127" t="str">
            <v>EMT-1</v>
          </cell>
          <cell r="O127" t="str">
            <v>EMT-2</v>
          </cell>
          <cell r="T127">
            <v>-80</v>
          </cell>
          <cell r="U127">
            <v>-25</v>
          </cell>
          <cell r="W127">
            <v>2.2999999999999998</v>
          </cell>
          <cell r="X127">
            <v>1.4</v>
          </cell>
          <cell r="Z127">
            <v>-0.05</v>
          </cell>
          <cell r="AC127" t="str">
            <v>PH-C</v>
          </cell>
          <cell r="AK127" t="str">
            <v>S2</v>
          </cell>
          <cell r="AM127" t="str">
            <v>RW1</v>
          </cell>
        </row>
        <row r="128">
          <cell r="A128" t="str">
            <v>8752,23 =27,92</v>
          </cell>
          <cell r="G128">
            <v>63</v>
          </cell>
          <cell r="S128">
            <v>0</v>
          </cell>
        </row>
        <row r="129">
          <cell r="B129" t="str">
            <v>0-2.24</v>
          </cell>
          <cell r="C129">
            <v>107.5</v>
          </cell>
          <cell r="F129">
            <v>0</v>
          </cell>
          <cell r="H129" t="str">
            <v>P50</v>
          </cell>
          <cell r="L129" t="str">
            <v>HEB-360LL</v>
          </cell>
          <cell r="M129" t="str">
            <v>C9R</v>
          </cell>
          <cell r="N129" t="str">
            <v>EMT-2</v>
          </cell>
          <cell r="O129" t="str">
            <v>EMT-1</v>
          </cell>
          <cell r="T129">
            <v>-30</v>
          </cell>
          <cell r="U129">
            <v>-15</v>
          </cell>
          <cell r="W129">
            <v>1.4</v>
          </cell>
          <cell r="X129">
            <v>2.2999999999999998</v>
          </cell>
          <cell r="AC129" t="str">
            <v>PH-C</v>
          </cell>
          <cell r="AL129" t="str">
            <v>B7</v>
          </cell>
          <cell r="AM129" t="str">
            <v>RW1</v>
          </cell>
        </row>
        <row r="130">
          <cell r="G130">
            <v>48.5</v>
          </cell>
          <cell r="I130" t="str">
            <v>CP+AnMC</v>
          </cell>
          <cell r="J130">
            <v>148.5</v>
          </cell>
          <cell r="K130" t="str">
            <v>AnMC</v>
          </cell>
          <cell r="S130">
            <v>0</v>
          </cell>
        </row>
        <row r="131">
          <cell r="B131" t="str">
            <v>0-2.25</v>
          </cell>
          <cell r="C131">
            <v>156</v>
          </cell>
          <cell r="F131">
            <v>5000</v>
          </cell>
          <cell r="H131" t="str">
            <v>S/A A/S</v>
          </cell>
          <cell r="I131">
            <v>461</v>
          </cell>
          <cell r="L131" t="str">
            <v xml:space="preserve">HEB-360LL </v>
          </cell>
          <cell r="M131" t="str">
            <v>C9R</v>
          </cell>
          <cell r="N131" t="str">
            <v>EMT-1</v>
          </cell>
          <cell r="O131" t="str">
            <v>EMT-T</v>
          </cell>
          <cell r="T131">
            <v>-15</v>
          </cell>
          <cell r="U131">
            <v>-10</v>
          </cell>
          <cell r="W131">
            <v>2.2999999999999998</v>
          </cell>
          <cell r="X131">
            <v>1.4</v>
          </cell>
          <cell r="AA131">
            <v>0.6</v>
          </cell>
          <cell r="AC131" t="str">
            <v>PH</v>
          </cell>
          <cell r="AL131" t="str">
            <v>B7</v>
          </cell>
          <cell r="AM131" t="str">
            <v>RW1</v>
          </cell>
        </row>
        <row r="132">
          <cell r="G132">
            <v>58</v>
          </cell>
          <cell r="S132">
            <v>0</v>
          </cell>
        </row>
        <row r="133">
          <cell r="B133" t="str">
            <v>0-2.27</v>
          </cell>
          <cell r="C133">
            <v>214</v>
          </cell>
          <cell r="F133">
            <v>1800</v>
          </cell>
          <cell r="H133" t="str">
            <v>A/S-Diag S/A</v>
          </cell>
          <cell r="I133">
            <v>222</v>
          </cell>
          <cell r="L133" t="str">
            <v>2HEB-240</v>
          </cell>
          <cell r="M133" t="str">
            <v>C2H-240</v>
          </cell>
          <cell r="N133" t="str">
            <v>EMT-T</v>
          </cell>
          <cell r="O133" t="str">
            <v>EMT-1</v>
          </cell>
          <cell r="T133">
            <v>-35</v>
          </cell>
          <cell r="U133">
            <v>10</v>
          </cell>
          <cell r="W133">
            <v>2.2999999999999998</v>
          </cell>
          <cell r="X133">
            <v>1.4</v>
          </cell>
          <cell r="Z133">
            <v>0.45</v>
          </cell>
          <cell r="AC133" t="str">
            <v>PH-Q</v>
          </cell>
          <cell r="AM133" t="str">
            <v>RW1</v>
          </cell>
        </row>
        <row r="134">
          <cell r="G134">
            <v>51</v>
          </cell>
          <cell r="I134" t="str">
            <v>CP+AnMC</v>
          </cell>
          <cell r="J134">
            <v>221.5</v>
          </cell>
          <cell r="K134" t="str">
            <v>AnMC</v>
          </cell>
          <cell r="S134">
            <v>0</v>
          </cell>
        </row>
        <row r="135">
          <cell r="A135" t="str">
            <v>TZG-02</v>
          </cell>
          <cell r="B135" t="str">
            <v>0-2.30</v>
          </cell>
          <cell r="C135">
            <v>265</v>
          </cell>
          <cell r="F135">
            <v>1800</v>
          </cell>
          <cell r="H135" t="str">
            <v>S/A</v>
          </cell>
          <cell r="I135" t="str">
            <v>IO</v>
          </cell>
          <cell r="L135" t="str">
            <v>2HEB-240</v>
          </cell>
          <cell r="M135" t="str">
            <v>C2H-240</v>
          </cell>
          <cell r="N135" t="str">
            <v>EMT-1</v>
          </cell>
          <cell r="O135" t="str">
            <v>EMT-T</v>
          </cell>
          <cell r="T135">
            <v>-30</v>
          </cell>
          <cell r="U135">
            <v>15</v>
          </cell>
          <cell r="W135">
            <v>2.2999999999999998</v>
          </cell>
          <cell r="X135">
            <v>1.4</v>
          </cell>
          <cell r="AA135">
            <v>0.45</v>
          </cell>
          <cell r="AC135" t="str">
            <v>PH-Q</v>
          </cell>
          <cell r="AJ135" t="str">
            <v>LoadB/IO</v>
          </cell>
          <cell r="AM135" t="str">
            <v>RW1</v>
          </cell>
        </row>
        <row r="136">
          <cell r="G136">
            <v>45</v>
          </cell>
          <cell r="I136" t="str">
            <v>AnRW</v>
          </cell>
          <cell r="J136">
            <v>272.5</v>
          </cell>
          <cell r="K136" t="str">
            <v>AnM</v>
          </cell>
          <cell r="S136">
            <v>309.85000000000002</v>
          </cell>
        </row>
        <row r="137">
          <cell r="B137" t="str">
            <v>0-2.31</v>
          </cell>
          <cell r="C137">
            <v>310</v>
          </cell>
          <cell r="F137">
            <v>1800</v>
          </cell>
          <cell r="H137" t="str">
            <v>A/S</v>
          </cell>
          <cell r="L137" t="str">
            <v>HEB-320L</v>
          </cell>
          <cell r="M137" t="str">
            <v>C7R</v>
          </cell>
          <cell r="N137" t="str">
            <v>EMT-2</v>
          </cell>
          <cell r="Q137">
            <v>0</v>
          </cell>
          <cell r="R137" t="str">
            <v>1800</v>
          </cell>
          <cell r="T137">
            <v>30</v>
          </cell>
          <cell r="W137">
            <v>1.4</v>
          </cell>
          <cell r="AC137" t="str">
            <v>PH-Q 1250</v>
          </cell>
          <cell r="AF137">
            <v>5600</v>
          </cell>
          <cell r="AG137">
            <v>309.85000000000002</v>
          </cell>
          <cell r="AH137">
            <v>2715</v>
          </cell>
          <cell r="AI137">
            <v>71</v>
          </cell>
          <cell r="AL137" t="str">
            <v>PR1B</v>
          </cell>
          <cell r="AM137" t="str">
            <v>RW1</v>
          </cell>
        </row>
        <row r="138">
          <cell r="G138">
            <v>57</v>
          </cell>
          <cell r="I138" t="str">
            <v>CP+AnMC</v>
          </cell>
          <cell r="J138">
            <v>317.5</v>
          </cell>
          <cell r="K138" t="str">
            <v>AnMC</v>
          </cell>
          <cell r="S138">
            <v>57.25</v>
          </cell>
        </row>
        <row r="139">
          <cell r="B139" t="str">
            <v>0-2.33</v>
          </cell>
          <cell r="C139">
            <v>367</v>
          </cell>
          <cell r="F139">
            <v>1800</v>
          </cell>
          <cell r="L139" t="str">
            <v>HEB-260</v>
          </cell>
          <cell r="M139" t="str">
            <v>C4R</v>
          </cell>
          <cell r="N139" t="str">
            <v>EMT-2</v>
          </cell>
          <cell r="Q139">
            <v>0</v>
          </cell>
          <cell r="R139" t="str">
            <v>4570,69</v>
          </cell>
          <cell r="T139">
            <v>25</v>
          </cell>
          <cell r="W139">
            <v>1.4</v>
          </cell>
          <cell r="AC139" t="str">
            <v>PH 1150</v>
          </cell>
          <cell r="AF139">
            <v>5400</v>
          </cell>
          <cell r="AG139">
            <v>367.1</v>
          </cell>
          <cell r="AH139">
            <v>3285</v>
          </cell>
          <cell r="AI139">
            <v>-136</v>
          </cell>
          <cell r="AM139" t="str">
            <v>RW1</v>
          </cell>
        </row>
        <row r="140">
          <cell r="G140">
            <v>46</v>
          </cell>
          <cell r="S140">
            <v>-367.1</v>
          </cell>
        </row>
        <row r="141">
          <cell r="B141" t="str">
            <v>0-2.35</v>
          </cell>
          <cell r="C141">
            <v>413</v>
          </cell>
          <cell r="F141">
            <v>0</v>
          </cell>
          <cell r="H141" t="str">
            <v>P90</v>
          </cell>
          <cell r="L141" t="str">
            <v>2HEB-240_s</v>
          </cell>
          <cell r="M141" t="str">
            <v>2W3</v>
          </cell>
          <cell r="N141" t="str">
            <v>EMT-2</v>
          </cell>
          <cell r="O141" t="str">
            <v>EMT-1</v>
          </cell>
          <cell r="T141">
            <v>25</v>
          </cell>
          <cell r="U141">
            <v>80</v>
          </cell>
          <cell r="W141">
            <v>2.2999999999999998</v>
          </cell>
          <cell r="X141">
            <v>1.4</v>
          </cell>
          <cell r="AA141">
            <v>-0.05</v>
          </cell>
          <cell r="AC141" t="str">
            <v>PH</v>
          </cell>
          <cell r="AM141" t="str">
            <v>RW1</v>
          </cell>
        </row>
        <row r="142">
          <cell r="G142">
            <v>44</v>
          </cell>
          <cell r="S142">
            <v>0</v>
          </cell>
        </row>
        <row r="143">
          <cell r="B143" t="str">
            <v>0-2.37</v>
          </cell>
          <cell r="C143">
            <v>457</v>
          </cell>
          <cell r="F143">
            <v>0</v>
          </cell>
          <cell r="H143" t="str">
            <v>S/A</v>
          </cell>
          <cell r="L143" t="str">
            <v>2HEB-260L_s</v>
          </cell>
          <cell r="M143" t="str">
            <v>2W4</v>
          </cell>
          <cell r="N143" t="str">
            <v>EMT-1</v>
          </cell>
          <cell r="O143" t="str">
            <v>EMT-T</v>
          </cell>
          <cell r="T143">
            <v>0</v>
          </cell>
          <cell r="U143">
            <v>80</v>
          </cell>
          <cell r="W143">
            <v>1.4</v>
          </cell>
          <cell r="X143">
            <v>2.2999999999999998</v>
          </cell>
          <cell r="AA143">
            <v>0.5</v>
          </cell>
          <cell r="AC143" t="str">
            <v>PH</v>
          </cell>
          <cell r="AJ143" t="str">
            <v>PP-2</v>
          </cell>
          <cell r="AM143" t="str">
            <v>RW1</v>
          </cell>
        </row>
        <row r="144">
          <cell r="G144">
            <v>33.5</v>
          </cell>
          <cell r="J144">
            <v>483</v>
          </cell>
          <cell r="K144" t="str">
            <v>AnMC/W</v>
          </cell>
          <cell r="S144">
            <v>0</v>
          </cell>
        </row>
        <row r="145">
          <cell r="B145" t="str">
            <v>0-2.38</v>
          </cell>
          <cell r="C145">
            <v>490.5</v>
          </cell>
          <cell r="F145">
            <v>0</v>
          </cell>
          <cell r="H145" t="str">
            <v>P90 A/S</v>
          </cell>
          <cell r="I145" t="str">
            <v>CP/TX-P</v>
          </cell>
          <cell r="L145" t="str">
            <v>HEB-280 (CP)_s</v>
          </cell>
          <cell r="M145" t="str">
            <v>W5</v>
          </cell>
          <cell r="N145" t="str">
            <v>EMT-2</v>
          </cell>
          <cell r="O145" t="str">
            <v>EMT-1</v>
          </cell>
          <cell r="T145">
            <v>25</v>
          </cell>
          <cell r="U145">
            <v>80</v>
          </cell>
          <cell r="W145">
            <v>2.2999999999999998</v>
          </cell>
          <cell r="X145">
            <v>1.4</v>
          </cell>
          <cell r="AA145">
            <v>-0.05</v>
          </cell>
          <cell r="AC145" t="str">
            <v>PH</v>
          </cell>
          <cell r="AM145" t="str">
            <v>RW1</v>
          </cell>
        </row>
        <row r="146">
          <cell r="G146">
            <v>37</v>
          </cell>
          <cell r="S146">
            <v>0</v>
          </cell>
        </row>
        <row r="147">
          <cell r="B147" t="str">
            <v>0-2.39</v>
          </cell>
          <cell r="C147">
            <v>527.5</v>
          </cell>
          <cell r="F147">
            <v>0</v>
          </cell>
          <cell r="H147" t="str">
            <v>S/A</v>
          </cell>
          <cell r="L147" t="str">
            <v>2HEB-240_s</v>
          </cell>
          <cell r="M147" t="str">
            <v>2W3</v>
          </cell>
          <cell r="N147" t="str">
            <v>EMT-T</v>
          </cell>
          <cell r="O147" t="str">
            <v>EMT-1</v>
          </cell>
          <cell r="T147">
            <v>15</v>
          </cell>
          <cell r="U147">
            <v>-30</v>
          </cell>
          <cell r="W147">
            <v>1.4</v>
          </cell>
          <cell r="X147">
            <v>2.2999999999999998</v>
          </cell>
          <cell r="Z147">
            <v>0.6</v>
          </cell>
          <cell r="AM147" t="str">
            <v>RW1</v>
          </cell>
        </row>
        <row r="148">
          <cell r="G148">
            <v>47.5</v>
          </cell>
          <cell r="S148">
            <v>0</v>
          </cell>
          <cell r="AJ148" t="str">
            <v>DISC/IO</v>
          </cell>
        </row>
        <row r="149">
          <cell r="A149" t="str">
            <v>TZG-06</v>
          </cell>
          <cell r="B149" t="str">
            <v>0-2.40</v>
          </cell>
          <cell r="C149">
            <v>575</v>
          </cell>
          <cell r="F149">
            <v>0</v>
          </cell>
          <cell r="H149" t="str">
            <v>S/A</v>
          </cell>
          <cell r="I149" t="str">
            <v>IO</v>
          </cell>
          <cell r="L149" t="str">
            <v>2HEB-240_s</v>
          </cell>
          <cell r="M149" t="str">
            <v>2W3</v>
          </cell>
          <cell r="N149" t="str">
            <v>EMT-2</v>
          </cell>
          <cell r="O149" t="str">
            <v>EMT-T</v>
          </cell>
          <cell r="T149">
            <v>30</v>
          </cell>
          <cell r="U149">
            <v>-15</v>
          </cell>
          <cell r="W149">
            <v>1.1000000000000001</v>
          </cell>
          <cell r="X149">
            <v>2</v>
          </cell>
          <cell r="AA149">
            <v>0.6</v>
          </cell>
          <cell r="AC149" t="str">
            <v>PH</v>
          </cell>
          <cell r="AJ149" t="str">
            <v>LoadB/IO</v>
          </cell>
          <cell r="AM149" t="str">
            <v>RW1</v>
          </cell>
        </row>
        <row r="150">
          <cell r="G150">
            <v>42</v>
          </cell>
          <cell r="S150">
            <v>0</v>
          </cell>
        </row>
        <row r="151">
          <cell r="B151" t="str">
            <v>0-2.41</v>
          </cell>
          <cell r="C151">
            <v>617</v>
          </cell>
          <cell r="F151">
            <v>0</v>
          </cell>
          <cell r="H151" t="str">
            <v>A/S</v>
          </cell>
          <cell r="I151" t="str">
            <v>FP+AnMC</v>
          </cell>
          <cell r="J151">
            <v>624.5</v>
          </cell>
          <cell r="K151" t="str">
            <v>AnMC/W</v>
          </cell>
          <cell r="L151" t="str">
            <v>HEB-260 (CP)_s</v>
          </cell>
          <cell r="M151" t="str">
            <v>W4</v>
          </cell>
          <cell r="N151" t="str">
            <v>EMT-2</v>
          </cell>
          <cell r="T151">
            <v>-15</v>
          </cell>
          <cell r="W151">
            <v>0.9</v>
          </cell>
          <cell r="AC151" t="str">
            <v>PH</v>
          </cell>
          <cell r="AM151" t="str">
            <v>RW1</v>
          </cell>
        </row>
        <row r="152">
          <cell r="A152" t="str">
            <v>Start Tunnel</v>
          </cell>
          <cell r="G152">
            <v>45</v>
          </cell>
          <cell r="I152" t="str">
            <v>AnRW/Tunnel</v>
          </cell>
          <cell r="J152">
            <v>1000</v>
          </cell>
          <cell r="K152" t="str">
            <v>AnM/Tunnel</v>
          </cell>
          <cell r="S152">
            <v>0</v>
          </cell>
        </row>
        <row r="153">
          <cell r="B153" t="str">
            <v>0-2.42</v>
          </cell>
          <cell r="C153">
            <v>662</v>
          </cell>
          <cell r="F153">
            <v>0</v>
          </cell>
          <cell r="I153" t="str">
            <v>AnRW/Tunnel</v>
          </cell>
          <cell r="J153">
            <v>1000</v>
          </cell>
          <cell r="K153" t="str">
            <v>AnM/Tunnel</v>
          </cell>
          <cell r="L153" t="str">
            <v>S-1T-W</v>
          </cell>
          <cell r="N153" t="str">
            <v>EMT-1T</v>
          </cell>
          <cell r="T153">
            <v>-25</v>
          </cell>
          <cell r="W153">
            <v>0.9</v>
          </cell>
          <cell r="AC153" t="str">
            <v>PH</v>
          </cell>
          <cell r="AM153" t="str">
            <v>RW1T-S</v>
          </cell>
        </row>
        <row r="154">
          <cell r="G154">
            <v>45</v>
          </cell>
          <cell r="S154">
            <v>0</v>
          </cell>
        </row>
        <row r="155">
          <cell r="B155" t="str">
            <v>0-2.43</v>
          </cell>
          <cell r="C155">
            <v>707</v>
          </cell>
          <cell r="F155">
            <v>0</v>
          </cell>
          <cell r="L155" t="str">
            <v>S-1T-W</v>
          </cell>
          <cell r="N155" t="str">
            <v>EMT-2T</v>
          </cell>
          <cell r="T155">
            <v>35</v>
          </cell>
          <cell r="W155">
            <v>0.9</v>
          </cell>
          <cell r="AC155" t="str">
            <v>PH-Q</v>
          </cell>
          <cell r="AM155" t="str">
            <v>RW1T-S</v>
          </cell>
        </row>
        <row r="156">
          <cell r="G156">
            <v>45</v>
          </cell>
          <cell r="S156">
            <v>0</v>
          </cell>
        </row>
        <row r="157">
          <cell r="B157" t="str">
            <v>0-2.44</v>
          </cell>
          <cell r="C157">
            <v>752</v>
          </cell>
          <cell r="F157">
            <v>0</v>
          </cell>
          <cell r="L157" t="str">
            <v>S-1T-W</v>
          </cell>
          <cell r="N157" t="str">
            <v>EMT-1T</v>
          </cell>
          <cell r="T157">
            <v>-35</v>
          </cell>
          <cell r="W157">
            <v>0.9</v>
          </cell>
          <cell r="AC157" t="str">
            <v>PH-Q</v>
          </cell>
          <cell r="AM157" t="str">
            <v>RW1T-S</v>
          </cell>
        </row>
        <row r="158">
          <cell r="G158">
            <v>45</v>
          </cell>
          <cell r="S158">
            <v>0</v>
          </cell>
        </row>
        <row r="159">
          <cell r="A159" t="str">
            <v>Tunnel Zone with</v>
          </cell>
          <cell r="B159" t="str">
            <v>0-2.45</v>
          </cell>
          <cell r="C159">
            <v>797</v>
          </cell>
          <cell r="F159">
            <v>0</v>
          </cell>
          <cell r="L159" t="str">
            <v>S-1T-W</v>
          </cell>
          <cell r="N159" t="str">
            <v>EMT-2T</v>
          </cell>
          <cell r="T159">
            <v>35</v>
          </cell>
          <cell r="W159">
            <v>0.9</v>
          </cell>
          <cell r="AC159" t="str">
            <v>PH-Q</v>
          </cell>
          <cell r="AM159" t="str">
            <v>RW1T-S</v>
          </cell>
        </row>
        <row r="160">
          <cell r="A160" t="str">
            <v>prefabricate concrete beams</v>
          </cell>
          <cell r="G160">
            <v>45</v>
          </cell>
          <cell r="S160">
            <v>0</v>
          </cell>
        </row>
        <row r="161">
          <cell r="B161" t="str">
            <v>0-2.46</v>
          </cell>
          <cell r="C161">
            <v>842</v>
          </cell>
          <cell r="F161">
            <v>0</v>
          </cell>
          <cell r="H161" t="str">
            <v>AnMP/Tunnel</v>
          </cell>
          <cell r="L161" t="str">
            <v>S-1T-W</v>
          </cell>
          <cell r="N161" t="str">
            <v>EMT-1T</v>
          </cell>
          <cell r="T161">
            <v>-35</v>
          </cell>
          <cell r="W161">
            <v>0.9</v>
          </cell>
          <cell r="AC161" t="str">
            <v>PH-Q</v>
          </cell>
          <cell r="AM161" t="str">
            <v>RW1T-S</v>
          </cell>
        </row>
        <row r="162">
          <cell r="G162">
            <v>45</v>
          </cell>
          <cell r="I162">
            <v>401.5</v>
          </cell>
          <cell r="J162">
            <v>843</v>
          </cell>
          <cell r="K162" t="str">
            <v>AnM/Tunnel</v>
          </cell>
          <cell r="S162">
            <v>0</v>
          </cell>
        </row>
        <row r="163">
          <cell r="B163" t="str">
            <v>0-2.47</v>
          </cell>
          <cell r="C163">
            <v>887</v>
          </cell>
          <cell r="F163">
            <v>0</v>
          </cell>
          <cell r="H163" t="str">
            <v>MP/Tunnel</v>
          </cell>
          <cell r="L163" t="str">
            <v>S-1T-W</v>
          </cell>
          <cell r="N163" t="str">
            <v>EMT-2T</v>
          </cell>
          <cell r="T163">
            <v>35</v>
          </cell>
          <cell r="W163">
            <v>0.9</v>
          </cell>
          <cell r="AC163" t="str">
            <v>PH-Q</v>
          </cell>
          <cell r="AM163" t="str">
            <v>RW1T-S</v>
          </cell>
        </row>
        <row r="164">
          <cell r="G164">
            <v>45</v>
          </cell>
          <cell r="I164">
            <v>453</v>
          </cell>
          <cell r="J164">
            <v>931</v>
          </cell>
          <cell r="K164" t="str">
            <v>AnM/Tunnel</v>
          </cell>
          <cell r="S164">
            <v>0</v>
          </cell>
        </row>
        <row r="165">
          <cell r="B165" t="str">
            <v>0-2.48</v>
          </cell>
          <cell r="C165">
            <v>932</v>
          </cell>
          <cell r="F165">
            <v>-10666.666666666666</v>
          </cell>
          <cell r="H165" t="str">
            <v>AnMP/Tunnel</v>
          </cell>
          <cell r="L165" t="str">
            <v>S-1T-W</v>
          </cell>
          <cell r="N165" t="str">
            <v>EMT-1T</v>
          </cell>
          <cell r="T165">
            <v>-35</v>
          </cell>
          <cell r="W165">
            <v>1.1000000000000001</v>
          </cell>
          <cell r="AC165" t="str">
            <v>PH</v>
          </cell>
          <cell r="AM165" t="str">
            <v>RW1T-S</v>
          </cell>
        </row>
        <row r="166">
          <cell r="G166">
            <v>45</v>
          </cell>
          <cell r="S166">
            <v>0</v>
          </cell>
        </row>
        <row r="167">
          <cell r="B167" t="str">
            <v>0-2.49</v>
          </cell>
          <cell r="C167">
            <v>977</v>
          </cell>
          <cell r="F167">
            <v>-3393.939393939394</v>
          </cell>
          <cell r="L167" t="str">
            <v>S-1T-W</v>
          </cell>
          <cell r="N167" t="str">
            <v>EMT-1T</v>
          </cell>
          <cell r="T167">
            <v>-20</v>
          </cell>
          <cell r="W167">
            <v>1.1000000000000001</v>
          </cell>
          <cell r="AC167" t="str">
            <v>PH</v>
          </cell>
          <cell r="AM167" t="str">
            <v>RW1T-S</v>
          </cell>
        </row>
        <row r="168">
          <cell r="G168">
            <v>45</v>
          </cell>
          <cell r="S168">
            <v>1021.85</v>
          </cell>
        </row>
        <row r="169">
          <cell r="B169" t="str">
            <v>1-2.01</v>
          </cell>
          <cell r="C169">
            <v>1022</v>
          </cell>
          <cell r="F169">
            <v>-2018.018018018018</v>
          </cell>
          <cell r="L169" t="str">
            <v>S1T</v>
          </cell>
          <cell r="N169" t="str">
            <v>EMT-ET</v>
          </cell>
          <cell r="Q169">
            <v>82</v>
          </cell>
          <cell r="R169">
            <v>2021.52</v>
          </cell>
          <cell r="T169">
            <v>-30</v>
          </cell>
          <cell r="W169">
            <v>1.1000000000000001</v>
          </cell>
          <cell r="AC169" t="str">
            <v>PH-Q 1150</v>
          </cell>
          <cell r="AF169">
            <v>600</v>
          </cell>
          <cell r="AG169">
            <v>1021.85</v>
          </cell>
          <cell r="AH169">
            <v>1587</v>
          </cell>
          <cell r="AI169">
            <v>-4692</v>
          </cell>
          <cell r="AM169" t="str">
            <v>RW1T-S</v>
          </cell>
        </row>
        <row r="170">
          <cell r="G170">
            <v>42</v>
          </cell>
          <cell r="S170">
            <v>42.209999999999923</v>
          </cell>
        </row>
        <row r="171">
          <cell r="B171" t="str">
            <v>1-2.02</v>
          </cell>
          <cell r="C171">
            <v>1064</v>
          </cell>
          <cell r="F171">
            <v>-1800</v>
          </cell>
          <cell r="L171" t="str">
            <v>S1T</v>
          </cell>
          <cell r="N171" t="str">
            <v>EMT-ET</v>
          </cell>
          <cell r="Q171">
            <v>101</v>
          </cell>
          <cell r="R171">
            <v>1607</v>
          </cell>
          <cell r="T171">
            <v>-30</v>
          </cell>
          <cell r="W171">
            <v>1.1000000000000001</v>
          </cell>
          <cell r="AC171" t="str">
            <v>PH-Q 1150</v>
          </cell>
          <cell r="AF171">
            <v>600</v>
          </cell>
          <cell r="AG171">
            <v>1064.06</v>
          </cell>
          <cell r="AH171">
            <v>1570</v>
          </cell>
          <cell r="AI171">
            <v>-4733</v>
          </cell>
          <cell r="AM171" t="str">
            <v>RW1T-S</v>
          </cell>
        </row>
        <row r="172">
          <cell r="G172">
            <v>40</v>
          </cell>
          <cell r="S172">
            <v>40.100000000000136</v>
          </cell>
        </row>
        <row r="173">
          <cell r="B173" t="str">
            <v>1-2.03</v>
          </cell>
          <cell r="C173">
            <v>1104</v>
          </cell>
          <cell r="F173">
            <v>-1600</v>
          </cell>
          <cell r="L173" t="str">
            <v>S1T</v>
          </cell>
          <cell r="N173" t="str">
            <v>EMT-ET</v>
          </cell>
          <cell r="Q173">
            <v>95</v>
          </cell>
          <cell r="R173">
            <v>1607</v>
          </cell>
          <cell r="T173">
            <v>-30</v>
          </cell>
          <cell r="W173">
            <v>1.1000000000000001</v>
          </cell>
          <cell r="AC173" t="str">
            <v>PH-Q 1150</v>
          </cell>
          <cell r="AF173">
            <v>600</v>
          </cell>
          <cell r="AG173">
            <v>1104.1600000000001</v>
          </cell>
          <cell r="AH173">
            <v>1563</v>
          </cell>
          <cell r="AI173">
            <v>-4686</v>
          </cell>
          <cell r="AM173" t="str">
            <v>RW1T-S</v>
          </cell>
        </row>
        <row r="174">
          <cell r="G174">
            <v>40</v>
          </cell>
          <cell r="S174">
            <v>40.099999999999909</v>
          </cell>
        </row>
        <row r="175">
          <cell r="B175" t="str">
            <v>1-2.04</v>
          </cell>
          <cell r="C175">
            <v>1144</v>
          </cell>
          <cell r="F175">
            <v>-1600</v>
          </cell>
          <cell r="L175" t="str">
            <v>S1T</v>
          </cell>
          <cell r="N175" t="str">
            <v>EMT-ET</v>
          </cell>
          <cell r="Q175">
            <v>106</v>
          </cell>
          <cell r="R175">
            <v>1607</v>
          </cell>
          <cell r="T175">
            <v>-30</v>
          </cell>
          <cell r="W175">
            <v>1.1000000000000001</v>
          </cell>
          <cell r="AC175" t="str">
            <v>PH-Q 1150</v>
          </cell>
          <cell r="AF175">
            <v>600</v>
          </cell>
          <cell r="AG175">
            <v>1144.26</v>
          </cell>
          <cell r="AH175">
            <v>1576</v>
          </cell>
          <cell r="AI175">
            <v>-4681</v>
          </cell>
          <cell r="AM175" t="str">
            <v>RW1T-S</v>
          </cell>
        </row>
        <row r="176">
          <cell r="G176">
            <v>50</v>
          </cell>
          <cell r="S176">
            <v>-1144.26</v>
          </cell>
        </row>
        <row r="177">
          <cell r="B177" t="str">
            <v>1-2.05</v>
          </cell>
          <cell r="C177">
            <v>1194</v>
          </cell>
          <cell r="F177">
            <v>-1600</v>
          </cell>
          <cell r="H177" t="str">
            <v>A/S</v>
          </cell>
          <cell r="I177" t="str">
            <v>CP/TX-W</v>
          </cell>
          <cell r="L177" t="str">
            <v>S1T</v>
          </cell>
          <cell r="N177" t="str">
            <v>EMT-1T</v>
          </cell>
          <cell r="T177">
            <v>-30</v>
          </cell>
          <cell r="W177">
            <v>1.1000000000000001</v>
          </cell>
          <cell r="AC177" t="str">
            <v>PH-Q</v>
          </cell>
          <cell r="AM177" t="str">
            <v>RW1T-S</v>
          </cell>
        </row>
        <row r="178">
          <cell r="G178">
            <v>50</v>
          </cell>
          <cell r="J178">
            <v>1204</v>
          </cell>
          <cell r="K178" t="str">
            <v>AnM/TX</v>
          </cell>
          <cell r="S178">
            <v>0</v>
          </cell>
        </row>
        <row r="179">
          <cell r="B179" t="str">
            <v>1-2.06</v>
          </cell>
          <cell r="C179">
            <v>1244</v>
          </cell>
          <cell r="F179">
            <v>-1600</v>
          </cell>
          <cell r="H179" t="str">
            <v>S/A</v>
          </cell>
          <cell r="L179" t="str">
            <v>S2T</v>
          </cell>
          <cell r="N179" t="str">
            <v>EMT-TT</v>
          </cell>
          <cell r="O179" t="str">
            <v>EMT-1T</v>
          </cell>
          <cell r="T179">
            <v>-10</v>
          </cell>
          <cell r="U179">
            <v>-30</v>
          </cell>
          <cell r="W179">
            <v>1</v>
          </cell>
          <cell r="X179">
            <v>1.2</v>
          </cell>
          <cell r="Z179">
            <v>0.45</v>
          </cell>
          <cell r="AM179" t="str">
            <v>RW1T-S</v>
          </cell>
        </row>
        <row r="180">
          <cell r="G180">
            <v>55</v>
          </cell>
          <cell r="S180">
            <v>1298.18</v>
          </cell>
        </row>
        <row r="181">
          <cell r="B181" t="str">
            <v>1-2.07</v>
          </cell>
          <cell r="C181">
            <v>1299</v>
          </cell>
          <cell r="F181">
            <v>-1600</v>
          </cell>
          <cell r="H181" t="str">
            <v>S/A</v>
          </cell>
          <cell r="L181" t="str">
            <v>S2T</v>
          </cell>
          <cell r="N181" t="str">
            <v>EMT-2T</v>
          </cell>
          <cell r="O181" t="str">
            <v>EMT-TT</v>
          </cell>
          <cell r="Q181">
            <v>103</v>
          </cell>
          <cell r="R181">
            <v>1607</v>
          </cell>
          <cell r="T181">
            <v>30</v>
          </cell>
          <cell r="U181">
            <v>10</v>
          </cell>
          <cell r="W181">
            <v>1</v>
          </cell>
          <cell r="X181">
            <v>1.2</v>
          </cell>
          <cell r="AA181">
            <v>0.45</v>
          </cell>
          <cell r="AC181" t="str">
            <v>PH 1150</v>
          </cell>
          <cell r="AF181">
            <v>200</v>
          </cell>
          <cell r="AG181">
            <v>1298.18</v>
          </cell>
          <cell r="AH181">
            <v>1824</v>
          </cell>
          <cell r="AI181">
            <v>-5141</v>
          </cell>
          <cell r="AM181" t="str">
            <v>RW1T-S</v>
          </cell>
        </row>
        <row r="182">
          <cell r="G182">
            <v>41</v>
          </cell>
          <cell r="J182">
            <v>1330</v>
          </cell>
          <cell r="K182" t="str">
            <v>AnM/TX</v>
          </cell>
          <cell r="Q182">
            <v>102</v>
          </cell>
          <cell r="R182">
            <v>1607</v>
          </cell>
          <cell r="S182">
            <v>40.710000000000036</v>
          </cell>
          <cell r="AG182">
            <v>1299.74</v>
          </cell>
          <cell r="AH182">
            <v>1835</v>
          </cell>
          <cell r="AI182">
            <v>-5142</v>
          </cell>
        </row>
        <row r="183">
          <cell r="B183" t="str">
            <v>1-2.08</v>
          </cell>
          <cell r="C183">
            <v>1340</v>
          </cell>
          <cell r="F183">
            <v>-1600</v>
          </cell>
          <cell r="H183" t="str">
            <v>A/S</v>
          </cell>
          <cell r="I183" t="str">
            <v>CP/TX-W</v>
          </cell>
          <cell r="L183" t="str">
            <v>S1T</v>
          </cell>
          <cell r="N183" t="str">
            <v>EMT-2T</v>
          </cell>
          <cell r="Q183">
            <v>95</v>
          </cell>
          <cell r="R183">
            <v>1607</v>
          </cell>
          <cell r="T183">
            <v>30</v>
          </cell>
          <cell r="W183">
            <v>1.1000000000000001</v>
          </cell>
          <cell r="AC183" t="str">
            <v>PH-Q 1150</v>
          </cell>
          <cell r="AF183">
            <v>200</v>
          </cell>
          <cell r="AG183">
            <v>1338.89</v>
          </cell>
          <cell r="AH183">
            <v>1825</v>
          </cell>
          <cell r="AI183">
            <v>-5055</v>
          </cell>
          <cell r="AM183" t="str">
            <v>RW1T-S</v>
          </cell>
        </row>
        <row r="184">
          <cell r="G184">
            <v>50</v>
          </cell>
          <cell r="S184">
            <v>-1338.89</v>
          </cell>
        </row>
        <row r="185">
          <cell r="B185" t="str">
            <v>1-2.09</v>
          </cell>
          <cell r="C185">
            <v>1390</v>
          </cell>
          <cell r="F185">
            <v>-1600</v>
          </cell>
          <cell r="L185" t="str">
            <v>S1T</v>
          </cell>
          <cell r="N185" t="str">
            <v>EMT-2T</v>
          </cell>
          <cell r="T185">
            <v>30</v>
          </cell>
          <cell r="W185">
            <v>1.1000000000000001</v>
          </cell>
          <cell r="AC185" t="str">
            <v>PH-Q</v>
          </cell>
          <cell r="AM185" t="str">
            <v>RW1T-S</v>
          </cell>
        </row>
        <row r="186">
          <cell r="G186">
            <v>50</v>
          </cell>
          <cell r="S186">
            <v>0</v>
          </cell>
        </row>
        <row r="187">
          <cell r="B187" t="str">
            <v>1-2.10</v>
          </cell>
          <cell r="C187">
            <v>1440</v>
          </cell>
          <cell r="F187">
            <v>-1600</v>
          </cell>
          <cell r="L187" t="str">
            <v>S1T</v>
          </cell>
          <cell r="N187" t="str">
            <v>EMT-2T</v>
          </cell>
          <cell r="T187">
            <v>30</v>
          </cell>
          <cell r="W187">
            <v>1.1000000000000001</v>
          </cell>
          <cell r="AC187" t="str">
            <v>PH</v>
          </cell>
          <cell r="AM187" t="str">
            <v>RW1T-S</v>
          </cell>
        </row>
        <row r="188">
          <cell r="A188" t="str">
            <v>End Tunnel</v>
          </cell>
          <cell r="G188">
            <v>40</v>
          </cell>
          <cell r="I188" t="str">
            <v>AnRW/Tunnel</v>
          </cell>
          <cell r="J188">
            <v>1450</v>
          </cell>
          <cell r="K188" t="str">
            <v>AnM/Tunnel</v>
          </cell>
          <cell r="S188">
            <v>0</v>
          </cell>
        </row>
        <row r="189">
          <cell r="B189" t="str">
            <v>1-2.11</v>
          </cell>
          <cell r="C189">
            <v>1480</v>
          </cell>
          <cell r="F189">
            <v>-1600</v>
          </cell>
          <cell r="L189" t="str">
            <v>S-1T-R</v>
          </cell>
          <cell r="N189" t="str">
            <v>EMT-1</v>
          </cell>
          <cell r="T189">
            <v>-30</v>
          </cell>
          <cell r="W189">
            <v>1.2</v>
          </cell>
          <cell r="AC189" t="str">
            <v>PH-C</v>
          </cell>
          <cell r="AM189" t="str">
            <v>RW1</v>
          </cell>
        </row>
        <row r="190">
          <cell r="A190" t="str">
            <v>Pedestal Bridge (Overcrossing)</v>
          </cell>
          <cell r="G190">
            <v>46</v>
          </cell>
          <cell r="S190">
            <v>0</v>
          </cell>
        </row>
        <row r="191">
          <cell r="A191" t="str">
            <v xml:space="preserve"> Zone between wall</v>
          </cell>
          <cell r="B191" t="str">
            <v>1-2.12</v>
          </cell>
          <cell r="C191">
            <v>1526</v>
          </cell>
          <cell r="F191">
            <v>-1600</v>
          </cell>
          <cell r="L191" t="str">
            <v>S-1T-R</v>
          </cell>
          <cell r="N191" t="str">
            <v>EMT-1</v>
          </cell>
          <cell r="T191">
            <v>-30</v>
          </cell>
          <cell r="W191">
            <v>1.4</v>
          </cell>
          <cell r="AC191" t="str">
            <v>PH-Q</v>
          </cell>
          <cell r="AM191" t="str">
            <v>RW1</v>
          </cell>
        </row>
        <row r="192">
          <cell r="A192" t="str">
            <v>Overhead Cable</v>
          </cell>
          <cell r="G192">
            <v>40</v>
          </cell>
          <cell r="S192">
            <v>0</v>
          </cell>
        </row>
        <row r="193">
          <cell r="B193" t="str">
            <v>1-2.13</v>
          </cell>
          <cell r="C193">
            <v>1566</v>
          </cell>
          <cell r="F193">
            <v>-1600</v>
          </cell>
          <cell r="L193" t="str">
            <v>S-1T-R</v>
          </cell>
          <cell r="N193" t="str">
            <v>EMT-1</v>
          </cell>
          <cell r="T193">
            <v>-30</v>
          </cell>
          <cell r="W193">
            <v>1.4</v>
          </cell>
          <cell r="AC193" t="str">
            <v>PH-Q</v>
          </cell>
          <cell r="AM193" t="str">
            <v>RW1</v>
          </cell>
        </row>
        <row r="194">
          <cell r="G194">
            <v>41</v>
          </cell>
          <cell r="S194">
            <v>0</v>
          </cell>
        </row>
        <row r="195">
          <cell r="B195" t="str">
            <v>1-2.14</v>
          </cell>
          <cell r="C195">
            <v>1607</v>
          </cell>
          <cell r="F195">
            <v>-1600</v>
          </cell>
          <cell r="L195" t="str">
            <v>S-1T-R</v>
          </cell>
          <cell r="N195" t="str">
            <v>EMT-1</v>
          </cell>
          <cell r="T195">
            <v>-30</v>
          </cell>
          <cell r="W195">
            <v>1.2</v>
          </cell>
          <cell r="AC195" t="str">
            <v>PH-Q</v>
          </cell>
          <cell r="AM195" t="str">
            <v>RW1</v>
          </cell>
        </row>
        <row r="196">
          <cell r="A196" t="str">
            <v>Start Tunnel
Rectangular section</v>
          </cell>
          <cell r="G196">
            <v>50</v>
          </cell>
          <cell r="I196" t="str">
            <v>AnRW/Tunnel</v>
          </cell>
          <cell r="J196">
            <v>1625</v>
          </cell>
          <cell r="K196" t="str">
            <v>AnM/Tunnel</v>
          </cell>
          <cell r="S196">
            <v>0</v>
          </cell>
        </row>
        <row r="197">
          <cell r="B197" t="str">
            <v>1-2.15</v>
          </cell>
          <cell r="C197">
            <v>1657</v>
          </cell>
          <cell r="F197">
            <v>-1600</v>
          </cell>
          <cell r="L197" t="str">
            <v>S1T</v>
          </cell>
          <cell r="N197" t="str">
            <v>EMT-1T</v>
          </cell>
          <cell r="T197">
            <v>-30</v>
          </cell>
          <cell r="W197">
            <v>1.1000000000000001</v>
          </cell>
          <cell r="AC197" t="str">
            <v>PH-Q</v>
          </cell>
          <cell r="AM197" t="str">
            <v>RW1T-S</v>
          </cell>
        </row>
        <row r="198">
          <cell r="G198">
            <v>50</v>
          </cell>
          <cell r="S198">
            <v>0</v>
          </cell>
        </row>
        <row r="199">
          <cell r="B199" t="str">
            <v>1-2.16</v>
          </cell>
          <cell r="C199">
            <v>1707</v>
          </cell>
          <cell r="F199">
            <v>-1600</v>
          </cell>
          <cell r="L199" t="str">
            <v>S1T</v>
          </cell>
          <cell r="N199" t="str">
            <v>EMT-1T</v>
          </cell>
          <cell r="T199">
            <v>-30</v>
          </cell>
          <cell r="W199">
            <v>1.1000000000000001</v>
          </cell>
          <cell r="AC199" t="str">
            <v>PH-Q</v>
          </cell>
          <cell r="AM199" t="str">
            <v>RW1T-S</v>
          </cell>
        </row>
        <row r="200">
          <cell r="A200" t="str">
            <v>Road Section</v>
          </cell>
          <cell r="G200">
            <v>50</v>
          </cell>
          <cell r="S200">
            <v>0</v>
          </cell>
        </row>
        <row r="201">
          <cell r="B201" t="str">
            <v>1-2.17</v>
          </cell>
          <cell r="C201">
            <v>1757</v>
          </cell>
          <cell r="F201">
            <v>-1600</v>
          </cell>
          <cell r="L201" t="str">
            <v>S1T</v>
          </cell>
          <cell r="N201" t="str">
            <v>EMT-1T</v>
          </cell>
          <cell r="T201">
            <v>-30</v>
          </cell>
          <cell r="W201">
            <v>1.1000000000000001</v>
          </cell>
          <cell r="AC201" t="str">
            <v>PH-Q</v>
          </cell>
          <cell r="AM201" t="str">
            <v>RW1T-S</v>
          </cell>
        </row>
        <row r="202">
          <cell r="G202">
            <v>50</v>
          </cell>
          <cell r="S202">
            <v>0</v>
          </cell>
        </row>
        <row r="203">
          <cell r="A203" t="str">
            <v>Rectangular Section</v>
          </cell>
          <cell r="B203" t="str">
            <v>1-2.18</v>
          </cell>
          <cell r="C203">
            <v>1809</v>
          </cell>
          <cell r="F203">
            <v>-1600</v>
          </cell>
          <cell r="H203" t="str">
            <v>AnMP/Tunnel</v>
          </cell>
          <cell r="I203">
            <v>658</v>
          </cell>
          <cell r="J203">
            <v>1812</v>
          </cell>
          <cell r="L203" t="str">
            <v>S1T</v>
          </cell>
          <cell r="N203" t="str">
            <v>EMT-1T</v>
          </cell>
          <cell r="T203">
            <v>-30</v>
          </cell>
          <cell r="W203">
            <v>1.1000000000000001</v>
          </cell>
          <cell r="AC203" t="str">
            <v>PH-Q</v>
          </cell>
          <cell r="AM203" t="str">
            <v>RW1T-S</v>
          </cell>
        </row>
        <row r="204">
          <cell r="A204" t="str">
            <v>End Tunnel</v>
          </cell>
          <cell r="G204">
            <v>45</v>
          </cell>
          <cell r="I204" t="str">
            <v>AnRW/Tunnel</v>
          </cell>
          <cell r="J204">
            <v>1812</v>
          </cell>
          <cell r="K204" t="str">
            <v>AnM/Tunnel</v>
          </cell>
          <cell r="S204">
            <v>0</v>
          </cell>
        </row>
        <row r="205">
          <cell r="B205" t="str">
            <v>1-2.19</v>
          </cell>
          <cell r="C205">
            <v>1854</v>
          </cell>
          <cell r="F205">
            <v>-1600</v>
          </cell>
          <cell r="H205" t="str">
            <v>MP/Tunnel</v>
          </cell>
          <cell r="L205" t="str">
            <v>HEB-260</v>
          </cell>
          <cell r="M205" t="str">
            <v>C4_L</v>
          </cell>
          <cell r="N205" t="str">
            <v>EMT-1</v>
          </cell>
          <cell r="T205">
            <v>-30</v>
          </cell>
          <cell r="W205">
            <v>1.2</v>
          </cell>
          <cell r="AC205" t="str">
            <v>PH-Q</v>
          </cell>
          <cell r="AM205" t="str">
            <v>RW1</v>
          </cell>
        </row>
        <row r="206">
          <cell r="G206">
            <v>47</v>
          </cell>
          <cell r="I206">
            <v>611</v>
          </cell>
          <cell r="S206">
            <v>0</v>
          </cell>
        </row>
        <row r="207">
          <cell r="B207" t="str">
            <v>1-2.20</v>
          </cell>
          <cell r="C207">
            <v>1901</v>
          </cell>
          <cell r="F207">
            <v>-1600</v>
          </cell>
          <cell r="H207" t="str">
            <v>AnMP</v>
          </cell>
          <cell r="L207" t="str">
            <v>HEB-260</v>
          </cell>
          <cell r="M207" t="str">
            <v>C4_L</v>
          </cell>
          <cell r="N207" t="str">
            <v>EMT-1</v>
          </cell>
          <cell r="T207">
            <v>-30</v>
          </cell>
          <cell r="W207">
            <v>1.4</v>
          </cell>
          <cell r="AC207" t="str">
            <v>PH-Q</v>
          </cell>
          <cell r="AM207" t="str">
            <v>RW1</v>
          </cell>
        </row>
        <row r="208">
          <cell r="A208" t="str">
            <v>Overhead Cable</v>
          </cell>
          <cell r="G208">
            <v>40</v>
          </cell>
          <cell r="J208">
            <v>1908.5</v>
          </cell>
          <cell r="K208" t="str">
            <v>AnM_RL</v>
          </cell>
          <cell r="S208">
            <v>0</v>
          </cell>
        </row>
        <row r="209">
          <cell r="A209" t="str">
            <v xml:space="preserve">Zone with </v>
          </cell>
          <cell r="B209" t="str">
            <v>1-2.21</v>
          </cell>
          <cell r="C209">
            <v>1941</v>
          </cell>
          <cell r="F209">
            <v>-1600</v>
          </cell>
          <cell r="L209" t="str">
            <v>HEB-260</v>
          </cell>
          <cell r="M209" t="str">
            <v>C4_L</v>
          </cell>
          <cell r="N209" t="str">
            <v>EMT-1</v>
          </cell>
          <cell r="T209">
            <v>-30</v>
          </cell>
          <cell r="W209">
            <v>1.4</v>
          </cell>
          <cell r="AC209" t="str">
            <v>PH-Q</v>
          </cell>
          <cell r="AM209" t="str">
            <v>RW1</v>
          </cell>
        </row>
        <row r="210">
          <cell r="A210" t="str">
            <v xml:space="preserve">Concrete retaining wall/ </v>
          </cell>
          <cell r="G210">
            <v>41</v>
          </cell>
          <cell r="S210">
            <v>0</v>
          </cell>
        </row>
        <row r="211">
          <cell r="A211" t="str">
            <v>on  reinforced soil</v>
          </cell>
          <cell r="B211" t="str">
            <v>1-2.22</v>
          </cell>
          <cell r="C211">
            <v>1982</v>
          </cell>
          <cell r="F211">
            <v>-1600</v>
          </cell>
          <cell r="L211" t="str">
            <v>HEB-260</v>
          </cell>
          <cell r="M211" t="str">
            <v>C4_L</v>
          </cell>
          <cell r="N211" t="str">
            <v>EMT-1</v>
          </cell>
          <cell r="T211">
            <v>-30</v>
          </cell>
          <cell r="W211">
            <v>1.4</v>
          </cell>
          <cell r="AC211" t="str">
            <v>PH-Q</v>
          </cell>
          <cell r="AM211" t="str">
            <v>RW1</v>
          </cell>
        </row>
        <row r="212">
          <cell r="A212" t="str">
            <v>Overcrossing</v>
          </cell>
          <cell r="G212">
            <v>45</v>
          </cell>
          <cell r="S212">
            <v>0</v>
          </cell>
        </row>
        <row r="213">
          <cell r="B213" t="str">
            <v>2-2.01</v>
          </cell>
          <cell r="C213">
            <v>2027</v>
          </cell>
          <cell r="F213">
            <v>-1600</v>
          </cell>
          <cell r="L213" t="str">
            <v>HEB-260</v>
          </cell>
          <cell r="M213" t="str">
            <v>C4_L</v>
          </cell>
          <cell r="N213" t="str">
            <v>EMT-1</v>
          </cell>
          <cell r="T213">
            <v>-30</v>
          </cell>
          <cell r="W213">
            <v>1.4</v>
          </cell>
          <cell r="AC213" t="str">
            <v>PH-Q</v>
          </cell>
          <cell r="AM213" t="str">
            <v>RW1</v>
          </cell>
        </row>
        <row r="214">
          <cell r="G214">
            <v>51</v>
          </cell>
          <cell r="S214">
            <v>0</v>
          </cell>
        </row>
        <row r="215">
          <cell r="B215" t="str">
            <v>2-2.02</v>
          </cell>
          <cell r="C215">
            <v>2078</v>
          </cell>
          <cell r="F215">
            <v>-1600</v>
          </cell>
          <cell r="L215" t="str">
            <v>HEB-260</v>
          </cell>
          <cell r="M215" t="str">
            <v>C4_L</v>
          </cell>
          <cell r="N215" t="str">
            <v>EMT-1</v>
          </cell>
          <cell r="T215">
            <v>-30</v>
          </cell>
          <cell r="W215">
            <v>1.4</v>
          </cell>
          <cell r="AC215" t="str">
            <v>PH-Q</v>
          </cell>
          <cell r="AM215" t="str">
            <v>RW1</v>
          </cell>
        </row>
        <row r="216">
          <cell r="G216">
            <v>50</v>
          </cell>
          <cell r="S216">
            <v>0</v>
          </cell>
        </row>
        <row r="217">
          <cell r="B217" t="str">
            <v>2-2.03</v>
          </cell>
          <cell r="C217">
            <v>2128</v>
          </cell>
          <cell r="F217">
            <v>-1600</v>
          </cell>
          <cell r="L217" t="str">
            <v>HEB-260</v>
          </cell>
          <cell r="M217" t="str">
            <v>C4_L</v>
          </cell>
          <cell r="N217" t="str">
            <v>EMT-1</v>
          </cell>
          <cell r="T217">
            <v>-30</v>
          </cell>
          <cell r="W217">
            <v>1.1000000000000001</v>
          </cell>
          <cell r="AC217" t="str">
            <v>PH-Q</v>
          </cell>
          <cell r="AM217" t="str">
            <v>RW1</v>
          </cell>
        </row>
        <row r="218">
          <cell r="A218" t="str">
            <v>Start Tunnel</v>
          </cell>
          <cell r="G218">
            <v>50</v>
          </cell>
          <cell r="I218" t="str">
            <v>AnRW/Tunnel</v>
          </cell>
          <cell r="J218">
            <v>2141</v>
          </cell>
          <cell r="K218" t="str">
            <v>AnM/Tunnel</v>
          </cell>
          <cell r="S218">
            <v>0</v>
          </cell>
        </row>
        <row r="219">
          <cell r="A219" t="str">
            <v>Rectangular Section</v>
          </cell>
          <cell r="B219" t="str">
            <v>2-2.04</v>
          </cell>
          <cell r="C219">
            <v>2178</v>
          </cell>
          <cell r="F219">
            <v>-1600</v>
          </cell>
          <cell r="I219" t="str">
            <v>AnRW/Tunnel</v>
          </cell>
          <cell r="J219">
            <v>2202</v>
          </cell>
          <cell r="K219" t="str">
            <v>AnM/Tunnel</v>
          </cell>
          <cell r="L219" t="str">
            <v>S1T</v>
          </cell>
          <cell r="N219" t="str">
            <v>EMT-1T</v>
          </cell>
          <cell r="T219">
            <v>-30</v>
          </cell>
          <cell r="W219">
            <v>1.1000000000000001</v>
          </cell>
          <cell r="AC219" t="str">
            <v>PH-Q</v>
          </cell>
          <cell r="AM219" t="str">
            <v>RW1T-S</v>
          </cell>
        </row>
        <row r="220">
          <cell r="A220" t="str">
            <v>End Tunnel</v>
          </cell>
          <cell r="G220">
            <v>52</v>
          </cell>
          <cell r="I220" t="str">
            <v>AnRW/Tunnel</v>
          </cell>
          <cell r="J220">
            <v>2202</v>
          </cell>
          <cell r="K220" t="str">
            <v>AnM/Tunnel</v>
          </cell>
          <cell r="S220">
            <v>0</v>
          </cell>
        </row>
        <row r="221">
          <cell r="B221" t="str">
            <v>2-2.05</v>
          </cell>
          <cell r="C221">
            <v>2230</v>
          </cell>
          <cell r="F221">
            <v>-1600</v>
          </cell>
          <cell r="L221" t="str">
            <v>S-1T-R</v>
          </cell>
          <cell r="N221" t="str">
            <v>EMT-1</v>
          </cell>
          <cell r="T221">
            <v>-30</v>
          </cell>
          <cell r="W221">
            <v>1.2</v>
          </cell>
          <cell r="AC221" t="str">
            <v>PH-Q</v>
          </cell>
          <cell r="AM221" t="str">
            <v>RW2</v>
          </cell>
        </row>
        <row r="222">
          <cell r="G222">
            <v>47</v>
          </cell>
          <cell r="S222">
            <v>0</v>
          </cell>
        </row>
        <row r="223">
          <cell r="B223" t="str">
            <v>2-2.06</v>
          </cell>
          <cell r="C223">
            <v>2277</v>
          </cell>
          <cell r="F223">
            <v>-1600</v>
          </cell>
          <cell r="L223" t="str">
            <v>S-1T-R</v>
          </cell>
          <cell r="N223" t="str">
            <v>EMT-1</v>
          </cell>
          <cell r="T223">
            <v>-30</v>
          </cell>
          <cell r="W223">
            <v>1.4</v>
          </cell>
          <cell r="AC223" t="str">
            <v>PH</v>
          </cell>
          <cell r="AM223" t="str">
            <v>RW2</v>
          </cell>
        </row>
        <row r="224">
          <cell r="G224">
            <v>47</v>
          </cell>
          <cell r="S224">
            <v>0</v>
          </cell>
        </row>
        <row r="225">
          <cell r="B225" t="str">
            <v>2-2.08</v>
          </cell>
          <cell r="C225">
            <v>2324</v>
          </cell>
          <cell r="F225">
            <v>-1600</v>
          </cell>
          <cell r="H225" t="str">
            <v>A/S</v>
          </cell>
          <cell r="I225" t="str">
            <v>CP/TX-W</v>
          </cell>
          <cell r="L225" t="str">
            <v>S-1T-R</v>
          </cell>
          <cell r="N225" t="str">
            <v>EMT-1</v>
          </cell>
          <cell r="T225">
            <v>-30</v>
          </cell>
          <cell r="W225">
            <v>1.4</v>
          </cell>
          <cell r="AC225" t="str">
            <v>PH</v>
          </cell>
          <cell r="AM225" t="str">
            <v>RW2</v>
          </cell>
        </row>
        <row r="226">
          <cell r="G226">
            <v>47</v>
          </cell>
          <cell r="J226">
            <v>2331.5</v>
          </cell>
          <cell r="K226" t="str">
            <v>AnM/TX</v>
          </cell>
          <cell r="S226">
            <v>0</v>
          </cell>
        </row>
        <row r="227">
          <cell r="B227" t="str">
            <v>2-2.09</v>
          </cell>
          <cell r="C227">
            <v>2371</v>
          </cell>
          <cell r="F227">
            <v>-3000</v>
          </cell>
          <cell r="H227" t="str">
            <v>S/A</v>
          </cell>
          <cell r="L227" t="str">
            <v>S-2T-R</v>
          </cell>
          <cell r="N227" t="str">
            <v>EMT-T</v>
          </cell>
          <cell r="O227" t="str">
            <v>EMT-2</v>
          </cell>
          <cell r="T227">
            <v>-10</v>
          </cell>
          <cell r="U227">
            <v>-30</v>
          </cell>
          <cell r="W227">
            <v>1.4</v>
          </cell>
          <cell r="X227">
            <v>2.2999999999999998</v>
          </cell>
          <cell r="Z227">
            <v>0.45</v>
          </cell>
          <cell r="AM227" t="str">
            <v>RW2</v>
          </cell>
        </row>
        <row r="228">
          <cell r="G228">
            <v>47</v>
          </cell>
          <cell r="S228">
            <v>0</v>
          </cell>
        </row>
        <row r="229">
          <cell r="B229" t="str">
            <v>2-2.10</v>
          </cell>
          <cell r="C229">
            <v>2419</v>
          </cell>
          <cell r="F229">
            <v>-5000</v>
          </cell>
          <cell r="H229" t="str">
            <v>S/A</v>
          </cell>
          <cell r="L229" t="str">
            <v>S-2T-R</v>
          </cell>
          <cell r="N229" t="str">
            <v>EMT-1</v>
          </cell>
          <cell r="O229" t="str">
            <v>EMT-T</v>
          </cell>
          <cell r="T229">
            <v>-10</v>
          </cell>
          <cell r="U229">
            <v>-30</v>
          </cell>
          <cell r="W229">
            <v>1.4</v>
          </cell>
          <cell r="X229">
            <v>2.2999999999999998</v>
          </cell>
          <cell r="AA229">
            <v>0.45</v>
          </cell>
          <cell r="AC229" t="str">
            <v>PH</v>
          </cell>
          <cell r="AM229" t="str">
            <v>RW2</v>
          </cell>
        </row>
        <row r="230">
          <cell r="G230">
            <v>47</v>
          </cell>
          <cell r="J230">
            <v>2456</v>
          </cell>
          <cell r="K230" t="str">
            <v>AnM/TX</v>
          </cell>
          <cell r="S230">
            <v>0</v>
          </cell>
        </row>
        <row r="231">
          <cell r="B231" t="str">
            <v>2-2.11</v>
          </cell>
          <cell r="C231">
            <v>2466</v>
          </cell>
          <cell r="F231">
            <v>-20000</v>
          </cell>
          <cell r="H231" t="str">
            <v>A/S</v>
          </cell>
          <cell r="I231" t="str">
            <v>CP/TX-W</v>
          </cell>
          <cell r="L231" t="str">
            <v>S-1T-R</v>
          </cell>
          <cell r="N231" t="str">
            <v>EMT-2</v>
          </cell>
          <cell r="T231">
            <v>30</v>
          </cell>
          <cell r="W231">
            <v>1.4</v>
          </cell>
          <cell r="AC231" t="str">
            <v>PH-Q</v>
          </cell>
          <cell r="AM231" t="str">
            <v>RW2</v>
          </cell>
        </row>
        <row r="232">
          <cell r="G232">
            <v>44</v>
          </cell>
          <cell r="S232">
            <v>0</v>
          </cell>
        </row>
        <row r="233">
          <cell r="B233" t="str">
            <v>2-2.12</v>
          </cell>
          <cell r="C233">
            <v>2507</v>
          </cell>
          <cell r="F233">
            <v>0</v>
          </cell>
          <cell r="L233" t="str">
            <v>S-1T-R</v>
          </cell>
          <cell r="N233" t="str">
            <v>EMT-1</v>
          </cell>
          <cell r="T233">
            <v>-35</v>
          </cell>
          <cell r="W233">
            <v>1.4</v>
          </cell>
          <cell r="AC233" t="str">
            <v>PH-Q</v>
          </cell>
          <cell r="AM233" t="str">
            <v>RW2</v>
          </cell>
        </row>
        <row r="234">
          <cell r="G234">
            <v>50</v>
          </cell>
          <cell r="S234">
            <v>0</v>
          </cell>
        </row>
        <row r="235">
          <cell r="B235" t="str">
            <v>2-2.13</v>
          </cell>
          <cell r="C235">
            <v>2557</v>
          </cell>
          <cell r="F235">
            <v>0</v>
          </cell>
          <cell r="L235" t="str">
            <v>S-1T-R</v>
          </cell>
          <cell r="N235" t="str">
            <v>EMT-2</v>
          </cell>
          <cell r="T235">
            <v>35</v>
          </cell>
          <cell r="W235">
            <v>1.4</v>
          </cell>
          <cell r="AC235" t="str">
            <v>PH-Q</v>
          </cell>
          <cell r="AM235" t="str">
            <v>RW2</v>
          </cell>
        </row>
        <row r="236">
          <cell r="A236" t="str">
            <v>Overcrossing 2+575</v>
          </cell>
          <cell r="G236">
            <v>65</v>
          </cell>
          <cell r="S236">
            <v>0</v>
          </cell>
        </row>
        <row r="237">
          <cell r="B237" t="str">
            <v>2-2.14</v>
          </cell>
          <cell r="C237">
            <v>2622</v>
          </cell>
          <cell r="F237">
            <v>0</v>
          </cell>
          <cell r="H237" t="str">
            <v>AnMP/Tunnel</v>
          </cell>
          <cell r="L237" t="str">
            <v>S-1T-R</v>
          </cell>
          <cell r="N237" t="str">
            <v>EMT-1</v>
          </cell>
          <cell r="T237">
            <v>-35</v>
          </cell>
          <cell r="W237">
            <v>1.4</v>
          </cell>
          <cell r="AC237" t="str">
            <v>PH</v>
          </cell>
          <cell r="AM237" t="str">
            <v>RW2</v>
          </cell>
        </row>
        <row r="238">
          <cell r="G238">
            <v>65</v>
          </cell>
          <cell r="I238">
            <v>365</v>
          </cell>
          <cell r="J238">
            <v>2621</v>
          </cell>
          <cell r="K238" t="str">
            <v>AnM/Tunnel</v>
          </cell>
          <cell r="S238">
            <v>0</v>
          </cell>
        </row>
        <row r="239">
          <cell r="B239" t="str">
            <v>2-2.15</v>
          </cell>
          <cell r="C239">
            <v>2687</v>
          </cell>
          <cell r="F239">
            <v>0</v>
          </cell>
          <cell r="H239" t="str">
            <v>MP</v>
          </cell>
          <cell r="L239" t="str">
            <v>HEB-240_s</v>
          </cell>
          <cell r="M239" t="str">
            <v>WT3</v>
          </cell>
          <cell r="N239" t="str">
            <v>EMT-2</v>
          </cell>
          <cell r="T239">
            <v>35</v>
          </cell>
          <cell r="W239">
            <v>1.4</v>
          </cell>
          <cell r="AC239" t="str">
            <v>PH</v>
          </cell>
          <cell r="AM239" t="str">
            <v>RW2</v>
          </cell>
        </row>
        <row r="240">
          <cell r="A240" t="str">
            <v xml:space="preserve">Overpass </v>
          </cell>
          <cell r="G240">
            <v>65</v>
          </cell>
          <cell r="I240">
            <v>433</v>
          </cell>
          <cell r="S240">
            <v>0</v>
          </cell>
        </row>
        <row r="241">
          <cell r="B241" t="str">
            <v>2-2.16</v>
          </cell>
          <cell r="C241">
            <v>2752</v>
          </cell>
          <cell r="F241">
            <v>0</v>
          </cell>
          <cell r="H241" t="str">
            <v>AnMP</v>
          </cell>
          <cell r="L241" t="str">
            <v>HEB-260_s</v>
          </cell>
          <cell r="M241" t="str">
            <v>WT4</v>
          </cell>
          <cell r="N241" t="str">
            <v>EMT-1</v>
          </cell>
          <cell r="T241">
            <v>-35</v>
          </cell>
          <cell r="W241">
            <v>1.4</v>
          </cell>
          <cell r="AC241" t="str">
            <v>PH</v>
          </cell>
          <cell r="AM241" t="str">
            <v>RW2</v>
          </cell>
        </row>
        <row r="242">
          <cell r="G242">
            <v>63</v>
          </cell>
          <cell r="J242">
            <v>2759.5</v>
          </cell>
          <cell r="K242" t="str">
            <v>AnM/WT</v>
          </cell>
          <cell r="S242">
            <v>0</v>
          </cell>
        </row>
        <row r="243">
          <cell r="B243" t="str">
            <v>2-2.17</v>
          </cell>
          <cell r="C243">
            <v>2815</v>
          </cell>
          <cell r="F243">
            <v>0</v>
          </cell>
          <cell r="L243" t="str">
            <v>HEB-240_s</v>
          </cell>
          <cell r="M243" t="str">
            <v>WT3</v>
          </cell>
          <cell r="N243" t="str">
            <v>EMT-2</v>
          </cell>
          <cell r="T243">
            <v>35</v>
          </cell>
          <cell r="W243">
            <v>1.4</v>
          </cell>
          <cell r="AC243" t="str">
            <v>PH</v>
          </cell>
          <cell r="AM243" t="str">
            <v>RW2</v>
          </cell>
        </row>
        <row r="244">
          <cell r="A244" t="str">
            <v>NS AIRPORT</v>
          </cell>
          <cell r="G244">
            <v>62</v>
          </cell>
          <cell r="J244">
            <v>2869.5</v>
          </cell>
          <cell r="K244" t="str">
            <v>AnMC/WT</v>
          </cell>
          <cell r="S244">
            <v>0</v>
          </cell>
        </row>
        <row r="245">
          <cell r="B245" t="str">
            <v>2-2.18</v>
          </cell>
          <cell r="C245">
            <v>2877</v>
          </cell>
          <cell r="F245">
            <v>0</v>
          </cell>
          <cell r="H245" t="str">
            <v>A/S</v>
          </cell>
          <cell r="I245" t="str">
            <v>CP/TX-P</v>
          </cell>
          <cell r="L245" t="str">
            <v>HEB-260 (CP)_s</v>
          </cell>
          <cell r="M245" t="str">
            <v>WT4</v>
          </cell>
          <cell r="N245" t="str">
            <v>EMT-1</v>
          </cell>
          <cell r="T245">
            <v>-35</v>
          </cell>
          <cell r="W245">
            <v>1.4</v>
          </cell>
          <cell r="AC245" t="str">
            <v>PH-Q</v>
          </cell>
          <cell r="AM245" t="str">
            <v>RW2</v>
          </cell>
        </row>
        <row r="246">
          <cell r="G246">
            <v>57</v>
          </cell>
          <cell r="S246">
            <v>0</v>
          </cell>
        </row>
        <row r="247">
          <cell r="A247" t="str">
            <v>AIR-NS2</v>
          </cell>
          <cell r="B247" t="str">
            <v>2-2.19</v>
          </cell>
          <cell r="C247">
            <v>2934</v>
          </cell>
          <cell r="F247">
            <v>0</v>
          </cell>
          <cell r="H247" t="str">
            <v>S/A</v>
          </cell>
          <cell r="I247" t="str">
            <v>IO</v>
          </cell>
          <cell r="L247" t="str">
            <v>HEB-260_s</v>
          </cell>
          <cell r="M247" t="str">
            <v>WT4</v>
          </cell>
          <cell r="N247" t="str">
            <v>EMT-T</v>
          </cell>
          <cell r="O247" t="str">
            <v>EMT-2</v>
          </cell>
          <cell r="T247">
            <v>80</v>
          </cell>
          <cell r="U247">
            <v>35</v>
          </cell>
          <cell r="W247">
            <v>2.2999999999999998</v>
          </cell>
          <cell r="X247">
            <v>1.4</v>
          </cell>
          <cell r="Z247">
            <v>0.45</v>
          </cell>
          <cell r="AJ247" t="str">
            <v>LoadB/NZ</v>
          </cell>
          <cell r="AM247" t="str">
            <v>RW2</v>
          </cell>
        </row>
        <row r="248">
          <cell r="G248">
            <v>42</v>
          </cell>
          <cell r="S248">
            <v>0</v>
          </cell>
          <cell r="AJ248" t="str">
            <v>VoltageD</v>
          </cell>
        </row>
        <row r="249">
          <cell r="B249" t="str">
            <v>2-2.20</v>
          </cell>
          <cell r="C249">
            <v>2976</v>
          </cell>
          <cell r="L249" t="str">
            <v>HEB-300L_s</v>
          </cell>
          <cell r="M249" t="str">
            <v>WT6</v>
          </cell>
          <cell r="AJ249" t="str">
            <v>PP-2</v>
          </cell>
          <cell r="AM249" t="str">
            <v>RW2</v>
          </cell>
        </row>
        <row r="250">
          <cell r="G250">
            <v>5</v>
          </cell>
          <cell r="S250">
            <v>0</v>
          </cell>
        </row>
        <row r="251">
          <cell r="A251" t="str">
            <v>AIR-NS4</v>
          </cell>
          <cell r="B251" t="str">
            <v>2-2.21</v>
          </cell>
          <cell r="C251">
            <v>2981</v>
          </cell>
          <cell r="F251">
            <v>0</v>
          </cell>
          <cell r="H251" t="str">
            <v>S/A</v>
          </cell>
          <cell r="I251" t="str">
            <v>IO</v>
          </cell>
          <cell r="L251" t="str">
            <v>HEB-260_s</v>
          </cell>
          <cell r="M251" t="str">
            <v>WT4</v>
          </cell>
          <cell r="N251" t="str">
            <v>EMT-1</v>
          </cell>
          <cell r="O251" t="str">
            <v>EMT-T</v>
          </cell>
          <cell r="T251">
            <v>-30</v>
          </cell>
          <cell r="U251">
            <v>15</v>
          </cell>
          <cell r="W251">
            <v>2.2999999999999998</v>
          </cell>
          <cell r="X251">
            <v>1.4</v>
          </cell>
          <cell r="AA251">
            <v>0.45</v>
          </cell>
          <cell r="AC251" t="str">
            <v>PH-C</v>
          </cell>
          <cell r="AJ251" t="str">
            <v>LoadB/NZ</v>
          </cell>
          <cell r="AM251" t="str">
            <v>RW2</v>
          </cell>
        </row>
        <row r="252">
          <cell r="G252">
            <v>47</v>
          </cell>
          <cell r="S252">
            <v>0</v>
          </cell>
        </row>
        <row r="253">
          <cell r="B253" t="str">
            <v>3-2.01</v>
          </cell>
          <cell r="C253">
            <v>3028</v>
          </cell>
          <cell r="F253">
            <v>0</v>
          </cell>
          <cell r="H253" t="str">
            <v>S/A</v>
          </cell>
          <cell r="L253" t="str">
            <v>HEB-260_s</v>
          </cell>
          <cell r="M253" t="str">
            <v>WT4</v>
          </cell>
          <cell r="N253" t="str">
            <v>EMT-T</v>
          </cell>
          <cell r="O253" t="str">
            <v>EMT-2</v>
          </cell>
          <cell r="T253">
            <v>-15</v>
          </cell>
          <cell r="U253">
            <v>30</v>
          </cell>
          <cell r="W253">
            <v>2.2999999999999998</v>
          </cell>
          <cell r="X253">
            <v>1.4</v>
          </cell>
          <cell r="Z253">
            <v>0.45</v>
          </cell>
          <cell r="AM253" t="str">
            <v>RW2</v>
          </cell>
        </row>
        <row r="254">
          <cell r="G254">
            <v>5</v>
          </cell>
          <cell r="S254">
            <v>0</v>
          </cell>
        </row>
        <row r="255">
          <cell r="B255" t="str">
            <v>3-2.01BIS</v>
          </cell>
          <cell r="C255">
            <v>3033</v>
          </cell>
          <cell r="L255" t="str">
            <v>HEB-300L_s</v>
          </cell>
          <cell r="M255" t="str">
            <v>WT6</v>
          </cell>
          <cell r="AJ255" t="str">
            <v>PP-2</v>
          </cell>
          <cell r="AM255" t="str">
            <v>RW2</v>
          </cell>
        </row>
        <row r="256">
          <cell r="G256">
            <v>42</v>
          </cell>
          <cell r="S256">
            <v>0</v>
          </cell>
        </row>
        <row r="257">
          <cell r="A257" t="str">
            <v>AIR-NS6</v>
          </cell>
          <cell r="B257" t="str">
            <v>3-2.02</v>
          </cell>
          <cell r="C257">
            <v>3075</v>
          </cell>
          <cell r="F257">
            <v>0</v>
          </cell>
          <cell r="H257" t="str">
            <v>S/A</v>
          </cell>
          <cell r="I257" t="str">
            <v>IO</v>
          </cell>
          <cell r="L257" t="str">
            <v>2HEB-240_s</v>
          </cell>
          <cell r="M257" t="str">
            <v>2WT3</v>
          </cell>
          <cell r="N257" t="str">
            <v>EMT-1</v>
          </cell>
          <cell r="O257" t="str">
            <v>EMT-T</v>
          </cell>
          <cell r="T257">
            <v>-35</v>
          </cell>
          <cell r="U257">
            <v>-80</v>
          </cell>
          <cell r="W257">
            <v>1.4</v>
          </cell>
          <cell r="X257">
            <v>2.2999999999999998</v>
          </cell>
          <cell r="AA257">
            <v>0.45</v>
          </cell>
          <cell r="AC257" t="str">
            <v>PH-Q</v>
          </cell>
          <cell r="AJ257" t="str">
            <v>LoadB/NZ</v>
          </cell>
          <cell r="AM257" t="str">
            <v>RW2</v>
          </cell>
        </row>
        <row r="258">
          <cell r="G258">
            <v>45</v>
          </cell>
          <cell r="S258">
            <v>0</v>
          </cell>
          <cell r="AJ258" t="str">
            <v>VoltageD</v>
          </cell>
        </row>
        <row r="259">
          <cell r="B259" t="str">
            <v>3-2.03</v>
          </cell>
          <cell r="C259">
            <v>3120</v>
          </cell>
          <cell r="F259">
            <v>0</v>
          </cell>
          <cell r="H259" t="str">
            <v>A/S</v>
          </cell>
          <cell r="I259" t="str">
            <v>CP/TX-P</v>
          </cell>
          <cell r="L259" t="str">
            <v>HEB-260 (CP)_s</v>
          </cell>
          <cell r="M259" t="str">
            <v>WT4</v>
          </cell>
          <cell r="N259" t="str">
            <v>EMT-2</v>
          </cell>
          <cell r="T259">
            <v>25</v>
          </cell>
          <cell r="W259">
            <v>1.1000000000000001</v>
          </cell>
          <cell r="AC259" t="str">
            <v>PH-Q</v>
          </cell>
          <cell r="AM259" t="str">
            <v>RW2</v>
          </cell>
        </row>
        <row r="260">
          <cell r="A260" t="str">
            <v>NS AIRPORT</v>
          </cell>
          <cell r="G260">
            <v>35</v>
          </cell>
          <cell r="J260">
            <v>3127.5</v>
          </cell>
          <cell r="K260" t="str">
            <v>AnMC/WT</v>
          </cell>
          <cell r="S260">
            <v>3154.38</v>
          </cell>
        </row>
        <row r="261">
          <cell r="B261" t="str">
            <v>3-2.04</v>
          </cell>
          <cell r="C261">
            <v>3155</v>
          </cell>
          <cell r="F261">
            <v>0</v>
          </cell>
          <cell r="L261" t="str">
            <v>HEB-240 AirPort</v>
          </cell>
          <cell r="M261" t="str">
            <v>C3R</v>
          </cell>
          <cell r="N261" t="str">
            <v>EMT-1-RH</v>
          </cell>
          <cell r="Q261">
            <v>0</v>
          </cell>
          <cell r="R261" t="str">
            <v>inf</v>
          </cell>
          <cell r="T261">
            <v>-35</v>
          </cell>
          <cell r="W261">
            <v>0.6</v>
          </cell>
          <cell r="AC261" t="str">
            <v>PH 1150</v>
          </cell>
          <cell r="AF261">
            <v>5350</v>
          </cell>
          <cell r="AG261">
            <v>3154.38</v>
          </cell>
          <cell r="AH261">
            <v>3159</v>
          </cell>
          <cell r="AI261">
            <v>486</v>
          </cell>
          <cell r="AM261" t="str">
            <v>RW2</v>
          </cell>
        </row>
        <row r="262">
          <cell r="G262">
            <v>31</v>
          </cell>
          <cell r="S262">
            <v>31.019999999999982</v>
          </cell>
        </row>
        <row r="263">
          <cell r="B263" t="str">
            <v>3-2.05</v>
          </cell>
          <cell r="C263">
            <v>3186</v>
          </cell>
          <cell r="F263">
            <v>0</v>
          </cell>
          <cell r="L263" t="str">
            <v>HEB-240 AirPort</v>
          </cell>
          <cell r="M263" t="str">
            <v>C3R</v>
          </cell>
          <cell r="N263" t="str">
            <v>EMT-2-RH</v>
          </cell>
          <cell r="Q263">
            <v>0</v>
          </cell>
          <cell r="R263" t="str">
            <v>inf</v>
          </cell>
          <cell r="T263">
            <v>35</v>
          </cell>
          <cell r="W263">
            <v>0.6</v>
          </cell>
          <cell r="AC263" t="str">
            <v>PH 1150</v>
          </cell>
          <cell r="AF263">
            <v>6300</v>
          </cell>
          <cell r="AG263">
            <v>3185.4</v>
          </cell>
          <cell r="AH263">
            <v>3222</v>
          </cell>
          <cell r="AI263">
            <v>1453</v>
          </cell>
          <cell r="AM263" t="str">
            <v>RW2</v>
          </cell>
        </row>
        <row r="264">
          <cell r="G264">
            <v>32</v>
          </cell>
          <cell r="S264">
            <v>32.380000000000109</v>
          </cell>
        </row>
        <row r="265">
          <cell r="B265" t="str">
            <v>3-2.06</v>
          </cell>
          <cell r="C265">
            <v>3218</v>
          </cell>
          <cell r="F265">
            <v>0</v>
          </cell>
          <cell r="L265" t="str">
            <v>HEB-240 AirPort</v>
          </cell>
          <cell r="M265" t="str">
            <v>C3R</v>
          </cell>
          <cell r="N265" t="str">
            <v>EMT-1-RH</v>
          </cell>
          <cell r="Q265">
            <v>0</v>
          </cell>
          <cell r="R265" t="str">
            <v>inf</v>
          </cell>
          <cell r="T265">
            <v>-35</v>
          </cell>
          <cell r="W265">
            <v>0.6</v>
          </cell>
          <cell r="AC265" t="str">
            <v>PH 1150</v>
          </cell>
          <cell r="AF265">
            <v>5300</v>
          </cell>
          <cell r="AG265">
            <v>3217.78</v>
          </cell>
          <cell r="AH265">
            <v>2253</v>
          </cell>
          <cell r="AI265">
            <v>455</v>
          </cell>
          <cell r="AM265" t="str">
            <v>RW2</v>
          </cell>
        </row>
        <row r="266">
          <cell r="G266">
            <v>30</v>
          </cell>
          <cell r="S266">
            <v>29.989999999999782</v>
          </cell>
        </row>
        <row r="267">
          <cell r="B267" t="str">
            <v>3-2.07</v>
          </cell>
          <cell r="C267">
            <v>3248</v>
          </cell>
          <cell r="F267">
            <v>0</v>
          </cell>
          <cell r="L267" t="str">
            <v>HEB-240 AirPort</v>
          </cell>
          <cell r="M267" t="str">
            <v>C3R</v>
          </cell>
          <cell r="N267" t="str">
            <v>EMT-2-RH</v>
          </cell>
          <cell r="Q267">
            <v>0</v>
          </cell>
          <cell r="R267" t="str">
            <v>inf</v>
          </cell>
          <cell r="T267">
            <v>35</v>
          </cell>
          <cell r="W267">
            <v>0.6</v>
          </cell>
          <cell r="AC267" t="str">
            <v>PH 1150</v>
          </cell>
          <cell r="AF267">
            <v>5560</v>
          </cell>
          <cell r="AG267">
            <v>3247.77</v>
          </cell>
          <cell r="AH267">
            <v>2613</v>
          </cell>
          <cell r="AI267">
            <v>495</v>
          </cell>
          <cell r="AM267" t="str">
            <v>RW2</v>
          </cell>
        </row>
        <row r="268">
          <cell r="G268">
            <v>38</v>
          </cell>
          <cell r="S268">
            <v>-3247.77</v>
          </cell>
        </row>
        <row r="269">
          <cell r="A269" t="str">
            <v>Overcrossing 3+260</v>
          </cell>
          <cell r="B269" t="str">
            <v>3-2.08</v>
          </cell>
          <cell r="C269">
            <v>3286</v>
          </cell>
          <cell r="F269">
            <v>0</v>
          </cell>
          <cell r="L269" t="str">
            <v>S-1T-W</v>
          </cell>
          <cell r="N269" t="str">
            <v>EMT-1-RH</v>
          </cell>
          <cell r="T269">
            <v>-35</v>
          </cell>
          <cell r="W269">
            <v>0.55000000000000004</v>
          </cell>
          <cell r="AC269" t="str">
            <v>PH-C</v>
          </cell>
          <cell r="AM269" t="str">
            <v>RW2</v>
          </cell>
        </row>
        <row r="270">
          <cell r="G270">
            <v>32</v>
          </cell>
          <cell r="S270">
            <v>3317.46</v>
          </cell>
        </row>
        <row r="271">
          <cell r="B271" t="str">
            <v>3-2.09</v>
          </cell>
          <cell r="C271">
            <v>3318</v>
          </cell>
          <cell r="F271">
            <v>0</v>
          </cell>
          <cell r="L271" t="str">
            <v>HEB-240 AirPort</v>
          </cell>
          <cell r="M271" t="str">
            <v>C3R</v>
          </cell>
          <cell r="N271" t="str">
            <v>EMT-2-RH</v>
          </cell>
          <cell r="Q271">
            <v>0</v>
          </cell>
          <cell r="R271" t="str">
            <v>inf</v>
          </cell>
          <cell r="T271">
            <v>35</v>
          </cell>
          <cell r="W271">
            <v>0.55000000000000004</v>
          </cell>
          <cell r="AC271" t="str">
            <v>PH 1150</v>
          </cell>
          <cell r="AF271">
            <v>6000</v>
          </cell>
          <cell r="AG271">
            <v>3317.46</v>
          </cell>
          <cell r="AH271">
            <v>2623</v>
          </cell>
          <cell r="AI271">
            <v>1200</v>
          </cell>
          <cell r="AM271" t="str">
            <v>RW2</v>
          </cell>
        </row>
        <row r="272">
          <cell r="G272">
            <v>35</v>
          </cell>
          <cell r="J272">
            <v>3345.5</v>
          </cell>
          <cell r="K272" t="str">
            <v>AnM</v>
          </cell>
          <cell r="S272">
            <v>35.139999999999873</v>
          </cell>
        </row>
        <row r="273">
          <cell r="B273" t="str">
            <v>3-2.10</v>
          </cell>
          <cell r="C273">
            <v>3353</v>
          </cell>
          <cell r="F273">
            <v>3000</v>
          </cell>
          <cell r="H273" t="str">
            <v>AnMP</v>
          </cell>
          <cell r="L273" t="str">
            <v>HEB-260 AirPort</v>
          </cell>
          <cell r="M273" t="str">
            <v>C4R</v>
          </cell>
          <cell r="N273" t="str">
            <v>EMT-1-RH</v>
          </cell>
          <cell r="Q273">
            <v>26</v>
          </cell>
          <cell r="R273">
            <v>3450.08</v>
          </cell>
          <cell r="T273">
            <v>-25</v>
          </cell>
          <cell r="W273">
            <v>0.55000000000000004</v>
          </cell>
          <cell r="AC273" t="str">
            <v>PH 1150</v>
          </cell>
          <cell r="AF273">
            <v>5560</v>
          </cell>
          <cell r="AG273">
            <v>3352.6</v>
          </cell>
          <cell r="AH273">
            <v>2603</v>
          </cell>
          <cell r="AI273">
            <v>709</v>
          </cell>
          <cell r="AM273" t="str">
            <v>RW2</v>
          </cell>
        </row>
        <row r="274">
          <cell r="G274">
            <v>35</v>
          </cell>
          <cell r="I274">
            <v>511</v>
          </cell>
          <cell r="S274">
            <v>34.590000000000146</v>
          </cell>
        </row>
        <row r="275">
          <cell r="B275" t="str">
            <v>3-2.11</v>
          </cell>
          <cell r="C275">
            <v>3388</v>
          </cell>
          <cell r="F275">
            <v>1306.4516129032259</v>
          </cell>
          <cell r="H275" t="str">
            <v>MP</v>
          </cell>
          <cell r="L275" t="str">
            <v>HEB-260 AirPort</v>
          </cell>
          <cell r="M275" t="str">
            <v>C4R</v>
          </cell>
          <cell r="N275" t="str">
            <v>EMT-2-RH</v>
          </cell>
          <cell r="Q275">
            <v>75</v>
          </cell>
          <cell r="R275">
            <v>3450.08</v>
          </cell>
          <cell r="T275">
            <v>30</v>
          </cell>
          <cell r="W275">
            <v>0.55000000000000004</v>
          </cell>
          <cell r="AC275" t="str">
            <v>PH 1150</v>
          </cell>
          <cell r="AF275">
            <v>5560</v>
          </cell>
          <cell r="AG275">
            <v>3387.19</v>
          </cell>
          <cell r="AH275">
            <v>2543</v>
          </cell>
          <cell r="AI275">
            <v>752</v>
          </cell>
          <cell r="AM275" t="str">
            <v>RW2</v>
          </cell>
        </row>
        <row r="276">
          <cell r="G276">
            <v>35</v>
          </cell>
          <cell r="I276">
            <v>420</v>
          </cell>
          <cell r="S276">
            <v>35.159999999999854</v>
          </cell>
        </row>
        <row r="277">
          <cell r="B277" t="str">
            <v>3-2.12</v>
          </cell>
          <cell r="C277">
            <v>3423</v>
          </cell>
          <cell r="F277">
            <v>835.05154639175259</v>
          </cell>
          <cell r="H277" t="str">
            <v>AnMP</v>
          </cell>
          <cell r="L277" t="str">
            <v>HEB-280 AirPort</v>
          </cell>
          <cell r="M277" t="str">
            <v>C5</v>
          </cell>
          <cell r="N277" t="str">
            <v>EMT-2-RH</v>
          </cell>
          <cell r="Q277">
            <v>98</v>
          </cell>
          <cell r="R277">
            <v>1024.5999999999999</v>
          </cell>
          <cell r="T277">
            <v>30</v>
          </cell>
          <cell r="W277">
            <v>0.55000000000000004</v>
          </cell>
          <cell r="AC277" t="str">
            <v>PH 1150</v>
          </cell>
          <cell r="AF277">
            <v>5560</v>
          </cell>
          <cell r="AG277">
            <v>3422.35</v>
          </cell>
          <cell r="AH277">
            <v>2563</v>
          </cell>
          <cell r="AI277">
            <v>647</v>
          </cell>
          <cell r="AM277" t="str">
            <v>RW2</v>
          </cell>
        </row>
        <row r="278">
          <cell r="G278">
            <v>35</v>
          </cell>
          <cell r="J278">
            <v>3430.5</v>
          </cell>
          <cell r="K278" t="str">
            <v>AnM</v>
          </cell>
          <cell r="S278">
            <v>34.710000000000036</v>
          </cell>
        </row>
        <row r="279">
          <cell r="B279" t="str">
            <v>3-2.13</v>
          </cell>
          <cell r="C279">
            <v>3458</v>
          </cell>
          <cell r="F279">
            <v>675</v>
          </cell>
          <cell r="L279" t="str">
            <v>HEB-260 AirPort</v>
          </cell>
          <cell r="M279" t="str">
            <v>C4R</v>
          </cell>
          <cell r="N279" t="str">
            <v>EMT-2-RH</v>
          </cell>
          <cell r="Q279">
            <v>139</v>
          </cell>
          <cell r="R279">
            <v>675</v>
          </cell>
          <cell r="T279">
            <v>30</v>
          </cell>
          <cell r="W279">
            <v>0.55000000000000004</v>
          </cell>
          <cell r="AC279" t="str">
            <v>PH 1150</v>
          </cell>
          <cell r="AF279">
            <v>5560</v>
          </cell>
          <cell r="AG279">
            <v>3457.06</v>
          </cell>
          <cell r="AH279">
            <v>2533</v>
          </cell>
          <cell r="AI279">
            <v>697</v>
          </cell>
          <cell r="AM279" t="str">
            <v>RW2</v>
          </cell>
        </row>
        <row r="280">
          <cell r="G280">
            <v>35</v>
          </cell>
          <cell r="S280">
            <v>34.909999999999854</v>
          </cell>
        </row>
        <row r="281">
          <cell r="B281" t="str">
            <v>3-2.14</v>
          </cell>
          <cell r="C281">
            <v>3493</v>
          </cell>
          <cell r="F281">
            <v>675</v>
          </cell>
          <cell r="L281" t="str">
            <v>HEB-260 AirPort</v>
          </cell>
          <cell r="M281" t="str">
            <v>C4R</v>
          </cell>
          <cell r="N281" t="str">
            <v>EMT-2-RH</v>
          </cell>
          <cell r="Q281">
            <v>135</v>
          </cell>
          <cell r="R281">
            <v>675</v>
          </cell>
          <cell r="T281">
            <v>30</v>
          </cell>
          <cell r="W281">
            <v>0.55000000000000004</v>
          </cell>
          <cell r="AC281" t="str">
            <v>PH 1150</v>
          </cell>
          <cell r="AF281">
            <v>5560</v>
          </cell>
          <cell r="AG281">
            <v>3491.97</v>
          </cell>
          <cell r="AH281">
            <v>2603</v>
          </cell>
          <cell r="AI281">
            <v>710</v>
          </cell>
          <cell r="AM281" t="str">
            <v>RW2</v>
          </cell>
        </row>
        <row r="282">
          <cell r="G282">
            <v>40</v>
          </cell>
          <cell r="J282">
            <v>3524.5</v>
          </cell>
          <cell r="K282" t="str">
            <v>AnM</v>
          </cell>
          <cell r="S282">
            <v>39.820000000000164</v>
          </cell>
        </row>
        <row r="283">
          <cell r="B283" t="str">
            <v>3-2.15</v>
          </cell>
          <cell r="C283">
            <v>3532</v>
          </cell>
          <cell r="F283">
            <v>675</v>
          </cell>
          <cell r="L283" t="str">
            <v>HEB-260</v>
          </cell>
          <cell r="M283" t="str">
            <v>C4R</v>
          </cell>
          <cell r="N283" t="str">
            <v>EMT-2</v>
          </cell>
          <cell r="Q283">
            <v>132</v>
          </cell>
          <cell r="R283">
            <v>675</v>
          </cell>
          <cell r="T283">
            <v>30</v>
          </cell>
          <cell r="W283">
            <v>1</v>
          </cell>
          <cell r="AC283" t="str">
            <v>PH-C 1150</v>
          </cell>
          <cell r="AF283">
            <v>6000</v>
          </cell>
          <cell r="AG283">
            <v>3531.79</v>
          </cell>
          <cell r="AH283">
            <v>2543</v>
          </cell>
          <cell r="AI283">
            <v>668</v>
          </cell>
          <cell r="AM283" t="str">
            <v>RW2</v>
          </cell>
        </row>
        <row r="284">
          <cell r="G284">
            <v>40</v>
          </cell>
          <cell r="S284">
            <v>39.710000000000036</v>
          </cell>
        </row>
        <row r="285">
          <cell r="B285" t="str">
            <v>3-2.16</v>
          </cell>
          <cell r="C285">
            <v>3572</v>
          </cell>
          <cell r="F285">
            <v>675</v>
          </cell>
          <cell r="L285" t="str">
            <v>HEB-260</v>
          </cell>
          <cell r="M285" t="str">
            <v>C4R</v>
          </cell>
          <cell r="N285" t="str">
            <v>EMT-2</v>
          </cell>
          <cell r="Q285">
            <v>137</v>
          </cell>
          <cell r="R285">
            <v>675</v>
          </cell>
          <cell r="T285">
            <v>30</v>
          </cell>
          <cell r="W285">
            <v>1.4</v>
          </cell>
          <cell r="AC285" t="str">
            <v>PH-C 1150</v>
          </cell>
          <cell r="AF285">
            <v>6000</v>
          </cell>
          <cell r="AG285">
            <v>3571.5</v>
          </cell>
          <cell r="AH285">
            <v>2563</v>
          </cell>
          <cell r="AI285">
            <v>633</v>
          </cell>
          <cell r="AM285" t="str">
            <v>RW2</v>
          </cell>
        </row>
        <row r="286">
          <cell r="G286">
            <v>40</v>
          </cell>
          <cell r="J286">
            <v>3604.5</v>
          </cell>
          <cell r="K286" t="str">
            <v>AnMC</v>
          </cell>
          <cell r="S286">
            <v>41.360000000000127</v>
          </cell>
        </row>
        <row r="287">
          <cell r="B287" t="str">
            <v>3-2.17</v>
          </cell>
          <cell r="C287">
            <v>3612</v>
          </cell>
          <cell r="F287">
            <v>675</v>
          </cell>
          <cell r="H287" t="str">
            <v>A/S</v>
          </cell>
          <cell r="I287" t="str">
            <v>FP+AnMC</v>
          </cell>
          <cell r="L287" t="str">
            <v>HEB-280 (CP)</v>
          </cell>
          <cell r="M287" t="str">
            <v>C5</v>
          </cell>
          <cell r="N287" t="str">
            <v>EMT-2</v>
          </cell>
          <cell r="Q287">
            <v>135</v>
          </cell>
          <cell r="R287">
            <v>675</v>
          </cell>
          <cell r="T287">
            <v>30</v>
          </cell>
          <cell r="W287">
            <v>1.4</v>
          </cell>
          <cell r="AC287" t="str">
            <v>PH-C 1150</v>
          </cell>
          <cell r="AF287">
            <v>6000</v>
          </cell>
          <cell r="AG287">
            <v>3612.86</v>
          </cell>
          <cell r="AH287">
            <v>2493</v>
          </cell>
          <cell r="AI287">
            <v>715</v>
          </cell>
          <cell r="AM287" t="str">
            <v>RW2</v>
          </cell>
        </row>
        <row r="288">
          <cell r="G288">
            <v>40</v>
          </cell>
          <cell r="I288">
            <v>661</v>
          </cell>
          <cell r="S288">
            <v>38.049999999999727</v>
          </cell>
        </row>
        <row r="289">
          <cell r="B289" t="str">
            <v>3-2.18</v>
          </cell>
          <cell r="C289">
            <v>3652</v>
          </cell>
          <cell r="F289">
            <v>675</v>
          </cell>
          <cell r="H289" t="str">
            <v>S/A</v>
          </cell>
          <cell r="L289" t="str">
            <v>2HEB-240</v>
          </cell>
          <cell r="M289" t="str">
            <v>C2H-240</v>
          </cell>
          <cell r="N289" t="str">
            <v>EMT-T</v>
          </cell>
          <cell r="O289" t="str">
            <v>EMT-2</v>
          </cell>
          <cell r="Q289">
            <v>138</v>
          </cell>
          <cell r="R289">
            <v>675</v>
          </cell>
          <cell r="T289">
            <v>30</v>
          </cell>
          <cell r="U289">
            <v>10</v>
          </cell>
          <cell r="W289">
            <v>1.4</v>
          </cell>
          <cell r="X289">
            <v>2.2999999999999998</v>
          </cell>
          <cell r="Z289">
            <v>0.6</v>
          </cell>
          <cell r="AD289" t="str">
            <v>PH-C 1150</v>
          </cell>
          <cell r="AF289">
            <v>6000</v>
          </cell>
          <cell r="AG289">
            <v>3650.91</v>
          </cell>
          <cell r="AH289">
            <v>2553</v>
          </cell>
          <cell r="AI289">
            <v>607</v>
          </cell>
          <cell r="AM289" t="str">
            <v>RW2</v>
          </cell>
        </row>
        <row r="290">
          <cell r="G290">
            <v>40</v>
          </cell>
          <cell r="S290">
            <v>39.720000000000255</v>
          </cell>
        </row>
        <row r="291">
          <cell r="B291" t="str">
            <v>3-2.19</v>
          </cell>
          <cell r="C291">
            <v>3692</v>
          </cell>
          <cell r="F291">
            <v>675</v>
          </cell>
          <cell r="H291" t="str">
            <v>S/A</v>
          </cell>
          <cell r="L291" t="str">
            <v>HEB-280</v>
          </cell>
          <cell r="M291" t="str">
            <v>C5</v>
          </cell>
          <cell r="N291" t="str">
            <v>EMT-2</v>
          </cell>
          <cell r="O291" t="str">
            <v>EMT-2</v>
          </cell>
          <cell r="Q291">
            <v>141</v>
          </cell>
          <cell r="R291">
            <v>675</v>
          </cell>
          <cell r="T291">
            <v>30</v>
          </cell>
          <cell r="U291">
            <v>10</v>
          </cell>
          <cell r="W291">
            <v>1.4</v>
          </cell>
          <cell r="X291">
            <v>2.2999999999999998</v>
          </cell>
          <cell r="Z291">
            <v>0.15</v>
          </cell>
          <cell r="AC291" t="str">
            <v>PH-C 1250</v>
          </cell>
          <cell r="AD291" t="str">
            <v>BC 1400</v>
          </cell>
          <cell r="AF291">
            <v>6000</v>
          </cell>
          <cell r="AG291">
            <v>3690.63</v>
          </cell>
          <cell r="AH291">
            <v>2603</v>
          </cell>
          <cell r="AI291">
            <v>557</v>
          </cell>
          <cell r="AM291" t="str">
            <v>RW2</v>
          </cell>
        </row>
        <row r="292">
          <cell r="G292">
            <v>40</v>
          </cell>
          <cell r="S292">
            <v>39.710000000000036</v>
          </cell>
        </row>
        <row r="293">
          <cell r="B293" t="str">
            <v>3-2.20</v>
          </cell>
          <cell r="C293">
            <v>3732</v>
          </cell>
          <cell r="F293">
            <v>675</v>
          </cell>
          <cell r="H293" t="str">
            <v>S/A</v>
          </cell>
          <cell r="L293" t="str">
            <v>HEB-280</v>
          </cell>
          <cell r="M293" t="str">
            <v>C5</v>
          </cell>
          <cell r="N293" t="str">
            <v>EMT-2</v>
          </cell>
          <cell r="O293" t="str">
            <v>EMT-2</v>
          </cell>
          <cell r="Q293">
            <v>142</v>
          </cell>
          <cell r="R293">
            <v>675</v>
          </cell>
          <cell r="T293">
            <v>30</v>
          </cell>
          <cell r="U293">
            <v>10</v>
          </cell>
          <cell r="W293">
            <v>1.4</v>
          </cell>
          <cell r="X293">
            <v>2.2999999999999998</v>
          </cell>
          <cell r="AA293">
            <v>0.1</v>
          </cell>
          <cell r="AC293" t="str">
            <v>PH-C 1150</v>
          </cell>
          <cell r="AD293" t="str">
            <v>PH-C 1250</v>
          </cell>
          <cell r="AF293">
            <v>6000</v>
          </cell>
          <cell r="AG293">
            <v>3730.34</v>
          </cell>
          <cell r="AH293">
            <v>2593</v>
          </cell>
          <cell r="AI293">
            <v>739</v>
          </cell>
          <cell r="AM293" t="str">
            <v>RW2</v>
          </cell>
        </row>
        <row r="294">
          <cell r="G294">
            <v>35</v>
          </cell>
          <cell r="S294">
            <v>34.759999999999764</v>
          </cell>
        </row>
        <row r="295">
          <cell r="B295" t="str">
            <v>3-2.21</v>
          </cell>
          <cell r="C295">
            <v>3767</v>
          </cell>
          <cell r="F295">
            <v>675</v>
          </cell>
          <cell r="H295" t="str">
            <v>S/A</v>
          </cell>
          <cell r="L295" t="str">
            <v>2HEB-240</v>
          </cell>
          <cell r="M295" t="str">
            <v>C2H-240</v>
          </cell>
          <cell r="N295" t="str">
            <v>EMT-2</v>
          </cell>
          <cell r="O295" t="str">
            <v>EMT-T</v>
          </cell>
          <cell r="Q295">
            <v>143</v>
          </cell>
          <cell r="R295">
            <v>675</v>
          </cell>
          <cell r="T295">
            <v>30</v>
          </cell>
          <cell r="U295">
            <v>10</v>
          </cell>
          <cell r="W295">
            <v>1.4</v>
          </cell>
          <cell r="X295">
            <v>2.2999999999999998</v>
          </cell>
          <cell r="AA295">
            <v>0.6</v>
          </cell>
          <cell r="AC295" t="str">
            <v>PH-C 1150</v>
          </cell>
          <cell r="AF295">
            <v>6000</v>
          </cell>
          <cell r="AG295">
            <v>3765.1</v>
          </cell>
          <cell r="AH295">
            <v>2613</v>
          </cell>
          <cell r="AI295">
            <v>635</v>
          </cell>
          <cell r="AM295" t="str">
            <v>RW2</v>
          </cell>
        </row>
        <row r="296">
          <cell r="G296">
            <v>40</v>
          </cell>
          <cell r="S296">
            <v>40.720000000000255</v>
          </cell>
        </row>
        <row r="297">
          <cell r="B297" t="str">
            <v>3-2.22</v>
          </cell>
          <cell r="C297">
            <v>3805</v>
          </cell>
          <cell r="F297">
            <v>675</v>
          </cell>
          <cell r="H297" t="str">
            <v>A/S</v>
          </cell>
          <cell r="I297" t="str">
            <v>CP/TX-P</v>
          </cell>
          <cell r="L297" t="str">
            <v>HEB-280 (CP)</v>
          </cell>
          <cell r="M297" t="str">
            <v>C5</v>
          </cell>
          <cell r="N297" t="str">
            <v>EMT-2</v>
          </cell>
          <cell r="Q297">
            <v>134</v>
          </cell>
          <cell r="R297">
            <v>675</v>
          </cell>
          <cell r="T297">
            <v>30</v>
          </cell>
          <cell r="W297">
            <v>1.4</v>
          </cell>
          <cell r="AC297" t="str">
            <v>PH-C 1150</v>
          </cell>
          <cell r="AF297">
            <v>6000</v>
          </cell>
          <cell r="AG297">
            <v>3805.82</v>
          </cell>
          <cell r="AH297">
            <v>2527</v>
          </cell>
          <cell r="AI297">
            <v>618</v>
          </cell>
          <cell r="AM297" t="str">
            <v>RW2</v>
          </cell>
        </row>
        <row r="298">
          <cell r="G298">
            <v>40</v>
          </cell>
          <cell r="J298">
            <v>3812.5</v>
          </cell>
          <cell r="K298" t="str">
            <v>AnMC</v>
          </cell>
          <cell r="S298">
            <v>-3805.82</v>
          </cell>
        </row>
        <row r="299">
          <cell r="A299" t="str">
            <v>Start Bridge 1</v>
          </cell>
          <cell r="B299" t="str">
            <v>3-2.23</v>
          </cell>
          <cell r="C299">
            <v>3845</v>
          </cell>
          <cell r="F299">
            <v>675</v>
          </cell>
          <cell r="L299" t="str">
            <v>HEB-260</v>
          </cell>
          <cell r="M299" t="str">
            <v>W4 UNIQUE SOLUTION</v>
          </cell>
          <cell r="N299" t="str">
            <v>EMT-2</v>
          </cell>
          <cell r="T299">
            <v>30</v>
          </cell>
          <cell r="W299">
            <v>1.4</v>
          </cell>
          <cell r="AC299" t="str">
            <v>PH-C</v>
          </cell>
          <cell r="AM299" t="str">
            <v>RW2</v>
          </cell>
        </row>
        <row r="300">
          <cell r="G300">
            <v>36</v>
          </cell>
          <cell r="S300">
            <v>0</v>
          </cell>
        </row>
        <row r="301">
          <cell r="B301" t="str">
            <v>3-2.24</v>
          </cell>
          <cell r="C301">
            <v>3881</v>
          </cell>
          <cell r="F301">
            <v>675</v>
          </cell>
          <cell r="L301" t="str">
            <v>HEB-260</v>
          </cell>
          <cell r="M301" t="str">
            <v>PL4</v>
          </cell>
          <cell r="N301" t="str">
            <v>EMT-2</v>
          </cell>
          <cell r="T301">
            <v>30</v>
          </cell>
          <cell r="W301">
            <v>1.4</v>
          </cell>
          <cell r="AC301" t="str">
            <v>PH-C</v>
          </cell>
          <cell r="AM301" t="str">
            <v>RW2</v>
          </cell>
        </row>
        <row r="302">
          <cell r="G302">
            <v>36</v>
          </cell>
          <cell r="S302">
            <v>0</v>
          </cell>
        </row>
        <row r="303">
          <cell r="B303" t="str">
            <v>3-2.25</v>
          </cell>
          <cell r="C303">
            <v>3917</v>
          </cell>
          <cell r="F303">
            <v>675</v>
          </cell>
          <cell r="L303" t="str">
            <v>HEB-260</v>
          </cell>
          <cell r="M303" t="str">
            <v>PL4</v>
          </cell>
          <cell r="N303" t="str">
            <v>EMT-2</v>
          </cell>
          <cell r="T303">
            <v>30</v>
          </cell>
          <cell r="W303">
            <v>1.4</v>
          </cell>
          <cell r="AC303" t="str">
            <v>PH-C</v>
          </cell>
          <cell r="AM303" t="str">
            <v>RW2</v>
          </cell>
        </row>
        <row r="304">
          <cell r="G304">
            <v>36</v>
          </cell>
          <cell r="S304">
            <v>0</v>
          </cell>
        </row>
        <row r="305">
          <cell r="B305" t="str">
            <v>3-2.26</v>
          </cell>
          <cell r="C305">
            <v>3953</v>
          </cell>
          <cell r="F305">
            <v>675</v>
          </cell>
          <cell r="L305" t="str">
            <v>HEB-260</v>
          </cell>
          <cell r="M305" t="str">
            <v>PL4</v>
          </cell>
          <cell r="N305" t="str">
            <v>EMT-2</v>
          </cell>
          <cell r="T305">
            <v>30</v>
          </cell>
          <cell r="W305">
            <v>1.4</v>
          </cell>
          <cell r="AC305" t="str">
            <v>PH-C</v>
          </cell>
          <cell r="AM305" t="str">
            <v>RW2</v>
          </cell>
        </row>
        <row r="306">
          <cell r="G306">
            <v>36</v>
          </cell>
          <cell r="S306">
            <v>0</v>
          </cell>
        </row>
        <row r="307">
          <cell r="B307" t="str">
            <v>3-2.27</v>
          </cell>
          <cell r="C307">
            <v>3989</v>
          </cell>
          <cell r="F307">
            <v>675</v>
          </cell>
          <cell r="L307" t="str">
            <v>HEB-260</v>
          </cell>
          <cell r="M307" t="str">
            <v>PL4</v>
          </cell>
          <cell r="N307" t="str">
            <v>EMT-2</v>
          </cell>
          <cell r="T307">
            <v>30</v>
          </cell>
          <cell r="W307">
            <v>1.4</v>
          </cell>
          <cell r="AC307" t="str">
            <v>PH-C</v>
          </cell>
          <cell r="AM307" t="str">
            <v>RW2</v>
          </cell>
        </row>
        <row r="308">
          <cell r="G308">
            <v>36</v>
          </cell>
          <cell r="S308">
            <v>0</v>
          </cell>
        </row>
        <row r="309">
          <cell r="B309" t="str">
            <v>4-2.01</v>
          </cell>
          <cell r="C309">
            <v>4025</v>
          </cell>
          <cell r="F309">
            <v>675</v>
          </cell>
          <cell r="L309" t="str">
            <v>HEB-260</v>
          </cell>
          <cell r="M309" t="str">
            <v>PL4</v>
          </cell>
          <cell r="N309" t="str">
            <v>EMT-2</v>
          </cell>
          <cell r="T309">
            <v>30</v>
          </cell>
          <cell r="W309">
            <v>1.4</v>
          </cell>
          <cell r="AC309" t="str">
            <v>PH-C</v>
          </cell>
          <cell r="AM309" t="str">
            <v>RW2</v>
          </cell>
        </row>
        <row r="310">
          <cell r="G310">
            <v>31</v>
          </cell>
          <cell r="S310">
            <v>0</v>
          </cell>
        </row>
        <row r="311">
          <cell r="A311" t="str">
            <v>End Brigde 1</v>
          </cell>
          <cell r="B311" t="str">
            <v>4-2.02</v>
          </cell>
          <cell r="C311">
            <v>4056</v>
          </cell>
          <cell r="F311">
            <v>675</v>
          </cell>
          <cell r="L311" t="str">
            <v>HEB-260</v>
          </cell>
          <cell r="M311" t="str">
            <v>W4 UNIQUE SOLUTION</v>
          </cell>
          <cell r="N311" t="str">
            <v>EMT-2</v>
          </cell>
          <cell r="T311">
            <v>30</v>
          </cell>
          <cell r="W311">
            <v>1.4</v>
          </cell>
          <cell r="AC311" t="str">
            <v>PH-C</v>
          </cell>
          <cell r="AM311" t="str">
            <v>RW2</v>
          </cell>
        </row>
        <row r="312">
          <cell r="G312">
            <v>32</v>
          </cell>
          <cell r="S312">
            <v>4087.83</v>
          </cell>
        </row>
        <row r="313">
          <cell r="B313" t="str">
            <v>4-2.03</v>
          </cell>
          <cell r="C313">
            <v>4088</v>
          </cell>
          <cell r="F313">
            <v>675</v>
          </cell>
          <cell r="L313" t="str">
            <v>HEB-260</v>
          </cell>
          <cell r="M313" t="str">
            <v>C4R</v>
          </cell>
          <cell r="N313" t="str">
            <v>EMT-2</v>
          </cell>
          <cell r="Q313">
            <v>129</v>
          </cell>
          <cell r="R313">
            <v>675</v>
          </cell>
          <cell r="T313">
            <v>30</v>
          </cell>
          <cell r="W313">
            <v>1.4</v>
          </cell>
          <cell r="AC313" t="str">
            <v>PH-C 1150</v>
          </cell>
          <cell r="AF313">
            <v>6000</v>
          </cell>
          <cell r="AG313">
            <v>4087.83</v>
          </cell>
          <cell r="AH313">
            <v>2986</v>
          </cell>
          <cell r="AI313">
            <v>860</v>
          </cell>
          <cell r="AM313" t="str">
            <v>RW2</v>
          </cell>
        </row>
        <row r="314">
          <cell r="G314">
            <v>35</v>
          </cell>
          <cell r="J314">
            <v>4115.5</v>
          </cell>
          <cell r="K314" t="str">
            <v>AnMC</v>
          </cell>
          <cell r="S314">
            <v>36.039999999999964</v>
          </cell>
        </row>
        <row r="315">
          <cell r="B315" t="str">
            <v>4-2.04</v>
          </cell>
          <cell r="C315">
            <v>4123</v>
          </cell>
          <cell r="F315">
            <v>675</v>
          </cell>
          <cell r="H315" t="str">
            <v>A/S</v>
          </cell>
          <cell r="I315" t="str">
            <v>CP+AnMC</v>
          </cell>
          <cell r="L315" t="str">
            <v>HEB-280 (CP)</v>
          </cell>
          <cell r="M315" t="str">
            <v>C5</v>
          </cell>
          <cell r="N315" t="str">
            <v>EMT-2</v>
          </cell>
          <cell r="Q315">
            <v>122</v>
          </cell>
          <cell r="R315">
            <v>996.37</v>
          </cell>
          <cell r="T315">
            <v>30</v>
          </cell>
          <cell r="W315">
            <v>1.4</v>
          </cell>
          <cell r="AC315" t="str">
            <v>PH-C 1150</v>
          </cell>
          <cell r="AF315">
            <v>6000</v>
          </cell>
          <cell r="AG315">
            <v>4123.87</v>
          </cell>
          <cell r="AH315">
            <v>3303</v>
          </cell>
          <cell r="AI315">
            <v>601</v>
          </cell>
          <cell r="AM315" t="str">
            <v>RW2</v>
          </cell>
        </row>
        <row r="316">
          <cell r="G316">
            <v>45</v>
          </cell>
          <cell r="I316">
            <v>588</v>
          </cell>
          <cell r="S316">
            <v>44.569999999999709</v>
          </cell>
        </row>
        <row r="317">
          <cell r="B317" t="str">
            <v>4-2.05</v>
          </cell>
          <cell r="C317">
            <v>4168</v>
          </cell>
          <cell r="F317">
            <v>1200</v>
          </cell>
          <cell r="H317" t="str">
            <v>S/A</v>
          </cell>
          <cell r="L317" t="str">
            <v>2HEB-240</v>
          </cell>
          <cell r="M317" t="str">
            <v>C2H-240</v>
          </cell>
          <cell r="N317" t="str">
            <v>EMT-T</v>
          </cell>
          <cell r="O317" t="str">
            <v>EMT-1</v>
          </cell>
          <cell r="Q317">
            <v>79</v>
          </cell>
          <cell r="R317">
            <v>996.37</v>
          </cell>
          <cell r="T317">
            <v>35</v>
          </cell>
          <cell r="U317">
            <v>-10</v>
          </cell>
          <cell r="W317">
            <v>1.4</v>
          </cell>
          <cell r="X317">
            <v>2.2999999999999998</v>
          </cell>
          <cell r="Z317">
            <v>0.5</v>
          </cell>
          <cell r="AC317" t="str">
            <v>PH-Q 1450</v>
          </cell>
          <cell r="AF317">
            <v>6000</v>
          </cell>
          <cell r="AG317">
            <v>4168.4399999999996</v>
          </cell>
          <cell r="AH317">
            <v>2653</v>
          </cell>
          <cell r="AI317">
            <v>638</v>
          </cell>
          <cell r="AM317" t="str">
            <v>RW2</v>
          </cell>
        </row>
        <row r="318">
          <cell r="G318">
            <v>50</v>
          </cell>
          <cell r="S318">
            <v>49.890000000000327</v>
          </cell>
        </row>
        <row r="319">
          <cell r="A319" t="str">
            <v>BEN-02</v>
          </cell>
          <cell r="B319" t="str">
            <v>4-2.06</v>
          </cell>
          <cell r="C319">
            <v>4217</v>
          </cell>
          <cell r="F319">
            <v>0</v>
          </cell>
          <cell r="H319" t="str">
            <v>S/A</v>
          </cell>
          <cell r="I319" t="str">
            <v>IO</v>
          </cell>
          <cell r="L319" t="str">
            <v>2HEB-240</v>
          </cell>
          <cell r="M319" t="str">
            <v>C2H-240</v>
          </cell>
          <cell r="N319" t="str">
            <v>EMT-2</v>
          </cell>
          <cell r="O319" t="str">
            <v>EMT-T</v>
          </cell>
          <cell r="Q319">
            <v>22</v>
          </cell>
          <cell r="R319">
            <v>996.37</v>
          </cell>
          <cell r="T319">
            <v>30</v>
          </cell>
          <cell r="U319">
            <v>-15</v>
          </cell>
          <cell r="W319">
            <v>1.4</v>
          </cell>
          <cell r="X319">
            <v>2.2999999999999998</v>
          </cell>
          <cell r="AA319">
            <v>0.5</v>
          </cell>
          <cell r="AC319" t="str">
            <v>PH-C 1150</v>
          </cell>
          <cell r="AF319">
            <v>6000</v>
          </cell>
          <cell r="AG319">
            <v>4218.33</v>
          </cell>
          <cell r="AH319">
            <v>3169</v>
          </cell>
          <cell r="AI319">
            <v>672</v>
          </cell>
          <cell r="AJ319" t="str">
            <v>LoadB/IO</v>
          </cell>
          <cell r="AM319" t="str">
            <v>RW2</v>
          </cell>
        </row>
        <row r="320">
          <cell r="G320">
            <v>53</v>
          </cell>
          <cell r="S320">
            <v>53.079999999999927</v>
          </cell>
        </row>
        <row r="321">
          <cell r="B321" t="str">
            <v>4-2.07</v>
          </cell>
          <cell r="C321">
            <v>4270</v>
          </cell>
          <cell r="F321">
            <v>0</v>
          </cell>
          <cell r="H321" t="str">
            <v>A/S</v>
          </cell>
          <cell r="I321" t="str">
            <v>CP+AnMC</v>
          </cell>
          <cell r="L321" t="str">
            <v>HEB-260 (CP)</v>
          </cell>
          <cell r="M321" t="str">
            <v>C4R</v>
          </cell>
          <cell r="N321" t="str">
            <v>EMT-1</v>
          </cell>
          <cell r="Q321">
            <v>0</v>
          </cell>
          <cell r="R321" t="str">
            <v>inf</v>
          </cell>
          <cell r="T321">
            <v>-30</v>
          </cell>
          <cell r="W321">
            <v>1.4</v>
          </cell>
          <cell r="AC321" t="str">
            <v>PH 1150</v>
          </cell>
          <cell r="AF321">
            <v>6000</v>
          </cell>
          <cell r="AG321">
            <v>4271.41</v>
          </cell>
          <cell r="AH321">
            <v>2643</v>
          </cell>
          <cell r="AI321">
            <v>509</v>
          </cell>
          <cell r="AM321" t="str">
            <v>RW2</v>
          </cell>
        </row>
        <row r="322">
          <cell r="G322">
            <v>50</v>
          </cell>
          <cell r="J322">
            <v>4277.5</v>
          </cell>
          <cell r="K322" t="str">
            <v>AnMC</v>
          </cell>
          <cell r="S322">
            <v>-4271.41</v>
          </cell>
        </row>
        <row r="323">
          <cell r="A323" t="str">
            <v>Start zone between walls</v>
          </cell>
          <cell r="B323" t="str">
            <v>4-2.08</v>
          </cell>
          <cell r="C323">
            <v>4320</v>
          </cell>
          <cell r="F323">
            <v>0</v>
          </cell>
          <cell r="H323" t="str">
            <v>A/S-Diag</v>
          </cell>
          <cell r="I323" t="str">
            <v>CP+AnMC</v>
          </cell>
          <cell r="J323">
            <v>4312.5</v>
          </cell>
          <cell r="K323" t="str">
            <v>AnMC/W</v>
          </cell>
          <cell r="L323" t="str">
            <v>HEB-260 (CP)_s</v>
          </cell>
          <cell r="M323" t="str">
            <v>W4 UNIQUE SOLUTION</v>
          </cell>
          <cell r="N323" t="str">
            <v>EMT-1</v>
          </cell>
          <cell r="T323">
            <v>20</v>
          </cell>
          <cell r="W323">
            <v>1.4</v>
          </cell>
          <cell r="AC323" t="str">
            <v>PH</v>
          </cell>
          <cell r="AM323" t="str">
            <v>RW2</v>
          </cell>
        </row>
        <row r="324">
          <cell r="G324">
            <v>49</v>
          </cell>
          <cell r="I324">
            <v>292.5</v>
          </cell>
          <cell r="S324">
            <v>0</v>
          </cell>
        </row>
        <row r="325">
          <cell r="B325" t="str">
            <v>4-2.09</v>
          </cell>
          <cell r="C325">
            <v>4369</v>
          </cell>
          <cell r="F325">
            <v>0</v>
          </cell>
          <cell r="H325" t="str">
            <v>S/A</v>
          </cell>
          <cell r="L325" t="str">
            <v>2HEB-240_s</v>
          </cell>
          <cell r="M325" t="str">
            <v>2W3 UNIQUE SOLUTION</v>
          </cell>
          <cell r="N325" t="str">
            <v>EMT-T</v>
          </cell>
          <cell r="O325" t="str">
            <v>EMT-2</v>
          </cell>
          <cell r="T325">
            <v>-20</v>
          </cell>
          <cell r="U325">
            <v>-5</v>
          </cell>
          <cell r="W325">
            <v>2.2999999999999998</v>
          </cell>
          <cell r="X325">
            <v>1.4</v>
          </cell>
          <cell r="Z325">
            <v>0.45</v>
          </cell>
          <cell r="AM325" t="str">
            <v>RW2</v>
          </cell>
        </row>
        <row r="326">
          <cell r="G326">
            <v>52</v>
          </cell>
          <cell r="S326">
            <v>0</v>
          </cell>
        </row>
        <row r="327">
          <cell r="B327" t="str">
            <v>4-2.10</v>
          </cell>
          <cell r="C327">
            <v>4421</v>
          </cell>
          <cell r="F327">
            <v>0</v>
          </cell>
          <cell r="H327" t="str">
            <v>P50</v>
          </cell>
          <cell r="L327" t="str">
            <v>2HEB-240_s</v>
          </cell>
          <cell r="M327" t="str">
            <v>2W3</v>
          </cell>
          <cell r="N327" t="str">
            <v>EMT-1</v>
          </cell>
          <cell r="O327" t="str">
            <v>EMT-2</v>
          </cell>
          <cell r="T327">
            <v>15</v>
          </cell>
          <cell r="U327">
            <v>30</v>
          </cell>
          <cell r="W327">
            <v>2.2999999999999998</v>
          </cell>
          <cell r="X327">
            <v>1.4</v>
          </cell>
          <cell r="AC327" t="str">
            <v>PH</v>
          </cell>
          <cell r="AM327" t="str">
            <v>RW2</v>
          </cell>
        </row>
        <row r="328">
          <cell r="A328" t="str">
            <v>Bretelle</v>
          </cell>
          <cell r="G328">
            <v>49.5</v>
          </cell>
          <cell r="S328">
            <v>0</v>
          </cell>
        </row>
        <row r="329">
          <cell r="B329" t="str">
            <v>4-2.11</v>
          </cell>
          <cell r="C329">
            <v>4470.5</v>
          </cell>
          <cell r="F329">
            <v>0</v>
          </cell>
          <cell r="H329" t="str">
            <v>P60</v>
          </cell>
          <cell r="L329" t="str">
            <v>2HEB-240_s</v>
          </cell>
          <cell r="M329" t="str">
            <v>2W3</v>
          </cell>
          <cell r="N329" t="str">
            <v>EMT-2</v>
          </cell>
          <cell r="O329" t="str">
            <v>EMT-1</v>
          </cell>
          <cell r="T329">
            <v>30</v>
          </cell>
          <cell r="U329">
            <v>15</v>
          </cell>
          <cell r="W329">
            <v>1.2</v>
          </cell>
          <cell r="X329" t="str">
            <v>1.6</v>
          </cell>
          <cell r="AC329" t="str">
            <v>PH</v>
          </cell>
          <cell r="AM329" t="str">
            <v>RW2</v>
          </cell>
        </row>
        <row r="330">
          <cell r="A330" t="str">
            <v xml:space="preserve">Overcrossing </v>
          </cell>
          <cell r="G330">
            <v>40.5</v>
          </cell>
          <cell r="S330">
            <v>0</v>
          </cell>
        </row>
        <row r="331">
          <cell r="B331" t="str">
            <v>4-2.12</v>
          </cell>
          <cell r="C331">
            <v>4512</v>
          </cell>
          <cell r="F331">
            <v>0</v>
          </cell>
          <cell r="H331" t="str">
            <v>S/A</v>
          </cell>
          <cell r="L331" t="str">
            <v>2HEB-260L_s</v>
          </cell>
          <cell r="M331" t="str">
            <v>2W4</v>
          </cell>
          <cell r="N331" t="str">
            <v>EMT-2</v>
          </cell>
          <cell r="O331" t="str">
            <v>EMT-T</v>
          </cell>
          <cell r="T331">
            <v>0</v>
          </cell>
          <cell r="U331">
            <v>-15</v>
          </cell>
          <cell r="W331">
            <v>1.2</v>
          </cell>
          <cell r="X331">
            <v>2.1</v>
          </cell>
          <cell r="AA331">
            <v>0.45</v>
          </cell>
          <cell r="AC331" t="str">
            <v>PH</v>
          </cell>
          <cell r="AM331" t="str">
            <v>RW2</v>
          </cell>
        </row>
        <row r="332">
          <cell r="G332">
            <v>51.5</v>
          </cell>
          <cell r="J332">
            <v>4556</v>
          </cell>
          <cell r="K332" t="str">
            <v>AnMC/W</v>
          </cell>
          <cell r="S332">
            <v>0</v>
          </cell>
        </row>
        <row r="333">
          <cell r="B333" t="str">
            <v>4-2.13</v>
          </cell>
          <cell r="C333">
            <v>4563.5</v>
          </cell>
          <cell r="F333">
            <v>0</v>
          </cell>
          <cell r="H333" t="str">
            <v>S/A A/S</v>
          </cell>
          <cell r="I333" t="str">
            <v>FP+AnMC</v>
          </cell>
          <cell r="L333" t="str">
            <v>HEB-280 (CP)_s</v>
          </cell>
          <cell r="M333" t="str">
            <v>W5</v>
          </cell>
          <cell r="N333" t="str">
            <v>EMT-2</v>
          </cell>
          <cell r="O333" t="str">
            <v>EMT-T</v>
          </cell>
          <cell r="T333">
            <v>20</v>
          </cell>
          <cell r="U333">
            <v>-25</v>
          </cell>
          <cell r="W333">
            <v>1.4</v>
          </cell>
          <cell r="X333">
            <v>2.2999999999999998</v>
          </cell>
          <cell r="AA333">
            <v>0.45</v>
          </cell>
          <cell r="AC333" t="str">
            <v>PH</v>
          </cell>
          <cell r="AM333" t="str">
            <v>RW2</v>
          </cell>
        </row>
        <row r="334">
          <cell r="G334">
            <v>50</v>
          </cell>
          <cell r="I334">
            <v>615.5</v>
          </cell>
          <cell r="S334">
            <v>0</v>
          </cell>
        </row>
        <row r="335">
          <cell r="B335" t="str">
            <v>4-2.14</v>
          </cell>
          <cell r="C335">
            <v>4613.5</v>
          </cell>
          <cell r="F335">
            <v>-3111.1111111111113</v>
          </cell>
          <cell r="H335" t="str">
            <v>S/A A/S</v>
          </cell>
          <cell r="I335" t="str">
            <v>FP+AnMC</v>
          </cell>
          <cell r="L335" t="str">
            <v>HEB-280 (CP)_s</v>
          </cell>
          <cell r="M335" t="str">
            <v>W5</v>
          </cell>
          <cell r="N335" t="str">
            <v>EMT-T</v>
          </cell>
          <cell r="O335" t="str">
            <v>EMT-1</v>
          </cell>
          <cell r="T335">
            <v>15</v>
          </cell>
          <cell r="U335">
            <v>-30</v>
          </cell>
          <cell r="W335">
            <v>1.4</v>
          </cell>
          <cell r="X335">
            <v>2.2999999999999998</v>
          </cell>
          <cell r="Z335">
            <v>0.45</v>
          </cell>
          <cell r="AC335" t="str">
            <v>PH-Q</v>
          </cell>
          <cell r="AM335" t="str">
            <v>RW2</v>
          </cell>
        </row>
        <row r="336">
          <cell r="G336">
            <v>55</v>
          </cell>
          <cell r="J336">
            <v>4621</v>
          </cell>
          <cell r="K336" t="str">
            <v>AnMC/W</v>
          </cell>
          <cell r="S336">
            <v>0</v>
          </cell>
        </row>
        <row r="337">
          <cell r="A337" t="str">
            <v>BEN-04</v>
          </cell>
          <cell r="B337" t="str">
            <v>4-2.15</v>
          </cell>
          <cell r="C337">
            <v>4668.5</v>
          </cell>
          <cell r="F337">
            <v>-1076.9230769230769</v>
          </cell>
          <cell r="H337" t="str">
            <v>S/A</v>
          </cell>
          <cell r="I337" t="str">
            <v>IO</v>
          </cell>
          <cell r="L337" t="str">
            <v>S-2T-R</v>
          </cell>
          <cell r="N337" t="str">
            <v>EMT-2</v>
          </cell>
          <cell r="O337" t="str">
            <v>EMT-T</v>
          </cell>
          <cell r="T337">
            <v>10</v>
          </cell>
          <cell r="U337">
            <v>-35</v>
          </cell>
          <cell r="W337">
            <v>1.4</v>
          </cell>
          <cell r="X337">
            <v>2.2999999999999998</v>
          </cell>
          <cell r="AA337">
            <v>0.45</v>
          </cell>
          <cell r="AC337" t="str">
            <v>PH-Q</v>
          </cell>
          <cell r="AJ337" t="str">
            <v>Disc/IO</v>
          </cell>
          <cell r="AM337" t="str">
            <v>RW2</v>
          </cell>
        </row>
        <row r="338">
          <cell r="G338">
            <v>47.5</v>
          </cell>
          <cell r="J338">
            <v>4706</v>
          </cell>
          <cell r="K338" t="str">
            <v>AnMC/Tunnel</v>
          </cell>
          <cell r="S338">
            <v>0</v>
          </cell>
        </row>
        <row r="339">
          <cell r="B339" t="str">
            <v>4-2.16</v>
          </cell>
          <cell r="C339">
            <v>4716</v>
          </cell>
          <cell r="F339">
            <v>-656.25</v>
          </cell>
          <cell r="H339" t="str">
            <v>A/S</v>
          </cell>
          <cell r="I339" t="str">
            <v>FP/Tunnel</v>
          </cell>
          <cell r="L339" t="str">
            <v>S-1T-R</v>
          </cell>
          <cell r="N339" t="str">
            <v>EMT-1</v>
          </cell>
          <cell r="T339">
            <v>-30</v>
          </cell>
          <cell r="W339">
            <v>1.4</v>
          </cell>
          <cell r="AC339" t="str">
            <v>PH-C</v>
          </cell>
          <cell r="AM339" t="str">
            <v>RW2</v>
          </cell>
        </row>
        <row r="340">
          <cell r="A340" t="str">
            <v xml:space="preserve">Overcrossing </v>
          </cell>
          <cell r="G340">
            <v>41</v>
          </cell>
          <cell r="S340">
            <v>0</v>
          </cell>
        </row>
        <row r="341">
          <cell r="B341" t="str">
            <v>4-2.17</v>
          </cell>
          <cell r="C341">
            <v>4757</v>
          </cell>
          <cell r="F341">
            <v>-600</v>
          </cell>
          <cell r="L341" t="str">
            <v>S-1T-R</v>
          </cell>
          <cell r="N341" t="str">
            <v>EMT-1</v>
          </cell>
          <cell r="T341">
            <v>-30</v>
          </cell>
          <cell r="W341">
            <v>1.4</v>
          </cell>
          <cell r="AC341" t="str">
            <v>PH-C</v>
          </cell>
          <cell r="AM341" t="str">
            <v>RW2</v>
          </cell>
        </row>
        <row r="342">
          <cell r="G342">
            <v>34</v>
          </cell>
          <cell r="S342">
            <v>0</v>
          </cell>
        </row>
        <row r="343">
          <cell r="B343" t="str">
            <v>4-2.18</v>
          </cell>
          <cell r="C343">
            <v>4791</v>
          </cell>
          <cell r="F343">
            <v>-600</v>
          </cell>
          <cell r="L343" t="str">
            <v>S-1T-R</v>
          </cell>
          <cell r="N343" t="str">
            <v>EMT-1</v>
          </cell>
          <cell r="T343">
            <v>-30</v>
          </cell>
          <cell r="W343">
            <v>1.4</v>
          </cell>
          <cell r="AC343" t="str">
            <v>PH-C</v>
          </cell>
          <cell r="AM343" t="str">
            <v>RW2</v>
          </cell>
        </row>
        <row r="344">
          <cell r="G344">
            <v>40</v>
          </cell>
          <cell r="S344">
            <v>4832.62</v>
          </cell>
        </row>
        <row r="345">
          <cell r="B345" t="str">
            <v>4-2.19</v>
          </cell>
          <cell r="C345">
            <v>4831</v>
          </cell>
          <cell r="F345">
            <v>-600</v>
          </cell>
          <cell r="L345" t="str">
            <v>S-1T-R</v>
          </cell>
          <cell r="N345" t="str">
            <v>EMT-1S</v>
          </cell>
          <cell r="Q345">
            <v>150</v>
          </cell>
          <cell r="R345">
            <v>-600</v>
          </cell>
          <cell r="T345">
            <v>-30</v>
          </cell>
          <cell r="W345">
            <v>1.4</v>
          </cell>
          <cell r="AC345" t="str">
            <v>PH-C 1150</v>
          </cell>
          <cell r="AF345">
            <v>1100</v>
          </cell>
          <cell r="AG345">
            <v>4832.62</v>
          </cell>
          <cell r="AH345">
            <v>2083</v>
          </cell>
          <cell r="AI345">
            <v>-4631</v>
          </cell>
          <cell r="AM345" t="str">
            <v>RW2</v>
          </cell>
        </row>
        <row r="346">
          <cell r="G346">
            <v>41</v>
          </cell>
          <cell r="S346">
            <v>41.569999999999709</v>
          </cell>
        </row>
        <row r="347">
          <cell r="B347" t="str">
            <v>4-2.20</v>
          </cell>
          <cell r="C347">
            <v>4872</v>
          </cell>
          <cell r="F347">
            <v>-682.92682926829264</v>
          </cell>
          <cell r="L347" t="str">
            <v>S-1T-R</v>
          </cell>
          <cell r="N347" t="str">
            <v>EMT-1S</v>
          </cell>
          <cell r="Q347">
            <v>152</v>
          </cell>
          <cell r="R347">
            <v>-600</v>
          </cell>
          <cell r="T347">
            <v>-30</v>
          </cell>
          <cell r="W347">
            <v>1.4</v>
          </cell>
          <cell r="AC347" t="str">
            <v>PH-C 1150</v>
          </cell>
          <cell r="AF347">
            <v>1100</v>
          </cell>
          <cell r="AG347">
            <v>4874.1899999999996</v>
          </cell>
          <cell r="AH347">
            <v>1903</v>
          </cell>
          <cell r="AI347">
            <v>-4318</v>
          </cell>
          <cell r="AM347" t="str">
            <v>RW2</v>
          </cell>
        </row>
        <row r="348">
          <cell r="G348">
            <v>41</v>
          </cell>
          <cell r="S348">
            <v>40.230000000000473</v>
          </cell>
        </row>
        <row r="349">
          <cell r="B349" t="str">
            <v>4-2.21</v>
          </cell>
          <cell r="C349">
            <v>4912</v>
          </cell>
          <cell r="F349">
            <v>-1024.3902439024391</v>
          </cell>
          <cell r="L349" t="str">
            <v>S-1T-R</v>
          </cell>
          <cell r="N349" t="str">
            <v>EMT-ES</v>
          </cell>
          <cell r="Q349">
            <v>109</v>
          </cell>
          <cell r="R349">
            <v>-693.66</v>
          </cell>
          <cell r="T349">
            <v>-30</v>
          </cell>
          <cell r="W349">
            <v>1.4</v>
          </cell>
          <cell r="AC349" t="str">
            <v>PH-C 1250</v>
          </cell>
          <cell r="AF349">
            <v>1400</v>
          </cell>
          <cell r="AG349">
            <v>4914.42</v>
          </cell>
          <cell r="AH349">
            <v>1923</v>
          </cell>
          <cell r="AI349">
            <v>-3778</v>
          </cell>
          <cell r="AM349" t="str">
            <v>RW2</v>
          </cell>
        </row>
        <row r="350">
          <cell r="G350">
            <v>45</v>
          </cell>
          <cell r="S350">
            <v>-4914.42</v>
          </cell>
        </row>
        <row r="351">
          <cell r="B351" t="str">
            <v>4-2.22</v>
          </cell>
          <cell r="C351">
            <v>4957</v>
          </cell>
          <cell r="F351">
            <v>-2270.2702702702704</v>
          </cell>
          <cell r="L351" t="str">
            <v>S-1T-R</v>
          </cell>
          <cell r="N351" t="str">
            <v>EMT-1</v>
          </cell>
          <cell r="T351">
            <v>-30</v>
          </cell>
          <cell r="W351">
            <v>1.4</v>
          </cell>
          <cell r="AC351" t="str">
            <v>PH-Q</v>
          </cell>
          <cell r="AM351" t="str">
            <v>RW2</v>
          </cell>
        </row>
        <row r="352">
          <cell r="A352" t="str">
            <v xml:space="preserve">Overcrossing </v>
          </cell>
          <cell r="G352">
            <v>60</v>
          </cell>
          <cell r="S352">
            <v>5019.0200000000004</v>
          </cell>
        </row>
        <row r="353">
          <cell r="B353" t="str">
            <v>5-2.01</v>
          </cell>
          <cell r="C353">
            <v>5017</v>
          </cell>
          <cell r="F353">
            <v>0</v>
          </cell>
          <cell r="H353" t="str">
            <v>A/S</v>
          </cell>
          <cell r="I353" t="str">
            <v>CP/TX-W</v>
          </cell>
          <cell r="L353" t="str">
            <v>S-1T-R</v>
          </cell>
          <cell r="N353" t="str">
            <v>EMT-2S</v>
          </cell>
          <cell r="Q353">
            <v>0</v>
          </cell>
          <cell r="R353">
            <v>0</v>
          </cell>
          <cell r="T353">
            <v>35</v>
          </cell>
          <cell r="W353">
            <v>1.4</v>
          </cell>
          <cell r="AC353" t="str">
            <v>PH 1150</v>
          </cell>
          <cell r="AF353">
            <v>1100</v>
          </cell>
          <cell r="AG353">
            <v>5019.0200000000004</v>
          </cell>
          <cell r="AH353">
            <v>1998</v>
          </cell>
          <cell r="AI353">
            <v>-4099</v>
          </cell>
          <cell r="AM353" t="str">
            <v>RW2</v>
          </cell>
        </row>
        <row r="354">
          <cell r="G354">
            <v>64</v>
          </cell>
          <cell r="J354">
            <v>5027</v>
          </cell>
          <cell r="K354" t="str">
            <v>AnM/TX</v>
          </cell>
          <cell r="S354">
            <v>62.299999999999272</v>
          </cell>
        </row>
        <row r="355">
          <cell r="B355" t="str">
            <v>5-2.02</v>
          </cell>
          <cell r="C355">
            <v>5081</v>
          </cell>
          <cell r="F355">
            <v>0</v>
          </cell>
          <cell r="H355" t="str">
            <v>S/A</v>
          </cell>
          <cell r="L355" t="str">
            <v>S-2T-W</v>
          </cell>
          <cell r="N355" t="str">
            <v>EMT-TS</v>
          </cell>
          <cell r="O355" t="str">
            <v>EMT-1S</v>
          </cell>
          <cell r="Q355">
            <v>0</v>
          </cell>
          <cell r="R355">
            <v>0</v>
          </cell>
          <cell r="T355">
            <v>-15</v>
          </cell>
          <cell r="U355">
            <v>-35</v>
          </cell>
          <cell r="W355">
            <v>1.4</v>
          </cell>
          <cell r="X355">
            <v>2.2999999999999998</v>
          </cell>
          <cell r="Z355">
            <v>0.6</v>
          </cell>
          <cell r="AD355" t="str">
            <v>PH 1150</v>
          </cell>
          <cell r="AF355">
            <v>1000</v>
          </cell>
          <cell r="AG355">
            <v>5081.32</v>
          </cell>
          <cell r="AH355">
            <v>2155</v>
          </cell>
          <cell r="AI355">
            <v>-4433</v>
          </cell>
          <cell r="AM355" t="str">
            <v>RW2</v>
          </cell>
        </row>
        <row r="356">
          <cell r="G356">
            <v>56</v>
          </cell>
          <cell r="Q356">
            <v>0</v>
          </cell>
          <cell r="R356">
            <v>0</v>
          </cell>
          <cell r="S356">
            <v>57.039999999999964</v>
          </cell>
        </row>
        <row r="357">
          <cell r="B357" t="str">
            <v>5-2.03</v>
          </cell>
          <cell r="C357">
            <v>5137</v>
          </cell>
          <cell r="F357">
            <v>0</v>
          </cell>
          <cell r="H357" t="str">
            <v>S/A</v>
          </cell>
          <cell r="L357" t="str">
            <v>S-2T-W</v>
          </cell>
          <cell r="N357" t="str">
            <v>EMT-2S</v>
          </cell>
          <cell r="O357" t="str">
            <v>EMT-TS</v>
          </cell>
          <cell r="Q357">
            <v>0</v>
          </cell>
          <cell r="R357">
            <v>0</v>
          </cell>
          <cell r="T357">
            <v>30</v>
          </cell>
          <cell r="U357">
            <v>-15</v>
          </cell>
          <cell r="W357">
            <v>1.4</v>
          </cell>
          <cell r="X357">
            <v>2.2999999999999998</v>
          </cell>
          <cell r="AA357">
            <v>0.6</v>
          </cell>
          <cell r="AC357" t="str">
            <v>PH 1150</v>
          </cell>
          <cell r="AF357">
            <v>900</v>
          </cell>
          <cell r="AG357">
            <v>5138.3599999999997</v>
          </cell>
          <cell r="AH357">
            <v>2153</v>
          </cell>
          <cell r="AI357">
            <v>-4436</v>
          </cell>
          <cell r="AM357" t="str">
            <v>RW2</v>
          </cell>
        </row>
        <row r="358">
          <cell r="G358">
            <v>57</v>
          </cell>
          <cell r="J358">
            <v>5175</v>
          </cell>
          <cell r="K358" t="str">
            <v>AnM/TX</v>
          </cell>
          <cell r="Q358">
            <v>0</v>
          </cell>
          <cell r="R358">
            <v>0</v>
          </cell>
          <cell r="S358">
            <v>58.150000000000546</v>
          </cell>
        </row>
        <row r="359">
          <cell r="B359" t="str">
            <v>5-2.04</v>
          </cell>
          <cell r="C359">
            <v>5194</v>
          </cell>
          <cell r="F359">
            <v>0</v>
          </cell>
          <cell r="H359" t="str">
            <v>A/S</v>
          </cell>
          <cell r="I359" t="str">
            <v>CP/TX-W</v>
          </cell>
          <cell r="L359" t="str">
            <v>S-1T-W</v>
          </cell>
          <cell r="N359" t="str">
            <v>EMT-ES</v>
          </cell>
          <cell r="Q359">
            <v>0</v>
          </cell>
          <cell r="R359" t="str">
            <v>inf</v>
          </cell>
          <cell r="T359">
            <v>-35</v>
          </cell>
          <cell r="W359">
            <v>1.1000000000000001</v>
          </cell>
          <cell r="AC359" t="str">
            <v>PH 1150</v>
          </cell>
          <cell r="AF359">
            <v>800</v>
          </cell>
          <cell r="AG359">
            <v>5196.51</v>
          </cell>
          <cell r="AH359">
            <v>2123</v>
          </cell>
          <cell r="AI359">
            <v>-4216</v>
          </cell>
          <cell r="AM359" t="str">
            <v>RW2</v>
          </cell>
        </row>
        <row r="360">
          <cell r="A360" t="str">
            <v>BEN-BF02</v>
          </cell>
          <cell r="G360">
            <v>58</v>
          </cell>
          <cell r="I360" t="str">
            <v>AnRW/Tunnel</v>
          </cell>
          <cell r="J360">
            <v>5214</v>
          </cell>
          <cell r="K360" t="str">
            <v>AnM/Tunnel</v>
          </cell>
          <cell r="S360">
            <v>57.489999999999782</v>
          </cell>
          <cell r="AJ360" t="str">
            <v>Disc</v>
          </cell>
        </row>
        <row r="361">
          <cell r="B361" t="str">
            <v>5-2.05</v>
          </cell>
          <cell r="C361">
            <v>5252</v>
          </cell>
          <cell r="F361">
            <v>0</v>
          </cell>
          <cell r="I361" t="str">
            <v>AnRW/Tunnel</v>
          </cell>
          <cell r="L361" t="str">
            <v>S-1T-H</v>
          </cell>
          <cell r="N361" t="str">
            <v>EMT-2S</v>
          </cell>
          <cell r="Q361">
            <v>0</v>
          </cell>
          <cell r="R361" t="str">
            <v>inf</v>
          </cell>
          <cell r="T361">
            <v>35</v>
          </cell>
          <cell r="W361">
            <v>0.7</v>
          </cell>
          <cell r="AC361" t="str">
            <v>PH-Q 950</v>
          </cell>
          <cell r="AF361">
            <v>790</v>
          </cell>
          <cell r="AG361">
            <v>5254</v>
          </cell>
          <cell r="AH361">
            <v>1905</v>
          </cell>
          <cell r="AI361">
            <v>-4827</v>
          </cell>
          <cell r="AM361" t="str">
            <v>RW2</v>
          </cell>
        </row>
        <row r="362">
          <cell r="G362">
            <v>58</v>
          </cell>
          <cell r="S362">
            <v>58.510000000000218</v>
          </cell>
        </row>
        <row r="363">
          <cell r="B363" t="str">
            <v>5-2.06</v>
          </cell>
          <cell r="C363">
            <v>5310</v>
          </cell>
          <cell r="F363">
            <v>0</v>
          </cell>
          <cell r="L363" t="str">
            <v>S-1T-H</v>
          </cell>
          <cell r="N363" t="str">
            <v>EMT-ES</v>
          </cell>
          <cell r="Q363">
            <v>0</v>
          </cell>
          <cell r="R363" t="str">
            <v>inf</v>
          </cell>
          <cell r="T363">
            <v>-35</v>
          </cell>
          <cell r="W363">
            <v>0.7</v>
          </cell>
          <cell r="AC363" t="str">
            <v>PH-Q 950</v>
          </cell>
          <cell r="AF363">
            <v>850</v>
          </cell>
          <cell r="AG363">
            <v>5312.51</v>
          </cell>
          <cell r="AH363">
            <v>1863</v>
          </cell>
          <cell r="AI363">
            <v>-4558</v>
          </cell>
          <cell r="AM363" t="str">
            <v>RW2</v>
          </cell>
        </row>
        <row r="364">
          <cell r="A364" t="str">
            <v>Station NATBAG</v>
          </cell>
          <cell r="G364">
            <v>57</v>
          </cell>
          <cell r="S364">
            <v>56.630000000000109</v>
          </cell>
        </row>
        <row r="365">
          <cell r="B365" t="str">
            <v>5-2.08</v>
          </cell>
          <cell r="C365">
            <v>5367</v>
          </cell>
          <cell r="F365">
            <v>0</v>
          </cell>
          <cell r="L365" t="str">
            <v>S-1T-H</v>
          </cell>
          <cell r="N365" t="str">
            <v>EMT-2S</v>
          </cell>
          <cell r="Q365">
            <v>0</v>
          </cell>
          <cell r="R365" t="str">
            <v>inf</v>
          </cell>
          <cell r="T365">
            <v>35</v>
          </cell>
          <cell r="W365">
            <v>0.7</v>
          </cell>
          <cell r="AC365" t="str">
            <v>PH-Q 1150</v>
          </cell>
          <cell r="AF365">
            <v>840</v>
          </cell>
          <cell r="AG365">
            <v>5369.14</v>
          </cell>
          <cell r="AH365">
            <v>1875</v>
          </cell>
          <cell r="AI365">
            <v>-4777</v>
          </cell>
          <cell r="AM365" t="str">
            <v>RW2</v>
          </cell>
        </row>
        <row r="366">
          <cell r="G366">
            <v>60</v>
          </cell>
          <cell r="S366">
            <v>59.829999999999927</v>
          </cell>
        </row>
        <row r="367">
          <cell r="B367" t="str">
            <v>5-2.09</v>
          </cell>
          <cell r="C367">
            <v>5427</v>
          </cell>
          <cell r="F367">
            <v>0</v>
          </cell>
          <cell r="L367" t="str">
            <v>S-1T-H</v>
          </cell>
          <cell r="N367" t="str">
            <v>EMT-ES</v>
          </cell>
          <cell r="Q367">
            <v>0</v>
          </cell>
          <cell r="R367" t="str">
            <v>inf</v>
          </cell>
          <cell r="T367">
            <v>-35</v>
          </cell>
          <cell r="W367">
            <v>0.8</v>
          </cell>
          <cell r="AC367" t="str">
            <v>PH-Q 1150</v>
          </cell>
          <cell r="AF367">
            <v>350</v>
          </cell>
          <cell r="AG367">
            <v>5428.97</v>
          </cell>
          <cell r="AH367">
            <v>1853</v>
          </cell>
          <cell r="AI367">
            <v>-5011</v>
          </cell>
          <cell r="AM367" t="str">
            <v>RW2</v>
          </cell>
        </row>
        <row r="368">
          <cell r="G368">
            <v>55</v>
          </cell>
          <cell r="H368" t="str">
            <v>AnMP/Tunnel</v>
          </cell>
          <cell r="I368">
            <v>465</v>
          </cell>
          <cell r="J368">
            <v>5447</v>
          </cell>
          <cell r="K368" t="str">
            <v>AnM/Tunnel</v>
          </cell>
          <cell r="S368">
            <v>55.340000000000146</v>
          </cell>
        </row>
        <row r="369">
          <cell r="B369" t="str">
            <v>5-2.10</v>
          </cell>
          <cell r="C369">
            <v>5482</v>
          </cell>
          <cell r="F369">
            <v>0</v>
          </cell>
          <cell r="H369" t="str">
            <v>MP</v>
          </cell>
          <cell r="L369" t="str">
            <v>S-1T-H</v>
          </cell>
          <cell r="N369" t="str">
            <v>EMT-2S</v>
          </cell>
          <cell r="Q369">
            <v>0</v>
          </cell>
          <cell r="R369" t="str">
            <v>inf</v>
          </cell>
          <cell r="T369">
            <v>35</v>
          </cell>
          <cell r="W369">
            <v>1</v>
          </cell>
          <cell r="AC369" t="str">
            <v>PH-Q 950</v>
          </cell>
          <cell r="AF369">
            <v>250</v>
          </cell>
          <cell r="AG369">
            <v>5484.31</v>
          </cell>
          <cell r="AH369">
            <v>1840</v>
          </cell>
          <cell r="AI369">
            <v>-4991</v>
          </cell>
          <cell r="AM369" t="str">
            <v>RW2</v>
          </cell>
        </row>
        <row r="370">
          <cell r="G370">
            <v>58</v>
          </cell>
          <cell r="H370" t="str">
            <v>AnMP/Tunnel</v>
          </cell>
          <cell r="I370">
            <v>499</v>
          </cell>
          <cell r="J370">
            <v>5520</v>
          </cell>
          <cell r="K370" t="str">
            <v>AnM/Tunnel</v>
          </cell>
          <cell r="S370">
            <v>58.169999999999163</v>
          </cell>
        </row>
        <row r="371">
          <cell r="B371" t="str">
            <v>5-2.11</v>
          </cell>
          <cell r="C371">
            <v>5540</v>
          </cell>
          <cell r="F371">
            <v>0</v>
          </cell>
          <cell r="I371" t="str">
            <v>AnRW/Tunnel</v>
          </cell>
          <cell r="L371" t="str">
            <v>S-1T-W</v>
          </cell>
          <cell r="N371" t="str">
            <v>EMT-ES</v>
          </cell>
          <cell r="Q371">
            <v>0</v>
          </cell>
          <cell r="R371" t="str">
            <v>inf</v>
          </cell>
          <cell r="T371">
            <v>-35</v>
          </cell>
          <cell r="W371">
            <v>1.1000000000000001</v>
          </cell>
          <cell r="AC371" t="str">
            <v>PH-Q 1150</v>
          </cell>
          <cell r="AF371">
            <v>900</v>
          </cell>
          <cell r="AG371">
            <v>5542.48</v>
          </cell>
          <cell r="AH371">
            <v>2083</v>
          </cell>
          <cell r="AI371">
            <v>-4472</v>
          </cell>
          <cell r="AM371" t="str">
            <v>RW2</v>
          </cell>
        </row>
        <row r="372">
          <cell r="G372">
            <v>48</v>
          </cell>
          <cell r="I372" t="str">
            <v>AnRW/Tunnel</v>
          </cell>
          <cell r="J372">
            <v>5541</v>
          </cell>
          <cell r="K372" t="str">
            <v>AnM/Tunnel</v>
          </cell>
          <cell r="S372">
            <v>48.8700000000008</v>
          </cell>
        </row>
        <row r="373">
          <cell r="B373" t="str">
            <v>5-2.12</v>
          </cell>
          <cell r="C373">
            <v>5588</v>
          </cell>
          <cell r="F373">
            <v>0</v>
          </cell>
          <cell r="L373" t="str">
            <v>S-1T-R</v>
          </cell>
          <cell r="N373" t="str">
            <v>EMT-2S</v>
          </cell>
          <cell r="Q373">
            <v>0</v>
          </cell>
          <cell r="R373" t="str">
            <v>inf</v>
          </cell>
          <cell r="T373">
            <v>35</v>
          </cell>
          <cell r="W373">
            <v>1.4</v>
          </cell>
          <cell r="AC373" t="str">
            <v>PH-Q 950</v>
          </cell>
          <cell r="AF373">
            <v>1000</v>
          </cell>
          <cell r="AG373">
            <v>5591.35</v>
          </cell>
          <cell r="AH373">
            <v>2123</v>
          </cell>
          <cell r="AI373">
            <v>-4756</v>
          </cell>
          <cell r="AM373" t="str">
            <v>RW2</v>
          </cell>
        </row>
        <row r="374">
          <cell r="G374">
            <v>40</v>
          </cell>
          <cell r="S374">
            <v>39.529999999999745</v>
          </cell>
        </row>
        <row r="375">
          <cell r="B375" t="str">
            <v>5-2.13</v>
          </cell>
          <cell r="C375">
            <v>5631</v>
          </cell>
          <cell r="F375">
            <v>0</v>
          </cell>
          <cell r="L375" t="str">
            <v>S-1T-R</v>
          </cell>
          <cell r="N375" t="str">
            <v>EMT-1S</v>
          </cell>
          <cell r="Q375">
            <v>0</v>
          </cell>
          <cell r="R375" t="str">
            <v>inf</v>
          </cell>
          <cell r="T375">
            <v>-35</v>
          </cell>
          <cell r="W375">
            <v>1.4</v>
          </cell>
          <cell r="AC375" t="str">
            <v>PH-Q 950</v>
          </cell>
          <cell r="AF375">
            <v>800</v>
          </cell>
          <cell r="AG375">
            <v>5630.88</v>
          </cell>
          <cell r="AH375">
            <v>2137</v>
          </cell>
          <cell r="AI375">
            <v>-4865</v>
          </cell>
          <cell r="AM375" t="str">
            <v>RW2</v>
          </cell>
        </row>
        <row r="376">
          <cell r="A376" t="str">
            <v xml:space="preserve">Overcrossing </v>
          </cell>
          <cell r="G376">
            <v>50</v>
          </cell>
          <cell r="S376">
            <v>50.109999999999673</v>
          </cell>
        </row>
        <row r="377">
          <cell r="B377" t="str">
            <v>5-2.14</v>
          </cell>
          <cell r="C377">
            <v>5681</v>
          </cell>
          <cell r="F377">
            <v>0</v>
          </cell>
          <cell r="L377" t="str">
            <v>S-1T-R</v>
          </cell>
          <cell r="N377" t="str">
            <v>EMT-2S</v>
          </cell>
          <cell r="Q377">
            <v>0</v>
          </cell>
          <cell r="R377" t="str">
            <v>inf</v>
          </cell>
          <cell r="T377">
            <v>35</v>
          </cell>
          <cell r="W377">
            <v>1.4</v>
          </cell>
          <cell r="AC377" t="str">
            <v>PH-Q 1150</v>
          </cell>
          <cell r="AF377">
            <v>800</v>
          </cell>
          <cell r="AG377">
            <v>5680.99</v>
          </cell>
          <cell r="AH377">
            <v>2163</v>
          </cell>
          <cell r="AI377">
            <v>-4800</v>
          </cell>
          <cell r="AM377" t="str">
            <v>RW2</v>
          </cell>
        </row>
        <row r="378">
          <cell r="G378">
            <v>60</v>
          </cell>
          <cell r="S378">
            <v>59.890000000000327</v>
          </cell>
        </row>
        <row r="379">
          <cell r="B379" t="str">
            <v>5-2.15</v>
          </cell>
          <cell r="C379">
            <v>5741</v>
          </cell>
          <cell r="F379">
            <v>0</v>
          </cell>
          <cell r="L379" t="str">
            <v>S-1T-R</v>
          </cell>
          <cell r="N379" t="str">
            <v>EMT-1S</v>
          </cell>
          <cell r="Q379">
            <v>0</v>
          </cell>
          <cell r="R379" t="str">
            <v>inf</v>
          </cell>
          <cell r="T379">
            <v>-25</v>
          </cell>
          <cell r="W379">
            <v>1.4</v>
          </cell>
          <cell r="AC379" t="str">
            <v>PH 1150</v>
          </cell>
          <cell r="AF379">
            <v>800</v>
          </cell>
          <cell r="AG379">
            <v>5740.88</v>
          </cell>
          <cell r="AH379">
            <v>2195</v>
          </cell>
          <cell r="AI379">
            <v>-4717</v>
          </cell>
          <cell r="AM379" t="str">
            <v>RW2</v>
          </cell>
        </row>
        <row r="380">
          <cell r="G380">
            <v>50</v>
          </cell>
          <cell r="S380">
            <v>50.25</v>
          </cell>
        </row>
        <row r="381">
          <cell r="B381" t="str">
            <v>5-2.16</v>
          </cell>
          <cell r="C381">
            <v>5791</v>
          </cell>
          <cell r="F381">
            <v>-7500</v>
          </cell>
          <cell r="L381" t="str">
            <v>S-1T-R</v>
          </cell>
          <cell r="N381" t="str">
            <v>EMT-1S</v>
          </cell>
          <cell r="Q381">
            <v>60</v>
          </cell>
          <cell r="R381">
            <v>-1000</v>
          </cell>
          <cell r="T381">
            <v>-30</v>
          </cell>
          <cell r="W381">
            <v>1.4</v>
          </cell>
          <cell r="AC381" t="str">
            <v>PH-C 1150</v>
          </cell>
          <cell r="AF381">
            <v>1000</v>
          </cell>
          <cell r="AG381">
            <v>5791.13</v>
          </cell>
          <cell r="AH381">
            <v>3243</v>
          </cell>
          <cell r="AI381">
            <v>-4462</v>
          </cell>
          <cell r="AM381" t="str">
            <v>RW2</v>
          </cell>
        </row>
        <row r="382">
          <cell r="G382">
            <v>50</v>
          </cell>
          <cell r="S382">
            <v>50.659999999999854</v>
          </cell>
        </row>
        <row r="383">
          <cell r="B383" t="str">
            <v>5-2.17</v>
          </cell>
          <cell r="C383">
            <v>5841</v>
          </cell>
          <cell r="F383">
            <v>-1000</v>
          </cell>
          <cell r="H383" t="str">
            <v>A/S</v>
          </cell>
          <cell r="I383" t="str">
            <v>FP/Tunnel</v>
          </cell>
          <cell r="L383" t="str">
            <v>S-1T-R</v>
          </cell>
          <cell r="N383" t="str">
            <v>EMT-1S</v>
          </cell>
          <cell r="Q383">
            <v>60</v>
          </cell>
          <cell r="R383">
            <v>-1000</v>
          </cell>
          <cell r="T383">
            <v>-30</v>
          </cell>
          <cell r="W383">
            <v>1.2</v>
          </cell>
          <cell r="AC383" t="str">
            <v>PH-C 1150</v>
          </cell>
          <cell r="AF383">
            <v>950</v>
          </cell>
          <cell r="AG383">
            <v>5841.79</v>
          </cell>
          <cell r="AH383">
            <v>3548</v>
          </cell>
          <cell r="AI383">
            <v>-4439</v>
          </cell>
          <cell r="AM383" t="str">
            <v>RW2</v>
          </cell>
        </row>
        <row r="384">
          <cell r="G384">
            <v>50</v>
          </cell>
          <cell r="I384">
            <v>558</v>
          </cell>
          <cell r="J384">
            <v>5851</v>
          </cell>
          <cell r="K384" t="str">
            <v>AnMC/Tunnel</v>
          </cell>
          <cell r="S384">
            <v>49.920000000000073</v>
          </cell>
        </row>
        <row r="385">
          <cell r="A385" t="str">
            <v>BEN-08</v>
          </cell>
          <cell r="B385" t="str">
            <v>5-2.18</v>
          </cell>
          <cell r="C385">
            <v>5891</v>
          </cell>
          <cell r="F385">
            <v>-1000</v>
          </cell>
          <cell r="H385" t="str">
            <v>S/A</v>
          </cell>
          <cell r="I385" t="str">
            <v>IO</v>
          </cell>
          <cell r="L385" t="str">
            <v>2HEB-240</v>
          </cell>
          <cell r="M385" t="str">
            <v>C2H-240</v>
          </cell>
          <cell r="N385" t="str">
            <v>EMT-T</v>
          </cell>
          <cell r="O385" t="str">
            <v>EMT-2</v>
          </cell>
          <cell r="Q385">
            <v>0</v>
          </cell>
          <cell r="R385" t="str">
            <v>inf</v>
          </cell>
          <cell r="T385">
            <v>55</v>
          </cell>
          <cell r="U385">
            <v>10</v>
          </cell>
          <cell r="W385">
            <v>0.8</v>
          </cell>
          <cell r="X385">
            <v>1</v>
          </cell>
          <cell r="Z385">
            <v>0.35</v>
          </cell>
          <cell r="AD385" t="str">
            <v>PH 1150</v>
          </cell>
          <cell r="AF385">
            <v>5800</v>
          </cell>
          <cell r="AG385">
            <v>5891.71</v>
          </cell>
          <cell r="AH385">
            <v>2338</v>
          </cell>
          <cell r="AI385">
            <v>593</v>
          </cell>
          <cell r="AJ385" t="str">
            <v>Disc/IO</v>
          </cell>
          <cell r="AM385" t="str">
            <v>RW2</v>
          </cell>
        </row>
        <row r="386">
          <cell r="A386" t="str">
            <v xml:space="preserve">Overcrossing </v>
          </cell>
          <cell r="G386">
            <v>47</v>
          </cell>
          <cell r="S386">
            <v>46.850000000000364</v>
          </cell>
        </row>
        <row r="387">
          <cell r="A387" t="str">
            <v>BEN-BF04</v>
          </cell>
          <cell r="B387" t="str">
            <v>5-2.19</v>
          </cell>
          <cell r="C387">
            <v>5938</v>
          </cell>
          <cell r="F387">
            <v>-5000</v>
          </cell>
          <cell r="H387" t="str">
            <v>S/A</v>
          </cell>
          <cell r="L387" t="str">
            <v>2HEB-260L</v>
          </cell>
          <cell r="M387" t="str">
            <v>C2H-260LR</v>
          </cell>
          <cell r="N387" t="str">
            <v>EMT-E</v>
          </cell>
          <cell r="O387" t="str">
            <v>EMT-T</v>
          </cell>
          <cell r="Q387">
            <v>0</v>
          </cell>
          <cell r="R387" t="str">
            <v>inf</v>
          </cell>
          <cell r="T387">
            <v>-10</v>
          </cell>
          <cell r="U387">
            <v>-55</v>
          </cell>
          <cell r="W387">
            <v>0.8</v>
          </cell>
          <cell r="X387">
            <v>1</v>
          </cell>
          <cell r="AA387">
            <v>0.35</v>
          </cell>
          <cell r="AC387" t="str">
            <v>PH-Q 1150</v>
          </cell>
          <cell r="AF387">
            <v>6000</v>
          </cell>
          <cell r="AG387">
            <v>5938.56</v>
          </cell>
          <cell r="AH387">
            <v>2188</v>
          </cell>
          <cell r="AI387">
            <v>534</v>
          </cell>
          <cell r="AM387" t="str">
            <v>RW2</v>
          </cell>
        </row>
        <row r="388">
          <cell r="A388" t="str">
            <v>Start Overcrossing</v>
          </cell>
          <cell r="G388">
            <v>46</v>
          </cell>
          <cell r="S388">
            <v>45.4399999999996</v>
          </cell>
          <cell r="AJ388" t="str">
            <v>Disc</v>
          </cell>
        </row>
        <row r="389">
          <cell r="B389" t="str">
            <v>5-2.20</v>
          </cell>
          <cell r="C389">
            <v>5984</v>
          </cell>
          <cell r="F389">
            <v>0</v>
          </cell>
          <cell r="H389" t="str">
            <v xml:space="preserve">P70 A/S </v>
          </cell>
          <cell r="I389" t="str">
            <v>CP/TX-P</v>
          </cell>
          <cell r="L389" t="str">
            <v>HEB-280 (CP)</v>
          </cell>
          <cell r="M389" t="str">
            <v>C5</v>
          </cell>
          <cell r="N389" t="str">
            <v>EMT-2</v>
          </cell>
          <cell r="O389" t="str">
            <v>EMT-E</v>
          </cell>
          <cell r="Q389">
            <v>0</v>
          </cell>
          <cell r="R389" t="str">
            <v>inf</v>
          </cell>
          <cell r="T389">
            <v>35</v>
          </cell>
          <cell r="U389">
            <v>25</v>
          </cell>
          <cell r="W389">
            <v>0.8</v>
          </cell>
          <cell r="X389">
            <v>1</v>
          </cell>
          <cell r="AC389" t="str">
            <v>PH-Q 1150</v>
          </cell>
          <cell r="AD389" t="str">
            <v>BTC 1651</v>
          </cell>
          <cell r="AF389">
            <v>5700</v>
          </cell>
          <cell r="AG389">
            <v>5984</v>
          </cell>
          <cell r="AH389">
            <v>2243</v>
          </cell>
          <cell r="AI389">
            <v>534</v>
          </cell>
          <cell r="AM389" t="str">
            <v>RW2</v>
          </cell>
        </row>
        <row r="390">
          <cell r="G390">
            <v>35</v>
          </cell>
          <cell r="J390">
            <v>5991.5</v>
          </cell>
          <cell r="K390" t="str">
            <v>AnMC</v>
          </cell>
          <cell r="S390">
            <v>35.539999999999964</v>
          </cell>
        </row>
        <row r="391">
          <cell r="B391" t="str">
            <v>6-2.01</v>
          </cell>
          <cell r="C391">
            <v>6019</v>
          </cell>
          <cell r="F391">
            <v>0</v>
          </cell>
          <cell r="H391" t="str">
            <v>S/A</v>
          </cell>
          <cell r="I391">
            <v>214</v>
          </cell>
          <cell r="L391" t="str">
            <v>2HEB-240</v>
          </cell>
          <cell r="M391" t="str">
            <v>C2H-240</v>
          </cell>
          <cell r="N391" t="str">
            <v>EMT-2</v>
          </cell>
          <cell r="O391" t="str">
            <v>EMT-T</v>
          </cell>
          <cell r="Q391">
            <v>0</v>
          </cell>
          <cell r="R391" t="str">
            <v>inf</v>
          </cell>
          <cell r="T391">
            <v>30</v>
          </cell>
          <cell r="U391">
            <v>15</v>
          </cell>
          <cell r="W391">
            <v>0.8</v>
          </cell>
          <cell r="X391">
            <v>1</v>
          </cell>
          <cell r="AA391">
            <v>0.45</v>
          </cell>
          <cell r="AC391" t="str">
            <v>PH 1150</v>
          </cell>
          <cell r="AF391">
            <v>6510</v>
          </cell>
          <cell r="AG391">
            <v>6019.54</v>
          </cell>
          <cell r="AH391">
            <v>2228</v>
          </cell>
          <cell r="AI391">
            <v>560</v>
          </cell>
          <cell r="AM391" t="str">
            <v>RW2</v>
          </cell>
        </row>
        <row r="392">
          <cell r="G392">
            <v>46</v>
          </cell>
          <cell r="H392" t="str">
            <v xml:space="preserve">A/S-Diag </v>
          </cell>
          <cell r="I392" t="str">
            <v>FP/Tunnel</v>
          </cell>
          <cell r="K392" t="str">
            <v>AnMC/Tunnel</v>
          </cell>
          <cell r="S392">
            <v>46.109999999999673</v>
          </cell>
          <cell r="AF392">
            <v>6000</v>
          </cell>
        </row>
        <row r="393">
          <cell r="A393" t="str">
            <v>Overcrossing Zone with</v>
          </cell>
          <cell r="B393" t="str">
            <v>6-2.02</v>
          </cell>
          <cell r="C393">
            <v>6065</v>
          </cell>
          <cell r="F393">
            <v>0</v>
          </cell>
          <cell r="L393" t="str">
            <v>HEB-240</v>
          </cell>
          <cell r="M393" t="str">
            <v>C3R</v>
          </cell>
          <cell r="N393" t="str">
            <v>EMT-E</v>
          </cell>
          <cell r="Q393">
            <v>0</v>
          </cell>
          <cell r="R393" t="str">
            <v>inf</v>
          </cell>
          <cell r="T393">
            <v>-35</v>
          </cell>
          <cell r="W393">
            <v>1</v>
          </cell>
          <cell r="AC393" t="str">
            <v>PH-Q 1350</v>
          </cell>
          <cell r="AF393">
            <v>6000</v>
          </cell>
          <cell r="AG393">
            <v>6065.65</v>
          </cell>
          <cell r="AH393">
            <v>2448</v>
          </cell>
          <cell r="AI393">
            <v>585</v>
          </cell>
          <cell r="AM393" t="str">
            <v>RW2</v>
          </cell>
        </row>
        <row r="394">
          <cell r="A394" t="str">
            <v>prefabricate concrete beams</v>
          </cell>
          <cell r="G394">
            <v>42</v>
          </cell>
          <cell r="H394" t="str">
            <v xml:space="preserve">A/S-Diag </v>
          </cell>
          <cell r="I394" t="str">
            <v>FP/Tunnel</v>
          </cell>
          <cell r="K394" t="str">
            <v>AnMC/Tunnel</v>
          </cell>
          <cell r="S394">
            <v>41.630000000000109</v>
          </cell>
        </row>
        <row r="395">
          <cell r="B395" t="str">
            <v>6-2.03</v>
          </cell>
          <cell r="C395">
            <v>6107</v>
          </cell>
          <cell r="F395">
            <v>0</v>
          </cell>
          <cell r="H395" t="str">
            <v>S/A</v>
          </cell>
          <cell r="I395">
            <v>325</v>
          </cell>
          <cell r="L395" t="str">
            <v>2HEB-240</v>
          </cell>
          <cell r="M395" t="str">
            <v>C2H-240</v>
          </cell>
          <cell r="N395" t="str">
            <v>EMT-T</v>
          </cell>
          <cell r="O395" t="str">
            <v>EMT-2</v>
          </cell>
          <cell r="Q395">
            <v>0</v>
          </cell>
          <cell r="R395" t="str">
            <v>inf</v>
          </cell>
          <cell r="T395">
            <v>15</v>
          </cell>
          <cell r="U395">
            <v>30</v>
          </cell>
          <cell r="W395">
            <v>1</v>
          </cell>
          <cell r="X395">
            <v>0.8</v>
          </cell>
          <cell r="Z395">
            <v>0.45</v>
          </cell>
          <cell r="AD395" t="str">
            <v>PH 1150</v>
          </cell>
          <cell r="AF395">
            <v>6000</v>
          </cell>
          <cell r="AG395">
            <v>6107.28</v>
          </cell>
          <cell r="AH395">
            <v>2446</v>
          </cell>
          <cell r="AI395">
            <v>558</v>
          </cell>
          <cell r="AM395" t="str">
            <v>RW2</v>
          </cell>
        </row>
        <row r="396">
          <cell r="G396">
            <v>45</v>
          </cell>
          <cell r="S396">
            <v>44.699999999999818</v>
          </cell>
          <cell r="AF396">
            <v>6375</v>
          </cell>
        </row>
        <row r="397">
          <cell r="B397" t="str">
            <v>6-2.04</v>
          </cell>
          <cell r="C397">
            <v>6152</v>
          </cell>
          <cell r="F397">
            <v>0</v>
          </cell>
          <cell r="H397" t="str">
            <v>P50</v>
          </cell>
          <cell r="L397" t="str">
            <v>2HEB-240</v>
          </cell>
          <cell r="M397" t="str">
            <v>C2H-240</v>
          </cell>
          <cell r="N397" t="str">
            <v>EMT-E</v>
          </cell>
          <cell r="O397" t="str">
            <v>EMT-2</v>
          </cell>
          <cell r="Q397">
            <v>0</v>
          </cell>
          <cell r="R397" t="str">
            <v>inf</v>
          </cell>
          <cell r="T397">
            <v>15</v>
          </cell>
          <cell r="U397">
            <v>30</v>
          </cell>
          <cell r="W397">
            <v>1</v>
          </cell>
          <cell r="X397">
            <v>0.8</v>
          </cell>
          <cell r="AC397" t="str">
            <v>BTC 1651</v>
          </cell>
          <cell r="AD397" t="str">
            <v>PH 1150</v>
          </cell>
          <cell r="AF397">
            <v>6000</v>
          </cell>
          <cell r="AG397">
            <v>6151.98</v>
          </cell>
          <cell r="AH397">
            <v>2700</v>
          </cell>
          <cell r="AI397">
            <v>535</v>
          </cell>
          <cell r="AM397" t="str">
            <v>RW2</v>
          </cell>
        </row>
        <row r="398">
          <cell r="A398" t="str">
            <v>End Overcrossing</v>
          </cell>
          <cell r="G398">
            <v>52.5</v>
          </cell>
        </row>
        <row r="399">
          <cell r="J399">
            <v>6197</v>
          </cell>
          <cell r="K399" t="str">
            <v>AnMC</v>
          </cell>
        </row>
        <row r="400">
          <cell r="B400" t="str">
            <v>6-2.05</v>
          </cell>
          <cell r="C400">
            <v>6204.5</v>
          </cell>
          <cell r="F400">
            <v>0</v>
          </cell>
          <cell r="H400" t="str">
            <v>A/S</v>
          </cell>
          <cell r="I400" t="str">
            <v>CP+AnMC</v>
          </cell>
          <cell r="L400" t="str">
            <v>HEB-260 (CP)</v>
          </cell>
          <cell r="M400" t="str">
            <v>C4R</v>
          </cell>
          <cell r="N400" t="str">
            <v>EMT-E</v>
          </cell>
          <cell r="Q400">
            <v>0</v>
          </cell>
          <cell r="R400" t="str">
            <v>inf</v>
          </cell>
          <cell r="T400">
            <v>-35</v>
          </cell>
          <cell r="W400">
            <v>1.1000000000000001</v>
          </cell>
          <cell r="AC400" t="str">
            <v>PH 1150</v>
          </cell>
          <cell r="AF400">
            <v>6000</v>
          </cell>
          <cell r="AG400">
            <v>6204.6</v>
          </cell>
          <cell r="AH400">
            <v>2528</v>
          </cell>
          <cell r="AI400">
            <v>529</v>
          </cell>
          <cell r="AM400" t="str">
            <v>RW2</v>
          </cell>
        </row>
        <row r="401">
          <cell r="G401">
            <v>49</v>
          </cell>
          <cell r="J401">
            <v>6246</v>
          </cell>
          <cell r="K401" t="str">
            <v>AnMC</v>
          </cell>
          <cell r="S401">
            <v>48.579999999999927</v>
          </cell>
        </row>
        <row r="402">
          <cell r="B402" t="str">
            <v>6-23.07</v>
          </cell>
          <cell r="C402">
            <v>6253.5</v>
          </cell>
          <cell r="F402">
            <v>0</v>
          </cell>
          <cell r="H402" t="str">
            <v>S/A A/S</v>
          </cell>
          <cell r="I402" t="str">
            <v>CP+AnMC</v>
          </cell>
          <cell r="L402" t="str">
            <v>HEB-280L</v>
          </cell>
          <cell r="M402" t="str">
            <v>C5R</v>
          </cell>
          <cell r="N402" t="str">
            <v>EMT-T</v>
          </cell>
          <cell r="O402" t="str">
            <v>EMT-2</v>
          </cell>
          <cell r="Q402">
            <v>0</v>
          </cell>
          <cell r="R402">
            <v>0</v>
          </cell>
          <cell r="T402">
            <v>30</v>
          </cell>
          <cell r="U402">
            <v>10</v>
          </cell>
          <cell r="W402">
            <v>1.4</v>
          </cell>
          <cell r="X402">
            <v>2.2999999999999998</v>
          </cell>
          <cell r="Z402">
            <v>0.5</v>
          </cell>
          <cell r="AD402" t="str">
            <v>PH-1150</v>
          </cell>
          <cell r="AF402">
            <v>6000</v>
          </cell>
          <cell r="AG402">
            <v>6253.18</v>
          </cell>
          <cell r="AH402">
            <v>2626</v>
          </cell>
          <cell r="AI402">
            <v>457</v>
          </cell>
          <cell r="AL402" t="str">
            <v>PR1B</v>
          </cell>
          <cell r="AM402" t="str">
            <v>RW2</v>
          </cell>
        </row>
        <row r="403">
          <cell r="G403">
            <v>55</v>
          </cell>
          <cell r="S403">
            <v>55.559999999999491</v>
          </cell>
        </row>
        <row r="404">
          <cell r="B404" t="str">
            <v>6-23.08</v>
          </cell>
          <cell r="C404">
            <v>6308.5</v>
          </cell>
          <cell r="F404">
            <v>3550</v>
          </cell>
          <cell r="H404" t="str">
            <v>S/A</v>
          </cell>
          <cell r="L404" t="str">
            <v>HEB-280L_s</v>
          </cell>
          <cell r="M404" t="str">
            <v>W5</v>
          </cell>
          <cell r="N404" t="str">
            <v>EMT-T</v>
          </cell>
          <cell r="O404" t="str">
            <v>EMT-2</v>
          </cell>
          <cell r="Q404">
            <v>20</v>
          </cell>
          <cell r="R404">
            <v>1585</v>
          </cell>
          <cell r="T404">
            <v>35</v>
          </cell>
          <cell r="U404">
            <v>-10</v>
          </cell>
          <cell r="W404">
            <v>1.4</v>
          </cell>
          <cell r="X404">
            <v>2.2999999999999998</v>
          </cell>
          <cell r="Z404">
            <v>0.45</v>
          </cell>
          <cell r="AD404" t="str">
            <v>PH-Q 1150</v>
          </cell>
          <cell r="AF404">
            <v>2500</v>
          </cell>
          <cell r="AG404">
            <v>6308.74</v>
          </cell>
          <cell r="AH404">
            <v>2603</v>
          </cell>
          <cell r="AI404">
            <v>-2977</v>
          </cell>
          <cell r="AL404" t="str">
            <v>PR1B</v>
          </cell>
          <cell r="AM404" t="str">
            <v>RW2</v>
          </cell>
        </row>
        <row r="405">
          <cell r="G405">
            <v>47.5</v>
          </cell>
          <cell r="S405">
            <v>47.320000000000618</v>
          </cell>
        </row>
        <row r="406">
          <cell r="A406" t="str">
            <v>BEN-10</v>
          </cell>
          <cell r="B406" t="str">
            <v>6-23.09</v>
          </cell>
          <cell r="C406">
            <v>6356</v>
          </cell>
          <cell r="F406">
            <v>850</v>
          </cell>
          <cell r="H406" t="str">
            <v>S/A</v>
          </cell>
          <cell r="I406" t="str">
            <v>IO</v>
          </cell>
          <cell r="L406" t="str">
            <v>HEB-280L_s</v>
          </cell>
          <cell r="M406" t="str">
            <v>W5</v>
          </cell>
          <cell r="N406" t="str">
            <v>EMT-2</v>
          </cell>
          <cell r="O406" t="str">
            <v>EMT-T</v>
          </cell>
          <cell r="Q406">
            <v>63</v>
          </cell>
          <cell r="R406">
            <v>850</v>
          </cell>
          <cell r="T406">
            <v>35</v>
          </cell>
          <cell r="U406">
            <v>-10</v>
          </cell>
          <cell r="W406">
            <v>1.4</v>
          </cell>
          <cell r="X406">
            <v>2.2999999999999998</v>
          </cell>
          <cell r="AA406">
            <v>0.45</v>
          </cell>
          <cell r="AC406" t="str">
            <v>PH-C 1150</v>
          </cell>
          <cell r="AF406">
            <v>2500</v>
          </cell>
          <cell r="AG406">
            <v>6356.06</v>
          </cell>
          <cell r="AH406">
            <v>2323</v>
          </cell>
          <cell r="AI406">
            <v>-2532</v>
          </cell>
          <cell r="AJ406" t="str">
            <v>Disc/IO</v>
          </cell>
          <cell r="AL406" t="str">
            <v>PR1B</v>
          </cell>
          <cell r="AM406" t="str">
            <v>RW2</v>
          </cell>
        </row>
        <row r="407">
          <cell r="G407">
            <v>43</v>
          </cell>
          <cell r="S407">
            <v>42.829999999999927</v>
          </cell>
        </row>
        <row r="408">
          <cell r="B408" t="str">
            <v>6-23.10</v>
          </cell>
          <cell r="C408">
            <v>6399</v>
          </cell>
          <cell r="F408">
            <v>850</v>
          </cell>
          <cell r="H408" t="str">
            <v>A/S</v>
          </cell>
          <cell r="L408" t="str">
            <v>HEB-320L_s</v>
          </cell>
          <cell r="M408" t="str">
            <v>W7</v>
          </cell>
          <cell r="N408" t="str">
            <v>EMT-2</v>
          </cell>
          <cell r="Q408">
            <v>63</v>
          </cell>
          <cell r="R408">
            <v>850</v>
          </cell>
          <cell r="T408">
            <v>30</v>
          </cell>
          <cell r="W408">
            <v>1.4</v>
          </cell>
          <cell r="AC408" t="str">
            <v>PH-C 1150</v>
          </cell>
          <cell r="AF408">
            <v>2800</v>
          </cell>
          <cell r="AG408">
            <v>6398.89</v>
          </cell>
          <cell r="AH408">
            <v>2374</v>
          </cell>
          <cell r="AI408">
            <v>-2430</v>
          </cell>
          <cell r="AL408" t="str">
            <v>PR1B</v>
          </cell>
          <cell r="AM408" t="str">
            <v>RW2</v>
          </cell>
        </row>
        <row r="409">
          <cell r="G409">
            <v>43</v>
          </cell>
          <cell r="I409" t="str">
            <v>CP+AnMC</v>
          </cell>
          <cell r="J409">
            <v>6406.5</v>
          </cell>
          <cell r="K409" t="str">
            <v>AnMC/W</v>
          </cell>
          <cell r="S409">
            <v>42.75</v>
          </cell>
        </row>
        <row r="410">
          <cell r="B410" t="str">
            <v>6-23.11</v>
          </cell>
          <cell r="C410">
            <v>6442</v>
          </cell>
          <cell r="F410">
            <v>850</v>
          </cell>
          <cell r="L410" t="str">
            <v>HEB-320L_s</v>
          </cell>
          <cell r="M410" t="str">
            <v>W7</v>
          </cell>
          <cell r="N410" t="str">
            <v>EMT-2</v>
          </cell>
          <cell r="Q410">
            <v>60</v>
          </cell>
          <cell r="R410">
            <v>850</v>
          </cell>
          <cell r="T410">
            <v>30</v>
          </cell>
          <cell r="W410">
            <v>1.4</v>
          </cell>
          <cell r="AC410" t="str">
            <v>PH-C 1150</v>
          </cell>
          <cell r="AF410">
            <v>2800</v>
          </cell>
          <cell r="AG410">
            <v>6441.64</v>
          </cell>
          <cell r="AH410">
            <v>2577</v>
          </cell>
          <cell r="AI410">
            <v>-2521</v>
          </cell>
          <cell r="AL410" t="str">
            <v>PR1C</v>
          </cell>
          <cell r="AM410" t="str">
            <v>RW2</v>
          </cell>
        </row>
        <row r="411">
          <cell r="G411">
            <v>43</v>
          </cell>
          <cell r="S411">
            <v>43.380000000000109</v>
          </cell>
        </row>
        <row r="412">
          <cell r="B412" t="str">
            <v>6-23.12</v>
          </cell>
          <cell r="C412">
            <v>6485</v>
          </cell>
          <cell r="F412">
            <v>850</v>
          </cell>
          <cell r="L412" t="str">
            <v>HEB-320L_s</v>
          </cell>
          <cell r="M412" t="str">
            <v>W7</v>
          </cell>
          <cell r="N412" t="str">
            <v>EMT-2</v>
          </cell>
          <cell r="Q412">
            <v>65</v>
          </cell>
          <cell r="R412">
            <v>850</v>
          </cell>
          <cell r="T412">
            <v>30</v>
          </cell>
          <cell r="W412">
            <v>1.4</v>
          </cell>
          <cell r="AC412" t="str">
            <v>PH-C 1150</v>
          </cell>
          <cell r="AF412">
            <v>4700</v>
          </cell>
          <cell r="AG412">
            <v>6485.02</v>
          </cell>
          <cell r="AH412">
            <v>2362</v>
          </cell>
          <cell r="AI412">
            <v>-812</v>
          </cell>
          <cell r="AL412" t="str">
            <v>PR1C</v>
          </cell>
          <cell r="AM412" t="str">
            <v>RW2</v>
          </cell>
        </row>
        <row r="413">
          <cell r="G413">
            <v>44</v>
          </cell>
          <cell r="S413">
            <v>43.769999999999527</v>
          </cell>
        </row>
        <row r="414">
          <cell r="B414" t="str">
            <v>6-23.13</v>
          </cell>
          <cell r="C414">
            <v>6529</v>
          </cell>
          <cell r="F414">
            <v>850</v>
          </cell>
          <cell r="L414" t="str">
            <v>HEB-320L_s</v>
          </cell>
          <cell r="M414" t="str">
            <v>W7</v>
          </cell>
          <cell r="N414" t="str">
            <v>EMT-2</v>
          </cell>
          <cell r="Q414">
            <v>61</v>
          </cell>
          <cell r="R414">
            <v>850</v>
          </cell>
          <cell r="T414">
            <v>30</v>
          </cell>
          <cell r="W414">
            <v>1.4</v>
          </cell>
          <cell r="AC414" t="str">
            <v>PH-C 1150</v>
          </cell>
          <cell r="AF414">
            <v>4700</v>
          </cell>
          <cell r="AG414">
            <v>6528.79</v>
          </cell>
          <cell r="AH414">
            <v>2523</v>
          </cell>
          <cell r="AI414">
            <v>-894</v>
          </cell>
          <cell r="AL414" t="str">
            <v>PR1C</v>
          </cell>
          <cell r="AM414" t="str">
            <v>RW2</v>
          </cell>
        </row>
        <row r="415">
          <cell r="A415" t="str">
            <v>End zone between walls</v>
          </cell>
          <cell r="G415">
            <v>44</v>
          </cell>
          <cell r="S415">
            <v>44.399999999999636</v>
          </cell>
        </row>
        <row r="416">
          <cell r="B416" t="str">
            <v>6-23.14</v>
          </cell>
          <cell r="C416">
            <v>6573</v>
          </cell>
          <cell r="F416">
            <v>850</v>
          </cell>
          <cell r="L416" t="str">
            <v>HEB-320L</v>
          </cell>
          <cell r="M416" t="str">
            <v>C7R</v>
          </cell>
          <cell r="N416" t="str">
            <v>EMT-2</v>
          </cell>
          <cell r="Q416">
            <v>63</v>
          </cell>
          <cell r="R416">
            <v>850</v>
          </cell>
          <cell r="T416">
            <v>30</v>
          </cell>
          <cell r="W416">
            <v>1.4</v>
          </cell>
          <cell r="AC416" t="str">
            <v>PHC-1150</v>
          </cell>
          <cell r="AF416">
            <v>6000</v>
          </cell>
          <cell r="AG416">
            <v>6573.19</v>
          </cell>
          <cell r="AH416">
            <v>2969</v>
          </cell>
          <cell r="AI416">
            <v>357</v>
          </cell>
          <cell r="AL416" t="str">
            <v>PR1C</v>
          </cell>
          <cell r="AM416" t="str">
            <v>RW2</v>
          </cell>
        </row>
        <row r="417">
          <cell r="G417">
            <v>44</v>
          </cell>
          <cell r="S417">
            <v>43.770000000000437</v>
          </cell>
        </row>
        <row r="418">
          <cell r="B418" t="str">
            <v>6-23.15</v>
          </cell>
          <cell r="C418">
            <v>6617</v>
          </cell>
          <cell r="F418">
            <v>850</v>
          </cell>
          <cell r="L418" t="str">
            <v>HEB-320L</v>
          </cell>
          <cell r="M418" t="str">
            <v>C7R</v>
          </cell>
          <cell r="N418" t="str">
            <v>EMT-2</v>
          </cell>
          <cell r="Q418">
            <v>62</v>
          </cell>
          <cell r="R418">
            <v>850</v>
          </cell>
          <cell r="T418">
            <v>30</v>
          </cell>
          <cell r="W418">
            <v>1.4</v>
          </cell>
          <cell r="AC418" t="str">
            <v>PHC-1150</v>
          </cell>
          <cell r="AF418">
            <v>6000</v>
          </cell>
          <cell r="AG418">
            <v>6616.96</v>
          </cell>
          <cell r="AH418">
            <v>2757</v>
          </cell>
          <cell r="AI418">
            <v>530</v>
          </cell>
          <cell r="AL418" t="str">
            <v>PR1C</v>
          </cell>
          <cell r="AM418" t="str">
            <v>RW2</v>
          </cell>
        </row>
        <row r="419">
          <cell r="G419">
            <v>45</v>
          </cell>
          <cell r="J419">
            <v>6654.5</v>
          </cell>
          <cell r="K419" t="str">
            <v>AnM</v>
          </cell>
          <cell r="S419">
            <v>45.390000000000327</v>
          </cell>
        </row>
        <row r="420">
          <cell r="B420" t="str">
            <v>6-23.16</v>
          </cell>
          <cell r="C420">
            <v>6662</v>
          </cell>
          <cell r="F420">
            <v>925</v>
          </cell>
          <cell r="H420" t="str">
            <v>AnMP</v>
          </cell>
          <cell r="L420" t="str">
            <v>HEB-320L</v>
          </cell>
          <cell r="M420" t="str">
            <v>C7R</v>
          </cell>
          <cell r="N420" t="str">
            <v>EMT-2</v>
          </cell>
          <cell r="Q420">
            <v>58</v>
          </cell>
          <cell r="R420">
            <v>1540.89</v>
          </cell>
          <cell r="T420">
            <v>30</v>
          </cell>
          <cell r="W420">
            <v>1.4</v>
          </cell>
          <cell r="AC420" t="str">
            <v>PHQ-1150</v>
          </cell>
          <cell r="AF420">
            <v>6000</v>
          </cell>
          <cell r="AG420">
            <v>6662.35</v>
          </cell>
          <cell r="AH420">
            <v>2689</v>
          </cell>
          <cell r="AI420">
            <v>454</v>
          </cell>
          <cell r="AL420" t="str">
            <v>PR1C</v>
          </cell>
          <cell r="AM420" t="str">
            <v>RW2</v>
          </cell>
        </row>
        <row r="421">
          <cell r="G421">
            <v>50</v>
          </cell>
          <cell r="I421">
            <v>458.5</v>
          </cell>
          <cell r="S421">
            <v>49.899999999999636</v>
          </cell>
        </row>
        <row r="422">
          <cell r="B422" t="str">
            <v>6-23.17</v>
          </cell>
          <cell r="C422">
            <v>6712</v>
          </cell>
          <cell r="F422">
            <v>0</v>
          </cell>
          <cell r="H422" t="str">
            <v>MP</v>
          </cell>
          <cell r="L422" t="str">
            <v>HEB-280L</v>
          </cell>
          <cell r="M422" t="str">
            <v>C5R</v>
          </cell>
          <cell r="N422" t="str">
            <v>EMT-1</v>
          </cell>
          <cell r="Q422">
            <v>0</v>
          </cell>
          <cell r="R422">
            <v>0</v>
          </cell>
          <cell r="T422">
            <v>-35</v>
          </cell>
          <cell r="W422">
            <v>1.4</v>
          </cell>
          <cell r="AC422" t="str">
            <v>PHQ-1150</v>
          </cell>
          <cell r="AF422">
            <v>6000</v>
          </cell>
          <cell r="AG422">
            <v>6712.25</v>
          </cell>
          <cell r="AH422">
            <v>2661</v>
          </cell>
          <cell r="AI422">
            <v>485</v>
          </cell>
          <cell r="AL422" t="str">
            <v>PR1B</v>
          </cell>
          <cell r="AM422" t="str">
            <v>RW2</v>
          </cell>
        </row>
        <row r="423">
          <cell r="G423">
            <v>57</v>
          </cell>
          <cell r="I423">
            <v>467</v>
          </cell>
          <cell r="S423">
            <v>56.920000000000073</v>
          </cell>
        </row>
        <row r="424">
          <cell r="B424" t="str">
            <v>6-23.18</v>
          </cell>
          <cell r="C424">
            <v>6769</v>
          </cell>
          <cell r="F424">
            <v>0</v>
          </cell>
          <cell r="H424" t="str">
            <v>AnMP</v>
          </cell>
          <cell r="L424" t="str">
            <v>HEB-280L</v>
          </cell>
          <cell r="M424" t="str">
            <v>C5R</v>
          </cell>
          <cell r="N424" t="str">
            <v>EMT-2</v>
          </cell>
          <cell r="Q424">
            <v>0</v>
          </cell>
          <cell r="R424">
            <v>0</v>
          </cell>
          <cell r="T424">
            <v>35</v>
          </cell>
          <cell r="W424">
            <v>1.4</v>
          </cell>
          <cell r="AC424" t="str">
            <v>PHQ-1150</v>
          </cell>
          <cell r="AF424">
            <v>6000</v>
          </cell>
          <cell r="AG424">
            <v>6769.17</v>
          </cell>
          <cell r="AH424">
            <v>2616</v>
          </cell>
          <cell r="AI424">
            <v>472</v>
          </cell>
          <cell r="AL424" t="str">
            <v>PR1B</v>
          </cell>
          <cell r="AM424" t="str">
            <v>RW2</v>
          </cell>
        </row>
        <row r="425">
          <cell r="G425">
            <v>59</v>
          </cell>
          <cell r="J425">
            <v>6776.5</v>
          </cell>
          <cell r="K425" t="str">
            <v>AnM</v>
          </cell>
          <cell r="S425">
            <v>58.989999999999782</v>
          </cell>
        </row>
        <row r="426">
          <cell r="B426" t="str">
            <v>6-23.19</v>
          </cell>
          <cell r="C426">
            <v>6828</v>
          </cell>
          <cell r="F426">
            <v>0</v>
          </cell>
          <cell r="L426" t="str">
            <v>HEB-280L</v>
          </cell>
          <cell r="M426" t="str">
            <v>C5R</v>
          </cell>
          <cell r="N426" t="str">
            <v>EMT-1</v>
          </cell>
          <cell r="Q426">
            <v>0</v>
          </cell>
          <cell r="R426">
            <v>0</v>
          </cell>
          <cell r="T426">
            <v>-35</v>
          </cell>
          <cell r="W426">
            <v>1.4</v>
          </cell>
          <cell r="AC426" t="str">
            <v>PHQ-1150</v>
          </cell>
          <cell r="AF426">
            <v>6000</v>
          </cell>
          <cell r="AG426">
            <v>6828.16</v>
          </cell>
          <cell r="AH426">
            <v>3147</v>
          </cell>
          <cell r="AI426">
            <v>499</v>
          </cell>
          <cell r="AL426" t="str">
            <v>PR1B</v>
          </cell>
          <cell r="AM426" t="str">
            <v>RW2</v>
          </cell>
        </row>
        <row r="427">
          <cell r="G427">
            <v>53</v>
          </cell>
          <cell r="S427">
            <v>52.949999999999818</v>
          </cell>
        </row>
        <row r="428">
          <cell r="B428" t="str">
            <v>6-23.20</v>
          </cell>
          <cell r="C428">
            <v>6881</v>
          </cell>
          <cell r="F428">
            <v>0</v>
          </cell>
          <cell r="L428" t="str">
            <v>HEB-280L</v>
          </cell>
          <cell r="M428" t="str">
            <v>C5R</v>
          </cell>
          <cell r="N428" t="str">
            <v>EMT-2</v>
          </cell>
          <cell r="Q428">
            <v>0</v>
          </cell>
          <cell r="R428">
            <v>0</v>
          </cell>
          <cell r="T428">
            <v>35</v>
          </cell>
          <cell r="W428">
            <v>1.4</v>
          </cell>
          <cell r="AC428" t="str">
            <v>PHQ-1150</v>
          </cell>
          <cell r="AF428">
            <v>6000</v>
          </cell>
          <cell r="AG428">
            <v>6881.11</v>
          </cell>
          <cell r="AH428">
            <v>2532</v>
          </cell>
          <cell r="AI428">
            <v>428</v>
          </cell>
          <cell r="AL428" t="str">
            <v>PR1B</v>
          </cell>
          <cell r="AM428" t="str">
            <v>RW2</v>
          </cell>
        </row>
        <row r="429">
          <cell r="G429">
            <v>50.5</v>
          </cell>
          <cell r="S429">
            <v>50.390000000000327</v>
          </cell>
        </row>
        <row r="430">
          <cell r="B430" t="str">
            <v>6-23.21</v>
          </cell>
          <cell r="C430">
            <v>6931.5</v>
          </cell>
          <cell r="F430">
            <v>0</v>
          </cell>
          <cell r="L430" t="str">
            <v>HEB-280L</v>
          </cell>
          <cell r="M430" t="str">
            <v>C5R</v>
          </cell>
          <cell r="N430" t="str">
            <v>EMT-1</v>
          </cell>
          <cell r="Q430">
            <v>0</v>
          </cell>
          <cell r="R430">
            <v>0</v>
          </cell>
          <cell r="T430">
            <v>-35</v>
          </cell>
          <cell r="W430">
            <v>1.4</v>
          </cell>
          <cell r="AC430" t="str">
            <v>PHQ-1150</v>
          </cell>
          <cell r="AF430">
            <v>6000</v>
          </cell>
          <cell r="AG430">
            <v>6931.5</v>
          </cell>
          <cell r="AH430">
            <v>2642</v>
          </cell>
          <cell r="AI430">
            <v>495</v>
          </cell>
          <cell r="AL430" t="str">
            <v>PR1B</v>
          </cell>
          <cell r="AM430" t="str">
            <v>RW2</v>
          </cell>
        </row>
        <row r="431">
          <cell r="G431">
            <v>44</v>
          </cell>
          <cell r="I431" t="str">
            <v>FP+AnMC</v>
          </cell>
          <cell r="J431">
            <v>6654.5</v>
          </cell>
          <cell r="K431" t="str">
            <v>AnMC</v>
          </cell>
          <cell r="S431">
            <v>44.039999999999964</v>
          </cell>
        </row>
        <row r="432">
          <cell r="B432" t="str">
            <v>6-23.22</v>
          </cell>
          <cell r="C432">
            <v>6975.5</v>
          </cell>
          <cell r="F432">
            <v>0</v>
          </cell>
          <cell r="H432" t="str">
            <v>A/S</v>
          </cell>
          <cell r="L432" t="str">
            <v>HEB-280L</v>
          </cell>
          <cell r="M432" t="str">
            <v>C5R</v>
          </cell>
          <cell r="N432" t="str">
            <v>EMT-2</v>
          </cell>
          <cell r="Q432">
            <v>0</v>
          </cell>
          <cell r="R432">
            <v>0</v>
          </cell>
          <cell r="T432">
            <v>25</v>
          </cell>
          <cell r="W432">
            <v>1.4</v>
          </cell>
          <cell r="AC432" t="str">
            <v>PH-1150</v>
          </cell>
          <cell r="AF432">
            <v>6000</v>
          </cell>
          <cell r="AG432">
            <v>6975.54</v>
          </cell>
          <cell r="AH432">
            <v>2645</v>
          </cell>
          <cell r="AI432">
            <v>503</v>
          </cell>
          <cell r="AL432" t="str">
            <v>PR1B</v>
          </cell>
          <cell r="AM432" t="str">
            <v>RW2</v>
          </cell>
        </row>
        <row r="433">
          <cell r="G433">
            <v>44</v>
          </cell>
          <cell r="S433">
            <v>43.989999999999782</v>
          </cell>
        </row>
        <row r="434">
          <cell r="B434" t="str">
            <v>6-23.23</v>
          </cell>
          <cell r="C434">
            <v>7019.5</v>
          </cell>
          <cell r="F434">
            <v>0</v>
          </cell>
          <cell r="H434" t="str">
            <v>S/A</v>
          </cell>
          <cell r="L434" t="str">
            <v>HEB-280L</v>
          </cell>
          <cell r="M434" t="str">
            <v>C5R</v>
          </cell>
          <cell r="N434" t="str">
            <v>EMT-T</v>
          </cell>
          <cell r="O434" t="str">
            <v>EMT-2</v>
          </cell>
          <cell r="Q434">
            <v>0</v>
          </cell>
          <cell r="R434">
            <v>0</v>
          </cell>
          <cell r="T434">
            <v>80</v>
          </cell>
          <cell r="U434">
            <v>35</v>
          </cell>
          <cell r="W434">
            <v>1.4</v>
          </cell>
          <cell r="X434">
            <v>2.2999999999999998</v>
          </cell>
          <cell r="Z434">
            <v>0.6</v>
          </cell>
          <cell r="AD434" t="str">
            <v>PH-1150</v>
          </cell>
          <cell r="AF434">
            <v>6000</v>
          </cell>
          <cell r="AG434">
            <v>7019.53</v>
          </cell>
          <cell r="AH434">
            <v>2543</v>
          </cell>
          <cell r="AI434">
            <v>475</v>
          </cell>
          <cell r="AL434" t="str">
            <v>PR1B</v>
          </cell>
          <cell r="AM434" t="str">
            <v>RW2</v>
          </cell>
        </row>
        <row r="435">
          <cell r="G435">
            <v>44</v>
          </cell>
          <cell r="S435">
            <v>43.970000000000255</v>
          </cell>
        </row>
        <row r="436">
          <cell r="B436" t="str">
            <v>7-23.01</v>
          </cell>
          <cell r="C436">
            <v>7063.5</v>
          </cell>
          <cell r="F436">
            <v>0</v>
          </cell>
          <cell r="H436" t="str">
            <v>S/A</v>
          </cell>
          <cell r="L436" t="str">
            <v>HEB-280L</v>
          </cell>
          <cell r="M436" t="str">
            <v>C5R</v>
          </cell>
          <cell r="N436" t="str">
            <v>EMT-1</v>
          </cell>
          <cell r="O436" t="str">
            <v>EMT-1</v>
          </cell>
          <cell r="Q436">
            <v>0</v>
          </cell>
          <cell r="R436">
            <v>0</v>
          </cell>
          <cell r="T436">
            <v>15</v>
          </cell>
          <cell r="U436">
            <v>-30</v>
          </cell>
          <cell r="W436">
            <v>1.4</v>
          </cell>
          <cell r="X436">
            <v>2.2999999999999998</v>
          </cell>
          <cell r="Z436">
            <v>0.1</v>
          </cell>
          <cell r="AC436" t="str">
            <v>BC-1401</v>
          </cell>
          <cell r="AD436" t="str">
            <v>PH-1150</v>
          </cell>
          <cell r="AF436">
            <v>6000</v>
          </cell>
          <cell r="AG436">
            <v>7063.5</v>
          </cell>
          <cell r="AH436">
            <v>2591</v>
          </cell>
          <cell r="AI436">
            <v>509</v>
          </cell>
          <cell r="AL436" t="str">
            <v>PR1B</v>
          </cell>
          <cell r="AM436" t="str">
            <v>RW2</v>
          </cell>
        </row>
        <row r="437">
          <cell r="G437">
            <v>34</v>
          </cell>
          <cell r="S437">
            <v>34.039999999999964</v>
          </cell>
        </row>
        <row r="438">
          <cell r="B438" t="str">
            <v>7-23.01BIS</v>
          </cell>
          <cell r="C438">
            <v>7097.5</v>
          </cell>
          <cell r="F438">
            <v>0</v>
          </cell>
          <cell r="H438" t="str">
            <v>S/A</v>
          </cell>
          <cell r="L438" t="str">
            <v>HEB-280L</v>
          </cell>
          <cell r="M438" t="str">
            <v>C5R</v>
          </cell>
          <cell r="N438" t="str">
            <v>EMT-2</v>
          </cell>
          <cell r="O438" t="str">
            <v>EMT-2</v>
          </cell>
          <cell r="Q438">
            <v>0</v>
          </cell>
          <cell r="R438">
            <v>0</v>
          </cell>
          <cell r="T438">
            <v>30</v>
          </cell>
          <cell r="U438">
            <v>-15</v>
          </cell>
          <cell r="W438">
            <v>1.4</v>
          </cell>
          <cell r="X438">
            <v>2.2999999999999998</v>
          </cell>
          <cell r="AA438">
            <v>0.1</v>
          </cell>
          <cell r="AC438" t="str">
            <v>PHQ-1150</v>
          </cell>
          <cell r="AD438" t="str">
            <v>BC-1501</v>
          </cell>
          <cell r="AF438">
            <v>6000</v>
          </cell>
          <cell r="AG438">
            <v>7097.54</v>
          </cell>
          <cell r="AH438">
            <v>2582</v>
          </cell>
          <cell r="AI438">
            <v>471</v>
          </cell>
          <cell r="AL438" t="str">
            <v>PR1B</v>
          </cell>
          <cell r="AM438" t="str">
            <v>RW2</v>
          </cell>
        </row>
        <row r="439">
          <cell r="G439">
            <v>34</v>
          </cell>
          <cell r="S439">
            <v>34.109999999999673</v>
          </cell>
        </row>
        <row r="440">
          <cell r="A440" t="str">
            <v>BEN-12</v>
          </cell>
          <cell r="B440" t="str">
            <v>7-23.02</v>
          </cell>
          <cell r="C440">
            <v>7131.5</v>
          </cell>
          <cell r="F440">
            <v>0</v>
          </cell>
          <cell r="H440" t="str">
            <v>S/A</v>
          </cell>
          <cell r="I440" t="str">
            <v>IO</v>
          </cell>
          <cell r="L440" t="str">
            <v>HEB-280L</v>
          </cell>
          <cell r="M440" t="str">
            <v>C5R</v>
          </cell>
          <cell r="N440" t="str">
            <v>EMT-1</v>
          </cell>
          <cell r="O440" t="str">
            <v>EMT-T</v>
          </cell>
          <cell r="Q440">
            <v>0</v>
          </cell>
          <cell r="R440">
            <v>0</v>
          </cell>
          <cell r="T440">
            <v>-35</v>
          </cell>
          <cell r="U440">
            <v>-80</v>
          </cell>
          <cell r="W440">
            <v>1.4</v>
          </cell>
          <cell r="X440">
            <v>2.2999999999999998</v>
          </cell>
          <cell r="AA440">
            <v>0.5</v>
          </cell>
          <cell r="AC440" t="str">
            <v>PH-1250</v>
          </cell>
          <cell r="AF440">
            <v>6000</v>
          </cell>
          <cell r="AG440">
            <v>7131.65</v>
          </cell>
          <cell r="AH440">
            <v>2651</v>
          </cell>
          <cell r="AI440">
            <v>483</v>
          </cell>
          <cell r="AJ440" t="str">
            <v>Disc/IO-pr</v>
          </cell>
          <cell r="AL440" t="str">
            <v>PR1B</v>
          </cell>
          <cell r="AM440" t="str">
            <v>RW2</v>
          </cell>
        </row>
        <row r="441">
          <cell r="G441">
            <v>47.5</v>
          </cell>
          <cell r="S441">
            <v>47.3100000000004</v>
          </cell>
        </row>
        <row r="442">
          <cell r="B442" t="str">
            <v>7-23.03</v>
          </cell>
          <cell r="C442">
            <v>7179</v>
          </cell>
          <cell r="F442">
            <v>0</v>
          </cell>
          <cell r="H442" t="str">
            <v>A/S - S/A</v>
          </cell>
          <cell r="I442" t="str">
            <v>CP+AnMC</v>
          </cell>
          <cell r="L442" t="str">
            <v>HEB-280L</v>
          </cell>
          <cell r="M442" t="str">
            <v>C5R</v>
          </cell>
          <cell r="N442" t="str">
            <v>EMT-1</v>
          </cell>
          <cell r="O442" t="str">
            <v>EMT-T</v>
          </cell>
          <cell r="Q442">
            <v>0</v>
          </cell>
          <cell r="R442">
            <v>0</v>
          </cell>
          <cell r="T442">
            <v>-25</v>
          </cell>
          <cell r="U442">
            <v>50</v>
          </cell>
          <cell r="W442">
            <v>2.2999999999999998</v>
          </cell>
          <cell r="X442">
            <v>1.4</v>
          </cell>
          <cell r="AA442">
            <v>0.6</v>
          </cell>
          <cell r="AC442" t="str">
            <v>PH-1150</v>
          </cell>
          <cell r="AF442">
            <v>5800</v>
          </cell>
          <cell r="AG442">
            <v>7178.96</v>
          </cell>
          <cell r="AH442">
            <v>2601</v>
          </cell>
          <cell r="AI442">
            <v>482</v>
          </cell>
          <cell r="AL442" t="str">
            <v>PR1B</v>
          </cell>
          <cell r="AM442" t="str">
            <v>RW2</v>
          </cell>
        </row>
        <row r="443">
          <cell r="G443">
            <v>53.5</v>
          </cell>
          <cell r="J443">
            <v>7186.5</v>
          </cell>
          <cell r="K443" t="str">
            <v>AnMC</v>
          </cell>
          <cell r="S443">
            <v>53.630000000000109</v>
          </cell>
        </row>
        <row r="444">
          <cell r="B444" t="str">
            <v>7-23.04</v>
          </cell>
          <cell r="C444">
            <v>7232.5</v>
          </cell>
          <cell r="F444">
            <v>0</v>
          </cell>
          <cell r="H444" t="str">
            <v xml:space="preserve">P50 A/S </v>
          </cell>
          <cell r="I444" t="str">
            <v>CP+AnMC</v>
          </cell>
          <cell r="J444">
            <v>7240</v>
          </cell>
          <cell r="K444" t="str">
            <v>AnMC</v>
          </cell>
          <cell r="L444" t="str">
            <v>HEB-280L</v>
          </cell>
          <cell r="M444" t="str">
            <v>C5R</v>
          </cell>
          <cell r="N444" t="str">
            <v>EMT-2</v>
          </cell>
          <cell r="O444" t="str">
            <v>EMT-1</v>
          </cell>
          <cell r="Q444">
            <v>0</v>
          </cell>
          <cell r="R444">
            <v>0</v>
          </cell>
          <cell r="T444">
            <v>30</v>
          </cell>
          <cell r="U444">
            <v>15</v>
          </cell>
          <cell r="W444">
            <v>1.4</v>
          </cell>
          <cell r="X444">
            <v>2.2999999999999998</v>
          </cell>
          <cell r="AC444" t="str">
            <v>PH-1500</v>
          </cell>
          <cell r="AD444" t="str">
            <v>PHC-1500</v>
          </cell>
          <cell r="AF444">
            <v>6000</v>
          </cell>
          <cell r="AG444">
            <v>7232.59</v>
          </cell>
          <cell r="AH444">
            <v>2666</v>
          </cell>
          <cell r="AI444">
            <v>464</v>
          </cell>
          <cell r="AL444" t="str">
            <v>PR1B</v>
          </cell>
          <cell r="AM444" t="str">
            <v>RW2</v>
          </cell>
        </row>
        <row r="445">
          <cell r="G445">
            <v>51</v>
          </cell>
          <cell r="J445">
            <v>7276</v>
          </cell>
          <cell r="K445" t="str">
            <v>AnMC</v>
          </cell>
          <cell r="S445">
            <v>51.069999999999709</v>
          </cell>
        </row>
        <row r="446">
          <cell r="B446" t="str">
            <v>7-2.05</v>
          </cell>
          <cell r="C446">
            <v>7283.5</v>
          </cell>
          <cell r="F446">
            <v>-2500</v>
          </cell>
          <cell r="H446" t="str">
            <v>S/A A/S</v>
          </cell>
          <cell r="I446" t="str">
            <v>CP+AnMC</v>
          </cell>
          <cell r="L446" t="str">
            <v>2HEB-240 (CP)</v>
          </cell>
          <cell r="M446" t="str">
            <v>C2H-240</v>
          </cell>
          <cell r="N446" t="str">
            <v>EMT-1</v>
          </cell>
          <cell r="O446" t="str">
            <v>EMT-T</v>
          </cell>
          <cell r="Q446">
            <v>60</v>
          </cell>
          <cell r="R446">
            <v>904.7</v>
          </cell>
          <cell r="T446">
            <v>30</v>
          </cell>
          <cell r="U446">
            <v>15</v>
          </cell>
          <cell r="W446">
            <v>1.4</v>
          </cell>
          <cell r="X446">
            <v>2.2999999999999998</v>
          </cell>
          <cell r="AA446">
            <v>0.6</v>
          </cell>
          <cell r="AC446" t="str">
            <v>PH 1450</v>
          </cell>
          <cell r="AF446">
            <v>6000</v>
          </cell>
          <cell r="AG446">
            <v>7283.66</v>
          </cell>
          <cell r="AH446">
            <v>2658</v>
          </cell>
          <cell r="AI446">
            <v>668</v>
          </cell>
          <cell r="AM446" t="str">
            <v>RW2</v>
          </cell>
        </row>
        <row r="447">
          <cell r="G447">
            <v>45</v>
          </cell>
          <cell r="I447">
            <v>354</v>
          </cell>
          <cell r="S447">
            <v>45.069999999999709</v>
          </cell>
        </row>
        <row r="448">
          <cell r="B448" t="str">
            <v>7-2.06</v>
          </cell>
          <cell r="C448">
            <v>7328.5</v>
          </cell>
          <cell r="F448">
            <v>-900</v>
          </cell>
          <cell r="H448" t="str">
            <v>S/A A/S-Diag</v>
          </cell>
          <cell r="I448" t="str">
            <v>CP+AnMC</v>
          </cell>
          <cell r="L448" t="str">
            <v>2HEB-240 (CP)</v>
          </cell>
          <cell r="M448" t="str">
            <v>C2H-240</v>
          </cell>
          <cell r="N448" t="str">
            <v>EMT-T</v>
          </cell>
          <cell r="O448" t="str">
            <v>EMT-1</v>
          </cell>
          <cell r="Q448">
            <v>61</v>
          </cell>
          <cell r="R448">
            <v>904.7</v>
          </cell>
          <cell r="T448">
            <v>25</v>
          </cell>
          <cell r="U448">
            <v>-20</v>
          </cell>
          <cell r="W448">
            <v>1.4</v>
          </cell>
          <cell r="X448">
            <v>2.2999999999999998</v>
          </cell>
          <cell r="Z448">
            <v>0.6</v>
          </cell>
          <cell r="AD448" t="str">
            <v>PH-C 1150</v>
          </cell>
          <cell r="AF448">
            <v>6000</v>
          </cell>
          <cell r="AG448">
            <v>7328.73</v>
          </cell>
          <cell r="AH448">
            <v>2601</v>
          </cell>
          <cell r="AI448">
            <v>747</v>
          </cell>
          <cell r="AM448" t="str">
            <v>RW2</v>
          </cell>
        </row>
        <row r="449">
          <cell r="G449">
            <v>45</v>
          </cell>
          <cell r="J449">
            <v>7336</v>
          </cell>
          <cell r="K449" t="str">
            <v>AnMC</v>
          </cell>
          <cell r="S449">
            <v>45.130000000000109</v>
          </cell>
        </row>
        <row r="450">
          <cell r="B450" t="str">
            <v>7-2.07</v>
          </cell>
          <cell r="C450">
            <v>7373.5</v>
          </cell>
          <cell r="F450">
            <v>-900</v>
          </cell>
          <cell r="H450" t="str">
            <v>S/A</v>
          </cell>
          <cell r="L450" t="str">
            <v>HEB-280</v>
          </cell>
          <cell r="M450" t="str">
            <v>C5</v>
          </cell>
          <cell r="N450" t="str">
            <v>EMT-E</v>
          </cell>
          <cell r="O450" t="str">
            <v>EMT-1</v>
          </cell>
          <cell r="Q450">
            <v>66</v>
          </cell>
          <cell r="R450">
            <v>904.7</v>
          </cell>
          <cell r="T450">
            <v>10</v>
          </cell>
          <cell r="U450">
            <v>-35</v>
          </cell>
          <cell r="W450">
            <v>1.4</v>
          </cell>
          <cell r="X450">
            <v>2.2999999999999998</v>
          </cell>
          <cell r="Z450">
            <v>0.1</v>
          </cell>
          <cell r="AC450" t="str">
            <v>PH-C 1450</v>
          </cell>
          <cell r="AD450" t="str">
            <v>PH-C 1150</v>
          </cell>
          <cell r="AF450">
            <v>5800</v>
          </cell>
          <cell r="AG450">
            <v>7373.86</v>
          </cell>
          <cell r="AH450">
            <v>2533</v>
          </cell>
          <cell r="AI450">
            <v>564</v>
          </cell>
          <cell r="AM450" t="str">
            <v>RW2</v>
          </cell>
        </row>
        <row r="451">
          <cell r="G451">
            <v>43</v>
          </cell>
          <cell r="S451">
            <v>43.190000000000509</v>
          </cell>
        </row>
        <row r="452">
          <cell r="A452" t="str">
            <v>BEN-14</v>
          </cell>
          <cell r="B452" t="str">
            <v>7-2.08</v>
          </cell>
          <cell r="C452">
            <v>7416.5</v>
          </cell>
          <cell r="F452">
            <v>-900</v>
          </cell>
          <cell r="H452" t="str">
            <v>S/A</v>
          </cell>
          <cell r="I452" t="str">
            <v>IO</v>
          </cell>
          <cell r="L452" t="str">
            <v>HEB-280</v>
          </cell>
          <cell r="M452" t="str">
            <v>C5</v>
          </cell>
          <cell r="N452" t="str">
            <v>EMT-E</v>
          </cell>
          <cell r="O452" t="str">
            <v>EMT-1</v>
          </cell>
          <cell r="Q452">
            <v>62</v>
          </cell>
          <cell r="R452">
            <v>904.7</v>
          </cell>
          <cell r="T452">
            <v>5</v>
          </cell>
          <cell r="U452">
            <v>-40</v>
          </cell>
          <cell r="W452">
            <v>1.4</v>
          </cell>
          <cell r="X452">
            <v>2.2999999999999998</v>
          </cell>
          <cell r="AA452">
            <v>0.1</v>
          </cell>
          <cell r="AC452" t="str">
            <v>BC 1500</v>
          </cell>
          <cell r="AD452" t="str">
            <v>PH-Q 1450</v>
          </cell>
          <cell r="AF452">
            <v>5800</v>
          </cell>
          <cell r="AG452">
            <v>7417.05</v>
          </cell>
          <cell r="AH452">
            <v>2573</v>
          </cell>
          <cell r="AI452">
            <v>641</v>
          </cell>
          <cell r="AJ452" t="str">
            <v>Disc/IO</v>
          </cell>
          <cell r="AM452" t="str">
            <v>RW2</v>
          </cell>
        </row>
        <row r="453">
          <cell r="G453">
            <v>38</v>
          </cell>
          <cell r="S453">
            <v>38.349999999999454</v>
          </cell>
        </row>
        <row r="454">
          <cell r="A454" t="str">
            <v>Start bridge 7</v>
          </cell>
          <cell r="B454" t="str">
            <v>7-2.09</v>
          </cell>
          <cell r="C454">
            <v>7454.5</v>
          </cell>
          <cell r="F454">
            <v>-900</v>
          </cell>
          <cell r="H454" t="str">
            <v>S/A</v>
          </cell>
          <cell r="L454" t="str">
            <v>2HEB-240</v>
          </cell>
          <cell r="M454" t="str">
            <v>CV-PAW</v>
          </cell>
          <cell r="N454" t="str">
            <v>EMT-E</v>
          </cell>
          <cell r="O454" t="str">
            <v>EMT-T</v>
          </cell>
          <cell r="Q454">
            <v>63</v>
          </cell>
          <cell r="R454">
            <v>904.7</v>
          </cell>
          <cell r="T454">
            <v>5</v>
          </cell>
          <cell r="U454">
            <v>50</v>
          </cell>
          <cell r="W454">
            <v>2.2999999999999998</v>
          </cell>
          <cell r="X454">
            <v>1.4</v>
          </cell>
          <cell r="AA454">
            <v>0.6</v>
          </cell>
          <cell r="AC454" t="str">
            <v>PH-Q 1500</v>
          </cell>
          <cell r="AF454">
            <v>5500</v>
          </cell>
          <cell r="AG454">
            <v>7455.4</v>
          </cell>
          <cell r="AH454">
            <v>3263</v>
          </cell>
          <cell r="AI454">
            <v>379</v>
          </cell>
          <cell r="AM454" t="str">
            <v>RW2</v>
          </cell>
        </row>
        <row r="455">
          <cell r="G455">
            <v>36</v>
          </cell>
          <cell r="S455">
            <v>36.140000000000327</v>
          </cell>
        </row>
        <row r="456">
          <cell r="B456" t="str">
            <v>7-2.10</v>
          </cell>
          <cell r="C456">
            <v>7490.5</v>
          </cell>
          <cell r="F456">
            <v>-900</v>
          </cell>
          <cell r="H456" t="str">
            <v>A/S</v>
          </cell>
          <cell r="I456" t="str">
            <v>CP+AnMC</v>
          </cell>
          <cell r="L456" t="str">
            <v>HEB-280 (CP)</v>
          </cell>
          <cell r="M456" t="str">
            <v>CV-PAW</v>
          </cell>
          <cell r="N456" t="str">
            <v>EMT-1</v>
          </cell>
          <cell r="Q456">
            <v>59</v>
          </cell>
          <cell r="R456">
            <v>904.7</v>
          </cell>
          <cell r="T456">
            <v>-30</v>
          </cell>
          <cell r="W456">
            <v>1.4</v>
          </cell>
          <cell r="AC456" t="str">
            <v>PH-Q 1150</v>
          </cell>
          <cell r="AF456">
            <v>6000</v>
          </cell>
          <cell r="AG456">
            <v>7491.54</v>
          </cell>
          <cell r="AH456">
            <v>3209</v>
          </cell>
          <cell r="AI456">
            <v>438</v>
          </cell>
          <cell r="AM456" t="str">
            <v>RW2</v>
          </cell>
        </row>
        <row r="457">
          <cell r="G457">
            <v>36</v>
          </cell>
          <cell r="J457">
            <v>7504.5</v>
          </cell>
          <cell r="K457" t="str">
            <v>AnMC</v>
          </cell>
          <cell r="S457">
            <v>36.449999999999818</v>
          </cell>
        </row>
        <row r="458">
          <cell r="B458" t="str">
            <v>7-2.11</v>
          </cell>
          <cell r="C458">
            <v>7526.5</v>
          </cell>
          <cell r="F458">
            <v>-900</v>
          </cell>
          <cell r="L458" t="str">
            <v>HEB-260</v>
          </cell>
          <cell r="M458" t="str">
            <v>CV-PAW</v>
          </cell>
          <cell r="N458" t="str">
            <v>EMT-1</v>
          </cell>
          <cell r="Q458">
            <v>62</v>
          </cell>
          <cell r="R458">
            <v>904.7</v>
          </cell>
          <cell r="T458">
            <v>-30</v>
          </cell>
          <cell r="W458">
            <v>1.4</v>
          </cell>
          <cell r="AC458" t="str">
            <v>PH-Q 1150</v>
          </cell>
          <cell r="AF458">
            <v>6000</v>
          </cell>
          <cell r="AG458">
            <v>7527.99</v>
          </cell>
          <cell r="AH458">
            <v>3166</v>
          </cell>
          <cell r="AI458">
            <v>371</v>
          </cell>
          <cell r="AM458" t="str">
            <v>RW2</v>
          </cell>
        </row>
        <row r="459">
          <cell r="G459">
            <v>36</v>
          </cell>
          <cell r="S459">
            <v>36.130000000000109</v>
          </cell>
        </row>
        <row r="460">
          <cell r="B460" t="str">
            <v>7-2.12</v>
          </cell>
          <cell r="C460">
            <v>7562.5</v>
          </cell>
          <cell r="F460">
            <v>-900</v>
          </cell>
          <cell r="L460" t="str">
            <v>HEB-260</v>
          </cell>
          <cell r="M460" t="str">
            <v>CV-PAW</v>
          </cell>
          <cell r="N460" t="str">
            <v>EMT-1</v>
          </cell>
          <cell r="Q460">
            <v>67</v>
          </cell>
          <cell r="R460">
            <v>904.7</v>
          </cell>
          <cell r="T460">
            <v>-30</v>
          </cell>
          <cell r="W460">
            <v>1.4</v>
          </cell>
          <cell r="AC460" t="str">
            <v>PH-Q 1150</v>
          </cell>
          <cell r="AF460">
            <v>6000</v>
          </cell>
          <cell r="AG460">
            <v>7564.12</v>
          </cell>
          <cell r="AH460">
            <v>2975</v>
          </cell>
          <cell r="AI460">
            <v>366</v>
          </cell>
          <cell r="AM460" t="str">
            <v>RW2T-S</v>
          </cell>
        </row>
        <row r="461">
          <cell r="A461" t="str">
            <v>Bridge 7.0</v>
          </cell>
          <cell r="G461">
            <v>36</v>
          </cell>
          <cell r="S461">
            <v>35.550000000000182</v>
          </cell>
        </row>
        <row r="462">
          <cell r="B462" t="str">
            <v>7-2.13</v>
          </cell>
          <cell r="C462">
            <v>7598.5</v>
          </cell>
          <cell r="F462">
            <v>-900</v>
          </cell>
          <cell r="L462" t="str">
            <v>HEB-260</v>
          </cell>
          <cell r="M462" t="str">
            <v>CV-PAW</v>
          </cell>
          <cell r="N462" t="str">
            <v>EMT-1</v>
          </cell>
          <cell r="Q462">
            <v>55</v>
          </cell>
          <cell r="R462">
            <v>904.7</v>
          </cell>
          <cell r="T462">
            <v>-30</v>
          </cell>
          <cell r="W462">
            <v>1.4</v>
          </cell>
          <cell r="AC462" t="str">
            <v>PH-Q 1150</v>
          </cell>
          <cell r="AF462">
            <v>6000</v>
          </cell>
          <cell r="AG462">
            <v>7599.67</v>
          </cell>
          <cell r="AH462">
            <v>4111</v>
          </cell>
          <cell r="AI462">
            <v>419</v>
          </cell>
          <cell r="AM462" t="str">
            <v>RW2T-S</v>
          </cell>
        </row>
        <row r="463">
          <cell r="G463">
            <v>36</v>
          </cell>
          <cell r="S463">
            <v>36.1899999999996</v>
          </cell>
        </row>
        <row r="464">
          <cell r="B464" t="str">
            <v>7-2.14</v>
          </cell>
          <cell r="C464">
            <v>7634.5</v>
          </cell>
          <cell r="F464">
            <v>-900</v>
          </cell>
          <cell r="L464" t="str">
            <v>HEB-260</v>
          </cell>
          <cell r="M464" t="str">
            <v>CV-PAW</v>
          </cell>
          <cell r="N464" t="str">
            <v>EMT-1</v>
          </cell>
          <cell r="Q464">
            <v>54</v>
          </cell>
          <cell r="R464">
            <v>904.7</v>
          </cell>
          <cell r="T464">
            <v>-30</v>
          </cell>
          <cell r="W464">
            <v>1.4</v>
          </cell>
          <cell r="AC464" t="str">
            <v>PH-Q 1150</v>
          </cell>
          <cell r="AF464">
            <v>6000</v>
          </cell>
          <cell r="AG464">
            <v>7635.86</v>
          </cell>
          <cell r="AH464">
            <v>4153</v>
          </cell>
          <cell r="AI464">
            <v>364</v>
          </cell>
          <cell r="AM464" t="str">
            <v>RW2T-S</v>
          </cell>
        </row>
        <row r="465">
          <cell r="G465">
            <v>36</v>
          </cell>
          <cell r="S465">
            <v>36.140000000000327</v>
          </cell>
        </row>
        <row r="466">
          <cell r="B466" t="str">
            <v>7-2.15</v>
          </cell>
          <cell r="C466">
            <v>7670.5</v>
          </cell>
          <cell r="F466">
            <v>-1225</v>
          </cell>
          <cell r="L466" t="str">
            <v>HEB-260</v>
          </cell>
          <cell r="M466" t="str">
            <v>CV-PAW</v>
          </cell>
          <cell r="N466" t="str">
            <v>EMT-1</v>
          </cell>
          <cell r="Q466">
            <v>2</v>
          </cell>
          <cell r="R466">
            <v>905</v>
          </cell>
          <cell r="T466">
            <v>-35</v>
          </cell>
          <cell r="W466">
            <v>1.4</v>
          </cell>
          <cell r="AC466" t="str">
            <v>PH-C 1150</v>
          </cell>
          <cell r="AF466">
            <v>5800</v>
          </cell>
          <cell r="AG466">
            <v>7672</v>
          </cell>
          <cell r="AH466">
            <v>3993</v>
          </cell>
          <cell r="AI466">
            <v>342</v>
          </cell>
          <cell r="AM466" t="str">
            <v>RW2T-S</v>
          </cell>
        </row>
        <row r="467">
          <cell r="G467">
            <v>36</v>
          </cell>
          <cell r="S467">
            <v>35.930000000000291</v>
          </cell>
        </row>
        <row r="468">
          <cell r="B468" t="str">
            <v>7-2.16</v>
          </cell>
          <cell r="C468">
            <v>7706.5</v>
          </cell>
          <cell r="F468">
            <v>0</v>
          </cell>
          <cell r="L468" t="str">
            <v>HEB-260</v>
          </cell>
          <cell r="M468" t="str">
            <v>PL4</v>
          </cell>
          <cell r="N468" t="str">
            <v>EMT-2</v>
          </cell>
          <cell r="Q468">
            <v>0</v>
          </cell>
          <cell r="R468" t="str">
            <v>inf</v>
          </cell>
          <cell r="T468">
            <v>35</v>
          </cell>
          <cell r="W468">
            <v>1.4</v>
          </cell>
          <cell r="AC468" t="str">
            <v>PH-Q 1150</v>
          </cell>
          <cell r="AF468">
            <v>6000</v>
          </cell>
          <cell r="AG468">
            <v>7707.93</v>
          </cell>
          <cell r="AH468">
            <v>2844</v>
          </cell>
          <cell r="AI468">
            <v>592</v>
          </cell>
          <cell r="AM468" t="str">
            <v>RW2</v>
          </cell>
        </row>
        <row r="469">
          <cell r="G469">
            <v>36</v>
          </cell>
          <cell r="S469">
            <v>36.859999999999673</v>
          </cell>
        </row>
        <row r="470">
          <cell r="B470" t="str">
            <v>7-2.17</v>
          </cell>
          <cell r="C470">
            <v>7742.5</v>
          </cell>
          <cell r="F470">
            <v>0</v>
          </cell>
          <cell r="L470" t="str">
            <v>HEB-260</v>
          </cell>
          <cell r="M470" t="str">
            <v>PL4</v>
          </cell>
          <cell r="N470" t="str">
            <v>EMT-1</v>
          </cell>
          <cell r="Q470">
            <v>0</v>
          </cell>
          <cell r="R470" t="str">
            <v>inf</v>
          </cell>
          <cell r="T470">
            <v>-35</v>
          </cell>
          <cell r="W470">
            <v>1.4</v>
          </cell>
          <cell r="AC470" t="str">
            <v>PH-Q 1250</v>
          </cell>
          <cell r="AF470">
            <v>6000</v>
          </cell>
          <cell r="AG470">
            <v>7744.79</v>
          </cell>
          <cell r="AH470">
            <v>2891</v>
          </cell>
          <cell r="AI470">
            <v>581</v>
          </cell>
          <cell r="AM470" t="str">
            <v>RW2</v>
          </cell>
        </row>
        <row r="471">
          <cell r="G471">
            <v>35.5</v>
          </cell>
          <cell r="S471">
            <v>33.590000000000146</v>
          </cell>
        </row>
        <row r="472">
          <cell r="B472" t="str">
            <v>7-2.18</v>
          </cell>
          <cell r="C472">
            <v>7778</v>
          </cell>
          <cell r="F472">
            <v>0</v>
          </cell>
          <cell r="H472" t="str">
            <v>A/S</v>
          </cell>
          <cell r="I472" t="str">
            <v>CP+AnMC</v>
          </cell>
          <cell r="L472" t="str">
            <v>2HEB-300 (CP)</v>
          </cell>
          <cell r="M472" t="str">
            <v>PL2H300</v>
          </cell>
          <cell r="N472" t="str">
            <v>EMT-2</v>
          </cell>
          <cell r="Q472">
            <v>0</v>
          </cell>
          <cell r="R472" t="str">
            <v>inf</v>
          </cell>
          <cell r="T472">
            <v>35</v>
          </cell>
          <cell r="W472">
            <v>1.4</v>
          </cell>
          <cell r="AC472" t="str">
            <v>PH-Q 1150</v>
          </cell>
          <cell r="AF472">
            <v>6000</v>
          </cell>
          <cell r="AG472">
            <v>7778.38</v>
          </cell>
          <cell r="AH472">
            <v>2836</v>
          </cell>
          <cell r="AI472">
            <v>516</v>
          </cell>
          <cell r="AM472" t="str">
            <v>RW2</v>
          </cell>
        </row>
        <row r="473">
          <cell r="G473">
            <v>36</v>
          </cell>
          <cell r="S473">
            <v>38.260000000000218</v>
          </cell>
        </row>
        <row r="474">
          <cell r="B474" t="str">
            <v>7-2.19</v>
          </cell>
          <cell r="C474">
            <v>7814</v>
          </cell>
          <cell r="F474">
            <v>0</v>
          </cell>
          <cell r="H474" t="str">
            <v>S/A</v>
          </cell>
          <cell r="L474" t="str">
            <v>2HEB-240</v>
          </cell>
          <cell r="M474" t="str">
            <v>PL2H240</v>
          </cell>
          <cell r="N474" t="str">
            <v>EMT-T</v>
          </cell>
          <cell r="O474" t="str">
            <v>EMT-1</v>
          </cell>
          <cell r="Q474">
            <v>0</v>
          </cell>
          <cell r="R474" t="str">
            <v>inf</v>
          </cell>
          <cell r="T474">
            <v>-15</v>
          </cell>
          <cell r="U474">
            <v>-35</v>
          </cell>
          <cell r="W474">
            <v>1.4</v>
          </cell>
          <cell r="X474">
            <v>2.2999999999999998</v>
          </cell>
          <cell r="Z474">
            <v>0.45</v>
          </cell>
          <cell r="AD474" t="str">
            <v>PH-Q 1150</v>
          </cell>
          <cell r="AF474">
            <v>6000</v>
          </cell>
          <cell r="AG474">
            <v>7816.64</v>
          </cell>
          <cell r="AH474">
            <v>2929</v>
          </cell>
          <cell r="AI474">
            <v>577</v>
          </cell>
          <cell r="AM474" t="str">
            <v>RW2</v>
          </cell>
        </row>
        <row r="475">
          <cell r="A475" t="str">
            <v>Bridge 7.1</v>
          </cell>
          <cell r="G475">
            <v>45</v>
          </cell>
          <cell r="S475">
            <v>43.429999999999382</v>
          </cell>
        </row>
        <row r="476">
          <cell r="B476" t="str">
            <v>7-2.20</v>
          </cell>
          <cell r="C476">
            <v>7859</v>
          </cell>
          <cell r="F476">
            <v>0</v>
          </cell>
          <cell r="H476" t="str">
            <v>S/A</v>
          </cell>
          <cell r="L476" t="str">
            <v>2HEB-240</v>
          </cell>
          <cell r="M476" t="str">
            <v>PL2H240</v>
          </cell>
          <cell r="N476" t="str">
            <v>EMT-2</v>
          </cell>
          <cell r="O476" t="str">
            <v>EMT-T</v>
          </cell>
          <cell r="Q476">
            <v>0</v>
          </cell>
          <cell r="R476" t="str">
            <v>inf</v>
          </cell>
          <cell r="T476">
            <v>35</v>
          </cell>
          <cell r="U476">
            <v>15</v>
          </cell>
          <cell r="W476">
            <v>1.4</v>
          </cell>
          <cell r="X476">
            <v>2.2999999999999998</v>
          </cell>
          <cell r="AA476">
            <v>0.45</v>
          </cell>
          <cell r="AC476" t="str">
            <v>PH-Q 1150</v>
          </cell>
          <cell r="AF476">
            <v>6000</v>
          </cell>
          <cell r="AG476">
            <v>7860.07</v>
          </cell>
          <cell r="AH476">
            <v>2895</v>
          </cell>
          <cell r="AI476">
            <v>513</v>
          </cell>
          <cell r="AM476" t="str">
            <v>RW2</v>
          </cell>
        </row>
        <row r="477">
          <cell r="G477">
            <v>40</v>
          </cell>
          <cell r="I477">
            <v>615.5</v>
          </cell>
          <cell r="S477">
            <v>40.470000000000255</v>
          </cell>
        </row>
        <row r="478">
          <cell r="B478" t="str">
            <v>7-2.21</v>
          </cell>
          <cell r="C478">
            <v>7899</v>
          </cell>
          <cell r="F478">
            <v>0</v>
          </cell>
          <cell r="H478" t="str">
            <v>A/S</v>
          </cell>
          <cell r="I478" t="str">
            <v>FP+AnMC</v>
          </cell>
          <cell r="L478" t="str">
            <v>2HEB-300 (CP)</v>
          </cell>
          <cell r="M478" t="str">
            <v>PL2H300</v>
          </cell>
          <cell r="N478" t="str">
            <v>EMT-E</v>
          </cell>
          <cell r="Q478">
            <v>0</v>
          </cell>
          <cell r="R478" t="str">
            <v>inf</v>
          </cell>
          <cell r="T478">
            <v>-35</v>
          </cell>
          <cell r="W478">
            <v>1.4</v>
          </cell>
          <cell r="AC478" t="str">
            <v>PH-Q 1250</v>
          </cell>
          <cell r="AF478">
            <v>6000</v>
          </cell>
          <cell r="AG478">
            <v>7900.54</v>
          </cell>
          <cell r="AH478">
            <v>2843</v>
          </cell>
          <cell r="AI478">
            <v>521</v>
          </cell>
          <cell r="AM478" t="str">
            <v>RW2</v>
          </cell>
        </row>
        <row r="479">
          <cell r="G479">
            <v>40</v>
          </cell>
          <cell r="S479">
            <v>40.020000000000437</v>
          </cell>
        </row>
        <row r="480">
          <cell r="B480" t="str">
            <v>7-2.22</v>
          </cell>
          <cell r="C480">
            <v>7939</v>
          </cell>
          <cell r="F480">
            <v>0</v>
          </cell>
          <cell r="L480" t="str">
            <v>HEB-260</v>
          </cell>
          <cell r="M480" t="str">
            <v>PL4</v>
          </cell>
          <cell r="N480" t="str">
            <v>EMT-2</v>
          </cell>
          <cell r="Q480">
            <v>0</v>
          </cell>
          <cell r="R480" t="str">
            <v>inf</v>
          </cell>
          <cell r="T480">
            <v>35</v>
          </cell>
          <cell r="W480">
            <v>1.4</v>
          </cell>
          <cell r="AC480" t="str">
            <v>PH-Q 1150</v>
          </cell>
          <cell r="AF480">
            <v>6000</v>
          </cell>
          <cell r="AG480">
            <v>7940.56</v>
          </cell>
          <cell r="AH480">
            <v>2843</v>
          </cell>
          <cell r="AI480">
            <v>565</v>
          </cell>
          <cell r="AM480" t="str">
            <v>RW2</v>
          </cell>
        </row>
        <row r="481">
          <cell r="G481">
            <v>52</v>
          </cell>
          <cell r="S481">
            <v>51.799999999999272</v>
          </cell>
        </row>
        <row r="482">
          <cell r="B482" t="str">
            <v>7-2.23</v>
          </cell>
          <cell r="C482">
            <v>7991</v>
          </cell>
          <cell r="F482">
            <v>0</v>
          </cell>
          <cell r="L482" t="str">
            <v>HEB-260</v>
          </cell>
          <cell r="M482" t="str">
            <v>PL4</v>
          </cell>
          <cell r="N482" t="str">
            <v>EMT-1</v>
          </cell>
          <cell r="Q482">
            <v>0</v>
          </cell>
          <cell r="R482" t="str">
            <v>inf</v>
          </cell>
          <cell r="T482">
            <v>-35</v>
          </cell>
          <cell r="W482">
            <v>1.4</v>
          </cell>
          <cell r="AC482" t="str">
            <v>PH-Q 950</v>
          </cell>
          <cell r="AF482">
            <v>6000</v>
          </cell>
          <cell r="AG482">
            <v>7992.36</v>
          </cell>
          <cell r="AH482">
            <v>2826</v>
          </cell>
          <cell r="AI482">
            <v>740</v>
          </cell>
          <cell r="AM482" t="str">
            <v>RW2</v>
          </cell>
        </row>
        <row r="483">
          <cell r="A483" t="str">
            <v>Bridge 7.2</v>
          </cell>
          <cell r="G483">
            <v>48</v>
          </cell>
          <cell r="S483">
            <v>48.280000000000655</v>
          </cell>
        </row>
        <row r="484">
          <cell r="B484" t="str">
            <v>8-2.01</v>
          </cell>
          <cell r="C484">
            <v>8039</v>
          </cell>
          <cell r="F484">
            <v>0</v>
          </cell>
          <cell r="L484" t="str">
            <v>HEB-260</v>
          </cell>
          <cell r="M484" t="str">
            <v>PL4</v>
          </cell>
          <cell r="N484" t="str">
            <v>EMT-2</v>
          </cell>
          <cell r="Q484">
            <v>0</v>
          </cell>
          <cell r="R484" t="str">
            <v>inf</v>
          </cell>
          <cell r="T484">
            <v>35</v>
          </cell>
          <cell r="W484">
            <v>1.4</v>
          </cell>
          <cell r="AC484" t="str">
            <v>PH-Q 1150</v>
          </cell>
          <cell r="AF484">
            <v>6000</v>
          </cell>
          <cell r="AG484">
            <v>8040.64</v>
          </cell>
          <cell r="AH484">
            <v>2925</v>
          </cell>
          <cell r="AI484">
            <v>796</v>
          </cell>
          <cell r="AM484" t="str">
            <v>RW2</v>
          </cell>
        </row>
        <row r="485">
          <cell r="G485">
            <v>53</v>
          </cell>
          <cell r="S485">
            <v>53.309999999999491</v>
          </cell>
        </row>
        <row r="486">
          <cell r="B486" t="str">
            <v>8-2.02</v>
          </cell>
          <cell r="C486">
            <v>8092</v>
          </cell>
          <cell r="F486">
            <v>3450</v>
          </cell>
          <cell r="L486" t="str">
            <v>HEB-260</v>
          </cell>
          <cell r="M486" t="str">
            <v>PL4</v>
          </cell>
          <cell r="N486" t="str">
            <v>EMT-1</v>
          </cell>
          <cell r="Q486">
            <v>0</v>
          </cell>
          <cell r="R486" t="str">
            <v>inf</v>
          </cell>
          <cell r="T486">
            <v>-35</v>
          </cell>
          <cell r="W486">
            <v>1.4</v>
          </cell>
          <cell r="AC486" t="str">
            <v>PH-Q 1150</v>
          </cell>
          <cell r="AF486">
            <v>6000</v>
          </cell>
          <cell r="AG486">
            <v>8093.95</v>
          </cell>
          <cell r="AH486">
            <v>2864</v>
          </cell>
          <cell r="AI486">
            <v>779</v>
          </cell>
          <cell r="AM486" t="str">
            <v>RW2</v>
          </cell>
        </row>
        <row r="487">
          <cell r="G487">
            <v>47</v>
          </cell>
          <cell r="S487">
            <v>45.050000000000182</v>
          </cell>
        </row>
        <row r="488">
          <cell r="B488" t="str">
            <v>8-2.03</v>
          </cell>
          <cell r="C488">
            <v>8139</v>
          </cell>
          <cell r="F488">
            <v>1600</v>
          </cell>
          <cell r="L488" t="str">
            <v>HEB-280</v>
          </cell>
          <cell r="M488" t="str">
            <v>PL5</v>
          </cell>
          <cell r="N488" t="str">
            <v>EMT-2</v>
          </cell>
          <cell r="Q488">
            <v>0</v>
          </cell>
          <cell r="R488" t="str">
            <v>inf</v>
          </cell>
          <cell r="T488">
            <v>30</v>
          </cell>
          <cell r="W488">
            <v>1.4</v>
          </cell>
          <cell r="AC488" t="str">
            <v>PH-Q 1150</v>
          </cell>
          <cell r="AF488">
            <v>6000</v>
          </cell>
          <cell r="AG488">
            <v>8139</v>
          </cell>
          <cell r="AH488">
            <v>2813</v>
          </cell>
          <cell r="AI488">
            <v>790</v>
          </cell>
          <cell r="AM488" t="str">
            <v>RW2</v>
          </cell>
        </row>
        <row r="489">
          <cell r="G489">
            <v>33</v>
          </cell>
          <cell r="S489">
            <v>35.239999999999782</v>
          </cell>
        </row>
        <row r="490">
          <cell r="B490" t="str">
            <v>8-2.04</v>
          </cell>
          <cell r="C490">
            <v>8172</v>
          </cell>
          <cell r="F490">
            <v>800</v>
          </cell>
          <cell r="L490" t="str">
            <v>HEB-280</v>
          </cell>
          <cell r="M490" t="str">
            <v>PL5</v>
          </cell>
          <cell r="N490" t="str">
            <v>EMT-2</v>
          </cell>
          <cell r="Q490">
            <v>93</v>
          </cell>
          <cell r="R490">
            <v>1080</v>
          </cell>
          <cell r="T490">
            <v>30</v>
          </cell>
          <cell r="W490">
            <v>1.4</v>
          </cell>
          <cell r="AC490" t="str">
            <v>PH-Q 1150</v>
          </cell>
          <cell r="AF490">
            <v>6000</v>
          </cell>
          <cell r="AG490">
            <v>8174.24</v>
          </cell>
          <cell r="AH490">
            <v>2767</v>
          </cell>
          <cell r="AI490">
            <v>833</v>
          </cell>
          <cell r="AM490" t="str">
            <v>RW2</v>
          </cell>
        </row>
        <row r="491">
          <cell r="G491">
            <v>29</v>
          </cell>
          <cell r="S491">
            <v>27.790000000000873</v>
          </cell>
        </row>
        <row r="492">
          <cell r="B492" t="str">
            <v>8-2.05</v>
          </cell>
          <cell r="C492">
            <v>8201</v>
          </cell>
          <cell r="F492">
            <v>800</v>
          </cell>
          <cell r="L492" t="str">
            <v>HEB-280</v>
          </cell>
          <cell r="M492" t="str">
            <v>PL5</v>
          </cell>
          <cell r="N492" t="str">
            <v>EMT-2</v>
          </cell>
          <cell r="Q492">
            <v>110</v>
          </cell>
          <cell r="R492">
            <v>800</v>
          </cell>
          <cell r="T492">
            <v>30</v>
          </cell>
          <cell r="W492">
            <v>1.4</v>
          </cell>
          <cell r="AC492" t="str">
            <v>PH-Q 1150</v>
          </cell>
          <cell r="AF492">
            <v>6000</v>
          </cell>
          <cell r="AG492">
            <v>8202.0300000000007</v>
          </cell>
          <cell r="AH492">
            <v>2645</v>
          </cell>
          <cell r="AI492">
            <v>823</v>
          </cell>
          <cell r="AM492" t="str">
            <v>RW2</v>
          </cell>
        </row>
        <row r="493">
          <cell r="G493">
            <v>30</v>
          </cell>
          <cell r="S493">
            <v>29.289999999999054</v>
          </cell>
        </row>
        <row r="494">
          <cell r="B494" t="str">
            <v>8-2.06</v>
          </cell>
          <cell r="C494">
            <v>8231</v>
          </cell>
          <cell r="F494">
            <v>800</v>
          </cell>
          <cell r="H494" t="str">
            <v>AnMP</v>
          </cell>
          <cell r="L494" t="str">
            <v>2HEB-280</v>
          </cell>
          <cell r="M494" t="str">
            <v>PL2H280</v>
          </cell>
          <cell r="N494" t="str">
            <v>EMT-2</v>
          </cell>
          <cell r="Q494">
            <v>109</v>
          </cell>
          <cell r="R494">
            <v>800</v>
          </cell>
          <cell r="T494">
            <v>30</v>
          </cell>
          <cell r="W494">
            <v>1.4</v>
          </cell>
          <cell r="AC494" t="str">
            <v>PH-Q 1150</v>
          </cell>
          <cell r="AF494">
            <v>6000</v>
          </cell>
          <cell r="AG494">
            <v>8231.32</v>
          </cell>
          <cell r="AH494">
            <v>2615</v>
          </cell>
          <cell r="AI494">
            <v>798</v>
          </cell>
          <cell r="AM494" t="str">
            <v>RW2</v>
          </cell>
        </row>
        <row r="495">
          <cell r="G495">
            <v>36</v>
          </cell>
          <cell r="I495">
            <v>489</v>
          </cell>
          <cell r="S495">
            <v>35.940000000000509</v>
          </cell>
        </row>
        <row r="496">
          <cell r="B496" t="str">
            <v>8-2.07</v>
          </cell>
          <cell r="C496">
            <v>8267</v>
          </cell>
          <cell r="F496">
            <v>800</v>
          </cell>
          <cell r="H496" t="str">
            <v>MP</v>
          </cell>
          <cell r="L496" t="str">
            <v>HEB-280</v>
          </cell>
          <cell r="M496" t="str">
            <v>PL5</v>
          </cell>
          <cell r="N496" t="str">
            <v>EMT-2</v>
          </cell>
          <cell r="Q496">
            <v>112</v>
          </cell>
          <cell r="R496">
            <v>800</v>
          </cell>
          <cell r="T496">
            <v>30</v>
          </cell>
          <cell r="W496">
            <v>1.4</v>
          </cell>
          <cell r="AC496" t="str">
            <v>PH-Q 1150</v>
          </cell>
          <cell r="AF496">
            <v>6000</v>
          </cell>
          <cell r="AG496">
            <v>8267.26</v>
          </cell>
          <cell r="AH496">
            <v>2619</v>
          </cell>
          <cell r="AI496">
            <v>915</v>
          </cell>
          <cell r="AM496" t="str">
            <v>RW2</v>
          </cell>
        </row>
        <row r="497">
          <cell r="A497" t="str">
            <v>Bridge 7.3</v>
          </cell>
          <cell r="G497">
            <v>39</v>
          </cell>
          <cell r="I497">
            <v>468</v>
          </cell>
          <cell r="S497">
            <v>39.789999999999054</v>
          </cell>
        </row>
        <row r="498">
          <cell r="B498" t="str">
            <v>8-2.08</v>
          </cell>
          <cell r="C498">
            <v>8306</v>
          </cell>
          <cell r="F498">
            <v>800</v>
          </cell>
          <cell r="H498" t="str">
            <v>AnMP</v>
          </cell>
          <cell r="L498" t="str">
            <v>2HEB-280</v>
          </cell>
          <cell r="M498" t="str">
            <v>PL2H280</v>
          </cell>
          <cell r="N498" t="str">
            <v>EMT-2</v>
          </cell>
          <cell r="Q498">
            <v>105</v>
          </cell>
          <cell r="R498">
            <v>800</v>
          </cell>
          <cell r="T498">
            <v>30</v>
          </cell>
          <cell r="W498">
            <v>1.4</v>
          </cell>
          <cell r="AC498" t="str">
            <v>PH-Q 1150</v>
          </cell>
          <cell r="AF498">
            <v>6000</v>
          </cell>
          <cell r="AG498">
            <v>8307.0499999999993</v>
          </cell>
          <cell r="AH498">
            <v>2524</v>
          </cell>
          <cell r="AI498">
            <v>807</v>
          </cell>
          <cell r="AM498" t="str">
            <v>RW2</v>
          </cell>
        </row>
        <row r="499">
          <cell r="G499">
            <v>33</v>
          </cell>
          <cell r="S499">
            <v>32.460000000000946</v>
          </cell>
        </row>
        <row r="500">
          <cell r="B500" t="str">
            <v>8-2.09</v>
          </cell>
          <cell r="C500">
            <v>8339</v>
          </cell>
          <cell r="F500">
            <v>800</v>
          </cell>
          <cell r="L500" t="str">
            <v>HEB-280</v>
          </cell>
          <cell r="M500" t="str">
            <v>PL5</v>
          </cell>
          <cell r="N500" t="str">
            <v>EMT-2</v>
          </cell>
          <cell r="Q500">
            <v>109</v>
          </cell>
          <cell r="R500">
            <v>800</v>
          </cell>
          <cell r="T500">
            <v>30</v>
          </cell>
          <cell r="W500">
            <v>1.4</v>
          </cell>
          <cell r="AC500" t="str">
            <v>PH-Q 1150</v>
          </cell>
          <cell r="AF500">
            <v>6000</v>
          </cell>
          <cell r="AG500">
            <v>8339.51</v>
          </cell>
          <cell r="AH500">
            <v>2584</v>
          </cell>
          <cell r="AI500">
            <v>846</v>
          </cell>
          <cell r="AM500" t="str">
            <v>RW2</v>
          </cell>
        </row>
        <row r="501">
          <cell r="G501">
            <v>36</v>
          </cell>
          <cell r="S501">
            <v>35.469999999999345</v>
          </cell>
        </row>
        <row r="502">
          <cell r="B502" t="str">
            <v>8-2.10</v>
          </cell>
          <cell r="C502">
            <v>8375</v>
          </cell>
          <cell r="F502">
            <v>800</v>
          </cell>
          <cell r="L502" t="str">
            <v>HEB-280</v>
          </cell>
          <cell r="M502" t="str">
            <v>PL5</v>
          </cell>
          <cell r="N502" t="str">
            <v>EMT-2</v>
          </cell>
          <cell r="Q502">
            <v>110</v>
          </cell>
          <cell r="R502">
            <v>800</v>
          </cell>
          <cell r="T502">
            <v>30</v>
          </cell>
          <cell r="W502">
            <v>1.4</v>
          </cell>
          <cell r="AC502" t="str">
            <v>PH-Q 1150</v>
          </cell>
          <cell r="AF502">
            <v>6000</v>
          </cell>
          <cell r="AG502">
            <v>8374.98</v>
          </cell>
          <cell r="AH502">
            <v>2613</v>
          </cell>
          <cell r="AI502">
            <v>815</v>
          </cell>
          <cell r="AM502" t="str">
            <v>RW2</v>
          </cell>
        </row>
        <row r="503">
          <cell r="G503">
            <v>36</v>
          </cell>
          <cell r="S503">
            <v>-2964.8999999999996</v>
          </cell>
        </row>
        <row r="504">
          <cell r="B504" t="str">
            <v>8-2.11</v>
          </cell>
          <cell r="C504">
            <v>8411</v>
          </cell>
          <cell r="F504">
            <v>800</v>
          </cell>
          <cell r="L504" t="str">
            <v>HEB-280</v>
          </cell>
          <cell r="M504" t="str">
            <v>PL5</v>
          </cell>
          <cell r="N504" t="str">
            <v>EMT-2</v>
          </cell>
          <cell r="Q504">
            <v>108</v>
          </cell>
          <cell r="R504">
            <v>800</v>
          </cell>
          <cell r="T504">
            <v>30</v>
          </cell>
          <cell r="W504">
            <v>1.4</v>
          </cell>
          <cell r="AC504" t="str">
            <v>PH-Q 1150</v>
          </cell>
          <cell r="AF504">
            <v>6000</v>
          </cell>
          <cell r="AG504">
            <v>5410.08</v>
          </cell>
          <cell r="AH504">
            <v>2633</v>
          </cell>
          <cell r="AI504">
            <v>805</v>
          </cell>
          <cell r="AM504" t="str">
            <v>RW2</v>
          </cell>
        </row>
        <row r="505">
          <cell r="G505">
            <v>36</v>
          </cell>
          <cell r="S505">
            <v>3036.59</v>
          </cell>
        </row>
        <row r="506">
          <cell r="B506" t="str">
            <v>8-2.12</v>
          </cell>
          <cell r="C506">
            <v>8447</v>
          </cell>
          <cell r="F506">
            <v>800</v>
          </cell>
          <cell r="L506" t="str">
            <v>HEB-280</v>
          </cell>
          <cell r="M506" t="str">
            <v>PL5</v>
          </cell>
          <cell r="N506" t="str">
            <v>EMT-2</v>
          </cell>
          <cell r="Q506">
            <v>107</v>
          </cell>
          <cell r="R506">
            <v>800</v>
          </cell>
          <cell r="T506">
            <v>30</v>
          </cell>
          <cell r="W506">
            <v>1.4</v>
          </cell>
          <cell r="AC506" t="str">
            <v>PH-Q 1150</v>
          </cell>
          <cell r="AF506">
            <v>6000</v>
          </cell>
          <cell r="AG506">
            <v>8446.67</v>
          </cell>
          <cell r="AH506">
            <v>2546</v>
          </cell>
          <cell r="AI506">
            <v>779</v>
          </cell>
          <cell r="AM506" t="str">
            <v>RW2</v>
          </cell>
        </row>
        <row r="507">
          <cell r="G507">
            <v>36</v>
          </cell>
          <cell r="S507">
            <v>36.289999999999054</v>
          </cell>
        </row>
        <row r="508">
          <cell r="B508" t="str">
            <v>8-2.13</v>
          </cell>
          <cell r="C508">
            <v>8483</v>
          </cell>
          <cell r="F508">
            <v>800</v>
          </cell>
          <cell r="L508" t="str">
            <v>HEB-280</v>
          </cell>
          <cell r="M508" t="str">
            <v>PL5</v>
          </cell>
          <cell r="N508" t="str">
            <v>EMT-2</v>
          </cell>
          <cell r="Q508">
            <v>104</v>
          </cell>
          <cell r="R508">
            <v>800</v>
          </cell>
          <cell r="T508">
            <v>30</v>
          </cell>
          <cell r="W508">
            <v>1.4</v>
          </cell>
          <cell r="AC508" t="str">
            <v>PH-Q 1150</v>
          </cell>
          <cell r="AF508">
            <v>6000</v>
          </cell>
          <cell r="AG508">
            <v>8482.9599999999991</v>
          </cell>
          <cell r="AH508">
            <v>2693</v>
          </cell>
          <cell r="AI508">
            <v>799</v>
          </cell>
          <cell r="AM508" t="str">
            <v>RW2</v>
          </cell>
        </row>
        <row r="509">
          <cell r="G509">
            <v>36</v>
          </cell>
          <cell r="S509">
            <v>35.490000000001601</v>
          </cell>
        </row>
        <row r="510">
          <cell r="B510" t="str">
            <v>8-2.14</v>
          </cell>
          <cell r="C510">
            <v>8519</v>
          </cell>
          <cell r="F510">
            <v>800</v>
          </cell>
          <cell r="L510" t="str">
            <v>HEB-280</v>
          </cell>
          <cell r="M510" t="str">
            <v>PL5</v>
          </cell>
          <cell r="N510" t="str">
            <v>EMT-2</v>
          </cell>
          <cell r="Q510">
            <v>105</v>
          </cell>
          <cell r="R510">
            <v>800</v>
          </cell>
          <cell r="T510">
            <v>30</v>
          </cell>
          <cell r="W510">
            <v>1.4</v>
          </cell>
          <cell r="AC510" t="str">
            <v>PH-Q 1150</v>
          </cell>
          <cell r="AF510">
            <v>6000</v>
          </cell>
          <cell r="AG510">
            <v>8518.4500000000007</v>
          </cell>
          <cell r="AH510">
            <v>3042</v>
          </cell>
          <cell r="AI510">
            <v>888</v>
          </cell>
          <cell r="AM510" t="str">
            <v>RW2</v>
          </cell>
        </row>
        <row r="511">
          <cell r="G511">
            <v>36</v>
          </cell>
          <cell r="S511">
            <v>35.889999999999418</v>
          </cell>
        </row>
        <row r="512">
          <cell r="B512" t="str">
            <v>8-2.15</v>
          </cell>
          <cell r="C512">
            <v>8555</v>
          </cell>
          <cell r="F512">
            <v>800</v>
          </cell>
          <cell r="H512" t="str">
            <v>A/S</v>
          </cell>
          <cell r="I512" t="str">
            <v>FP+AnMC</v>
          </cell>
          <cell r="L512" t="str">
            <v>2HEB-300 (CP)</v>
          </cell>
          <cell r="M512" t="str">
            <v>PL2H300</v>
          </cell>
          <cell r="N512" t="str">
            <v>EMT-2</v>
          </cell>
          <cell r="Q512">
            <v>108</v>
          </cell>
          <cell r="R512">
            <v>800</v>
          </cell>
          <cell r="T512">
            <v>30</v>
          </cell>
          <cell r="W512">
            <v>1.4</v>
          </cell>
          <cell r="AC512" t="str">
            <v>PH-C 1150</v>
          </cell>
          <cell r="AF512">
            <v>6000</v>
          </cell>
          <cell r="AG512">
            <v>8554.34</v>
          </cell>
          <cell r="AH512">
            <v>3145</v>
          </cell>
          <cell r="AI512">
            <v>843</v>
          </cell>
          <cell r="AM512" t="str">
            <v>RW2</v>
          </cell>
        </row>
        <row r="513">
          <cell r="G513">
            <v>36</v>
          </cell>
          <cell r="I513">
            <v>562</v>
          </cell>
          <cell r="S513">
            <v>35.420000000000073</v>
          </cell>
        </row>
        <row r="514">
          <cell r="B514" t="str">
            <v>8-2.16</v>
          </cell>
          <cell r="C514">
            <v>8591</v>
          </cell>
          <cell r="F514">
            <v>800</v>
          </cell>
          <cell r="H514" t="str">
            <v>S/A</v>
          </cell>
          <cell r="L514" t="str">
            <v>2HEB-260</v>
          </cell>
          <cell r="M514" t="str">
            <v>PL2H260</v>
          </cell>
          <cell r="N514" t="str">
            <v>EMT-T</v>
          </cell>
          <cell r="O514" t="str">
            <v>EMT-2</v>
          </cell>
          <cell r="Q514">
            <v>111</v>
          </cell>
          <cell r="R514">
            <v>800</v>
          </cell>
          <cell r="T514">
            <v>55</v>
          </cell>
          <cell r="U514">
            <v>10</v>
          </cell>
          <cell r="W514">
            <v>1.4</v>
          </cell>
          <cell r="X514">
            <v>2.2999999999999998</v>
          </cell>
          <cell r="Z514">
            <v>0.6</v>
          </cell>
          <cell r="AD514" t="str">
            <v>PH-Q 1150</v>
          </cell>
          <cell r="AF514">
            <v>6000</v>
          </cell>
          <cell r="AG514">
            <v>8589.76</v>
          </cell>
          <cell r="AH514">
            <v>3086</v>
          </cell>
          <cell r="AI514">
            <v>758</v>
          </cell>
          <cell r="AM514" t="str">
            <v>RW2</v>
          </cell>
        </row>
        <row r="515">
          <cell r="G515">
            <v>36</v>
          </cell>
          <cell r="S515">
            <v>36.049999999999272</v>
          </cell>
        </row>
        <row r="516">
          <cell r="B516" t="str">
            <v>8-2.17</v>
          </cell>
          <cell r="C516">
            <v>8627</v>
          </cell>
          <cell r="F516">
            <v>800</v>
          </cell>
          <cell r="H516" t="str">
            <v>S/A</v>
          </cell>
          <cell r="L516" t="str">
            <v>2HEB-260</v>
          </cell>
          <cell r="M516" t="str">
            <v>PL2H260</v>
          </cell>
          <cell r="N516" t="str">
            <v>EMT-2</v>
          </cell>
          <cell r="O516" t="str">
            <v>EMT-2</v>
          </cell>
          <cell r="Q516">
            <v>113</v>
          </cell>
          <cell r="R516">
            <v>800</v>
          </cell>
          <cell r="T516">
            <v>55</v>
          </cell>
          <cell r="U516">
            <v>10</v>
          </cell>
          <cell r="W516">
            <v>1.4</v>
          </cell>
          <cell r="X516">
            <v>2.2999999999999998</v>
          </cell>
          <cell r="Z516">
            <v>0.1</v>
          </cell>
          <cell r="AC516" t="str">
            <v>PH-C 1150</v>
          </cell>
          <cell r="AD516" t="str">
            <v>BCE 1500</v>
          </cell>
          <cell r="AF516">
            <v>6000</v>
          </cell>
          <cell r="AG516">
            <v>8625.81</v>
          </cell>
          <cell r="AH516">
            <v>2756</v>
          </cell>
          <cell r="AI516">
            <v>803</v>
          </cell>
          <cell r="AM516" t="str">
            <v>RW2</v>
          </cell>
        </row>
        <row r="517">
          <cell r="A517" t="str">
            <v>Bridge 7.4</v>
          </cell>
          <cell r="G517">
            <v>36</v>
          </cell>
          <cell r="S517">
            <v>35.440000000000509</v>
          </cell>
        </row>
        <row r="518">
          <cell r="B518" t="str">
            <v>8-2.18</v>
          </cell>
          <cell r="C518">
            <v>8663</v>
          </cell>
          <cell r="F518">
            <v>800</v>
          </cell>
          <cell r="H518" t="str">
            <v>S/A</v>
          </cell>
          <cell r="L518" t="str">
            <v>2HEB-260</v>
          </cell>
          <cell r="M518" t="str">
            <v>PL2H260</v>
          </cell>
          <cell r="N518" t="str">
            <v>EMT-2</v>
          </cell>
          <cell r="O518" t="str">
            <v>EMT-2</v>
          </cell>
          <cell r="Q518">
            <v>110</v>
          </cell>
          <cell r="R518">
            <v>872</v>
          </cell>
          <cell r="T518">
            <v>30</v>
          </cell>
          <cell r="U518">
            <v>-15</v>
          </cell>
          <cell r="W518">
            <v>1.4</v>
          </cell>
          <cell r="X518">
            <v>2.2999999999999998</v>
          </cell>
          <cell r="AA518">
            <v>0.1</v>
          </cell>
          <cell r="AC518" t="str">
            <v>PH-Q 1150</v>
          </cell>
          <cell r="AD518" t="str">
            <v>BC 1500</v>
          </cell>
          <cell r="AF518">
            <v>6000</v>
          </cell>
          <cell r="AG518">
            <v>8661.25</v>
          </cell>
          <cell r="AH518">
            <v>2408</v>
          </cell>
          <cell r="AI518">
            <v>723</v>
          </cell>
          <cell r="AM518" t="str">
            <v>RW2</v>
          </cell>
        </row>
        <row r="519">
          <cell r="G519">
            <v>36</v>
          </cell>
          <cell r="S519">
            <v>39.409999999999854</v>
          </cell>
        </row>
        <row r="520">
          <cell r="A520" t="str">
            <v>TEU-02</v>
          </cell>
          <cell r="B520" t="str">
            <v>8-2.19</v>
          </cell>
          <cell r="C520">
            <v>8699</v>
          </cell>
          <cell r="F520">
            <v>1275</v>
          </cell>
          <cell r="H520" t="str">
            <v>S/A</v>
          </cell>
          <cell r="I520" t="str">
            <v>IO</v>
          </cell>
          <cell r="L520" t="str">
            <v>2HEB-260</v>
          </cell>
          <cell r="M520" t="str">
            <v>PL2H260</v>
          </cell>
          <cell r="N520" t="str">
            <v>EMT-2</v>
          </cell>
          <cell r="O520" t="str">
            <v>EMT-T</v>
          </cell>
          <cell r="Q520">
            <v>61</v>
          </cell>
          <cell r="R520">
            <v>3303</v>
          </cell>
          <cell r="T520">
            <v>30</v>
          </cell>
          <cell r="U520">
            <v>-15</v>
          </cell>
          <cell r="W520">
            <v>1.4</v>
          </cell>
          <cell r="X520">
            <v>2.2999999999999998</v>
          </cell>
          <cell r="AA520">
            <v>0.6</v>
          </cell>
          <cell r="AC520" t="str">
            <v>PH 1150</v>
          </cell>
          <cell r="AF520">
            <v>6000</v>
          </cell>
          <cell r="AG520">
            <v>8700.66</v>
          </cell>
          <cell r="AH520">
            <v>2674</v>
          </cell>
          <cell r="AI520">
            <v>673</v>
          </cell>
          <cell r="AJ520" t="str">
            <v>Disc/IO</v>
          </cell>
          <cell r="AM520" t="str">
            <v>RW2</v>
          </cell>
        </row>
        <row r="521">
          <cell r="G521">
            <v>36</v>
          </cell>
          <cell r="S521">
            <v>32.469999999999345</v>
          </cell>
        </row>
        <row r="522">
          <cell r="A522" t="str">
            <v>End bridge 7</v>
          </cell>
          <cell r="B522" t="str">
            <v>8-2.20</v>
          </cell>
          <cell r="C522">
            <v>8735</v>
          </cell>
          <cell r="F522">
            <v>7200</v>
          </cell>
          <cell r="H522" t="str">
            <v xml:space="preserve"> A/S</v>
          </cell>
          <cell r="I522" t="str">
            <v>CP+AnMC</v>
          </cell>
          <cell r="L522" t="str">
            <v>2HEB-300 (CP)</v>
          </cell>
          <cell r="M522" t="str">
            <v>PL2H300</v>
          </cell>
          <cell r="N522" t="str">
            <v>EMT-2</v>
          </cell>
          <cell r="Q522">
            <v>22</v>
          </cell>
          <cell r="R522">
            <v>3303</v>
          </cell>
          <cell r="T522">
            <v>20</v>
          </cell>
          <cell r="W522">
            <v>1.4</v>
          </cell>
          <cell r="AC522" t="str">
            <v>PH 1150</v>
          </cell>
          <cell r="AF522">
            <v>6000</v>
          </cell>
          <cell r="AG522">
            <v>8733.1299999999992</v>
          </cell>
          <cell r="AH522">
            <v>2753</v>
          </cell>
          <cell r="AI522">
            <v>719</v>
          </cell>
          <cell r="AM522" t="str">
            <v>RW2</v>
          </cell>
        </row>
        <row r="523">
          <cell r="G523">
            <v>45</v>
          </cell>
          <cell r="S523">
            <v>46</v>
          </cell>
        </row>
        <row r="524">
          <cell r="B524" t="str">
            <v>8-2.21</v>
          </cell>
          <cell r="C524">
            <v>8780</v>
          </cell>
          <cell r="F524">
            <v>0</v>
          </cell>
          <cell r="I524" t="str">
            <v>AnRW</v>
          </cell>
          <cell r="J524">
            <v>8787.5</v>
          </cell>
          <cell r="K524" t="str">
            <v>AnM-RT</v>
          </cell>
          <cell r="L524" t="str">
            <v>HEB-240</v>
          </cell>
          <cell r="M524" t="str">
            <v>C3RT</v>
          </cell>
          <cell r="N524" t="str">
            <v>EMT-1</v>
          </cell>
          <cell r="Q524">
            <v>0</v>
          </cell>
          <cell r="R524" t="str">
            <v>inf</v>
          </cell>
          <cell r="T524">
            <v>-35</v>
          </cell>
          <cell r="W524">
            <v>1.4</v>
          </cell>
          <cell r="AC524" t="str">
            <v>PH-Q 1150</v>
          </cell>
          <cell r="AF524">
            <v>6000</v>
          </cell>
          <cell r="AG524">
            <v>8779.1299999999992</v>
          </cell>
          <cell r="AH524">
            <v>2523</v>
          </cell>
          <cell r="AI524">
            <v>521</v>
          </cell>
          <cell r="AM524" t="str">
            <v>RW2</v>
          </cell>
        </row>
        <row r="525">
          <cell r="G525">
            <v>50.5</v>
          </cell>
          <cell r="I525" t="str">
            <v>AnRW</v>
          </cell>
          <cell r="J525">
            <v>8789.5</v>
          </cell>
          <cell r="K525" t="str">
            <v>AnM-RT</v>
          </cell>
          <cell r="S525">
            <v>50.600000000000364</v>
          </cell>
        </row>
        <row r="526">
          <cell r="B526" t="str">
            <v>8-2.22</v>
          </cell>
          <cell r="C526">
            <v>8830.5</v>
          </cell>
          <cell r="F526">
            <v>0</v>
          </cell>
          <cell r="H526" t="str">
            <v>P50</v>
          </cell>
          <cell r="N526" t="str">
            <v>EMT-2P</v>
          </cell>
          <cell r="O526" t="str">
            <v>EMT-EP</v>
          </cell>
          <cell r="Q526">
            <v>0</v>
          </cell>
          <cell r="R526">
            <v>0</v>
          </cell>
          <cell r="T526">
            <v>30</v>
          </cell>
          <cell r="U526">
            <v>15</v>
          </cell>
          <cell r="W526">
            <v>1.4</v>
          </cell>
          <cell r="X526">
            <v>2.2999999999999998</v>
          </cell>
          <cell r="AC526" t="str">
            <v>PH-Q 1150</v>
          </cell>
          <cell r="AD526" t="str">
            <v>BTC 1651</v>
          </cell>
          <cell r="AF526">
            <v>100</v>
          </cell>
          <cell r="AG526">
            <v>8829.73</v>
          </cell>
          <cell r="AH526">
            <v>2432</v>
          </cell>
          <cell r="AI526">
            <v>-5010</v>
          </cell>
          <cell r="AJ526" t="str">
            <v xml:space="preserve">SECT-I </v>
          </cell>
          <cell r="AK526" t="str">
            <v>S2</v>
          </cell>
        </row>
        <row r="527">
          <cell r="G527">
            <v>48</v>
          </cell>
          <cell r="S527">
            <v>47.600000000000364</v>
          </cell>
        </row>
        <row r="528">
          <cell r="B528" t="str">
            <v>8-2.23</v>
          </cell>
          <cell r="C528">
            <v>8878.5</v>
          </cell>
          <cell r="F528">
            <v>0</v>
          </cell>
          <cell r="H528" t="str">
            <v>P50</v>
          </cell>
          <cell r="N528" t="str">
            <v>EMT-2P</v>
          </cell>
          <cell r="O528" t="str">
            <v>EMT-1P</v>
          </cell>
          <cell r="Q528">
            <v>0</v>
          </cell>
          <cell r="R528">
            <v>0</v>
          </cell>
          <cell r="T528">
            <v>-15</v>
          </cell>
          <cell r="U528">
            <v>-30</v>
          </cell>
          <cell r="W528">
            <v>1.4</v>
          </cell>
          <cell r="X528">
            <v>2.2999999999999998</v>
          </cell>
          <cell r="AC528" t="str">
            <v>BTC 1651</v>
          </cell>
          <cell r="AD528" t="str">
            <v>PH-Q 1150</v>
          </cell>
          <cell r="AF528">
            <v>100</v>
          </cell>
          <cell r="AG528">
            <v>8877.33</v>
          </cell>
          <cell r="AH528">
            <v>2162</v>
          </cell>
          <cell r="AI528">
            <v>-5050</v>
          </cell>
          <cell r="AK528" t="str">
            <v>S2</v>
          </cell>
        </row>
        <row r="529">
          <cell r="G529">
            <v>55.5</v>
          </cell>
          <cell r="S529">
            <v>55.079999999999927</v>
          </cell>
        </row>
        <row r="530">
          <cell r="B530" t="str">
            <v>8-2.24</v>
          </cell>
          <cell r="C530">
            <v>8934</v>
          </cell>
          <cell r="F530">
            <v>0</v>
          </cell>
          <cell r="N530" t="str">
            <v>EMT-2P</v>
          </cell>
          <cell r="Q530">
            <v>0</v>
          </cell>
          <cell r="R530">
            <v>0</v>
          </cell>
          <cell r="T530">
            <v>35</v>
          </cell>
          <cell r="W530">
            <v>1.4</v>
          </cell>
          <cell r="AC530" t="str">
            <v>PH-Q 1150</v>
          </cell>
          <cell r="AF530">
            <v>100</v>
          </cell>
          <cell r="AG530">
            <v>8932.41</v>
          </cell>
          <cell r="AH530">
            <v>1722</v>
          </cell>
          <cell r="AI530">
            <v>-5000</v>
          </cell>
          <cell r="AK530" t="str">
            <v>S1</v>
          </cell>
        </row>
        <row r="531">
          <cell r="G531">
            <v>40.5</v>
          </cell>
          <cell r="J531">
            <v>8967</v>
          </cell>
          <cell r="K531" t="str">
            <v>AnMC-RT</v>
          </cell>
          <cell r="S531">
            <v>41.280000000000655</v>
          </cell>
        </row>
        <row r="532">
          <cell r="B532" t="str">
            <v>8-2.25</v>
          </cell>
          <cell r="C532">
            <v>8974.5</v>
          </cell>
          <cell r="F532">
            <v>0</v>
          </cell>
          <cell r="H532" t="str">
            <v>A/S</v>
          </cell>
          <cell r="I532" t="str">
            <v>CP+AnMC</v>
          </cell>
          <cell r="L532" t="str">
            <v>HEB-260 (CP)</v>
          </cell>
          <cell r="M532" t="str">
            <v>C4RT</v>
          </cell>
          <cell r="N532" t="str">
            <v>EMT-1</v>
          </cell>
          <cell r="Q532">
            <v>0</v>
          </cell>
          <cell r="R532">
            <v>0</v>
          </cell>
          <cell r="T532">
            <v>-25</v>
          </cell>
          <cell r="W532">
            <v>1.4</v>
          </cell>
          <cell r="AC532" t="str">
            <v>PHQ-1150</v>
          </cell>
          <cell r="AF532">
            <v>6000</v>
          </cell>
          <cell r="AG532">
            <v>8973.69</v>
          </cell>
          <cell r="AH532">
            <v>2488</v>
          </cell>
          <cell r="AI532">
            <v>536</v>
          </cell>
          <cell r="AM532" t="str">
            <v>RW2</v>
          </cell>
        </row>
        <row r="533">
          <cell r="G533">
            <v>39.5</v>
          </cell>
          <cell r="I533" t="str">
            <v>AnRW</v>
          </cell>
          <cell r="J533">
            <v>9004.5</v>
          </cell>
          <cell r="K533" t="str">
            <v>AnM-RT</v>
          </cell>
          <cell r="S533">
            <v>38.829999999999927</v>
          </cell>
        </row>
        <row r="534">
          <cell r="B534" t="str">
            <v>9-2.01</v>
          </cell>
          <cell r="C534">
            <v>9014</v>
          </cell>
          <cell r="F534">
            <v>0</v>
          </cell>
          <cell r="H534" t="str">
            <v>S/A</v>
          </cell>
          <cell r="I534" t="str">
            <v>AnRW</v>
          </cell>
          <cell r="J534">
            <v>9006.5</v>
          </cell>
          <cell r="K534" t="str">
            <v>AnM-RT</v>
          </cell>
          <cell r="L534" t="str">
            <v>2HEB-240</v>
          </cell>
          <cell r="M534" t="str">
            <v>C2H-240RT</v>
          </cell>
          <cell r="N534" t="str">
            <v>EMT-T</v>
          </cell>
          <cell r="O534" t="str">
            <v>EMT-2</v>
          </cell>
          <cell r="Q534">
            <v>0</v>
          </cell>
          <cell r="R534">
            <v>0</v>
          </cell>
          <cell r="T534">
            <v>55</v>
          </cell>
          <cell r="U534">
            <v>10</v>
          </cell>
          <cell r="W534">
            <v>1.4</v>
          </cell>
          <cell r="X534">
            <v>2.2999999999999998</v>
          </cell>
          <cell r="Z534">
            <v>0.45</v>
          </cell>
          <cell r="AD534" t="str">
            <v>PH-1150</v>
          </cell>
          <cell r="AF534">
            <v>6000</v>
          </cell>
          <cell r="AG534">
            <v>9012.52</v>
          </cell>
          <cell r="AH534">
            <v>2481</v>
          </cell>
          <cell r="AI534">
            <v>654</v>
          </cell>
          <cell r="AM534" t="str">
            <v>RW2</v>
          </cell>
        </row>
        <row r="535">
          <cell r="G535">
            <v>45</v>
          </cell>
          <cell r="S535">
            <v>45.219999999999345</v>
          </cell>
        </row>
        <row r="536">
          <cell r="A536" t="str">
            <v>TEU-04</v>
          </cell>
          <cell r="B536" t="str">
            <v>9-2.02</v>
          </cell>
          <cell r="C536">
            <v>9059</v>
          </cell>
          <cell r="F536">
            <v>0</v>
          </cell>
          <cell r="H536" t="str">
            <v>S/A</v>
          </cell>
          <cell r="I536" t="str">
            <v>IO</v>
          </cell>
          <cell r="L536" t="str">
            <v>HEB-260</v>
          </cell>
          <cell r="M536" t="str">
            <v>C4RT</v>
          </cell>
          <cell r="N536" t="str">
            <v>EMT-1</v>
          </cell>
          <cell r="O536" t="str">
            <v>EMT-T</v>
          </cell>
          <cell r="Q536">
            <v>8</v>
          </cell>
          <cell r="R536">
            <v>3811.71</v>
          </cell>
          <cell r="T536">
            <v>-10</v>
          </cell>
          <cell r="U536">
            <v>-55</v>
          </cell>
          <cell r="W536">
            <v>1.4</v>
          </cell>
          <cell r="X536">
            <v>2.2999999999999998</v>
          </cell>
          <cell r="AA536">
            <v>0.45</v>
          </cell>
          <cell r="AC536" t="str">
            <v>PH-1050</v>
          </cell>
          <cell r="AF536">
            <v>6000</v>
          </cell>
          <cell r="AG536">
            <v>9057.74</v>
          </cell>
          <cell r="AH536">
            <v>2608</v>
          </cell>
          <cell r="AI536">
            <v>620</v>
          </cell>
          <cell r="AJ536" t="str">
            <v>Disc/IO</v>
          </cell>
          <cell r="AM536" t="str">
            <v>RW2</v>
          </cell>
        </row>
        <row r="537">
          <cell r="G537">
            <v>58</v>
          </cell>
          <cell r="S537">
            <v>57.780000000000655</v>
          </cell>
        </row>
        <row r="538">
          <cell r="B538" t="str">
            <v>9-2.03</v>
          </cell>
          <cell r="C538">
            <v>9117</v>
          </cell>
          <cell r="F538">
            <v>3400</v>
          </cell>
          <cell r="H538" t="str">
            <v>A/S</v>
          </cell>
          <cell r="I538" t="str">
            <v>CP+AnMC</v>
          </cell>
          <cell r="L538" t="str">
            <v>HEB-260 (CP)</v>
          </cell>
          <cell r="M538" t="str">
            <v>C4RT</v>
          </cell>
          <cell r="N538" t="str">
            <v>EMT-2</v>
          </cell>
          <cell r="Q538">
            <v>64</v>
          </cell>
          <cell r="R538">
            <v>5585</v>
          </cell>
          <cell r="T538">
            <v>20</v>
          </cell>
          <cell r="W538">
            <v>1.4</v>
          </cell>
          <cell r="AC538" t="str">
            <v>PH 1150</v>
          </cell>
          <cell r="AF538">
            <v>6000</v>
          </cell>
          <cell r="AG538">
            <v>9115.52</v>
          </cell>
          <cell r="AH538">
            <v>3503</v>
          </cell>
          <cell r="AI538">
            <v>631</v>
          </cell>
          <cell r="AM538" t="str">
            <v>RW2</v>
          </cell>
        </row>
        <row r="539">
          <cell r="G539">
            <v>56</v>
          </cell>
          <cell r="J539">
            <v>9124.5</v>
          </cell>
          <cell r="K539" t="str">
            <v>AnMC-RT</v>
          </cell>
          <cell r="S539">
            <v>55.979999999999563</v>
          </cell>
        </row>
        <row r="540">
          <cell r="B540" t="str">
            <v>9-2.04</v>
          </cell>
          <cell r="C540">
            <v>9173</v>
          </cell>
          <cell r="F540">
            <v>2000</v>
          </cell>
          <cell r="L540" t="str">
            <v>HEB-260</v>
          </cell>
          <cell r="M540" t="str">
            <v>C4RT</v>
          </cell>
          <cell r="N540" t="str">
            <v>EMT-2</v>
          </cell>
          <cell r="Q540">
            <v>106</v>
          </cell>
          <cell r="R540">
            <v>2370.98</v>
          </cell>
          <cell r="T540">
            <v>30</v>
          </cell>
          <cell r="W540">
            <v>1.4</v>
          </cell>
          <cell r="AC540" t="str">
            <v>PHQ-1150</v>
          </cell>
          <cell r="AF540">
            <v>6000</v>
          </cell>
          <cell r="AG540">
            <v>9171.5</v>
          </cell>
          <cell r="AH540">
            <v>2511</v>
          </cell>
          <cell r="AI540">
            <v>710</v>
          </cell>
          <cell r="AM540" t="str">
            <v>RW2</v>
          </cell>
        </row>
        <row r="541">
          <cell r="G541">
            <v>53</v>
          </cell>
          <cell r="S541">
            <v>52.829999999999927</v>
          </cell>
        </row>
        <row r="542">
          <cell r="B542" t="str">
            <v>9-2.05</v>
          </cell>
          <cell r="C542">
            <v>9226</v>
          </cell>
          <cell r="F542">
            <v>2375</v>
          </cell>
          <cell r="L542" t="str">
            <v>HEB-260</v>
          </cell>
          <cell r="M542" t="str">
            <v>C4RT</v>
          </cell>
          <cell r="N542" t="str">
            <v>EMT-2</v>
          </cell>
          <cell r="Q542">
            <v>99</v>
          </cell>
          <cell r="R542">
            <v>2012.14</v>
          </cell>
          <cell r="T542">
            <v>30</v>
          </cell>
          <cell r="W542">
            <v>1.4</v>
          </cell>
          <cell r="AC542" t="str">
            <v>PHQ-1050</v>
          </cell>
          <cell r="AF542">
            <v>6000</v>
          </cell>
          <cell r="AG542">
            <v>9224.33</v>
          </cell>
          <cell r="AH542">
            <v>2588</v>
          </cell>
          <cell r="AI542">
            <v>697</v>
          </cell>
          <cell r="AM542" t="str">
            <v>RW2</v>
          </cell>
        </row>
        <row r="543">
          <cell r="G543">
            <v>56</v>
          </cell>
          <cell r="S543">
            <v>55.8700000000008</v>
          </cell>
        </row>
        <row r="544">
          <cell r="B544" t="str">
            <v>9-2.06</v>
          </cell>
          <cell r="C544">
            <v>9282</v>
          </cell>
          <cell r="F544">
            <v>4900</v>
          </cell>
          <cell r="L544" t="str">
            <v>HEB-240</v>
          </cell>
          <cell r="M544" t="str">
            <v>C3RT</v>
          </cell>
          <cell r="N544" t="str">
            <v>EMT-2</v>
          </cell>
          <cell r="Q544">
            <v>42</v>
          </cell>
          <cell r="R544">
            <v>3566.15</v>
          </cell>
          <cell r="T544">
            <v>20</v>
          </cell>
          <cell r="W544">
            <v>1.4</v>
          </cell>
          <cell r="AC544" t="str">
            <v>PHQ-1150</v>
          </cell>
          <cell r="AF544">
            <v>6000</v>
          </cell>
          <cell r="AG544">
            <v>9280.2000000000007</v>
          </cell>
          <cell r="AH544">
            <v>2543</v>
          </cell>
          <cell r="AI544">
            <v>651</v>
          </cell>
          <cell r="AM544" t="str">
            <v>RW2</v>
          </cell>
        </row>
        <row r="545">
          <cell r="G545">
            <v>30.5</v>
          </cell>
          <cell r="S545">
            <v>65.18999999999869</v>
          </cell>
        </row>
        <row r="546">
          <cell r="A546" t="str">
            <v>FEEDER SUPPTY PORTAL</v>
          </cell>
          <cell r="B546" t="str">
            <v>9-2.07</v>
          </cell>
          <cell r="C546">
            <v>9312.5</v>
          </cell>
          <cell r="I546" t="str">
            <v>AnFW</v>
          </cell>
          <cell r="L546" t="str">
            <v>HEB-320LL(P)</v>
          </cell>
          <cell r="M546" t="str">
            <v>C7RT</v>
          </cell>
          <cell r="AM546" t="str">
            <v>RW2</v>
          </cell>
        </row>
        <row r="547">
          <cell r="A547" t="str">
            <v>TS HASHFELA</v>
          </cell>
          <cell r="G547">
            <v>6.5</v>
          </cell>
          <cell r="I547" t="str">
            <v>AnFW</v>
          </cell>
          <cell r="S547">
            <v>0</v>
          </cell>
        </row>
        <row r="548">
          <cell r="A548" t="str">
            <v>FS</v>
          </cell>
          <cell r="B548" t="str">
            <v>9-2.08</v>
          </cell>
          <cell r="C548">
            <v>9319</v>
          </cell>
          <cell r="L548" t="str">
            <v>HEB-320LL(P)</v>
          </cell>
          <cell r="M548" t="str">
            <v>C7RT</v>
          </cell>
          <cell r="AM548" t="str">
            <v>RW2</v>
          </cell>
        </row>
        <row r="549">
          <cell r="G549">
            <v>28</v>
          </cell>
          <cell r="S549">
            <v>9345.39</v>
          </cell>
        </row>
        <row r="550">
          <cell r="B550" t="str">
            <v>9-2.10</v>
          </cell>
          <cell r="C550">
            <v>9347</v>
          </cell>
          <cell r="F550">
            <v>0</v>
          </cell>
          <cell r="L550" t="str">
            <v>HEB-240</v>
          </cell>
          <cell r="M550" t="str">
            <v>C3RT</v>
          </cell>
          <cell r="N550" t="str">
            <v>EMT-1</v>
          </cell>
          <cell r="Q550">
            <v>0</v>
          </cell>
          <cell r="R550">
            <v>0</v>
          </cell>
          <cell r="T550">
            <v>-35</v>
          </cell>
          <cell r="W550">
            <v>1.4</v>
          </cell>
          <cell r="AC550" t="str">
            <v>PH-1150</v>
          </cell>
          <cell r="AF550">
            <v>6000</v>
          </cell>
          <cell r="AG550">
            <v>9345.39</v>
          </cell>
          <cell r="AH550">
            <v>2621</v>
          </cell>
          <cell r="AI550">
            <v>609</v>
          </cell>
          <cell r="AJ550" t="str">
            <v>FW</v>
          </cell>
          <cell r="AM550" t="str">
            <v>RW2</v>
          </cell>
        </row>
        <row r="551">
          <cell r="G551">
            <v>65</v>
          </cell>
          <cell r="S551">
            <v>64.770000000000437</v>
          </cell>
        </row>
        <row r="552">
          <cell r="B552" t="str">
            <v>9-2.11</v>
          </cell>
          <cell r="C552">
            <v>9412</v>
          </cell>
          <cell r="F552">
            <v>0</v>
          </cell>
          <cell r="L552" t="str">
            <v>HEB-240</v>
          </cell>
          <cell r="M552" t="str">
            <v>C3RT</v>
          </cell>
          <cell r="N552" t="str">
            <v>EMT-2</v>
          </cell>
          <cell r="Q552">
            <v>0</v>
          </cell>
          <cell r="R552">
            <v>0</v>
          </cell>
          <cell r="T552">
            <v>35</v>
          </cell>
          <cell r="W552">
            <v>1.4</v>
          </cell>
          <cell r="AC552" t="str">
            <v>PHQ-1150</v>
          </cell>
          <cell r="AF552">
            <v>6000</v>
          </cell>
          <cell r="AG552">
            <v>9410.16</v>
          </cell>
          <cell r="AH552">
            <v>2580</v>
          </cell>
          <cell r="AI552">
            <v>720</v>
          </cell>
          <cell r="AJ552" t="str">
            <v>FW</v>
          </cell>
          <cell r="AM552" t="str">
            <v>RW2</v>
          </cell>
        </row>
        <row r="553">
          <cell r="G553">
            <v>50</v>
          </cell>
          <cell r="S553">
            <v>60.069999999999709</v>
          </cell>
        </row>
        <row r="554">
          <cell r="B554" t="str">
            <v>9-2.12</v>
          </cell>
          <cell r="C554">
            <v>9462</v>
          </cell>
          <cell r="F554">
            <v>0</v>
          </cell>
          <cell r="L554" t="str">
            <v>HEB-240</v>
          </cell>
          <cell r="M554" t="str">
            <v>C3RT</v>
          </cell>
          <cell r="N554" t="str">
            <v>EMT-1</v>
          </cell>
          <cell r="Q554">
            <v>0</v>
          </cell>
          <cell r="R554">
            <v>0</v>
          </cell>
          <cell r="T554">
            <v>-35</v>
          </cell>
          <cell r="W554">
            <v>1.4</v>
          </cell>
          <cell r="AC554" t="str">
            <v>PH-Q 1150</v>
          </cell>
          <cell r="AF554">
            <v>6000</v>
          </cell>
          <cell r="AG554">
            <v>9470.23</v>
          </cell>
          <cell r="AH554">
            <v>2295</v>
          </cell>
          <cell r="AI554">
            <v>397</v>
          </cell>
          <cell r="AJ554" t="str">
            <v>FW</v>
          </cell>
          <cell r="AM554" t="str">
            <v>RW2</v>
          </cell>
        </row>
        <row r="555">
          <cell r="A555" t="str">
            <v>Start Brigde 2</v>
          </cell>
          <cell r="G555">
            <v>45</v>
          </cell>
          <cell r="S555">
            <v>35.270000000000437</v>
          </cell>
        </row>
        <row r="556">
          <cell r="B556" t="str">
            <v>9-2.13</v>
          </cell>
          <cell r="C556">
            <v>9507</v>
          </cell>
          <cell r="F556">
            <v>0</v>
          </cell>
          <cell r="L556" t="str">
            <v>HEB-260</v>
          </cell>
          <cell r="M556" t="str">
            <v>PL4</v>
          </cell>
          <cell r="N556" t="str">
            <v>EMT-2</v>
          </cell>
          <cell r="Q556">
            <v>0</v>
          </cell>
          <cell r="R556" t="str">
            <v>inf</v>
          </cell>
          <cell r="T556">
            <v>35</v>
          </cell>
          <cell r="W556">
            <v>1.4</v>
          </cell>
          <cell r="AC556" t="str">
            <v>PH-Q 1150</v>
          </cell>
          <cell r="AF556">
            <v>5200</v>
          </cell>
          <cell r="AG556">
            <v>9505.5</v>
          </cell>
          <cell r="AH556">
            <v>2797</v>
          </cell>
          <cell r="AI556">
            <v>-216</v>
          </cell>
          <cell r="AJ556" t="str">
            <v>FW</v>
          </cell>
          <cell r="AM556" t="str">
            <v>RW2</v>
          </cell>
        </row>
        <row r="557">
          <cell r="G557">
            <v>43.5</v>
          </cell>
          <cell r="S557">
            <v>43.909999999999854</v>
          </cell>
        </row>
        <row r="558">
          <cell r="B558" t="str">
            <v>9-2.14</v>
          </cell>
          <cell r="C558">
            <v>9550.5</v>
          </cell>
          <cell r="F558">
            <v>0</v>
          </cell>
          <cell r="L558" t="str">
            <v>HEB-260</v>
          </cell>
          <cell r="M558" t="str">
            <v>PL4</v>
          </cell>
          <cell r="N558" t="str">
            <v>EMT-1</v>
          </cell>
          <cell r="Q558">
            <v>0</v>
          </cell>
          <cell r="R558" t="str">
            <v>inf</v>
          </cell>
          <cell r="T558">
            <v>-35</v>
          </cell>
          <cell r="W558">
            <v>1.4</v>
          </cell>
          <cell r="AC558" t="str">
            <v>PH-Q 1150</v>
          </cell>
          <cell r="AF558">
            <v>5500</v>
          </cell>
          <cell r="AG558">
            <v>9549.41</v>
          </cell>
          <cell r="AH558">
            <v>2783</v>
          </cell>
          <cell r="AI558">
            <v>41</v>
          </cell>
          <cell r="AJ558" t="str">
            <v>FW</v>
          </cell>
          <cell r="AM558" t="str">
            <v>RW2</v>
          </cell>
        </row>
        <row r="559">
          <cell r="G559">
            <v>42.5</v>
          </cell>
          <cell r="S559">
            <v>42.010000000000218</v>
          </cell>
        </row>
        <row r="560">
          <cell r="B560" t="str">
            <v>9-2.15</v>
          </cell>
          <cell r="C560">
            <v>9593</v>
          </cell>
          <cell r="F560">
            <v>0</v>
          </cell>
          <cell r="H560" t="str">
            <v>AnMP</v>
          </cell>
          <cell r="L560" t="str">
            <v>2HEB-280</v>
          </cell>
          <cell r="M560" t="str">
            <v>PL2H280</v>
          </cell>
          <cell r="N560" t="str">
            <v>EMT-2</v>
          </cell>
          <cell r="Q560">
            <v>0</v>
          </cell>
          <cell r="R560" t="str">
            <v>inf</v>
          </cell>
          <cell r="T560">
            <v>35</v>
          </cell>
          <cell r="W560">
            <v>1.4</v>
          </cell>
          <cell r="AC560" t="str">
            <v>PH-Q 1150</v>
          </cell>
          <cell r="AF560">
            <v>5200</v>
          </cell>
          <cell r="AG560">
            <v>9591.42</v>
          </cell>
          <cell r="AH560">
            <v>2763</v>
          </cell>
          <cell r="AI560">
            <v>-255</v>
          </cell>
          <cell r="AJ560" t="str">
            <v>FW</v>
          </cell>
          <cell r="AM560" t="str">
            <v>RW2</v>
          </cell>
        </row>
        <row r="561">
          <cell r="G561">
            <v>50</v>
          </cell>
          <cell r="I561">
            <v>603.5</v>
          </cell>
          <cell r="S561">
            <v>49.909999999999854</v>
          </cell>
        </row>
        <row r="562">
          <cell r="B562" t="str">
            <v>9-2.16</v>
          </cell>
          <cell r="C562">
            <v>9643</v>
          </cell>
          <cell r="F562">
            <v>0</v>
          </cell>
          <cell r="H562" t="str">
            <v>MP</v>
          </cell>
          <cell r="L562" t="str">
            <v>HEB-260</v>
          </cell>
          <cell r="M562" t="str">
            <v>PL4</v>
          </cell>
          <cell r="N562" t="str">
            <v>EMT-1</v>
          </cell>
          <cell r="Q562">
            <v>0</v>
          </cell>
          <cell r="R562" t="str">
            <v>inf</v>
          </cell>
          <cell r="T562">
            <v>-35</v>
          </cell>
          <cell r="W562">
            <v>1.4</v>
          </cell>
          <cell r="AC562" t="str">
            <v>PH-Q 1150</v>
          </cell>
          <cell r="AF562">
            <v>6000</v>
          </cell>
          <cell r="AG562">
            <v>9641.33</v>
          </cell>
          <cell r="AH562">
            <v>2804</v>
          </cell>
          <cell r="AI562">
            <v>500</v>
          </cell>
          <cell r="AJ562" t="str">
            <v>FW</v>
          </cell>
          <cell r="AM562" t="str">
            <v>RW2</v>
          </cell>
        </row>
        <row r="563">
          <cell r="G563">
            <v>50</v>
          </cell>
          <cell r="I563">
            <v>636</v>
          </cell>
          <cell r="S563">
            <v>49.399999999999636</v>
          </cell>
        </row>
        <row r="564">
          <cell r="B564" t="str">
            <v>9-2.17</v>
          </cell>
          <cell r="C564">
            <v>9693</v>
          </cell>
          <cell r="F564">
            <v>0</v>
          </cell>
          <cell r="H564" t="str">
            <v>AnMP</v>
          </cell>
          <cell r="L564" t="str">
            <v>2HEB-280</v>
          </cell>
          <cell r="M564" t="str">
            <v>PL2H280</v>
          </cell>
          <cell r="N564" t="str">
            <v>EMT-2</v>
          </cell>
          <cell r="Q564">
            <v>0</v>
          </cell>
          <cell r="R564" t="str">
            <v>inf</v>
          </cell>
          <cell r="T564">
            <v>35</v>
          </cell>
          <cell r="W564">
            <v>1.4</v>
          </cell>
          <cell r="AC564" t="str">
            <v>PH-Q 1150</v>
          </cell>
          <cell r="AF564">
            <v>6000</v>
          </cell>
          <cell r="AG564">
            <v>9690.73</v>
          </cell>
          <cell r="AH564">
            <v>2793</v>
          </cell>
          <cell r="AI564">
            <v>821</v>
          </cell>
          <cell r="AJ564" t="str">
            <v>FW</v>
          </cell>
          <cell r="AM564" t="str">
            <v>RW2</v>
          </cell>
        </row>
        <row r="565">
          <cell r="G565">
            <v>50</v>
          </cell>
          <cell r="S565">
            <v>47.770000000000437</v>
          </cell>
        </row>
        <row r="566">
          <cell r="B566" t="str">
            <v>9-2.18</v>
          </cell>
          <cell r="C566">
            <v>9743</v>
          </cell>
          <cell r="F566">
            <v>0</v>
          </cell>
          <cell r="L566" t="str">
            <v>HEB-260</v>
          </cell>
          <cell r="M566" t="str">
            <v>PL4</v>
          </cell>
          <cell r="N566" t="str">
            <v>EMT-1</v>
          </cell>
          <cell r="Q566">
            <v>0</v>
          </cell>
          <cell r="R566" t="str">
            <v>inf</v>
          </cell>
          <cell r="T566">
            <v>-35</v>
          </cell>
          <cell r="W566">
            <v>1.4</v>
          </cell>
          <cell r="AC566" t="str">
            <v>PH-Q 1150</v>
          </cell>
          <cell r="AF566">
            <v>6000</v>
          </cell>
          <cell r="AG566">
            <v>9738.5</v>
          </cell>
          <cell r="AH566">
            <v>2810</v>
          </cell>
          <cell r="AI566">
            <v>532</v>
          </cell>
          <cell r="AJ566" t="str">
            <v>FW</v>
          </cell>
          <cell r="AM566" t="str">
            <v>RW2</v>
          </cell>
        </row>
        <row r="567">
          <cell r="G567">
            <v>50</v>
          </cell>
          <cell r="S567">
            <v>53.319999999999709</v>
          </cell>
        </row>
        <row r="568">
          <cell r="B568" t="str">
            <v>9-2.19</v>
          </cell>
          <cell r="C568">
            <v>9793</v>
          </cell>
          <cell r="F568">
            <v>0</v>
          </cell>
          <cell r="L568" t="str">
            <v>HEB-260</v>
          </cell>
          <cell r="M568" t="str">
            <v>PL4</v>
          </cell>
          <cell r="N568" t="str">
            <v>EMT-2</v>
          </cell>
          <cell r="Q568">
            <v>0</v>
          </cell>
          <cell r="R568" t="str">
            <v>inf</v>
          </cell>
          <cell r="T568">
            <v>35</v>
          </cell>
          <cell r="W568">
            <v>1.4</v>
          </cell>
          <cell r="AC568" t="str">
            <v>PH-Q 1150</v>
          </cell>
          <cell r="AF568">
            <v>6000</v>
          </cell>
          <cell r="AG568">
            <v>9791.82</v>
          </cell>
          <cell r="AH568">
            <v>2783</v>
          </cell>
          <cell r="AI568">
            <v>537</v>
          </cell>
          <cell r="AJ568" t="str">
            <v>FW</v>
          </cell>
          <cell r="AM568" t="str">
            <v>RW2</v>
          </cell>
        </row>
        <row r="569">
          <cell r="G569">
            <v>50</v>
          </cell>
          <cell r="S569">
            <v>50.399999999999636</v>
          </cell>
        </row>
        <row r="570">
          <cell r="B570" t="str">
            <v>9-2.20</v>
          </cell>
          <cell r="C570">
            <v>9843</v>
          </cell>
          <cell r="F570">
            <v>0</v>
          </cell>
          <cell r="L570" t="str">
            <v>HEB-260</v>
          </cell>
          <cell r="M570" t="str">
            <v>PL4</v>
          </cell>
          <cell r="N570" t="str">
            <v>EMT-1</v>
          </cell>
          <cell r="Q570">
            <v>0</v>
          </cell>
          <cell r="R570" t="str">
            <v>inf</v>
          </cell>
          <cell r="T570">
            <v>-35</v>
          </cell>
          <cell r="W570">
            <v>1.4</v>
          </cell>
          <cell r="AC570" t="str">
            <v>PH-Q 1150</v>
          </cell>
          <cell r="AF570">
            <v>6000</v>
          </cell>
          <cell r="AG570">
            <v>9842.2199999999993</v>
          </cell>
          <cell r="AH570">
            <v>2813</v>
          </cell>
          <cell r="AI570">
            <v>504</v>
          </cell>
          <cell r="AJ570" t="str">
            <v>FW</v>
          </cell>
          <cell r="AM570" t="str">
            <v>RW2</v>
          </cell>
        </row>
        <row r="571">
          <cell r="G571">
            <v>50</v>
          </cell>
          <cell r="S571">
            <v>49.430000000000291</v>
          </cell>
        </row>
        <row r="572">
          <cell r="B572" t="str">
            <v>9-2.21</v>
          </cell>
          <cell r="C572">
            <v>9893</v>
          </cell>
          <cell r="F572">
            <v>0</v>
          </cell>
          <cell r="L572" t="str">
            <v>HEB-260</v>
          </cell>
          <cell r="M572" t="str">
            <v>PL4</v>
          </cell>
          <cell r="N572" t="str">
            <v>EMT-2</v>
          </cell>
          <cell r="Q572">
            <v>0</v>
          </cell>
          <cell r="R572" t="str">
            <v>inf</v>
          </cell>
          <cell r="T572">
            <v>35</v>
          </cell>
          <cell r="W572">
            <v>1.4</v>
          </cell>
          <cell r="AC572" t="str">
            <v>PH-Q 1150</v>
          </cell>
          <cell r="AF572">
            <v>6000</v>
          </cell>
          <cell r="AG572">
            <v>9891.65</v>
          </cell>
          <cell r="AH572">
            <v>2791</v>
          </cell>
          <cell r="AI572">
            <v>522</v>
          </cell>
          <cell r="AJ572" t="str">
            <v>FW</v>
          </cell>
          <cell r="AM572" t="str">
            <v>RW2</v>
          </cell>
        </row>
        <row r="573">
          <cell r="G573">
            <v>50</v>
          </cell>
          <cell r="S573">
            <v>47.5</v>
          </cell>
        </row>
        <row r="574">
          <cell r="B574" t="str">
            <v>9-2.22</v>
          </cell>
          <cell r="C574">
            <v>9943</v>
          </cell>
          <cell r="F574">
            <v>0</v>
          </cell>
          <cell r="L574" t="str">
            <v>HEB-260</v>
          </cell>
          <cell r="M574" t="str">
            <v>PL4</v>
          </cell>
          <cell r="N574" t="str">
            <v>EMT-1</v>
          </cell>
          <cell r="Q574">
            <v>0</v>
          </cell>
          <cell r="R574" t="str">
            <v>inf</v>
          </cell>
          <cell r="T574">
            <v>-35</v>
          </cell>
          <cell r="W574">
            <v>1.4</v>
          </cell>
          <cell r="AC574" t="str">
            <v>PH-Q 1150</v>
          </cell>
          <cell r="AF574">
            <v>6000</v>
          </cell>
          <cell r="AG574">
            <v>9939.15</v>
          </cell>
          <cell r="AH574">
            <v>2803</v>
          </cell>
          <cell r="AI574">
            <v>493</v>
          </cell>
          <cell r="AJ574" t="str">
            <v>FW</v>
          </cell>
          <cell r="AM574" t="str">
            <v>RW2</v>
          </cell>
        </row>
        <row r="575">
          <cell r="G575">
            <v>50</v>
          </cell>
          <cell r="S575">
            <v>51.8700000000008</v>
          </cell>
        </row>
        <row r="576">
          <cell r="A576" t="str">
            <v>End Brigde 2</v>
          </cell>
          <cell r="B576" t="str">
            <v>9-2.23</v>
          </cell>
          <cell r="C576">
            <v>9993</v>
          </cell>
          <cell r="F576">
            <v>0</v>
          </cell>
          <cell r="L576" t="str">
            <v>HEB-260</v>
          </cell>
          <cell r="M576" t="str">
            <v>PL4</v>
          </cell>
          <cell r="N576" t="str">
            <v>EMT-2</v>
          </cell>
          <cell r="Q576">
            <v>0</v>
          </cell>
          <cell r="R576" t="str">
            <v>inf</v>
          </cell>
          <cell r="T576">
            <v>35</v>
          </cell>
          <cell r="W576">
            <v>1.4</v>
          </cell>
          <cell r="AC576" t="str">
            <v>PH-Q 1150</v>
          </cell>
          <cell r="AF576">
            <v>6000</v>
          </cell>
          <cell r="AG576">
            <v>9991.02</v>
          </cell>
          <cell r="AH576">
            <v>2777</v>
          </cell>
          <cell r="AI576">
            <v>504</v>
          </cell>
          <cell r="AJ576" t="str">
            <v>FW</v>
          </cell>
          <cell r="AM576" t="str">
            <v>RW2</v>
          </cell>
        </row>
        <row r="577">
          <cell r="G577">
            <v>55</v>
          </cell>
          <cell r="S577">
            <v>55.049999999999272</v>
          </cell>
        </row>
        <row r="578">
          <cell r="B578" t="str">
            <v>10-2.01</v>
          </cell>
          <cell r="C578">
            <v>10048</v>
          </cell>
          <cell r="F578">
            <v>9000</v>
          </cell>
          <cell r="L578" t="str">
            <v>HEB-240</v>
          </cell>
          <cell r="M578" t="str">
            <v>C3RT</v>
          </cell>
          <cell r="N578" t="str">
            <v>EMT-1</v>
          </cell>
          <cell r="Q578">
            <v>36</v>
          </cell>
          <cell r="R578">
            <v>9248.6</v>
          </cell>
          <cell r="T578">
            <v>-30</v>
          </cell>
          <cell r="W578">
            <v>1.4</v>
          </cell>
          <cell r="AC578" t="str">
            <v>PH-1050</v>
          </cell>
          <cell r="AF578">
            <v>6000</v>
          </cell>
          <cell r="AG578">
            <v>10046.07</v>
          </cell>
          <cell r="AH578">
            <v>2636</v>
          </cell>
          <cell r="AI578">
            <v>698</v>
          </cell>
          <cell r="AJ578" t="str">
            <v>FW</v>
          </cell>
          <cell r="AM578" t="str">
            <v>RW2</v>
          </cell>
        </row>
        <row r="579">
          <cell r="G579">
            <v>57</v>
          </cell>
          <cell r="I579" t="str">
            <v>FP+AnMC</v>
          </cell>
          <cell r="J579">
            <v>10097.5</v>
          </cell>
          <cell r="K579" t="str">
            <v>AnMC-RT</v>
          </cell>
          <cell r="S579">
            <v>56.930000000000291</v>
          </cell>
        </row>
        <row r="580">
          <cell r="B580" t="str">
            <v>10-2.02</v>
          </cell>
          <cell r="C580">
            <v>10105</v>
          </cell>
          <cell r="F580">
            <v>5000</v>
          </cell>
          <cell r="H580" t="str">
            <v>A/S</v>
          </cell>
          <cell r="I580">
            <v>653</v>
          </cell>
          <cell r="L580" t="str">
            <v>HEB-260 (CP)</v>
          </cell>
          <cell r="M580" t="str">
            <v>C4RT</v>
          </cell>
          <cell r="N580" t="str">
            <v>EMT-2</v>
          </cell>
          <cell r="Q580">
            <v>40</v>
          </cell>
          <cell r="R580">
            <v>5000</v>
          </cell>
          <cell r="T580">
            <v>20</v>
          </cell>
          <cell r="W580">
            <v>1.4</v>
          </cell>
          <cell r="AC580" t="str">
            <v>PH 1150</v>
          </cell>
          <cell r="AF580">
            <v>6000</v>
          </cell>
          <cell r="AG580">
            <v>10103</v>
          </cell>
          <cell r="AH580">
            <v>3563</v>
          </cell>
          <cell r="AI580">
            <v>600</v>
          </cell>
          <cell r="AJ580" t="str">
            <v>FW</v>
          </cell>
          <cell r="AM580" t="str">
            <v>RW2</v>
          </cell>
        </row>
        <row r="581">
          <cell r="G581">
            <v>58</v>
          </cell>
          <cell r="I581" t="str">
            <v>AnRW</v>
          </cell>
          <cell r="J581">
            <v>10155.5</v>
          </cell>
          <cell r="K581" t="str">
            <v>AnM-RT</v>
          </cell>
          <cell r="S581">
            <v>57.989999999999782</v>
          </cell>
        </row>
        <row r="582">
          <cell r="B582" t="str">
            <v>10-2.03</v>
          </cell>
          <cell r="C582">
            <v>10163</v>
          </cell>
          <cell r="F582">
            <v>0</v>
          </cell>
          <cell r="H582" t="str">
            <v>S/A</v>
          </cell>
          <cell r="I582" t="str">
            <v>AnRW</v>
          </cell>
          <cell r="J582">
            <v>10170.5</v>
          </cell>
          <cell r="K582" t="str">
            <v>AnM-RT</v>
          </cell>
          <cell r="L582" t="str">
            <v>HEB-260</v>
          </cell>
          <cell r="M582" t="str">
            <v>C4RT</v>
          </cell>
          <cell r="N582" t="str">
            <v>EMT-T</v>
          </cell>
          <cell r="O582" t="str">
            <v>EMT-1</v>
          </cell>
          <cell r="Q582">
            <v>30</v>
          </cell>
          <cell r="R582">
            <v>10645.3</v>
          </cell>
          <cell r="T582">
            <v>-15</v>
          </cell>
          <cell r="U582">
            <v>-35</v>
          </cell>
          <cell r="W582">
            <v>1.4</v>
          </cell>
          <cell r="X582">
            <v>2.2999999999999998</v>
          </cell>
          <cell r="Z582">
            <v>0.5</v>
          </cell>
          <cell r="AD582" t="str">
            <v>PH-1150</v>
          </cell>
          <cell r="AF582">
            <v>6000</v>
          </cell>
          <cell r="AG582">
            <v>10160.99</v>
          </cell>
          <cell r="AH582">
            <v>2534</v>
          </cell>
          <cell r="AI582">
            <v>730</v>
          </cell>
          <cell r="AJ582" t="str">
            <v>FW</v>
          </cell>
          <cell r="AM582" t="str">
            <v>RW2</v>
          </cell>
        </row>
        <row r="583">
          <cell r="G583">
            <v>58</v>
          </cell>
          <cell r="S583">
            <v>57.989999999999782</v>
          </cell>
        </row>
        <row r="584">
          <cell r="B584" t="str">
            <v>10-2.04</v>
          </cell>
          <cell r="C584">
            <v>10221</v>
          </cell>
          <cell r="F584">
            <v>0</v>
          </cell>
          <cell r="H584" t="str">
            <v>S/A</v>
          </cell>
          <cell r="I584" t="str">
            <v>AnRW</v>
          </cell>
          <cell r="J584">
            <v>10213.5</v>
          </cell>
          <cell r="K584" t="str">
            <v>AnM-RT</v>
          </cell>
          <cell r="L584" t="str">
            <v>HEB-260</v>
          </cell>
          <cell r="M584" t="str">
            <v>C4RT</v>
          </cell>
          <cell r="N584" t="str">
            <v>EMT-2</v>
          </cell>
          <cell r="O584" t="str">
            <v>EMT-T</v>
          </cell>
          <cell r="Q584">
            <v>0</v>
          </cell>
          <cell r="R584">
            <v>0</v>
          </cell>
          <cell r="T584">
            <v>35</v>
          </cell>
          <cell r="U584">
            <v>15</v>
          </cell>
          <cell r="W584">
            <v>1.4</v>
          </cell>
          <cell r="X584">
            <v>2.2999999999999998</v>
          </cell>
          <cell r="AA584">
            <v>0.5</v>
          </cell>
          <cell r="AC584" t="str">
            <v>PH-1150</v>
          </cell>
          <cell r="AF584">
            <v>6000</v>
          </cell>
          <cell r="AG584">
            <v>10218.98</v>
          </cell>
          <cell r="AH584">
            <v>2618</v>
          </cell>
          <cell r="AI584">
            <v>784</v>
          </cell>
          <cell r="AJ584" t="str">
            <v>FW</v>
          </cell>
          <cell r="AM584" t="str">
            <v>RW2</v>
          </cell>
        </row>
        <row r="585">
          <cell r="G585">
            <v>58</v>
          </cell>
          <cell r="I585" t="str">
            <v>AnRW</v>
          </cell>
          <cell r="J585">
            <v>10228.5</v>
          </cell>
          <cell r="K585" t="str">
            <v>AnM-RT</v>
          </cell>
          <cell r="S585">
            <v>57.950000000000728</v>
          </cell>
        </row>
        <row r="586">
          <cell r="B586" t="str">
            <v>10-2.05</v>
          </cell>
          <cell r="C586">
            <v>10279</v>
          </cell>
          <cell r="F586">
            <v>0</v>
          </cell>
          <cell r="H586" t="str">
            <v>A/S</v>
          </cell>
          <cell r="I586" t="str">
            <v>CP+AnMC</v>
          </cell>
          <cell r="L586" t="str">
            <v>HEB-260 (CP)</v>
          </cell>
          <cell r="M586" t="str">
            <v>C4RT</v>
          </cell>
          <cell r="N586" t="str">
            <v>EMT-1</v>
          </cell>
          <cell r="Q586">
            <v>0</v>
          </cell>
          <cell r="R586">
            <v>0</v>
          </cell>
          <cell r="T586">
            <v>-35</v>
          </cell>
          <cell r="W586">
            <v>1.4</v>
          </cell>
          <cell r="AC586" t="str">
            <v>PHQ-1150</v>
          </cell>
          <cell r="AF586">
            <v>6000</v>
          </cell>
          <cell r="AG586">
            <v>10276.93</v>
          </cell>
          <cell r="AH586">
            <v>2525</v>
          </cell>
          <cell r="AI586">
            <v>652</v>
          </cell>
          <cell r="AJ586" t="str">
            <v>FW</v>
          </cell>
          <cell r="AM586" t="str">
            <v>RW2</v>
          </cell>
        </row>
        <row r="587">
          <cell r="G587">
            <v>58</v>
          </cell>
          <cell r="J587">
            <v>10286.5</v>
          </cell>
          <cell r="K587" t="str">
            <v>AnMC-RT</v>
          </cell>
          <cell r="S587">
            <v>58.199999999998909</v>
          </cell>
        </row>
        <row r="588">
          <cell r="B588" t="str">
            <v>10-2.06</v>
          </cell>
          <cell r="C588">
            <v>10337</v>
          </cell>
          <cell r="F588">
            <v>0</v>
          </cell>
          <cell r="L588" t="str">
            <v>HEB-240</v>
          </cell>
          <cell r="M588" t="str">
            <v>C3RT</v>
          </cell>
          <cell r="N588" t="str">
            <v>EMT-2</v>
          </cell>
          <cell r="Q588">
            <v>0</v>
          </cell>
          <cell r="R588">
            <v>0</v>
          </cell>
          <cell r="T588">
            <v>35</v>
          </cell>
          <cell r="W588">
            <v>1.4</v>
          </cell>
          <cell r="AC588" t="str">
            <v>PHQ-1150</v>
          </cell>
          <cell r="AF588">
            <v>6000</v>
          </cell>
          <cell r="AG588">
            <v>10335.129999999999</v>
          </cell>
          <cell r="AH588">
            <v>2493</v>
          </cell>
          <cell r="AI588">
            <v>682</v>
          </cell>
          <cell r="AJ588" t="str">
            <v>FW</v>
          </cell>
          <cell r="AM588" t="str">
            <v>RW2</v>
          </cell>
        </row>
        <row r="589">
          <cell r="G589">
            <v>58</v>
          </cell>
          <cell r="S589">
            <v>57.81000000000131</v>
          </cell>
        </row>
        <row r="590">
          <cell r="B590" t="str">
            <v>10-2.07</v>
          </cell>
          <cell r="C590">
            <v>10395</v>
          </cell>
          <cell r="F590">
            <v>0</v>
          </cell>
          <cell r="L590" t="str">
            <v>HEB-240</v>
          </cell>
          <cell r="M590" t="str">
            <v>C3RT</v>
          </cell>
          <cell r="N590" t="str">
            <v>EMT-1</v>
          </cell>
          <cell r="Q590">
            <v>0</v>
          </cell>
          <cell r="R590">
            <v>0</v>
          </cell>
          <cell r="T590">
            <v>-35</v>
          </cell>
          <cell r="W590">
            <v>1.4</v>
          </cell>
          <cell r="AC590" t="str">
            <v>PHQ-1150</v>
          </cell>
          <cell r="AF590">
            <v>6000</v>
          </cell>
          <cell r="AG590">
            <v>10392.94</v>
          </cell>
          <cell r="AH590">
            <v>2602</v>
          </cell>
          <cell r="AI590">
            <v>554</v>
          </cell>
          <cell r="AJ590" t="str">
            <v>FW</v>
          </cell>
          <cell r="AM590" t="str">
            <v>RW2</v>
          </cell>
        </row>
        <row r="591">
          <cell r="G591">
            <v>57</v>
          </cell>
          <cell r="S591">
            <v>57.039999999999054</v>
          </cell>
        </row>
        <row r="592">
          <cell r="B592" t="str">
            <v>10-2.08</v>
          </cell>
          <cell r="C592">
            <v>10452</v>
          </cell>
          <cell r="F592">
            <v>0</v>
          </cell>
          <cell r="L592" t="str">
            <v>HEB-240</v>
          </cell>
          <cell r="M592" t="str">
            <v>C3RT</v>
          </cell>
          <cell r="N592" t="str">
            <v>EMT-2</v>
          </cell>
          <cell r="Q592">
            <v>0</v>
          </cell>
          <cell r="R592">
            <v>0</v>
          </cell>
          <cell r="T592">
            <v>30</v>
          </cell>
          <cell r="W592">
            <v>1.4</v>
          </cell>
          <cell r="AC592" t="str">
            <v>PH-1150</v>
          </cell>
          <cell r="AF592">
            <v>6000</v>
          </cell>
          <cell r="AG592">
            <v>10449.98</v>
          </cell>
          <cell r="AH592">
            <v>2518</v>
          </cell>
          <cell r="AI592">
            <v>682</v>
          </cell>
          <cell r="AJ592" t="str">
            <v>FW</v>
          </cell>
          <cell r="AM592" t="str">
            <v>RW2</v>
          </cell>
        </row>
        <row r="593">
          <cell r="A593" t="str">
            <v>NS HASHFELA</v>
          </cell>
          <cell r="G593">
            <v>55</v>
          </cell>
          <cell r="J593">
            <v>10499.5</v>
          </cell>
          <cell r="K593" t="str">
            <v>AnMC-RT</v>
          </cell>
          <cell r="S593">
            <v>54.950000000000728</v>
          </cell>
        </row>
        <row r="594">
          <cell r="B594" t="str">
            <v>10-2.09</v>
          </cell>
          <cell r="C594">
            <v>10507</v>
          </cell>
          <cell r="F594">
            <v>0</v>
          </cell>
          <cell r="H594" t="str">
            <v>A/S</v>
          </cell>
          <cell r="I594" t="str">
            <v>CP+AnMC</v>
          </cell>
          <cell r="L594" t="str">
            <v>HEB-260 (CP)</v>
          </cell>
          <cell r="M594" t="str">
            <v>C4RT</v>
          </cell>
          <cell r="N594" t="str">
            <v>EMT-1</v>
          </cell>
          <cell r="Q594">
            <v>0</v>
          </cell>
          <cell r="R594">
            <v>0</v>
          </cell>
          <cell r="T594">
            <v>-25</v>
          </cell>
          <cell r="W594">
            <v>1.4</v>
          </cell>
          <cell r="AC594" t="str">
            <v>PH-1150</v>
          </cell>
          <cell r="AF594">
            <v>6000</v>
          </cell>
          <cell r="AG594">
            <v>10504.93</v>
          </cell>
          <cell r="AH594">
            <v>2505</v>
          </cell>
          <cell r="AI594">
            <v>659</v>
          </cell>
          <cell r="AJ594" t="str">
            <v>FW</v>
          </cell>
          <cell r="AM594" t="str">
            <v>RW2</v>
          </cell>
        </row>
        <row r="595">
          <cell r="G595">
            <v>50</v>
          </cell>
          <cell r="S595">
            <v>-10504.93</v>
          </cell>
        </row>
        <row r="596">
          <cell r="B596" t="str">
            <v>10-2.10</v>
          </cell>
          <cell r="C596">
            <v>10557</v>
          </cell>
          <cell r="L596" t="str">
            <v>HEB-300L</v>
          </cell>
          <cell r="M596" t="str">
            <v>C6RT</v>
          </cell>
        </row>
        <row r="597">
          <cell r="G597">
            <v>5</v>
          </cell>
          <cell r="S597">
            <v>10559.87</v>
          </cell>
        </row>
        <row r="598">
          <cell r="A598" t="str">
            <v>HAS-NS2</v>
          </cell>
          <cell r="B598" t="str">
            <v>10-2.11</v>
          </cell>
          <cell r="C598">
            <v>10562</v>
          </cell>
          <cell r="F598">
            <v>0</v>
          </cell>
          <cell r="H598" t="str">
            <v>S/A</v>
          </cell>
          <cell r="I598" t="str">
            <v>IO</v>
          </cell>
          <cell r="L598" t="str">
            <v>HEB-260</v>
          </cell>
          <cell r="M598" t="str">
            <v>C4RT</v>
          </cell>
          <cell r="N598" t="str">
            <v>EMT-T</v>
          </cell>
          <cell r="O598" t="str">
            <v>EMT-2</v>
          </cell>
          <cell r="Q598">
            <v>0</v>
          </cell>
          <cell r="R598">
            <v>0</v>
          </cell>
          <cell r="T598">
            <v>55</v>
          </cell>
          <cell r="U598">
            <v>10</v>
          </cell>
          <cell r="W598">
            <v>1.4</v>
          </cell>
          <cell r="X598">
            <v>2.2999999999999998</v>
          </cell>
          <cell r="Z598">
            <v>0.45</v>
          </cell>
          <cell r="AD598" t="str">
            <v>PH-1150</v>
          </cell>
          <cell r="AF598">
            <v>6000</v>
          </cell>
          <cell r="AG598">
            <v>10559.87</v>
          </cell>
          <cell r="AH598">
            <v>2571</v>
          </cell>
          <cell r="AI598">
            <v>697</v>
          </cell>
          <cell r="AJ598" t="str">
            <v>LoadB/NZ</v>
          </cell>
          <cell r="AM598" t="str">
            <v>RW2</v>
          </cell>
        </row>
        <row r="599">
          <cell r="G599">
            <v>47</v>
          </cell>
          <cell r="S599">
            <v>47.009999999998399</v>
          </cell>
          <cell r="AJ599" t="str">
            <v>Disc/NZ</v>
          </cell>
        </row>
        <row r="600">
          <cell r="A600" t="str">
            <v>HAS-NS4</v>
          </cell>
          <cell r="B600" t="str">
            <v>10-2.12</v>
          </cell>
          <cell r="C600">
            <v>10609</v>
          </cell>
          <cell r="F600">
            <v>0</v>
          </cell>
          <cell r="H600" t="str">
            <v>S/A</v>
          </cell>
          <cell r="I600" t="str">
            <v>IO</v>
          </cell>
          <cell r="L600" t="str">
            <v>HEB-260</v>
          </cell>
          <cell r="M600" t="str">
            <v>C4RT</v>
          </cell>
          <cell r="N600" t="str">
            <v>EMT-1</v>
          </cell>
          <cell r="O600" t="str">
            <v>EMT-T</v>
          </cell>
          <cell r="Q600">
            <v>0</v>
          </cell>
          <cell r="R600">
            <v>0</v>
          </cell>
          <cell r="T600">
            <v>-10</v>
          </cell>
          <cell r="U600">
            <v>-55</v>
          </cell>
          <cell r="W600">
            <v>1.4</v>
          </cell>
          <cell r="X600">
            <v>2.2999999999999998</v>
          </cell>
          <cell r="AA600">
            <v>0.45</v>
          </cell>
          <cell r="AC600" t="str">
            <v>PHQ-1150</v>
          </cell>
          <cell r="AF600">
            <v>6000</v>
          </cell>
          <cell r="AG600">
            <v>10606.88</v>
          </cell>
          <cell r="AH600">
            <v>2484</v>
          </cell>
          <cell r="AI600">
            <v>679</v>
          </cell>
          <cell r="AJ600" t="str">
            <v>LoadB/NZ</v>
          </cell>
          <cell r="AM600" t="str">
            <v>RW2</v>
          </cell>
        </row>
        <row r="601">
          <cell r="G601">
            <v>47</v>
          </cell>
          <cell r="S601">
            <v>47.260000000000218</v>
          </cell>
          <cell r="AJ601" t="str">
            <v>FW</v>
          </cell>
        </row>
        <row r="602">
          <cell r="B602" t="str">
            <v>10-2.13</v>
          </cell>
          <cell r="C602">
            <v>10656</v>
          </cell>
          <cell r="F602">
            <v>0</v>
          </cell>
          <cell r="H602" t="str">
            <v>S/A</v>
          </cell>
          <cell r="L602" t="str">
            <v>HEB-260</v>
          </cell>
          <cell r="M602" t="str">
            <v>C4RT</v>
          </cell>
          <cell r="N602" t="str">
            <v>EMT-T</v>
          </cell>
          <cell r="O602" t="str">
            <v>EMT-2</v>
          </cell>
          <cell r="Q602">
            <v>0</v>
          </cell>
          <cell r="R602">
            <v>0</v>
          </cell>
          <cell r="T602">
            <v>55</v>
          </cell>
          <cell r="U602">
            <v>10</v>
          </cell>
          <cell r="W602">
            <v>1.4</v>
          </cell>
          <cell r="X602">
            <v>2.2999999999999998</v>
          </cell>
          <cell r="Z602">
            <v>0.45</v>
          </cell>
          <cell r="AD602" t="str">
            <v>PHQ-1150</v>
          </cell>
          <cell r="AF602">
            <v>6000</v>
          </cell>
          <cell r="AG602">
            <v>10654.14</v>
          </cell>
          <cell r="AH602">
            <v>2424</v>
          </cell>
          <cell r="AI602">
            <v>669</v>
          </cell>
          <cell r="AM602" t="str">
            <v>RW2</v>
          </cell>
        </row>
        <row r="603">
          <cell r="G603">
            <v>5</v>
          </cell>
          <cell r="S603">
            <v>46.739999999999782</v>
          </cell>
        </row>
        <row r="604">
          <cell r="A604" t="str">
            <v>HAS-FP2.2</v>
          </cell>
          <cell r="B604" t="str">
            <v>10-2.14</v>
          </cell>
          <cell r="C604">
            <v>10661</v>
          </cell>
          <cell r="F604">
            <v>0</v>
          </cell>
          <cell r="I604" t="str">
            <v>AnFW</v>
          </cell>
          <cell r="L604" t="str">
            <v>HEB-320LL(P)</v>
          </cell>
          <cell r="M604" t="str">
            <v>C7RT</v>
          </cell>
          <cell r="AM604" t="str">
            <v>RW2</v>
          </cell>
        </row>
        <row r="605">
          <cell r="G605">
            <v>3</v>
          </cell>
        </row>
        <row r="606">
          <cell r="B606" t="str">
            <v>10-2.15</v>
          </cell>
          <cell r="C606">
            <v>10664</v>
          </cell>
          <cell r="F606">
            <v>0</v>
          </cell>
          <cell r="L606" t="str">
            <v>HEB-320LL(P)</v>
          </cell>
          <cell r="M606" t="str">
            <v>C7RT</v>
          </cell>
          <cell r="AM606" t="str">
            <v>RW2</v>
          </cell>
        </row>
        <row r="607">
          <cell r="G607">
            <v>39</v>
          </cell>
        </row>
        <row r="608">
          <cell r="A608" t="str">
            <v>HAS-NS06</v>
          </cell>
          <cell r="B608" t="str">
            <v>10-2.16</v>
          </cell>
          <cell r="C608">
            <v>10703</v>
          </cell>
          <cell r="F608">
            <v>0</v>
          </cell>
          <cell r="H608" t="str">
            <v>S/A</v>
          </cell>
          <cell r="I608" t="str">
            <v>IO</v>
          </cell>
          <cell r="L608" t="str">
            <v>HEB-260</v>
          </cell>
          <cell r="M608" t="str">
            <v>C4RT</v>
          </cell>
          <cell r="N608" t="str">
            <v>EMT-1</v>
          </cell>
          <cell r="O608" t="str">
            <v>EMT-T</v>
          </cell>
          <cell r="Q608">
            <v>0</v>
          </cell>
          <cell r="R608">
            <v>0</v>
          </cell>
          <cell r="T608">
            <v>-10</v>
          </cell>
          <cell r="U608">
            <v>-55</v>
          </cell>
          <cell r="W608">
            <v>1.4</v>
          </cell>
          <cell r="X608">
            <v>2.2999999999999998</v>
          </cell>
          <cell r="AA608">
            <v>0.45</v>
          </cell>
          <cell r="AC608" t="str">
            <v>PH-1050</v>
          </cell>
          <cell r="AF608">
            <v>6000</v>
          </cell>
          <cell r="AG608">
            <v>10700.88</v>
          </cell>
          <cell r="AH608">
            <v>2571</v>
          </cell>
          <cell r="AI608">
            <v>689</v>
          </cell>
          <cell r="AJ608" t="str">
            <v>LoadB/NZ</v>
          </cell>
          <cell r="AM608" t="str">
            <v>RW2</v>
          </cell>
        </row>
        <row r="609">
          <cell r="G609">
            <v>55</v>
          </cell>
          <cell r="S609">
            <v>54.090000000000146</v>
          </cell>
          <cell r="AJ609" t="str">
            <v>Disc/NZ</v>
          </cell>
        </row>
        <row r="610">
          <cell r="B610" t="str">
            <v>10-2.17</v>
          </cell>
          <cell r="C610">
            <v>10758</v>
          </cell>
          <cell r="F610">
            <v>0</v>
          </cell>
          <cell r="H610" t="str">
            <v>A/S</v>
          </cell>
          <cell r="I610" t="str">
            <v>CP+AnMC</v>
          </cell>
          <cell r="L610" t="str">
            <v>HEB-260 (CP)</v>
          </cell>
          <cell r="M610" t="str">
            <v>C4RT</v>
          </cell>
          <cell r="N610" t="str">
            <v>EMT-2</v>
          </cell>
          <cell r="Q610">
            <v>0</v>
          </cell>
          <cell r="R610">
            <v>0</v>
          </cell>
          <cell r="T610">
            <v>25</v>
          </cell>
          <cell r="W610">
            <v>1.4</v>
          </cell>
          <cell r="AC610" t="str">
            <v>PH-1150</v>
          </cell>
          <cell r="AF610">
            <v>6000</v>
          </cell>
          <cell r="AG610">
            <v>10754.97</v>
          </cell>
          <cell r="AH610">
            <v>2531</v>
          </cell>
          <cell r="AI610">
            <v>673</v>
          </cell>
          <cell r="AM610" t="str">
            <v>RW2</v>
          </cell>
        </row>
        <row r="611">
          <cell r="A611" t="str">
            <v>NS HASHFELA</v>
          </cell>
          <cell r="G611">
            <v>60</v>
          </cell>
          <cell r="J611">
            <v>10765.5</v>
          </cell>
          <cell r="K611" t="str">
            <v>AnMC-RT</v>
          </cell>
        </row>
        <row r="612">
          <cell r="T612">
            <v>-30</v>
          </cell>
        </row>
      </sheetData>
      <sheetData sheetId="13">
        <row r="2">
          <cell r="I2" t="str">
            <v>Anchorage</v>
          </cell>
        </row>
        <row r="3">
          <cell r="O3" t="str">
            <v>M2</v>
          </cell>
        </row>
        <row r="5">
          <cell r="A5" t="str">
            <v>TRACK 3 GANNOT AREA</v>
          </cell>
        </row>
        <row r="7">
          <cell r="N7" t="str">
            <v>EMT-1</v>
          </cell>
          <cell r="O7" t="str">
            <v>EMT-2</v>
          </cell>
          <cell r="T7">
            <v>15</v>
          </cell>
          <cell r="U7">
            <v>30</v>
          </cell>
        </row>
        <row r="8">
          <cell r="A8" t="str">
            <v>Overhead Cable</v>
          </cell>
          <cell r="G8">
            <v>53</v>
          </cell>
        </row>
        <row r="9">
          <cell r="B9" t="str">
            <v>0-3.22</v>
          </cell>
          <cell r="C9">
            <v>46</v>
          </cell>
          <cell r="F9">
            <v>1000</v>
          </cell>
          <cell r="L9" t="str">
            <v>HEB-360LL</v>
          </cell>
          <cell r="M9" t="str">
            <v>C9R</v>
          </cell>
          <cell r="N9" t="str">
            <v>EMT-1</v>
          </cell>
          <cell r="T9">
            <v>-20</v>
          </cell>
          <cell r="W9">
            <v>1.4</v>
          </cell>
          <cell r="AC9" t="str">
            <v>PH-Q</v>
          </cell>
          <cell r="AL9" t="str">
            <v>B7</v>
          </cell>
          <cell r="AM9" t="str">
            <v>RW1</v>
          </cell>
        </row>
        <row r="10">
          <cell r="G10">
            <v>30</v>
          </cell>
        </row>
        <row r="11">
          <cell r="B11" t="str">
            <v>0-3.23</v>
          </cell>
          <cell r="C11">
            <v>76</v>
          </cell>
          <cell r="F11">
            <v>350</v>
          </cell>
          <cell r="L11" t="str">
            <v>HEB-260</v>
          </cell>
          <cell r="M11" t="str">
            <v>C4R</v>
          </cell>
          <cell r="N11" t="str">
            <v>EMT-1</v>
          </cell>
          <cell r="T11">
            <v>-30</v>
          </cell>
          <cell r="W11">
            <v>1.4</v>
          </cell>
          <cell r="AC11" t="e">
            <v>#VALUE!</v>
          </cell>
          <cell r="AM11" t="str">
            <v>RW1</v>
          </cell>
        </row>
        <row r="95">
          <cell r="B95" t="str">
            <v>Special and particular solution to be applied</v>
          </cell>
        </row>
        <row r="96">
          <cell r="I96">
            <v>0</v>
          </cell>
        </row>
        <row r="98">
          <cell r="I98">
            <v>0</v>
          </cell>
        </row>
      </sheetData>
      <sheetData sheetId="14">
        <row r="2">
          <cell r="I2" t="str">
            <v>Anchorage</v>
          </cell>
        </row>
        <row r="3">
          <cell r="O3" t="str">
            <v>M2</v>
          </cell>
        </row>
        <row r="4">
          <cell r="G4">
            <v>49</v>
          </cell>
        </row>
        <row r="5">
          <cell r="A5" t="str">
            <v>BEN-B01</v>
          </cell>
          <cell r="B5" t="str">
            <v>6-21.07</v>
          </cell>
          <cell r="C5">
            <v>6253.5</v>
          </cell>
          <cell r="F5">
            <v>0</v>
          </cell>
          <cell r="L5" t="str">
            <v>HEB-280L</v>
          </cell>
          <cell r="M5" t="str">
            <v>C5R</v>
          </cell>
          <cell r="N5" t="str">
            <v>EMT-1</v>
          </cell>
          <cell r="T5">
            <v>-20</v>
          </cell>
          <cell r="W5">
            <v>1.4</v>
          </cell>
          <cell r="AC5" t="str">
            <v>PH-1150</v>
          </cell>
          <cell r="AF5">
            <v>5800</v>
          </cell>
          <cell r="AH5">
            <v>2550</v>
          </cell>
          <cell r="AI5">
            <v>325</v>
          </cell>
          <cell r="AJ5" t="str">
            <v>Disc/PP-pr</v>
          </cell>
          <cell r="AL5" t="str">
            <v>PR1B</v>
          </cell>
          <cell r="AM5" t="str">
            <v>RW2</v>
          </cell>
        </row>
        <row r="6">
          <cell r="G6">
            <v>55</v>
          </cell>
        </row>
        <row r="7">
          <cell r="A7" t="str">
            <v>BEN-09</v>
          </cell>
          <cell r="B7" t="str">
            <v>6-21.08</v>
          </cell>
          <cell r="C7">
            <v>6308.5</v>
          </cell>
          <cell r="F7">
            <v>0</v>
          </cell>
          <cell r="H7" t="str">
            <v>P50</v>
          </cell>
          <cell r="L7" t="str">
            <v>HEB-280L</v>
          </cell>
          <cell r="M7" t="str">
            <v>C5R</v>
          </cell>
          <cell r="N7" t="str">
            <v>EMT-2</v>
          </cell>
          <cell r="O7" t="str">
            <v>EMT-1</v>
          </cell>
          <cell r="Q7">
            <v>0</v>
          </cell>
          <cell r="R7">
            <v>0</v>
          </cell>
          <cell r="T7">
            <v>30</v>
          </cell>
          <cell r="U7">
            <v>15</v>
          </cell>
          <cell r="W7">
            <v>1.4</v>
          </cell>
          <cell r="X7">
            <v>2.2999999999999998</v>
          </cell>
          <cell r="AC7" t="str">
            <v>PH-1350</v>
          </cell>
          <cell r="AD7" t="str">
            <v>PHC-1500</v>
          </cell>
          <cell r="AF7">
            <v>5500</v>
          </cell>
          <cell r="AG7">
            <v>6307.72</v>
          </cell>
          <cell r="AH7">
            <v>2563</v>
          </cell>
          <cell r="AI7">
            <v>326</v>
          </cell>
          <cell r="AJ7" t="str">
            <v>Disc/PP-pr</v>
          </cell>
          <cell r="AL7" t="str">
            <v>PR1B</v>
          </cell>
          <cell r="AM7" t="str">
            <v>RW2</v>
          </cell>
        </row>
        <row r="8">
          <cell r="G8">
            <v>47.5</v>
          </cell>
          <cell r="S8">
            <v>47.719999999999345</v>
          </cell>
        </row>
        <row r="9">
          <cell r="B9" t="str">
            <v>6-21.09</v>
          </cell>
          <cell r="C9">
            <v>6356</v>
          </cell>
          <cell r="F9">
            <v>800</v>
          </cell>
          <cell r="H9" t="str">
            <v>S/A</v>
          </cell>
          <cell r="L9" t="str">
            <v>HEB-280L</v>
          </cell>
          <cell r="M9" t="str">
            <v>C5R</v>
          </cell>
          <cell r="N9" t="str">
            <v>EMT-1</v>
          </cell>
          <cell r="O9" t="str">
            <v>EMT-T</v>
          </cell>
          <cell r="Q9">
            <v>0</v>
          </cell>
          <cell r="R9">
            <v>800</v>
          </cell>
          <cell r="T9">
            <v>-25</v>
          </cell>
          <cell r="U9">
            <v>-40</v>
          </cell>
          <cell r="W9">
            <v>1.4</v>
          </cell>
          <cell r="X9">
            <v>2.2999999999999998</v>
          </cell>
          <cell r="AA9">
            <v>0.6</v>
          </cell>
          <cell r="AC9" t="str">
            <v>PHC-1150</v>
          </cell>
          <cell r="AF9">
            <v>5500</v>
          </cell>
          <cell r="AG9">
            <v>6355.44</v>
          </cell>
          <cell r="AH9">
            <v>2564</v>
          </cell>
          <cell r="AI9">
            <v>362</v>
          </cell>
          <cell r="AL9" t="str">
            <v>PR1B</v>
          </cell>
          <cell r="AM9" t="str">
            <v>RW2</v>
          </cell>
        </row>
        <row r="10">
          <cell r="G10">
            <v>43</v>
          </cell>
          <cell r="S10">
            <v>43.380000000000109</v>
          </cell>
        </row>
        <row r="11">
          <cell r="B11" t="str">
            <v>6-21.10</v>
          </cell>
          <cell r="C11">
            <v>6399</v>
          </cell>
          <cell r="F11">
            <v>800</v>
          </cell>
          <cell r="H11" t="str">
            <v>A/S-Diag S/A</v>
          </cell>
          <cell r="L11" t="str">
            <v>HEB-320L</v>
          </cell>
          <cell r="M11" t="str">
            <v>C7R</v>
          </cell>
          <cell r="N11" t="str">
            <v>EMT-1</v>
          </cell>
          <cell r="O11" t="str">
            <v>EMT-T</v>
          </cell>
          <cell r="Q11">
            <v>0</v>
          </cell>
          <cell r="R11">
            <v>800</v>
          </cell>
          <cell r="T11">
            <v>-30</v>
          </cell>
          <cell r="U11">
            <v>-15</v>
          </cell>
          <cell r="W11">
            <v>2.2999999999999998</v>
          </cell>
          <cell r="X11">
            <v>1.4</v>
          </cell>
          <cell r="AA11">
            <v>0.6</v>
          </cell>
          <cell r="AC11" t="str">
            <v>PHC-1150</v>
          </cell>
          <cell r="AF11">
            <v>5500</v>
          </cell>
          <cell r="AG11">
            <v>6398.82</v>
          </cell>
          <cell r="AH11">
            <v>2445</v>
          </cell>
          <cell r="AI11">
            <v>424</v>
          </cell>
          <cell r="AL11" t="str">
            <v>PR1B</v>
          </cell>
          <cell r="AM11" t="str">
            <v>RW2</v>
          </cell>
        </row>
        <row r="12">
          <cell r="G12">
            <v>43</v>
          </cell>
          <cell r="I12" t="str">
            <v>CP+AnMC</v>
          </cell>
          <cell r="J12">
            <v>6406.5</v>
          </cell>
          <cell r="K12" t="str">
            <v>AnMC</v>
          </cell>
          <cell r="S12">
            <v>43.420000000000073</v>
          </cell>
        </row>
        <row r="13">
          <cell r="B13" t="str">
            <v>6-21.11</v>
          </cell>
          <cell r="C13">
            <v>6442</v>
          </cell>
          <cell r="F13">
            <v>800</v>
          </cell>
          <cell r="H13" t="str">
            <v>A/S</v>
          </cell>
          <cell r="L13" t="str">
            <v>HEB-320L</v>
          </cell>
          <cell r="M13" t="str">
            <v>C7R</v>
          </cell>
          <cell r="N13" t="str">
            <v>EMT-1</v>
          </cell>
          <cell r="Q13">
            <v>0</v>
          </cell>
          <cell r="R13">
            <v>800</v>
          </cell>
          <cell r="T13">
            <v>-30</v>
          </cell>
          <cell r="W13">
            <v>1.4</v>
          </cell>
          <cell r="AC13" t="str">
            <v>PHC-1150</v>
          </cell>
          <cell r="AF13">
            <v>5800</v>
          </cell>
          <cell r="AG13">
            <v>6442.24</v>
          </cell>
          <cell r="AH13">
            <v>2509</v>
          </cell>
          <cell r="AI13">
            <v>381</v>
          </cell>
          <cell r="AL13" t="str">
            <v>PR1C</v>
          </cell>
          <cell r="AM13" t="str">
            <v>RW2</v>
          </cell>
        </row>
        <row r="14">
          <cell r="G14">
            <v>43</v>
          </cell>
          <cell r="I14" t="str">
            <v>CP+AnMC</v>
          </cell>
          <cell r="J14">
            <v>6449.5</v>
          </cell>
          <cell r="K14" t="str">
            <v>AnMC</v>
          </cell>
          <cell r="S14">
            <v>43.890000000000327</v>
          </cell>
        </row>
        <row r="15">
          <cell r="B15" t="str">
            <v>6-21.12</v>
          </cell>
          <cell r="C15">
            <v>6485</v>
          </cell>
          <cell r="F15">
            <v>800</v>
          </cell>
          <cell r="L15" t="str">
            <v>HEB-320L</v>
          </cell>
          <cell r="M15" t="str">
            <v>C7R</v>
          </cell>
          <cell r="N15" t="str">
            <v>EMT-1</v>
          </cell>
          <cell r="Q15">
            <v>0</v>
          </cell>
          <cell r="R15">
            <v>800</v>
          </cell>
          <cell r="T15">
            <v>-30</v>
          </cell>
          <cell r="W15">
            <v>1.4</v>
          </cell>
          <cell r="AC15" t="str">
            <v>PHC-1150</v>
          </cell>
          <cell r="AF15">
            <v>5800</v>
          </cell>
          <cell r="AG15">
            <v>6486.13</v>
          </cell>
          <cell r="AH15">
            <v>2497</v>
          </cell>
          <cell r="AI15">
            <v>403</v>
          </cell>
          <cell r="AL15" t="str">
            <v>PR1C</v>
          </cell>
          <cell r="AM15" t="str">
            <v>RW2</v>
          </cell>
        </row>
        <row r="16">
          <cell r="G16">
            <v>44</v>
          </cell>
          <cell r="S16">
            <v>44.340000000000146</v>
          </cell>
        </row>
        <row r="17">
          <cell r="B17" t="str">
            <v>6-21.13</v>
          </cell>
          <cell r="C17">
            <v>6529</v>
          </cell>
          <cell r="F17">
            <v>800</v>
          </cell>
          <cell r="L17" t="str">
            <v>HEB-320L</v>
          </cell>
          <cell r="M17" t="str">
            <v>C7R</v>
          </cell>
          <cell r="N17" t="str">
            <v>EMT-1</v>
          </cell>
          <cell r="Q17">
            <v>0</v>
          </cell>
          <cell r="R17">
            <v>800</v>
          </cell>
          <cell r="T17">
            <v>-30</v>
          </cell>
          <cell r="W17">
            <v>1.4</v>
          </cell>
          <cell r="AC17" t="str">
            <v>PHC-1150</v>
          </cell>
          <cell r="AF17">
            <v>5800</v>
          </cell>
          <cell r="AG17">
            <v>6530.47</v>
          </cell>
          <cell r="AH17">
            <v>2559</v>
          </cell>
          <cell r="AI17">
            <v>427</v>
          </cell>
          <cell r="AL17" t="str">
            <v>PR1C</v>
          </cell>
          <cell r="AM17" t="str">
            <v>RW2</v>
          </cell>
        </row>
        <row r="18">
          <cell r="G18">
            <v>44</v>
          </cell>
          <cell r="S18">
            <v>44.979999999999563</v>
          </cell>
        </row>
        <row r="19">
          <cell r="B19" t="str">
            <v>6-21.14</v>
          </cell>
          <cell r="C19">
            <v>6573</v>
          </cell>
          <cell r="F19">
            <v>800</v>
          </cell>
          <cell r="L19" t="str">
            <v>HEB-320L</v>
          </cell>
          <cell r="M19" t="str">
            <v>C7R</v>
          </cell>
          <cell r="N19" t="str">
            <v>EMT-1</v>
          </cell>
          <cell r="Q19">
            <v>0</v>
          </cell>
          <cell r="R19">
            <v>800</v>
          </cell>
          <cell r="T19">
            <v>-30</v>
          </cell>
          <cell r="W19">
            <v>1.4</v>
          </cell>
          <cell r="AC19" t="str">
            <v>PHC-1150</v>
          </cell>
          <cell r="AF19">
            <v>5800</v>
          </cell>
          <cell r="AG19">
            <v>6575.45</v>
          </cell>
          <cell r="AH19">
            <v>2273</v>
          </cell>
          <cell r="AI19">
            <v>447</v>
          </cell>
          <cell r="AL19" t="str">
            <v>PR1C</v>
          </cell>
          <cell r="AM19" t="str">
            <v>RW2</v>
          </cell>
        </row>
        <row r="20">
          <cell r="G20">
            <v>44</v>
          </cell>
          <cell r="J20">
            <v>6609.5</v>
          </cell>
          <cell r="K20" t="str">
            <v>AnM</v>
          </cell>
          <cell r="S20">
            <v>44.369999999999891</v>
          </cell>
        </row>
        <row r="21">
          <cell r="B21" t="str">
            <v>6-21.15</v>
          </cell>
          <cell r="C21">
            <v>6617</v>
          </cell>
          <cell r="F21">
            <v>800</v>
          </cell>
          <cell r="H21" t="str">
            <v>AnMP</v>
          </cell>
          <cell r="L21" t="str">
            <v>HEB-320L</v>
          </cell>
          <cell r="M21" t="str">
            <v>C7R</v>
          </cell>
          <cell r="N21" t="str">
            <v>EMT-1</v>
          </cell>
          <cell r="Q21">
            <v>0</v>
          </cell>
          <cell r="R21">
            <v>800</v>
          </cell>
          <cell r="T21">
            <v>-30</v>
          </cell>
          <cell r="W21">
            <v>1.4</v>
          </cell>
          <cell r="AC21" t="str">
            <v>PHC-1150</v>
          </cell>
          <cell r="AF21">
            <v>5800</v>
          </cell>
          <cell r="AG21">
            <v>6619.82</v>
          </cell>
          <cell r="AH21">
            <v>2390</v>
          </cell>
          <cell r="AI21">
            <v>562</v>
          </cell>
          <cell r="AL21" t="str">
            <v>PR1C</v>
          </cell>
          <cell r="AM21" t="str">
            <v>RW2</v>
          </cell>
        </row>
        <row r="22">
          <cell r="G22">
            <v>45</v>
          </cell>
          <cell r="J22">
            <v>6654.5</v>
          </cell>
          <cell r="K22" t="str">
            <v>AnM</v>
          </cell>
          <cell r="S22">
            <v>45.990000000000691</v>
          </cell>
        </row>
        <row r="23">
          <cell r="B23" t="str">
            <v>6-21.16</v>
          </cell>
          <cell r="C23">
            <v>6662</v>
          </cell>
          <cell r="F23">
            <v>800</v>
          </cell>
          <cell r="H23" t="str">
            <v>AnMP</v>
          </cell>
          <cell r="L23" t="str">
            <v>HEB-320L</v>
          </cell>
          <cell r="M23" t="str">
            <v>C7R</v>
          </cell>
          <cell r="N23" t="str">
            <v>EMT-1</v>
          </cell>
          <cell r="Q23">
            <v>0</v>
          </cell>
          <cell r="R23">
            <v>800</v>
          </cell>
          <cell r="T23">
            <v>-15</v>
          </cell>
          <cell r="W23">
            <v>1.4</v>
          </cell>
          <cell r="AC23" t="str">
            <v>PHC-1150</v>
          </cell>
          <cell r="AF23">
            <v>5800</v>
          </cell>
          <cell r="AG23">
            <v>6665.81</v>
          </cell>
          <cell r="AH23">
            <v>2461</v>
          </cell>
          <cell r="AI23">
            <v>465</v>
          </cell>
          <cell r="AL23" t="str">
            <v>PR1C</v>
          </cell>
          <cell r="AM23" t="str">
            <v>RW2</v>
          </cell>
        </row>
        <row r="24">
          <cell r="G24">
            <v>50</v>
          </cell>
          <cell r="I24">
            <v>458.5</v>
          </cell>
          <cell r="S24">
            <v>50.1899999999996</v>
          </cell>
        </row>
        <row r="25">
          <cell r="B25" t="str">
            <v>6-21.17</v>
          </cell>
          <cell r="C25">
            <v>6712</v>
          </cell>
          <cell r="F25">
            <v>0</v>
          </cell>
          <cell r="H25" t="str">
            <v>MP</v>
          </cell>
          <cell r="L25" t="str">
            <v>HEB-280L</v>
          </cell>
          <cell r="M25" t="str">
            <v>C5R</v>
          </cell>
          <cell r="N25" t="str">
            <v>EMT-1</v>
          </cell>
          <cell r="Q25">
            <v>0</v>
          </cell>
          <cell r="R25">
            <v>0</v>
          </cell>
          <cell r="T25">
            <v>-25</v>
          </cell>
          <cell r="W25">
            <v>1.4</v>
          </cell>
          <cell r="AC25" t="str">
            <v>PH-1150</v>
          </cell>
          <cell r="AF25">
            <v>6000</v>
          </cell>
          <cell r="AG25">
            <v>6716</v>
          </cell>
          <cell r="AH25">
            <v>2516</v>
          </cell>
          <cell r="AI25">
            <v>510</v>
          </cell>
          <cell r="AL25" t="str">
            <v>PR1B</v>
          </cell>
          <cell r="AM25" t="str">
            <v>RW2</v>
          </cell>
        </row>
        <row r="26">
          <cell r="G26">
            <v>57</v>
          </cell>
          <cell r="I26">
            <v>467</v>
          </cell>
          <cell r="S26">
            <v>56.890000000000327</v>
          </cell>
        </row>
        <row r="27">
          <cell r="B27" t="str">
            <v>6-21.18</v>
          </cell>
          <cell r="C27">
            <v>6769</v>
          </cell>
          <cell r="F27">
            <v>0</v>
          </cell>
          <cell r="H27" t="str">
            <v>AnMP</v>
          </cell>
          <cell r="L27" t="str">
            <v>HEB-280L</v>
          </cell>
          <cell r="M27" t="str">
            <v>C5R</v>
          </cell>
          <cell r="N27" t="str">
            <v>EMT-2</v>
          </cell>
          <cell r="Q27">
            <v>0</v>
          </cell>
          <cell r="R27">
            <v>0</v>
          </cell>
          <cell r="T27">
            <v>35</v>
          </cell>
          <cell r="W27">
            <v>1.4</v>
          </cell>
          <cell r="AC27" t="str">
            <v>PH-1150</v>
          </cell>
          <cell r="AF27">
            <v>6000</v>
          </cell>
          <cell r="AG27">
            <v>6772.89</v>
          </cell>
          <cell r="AH27">
            <v>2616</v>
          </cell>
          <cell r="AI27">
            <v>495</v>
          </cell>
          <cell r="AL27" t="str">
            <v>PR1B</v>
          </cell>
          <cell r="AM27" t="str">
            <v>RW2</v>
          </cell>
        </row>
        <row r="28">
          <cell r="G28">
            <v>59</v>
          </cell>
          <cell r="J28">
            <v>6776.5</v>
          </cell>
          <cell r="K28" t="str">
            <v>AnM</v>
          </cell>
          <cell r="S28">
            <v>59.069999999999709</v>
          </cell>
        </row>
        <row r="29">
          <cell r="B29" t="str">
            <v>6-21.19</v>
          </cell>
          <cell r="C29">
            <v>6828</v>
          </cell>
          <cell r="F29">
            <v>0</v>
          </cell>
          <cell r="H29" t="str">
            <v>AnMP</v>
          </cell>
          <cell r="L29" t="str">
            <v>HEB-280L</v>
          </cell>
          <cell r="M29" t="str">
            <v>C5R</v>
          </cell>
          <cell r="N29" t="str">
            <v>EMT-1</v>
          </cell>
          <cell r="Q29">
            <v>0</v>
          </cell>
          <cell r="R29">
            <v>0</v>
          </cell>
          <cell r="T29">
            <v>-35</v>
          </cell>
          <cell r="W29">
            <v>1.4</v>
          </cell>
          <cell r="AC29" t="str">
            <v>PHQ-1150</v>
          </cell>
          <cell r="AF29">
            <v>6000</v>
          </cell>
          <cell r="AG29">
            <v>6831.96</v>
          </cell>
          <cell r="AH29">
            <v>2258</v>
          </cell>
          <cell r="AI29">
            <v>530</v>
          </cell>
          <cell r="AL29" t="str">
            <v>PR1B</v>
          </cell>
          <cell r="AM29" t="str">
            <v>RW2</v>
          </cell>
        </row>
        <row r="30">
          <cell r="G30">
            <v>53</v>
          </cell>
          <cell r="J30">
            <v>6835.5</v>
          </cell>
          <cell r="K30" t="str">
            <v>AnM</v>
          </cell>
          <cell r="S30">
            <v>52.909999999999854</v>
          </cell>
        </row>
        <row r="31">
          <cell r="B31" t="str">
            <v>6-21.20</v>
          </cell>
          <cell r="C31">
            <v>6881</v>
          </cell>
          <cell r="F31">
            <v>0</v>
          </cell>
          <cell r="L31" t="str">
            <v>HEB-280L</v>
          </cell>
          <cell r="M31" t="str">
            <v>C5R</v>
          </cell>
          <cell r="N31" t="str">
            <v>EMT-2</v>
          </cell>
          <cell r="Q31">
            <v>0</v>
          </cell>
          <cell r="R31">
            <v>0</v>
          </cell>
          <cell r="T31">
            <v>20</v>
          </cell>
          <cell r="W31">
            <v>1.4</v>
          </cell>
          <cell r="AC31" t="str">
            <v>PH-1050</v>
          </cell>
          <cell r="AF31">
            <v>6000</v>
          </cell>
          <cell r="AG31">
            <v>6884.87</v>
          </cell>
          <cell r="AH31">
            <v>2644</v>
          </cell>
          <cell r="AI31">
            <v>436</v>
          </cell>
          <cell r="AL31" t="str">
            <v>PR1B</v>
          </cell>
          <cell r="AM31" t="str">
            <v>RW2</v>
          </cell>
        </row>
        <row r="32">
          <cell r="G32">
            <v>50.5</v>
          </cell>
          <cell r="J32">
            <v>6924</v>
          </cell>
          <cell r="K32" t="str">
            <v>AnMC</v>
          </cell>
          <cell r="S32">
            <v>50.350000000000364</v>
          </cell>
        </row>
        <row r="33">
          <cell r="B33" t="str">
            <v>6-21.21</v>
          </cell>
          <cell r="C33">
            <v>6931.5</v>
          </cell>
          <cell r="F33">
            <v>0</v>
          </cell>
          <cell r="H33" t="str">
            <v>A/S</v>
          </cell>
          <cell r="I33" t="str">
            <v>FP+AnMC</v>
          </cell>
          <cell r="L33" t="str">
            <v>HEB-280L</v>
          </cell>
          <cell r="M33" t="str">
            <v>C5R</v>
          </cell>
          <cell r="N33" t="str">
            <v>EMT-2</v>
          </cell>
          <cell r="Q33">
            <v>0</v>
          </cell>
          <cell r="R33">
            <v>0</v>
          </cell>
          <cell r="T33">
            <v>20</v>
          </cell>
          <cell r="W33">
            <v>1.4</v>
          </cell>
          <cell r="AC33" t="str">
            <v>PH-1050</v>
          </cell>
          <cell r="AF33">
            <v>6000</v>
          </cell>
          <cell r="AG33">
            <v>6935.22</v>
          </cell>
          <cell r="AH33">
            <v>2603</v>
          </cell>
          <cell r="AI33">
            <v>474</v>
          </cell>
          <cell r="AL33" t="str">
            <v>PR1B</v>
          </cell>
          <cell r="AM33" t="str">
            <v>RW2</v>
          </cell>
        </row>
        <row r="34">
          <cell r="G34">
            <v>44</v>
          </cell>
          <cell r="I34">
            <v>560</v>
          </cell>
          <cell r="J34">
            <v>6968</v>
          </cell>
          <cell r="K34" t="str">
            <v>AnMC</v>
          </cell>
          <cell r="S34">
            <v>44.019999999999527</v>
          </cell>
        </row>
        <row r="35">
          <cell r="B35" t="str">
            <v>6-21.22</v>
          </cell>
          <cell r="C35">
            <v>6975.5</v>
          </cell>
          <cell r="F35">
            <v>0</v>
          </cell>
          <cell r="H35" t="str">
            <v>A/S-Diag S/A</v>
          </cell>
          <cell r="I35" t="str">
            <v>FP+AnMC</v>
          </cell>
          <cell r="L35" t="str">
            <v>HEB-280L</v>
          </cell>
          <cell r="M35" t="str">
            <v>C5R</v>
          </cell>
          <cell r="N35" t="str">
            <v>EMT-T</v>
          </cell>
          <cell r="O35" t="str">
            <v>EMT-1</v>
          </cell>
          <cell r="Q35">
            <v>0</v>
          </cell>
          <cell r="R35">
            <v>0</v>
          </cell>
          <cell r="T35">
            <v>15</v>
          </cell>
          <cell r="U35">
            <v>-30</v>
          </cell>
          <cell r="W35">
            <v>1.4</v>
          </cell>
          <cell r="X35">
            <v>2.2999999999999998</v>
          </cell>
          <cell r="Z35">
            <v>0.6</v>
          </cell>
          <cell r="AD35" t="str">
            <v>PHQ-1150</v>
          </cell>
          <cell r="AF35">
            <v>5800</v>
          </cell>
          <cell r="AG35">
            <v>6979.24</v>
          </cell>
          <cell r="AH35">
            <v>2613</v>
          </cell>
          <cell r="AI35">
            <v>442</v>
          </cell>
          <cell r="AL35" t="str">
            <v>PR1B</v>
          </cell>
          <cell r="AM35" t="str">
            <v>RW2</v>
          </cell>
        </row>
        <row r="36">
          <cell r="G36">
            <v>44</v>
          </cell>
          <cell r="I36">
            <v>345</v>
          </cell>
          <cell r="S36">
            <v>44</v>
          </cell>
        </row>
        <row r="37">
          <cell r="B37" t="str">
            <v>6-21.23</v>
          </cell>
          <cell r="C37">
            <v>7019.5</v>
          </cell>
          <cell r="F37">
            <v>0</v>
          </cell>
          <cell r="H37" t="str">
            <v>S/A</v>
          </cell>
          <cell r="L37" t="str">
            <v>HEB-280L</v>
          </cell>
          <cell r="M37" t="str">
            <v>C5R</v>
          </cell>
          <cell r="N37" t="str">
            <v>EMT-T</v>
          </cell>
          <cell r="O37" t="str">
            <v>EMT-2</v>
          </cell>
          <cell r="Q37">
            <v>0</v>
          </cell>
          <cell r="R37">
            <v>0</v>
          </cell>
          <cell r="T37">
            <v>15</v>
          </cell>
          <cell r="U37">
            <v>30</v>
          </cell>
          <cell r="W37">
            <v>2.2999999999999998</v>
          </cell>
          <cell r="X37">
            <v>1.4</v>
          </cell>
          <cell r="Z37">
            <v>0.45</v>
          </cell>
          <cell r="AD37" t="str">
            <v>PH-1150</v>
          </cell>
          <cell r="AF37">
            <v>6000</v>
          </cell>
          <cell r="AG37">
            <v>7023.24</v>
          </cell>
          <cell r="AH37">
            <v>2553</v>
          </cell>
          <cell r="AI37">
            <v>528</v>
          </cell>
          <cell r="AL37" t="str">
            <v>PR1B</v>
          </cell>
          <cell r="AM37" t="str">
            <v>RW2</v>
          </cell>
        </row>
        <row r="38">
          <cell r="G38">
            <v>44</v>
          </cell>
          <cell r="S38">
            <v>44.020000000000437</v>
          </cell>
        </row>
        <row r="39">
          <cell r="B39" t="str">
            <v>7-21.01</v>
          </cell>
          <cell r="C39">
            <v>7063.5</v>
          </cell>
          <cell r="F39">
            <v>0</v>
          </cell>
          <cell r="H39" t="str">
            <v>P50</v>
          </cell>
          <cell r="L39" t="str">
            <v>HEB-280L</v>
          </cell>
          <cell r="M39" t="str">
            <v>C5R</v>
          </cell>
          <cell r="N39" t="str">
            <v>EMT-1</v>
          </cell>
          <cell r="O39" t="str">
            <v>EMT-2</v>
          </cell>
          <cell r="Q39">
            <v>0</v>
          </cell>
          <cell r="R39">
            <v>0</v>
          </cell>
          <cell r="T39">
            <v>15</v>
          </cell>
          <cell r="U39">
            <v>30</v>
          </cell>
          <cell r="W39">
            <v>2.2999999999999998</v>
          </cell>
          <cell r="X39">
            <v>1.4</v>
          </cell>
          <cell r="AC39" t="str">
            <v>PHC-1500</v>
          </cell>
          <cell r="AD39" t="str">
            <v>PH-1350</v>
          </cell>
          <cell r="AF39">
            <v>5800</v>
          </cell>
          <cell r="AG39">
            <v>7067.26</v>
          </cell>
          <cell r="AH39">
            <v>2580</v>
          </cell>
          <cell r="AI39">
            <v>548</v>
          </cell>
          <cell r="AL39" t="str">
            <v>PR1B</v>
          </cell>
          <cell r="AM39" t="str">
            <v>RW2</v>
          </cell>
        </row>
        <row r="40">
          <cell r="G40">
            <v>34</v>
          </cell>
          <cell r="S40">
            <v>34.010000000000218</v>
          </cell>
        </row>
        <row r="41">
          <cell r="B41" t="str">
            <v>7-21.01BIS</v>
          </cell>
          <cell r="C41">
            <v>7097.5</v>
          </cell>
          <cell r="F41">
            <v>0</v>
          </cell>
          <cell r="L41" t="str">
            <v>HEB-280L</v>
          </cell>
          <cell r="M41" t="str">
            <v>C5R</v>
          </cell>
          <cell r="N41" t="str">
            <v>EMT-1</v>
          </cell>
          <cell r="Q41">
            <v>0</v>
          </cell>
          <cell r="R41">
            <v>0</v>
          </cell>
          <cell r="T41">
            <v>-35</v>
          </cell>
          <cell r="W41">
            <v>1.4</v>
          </cell>
          <cell r="AC41" t="str">
            <v>PHQ-1150</v>
          </cell>
          <cell r="AF41">
            <v>6000</v>
          </cell>
          <cell r="AG41">
            <v>7101.27</v>
          </cell>
          <cell r="AH41">
            <v>2574</v>
          </cell>
          <cell r="AI41">
            <v>493</v>
          </cell>
          <cell r="AL41" t="str">
            <v>PR1B</v>
          </cell>
          <cell r="AM41" t="str">
            <v>RW2</v>
          </cell>
        </row>
        <row r="42">
          <cell r="G42">
            <v>34</v>
          </cell>
          <cell r="S42">
            <v>34.139999999999418</v>
          </cell>
        </row>
        <row r="43">
          <cell r="B43" t="str">
            <v>7-21.02</v>
          </cell>
          <cell r="C43">
            <v>7131.5</v>
          </cell>
          <cell r="F43">
            <v>0</v>
          </cell>
          <cell r="L43" t="str">
            <v>HEB-280L</v>
          </cell>
          <cell r="M43" t="str">
            <v>C5R</v>
          </cell>
          <cell r="N43" t="str">
            <v>EMT-2</v>
          </cell>
          <cell r="Q43">
            <v>0</v>
          </cell>
          <cell r="R43">
            <v>0</v>
          </cell>
          <cell r="T43">
            <v>35</v>
          </cell>
          <cell r="W43">
            <v>1.4</v>
          </cell>
          <cell r="AC43" t="str">
            <v>PHQ-1150</v>
          </cell>
          <cell r="AF43">
            <v>6000</v>
          </cell>
          <cell r="AG43">
            <v>7135.41</v>
          </cell>
          <cell r="AH43">
            <v>2619</v>
          </cell>
          <cell r="AI43">
            <v>514</v>
          </cell>
          <cell r="AL43" t="str">
            <v>PR1B</v>
          </cell>
          <cell r="AM43" t="str">
            <v>RW2</v>
          </cell>
        </row>
        <row r="44">
          <cell r="G44">
            <v>47.5</v>
          </cell>
          <cell r="S44">
            <v>47.279999999999745</v>
          </cell>
        </row>
        <row r="45">
          <cell r="B45" t="str">
            <v>7-21.03</v>
          </cell>
          <cell r="C45">
            <v>7179</v>
          </cell>
          <cell r="F45">
            <v>0</v>
          </cell>
          <cell r="L45" t="str">
            <v>HEB-280L</v>
          </cell>
          <cell r="M45" t="str">
            <v>C5R</v>
          </cell>
          <cell r="N45" t="str">
            <v>EMT-1</v>
          </cell>
          <cell r="Q45">
            <v>0</v>
          </cell>
          <cell r="R45">
            <v>0</v>
          </cell>
          <cell r="T45">
            <v>-35</v>
          </cell>
          <cell r="W45">
            <v>1.4</v>
          </cell>
          <cell r="AC45" t="str">
            <v>PHQ-1150</v>
          </cell>
          <cell r="AF45">
            <v>6000</v>
          </cell>
          <cell r="AG45">
            <v>7182.69</v>
          </cell>
          <cell r="AH45">
            <v>2509</v>
          </cell>
          <cell r="AI45">
            <v>509</v>
          </cell>
          <cell r="AL45" t="str">
            <v>PR1B</v>
          </cell>
          <cell r="AM45" t="str">
            <v>RW2</v>
          </cell>
        </row>
        <row r="46">
          <cell r="G46">
            <v>53.5</v>
          </cell>
          <cell r="S46">
            <v>53.650000000000546</v>
          </cell>
        </row>
        <row r="47">
          <cell r="B47" t="str">
            <v>7-21.04</v>
          </cell>
          <cell r="C47">
            <v>7232.5</v>
          </cell>
          <cell r="F47">
            <v>0</v>
          </cell>
          <cell r="I47" t="str">
            <v>AnRW</v>
          </cell>
          <cell r="J47">
            <v>7240</v>
          </cell>
          <cell r="K47" t="str">
            <v>AnM</v>
          </cell>
          <cell r="L47" t="str">
            <v>HEB-280L</v>
          </cell>
          <cell r="M47" t="str">
            <v>C5R</v>
          </cell>
          <cell r="N47" t="str">
            <v>EMT-2</v>
          </cell>
          <cell r="O47" t="str">
            <v/>
          </cell>
          <cell r="Q47">
            <v>0</v>
          </cell>
          <cell r="R47">
            <v>0</v>
          </cell>
          <cell r="T47" t="str">
            <v>35</v>
          </cell>
          <cell r="W47">
            <v>1.4</v>
          </cell>
          <cell r="AC47" t="str">
            <v>PH-1150</v>
          </cell>
          <cell r="AF47">
            <v>6000</v>
          </cell>
          <cell r="AG47">
            <v>7236.34</v>
          </cell>
          <cell r="AH47">
            <v>2593</v>
          </cell>
          <cell r="AI47">
            <v>473</v>
          </cell>
          <cell r="AL47" t="str">
            <v>PR1B</v>
          </cell>
          <cell r="AM47" t="str">
            <v>RW2</v>
          </cell>
        </row>
        <row r="48">
          <cell r="G48" t="str">
            <v>45</v>
          </cell>
          <cell r="I48" t="str">
            <v>AnRW</v>
          </cell>
          <cell r="J48">
            <v>7242</v>
          </cell>
          <cell r="K48" t="str">
            <v>AnM</v>
          </cell>
        </row>
        <row r="49">
          <cell r="B49" t="str">
            <v>7-21.04BIS</v>
          </cell>
          <cell r="C49">
            <v>7277.5</v>
          </cell>
          <cell r="H49" t="str">
            <v>A/S</v>
          </cell>
          <cell r="L49" t="str">
            <v>HEB-260 (CP)</v>
          </cell>
          <cell r="M49" t="str">
            <v>C4R</v>
          </cell>
          <cell r="O49" t="str">
            <v/>
          </cell>
          <cell r="AM49" t="str">
            <v>RW2</v>
          </cell>
        </row>
        <row r="50">
          <cell r="I50" t="str">
            <v>CP+AnMC</v>
          </cell>
          <cell r="J50">
            <v>7285</v>
          </cell>
          <cell r="K50" t="str">
            <v>AnMC-RT</v>
          </cell>
        </row>
        <row r="107">
          <cell r="A107" t="str">
            <v>Observations of Workbook preparation</v>
          </cell>
        </row>
        <row r="108">
          <cell r="B108" t="str">
            <v>Possible Signalling Interface Detected</v>
          </cell>
        </row>
        <row r="109">
          <cell r="B109" t="str">
            <v>Sorted out by using "L"foundation</v>
          </cell>
        </row>
        <row r="110">
          <cell r="B110" t="str">
            <v>Sorted out by reducing gauge up to 2.90m</v>
          </cell>
        </row>
        <row r="111">
          <cell r="B111" t="str">
            <v>Special and particular solution to be applied</v>
          </cell>
        </row>
        <row r="113">
          <cell r="A113" t="str">
            <v>Observations of Workbook by Kedmor</v>
          </cell>
        </row>
        <row r="114">
          <cell r="B114" t="str">
            <v>Not For Construction</v>
          </cell>
        </row>
      </sheetData>
      <sheetData sheetId="15">
        <row r="2">
          <cell r="I2" t="str">
            <v>Anchorage</v>
          </cell>
        </row>
        <row r="3">
          <cell r="O3" t="str">
            <v>M2</v>
          </cell>
        </row>
        <row r="4">
          <cell r="G4">
            <v>47</v>
          </cell>
          <cell r="I4" t="str">
            <v>CP+AnMC</v>
          </cell>
          <cell r="J4">
            <v>8987.5</v>
          </cell>
          <cell r="K4" t="str">
            <v>AnMC</v>
          </cell>
        </row>
        <row r="5">
          <cell r="B5" t="str">
            <v>8-1.30</v>
          </cell>
          <cell r="C5">
            <v>8995</v>
          </cell>
          <cell r="F5">
            <v>0</v>
          </cell>
          <cell r="H5" t="str">
            <v>A/S</v>
          </cell>
          <cell r="L5" t="str">
            <v>HEB-260 (CP)</v>
          </cell>
          <cell r="M5" t="str">
            <v>C4R</v>
          </cell>
          <cell r="N5" t="str">
            <v>EMT-1</v>
          </cell>
          <cell r="T5">
            <v>-30</v>
          </cell>
          <cell r="W5">
            <v>1.4</v>
          </cell>
          <cell r="AC5" t="str">
            <v>PH</v>
          </cell>
          <cell r="AM5" t="str">
            <v>RW1</v>
          </cell>
        </row>
        <row r="6">
          <cell r="G6">
            <v>40</v>
          </cell>
        </row>
        <row r="7">
          <cell r="B7" t="str">
            <v>9-1.01</v>
          </cell>
          <cell r="C7">
            <v>9035</v>
          </cell>
          <cell r="F7">
            <v>7714.2857142857147</v>
          </cell>
          <cell r="H7" t="str">
            <v>S/A</v>
          </cell>
          <cell r="L7" t="str">
            <v>HEB-320L</v>
          </cell>
          <cell r="M7" t="str">
            <v>C7R</v>
          </cell>
          <cell r="N7" t="str">
            <v>EMT-T</v>
          </cell>
          <cell r="O7" t="str">
            <v>EMT-2</v>
          </cell>
          <cell r="Q7">
            <v>16</v>
          </cell>
          <cell r="R7">
            <v>8638.24</v>
          </cell>
          <cell r="T7">
            <v>55</v>
          </cell>
          <cell r="U7">
            <v>10</v>
          </cell>
          <cell r="W7">
            <v>1.4</v>
          </cell>
          <cell r="X7">
            <v>2.2999999999999998</v>
          </cell>
          <cell r="Z7">
            <v>0.6</v>
          </cell>
          <cell r="AC7" t="str">
            <v>PH-C</v>
          </cell>
          <cell r="AF7">
            <v>5800</v>
          </cell>
          <cell r="AG7">
            <v>9031.19</v>
          </cell>
          <cell r="AH7">
            <v>2580</v>
          </cell>
          <cell r="AI7">
            <v>223</v>
          </cell>
          <cell r="AL7" t="str">
            <v>PR1B</v>
          </cell>
          <cell r="AM7" t="str">
            <v>RW1</v>
          </cell>
        </row>
        <row r="8">
          <cell r="G8">
            <v>47</v>
          </cell>
        </row>
        <row r="9">
          <cell r="A9" t="str">
            <v>TZG-01</v>
          </cell>
          <cell r="B9" t="str">
            <v>9-1.01BIS</v>
          </cell>
          <cell r="C9">
            <v>9082</v>
          </cell>
          <cell r="F9">
            <v>1800</v>
          </cell>
          <cell r="H9" t="str">
            <v>S/A</v>
          </cell>
          <cell r="I9" t="str">
            <v>IO</v>
          </cell>
          <cell r="L9" t="str">
            <v>2HEB-240</v>
          </cell>
          <cell r="M9" t="str">
            <v>C2H-240</v>
          </cell>
          <cell r="N9" t="str">
            <v>EMT-1</v>
          </cell>
          <cell r="O9" t="str">
            <v>EMT-T</v>
          </cell>
          <cell r="T9">
            <v>10</v>
          </cell>
          <cell r="U9">
            <v>-35</v>
          </cell>
          <cell r="W9">
            <v>1.4</v>
          </cell>
          <cell r="X9">
            <v>2.2999999999999998</v>
          </cell>
          <cell r="AA9">
            <v>0.6</v>
          </cell>
          <cell r="AC9" t="str">
            <v>PH</v>
          </cell>
          <cell r="AJ9" t="str">
            <v>LoadB/IO</v>
          </cell>
          <cell r="AM9" t="str">
            <v>RW1</v>
          </cell>
        </row>
        <row r="10">
          <cell r="G10">
            <v>51</v>
          </cell>
          <cell r="AJ10" t="str">
            <v>CurrentT</v>
          </cell>
        </row>
        <row r="11">
          <cell r="B11" t="str">
            <v>9-1.02</v>
          </cell>
          <cell r="C11">
            <v>9133</v>
          </cell>
          <cell r="F11">
            <v>2918.9189189189187</v>
          </cell>
          <cell r="H11" t="str">
            <v>A/S</v>
          </cell>
          <cell r="L11" t="str">
            <v>HEB-260 (CP)</v>
          </cell>
          <cell r="M11" t="str">
            <v>C4R</v>
          </cell>
          <cell r="N11" t="str">
            <v>EMT-1</v>
          </cell>
          <cell r="T11">
            <v>0</v>
          </cell>
          <cell r="W11">
            <v>1.4</v>
          </cell>
          <cell r="AC11" t="str">
            <v>PH</v>
          </cell>
          <cell r="AM11" t="str">
            <v>RW1</v>
          </cell>
        </row>
        <row r="12">
          <cell r="G12">
            <v>60</v>
          </cell>
          <cell r="I12" t="str">
            <v>CP+AnMC</v>
          </cell>
          <cell r="J12">
            <v>9125.5</v>
          </cell>
          <cell r="K12" t="str">
            <v>AnMC</v>
          </cell>
        </row>
        <row r="13">
          <cell r="B13" t="str">
            <v>9-1.03</v>
          </cell>
          <cell r="C13">
            <v>9193</v>
          </cell>
          <cell r="F13">
            <v>0</v>
          </cell>
          <cell r="H13" t="str">
            <v>AnRW</v>
          </cell>
          <cell r="J13">
            <v>9185.5</v>
          </cell>
          <cell r="K13" t="str">
            <v>AnM/WT</v>
          </cell>
          <cell r="L13" t="str">
            <v>HEB-240_s</v>
          </cell>
          <cell r="M13" t="str">
            <v>WT3</v>
          </cell>
          <cell r="N13" t="str">
            <v>EMT-1</v>
          </cell>
          <cell r="T13">
            <v>-30</v>
          </cell>
          <cell r="W13">
            <v>1.4</v>
          </cell>
          <cell r="AC13" t="str">
            <v>PH</v>
          </cell>
          <cell r="AM13" t="str">
            <v>RW1</v>
          </cell>
        </row>
        <row r="14">
          <cell r="G14">
            <v>62</v>
          </cell>
        </row>
        <row r="15">
          <cell r="B15" t="str">
            <v>9-1.04</v>
          </cell>
          <cell r="C15">
            <v>9255</v>
          </cell>
          <cell r="F15">
            <v>0</v>
          </cell>
          <cell r="L15" t="str">
            <v>HEB-240_s</v>
          </cell>
          <cell r="M15" t="str">
            <v>WT3</v>
          </cell>
          <cell r="N15" t="str">
            <v>EMT-2</v>
          </cell>
          <cell r="T15">
            <v>35</v>
          </cell>
          <cell r="W15">
            <v>1.4</v>
          </cell>
          <cell r="AC15" t="str">
            <v>PH</v>
          </cell>
          <cell r="AM15" t="str">
            <v>RW1</v>
          </cell>
        </row>
        <row r="16">
          <cell r="G16">
            <v>59</v>
          </cell>
        </row>
        <row r="17">
          <cell r="B17" t="str">
            <v>9-1.05</v>
          </cell>
          <cell r="C17">
            <v>9314</v>
          </cell>
          <cell r="F17">
            <v>0</v>
          </cell>
          <cell r="L17" t="str">
            <v>HEB-240_s</v>
          </cell>
          <cell r="M17" t="str">
            <v>WT3</v>
          </cell>
          <cell r="N17" t="str">
            <v>EMT-1</v>
          </cell>
          <cell r="T17">
            <v>-35</v>
          </cell>
          <cell r="W17">
            <v>1.4</v>
          </cell>
          <cell r="AC17" t="str">
            <v>PH</v>
          </cell>
          <cell r="AM17" t="str">
            <v>RW1</v>
          </cell>
        </row>
        <row r="18">
          <cell r="G18">
            <v>60</v>
          </cell>
        </row>
        <row r="19">
          <cell r="B19" t="str">
            <v>9-1.06</v>
          </cell>
          <cell r="C19">
            <v>9374</v>
          </cell>
          <cell r="F19">
            <v>0</v>
          </cell>
          <cell r="L19" t="str">
            <v>HEB-240_s</v>
          </cell>
          <cell r="M19" t="str">
            <v>WT3</v>
          </cell>
          <cell r="N19" t="str">
            <v>EMT-2</v>
          </cell>
          <cell r="T19">
            <v>35</v>
          </cell>
          <cell r="W19">
            <v>1.4</v>
          </cell>
          <cell r="AC19" t="str">
            <v>PH</v>
          </cell>
          <cell r="AM19" t="str">
            <v>RW1</v>
          </cell>
        </row>
        <row r="20">
          <cell r="G20">
            <v>63</v>
          </cell>
        </row>
        <row r="21">
          <cell r="B21" t="str">
            <v>9-1.07</v>
          </cell>
          <cell r="C21">
            <v>9437</v>
          </cell>
          <cell r="F21">
            <v>0</v>
          </cell>
          <cell r="L21" t="str">
            <v>HEB-240_s</v>
          </cell>
          <cell r="M21" t="str">
            <v>WT3</v>
          </cell>
          <cell r="N21" t="str">
            <v>EMT-1</v>
          </cell>
          <cell r="T21">
            <v>-35</v>
          </cell>
          <cell r="W21">
            <v>1.4</v>
          </cell>
          <cell r="AC21" t="str">
            <v>PH-Q</v>
          </cell>
          <cell r="AM21" t="str">
            <v>RW1</v>
          </cell>
        </row>
        <row r="22">
          <cell r="G22">
            <v>53</v>
          </cell>
          <cell r="J22">
            <v>9482.5</v>
          </cell>
          <cell r="K22" t="str">
            <v>AnM/WT</v>
          </cell>
        </row>
        <row r="23">
          <cell r="B23" t="str">
            <v>9-1.08</v>
          </cell>
          <cell r="C23">
            <v>9490</v>
          </cell>
          <cell r="F23">
            <v>0</v>
          </cell>
          <cell r="H23" t="str">
            <v>AnMP</v>
          </cell>
          <cell r="L23" t="str">
            <v>HEB-260_s</v>
          </cell>
          <cell r="M23" t="str">
            <v>WT4</v>
          </cell>
          <cell r="N23" t="str">
            <v>EMT-2</v>
          </cell>
          <cell r="T23">
            <v>35</v>
          </cell>
          <cell r="W23">
            <v>1.4</v>
          </cell>
          <cell r="AC23" t="str">
            <v>PH-Q</v>
          </cell>
          <cell r="AM23" t="str">
            <v>RW1</v>
          </cell>
        </row>
        <row r="24">
          <cell r="G24">
            <v>57</v>
          </cell>
          <cell r="I24">
            <v>552</v>
          </cell>
        </row>
        <row r="25">
          <cell r="B25" t="str">
            <v>9-1.09</v>
          </cell>
          <cell r="C25">
            <v>9547</v>
          </cell>
          <cell r="F25">
            <v>0</v>
          </cell>
          <cell r="H25" t="str">
            <v>MP</v>
          </cell>
          <cell r="L25" t="str">
            <v>HEB-240_s</v>
          </cell>
          <cell r="M25" t="str">
            <v>WT3</v>
          </cell>
          <cell r="N25" t="str">
            <v>EMT-1</v>
          </cell>
          <cell r="T25">
            <v>-35</v>
          </cell>
          <cell r="W25">
            <v>1.4</v>
          </cell>
          <cell r="AC25" t="str">
            <v>PH-Q</v>
          </cell>
          <cell r="AM25" t="str">
            <v>RW1</v>
          </cell>
        </row>
        <row r="26">
          <cell r="G26">
            <v>56</v>
          </cell>
          <cell r="I26">
            <v>563</v>
          </cell>
        </row>
        <row r="27">
          <cell r="B27" t="str">
            <v>9-1.10</v>
          </cell>
          <cell r="C27">
            <v>9603</v>
          </cell>
          <cell r="F27">
            <v>0</v>
          </cell>
          <cell r="H27" t="str">
            <v>AnMP</v>
          </cell>
          <cell r="L27" t="str">
            <v>HEB-260_s</v>
          </cell>
          <cell r="M27" t="str">
            <v>WT4</v>
          </cell>
          <cell r="N27" t="str">
            <v>EMT-2</v>
          </cell>
          <cell r="T27">
            <v>35</v>
          </cell>
          <cell r="W27">
            <v>1.4</v>
          </cell>
          <cell r="AC27" t="str">
            <v>PH-Q</v>
          </cell>
          <cell r="AM27" t="str">
            <v>RW1</v>
          </cell>
        </row>
        <row r="28">
          <cell r="G28">
            <v>60</v>
          </cell>
          <cell r="J28">
            <v>9610.5</v>
          </cell>
          <cell r="K28" t="str">
            <v>AnM/WT</v>
          </cell>
        </row>
        <row r="29">
          <cell r="B29" t="str">
            <v>9-1.11</v>
          </cell>
          <cell r="C29">
            <v>9663</v>
          </cell>
          <cell r="F29">
            <v>0</v>
          </cell>
          <cell r="L29" t="str">
            <v>HEB-240_s</v>
          </cell>
          <cell r="M29" t="str">
            <v>WT3</v>
          </cell>
          <cell r="N29" t="str">
            <v>EMT-1</v>
          </cell>
          <cell r="T29">
            <v>-35</v>
          </cell>
          <cell r="W29">
            <v>1.4</v>
          </cell>
          <cell r="AC29" t="str">
            <v>PH</v>
          </cell>
          <cell r="AM29" t="str">
            <v>RW1</v>
          </cell>
        </row>
        <row r="30">
          <cell r="G30">
            <v>50</v>
          </cell>
        </row>
        <row r="31">
          <cell r="B31" t="str">
            <v>9-1.12</v>
          </cell>
          <cell r="C31">
            <v>9713</v>
          </cell>
          <cell r="F31">
            <v>0</v>
          </cell>
          <cell r="L31" t="str">
            <v>HEB-240_s</v>
          </cell>
          <cell r="M31" t="str">
            <v>WT3</v>
          </cell>
          <cell r="N31" t="str">
            <v>EMT-2</v>
          </cell>
          <cell r="T31">
            <v>20</v>
          </cell>
          <cell r="W31">
            <v>1.4</v>
          </cell>
          <cell r="AC31" t="str">
            <v>PH</v>
          </cell>
          <cell r="AM31" t="str">
            <v>RW1</v>
          </cell>
        </row>
        <row r="32">
          <cell r="G32">
            <v>55</v>
          </cell>
        </row>
        <row r="33">
          <cell r="B33" t="str">
            <v>9-1.13</v>
          </cell>
          <cell r="C33">
            <v>9768</v>
          </cell>
          <cell r="F33">
            <v>5000</v>
          </cell>
          <cell r="L33" t="str">
            <v>HEB-240</v>
          </cell>
          <cell r="M33" t="str">
            <v>C3R</v>
          </cell>
          <cell r="N33" t="str">
            <v>EMT-2</v>
          </cell>
          <cell r="T33">
            <v>20</v>
          </cell>
          <cell r="W33">
            <v>1.4</v>
          </cell>
          <cell r="AC33" t="str">
            <v>PH</v>
          </cell>
          <cell r="AM33" t="str">
            <v>RW1</v>
          </cell>
        </row>
        <row r="34">
          <cell r="G34">
            <v>59</v>
          </cell>
        </row>
        <row r="35">
          <cell r="B35" t="str">
            <v>9-1.14</v>
          </cell>
          <cell r="C35">
            <v>9827</v>
          </cell>
          <cell r="F35">
            <v>5000</v>
          </cell>
          <cell r="L35" t="str">
            <v>HEB-240</v>
          </cell>
          <cell r="M35" t="str">
            <v>C3R</v>
          </cell>
          <cell r="N35" t="str">
            <v>EMT-2</v>
          </cell>
          <cell r="T35">
            <v>20</v>
          </cell>
          <cell r="W35">
            <v>1.4</v>
          </cell>
          <cell r="AC35" t="str">
            <v>PH</v>
          </cell>
          <cell r="AM35" t="str">
            <v>RW1</v>
          </cell>
        </row>
        <row r="36">
          <cell r="A36" t="str">
            <v>Underpass 
Tunnel Track 1 and 2 
to NS Hashfela</v>
          </cell>
          <cell r="G36">
            <v>63</v>
          </cell>
        </row>
        <row r="37">
          <cell r="B37" t="str">
            <v>9-1.15</v>
          </cell>
          <cell r="C37">
            <v>9890</v>
          </cell>
          <cell r="F37">
            <v>0</v>
          </cell>
          <cell r="L37" t="str">
            <v>HEB-240</v>
          </cell>
          <cell r="M37" t="str">
            <v>C3R</v>
          </cell>
          <cell r="N37" t="str">
            <v>EMT-2</v>
          </cell>
          <cell r="T37">
            <v>25</v>
          </cell>
          <cell r="W37">
            <v>1.4</v>
          </cell>
          <cell r="AC37" t="str">
            <v>PH</v>
          </cell>
          <cell r="AM37" t="str">
            <v>RW1</v>
          </cell>
        </row>
        <row r="38">
          <cell r="G38">
            <v>60</v>
          </cell>
          <cell r="I38" t="str">
            <v>CP+AnMC</v>
          </cell>
          <cell r="J38">
            <v>9942.5</v>
          </cell>
          <cell r="K38" t="str">
            <v>AnMC</v>
          </cell>
        </row>
        <row r="39">
          <cell r="B39" t="str">
            <v>9-1.16</v>
          </cell>
          <cell r="C39">
            <v>9950</v>
          </cell>
          <cell r="F39">
            <v>0</v>
          </cell>
          <cell r="H39" t="str">
            <v>A/S</v>
          </cell>
          <cell r="L39" t="str">
            <v>HEB-260 (CP)</v>
          </cell>
          <cell r="M39" t="str">
            <v>C4R</v>
          </cell>
          <cell r="N39" t="str">
            <v>EMT-1</v>
          </cell>
          <cell r="T39">
            <v>-35</v>
          </cell>
          <cell r="W39">
            <v>1.4</v>
          </cell>
          <cell r="AC39" t="str">
            <v>PH</v>
          </cell>
          <cell r="AM39" t="str">
            <v>RW1</v>
          </cell>
        </row>
        <row r="40">
          <cell r="G40">
            <v>55</v>
          </cell>
        </row>
        <row r="41">
          <cell r="B41" t="str">
            <v>10-1.01</v>
          </cell>
          <cell r="C41">
            <v>10005</v>
          </cell>
          <cell r="F41">
            <v>0</v>
          </cell>
          <cell r="H41" t="str">
            <v>S/A</v>
          </cell>
          <cell r="L41" t="str">
            <v>HEB-260</v>
          </cell>
          <cell r="M41" t="str">
            <v>C4R</v>
          </cell>
          <cell r="N41" t="str">
            <v>EMT-T</v>
          </cell>
          <cell r="O41" t="str">
            <v>EMT-2</v>
          </cell>
          <cell r="T41">
            <v>35</v>
          </cell>
          <cell r="U41">
            <v>15</v>
          </cell>
          <cell r="W41">
            <v>1.4</v>
          </cell>
          <cell r="X41">
            <v>2.2999999999999998</v>
          </cell>
          <cell r="Z41">
            <v>0.45</v>
          </cell>
          <cell r="AC41" t="str">
            <v>PH</v>
          </cell>
          <cell r="AM41" t="str">
            <v>RW1</v>
          </cell>
        </row>
        <row r="42">
          <cell r="G42">
            <v>50</v>
          </cell>
        </row>
        <row r="43">
          <cell r="B43" t="str">
            <v>10-1.02</v>
          </cell>
          <cell r="C43">
            <v>10055</v>
          </cell>
          <cell r="F43">
            <v>0</v>
          </cell>
          <cell r="H43" t="str">
            <v>S/A</v>
          </cell>
          <cell r="L43" t="str">
            <v>HEB-260</v>
          </cell>
          <cell r="M43" t="str">
            <v>C4R</v>
          </cell>
          <cell r="N43" t="str">
            <v>EMT-1</v>
          </cell>
          <cell r="O43" t="str">
            <v>EMT-T</v>
          </cell>
          <cell r="T43">
            <v>-15</v>
          </cell>
          <cell r="U43">
            <v>-35</v>
          </cell>
          <cell r="W43">
            <v>1.4</v>
          </cell>
          <cell r="X43">
            <v>2.2999999999999998</v>
          </cell>
          <cell r="AA43">
            <v>0.45</v>
          </cell>
          <cell r="AC43" t="str">
            <v>PH</v>
          </cell>
          <cell r="AM43" t="str">
            <v>RW1</v>
          </cell>
        </row>
        <row r="44">
          <cell r="G44">
            <v>55</v>
          </cell>
          <cell r="I44" t="str">
            <v>AnRW</v>
          </cell>
          <cell r="J44">
            <v>10062.5</v>
          </cell>
          <cell r="K44" t="str">
            <v>AnM</v>
          </cell>
        </row>
        <row r="45">
          <cell r="B45" t="str">
            <v>10-1.03</v>
          </cell>
          <cell r="C45">
            <v>10110</v>
          </cell>
          <cell r="F45">
            <v>0</v>
          </cell>
          <cell r="H45" t="str">
            <v>A/S</v>
          </cell>
          <cell r="I45" t="str">
            <v>CP+AnMC</v>
          </cell>
          <cell r="L45" t="str">
            <v>HEB-260 (CP)</v>
          </cell>
          <cell r="M45" t="str">
            <v>C4R</v>
          </cell>
          <cell r="N45" t="str">
            <v>EMT-2</v>
          </cell>
          <cell r="T45">
            <v>25</v>
          </cell>
          <cell r="W45">
            <v>1.4</v>
          </cell>
          <cell r="AC45" t="str">
            <v>PH</v>
          </cell>
          <cell r="AM45" t="str">
            <v>RW1</v>
          </cell>
        </row>
        <row r="46">
          <cell r="G46">
            <v>40</v>
          </cell>
          <cell r="J46">
            <v>10117.5</v>
          </cell>
          <cell r="K46" t="str">
            <v>AnMC</v>
          </cell>
        </row>
        <row r="47">
          <cell r="B47" t="str">
            <v>10-1.04</v>
          </cell>
          <cell r="C47">
            <v>10150</v>
          </cell>
          <cell r="F47">
            <v>-5000</v>
          </cell>
          <cell r="I47" t="str">
            <v>AnRW</v>
          </cell>
          <cell r="L47" t="str">
            <v>HEB-240</v>
          </cell>
          <cell r="M47" t="str">
            <v>C3R</v>
          </cell>
          <cell r="N47" t="str">
            <v>EMT-1</v>
          </cell>
          <cell r="T47">
            <v>-20</v>
          </cell>
          <cell r="W47">
            <v>1.4</v>
          </cell>
          <cell r="AC47" t="str">
            <v>PH</v>
          </cell>
          <cell r="AM47" t="str">
            <v>RW1</v>
          </cell>
        </row>
        <row r="48">
          <cell r="G48">
            <v>45</v>
          </cell>
        </row>
        <row r="49">
          <cell r="B49" t="str">
            <v>10-1.05</v>
          </cell>
          <cell r="C49">
            <v>10195</v>
          </cell>
          <cell r="F49">
            <v>-5000</v>
          </cell>
          <cell r="L49" t="str">
            <v>HEB-240</v>
          </cell>
          <cell r="M49" t="str">
            <v>C3R</v>
          </cell>
          <cell r="N49" t="str">
            <v>EMT-2</v>
          </cell>
          <cell r="T49">
            <v>20</v>
          </cell>
          <cell r="W49">
            <v>1.4</v>
          </cell>
          <cell r="AC49" t="str">
            <v>PH</v>
          </cell>
          <cell r="AM49" t="str">
            <v>RW1</v>
          </cell>
        </row>
        <row r="50">
          <cell r="G50">
            <v>40</v>
          </cell>
          <cell r="J50">
            <v>10227.5</v>
          </cell>
          <cell r="K50" t="str">
            <v>AnM</v>
          </cell>
        </row>
        <row r="51">
          <cell r="B51" t="str">
            <v>10-1.06</v>
          </cell>
          <cell r="C51">
            <v>10235</v>
          </cell>
          <cell r="F51">
            <v>0</v>
          </cell>
          <cell r="I51" t="str">
            <v>AnRW</v>
          </cell>
          <cell r="L51" t="str">
            <v>HEB-240</v>
          </cell>
          <cell r="M51" t="str">
            <v>C3R</v>
          </cell>
          <cell r="N51" t="str">
            <v>EMT-2</v>
          </cell>
          <cell r="T51">
            <v>25</v>
          </cell>
          <cell r="W51">
            <v>1.4</v>
          </cell>
          <cell r="AC51" t="str">
            <v>PH</v>
          </cell>
          <cell r="AM51" t="str">
            <v>RW1</v>
          </cell>
        </row>
        <row r="52">
          <cell r="G52">
            <v>40</v>
          </cell>
        </row>
        <row r="53">
          <cell r="B53" t="str">
            <v>10-1.07</v>
          </cell>
          <cell r="C53">
            <v>10275</v>
          </cell>
          <cell r="F53">
            <v>0</v>
          </cell>
          <cell r="L53" t="str">
            <v>HEB-240</v>
          </cell>
          <cell r="M53" t="str">
            <v>C3R</v>
          </cell>
          <cell r="N53" t="str">
            <v>EMT-1</v>
          </cell>
          <cell r="T53">
            <v>-35</v>
          </cell>
          <cell r="W53">
            <v>1.4</v>
          </cell>
          <cell r="AC53" t="str">
            <v>PH-Q</v>
          </cell>
          <cell r="AM53" t="str">
            <v>RW1</v>
          </cell>
        </row>
        <row r="54">
          <cell r="G54">
            <v>50</v>
          </cell>
        </row>
        <row r="55">
          <cell r="B55" t="str">
            <v>10-1.08</v>
          </cell>
          <cell r="C55">
            <v>10325</v>
          </cell>
          <cell r="F55">
            <v>0</v>
          </cell>
          <cell r="L55" t="str">
            <v>HEB-240</v>
          </cell>
          <cell r="M55" t="str">
            <v>C3R</v>
          </cell>
          <cell r="N55" t="str">
            <v>EMT-2</v>
          </cell>
          <cell r="T55">
            <v>35</v>
          </cell>
          <cell r="W55">
            <v>1.1000000000000001</v>
          </cell>
          <cell r="AC55" t="str">
            <v>PH-Q</v>
          </cell>
          <cell r="AM55" t="str">
            <v>RW1</v>
          </cell>
        </row>
        <row r="56">
          <cell r="A56" t="str">
            <v xml:space="preserve"> Drainage Works</v>
          </cell>
          <cell r="G56">
            <v>58</v>
          </cell>
        </row>
        <row r="57">
          <cell r="B57" t="str">
            <v>10-1.09</v>
          </cell>
          <cell r="C57">
            <v>10383</v>
          </cell>
          <cell r="F57">
            <v>0</v>
          </cell>
          <cell r="L57" t="str">
            <v>HEB-240</v>
          </cell>
          <cell r="M57" t="str">
            <v>C3R</v>
          </cell>
          <cell r="N57" t="str">
            <v>EMT-1</v>
          </cell>
          <cell r="T57">
            <v>-35</v>
          </cell>
          <cell r="W57">
            <v>0.65</v>
          </cell>
          <cell r="AC57" t="str">
            <v>PH-Q</v>
          </cell>
          <cell r="AM57" t="str">
            <v>RW1</v>
          </cell>
        </row>
        <row r="58">
          <cell r="A58" t="str">
            <v>Overcrossing</v>
          </cell>
          <cell r="G58">
            <v>53</v>
          </cell>
          <cell r="J58">
            <v>10428.5</v>
          </cell>
          <cell r="K58" t="str">
            <v>AnMC</v>
          </cell>
        </row>
        <row r="59">
          <cell r="B59" t="str">
            <v>10-1.10</v>
          </cell>
          <cell r="C59">
            <v>10436</v>
          </cell>
          <cell r="F59">
            <v>0</v>
          </cell>
          <cell r="H59" t="str">
            <v>A/S</v>
          </cell>
          <cell r="I59" t="str">
            <v>CP+AnMC</v>
          </cell>
          <cell r="L59" t="str">
            <v>HEB-260 (CP)</v>
          </cell>
          <cell r="M59" t="str">
            <v>C4R</v>
          </cell>
          <cell r="N59" t="str">
            <v>EMT-2</v>
          </cell>
          <cell r="T59">
            <v>35</v>
          </cell>
          <cell r="W59">
            <v>0.65</v>
          </cell>
          <cell r="AC59" t="str">
            <v>PH-Q</v>
          </cell>
          <cell r="AM59" t="str">
            <v>RW1</v>
          </cell>
        </row>
        <row r="60">
          <cell r="G60">
            <v>60</v>
          </cell>
        </row>
        <row r="61">
          <cell r="B61" t="str">
            <v>10-1.11</v>
          </cell>
          <cell r="C61">
            <v>10496</v>
          </cell>
          <cell r="F61">
            <v>0</v>
          </cell>
          <cell r="H61" t="str">
            <v>S/A</v>
          </cell>
          <cell r="L61" t="str">
            <v>HEB-260</v>
          </cell>
          <cell r="M61" t="str">
            <v>C4R</v>
          </cell>
          <cell r="N61" t="str">
            <v>EMT-T</v>
          </cell>
          <cell r="O61" t="str">
            <v>EMT-1</v>
          </cell>
          <cell r="T61">
            <v>-15</v>
          </cell>
          <cell r="U61">
            <v>-35</v>
          </cell>
          <cell r="W61">
            <v>1.1000000000000001</v>
          </cell>
          <cell r="X61">
            <v>2</v>
          </cell>
          <cell r="Z61">
            <v>0.6</v>
          </cell>
          <cell r="AC61" t="str">
            <v>PH</v>
          </cell>
          <cell r="AM61" t="str">
            <v>RW1</v>
          </cell>
        </row>
        <row r="62">
          <cell r="G62">
            <v>62</v>
          </cell>
        </row>
        <row r="63">
          <cell r="B63" t="str">
            <v>10-1.12</v>
          </cell>
          <cell r="C63">
            <v>10558</v>
          </cell>
          <cell r="F63">
            <v>0</v>
          </cell>
          <cell r="H63" t="str">
            <v>S/A</v>
          </cell>
          <cell r="L63" t="str">
            <v>HEB-260</v>
          </cell>
          <cell r="M63" t="str">
            <v>C4R</v>
          </cell>
          <cell r="N63" t="str">
            <v>EMT-2</v>
          </cell>
          <cell r="O63" t="str">
            <v>EMT-T</v>
          </cell>
          <cell r="T63">
            <v>35</v>
          </cell>
          <cell r="U63">
            <v>15</v>
          </cell>
          <cell r="W63">
            <v>1.4</v>
          </cell>
          <cell r="X63">
            <v>2.2999999999999998</v>
          </cell>
          <cell r="AA63">
            <v>0.6</v>
          </cell>
          <cell r="AC63" t="str">
            <v>PH</v>
          </cell>
          <cell r="AM63" t="str">
            <v>RW1</v>
          </cell>
        </row>
        <row r="64">
          <cell r="G64">
            <v>62</v>
          </cell>
          <cell r="I64">
            <v>670</v>
          </cell>
        </row>
        <row r="65">
          <cell r="B65" t="str">
            <v>10-1.13</v>
          </cell>
          <cell r="C65">
            <v>10620</v>
          </cell>
          <cell r="F65">
            <v>0</v>
          </cell>
          <cell r="H65" t="str">
            <v>A/S</v>
          </cell>
          <cell r="I65" t="str">
            <v>FP+AnMC</v>
          </cell>
          <cell r="L65" t="str">
            <v>HEB-260 (CP)</v>
          </cell>
          <cell r="M65" t="str">
            <v>C4R</v>
          </cell>
          <cell r="N65" t="str">
            <v>EMT-1</v>
          </cell>
          <cell r="T65">
            <v>-35</v>
          </cell>
          <cell r="W65">
            <v>1.4</v>
          </cell>
          <cell r="AC65" t="str">
            <v>PH</v>
          </cell>
          <cell r="AM65" t="str">
            <v>RW1</v>
          </cell>
        </row>
        <row r="66">
          <cell r="A66" t="str">
            <v xml:space="preserve"> Drainage Works</v>
          </cell>
          <cell r="G66">
            <v>62</v>
          </cell>
          <cell r="J66">
            <v>10627.5</v>
          </cell>
          <cell r="K66" t="str">
            <v>AnMC</v>
          </cell>
        </row>
        <row r="67">
          <cell r="B67" t="str">
            <v>10-1.14</v>
          </cell>
          <cell r="C67">
            <v>10682</v>
          </cell>
          <cell r="F67">
            <v>0</v>
          </cell>
          <cell r="L67" t="str">
            <v>HEB-240</v>
          </cell>
          <cell r="M67" t="str">
            <v>C3R</v>
          </cell>
          <cell r="N67" t="str">
            <v>EMT-2</v>
          </cell>
          <cell r="T67">
            <v>35</v>
          </cell>
          <cell r="W67">
            <v>1.4</v>
          </cell>
          <cell r="AC67" t="str">
            <v>PH</v>
          </cell>
          <cell r="AM67" t="str">
            <v>RW1</v>
          </cell>
        </row>
        <row r="68">
          <cell r="G68">
            <v>62</v>
          </cell>
        </row>
        <row r="69">
          <cell r="B69" t="str">
            <v>10-1.15</v>
          </cell>
          <cell r="C69">
            <v>10744</v>
          </cell>
          <cell r="F69">
            <v>0</v>
          </cell>
          <cell r="L69" t="str">
            <v>HEB-240</v>
          </cell>
          <cell r="M69" t="str">
            <v>C3R</v>
          </cell>
          <cell r="N69" t="str">
            <v>EMT-1</v>
          </cell>
          <cell r="T69">
            <v>-35</v>
          </cell>
          <cell r="W69">
            <v>1.4</v>
          </cell>
          <cell r="AC69" t="str">
            <v>PH</v>
          </cell>
          <cell r="AM69" t="str">
            <v>RW1</v>
          </cell>
        </row>
        <row r="70">
          <cell r="G70">
            <v>61</v>
          </cell>
        </row>
        <row r="71">
          <cell r="B71" t="str">
            <v>10-1.16</v>
          </cell>
          <cell r="C71">
            <v>10805</v>
          </cell>
          <cell r="F71">
            <v>0</v>
          </cell>
          <cell r="L71" t="str">
            <v>HEB-240</v>
          </cell>
          <cell r="M71" t="str">
            <v>C3R</v>
          </cell>
          <cell r="N71" t="str">
            <v>EMT-2</v>
          </cell>
          <cell r="T71">
            <v>35</v>
          </cell>
          <cell r="W71">
            <v>1.4</v>
          </cell>
          <cell r="AC71" t="str">
            <v>PH</v>
          </cell>
          <cell r="AM71" t="str">
            <v>RW1</v>
          </cell>
        </row>
        <row r="72">
          <cell r="A72" t="str">
            <v>Overhead Cable</v>
          </cell>
          <cell r="G72">
            <v>62</v>
          </cell>
        </row>
        <row r="73">
          <cell r="B73" t="str">
            <v>10-1.17</v>
          </cell>
          <cell r="C73">
            <v>10867</v>
          </cell>
          <cell r="F73">
            <v>0</v>
          </cell>
          <cell r="L73" t="str">
            <v>HEB-240</v>
          </cell>
          <cell r="M73" t="str">
            <v>C3R</v>
          </cell>
          <cell r="N73" t="str">
            <v>EMT-1</v>
          </cell>
          <cell r="T73">
            <v>-35</v>
          </cell>
          <cell r="W73">
            <v>1.4</v>
          </cell>
          <cell r="AC73" t="str">
            <v>PH</v>
          </cell>
          <cell r="AM73" t="str">
            <v>RW1</v>
          </cell>
        </row>
        <row r="74">
          <cell r="A74" t="str">
            <v>Overcrossing</v>
          </cell>
          <cell r="G74">
            <v>62</v>
          </cell>
          <cell r="J74">
            <v>10921.5</v>
          </cell>
          <cell r="K74" t="str">
            <v>AnM</v>
          </cell>
        </row>
        <row r="75">
          <cell r="A75" t="str">
            <v xml:space="preserve"> Drainage Works</v>
          </cell>
          <cell r="B75" t="str">
            <v>10-1.18</v>
          </cell>
          <cell r="C75">
            <v>10929</v>
          </cell>
          <cell r="F75" t="str">
            <v>0</v>
          </cell>
          <cell r="H75" t="str">
            <v>AnMP</v>
          </cell>
          <cell r="L75" t="str">
            <v>HEB-260</v>
          </cell>
          <cell r="M75" t="str">
            <v>C4R</v>
          </cell>
          <cell r="N75" t="str">
            <v>EMT-2</v>
          </cell>
          <cell r="O75" t="str">
            <v/>
          </cell>
          <cell r="T75">
            <v>35</v>
          </cell>
          <cell r="W75">
            <v>1.4</v>
          </cell>
          <cell r="AC75" t="str">
            <v>PH-Q</v>
          </cell>
          <cell r="AM75" t="str">
            <v>RW1</v>
          </cell>
        </row>
        <row r="76">
          <cell r="G76">
            <v>50</v>
          </cell>
          <cell r="I76">
            <v>543</v>
          </cell>
        </row>
        <row r="77">
          <cell r="B77" t="str">
            <v>10-1.19</v>
          </cell>
          <cell r="C77">
            <v>10979</v>
          </cell>
          <cell r="F77" t="str">
            <v>1250</v>
          </cell>
          <cell r="H77" t="str">
            <v>MP</v>
          </cell>
          <cell r="L77" t="str">
            <v>HEB-260</v>
          </cell>
          <cell r="M77" t="str">
            <v>C4R</v>
          </cell>
          <cell r="N77" t="str">
            <v>EMT-1</v>
          </cell>
          <cell r="O77" t="str">
            <v/>
          </cell>
          <cell r="T77">
            <v>-30</v>
          </cell>
          <cell r="W77">
            <v>1.4</v>
          </cell>
          <cell r="AC77" t="str">
            <v>PH-Q</v>
          </cell>
          <cell r="AM77" t="str">
            <v>RW1</v>
          </cell>
        </row>
        <row r="78">
          <cell r="G78">
            <v>50</v>
          </cell>
          <cell r="I78">
            <v>504</v>
          </cell>
        </row>
        <row r="79">
          <cell r="B79" t="str">
            <v>11-1.01</v>
          </cell>
          <cell r="C79">
            <v>11029</v>
          </cell>
          <cell r="F79" t="str">
            <v>1250</v>
          </cell>
          <cell r="H79" t="str">
            <v>AnMP</v>
          </cell>
          <cell r="L79" t="str">
            <v>HEB-260</v>
          </cell>
          <cell r="M79" t="str">
            <v>C4R</v>
          </cell>
          <cell r="N79" t="str">
            <v>EMT-1</v>
          </cell>
          <cell r="O79" t="str">
            <v/>
          </cell>
          <cell r="T79">
            <v>-30</v>
          </cell>
          <cell r="W79">
            <v>1.4</v>
          </cell>
          <cell r="AC79" t="str">
            <v>PH-C</v>
          </cell>
          <cell r="AM79" t="str">
            <v>RW1</v>
          </cell>
        </row>
        <row r="80">
          <cell r="G80">
            <v>50</v>
          </cell>
          <cell r="J80">
            <v>11036.5</v>
          </cell>
          <cell r="K80" t="str">
            <v>AnM</v>
          </cell>
        </row>
        <row r="81">
          <cell r="B81" t="str">
            <v>11-1.02</v>
          </cell>
          <cell r="C81">
            <v>11079</v>
          </cell>
          <cell r="F81" t="str">
            <v>1250</v>
          </cell>
          <cell r="L81" t="str">
            <v>HEB-260</v>
          </cell>
          <cell r="M81" t="str">
            <v>C4R</v>
          </cell>
          <cell r="N81" t="str">
            <v>EMT-1</v>
          </cell>
          <cell r="O81" t="str">
            <v/>
          </cell>
          <cell r="T81">
            <v>-30</v>
          </cell>
          <cell r="W81">
            <v>1.4</v>
          </cell>
          <cell r="AC81" t="str">
            <v>PH-C</v>
          </cell>
          <cell r="AM81" t="str">
            <v>RW1</v>
          </cell>
        </row>
        <row r="82">
          <cell r="G82">
            <v>50</v>
          </cell>
        </row>
        <row r="83">
          <cell r="B83" t="str">
            <v>11-1.03</v>
          </cell>
          <cell r="C83">
            <v>11129</v>
          </cell>
          <cell r="F83" t="str">
            <v>1250</v>
          </cell>
          <cell r="L83" t="str">
            <v>HEB-260</v>
          </cell>
          <cell r="M83" t="str">
            <v>C4R</v>
          </cell>
          <cell r="N83" t="str">
            <v>EMT-1</v>
          </cell>
          <cell r="O83" t="str">
            <v/>
          </cell>
          <cell r="T83">
            <v>-30</v>
          </cell>
          <cell r="W83">
            <v>1.4</v>
          </cell>
          <cell r="AC83" t="str">
            <v>PH-C</v>
          </cell>
          <cell r="AM83" t="str">
            <v>RW1</v>
          </cell>
        </row>
        <row r="84">
          <cell r="A84" t="str">
            <v>Overhead Cable</v>
          </cell>
          <cell r="G84">
            <v>50</v>
          </cell>
        </row>
        <row r="85">
          <cell r="B85" t="str">
            <v>11-1.04</v>
          </cell>
          <cell r="C85">
            <v>11179</v>
          </cell>
          <cell r="F85" t="str">
            <v>1250</v>
          </cell>
          <cell r="L85" t="str">
            <v>HEB-260</v>
          </cell>
          <cell r="M85" t="str">
            <v>C4R</v>
          </cell>
          <cell r="N85" t="str">
            <v>EMT-1</v>
          </cell>
          <cell r="O85" t="str">
            <v/>
          </cell>
          <cell r="T85">
            <v>-30</v>
          </cell>
          <cell r="W85">
            <v>1.4</v>
          </cell>
          <cell r="AC85" t="str">
            <v>PH-Q</v>
          </cell>
          <cell r="AM85" t="str">
            <v>RW1</v>
          </cell>
        </row>
        <row r="86">
          <cell r="G86">
            <v>50</v>
          </cell>
          <cell r="J86">
            <v>11221.5</v>
          </cell>
          <cell r="K86" t="str">
            <v>AnMC</v>
          </cell>
        </row>
        <row r="87">
          <cell r="A87" t="str">
            <v>NS  KAFFAR HABBAD</v>
          </cell>
          <cell r="B87" t="str">
            <v>11-1.05</v>
          </cell>
          <cell r="C87">
            <v>11229</v>
          </cell>
          <cell r="F87" t="str">
            <v>5000</v>
          </cell>
          <cell r="H87" t="str">
            <v>A/S</v>
          </cell>
          <cell r="I87" t="str">
            <v>CP+AnMC</v>
          </cell>
          <cell r="L87" t="str">
            <v>HEB-260 (CP)</v>
          </cell>
          <cell r="M87" t="str">
            <v>C4R</v>
          </cell>
          <cell r="N87" t="str">
            <v>EMT-1</v>
          </cell>
          <cell r="O87" t="str">
            <v/>
          </cell>
          <cell r="T87">
            <v>-15</v>
          </cell>
          <cell r="W87">
            <v>1.4</v>
          </cell>
          <cell r="AC87" t="str">
            <v>PH</v>
          </cell>
          <cell r="AM87" t="str">
            <v>RW1</v>
          </cell>
        </row>
        <row r="88">
          <cell r="G88">
            <v>56</v>
          </cell>
        </row>
        <row r="89">
          <cell r="A89" t="str">
            <v>KAF-NS1</v>
          </cell>
          <cell r="B89" t="str">
            <v>11-1.06</v>
          </cell>
          <cell r="C89">
            <v>11285</v>
          </cell>
          <cell r="F89">
            <v>0</v>
          </cell>
          <cell r="H89" t="str">
            <v>S/A</v>
          </cell>
          <cell r="I89" t="str">
            <v>IO</v>
          </cell>
          <cell r="L89" t="str">
            <v>HEB-260</v>
          </cell>
          <cell r="M89" t="str">
            <v>C4R</v>
          </cell>
          <cell r="N89" t="str">
            <v>EMT-T</v>
          </cell>
          <cell r="O89" t="str">
            <v>EMT-2</v>
          </cell>
          <cell r="T89">
            <v>55</v>
          </cell>
          <cell r="U89">
            <v>10</v>
          </cell>
          <cell r="W89">
            <v>1.4</v>
          </cell>
          <cell r="X89">
            <v>2.2999999999999998</v>
          </cell>
          <cell r="Z89">
            <v>0.45</v>
          </cell>
          <cell r="AC89" t="str">
            <v>PH</v>
          </cell>
          <cell r="AJ89" t="str">
            <v>LoadB/NZ</v>
          </cell>
          <cell r="AM89" t="str">
            <v>RW1</v>
          </cell>
        </row>
        <row r="90">
          <cell r="G90">
            <v>42</v>
          </cell>
          <cell r="AJ90" t="str">
            <v>VoltageD</v>
          </cell>
        </row>
        <row r="91">
          <cell r="B91" t="str">
            <v>11-1.07</v>
          </cell>
          <cell r="C91">
            <v>11327</v>
          </cell>
          <cell r="F91">
            <v>0</v>
          </cell>
          <cell r="L91" t="str">
            <v>HEB-300L</v>
          </cell>
          <cell r="M91" t="str">
            <v>C6</v>
          </cell>
          <cell r="AJ91" t="str">
            <v>PP-2</v>
          </cell>
          <cell r="AM91" t="str">
            <v>RW1</v>
          </cell>
        </row>
        <row r="92">
          <cell r="G92">
            <v>5</v>
          </cell>
        </row>
        <row r="93">
          <cell r="A93" t="str">
            <v>KAF-NS3</v>
          </cell>
          <cell r="B93" t="str">
            <v>11-1.08</v>
          </cell>
          <cell r="C93">
            <v>11332</v>
          </cell>
          <cell r="F93">
            <v>0</v>
          </cell>
          <cell r="H93" t="str">
            <v>S/A</v>
          </cell>
          <cell r="I93" t="str">
            <v>IO</v>
          </cell>
          <cell r="L93" t="str">
            <v>HEB-260</v>
          </cell>
          <cell r="M93" t="str">
            <v>C4R</v>
          </cell>
          <cell r="N93" t="str">
            <v>EMT-1</v>
          </cell>
          <cell r="O93" t="str">
            <v>EMT-T</v>
          </cell>
          <cell r="T93">
            <v>-10</v>
          </cell>
          <cell r="U93">
            <v>-55</v>
          </cell>
          <cell r="W93">
            <v>1.4</v>
          </cell>
          <cell r="X93">
            <v>2.2999999999999998</v>
          </cell>
          <cell r="AA93">
            <v>0.45</v>
          </cell>
          <cell r="AC93" t="str">
            <v>PH-Q</v>
          </cell>
          <cell r="AJ93" t="str">
            <v>LoadB/NZ</v>
          </cell>
          <cell r="AM93" t="str">
            <v>RW1</v>
          </cell>
        </row>
        <row r="94">
          <cell r="G94">
            <v>47</v>
          </cell>
        </row>
        <row r="95">
          <cell r="B95" t="str">
            <v>11-1.09</v>
          </cell>
          <cell r="C95">
            <v>11379</v>
          </cell>
          <cell r="F95">
            <v>0</v>
          </cell>
          <cell r="H95" t="str">
            <v>S/A</v>
          </cell>
          <cell r="L95" t="str">
            <v>HEB-260</v>
          </cell>
          <cell r="M95" t="str">
            <v>C4R</v>
          </cell>
          <cell r="N95" t="str">
            <v>EMT-T</v>
          </cell>
          <cell r="O95" t="str">
            <v>EMT-2</v>
          </cell>
          <cell r="T95">
            <v>55</v>
          </cell>
          <cell r="U95">
            <v>10</v>
          </cell>
          <cell r="W95">
            <v>1.4</v>
          </cell>
          <cell r="X95">
            <v>2.2999999999999998</v>
          </cell>
          <cell r="Z95">
            <v>0.45</v>
          </cell>
          <cell r="AC95" t="str">
            <v>PH-Q</v>
          </cell>
          <cell r="AM95" t="str">
            <v>RW1</v>
          </cell>
        </row>
        <row r="96">
          <cell r="G96">
            <v>5</v>
          </cell>
        </row>
        <row r="97">
          <cell r="B97" t="str">
            <v>11-1.10</v>
          </cell>
          <cell r="C97">
            <v>11384</v>
          </cell>
          <cell r="F97">
            <v>0</v>
          </cell>
          <cell r="L97" t="str">
            <v>HEB-300L</v>
          </cell>
          <cell r="M97" t="str">
            <v>C6</v>
          </cell>
          <cell r="AJ97" t="str">
            <v>PP-2</v>
          </cell>
          <cell r="AM97" t="str">
            <v>RW1</v>
          </cell>
        </row>
        <row r="98">
          <cell r="G98">
            <v>42</v>
          </cell>
        </row>
        <row r="99">
          <cell r="A99" t="str">
            <v>KAF-NS5</v>
          </cell>
          <cell r="B99" t="str">
            <v>11-1.11</v>
          </cell>
          <cell r="C99">
            <v>11426</v>
          </cell>
          <cell r="F99">
            <v>0</v>
          </cell>
          <cell r="H99" t="str">
            <v>S/A</v>
          </cell>
          <cell r="I99" t="str">
            <v>IO</v>
          </cell>
          <cell r="L99" t="str">
            <v>HEB-260</v>
          </cell>
          <cell r="M99" t="str">
            <v>C4R</v>
          </cell>
          <cell r="N99" t="str">
            <v>EMT-1</v>
          </cell>
          <cell r="O99" t="str">
            <v>EMT-T</v>
          </cell>
          <cell r="T99">
            <v>-10</v>
          </cell>
          <cell r="U99">
            <v>-55</v>
          </cell>
          <cell r="W99">
            <v>1.4</v>
          </cell>
          <cell r="X99">
            <v>2.2999999999999998</v>
          </cell>
          <cell r="AA99">
            <v>0.45</v>
          </cell>
          <cell r="AC99" t="str">
            <v>PH</v>
          </cell>
          <cell r="AJ99" t="str">
            <v>LoadB/NZ</v>
          </cell>
          <cell r="AM99" t="str">
            <v>RW1</v>
          </cell>
        </row>
        <row r="100">
          <cell r="G100">
            <v>57</v>
          </cell>
          <cell r="AJ100" t="str">
            <v>VoltageD</v>
          </cell>
        </row>
        <row r="101">
          <cell r="A101" t="str">
            <v>NS  KAFFAR HABBAD</v>
          </cell>
          <cell r="B101" t="str">
            <v>11-1.12</v>
          </cell>
          <cell r="C101">
            <v>11483</v>
          </cell>
          <cell r="F101">
            <v>0</v>
          </cell>
          <cell r="H101" t="str">
            <v>A/S</v>
          </cell>
          <cell r="I101" t="str">
            <v>CP+AnMC</v>
          </cell>
          <cell r="L101" t="str">
            <v>HEB-260 (CP)</v>
          </cell>
          <cell r="M101" t="str">
            <v>C4R</v>
          </cell>
          <cell r="N101" t="str">
            <v>EMT-2</v>
          </cell>
          <cell r="T101">
            <v>25</v>
          </cell>
          <cell r="W101">
            <v>1.4</v>
          </cell>
          <cell r="AC101" t="str">
            <v>PH</v>
          </cell>
          <cell r="AM101" t="str">
            <v>RW1</v>
          </cell>
        </row>
        <row r="102">
          <cell r="J102">
            <v>11490.5</v>
          </cell>
          <cell r="K102" t="str">
            <v>AnM</v>
          </cell>
        </row>
        <row r="103">
          <cell r="T103">
            <v>-30</v>
          </cell>
        </row>
        <row r="104">
          <cell r="B104" t="str">
            <v>Possible Signalling Interface Detected</v>
          </cell>
        </row>
        <row r="105">
          <cell r="B105" t="str">
            <v>Sorted out by using "L"foundation</v>
          </cell>
        </row>
        <row r="106">
          <cell r="B106" t="str">
            <v>Sorted out by reducing gauge up to 2.90m</v>
          </cell>
        </row>
        <row r="107">
          <cell r="B107" t="str">
            <v>Special and particular solution to be applied</v>
          </cell>
        </row>
      </sheetData>
      <sheetData sheetId="16">
        <row r="2">
          <cell r="I2" t="str">
            <v>Anchorage</v>
          </cell>
        </row>
        <row r="3">
          <cell r="O3" t="str">
            <v>M2</v>
          </cell>
        </row>
        <row r="4">
          <cell r="G4">
            <v>63</v>
          </cell>
        </row>
        <row r="5">
          <cell r="B5" t="str">
            <v>8-2.24</v>
          </cell>
          <cell r="C5">
            <v>8833</v>
          </cell>
          <cell r="F5">
            <v>0</v>
          </cell>
          <cell r="N5" t="str">
            <v>EMT-2</v>
          </cell>
          <cell r="T5">
            <v>35</v>
          </cell>
          <cell r="W5">
            <v>1.4</v>
          </cell>
          <cell r="AC5" t="str">
            <v>PH</v>
          </cell>
          <cell r="AK5" t="str">
            <v>S1</v>
          </cell>
          <cell r="AL5" t="str">
            <v>B7</v>
          </cell>
        </row>
        <row r="6">
          <cell r="G6">
            <v>48.5</v>
          </cell>
        </row>
        <row r="7">
          <cell r="B7" t="str">
            <v>8-2.25</v>
          </cell>
          <cell r="C7">
            <v>8881.5</v>
          </cell>
          <cell r="F7" t="str">
            <v>0</v>
          </cell>
          <cell r="N7" t="str">
            <v>EMT-1</v>
          </cell>
          <cell r="T7">
            <v>-30</v>
          </cell>
          <cell r="W7">
            <v>1.4</v>
          </cell>
          <cell r="AC7" t="str">
            <v>PH</v>
          </cell>
          <cell r="AK7" t="str">
            <v>S1</v>
          </cell>
          <cell r="AL7" t="str">
            <v>B7</v>
          </cell>
        </row>
        <row r="8">
          <cell r="G8">
            <v>53.5</v>
          </cell>
          <cell r="I8" t="str">
            <v>CP+AnMC</v>
          </cell>
          <cell r="J8">
            <v>8927.5</v>
          </cell>
          <cell r="K8" t="str">
            <v>AnMC</v>
          </cell>
        </row>
        <row r="9">
          <cell r="B9" t="str">
            <v>8-2.28</v>
          </cell>
          <cell r="C9">
            <v>8935</v>
          </cell>
          <cell r="F9" t="str">
            <v>0</v>
          </cell>
          <cell r="H9" t="str">
            <v>A/S</v>
          </cell>
          <cell r="L9" t="str">
            <v>HEB-260 (CP)</v>
          </cell>
          <cell r="M9" t="str">
            <v>C4R</v>
          </cell>
          <cell r="N9" t="str">
            <v>EMT-2</v>
          </cell>
          <cell r="T9">
            <v>25</v>
          </cell>
          <cell r="W9">
            <v>1.4</v>
          </cell>
          <cell r="AC9" t="str">
            <v>PH</v>
          </cell>
          <cell r="AM9" t="str">
            <v>RW1</v>
          </cell>
        </row>
        <row r="10">
          <cell r="G10">
            <v>48</v>
          </cell>
          <cell r="I10" t="str">
            <v>AnRW</v>
          </cell>
          <cell r="J10">
            <v>8975.5</v>
          </cell>
          <cell r="K10" t="str">
            <v>AnM</v>
          </cell>
        </row>
        <row r="11">
          <cell r="B11" t="str">
            <v>8-2.30</v>
          </cell>
          <cell r="C11">
            <v>8983</v>
          </cell>
          <cell r="F11">
            <v>5000</v>
          </cell>
          <cell r="H11" t="str">
            <v>S/A</v>
          </cell>
          <cell r="L11" t="str">
            <v>2HEB-240</v>
          </cell>
          <cell r="M11" t="str">
            <v>C2H-240</v>
          </cell>
          <cell r="N11" t="str">
            <v>EMT-T</v>
          </cell>
          <cell r="O11" t="str">
            <v>EMT-2</v>
          </cell>
          <cell r="T11">
            <v>30</v>
          </cell>
          <cell r="U11">
            <v>-15</v>
          </cell>
          <cell r="W11">
            <v>1.4</v>
          </cell>
          <cell r="X11">
            <v>2.2999999999999998</v>
          </cell>
          <cell r="Z11">
            <v>0.45</v>
          </cell>
          <cell r="AC11" t="str">
            <v>PH</v>
          </cell>
          <cell r="AM11" t="str">
            <v>RW1</v>
          </cell>
        </row>
        <row r="12">
          <cell r="G12">
            <v>47</v>
          </cell>
        </row>
        <row r="13">
          <cell r="A13" t="str">
            <v>TZG-04</v>
          </cell>
          <cell r="B13" t="str">
            <v>9-2.01</v>
          </cell>
          <cell r="C13">
            <v>9030</v>
          </cell>
          <cell r="F13">
            <v>2500</v>
          </cell>
          <cell r="H13" t="str">
            <v>S/A</v>
          </cell>
          <cell r="I13" t="str">
            <v>IO</v>
          </cell>
          <cell r="L13" t="str">
            <v>2HEB-240</v>
          </cell>
          <cell r="M13" t="str">
            <v>C2H-240</v>
          </cell>
          <cell r="N13" t="str">
            <v>EMT-2</v>
          </cell>
          <cell r="O13" t="str">
            <v>EMT-T</v>
          </cell>
          <cell r="T13">
            <v>0</v>
          </cell>
          <cell r="U13">
            <v>-45</v>
          </cell>
          <cell r="W13">
            <v>1.4</v>
          </cell>
          <cell r="X13">
            <v>2.2999999999999998</v>
          </cell>
          <cell r="AA13">
            <v>0.45</v>
          </cell>
          <cell r="AC13" t="str">
            <v>PH</v>
          </cell>
          <cell r="AJ13" t="str">
            <v>LoadB/IO</v>
          </cell>
          <cell r="AM13" t="str">
            <v>RW1</v>
          </cell>
        </row>
        <row r="14">
          <cell r="G14">
            <v>52</v>
          </cell>
          <cell r="AJ14" t="str">
            <v>CurrentT</v>
          </cell>
        </row>
        <row r="15">
          <cell r="B15" t="str">
            <v>9-2.01BIS</v>
          </cell>
          <cell r="C15">
            <v>9082</v>
          </cell>
          <cell r="F15">
            <v>2500</v>
          </cell>
          <cell r="H15" t="str">
            <v>A/S</v>
          </cell>
          <cell r="L15" t="str">
            <v>HEB-260 (CP)</v>
          </cell>
          <cell r="M15" t="str">
            <v>C4R</v>
          </cell>
          <cell r="N15" t="str">
            <v>EMT-1</v>
          </cell>
          <cell r="O15" t="str">
            <v/>
          </cell>
          <cell r="T15">
            <v>-30</v>
          </cell>
          <cell r="W15">
            <v>1.4</v>
          </cell>
          <cell r="AC15" t="str">
            <v>PH-Q</v>
          </cell>
          <cell r="AM15" t="str">
            <v>RW1</v>
          </cell>
        </row>
        <row r="16">
          <cell r="G16">
            <v>56</v>
          </cell>
          <cell r="I16" t="str">
            <v>CP+AnMC</v>
          </cell>
          <cell r="J16">
            <v>9089.5</v>
          </cell>
          <cell r="K16" t="str">
            <v>AnMC</v>
          </cell>
        </row>
        <row r="17">
          <cell r="B17" t="str">
            <v>9-2.02</v>
          </cell>
          <cell r="C17">
            <v>9138</v>
          </cell>
          <cell r="F17">
            <v>2500</v>
          </cell>
          <cell r="I17" t="str">
            <v>AnRW</v>
          </cell>
          <cell r="J17">
            <v>9130.5</v>
          </cell>
          <cell r="K17" t="str">
            <v>AnM/WD</v>
          </cell>
          <cell r="L17" t="str">
            <v>HEB-260</v>
          </cell>
          <cell r="M17" t="str">
            <v>WD4</v>
          </cell>
          <cell r="N17" t="str">
            <v>EMT-2</v>
          </cell>
          <cell r="O17" t="str">
            <v/>
          </cell>
          <cell r="T17">
            <v>30</v>
          </cell>
          <cell r="W17">
            <v>1.4</v>
          </cell>
          <cell r="AC17" t="str">
            <v>PH-C</v>
          </cell>
          <cell r="AM17" t="str">
            <v>RW1</v>
          </cell>
        </row>
        <row r="18">
          <cell r="G18">
            <v>60</v>
          </cell>
        </row>
        <row r="19">
          <cell r="B19" t="str">
            <v>9-2.03</v>
          </cell>
          <cell r="C19">
            <v>9198</v>
          </cell>
          <cell r="F19">
            <v>0</v>
          </cell>
          <cell r="L19" t="str">
            <v>HEB-240</v>
          </cell>
          <cell r="M19" t="str">
            <v>WD3</v>
          </cell>
          <cell r="N19" t="str">
            <v>EMT-1</v>
          </cell>
          <cell r="O19" t="str">
            <v/>
          </cell>
          <cell r="T19">
            <v>-35</v>
          </cell>
          <cell r="W19">
            <v>1.4</v>
          </cell>
          <cell r="AC19" t="str">
            <v>PH</v>
          </cell>
          <cell r="AM19" t="str">
            <v>RW1</v>
          </cell>
        </row>
        <row r="20">
          <cell r="G20">
            <v>62</v>
          </cell>
        </row>
        <row r="21">
          <cell r="B21" t="str">
            <v>9-2.04</v>
          </cell>
          <cell r="C21">
            <v>9260</v>
          </cell>
          <cell r="F21">
            <v>0</v>
          </cell>
          <cell r="L21" t="str">
            <v>HEB-240</v>
          </cell>
          <cell r="M21" t="str">
            <v>WD3</v>
          </cell>
          <cell r="N21" t="str">
            <v>EMT-2</v>
          </cell>
          <cell r="O21" t="str">
            <v/>
          </cell>
          <cell r="T21">
            <v>35</v>
          </cell>
          <cell r="W21">
            <v>1.4</v>
          </cell>
          <cell r="AC21" t="str">
            <v>PH-Q</v>
          </cell>
          <cell r="AM21" t="str">
            <v>RW1</v>
          </cell>
        </row>
        <row r="22">
          <cell r="G22">
            <v>54</v>
          </cell>
        </row>
        <row r="23">
          <cell r="B23" t="str">
            <v>9-2.05</v>
          </cell>
          <cell r="C23">
            <v>9314</v>
          </cell>
          <cell r="F23">
            <v>0</v>
          </cell>
          <cell r="L23" t="str">
            <v>HEB-240</v>
          </cell>
          <cell r="M23" t="str">
            <v>WD3</v>
          </cell>
          <cell r="N23" t="str">
            <v>EMT-1</v>
          </cell>
          <cell r="O23" t="str">
            <v/>
          </cell>
          <cell r="T23">
            <v>-35</v>
          </cell>
          <cell r="W23">
            <v>1.4</v>
          </cell>
          <cell r="AC23" t="str">
            <v>PH-Q</v>
          </cell>
          <cell r="AM23" t="str">
            <v>RW1</v>
          </cell>
        </row>
        <row r="24">
          <cell r="G24">
            <v>60</v>
          </cell>
        </row>
        <row r="25">
          <cell r="B25" t="str">
            <v>9-2.06</v>
          </cell>
          <cell r="C25">
            <v>9374</v>
          </cell>
          <cell r="F25">
            <v>0</v>
          </cell>
          <cell r="L25" t="str">
            <v>HEB-240</v>
          </cell>
          <cell r="M25" t="str">
            <v>WD3</v>
          </cell>
          <cell r="N25" t="str">
            <v>EMT-2</v>
          </cell>
          <cell r="O25" t="str">
            <v/>
          </cell>
          <cell r="T25">
            <v>35</v>
          </cell>
          <cell r="W25">
            <v>1.4</v>
          </cell>
          <cell r="AC25" t="str">
            <v>PH</v>
          </cell>
          <cell r="AM25" t="str">
            <v>RW1</v>
          </cell>
        </row>
        <row r="26">
          <cell r="G26">
            <v>63</v>
          </cell>
        </row>
        <row r="27">
          <cell r="B27" t="str">
            <v>9-2.07</v>
          </cell>
          <cell r="C27">
            <v>9437</v>
          </cell>
          <cell r="F27">
            <v>0</v>
          </cell>
          <cell r="L27" t="str">
            <v>HEB-240</v>
          </cell>
          <cell r="M27" t="str">
            <v>WD3</v>
          </cell>
          <cell r="N27" t="str">
            <v>EMT-1</v>
          </cell>
          <cell r="O27" t="str">
            <v/>
          </cell>
          <cell r="T27">
            <v>-35</v>
          </cell>
          <cell r="W27">
            <v>1.4</v>
          </cell>
          <cell r="AC27" t="str">
            <v>PH-Q</v>
          </cell>
          <cell r="AM27" t="str">
            <v>RW1</v>
          </cell>
        </row>
        <row r="28">
          <cell r="G28">
            <v>53</v>
          </cell>
          <cell r="J28">
            <v>9482.5</v>
          </cell>
          <cell r="K28" t="str">
            <v>AnM/WD</v>
          </cell>
        </row>
        <row r="29">
          <cell r="B29" t="str">
            <v>9-2.08</v>
          </cell>
          <cell r="C29">
            <v>9490</v>
          </cell>
          <cell r="F29">
            <v>0</v>
          </cell>
          <cell r="H29" t="str">
            <v>AnMP</v>
          </cell>
          <cell r="L29" t="str">
            <v>HEB-260</v>
          </cell>
          <cell r="M29" t="str">
            <v>WD4</v>
          </cell>
          <cell r="N29" t="str">
            <v>EMT-2</v>
          </cell>
          <cell r="O29" t="str">
            <v/>
          </cell>
          <cell r="T29">
            <v>35</v>
          </cell>
          <cell r="W29">
            <v>1.4</v>
          </cell>
          <cell r="AC29" t="str">
            <v>PH-Q</v>
          </cell>
          <cell r="AM29" t="str">
            <v>RW1</v>
          </cell>
        </row>
        <row r="30">
          <cell r="G30">
            <v>57</v>
          </cell>
          <cell r="I30">
            <v>612</v>
          </cell>
        </row>
        <row r="31">
          <cell r="B31" t="str">
            <v>9-2.09</v>
          </cell>
          <cell r="C31">
            <v>9547</v>
          </cell>
          <cell r="F31">
            <v>0</v>
          </cell>
          <cell r="H31" t="str">
            <v>MP</v>
          </cell>
          <cell r="L31" t="str">
            <v>HEB-240</v>
          </cell>
          <cell r="M31" t="str">
            <v>WD3</v>
          </cell>
          <cell r="N31" t="str">
            <v>EMT-1</v>
          </cell>
          <cell r="O31" t="str">
            <v/>
          </cell>
          <cell r="T31">
            <v>-35</v>
          </cell>
          <cell r="W31">
            <v>1.4</v>
          </cell>
          <cell r="AC31" t="str">
            <v>PH-Q</v>
          </cell>
          <cell r="AM31" t="str">
            <v>RW1</v>
          </cell>
        </row>
        <row r="32">
          <cell r="G32">
            <v>56</v>
          </cell>
          <cell r="I32">
            <v>568</v>
          </cell>
        </row>
        <row r="33">
          <cell r="B33" t="str">
            <v>9-2.10</v>
          </cell>
          <cell r="C33">
            <v>9603</v>
          </cell>
          <cell r="F33">
            <v>0</v>
          </cell>
          <cell r="H33" t="str">
            <v>AnMP</v>
          </cell>
          <cell r="L33" t="str">
            <v>HEB-260</v>
          </cell>
          <cell r="M33" t="str">
            <v>WD4</v>
          </cell>
          <cell r="N33" t="str">
            <v>EMT-2</v>
          </cell>
          <cell r="O33" t="str">
            <v/>
          </cell>
          <cell r="T33">
            <v>35</v>
          </cell>
          <cell r="W33">
            <v>1.4</v>
          </cell>
          <cell r="AC33" t="str">
            <v>PH</v>
          </cell>
          <cell r="AM33" t="str">
            <v>RW1</v>
          </cell>
        </row>
        <row r="34">
          <cell r="G34">
            <v>63</v>
          </cell>
          <cell r="J34">
            <v>9610.5</v>
          </cell>
          <cell r="K34" t="str">
            <v>AnM/WD</v>
          </cell>
        </row>
        <row r="35">
          <cell r="B35" t="str">
            <v>9-2.11</v>
          </cell>
          <cell r="C35">
            <v>9666</v>
          </cell>
          <cell r="F35">
            <v>0</v>
          </cell>
          <cell r="L35" t="str">
            <v>HEB-240</v>
          </cell>
          <cell r="M35" t="str">
            <v>WD3</v>
          </cell>
          <cell r="N35" t="str">
            <v>EMT-1</v>
          </cell>
          <cell r="O35" t="str">
            <v/>
          </cell>
          <cell r="T35">
            <v>-35</v>
          </cell>
          <cell r="W35">
            <v>1.4</v>
          </cell>
          <cell r="AC35" t="str">
            <v>PH-Q</v>
          </cell>
          <cell r="AM35" t="str">
            <v>RW1</v>
          </cell>
        </row>
        <row r="36">
          <cell r="G36">
            <v>53</v>
          </cell>
        </row>
        <row r="37">
          <cell r="B37" t="str">
            <v>9-2.12</v>
          </cell>
          <cell r="C37">
            <v>9719</v>
          </cell>
          <cell r="F37">
            <v>0</v>
          </cell>
          <cell r="L37" t="str">
            <v>HEB-240</v>
          </cell>
          <cell r="M37" t="str">
            <v>WD3</v>
          </cell>
          <cell r="N37" t="str">
            <v>EMT-2</v>
          </cell>
          <cell r="O37" t="str">
            <v/>
          </cell>
          <cell r="T37">
            <v>35</v>
          </cell>
          <cell r="W37">
            <v>1.4</v>
          </cell>
          <cell r="AC37" t="str">
            <v>PH-Q</v>
          </cell>
          <cell r="AM37" t="str">
            <v>RW1</v>
          </cell>
        </row>
        <row r="38">
          <cell r="G38">
            <v>49</v>
          </cell>
        </row>
        <row r="39">
          <cell r="B39" t="str">
            <v>9-2.13</v>
          </cell>
          <cell r="C39">
            <v>9768</v>
          </cell>
          <cell r="F39">
            <v>0</v>
          </cell>
          <cell r="H39" t="str">
            <v>AnRW</v>
          </cell>
          <cell r="L39" t="str">
            <v>HEB-240</v>
          </cell>
          <cell r="M39" t="str">
            <v>WD3</v>
          </cell>
          <cell r="N39" t="str">
            <v>EMT-1</v>
          </cell>
          <cell r="O39" t="str">
            <v/>
          </cell>
          <cell r="T39">
            <v>-35</v>
          </cell>
          <cell r="W39">
            <v>1.4</v>
          </cell>
          <cell r="AC39" t="str">
            <v>PH-Q</v>
          </cell>
          <cell r="AM39" t="str">
            <v>RW1</v>
          </cell>
        </row>
        <row r="40">
          <cell r="G40">
            <v>59</v>
          </cell>
          <cell r="J40">
            <v>9775.5</v>
          </cell>
          <cell r="K40" t="str">
            <v>AnM/WD</v>
          </cell>
        </row>
        <row r="41">
          <cell r="B41" t="str">
            <v>9-2.14</v>
          </cell>
          <cell r="C41">
            <v>9827</v>
          </cell>
          <cell r="F41">
            <v>0</v>
          </cell>
          <cell r="H41" t="str">
            <v>AnRW</v>
          </cell>
          <cell r="J41">
            <v>9819.5</v>
          </cell>
          <cell r="K41" t="str">
            <v>AnM</v>
          </cell>
          <cell r="L41" t="str">
            <v>HEB-240</v>
          </cell>
          <cell r="M41" t="str">
            <v>C3R</v>
          </cell>
          <cell r="N41" t="str">
            <v>EMT-1</v>
          </cell>
          <cell r="O41" t="str">
            <v/>
          </cell>
          <cell r="T41">
            <v>-35</v>
          </cell>
          <cell r="W41">
            <v>1.4</v>
          </cell>
          <cell r="AC41" t="str">
            <v>PH</v>
          </cell>
          <cell r="AM41" t="str">
            <v>RW1</v>
          </cell>
        </row>
        <row r="42">
          <cell r="G42">
            <v>63</v>
          </cell>
        </row>
        <row r="43">
          <cell r="B43" t="str">
            <v>9-2.15</v>
          </cell>
          <cell r="C43">
            <v>9890</v>
          </cell>
          <cell r="F43">
            <v>0</v>
          </cell>
          <cell r="L43" t="str">
            <v>HEB-240</v>
          </cell>
          <cell r="M43" t="str">
            <v>C3R</v>
          </cell>
          <cell r="N43" t="str">
            <v>EMT-2</v>
          </cell>
          <cell r="O43" t="str">
            <v/>
          </cell>
          <cell r="T43">
            <v>35</v>
          </cell>
          <cell r="W43">
            <v>1.4</v>
          </cell>
          <cell r="AC43" t="str">
            <v>PH</v>
          </cell>
          <cell r="AM43" t="str">
            <v>RW1</v>
          </cell>
        </row>
        <row r="44">
          <cell r="G44">
            <v>60</v>
          </cell>
          <cell r="I44" t="str">
            <v>CP+AnMC</v>
          </cell>
          <cell r="J44">
            <v>9942.5</v>
          </cell>
          <cell r="K44" t="str">
            <v>AnMC</v>
          </cell>
        </row>
        <row r="45">
          <cell r="B45" t="str">
            <v>9-2.16</v>
          </cell>
          <cell r="C45">
            <v>9950</v>
          </cell>
          <cell r="F45">
            <v>-5000</v>
          </cell>
          <cell r="H45" t="str">
            <v>A/S</v>
          </cell>
          <cell r="L45" t="str">
            <v>HEB-260 (CP)</v>
          </cell>
          <cell r="M45" t="str">
            <v>C4R</v>
          </cell>
          <cell r="N45" t="str">
            <v>EMT-2</v>
          </cell>
          <cell r="O45" t="str">
            <v/>
          </cell>
          <cell r="T45">
            <v>20</v>
          </cell>
          <cell r="W45">
            <v>1.4</v>
          </cell>
          <cell r="AC45" t="str">
            <v>PH</v>
          </cell>
          <cell r="AM45" t="str">
            <v>RW1</v>
          </cell>
        </row>
        <row r="46">
          <cell r="G46">
            <v>55</v>
          </cell>
        </row>
        <row r="47">
          <cell r="B47" t="str">
            <v>10-2.01</v>
          </cell>
          <cell r="C47">
            <v>10005</v>
          </cell>
          <cell r="F47">
            <v>-2500</v>
          </cell>
          <cell r="H47" t="str">
            <v>S/A</v>
          </cell>
          <cell r="L47" t="str">
            <v>2HEB-240</v>
          </cell>
          <cell r="M47" t="str">
            <v>C2H-240</v>
          </cell>
          <cell r="N47" t="str">
            <v>EMT-T</v>
          </cell>
          <cell r="O47" t="str">
            <v>EMT-2</v>
          </cell>
          <cell r="T47">
            <v>30</v>
          </cell>
          <cell r="U47">
            <v>10</v>
          </cell>
          <cell r="W47">
            <v>1.4</v>
          </cell>
          <cell r="X47">
            <v>2.2999999999999998</v>
          </cell>
          <cell r="Z47">
            <v>0.5</v>
          </cell>
          <cell r="AC47" t="str">
            <v>PH</v>
          </cell>
          <cell r="AM47" t="str">
            <v>RW1</v>
          </cell>
        </row>
        <row r="48">
          <cell r="G48">
            <v>55</v>
          </cell>
        </row>
        <row r="49">
          <cell r="B49" t="str">
            <v>10-2.02</v>
          </cell>
          <cell r="C49">
            <v>10060</v>
          </cell>
          <cell r="F49">
            <v>-2500</v>
          </cell>
          <cell r="H49" t="str">
            <v>S/A</v>
          </cell>
          <cell r="I49" t="str">
            <v>AnRW</v>
          </cell>
          <cell r="L49" t="str">
            <v>2HEB-240</v>
          </cell>
          <cell r="M49" t="str">
            <v>C2H-240</v>
          </cell>
          <cell r="N49" t="str">
            <v>EMT-2</v>
          </cell>
          <cell r="O49" t="str">
            <v>EMT-T</v>
          </cell>
          <cell r="T49">
            <v>30</v>
          </cell>
          <cell r="U49">
            <v>10</v>
          </cell>
          <cell r="W49">
            <v>1.4</v>
          </cell>
          <cell r="X49">
            <v>2.2999999999999998</v>
          </cell>
          <cell r="AA49">
            <v>0.5</v>
          </cell>
          <cell r="AC49" t="str">
            <v>PH-Q</v>
          </cell>
          <cell r="AM49" t="str">
            <v>RW1</v>
          </cell>
        </row>
        <row r="50">
          <cell r="G50">
            <v>55</v>
          </cell>
          <cell r="I50" t="str">
            <v>AnRW</v>
          </cell>
          <cell r="J50">
            <v>10067.5</v>
          </cell>
          <cell r="K50" t="str">
            <v>AnM</v>
          </cell>
        </row>
        <row r="51">
          <cell r="B51" t="str">
            <v>10-2.03</v>
          </cell>
          <cell r="C51">
            <v>10114.5</v>
          </cell>
          <cell r="F51">
            <v>0</v>
          </cell>
          <cell r="H51" t="str">
            <v>A/S</v>
          </cell>
          <cell r="I51" t="str">
            <v>CP+AnMC</v>
          </cell>
          <cell r="L51" t="str">
            <v>HEB-260 (CP)</v>
          </cell>
          <cell r="M51" t="str">
            <v>C4R</v>
          </cell>
          <cell r="N51" t="str">
            <v>EMT-1</v>
          </cell>
          <cell r="T51">
            <v>-30</v>
          </cell>
          <cell r="W51">
            <v>1.4</v>
          </cell>
          <cell r="AC51" t="str">
            <v>PH</v>
          </cell>
          <cell r="AM51" t="str">
            <v>RW1</v>
          </cell>
        </row>
        <row r="52">
          <cell r="G52">
            <v>56</v>
          </cell>
          <cell r="J52">
            <v>10122</v>
          </cell>
          <cell r="K52" t="str">
            <v>AnMC</v>
          </cell>
        </row>
        <row r="53">
          <cell r="B53" t="str">
            <v>10-2.04</v>
          </cell>
          <cell r="C53">
            <v>10170.5</v>
          </cell>
          <cell r="F53">
            <v>2500</v>
          </cell>
          <cell r="I53" t="str">
            <v>AnRW</v>
          </cell>
          <cell r="L53" t="str">
            <v>HEB-260</v>
          </cell>
          <cell r="M53" t="str">
            <v>WD4</v>
          </cell>
          <cell r="N53" t="str">
            <v>EMT-2</v>
          </cell>
          <cell r="T53">
            <v>30</v>
          </cell>
          <cell r="W53">
            <v>1.4</v>
          </cell>
          <cell r="AC53" t="str">
            <v>PH</v>
          </cell>
          <cell r="AM53" t="str">
            <v>RW1</v>
          </cell>
        </row>
        <row r="54">
          <cell r="G54">
            <v>54</v>
          </cell>
          <cell r="J54">
            <v>10217</v>
          </cell>
          <cell r="K54" t="str">
            <v>AnM</v>
          </cell>
        </row>
        <row r="55">
          <cell r="B55" t="str">
            <v>10-2.05</v>
          </cell>
          <cell r="C55">
            <v>10224.5</v>
          </cell>
          <cell r="F55">
            <v>2500</v>
          </cell>
          <cell r="I55" t="str">
            <v>AnRW</v>
          </cell>
          <cell r="L55" t="str">
            <v>HEB-260</v>
          </cell>
          <cell r="M55" t="str">
            <v>C4R</v>
          </cell>
          <cell r="N55" t="str">
            <v>EMT-2</v>
          </cell>
          <cell r="T55">
            <v>30</v>
          </cell>
          <cell r="W55">
            <v>1.4</v>
          </cell>
          <cell r="AC55" t="str">
            <v>PH</v>
          </cell>
          <cell r="AM55" t="str">
            <v>RW1</v>
          </cell>
        </row>
        <row r="56">
          <cell r="G56">
            <v>50</v>
          </cell>
        </row>
        <row r="57">
          <cell r="B57" t="str">
            <v>10-2.07</v>
          </cell>
          <cell r="C57">
            <v>10274.5</v>
          </cell>
          <cell r="F57">
            <v>2500</v>
          </cell>
          <cell r="L57" t="str">
            <v>HEB-260</v>
          </cell>
          <cell r="M57" t="str">
            <v>C4R</v>
          </cell>
          <cell r="N57" t="str">
            <v>EMT-2</v>
          </cell>
          <cell r="T57">
            <v>30</v>
          </cell>
          <cell r="W57">
            <v>1.4</v>
          </cell>
          <cell r="AC57" t="str">
            <v>PH-Q</v>
          </cell>
          <cell r="AM57" t="str">
            <v>RW1</v>
          </cell>
        </row>
        <row r="58">
          <cell r="G58">
            <v>50</v>
          </cell>
        </row>
        <row r="59">
          <cell r="B59" t="str">
            <v>10-2.08</v>
          </cell>
          <cell r="C59">
            <v>10324.5</v>
          </cell>
          <cell r="F59">
            <v>0</v>
          </cell>
          <cell r="L59" t="str">
            <v>HEB-240</v>
          </cell>
          <cell r="M59" t="str">
            <v>C3R</v>
          </cell>
          <cell r="N59" t="str">
            <v>EMT-1</v>
          </cell>
          <cell r="T59">
            <v>-35</v>
          </cell>
          <cell r="W59">
            <v>1.1000000000000001</v>
          </cell>
          <cell r="AC59" t="str">
            <v>PH-Q</v>
          </cell>
          <cell r="AM59" t="str">
            <v>RW1</v>
          </cell>
        </row>
        <row r="60">
          <cell r="A60" t="str">
            <v xml:space="preserve"> Drainage Works</v>
          </cell>
          <cell r="G60">
            <v>58</v>
          </cell>
        </row>
        <row r="61">
          <cell r="B61" t="str">
            <v>10-2.09</v>
          </cell>
          <cell r="C61">
            <v>10382.5</v>
          </cell>
          <cell r="F61">
            <v>0</v>
          </cell>
          <cell r="L61" t="str">
            <v>HEB-240</v>
          </cell>
          <cell r="M61" t="str">
            <v>C3R</v>
          </cell>
          <cell r="N61" t="str">
            <v>EMT-2</v>
          </cell>
          <cell r="T61">
            <v>30</v>
          </cell>
          <cell r="W61">
            <v>0.65</v>
          </cell>
          <cell r="AC61" t="str">
            <v>PH</v>
          </cell>
          <cell r="AM61" t="str">
            <v>RW1</v>
          </cell>
        </row>
        <row r="62">
          <cell r="A62" t="str">
            <v>Overcrossing</v>
          </cell>
          <cell r="G62">
            <v>53</v>
          </cell>
          <cell r="J62">
            <v>10428</v>
          </cell>
          <cell r="K62" t="str">
            <v>AnMC</v>
          </cell>
        </row>
        <row r="63">
          <cell r="B63" t="str">
            <v>10-2.10</v>
          </cell>
          <cell r="C63">
            <v>10435.5</v>
          </cell>
          <cell r="F63">
            <v>0</v>
          </cell>
          <cell r="H63" t="str">
            <v>A/S</v>
          </cell>
          <cell r="I63" t="str">
            <v>CP+AnMC</v>
          </cell>
          <cell r="L63" t="str">
            <v>HEB-260 (CP)</v>
          </cell>
          <cell r="M63" t="str">
            <v>C4RT</v>
          </cell>
          <cell r="N63" t="str">
            <v>EMT-1</v>
          </cell>
          <cell r="T63">
            <v>-25</v>
          </cell>
          <cell r="W63">
            <v>0.65</v>
          </cell>
          <cell r="AC63" t="str">
            <v>PH</v>
          </cell>
          <cell r="AM63" t="str">
            <v>RW1</v>
          </cell>
        </row>
        <row r="64">
          <cell r="G64">
            <v>60</v>
          </cell>
        </row>
        <row r="65">
          <cell r="B65" t="str">
            <v>10-2.11</v>
          </cell>
          <cell r="C65">
            <v>10495.5</v>
          </cell>
          <cell r="F65">
            <v>0</v>
          </cell>
          <cell r="H65" t="str">
            <v>S/A</v>
          </cell>
          <cell r="L65" t="str">
            <v>HEB-260</v>
          </cell>
          <cell r="M65" t="str">
            <v>C4RT</v>
          </cell>
          <cell r="N65" t="str">
            <v>EMT-T</v>
          </cell>
          <cell r="O65" t="str">
            <v>EMT-2</v>
          </cell>
          <cell r="T65">
            <v>35</v>
          </cell>
          <cell r="U65">
            <v>15</v>
          </cell>
          <cell r="W65">
            <v>1.1000000000000001</v>
          </cell>
          <cell r="X65">
            <v>2</v>
          </cell>
          <cell r="Z65">
            <v>0.6</v>
          </cell>
          <cell r="AM65" t="str">
            <v>RW1</v>
          </cell>
        </row>
        <row r="66">
          <cell r="G66">
            <v>62</v>
          </cell>
        </row>
        <row r="67">
          <cell r="B67" t="str">
            <v>10-2.12</v>
          </cell>
          <cell r="C67">
            <v>10557.5</v>
          </cell>
          <cell r="F67">
            <v>0</v>
          </cell>
          <cell r="H67" t="str">
            <v>S/A</v>
          </cell>
          <cell r="L67" t="str">
            <v>HEB-260</v>
          </cell>
          <cell r="M67" t="str">
            <v>C4RT</v>
          </cell>
          <cell r="N67" t="str">
            <v>EMT-1</v>
          </cell>
          <cell r="O67" t="str">
            <v>EMT-T</v>
          </cell>
          <cell r="T67">
            <v>-15</v>
          </cell>
          <cell r="U67">
            <v>-35</v>
          </cell>
          <cell r="W67">
            <v>1.4</v>
          </cell>
          <cell r="X67">
            <v>2.2999999999999998</v>
          </cell>
          <cell r="AA67">
            <v>0.6</v>
          </cell>
          <cell r="AC67" t="str">
            <v>PH</v>
          </cell>
          <cell r="AM67" t="str">
            <v>RW1</v>
          </cell>
        </row>
        <row r="68">
          <cell r="G68">
            <v>62</v>
          </cell>
          <cell r="I68">
            <v>670</v>
          </cell>
        </row>
        <row r="69">
          <cell r="B69" t="str">
            <v>10-2.13</v>
          </cell>
          <cell r="C69">
            <v>10619.5</v>
          </cell>
          <cell r="F69">
            <v>0</v>
          </cell>
          <cell r="H69" t="str">
            <v>A/S</v>
          </cell>
          <cell r="I69" t="str">
            <v>FP+AnMC</v>
          </cell>
          <cell r="L69" t="str">
            <v>HEB-260 (CP)</v>
          </cell>
          <cell r="M69" t="str">
            <v>C4RT</v>
          </cell>
          <cell r="N69" t="str">
            <v>EMT-2</v>
          </cell>
          <cell r="T69">
            <v>25</v>
          </cell>
          <cell r="W69">
            <v>1.4</v>
          </cell>
          <cell r="AC69" t="str">
            <v>PH</v>
          </cell>
          <cell r="AM69" t="str">
            <v>RW1</v>
          </cell>
        </row>
        <row r="70">
          <cell r="A70" t="str">
            <v xml:space="preserve"> Drainage Works</v>
          </cell>
          <cell r="G70">
            <v>62</v>
          </cell>
          <cell r="J70">
            <v>10627</v>
          </cell>
          <cell r="K70" t="str">
            <v>AnMC</v>
          </cell>
        </row>
        <row r="71">
          <cell r="B71" t="str">
            <v>10-2.14</v>
          </cell>
          <cell r="C71">
            <v>10681.5</v>
          </cell>
          <cell r="F71">
            <v>0</v>
          </cell>
          <cell r="L71" t="str">
            <v>HEB-240</v>
          </cell>
          <cell r="M71" t="str">
            <v>C3R</v>
          </cell>
          <cell r="N71" t="str">
            <v>EMT-1</v>
          </cell>
          <cell r="T71">
            <v>-35</v>
          </cell>
          <cell r="W71">
            <v>1.4</v>
          </cell>
          <cell r="AC71" t="str">
            <v>PH</v>
          </cell>
          <cell r="AM71" t="str">
            <v>RW1</v>
          </cell>
        </row>
        <row r="72">
          <cell r="G72">
            <v>62</v>
          </cell>
        </row>
        <row r="73">
          <cell r="B73" t="str">
            <v>10-2.15</v>
          </cell>
          <cell r="C73">
            <v>10743.5</v>
          </cell>
          <cell r="F73">
            <v>0</v>
          </cell>
          <cell r="L73" t="str">
            <v>HEB-240</v>
          </cell>
          <cell r="M73" t="str">
            <v>C3R</v>
          </cell>
          <cell r="N73" t="str">
            <v>EMT-2</v>
          </cell>
          <cell r="T73">
            <v>35</v>
          </cell>
          <cell r="W73">
            <v>1.4</v>
          </cell>
          <cell r="AC73" t="str">
            <v>PH</v>
          </cell>
          <cell r="AM73" t="str">
            <v>RW1</v>
          </cell>
        </row>
        <row r="74">
          <cell r="G74">
            <v>61</v>
          </cell>
        </row>
        <row r="75">
          <cell r="B75" t="str">
            <v>10-2.16</v>
          </cell>
          <cell r="C75">
            <v>10804.5</v>
          </cell>
          <cell r="F75">
            <v>0</v>
          </cell>
          <cell r="L75" t="str">
            <v>HEB-240</v>
          </cell>
          <cell r="M75" t="str">
            <v>C3R</v>
          </cell>
          <cell r="N75" t="str">
            <v>EMT-1</v>
          </cell>
          <cell r="T75">
            <v>-35</v>
          </cell>
          <cell r="W75">
            <v>1.4</v>
          </cell>
          <cell r="AC75" t="str">
            <v>PH</v>
          </cell>
          <cell r="AM75" t="str">
            <v>RW1</v>
          </cell>
        </row>
        <row r="76">
          <cell r="A76" t="str">
            <v>Overhead Cable</v>
          </cell>
          <cell r="G76">
            <v>62</v>
          </cell>
        </row>
        <row r="77">
          <cell r="B77" t="str">
            <v>10-2.17</v>
          </cell>
          <cell r="C77">
            <v>10866.5</v>
          </cell>
          <cell r="F77">
            <v>0</v>
          </cell>
          <cell r="L77" t="str">
            <v>HEB-240</v>
          </cell>
          <cell r="M77" t="str">
            <v>C3R</v>
          </cell>
          <cell r="N77" t="str">
            <v>EMT-2</v>
          </cell>
          <cell r="T77">
            <v>35</v>
          </cell>
          <cell r="W77">
            <v>1.4</v>
          </cell>
          <cell r="AC77" t="str">
            <v>PH</v>
          </cell>
          <cell r="AM77" t="str">
            <v>RW1</v>
          </cell>
        </row>
        <row r="78">
          <cell r="A78" t="str">
            <v>Overcrossing</v>
          </cell>
          <cell r="G78">
            <v>62</v>
          </cell>
          <cell r="J78">
            <v>10921</v>
          </cell>
          <cell r="K78" t="str">
            <v>AnM</v>
          </cell>
        </row>
        <row r="79">
          <cell r="A79" t="str">
            <v xml:space="preserve"> Drainage Works</v>
          </cell>
          <cell r="B79" t="str">
            <v>10-2.18</v>
          </cell>
          <cell r="C79">
            <v>10928.5</v>
          </cell>
          <cell r="F79" t="str">
            <v>0</v>
          </cell>
          <cell r="H79" t="str">
            <v>AnMP</v>
          </cell>
          <cell r="L79" t="str">
            <v>HEB-260</v>
          </cell>
          <cell r="M79" t="str">
            <v>C4R</v>
          </cell>
          <cell r="N79" t="str">
            <v>EMT-1</v>
          </cell>
          <cell r="T79">
            <v>-35</v>
          </cell>
          <cell r="W79">
            <v>1.4</v>
          </cell>
          <cell r="AC79" t="str">
            <v>PH-Q</v>
          </cell>
          <cell r="AM79" t="str">
            <v>RW1</v>
          </cell>
        </row>
        <row r="80">
          <cell r="G80">
            <v>50</v>
          </cell>
          <cell r="I80">
            <v>543</v>
          </cell>
        </row>
        <row r="81">
          <cell r="B81" t="str">
            <v>10-2.19</v>
          </cell>
          <cell r="C81">
            <v>10978.5</v>
          </cell>
          <cell r="F81" t="str">
            <v>1250</v>
          </cell>
          <cell r="H81" t="str">
            <v>MP</v>
          </cell>
          <cell r="L81" t="str">
            <v>HEB-260</v>
          </cell>
          <cell r="M81" t="str">
            <v>C4R</v>
          </cell>
          <cell r="N81" t="str">
            <v>EMT-2</v>
          </cell>
          <cell r="T81">
            <v>30</v>
          </cell>
          <cell r="W81">
            <v>1.4</v>
          </cell>
          <cell r="AC81" t="str">
            <v>PH-C</v>
          </cell>
          <cell r="AM81" t="str">
            <v>RW1</v>
          </cell>
        </row>
        <row r="82">
          <cell r="G82">
            <v>50</v>
          </cell>
          <cell r="I82">
            <v>504</v>
          </cell>
        </row>
        <row r="83">
          <cell r="B83" t="str">
            <v>11-2.01</v>
          </cell>
          <cell r="C83">
            <v>11028.5</v>
          </cell>
          <cell r="F83" t="str">
            <v>1250</v>
          </cell>
          <cell r="H83" t="str">
            <v>AnMP</v>
          </cell>
          <cell r="L83" t="str">
            <v>HEB-260</v>
          </cell>
          <cell r="M83" t="str">
            <v>C4R</v>
          </cell>
          <cell r="N83" t="str">
            <v>EMT-2</v>
          </cell>
          <cell r="T83">
            <v>30</v>
          </cell>
          <cell r="W83">
            <v>1.4</v>
          </cell>
          <cell r="AC83" t="str">
            <v>PH-C</v>
          </cell>
          <cell r="AM83" t="str">
            <v>RW1</v>
          </cell>
        </row>
        <row r="84">
          <cell r="G84">
            <v>50</v>
          </cell>
          <cell r="J84">
            <v>11036</v>
          </cell>
          <cell r="K84" t="str">
            <v>AnM</v>
          </cell>
        </row>
        <row r="85">
          <cell r="B85" t="str">
            <v>11-2.02</v>
          </cell>
          <cell r="C85">
            <v>11078.5</v>
          </cell>
          <cell r="F85" t="str">
            <v>1250</v>
          </cell>
          <cell r="L85" t="str">
            <v>HEB-260</v>
          </cell>
          <cell r="M85" t="str">
            <v>C4R</v>
          </cell>
          <cell r="N85" t="str">
            <v>EMT-2</v>
          </cell>
          <cell r="T85">
            <v>30</v>
          </cell>
          <cell r="W85">
            <v>1.4</v>
          </cell>
          <cell r="AC85" t="str">
            <v>PH-C</v>
          </cell>
          <cell r="AM85" t="str">
            <v>RW1</v>
          </cell>
        </row>
        <row r="86">
          <cell r="G86">
            <v>50</v>
          </cell>
        </row>
        <row r="87">
          <cell r="B87" t="str">
            <v>11-2.03</v>
          </cell>
          <cell r="C87">
            <v>11128.5</v>
          </cell>
          <cell r="F87" t="str">
            <v>1250</v>
          </cell>
          <cell r="L87" t="str">
            <v>HEB-260</v>
          </cell>
          <cell r="M87" t="str">
            <v>C4R</v>
          </cell>
          <cell r="N87" t="str">
            <v>EMT-2</v>
          </cell>
          <cell r="T87">
            <v>30</v>
          </cell>
          <cell r="W87">
            <v>1.4</v>
          </cell>
          <cell r="AC87" t="str">
            <v>PH-C</v>
          </cell>
          <cell r="AM87" t="str">
            <v>RW1</v>
          </cell>
        </row>
        <row r="88">
          <cell r="A88" t="str">
            <v>Overhead Cable</v>
          </cell>
          <cell r="G88">
            <v>50</v>
          </cell>
        </row>
        <row r="89">
          <cell r="B89" t="str">
            <v>11-2.04</v>
          </cell>
          <cell r="C89">
            <v>11178.5</v>
          </cell>
          <cell r="F89" t="str">
            <v>1250</v>
          </cell>
          <cell r="L89" t="str">
            <v>HEB-260</v>
          </cell>
          <cell r="M89" t="str">
            <v>C4R</v>
          </cell>
          <cell r="N89" t="str">
            <v>EMT-2</v>
          </cell>
          <cell r="T89">
            <v>30</v>
          </cell>
          <cell r="W89">
            <v>1.4</v>
          </cell>
          <cell r="AC89" t="str">
            <v>PH-C</v>
          </cell>
          <cell r="AM89" t="str">
            <v>RW1</v>
          </cell>
        </row>
        <row r="90">
          <cell r="G90">
            <v>50</v>
          </cell>
          <cell r="J90">
            <v>11221</v>
          </cell>
          <cell r="K90" t="str">
            <v>AnMC</v>
          </cell>
        </row>
        <row r="91">
          <cell r="A91" t="str">
            <v>NS  KAFFAR HABBAD</v>
          </cell>
          <cell r="B91" t="str">
            <v>11-2.05</v>
          </cell>
          <cell r="C91">
            <v>11228.5</v>
          </cell>
          <cell r="F91" t="str">
            <v>5000</v>
          </cell>
          <cell r="H91" t="str">
            <v>A/S</v>
          </cell>
          <cell r="I91" t="str">
            <v>CP+AnMC</v>
          </cell>
          <cell r="L91" t="str">
            <v>HEB-260 (CP)</v>
          </cell>
          <cell r="M91" t="str">
            <v>C4R</v>
          </cell>
          <cell r="N91" t="str">
            <v>EMT-2</v>
          </cell>
          <cell r="T91">
            <v>20</v>
          </cell>
          <cell r="W91">
            <v>1.4</v>
          </cell>
          <cell r="AC91" t="str">
            <v>PH</v>
          </cell>
          <cell r="AM91" t="str">
            <v>RW1</v>
          </cell>
        </row>
        <row r="92">
          <cell r="G92">
            <v>56</v>
          </cell>
        </row>
        <row r="93">
          <cell r="A93" t="str">
            <v>KAF-NS2</v>
          </cell>
          <cell r="B93" t="str">
            <v>11-2.06</v>
          </cell>
          <cell r="C93">
            <v>11284.5</v>
          </cell>
          <cell r="F93">
            <v>0</v>
          </cell>
          <cell r="H93" t="str">
            <v>S/A</v>
          </cell>
          <cell r="I93" t="str">
            <v>IO</v>
          </cell>
          <cell r="L93" t="str">
            <v>HEB-260</v>
          </cell>
          <cell r="M93" t="str">
            <v>C4R</v>
          </cell>
          <cell r="N93" t="str">
            <v>EMT-T</v>
          </cell>
          <cell r="O93" t="str">
            <v>EMT-1</v>
          </cell>
          <cell r="T93">
            <v>10</v>
          </cell>
          <cell r="U93">
            <v>-35</v>
          </cell>
          <cell r="W93">
            <v>1.4</v>
          </cell>
          <cell r="X93">
            <v>2.2999999999999998</v>
          </cell>
          <cell r="Z93">
            <v>0.45</v>
          </cell>
          <cell r="AC93" t="str">
            <v>PH</v>
          </cell>
          <cell r="AJ93" t="str">
            <v>LoadB/NZ</v>
          </cell>
          <cell r="AM93" t="str">
            <v>RW1</v>
          </cell>
        </row>
        <row r="94">
          <cell r="G94">
            <v>42</v>
          </cell>
          <cell r="AJ94" t="str">
            <v>VoltageD</v>
          </cell>
        </row>
        <row r="95">
          <cell r="A95" t="str">
            <v>KAF-B01</v>
          </cell>
          <cell r="B95" t="str">
            <v>11-2.07</v>
          </cell>
          <cell r="C95">
            <v>11326.5</v>
          </cell>
          <cell r="F95">
            <v>0</v>
          </cell>
          <cell r="L95" t="str">
            <v>HEB-300L</v>
          </cell>
          <cell r="M95" t="str">
            <v>C6</v>
          </cell>
          <cell r="AJ95" t="str">
            <v>PP-2</v>
          </cell>
          <cell r="AM95" t="str">
            <v>RW1</v>
          </cell>
        </row>
        <row r="96">
          <cell r="G96">
            <v>5</v>
          </cell>
        </row>
        <row r="97">
          <cell r="A97" t="str">
            <v>KAF-NS4</v>
          </cell>
          <cell r="B97" t="str">
            <v>11-2.08</v>
          </cell>
          <cell r="C97">
            <v>11331.5</v>
          </cell>
          <cell r="F97">
            <v>0</v>
          </cell>
          <cell r="H97" t="str">
            <v>S/A</v>
          </cell>
          <cell r="I97" t="str">
            <v>IO</v>
          </cell>
          <cell r="L97" t="str">
            <v>HEB-260</v>
          </cell>
          <cell r="M97" t="str">
            <v>C4R</v>
          </cell>
          <cell r="N97" t="str">
            <v>EMT-2</v>
          </cell>
          <cell r="O97" t="str">
            <v>EMT-T</v>
          </cell>
          <cell r="T97">
            <v>35</v>
          </cell>
          <cell r="U97">
            <v>-10</v>
          </cell>
          <cell r="W97">
            <v>1.4</v>
          </cell>
          <cell r="X97">
            <v>2.2999999999999998</v>
          </cell>
          <cell r="AA97">
            <v>0.45</v>
          </cell>
          <cell r="AC97" t="str">
            <v>PH</v>
          </cell>
          <cell r="AJ97" t="str">
            <v>LoadB/NZ</v>
          </cell>
          <cell r="AM97" t="str">
            <v>RW1</v>
          </cell>
        </row>
        <row r="98">
          <cell r="G98">
            <v>47</v>
          </cell>
        </row>
        <row r="99">
          <cell r="B99" t="str">
            <v>11-2.09</v>
          </cell>
          <cell r="C99">
            <v>11378.5</v>
          </cell>
          <cell r="F99">
            <v>0</v>
          </cell>
          <cell r="H99" t="str">
            <v>S/A</v>
          </cell>
          <cell r="L99" t="str">
            <v>HEB-260</v>
          </cell>
          <cell r="M99" t="str">
            <v>C4R</v>
          </cell>
          <cell r="N99" t="str">
            <v>EMT-T</v>
          </cell>
          <cell r="O99" t="str">
            <v>EMT-1</v>
          </cell>
          <cell r="T99">
            <v>10</v>
          </cell>
          <cell r="U99">
            <v>-35</v>
          </cell>
          <cell r="W99">
            <v>1.4</v>
          </cell>
          <cell r="X99">
            <v>2.2999999999999998</v>
          </cell>
          <cell r="Z99">
            <v>0.45</v>
          </cell>
          <cell r="AC99" t="str">
            <v>PH</v>
          </cell>
          <cell r="AM99" t="str">
            <v>RW1</v>
          </cell>
        </row>
        <row r="100">
          <cell r="G100">
            <v>5</v>
          </cell>
        </row>
        <row r="101">
          <cell r="A101" t="str">
            <v>KAF-B02</v>
          </cell>
          <cell r="B101" t="str">
            <v>11-2.10</v>
          </cell>
          <cell r="C101">
            <v>11383.5</v>
          </cell>
          <cell r="F101">
            <v>0</v>
          </cell>
          <cell r="L101" t="str">
            <v>HEB-300L</v>
          </cell>
          <cell r="M101" t="str">
            <v>C6R</v>
          </cell>
          <cell r="AJ101" t="str">
            <v>PP-2</v>
          </cell>
          <cell r="AM101" t="str">
            <v>RW1</v>
          </cell>
        </row>
        <row r="102">
          <cell r="G102">
            <v>42</v>
          </cell>
        </row>
        <row r="103">
          <cell r="A103" t="str">
            <v>KAF-NS6</v>
          </cell>
          <cell r="B103" t="str">
            <v>11-2.11</v>
          </cell>
          <cell r="C103">
            <v>11425.5</v>
          </cell>
          <cell r="F103">
            <v>0</v>
          </cell>
          <cell r="H103" t="str">
            <v>S/A</v>
          </cell>
          <cell r="I103" t="str">
            <v>IO</v>
          </cell>
          <cell r="L103" t="str">
            <v>HEB-260</v>
          </cell>
          <cell r="M103" t="str">
            <v>C4R</v>
          </cell>
          <cell r="N103" t="str">
            <v>EMT-2</v>
          </cell>
          <cell r="O103" t="str">
            <v>EMT-T</v>
          </cell>
          <cell r="T103">
            <v>35</v>
          </cell>
          <cell r="U103">
            <v>-10</v>
          </cell>
          <cell r="W103">
            <v>1.4</v>
          </cell>
          <cell r="X103">
            <v>2.2999999999999998</v>
          </cell>
          <cell r="AA103">
            <v>0.45</v>
          </cell>
          <cell r="AC103" t="str">
            <v>PH</v>
          </cell>
          <cell r="AJ103" t="str">
            <v>LoadB/NZ</v>
          </cell>
          <cell r="AM103" t="str">
            <v>RW1</v>
          </cell>
        </row>
        <row r="104">
          <cell r="G104">
            <v>57</v>
          </cell>
          <cell r="AJ104" t="str">
            <v>VoltageD</v>
          </cell>
        </row>
        <row r="105">
          <cell r="A105" t="str">
            <v>NS  KAFFAR HABBAD</v>
          </cell>
          <cell r="B105" t="str">
            <v>11-2.12</v>
          </cell>
          <cell r="C105">
            <v>11482.5</v>
          </cell>
          <cell r="F105">
            <v>0</v>
          </cell>
          <cell r="H105" t="str">
            <v>A/S</v>
          </cell>
          <cell r="I105" t="str">
            <v>CP+AnMC</v>
          </cell>
          <cell r="L105" t="str">
            <v>HEB-260 (CP)</v>
          </cell>
          <cell r="M105" t="str">
            <v>C4R</v>
          </cell>
          <cell r="N105" t="str">
            <v>EMT-1</v>
          </cell>
          <cell r="T105">
            <v>-30</v>
          </cell>
          <cell r="W105">
            <v>1.4</v>
          </cell>
          <cell r="AC105" t="str">
            <v>PH</v>
          </cell>
          <cell r="AM105" t="str">
            <v>RW1</v>
          </cell>
        </row>
        <row r="106">
          <cell r="J106">
            <v>11490</v>
          </cell>
          <cell r="K106" t="str">
            <v>AnMC</v>
          </cell>
        </row>
        <row r="107">
          <cell r="T107">
            <v>30</v>
          </cell>
        </row>
        <row r="146">
          <cell r="B146" t="str">
            <v>Possible Signalling Interface Detected</v>
          </cell>
        </row>
        <row r="147">
          <cell r="B147" t="str">
            <v>Sorted out by using "L"foundation</v>
          </cell>
        </row>
        <row r="148">
          <cell r="B148" t="str">
            <v>Sorted out by reducing gauge up to 2.90m</v>
          </cell>
        </row>
        <row r="149">
          <cell r="B149" t="str">
            <v>Special and particular solution to be applied</v>
          </cell>
        </row>
      </sheetData>
      <sheetData sheetId="17">
        <row r="2">
          <cell r="I2" t="str">
            <v>Anchorage</v>
          </cell>
        </row>
        <row r="3">
          <cell r="O3" t="str">
            <v>M2</v>
          </cell>
        </row>
        <row r="6">
          <cell r="I6" t="str">
            <v>AnRW</v>
          </cell>
          <cell r="J6">
            <v>8821</v>
          </cell>
          <cell r="K6" t="str">
            <v>AnRW-RT</v>
          </cell>
        </row>
        <row r="7">
          <cell r="B7" t="str">
            <v>8-3.22</v>
          </cell>
          <cell r="C7">
            <v>8830.5</v>
          </cell>
          <cell r="I7" t="str">
            <v>AnRW</v>
          </cell>
          <cell r="J7">
            <v>8823</v>
          </cell>
          <cell r="K7" t="str">
            <v>AnRW-RT</v>
          </cell>
          <cell r="L7" t="str">
            <v>HEB-320L</v>
          </cell>
          <cell r="M7" t="str">
            <v>C7RT</v>
          </cell>
          <cell r="Q7">
            <v>5</v>
          </cell>
          <cell r="R7">
            <v>0</v>
          </cell>
          <cell r="AG7">
            <v>8830.25</v>
          </cell>
          <cell r="AH7">
            <v>2560</v>
          </cell>
          <cell r="AI7">
            <v>810</v>
          </cell>
          <cell r="AL7" t="str">
            <v>PR1C</v>
          </cell>
          <cell r="AM7" t="str">
            <v>RW2</v>
          </cell>
        </row>
        <row r="8">
          <cell r="G8">
            <v>48</v>
          </cell>
          <cell r="S8">
            <v>47.469999999999345</v>
          </cell>
        </row>
        <row r="9">
          <cell r="B9" t="str">
            <v>8-3.23</v>
          </cell>
          <cell r="C9">
            <v>8878.5</v>
          </cell>
          <cell r="L9" t="str">
            <v>HEB-320L</v>
          </cell>
          <cell r="M9" t="str">
            <v>C7RT</v>
          </cell>
          <cell r="Q9">
            <v>0</v>
          </cell>
          <cell r="R9">
            <v>0</v>
          </cell>
          <cell r="AG9">
            <v>8877.7199999999993</v>
          </cell>
          <cell r="AH9">
            <v>2505</v>
          </cell>
          <cell r="AI9">
            <v>882</v>
          </cell>
          <cell r="AL9" t="str">
            <v>PR1C</v>
          </cell>
          <cell r="AM9" t="str">
            <v>RW2</v>
          </cell>
        </row>
        <row r="10">
          <cell r="G10">
            <v>55.5</v>
          </cell>
          <cell r="S10">
            <v>55.010000000000218</v>
          </cell>
        </row>
        <row r="11">
          <cell r="B11" t="str">
            <v>8-3.24</v>
          </cell>
          <cell r="C11">
            <v>8934</v>
          </cell>
          <cell r="F11">
            <v>0</v>
          </cell>
          <cell r="I11" t="str">
            <v>AnRW</v>
          </cell>
          <cell r="J11">
            <v>8941.5</v>
          </cell>
          <cell r="K11" t="str">
            <v>AnRW-RT</v>
          </cell>
          <cell r="L11" t="str">
            <v>HEB-280L</v>
          </cell>
          <cell r="M11" t="str">
            <v>C5RT</v>
          </cell>
          <cell r="N11" t="str">
            <v>EMT-E</v>
          </cell>
          <cell r="Q11">
            <v>7</v>
          </cell>
          <cell r="R11">
            <v>0</v>
          </cell>
          <cell r="T11">
            <v>-30</v>
          </cell>
          <cell r="W11">
            <v>1.4</v>
          </cell>
          <cell r="AC11" t="str">
            <v>PH-C 1500</v>
          </cell>
          <cell r="AF11">
            <v>6000</v>
          </cell>
          <cell r="AG11">
            <v>8932.73</v>
          </cell>
          <cell r="AH11">
            <v>2504</v>
          </cell>
          <cell r="AI11">
            <v>742</v>
          </cell>
          <cell r="AL11" t="str">
            <v>PR1B</v>
          </cell>
          <cell r="AM11" t="str">
            <v>RW2</v>
          </cell>
        </row>
        <row r="12">
          <cell r="G12">
            <v>52</v>
          </cell>
          <cell r="I12" t="str">
            <v>AnRW</v>
          </cell>
          <cell r="J12">
            <v>8943.5</v>
          </cell>
          <cell r="K12" t="str">
            <v>AnRW-RT</v>
          </cell>
        </row>
        <row r="13">
          <cell r="B13" t="str">
            <v>0-3.01</v>
          </cell>
          <cell r="C13">
            <v>128</v>
          </cell>
          <cell r="F13">
            <v>-2000</v>
          </cell>
          <cell r="H13" t="str">
            <v>A/S</v>
          </cell>
          <cell r="I13" t="str">
            <v>CP+AnMC</v>
          </cell>
          <cell r="J13">
            <v>120.5</v>
          </cell>
          <cell r="K13" t="str">
            <v>AnMC-RT</v>
          </cell>
          <cell r="L13" t="str">
            <v>HEB-280 (CP)</v>
          </cell>
          <cell r="M13" t="str">
            <v>C5RT</v>
          </cell>
          <cell r="N13" t="str">
            <v>EMT-2</v>
          </cell>
          <cell r="T13">
            <v>30</v>
          </cell>
          <cell r="W13">
            <v>1.4</v>
          </cell>
          <cell r="AC13" t="str">
            <v>PH-Q</v>
          </cell>
          <cell r="AM13" t="str">
            <v>RW1</v>
          </cell>
        </row>
        <row r="14">
          <cell r="G14">
            <v>42</v>
          </cell>
        </row>
        <row r="15">
          <cell r="B15" t="str">
            <v>0-3.02</v>
          </cell>
          <cell r="C15">
            <v>170</v>
          </cell>
          <cell r="F15">
            <v>-2000</v>
          </cell>
          <cell r="H15" t="str">
            <v>S/A</v>
          </cell>
          <cell r="I15" t="str">
            <v>AnRW</v>
          </cell>
          <cell r="J15">
            <v>162.5</v>
          </cell>
          <cell r="K15" t="str">
            <v>AnRW-RT</v>
          </cell>
          <cell r="L15" t="str">
            <v>2HEB-240</v>
          </cell>
          <cell r="M15" t="str">
            <v>C2h-240RT</v>
          </cell>
          <cell r="N15" t="str">
            <v>EMT-T</v>
          </cell>
          <cell r="O15" t="str">
            <v>EMT-2</v>
          </cell>
          <cell r="T15">
            <v>35</v>
          </cell>
          <cell r="U15">
            <v>-10</v>
          </cell>
          <cell r="W15">
            <v>1.4</v>
          </cell>
          <cell r="X15">
            <v>2.2999999999999998</v>
          </cell>
          <cell r="Z15">
            <v>0.45</v>
          </cell>
          <cell r="AC15" t="str">
            <v>PH</v>
          </cell>
          <cell r="AM15" t="str">
            <v>RW1</v>
          </cell>
        </row>
        <row r="16">
          <cell r="G16">
            <v>48</v>
          </cell>
        </row>
        <row r="17">
          <cell r="A17" t="str">
            <v>TEU-06</v>
          </cell>
          <cell r="B17" t="str">
            <v>0-3.03</v>
          </cell>
          <cell r="C17">
            <v>218</v>
          </cell>
          <cell r="F17">
            <v>0</v>
          </cell>
          <cell r="H17" t="str">
            <v>S/A</v>
          </cell>
          <cell r="I17" t="str">
            <v>IO</v>
          </cell>
          <cell r="L17" t="str">
            <v>HEB-260</v>
          </cell>
          <cell r="M17" t="str">
            <v>C4RT</v>
          </cell>
          <cell r="N17" t="str">
            <v>EMT-1</v>
          </cell>
          <cell r="O17" t="str">
            <v>EMT-T</v>
          </cell>
          <cell r="T17">
            <v>-10</v>
          </cell>
          <cell r="U17">
            <v>-55</v>
          </cell>
          <cell r="W17">
            <v>1.4</v>
          </cell>
          <cell r="X17">
            <v>2.2999999999999998</v>
          </cell>
          <cell r="AA17">
            <v>0.45</v>
          </cell>
          <cell r="AC17" t="str">
            <v>PH</v>
          </cell>
          <cell r="AJ17" t="str">
            <v>Disc/IO</v>
          </cell>
          <cell r="AM17" t="str">
            <v>RW1</v>
          </cell>
        </row>
        <row r="18">
          <cell r="G18">
            <v>55</v>
          </cell>
          <cell r="AJ18" t="str">
            <v>CurrentT</v>
          </cell>
        </row>
        <row r="19">
          <cell r="B19" t="str">
            <v>0-3.04</v>
          </cell>
          <cell r="C19">
            <v>273</v>
          </cell>
          <cell r="F19">
            <v>0</v>
          </cell>
          <cell r="H19" t="str">
            <v>A/S</v>
          </cell>
          <cell r="L19" t="str">
            <v>HEB-260 (CP)</v>
          </cell>
          <cell r="M19" t="str">
            <v>C4RT</v>
          </cell>
          <cell r="N19" t="str">
            <v>EMT-2</v>
          </cell>
          <cell r="T19">
            <v>25</v>
          </cell>
          <cell r="W19">
            <v>1.4</v>
          </cell>
          <cell r="AC19" t="str">
            <v>PH</v>
          </cell>
          <cell r="AM19" t="str">
            <v>RW1</v>
          </cell>
        </row>
        <row r="20">
          <cell r="G20">
            <v>49</v>
          </cell>
          <cell r="I20" t="str">
            <v>CP+AnMC</v>
          </cell>
          <cell r="J20">
            <v>280.5</v>
          </cell>
          <cell r="K20" t="str">
            <v>AnMC-RT</v>
          </cell>
        </row>
        <row r="21">
          <cell r="B21" t="str">
            <v>0-3.05</v>
          </cell>
          <cell r="C21">
            <v>322</v>
          </cell>
          <cell r="F21">
            <v>3700</v>
          </cell>
          <cell r="L21" t="str">
            <v>HEB-240</v>
          </cell>
          <cell r="M21" t="str">
            <v>C3RT</v>
          </cell>
          <cell r="N21" t="str">
            <v>EMT-1</v>
          </cell>
          <cell r="T21">
            <v>-20</v>
          </cell>
          <cell r="W21">
            <v>1.4</v>
          </cell>
          <cell r="AC21" t="str">
            <v>PH</v>
          </cell>
          <cell r="AM21" t="str">
            <v>RW1</v>
          </cell>
        </row>
        <row r="22">
          <cell r="A22" t="str">
            <v xml:space="preserve"> Drainage Works</v>
          </cell>
          <cell r="G22">
            <v>50</v>
          </cell>
        </row>
        <row r="23">
          <cell r="B23" t="str">
            <v>0-3.06</v>
          </cell>
          <cell r="C23">
            <v>372</v>
          </cell>
          <cell r="F23">
            <v>1600</v>
          </cell>
          <cell r="L23" t="str">
            <v>HEB-260</v>
          </cell>
          <cell r="M23" t="str">
            <v>C4RT</v>
          </cell>
          <cell r="N23" t="str">
            <v>EMT-1</v>
          </cell>
          <cell r="T23">
            <v>-30</v>
          </cell>
          <cell r="W23">
            <v>1.4</v>
          </cell>
          <cell r="AC23" t="str">
            <v>PH-Q</v>
          </cell>
          <cell r="AM23" t="str">
            <v>RW1</v>
          </cell>
        </row>
        <row r="24">
          <cell r="G24">
            <v>50</v>
          </cell>
        </row>
        <row r="25">
          <cell r="B25" t="str">
            <v>0-3.07</v>
          </cell>
          <cell r="C25">
            <v>422</v>
          </cell>
          <cell r="F25">
            <v>1600</v>
          </cell>
          <cell r="L25" t="str">
            <v>HEB-260</v>
          </cell>
          <cell r="M25" t="str">
            <v>C4RT</v>
          </cell>
          <cell r="N25" t="str">
            <v>EMT-1</v>
          </cell>
          <cell r="T25">
            <v>-30</v>
          </cell>
          <cell r="W25">
            <v>1.4</v>
          </cell>
          <cell r="AC25" t="str">
            <v>PH-Q</v>
          </cell>
          <cell r="AM25" t="str">
            <v>RW1</v>
          </cell>
        </row>
        <row r="26">
          <cell r="A26" t="str">
            <v>Underpass</v>
          </cell>
          <cell r="G26">
            <v>40</v>
          </cell>
        </row>
        <row r="27">
          <cell r="B27" t="str">
            <v>0-3.08</v>
          </cell>
          <cell r="C27">
            <v>462</v>
          </cell>
          <cell r="I27" t="str">
            <v>AnFW</v>
          </cell>
          <cell r="J27">
            <v>454.5</v>
          </cell>
          <cell r="K27" t="str">
            <v>AnFW-RT</v>
          </cell>
          <cell r="L27" t="str">
            <v>HEB-300L</v>
          </cell>
          <cell r="M27" t="str">
            <v>C6R</v>
          </cell>
          <cell r="AJ27" t="str">
            <v>FW-D</v>
          </cell>
          <cell r="AM27" t="str">
            <v>RW1</v>
          </cell>
        </row>
        <row r="28">
          <cell r="G28">
            <v>15</v>
          </cell>
        </row>
        <row r="29">
          <cell r="B29" t="str">
            <v>0-3.09</v>
          </cell>
          <cell r="C29">
            <v>477</v>
          </cell>
          <cell r="F29">
            <v>1600</v>
          </cell>
          <cell r="L29" t="str">
            <v>HEB-260L</v>
          </cell>
          <cell r="M29" t="str">
            <v>C4RT</v>
          </cell>
          <cell r="N29" t="str">
            <v>EMT-1</v>
          </cell>
          <cell r="T29">
            <v>-30</v>
          </cell>
          <cell r="W29">
            <v>1.4</v>
          </cell>
          <cell r="AC29" t="str">
            <v>PH-C</v>
          </cell>
          <cell r="AJ29" t="str">
            <v>FW-D</v>
          </cell>
          <cell r="AM29" t="str">
            <v>RW1</v>
          </cell>
        </row>
        <row r="30">
          <cell r="G30">
            <v>50</v>
          </cell>
          <cell r="J30">
            <v>519.5</v>
          </cell>
          <cell r="K30" t="str">
            <v>AnMP-RT</v>
          </cell>
        </row>
        <row r="31">
          <cell r="B31" t="str">
            <v>0-3.10</v>
          </cell>
          <cell r="C31">
            <v>527</v>
          </cell>
          <cell r="F31">
            <v>1600</v>
          </cell>
          <cell r="H31" t="str">
            <v>AnMP</v>
          </cell>
          <cell r="L31" t="str">
            <v>HEB-280L</v>
          </cell>
          <cell r="M31" t="str">
            <v>C5RT</v>
          </cell>
          <cell r="N31" t="str">
            <v>EMT-1</v>
          </cell>
          <cell r="T31">
            <v>-30</v>
          </cell>
          <cell r="W31">
            <v>1.4</v>
          </cell>
          <cell r="AC31" t="str">
            <v>PH-Q</v>
          </cell>
          <cell r="AJ31" t="str">
            <v>FW-D</v>
          </cell>
          <cell r="AM31" t="str">
            <v>RW1</v>
          </cell>
        </row>
        <row r="32">
          <cell r="G32">
            <v>50</v>
          </cell>
          <cell r="I32">
            <v>449</v>
          </cell>
        </row>
        <row r="33">
          <cell r="B33" t="str">
            <v>0-3.11</v>
          </cell>
          <cell r="C33">
            <v>577</v>
          </cell>
          <cell r="F33">
            <v>1600</v>
          </cell>
          <cell r="H33" t="str">
            <v>MP</v>
          </cell>
          <cell r="L33" t="str">
            <v>HEB-260L</v>
          </cell>
          <cell r="M33" t="str">
            <v>C4RT</v>
          </cell>
          <cell r="N33" t="str">
            <v>EMT-1</v>
          </cell>
          <cell r="T33">
            <v>-30</v>
          </cell>
          <cell r="W33">
            <v>1.4</v>
          </cell>
          <cell r="AC33" t="str">
            <v>PH-Q</v>
          </cell>
          <cell r="AJ33" t="str">
            <v>FW-D</v>
          </cell>
          <cell r="AM33" t="str">
            <v>RW1</v>
          </cell>
        </row>
        <row r="34">
          <cell r="G34">
            <v>50</v>
          </cell>
          <cell r="I34">
            <v>468.5</v>
          </cell>
        </row>
        <row r="35">
          <cell r="B35" t="str">
            <v>0-3.12</v>
          </cell>
          <cell r="C35">
            <v>627</v>
          </cell>
          <cell r="F35">
            <v>1600</v>
          </cell>
          <cell r="H35" t="str">
            <v>AnMP</v>
          </cell>
          <cell r="L35" t="str">
            <v>HEB-280L</v>
          </cell>
          <cell r="M35" t="str">
            <v>C5RT</v>
          </cell>
          <cell r="N35" t="str">
            <v>EMT-1</v>
          </cell>
          <cell r="T35">
            <v>-30</v>
          </cell>
          <cell r="W35">
            <v>1.4</v>
          </cell>
          <cell r="AC35" t="str">
            <v>PH-Q</v>
          </cell>
          <cell r="AJ35" t="str">
            <v>FW-D</v>
          </cell>
          <cell r="AM35" t="str">
            <v>RW1</v>
          </cell>
        </row>
        <row r="36">
          <cell r="G36">
            <v>50</v>
          </cell>
          <cell r="J36">
            <v>634.5</v>
          </cell>
          <cell r="K36" t="str">
            <v>AnMP-RT</v>
          </cell>
        </row>
        <row r="37">
          <cell r="B37" t="str">
            <v>0-3.13</v>
          </cell>
          <cell r="C37">
            <v>677</v>
          </cell>
          <cell r="F37">
            <v>1600</v>
          </cell>
          <cell r="L37" t="str">
            <v>HEB-260L</v>
          </cell>
          <cell r="M37" t="str">
            <v>C4RT</v>
          </cell>
          <cell r="N37" t="str">
            <v>EMT-1</v>
          </cell>
          <cell r="T37">
            <v>-30</v>
          </cell>
          <cell r="W37">
            <v>1.4</v>
          </cell>
          <cell r="AC37" t="str">
            <v>PH-Q</v>
          </cell>
          <cell r="AJ37" t="str">
            <v>FW-D</v>
          </cell>
          <cell r="AM37" t="str">
            <v>RW1</v>
          </cell>
        </row>
        <row r="38">
          <cell r="G38">
            <v>50</v>
          </cell>
        </row>
        <row r="39">
          <cell r="B39" t="str">
            <v>0-3.14</v>
          </cell>
          <cell r="C39">
            <v>727</v>
          </cell>
          <cell r="F39">
            <v>1600</v>
          </cell>
          <cell r="L39" t="str">
            <v>HEB-260L</v>
          </cell>
          <cell r="M39" t="str">
            <v>C4RT</v>
          </cell>
          <cell r="N39" t="str">
            <v>EMT-1</v>
          </cell>
          <cell r="T39">
            <v>-30</v>
          </cell>
          <cell r="W39">
            <v>1.4</v>
          </cell>
          <cell r="AC39" t="str">
            <v>PH-Q</v>
          </cell>
          <cell r="AJ39" t="str">
            <v>FW-D</v>
          </cell>
          <cell r="AM39" t="str">
            <v>RW1</v>
          </cell>
        </row>
        <row r="40">
          <cell r="G40">
            <v>49</v>
          </cell>
        </row>
        <row r="41">
          <cell r="B41" t="str">
            <v>0-3.15</v>
          </cell>
          <cell r="C41">
            <v>776</v>
          </cell>
          <cell r="F41">
            <v>1600</v>
          </cell>
          <cell r="L41" t="str">
            <v>HEB-260L</v>
          </cell>
          <cell r="M41" t="str">
            <v>C4RT</v>
          </cell>
          <cell r="N41" t="str">
            <v>EMT-1</v>
          </cell>
          <cell r="T41">
            <v>-30</v>
          </cell>
          <cell r="W41">
            <v>1.4</v>
          </cell>
          <cell r="AC41" t="str">
            <v>PH-Q</v>
          </cell>
          <cell r="AJ41" t="str">
            <v>FW-D</v>
          </cell>
          <cell r="AM41" t="str">
            <v>RW1</v>
          </cell>
        </row>
        <row r="42">
          <cell r="A42" t="str">
            <v>Overhead Cable</v>
          </cell>
          <cell r="G42">
            <v>56</v>
          </cell>
        </row>
        <row r="43">
          <cell r="B43" t="str">
            <v>0-3.16</v>
          </cell>
          <cell r="C43">
            <v>832</v>
          </cell>
          <cell r="F43">
            <v>1600</v>
          </cell>
          <cell r="L43" t="str">
            <v>HEB-260L</v>
          </cell>
          <cell r="M43" t="str">
            <v>C4RT</v>
          </cell>
          <cell r="N43" t="str">
            <v>EMT-1</v>
          </cell>
          <cell r="T43">
            <v>-30</v>
          </cell>
          <cell r="W43">
            <v>1.4</v>
          </cell>
          <cell r="AC43" t="str">
            <v>PH-Q</v>
          </cell>
          <cell r="AJ43" t="str">
            <v>FW-D</v>
          </cell>
          <cell r="AM43" t="str">
            <v>RW1</v>
          </cell>
        </row>
        <row r="44">
          <cell r="G44">
            <v>46</v>
          </cell>
        </row>
        <row r="45">
          <cell r="B45" t="str">
            <v>0-3.17</v>
          </cell>
          <cell r="C45">
            <v>878</v>
          </cell>
          <cell r="F45">
            <v>1600</v>
          </cell>
          <cell r="L45" t="str">
            <v>HEB-260L</v>
          </cell>
          <cell r="M45" t="str">
            <v>C4RT</v>
          </cell>
          <cell r="N45" t="str">
            <v>EMT-1</v>
          </cell>
          <cell r="T45">
            <v>-30</v>
          </cell>
          <cell r="W45">
            <v>1.4</v>
          </cell>
          <cell r="AC45" t="str">
            <v>PH-Q</v>
          </cell>
          <cell r="AJ45" t="str">
            <v>FW-D</v>
          </cell>
          <cell r="AM45" t="str">
            <v>RW1</v>
          </cell>
        </row>
        <row r="46">
          <cell r="G46">
            <v>36.5</v>
          </cell>
          <cell r="I46" t="str">
            <v>CP+AnMC</v>
          </cell>
          <cell r="J46">
            <v>907</v>
          </cell>
          <cell r="K46" t="str">
            <v>AnMC-RT</v>
          </cell>
        </row>
        <row r="47">
          <cell r="B47" t="str">
            <v>0-3.18</v>
          </cell>
          <cell r="C47">
            <v>914.5</v>
          </cell>
          <cell r="F47" t="str">
            <v>1600</v>
          </cell>
          <cell r="H47" t="str">
            <v>A/S</v>
          </cell>
          <cell r="L47" t="str">
            <v>HEB-280L (CP)</v>
          </cell>
          <cell r="M47" t="str">
            <v>C5RT</v>
          </cell>
          <cell r="N47" t="str">
            <v>EMT-1</v>
          </cell>
          <cell r="O47" t="str">
            <v/>
          </cell>
          <cell r="T47">
            <v>-30</v>
          </cell>
          <cell r="W47">
            <v>1.4</v>
          </cell>
          <cell r="AC47" t="str">
            <v>PH-Q</v>
          </cell>
          <cell r="AJ47" t="str">
            <v>FW-D</v>
          </cell>
          <cell r="AM47" t="str">
            <v>RW1</v>
          </cell>
        </row>
        <row r="48">
          <cell r="G48">
            <v>38</v>
          </cell>
        </row>
        <row r="49">
          <cell r="B49" t="str">
            <v>0-3.19</v>
          </cell>
          <cell r="C49">
            <v>952.5</v>
          </cell>
          <cell r="F49" t="str">
            <v>3700</v>
          </cell>
          <cell r="H49" t="str">
            <v>S/A</v>
          </cell>
          <cell r="L49" t="str">
            <v>2HEB-240L</v>
          </cell>
          <cell r="M49" t="str">
            <v>C2H-240RT</v>
          </cell>
          <cell r="N49" t="str">
            <v>EMT-T</v>
          </cell>
          <cell r="O49" t="str">
            <v>EMT-1</v>
          </cell>
          <cell r="T49">
            <v>0</v>
          </cell>
          <cell r="U49">
            <v>-20</v>
          </cell>
          <cell r="W49">
            <v>1.4</v>
          </cell>
          <cell r="X49">
            <v>2.2999999999999998</v>
          </cell>
          <cell r="Z49">
            <v>0.45</v>
          </cell>
          <cell r="AC49" t="str">
            <v>PH</v>
          </cell>
          <cell r="AJ49" t="str">
            <v>FW-D</v>
          </cell>
          <cell r="AM49" t="str">
            <v>RW1</v>
          </cell>
        </row>
        <row r="50">
          <cell r="G50">
            <v>48</v>
          </cell>
        </row>
        <row r="51">
          <cell r="B51" t="str">
            <v>1-3.01</v>
          </cell>
          <cell r="C51">
            <v>1000.5</v>
          </cell>
          <cell r="F51">
            <v>7800</v>
          </cell>
          <cell r="H51" t="str">
            <v>S/A</v>
          </cell>
          <cell r="L51" t="str">
            <v>2HEB-240L</v>
          </cell>
          <cell r="M51" t="str">
            <v>C2H-240RT</v>
          </cell>
          <cell r="N51" t="str">
            <v>EMT-2</v>
          </cell>
          <cell r="O51" t="str">
            <v>EMT-T</v>
          </cell>
          <cell r="T51">
            <v>30</v>
          </cell>
          <cell r="U51">
            <v>10</v>
          </cell>
          <cell r="W51">
            <v>1.4</v>
          </cell>
          <cell r="X51">
            <v>2.2999999999999998</v>
          </cell>
          <cell r="AA51">
            <v>0.45</v>
          </cell>
          <cell r="AC51" t="str">
            <v>PH</v>
          </cell>
          <cell r="AJ51" t="str">
            <v>FW-D</v>
          </cell>
          <cell r="AM51" t="str">
            <v>RW1</v>
          </cell>
        </row>
        <row r="52">
          <cell r="G52">
            <v>45</v>
          </cell>
        </row>
        <row r="53">
          <cell r="B53" t="str">
            <v>1-3.02</v>
          </cell>
          <cell r="C53">
            <v>1045.5</v>
          </cell>
          <cell r="F53">
            <v>0</v>
          </cell>
          <cell r="H53" t="str">
            <v>A/S</v>
          </cell>
          <cell r="L53" t="str">
            <v>HEB-260L (CP)</v>
          </cell>
          <cell r="M53" t="str">
            <v>C4RT</v>
          </cell>
          <cell r="N53" t="str">
            <v>EMT-1</v>
          </cell>
          <cell r="T53">
            <v>-35</v>
          </cell>
          <cell r="W53">
            <v>1.4</v>
          </cell>
          <cell r="AC53" t="str">
            <v>PH-Q</v>
          </cell>
          <cell r="AJ53" t="str">
            <v>FW-D</v>
          </cell>
          <cell r="AM53" t="str">
            <v>RW1</v>
          </cell>
        </row>
        <row r="54">
          <cell r="G54">
            <v>44</v>
          </cell>
          <cell r="I54" t="str">
            <v>CP+AnMC</v>
          </cell>
          <cell r="J54">
            <v>1053</v>
          </cell>
          <cell r="K54" t="str">
            <v>AnMC-RT</v>
          </cell>
        </row>
        <row r="55">
          <cell r="B55" t="str">
            <v>1-3.03</v>
          </cell>
          <cell r="C55">
            <v>1089.5</v>
          </cell>
          <cell r="F55">
            <v>0</v>
          </cell>
          <cell r="L55" t="str">
            <v>HEB-260L</v>
          </cell>
          <cell r="M55" t="str">
            <v>C4RT</v>
          </cell>
          <cell r="N55" t="str">
            <v>EMT-2</v>
          </cell>
          <cell r="T55">
            <v>35</v>
          </cell>
          <cell r="W55">
            <v>1.4</v>
          </cell>
          <cell r="AC55" t="str">
            <v>PH-Q</v>
          </cell>
          <cell r="AJ55" t="str">
            <v>FW-D</v>
          </cell>
          <cell r="AM55" t="str">
            <v>RW1</v>
          </cell>
        </row>
        <row r="56">
          <cell r="A56" t="str">
            <v>Overhead Cable</v>
          </cell>
          <cell r="G56">
            <v>47</v>
          </cell>
        </row>
        <row r="57">
          <cell r="B57" t="str">
            <v>1-3.04</v>
          </cell>
          <cell r="C57">
            <v>1136.5</v>
          </cell>
          <cell r="F57">
            <v>800</v>
          </cell>
          <cell r="L57" t="str">
            <v>HEB-280L</v>
          </cell>
          <cell r="M57" t="str">
            <v>C5RT</v>
          </cell>
          <cell r="N57" t="str">
            <v>EMT-1</v>
          </cell>
          <cell r="T57">
            <v>-30</v>
          </cell>
          <cell r="W57">
            <v>1.4</v>
          </cell>
          <cell r="AC57" t="str">
            <v>PH-C</v>
          </cell>
          <cell r="AJ57" t="str">
            <v>FW-D</v>
          </cell>
          <cell r="AM57" t="str">
            <v>RW1</v>
          </cell>
        </row>
        <row r="58">
          <cell r="G58">
            <v>43</v>
          </cell>
        </row>
        <row r="59">
          <cell r="B59" t="str">
            <v>1-3.05</v>
          </cell>
          <cell r="C59">
            <v>1179.5</v>
          </cell>
          <cell r="F59">
            <v>600</v>
          </cell>
          <cell r="L59" t="str">
            <v>HEB-280L</v>
          </cell>
          <cell r="M59" t="str">
            <v>C5RT</v>
          </cell>
          <cell r="N59" t="str">
            <v>EMT-1</v>
          </cell>
          <cell r="T59">
            <v>-30</v>
          </cell>
          <cell r="W59">
            <v>1.4</v>
          </cell>
          <cell r="AC59" t="str">
            <v>PH-C</v>
          </cell>
          <cell r="AJ59" t="str">
            <v>FW-D</v>
          </cell>
          <cell r="AM59" t="str">
            <v>RW1</v>
          </cell>
        </row>
        <row r="60">
          <cell r="G60">
            <v>45</v>
          </cell>
        </row>
        <row r="61">
          <cell r="B61" t="str">
            <v>1-3.06</v>
          </cell>
          <cell r="C61">
            <v>1224.5</v>
          </cell>
          <cell r="F61">
            <v>900</v>
          </cell>
          <cell r="L61" t="str">
            <v>HEB-280L</v>
          </cell>
          <cell r="M61" t="str">
            <v>C5RT</v>
          </cell>
          <cell r="N61" t="str">
            <v>EMT-1</v>
          </cell>
          <cell r="T61">
            <v>-30</v>
          </cell>
          <cell r="W61">
            <v>1.4</v>
          </cell>
          <cell r="AC61" t="str">
            <v>PH-C</v>
          </cell>
          <cell r="AJ61" t="str">
            <v>FW-D</v>
          </cell>
          <cell r="AK61" t="str">
            <v>S1</v>
          </cell>
          <cell r="AL61" t="str">
            <v>PR1B</v>
          </cell>
          <cell r="AM61" t="str">
            <v>RW1</v>
          </cell>
        </row>
        <row r="62">
          <cell r="A62" t="str">
            <v xml:space="preserve"> Drainage Works</v>
          </cell>
          <cell r="G62">
            <v>50.45</v>
          </cell>
          <cell r="L62" t="str">
            <v>HEB-280L</v>
          </cell>
          <cell r="M62" t="str">
            <v>C5RT</v>
          </cell>
        </row>
        <row r="63">
          <cell r="B63" t="str">
            <v>107-2.01</v>
          </cell>
          <cell r="C63">
            <v>107312.5</v>
          </cell>
          <cell r="F63">
            <v>0</v>
          </cell>
          <cell r="L63" t="str">
            <v>HEB-260L</v>
          </cell>
          <cell r="M63" t="str">
            <v>C4RT</v>
          </cell>
          <cell r="N63" t="str">
            <v>EMT-1</v>
          </cell>
          <cell r="T63">
            <v>-35</v>
          </cell>
          <cell r="W63">
            <v>1.4</v>
          </cell>
          <cell r="AC63" t="str">
            <v>PH</v>
          </cell>
          <cell r="AJ63" t="str">
            <v>FW-D</v>
          </cell>
          <cell r="AM63" t="str">
            <v>RW1</v>
          </cell>
        </row>
        <row r="64">
          <cell r="A64" t="str">
            <v xml:space="preserve"> Drainage Works</v>
          </cell>
          <cell r="G64">
            <v>62</v>
          </cell>
        </row>
        <row r="65">
          <cell r="B65" t="str">
            <v>107-2.02</v>
          </cell>
          <cell r="C65">
            <v>107374.5</v>
          </cell>
          <cell r="F65">
            <v>0</v>
          </cell>
          <cell r="L65" t="str">
            <v>HEB-260L</v>
          </cell>
          <cell r="M65" t="str">
            <v>C4RT</v>
          </cell>
          <cell r="N65" t="str">
            <v>EMT-2</v>
          </cell>
          <cell r="T65">
            <v>35</v>
          </cell>
          <cell r="W65">
            <v>1.4</v>
          </cell>
          <cell r="AC65" t="str">
            <v>PH-Q</v>
          </cell>
          <cell r="AJ65" t="str">
            <v>FW-D</v>
          </cell>
          <cell r="AM65" t="str">
            <v>RW1</v>
          </cell>
        </row>
        <row r="66">
          <cell r="G66">
            <v>50.5</v>
          </cell>
        </row>
        <row r="67">
          <cell r="B67" t="str">
            <v>107-2.03</v>
          </cell>
          <cell r="C67">
            <v>107425</v>
          </cell>
          <cell r="F67">
            <v>0</v>
          </cell>
          <cell r="L67" t="str">
            <v>HEB-260L</v>
          </cell>
          <cell r="M67" t="str">
            <v>C4RT</v>
          </cell>
          <cell r="N67" t="str">
            <v>EMT-1</v>
          </cell>
          <cell r="T67">
            <v>-35</v>
          </cell>
          <cell r="W67">
            <v>1.1000000000000001</v>
          </cell>
          <cell r="AC67" t="str">
            <v>PH-Q</v>
          </cell>
          <cell r="AJ67" t="str">
            <v>FW-D</v>
          </cell>
          <cell r="AM67" t="str">
            <v>RW1</v>
          </cell>
        </row>
        <row r="68">
          <cell r="A68" t="str">
            <v>Overhead Cable</v>
          </cell>
          <cell r="G68">
            <v>57</v>
          </cell>
        </row>
        <row r="69">
          <cell r="A69" t="str">
            <v>Level crossing</v>
          </cell>
          <cell r="B69" t="str">
            <v>107-2.04</v>
          </cell>
          <cell r="C69">
            <v>107482</v>
          </cell>
          <cell r="F69">
            <v>0</v>
          </cell>
          <cell r="L69" t="str">
            <v>HEB-260L</v>
          </cell>
          <cell r="M69" t="str">
            <v>C4RT</v>
          </cell>
          <cell r="N69" t="str">
            <v>EMT-2</v>
          </cell>
          <cell r="T69">
            <v>35</v>
          </cell>
          <cell r="W69">
            <v>1.1000000000000001</v>
          </cell>
          <cell r="AC69" t="str">
            <v>PH-Q</v>
          </cell>
          <cell r="AJ69" t="str">
            <v>FW-D</v>
          </cell>
          <cell r="AM69" t="str">
            <v>RW1</v>
          </cell>
        </row>
        <row r="70">
          <cell r="G70">
            <v>53</v>
          </cell>
          <cell r="J70">
            <v>107527.5</v>
          </cell>
          <cell r="K70" t="str">
            <v>AnMP-RT</v>
          </cell>
        </row>
        <row r="71">
          <cell r="B71" t="str">
            <v>107-2.05</v>
          </cell>
          <cell r="C71">
            <v>107535</v>
          </cell>
          <cell r="F71">
            <v>0</v>
          </cell>
          <cell r="H71" t="str">
            <v>AnMP</v>
          </cell>
          <cell r="L71" t="str">
            <v>HEB-260L</v>
          </cell>
          <cell r="M71" t="str">
            <v>C4RT</v>
          </cell>
          <cell r="N71" t="str">
            <v>EMT-1</v>
          </cell>
          <cell r="T71">
            <v>-30</v>
          </cell>
          <cell r="W71">
            <v>1.4</v>
          </cell>
          <cell r="AC71" t="str">
            <v>PH-Q</v>
          </cell>
          <cell r="AJ71" t="str">
            <v>FW-D</v>
          </cell>
          <cell r="AM71" t="str">
            <v>RW1</v>
          </cell>
        </row>
        <row r="72">
          <cell r="G72">
            <v>56</v>
          </cell>
          <cell r="I72">
            <v>638.95000000000005</v>
          </cell>
        </row>
        <row r="73">
          <cell r="B73" t="str">
            <v>107-2.06</v>
          </cell>
          <cell r="C73">
            <v>107591</v>
          </cell>
          <cell r="F73">
            <v>0</v>
          </cell>
          <cell r="H73" t="str">
            <v>MP</v>
          </cell>
          <cell r="L73" t="str">
            <v>HEB-260L</v>
          </cell>
          <cell r="M73" t="str">
            <v>C4RT</v>
          </cell>
          <cell r="N73" t="str">
            <v>EMT-2</v>
          </cell>
          <cell r="T73">
            <v>35</v>
          </cell>
          <cell r="W73">
            <v>1.4</v>
          </cell>
          <cell r="AC73" t="str">
            <v>PH</v>
          </cell>
          <cell r="AJ73" t="str">
            <v>FW-D</v>
          </cell>
          <cell r="AM73" t="str">
            <v>RW1</v>
          </cell>
        </row>
        <row r="74">
          <cell r="G74">
            <v>60</v>
          </cell>
          <cell r="I74">
            <v>466</v>
          </cell>
        </row>
        <row r="75">
          <cell r="B75" t="str">
            <v>107-2.07</v>
          </cell>
          <cell r="C75">
            <v>107651</v>
          </cell>
          <cell r="F75">
            <v>0</v>
          </cell>
          <cell r="H75" t="str">
            <v>AnMP</v>
          </cell>
          <cell r="L75" t="str">
            <v>HEB-260L</v>
          </cell>
          <cell r="M75" t="str">
            <v>C4RT</v>
          </cell>
          <cell r="N75" t="str">
            <v>EMT-1</v>
          </cell>
          <cell r="T75">
            <v>-35</v>
          </cell>
          <cell r="W75">
            <v>1.4</v>
          </cell>
          <cell r="AC75" t="str">
            <v>PH</v>
          </cell>
          <cell r="AJ75" t="str">
            <v>FW-D</v>
          </cell>
          <cell r="AM75" t="str">
            <v>RW1</v>
          </cell>
        </row>
        <row r="76">
          <cell r="G76">
            <v>60</v>
          </cell>
          <cell r="J76">
            <v>107658.5</v>
          </cell>
          <cell r="K76" t="str">
            <v>AnMP-RT</v>
          </cell>
        </row>
        <row r="77">
          <cell r="B77" t="str">
            <v>107-2.08</v>
          </cell>
          <cell r="C77">
            <v>107711</v>
          </cell>
          <cell r="F77">
            <v>0</v>
          </cell>
          <cell r="L77" t="str">
            <v>HEB-260L</v>
          </cell>
          <cell r="M77" t="str">
            <v>C4RT</v>
          </cell>
          <cell r="N77" t="str">
            <v>EMT-2</v>
          </cell>
          <cell r="T77">
            <v>35</v>
          </cell>
          <cell r="W77">
            <v>1.4</v>
          </cell>
          <cell r="AC77" t="str">
            <v>PH</v>
          </cell>
          <cell r="AJ77" t="str">
            <v>FW-D</v>
          </cell>
          <cell r="AM77" t="str">
            <v>RW1</v>
          </cell>
        </row>
        <row r="78">
          <cell r="G78">
            <v>60</v>
          </cell>
        </row>
        <row r="79">
          <cell r="B79" t="str">
            <v>107-2.09</v>
          </cell>
          <cell r="C79">
            <v>107771</v>
          </cell>
          <cell r="F79">
            <v>0</v>
          </cell>
          <cell r="L79" t="str">
            <v>HEB-260L</v>
          </cell>
          <cell r="M79" t="str">
            <v>C4RT</v>
          </cell>
          <cell r="N79" t="str">
            <v>EMT-1</v>
          </cell>
          <cell r="T79">
            <v>-30</v>
          </cell>
          <cell r="W79">
            <v>1.4</v>
          </cell>
          <cell r="AC79" t="str">
            <v>PH</v>
          </cell>
          <cell r="AJ79" t="str">
            <v>FW-D</v>
          </cell>
          <cell r="AM79" t="str">
            <v>RW1</v>
          </cell>
        </row>
        <row r="80">
          <cell r="G80">
            <v>60</v>
          </cell>
        </row>
        <row r="81">
          <cell r="B81" t="str">
            <v>107-2.10</v>
          </cell>
          <cell r="C81">
            <v>107831</v>
          </cell>
          <cell r="F81">
            <v>0</v>
          </cell>
          <cell r="L81" t="str">
            <v>HEB-260L</v>
          </cell>
          <cell r="M81" t="str">
            <v>C4RT</v>
          </cell>
          <cell r="N81" t="str">
            <v>EMT-2</v>
          </cell>
          <cell r="T81">
            <v>25</v>
          </cell>
          <cell r="W81">
            <v>1.25</v>
          </cell>
          <cell r="AC81" t="str">
            <v>PH</v>
          </cell>
          <cell r="AJ81" t="str">
            <v>FW-D</v>
          </cell>
          <cell r="AM81" t="str">
            <v>RW1</v>
          </cell>
        </row>
        <row r="82">
          <cell r="A82" t="str">
            <v>Overhead Cable</v>
          </cell>
          <cell r="G82">
            <v>65</v>
          </cell>
          <cell r="I82" t="str">
            <v>CP+AnMC</v>
          </cell>
          <cell r="J82">
            <v>107888.5</v>
          </cell>
          <cell r="K82" t="str">
            <v>AnMC-RT</v>
          </cell>
        </row>
        <row r="83">
          <cell r="A83" t="str">
            <v xml:space="preserve"> Drainage Works</v>
          </cell>
          <cell r="B83" t="str">
            <v>107-2.11</v>
          </cell>
          <cell r="C83">
            <v>107896</v>
          </cell>
          <cell r="F83">
            <v>0</v>
          </cell>
          <cell r="H83" t="str">
            <v>A/S</v>
          </cell>
          <cell r="L83" t="str">
            <v>HEB-260L (CP)</v>
          </cell>
          <cell r="M83" t="str">
            <v>C4RT</v>
          </cell>
          <cell r="N83" t="str">
            <v>EMT-1</v>
          </cell>
          <cell r="T83">
            <v>-25</v>
          </cell>
          <cell r="W83">
            <v>1.25</v>
          </cell>
          <cell r="AC83" t="str">
            <v>PH</v>
          </cell>
          <cell r="AJ83" t="str">
            <v>FW-D</v>
          </cell>
          <cell r="AM83" t="str">
            <v>RW1</v>
          </cell>
        </row>
        <row r="84">
          <cell r="G84">
            <v>56</v>
          </cell>
        </row>
        <row r="85">
          <cell r="B85" t="str">
            <v>107-2.12</v>
          </cell>
          <cell r="C85">
            <v>107952</v>
          </cell>
          <cell r="F85">
            <v>0</v>
          </cell>
          <cell r="H85" t="str">
            <v>S/A</v>
          </cell>
          <cell r="L85" t="str">
            <v>HEB-260L</v>
          </cell>
          <cell r="M85" t="str">
            <v>C4RT</v>
          </cell>
          <cell r="N85" t="str">
            <v>EMT-T</v>
          </cell>
          <cell r="O85" t="str">
            <v>EMT-2</v>
          </cell>
          <cell r="T85">
            <v>35</v>
          </cell>
          <cell r="U85">
            <v>15</v>
          </cell>
          <cell r="W85">
            <v>1.4</v>
          </cell>
          <cell r="X85">
            <v>2.2999999999999998</v>
          </cell>
          <cell r="Z85">
            <v>0.45</v>
          </cell>
          <cell r="AC85" t="str">
            <v>PH</v>
          </cell>
          <cell r="AJ85" t="str">
            <v>FW-D</v>
          </cell>
          <cell r="AM85" t="str">
            <v>RW1</v>
          </cell>
        </row>
        <row r="86">
          <cell r="G86">
            <v>50</v>
          </cell>
          <cell r="I86" t="str">
            <v>AnRW</v>
          </cell>
          <cell r="J86">
            <v>107994.5</v>
          </cell>
          <cell r="K86" t="str">
            <v>AnRW-RT</v>
          </cell>
        </row>
        <row r="87">
          <cell r="B87" t="str">
            <v>108-2.01</v>
          </cell>
          <cell r="C87">
            <v>108002</v>
          </cell>
          <cell r="F87">
            <v>3300</v>
          </cell>
          <cell r="H87" t="str">
            <v>S/A</v>
          </cell>
          <cell r="L87" t="str">
            <v>2HEB-240L</v>
          </cell>
          <cell r="N87" t="str">
            <v>EMT-1</v>
          </cell>
          <cell r="O87" t="str">
            <v>EMT-T</v>
          </cell>
          <cell r="T87">
            <v>0</v>
          </cell>
          <cell r="U87">
            <v>-20</v>
          </cell>
          <cell r="W87">
            <v>1.4</v>
          </cell>
          <cell r="X87">
            <v>2.2999999999999998</v>
          </cell>
          <cell r="AA87">
            <v>0.45</v>
          </cell>
          <cell r="AC87" t="str">
            <v>PH</v>
          </cell>
          <cell r="AJ87" t="str">
            <v>FW-D</v>
          </cell>
          <cell r="AM87" t="str">
            <v>RW1</v>
          </cell>
        </row>
        <row r="88">
          <cell r="G88">
            <v>55</v>
          </cell>
          <cell r="I88" t="str">
            <v>AnRW</v>
          </cell>
          <cell r="J88">
            <v>108009.5</v>
          </cell>
          <cell r="K88" t="str">
            <v>AnRW-RT</v>
          </cell>
        </row>
        <row r="89">
          <cell r="B89" t="str">
            <v>108-2.02</v>
          </cell>
          <cell r="C89">
            <v>108057</v>
          </cell>
          <cell r="F89">
            <v>1400</v>
          </cell>
          <cell r="H89" t="str">
            <v>A/S</v>
          </cell>
          <cell r="L89" t="str">
            <v>HEB-280L (CP)</v>
          </cell>
          <cell r="M89" t="str">
            <v>C5RT</v>
          </cell>
          <cell r="N89" t="str">
            <v>EMT-1</v>
          </cell>
          <cell r="T89">
            <v>-30</v>
          </cell>
          <cell r="W89">
            <v>1.4</v>
          </cell>
          <cell r="AC89" t="str">
            <v>PH-C</v>
          </cell>
          <cell r="AJ89" t="str">
            <v>FW-D</v>
          </cell>
          <cell r="AM89" t="str">
            <v>RW1</v>
          </cell>
        </row>
        <row r="90">
          <cell r="A90" t="str">
            <v xml:space="preserve"> Drainage Works</v>
          </cell>
          <cell r="G90">
            <v>45</v>
          </cell>
          <cell r="I90" t="str">
            <v>CP+AnMC</v>
          </cell>
          <cell r="J90">
            <v>108064.5</v>
          </cell>
          <cell r="K90" t="str">
            <v>AnMC-RT</v>
          </cell>
        </row>
        <row r="91">
          <cell r="B91" t="str">
            <v>108-2.03</v>
          </cell>
          <cell r="C91">
            <v>108102</v>
          </cell>
          <cell r="F91">
            <v>750</v>
          </cell>
          <cell r="L91" t="str">
            <v>HEB-280L</v>
          </cell>
          <cell r="M91" t="str">
            <v>C5RT</v>
          </cell>
          <cell r="N91" t="str">
            <v>EMT-1</v>
          </cell>
          <cell r="T91">
            <v>-30</v>
          </cell>
          <cell r="W91">
            <v>1.4</v>
          </cell>
          <cell r="AC91" t="str">
            <v>PH-C</v>
          </cell>
          <cell r="AJ91" t="str">
            <v>FW-D</v>
          </cell>
          <cell r="AM91" t="str">
            <v>RW1</v>
          </cell>
        </row>
        <row r="92">
          <cell r="G92">
            <v>41</v>
          </cell>
        </row>
        <row r="93">
          <cell r="B93" t="str">
            <v>108-2.04</v>
          </cell>
          <cell r="C93">
            <v>108143</v>
          </cell>
          <cell r="F93">
            <v>725</v>
          </cell>
          <cell r="L93" t="str">
            <v>HEB-280L</v>
          </cell>
          <cell r="M93" t="str">
            <v>C5RT</v>
          </cell>
          <cell r="N93" t="str">
            <v>EMT-1</v>
          </cell>
          <cell r="T93">
            <v>-30</v>
          </cell>
          <cell r="W93">
            <v>1.4</v>
          </cell>
          <cell r="AC93" t="str">
            <v>PH-C</v>
          </cell>
          <cell r="AJ93" t="str">
            <v>FW-D</v>
          </cell>
          <cell r="AM93" t="str">
            <v>RW1</v>
          </cell>
        </row>
        <row r="94">
          <cell r="G94">
            <v>40</v>
          </cell>
          <cell r="J94">
            <v>108175.5</v>
          </cell>
          <cell r="K94" t="str">
            <v>AnMP-RT</v>
          </cell>
        </row>
        <row r="95">
          <cell r="B95" t="str">
            <v>108-2.05</v>
          </cell>
          <cell r="C95">
            <v>108183</v>
          </cell>
          <cell r="F95">
            <v>725</v>
          </cell>
          <cell r="H95" t="str">
            <v>AnMP</v>
          </cell>
          <cell r="L95" t="str">
            <v>HEB-280L</v>
          </cell>
          <cell r="M95" t="str">
            <v>C5RT</v>
          </cell>
          <cell r="N95" t="str">
            <v>EMT-1</v>
          </cell>
          <cell r="T95">
            <v>-30</v>
          </cell>
          <cell r="W95">
            <v>1.4</v>
          </cell>
          <cell r="AC95" t="str">
            <v>PH-C</v>
          </cell>
          <cell r="AJ95" t="str">
            <v>FW-D</v>
          </cell>
          <cell r="AM95" t="str">
            <v>RW1</v>
          </cell>
        </row>
        <row r="96">
          <cell r="G96">
            <v>35</v>
          </cell>
          <cell r="I96">
            <v>322</v>
          </cell>
        </row>
        <row r="97">
          <cell r="B97" t="str">
            <v>108-2.06</v>
          </cell>
          <cell r="C97">
            <v>108218</v>
          </cell>
          <cell r="F97">
            <v>725</v>
          </cell>
          <cell r="H97" t="str">
            <v>MP</v>
          </cell>
          <cell r="L97" t="str">
            <v>HEB-260L</v>
          </cell>
          <cell r="M97" t="str">
            <v>C4RT</v>
          </cell>
          <cell r="N97" t="str">
            <v>EMT-1</v>
          </cell>
          <cell r="T97">
            <v>-30</v>
          </cell>
          <cell r="W97">
            <v>1.4</v>
          </cell>
          <cell r="AC97" t="str">
            <v>PH-C</v>
          </cell>
          <cell r="AJ97" t="str">
            <v>FW-D</v>
          </cell>
          <cell r="AM97" t="str">
            <v>RW1</v>
          </cell>
        </row>
        <row r="98">
          <cell r="G98">
            <v>35</v>
          </cell>
          <cell r="I98">
            <v>445</v>
          </cell>
        </row>
        <row r="99">
          <cell r="B99" t="str">
            <v>108-2.07</v>
          </cell>
          <cell r="C99">
            <v>108253</v>
          </cell>
          <cell r="F99">
            <v>725</v>
          </cell>
          <cell r="H99" t="str">
            <v>AnMP</v>
          </cell>
          <cell r="L99" t="str">
            <v>HEB-280L</v>
          </cell>
          <cell r="M99" t="str">
            <v>C5RT</v>
          </cell>
          <cell r="N99" t="str">
            <v>EMT-1</v>
          </cell>
          <cell r="T99">
            <v>-30</v>
          </cell>
          <cell r="W99">
            <v>1.4</v>
          </cell>
          <cell r="AC99" t="str">
            <v>PH-C</v>
          </cell>
          <cell r="AJ99" t="str">
            <v>FW-D</v>
          </cell>
          <cell r="AM99" t="str">
            <v>RW1</v>
          </cell>
        </row>
        <row r="100">
          <cell r="G100">
            <v>31</v>
          </cell>
          <cell r="J100">
            <v>108260.5</v>
          </cell>
          <cell r="K100" t="str">
            <v>AnMP-RT</v>
          </cell>
        </row>
        <row r="101">
          <cell r="B101" t="str">
            <v>108-2.08</v>
          </cell>
          <cell r="C101">
            <v>108284</v>
          </cell>
          <cell r="F101">
            <v>725</v>
          </cell>
          <cell r="L101" t="str">
            <v>HEB-280L</v>
          </cell>
          <cell r="M101" t="str">
            <v>C5RT_L</v>
          </cell>
          <cell r="N101" t="str">
            <v>EMT-1</v>
          </cell>
          <cell r="T101">
            <v>-30</v>
          </cell>
          <cell r="W101">
            <v>1.4</v>
          </cell>
          <cell r="AC101" t="str">
            <v>PH-C</v>
          </cell>
          <cell r="AJ101" t="str">
            <v>FW-D</v>
          </cell>
          <cell r="AM101" t="str">
            <v>RW1</v>
          </cell>
        </row>
        <row r="102">
          <cell r="G102">
            <v>32</v>
          </cell>
        </row>
        <row r="103">
          <cell r="B103" t="str">
            <v>108-2.09</v>
          </cell>
          <cell r="C103">
            <v>108316</v>
          </cell>
          <cell r="F103">
            <v>725</v>
          </cell>
          <cell r="L103" t="str">
            <v>HEB-280L</v>
          </cell>
          <cell r="M103" t="str">
            <v>C5RT_L</v>
          </cell>
          <cell r="N103" t="str">
            <v>EMT-1</v>
          </cell>
          <cell r="T103">
            <v>-30</v>
          </cell>
          <cell r="W103">
            <v>1.4</v>
          </cell>
          <cell r="AC103" t="str">
            <v>PH-C</v>
          </cell>
          <cell r="AJ103" t="str">
            <v>FW-D</v>
          </cell>
          <cell r="AM103" t="str">
            <v>RW1</v>
          </cell>
        </row>
        <row r="104">
          <cell r="G104">
            <v>35</v>
          </cell>
        </row>
        <row r="105">
          <cell r="B105" t="str">
            <v>108-2.10</v>
          </cell>
          <cell r="C105">
            <v>108351</v>
          </cell>
          <cell r="F105">
            <v>725</v>
          </cell>
          <cell r="L105" t="str">
            <v>HEB-280L</v>
          </cell>
          <cell r="M105" t="str">
            <v>C5RT_L</v>
          </cell>
          <cell r="N105" t="str">
            <v>EMT-1</v>
          </cell>
          <cell r="T105">
            <v>-30</v>
          </cell>
          <cell r="W105">
            <v>1.4</v>
          </cell>
          <cell r="AC105" t="str">
            <v>PH-C</v>
          </cell>
          <cell r="AJ105" t="str">
            <v>FW-D</v>
          </cell>
          <cell r="AM105" t="str">
            <v>RW1</v>
          </cell>
        </row>
        <row r="106">
          <cell r="G106">
            <v>40</v>
          </cell>
        </row>
        <row r="107">
          <cell r="B107" t="str">
            <v>108-2.11</v>
          </cell>
          <cell r="C107">
            <v>108391</v>
          </cell>
          <cell r="F107">
            <v>725</v>
          </cell>
          <cell r="L107" t="str">
            <v>HEB-280L</v>
          </cell>
          <cell r="M107" t="str">
            <v>C5RT_L</v>
          </cell>
          <cell r="N107" t="str">
            <v>EMT-1</v>
          </cell>
          <cell r="T107">
            <v>-30</v>
          </cell>
          <cell r="W107">
            <v>1.4</v>
          </cell>
          <cell r="AC107" t="str">
            <v>PH-C</v>
          </cell>
          <cell r="AJ107" t="str">
            <v>FW-D</v>
          </cell>
          <cell r="AM107" t="str">
            <v>RW1</v>
          </cell>
        </row>
        <row r="108">
          <cell r="G108">
            <v>45</v>
          </cell>
          <cell r="I108" t="str">
            <v>AnFW</v>
          </cell>
          <cell r="J108">
            <v>108428.5</v>
          </cell>
          <cell r="K108" t="str">
            <v>AnFW-RTL</v>
          </cell>
        </row>
        <row r="109">
          <cell r="B109" t="str">
            <v>108-2.12</v>
          </cell>
          <cell r="C109">
            <v>108436</v>
          </cell>
          <cell r="F109">
            <v>1000</v>
          </cell>
          <cell r="I109" t="str">
            <v>AnFW</v>
          </cell>
          <cell r="J109">
            <v>108443.5</v>
          </cell>
          <cell r="K109" t="str">
            <v>AnFW-RTL</v>
          </cell>
          <cell r="L109" t="str">
            <v>HEB-260L</v>
          </cell>
          <cell r="M109" t="str">
            <v>C4RT_L</v>
          </cell>
          <cell r="N109" t="str">
            <v>EMT-1</v>
          </cell>
          <cell r="T109">
            <v>-25</v>
          </cell>
          <cell r="W109">
            <v>1</v>
          </cell>
          <cell r="AC109" t="str">
            <v>PH-C</v>
          </cell>
          <cell r="AJ109" t="str">
            <v>FW-D</v>
          </cell>
          <cell r="AM109" t="str">
            <v>RW1</v>
          </cell>
        </row>
        <row r="110">
          <cell r="A110" t="str">
            <v>Overpass</v>
          </cell>
          <cell r="G110">
            <v>55</v>
          </cell>
          <cell r="I110" t="str">
            <v>CP+AnMC</v>
          </cell>
          <cell r="J110">
            <v>108483.5</v>
          </cell>
          <cell r="K110" t="str">
            <v>AnMC-RT</v>
          </cell>
        </row>
        <row r="111">
          <cell r="B111" t="str">
            <v>108-2.13</v>
          </cell>
          <cell r="C111">
            <v>108491</v>
          </cell>
          <cell r="F111">
            <v>4600</v>
          </cell>
          <cell r="H111" t="str">
            <v>A/S</v>
          </cell>
          <cell r="L111" t="str">
            <v>HEB-280L (CP)</v>
          </cell>
          <cell r="M111" t="str">
            <v>C5RT</v>
          </cell>
          <cell r="N111" t="str">
            <v>EMT-1</v>
          </cell>
          <cell r="T111">
            <v>-20</v>
          </cell>
          <cell r="W111">
            <v>1</v>
          </cell>
          <cell r="AC111" t="str">
            <v>PH</v>
          </cell>
          <cell r="AJ111" t="str">
            <v>FW-D</v>
          </cell>
          <cell r="AM111" t="str">
            <v>RW1</v>
          </cell>
        </row>
        <row r="112">
          <cell r="G112">
            <v>62</v>
          </cell>
          <cell r="I112" t="str">
            <v>AnFW</v>
          </cell>
          <cell r="J112">
            <v>108545.5</v>
          </cell>
          <cell r="K112" t="str">
            <v>AnFW-RT</v>
          </cell>
        </row>
        <row r="113">
          <cell r="B113" t="str">
            <v>108-2.14</v>
          </cell>
          <cell r="C113">
            <v>108553</v>
          </cell>
          <cell r="F113">
            <v>0</v>
          </cell>
          <cell r="H113" t="str">
            <v>S/A</v>
          </cell>
          <cell r="I113" t="str">
            <v>AnFW</v>
          </cell>
          <cell r="J113">
            <v>108560.5</v>
          </cell>
          <cell r="K113" t="str">
            <v>AnFW-RT</v>
          </cell>
          <cell r="L113" t="str">
            <v>HEB-260L</v>
          </cell>
          <cell r="M113" t="str">
            <v>C4RT</v>
          </cell>
          <cell r="N113" t="str">
            <v>EMT-T</v>
          </cell>
          <cell r="O113" t="str">
            <v>EMT-2</v>
          </cell>
          <cell r="T113">
            <v>35</v>
          </cell>
          <cell r="U113">
            <v>15</v>
          </cell>
          <cell r="W113">
            <v>1.4</v>
          </cell>
          <cell r="X113">
            <v>2.2999999999999998</v>
          </cell>
          <cell r="Z113">
            <v>0.5</v>
          </cell>
          <cell r="AC113" t="str">
            <v>PH</v>
          </cell>
          <cell r="AJ113" t="str">
            <v>FW-D</v>
          </cell>
          <cell r="AM113" t="str">
            <v>RW1</v>
          </cell>
        </row>
        <row r="114">
          <cell r="G114">
            <v>55</v>
          </cell>
        </row>
        <row r="115">
          <cell r="B115" t="str">
            <v>108-2.15</v>
          </cell>
          <cell r="C115">
            <v>108608</v>
          </cell>
          <cell r="F115">
            <v>0</v>
          </cell>
          <cell r="H115" t="str">
            <v>S/A</v>
          </cell>
          <cell r="L115" t="str">
            <v>HEB-260L</v>
          </cell>
          <cell r="M115" t="str">
            <v>C4RT</v>
          </cell>
          <cell r="N115" t="str">
            <v>EMT-1</v>
          </cell>
          <cell r="O115" t="str">
            <v>EMT-T</v>
          </cell>
          <cell r="T115">
            <v>-15</v>
          </cell>
          <cell r="U115">
            <v>-35</v>
          </cell>
          <cell r="W115">
            <v>1.4</v>
          </cell>
          <cell r="X115">
            <v>2.2999999999999998</v>
          </cell>
          <cell r="AA115">
            <v>0.5</v>
          </cell>
          <cell r="AC115" t="str">
            <v>PH</v>
          </cell>
          <cell r="AJ115" t="str">
            <v>FW-D</v>
          </cell>
          <cell r="AM115" t="str">
            <v>RW1</v>
          </cell>
        </row>
        <row r="116">
          <cell r="G116">
            <v>55</v>
          </cell>
        </row>
        <row r="117">
          <cell r="B117" t="str">
            <v>108-2.16</v>
          </cell>
          <cell r="C117">
            <v>108663</v>
          </cell>
          <cell r="F117">
            <v>0</v>
          </cell>
          <cell r="H117" t="str">
            <v>A/S</v>
          </cell>
          <cell r="L117" t="str">
            <v>HEB-260L (CP)</v>
          </cell>
          <cell r="M117" t="str">
            <v>C4RT</v>
          </cell>
          <cell r="N117" t="str">
            <v>EMT-2</v>
          </cell>
          <cell r="T117">
            <v>25</v>
          </cell>
          <cell r="W117">
            <v>1.4</v>
          </cell>
          <cell r="AC117" t="str">
            <v>PH</v>
          </cell>
          <cell r="AJ117" t="str">
            <v>FW-D</v>
          </cell>
          <cell r="AM117" t="str">
            <v>RW1</v>
          </cell>
        </row>
        <row r="118">
          <cell r="G118">
            <v>56</v>
          </cell>
          <cell r="I118" t="str">
            <v>CP+AnMC</v>
          </cell>
          <cell r="J118">
            <v>108670.5</v>
          </cell>
          <cell r="K118" t="str">
            <v>AnMC-RT</v>
          </cell>
        </row>
        <row r="119">
          <cell r="B119" t="str">
            <v>108-2.17</v>
          </cell>
          <cell r="C119">
            <v>108719</v>
          </cell>
          <cell r="F119">
            <v>0</v>
          </cell>
          <cell r="L119" t="str">
            <v>HEB-260L</v>
          </cell>
          <cell r="M119" t="str">
            <v>C4RT</v>
          </cell>
          <cell r="N119" t="str">
            <v>EMT-1</v>
          </cell>
          <cell r="T119">
            <v>-35</v>
          </cell>
          <cell r="W119">
            <v>1.4</v>
          </cell>
          <cell r="AC119" t="str">
            <v>PH</v>
          </cell>
          <cell r="AJ119" t="str">
            <v>FW-D</v>
          </cell>
          <cell r="AM119" t="str">
            <v>RW1</v>
          </cell>
        </row>
        <row r="120">
          <cell r="G120">
            <v>65</v>
          </cell>
          <cell r="J120">
            <v>108776.5</v>
          </cell>
          <cell r="K120" t="str">
            <v>AnMP-RT</v>
          </cell>
        </row>
        <row r="121">
          <cell r="B121" t="str">
            <v>108-2.18</v>
          </cell>
          <cell r="C121">
            <v>108784</v>
          </cell>
          <cell r="F121">
            <v>0</v>
          </cell>
          <cell r="H121" t="str">
            <v>AnMP</v>
          </cell>
          <cell r="L121" t="str">
            <v>HEB-260L</v>
          </cell>
          <cell r="M121" t="str">
            <v>C4RT</v>
          </cell>
          <cell r="N121" t="str">
            <v>EMT-2</v>
          </cell>
          <cell r="T121">
            <v>35</v>
          </cell>
          <cell r="W121">
            <v>1.4</v>
          </cell>
          <cell r="AC121" t="str">
            <v>PH-Q</v>
          </cell>
          <cell r="AJ121" t="str">
            <v>FW-D</v>
          </cell>
          <cell r="AM121" t="str">
            <v>RW1</v>
          </cell>
        </row>
        <row r="122">
          <cell r="G122">
            <v>52</v>
          </cell>
          <cell r="I122">
            <v>345</v>
          </cell>
        </row>
        <row r="123">
          <cell r="B123" t="str">
            <v>108-2.19</v>
          </cell>
          <cell r="C123">
            <v>108836</v>
          </cell>
          <cell r="F123">
            <v>0</v>
          </cell>
          <cell r="H123" t="str">
            <v>MP</v>
          </cell>
          <cell r="L123" t="str">
            <v>HEB-260L</v>
          </cell>
          <cell r="M123" t="str">
            <v>C4RT</v>
          </cell>
          <cell r="N123" t="str">
            <v>EMT-1</v>
          </cell>
          <cell r="T123">
            <v>-35</v>
          </cell>
          <cell r="W123">
            <v>1.4</v>
          </cell>
          <cell r="AC123" t="str">
            <v>PH-Q</v>
          </cell>
          <cell r="AJ123" t="str">
            <v>FW-D</v>
          </cell>
          <cell r="AM123" t="str">
            <v>RW1</v>
          </cell>
        </row>
        <row r="124">
          <cell r="G124">
            <v>52</v>
          </cell>
          <cell r="I124">
            <v>475</v>
          </cell>
        </row>
        <row r="125">
          <cell r="B125" t="str">
            <v>108-2.20</v>
          </cell>
          <cell r="C125">
            <v>108888</v>
          </cell>
          <cell r="F125">
            <v>0</v>
          </cell>
          <cell r="H125" t="str">
            <v>AnMP</v>
          </cell>
          <cell r="L125" t="str">
            <v>HEB-260L</v>
          </cell>
          <cell r="M125" t="str">
            <v>C4RT</v>
          </cell>
          <cell r="N125" t="str">
            <v>EMT-2</v>
          </cell>
          <cell r="T125">
            <v>35</v>
          </cell>
          <cell r="W125">
            <v>1.25</v>
          </cell>
          <cell r="AC125" t="str">
            <v>PH-Q</v>
          </cell>
          <cell r="AJ125" t="str">
            <v>FW-D</v>
          </cell>
          <cell r="AM125" t="str">
            <v>RW1</v>
          </cell>
        </row>
        <row r="126">
          <cell r="A126" t="str">
            <v>Overhead Cable</v>
          </cell>
          <cell r="G126">
            <v>65</v>
          </cell>
          <cell r="J126">
            <v>108895.5</v>
          </cell>
          <cell r="K126" t="str">
            <v>AnMP-RT</v>
          </cell>
        </row>
        <row r="127">
          <cell r="A127" t="str">
            <v xml:space="preserve"> Drainage Works</v>
          </cell>
          <cell r="B127" t="str">
            <v>108-2.21</v>
          </cell>
          <cell r="C127">
            <v>108953</v>
          </cell>
          <cell r="F127">
            <v>0</v>
          </cell>
          <cell r="L127" t="str">
            <v>HEB-260L</v>
          </cell>
          <cell r="M127" t="str">
            <v>C4RT</v>
          </cell>
          <cell r="N127" t="str">
            <v>EMT-1</v>
          </cell>
          <cell r="T127">
            <v>-35</v>
          </cell>
          <cell r="W127">
            <v>1.25</v>
          </cell>
          <cell r="AC127" t="str">
            <v>PH</v>
          </cell>
          <cell r="AJ127" t="str">
            <v>FW-D</v>
          </cell>
          <cell r="AM127" t="str">
            <v>RW1</v>
          </cell>
        </row>
        <row r="128">
          <cell r="G128">
            <v>55</v>
          </cell>
        </row>
        <row r="129">
          <cell r="B129" t="str">
            <v>109-2.01</v>
          </cell>
          <cell r="C129">
            <v>109008</v>
          </cell>
          <cell r="F129">
            <v>0</v>
          </cell>
          <cell r="L129" t="str">
            <v>HEB-260L</v>
          </cell>
          <cell r="M129" t="str">
            <v>C4RT</v>
          </cell>
          <cell r="N129" t="str">
            <v>EMT-2</v>
          </cell>
          <cell r="T129">
            <v>30</v>
          </cell>
          <cell r="W129">
            <v>1.4</v>
          </cell>
          <cell r="AC129" t="str">
            <v>PH-Q</v>
          </cell>
          <cell r="AJ129" t="str">
            <v>FW-D</v>
          </cell>
          <cell r="AM129" t="str">
            <v>RW1</v>
          </cell>
        </row>
        <row r="130">
          <cell r="G130">
            <v>52</v>
          </cell>
          <cell r="I130" t="str">
            <v>CP+AnMC</v>
          </cell>
          <cell r="J130">
            <v>109052.5</v>
          </cell>
          <cell r="K130" t="str">
            <v>AnMC-RT</v>
          </cell>
        </row>
        <row r="131">
          <cell r="B131" t="str">
            <v>109-2.02</v>
          </cell>
          <cell r="C131">
            <v>109060</v>
          </cell>
          <cell r="F131">
            <v>0</v>
          </cell>
          <cell r="H131" t="str">
            <v>A/S</v>
          </cell>
          <cell r="L131" t="str">
            <v>HEB-260L (CP)</v>
          </cell>
          <cell r="M131" t="str">
            <v>C4RT</v>
          </cell>
          <cell r="N131" t="str">
            <v>EMT-1</v>
          </cell>
          <cell r="T131">
            <v>-35</v>
          </cell>
          <cell r="W131">
            <v>1.4</v>
          </cell>
          <cell r="AC131" t="str">
            <v>PH</v>
          </cell>
          <cell r="AJ131" t="str">
            <v>FW-D</v>
          </cell>
          <cell r="AM131" t="str">
            <v>RW1</v>
          </cell>
        </row>
        <row r="132">
          <cell r="G132">
            <v>55</v>
          </cell>
          <cell r="AJ132" t="str">
            <v>VoltageD</v>
          </cell>
        </row>
        <row r="133">
          <cell r="A133" t="str">
            <v>HAS-NS7</v>
          </cell>
          <cell r="B133" t="str">
            <v>109-2.03</v>
          </cell>
          <cell r="C133">
            <v>109115</v>
          </cell>
          <cell r="F133">
            <v>0</v>
          </cell>
          <cell r="H133" t="str">
            <v>S/A</v>
          </cell>
          <cell r="I133" t="str">
            <v>IO</v>
          </cell>
          <cell r="L133" t="str">
            <v>HEB-260L</v>
          </cell>
          <cell r="M133" t="str">
            <v>C4RT</v>
          </cell>
          <cell r="N133" t="str">
            <v>EMT-T</v>
          </cell>
          <cell r="O133" t="str">
            <v>EMT-2</v>
          </cell>
          <cell r="T133">
            <v>55</v>
          </cell>
          <cell r="U133">
            <v>10</v>
          </cell>
          <cell r="W133">
            <v>1.4</v>
          </cell>
          <cell r="X133">
            <v>2.2999999999999998</v>
          </cell>
          <cell r="Z133">
            <v>0.45</v>
          </cell>
          <cell r="AC133" t="str">
            <v>PH</v>
          </cell>
          <cell r="AJ133" t="str">
            <v>Disc/NZ</v>
          </cell>
          <cell r="AM133" t="str">
            <v>RW1</v>
          </cell>
        </row>
        <row r="134">
          <cell r="G134">
            <v>47</v>
          </cell>
          <cell r="AJ134" t="str">
            <v>FW-D</v>
          </cell>
        </row>
        <row r="135">
          <cell r="A135" t="str">
            <v>HAS-NS9</v>
          </cell>
          <cell r="B135" t="str">
            <v>109-2.04</v>
          </cell>
          <cell r="C135">
            <v>109162</v>
          </cell>
          <cell r="F135">
            <v>0</v>
          </cell>
          <cell r="H135" t="str">
            <v>S/A</v>
          </cell>
          <cell r="I135" t="str">
            <v>IO</v>
          </cell>
          <cell r="L135" t="str">
            <v>HEB-280L</v>
          </cell>
          <cell r="M135" t="str">
            <v>C5RT</v>
          </cell>
          <cell r="N135" t="str">
            <v>EMT-1</v>
          </cell>
          <cell r="O135" t="str">
            <v>EMT-T</v>
          </cell>
          <cell r="T135">
            <v>-10</v>
          </cell>
          <cell r="U135">
            <v>-55</v>
          </cell>
          <cell r="W135">
            <v>1.4</v>
          </cell>
          <cell r="X135">
            <v>2.2999999999999998</v>
          </cell>
          <cell r="AA135">
            <v>0.45</v>
          </cell>
          <cell r="AC135" t="str">
            <v>PH-Q</v>
          </cell>
          <cell r="AJ135" t="str">
            <v>Disc/NZ</v>
          </cell>
          <cell r="AM135" t="str">
            <v>RW1</v>
          </cell>
        </row>
        <row r="136">
          <cell r="G136">
            <v>47</v>
          </cell>
          <cell r="AJ136" t="str">
            <v>FW-D</v>
          </cell>
        </row>
        <row r="137">
          <cell r="B137" t="str">
            <v>109-2.05</v>
          </cell>
          <cell r="C137">
            <v>109209</v>
          </cell>
          <cell r="F137">
            <v>0</v>
          </cell>
          <cell r="H137" t="str">
            <v>S/A</v>
          </cell>
          <cell r="L137" t="str">
            <v>HEB-280L</v>
          </cell>
          <cell r="M137" t="str">
            <v>C5RT</v>
          </cell>
          <cell r="N137" t="str">
            <v>EMT-T</v>
          </cell>
          <cell r="O137" t="str">
            <v>EMT-2</v>
          </cell>
          <cell r="T137">
            <v>55</v>
          </cell>
          <cell r="U137">
            <v>10</v>
          </cell>
          <cell r="W137">
            <v>1.4</v>
          </cell>
          <cell r="X137">
            <v>2.2999999999999998</v>
          </cell>
          <cell r="Z137">
            <v>0.45</v>
          </cell>
          <cell r="AC137" t="str">
            <v>PH-Q</v>
          </cell>
          <cell r="AJ137" t="str">
            <v>FW-D</v>
          </cell>
          <cell r="AM137" t="str">
            <v>RW1</v>
          </cell>
        </row>
        <row r="138">
          <cell r="G138">
            <v>47</v>
          </cell>
          <cell r="AJ138" t="str">
            <v>VoltageD</v>
          </cell>
        </row>
        <row r="139">
          <cell r="A139" t="str">
            <v>HAS-NS11</v>
          </cell>
          <cell r="B139" t="str">
            <v>109-2.06</v>
          </cell>
          <cell r="C139">
            <v>109256</v>
          </cell>
          <cell r="F139">
            <v>0</v>
          </cell>
          <cell r="H139" t="str">
            <v>S/A</v>
          </cell>
          <cell r="I139" t="str">
            <v>IO</v>
          </cell>
          <cell r="L139" t="str">
            <v>HEB-260L</v>
          </cell>
          <cell r="M139" t="str">
            <v>C4RT</v>
          </cell>
          <cell r="N139" t="str">
            <v>EMT-1</v>
          </cell>
          <cell r="O139" t="str">
            <v>EMT-T</v>
          </cell>
          <cell r="T139">
            <v>-10</v>
          </cell>
          <cell r="U139">
            <v>-55</v>
          </cell>
          <cell r="W139">
            <v>1.4</v>
          </cell>
          <cell r="X139">
            <v>2.2999999999999998</v>
          </cell>
          <cell r="AA139">
            <v>0.45</v>
          </cell>
          <cell r="AC139" t="str">
            <v>PH</v>
          </cell>
          <cell r="AJ139" t="str">
            <v>Disc/NZ</v>
          </cell>
          <cell r="AM139" t="str">
            <v>RW1</v>
          </cell>
        </row>
        <row r="140">
          <cell r="G140">
            <v>55</v>
          </cell>
          <cell r="AJ140" t="str">
            <v>FW-D</v>
          </cell>
        </row>
        <row r="141">
          <cell r="B141" t="str">
            <v>109-2.07</v>
          </cell>
          <cell r="C141">
            <v>109311</v>
          </cell>
          <cell r="F141">
            <v>0</v>
          </cell>
          <cell r="H141" t="str">
            <v>A/S</v>
          </cell>
          <cell r="L141" t="str">
            <v>HEB-260L (CP)</v>
          </cell>
          <cell r="M141" t="str">
            <v>C4RT</v>
          </cell>
          <cell r="N141" t="str">
            <v>EMT-2</v>
          </cell>
          <cell r="T141">
            <v>35</v>
          </cell>
          <cell r="W141">
            <v>1</v>
          </cell>
          <cell r="AC141" t="str">
            <v>PH</v>
          </cell>
          <cell r="AJ141" t="str">
            <v>FW-D</v>
          </cell>
          <cell r="AM141" t="str">
            <v>RW1</v>
          </cell>
        </row>
        <row r="142">
          <cell r="A142" t="str">
            <v>Overhead Cable</v>
          </cell>
          <cell r="G142">
            <v>52</v>
          </cell>
          <cell r="I142" t="str">
            <v>CP+AnMC</v>
          </cell>
          <cell r="J142">
            <v>109318.5</v>
          </cell>
          <cell r="K142" t="str">
            <v>AnMC-RT</v>
          </cell>
        </row>
        <row r="143">
          <cell r="B143" t="str">
            <v>109-2.08</v>
          </cell>
          <cell r="C143">
            <v>109363</v>
          </cell>
          <cell r="F143">
            <v>0</v>
          </cell>
          <cell r="H143" t="str">
            <v>AnMP</v>
          </cell>
          <cell r="J143">
            <v>109355.5</v>
          </cell>
          <cell r="K143" t="str">
            <v>AnMP-RT</v>
          </cell>
          <cell r="L143" t="str">
            <v>HEB-260L</v>
          </cell>
          <cell r="M143" t="str">
            <v>C4RT</v>
          </cell>
          <cell r="N143" t="str">
            <v>EMT-1</v>
          </cell>
          <cell r="T143">
            <v>-35</v>
          </cell>
          <cell r="W143">
            <v>1</v>
          </cell>
          <cell r="AC143" t="str">
            <v>PH-Q</v>
          </cell>
          <cell r="AJ143" t="str">
            <v>FW-D</v>
          </cell>
          <cell r="AM143" t="str">
            <v>RW1</v>
          </cell>
        </row>
        <row r="144">
          <cell r="G144">
            <v>50</v>
          </cell>
          <cell r="I144">
            <v>353</v>
          </cell>
        </row>
        <row r="145">
          <cell r="B145" t="str">
            <v>109-2.09</v>
          </cell>
          <cell r="C145">
            <v>109413</v>
          </cell>
          <cell r="F145">
            <v>0</v>
          </cell>
          <cell r="H145" t="str">
            <v>MP</v>
          </cell>
          <cell r="L145" t="str">
            <v>HEB-260L</v>
          </cell>
          <cell r="M145" t="str">
            <v>C4RT</v>
          </cell>
          <cell r="N145" t="str">
            <v>EMT-2</v>
          </cell>
          <cell r="T145">
            <v>35</v>
          </cell>
          <cell r="W145">
            <v>1.4</v>
          </cell>
          <cell r="AC145" t="str">
            <v>PH-Q</v>
          </cell>
          <cell r="AJ145" t="str">
            <v>FW-D</v>
          </cell>
          <cell r="AM145" t="str">
            <v>RW1</v>
          </cell>
        </row>
        <row r="146">
          <cell r="A146" t="str">
            <v xml:space="preserve"> Drainage Works</v>
          </cell>
          <cell r="G146">
            <v>51</v>
          </cell>
          <cell r="I146">
            <v>390</v>
          </cell>
        </row>
        <row r="147">
          <cell r="B147" t="str">
            <v>109-2.10</v>
          </cell>
          <cell r="C147">
            <v>109464</v>
          </cell>
          <cell r="F147">
            <v>0</v>
          </cell>
          <cell r="H147" t="str">
            <v>AnMP</v>
          </cell>
          <cell r="L147" t="str">
            <v>HEB-260L</v>
          </cell>
          <cell r="M147" t="str">
            <v>C4RT</v>
          </cell>
          <cell r="N147" t="str">
            <v>EMT-1</v>
          </cell>
          <cell r="T147">
            <v>-35</v>
          </cell>
          <cell r="W147">
            <v>1.4</v>
          </cell>
          <cell r="AC147" t="str">
            <v>PH-Q</v>
          </cell>
          <cell r="AJ147" t="str">
            <v>FW-D</v>
          </cell>
          <cell r="AM147" t="str">
            <v>RW1</v>
          </cell>
        </row>
        <row r="148">
          <cell r="G148">
            <v>61</v>
          </cell>
          <cell r="J148">
            <v>109471.5</v>
          </cell>
          <cell r="K148" t="str">
            <v>AnMP-RT</v>
          </cell>
        </row>
        <row r="149">
          <cell r="B149" t="str">
            <v>109-2.11</v>
          </cell>
          <cell r="C149">
            <v>109525</v>
          </cell>
          <cell r="F149">
            <v>0</v>
          </cell>
          <cell r="L149" t="str">
            <v>HEB-260L</v>
          </cell>
          <cell r="M149" t="str">
            <v>C4RT</v>
          </cell>
          <cell r="N149" t="str">
            <v>EMT-2</v>
          </cell>
          <cell r="T149">
            <v>35</v>
          </cell>
          <cell r="W149">
            <v>1.4</v>
          </cell>
          <cell r="AC149" t="str">
            <v>PH</v>
          </cell>
          <cell r="AJ149" t="str">
            <v>FW-D</v>
          </cell>
          <cell r="AM149" t="str">
            <v>RW1</v>
          </cell>
        </row>
        <row r="150">
          <cell r="A150" t="str">
            <v xml:space="preserve"> Drainage Works</v>
          </cell>
          <cell r="G150">
            <v>65</v>
          </cell>
        </row>
        <row r="151">
          <cell r="B151" t="str">
            <v>109-2.12</v>
          </cell>
          <cell r="C151">
            <v>109590</v>
          </cell>
          <cell r="F151">
            <v>0</v>
          </cell>
          <cell r="L151" t="str">
            <v>HEB-260L</v>
          </cell>
          <cell r="M151" t="str">
            <v>C4RT</v>
          </cell>
          <cell r="N151" t="str">
            <v>EMT-1</v>
          </cell>
          <cell r="T151">
            <v>-35</v>
          </cell>
          <cell r="W151">
            <v>1.4</v>
          </cell>
          <cell r="AC151" t="str">
            <v>PH</v>
          </cell>
          <cell r="AJ151" t="str">
            <v>FW-D</v>
          </cell>
          <cell r="AM151" t="str">
            <v>RW1</v>
          </cell>
        </row>
        <row r="152">
          <cell r="G152">
            <v>58</v>
          </cell>
        </row>
        <row r="153">
          <cell r="B153" t="str">
            <v>109-2.13</v>
          </cell>
          <cell r="C153">
            <v>109648</v>
          </cell>
          <cell r="F153">
            <v>0</v>
          </cell>
          <cell r="L153" t="str">
            <v>HEB-260L</v>
          </cell>
          <cell r="M153" t="str">
            <v>C4RT</v>
          </cell>
          <cell r="N153" t="str">
            <v>EMT-2</v>
          </cell>
          <cell r="T153">
            <v>35</v>
          </cell>
          <cell r="W153">
            <v>1.4</v>
          </cell>
          <cell r="AC153" t="str">
            <v>PH</v>
          </cell>
          <cell r="AJ153" t="str">
            <v>FW-D</v>
          </cell>
          <cell r="AM153" t="str">
            <v>RW1</v>
          </cell>
        </row>
        <row r="154">
          <cell r="G154">
            <v>55</v>
          </cell>
          <cell r="J154">
            <v>109695.5</v>
          </cell>
          <cell r="K154" t="str">
            <v>AnMC-RT</v>
          </cell>
        </row>
        <row r="155">
          <cell r="B155" t="str">
            <v>109-2.14</v>
          </cell>
          <cell r="C155">
            <v>109703</v>
          </cell>
          <cell r="F155">
            <v>0</v>
          </cell>
          <cell r="H155" t="str">
            <v>A/S</v>
          </cell>
          <cell r="I155" t="str">
            <v>CP+AnMC</v>
          </cell>
          <cell r="L155" t="str">
            <v>HEB-260L (CP)</v>
          </cell>
          <cell r="M155" t="str">
            <v>C4RT</v>
          </cell>
          <cell r="N155" t="str">
            <v>EMT-1</v>
          </cell>
          <cell r="T155">
            <v>-25</v>
          </cell>
          <cell r="W155">
            <v>1.4</v>
          </cell>
          <cell r="AC155" t="str">
            <v>PH</v>
          </cell>
          <cell r="AJ155" t="str">
            <v>FW-D</v>
          </cell>
          <cell r="AM155" t="str">
            <v>RW1</v>
          </cell>
        </row>
        <row r="156">
          <cell r="G156">
            <v>50</v>
          </cell>
        </row>
        <row r="157">
          <cell r="B157" t="str">
            <v>109-2.15</v>
          </cell>
          <cell r="C157">
            <v>109753</v>
          </cell>
          <cell r="F157">
            <v>0</v>
          </cell>
          <cell r="H157" t="str">
            <v>S/A</v>
          </cell>
          <cell r="L157" t="str">
            <v>2HEB-240L</v>
          </cell>
          <cell r="M157" t="str">
            <v>C2H-240RT</v>
          </cell>
          <cell r="N157" t="str">
            <v>EMT-T</v>
          </cell>
          <cell r="O157" t="str">
            <v>EMT-2</v>
          </cell>
          <cell r="T157">
            <v>55</v>
          </cell>
          <cell r="U157">
            <v>10</v>
          </cell>
          <cell r="W157">
            <v>1.4</v>
          </cell>
          <cell r="X157">
            <v>2.2999999999999998</v>
          </cell>
          <cell r="Z157">
            <v>0.45</v>
          </cell>
          <cell r="AC157" t="str">
            <v>PH</v>
          </cell>
          <cell r="AJ157" t="str">
            <v>FW-D</v>
          </cell>
          <cell r="AM157" t="str">
            <v>RW1</v>
          </cell>
        </row>
        <row r="158">
          <cell r="G158">
            <v>50</v>
          </cell>
        </row>
        <row r="159">
          <cell r="A159" t="str">
            <v>LOD-01</v>
          </cell>
          <cell r="B159" t="str">
            <v>109-2.16</v>
          </cell>
          <cell r="C159">
            <v>109821</v>
          </cell>
          <cell r="D159" t="str">
            <v>109+803</v>
          </cell>
          <cell r="F159">
            <v>0</v>
          </cell>
          <cell r="H159" t="str">
            <v>S/A</v>
          </cell>
          <cell r="I159" t="str">
            <v>IO</v>
          </cell>
          <cell r="L159" t="str">
            <v>HEB-320L</v>
          </cell>
          <cell r="M159" t="str">
            <v>C7RT</v>
          </cell>
          <cell r="N159" t="str">
            <v>EMT-1</v>
          </cell>
          <cell r="O159" t="str">
            <v>EMT-T</v>
          </cell>
          <cell r="T159">
            <v>-10</v>
          </cell>
          <cell r="U159">
            <v>-55</v>
          </cell>
          <cell r="W159">
            <v>1.4</v>
          </cell>
          <cell r="X159">
            <v>2.2999999999999998</v>
          </cell>
          <cell r="AA159">
            <v>0.45</v>
          </cell>
          <cell r="AJ159" t="str">
            <v>Disc/IO</v>
          </cell>
          <cell r="AL159" t="str">
            <v>PR1C (17,9)</v>
          </cell>
          <cell r="AM159" t="str">
            <v>RW1</v>
          </cell>
        </row>
        <row r="160">
          <cell r="G160">
            <v>56</v>
          </cell>
          <cell r="AJ160" t="str">
            <v>FW-D</v>
          </cell>
        </row>
        <row r="161">
          <cell r="B161" t="str">
            <v>109-2.17</v>
          </cell>
          <cell r="C161">
            <v>109877</v>
          </cell>
          <cell r="F161">
            <v>0</v>
          </cell>
          <cell r="H161" t="str">
            <v>A/S</v>
          </cell>
          <cell r="I161" t="str">
            <v>CP+AnMC</v>
          </cell>
          <cell r="J161">
            <v>109884.5</v>
          </cell>
          <cell r="K161" t="str">
            <v>AnMC-RT</v>
          </cell>
          <cell r="L161" t="str">
            <v>HEB-280L (CP)</v>
          </cell>
          <cell r="M161" t="str">
            <v>C5RT</v>
          </cell>
          <cell r="N161" t="str">
            <v>EMT-2</v>
          </cell>
          <cell r="T161">
            <v>25</v>
          </cell>
          <cell r="W161">
            <v>1.4</v>
          </cell>
          <cell r="AJ161" t="str">
            <v>FW-D</v>
          </cell>
          <cell r="AL161" t="str">
            <v>PR1B (17,1)</v>
          </cell>
          <cell r="AM161" t="str">
            <v>RW1</v>
          </cell>
        </row>
        <row r="162">
          <cell r="G162">
            <v>20</v>
          </cell>
          <cell r="I162" t="str">
            <v>AnFW</v>
          </cell>
          <cell r="J162">
            <v>109884.5</v>
          </cell>
          <cell r="K162" t="str">
            <v>AnFW-RT</v>
          </cell>
        </row>
        <row r="163">
          <cell r="B163" t="str">
            <v>109-2.18</v>
          </cell>
          <cell r="C163">
            <v>109897</v>
          </cell>
          <cell r="H163" t="str">
            <v>A/S-Diag</v>
          </cell>
          <cell r="I163" t="str">
            <v>CP+AnMC</v>
          </cell>
          <cell r="J163">
            <v>109889.5</v>
          </cell>
          <cell r="K163" t="str">
            <v>AnMC-RT</v>
          </cell>
          <cell r="L163" t="str">
            <v>HEB-260 (CP)</v>
          </cell>
          <cell r="M163" t="str">
            <v>C4RT</v>
          </cell>
          <cell r="AM163" t="str">
            <v>RW1</v>
          </cell>
        </row>
        <row r="164">
          <cell r="G164">
            <v>28</v>
          </cell>
        </row>
        <row r="165">
          <cell r="B165" t="str">
            <v>109-2.19</v>
          </cell>
          <cell r="C165">
            <v>109925</v>
          </cell>
          <cell r="F165">
            <v>0</v>
          </cell>
          <cell r="H165" t="str">
            <v>AnMP P65 S/A</v>
          </cell>
          <cell r="J165">
            <v>109917.5</v>
          </cell>
          <cell r="K165" t="str">
            <v>AnMP</v>
          </cell>
          <cell r="L165" t="str">
            <v>HEB-280L</v>
          </cell>
          <cell r="M165" t="str">
            <v>C5R</v>
          </cell>
          <cell r="AL165" t="str">
            <v>PR1B (17,2)</v>
          </cell>
          <cell r="AM165" t="str">
            <v>RW1</v>
          </cell>
        </row>
        <row r="166">
          <cell r="G166">
            <v>47</v>
          </cell>
          <cell r="I166">
            <v>306</v>
          </cell>
        </row>
        <row r="167">
          <cell r="B167" t="str">
            <v>109-2.21</v>
          </cell>
          <cell r="C167">
            <v>109972</v>
          </cell>
          <cell r="F167">
            <v>0</v>
          </cell>
          <cell r="H167" t="str">
            <v>MP S/A P50</v>
          </cell>
          <cell r="I167" t="str">
            <v>AnRW</v>
          </cell>
          <cell r="J167">
            <v>109979.5</v>
          </cell>
          <cell r="K167" t="str">
            <v>AnRW</v>
          </cell>
          <cell r="L167" t="str">
            <v>HEB-280L</v>
          </cell>
          <cell r="M167" t="str">
            <v>C5R</v>
          </cell>
          <cell r="AL167" t="str">
            <v>PR1B (16,0)</v>
          </cell>
          <cell r="AM167" t="str">
            <v>RW1</v>
          </cell>
        </row>
        <row r="168">
          <cell r="G168">
            <v>51</v>
          </cell>
          <cell r="I168">
            <v>439</v>
          </cell>
        </row>
        <row r="169">
          <cell r="B169" t="str">
            <v>110-2.02</v>
          </cell>
          <cell r="C169">
            <v>110023</v>
          </cell>
          <cell r="F169">
            <v>0</v>
          </cell>
          <cell r="H169" t="str">
            <v>P50</v>
          </cell>
          <cell r="AK169" t="str">
            <v>S2</v>
          </cell>
        </row>
        <row r="170">
          <cell r="G170">
            <v>52</v>
          </cell>
        </row>
        <row r="171">
          <cell r="B171" t="str">
            <v>110-2.04</v>
          </cell>
          <cell r="C171">
            <v>110075</v>
          </cell>
          <cell r="F171">
            <v>0</v>
          </cell>
          <cell r="H171" t="str">
            <v>P50</v>
          </cell>
          <cell r="AK171" t="str">
            <v>S2</v>
          </cell>
        </row>
        <row r="172">
          <cell r="G172">
            <v>42</v>
          </cell>
        </row>
        <row r="173">
          <cell r="B173" t="str">
            <v>110-2.06</v>
          </cell>
          <cell r="C173">
            <v>110117</v>
          </cell>
          <cell r="F173">
            <v>0</v>
          </cell>
          <cell r="H173" t="str">
            <v>P30</v>
          </cell>
          <cell r="AK173" t="str">
            <v>S2</v>
          </cell>
        </row>
        <row r="174">
          <cell r="G174">
            <v>27</v>
          </cell>
        </row>
        <row r="175">
          <cell r="B175" t="str">
            <v>110-2.07</v>
          </cell>
          <cell r="C175">
            <v>110144</v>
          </cell>
          <cell r="F175">
            <v>0</v>
          </cell>
          <cell r="AK175" t="str">
            <v>S1</v>
          </cell>
        </row>
        <row r="176">
          <cell r="G176">
            <v>32</v>
          </cell>
        </row>
        <row r="177">
          <cell r="B177" t="str">
            <v>110-2.08</v>
          </cell>
          <cell r="C177">
            <v>110176</v>
          </cell>
          <cell r="F177">
            <v>0</v>
          </cell>
          <cell r="H177" t="str">
            <v>S/A</v>
          </cell>
          <cell r="AK177" t="str">
            <v>S2</v>
          </cell>
        </row>
        <row r="178">
          <cell r="G178">
            <v>36</v>
          </cell>
        </row>
        <row r="179">
          <cell r="B179" t="str">
            <v>110-2.10</v>
          </cell>
          <cell r="C179">
            <v>110212</v>
          </cell>
          <cell r="F179">
            <v>0</v>
          </cell>
          <cell r="H179" t="str">
            <v>S/A</v>
          </cell>
          <cell r="AK179" t="str">
            <v>S2</v>
          </cell>
        </row>
        <row r="180">
          <cell r="A180" t="str">
            <v>Level crossing</v>
          </cell>
          <cell r="G180">
            <v>51</v>
          </cell>
        </row>
        <row r="181">
          <cell r="B181" t="str">
            <v>110-2.13</v>
          </cell>
          <cell r="C181">
            <v>110263</v>
          </cell>
          <cell r="F181">
            <v>0</v>
          </cell>
          <cell r="H181" t="str">
            <v>S/A</v>
          </cell>
          <cell r="I181" t="str">
            <v>IO</v>
          </cell>
          <cell r="AK181" t="str">
            <v>S2</v>
          </cell>
        </row>
        <row r="182">
          <cell r="G182">
            <v>60</v>
          </cell>
        </row>
        <row r="183">
          <cell r="B183" t="str">
            <v>110-2.16</v>
          </cell>
          <cell r="C183">
            <v>110323</v>
          </cell>
          <cell r="F183">
            <v>0</v>
          </cell>
          <cell r="AK183" t="str">
            <v>S1</v>
          </cell>
        </row>
        <row r="184">
          <cell r="G184">
            <v>47</v>
          </cell>
        </row>
        <row r="185">
          <cell r="B185" t="str">
            <v>110-2.19</v>
          </cell>
          <cell r="C185">
            <v>110370</v>
          </cell>
          <cell r="F185">
            <v>0</v>
          </cell>
          <cell r="AK185" t="str">
            <v>S1</v>
          </cell>
        </row>
        <row r="186">
          <cell r="G186">
            <v>39</v>
          </cell>
        </row>
        <row r="187">
          <cell r="B187" t="str">
            <v>110-2.22</v>
          </cell>
          <cell r="C187">
            <v>110409</v>
          </cell>
          <cell r="F187">
            <v>0</v>
          </cell>
          <cell r="AK187" t="str">
            <v>S1</v>
          </cell>
        </row>
        <row r="188">
          <cell r="G188">
            <v>46</v>
          </cell>
          <cell r="J188">
            <v>110447.5</v>
          </cell>
          <cell r="K188" t="str">
            <v>AnMP</v>
          </cell>
        </row>
        <row r="189">
          <cell r="B189" t="str">
            <v>110-2.24</v>
          </cell>
          <cell r="C189">
            <v>110455</v>
          </cell>
          <cell r="F189">
            <v>0</v>
          </cell>
          <cell r="H189" t="str">
            <v>AnMP</v>
          </cell>
          <cell r="L189" t="str">
            <v>HEB-280L</v>
          </cell>
          <cell r="M189" t="str">
            <v>C5R</v>
          </cell>
          <cell r="AL189" t="str">
            <v>PR1B (16,2)</v>
          </cell>
          <cell r="AM189" t="str">
            <v>RW1</v>
          </cell>
        </row>
        <row r="190">
          <cell r="A190" t="str">
            <v>LOD Station</v>
          </cell>
          <cell r="G190">
            <v>29</v>
          </cell>
          <cell r="I190">
            <v>393</v>
          </cell>
        </row>
        <row r="191">
          <cell r="B191" t="str">
            <v>110-2.25</v>
          </cell>
          <cell r="C191">
            <v>110484</v>
          </cell>
          <cell r="F191">
            <v>0</v>
          </cell>
          <cell r="H191" t="str">
            <v>MP</v>
          </cell>
          <cell r="AK191" t="str">
            <v>S1</v>
          </cell>
        </row>
        <row r="192">
          <cell r="G192">
            <v>32</v>
          </cell>
          <cell r="I192">
            <v>597</v>
          </cell>
        </row>
        <row r="193">
          <cell r="B193" t="str">
            <v>110-2.26</v>
          </cell>
          <cell r="C193">
            <v>110516</v>
          </cell>
          <cell r="F193">
            <v>0</v>
          </cell>
          <cell r="AK193" t="str">
            <v>S1</v>
          </cell>
        </row>
        <row r="194">
          <cell r="G194">
            <v>42</v>
          </cell>
        </row>
        <row r="195">
          <cell r="B195" t="str">
            <v>110-2.27</v>
          </cell>
          <cell r="C195">
            <v>110558</v>
          </cell>
          <cell r="F195">
            <v>0</v>
          </cell>
          <cell r="AK195" t="str">
            <v>S1</v>
          </cell>
        </row>
        <row r="196">
          <cell r="G196">
            <v>36</v>
          </cell>
        </row>
        <row r="197">
          <cell r="B197" t="str">
            <v>110-2.28</v>
          </cell>
          <cell r="C197">
            <v>110594</v>
          </cell>
          <cell r="F197">
            <v>0</v>
          </cell>
          <cell r="AK197" t="str">
            <v>S1</v>
          </cell>
        </row>
        <row r="198">
          <cell r="A198" t="str">
            <v>Overpass</v>
          </cell>
          <cell r="G198">
            <v>48</v>
          </cell>
        </row>
        <row r="199">
          <cell r="B199" t="str">
            <v>110-2.29</v>
          </cell>
          <cell r="C199">
            <v>110642</v>
          </cell>
          <cell r="F199">
            <v>0</v>
          </cell>
          <cell r="AK199" t="str">
            <v>S1</v>
          </cell>
        </row>
        <row r="200">
          <cell r="G200">
            <v>54</v>
          </cell>
        </row>
        <row r="201">
          <cell r="B201" t="str">
            <v>110-2.30</v>
          </cell>
          <cell r="C201">
            <v>110696</v>
          </cell>
          <cell r="F201">
            <v>0</v>
          </cell>
          <cell r="AK201" t="str">
            <v>S1</v>
          </cell>
        </row>
        <row r="202">
          <cell r="G202">
            <v>54</v>
          </cell>
        </row>
        <row r="203">
          <cell r="B203" t="str">
            <v>110-2.32</v>
          </cell>
          <cell r="C203">
            <v>110750</v>
          </cell>
          <cell r="F203">
            <v>0</v>
          </cell>
          <cell r="AK203" t="str">
            <v>S1</v>
          </cell>
        </row>
        <row r="204">
          <cell r="A204" t="str">
            <v>LOD Station</v>
          </cell>
          <cell r="G204">
            <v>43</v>
          </cell>
        </row>
        <row r="205">
          <cell r="B205" t="str">
            <v>110-2.34</v>
          </cell>
          <cell r="C205">
            <v>110793</v>
          </cell>
          <cell r="F205">
            <v>0</v>
          </cell>
          <cell r="AK205" t="str">
            <v>S1</v>
          </cell>
        </row>
        <row r="206">
          <cell r="G206">
            <v>36</v>
          </cell>
          <cell r="I206" t="str">
            <v>AnRW</v>
          </cell>
          <cell r="J206">
            <v>110821.5</v>
          </cell>
          <cell r="K206" t="str">
            <v>AnRW</v>
          </cell>
        </row>
        <row r="207">
          <cell r="B207" t="str">
            <v>110-2.36</v>
          </cell>
          <cell r="C207">
            <v>110829</v>
          </cell>
          <cell r="F207">
            <v>0</v>
          </cell>
          <cell r="L207" t="str">
            <v>2HEB-320L</v>
          </cell>
          <cell r="M207" t="str">
            <v>C2h-320R</v>
          </cell>
          <cell r="AL207" t="str">
            <v>PR1E (27,5)</v>
          </cell>
          <cell r="AM207" t="str">
            <v>RW1</v>
          </cell>
        </row>
        <row r="208">
          <cell r="G208">
            <v>37</v>
          </cell>
        </row>
        <row r="209">
          <cell r="B209" t="str">
            <v>110-2.38</v>
          </cell>
          <cell r="C209">
            <v>110866</v>
          </cell>
          <cell r="F209">
            <v>0</v>
          </cell>
          <cell r="L209" t="str">
            <v>HEB-240</v>
          </cell>
          <cell r="M209" t="str">
            <v>C3R</v>
          </cell>
          <cell r="AM209" t="str">
            <v>RW1</v>
          </cell>
        </row>
        <row r="210">
          <cell r="G210">
            <v>40</v>
          </cell>
        </row>
        <row r="211">
          <cell r="B211" t="str">
            <v>110-2.42</v>
          </cell>
          <cell r="C211">
            <v>110906</v>
          </cell>
          <cell r="F211">
            <v>0</v>
          </cell>
          <cell r="L211" t="str">
            <v>HEB-320L</v>
          </cell>
          <cell r="M211" t="str">
            <v>C7R</v>
          </cell>
          <cell r="AK211" t="str">
            <v>S1</v>
          </cell>
          <cell r="AL211" t="str">
            <v>PR1C (19,9)</v>
          </cell>
          <cell r="AM211" t="str">
            <v>RW1</v>
          </cell>
        </row>
        <row r="212">
          <cell r="G212">
            <v>37</v>
          </cell>
          <cell r="I212" t="str">
            <v>FP+AnMC</v>
          </cell>
          <cell r="J212">
            <v>110935.5</v>
          </cell>
          <cell r="K212" t="str">
            <v>AnMC</v>
          </cell>
        </row>
        <row r="213">
          <cell r="B213" t="str">
            <v>110-2.44</v>
          </cell>
          <cell r="C213">
            <v>110943</v>
          </cell>
          <cell r="F213">
            <v>0</v>
          </cell>
          <cell r="H213" t="str">
            <v>A/S</v>
          </cell>
          <cell r="L213" t="str">
            <v>HEB-320L (CP)</v>
          </cell>
          <cell r="M213" t="str">
            <v>C7R</v>
          </cell>
          <cell r="AK213" t="str">
            <v>S1</v>
          </cell>
          <cell r="AL213" t="str">
            <v>PR1C (18,3)</v>
          </cell>
          <cell r="AM213" t="str">
            <v>RW1</v>
          </cell>
        </row>
        <row r="214">
          <cell r="G214">
            <v>42</v>
          </cell>
        </row>
        <row r="215">
          <cell r="B215" t="str">
            <v>110-2.46</v>
          </cell>
          <cell r="C215">
            <v>110985</v>
          </cell>
          <cell r="F215">
            <v>0</v>
          </cell>
          <cell r="H215" t="str">
            <v>S/A</v>
          </cell>
          <cell r="I215" t="str">
            <v>IO (SECT-I)</v>
          </cell>
          <cell r="L215" t="str">
            <v>HEB-280L</v>
          </cell>
          <cell r="M215" t="str">
            <v>C5R</v>
          </cell>
          <cell r="AL215" t="str">
            <v>PR1B (16,9)</v>
          </cell>
          <cell r="AM215" t="str">
            <v>RW1</v>
          </cell>
        </row>
        <row r="216">
          <cell r="G216">
            <v>53</v>
          </cell>
          <cell r="I216" t="str">
            <v>AnRW</v>
          </cell>
          <cell r="J216">
            <v>110992.5</v>
          </cell>
          <cell r="K216" t="str">
            <v>AnRW</v>
          </cell>
        </row>
        <row r="217">
          <cell r="B217" t="str">
            <v>111-2.03</v>
          </cell>
          <cell r="C217">
            <v>111038</v>
          </cell>
          <cell r="F217">
            <v>0</v>
          </cell>
          <cell r="H217" t="str">
            <v>P50 S/A</v>
          </cell>
          <cell r="L217" t="str">
            <v>HEB-280L</v>
          </cell>
          <cell r="M217" t="str">
            <v>C5R</v>
          </cell>
          <cell r="AL217" t="str">
            <v>PR1B (16,5)</v>
          </cell>
          <cell r="AM217" t="str">
            <v>RW1</v>
          </cell>
        </row>
        <row r="218">
          <cell r="G218">
            <v>42</v>
          </cell>
        </row>
        <row r="219">
          <cell r="B219" t="str">
            <v>111-2.05</v>
          </cell>
          <cell r="C219">
            <v>111080</v>
          </cell>
          <cell r="F219">
            <v>0</v>
          </cell>
          <cell r="H219" t="str">
            <v>P50 A/S</v>
          </cell>
          <cell r="L219" t="str">
            <v>HEB-280L</v>
          </cell>
          <cell r="M219" t="str">
            <v>C5R</v>
          </cell>
          <cell r="AL219" t="str">
            <v>PR1B (15,9)</v>
          </cell>
          <cell r="AM219" t="str">
            <v>RW1</v>
          </cell>
        </row>
        <row r="220">
          <cell r="G220">
            <v>39</v>
          </cell>
          <cell r="I220" t="str">
            <v>CP+AnMC</v>
          </cell>
          <cell r="J220">
            <v>111087.5</v>
          </cell>
          <cell r="K220" t="str">
            <v>AnMC</v>
          </cell>
        </row>
        <row r="221">
          <cell r="B221" t="str">
            <v>111-2.07</v>
          </cell>
          <cell r="C221">
            <v>111119</v>
          </cell>
          <cell r="F221">
            <v>0</v>
          </cell>
          <cell r="H221" t="str">
            <v>P55 AnMP</v>
          </cell>
          <cell r="L221" t="str">
            <v>HEB-280L</v>
          </cell>
          <cell r="M221" t="str">
            <v>C5R</v>
          </cell>
          <cell r="AL221" t="str">
            <v>PR1B (16,0)</v>
          </cell>
          <cell r="AM221" t="str">
            <v>RW1</v>
          </cell>
        </row>
        <row r="222">
          <cell r="G222">
            <v>39</v>
          </cell>
          <cell r="J222">
            <v>111126.5</v>
          </cell>
          <cell r="K222" t="str">
            <v>AnMP</v>
          </cell>
        </row>
        <row r="223">
          <cell r="B223" t="str">
            <v>111-2.09</v>
          </cell>
          <cell r="C223">
            <v>111158</v>
          </cell>
          <cell r="F223">
            <v>0</v>
          </cell>
          <cell r="H223" t="str">
            <v>S/A</v>
          </cell>
          <cell r="AK223" t="str">
            <v>S2</v>
          </cell>
        </row>
        <row r="224">
          <cell r="G224">
            <v>39</v>
          </cell>
        </row>
        <row r="225">
          <cell r="B225" t="str">
            <v>111-2.10</v>
          </cell>
          <cell r="C225">
            <v>111197</v>
          </cell>
          <cell r="F225">
            <v>0</v>
          </cell>
          <cell r="H225" t="str">
            <v>P50</v>
          </cell>
          <cell r="AK225" t="str">
            <v>S2</v>
          </cell>
        </row>
        <row r="226">
          <cell r="G226">
            <v>47</v>
          </cell>
        </row>
        <row r="227">
          <cell r="B227" t="str">
            <v>111-2.11</v>
          </cell>
          <cell r="C227">
            <v>111244</v>
          </cell>
          <cell r="F227">
            <v>0</v>
          </cell>
          <cell r="H227" t="str">
            <v>P70</v>
          </cell>
          <cell r="AK227" t="str">
            <v>S2</v>
          </cell>
        </row>
        <row r="228">
          <cell r="G228">
            <v>50</v>
          </cell>
        </row>
        <row r="229">
          <cell r="B229" t="str">
            <v>111-2.12</v>
          </cell>
          <cell r="C229">
            <v>111294</v>
          </cell>
          <cell r="F229">
            <v>-860</v>
          </cell>
          <cell r="H229" t="str">
            <v>P50</v>
          </cell>
          <cell r="AK229" t="str">
            <v>S2</v>
          </cell>
        </row>
        <row r="230">
          <cell r="G230">
            <v>39</v>
          </cell>
          <cell r="I230" t="str">
            <v>CP+AnMC</v>
          </cell>
          <cell r="J230">
            <v>111325.5</v>
          </cell>
          <cell r="K230" t="str">
            <v>AnMC</v>
          </cell>
        </row>
        <row r="231">
          <cell r="B231" t="str">
            <v>111-2.13</v>
          </cell>
          <cell r="C231">
            <v>111333</v>
          </cell>
          <cell r="F231">
            <v>-860</v>
          </cell>
          <cell r="H231" t="str">
            <v>S/A A/S-Diag</v>
          </cell>
          <cell r="L231" t="str">
            <v>HEB-280L</v>
          </cell>
          <cell r="M231" t="str">
            <v>C5R</v>
          </cell>
          <cell r="AL231" t="str">
            <v>PR1B (17,1)</v>
          </cell>
          <cell r="AM231" t="str">
            <v>RW1</v>
          </cell>
        </row>
        <row r="232">
          <cell r="A232" t="str">
            <v>Overhead Cable</v>
          </cell>
          <cell r="G232">
            <v>41</v>
          </cell>
        </row>
        <row r="233">
          <cell r="B233" t="str">
            <v>111-2.14</v>
          </cell>
          <cell r="C233">
            <v>111374</v>
          </cell>
          <cell r="F233">
            <v>-860</v>
          </cell>
          <cell r="H233" t="str">
            <v>S/A A/S-Diag</v>
          </cell>
          <cell r="L233" t="str">
            <v>HEB-280L</v>
          </cell>
          <cell r="M233" t="str">
            <v>C5R</v>
          </cell>
          <cell r="AL233" t="str">
            <v>PR1B (16,6)</v>
          </cell>
          <cell r="AM233" t="str">
            <v>RW1</v>
          </cell>
        </row>
        <row r="234">
          <cell r="G234">
            <v>51</v>
          </cell>
          <cell r="I234" t="str">
            <v>CP+AnMC</v>
          </cell>
          <cell r="J234">
            <v>111381.5</v>
          </cell>
          <cell r="K234" t="str">
            <v>AnMC</v>
          </cell>
        </row>
        <row r="235">
          <cell r="B235" t="str">
            <v>111-2.15</v>
          </cell>
          <cell r="C235">
            <v>111425</v>
          </cell>
          <cell r="F235">
            <v>0</v>
          </cell>
          <cell r="H235" t="str">
            <v>P50 A/S</v>
          </cell>
          <cell r="I235" t="str">
            <v>CP+AnMC</v>
          </cell>
          <cell r="J235">
            <v>111417.5</v>
          </cell>
          <cell r="K235" t="str">
            <v>AnMC</v>
          </cell>
          <cell r="L235" t="str">
            <v>HEB-280L</v>
          </cell>
          <cell r="M235" t="str">
            <v>C5R</v>
          </cell>
          <cell r="AL235" t="str">
            <v>PR1B (16,8)</v>
          </cell>
          <cell r="AM235" t="str">
            <v>RW1</v>
          </cell>
        </row>
        <row r="236">
          <cell r="G236">
            <v>52</v>
          </cell>
        </row>
        <row r="237">
          <cell r="B237" t="str">
            <v>111-2.16</v>
          </cell>
          <cell r="C237">
            <v>111477</v>
          </cell>
          <cell r="F237">
            <v>0</v>
          </cell>
          <cell r="H237" t="str">
            <v>S/A</v>
          </cell>
          <cell r="L237" t="str">
            <v>HEB-280L</v>
          </cell>
          <cell r="M237" t="str">
            <v>C5R</v>
          </cell>
          <cell r="AL237" t="str">
            <v>PR1B (16,3)</v>
          </cell>
          <cell r="AM237" t="str">
            <v>RW1</v>
          </cell>
        </row>
        <row r="238">
          <cell r="G238">
            <v>38</v>
          </cell>
        </row>
        <row r="239">
          <cell r="B239" t="str">
            <v>19-2.01</v>
          </cell>
          <cell r="C239">
            <v>19952</v>
          </cell>
          <cell r="F239">
            <v>0</v>
          </cell>
          <cell r="H239" t="str">
            <v>A</v>
          </cell>
          <cell r="L239" t="str">
            <v>HEB-280L</v>
          </cell>
          <cell r="M239" t="str">
            <v>C5R</v>
          </cell>
          <cell r="AL239" t="str">
            <v>PR1B (16,8)</v>
          </cell>
          <cell r="AM239" t="str">
            <v>RW1</v>
          </cell>
        </row>
        <row r="240">
          <cell r="G240">
            <v>36</v>
          </cell>
        </row>
        <row r="241">
          <cell r="B241" t="str">
            <v>19-2.02</v>
          </cell>
          <cell r="C241">
            <v>19988</v>
          </cell>
          <cell r="F241">
            <v>0</v>
          </cell>
          <cell r="H241" t="str">
            <v>A</v>
          </cell>
          <cell r="L241" t="str">
            <v>HEB-280L</v>
          </cell>
          <cell r="M241" t="str">
            <v>C5R</v>
          </cell>
          <cell r="AL241" t="str">
            <v>PR1B (17,6)</v>
          </cell>
          <cell r="AM241" t="str">
            <v>RW1</v>
          </cell>
        </row>
        <row r="242">
          <cell r="A242" t="str">
            <v xml:space="preserve"> Drainage Works</v>
          </cell>
          <cell r="G242">
            <v>39</v>
          </cell>
        </row>
        <row r="243">
          <cell r="B243" t="str">
            <v>19-2.04</v>
          </cell>
          <cell r="C243">
            <v>20027</v>
          </cell>
          <cell r="F243">
            <v>-800</v>
          </cell>
          <cell r="H243" t="str">
            <v>S/A</v>
          </cell>
          <cell r="I243" t="str">
            <v>IO</v>
          </cell>
          <cell r="L243" t="str">
            <v>2HEB-240</v>
          </cell>
          <cell r="M243" t="str">
            <v>C2h-240RT</v>
          </cell>
          <cell r="AM243" t="str">
            <v>RW1</v>
          </cell>
        </row>
        <row r="244">
          <cell r="G244">
            <v>35</v>
          </cell>
        </row>
        <row r="245">
          <cell r="B245" t="str">
            <v>19-2.05</v>
          </cell>
          <cell r="C245">
            <v>20062</v>
          </cell>
          <cell r="F245">
            <v>-800</v>
          </cell>
          <cell r="H245" t="str">
            <v>A/S</v>
          </cell>
          <cell r="L245" t="str">
            <v>HEB-280 (CP)</v>
          </cell>
          <cell r="M245" t="str">
            <v>C5RT</v>
          </cell>
          <cell r="AM245" t="str">
            <v>RW1</v>
          </cell>
        </row>
        <row r="246">
          <cell r="G246">
            <v>35</v>
          </cell>
          <cell r="I246" t="str">
            <v>CP+AnMC</v>
          </cell>
          <cell r="J246">
            <v>20069.5</v>
          </cell>
          <cell r="K246" t="str">
            <v>AnMC-RT</v>
          </cell>
        </row>
        <row r="247">
          <cell r="B247" t="str">
            <v>19-2.06</v>
          </cell>
          <cell r="C247">
            <v>20097</v>
          </cell>
          <cell r="F247">
            <v>-800</v>
          </cell>
          <cell r="L247" t="str">
            <v>HEB-260</v>
          </cell>
          <cell r="M247" t="str">
            <v>C4RT</v>
          </cell>
          <cell r="AM247" t="str">
            <v>RW1</v>
          </cell>
        </row>
        <row r="293">
          <cell r="B293" t="str">
            <v>Possible Signalling Interface Detected</v>
          </cell>
        </row>
        <row r="294">
          <cell r="B294" t="str">
            <v>Sorted out by using "L"foundation</v>
          </cell>
        </row>
        <row r="295">
          <cell r="B295" t="str">
            <v>Sorted out by reducing gauge up to 2.90m</v>
          </cell>
        </row>
        <row r="296">
          <cell r="B296" t="str">
            <v>Special and particular solution to be applied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pageSetUpPr fitToPage="1"/>
  </sheetPr>
  <dimension ref="A1:L20"/>
  <sheetViews>
    <sheetView tabSelected="1" view="pageBreakPreview" zoomScale="85" zoomScaleNormal="85" zoomScaleSheetLayoutView="85" workbookViewId="0">
      <pane xSplit="2" ySplit="2" topLeftCell="C3" activePane="bottomRight" state="frozen"/>
      <selection activeCell="D28" sqref="D28"/>
      <selection pane="topRight" activeCell="D28" sqref="D28"/>
      <selection pane="bottomLeft" activeCell="D28" sqref="D28"/>
      <selection pane="bottomRight" activeCell="C5" sqref="C5"/>
    </sheetView>
  </sheetViews>
  <sheetFormatPr baseColWidth="10" defaultColWidth="11.42578125" defaultRowHeight="12.75"/>
  <cols>
    <col min="1" max="1" width="15" style="1129" customWidth="1"/>
    <col min="2" max="2" width="12.85546875" style="1129" bestFit="1" customWidth="1"/>
    <col min="3" max="3" width="103.7109375" style="1129" bestFit="1" customWidth="1"/>
    <col min="4" max="4" width="11.140625" style="1129" bestFit="1" customWidth="1"/>
    <col min="5" max="5" width="13.42578125" style="1129" customWidth="1"/>
    <col min="6" max="6" width="9.7109375" style="1129" customWidth="1"/>
    <col min="7" max="7" width="11.42578125" style="1129"/>
    <col min="8" max="8" width="35.5703125" style="1129" customWidth="1"/>
    <col min="9" max="9" width="11.42578125" style="1129"/>
    <col min="10" max="10" width="35.5703125" style="1129" customWidth="1"/>
    <col min="11" max="11" width="11.42578125" style="1129"/>
    <col min="12" max="12" width="35.5703125" style="1129" customWidth="1"/>
    <col min="13" max="13" width="11.42578125" style="1129"/>
    <col min="14" max="14" width="35.5703125" style="1129" customWidth="1"/>
    <col min="15" max="15" width="11.42578125" style="1129"/>
    <col min="16" max="16" width="35.5703125" style="1129" customWidth="1"/>
    <col min="17" max="16384" width="11.42578125" style="1129"/>
  </cols>
  <sheetData>
    <row r="1" spans="1:12">
      <c r="A1" s="1209" t="s">
        <v>1648</v>
      </c>
      <c r="B1" s="1209" t="s">
        <v>1632</v>
      </c>
      <c r="C1" s="1209" t="s">
        <v>1647</v>
      </c>
      <c r="D1" s="1209" t="s">
        <v>2768</v>
      </c>
    </row>
    <row r="2" spans="1:12" ht="24" customHeight="1">
      <c r="A2" s="1209"/>
      <c r="B2" s="1209"/>
      <c r="C2" s="1209"/>
      <c r="D2" s="1209"/>
    </row>
    <row r="3" spans="1:12" ht="24.95" customHeight="1">
      <c r="A3" s="241">
        <v>0</v>
      </c>
      <c r="B3" s="1118" t="s">
        <v>699</v>
      </c>
      <c r="C3" s="1205" t="s">
        <v>3216</v>
      </c>
      <c r="D3" s="241" t="s">
        <v>699</v>
      </c>
    </row>
    <row r="4" spans="1:12" ht="24.95" customHeight="1">
      <c r="A4" s="241">
        <v>1</v>
      </c>
      <c r="B4" s="529" t="s">
        <v>699</v>
      </c>
      <c r="C4" s="1206" t="s">
        <v>3213</v>
      </c>
      <c r="D4" s="241" t="s">
        <v>699</v>
      </c>
      <c r="L4" s="1132"/>
    </row>
    <row r="5" spans="1:12" ht="24.95" customHeight="1">
      <c r="A5" s="241">
        <v>2</v>
      </c>
      <c r="B5" s="529" t="s">
        <v>699</v>
      </c>
      <c r="C5" s="1206" t="s">
        <v>3213</v>
      </c>
      <c r="D5" s="241" t="s">
        <v>699</v>
      </c>
      <c r="G5" s="1133"/>
    </row>
    <row r="6" spans="1:12" ht="24.95" customHeight="1">
      <c r="A6" s="241">
        <v>3</v>
      </c>
      <c r="B6" s="529" t="s">
        <v>699</v>
      </c>
      <c r="C6" s="1206" t="s">
        <v>3213</v>
      </c>
      <c r="D6" s="241" t="s">
        <v>699</v>
      </c>
    </row>
    <row r="7" spans="1:12" ht="24.95" customHeight="1">
      <c r="A7" s="241">
        <v>4</v>
      </c>
      <c r="B7" s="529" t="s">
        <v>699</v>
      </c>
      <c r="C7" s="1206" t="s">
        <v>3213</v>
      </c>
      <c r="D7" s="241" t="s">
        <v>699</v>
      </c>
    </row>
    <row r="8" spans="1:12" ht="38.25" customHeight="1">
      <c r="A8" s="241">
        <v>5</v>
      </c>
      <c r="B8" s="1118" t="s">
        <v>699</v>
      </c>
      <c r="C8" s="1205" t="s">
        <v>3215</v>
      </c>
      <c r="D8" s="241" t="s">
        <v>699</v>
      </c>
    </row>
    <row r="9" spans="1:12" ht="24.95" customHeight="1">
      <c r="A9" s="241">
        <v>6</v>
      </c>
      <c r="B9" s="1118">
        <v>42936</v>
      </c>
      <c r="C9" s="1205" t="s">
        <v>3214</v>
      </c>
      <c r="D9" s="241" t="s">
        <v>699</v>
      </c>
    </row>
    <row r="10" spans="1:12" ht="24.95" customHeight="1">
      <c r="A10" s="241">
        <v>7</v>
      </c>
      <c r="B10" s="529" t="s">
        <v>699</v>
      </c>
      <c r="C10" s="1205" t="s">
        <v>3213</v>
      </c>
      <c r="D10" s="241" t="s">
        <v>699</v>
      </c>
    </row>
    <row r="11" spans="1:12" ht="24.95" customHeight="1">
      <c r="A11" s="241">
        <v>8</v>
      </c>
      <c r="B11" s="1118" t="s">
        <v>699</v>
      </c>
      <c r="C11" s="1205" t="s">
        <v>3213</v>
      </c>
      <c r="D11" s="241" t="s">
        <v>699</v>
      </c>
    </row>
    <row r="12" spans="1:12" ht="24.95" customHeight="1">
      <c r="A12" s="241">
        <v>9</v>
      </c>
      <c r="B12" s="529" t="s">
        <v>699</v>
      </c>
      <c r="C12" s="1205" t="s">
        <v>3213</v>
      </c>
      <c r="D12" s="241" t="s">
        <v>699</v>
      </c>
    </row>
    <row r="13" spans="1:12" ht="24.95" customHeight="1">
      <c r="A13" s="241">
        <v>10</v>
      </c>
      <c r="B13" s="529" t="s">
        <v>699</v>
      </c>
      <c r="C13" s="1206" t="s">
        <v>3213</v>
      </c>
      <c r="D13" s="241" t="s">
        <v>699</v>
      </c>
    </row>
    <row r="14" spans="1:12" ht="24.95" customHeight="1">
      <c r="A14" s="241">
        <v>11</v>
      </c>
      <c r="B14" s="529" t="s">
        <v>699</v>
      </c>
      <c r="C14" s="1206" t="s">
        <v>3213</v>
      </c>
      <c r="D14" s="241" t="s">
        <v>699</v>
      </c>
    </row>
    <row r="15" spans="1:12" ht="24.95" customHeight="1">
      <c r="A15" s="241">
        <v>12</v>
      </c>
      <c r="B15" s="529">
        <v>43061</v>
      </c>
      <c r="C15" s="1206" t="s">
        <v>3217</v>
      </c>
      <c r="D15" s="241" t="s">
        <v>2769</v>
      </c>
    </row>
    <row r="16" spans="1:12" ht="24.95" customHeight="1">
      <c r="A16" s="241">
        <v>13</v>
      </c>
      <c r="B16" s="529">
        <v>43171</v>
      </c>
      <c r="C16" s="1206" t="s">
        <v>3218</v>
      </c>
      <c r="D16" s="241" t="s">
        <v>3101</v>
      </c>
    </row>
    <row r="17" spans="1:4" ht="75">
      <c r="A17" s="241">
        <v>14</v>
      </c>
      <c r="B17" s="529">
        <v>43254</v>
      </c>
      <c r="C17" s="1206" t="s">
        <v>3212</v>
      </c>
      <c r="D17" s="1207" t="s">
        <v>3211</v>
      </c>
    </row>
    <row r="18" spans="1:4" ht="45">
      <c r="A18" s="241">
        <v>15</v>
      </c>
      <c r="B18" s="529">
        <v>43262</v>
      </c>
      <c r="C18" s="1206" t="s">
        <v>3221</v>
      </c>
      <c r="D18" s="241" t="s">
        <v>3101</v>
      </c>
    </row>
    <row r="19" spans="1:4" ht="25.5" customHeight="1">
      <c r="A19" s="241">
        <v>16</v>
      </c>
      <c r="B19" s="529">
        <v>43291</v>
      </c>
      <c r="C19" s="1206" t="s">
        <v>3222</v>
      </c>
      <c r="D19" s="241" t="s">
        <v>2769</v>
      </c>
    </row>
    <row r="20" spans="1:4" ht="60">
      <c r="A20" s="241">
        <v>17</v>
      </c>
      <c r="B20" s="529"/>
      <c r="C20" s="1206" t="s">
        <v>3278</v>
      </c>
      <c r="D20" s="241" t="s">
        <v>2769</v>
      </c>
    </row>
  </sheetData>
  <mergeCells count="4">
    <mergeCell ref="A1:A2"/>
    <mergeCell ref="B1:B2"/>
    <mergeCell ref="C1:C2"/>
    <mergeCell ref="D1:D2"/>
  </mergeCells>
  <printOptions horizontalCentered="1" gridLines="1"/>
  <pageMargins left="0.39370078740157483" right="0.39370078740157483" top="1.1811023622047245" bottom="0.74803149606299213" header="0.31496062992125984" footer="0.31496062992125984"/>
  <pageSetup paperSize="9" scale="68" fitToHeight="0" orientation="portrait" cellComments="asDisplayed" r:id="rId1"/>
  <headerFooter alignWithMargins="0">
    <oddHeader>&amp;L&amp;G&amp;C
LAYOUT AND EQUIPMENT EP11 
REVISION DATA&amp;R&amp;G</oddHeader>
    <oddFooter>&amp;L &amp;F&amp;R&amp;D     Pag &amp;P of &amp;N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theme="6" tint="-0.499984740745262"/>
    <pageSetUpPr fitToPage="1"/>
  </sheetPr>
  <dimension ref="A1:BT4907"/>
  <sheetViews>
    <sheetView zoomScale="55" zoomScaleNormal="55" zoomScaleSheetLayoutView="70" workbookViewId="0">
      <pane xSplit="5" ySplit="3" topLeftCell="N4" activePane="bottomRight" state="frozen"/>
      <selection activeCell="C20" sqref="C20"/>
      <selection pane="topRight" activeCell="C20" sqref="C20"/>
      <selection pane="bottomLeft" activeCell="C20" sqref="C20"/>
      <selection pane="bottomRight" activeCell="AY580" sqref="AY580"/>
    </sheetView>
  </sheetViews>
  <sheetFormatPr baseColWidth="10" defaultColWidth="11.42578125" defaultRowHeight="15.75" customHeight="1"/>
  <cols>
    <col min="1" max="1" width="23.28515625" style="308" customWidth="1"/>
    <col min="2" max="2" width="13.140625" style="1119" customWidth="1"/>
    <col min="3" max="3" width="13.7109375" style="309" hidden="1" customWidth="1"/>
    <col min="4" max="4" width="12.42578125" style="306" hidden="1" customWidth="1"/>
    <col min="5" max="5" width="12.42578125" style="307" hidden="1" customWidth="1"/>
    <col min="6" max="6" width="9.5703125" style="290" hidden="1" customWidth="1"/>
    <col min="7" max="7" width="7.7109375" style="310" hidden="1" customWidth="1"/>
    <col min="8" max="8" width="16.42578125" style="1119" customWidth="1"/>
    <col min="9" max="9" width="14.7109375" style="310" customWidth="1"/>
    <col min="10" max="10" width="15.140625" style="311" hidden="1" customWidth="1"/>
    <col min="11" max="11" width="14.85546875" style="1119" customWidth="1"/>
    <col min="12" max="12" width="16.28515625" style="1119" customWidth="1"/>
    <col min="13" max="13" width="16" style="1119" customWidth="1"/>
    <col min="14" max="16" width="8.85546875" style="1119" customWidth="1"/>
    <col min="17" max="17" width="14.140625" style="1119" customWidth="1"/>
    <col min="18" max="18" width="13.140625" style="1024" customWidth="1"/>
    <col min="19" max="19" width="10.5703125" style="1024" customWidth="1"/>
    <col min="20" max="28" width="6" style="1119" customWidth="1"/>
    <col min="29" max="30" width="10.28515625" style="1119" customWidth="1"/>
    <col min="31" max="31" width="8.85546875" style="1119" customWidth="1"/>
    <col min="32" max="32" width="17.140625" style="1119" customWidth="1"/>
    <col min="33" max="33" width="15.5703125" style="1119" customWidth="1"/>
    <col min="34" max="36" width="15.85546875" style="1119" customWidth="1"/>
    <col min="37" max="37" width="13.140625" style="1119" customWidth="1"/>
    <col min="38" max="38" width="10.85546875" style="307" customWidth="1"/>
    <col min="39" max="39" width="15.85546875" style="312" customWidth="1"/>
    <col min="40" max="40" width="9" style="436" customWidth="1"/>
    <col min="41" max="42" width="15.85546875" style="1119" customWidth="1"/>
    <col min="43" max="43" width="11.85546875" style="312" customWidth="1"/>
    <col min="44" max="44" width="10" style="307" customWidth="1"/>
    <col min="45" max="45" width="6.140625" style="307" customWidth="1"/>
    <col min="46" max="46" width="9.140625" style="312" customWidth="1"/>
    <col min="47" max="47" width="9" style="307" customWidth="1"/>
    <col min="48" max="48" width="15.85546875" style="307" customWidth="1"/>
    <col min="49" max="49" width="8.85546875" style="307" customWidth="1"/>
    <col min="50" max="50" width="9.5703125" style="307" customWidth="1"/>
    <col min="51" max="51" width="8.85546875" style="307" customWidth="1"/>
    <col min="52" max="52" width="9.85546875" style="307" customWidth="1"/>
    <col min="53" max="53" width="12.5703125" style="307" customWidth="1"/>
    <col min="54" max="54" width="16.28515625" style="307" customWidth="1"/>
    <col min="55" max="55" width="56.85546875" style="1119" customWidth="1"/>
    <col min="56" max="56" width="15.85546875" style="1119" customWidth="1"/>
    <col min="57" max="57" width="2.85546875" style="307" customWidth="1"/>
    <col min="58" max="58" width="45.85546875" style="307" customWidth="1"/>
    <col min="59" max="59" width="19.140625" style="307" customWidth="1"/>
    <col min="60" max="60" width="4.85546875" style="1119" customWidth="1"/>
    <col min="61" max="61" width="22.85546875" style="1119" customWidth="1"/>
    <col min="62" max="64" width="11.42578125" style="1119" customWidth="1"/>
    <col min="65" max="65" width="13.140625" style="1119" customWidth="1"/>
    <col min="66" max="66" width="11.42578125" style="1119" customWidth="1"/>
    <col min="67" max="67" width="20.42578125" style="1119" customWidth="1"/>
    <col min="68" max="68" width="25.85546875" style="1119" customWidth="1"/>
    <col min="69" max="69" width="32.140625" style="1119" customWidth="1"/>
    <col min="70" max="16384" width="11.42578125" style="1119"/>
  </cols>
  <sheetData>
    <row r="1" spans="1:69" ht="35.25" customHeight="1" thickBot="1">
      <c r="A1" s="1210" t="s">
        <v>459</v>
      </c>
      <c r="B1" s="1211"/>
      <c r="C1" s="1211"/>
      <c r="D1" s="1211"/>
      <c r="E1" s="1211"/>
      <c r="F1" s="1211"/>
      <c r="G1" s="1211"/>
      <c r="H1" s="1211"/>
      <c r="I1" s="1211"/>
      <c r="J1" s="1211"/>
      <c r="K1" s="1211"/>
      <c r="L1" s="1211"/>
      <c r="M1" s="1211"/>
      <c r="N1" s="1211"/>
      <c r="O1" s="1211"/>
      <c r="P1" s="1211"/>
      <c r="Q1" s="1211"/>
      <c r="R1" s="1211"/>
      <c r="S1" s="1211"/>
      <c r="T1" s="1211"/>
      <c r="U1" s="1211"/>
      <c r="V1" s="1211"/>
      <c r="W1" s="1211"/>
      <c r="X1" s="1211"/>
      <c r="Y1" s="1211"/>
      <c r="Z1" s="1211"/>
      <c r="AA1" s="1211"/>
      <c r="AB1" s="1211"/>
      <c r="AC1" s="1211"/>
      <c r="AD1" s="1211"/>
      <c r="AE1" s="1211"/>
      <c r="AF1" s="1211"/>
      <c r="AG1" s="1211"/>
      <c r="AH1" s="1211"/>
      <c r="AI1" s="1211"/>
      <c r="AJ1" s="1211"/>
      <c r="AK1" s="1211"/>
      <c r="AL1" s="1211"/>
      <c r="AM1" s="1211"/>
      <c r="AN1" s="1211"/>
      <c r="AO1" s="1211"/>
      <c r="AP1" s="1211"/>
      <c r="AQ1" s="1211"/>
      <c r="AR1" s="1211"/>
      <c r="AS1" s="1211"/>
      <c r="AT1" s="1211"/>
      <c r="AU1" s="1211"/>
      <c r="AV1" s="1211"/>
      <c r="AW1" s="1211"/>
      <c r="AX1" s="1211"/>
      <c r="AY1" s="1211"/>
      <c r="AZ1" s="1211"/>
      <c r="BA1" s="983"/>
      <c r="BB1" s="306"/>
      <c r="BC1" s="306"/>
    </row>
    <row r="2" spans="1:69" ht="42" customHeight="1" thickBot="1">
      <c r="A2" s="159" t="s">
        <v>1594</v>
      </c>
      <c r="B2" s="160" t="s">
        <v>460</v>
      </c>
      <c r="C2" s="159" t="s">
        <v>3013</v>
      </c>
      <c r="D2" s="161" t="s">
        <v>1595</v>
      </c>
      <c r="E2" s="162" t="s">
        <v>662</v>
      </c>
      <c r="F2" s="163" t="s">
        <v>461</v>
      </c>
      <c r="G2" s="163" t="s">
        <v>3014</v>
      </c>
      <c r="H2" s="160" t="s">
        <v>464</v>
      </c>
      <c r="I2" s="164" t="s">
        <v>463</v>
      </c>
      <c r="J2" s="165" t="s">
        <v>975</v>
      </c>
      <c r="K2" s="166" t="s">
        <v>660</v>
      </c>
      <c r="L2" s="166" t="s">
        <v>465</v>
      </c>
      <c r="M2" s="166" t="s">
        <v>462</v>
      </c>
      <c r="N2" s="1214" t="s">
        <v>466</v>
      </c>
      <c r="O2" s="1215"/>
      <c r="P2" s="1216"/>
      <c r="Q2" s="166" t="s">
        <v>661</v>
      </c>
      <c r="R2" s="1018" t="s">
        <v>663</v>
      </c>
      <c r="S2" s="1018" t="s">
        <v>664</v>
      </c>
      <c r="T2" s="1220" t="s">
        <v>471</v>
      </c>
      <c r="U2" s="1221"/>
      <c r="V2" s="1222"/>
      <c r="W2" s="1214" t="s">
        <v>2628</v>
      </c>
      <c r="X2" s="1215"/>
      <c r="Y2" s="1216"/>
      <c r="Z2" s="1220" t="s">
        <v>1596</v>
      </c>
      <c r="AA2" s="1221"/>
      <c r="AB2" s="1222"/>
      <c r="AC2" s="1214" t="s">
        <v>665</v>
      </c>
      <c r="AD2" s="1215"/>
      <c r="AE2" s="1216"/>
      <c r="AF2" s="166" t="s">
        <v>666</v>
      </c>
      <c r="AG2" s="166" t="s">
        <v>3015</v>
      </c>
      <c r="AH2" s="166" t="s">
        <v>667</v>
      </c>
      <c r="AI2" s="166" t="s">
        <v>668</v>
      </c>
      <c r="AJ2" s="167" t="s">
        <v>669</v>
      </c>
      <c r="AK2" s="166" t="s">
        <v>467</v>
      </c>
      <c r="AL2" s="166" t="s">
        <v>468</v>
      </c>
      <c r="AM2" s="1120" t="s">
        <v>671</v>
      </c>
      <c r="AN2" s="1217" t="s">
        <v>2626</v>
      </c>
      <c r="AO2" s="1218"/>
      <c r="AP2" s="1219"/>
      <c r="AQ2" s="1214" t="s">
        <v>472</v>
      </c>
      <c r="AR2" s="1215"/>
      <c r="AS2" s="1216"/>
      <c r="AT2" s="1214" t="s">
        <v>670</v>
      </c>
      <c r="AU2" s="1215"/>
      <c r="AV2" s="1216"/>
      <c r="AW2" s="166" t="s">
        <v>1597</v>
      </c>
      <c r="AX2" s="166" t="s">
        <v>1598</v>
      </c>
      <c r="AY2" s="166" t="s">
        <v>1599</v>
      </c>
      <c r="AZ2" s="166" t="s">
        <v>2723</v>
      </c>
      <c r="BA2" s="984" t="s">
        <v>3011</v>
      </c>
      <c r="BB2" s="303"/>
      <c r="BC2" s="296" t="s">
        <v>976</v>
      </c>
      <c r="BD2" s="297"/>
      <c r="BE2" s="298"/>
      <c r="BF2" s="299" t="s">
        <v>976</v>
      </c>
      <c r="BG2" s="300"/>
      <c r="BH2" s="295"/>
      <c r="BI2" s="1026" t="s">
        <v>977</v>
      </c>
      <c r="BJ2" s="1027" t="s">
        <v>926</v>
      </c>
      <c r="BK2" s="1027" t="s">
        <v>927</v>
      </c>
      <c r="BL2" s="1027" t="s">
        <v>928</v>
      </c>
      <c r="BM2" s="1038" t="s">
        <v>198</v>
      </c>
      <c r="BN2" s="295"/>
      <c r="BO2" s="295"/>
      <c r="BP2" s="295"/>
    </row>
    <row r="3" spans="1:69" ht="15.75" customHeight="1">
      <c r="A3" s="445"/>
      <c r="B3" s="436"/>
      <c r="C3" s="446"/>
      <c r="D3" s="418"/>
      <c r="E3" s="312"/>
      <c r="F3" s="447"/>
      <c r="G3" s="448"/>
      <c r="H3" s="436"/>
      <c r="I3" s="448"/>
      <c r="J3" s="449"/>
      <c r="K3" s="436"/>
      <c r="L3" s="436"/>
      <c r="M3" s="436"/>
      <c r="N3" s="313" t="s">
        <v>123</v>
      </c>
      <c r="O3" s="313" t="s">
        <v>124</v>
      </c>
      <c r="P3" s="313" t="s">
        <v>125</v>
      </c>
      <c r="Q3" s="436"/>
      <c r="R3" s="1019"/>
      <c r="S3" s="1019"/>
      <c r="T3" s="313" t="s">
        <v>126</v>
      </c>
      <c r="U3" s="313" t="s">
        <v>127</v>
      </c>
      <c r="V3" s="313" t="s">
        <v>128</v>
      </c>
      <c r="W3" s="313" t="s">
        <v>129</v>
      </c>
      <c r="X3" s="313" t="s">
        <v>130</v>
      </c>
      <c r="Y3" s="313" t="s">
        <v>131</v>
      </c>
      <c r="Z3" s="313" t="s">
        <v>132</v>
      </c>
      <c r="AA3" s="313" t="s">
        <v>133</v>
      </c>
      <c r="AB3" s="313" t="s">
        <v>134</v>
      </c>
      <c r="AC3" s="313" t="s">
        <v>135</v>
      </c>
      <c r="AD3" s="313" t="s">
        <v>136</v>
      </c>
      <c r="AE3" s="313" t="s">
        <v>137</v>
      </c>
      <c r="AF3" s="436"/>
      <c r="AG3" s="436"/>
      <c r="AH3" s="436"/>
      <c r="AI3" s="436"/>
      <c r="AJ3" s="436"/>
      <c r="AK3" s="436"/>
      <c r="AL3" s="312"/>
      <c r="AN3" s="313" t="s">
        <v>129</v>
      </c>
      <c r="AO3" s="313" t="s">
        <v>130</v>
      </c>
      <c r="AP3" s="313" t="s">
        <v>131</v>
      </c>
      <c r="AQ3" s="313" t="s">
        <v>645</v>
      </c>
      <c r="AR3" s="313" t="s">
        <v>646</v>
      </c>
      <c r="AS3" s="313" t="s">
        <v>647</v>
      </c>
      <c r="AT3" s="313" t="s">
        <v>648</v>
      </c>
      <c r="AU3" s="313" t="s">
        <v>649</v>
      </c>
      <c r="AV3" s="313" t="s">
        <v>650</v>
      </c>
      <c r="AW3" s="418"/>
      <c r="AX3" s="418"/>
      <c r="AY3" s="418"/>
      <c r="AZ3" s="418"/>
      <c r="BA3" s="420"/>
      <c r="BB3" s="306"/>
      <c r="BC3" s="304"/>
      <c r="BD3" s="301"/>
      <c r="BE3" s="298"/>
      <c r="BF3" s="304"/>
      <c r="BG3" s="301"/>
      <c r="BI3" s="1039"/>
      <c r="BJ3" s="1028"/>
      <c r="BK3" s="1028"/>
      <c r="BL3" s="1028"/>
      <c r="BM3" s="314"/>
    </row>
    <row r="4" spans="1:69" ht="15.75" customHeight="1">
      <c r="A4" s="445"/>
      <c r="B4" s="325"/>
      <c r="C4" s="320"/>
      <c r="D4" s="976"/>
      <c r="E4" s="976"/>
      <c r="F4" s="326"/>
      <c r="G4" s="327"/>
      <c r="H4" s="976"/>
      <c r="I4" s="319"/>
      <c r="J4" s="320"/>
      <c r="K4" s="976"/>
      <c r="L4" s="976"/>
      <c r="M4" s="976"/>
      <c r="N4" s="976"/>
      <c r="O4" s="976"/>
      <c r="P4" s="976"/>
      <c r="Q4" s="976"/>
      <c r="R4" s="1020"/>
      <c r="S4" s="1020"/>
      <c r="T4" s="976"/>
      <c r="U4" s="976"/>
      <c r="V4" s="976"/>
      <c r="W4" s="976"/>
      <c r="X4" s="976"/>
      <c r="Y4" s="976"/>
      <c r="Z4" s="976"/>
      <c r="AA4" s="976"/>
      <c r="AB4" s="976"/>
      <c r="AC4" s="976"/>
      <c r="AD4" s="976"/>
      <c r="AE4" s="976"/>
      <c r="AF4" s="976"/>
      <c r="AG4" s="320"/>
      <c r="AH4" s="976"/>
      <c r="AI4" s="976"/>
      <c r="AJ4" s="976"/>
      <c r="AK4" s="976"/>
      <c r="AL4" s="976"/>
      <c r="AM4" s="976"/>
      <c r="AN4" s="321"/>
      <c r="AO4" s="321"/>
      <c r="AP4" s="321"/>
      <c r="AQ4" s="321"/>
      <c r="AR4" s="321"/>
      <c r="AS4" s="321"/>
      <c r="AT4" s="321"/>
      <c r="AU4" s="321"/>
      <c r="AV4" s="321"/>
      <c r="AW4" s="321"/>
      <c r="AX4" s="321"/>
      <c r="AY4" s="451"/>
      <c r="AZ4" s="451"/>
      <c r="BA4" s="451"/>
      <c r="BB4" s="306"/>
      <c r="BC4" s="323"/>
      <c r="BD4" s="324"/>
      <c r="BE4" s="298"/>
      <c r="BF4" s="323"/>
      <c r="BG4" s="324"/>
      <c r="BI4" s="316" t="s">
        <v>929</v>
      </c>
      <c r="BJ4" s="317">
        <v>10500</v>
      </c>
      <c r="BK4" s="317">
        <v>23660</v>
      </c>
      <c r="BL4" s="1028">
        <v>2</v>
      </c>
      <c r="BM4" s="314">
        <f>+(BK4-BJ4)*BL4/1000</f>
        <v>26.32</v>
      </c>
    </row>
    <row r="5" spans="1:69" ht="14.25">
      <c r="A5" s="318"/>
      <c r="B5" s="325" t="s">
        <v>2980</v>
      </c>
      <c r="C5" s="320">
        <v>10507</v>
      </c>
      <c r="D5" s="976"/>
      <c r="E5" s="976"/>
      <c r="F5" s="326">
        <v>0</v>
      </c>
      <c r="G5" s="327"/>
      <c r="H5" s="976" t="s">
        <v>138</v>
      </c>
      <c r="I5" s="319" t="s">
        <v>656</v>
      </c>
      <c r="J5" s="320"/>
      <c r="K5" s="976"/>
      <c r="L5" s="976"/>
      <c r="M5" s="976"/>
      <c r="N5" s="976"/>
      <c r="O5" s="976"/>
      <c r="P5" s="976"/>
      <c r="Q5" s="976"/>
      <c r="R5" s="1020"/>
      <c r="S5" s="1020"/>
      <c r="T5" s="976"/>
      <c r="U5" s="976"/>
      <c r="V5" s="976"/>
      <c r="W5" s="976"/>
      <c r="X5" s="976"/>
      <c r="Y5" s="976"/>
      <c r="Z5" s="976"/>
      <c r="AA5" s="976"/>
      <c r="AB5" s="976"/>
      <c r="AC5" s="976"/>
      <c r="AD5" s="976"/>
      <c r="AE5" s="976"/>
      <c r="AF5" s="976"/>
      <c r="AG5" s="320"/>
      <c r="AH5" s="976"/>
      <c r="AI5" s="976"/>
      <c r="AJ5" s="976"/>
      <c r="AK5" s="976"/>
      <c r="AL5" s="976"/>
      <c r="AM5" s="976"/>
      <c r="AN5" s="321"/>
      <c r="AO5" s="321"/>
      <c r="AP5" s="321"/>
      <c r="AQ5" s="321"/>
      <c r="AR5" s="321"/>
      <c r="AS5" s="321"/>
      <c r="AT5" s="321"/>
      <c r="AU5" s="321"/>
      <c r="AV5" s="321"/>
      <c r="AW5" s="321"/>
      <c r="AX5" s="321"/>
      <c r="AY5" s="451"/>
      <c r="AZ5" s="451"/>
      <c r="BA5" s="451"/>
      <c r="BB5" s="306"/>
      <c r="BC5" s="322" t="s">
        <v>981</v>
      </c>
      <c r="BD5" s="328"/>
      <c r="BE5" s="298"/>
      <c r="BF5" s="323" t="s">
        <v>1032</v>
      </c>
      <c r="BG5" s="324" t="s">
        <v>474</v>
      </c>
      <c r="BI5" s="316" t="s">
        <v>2526</v>
      </c>
      <c r="BJ5" s="317">
        <v>23660</v>
      </c>
      <c r="BK5" s="317">
        <v>30900</v>
      </c>
      <c r="BL5" s="1028">
        <v>2</v>
      </c>
      <c r="BM5" s="314">
        <f>+(BK5-BJ5)*BL5/1000</f>
        <v>14.48</v>
      </c>
    </row>
    <row r="6" spans="1:69" ht="14.25">
      <c r="A6" s="318"/>
      <c r="B6" s="329"/>
      <c r="C6" s="320"/>
      <c r="D6" s="976"/>
      <c r="E6" s="976"/>
      <c r="F6" s="326"/>
      <c r="G6" s="327">
        <v>50</v>
      </c>
      <c r="H6" s="976"/>
      <c r="I6" s="319"/>
      <c r="J6" s="320"/>
      <c r="K6" s="976"/>
      <c r="L6" s="976"/>
      <c r="M6" s="976"/>
      <c r="N6" s="976"/>
      <c r="O6" s="976"/>
      <c r="P6" s="976"/>
      <c r="Q6" s="976"/>
      <c r="R6" s="1020"/>
      <c r="S6" s="1020"/>
      <c r="T6" s="976"/>
      <c r="U6" s="976"/>
      <c r="V6" s="976"/>
      <c r="W6" s="976"/>
      <c r="X6" s="976"/>
      <c r="Y6" s="976"/>
      <c r="Z6" s="976"/>
      <c r="AA6" s="976"/>
      <c r="AB6" s="976"/>
      <c r="AC6" s="976"/>
      <c r="AD6" s="976"/>
      <c r="AE6" s="976"/>
      <c r="AF6" s="976"/>
      <c r="AG6" s="320"/>
      <c r="AH6" s="976"/>
      <c r="AI6" s="976"/>
      <c r="AJ6" s="976"/>
      <c r="AK6" s="976"/>
      <c r="AL6" s="976"/>
      <c r="AM6" s="976"/>
      <c r="AN6" s="321"/>
      <c r="AO6" s="321"/>
      <c r="AP6" s="321"/>
      <c r="AQ6" s="321"/>
      <c r="AR6" s="321"/>
      <c r="AS6" s="321"/>
      <c r="AT6" s="321"/>
      <c r="AU6" s="321"/>
      <c r="AV6" s="321"/>
      <c r="AW6" s="321"/>
      <c r="AX6" s="321"/>
      <c r="AY6" s="321"/>
      <c r="AZ6" s="321"/>
      <c r="BA6" s="321"/>
      <c r="BB6" s="306"/>
      <c r="BC6" s="322" t="s">
        <v>980</v>
      </c>
      <c r="BD6" s="330"/>
      <c r="BE6" s="298"/>
      <c r="BF6" s="323"/>
      <c r="BG6" s="324"/>
      <c r="BI6" s="316"/>
      <c r="BJ6" s="317"/>
      <c r="BK6" s="317"/>
      <c r="BL6" s="306"/>
      <c r="BM6" s="314">
        <f>+(BK6-BJ6)*BL6/1000</f>
        <v>0</v>
      </c>
    </row>
    <row r="7" spans="1:69" ht="19.5" thickBot="1">
      <c r="A7" s="318"/>
      <c r="B7" s="325" t="s">
        <v>2643</v>
      </c>
      <c r="C7" s="320">
        <f>C5+G6</f>
        <v>10557</v>
      </c>
      <c r="D7" s="976"/>
      <c r="E7" s="976"/>
      <c r="F7" s="326"/>
      <c r="G7" s="327"/>
      <c r="H7" s="976"/>
      <c r="I7" s="319"/>
      <c r="J7" s="320"/>
      <c r="K7" s="976"/>
      <c r="L7" s="976"/>
      <c r="M7" s="976"/>
      <c r="N7" s="976"/>
      <c r="O7" s="976"/>
      <c r="P7" s="976"/>
      <c r="Q7" s="976"/>
      <c r="R7" s="1020"/>
      <c r="S7" s="1020"/>
      <c r="T7" s="976"/>
      <c r="U7" s="976"/>
      <c r="V7" s="976"/>
      <c r="W7" s="976"/>
      <c r="X7" s="976"/>
      <c r="Y7" s="976"/>
      <c r="Z7" s="976"/>
      <c r="AA7" s="976"/>
      <c r="AB7" s="976"/>
      <c r="AC7" s="976"/>
      <c r="AD7" s="976"/>
      <c r="AE7" s="976"/>
      <c r="AF7" s="976"/>
      <c r="AG7" s="320"/>
      <c r="AH7" s="976"/>
      <c r="AI7" s="976"/>
      <c r="AJ7" s="976"/>
      <c r="AK7" s="976"/>
      <c r="AL7" s="976"/>
      <c r="AM7" s="976"/>
      <c r="AN7" s="321"/>
      <c r="AO7" s="321"/>
      <c r="AP7" s="321"/>
      <c r="AQ7" s="321"/>
      <c r="AR7" s="321"/>
      <c r="AS7" s="321"/>
      <c r="AT7" s="321"/>
      <c r="AU7" s="321"/>
      <c r="AV7" s="321"/>
      <c r="AW7" s="321"/>
      <c r="AX7" s="321"/>
      <c r="AY7" s="321"/>
      <c r="AZ7" s="321"/>
      <c r="BA7" s="321"/>
      <c r="BB7" s="306"/>
      <c r="BC7" s="322" t="s">
        <v>978</v>
      </c>
      <c r="BD7" s="331"/>
      <c r="BE7" s="298"/>
      <c r="BF7" s="305" t="s">
        <v>888</v>
      </c>
      <c r="BG7" s="302"/>
      <c r="BI7" s="1040" t="s">
        <v>973</v>
      </c>
      <c r="BJ7" s="1029"/>
      <c r="BK7" s="1029"/>
      <c r="BL7" s="1029"/>
      <c r="BM7" s="1041">
        <f>SUM(BM3:BM6)</f>
        <v>40.799999999999997</v>
      </c>
    </row>
    <row r="8" spans="1:69" ht="38.25" customHeight="1">
      <c r="A8" s="318"/>
      <c r="B8" s="329"/>
      <c r="C8" s="320"/>
      <c r="D8" s="976"/>
      <c r="E8" s="976"/>
      <c r="F8" s="326"/>
      <c r="G8" s="327">
        <v>5</v>
      </c>
      <c r="H8" s="976"/>
      <c r="I8" s="319"/>
      <c r="J8" s="320"/>
      <c r="K8" s="976"/>
      <c r="L8" s="976"/>
      <c r="M8" s="976"/>
      <c r="N8" s="976"/>
      <c r="O8" s="976"/>
      <c r="P8" s="976"/>
      <c r="Q8" s="976"/>
      <c r="R8" s="1020"/>
      <c r="S8" s="1020"/>
      <c r="T8" s="976"/>
      <c r="U8" s="976"/>
      <c r="V8" s="976"/>
      <c r="W8" s="976"/>
      <c r="X8" s="976"/>
      <c r="Y8" s="976"/>
      <c r="Z8" s="976"/>
      <c r="AA8" s="976"/>
      <c r="AB8" s="976"/>
      <c r="AC8" s="976"/>
      <c r="AD8" s="976"/>
      <c r="AE8" s="976"/>
      <c r="AF8" s="976"/>
      <c r="AG8" s="320"/>
      <c r="AH8" s="976"/>
      <c r="AI8" s="976"/>
      <c r="AJ8" s="976"/>
      <c r="AK8" s="976"/>
      <c r="AL8" s="976"/>
      <c r="AM8" s="976"/>
      <c r="AN8" s="321"/>
      <c r="AO8" s="321"/>
      <c r="AP8" s="321"/>
      <c r="AQ8" s="321"/>
      <c r="AR8" s="321"/>
      <c r="AS8" s="321"/>
      <c r="AT8" s="321"/>
      <c r="AU8" s="321"/>
      <c r="AV8" s="321"/>
      <c r="AW8" s="321"/>
      <c r="AX8" s="321"/>
      <c r="AY8" s="321"/>
      <c r="AZ8" s="321"/>
      <c r="BA8" s="321"/>
      <c r="BB8" s="306"/>
      <c r="BC8" s="322" t="s">
        <v>982</v>
      </c>
      <c r="BD8" s="332"/>
      <c r="BE8" s="298"/>
      <c r="BF8" s="323" t="s">
        <v>1051</v>
      </c>
      <c r="BG8" s="324" t="s">
        <v>1050</v>
      </c>
      <c r="BI8" s="307"/>
      <c r="BJ8" s="307"/>
      <c r="BK8" s="307"/>
      <c r="BL8" s="307"/>
      <c r="BM8" s="307"/>
    </row>
    <row r="9" spans="1:69" ht="15">
      <c r="A9" s="318"/>
      <c r="B9" s="325" t="s">
        <v>2644</v>
      </c>
      <c r="C9" s="320">
        <f t="shared" ref="C9" si="0">C7+G8</f>
        <v>10562</v>
      </c>
      <c r="D9" s="976"/>
      <c r="E9" s="976"/>
      <c r="F9" s="326">
        <v>0</v>
      </c>
      <c r="G9" s="327"/>
      <c r="H9" s="976" t="s">
        <v>651</v>
      </c>
      <c r="I9" s="319"/>
      <c r="J9" s="320"/>
      <c r="K9" s="976"/>
      <c r="L9" s="976"/>
      <c r="M9" s="976"/>
      <c r="N9" s="976"/>
      <c r="O9" s="976"/>
      <c r="P9" s="976"/>
      <c r="Q9" s="976"/>
      <c r="R9" s="1020"/>
      <c r="S9" s="1020"/>
      <c r="T9" s="976"/>
      <c r="U9" s="976"/>
      <c r="V9" s="976"/>
      <c r="W9" s="976"/>
      <c r="X9" s="976"/>
      <c r="Y9" s="976"/>
      <c r="Z9" s="976"/>
      <c r="AA9" s="976"/>
      <c r="AB9" s="976"/>
      <c r="AC9" s="976"/>
      <c r="AD9" s="976"/>
      <c r="AE9" s="976"/>
      <c r="AF9" s="976"/>
      <c r="AG9" s="320"/>
      <c r="AH9" s="976"/>
      <c r="AI9" s="976"/>
      <c r="AJ9" s="976"/>
      <c r="AK9" s="976"/>
      <c r="AL9" s="976"/>
      <c r="AM9" s="976"/>
      <c r="AN9" s="321"/>
      <c r="AO9" s="321"/>
      <c r="AP9" s="321"/>
      <c r="AQ9" s="321"/>
      <c r="AR9" s="321"/>
      <c r="AS9" s="321"/>
      <c r="AT9" s="321"/>
      <c r="AU9" s="321"/>
      <c r="AV9" s="321"/>
      <c r="AW9" s="321"/>
      <c r="AX9" s="321"/>
      <c r="AY9" s="321"/>
      <c r="AZ9" s="321"/>
      <c r="BA9" s="321"/>
      <c r="BB9" s="306"/>
      <c r="BC9" s="322" t="s">
        <v>983</v>
      </c>
      <c r="BD9" s="333"/>
      <c r="BE9" s="298"/>
      <c r="BF9" s="323" t="s">
        <v>2046</v>
      </c>
      <c r="BG9" s="324" t="s">
        <v>893</v>
      </c>
      <c r="BI9" s="1030" t="s">
        <v>974</v>
      </c>
      <c r="BJ9" s="1030"/>
      <c r="BK9" s="1030"/>
      <c r="BL9" s="1031"/>
      <c r="BM9" s="1042">
        <f>+(BK4-BJ3)/1000</f>
        <v>23.66</v>
      </c>
    </row>
    <row r="10" spans="1:69" ht="14.25">
      <c r="A10" s="318"/>
      <c r="B10" s="329"/>
      <c r="C10" s="320"/>
      <c r="D10" s="976"/>
      <c r="E10" s="976"/>
      <c r="F10" s="326"/>
      <c r="G10" s="327">
        <v>47</v>
      </c>
      <c r="H10" s="976"/>
      <c r="I10" s="319"/>
      <c r="J10" s="320"/>
      <c r="K10" s="976"/>
      <c r="L10" s="976"/>
      <c r="M10" s="976"/>
      <c r="N10" s="976"/>
      <c r="O10" s="976"/>
      <c r="P10" s="976"/>
      <c r="Q10" s="976"/>
      <c r="R10" s="1020"/>
      <c r="S10" s="1020"/>
      <c r="T10" s="976"/>
      <c r="U10" s="976"/>
      <c r="V10" s="976"/>
      <c r="W10" s="976"/>
      <c r="X10" s="976"/>
      <c r="Y10" s="976"/>
      <c r="Z10" s="976"/>
      <c r="AA10" s="976"/>
      <c r="AB10" s="976"/>
      <c r="AC10" s="976"/>
      <c r="AD10" s="976"/>
      <c r="AE10" s="976"/>
      <c r="AF10" s="976"/>
      <c r="AG10" s="320"/>
      <c r="AH10" s="976"/>
      <c r="AI10" s="976"/>
      <c r="AJ10" s="976"/>
      <c r="AK10" s="976"/>
      <c r="AL10" s="976"/>
      <c r="AM10" s="976"/>
      <c r="AN10" s="321"/>
      <c r="AO10" s="321"/>
      <c r="AP10" s="321"/>
      <c r="AQ10" s="321"/>
      <c r="AR10" s="321"/>
      <c r="AS10" s="321"/>
      <c r="AT10" s="321"/>
      <c r="AU10" s="321"/>
      <c r="AV10" s="321"/>
      <c r="AW10" s="321"/>
      <c r="AX10" s="321"/>
      <c r="AY10" s="321"/>
      <c r="AZ10" s="321"/>
      <c r="BA10" s="321"/>
      <c r="BB10" s="306"/>
      <c r="BC10" s="322"/>
      <c r="BD10" s="324"/>
      <c r="BE10" s="298"/>
      <c r="BF10" s="323" t="s">
        <v>2047</v>
      </c>
      <c r="BG10" s="324" t="s">
        <v>892</v>
      </c>
      <c r="BI10" s="307"/>
      <c r="BJ10" s="307"/>
      <c r="BK10" s="307"/>
      <c r="BL10" s="307"/>
      <c r="BM10" s="307"/>
      <c r="BP10" s="1213" t="s">
        <v>2519</v>
      </c>
      <c r="BQ10" s="1213"/>
    </row>
    <row r="11" spans="1:69" ht="18.75">
      <c r="A11" s="318"/>
      <c r="B11" s="325" t="s">
        <v>2645</v>
      </c>
      <c r="C11" s="320">
        <f t="shared" ref="C11" si="1">C9+G10</f>
        <v>10609</v>
      </c>
      <c r="D11" s="976"/>
      <c r="E11" s="976"/>
      <c r="F11" s="326">
        <v>0</v>
      </c>
      <c r="G11" s="327"/>
      <c r="H11" s="976" t="s">
        <v>651</v>
      </c>
      <c r="I11" s="319"/>
      <c r="J11" s="320"/>
      <c r="K11" s="976"/>
      <c r="L11" s="976"/>
      <c r="M11" s="976"/>
      <c r="N11" s="976"/>
      <c r="O11" s="976"/>
      <c r="P11" s="976"/>
      <c r="Q11" s="976"/>
      <c r="R11" s="1020"/>
      <c r="S11" s="1020"/>
      <c r="T11" s="976"/>
      <c r="U11" s="976"/>
      <c r="V11" s="976"/>
      <c r="W11" s="976"/>
      <c r="X11" s="976"/>
      <c r="Y11" s="976"/>
      <c r="Z11" s="976"/>
      <c r="AA11" s="976"/>
      <c r="AB11" s="976"/>
      <c r="AC11" s="976"/>
      <c r="AD11" s="976"/>
      <c r="AE11" s="976"/>
      <c r="AF11" s="976"/>
      <c r="AG11" s="320"/>
      <c r="AH11" s="976"/>
      <c r="AI11" s="976"/>
      <c r="AJ11" s="976"/>
      <c r="AK11" s="976"/>
      <c r="AL11" s="976"/>
      <c r="AM11" s="976"/>
      <c r="AN11" s="321"/>
      <c r="AO11" s="321"/>
      <c r="AP11" s="321"/>
      <c r="AQ11" s="321"/>
      <c r="AR11" s="321"/>
      <c r="AS11" s="321"/>
      <c r="AT11" s="321"/>
      <c r="AU11" s="321"/>
      <c r="AV11" s="321"/>
      <c r="AW11" s="321"/>
      <c r="AX11" s="321"/>
      <c r="AY11" s="321"/>
      <c r="AZ11" s="321"/>
      <c r="BA11" s="321"/>
      <c r="BB11" s="306"/>
      <c r="BC11" s="305" t="s">
        <v>984</v>
      </c>
      <c r="BD11" s="302"/>
      <c r="BE11" s="298"/>
      <c r="BF11" s="323"/>
      <c r="BG11" s="324"/>
      <c r="BI11" s="1032" t="s">
        <v>932</v>
      </c>
      <c r="BJ11" s="1032" t="s">
        <v>926</v>
      </c>
      <c r="BK11" s="1032" t="s">
        <v>927</v>
      </c>
      <c r="BL11" s="1032" t="s">
        <v>928</v>
      </c>
      <c r="BM11" s="1032" t="s">
        <v>198</v>
      </c>
      <c r="BO11" s="1119" t="s">
        <v>2522</v>
      </c>
      <c r="BP11" s="1119" t="s">
        <v>2520</v>
      </c>
      <c r="BQ11" s="1119" t="s">
        <v>2521</v>
      </c>
    </row>
    <row r="12" spans="1:69" ht="19.5" thickBot="1">
      <c r="A12" s="318"/>
      <c r="B12" s="329"/>
      <c r="C12" s="320"/>
      <c r="D12" s="976"/>
      <c r="E12" s="976"/>
      <c r="F12" s="326"/>
      <c r="G12" s="327">
        <v>47</v>
      </c>
      <c r="H12" s="976"/>
      <c r="I12" s="319"/>
      <c r="J12" s="320"/>
      <c r="K12" s="976"/>
      <c r="L12" s="976"/>
      <c r="M12" s="976"/>
      <c r="N12" s="976"/>
      <c r="O12" s="976"/>
      <c r="P12" s="976"/>
      <c r="Q12" s="976"/>
      <c r="R12" s="1020"/>
      <c r="S12" s="1020"/>
      <c r="T12" s="976"/>
      <c r="U12" s="976"/>
      <c r="V12" s="976"/>
      <c r="W12" s="976"/>
      <c r="X12" s="976"/>
      <c r="Y12" s="976"/>
      <c r="Z12" s="976"/>
      <c r="AA12" s="976"/>
      <c r="AB12" s="976"/>
      <c r="AC12" s="976"/>
      <c r="AD12" s="976"/>
      <c r="AE12" s="976"/>
      <c r="AF12" s="976"/>
      <c r="AG12" s="320"/>
      <c r="AH12" s="976"/>
      <c r="AI12" s="976"/>
      <c r="AJ12" s="976"/>
      <c r="AK12" s="976"/>
      <c r="AL12" s="976"/>
      <c r="AM12" s="976"/>
      <c r="AN12" s="321"/>
      <c r="AO12" s="321"/>
      <c r="AP12" s="321"/>
      <c r="AQ12" s="321"/>
      <c r="AR12" s="321"/>
      <c r="AS12" s="321"/>
      <c r="AT12" s="321"/>
      <c r="AU12" s="321"/>
      <c r="AV12" s="321"/>
      <c r="AW12" s="321"/>
      <c r="AX12" s="321"/>
      <c r="AY12" s="321"/>
      <c r="AZ12" s="321"/>
      <c r="BA12" s="321"/>
      <c r="BB12" s="306"/>
      <c r="BC12" s="323" t="s">
        <v>987</v>
      </c>
      <c r="BD12" s="324" t="s">
        <v>138</v>
      </c>
      <c r="BE12" s="298"/>
      <c r="BF12" s="305" t="s">
        <v>869</v>
      </c>
      <c r="BG12" s="302"/>
      <c r="BI12" s="1030"/>
      <c r="BJ12" s="1030"/>
      <c r="BK12" s="1030"/>
      <c r="BL12" s="1031"/>
      <c r="BM12" s="1042">
        <f>SUM(BM13:BM18)+SUM(BM23:BM31)</f>
        <v>0</v>
      </c>
      <c r="BO12" s="334">
        <v>17969</v>
      </c>
      <c r="BP12" s="335">
        <v>24.46</v>
      </c>
      <c r="BQ12" s="335">
        <f>BP12+1.5</f>
        <v>25.96</v>
      </c>
    </row>
    <row r="13" spans="1:69" ht="14.25">
      <c r="A13" s="318"/>
      <c r="B13" s="325" t="s">
        <v>2646</v>
      </c>
      <c r="C13" s="320">
        <f t="shared" ref="C13" si="2">C11+G12</f>
        <v>10656</v>
      </c>
      <c r="D13" s="976"/>
      <c r="E13" s="976"/>
      <c r="F13" s="326">
        <v>0</v>
      </c>
      <c r="G13" s="327"/>
      <c r="H13" s="976" t="s">
        <v>651</v>
      </c>
      <c r="I13" s="319"/>
      <c r="J13" s="320"/>
      <c r="K13" s="976"/>
      <c r="L13" s="976"/>
      <c r="M13" s="976"/>
      <c r="N13" s="976"/>
      <c r="O13" s="976"/>
      <c r="P13" s="976"/>
      <c r="Q13" s="976"/>
      <c r="R13" s="1020"/>
      <c r="S13" s="1020"/>
      <c r="T13" s="976"/>
      <c r="U13" s="976"/>
      <c r="V13" s="976"/>
      <c r="W13" s="976"/>
      <c r="X13" s="976"/>
      <c r="Y13" s="976"/>
      <c r="Z13" s="976"/>
      <c r="AA13" s="976"/>
      <c r="AB13" s="976"/>
      <c r="AC13" s="976"/>
      <c r="AD13" s="976"/>
      <c r="AE13" s="976"/>
      <c r="AF13" s="976"/>
      <c r="AG13" s="320"/>
      <c r="AH13" s="976"/>
      <c r="AI13" s="976"/>
      <c r="AJ13" s="976"/>
      <c r="AK13" s="976"/>
      <c r="AL13" s="976"/>
      <c r="AM13" s="976"/>
      <c r="AN13" s="321"/>
      <c r="AO13" s="321"/>
      <c r="AP13" s="321"/>
      <c r="AQ13" s="321"/>
      <c r="AR13" s="321"/>
      <c r="AS13" s="321"/>
      <c r="AT13" s="321"/>
      <c r="AU13" s="321"/>
      <c r="AV13" s="321"/>
      <c r="AW13" s="321"/>
      <c r="AX13" s="321"/>
      <c r="AY13" s="321"/>
      <c r="AZ13" s="321"/>
      <c r="BA13" s="321"/>
      <c r="BB13" s="306"/>
      <c r="BC13" s="323" t="s">
        <v>988</v>
      </c>
      <c r="BD13" s="324" t="s">
        <v>986</v>
      </c>
      <c r="BE13" s="298"/>
      <c r="BF13" s="323" t="s">
        <v>1023</v>
      </c>
      <c r="BG13" s="324" t="s">
        <v>144</v>
      </c>
      <c r="BI13" s="1043" t="s">
        <v>2527</v>
      </c>
      <c r="BJ13" s="1033">
        <v>17000</v>
      </c>
      <c r="BK13" s="1033">
        <v>18000</v>
      </c>
      <c r="BL13" s="1034">
        <v>0</v>
      </c>
      <c r="BM13" s="1044">
        <f t="shared" ref="BM13:BM18" si="3">+(BK13-BJ13)*BL13/1000</f>
        <v>0</v>
      </c>
      <c r="BO13" s="334">
        <v>18032</v>
      </c>
      <c r="BP13" s="335">
        <v>19.899999999999999</v>
      </c>
      <c r="BQ13" s="335">
        <f t="shared" ref="BQ13:BQ38" si="4">BP13+1.5</f>
        <v>21.4</v>
      </c>
    </row>
    <row r="14" spans="1:69" ht="14.25">
      <c r="A14" s="318"/>
      <c r="B14" s="329"/>
      <c r="C14" s="320"/>
      <c r="D14" s="976"/>
      <c r="E14" s="976"/>
      <c r="F14" s="326"/>
      <c r="G14" s="327">
        <v>5</v>
      </c>
      <c r="H14" s="976"/>
      <c r="I14" s="319"/>
      <c r="J14" s="320"/>
      <c r="K14" s="976"/>
      <c r="L14" s="976"/>
      <c r="M14" s="976"/>
      <c r="N14" s="976"/>
      <c r="O14" s="976"/>
      <c r="P14" s="976"/>
      <c r="Q14" s="976"/>
      <c r="R14" s="1020"/>
      <c r="S14" s="1020"/>
      <c r="T14" s="976"/>
      <c r="U14" s="976"/>
      <c r="V14" s="976"/>
      <c r="W14" s="976"/>
      <c r="X14" s="976"/>
      <c r="Y14" s="976"/>
      <c r="Z14" s="976"/>
      <c r="AA14" s="976"/>
      <c r="AB14" s="976"/>
      <c r="AC14" s="976"/>
      <c r="AD14" s="976"/>
      <c r="AE14" s="976"/>
      <c r="AF14" s="976"/>
      <c r="AG14" s="320"/>
      <c r="AH14" s="976"/>
      <c r="AI14" s="976"/>
      <c r="AJ14" s="976"/>
      <c r="AK14" s="976"/>
      <c r="AL14" s="976"/>
      <c r="AM14" s="976"/>
      <c r="AN14" s="321"/>
      <c r="AO14" s="321"/>
      <c r="AP14" s="321"/>
      <c r="AQ14" s="321"/>
      <c r="AR14" s="321"/>
      <c r="AS14" s="321"/>
      <c r="AT14" s="321"/>
      <c r="AU14" s="321"/>
      <c r="AV14" s="321"/>
      <c r="AW14" s="321"/>
      <c r="AX14" s="321"/>
      <c r="AY14" s="321"/>
      <c r="AZ14" s="321"/>
      <c r="BA14" s="321"/>
      <c r="BB14" s="306"/>
      <c r="BC14" s="323" t="s">
        <v>990</v>
      </c>
      <c r="BD14" s="324" t="s">
        <v>651</v>
      </c>
      <c r="BE14" s="298"/>
      <c r="BF14" s="323" t="s">
        <v>1052</v>
      </c>
      <c r="BG14" s="324" t="s">
        <v>145</v>
      </c>
      <c r="BI14" s="316" t="s">
        <v>933</v>
      </c>
      <c r="BJ14" s="317">
        <v>27100</v>
      </c>
      <c r="BK14" s="317">
        <v>30700</v>
      </c>
      <c r="BL14" s="1028">
        <v>0</v>
      </c>
      <c r="BM14" s="314">
        <f t="shared" si="3"/>
        <v>0</v>
      </c>
      <c r="BO14" s="334">
        <v>20402</v>
      </c>
      <c r="BP14" s="335">
        <v>20.100000000000001</v>
      </c>
      <c r="BQ14" s="335">
        <f t="shared" si="4"/>
        <v>21.6</v>
      </c>
    </row>
    <row r="15" spans="1:69" ht="14.25">
      <c r="A15" s="318"/>
      <c r="B15" s="325" t="s">
        <v>2647</v>
      </c>
      <c r="C15" s="320">
        <f t="shared" ref="C15" si="5">C13+G14</f>
        <v>10661</v>
      </c>
      <c r="D15" s="976"/>
      <c r="E15" s="976"/>
      <c r="F15" s="326">
        <v>0</v>
      </c>
      <c r="G15" s="327"/>
      <c r="H15" s="976"/>
      <c r="I15" s="319"/>
      <c r="J15" s="320"/>
      <c r="K15" s="976"/>
      <c r="L15" s="976"/>
      <c r="M15" s="976"/>
      <c r="N15" s="976"/>
      <c r="O15" s="976"/>
      <c r="P15" s="976"/>
      <c r="Q15" s="976"/>
      <c r="R15" s="1020"/>
      <c r="S15" s="1020"/>
      <c r="T15" s="976"/>
      <c r="U15" s="976"/>
      <c r="V15" s="976"/>
      <c r="W15" s="976"/>
      <c r="X15" s="976"/>
      <c r="Y15" s="976"/>
      <c r="Z15" s="976"/>
      <c r="AA15" s="976"/>
      <c r="AB15" s="976"/>
      <c r="AC15" s="976"/>
      <c r="AD15" s="976"/>
      <c r="AE15" s="976"/>
      <c r="AF15" s="976"/>
      <c r="AG15" s="320"/>
      <c r="AH15" s="976"/>
      <c r="AI15" s="976"/>
      <c r="AJ15" s="976"/>
      <c r="AK15" s="976"/>
      <c r="AL15" s="976"/>
      <c r="AM15" s="976"/>
      <c r="AN15" s="321"/>
      <c r="AO15" s="321"/>
      <c r="AP15" s="321"/>
      <c r="AQ15" s="321"/>
      <c r="AR15" s="321"/>
      <c r="AS15" s="321"/>
      <c r="AT15" s="321"/>
      <c r="AU15" s="321"/>
      <c r="AV15" s="321"/>
      <c r="AW15" s="321"/>
      <c r="AX15" s="321"/>
      <c r="AY15" s="321"/>
      <c r="AZ15" s="321"/>
      <c r="BA15" s="321"/>
      <c r="BB15" s="306"/>
      <c r="BC15" s="323" t="s">
        <v>989</v>
      </c>
      <c r="BD15" s="324" t="s">
        <v>652</v>
      </c>
      <c r="BE15" s="298"/>
      <c r="BF15" s="323" t="s">
        <v>1024</v>
      </c>
      <c r="BG15" s="324" t="s">
        <v>140</v>
      </c>
      <c r="BI15" s="316"/>
      <c r="BJ15" s="317"/>
      <c r="BK15" s="317"/>
      <c r="BL15" s="1028"/>
      <c r="BM15" s="314">
        <f t="shared" si="3"/>
        <v>0</v>
      </c>
      <c r="BO15" s="334">
        <v>20452</v>
      </c>
      <c r="BP15" s="335">
        <v>17.2</v>
      </c>
      <c r="BQ15" s="335">
        <f t="shared" si="4"/>
        <v>18.7</v>
      </c>
    </row>
    <row r="16" spans="1:69" ht="14.25">
      <c r="A16" s="318"/>
      <c r="B16" s="329"/>
      <c r="C16" s="320"/>
      <c r="D16" s="976"/>
      <c r="E16" s="976"/>
      <c r="F16" s="326"/>
      <c r="G16" s="327">
        <v>3</v>
      </c>
      <c r="H16" s="976"/>
      <c r="I16" s="319"/>
      <c r="J16" s="320"/>
      <c r="K16" s="976"/>
      <c r="L16" s="976"/>
      <c r="M16" s="976"/>
      <c r="N16" s="976"/>
      <c r="O16" s="976"/>
      <c r="P16" s="976"/>
      <c r="Q16" s="976"/>
      <c r="R16" s="1020"/>
      <c r="S16" s="1020"/>
      <c r="T16" s="976"/>
      <c r="U16" s="976"/>
      <c r="V16" s="976"/>
      <c r="W16" s="976"/>
      <c r="X16" s="976"/>
      <c r="Y16" s="976"/>
      <c r="Z16" s="976"/>
      <c r="AA16" s="976"/>
      <c r="AB16" s="976"/>
      <c r="AC16" s="976"/>
      <c r="AD16" s="976"/>
      <c r="AE16" s="976"/>
      <c r="AF16" s="976"/>
      <c r="AG16" s="320"/>
      <c r="AH16" s="976"/>
      <c r="AI16" s="976"/>
      <c r="AJ16" s="976"/>
      <c r="AK16" s="976"/>
      <c r="AL16" s="976"/>
      <c r="AM16" s="976"/>
      <c r="AN16" s="321"/>
      <c r="AO16" s="321"/>
      <c r="AP16" s="321"/>
      <c r="AQ16" s="321"/>
      <c r="AR16" s="321"/>
      <c r="AS16" s="321"/>
      <c r="AT16" s="321"/>
      <c r="AU16" s="321"/>
      <c r="AV16" s="321"/>
      <c r="AW16" s="321"/>
      <c r="AX16" s="321"/>
      <c r="AY16" s="321"/>
      <c r="AZ16" s="321"/>
      <c r="BA16" s="321"/>
      <c r="BB16" s="306"/>
      <c r="BC16" s="323" t="s">
        <v>992</v>
      </c>
      <c r="BD16" s="324" t="s">
        <v>955</v>
      </c>
      <c r="BE16" s="298"/>
      <c r="BF16" s="323" t="s">
        <v>1025</v>
      </c>
      <c r="BG16" s="324" t="s">
        <v>673</v>
      </c>
      <c r="BI16" s="316"/>
      <c r="BJ16" s="317"/>
      <c r="BK16" s="317"/>
      <c r="BL16" s="1028"/>
      <c r="BM16" s="314">
        <f t="shared" si="3"/>
        <v>0</v>
      </c>
      <c r="BO16" s="334">
        <v>20502</v>
      </c>
      <c r="BP16" s="335">
        <v>16.399999999999999</v>
      </c>
      <c r="BQ16" s="335">
        <f t="shared" si="4"/>
        <v>17.899999999999999</v>
      </c>
    </row>
    <row r="17" spans="1:69" ht="14.25">
      <c r="A17" s="318"/>
      <c r="B17" s="325" t="s">
        <v>2648</v>
      </c>
      <c r="C17" s="320">
        <f t="shared" ref="C17" si="6">C15+G16</f>
        <v>10664</v>
      </c>
      <c r="D17" s="976"/>
      <c r="E17" s="976"/>
      <c r="F17" s="326">
        <v>0</v>
      </c>
      <c r="G17" s="327"/>
      <c r="H17" s="976"/>
      <c r="I17" s="319"/>
      <c r="J17" s="320"/>
      <c r="K17" s="976"/>
      <c r="L17" s="976"/>
      <c r="M17" s="976"/>
      <c r="N17" s="976"/>
      <c r="O17" s="976"/>
      <c r="P17" s="976"/>
      <c r="Q17" s="976"/>
      <c r="R17" s="1020"/>
      <c r="S17" s="1020"/>
      <c r="T17" s="976"/>
      <c r="U17" s="976"/>
      <c r="V17" s="976"/>
      <c r="W17" s="976"/>
      <c r="X17" s="976"/>
      <c r="Y17" s="976"/>
      <c r="Z17" s="976"/>
      <c r="AA17" s="976"/>
      <c r="AB17" s="976"/>
      <c r="AC17" s="976"/>
      <c r="AD17" s="976"/>
      <c r="AE17" s="976"/>
      <c r="AF17" s="976"/>
      <c r="AG17" s="320"/>
      <c r="AH17" s="976"/>
      <c r="AI17" s="976"/>
      <c r="AJ17" s="976"/>
      <c r="AK17" s="976"/>
      <c r="AL17" s="976"/>
      <c r="AM17" s="976"/>
      <c r="AN17" s="321"/>
      <c r="AO17" s="321"/>
      <c r="AP17" s="321"/>
      <c r="AQ17" s="321"/>
      <c r="AR17" s="321"/>
      <c r="AS17" s="321"/>
      <c r="AT17" s="321"/>
      <c r="AU17" s="321"/>
      <c r="AV17" s="321"/>
      <c r="AW17" s="321"/>
      <c r="AX17" s="321"/>
      <c r="AY17" s="321"/>
      <c r="AZ17" s="321"/>
      <c r="BA17" s="321"/>
      <c r="BB17" s="306"/>
      <c r="BC17" s="323" t="s">
        <v>991</v>
      </c>
      <c r="BD17" s="324" t="s">
        <v>956</v>
      </c>
      <c r="BE17" s="298"/>
      <c r="BF17" s="323" t="s">
        <v>1026</v>
      </c>
      <c r="BG17" s="324" t="s">
        <v>674</v>
      </c>
      <c r="BI17" s="316"/>
      <c r="BJ17" s="317"/>
      <c r="BK17" s="317"/>
      <c r="BL17" s="306"/>
      <c r="BM17" s="314">
        <f t="shared" si="3"/>
        <v>0</v>
      </c>
      <c r="BO17" s="334">
        <v>20559</v>
      </c>
      <c r="BP17" s="335">
        <v>16.3</v>
      </c>
      <c r="BQ17" s="335">
        <f t="shared" si="4"/>
        <v>17.8</v>
      </c>
    </row>
    <row r="18" spans="1:69" ht="14.25">
      <c r="A18" s="318"/>
      <c r="B18" s="329"/>
      <c r="C18" s="320"/>
      <c r="D18" s="976"/>
      <c r="E18" s="976"/>
      <c r="F18" s="326"/>
      <c r="G18" s="327">
        <v>39</v>
      </c>
      <c r="H18" s="976"/>
      <c r="I18" s="319"/>
      <c r="J18" s="320"/>
      <c r="K18" s="976"/>
      <c r="L18" s="976"/>
      <c r="M18" s="976"/>
      <c r="N18" s="976"/>
      <c r="O18" s="976"/>
      <c r="P18" s="976"/>
      <c r="Q18" s="976"/>
      <c r="R18" s="1020"/>
      <c r="S18" s="1020"/>
      <c r="T18" s="976"/>
      <c r="U18" s="976"/>
      <c r="V18" s="976"/>
      <c r="W18" s="976"/>
      <c r="X18" s="976"/>
      <c r="Y18" s="976"/>
      <c r="Z18" s="976"/>
      <c r="AA18" s="976"/>
      <c r="AB18" s="976"/>
      <c r="AC18" s="976"/>
      <c r="AD18" s="976"/>
      <c r="AE18" s="976"/>
      <c r="AF18" s="976"/>
      <c r="AG18" s="320"/>
      <c r="AH18" s="976"/>
      <c r="AI18" s="976"/>
      <c r="AJ18" s="976"/>
      <c r="AK18" s="976"/>
      <c r="AL18" s="976"/>
      <c r="AM18" s="976"/>
      <c r="AN18" s="321"/>
      <c r="AO18" s="321"/>
      <c r="AP18" s="321"/>
      <c r="AQ18" s="321"/>
      <c r="AR18" s="321"/>
      <c r="AS18" s="321"/>
      <c r="AT18" s="321"/>
      <c r="AU18" s="321"/>
      <c r="AV18" s="321"/>
      <c r="AW18" s="321"/>
      <c r="AX18" s="321"/>
      <c r="AY18" s="321"/>
      <c r="AZ18" s="321"/>
      <c r="BA18" s="321"/>
      <c r="BB18" s="306"/>
      <c r="BC18" s="323" t="s">
        <v>993</v>
      </c>
      <c r="BD18" s="324" t="s">
        <v>954</v>
      </c>
      <c r="BE18" s="298"/>
      <c r="BF18" s="323" t="s">
        <v>1027</v>
      </c>
      <c r="BG18" s="324" t="s">
        <v>675</v>
      </c>
      <c r="BI18" s="316"/>
      <c r="BJ18" s="1035"/>
      <c r="BK18" s="1035"/>
      <c r="BL18" s="336"/>
      <c r="BM18" s="1045">
        <f t="shared" si="3"/>
        <v>0</v>
      </c>
      <c r="BO18" s="334">
        <v>20615</v>
      </c>
      <c r="BP18" s="335">
        <v>16.399999999999999</v>
      </c>
      <c r="BQ18" s="335">
        <f t="shared" si="4"/>
        <v>17.899999999999999</v>
      </c>
    </row>
    <row r="19" spans="1:69" ht="15">
      <c r="A19" s="318"/>
      <c r="B19" s="325" t="s">
        <v>2649</v>
      </c>
      <c r="C19" s="320">
        <f t="shared" ref="C19" si="7">C17+G18</f>
        <v>10703</v>
      </c>
      <c r="D19" s="976"/>
      <c r="E19" s="976"/>
      <c r="F19" s="326">
        <v>0</v>
      </c>
      <c r="G19" s="327"/>
      <c r="H19" s="976" t="s">
        <v>651</v>
      </c>
      <c r="I19" s="319"/>
      <c r="J19" s="320"/>
      <c r="K19" s="976"/>
      <c r="L19" s="976"/>
      <c r="M19" s="976"/>
      <c r="N19" s="976"/>
      <c r="O19" s="976"/>
      <c r="P19" s="976"/>
      <c r="Q19" s="976"/>
      <c r="R19" s="1020"/>
      <c r="S19" s="1020"/>
      <c r="T19" s="976"/>
      <c r="U19" s="976"/>
      <c r="V19" s="976"/>
      <c r="W19" s="976"/>
      <c r="X19" s="976"/>
      <c r="Y19" s="976"/>
      <c r="Z19" s="976"/>
      <c r="AA19" s="976"/>
      <c r="AB19" s="976"/>
      <c r="AC19" s="976"/>
      <c r="AD19" s="976"/>
      <c r="AE19" s="976"/>
      <c r="AF19" s="976"/>
      <c r="AG19" s="320"/>
      <c r="AH19" s="976"/>
      <c r="AI19" s="976"/>
      <c r="AJ19" s="976"/>
      <c r="AK19" s="976"/>
      <c r="AL19" s="976"/>
      <c r="AM19" s="976"/>
      <c r="AN19" s="321"/>
      <c r="AO19" s="321"/>
      <c r="AP19" s="321"/>
      <c r="AQ19" s="321"/>
      <c r="AR19" s="321"/>
      <c r="AS19" s="321"/>
      <c r="AT19" s="321"/>
      <c r="AU19" s="321"/>
      <c r="AV19" s="321"/>
      <c r="AW19" s="321"/>
      <c r="AX19" s="321"/>
      <c r="AY19" s="321"/>
      <c r="AZ19" s="321"/>
      <c r="BA19" s="321"/>
      <c r="BB19" s="306"/>
      <c r="BC19" s="323" t="s">
        <v>1605</v>
      </c>
      <c r="BD19" s="324" t="s">
        <v>1059</v>
      </c>
      <c r="BE19" s="298"/>
      <c r="BF19" s="323" t="s">
        <v>1028</v>
      </c>
      <c r="BG19" s="324" t="s">
        <v>916</v>
      </c>
      <c r="BI19" s="1046" t="s">
        <v>1084</v>
      </c>
      <c r="BJ19" s="306"/>
      <c r="BK19" s="306"/>
      <c r="BL19" s="306"/>
      <c r="BM19" s="1047">
        <f>SUM(BM13:BM18)</f>
        <v>0</v>
      </c>
      <c r="BO19" s="334">
        <v>20671</v>
      </c>
      <c r="BP19" s="335">
        <v>16.399999999999999</v>
      </c>
      <c r="BQ19" s="335">
        <f t="shared" si="4"/>
        <v>17.899999999999999</v>
      </c>
    </row>
    <row r="20" spans="1:69" ht="14.25">
      <c r="A20" s="318"/>
      <c r="B20" s="329"/>
      <c r="C20" s="320"/>
      <c r="D20" s="976"/>
      <c r="E20" s="976"/>
      <c r="F20" s="326"/>
      <c r="G20" s="327">
        <v>55</v>
      </c>
      <c r="H20" s="976"/>
      <c r="I20" s="337"/>
      <c r="J20" s="320"/>
      <c r="K20" s="976"/>
      <c r="L20" s="976"/>
      <c r="M20" s="976"/>
      <c r="N20" s="976"/>
      <c r="O20" s="976"/>
      <c r="P20" s="976"/>
      <c r="Q20" s="976"/>
      <c r="R20" s="327"/>
      <c r="S20" s="1020"/>
      <c r="T20" s="976"/>
      <c r="U20" s="976"/>
      <c r="V20" s="976"/>
      <c r="W20" s="976"/>
      <c r="X20" s="976"/>
      <c r="Y20" s="976"/>
      <c r="Z20" s="976"/>
      <c r="AA20" s="976"/>
      <c r="AB20" s="976"/>
      <c r="AC20" s="976"/>
      <c r="AD20" s="976"/>
      <c r="AE20" s="976"/>
      <c r="AF20" s="976"/>
      <c r="AG20" s="320"/>
      <c r="AH20" s="976"/>
      <c r="AI20" s="976"/>
      <c r="AJ20" s="976"/>
      <c r="AK20" s="976"/>
      <c r="AL20" s="976"/>
      <c r="AM20" s="976"/>
      <c r="AN20" s="321"/>
      <c r="AO20" s="321"/>
      <c r="AP20" s="321"/>
      <c r="AQ20" s="321"/>
      <c r="AR20" s="321"/>
      <c r="AS20" s="321"/>
      <c r="AT20" s="321"/>
      <c r="AU20" s="321"/>
      <c r="AV20" s="321"/>
      <c r="AW20" s="321"/>
      <c r="AX20" s="321"/>
      <c r="AY20" s="321"/>
      <c r="AZ20" s="321"/>
      <c r="BA20" s="321"/>
      <c r="BB20" s="306"/>
      <c r="BC20" s="323" t="s">
        <v>1039</v>
      </c>
      <c r="BD20" s="324" t="s">
        <v>143</v>
      </c>
      <c r="BE20" s="298"/>
      <c r="BF20" s="323" t="s">
        <v>1029</v>
      </c>
      <c r="BG20" s="324" t="s">
        <v>917</v>
      </c>
      <c r="BI20" s="316"/>
      <c r="BJ20" s="306"/>
      <c r="BK20" s="306"/>
      <c r="BL20" s="306"/>
      <c r="BM20" s="338"/>
      <c r="BO20" s="334">
        <v>20728</v>
      </c>
      <c r="BP20" s="335">
        <v>16.399999999999999</v>
      </c>
      <c r="BQ20" s="335">
        <f t="shared" si="4"/>
        <v>17.899999999999999</v>
      </c>
    </row>
    <row r="21" spans="1:69" thickBot="1">
      <c r="A21" s="318"/>
      <c r="B21" s="325" t="s">
        <v>2650</v>
      </c>
      <c r="C21" s="320">
        <f t="shared" ref="C21" si="8">C19+G20</f>
        <v>10758</v>
      </c>
      <c r="D21" s="976"/>
      <c r="E21" s="976"/>
      <c r="F21" s="326">
        <v>0</v>
      </c>
      <c r="G21" s="327"/>
      <c r="H21" s="976" t="s">
        <v>138</v>
      </c>
      <c r="I21" s="319"/>
      <c r="J21" s="320"/>
      <c r="K21" s="976"/>
      <c r="L21" s="976"/>
      <c r="M21" s="976"/>
      <c r="N21" s="976"/>
      <c r="O21" s="976"/>
      <c r="P21" s="976"/>
      <c r="Q21" s="976"/>
      <c r="R21" s="327"/>
      <c r="S21" s="1020"/>
      <c r="T21" s="976"/>
      <c r="U21" s="976"/>
      <c r="V21" s="976"/>
      <c r="W21" s="976"/>
      <c r="X21" s="976"/>
      <c r="Y21" s="976"/>
      <c r="Z21" s="976"/>
      <c r="AA21" s="976"/>
      <c r="AB21" s="976"/>
      <c r="AC21" s="976"/>
      <c r="AD21" s="976"/>
      <c r="AE21" s="976"/>
      <c r="AF21" s="976"/>
      <c r="AG21" s="320"/>
      <c r="AH21" s="976"/>
      <c r="AI21" s="976"/>
      <c r="AJ21" s="976"/>
      <c r="AK21" s="976"/>
      <c r="AL21" s="976"/>
      <c r="AM21" s="976"/>
      <c r="AN21" s="321"/>
      <c r="AO21" s="321"/>
      <c r="AP21" s="321"/>
      <c r="AQ21" s="321"/>
      <c r="AR21" s="321"/>
      <c r="AS21" s="321"/>
      <c r="AT21" s="321"/>
      <c r="AU21" s="321"/>
      <c r="AV21" s="321"/>
      <c r="AW21" s="321"/>
      <c r="AX21" s="321"/>
      <c r="AY21" s="321"/>
      <c r="AZ21" s="321"/>
      <c r="BA21" s="321"/>
      <c r="BB21" s="306"/>
      <c r="BC21" s="323" t="s">
        <v>1040</v>
      </c>
      <c r="BD21" s="324" t="s">
        <v>142</v>
      </c>
      <c r="BE21" s="298"/>
      <c r="BF21" s="323" t="s">
        <v>1030</v>
      </c>
      <c r="BG21" s="324" t="s">
        <v>918</v>
      </c>
      <c r="BI21" s="1040" t="s">
        <v>1086</v>
      </c>
      <c r="BJ21" s="1029"/>
      <c r="BK21" s="1029"/>
      <c r="BL21" s="1029"/>
      <c r="BM21" s="1041">
        <f>SUM(BK13:BK18)/1000-SUM(BJ13:BJ18)/1000</f>
        <v>4.6000000000000014</v>
      </c>
      <c r="BO21" s="334">
        <v>20784</v>
      </c>
      <c r="BP21" s="335">
        <v>16.5</v>
      </c>
      <c r="BQ21" s="335">
        <f t="shared" si="4"/>
        <v>18</v>
      </c>
    </row>
    <row r="22" spans="1:69" ht="15" thickBot="1">
      <c r="A22" s="318" t="s">
        <v>2679</v>
      </c>
      <c r="B22" s="976"/>
      <c r="C22" s="320"/>
      <c r="D22" s="976"/>
      <c r="E22" s="976"/>
      <c r="F22" s="326"/>
      <c r="G22" s="327">
        <v>55</v>
      </c>
      <c r="H22" s="976"/>
      <c r="I22" s="319"/>
      <c r="J22" s="320"/>
      <c r="K22" s="976"/>
      <c r="L22" s="976"/>
      <c r="M22" s="976"/>
      <c r="N22" s="976"/>
      <c r="O22" s="976"/>
      <c r="P22" s="976"/>
      <c r="Q22" s="976"/>
      <c r="R22" s="327"/>
      <c r="S22" s="1020"/>
      <c r="T22" s="976"/>
      <c r="U22" s="976"/>
      <c r="V22" s="976"/>
      <c r="W22" s="976"/>
      <c r="X22" s="976"/>
      <c r="Y22" s="976"/>
      <c r="Z22" s="976"/>
      <c r="AA22" s="976"/>
      <c r="AB22" s="976"/>
      <c r="AC22" s="976"/>
      <c r="AD22" s="976"/>
      <c r="AE22" s="976"/>
      <c r="AF22" s="976"/>
      <c r="AG22" s="320"/>
      <c r="AH22" s="976"/>
      <c r="AI22" s="976"/>
      <c r="AJ22" s="976"/>
      <c r="AK22" s="976"/>
      <c r="AL22" s="976"/>
      <c r="AM22" s="976"/>
      <c r="AN22" s="321"/>
      <c r="AO22" s="321"/>
      <c r="AP22" s="321"/>
      <c r="AQ22" s="321"/>
      <c r="AR22" s="321"/>
      <c r="AS22" s="321"/>
      <c r="AT22" s="321"/>
      <c r="AU22" s="321"/>
      <c r="AV22" s="321"/>
      <c r="AW22" s="321"/>
      <c r="AX22" s="321"/>
      <c r="AY22" s="321"/>
      <c r="AZ22" s="321"/>
      <c r="BA22" s="321"/>
      <c r="BB22" s="306"/>
      <c r="BC22" s="323" t="s">
        <v>2048</v>
      </c>
      <c r="BD22" s="324" t="s">
        <v>2016</v>
      </c>
      <c r="BE22" s="298"/>
      <c r="BF22" s="323"/>
      <c r="BG22" s="324"/>
      <c r="BI22" s="307"/>
      <c r="BJ22" s="307"/>
      <c r="BK22" s="307"/>
      <c r="BL22" s="307"/>
      <c r="BM22" s="307"/>
      <c r="BO22" s="334">
        <v>20841</v>
      </c>
      <c r="BP22" s="335">
        <v>17.399999999999999</v>
      </c>
      <c r="BQ22" s="335">
        <f t="shared" si="4"/>
        <v>18.899999999999999</v>
      </c>
    </row>
    <row r="23" spans="1:69" ht="18.75">
      <c r="A23" s="339"/>
      <c r="B23" s="340" t="s">
        <v>2651</v>
      </c>
      <c r="C23" s="288">
        <v>10813</v>
      </c>
      <c r="D23" s="1121"/>
      <c r="E23" s="1121"/>
      <c r="F23" s="289">
        <v>0</v>
      </c>
      <c r="G23" s="292"/>
      <c r="H23" s="1121"/>
      <c r="I23" s="294"/>
      <c r="J23" s="288"/>
      <c r="K23" s="1121"/>
      <c r="L23" s="1121" t="s">
        <v>230</v>
      </c>
      <c r="M23" s="1121" t="s">
        <v>2757</v>
      </c>
      <c r="N23" s="1121" t="s">
        <v>145</v>
      </c>
      <c r="O23" s="1121"/>
      <c r="P23" s="1121"/>
      <c r="Q23" s="1121">
        <v>0</v>
      </c>
      <c r="R23" s="289">
        <v>0</v>
      </c>
      <c r="S23" s="292"/>
      <c r="T23" s="1121">
        <v>35</v>
      </c>
      <c r="U23" s="1121"/>
      <c r="V23" s="1121"/>
      <c r="W23" s="1121">
        <v>1.4</v>
      </c>
      <c r="X23" s="1121"/>
      <c r="Y23" s="1121"/>
      <c r="Z23" s="1121"/>
      <c r="AA23" s="1121"/>
      <c r="AB23" s="1121"/>
      <c r="AC23" s="1121" t="s">
        <v>2963</v>
      </c>
      <c r="AD23" s="1121"/>
      <c r="AE23" s="1121"/>
      <c r="AF23" s="1121">
        <v>6000</v>
      </c>
      <c r="AG23" s="288">
        <v>10812.93</v>
      </c>
      <c r="AH23" s="1121">
        <v>2727</v>
      </c>
      <c r="AI23" s="289">
        <v>664</v>
      </c>
      <c r="AJ23" s="1121"/>
      <c r="AK23" s="1121"/>
      <c r="AL23" s="1121"/>
      <c r="AM23" s="1121" t="s">
        <v>1228</v>
      </c>
      <c r="AN23" s="315">
        <v>5.5</v>
      </c>
      <c r="AO23" s="315"/>
      <c r="AP23" s="315"/>
      <c r="AQ23" s="315"/>
      <c r="AR23" s="315"/>
      <c r="AS23" s="315"/>
      <c r="AT23" s="315">
        <f>+ab($T$23,$T$21,$T$25,$G$22,$G$24,-1*$F$23,1200)</f>
        <v>10.522821295424606</v>
      </c>
      <c r="AU23" s="315"/>
      <c r="AV23" s="315"/>
      <c r="AW23" s="315" t="s">
        <v>2634</v>
      </c>
      <c r="AX23" s="315" t="s">
        <v>1641</v>
      </c>
      <c r="AY23" s="315">
        <v>4.2</v>
      </c>
      <c r="AZ23" s="315"/>
      <c r="BA23" s="1025"/>
      <c r="BB23" s="306"/>
      <c r="BC23" s="323"/>
      <c r="BD23" s="324"/>
      <c r="BF23" s="305" t="s">
        <v>1003</v>
      </c>
      <c r="BG23" s="302"/>
      <c r="BI23" s="1043" t="s">
        <v>2528</v>
      </c>
      <c r="BJ23" s="1033">
        <v>11500</v>
      </c>
      <c r="BK23" s="1033">
        <v>11700</v>
      </c>
      <c r="BL23" s="1034">
        <v>0</v>
      </c>
      <c r="BM23" s="1044">
        <f t="shared" ref="BM23:BM31" si="9">+(BK23-BJ23)*BL23/1000</f>
        <v>0</v>
      </c>
      <c r="BO23" s="334">
        <v>20898</v>
      </c>
      <c r="BP23" s="335">
        <v>19.2</v>
      </c>
      <c r="BQ23" s="335">
        <f t="shared" si="4"/>
        <v>20.7</v>
      </c>
    </row>
    <row r="24" spans="1:69" ht="18.75">
      <c r="A24" s="339"/>
      <c r="B24" s="1121"/>
      <c r="C24" s="288"/>
      <c r="D24" s="1121"/>
      <c r="E24" s="1121"/>
      <c r="F24" s="289"/>
      <c r="G24" s="292">
        <v>60</v>
      </c>
      <c r="H24" s="1121"/>
      <c r="I24" s="294"/>
      <c r="J24" s="288"/>
      <c r="K24" s="1121"/>
      <c r="L24" s="1121"/>
      <c r="M24" s="1121"/>
      <c r="N24" s="1121"/>
      <c r="O24" s="1121"/>
      <c r="P24" s="1121"/>
      <c r="Q24" s="1121"/>
      <c r="R24" s="292"/>
      <c r="S24" s="292">
        <f t="shared" ref="S24:S48" si="10">+AG25-AG23</f>
        <v>59.779999999998836</v>
      </c>
      <c r="T24" s="1121"/>
      <c r="U24" s="1121"/>
      <c r="V24" s="1121"/>
      <c r="W24" s="1121"/>
      <c r="X24" s="1121"/>
      <c r="Y24" s="1121"/>
      <c r="Z24" s="1121"/>
      <c r="AA24" s="1121"/>
      <c r="AB24" s="1121"/>
      <c r="AC24" s="1121"/>
      <c r="AD24" s="1121"/>
      <c r="AE24" s="1121"/>
      <c r="AF24" s="1121"/>
      <c r="AG24" s="288"/>
      <c r="AH24" s="1121" t="s">
        <v>695</v>
      </c>
      <c r="AI24" s="289"/>
      <c r="AJ24" s="1121"/>
      <c r="AK24" s="1121"/>
      <c r="AL24" s="1121"/>
      <c r="AM24" s="1121"/>
      <c r="AN24" s="315"/>
      <c r="AO24" s="315"/>
      <c r="AP24" s="315"/>
      <c r="AQ24" s="315">
        <f>+FL_2($T$25,$T$23,$G$24,1200,9.28,-1*$F$25)</f>
        <v>-0.43600286799999999</v>
      </c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06"/>
      <c r="BC24" s="305" t="s">
        <v>994</v>
      </c>
      <c r="BD24" s="302"/>
      <c r="BF24" s="323" t="s">
        <v>1020</v>
      </c>
      <c r="BG24" s="324" t="s">
        <v>960</v>
      </c>
      <c r="BI24" s="316" t="s">
        <v>2529</v>
      </c>
      <c r="BJ24" s="317">
        <v>12250</v>
      </c>
      <c r="BK24" s="317">
        <v>12400</v>
      </c>
      <c r="BL24" s="1028">
        <v>0</v>
      </c>
      <c r="BM24" s="314">
        <f t="shared" si="9"/>
        <v>0</v>
      </c>
      <c r="BO24" s="334">
        <v>20956</v>
      </c>
      <c r="BP24" s="335">
        <v>32.5</v>
      </c>
      <c r="BQ24" s="335">
        <f t="shared" si="4"/>
        <v>34</v>
      </c>
    </row>
    <row r="25" spans="1:69" ht="14.25">
      <c r="A25" s="339"/>
      <c r="B25" s="340" t="s">
        <v>2665</v>
      </c>
      <c r="C25" s="288">
        <f t="shared" ref="C25" si="11">C23+G24</f>
        <v>10873</v>
      </c>
      <c r="D25" s="1121"/>
      <c r="E25" s="1121"/>
      <c r="F25" s="289">
        <v>0</v>
      </c>
      <c r="G25" s="292"/>
      <c r="H25" s="1121"/>
      <c r="I25" s="294"/>
      <c r="J25" s="288"/>
      <c r="K25" s="1121"/>
      <c r="L25" s="1121" t="s">
        <v>230</v>
      </c>
      <c r="M25" s="1121" t="s">
        <v>2757</v>
      </c>
      <c r="N25" s="1121" t="s">
        <v>144</v>
      </c>
      <c r="O25" s="1121"/>
      <c r="P25" s="1121"/>
      <c r="Q25" s="1121">
        <v>0</v>
      </c>
      <c r="R25" s="289">
        <v>0</v>
      </c>
      <c r="S25" s="292"/>
      <c r="T25" s="1121">
        <v>-35</v>
      </c>
      <c r="U25" s="1121"/>
      <c r="V25" s="1121"/>
      <c r="W25" s="1121">
        <v>1.4</v>
      </c>
      <c r="X25" s="1121"/>
      <c r="Y25" s="1121"/>
      <c r="Z25" s="1121"/>
      <c r="AA25" s="1121"/>
      <c r="AB25" s="1121"/>
      <c r="AC25" s="1121" t="s">
        <v>1704</v>
      </c>
      <c r="AD25" s="1121"/>
      <c r="AE25" s="1121"/>
      <c r="AF25" s="1121">
        <v>6000</v>
      </c>
      <c r="AG25" s="288">
        <v>10872.71</v>
      </c>
      <c r="AH25" s="1121">
        <v>2632</v>
      </c>
      <c r="AI25" s="289">
        <v>640</v>
      </c>
      <c r="AJ25" s="1121"/>
      <c r="AK25" s="1121"/>
      <c r="AL25" s="1121"/>
      <c r="AM25" s="1121" t="s">
        <v>1228</v>
      </c>
      <c r="AN25" s="315">
        <v>5.5</v>
      </c>
      <c r="AO25" s="315"/>
      <c r="AP25" s="315"/>
      <c r="AQ25" s="315"/>
      <c r="AR25" s="315"/>
      <c r="AS25" s="315"/>
      <c r="AT25" s="315">
        <f>+ab($T$25,$T$23,$T$27,$G$24,$G$26,-1*$F$25,1200)</f>
        <v>-8.1682020423530854</v>
      </c>
      <c r="AU25" s="315"/>
      <c r="AV25" s="315"/>
      <c r="AW25" s="315" t="s">
        <v>2634</v>
      </c>
      <c r="AX25" s="315" t="s">
        <v>1641</v>
      </c>
      <c r="AY25" s="315">
        <v>4.2</v>
      </c>
      <c r="AZ25" s="315"/>
      <c r="BA25" s="1025"/>
      <c r="BB25" s="306"/>
      <c r="BC25" s="323" t="s">
        <v>995</v>
      </c>
      <c r="BD25" s="324" t="s">
        <v>656</v>
      </c>
      <c r="BF25" s="323" t="s">
        <v>1021</v>
      </c>
      <c r="BG25" s="324" t="s">
        <v>959</v>
      </c>
      <c r="BI25" s="316" t="s">
        <v>2529</v>
      </c>
      <c r="BJ25" s="317">
        <v>12850</v>
      </c>
      <c r="BK25" s="317">
        <v>13000</v>
      </c>
      <c r="BL25" s="1028">
        <v>0</v>
      </c>
      <c r="BM25" s="314">
        <f t="shared" si="9"/>
        <v>0</v>
      </c>
      <c r="BO25" s="334">
        <v>21005</v>
      </c>
      <c r="BP25" s="335">
        <v>25.4</v>
      </c>
      <c r="BQ25" s="335">
        <f t="shared" si="4"/>
        <v>26.9</v>
      </c>
    </row>
    <row r="26" spans="1:69" ht="14.25">
      <c r="A26" s="339"/>
      <c r="B26" s="1121"/>
      <c r="C26" s="288"/>
      <c r="D26" s="1121"/>
      <c r="E26" s="1121"/>
      <c r="F26" s="289"/>
      <c r="G26" s="292">
        <v>60</v>
      </c>
      <c r="H26" s="1121"/>
      <c r="I26" s="294"/>
      <c r="J26" s="288"/>
      <c r="K26" s="1121"/>
      <c r="L26" s="1121"/>
      <c r="M26" s="1121"/>
      <c r="N26" s="1121"/>
      <c r="O26" s="1121"/>
      <c r="P26" s="1121"/>
      <c r="Q26" s="1121"/>
      <c r="R26" s="292"/>
      <c r="S26" s="292">
        <f t="shared" si="10"/>
        <v>60.170000000000073</v>
      </c>
      <c r="T26" s="1121"/>
      <c r="U26" s="1121"/>
      <c r="V26" s="1121"/>
      <c r="W26" s="1121"/>
      <c r="X26" s="1121"/>
      <c r="Y26" s="1121"/>
      <c r="Z26" s="1121"/>
      <c r="AA26" s="1121"/>
      <c r="AB26" s="1121"/>
      <c r="AC26" s="1121"/>
      <c r="AD26" s="1121"/>
      <c r="AE26" s="1121"/>
      <c r="AF26" s="1121"/>
      <c r="AG26" s="288"/>
      <c r="AH26" s="1121" t="s">
        <v>695</v>
      </c>
      <c r="AI26" s="289"/>
      <c r="AJ26" s="1121"/>
      <c r="AK26" s="1121"/>
      <c r="AL26" s="1121"/>
      <c r="AM26" s="1121"/>
      <c r="AN26" s="315"/>
      <c r="AO26" s="315"/>
      <c r="AP26" s="315"/>
      <c r="AQ26" s="315">
        <f>+FL_1($T$27,$T$25,$G$26,1200,9.28,-1*$F$27)</f>
        <v>0.43600286799999999</v>
      </c>
      <c r="AR26" s="315"/>
      <c r="AS26" s="315"/>
      <c r="AT26" s="315"/>
      <c r="AU26" s="315"/>
      <c r="AV26" s="315"/>
      <c r="AW26" s="315"/>
      <c r="AX26" s="315"/>
      <c r="AY26" s="315"/>
      <c r="AZ26" s="315"/>
      <c r="BA26" s="315"/>
      <c r="BB26" s="306"/>
      <c r="BC26" s="323" t="s">
        <v>996</v>
      </c>
      <c r="BD26" s="324" t="s">
        <v>657</v>
      </c>
      <c r="BF26" s="323" t="s">
        <v>1022</v>
      </c>
      <c r="BG26" s="324" t="s">
        <v>963</v>
      </c>
      <c r="BI26" s="316" t="s">
        <v>2530</v>
      </c>
      <c r="BJ26" s="317">
        <v>15300</v>
      </c>
      <c r="BK26" s="317">
        <v>15850</v>
      </c>
      <c r="BL26" s="1028">
        <v>0</v>
      </c>
      <c r="BM26" s="314">
        <f t="shared" si="9"/>
        <v>0</v>
      </c>
      <c r="BO26" s="334">
        <v>21053</v>
      </c>
      <c r="BP26" s="335">
        <v>23.9</v>
      </c>
      <c r="BQ26" s="335">
        <f t="shared" si="4"/>
        <v>25.4</v>
      </c>
    </row>
    <row r="27" spans="1:69" ht="14.25">
      <c r="A27" s="339"/>
      <c r="B27" s="340" t="s">
        <v>2666</v>
      </c>
      <c r="C27" s="288">
        <f t="shared" ref="C27" si="12">C25+G26</f>
        <v>10933</v>
      </c>
      <c r="D27" s="1121"/>
      <c r="E27" s="1121"/>
      <c r="F27" s="289">
        <v>0</v>
      </c>
      <c r="G27" s="292"/>
      <c r="H27" s="1121"/>
      <c r="I27" s="294"/>
      <c r="J27" s="288"/>
      <c r="K27" s="1121"/>
      <c r="L27" s="1121" t="s">
        <v>230</v>
      </c>
      <c r="M27" s="1121" t="s">
        <v>2757</v>
      </c>
      <c r="N27" s="1121" t="s">
        <v>145</v>
      </c>
      <c r="O27" s="1121"/>
      <c r="P27" s="1121"/>
      <c r="Q27" s="1121">
        <v>0</v>
      </c>
      <c r="R27" s="289">
        <v>0</v>
      </c>
      <c r="S27" s="292"/>
      <c r="T27" s="1121">
        <v>35</v>
      </c>
      <c r="U27" s="1121"/>
      <c r="V27" s="1121"/>
      <c r="W27" s="1121">
        <v>1.4</v>
      </c>
      <c r="X27" s="1121"/>
      <c r="Y27" s="1121"/>
      <c r="Z27" s="1121"/>
      <c r="AA27" s="1121"/>
      <c r="AB27" s="1121"/>
      <c r="AC27" s="1121" t="s">
        <v>1704</v>
      </c>
      <c r="AD27" s="1121"/>
      <c r="AE27" s="1121"/>
      <c r="AF27" s="1121">
        <v>6000</v>
      </c>
      <c r="AG27" s="288">
        <v>10932.88</v>
      </c>
      <c r="AH27" s="1121">
        <v>2610</v>
      </c>
      <c r="AI27" s="289">
        <v>689</v>
      </c>
      <c r="AJ27" s="1121"/>
      <c r="AK27" s="1121"/>
      <c r="AL27" s="1121"/>
      <c r="AM27" s="1121" t="s">
        <v>1228</v>
      </c>
      <c r="AN27" s="315">
        <v>5.5</v>
      </c>
      <c r="AO27" s="315"/>
      <c r="AP27" s="315"/>
      <c r="AQ27" s="315"/>
      <c r="AR27" s="315"/>
      <c r="AS27" s="315"/>
      <c r="AT27" s="315">
        <f>+ab($T$27,$T$25,$T$29,$G$26,$G$28,-1*$F$27,1200)</f>
        <v>8.1681606014296726</v>
      </c>
      <c r="AU27" s="315"/>
      <c r="AV27" s="315"/>
      <c r="AW27" s="315" t="s">
        <v>2634</v>
      </c>
      <c r="AX27" s="315" t="s">
        <v>1641</v>
      </c>
      <c r="AY27" s="315">
        <v>4.2</v>
      </c>
      <c r="AZ27" s="315"/>
      <c r="BA27" s="315"/>
      <c r="BB27" s="306"/>
      <c r="BC27" s="323" t="s">
        <v>997</v>
      </c>
      <c r="BD27" s="324" t="s">
        <v>912</v>
      </c>
      <c r="BF27" s="323" t="s">
        <v>1591</v>
      </c>
      <c r="BG27" s="324" t="s">
        <v>1592</v>
      </c>
      <c r="BI27" s="316" t="s">
        <v>2531</v>
      </c>
      <c r="BJ27" s="317">
        <v>18800</v>
      </c>
      <c r="BK27" s="317">
        <v>19400</v>
      </c>
      <c r="BL27" s="1028">
        <v>0</v>
      </c>
      <c r="BM27" s="314">
        <f t="shared" si="9"/>
        <v>0</v>
      </c>
      <c r="BO27" s="334">
        <v>22737</v>
      </c>
      <c r="BP27" s="335">
        <v>18.600000000000001</v>
      </c>
      <c r="BQ27" s="335">
        <f t="shared" si="4"/>
        <v>20.100000000000001</v>
      </c>
    </row>
    <row r="28" spans="1:69" ht="14.25">
      <c r="A28" s="339"/>
      <c r="B28" s="1121"/>
      <c r="C28" s="288"/>
      <c r="D28" s="1130"/>
      <c r="E28" s="1121"/>
      <c r="F28" s="289"/>
      <c r="G28" s="292">
        <v>60</v>
      </c>
      <c r="H28" s="1121"/>
      <c r="I28" s="294"/>
      <c r="J28" s="288"/>
      <c r="K28" s="1121"/>
      <c r="L28" s="1121"/>
      <c r="M28" s="1121"/>
      <c r="N28" s="1121"/>
      <c r="O28" s="1121"/>
      <c r="P28" s="1121"/>
      <c r="Q28" s="1121"/>
      <c r="R28" s="292"/>
      <c r="S28" s="292">
        <f t="shared" si="10"/>
        <v>59.960000000000946</v>
      </c>
      <c r="T28" s="1121"/>
      <c r="U28" s="1121"/>
      <c r="V28" s="1121"/>
      <c r="W28" s="1121"/>
      <c r="X28" s="1121"/>
      <c r="Y28" s="1121"/>
      <c r="Z28" s="1121"/>
      <c r="AA28" s="1121"/>
      <c r="AB28" s="1121"/>
      <c r="AC28" s="1121"/>
      <c r="AD28" s="1121"/>
      <c r="AE28" s="1121"/>
      <c r="AF28" s="1121"/>
      <c r="AG28" s="288"/>
      <c r="AH28" s="1121" t="s">
        <v>695</v>
      </c>
      <c r="AI28" s="289"/>
      <c r="AJ28" s="1121"/>
      <c r="AK28" s="1121"/>
      <c r="AL28" s="1121"/>
      <c r="AM28" s="1121"/>
      <c r="AN28" s="315"/>
      <c r="AO28" s="315"/>
      <c r="AP28" s="315"/>
      <c r="AQ28" s="315">
        <f>+FL_2($T$29,$T$27,$G$28,1200,9.28,-1*$F$29)</f>
        <v>-0.43600286799999999</v>
      </c>
      <c r="AR28" s="315"/>
      <c r="AS28" s="315"/>
      <c r="AT28" s="315"/>
      <c r="AU28" s="315"/>
      <c r="AV28" s="315"/>
      <c r="AW28" s="315"/>
      <c r="AX28" s="315"/>
      <c r="AY28" s="315"/>
      <c r="AZ28" s="315"/>
      <c r="BA28" s="315"/>
      <c r="BB28" s="306"/>
      <c r="BC28" s="323" t="s">
        <v>998</v>
      </c>
      <c r="BD28" s="324" t="s">
        <v>911</v>
      </c>
      <c r="BF28" s="323" t="s">
        <v>1005</v>
      </c>
      <c r="BG28" s="324" t="s">
        <v>961</v>
      </c>
      <c r="BI28" s="316" t="s">
        <v>2532</v>
      </c>
      <c r="BJ28" s="317">
        <v>20100</v>
      </c>
      <c r="BK28" s="317">
        <v>20420</v>
      </c>
      <c r="BL28" s="1028">
        <v>0</v>
      </c>
      <c r="BM28" s="314">
        <f t="shared" si="9"/>
        <v>0</v>
      </c>
      <c r="BO28" s="334">
        <v>22789</v>
      </c>
      <c r="BP28" s="335">
        <v>17.399999999999999</v>
      </c>
      <c r="BQ28" s="335">
        <f t="shared" si="4"/>
        <v>18.899999999999999</v>
      </c>
    </row>
    <row r="29" spans="1:69" ht="14.25">
      <c r="A29" s="340"/>
      <c r="B29" s="340" t="s">
        <v>2667</v>
      </c>
      <c r="C29" s="288">
        <f t="shared" ref="C29" si="13">C27+G28</f>
        <v>10993</v>
      </c>
      <c r="D29" s="1121"/>
      <c r="E29" s="1121"/>
      <c r="F29" s="289">
        <v>0</v>
      </c>
      <c r="G29" s="292"/>
      <c r="H29" s="1121"/>
      <c r="I29" s="294"/>
      <c r="J29" s="288"/>
      <c r="K29" s="1121"/>
      <c r="L29" s="1121" t="s">
        <v>230</v>
      </c>
      <c r="M29" s="1121" t="s">
        <v>2757</v>
      </c>
      <c r="N29" s="1121" t="s">
        <v>144</v>
      </c>
      <c r="O29" s="1121"/>
      <c r="P29" s="1121"/>
      <c r="Q29" s="1121">
        <v>0</v>
      </c>
      <c r="R29" s="289">
        <v>0</v>
      </c>
      <c r="S29" s="292"/>
      <c r="T29" s="1121">
        <v>-35</v>
      </c>
      <c r="U29" s="1121"/>
      <c r="V29" s="1121"/>
      <c r="W29" s="1121">
        <v>1.4</v>
      </c>
      <c r="X29" s="1121"/>
      <c r="Y29" s="1121"/>
      <c r="Z29" s="1121"/>
      <c r="AA29" s="1121"/>
      <c r="AB29" s="1121"/>
      <c r="AC29" s="1121" t="s">
        <v>1704</v>
      </c>
      <c r="AD29" s="1121"/>
      <c r="AE29" s="1121"/>
      <c r="AF29" s="1121">
        <v>6000</v>
      </c>
      <c r="AG29" s="288">
        <v>10992.84</v>
      </c>
      <c r="AH29" s="1121">
        <v>2549</v>
      </c>
      <c r="AI29" s="289">
        <v>673</v>
      </c>
      <c r="AJ29" s="1121"/>
      <c r="AK29" s="1121"/>
      <c r="AL29" s="1121"/>
      <c r="AM29" s="1121" t="s">
        <v>1228</v>
      </c>
      <c r="AN29" s="315">
        <v>5.5</v>
      </c>
      <c r="AO29" s="315"/>
      <c r="AP29" s="315"/>
      <c r="AQ29" s="315"/>
      <c r="AR29" s="315"/>
      <c r="AS29" s="315"/>
      <c r="AT29" s="315">
        <f>+ab($T$29,$T$27,$T$31,$G$28,$G$30,-1*$F$29,1200)</f>
        <v>-8.1682020423530854</v>
      </c>
      <c r="AU29" s="315"/>
      <c r="AV29" s="315"/>
      <c r="AW29" s="315" t="s">
        <v>2634</v>
      </c>
      <c r="AX29" s="315" t="s">
        <v>1641</v>
      </c>
      <c r="AY29" s="315">
        <v>4.2</v>
      </c>
      <c r="AZ29" s="315"/>
      <c r="BA29" s="315"/>
      <c r="BB29" s="306"/>
      <c r="BC29" s="323" t="s">
        <v>1604</v>
      </c>
      <c r="BD29" s="324" t="s">
        <v>1081</v>
      </c>
      <c r="BF29" s="323" t="s">
        <v>1602</v>
      </c>
      <c r="BG29" s="324" t="s">
        <v>1603</v>
      </c>
      <c r="BI29" s="316" t="s">
        <v>2533</v>
      </c>
      <c r="BJ29" s="317">
        <v>21850</v>
      </c>
      <c r="BK29" s="317">
        <v>21950</v>
      </c>
      <c r="BL29" s="1028">
        <v>0</v>
      </c>
      <c r="BM29" s="314">
        <f t="shared" si="9"/>
        <v>0</v>
      </c>
      <c r="BO29" s="334">
        <v>22841</v>
      </c>
      <c r="BP29" s="335">
        <v>22.4</v>
      </c>
      <c r="BQ29" s="335">
        <f t="shared" si="4"/>
        <v>23.9</v>
      </c>
    </row>
    <row r="30" spans="1:69" ht="14.25">
      <c r="A30" s="340"/>
      <c r="B30" s="340"/>
      <c r="C30" s="288"/>
      <c r="D30" s="1121"/>
      <c r="E30" s="1121"/>
      <c r="F30" s="289"/>
      <c r="G30" s="292">
        <v>60</v>
      </c>
      <c r="H30" s="291"/>
      <c r="I30" s="294"/>
      <c r="J30" s="288"/>
      <c r="K30" s="1121"/>
      <c r="L30" s="1121"/>
      <c r="M30" s="1121"/>
      <c r="N30" s="1121"/>
      <c r="O30" s="1121"/>
      <c r="P30" s="1121"/>
      <c r="Q30" s="1121"/>
      <c r="R30" s="292"/>
      <c r="S30" s="292">
        <f t="shared" si="10"/>
        <v>60.159999999999854</v>
      </c>
      <c r="T30" s="1121"/>
      <c r="U30" s="1121"/>
      <c r="V30" s="1121"/>
      <c r="W30" s="1121"/>
      <c r="X30" s="1121"/>
      <c r="Y30" s="1121"/>
      <c r="Z30" s="1121"/>
      <c r="AA30" s="1121"/>
      <c r="AB30" s="1121"/>
      <c r="AC30" s="1121"/>
      <c r="AD30" s="1121"/>
      <c r="AE30" s="1121"/>
      <c r="AF30" s="1121"/>
      <c r="AG30" s="288"/>
      <c r="AH30" s="1121" t="s">
        <v>695</v>
      </c>
      <c r="AI30" s="289"/>
      <c r="AJ30" s="1121"/>
      <c r="AK30" s="1121"/>
      <c r="AL30" s="1121"/>
      <c r="AM30" s="1121"/>
      <c r="AN30" s="315"/>
      <c r="AO30" s="315"/>
      <c r="AP30" s="315"/>
      <c r="AQ30" s="315">
        <f>+FL_1($T$31,$T$29,$G$30,1200,9.28,-1*$F$31)</f>
        <v>0.43600286799999999</v>
      </c>
      <c r="AR30" s="315"/>
      <c r="AS30" s="315"/>
      <c r="AT30" s="315"/>
      <c r="AU30" s="315"/>
      <c r="AV30" s="315"/>
      <c r="AW30" s="315"/>
      <c r="AX30" s="315"/>
      <c r="AY30" s="315"/>
      <c r="AZ30" s="315"/>
      <c r="BA30" s="315"/>
      <c r="BB30" s="306"/>
      <c r="BC30" s="323" t="s">
        <v>1041</v>
      </c>
      <c r="BD30" s="324" t="s">
        <v>1224</v>
      </c>
      <c r="BF30" s="323" t="s">
        <v>1368</v>
      </c>
      <c r="BG30" s="324" t="s">
        <v>1590</v>
      </c>
      <c r="BI30" s="316" t="s">
        <v>2019</v>
      </c>
      <c r="BJ30" s="317">
        <v>24600</v>
      </c>
      <c r="BK30" s="317">
        <v>24800</v>
      </c>
      <c r="BL30" s="1028">
        <v>0</v>
      </c>
      <c r="BM30" s="314">
        <f t="shared" si="9"/>
        <v>0</v>
      </c>
      <c r="BO30" s="334">
        <v>22892</v>
      </c>
      <c r="BP30" s="335">
        <v>23.2</v>
      </c>
      <c r="BQ30" s="335">
        <f t="shared" si="4"/>
        <v>24.7</v>
      </c>
    </row>
    <row r="31" spans="1:69" ht="14.25">
      <c r="A31" s="340"/>
      <c r="B31" s="340" t="s">
        <v>2049</v>
      </c>
      <c r="C31" s="288">
        <f t="shared" ref="C31" si="14">C29+G30</f>
        <v>11053</v>
      </c>
      <c r="D31" s="1121"/>
      <c r="E31" s="1121"/>
      <c r="F31" s="289">
        <v>0</v>
      </c>
      <c r="G31" s="292"/>
      <c r="H31" s="291"/>
      <c r="I31" s="294"/>
      <c r="J31" s="288"/>
      <c r="K31" s="1121"/>
      <c r="L31" s="1121" t="s">
        <v>230</v>
      </c>
      <c r="M31" s="1121" t="s">
        <v>2757</v>
      </c>
      <c r="N31" s="1121" t="s">
        <v>145</v>
      </c>
      <c r="O31" s="1121"/>
      <c r="P31" s="1121"/>
      <c r="Q31" s="1121">
        <v>0</v>
      </c>
      <c r="R31" s="289">
        <v>0</v>
      </c>
      <c r="S31" s="292"/>
      <c r="T31" s="1121">
        <v>35</v>
      </c>
      <c r="U31" s="1121"/>
      <c r="V31" s="1121"/>
      <c r="W31" s="1121">
        <v>1.4</v>
      </c>
      <c r="X31" s="1121"/>
      <c r="Y31" s="1121"/>
      <c r="Z31" s="1121"/>
      <c r="AA31" s="1121"/>
      <c r="AB31" s="1121"/>
      <c r="AC31" s="1121" t="s">
        <v>1704</v>
      </c>
      <c r="AD31" s="1121"/>
      <c r="AE31" s="1121"/>
      <c r="AF31" s="1121">
        <v>6000</v>
      </c>
      <c r="AG31" s="288">
        <v>11053</v>
      </c>
      <c r="AH31" s="1121">
        <v>2646</v>
      </c>
      <c r="AI31" s="289">
        <v>688</v>
      </c>
      <c r="AJ31" s="1121"/>
      <c r="AK31" s="1121"/>
      <c r="AL31" s="1121"/>
      <c r="AM31" s="1121" t="s">
        <v>1228</v>
      </c>
      <c r="AN31" s="315">
        <v>5.5</v>
      </c>
      <c r="AO31" s="315"/>
      <c r="AP31" s="315"/>
      <c r="AQ31" s="315"/>
      <c r="AR31" s="315"/>
      <c r="AS31" s="315"/>
      <c r="AT31" s="315">
        <f>+ab($T$31,$T$29,$T$33,$G$30,$G$32,-1*$F$31,1200)</f>
        <v>8.1681606014296726</v>
      </c>
      <c r="AU31" s="315"/>
      <c r="AV31" s="315"/>
      <c r="AW31" s="315" t="s">
        <v>2634</v>
      </c>
      <c r="AX31" s="315" t="s">
        <v>1641</v>
      </c>
      <c r="AY31" s="315">
        <v>4.2</v>
      </c>
      <c r="AZ31" s="315"/>
      <c r="BA31" s="315"/>
      <c r="BB31" s="306"/>
      <c r="BC31" s="323" t="s">
        <v>1044</v>
      </c>
      <c r="BD31" s="324" t="s">
        <v>1223</v>
      </c>
      <c r="BF31" s="323" t="s">
        <v>1369</v>
      </c>
      <c r="BG31" s="324" t="s">
        <v>1593</v>
      </c>
      <c r="BI31" s="316" t="s">
        <v>2020</v>
      </c>
      <c r="BJ31" s="317">
        <v>25750</v>
      </c>
      <c r="BK31" s="317">
        <v>26965</v>
      </c>
      <c r="BL31" s="1028">
        <v>0</v>
      </c>
      <c r="BM31" s="314">
        <f t="shared" si="9"/>
        <v>0</v>
      </c>
      <c r="BO31" s="334">
        <v>22952</v>
      </c>
      <c r="BP31" s="335">
        <v>19.600000000000001</v>
      </c>
      <c r="BQ31" s="335">
        <f t="shared" si="4"/>
        <v>21.1</v>
      </c>
    </row>
    <row r="32" spans="1:69" ht="14.25">
      <c r="A32" s="340"/>
      <c r="B32" s="340"/>
      <c r="C32" s="288"/>
      <c r="D32" s="1121"/>
      <c r="E32" s="1121"/>
      <c r="F32" s="289"/>
      <c r="G32" s="292">
        <v>60</v>
      </c>
      <c r="H32" s="291"/>
      <c r="I32" s="289"/>
      <c r="J32" s="288">
        <f>C33-7.5</f>
        <v>11105.5</v>
      </c>
      <c r="K32" s="1121" t="s">
        <v>3018</v>
      </c>
      <c r="L32" s="1121"/>
      <c r="M32" s="1121"/>
      <c r="N32" s="1121"/>
      <c r="O32" s="1121"/>
      <c r="P32" s="1121"/>
      <c r="Q32" s="1121"/>
      <c r="R32" s="292"/>
      <c r="S32" s="292">
        <f t="shared" si="10"/>
        <v>59.840000000000146</v>
      </c>
      <c r="T32" s="1121"/>
      <c r="U32" s="1121"/>
      <c r="V32" s="1121"/>
      <c r="W32" s="1121"/>
      <c r="X32" s="1121"/>
      <c r="Y32" s="1121"/>
      <c r="Z32" s="1121"/>
      <c r="AA32" s="1121"/>
      <c r="AB32" s="1121"/>
      <c r="AC32" s="1121"/>
      <c r="AD32" s="1121"/>
      <c r="AE32" s="1121"/>
      <c r="AF32" s="1121"/>
      <c r="AG32" s="288"/>
      <c r="AH32" s="1121" t="s">
        <v>695</v>
      </c>
      <c r="AI32" s="289"/>
      <c r="AJ32" s="1121"/>
      <c r="AK32" s="1121"/>
      <c r="AL32" s="1121"/>
      <c r="AM32" s="1121"/>
      <c r="AN32" s="315"/>
      <c r="AO32" s="315"/>
      <c r="AP32" s="315"/>
      <c r="AQ32" s="315">
        <f>+FL_2($T$33,$T$31,$G$32,1200,9.28,-1*$F$33)</f>
        <v>-0.43600286799999999</v>
      </c>
      <c r="AR32" s="315"/>
      <c r="AS32" s="315"/>
      <c r="AT32" s="315"/>
      <c r="AU32" s="315"/>
      <c r="AV32" s="315"/>
      <c r="AW32" s="315" t="s">
        <v>2634</v>
      </c>
      <c r="AX32" s="315" t="s">
        <v>1641</v>
      </c>
      <c r="AY32" s="315"/>
      <c r="AZ32" s="315">
        <v>3.5</v>
      </c>
      <c r="BA32" s="315"/>
      <c r="BB32" s="306"/>
      <c r="BC32" s="323" t="s">
        <v>1042</v>
      </c>
      <c r="BD32" s="324" t="s">
        <v>1225</v>
      </c>
      <c r="BE32" s="298"/>
      <c r="BF32" s="323" t="s">
        <v>1365</v>
      </c>
      <c r="BG32" s="324" t="s">
        <v>944</v>
      </c>
      <c r="BI32" s="1039" t="s">
        <v>934</v>
      </c>
      <c r="BJ32" s="1028"/>
      <c r="BK32" s="1028"/>
      <c r="BL32" s="1028"/>
      <c r="BM32" s="314">
        <f>SUM(BM23:BM31)</f>
        <v>0</v>
      </c>
      <c r="BO32" s="334">
        <v>23014</v>
      </c>
      <c r="BP32" s="335">
        <v>19.600000000000001</v>
      </c>
      <c r="BQ32" s="335">
        <f t="shared" si="4"/>
        <v>21.1</v>
      </c>
    </row>
    <row r="33" spans="1:69" ht="14.25">
      <c r="A33" s="340"/>
      <c r="B33" s="340" t="s">
        <v>2050</v>
      </c>
      <c r="C33" s="288">
        <f>+$C$31+$G$32</f>
        <v>11113</v>
      </c>
      <c r="D33" s="1121"/>
      <c r="E33" s="1121"/>
      <c r="F33" s="289">
        <v>0</v>
      </c>
      <c r="G33" s="292"/>
      <c r="H33" s="291" t="s">
        <v>954</v>
      </c>
      <c r="I33" s="291"/>
      <c r="J33" s="288"/>
      <c r="K33" s="1121"/>
      <c r="L33" s="1121" t="s">
        <v>231</v>
      </c>
      <c r="M33" s="1121" t="s">
        <v>2756</v>
      </c>
      <c r="N33" s="1121" t="s">
        <v>144</v>
      </c>
      <c r="O33" s="1121"/>
      <c r="P33" s="1121"/>
      <c r="Q33" s="1121">
        <v>0</v>
      </c>
      <c r="R33" s="289">
        <v>0</v>
      </c>
      <c r="S33" s="292"/>
      <c r="T33" s="1121">
        <v>-35</v>
      </c>
      <c r="U33" s="1121"/>
      <c r="V33" s="1121"/>
      <c r="W33" s="1121">
        <v>1.4</v>
      </c>
      <c r="X33" s="1121"/>
      <c r="Y33" s="1121"/>
      <c r="Z33" s="1121"/>
      <c r="AA33" s="1121"/>
      <c r="AB33" s="1121"/>
      <c r="AC33" s="1121" t="s">
        <v>2963</v>
      </c>
      <c r="AD33" s="1121"/>
      <c r="AE33" s="1121"/>
      <c r="AF33" s="1121">
        <v>6000</v>
      </c>
      <c r="AG33" s="288">
        <v>11112.84</v>
      </c>
      <c r="AH33" s="1121">
        <v>2643</v>
      </c>
      <c r="AI33" s="289">
        <v>633</v>
      </c>
      <c r="AJ33" s="1121"/>
      <c r="AK33" s="1121"/>
      <c r="AL33" s="1121"/>
      <c r="AM33" s="1121" t="s">
        <v>1228</v>
      </c>
      <c r="AN33" s="315">
        <v>5.5</v>
      </c>
      <c r="AO33" s="315"/>
      <c r="AP33" s="315"/>
      <c r="AQ33" s="315"/>
      <c r="AR33" s="315"/>
      <c r="AS33" s="315"/>
      <c r="AT33" s="315">
        <f>+ab($T$33,$T$31,$T$35,$G$32,$G$34,-1*$F$33,1200)</f>
        <v>-8.1682020423530854</v>
      </c>
      <c r="AU33" s="315"/>
      <c r="AV33" s="315"/>
      <c r="AW33" s="315" t="s">
        <v>2634</v>
      </c>
      <c r="AX33" s="315" t="s">
        <v>1641</v>
      </c>
      <c r="AY33" s="315">
        <v>4.2</v>
      </c>
      <c r="AZ33" s="315"/>
      <c r="BA33" s="315"/>
      <c r="BB33" s="306"/>
      <c r="BC33" s="323" t="s">
        <v>1043</v>
      </c>
      <c r="BD33" s="324" t="s">
        <v>1226</v>
      </c>
      <c r="BE33" s="298"/>
      <c r="BF33" s="323"/>
      <c r="BG33" s="324"/>
      <c r="BI33" s="1039"/>
      <c r="BJ33" s="1028"/>
      <c r="BK33" s="1028"/>
      <c r="BL33" s="1028"/>
      <c r="BM33" s="314"/>
      <c r="BO33" s="334">
        <v>23076</v>
      </c>
      <c r="BP33" s="335">
        <v>19.600000000000001</v>
      </c>
      <c r="BQ33" s="335">
        <f t="shared" si="4"/>
        <v>21.1</v>
      </c>
    </row>
    <row r="34" spans="1:69" ht="14.25">
      <c r="A34" s="340"/>
      <c r="B34" s="340"/>
      <c r="C34" s="288"/>
      <c r="D34" s="1121"/>
      <c r="E34" s="1121"/>
      <c r="F34" s="289"/>
      <c r="G34" s="292">
        <v>60</v>
      </c>
      <c r="H34" s="291"/>
      <c r="I34" s="294">
        <f>SUM(G6:G34)</f>
        <v>666</v>
      </c>
      <c r="J34" s="288"/>
      <c r="K34" s="1121"/>
      <c r="L34" s="1121"/>
      <c r="M34" s="1121"/>
      <c r="N34" s="1121"/>
      <c r="O34" s="1121"/>
      <c r="P34" s="1121"/>
      <c r="Q34" s="1121"/>
      <c r="R34" s="292"/>
      <c r="S34" s="292">
        <f t="shared" si="10"/>
        <v>59.889999999999418</v>
      </c>
      <c r="T34" s="1121"/>
      <c r="U34" s="1121"/>
      <c r="V34" s="1121"/>
      <c r="W34" s="1121"/>
      <c r="X34" s="1121"/>
      <c r="Y34" s="1121"/>
      <c r="Z34" s="1121"/>
      <c r="AA34" s="1121"/>
      <c r="AB34" s="1121"/>
      <c r="AC34" s="1121"/>
      <c r="AD34" s="1121"/>
      <c r="AE34" s="1121"/>
      <c r="AF34" s="1121"/>
      <c r="AG34" s="288"/>
      <c r="AH34" s="1121" t="s">
        <v>695</v>
      </c>
      <c r="AI34" s="289"/>
      <c r="AJ34" s="1121"/>
      <c r="AK34" s="1121"/>
      <c r="AL34" s="1121"/>
      <c r="AM34" s="1121"/>
      <c r="AN34" s="315"/>
      <c r="AO34" s="315"/>
      <c r="AP34" s="315"/>
      <c r="AQ34" s="315">
        <f>+FL_1($T$35,$T$33,$G$34,1200,9.28,-1*$F$35)</f>
        <v>0.43600286799999999</v>
      </c>
      <c r="AR34" s="315"/>
      <c r="AS34" s="315"/>
      <c r="AT34" s="315"/>
      <c r="AU34" s="315"/>
      <c r="AV34" s="315"/>
      <c r="AW34" s="315"/>
      <c r="AX34" s="315"/>
      <c r="AY34" s="315"/>
      <c r="AZ34" s="315"/>
      <c r="BA34" s="315"/>
      <c r="BB34" s="306"/>
      <c r="BC34" s="323" t="s">
        <v>1045</v>
      </c>
      <c r="BD34" s="324" t="s">
        <v>1004</v>
      </c>
      <c r="BE34" s="298"/>
      <c r="BF34" s="323" t="s">
        <v>1008</v>
      </c>
      <c r="BG34" s="324" t="s">
        <v>967</v>
      </c>
      <c r="BI34" s="316"/>
      <c r="BJ34" s="306"/>
      <c r="BK34" s="306"/>
      <c r="BL34" s="306"/>
      <c r="BM34" s="338"/>
      <c r="BO34" s="334">
        <v>23138</v>
      </c>
      <c r="BP34" s="335">
        <v>19.600000000000001</v>
      </c>
      <c r="BQ34" s="335">
        <f t="shared" si="4"/>
        <v>21.1</v>
      </c>
    </row>
    <row r="35" spans="1:69" thickBot="1">
      <c r="A35" s="340"/>
      <c r="B35" s="1036" t="s">
        <v>2051</v>
      </c>
      <c r="C35" s="288">
        <f>+$C$33+$G$34</f>
        <v>11173</v>
      </c>
      <c r="D35" s="1121"/>
      <c r="E35" s="1121"/>
      <c r="F35" s="289">
        <v>0</v>
      </c>
      <c r="G35" s="292"/>
      <c r="H35" s="291" t="s">
        <v>955</v>
      </c>
      <c r="I35" s="291"/>
      <c r="J35" s="288"/>
      <c r="K35" s="1121"/>
      <c r="L35" s="1121" t="s">
        <v>230</v>
      </c>
      <c r="M35" s="1121" t="s">
        <v>2757</v>
      </c>
      <c r="N35" s="1121" t="s">
        <v>145</v>
      </c>
      <c r="O35" s="1121"/>
      <c r="P35" s="1121"/>
      <c r="Q35" s="1121">
        <v>0</v>
      </c>
      <c r="R35" s="289">
        <v>0</v>
      </c>
      <c r="S35" s="292"/>
      <c r="T35" s="1121">
        <v>35</v>
      </c>
      <c r="U35" s="1121"/>
      <c r="V35" s="1121"/>
      <c r="W35" s="1121">
        <v>1.4</v>
      </c>
      <c r="X35" s="1121"/>
      <c r="Y35" s="1121"/>
      <c r="Z35" s="1121"/>
      <c r="AA35" s="1121"/>
      <c r="AB35" s="1121"/>
      <c r="AC35" s="1121" t="s">
        <v>1704</v>
      </c>
      <c r="AD35" s="1121"/>
      <c r="AE35" s="1121"/>
      <c r="AF35" s="1121">
        <v>6000</v>
      </c>
      <c r="AG35" s="288">
        <v>11172.73</v>
      </c>
      <c r="AH35" s="1121">
        <v>2561</v>
      </c>
      <c r="AI35" s="289">
        <v>653</v>
      </c>
      <c r="AJ35" s="1121"/>
      <c r="AK35" s="1121"/>
      <c r="AL35" s="1121"/>
      <c r="AM35" s="1121" t="s">
        <v>1228</v>
      </c>
      <c r="AN35" s="315">
        <v>5.5</v>
      </c>
      <c r="AO35" s="315"/>
      <c r="AP35" s="315"/>
      <c r="AQ35" s="315"/>
      <c r="AR35" s="315"/>
      <c r="AS35" s="315"/>
      <c r="AT35" s="315">
        <f>+ab($T$35,$T$33,$T$37,$G$34,$G$36,-1*$F$35,1200)</f>
        <v>8.4663762783987284</v>
      </c>
      <c r="AU35" s="315"/>
      <c r="AV35" s="315"/>
      <c r="AW35" s="315" t="s">
        <v>2634</v>
      </c>
      <c r="AX35" s="315" t="s">
        <v>1641</v>
      </c>
      <c r="AY35" s="315">
        <v>4.2</v>
      </c>
      <c r="AZ35" s="315"/>
      <c r="BA35" s="315"/>
      <c r="BB35" s="306"/>
      <c r="BC35" s="323"/>
      <c r="BD35" s="324"/>
      <c r="BE35" s="1119"/>
      <c r="BF35" s="323" t="s">
        <v>1009</v>
      </c>
      <c r="BG35" s="324" t="s">
        <v>1006</v>
      </c>
      <c r="BI35" s="1040" t="s">
        <v>1085</v>
      </c>
      <c r="BJ35" s="1029"/>
      <c r="BK35" s="1029"/>
      <c r="BL35" s="1029"/>
      <c r="BM35" s="1048">
        <f>(SUM(BK23:BK31)-SUM(BJ23:BJ31))/1000</f>
        <v>3.4849999999999999</v>
      </c>
      <c r="BO35" s="334">
        <v>23202</v>
      </c>
      <c r="BP35" s="335">
        <v>19.600000000000001</v>
      </c>
      <c r="BQ35" s="335">
        <f t="shared" si="4"/>
        <v>21.1</v>
      </c>
    </row>
    <row r="36" spans="1:69" ht="18.75">
      <c r="A36" s="340"/>
      <c r="B36" s="340"/>
      <c r="C36" s="288"/>
      <c r="D36" s="1121"/>
      <c r="E36" s="1121"/>
      <c r="F36" s="289"/>
      <c r="G36" s="292">
        <v>60</v>
      </c>
      <c r="H36" s="1121"/>
      <c r="I36" s="294">
        <f>SUM(G36:G60)</f>
        <v>675</v>
      </c>
      <c r="J36" s="288"/>
      <c r="K36" s="1121"/>
      <c r="L36" s="1121"/>
      <c r="M36" s="1121"/>
      <c r="N36" s="1121"/>
      <c r="O36" s="1121"/>
      <c r="P36" s="1121"/>
      <c r="Q36" s="1121"/>
      <c r="R36" s="292"/>
      <c r="S36" s="292">
        <f t="shared" si="10"/>
        <v>60.1200000000008</v>
      </c>
      <c r="T36" s="1121"/>
      <c r="U36" s="1121"/>
      <c r="V36" s="1121"/>
      <c r="W36" s="1121"/>
      <c r="X36" s="1121"/>
      <c r="Y36" s="1121"/>
      <c r="Z36" s="1121"/>
      <c r="AA36" s="1121"/>
      <c r="AB36" s="1121"/>
      <c r="AC36" s="1121"/>
      <c r="AD36" s="1121"/>
      <c r="AE36" s="1121"/>
      <c r="AF36" s="1121"/>
      <c r="AG36" s="288"/>
      <c r="AH36" s="1121" t="s">
        <v>695</v>
      </c>
      <c r="AI36" s="289"/>
      <c r="AJ36" s="1121"/>
      <c r="AK36" s="1121"/>
      <c r="AL36" s="1121"/>
      <c r="AM36" s="1121"/>
      <c r="AN36" s="315"/>
      <c r="AO36" s="315"/>
      <c r="AP36" s="315"/>
      <c r="AQ36" s="315">
        <f>+FL_2($T$37,$T$35,$G$36,1200,9.28,-1*$F$37)</f>
        <v>-0.45723478426005137</v>
      </c>
      <c r="AR36" s="315"/>
      <c r="AS36" s="315"/>
      <c r="AT36" s="315"/>
      <c r="AU36" s="315"/>
      <c r="AV36" s="315"/>
      <c r="AW36" s="315"/>
      <c r="AX36" s="315"/>
      <c r="AY36" s="315"/>
      <c r="AZ36" s="315"/>
      <c r="BA36" s="315"/>
      <c r="BB36" s="306"/>
      <c r="BC36" s="305" t="s">
        <v>999</v>
      </c>
      <c r="BD36" s="302"/>
      <c r="BE36" s="1119"/>
      <c r="BF36" s="323" t="s">
        <v>1010</v>
      </c>
      <c r="BG36" s="324" t="s">
        <v>962</v>
      </c>
      <c r="BO36" s="334">
        <v>23265</v>
      </c>
      <c r="BP36" s="335">
        <v>19.600000000000001</v>
      </c>
      <c r="BQ36" s="335">
        <f t="shared" si="4"/>
        <v>21.1</v>
      </c>
    </row>
    <row r="37" spans="1:69" ht="14.25">
      <c r="A37" s="340"/>
      <c r="B37" s="340" t="s">
        <v>2052</v>
      </c>
      <c r="C37" s="288">
        <f>+$C$35+$G$36</f>
        <v>11233</v>
      </c>
      <c r="D37" s="1121"/>
      <c r="E37" s="1121"/>
      <c r="F37" s="289">
        <f t="shared" ref="F37" si="15">150*-1600/(C37-11195)</f>
        <v>-6315.7894736842109</v>
      </c>
      <c r="G37" s="292"/>
      <c r="H37" s="291" t="s">
        <v>954</v>
      </c>
      <c r="I37" s="289"/>
      <c r="J37" s="288"/>
      <c r="K37" s="1121"/>
      <c r="L37" s="1121" t="s">
        <v>231</v>
      </c>
      <c r="M37" s="1121" t="s">
        <v>2756</v>
      </c>
      <c r="N37" s="1121" t="s">
        <v>144</v>
      </c>
      <c r="O37" s="1121"/>
      <c r="P37" s="1121"/>
      <c r="Q37" s="1121">
        <v>29</v>
      </c>
      <c r="R37" s="292">
        <v>-7012.11</v>
      </c>
      <c r="S37" s="292"/>
      <c r="T37" s="1121">
        <v>-30</v>
      </c>
      <c r="U37" s="1121"/>
      <c r="V37" s="1121"/>
      <c r="W37" s="1121">
        <v>1.4</v>
      </c>
      <c r="X37" s="1121"/>
      <c r="Y37" s="1121"/>
      <c r="Z37" s="1121"/>
      <c r="AA37" s="1121"/>
      <c r="AB37" s="1121"/>
      <c r="AC37" s="1121" t="s">
        <v>1702</v>
      </c>
      <c r="AD37" s="1121"/>
      <c r="AE37" s="1121"/>
      <c r="AF37" s="1121">
        <v>6000</v>
      </c>
      <c r="AG37" s="288">
        <v>11232.85</v>
      </c>
      <c r="AH37" s="1121">
        <v>2571</v>
      </c>
      <c r="AI37" s="289">
        <v>638</v>
      </c>
      <c r="AJ37" s="1121"/>
      <c r="AK37" s="1121"/>
      <c r="AL37" s="1121"/>
      <c r="AM37" s="1121" t="s">
        <v>1228</v>
      </c>
      <c r="AN37" s="315">
        <v>5.5</v>
      </c>
      <c r="AO37" s="315"/>
      <c r="AP37" s="315"/>
      <c r="AQ37" s="315"/>
      <c r="AR37" s="315"/>
      <c r="AS37" s="315"/>
      <c r="AT37" s="315">
        <f>+ab($T$37,$T$35,$T$39,$G$36,$G$38,-1*$F$37,1200)</f>
        <v>-15.156216932789507</v>
      </c>
      <c r="AU37" s="315"/>
      <c r="AV37" s="315"/>
      <c r="AW37" s="315" t="s">
        <v>2634</v>
      </c>
      <c r="AX37" s="315" t="s">
        <v>1641</v>
      </c>
      <c r="AY37" s="315">
        <v>4.2</v>
      </c>
      <c r="AZ37" s="315"/>
      <c r="BA37" s="315"/>
      <c r="BB37" s="306"/>
      <c r="BC37" s="323" t="s">
        <v>1046</v>
      </c>
      <c r="BD37" s="324" t="s">
        <v>653</v>
      </c>
      <c r="BE37" s="1119"/>
      <c r="BF37" s="323" t="s">
        <v>1011</v>
      </c>
      <c r="BG37" s="324" t="s">
        <v>971</v>
      </c>
      <c r="BO37" s="334">
        <v>23330</v>
      </c>
      <c r="BP37" s="335">
        <v>18.3</v>
      </c>
      <c r="BQ37" s="335">
        <f t="shared" si="4"/>
        <v>19.8</v>
      </c>
    </row>
    <row r="38" spans="1:69" ht="14.25">
      <c r="A38" s="340"/>
      <c r="B38" s="340"/>
      <c r="C38" s="288"/>
      <c r="D38" s="1121"/>
      <c r="E38" s="1121"/>
      <c r="F38" s="289"/>
      <c r="G38" s="292">
        <v>56</v>
      </c>
      <c r="H38" s="291"/>
      <c r="I38" s="291"/>
      <c r="J38" s="288">
        <f>C37+7.5</f>
        <v>11240.5</v>
      </c>
      <c r="K38" s="1121" t="s">
        <v>3018</v>
      </c>
      <c r="L38" s="1121"/>
      <c r="M38" s="1121"/>
      <c r="N38" s="1121"/>
      <c r="O38" s="1121"/>
      <c r="P38" s="1121"/>
      <c r="Q38" s="1121"/>
      <c r="R38" s="292"/>
      <c r="S38" s="292">
        <f t="shared" si="10"/>
        <v>56.149999999999636</v>
      </c>
      <c r="T38" s="1121"/>
      <c r="U38" s="1121"/>
      <c r="V38" s="1121"/>
      <c r="W38" s="1121"/>
      <c r="X38" s="1121"/>
      <c r="Y38" s="1121"/>
      <c r="Z38" s="1121"/>
      <c r="AA38" s="1121"/>
      <c r="AB38" s="1121"/>
      <c r="AC38" s="1121"/>
      <c r="AD38" s="1121"/>
      <c r="AE38" s="1121"/>
      <c r="AF38" s="1121"/>
      <c r="AG38" s="288"/>
      <c r="AH38" s="1121" t="s">
        <v>695</v>
      </c>
      <c r="AI38" s="289"/>
      <c r="AJ38" s="1121"/>
      <c r="AK38" s="1121"/>
      <c r="AL38" s="1121"/>
      <c r="AM38" s="1121"/>
      <c r="AN38" s="315"/>
      <c r="AO38" s="315"/>
      <c r="AP38" s="315"/>
      <c r="AQ38" s="315">
        <f>+FL_2($T$39,$T$37,$S$38,1200,9.28,-1*($R$39+R37)/2)</f>
        <v>-0.43741952735301376</v>
      </c>
      <c r="AR38" s="315"/>
      <c r="AS38" s="315"/>
      <c r="AT38" s="315"/>
      <c r="AU38" s="315"/>
      <c r="AV38" s="315"/>
      <c r="AW38" s="315" t="s">
        <v>2634</v>
      </c>
      <c r="AX38" s="315" t="s">
        <v>1641</v>
      </c>
      <c r="AY38" s="315"/>
      <c r="AZ38" s="315">
        <v>3.5</v>
      </c>
      <c r="BA38" s="315"/>
      <c r="BB38" s="306"/>
      <c r="BC38" s="323" t="s">
        <v>1047</v>
      </c>
      <c r="BD38" s="324" t="s">
        <v>658</v>
      </c>
      <c r="BE38" s="1119"/>
      <c r="BF38" s="323" t="s">
        <v>1012</v>
      </c>
      <c r="BG38" s="324" t="s">
        <v>966</v>
      </c>
      <c r="BO38" s="334">
        <v>23392</v>
      </c>
      <c r="BP38" s="335">
        <v>22.7</v>
      </c>
      <c r="BQ38" s="335">
        <f t="shared" si="4"/>
        <v>24.2</v>
      </c>
    </row>
    <row r="39" spans="1:69" ht="14.25">
      <c r="A39" s="340"/>
      <c r="B39" s="340" t="s">
        <v>2053</v>
      </c>
      <c r="C39" s="288">
        <f>+$C$37+$G$38</f>
        <v>11289</v>
      </c>
      <c r="D39" s="1121"/>
      <c r="E39" s="1121"/>
      <c r="F39" s="289">
        <f t="shared" ref="F39" si="16">150*-1600/(C39-11195)</f>
        <v>-2553.1914893617022</v>
      </c>
      <c r="G39" s="292"/>
      <c r="H39" s="291"/>
      <c r="I39" s="294"/>
      <c r="J39" s="288"/>
      <c r="K39" s="1121"/>
      <c r="L39" s="1121" t="s">
        <v>231</v>
      </c>
      <c r="M39" s="1121" t="s">
        <v>2756</v>
      </c>
      <c r="N39" s="1121" t="s">
        <v>145</v>
      </c>
      <c r="O39" s="1121"/>
      <c r="P39" s="1121"/>
      <c r="Q39" s="1121">
        <v>67</v>
      </c>
      <c r="R39" s="292">
        <v>-3770.02</v>
      </c>
      <c r="S39" s="292"/>
      <c r="T39" s="1121">
        <v>30</v>
      </c>
      <c r="U39" s="1121"/>
      <c r="V39" s="1121"/>
      <c r="W39" s="1121">
        <v>1.4</v>
      </c>
      <c r="X39" s="1121"/>
      <c r="Y39" s="1121"/>
      <c r="Z39" s="1121"/>
      <c r="AA39" s="1121"/>
      <c r="AB39" s="1121"/>
      <c r="AC39" s="1121" t="s">
        <v>2963</v>
      </c>
      <c r="AD39" s="1121"/>
      <c r="AE39" s="1121"/>
      <c r="AF39" s="1121">
        <v>6000</v>
      </c>
      <c r="AG39" s="288">
        <v>11289</v>
      </c>
      <c r="AH39" s="1121">
        <v>2659</v>
      </c>
      <c r="AI39" s="289">
        <v>663</v>
      </c>
      <c r="AJ39" s="1121"/>
      <c r="AK39" s="1121"/>
      <c r="AL39" s="1121"/>
      <c r="AM39" s="1121" t="s">
        <v>1228</v>
      </c>
      <c r="AN39" s="315">
        <v>5.5</v>
      </c>
      <c r="AO39" s="315"/>
      <c r="AP39" s="315"/>
      <c r="AQ39" s="315"/>
      <c r="AR39" s="315"/>
      <c r="AS39" s="315"/>
      <c r="AT39" s="315">
        <f>+ab($T$39,$T$37,$T$41,$G$38,$G$40,-1*$F$39,1200)</f>
        <v>6.0369863854168218</v>
      </c>
      <c r="AU39" s="315"/>
      <c r="AV39" s="315"/>
      <c r="AW39" s="315" t="s">
        <v>2634</v>
      </c>
      <c r="AX39" s="315" t="s">
        <v>1641</v>
      </c>
      <c r="AY39" s="315">
        <v>4.2</v>
      </c>
      <c r="AZ39" s="315"/>
      <c r="BA39" s="315"/>
      <c r="BB39" s="306"/>
      <c r="BC39" s="323" t="s">
        <v>1049</v>
      </c>
      <c r="BD39" s="324" t="s">
        <v>654</v>
      </c>
      <c r="BE39" s="1119"/>
      <c r="BF39" s="323" t="s">
        <v>1013</v>
      </c>
      <c r="BG39" s="324" t="s">
        <v>1007</v>
      </c>
    </row>
    <row r="40" spans="1:69" ht="14.25">
      <c r="A40" s="340"/>
      <c r="B40" s="340"/>
      <c r="C40" s="288"/>
      <c r="D40" s="1121"/>
      <c r="E40" s="1121"/>
      <c r="F40" s="289"/>
      <c r="G40" s="292">
        <v>51</v>
      </c>
      <c r="H40" s="1121"/>
      <c r="I40" s="294"/>
      <c r="J40" s="288"/>
      <c r="K40" s="1121"/>
      <c r="L40" s="1121"/>
      <c r="M40" s="1121"/>
      <c r="N40" s="1121"/>
      <c r="O40" s="1121"/>
      <c r="P40" s="1121"/>
      <c r="Q40" s="1121"/>
      <c r="R40" s="292"/>
      <c r="S40" s="292">
        <f t="shared" si="10"/>
        <v>50.950000000000728</v>
      </c>
      <c r="T40" s="1121"/>
      <c r="U40" s="1121"/>
      <c r="V40" s="1121"/>
      <c r="W40" s="1121"/>
      <c r="X40" s="1121"/>
      <c r="Y40" s="1121"/>
      <c r="Z40" s="1121"/>
      <c r="AA40" s="1121"/>
      <c r="AB40" s="1121"/>
      <c r="AC40" s="1121"/>
      <c r="AD40" s="1121"/>
      <c r="AE40" s="1121"/>
      <c r="AF40" s="1121"/>
      <c r="AG40" s="288"/>
      <c r="AH40" s="1121" t="s">
        <v>695</v>
      </c>
      <c r="AI40" s="289"/>
      <c r="AJ40" s="1121"/>
      <c r="AK40" s="1121"/>
      <c r="AL40" s="1121"/>
      <c r="AM40" s="1121"/>
      <c r="AN40" s="315"/>
      <c r="AO40" s="315"/>
      <c r="AP40" s="315"/>
      <c r="AQ40" s="315">
        <f>+FL_1($T$41,$T$39,$G$40,1200,9.28,-1*$F$41)</f>
        <v>0.34821396976419206</v>
      </c>
      <c r="AR40" s="315"/>
      <c r="AS40" s="315"/>
      <c r="AT40" s="315"/>
      <c r="AU40" s="315"/>
      <c r="AV40" s="315"/>
      <c r="AW40" s="315"/>
      <c r="AX40" s="315"/>
      <c r="AY40" s="315"/>
      <c r="AZ40" s="315"/>
      <c r="BA40" s="315"/>
      <c r="BB40" s="306"/>
      <c r="BC40" s="323" t="s">
        <v>1048</v>
      </c>
      <c r="BD40" s="324" t="s">
        <v>659</v>
      </c>
      <c r="BE40" s="1119"/>
      <c r="BF40" s="323" t="s">
        <v>1014</v>
      </c>
      <c r="BG40" s="324" t="s">
        <v>970</v>
      </c>
    </row>
    <row r="41" spans="1:69" ht="14.25">
      <c r="A41" s="340"/>
      <c r="B41" s="340" t="s">
        <v>2054</v>
      </c>
      <c r="C41" s="288">
        <f>+$C$39+$G$40</f>
        <v>11340</v>
      </c>
      <c r="D41" s="1121"/>
      <c r="E41" s="1121"/>
      <c r="F41" s="289">
        <v>-1600</v>
      </c>
      <c r="G41" s="292"/>
      <c r="H41" s="1121"/>
      <c r="I41" s="294"/>
      <c r="J41" s="288"/>
      <c r="K41" s="1121"/>
      <c r="L41" s="1121" t="s">
        <v>231</v>
      </c>
      <c r="M41" s="1121" t="s">
        <v>2756</v>
      </c>
      <c r="N41" s="1121" t="s">
        <v>145</v>
      </c>
      <c r="O41" s="1121"/>
      <c r="P41" s="1121"/>
      <c r="Q41" s="1121">
        <v>105</v>
      </c>
      <c r="R41" s="292">
        <v>-1482.56</v>
      </c>
      <c r="S41" s="292"/>
      <c r="T41" s="1121">
        <v>30</v>
      </c>
      <c r="U41" s="1121"/>
      <c r="V41" s="1121"/>
      <c r="W41" s="1121">
        <v>1.4</v>
      </c>
      <c r="X41" s="1121"/>
      <c r="Y41" s="1121"/>
      <c r="Z41" s="1121"/>
      <c r="AA41" s="1121"/>
      <c r="AB41" s="1121"/>
      <c r="AC41" s="1121" t="s">
        <v>2963</v>
      </c>
      <c r="AD41" s="1121"/>
      <c r="AE41" s="1121"/>
      <c r="AF41" s="1121">
        <v>6000</v>
      </c>
      <c r="AG41" s="288">
        <v>11339.95</v>
      </c>
      <c r="AH41" s="1121">
        <v>2518</v>
      </c>
      <c r="AI41" s="289">
        <v>709</v>
      </c>
      <c r="AJ41" s="1121"/>
      <c r="AK41" s="1121"/>
      <c r="AL41" s="1121"/>
      <c r="AM41" s="1121" t="s">
        <v>1228</v>
      </c>
      <c r="AN41" s="315">
        <v>5.5</v>
      </c>
      <c r="AO41" s="315"/>
      <c r="AP41" s="315"/>
      <c r="AQ41" s="315"/>
      <c r="AR41" s="315"/>
      <c r="AS41" s="315"/>
      <c r="AT41" s="315">
        <f>+ab($T$41,$T$39,$T$43,$G$40,$G$42,-1*$F$41,1200)</f>
        <v>5.9981532767103714</v>
      </c>
      <c r="AU41" s="315"/>
      <c r="AV41" s="315"/>
      <c r="AW41" s="315" t="s">
        <v>2634</v>
      </c>
      <c r="AX41" s="315" t="s">
        <v>1641</v>
      </c>
      <c r="AY41" s="315">
        <v>4.2</v>
      </c>
      <c r="AZ41" s="315"/>
      <c r="BA41" s="315"/>
      <c r="BB41" s="306"/>
      <c r="BC41" s="323" t="s">
        <v>1608</v>
      </c>
      <c r="BD41" s="324" t="s">
        <v>1055</v>
      </c>
      <c r="BE41" s="1119"/>
      <c r="BF41" s="323"/>
      <c r="BG41" s="324"/>
    </row>
    <row r="42" spans="1:69" ht="18.75">
      <c r="A42" s="340"/>
      <c r="B42" s="340"/>
      <c r="C42" s="288"/>
      <c r="D42" s="1121"/>
      <c r="E42" s="1121"/>
      <c r="F42" s="289"/>
      <c r="G42" s="292">
        <v>51</v>
      </c>
      <c r="H42" s="1121"/>
      <c r="I42" s="294"/>
      <c r="J42" s="288"/>
      <c r="K42" s="1121"/>
      <c r="L42" s="1121"/>
      <c r="M42" s="1121"/>
      <c r="N42" s="1121"/>
      <c r="O42" s="1121"/>
      <c r="P42" s="1121"/>
      <c r="Q42" s="1121"/>
      <c r="R42" s="292"/>
      <c r="S42" s="292">
        <f t="shared" si="10"/>
        <v>51</v>
      </c>
      <c r="T42" s="1121"/>
      <c r="U42" s="1121"/>
      <c r="V42" s="1121"/>
      <c r="W42" s="1121"/>
      <c r="X42" s="1121"/>
      <c r="Y42" s="1121"/>
      <c r="Z42" s="1121"/>
      <c r="AA42" s="1121"/>
      <c r="AB42" s="1121"/>
      <c r="AC42" s="1121"/>
      <c r="AD42" s="1121"/>
      <c r="AE42" s="1121"/>
      <c r="AF42" s="1121"/>
      <c r="AG42" s="288"/>
      <c r="AH42" s="1121" t="s">
        <v>695</v>
      </c>
      <c r="AI42" s="289"/>
      <c r="AJ42" s="1121"/>
      <c r="AK42" s="1121"/>
      <c r="AL42" s="1121"/>
      <c r="AM42" s="1121"/>
      <c r="AN42" s="315"/>
      <c r="AO42" s="315"/>
      <c r="AP42" s="315"/>
      <c r="AQ42" s="315">
        <f>+FL_1($T$43,$T$41,$G$42,1200,9.28,-1*$F$43)</f>
        <v>0.34821396976419206</v>
      </c>
      <c r="AR42" s="315"/>
      <c r="AS42" s="315"/>
      <c r="AT42" s="315"/>
      <c r="AU42" s="315"/>
      <c r="AV42" s="315"/>
      <c r="AW42" s="315"/>
      <c r="AX42" s="315"/>
      <c r="AY42" s="315"/>
      <c r="AZ42" s="315"/>
      <c r="BA42" s="315"/>
      <c r="BB42" s="306"/>
      <c r="BC42" s="323" t="s">
        <v>1607</v>
      </c>
      <c r="BD42" s="324" t="s">
        <v>1060</v>
      </c>
      <c r="BE42" s="1119"/>
      <c r="BF42" s="305" t="s">
        <v>1015</v>
      </c>
      <c r="BG42" s="302"/>
    </row>
    <row r="43" spans="1:69" ht="14.25">
      <c r="A43" s="340"/>
      <c r="B43" s="340" t="s">
        <v>2055</v>
      </c>
      <c r="C43" s="288">
        <f>+$C$41+$G$42</f>
        <v>11391</v>
      </c>
      <c r="D43" s="1121"/>
      <c r="E43" s="1121"/>
      <c r="F43" s="289">
        <v>-1600</v>
      </c>
      <c r="G43" s="292"/>
      <c r="H43" s="1121"/>
      <c r="I43" s="294"/>
      <c r="J43" s="288"/>
      <c r="K43" s="1121"/>
      <c r="L43" s="1121" t="s">
        <v>231</v>
      </c>
      <c r="M43" s="1121" t="s">
        <v>2756</v>
      </c>
      <c r="N43" s="1121" t="s">
        <v>145</v>
      </c>
      <c r="O43" s="1121"/>
      <c r="P43" s="1121"/>
      <c r="Q43" s="1121">
        <v>112</v>
      </c>
      <c r="R43" s="292">
        <v>-1600</v>
      </c>
      <c r="S43" s="292"/>
      <c r="T43" s="1121">
        <v>30</v>
      </c>
      <c r="U43" s="1121"/>
      <c r="V43" s="1121"/>
      <c r="W43" s="1121">
        <v>1.4</v>
      </c>
      <c r="X43" s="1121"/>
      <c r="Y43" s="1121"/>
      <c r="Z43" s="1121"/>
      <c r="AA43" s="1121"/>
      <c r="AB43" s="1121"/>
      <c r="AC43" s="1121" t="s">
        <v>2963</v>
      </c>
      <c r="AD43" s="1121"/>
      <c r="AE43" s="1121"/>
      <c r="AF43" s="1121">
        <v>6000</v>
      </c>
      <c r="AG43" s="288">
        <v>11390.95</v>
      </c>
      <c r="AH43" s="1121">
        <v>2633</v>
      </c>
      <c r="AI43" s="289">
        <v>680</v>
      </c>
      <c r="AJ43" s="1121"/>
      <c r="AK43" s="1121"/>
      <c r="AL43" s="1121"/>
      <c r="AM43" s="1121" t="s">
        <v>1228</v>
      </c>
      <c r="AN43" s="315">
        <v>5.5</v>
      </c>
      <c r="AO43" s="315"/>
      <c r="AP43" s="315"/>
      <c r="AQ43" s="315"/>
      <c r="AR43" s="315"/>
      <c r="AS43" s="315"/>
      <c r="AT43" s="315">
        <f>+ab($T$43,$T$41,$T$45,$G$42,$G$44,-1*$F$43,1200)</f>
        <v>5.9981532767103714</v>
      </c>
      <c r="AU43" s="315"/>
      <c r="AV43" s="315"/>
      <c r="AW43" s="315" t="s">
        <v>2634</v>
      </c>
      <c r="AX43" s="315" t="s">
        <v>1641</v>
      </c>
      <c r="AY43" s="315">
        <v>4.2</v>
      </c>
      <c r="AZ43" s="315"/>
      <c r="BA43" s="315"/>
      <c r="BB43" s="306"/>
      <c r="BC43" s="323" t="s">
        <v>1609</v>
      </c>
      <c r="BD43" s="324" t="s">
        <v>1606</v>
      </c>
      <c r="BE43" s="1119"/>
      <c r="BF43" s="323" t="s">
        <v>1016</v>
      </c>
      <c r="BG43" s="324" t="s">
        <v>1001</v>
      </c>
    </row>
    <row r="44" spans="1:69" ht="14.25">
      <c r="A44" s="339"/>
      <c r="B44" s="340"/>
      <c r="C44" s="288"/>
      <c r="D44" s="1121"/>
      <c r="E44" s="1121"/>
      <c r="F44" s="289"/>
      <c r="G44" s="292">
        <v>51</v>
      </c>
      <c r="H44" s="1121"/>
      <c r="I44" s="294"/>
      <c r="J44" s="288"/>
      <c r="K44" s="1121"/>
      <c r="L44" s="1121"/>
      <c r="M44" s="1121"/>
      <c r="N44" s="1121"/>
      <c r="O44" s="1121"/>
      <c r="P44" s="1121"/>
      <c r="Q44" s="1121"/>
      <c r="R44" s="292"/>
      <c r="S44" s="292">
        <f t="shared" si="10"/>
        <v>50.869999999998981</v>
      </c>
      <c r="T44" s="1121"/>
      <c r="U44" s="1121"/>
      <c r="V44" s="1121"/>
      <c r="W44" s="1121"/>
      <c r="X44" s="1121"/>
      <c r="Y44" s="1121"/>
      <c r="Z44" s="1121"/>
      <c r="AA44" s="1121"/>
      <c r="AB44" s="1121"/>
      <c r="AC44" s="1121"/>
      <c r="AD44" s="1121"/>
      <c r="AE44" s="1121"/>
      <c r="AF44" s="1121"/>
      <c r="AG44" s="288"/>
      <c r="AH44" s="1121" t="s">
        <v>695</v>
      </c>
      <c r="AI44" s="289"/>
      <c r="AJ44" s="1121"/>
      <c r="AK44" s="1121"/>
      <c r="AL44" s="1121"/>
      <c r="AM44" s="1121"/>
      <c r="AN44" s="315"/>
      <c r="AO44" s="315"/>
      <c r="AP44" s="315"/>
      <c r="AQ44" s="315">
        <f>+FL_1($T$45,$T$43,$G$44,1200,9.28,-1*$F$45)</f>
        <v>0.34821396976419206</v>
      </c>
      <c r="AR44" s="315"/>
      <c r="AS44" s="315"/>
      <c r="AT44" s="315"/>
      <c r="AU44" s="315"/>
      <c r="AV44" s="315"/>
      <c r="AW44" s="315"/>
      <c r="AX44" s="315"/>
      <c r="AY44" s="315"/>
      <c r="AZ44" s="315"/>
      <c r="BA44" s="315"/>
      <c r="BB44" s="306"/>
      <c r="BC44" s="323"/>
      <c r="BD44" s="314"/>
      <c r="BE44" s="1119"/>
      <c r="BF44" s="323" t="s">
        <v>1017</v>
      </c>
      <c r="BG44" s="324" t="s">
        <v>1684</v>
      </c>
    </row>
    <row r="45" spans="1:69" ht="18.75">
      <c r="A45" s="339"/>
      <c r="B45" s="340" t="s">
        <v>2056</v>
      </c>
      <c r="C45" s="288">
        <f>+$C$43+$G$44</f>
        <v>11442</v>
      </c>
      <c r="D45" s="1121"/>
      <c r="E45" s="1121"/>
      <c r="F45" s="289">
        <v>-1600</v>
      </c>
      <c r="G45" s="292"/>
      <c r="H45" s="1121"/>
      <c r="I45" s="294"/>
      <c r="J45" s="288"/>
      <c r="K45" s="1121"/>
      <c r="L45" s="1121" t="s">
        <v>231</v>
      </c>
      <c r="M45" s="1121" t="s">
        <v>2756</v>
      </c>
      <c r="N45" s="1121" t="s">
        <v>145</v>
      </c>
      <c r="O45" s="1121"/>
      <c r="P45" s="1121"/>
      <c r="Q45" s="1121">
        <v>113</v>
      </c>
      <c r="R45" s="292">
        <v>-1600</v>
      </c>
      <c r="S45" s="292"/>
      <c r="T45" s="1121">
        <v>30</v>
      </c>
      <c r="U45" s="1121"/>
      <c r="V45" s="1121"/>
      <c r="W45" s="1121">
        <v>1.4</v>
      </c>
      <c r="X45" s="1121"/>
      <c r="Y45" s="1121"/>
      <c r="Z45" s="1121"/>
      <c r="AA45" s="1121"/>
      <c r="AB45" s="1121"/>
      <c r="AC45" s="1121" t="s">
        <v>2963</v>
      </c>
      <c r="AD45" s="1121"/>
      <c r="AE45" s="1121"/>
      <c r="AF45" s="1121">
        <v>6000</v>
      </c>
      <c r="AG45" s="288">
        <v>11441.82</v>
      </c>
      <c r="AH45" s="1121">
        <v>2529</v>
      </c>
      <c r="AI45" s="289">
        <v>640</v>
      </c>
      <c r="AJ45" s="1121"/>
      <c r="AK45" s="1121"/>
      <c r="AL45" s="1121"/>
      <c r="AM45" s="1121" t="s">
        <v>1228</v>
      </c>
      <c r="AN45" s="315">
        <v>5.5</v>
      </c>
      <c r="AO45" s="315"/>
      <c r="AP45" s="315"/>
      <c r="AQ45" s="315"/>
      <c r="AR45" s="315"/>
      <c r="AS45" s="315"/>
      <c r="AT45" s="315">
        <f>+ab($T$45,$T$43,$T$47,$G$44,$G$46,-1*$F$45,1200)</f>
        <v>6.3700457825922534</v>
      </c>
      <c r="AU45" s="315"/>
      <c r="AV45" s="315"/>
      <c r="AW45" s="315" t="s">
        <v>2634</v>
      </c>
      <c r="AX45" s="315" t="s">
        <v>1641</v>
      </c>
      <c r="AY45" s="315">
        <v>4.2</v>
      </c>
      <c r="AZ45" s="315"/>
      <c r="BA45" s="315"/>
      <c r="BB45" s="306"/>
      <c r="BC45" s="305" t="s">
        <v>1000</v>
      </c>
      <c r="BD45" s="302"/>
      <c r="BE45" s="1119"/>
      <c r="BF45" s="323" t="s">
        <v>1018</v>
      </c>
      <c r="BG45" s="324" t="s">
        <v>1685</v>
      </c>
    </row>
    <row r="46" spans="1:69" ht="14.25">
      <c r="A46" s="339"/>
      <c r="B46" s="340"/>
      <c r="C46" s="288"/>
      <c r="D46" s="1121"/>
      <c r="E46" s="1121"/>
      <c r="F46" s="289"/>
      <c r="G46" s="292">
        <v>45</v>
      </c>
      <c r="H46" s="1121"/>
      <c r="I46" s="294"/>
      <c r="J46" s="288"/>
      <c r="K46" s="1121"/>
      <c r="L46" s="1121"/>
      <c r="M46" s="1121"/>
      <c r="N46" s="1121"/>
      <c r="O46" s="1121"/>
      <c r="P46" s="1121"/>
      <c r="Q46" s="1121"/>
      <c r="R46" s="292"/>
      <c r="S46" s="292">
        <f t="shared" si="10"/>
        <v>45.069999999999709</v>
      </c>
      <c r="T46" s="1121"/>
      <c r="U46" s="1121"/>
      <c r="V46" s="1121"/>
      <c r="W46" s="1121"/>
      <c r="X46" s="1121"/>
      <c r="Y46" s="1121"/>
      <c r="Z46" s="1121"/>
      <c r="AA46" s="1121"/>
      <c r="AB46" s="1121"/>
      <c r="AC46" s="1121"/>
      <c r="AD46" s="1121"/>
      <c r="AE46" s="1121"/>
      <c r="AF46" s="1121"/>
      <c r="AG46" s="288"/>
      <c r="AH46" s="1121" t="s">
        <v>695</v>
      </c>
      <c r="AI46" s="289"/>
      <c r="AJ46" s="1121"/>
      <c r="AK46" s="1121"/>
      <c r="AL46" s="1121"/>
      <c r="AM46" s="1121"/>
      <c r="AN46" s="315"/>
      <c r="AO46" s="315"/>
      <c r="AP46" s="315"/>
      <c r="AQ46" s="315">
        <f>+FL_1($T$47,$T$45,$G$46,1200,9.28,-1*$F$47)</f>
        <v>0.33753905290514191</v>
      </c>
      <c r="AR46" s="315"/>
      <c r="AS46" s="315"/>
      <c r="AT46" s="315"/>
      <c r="AU46" s="315"/>
      <c r="AV46" s="315"/>
      <c r="AW46" s="315"/>
      <c r="AX46" s="315"/>
      <c r="AY46" s="315"/>
      <c r="AZ46" s="315"/>
      <c r="BA46" s="315"/>
      <c r="BB46" s="306"/>
      <c r="BC46" s="323" t="s">
        <v>1033</v>
      </c>
      <c r="BD46" s="324" t="s">
        <v>655</v>
      </c>
      <c r="BF46" s="323" t="s">
        <v>1019</v>
      </c>
      <c r="BG46" s="324" t="s">
        <v>141</v>
      </c>
    </row>
    <row r="47" spans="1:69" ht="14.25">
      <c r="A47" s="339"/>
      <c r="B47" s="340" t="s">
        <v>2057</v>
      </c>
      <c r="C47" s="288">
        <f>+$C$45+$G$46</f>
        <v>11487</v>
      </c>
      <c r="D47" s="1121"/>
      <c r="E47" s="1121"/>
      <c r="F47" s="289">
        <v>-1600</v>
      </c>
      <c r="G47" s="292"/>
      <c r="H47" s="1121"/>
      <c r="I47" s="294"/>
      <c r="J47" s="288"/>
      <c r="K47" s="1121"/>
      <c r="L47" s="1121" t="s">
        <v>231</v>
      </c>
      <c r="M47" s="1121" t="s">
        <v>2756</v>
      </c>
      <c r="N47" s="1121" t="s">
        <v>145</v>
      </c>
      <c r="O47" s="1121"/>
      <c r="P47" s="1121"/>
      <c r="Q47" s="1121">
        <v>100</v>
      </c>
      <c r="R47" s="292">
        <v>-1600</v>
      </c>
      <c r="S47" s="292"/>
      <c r="T47" s="1121">
        <v>30</v>
      </c>
      <c r="U47" s="1121"/>
      <c r="V47" s="1121"/>
      <c r="W47" s="1121">
        <v>1.4</v>
      </c>
      <c r="X47" s="1121"/>
      <c r="Y47" s="1121"/>
      <c r="Z47" s="1121"/>
      <c r="AA47" s="1121"/>
      <c r="AB47" s="1121"/>
      <c r="AC47" s="1121" t="s">
        <v>2963</v>
      </c>
      <c r="AD47" s="1121"/>
      <c r="AE47" s="1121"/>
      <c r="AF47" s="1121">
        <v>6000</v>
      </c>
      <c r="AG47" s="288">
        <v>11486.89</v>
      </c>
      <c r="AH47" s="1121">
        <v>2601</v>
      </c>
      <c r="AI47" s="289">
        <v>744</v>
      </c>
      <c r="AJ47" s="1121"/>
      <c r="AK47" s="1121"/>
      <c r="AL47" s="1121"/>
      <c r="AM47" s="1121" t="s">
        <v>1228</v>
      </c>
      <c r="AN47" s="315">
        <v>5.5</v>
      </c>
      <c r="AO47" s="315"/>
      <c r="AP47" s="315"/>
      <c r="AQ47" s="315"/>
      <c r="AR47" s="315"/>
      <c r="AS47" s="315"/>
      <c r="AT47" s="315">
        <f>+ab($T$47,$T$45,$T$49,$G$46,$G$48,-1*$F$47,1200)</f>
        <v>6.573760269063869</v>
      </c>
      <c r="AU47" s="315"/>
      <c r="AV47" s="315"/>
      <c r="AW47" s="315" t="s">
        <v>2634</v>
      </c>
      <c r="AX47" s="315" t="s">
        <v>1641</v>
      </c>
      <c r="AY47" s="315">
        <v>4.2</v>
      </c>
      <c r="AZ47" s="315"/>
      <c r="BA47" s="315"/>
      <c r="BB47" s="306"/>
      <c r="BC47" s="323" t="s">
        <v>1034</v>
      </c>
      <c r="BD47" s="324" t="s">
        <v>139</v>
      </c>
      <c r="BF47" s="316"/>
      <c r="BG47" s="338"/>
    </row>
    <row r="48" spans="1:69" ht="18.75">
      <c r="A48" s="339"/>
      <c r="B48" s="340"/>
      <c r="C48" s="288"/>
      <c r="D48" s="1121"/>
      <c r="E48" s="1121"/>
      <c r="F48" s="289"/>
      <c r="G48" s="292">
        <v>48</v>
      </c>
      <c r="H48" s="1121"/>
      <c r="I48" s="294"/>
      <c r="J48" s="288"/>
      <c r="K48" s="1121"/>
      <c r="L48" s="1121"/>
      <c r="M48" s="1121"/>
      <c r="N48" s="1121"/>
      <c r="O48" s="1121"/>
      <c r="P48" s="1121"/>
      <c r="Q48" s="1121"/>
      <c r="R48" s="292"/>
      <c r="S48" s="292">
        <f t="shared" si="10"/>
        <v>47.920000000000073</v>
      </c>
      <c r="T48" s="1121"/>
      <c r="U48" s="1121"/>
      <c r="V48" s="1121"/>
      <c r="W48" s="1121"/>
      <c r="X48" s="1121"/>
      <c r="Y48" s="1121"/>
      <c r="Z48" s="1121"/>
      <c r="AA48" s="1121"/>
      <c r="AB48" s="1121"/>
      <c r="AC48" s="1121"/>
      <c r="AD48" s="1121"/>
      <c r="AE48" s="1121"/>
      <c r="AF48" s="1121"/>
      <c r="AG48" s="288"/>
      <c r="AH48" s="1121" t="s">
        <v>695</v>
      </c>
      <c r="AI48" s="289"/>
      <c r="AJ48" s="1121"/>
      <c r="AK48" s="1121"/>
      <c r="AL48" s="1121"/>
      <c r="AM48" s="1121"/>
      <c r="AN48" s="315"/>
      <c r="AO48" s="315"/>
      <c r="AP48" s="315"/>
      <c r="AQ48" s="315">
        <f>+FL_1($T$49,$T$47,$G$48,1200,9.28,-1*$F$49)</f>
        <v>0.34270987386077711</v>
      </c>
      <c r="AR48" s="315"/>
      <c r="AS48" s="315"/>
      <c r="AT48" s="315"/>
      <c r="AU48" s="315"/>
      <c r="AV48" s="315"/>
      <c r="AW48" s="315"/>
      <c r="AX48" s="315"/>
      <c r="AY48" s="315"/>
      <c r="AZ48" s="315"/>
      <c r="BA48" s="315"/>
      <c r="BB48" s="306"/>
      <c r="BC48" s="323" t="s">
        <v>1035</v>
      </c>
      <c r="BD48" s="324" t="s">
        <v>229</v>
      </c>
      <c r="BF48" s="305" t="s">
        <v>671</v>
      </c>
      <c r="BG48" s="302"/>
    </row>
    <row r="49" spans="1:65" ht="14.25">
      <c r="A49" s="339"/>
      <c r="B49" s="340" t="s">
        <v>2058</v>
      </c>
      <c r="C49" s="288">
        <f>+$C$47+$G$48</f>
        <v>11535</v>
      </c>
      <c r="D49" s="1121"/>
      <c r="E49" s="1121"/>
      <c r="F49" s="289">
        <v>-1600</v>
      </c>
      <c r="G49" s="292"/>
      <c r="H49" s="1121"/>
      <c r="I49" s="294"/>
      <c r="J49" s="288"/>
      <c r="K49" s="1121"/>
      <c r="L49" s="1121" t="s">
        <v>231</v>
      </c>
      <c r="M49" s="1121" t="s">
        <v>2756</v>
      </c>
      <c r="N49" s="1121" t="s">
        <v>145</v>
      </c>
      <c r="O49" s="1121"/>
      <c r="P49" s="1121"/>
      <c r="Q49" s="1121">
        <v>106</v>
      </c>
      <c r="R49" s="292">
        <v>-1600</v>
      </c>
      <c r="S49" s="292"/>
      <c r="T49" s="1121">
        <v>30</v>
      </c>
      <c r="U49" s="1121"/>
      <c r="V49" s="1121"/>
      <c r="W49" s="1121">
        <v>1.4</v>
      </c>
      <c r="X49" s="1121"/>
      <c r="Y49" s="1121"/>
      <c r="Z49" s="1121"/>
      <c r="AA49" s="1121"/>
      <c r="AB49" s="1121"/>
      <c r="AC49" s="1121" t="s">
        <v>2963</v>
      </c>
      <c r="AD49" s="1121"/>
      <c r="AE49" s="1121"/>
      <c r="AF49" s="1121">
        <v>6000</v>
      </c>
      <c r="AG49" s="288">
        <v>11534.81</v>
      </c>
      <c r="AH49" s="1121">
        <v>3191</v>
      </c>
      <c r="AI49" s="289">
        <v>800</v>
      </c>
      <c r="AJ49" s="1121"/>
      <c r="AK49" s="1121"/>
      <c r="AL49" s="1121"/>
      <c r="AM49" s="1121" t="s">
        <v>1228</v>
      </c>
      <c r="AN49" s="315">
        <v>5.5</v>
      </c>
      <c r="AO49" s="315"/>
      <c r="AP49" s="315"/>
      <c r="AQ49" s="315"/>
      <c r="AR49" s="315"/>
      <c r="AS49" s="315"/>
      <c r="AT49" s="315">
        <f>+ab($T$49,$T$47,$T$51,$G$48,$G$50,-1*$F$49,1200)</f>
        <v>6.1172155954188518</v>
      </c>
      <c r="AU49" s="315"/>
      <c r="AV49" s="315"/>
      <c r="AW49" s="315" t="s">
        <v>2634</v>
      </c>
      <c r="AX49" s="315" t="s">
        <v>1641</v>
      </c>
      <c r="AY49" s="315">
        <v>4.2</v>
      </c>
      <c r="AZ49" s="315"/>
      <c r="BA49" s="315"/>
      <c r="BB49" s="306"/>
      <c r="BC49" s="323" t="s">
        <v>1036</v>
      </c>
      <c r="BD49" s="324" t="s">
        <v>239</v>
      </c>
      <c r="BF49" s="323" t="s">
        <v>1686</v>
      </c>
      <c r="BG49" s="324" t="s">
        <v>1227</v>
      </c>
    </row>
    <row r="50" spans="1:65" ht="14.25">
      <c r="A50" s="341" t="s">
        <v>2604</v>
      </c>
      <c r="B50" s="341"/>
      <c r="C50" s="342"/>
      <c r="D50" s="343"/>
      <c r="E50" s="343"/>
      <c r="F50" s="344"/>
      <c r="G50" s="345">
        <v>52</v>
      </c>
      <c r="H50" s="343"/>
      <c r="I50" s="346"/>
      <c r="J50" s="342"/>
      <c r="K50" s="343"/>
      <c r="L50" s="343"/>
      <c r="M50" s="343"/>
      <c r="N50" s="343"/>
      <c r="O50" s="343"/>
      <c r="P50" s="343"/>
      <c r="Q50" s="343"/>
      <c r="R50" s="345"/>
      <c r="S50" s="345">
        <v>52.190000000000509</v>
      </c>
      <c r="T50" s="343"/>
      <c r="U50" s="343"/>
      <c r="V50" s="343"/>
      <c r="W50" s="343"/>
      <c r="X50" s="343"/>
      <c r="Y50" s="343"/>
      <c r="Z50" s="343"/>
      <c r="AA50" s="343"/>
      <c r="AB50" s="343"/>
      <c r="AC50" s="343"/>
      <c r="AD50" s="343"/>
      <c r="AE50" s="343"/>
      <c r="AF50" s="343"/>
      <c r="AG50" s="342"/>
      <c r="AH50" s="343" t="s">
        <v>695</v>
      </c>
      <c r="AI50" s="344"/>
      <c r="AJ50" s="343"/>
      <c r="AK50" s="343"/>
      <c r="AL50" s="343"/>
      <c r="AM50" s="343"/>
      <c r="AN50" s="347"/>
      <c r="AO50" s="347"/>
      <c r="AP50" s="347"/>
      <c r="AQ50" s="347">
        <f>+FL_1($T$51,$T$49,$G$50,1200,9.28,-1*$F$51)</f>
        <v>0.35012271902420189</v>
      </c>
      <c r="AR50" s="347"/>
      <c r="AS50" s="347"/>
      <c r="AT50" s="347"/>
      <c r="AU50" s="347"/>
      <c r="AV50" s="347"/>
      <c r="AW50" s="347"/>
      <c r="AX50" s="347"/>
      <c r="AY50" s="347"/>
      <c r="AZ50" s="347"/>
      <c r="BA50" s="347"/>
      <c r="BB50" s="306"/>
      <c r="BC50" s="323" t="s">
        <v>1037</v>
      </c>
      <c r="BD50" s="324" t="s">
        <v>458</v>
      </c>
      <c r="BF50" s="323" t="s">
        <v>1687</v>
      </c>
      <c r="BG50" s="324" t="s">
        <v>1228</v>
      </c>
    </row>
    <row r="51" spans="1:65" ht="14.25">
      <c r="A51" s="341"/>
      <c r="B51" s="341" t="s">
        <v>2059</v>
      </c>
      <c r="C51" s="342">
        <f>+$C$49+$G$50</f>
        <v>11587</v>
      </c>
      <c r="D51" s="343"/>
      <c r="E51" s="343"/>
      <c r="F51" s="344">
        <v>-1600</v>
      </c>
      <c r="G51" s="345"/>
      <c r="H51" s="343"/>
      <c r="I51" s="346"/>
      <c r="J51" s="342"/>
      <c r="K51" s="343"/>
      <c r="L51" s="343" t="s">
        <v>2685</v>
      </c>
      <c r="M51" s="343" t="s">
        <v>2796</v>
      </c>
      <c r="N51" s="343" t="s">
        <v>145</v>
      </c>
      <c r="O51" s="343"/>
      <c r="P51" s="343"/>
      <c r="Q51" s="343">
        <v>100</v>
      </c>
      <c r="R51" s="345">
        <v>-1600</v>
      </c>
      <c r="S51" s="345"/>
      <c r="T51" s="343">
        <v>30</v>
      </c>
      <c r="U51" s="343"/>
      <c r="V51" s="343"/>
      <c r="W51" s="343">
        <v>1.4</v>
      </c>
      <c r="X51" s="343"/>
      <c r="Y51" s="343"/>
      <c r="Z51" s="343"/>
      <c r="AA51" s="343"/>
      <c r="AB51" s="343"/>
      <c r="AC51" s="343" t="s">
        <v>2963</v>
      </c>
      <c r="AD51" s="343"/>
      <c r="AE51" s="343"/>
      <c r="AF51" s="343">
        <v>6000</v>
      </c>
      <c r="AG51" s="342">
        <v>11587</v>
      </c>
      <c r="AH51" s="343">
        <v>2972</v>
      </c>
      <c r="AI51" s="344">
        <v>965</v>
      </c>
      <c r="AJ51" s="343"/>
      <c r="AK51" s="343"/>
      <c r="AL51" s="343"/>
      <c r="AM51" s="343" t="s">
        <v>1228</v>
      </c>
      <c r="AN51" s="347">
        <v>5.5</v>
      </c>
      <c r="AO51" s="347"/>
      <c r="AP51" s="347"/>
      <c r="AQ51" s="347"/>
      <c r="AR51" s="347"/>
      <c r="AS51" s="347"/>
      <c r="AT51" s="347">
        <f>+ab($T$51,$T$49,$T$53,$G$50,$G$52,-1*$F$51,1200)</f>
        <v>5.9981532767103714</v>
      </c>
      <c r="AU51" s="347"/>
      <c r="AV51" s="347"/>
      <c r="AW51" s="347" t="s">
        <v>699</v>
      </c>
      <c r="AX51" s="347" t="s">
        <v>699</v>
      </c>
      <c r="AY51" s="347" t="s">
        <v>699</v>
      </c>
      <c r="AZ51" s="347" t="s">
        <v>699</v>
      </c>
      <c r="BA51" s="347"/>
      <c r="BB51" s="306"/>
      <c r="BC51" s="323" t="s">
        <v>1038</v>
      </c>
      <c r="BD51" s="324" t="s">
        <v>905</v>
      </c>
      <c r="BF51" s="323" t="s">
        <v>1688</v>
      </c>
      <c r="BG51" s="324" t="s">
        <v>1690</v>
      </c>
    </row>
    <row r="52" spans="1:65" ht="15" thickBot="1">
      <c r="A52" s="341"/>
      <c r="B52" s="341"/>
      <c r="C52" s="342"/>
      <c r="D52" s="343"/>
      <c r="E52" s="343"/>
      <c r="F52" s="344"/>
      <c r="G52" s="345">
        <v>50</v>
      </c>
      <c r="H52" s="343"/>
      <c r="I52" s="346"/>
      <c r="J52" s="342"/>
      <c r="K52" s="343"/>
      <c r="L52" s="343"/>
      <c r="M52" s="343"/>
      <c r="N52" s="343"/>
      <c r="O52" s="343"/>
      <c r="P52" s="343"/>
      <c r="Q52" s="343"/>
      <c r="R52" s="345"/>
      <c r="S52" s="345">
        <v>50</v>
      </c>
      <c r="T52" s="343"/>
      <c r="U52" s="343"/>
      <c r="V52" s="343"/>
      <c r="W52" s="343"/>
      <c r="X52" s="343"/>
      <c r="Y52" s="343"/>
      <c r="Z52" s="343"/>
      <c r="AA52" s="343"/>
      <c r="AB52" s="343"/>
      <c r="AC52" s="343"/>
      <c r="AD52" s="343"/>
      <c r="AE52" s="343"/>
      <c r="AF52" s="343"/>
      <c r="AG52" s="342"/>
      <c r="AH52" s="343" t="s">
        <v>695</v>
      </c>
      <c r="AI52" s="344"/>
      <c r="AJ52" s="343"/>
      <c r="AK52" s="343"/>
      <c r="AL52" s="343"/>
      <c r="AM52" s="343"/>
      <c r="AN52" s="347"/>
      <c r="AO52" s="347"/>
      <c r="AP52" s="347"/>
      <c r="AQ52" s="347">
        <f>+FL_1($T$53,$T$51,$G$52,1200,9.28,-1*$F$53)</f>
        <v>0.34634224428229266</v>
      </c>
      <c r="AR52" s="347"/>
      <c r="AS52" s="347"/>
      <c r="AT52" s="347"/>
      <c r="AU52" s="347"/>
      <c r="AV52" s="347"/>
      <c r="AW52" s="347"/>
      <c r="AX52" s="347"/>
      <c r="AY52" s="347"/>
      <c r="AZ52" s="347"/>
      <c r="BA52" s="347"/>
      <c r="BB52" s="306"/>
      <c r="BC52" s="348"/>
      <c r="BD52" s="349"/>
      <c r="BF52" s="323" t="s">
        <v>1689</v>
      </c>
      <c r="BG52" s="324" t="s">
        <v>1691</v>
      </c>
    </row>
    <row r="53" spans="1:65" ht="15" thickBot="1">
      <c r="A53" s="341"/>
      <c r="B53" s="341" t="s">
        <v>2060</v>
      </c>
      <c r="C53" s="342">
        <f>+$C$51+$G$52</f>
        <v>11637</v>
      </c>
      <c r="D53" s="343"/>
      <c r="E53" s="343"/>
      <c r="F53" s="344">
        <v>-1600</v>
      </c>
      <c r="G53" s="345"/>
      <c r="H53" s="343"/>
      <c r="I53" s="346"/>
      <c r="J53" s="342"/>
      <c r="K53" s="343"/>
      <c r="L53" s="343" t="s">
        <v>2685</v>
      </c>
      <c r="M53" s="343" t="s">
        <v>2796</v>
      </c>
      <c r="N53" s="343" t="s">
        <v>145</v>
      </c>
      <c r="O53" s="343"/>
      <c r="P53" s="343"/>
      <c r="Q53" s="343">
        <v>100</v>
      </c>
      <c r="R53" s="345">
        <v>-1600</v>
      </c>
      <c r="S53" s="345"/>
      <c r="T53" s="343">
        <v>30</v>
      </c>
      <c r="U53" s="343"/>
      <c r="V53" s="343"/>
      <c r="W53" s="343">
        <v>1.4</v>
      </c>
      <c r="X53" s="343"/>
      <c r="Y53" s="343"/>
      <c r="Z53" s="343"/>
      <c r="AA53" s="343"/>
      <c r="AB53" s="343"/>
      <c r="AC53" s="343" t="s">
        <v>2963</v>
      </c>
      <c r="AD53" s="343"/>
      <c r="AE53" s="343"/>
      <c r="AF53" s="343">
        <v>6000</v>
      </c>
      <c r="AG53" s="342">
        <v>11637</v>
      </c>
      <c r="AH53" s="343">
        <v>2912</v>
      </c>
      <c r="AI53" s="344">
        <v>970</v>
      </c>
      <c r="AJ53" s="343"/>
      <c r="AK53" s="343"/>
      <c r="AL53" s="343"/>
      <c r="AM53" s="343" t="s">
        <v>1228</v>
      </c>
      <c r="AN53" s="347">
        <v>5.5</v>
      </c>
      <c r="AO53" s="347"/>
      <c r="AP53" s="347"/>
      <c r="AQ53" s="347"/>
      <c r="AR53" s="347"/>
      <c r="AS53" s="347"/>
      <c r="AT53" s="347">
        <f>+ab($T$53,$T$51,$T$55,$G$52,$G$54,-1*$F$53,1200)</f>
        <v>5.7733665358445343</v>
      </c>
      <c r="AU53" s="347"/>
      <c r="AV53" s="347"/>
      <c r="AW53" s="347" t="s">
        <v>699</v>
      </c>
      <c r="AX53" s="347" t="s">
        <v>699</v>
      </c>
      <c r="AY53" s="347" t="s">
        <v>699</v>
      </c>
      <c r="AZ53" s="347" t="s">
        <v>699</v>
      </c>
      <c r="BA53" s="347"/>
      <c r="BB53" s="306"/>
      <c r="BC53" s="307"/>
      <c r="BD53" s="350"/>
      <c r="BF53" s="348"/>
      <c r="BG53" s="351"/>
    </row>
    <row r="54" spans="1:65" ht="14.25">
      <c r="A54" s="341" t="s">
        <v>2604</v>
      </c>
      <c r="B54" s="341"/>
      <c r="C54" s="342"/>
      <c r="D54" s="343"/>
      <c r="E54" s="343"/>
      <c r="F54" s="344"/>
      <c r="G54" s="345">
        <v>56</v>
      </c>
      <c r="H54" s="343"/>
      <c r="I54" s="346"/>
      <c r="J54" s="342">
        <f>C55-7.5</f>
        <v>11685.5</v>
      </c>
      <c r="K54" s="343" t="s">
        <v>3017</v>
      </c>
      <c r="L54" s="343"/>
      <c r="M54" s="343"/>
      <c r="N54" s="343"/>
      <c r="O54" s="343"/>
      <c r="P54" s="343"/>
      <c r="Q54" s="343"/>
      <c r="R54" s="345"/>
      <c r="S54" s="345">
        <v>55.840000000000146</v>
      </c>
      <c r="T54" s="343"/>
      <c r="U54" s="343"/>
      <c r="V54" s="343"/>
      <c r="W54" s="343"/>
      <c r="X54" s="343"/>
      <c r="Y54" s="343"/>
      <c r="Z54" s="343"/>
      <c r="AA54" s="343"/>
      <c r="AB54" s="343"/>
      <c r="AC54" s="343"/>
      <c r="AD54" s="343"/>
      <c r="AE54" s="343"/>
      <c r="AF54" s="343"/>
      <c r="AG54" s="342"/>
      <c r="AH54" s="343" t="s">
        <v>695</v>
      </c>
      <c r="AI54" s="344"/>
      <c r="AJ54" s="343"/>
      <c r="AK54" s="343"/>
      <c r="AL54" s="343"/>
      <c r="AM54" s="343"/>
      <c r="AN54" s="347"/>
      <c r="AO54" s="347"/>
      <c r="AP54" s="347"/>
      <c r="AQ54" s="347">
        <f>+FL_1($T$55,$T$53,$G$54,1200,9.28,-1*$F$55)</f>
        <v>0.39406834300128601</v>
      </c>
      <c r="AR54" s="347"/>
      <c r="AS54" s="347"/>
      <c r="AT54" s="347"/>
      <c r="AU54" s="347"/>
      <c r="AV54" s="347"/>
      <c r="AW54" s="347" t="s">
        <v>2634</v>
      </c>
      <c r="AX54" s="347" t="s">
        <v>1641</v>
      </c>
      <c r="AY54" s="347"/>
      <c r="AZ54" s="347">
        <v>3.5</v>
      </c>
      <c r="BA54" s="347"/>
      <c r="BB54" s="306"/>
      <c r="BC54" s="307"/>
      <c r="BD54" s="350"/>
      <c r="BE54" s="298"/>
    </row>
    <row r="55" spans="1:65" ht="14.25">
      <c r="A55" s="340"/>
      <c r="B55" s="340" t="s">
        <v>2061</v>
      </c>
      <c r="C55" s="288">
        <f>+$C$53+$G$54</f>
        <v>11693</v>
      </c>
      <c r="D55" s="1121"/>
      <c r="E55" s="1121"/>
      <c r="F55" s="289">
        <f t="shared" ref="F55:F57" si="17">150*1600/(C55-11821)</f>
        <v>-1875</v>
      </c>
      <c r="G55" s="292"/>
      <c r="H55" s="1121" t="s">
        <v>138</v>
      </c>
      <c r="I55" s="294" t="s">
        <v>656</v>
      </c>
      <c r="J55" s="288"/>
      <c r="K55" s="1121"/>
      <c r="L55" s="1121" t="s">
        <v>1062</v>
      </c>
      <c r="M55" s="1121" t="s">
        <v>2758</v>
      </c>
      <c r="N55" s="1121" t="s">
        <v>145</v>
      </c>
      <c r="O55" s="1121"/>
      <c r="P55" s="1121"/>
      <c r="Q55" s="1121">
        <v>95</v>
      </c>
      <c r="R55" s="292">
        <v>-2062.98</v>
      </c>
      <c r="S55" s="292"/>
      <c r="T55" s="1121">
        <v>30</v>
      </c>
      <c r="U55" s="1121"/>
      <c r="V55" s="1121"/>
      <c r="W55" s="1121">
        <v>1.4</v>
      </c>
      <c r="X55" s="1121"/>
      <c r="Y55" s="1121"/>
      <c r="Z55" s="1121"/>
      <c r="AA55" s="1121"/>
      <c r="AB55" s="1121"/>
      <c r="AC55" s="1121" t="s">
        <v>2963</v>
      </c>
      <c r="AD55" s="1121"/>
      <c r="AE55" s="1121"/>
      <c r="AF55" s="1121">
        <v>6000</v>
      </c>
      <c r="AG55" s="288">
        <v>11692.84</v>
      </c>
      <c r="AH55" s="1121">
        <v>3244</v>
      </c>
      <c r="AI55" s="289">
        <v>827</v>
      </c>
      <c r="AJ55" s="1121"/>
      <c r="AK55" s="1121"/>
      <c r="AL55" s="1121"/>
      <c r="AM55" s="1121" t="s">
        <v>1228</v>
      </c>
      <c r="AN55" s="315">
        <v>5.5</v>
      </c>
      <c r="AO55" s="315"/>
      <c r="AP55" s="315"/>
      <c r="AQ55" s="315"/>
      <c r="AR55" s="315"/>
      <c r="AS55" s="315"/>
      <c r="AT55" s="315">
        <f>+ab($T$55,$T$53,$U$57,$G$54,$G$56,-1*$F$55,1200)</f>
        <v>5.4575508831642452</v>
      </c>
      <c r="AU55" s="315"/>
      <c r="AV55" s="315"/>
      <c r="AW55" s="315" t="s">
        <v>2634</v>
      </c>
      <c r="AX55" s="315" t="s">
        <v>1641</v>
      </c>
      <c r="AY55" s="315">
        <v>4.2</v>
      </c>
      <c r="AZ55" s="315"/>
      <c r="BA55" s="315"/>
      <c r="BB55" s="306"/>
      <c r="BC55" s="307"/>
      <c r="BD55" s="350"/>
      <c r="BE55" s="298"/>
    </row>
    <row r="56" spans="1:65" ht="14.25">
      <c r="A56" s="340"/>
      <c r="B56" s="340"/>
      <c r="C56" s="288"/>
      <c r="D56" s="1121"/>
      <c r="E56" s="1121"/>
      <c r="F56" s="289"/>
      <c r="G56" s="292">
        <v>55</v>
      </c>
      <c r="H56" s="291"/>
      <c r="I56" s="294"/>
      <c r="J56" s="288"/>
      <c r="K56" s="1121"/>
      <c r="L56" s="1121"/>
      <c r="M56" s="1121"/>
      <c r="N56" s="1121"/>
      <c r="O56" s="1121"/>
      <c r="P56" s="1121"/>
      <c r="Q56" s="1121"/>
      <c r="R56" s="292"/>
      <c r="S56" s="292">
        <f t="shared" ref="S56:S74" si="18">+AG57-AG55</f>
        <v>55</v>
      </c>
      <c r="T56" s="1121"/>
      <c r="U56" s="1121"/>
      <c r="V56" s="1121"/>
      <c r="W56" s="1121"/>
      <c r="X56" s="1121"/>
      <c r="Y56" s="1121"/>
      <c r="Z56" s="1121"/>
      <c r="AA56" s="1121"/>
      <c r="AB56" s="1121"/>
      <c r="AC56" s="1121"/>
      <c r="AD56" s="1121"/>
      <c r="AE56" s="1121"/>
      <c r="AF56" s="1121"/>
      <c r="AG56" s="288"/>
      <c r="AH56" s="1121" t="s">
        <v>695</v>
      </c>
      <c r="AI56" s="289"/>
      <c r="AJ56" s="1121"/>
      <c r="AK56" s="1121"/>
      <c r="AL56" s="1121"/>
      <c r="AM56" s="1121"/>
      <c r="AN56" s="315"/>
      <c r="AO56" s="315"/>
      <c r="AP56" s="315"/>
      <c r="AQ56" s="315">
        <f>+FL_1($U$57,$T$55,$G$56,1200,9.28,-1*$F$57)</f>
        <v>0.35910963847659849</v>
      </c>
      <c r="AR56" s="315"/>
      <c r="AS56" s="315"/>
      <c r="AT56" s="315"/>
      <c r="AU56" s="315"/>
      <c r="AV56" s="315"/>
      <c r="AW56" s="315"/>
      <c r="AX56" s="315"/>
      <c r="AY56" s="315"/>
      <c r="AZ56" s="315"/>
      <c r="BA56" s="315"/>
      <c r="BB56" s="306"/>
      <c r="BC56" s="307"/>
      <c r="BD56" s="350"/>
      <c r="BE56" s="298"/>
    </row>
    <row r="57" spans="1:65" ht="14.25">
      <c r="A57" s="340"/>
      <c r="B57" s="340" t="s">
        <v>2062</v>
      </c>
      <c r="C57" s="288">
        <f>+$C$55+$G$56</f>
        <v>11748</v>
      </c>
      <c r="D57" s="1121"/>
      <c r="E57" s="1121"/>
      <c r="F57" s="289">
        <f t="shared" si="17"/>
        <v>-3287.6712328767121</v>
      </c>
      <c r="G57" s="292"/>
      <c r="H57" s="291" t="s">
        <v>651</v>
      </c>
      <c r="I57" s="294"/>
      <c r="J57" s="288"/>
      <c r="K57" s="1121"/>
      <c r="L57" s="1121" t="s">
        <v>231</v>
      </c>
      <c r="M57" s="1121" t="s">
        <v>2756</v>
      </c>
      <c r="N57" s="1121" t="s">
        <v>140</v>
      </c>
      <c r="O57" s="1121" t="s">
        <v>145</v>
      </c>
      <c r="P57" s="1121"/>
      <c r="Q57" s="1121">
        <v>54</v>
      </c>
      <c r="R57" s="292">
        <v>-3909.3</v>
      </c>
      <c r="S57" s="292"/>
      <c r="T57" s="1121">
        <v>20</v>
      </c>
      <c r="U57" s="1121">
        <v>0</v>
      </c>
      <c r="V57" s="1121"/>
      <c r="W57" s="1121">
        <v>1.4</v>
      </c>
      <c r="X57" s="1121">
        <v>2.2999999999999998</v>
      </c>
      <c r="Y57" s="1121"/>
      <c r="Z57" s="1121">
        <v>0.45</v>
      </c>
      <c r="AA57" s="1121"/>
      <c r="AB57" s="1121"/>
      <c r="AC57" s="1121"/>
      <c r="AD57" s="1121" t="s">
        <v>1704</v>
      </c>
      <c r="AE57" s="1121"/>
      <c r="AF57" s="1121">
        <v>6000</v>
      </c>
      <c r="AG57" s="288">
        <v>11747.84</v>
      </c>
      <c r="AH57" s="1121">
        <v>2629</v>
      </c>
      <c r="AI57" s="289">
        <v>752</v>
      </c>
      <c r="AJ57" s="1121"/>
      <c r="AK57" s="1121"/>
      <c r="AL57" s="1121"/>
      <c r="AM57" s="1121" t="s">
        <v>1228</v>
      </c>
      <c r="AN57" s="315">
        <v>5.5</v>
      </c>
      <c r="AO57" s="315"/>
      <c r="AP57" s="315"/>
      <c r="AQ57" s="315"/>
      <c r="AR57" s="315"/>
      <c r="AS57" s="315"/>
      <c r="AT57" s="315">
        <f>+ab($U$57,$T$55,$U$59,$G$56,$G$58,-1*$F$57,1200)</f>
        <v>10.825709096597432</v>
      </c>
      <c r="AU57" s="315"/>
      <c r="AV57" s="315"/>
      <c r="AW57" s="315" t="s">
        <v>2634</v>
      </c>
      <c r="AX57" s="315" t="s">
        <v>1641</v>
      </c>
      <c r="AY57" s="315">
        <v>4.2</v>
      </c>
      <c r="AZ57" s="315"/>
      <c r="BA57" s="315"/>
      <c r="BB57" s="306"/>
      <c r="BC57" s="307"/>
      <c r="BD57" s="350"/>
      <c r="BE57" s="298"/>
    </row>
    <row r="58" spans="1:65" ht="14.25">
      <c r="A58" s="340"/>
      <c r="B58" s="340"/>
      <c r="C58" s="288"/>
      <c r="D58" s="1121"/>
      <c r="E58" s="1121"/>
      <c r="F58" s="289"/>
      <c r="G58" s="292">
        <v>50</v>
      </c>
      <c r="H58" s="291"/>
      <c r="I58" s="294"/>
      <c r="J58" s="288"/>
      <c r="K58" s="1121"/>
      <c r="L58" s="1121"/>
      <c r="M58" s="1121"/>
      <c r="N58" s="1121"/>
      <c r="O58" s="1121"/>
      <c r="P58" s="1121"/>
      <c r="Q58" s="1121"/>
      <c r="R58" s="292"/>
      <c r="S58" s="292">
        <f t="shared" si="18"/>
        <v>49.979999999999563</v>
      </c>
      <c r="T58" s="1121"/>
      <c r="U58" s="1121"/>
      <c r="V58" s="1121"/>
      <c r="W58" s="1121"/>
      <c r="X58" s="1121"/>
      <c r="Y58" s="1121"/>
      <c r="Z58" s="1121"/>
      <c r="AA58" s="1121"/>
      <c r="AB58" s="1121"/>
      <c r="AC58" s="1121"/>
      <c r="AD58" s="1121"/>
      <c r="AE58" s="1121"/>
      <c r="AF58" s="1121"/>
      <c r="AG58" s="288"/>
      <c r="AH58" s="1121" t="s">
        <v>695</v>
      </c>
      <c r="AI58" s="289"/>
      <c r="AJ58" s="1121"/>
      <c r="AK58" s="1121"/>
      <c r="AL58" s="1121"/>
      <c r="AM58" s="1121"/>
      <c r="AN58" s="315"/>
      <c r="AO58" s="315"/>
      <c r="AP58" s="315"/>
      <c r="AQ58" s="315">
        <f>+FL_2($T$59,$U$57,$G$58,1200,9.28,-1*$F$59)</f>
        <v>-0.35179199656161886</v>
      </c>
      <c r="AR58" s="315"/>
      <c r="AS58" s="315"/>
      <c r="AT58" s="315"/>
      <c r="AU58" s="315"/>
      <c r="AV58" s="315"/>
      <c r="AW58" s="315"/>
      <c r="AX58" s="315"/>
      <c r="AY58" s="315"/>
      <c r="AZ58" s="315"/>
      <c r="BA58" s="315"/>
      <c r="BB58" s="306"/>
      <c r="BC58" s="307"/>
      <c r="BD58" s="350"/>
      <c r="BE58" s="298"/>
    </row>
    <row r="59" spans="1:65" ht="14.25">
      <c r="A59" s="340"/>
      <c r="B59" s="340" t="s">
        <v>2063</v>
      </c>
      <c r="C59" s="288">
        <f>+$C$57+$G$58</f>
        <v>11798</v>
      </c>
      <c r="D59" s="1121"/>
      <c r="E59" s="1121"/>
      <c r="F59" s="289">
        <f t="shared" ref="F59" si="19">150*1600/(C59-11821)</f>
        <v>-10434.782608695652</v>
      </c>
      <c r="G59" s="292"/>
      <c r="H59" s="291" t="s">
        <v>651</v>
      </c>
      <c r="I59" s="294"/>
      <c r="J59" s="288"/>
      <c r="K59" s="1121"/>
      <c r="L59" s="1121" t="s">
        <v>231</v>
      </c>
      <c r="M59" s="1121" t="s">
        <v>2756</v>
      </c>
      <c r="N59" s="1121" t="s">
        <v>144</v>
      </c>
      <c r="O59" s="1121" t="s">
        <v>140</v>
      </c>
      <c r="P59" s="1121"/>
      <c r="Q59" s="1121">
        <v>20</v>
      </c>
      <c r="R59" s="292">
        <v>-9459</v>
      </c>
      <c r="S59" s="292"/>
      <c r="T59" s="1121">
        <v>-15</v>
      </c>
      <c r="U59" s="1121">
        <v>-35</v>
      </c>
      <c r="V59" s="1121"/>
      <c r="W59" s="1121">
        <v>1.4</v>
      </c>
      <c r="X59" s="1121">
        <v>2.2999999999999998</v>
      </c>
      <c r="Y59" s="1121"/>
      <c r="Z59" s="1121"/>
      <c r="AA59" s="1121">
        <v>0.45</v>
      </c>
      <c r="AB59" s="1121"/>
      <c r="AC59" s="1121" t="s">
        <v>1704</v>
      </c>
      <c r="AD59" s="1121"/>
      <c r="AE59" s="1121"/>
      <c r="AF59" s="1121">
        <v>6000</v>
      </c>
      <c r="AG59" s="288">
        <v>11797.82</v>
      </c>
      <c r="AH59" s="1121">
        <v>2670</v>
      </c>
      <c r="AI59" s="289">
        <v>706</v>
      </c>
      <c r="AJ59" s="1121"/>
      <c r="AK59" s="1121"/>
      <c r="AL59" s="1121"/>
      <c r="AM59" s="1121" t="s">
        <v>1228</v>
      </c>
      <c r="AN59" s="315">
        <v>5.5</v>
      </c>
      <c r="AO59" s="315"/>
      <c r="AP59" s="315"/>
      <c r="AQ59" s="315"/>
      <c r="AR59" s="315"/>
      <c r="AS59" s="315"/>
      <c r="AT59" s="315">
        <f>+ab($U$59,$T$57,$U$61,$G$58,$G$60,-1*$F$59,1200)</f>
        <v>-14.228274712977376</v>
      </c>
      <c r="AU59" s="315"/>
      <c r="AV59" s="315"/>
      <c r="AW59" s="315" t="s">
        <v>2634</v>
      </c>
      <c r="AX59" s="315" t="s">
        <v>1641</v>
      </c>
      <c r="AY59" s="315">
        <v>4.2</v>
      </c>
      <c r="AZ59" s="315"/>
      <c r="BA59" s="315"/>
      <c r="BB59" s="306"/>
      <c r="BC59" s="307"/>
      <c r="BD59" s="350"/>
      <c r="BE59" s="298"/>
      <c r="BF59" s="298"/>
      <c r="BG59" s="298"/>
    </row>
    <row r="60" spans="1:65" ht="14.25">
      <c r="A60" s="340"/>
      <c r="B60" s="340"/>
      <c r="C60" s="288"/>
      <c r="D60" s="1121"/>
      <c r="E60" s="1121"/>
      <c r="F60" s="289"/>
      <c r="G60" s="292">
        <v>50</v>
      </c>
      <c r="H60" s="291"/>
      <c r="I60" s="294"/>
      <c r="J60" s="288"/>
      <c r="K60" s="1121"/>
      <c r="L60" s="1121"/>
      <c r="M60" s="1121"/>
      <c r="N60" s="1121"/>
      <c r="O60" s="1121"/>
      <c r="P60" s="1121"/>
      <c r="Q60" s="1121"/>
      <c r="R60" s="292"/>
      <c r="S60" s="292">
        <f t="shared" si="18"/>
        <v>50.180000000000291</v>
      </c>
      <c r="T60" s="1121"/>
      <c r="U60" s="1121"/>
      <c r="V60" s="1121"/>
      <c r="W60" s="1121"/>
      <c r="X60" s="1121"/>
      <c r="Y60" s="1121"/>
      <c r="Z60" s="1121"/>
      <c r="AA60" s="1121"/>
      <c r="AB60" s="1121"/>
      <c r="AC60" s="1121"/>
      <c r="AD60" s="1121"/>
      <c r="AE60" s="1121"/>
      <c r="AF60" s="1121"/>
      <c r="AG60" s="288"/>
      <c r="AH60" s="1121" t="s">
        <v>695</v>
      </c>
      <c r="AI60" s="289"/>
      <c r="AJ60" s="1121"/>
      <c r="AK60" s="1121"/>
      <c r="AL60" s="1121"/>
      <c r="AM60" s="1121"/>
      <c r="AN60" s="315"/>
      <c r="AO60" s="315"/>
      <c r="AP60" s="315"/>
      <c r="AQ60" s="315">
        <f>+FL_1($T$61,$U$59,$G$60,1200,9.28,-1*$F$61)</f>
        <v>0.28477011200000002</v>
      </c>
      <c r="AR60" s="315"/>
      <c r="AS60" s="315"/>
      <c r="AT60" s="315"/>
      <c r="AU60" s="315"/>
      <c r="AV60" s="315"/>
      <c r="AW60" s="315"/>
      <c r="AX60" s="315"/>
      <c r="AY60" s="315"/>
      <c r="AZ60" s="315"/>
      <c r="BA60" s="315"/>
      <c r="BB60" s="306"/>
      <c r="BC60" s="307"/>
      <c r="BD60" s="350"/>
      <c r="BE60" s="298"/>
      <c r="BF60" s="298"/>
      <c r="BG60" s="298"/>
    </row>
    <row r="61" spans="1:65" ht="14.25">
      <c r="A61" s="340"/>
      <c r="B61" s="340" t="s">
        <v>2064</v>
      </c>
      <c r="C61" s="288">
        <f>+$C$59+$G$60</f>
        <v>11848</v>
      </c>
      <c r="D61" s="1121"/>
      <c r="E61" s="1121"/>
      <c r="F61" s="289">
        <v>0</v>
      </c>
      <c r="G61" s="292"/>
      <c r="H61" s="291" t="s">
        <v>138</v>
      </c>
      <c r="I61" s="294" t="s">
        <v>656</v>
      </c>
      <c r="J61" s="288"/>
      <c r="K61" s="1121"/>
      <c r="L61" s="1121" t="s">
        <v>1061</v>
      </c>
      <c r="M61" s="1121" t="s">
        <v>2756</v>
      </c>
      <c r="N61" s="1121" t="s">
        <v>145</v>
      </c>
      <c r="O61" s="1121"/>
      <c r="P61" s="1121"/>
      <c r="Q61" s="1121">
        <v>0</v>
      </c>
      <c r="R61" s="289">
        <v>0</v>
      </c>
      <c r="S61" s="292"/>
      <c r="T61" s="1121">
        <v>25</v>
      </c>
      <c r="U61" s="1121"/>
      <c r="V61" s="1121"/>
      <c r="W61" s="1121">
        <v>1.4</v>
      </c>
      <c r="X61" s="1121"/>
      <c r="Y61" s="1121"/>
      <c r="Z61" s="1121"/>
      <c r="AA61" s="1121"/>
      <c r="AB61" s="1121"/>
      <c r="AC61" s="1121" t="s">
        <v>1704</v>
      </c>
      <c r="AD61" s="1121"/>
      <c r="AE61" s="1121"/>
      <c r="AF61" s="1121">
        <v>6000</v>
      </c>
      <c r="AG61" s="288">
        <v>11848</v>
      </c>
      <c r="AH61" s="1121">
        <v>2645</v>
      </c>
      <c r="AI61" s="289">
        <v>700</v>
      </c>
      <c r="AJ61" s="1121"/>
      <c r="AK61" s="1121"/>
      <c r="AL61" s="1121"/>
      <c r="AM61" s="1121" t="s">
        <v>1228</v>
      </c>
      <c r="AN61" s="315">
        <v>5.5</v>
      </c>
      <c r="AO61" s="315"/>
      <c r="AP61" s="315"/>
      <c r="AQ61" s="315"/>
      <c r="AR61" s="315"/>
      <c r="AS61" s="315"/>
      <c r="AT61" s="315">
        <f>+ab($T$61,$T$59,$T$63,$G$60,$G$62,-1*$F$61,1200)</f>
        <v>9.1618170172060882</v>
      </c>
      <c r="AU61" s="315"/>
      <c r="AV61" s="315"/>
      <c r="AW61" s="315" t="s">
        <v>2634</v>
      </c>
      <c r="AX61" s="315" t="s">
        <v>1641</v>
      </c>
      <c r="AY61" s="315">
        <v>4.2</v>
      </c>
      <c r="AZ61" s="315"/>
      <c r="BA61" s="315"/>
      <c r="BB61" s="306"/>
      <c r="BC61" s="307"/>
      <c r="BD61" s="307"/>
      <c r="BE61" s="298"/>
      <c r="BF61" s="298"/>
      <c r="BG61" s="298"/>
    </row>
    <row r="62" spans="1:65" ht="14.25">
      <c r="A62" s="340"/>
      <c r="B62" s="340"/>
      <c r="C62" s="288"/>
      <c r="D62" s="1121"/>
      <c r="E62" s="1121"/>
      <c r="F62" s="289"/>
      <c r="G62" s="292">
        <v>47</v>
      </c>
      <c r="H62" s="291"/>
      <c r="I62" s="291"/>
      <c r="J62" s="288">
        <f>C61+7.5</f>
        <v>11855.5</v>
      </c>
      <c r="K62" s="1121" t="s">
        <v>3017</v>
      </c>
      <c r="L62" s="1121"/>
      <c r="M62" s="1121"/>
      <c r="N62" s="1121"/>
      <c r="O62" s="1121"/>
      <c r="P62" s="1121"/>
      <c r="Q62" s="1121"/>
      <c r="R62" s="292"/>
      <c r="S62" s="292">
        <f t="shared" si="18"/>
        <v>46.950000000000728</v>
      </c>
      <c r="T62" s="1121"/>
      <c r="U62" s="1121"/>
      <c r="V62" s="1121"/>
      <c r="W62" s="1121"/>
      <c r="X62" s="1121"/>
      <c r="Y62" s="1121"/>
      <c r="Z62" s="1121"/>
      <c r="AA62" s="1121"/>
      <c r="AB62" s="1121"/>
      <c r="AC62" s="1121"/>
      <c r="AD62" s="1121"/>
      <c r="AE62" s="1121"/>
      <c r="AF62" s="1121"/>
      <c r="AG62" s="288"/>
      <c r="AH62" s="1121"/>
      <c r="AI62" s="289"/>
      <c r="AJ62" s="1121"/>
      <c r="AK62" s="1121"/>
      <c r="AL62" s="1121"/>
      <c r="AM62" s="1121"/>
      <c r="AN62" s="315"/>
      <c r="AO62" s="315"/>
      <c r="AP62" s="315"/>
      <c r="AQ62" s="315">
        <f>+FL_2($T$63,$T$61,$G$62,1200,9.28,-1*$F$63)</f>
        <v>-0.36890498544680844</v>
      </c>
      <c r="AR62" s="315"/>
      <c r="AS62" s="315"/>
      <c r="AT62" s="315"/>
      <c r="AU62" s="315"/>
      <c r="AV62" s="315"/>
      <c r="AW62" s="315" t="s">
        <v>2634</v>
      </c>
      <c r="AX62" s="315" t="s">
        <v>1641</v>
      </c>
      <c r="AY62" s="315"/>
      <c r="AZ62" s="315">
        <v>3.5</v>
      </c>
      <c r="BA62" s="315"/>
      <c r="BB62" s="306"/>
      <c r="BC62" s="307"/>
      <c r="BD62" s="307"/>
      <c r="BE62" s="298"/>
      <c r="BF62" s="298"/>
      <c r="BG62" s="298"/>
    </row>
    <row r="63" spans="1:65" ht="14.25">
      <c r="A63" s="340"/>
      <c r="B63" s="340" t="s">
        <v>2065</v>
      </c>
      <c r="C63" s="288">
        <f>+$C$61+$G$62</f>
        <v>11895</v>
      </c>
      <c r="D63" s="1121"/>
      <c r="E63" s="1121"/>
      <c r="F63" s="289">
        <v>0</v>
      </c>
      <c r="G63" s="292"/>
      <c r="H63" s="291"/>
      <c r="I63" s="294"/>
      <c r="J63" s="288"/>
      <c r="K63" s="1121"/>
      <c r="L63" s="1121" t="s">
        <v>230</v>
      </c>
      <c r="M63" s="1121" t="s">
        <v>2757</v>
      </c>
      <c r="N63" s="1121" t="s">
        <v>144</v>
      </c>
      <c r="O63" s="1121"/>
      <c r="P63" s="1121"/>
      <c r="Q63" s="1121">
        <v>0</v>
      </c>
      <c r="R63" s="289">
        <v>0</v>
      </c>
      <c r="S63" s="292"/>
      <c r="T63" s="1121">
        <v>-35</v>
      </c>
      <c r="U63" s="1121"/>
      <c r="V63" s="1121"/>
      <c r="W63" s="1121">
        <v>1.4</v>
      </c>
      <c r="X63" s="1121"/>
      <c r="Y63" s="1121"/>
      <c r="Z63" s="1121"/>
      <c r="AA63" s="1121"/>
      <c r="AB63" s="1121"/>
      <c r="AC63" s="1121" t="s">
        <v>2963</v>
      </c>
      <c r="AD63" s="1121"/>
      <c r="AE63" s="1121"/>
      <c r="AF63" s="1121">
        <v>6000</v>
      </c>
      <c r="AG63" s="288">
        <v>11894.95</v>
      </c>
      <c r="AH63" s="1121">
        <v>2674</v>
      </c>
      <c r="AI63" s="289">
        <v>713</v>
      </c>
      <c r="AJ63" s="1121"/>
      <c r="AK63" s="1121"/>
      <c r="AL63" s="1121"/>
      <c r="AM63" s="1121" t="s">
        <v>1228</v>
      </c>
      <c r="AN63" s="315">
        <v>5.5</v>
      </c>
      <c r="AO63" s="315"/>
      <c r="AP63" s="315"/>
      <c r="AQ63" s="315"/>
      <c r="AR63" s="315"/>
      <c r="AS63" s="315"/>
      <c r="AT63" s="315">
        <f>+ab($T$63,$T$61,$T$65,$G$62,$G$64,-1*$F$63,1200)</f>
        <v>-7.4843539352684667</v>
      </c>
      <c r="AU63" s="315"/>
      <c r="AV63" s="315"/>
      <c r="AW63" s="315" t="s">
        <v>2634</v>
      </c>
      <c r="AX63" s="315" t="s">
        <v>1641</v>
      </c>
      <c r="AY63" s="315">
        <v>4.2</v>
      </c>
      <c r="AZ63" s="315"/>
      <c r="BA63" s="315"/>
      <c r="BB63" s="306"/>
      <c r="BC63" s="307"/>
      <c r="BD63" s="307"/>
      <c r="BE63" s="298"/>
      <c r="BF63" s="298"/>
      <c r="BG63" s="298"/>
    </row>
    <row r="64" spans="1:65" ht="14.25">
      <c r="A64" s="340"/>
      <c r="B64" s="340"/>
      <c r="C64" s="288"/>
      <c r="D64" s="1121"/>
      <c r="E64" s="1121"/>
      <c r="F64" s="289"/>
      <c r="G64" s="292">
        <v>55</v>
      </c>
      <c r="H64" s="291"/>
      <c r="I64" s="291"/>
      <c r="J64" s="288"/>
      <c r="K64" s="1121"/>
      <c r="L64" s="1121"/>
      <c r="M64" s="1121"/>
      <c r="N64" s="1121"/>
      <c r="O64" s="1121"/>
      <c r="P64" s="1121"/>
      <c r="Q64" s="1121"/>
      <c r="R64" s="292"/>
      <c r="S64" s="292">
        <f t="shared" si="18"/>
        <v>54.920000000000073</v>
      </c>
      <c r="T64" s="1121"/>
      <c r="U64" s="1121"/>
      <c r="V64" s="1121"/>
      <c r="W64" s="1121"/>
      <c r="X64" s="1121"/>
      <c r="Y64" s="1121"/>
      <c r="Z64" s="1121"/>
      <c r="AA64" s="1121"/>
      <c r="AB64" s="1121"/>
      <c r="AC64" s="1121"/>
      <c r="AD64" s="1121"/>
      <c r="AE64" s="1121"/>
      <c r="AF64" s="1121"/>
      <c r="AG64" s="288"/>
      <c r="AH64" s="1121"/>
      <c r="AI64" s="289"/>
      <c r="AJ64" s="1121"/>
      <c r="AK64" s="1121"/>
      <c r="AL64" s="1121"/>
      <c r="AM64" s="1121"/>
      <c r="AN64" s="315"/>
      <c r="AO64" s="315"/>
      <c r="AP64" s="315"/>
      <c r="AQ64" s="315">
        <f>+FL_2($T$65,$T$63,$G$64,1200,9.28,-1*$F$65)</f>
        <v>-0.39714735709090898</v>
      </c>
      <c r="AR64" s="315"/>
      <c r="AS64" s="315"/>
      <c r="AT64" s="315"/>
      <c r="AU64" s="315"/>
      <c r="AV64" s="315"/>
      <c r="AW64" s="315"/>
      <c r="AX64" s="315"/>
      <c r="AY64" s="315"/>
      <c r="AZ64" s="315"/>
      <c r="BA64" s="315"/>
      <c r="BB64" s="306"/>
      <c r="BC64" s="307"/>
      <c r="BD64" s="307"/>
      <c r="BE64" s="298"/>
      <c r="BI64" s="307"/>
      <c r="BJ64" s="307"/>
      <c r="BK64" s="307"/>
      <c r="BL64" s="307"/>
      <c r="BM64" s="307"/>
    </row>
    <row r="65" spans="1:65" ht="14.25">
      <c r="A65" s="340"/>
      <c r="B65" s="340" t="s">
        <v>2066</v>
      </c>
      <c r="C65" s="288">
        <f>+$C$63+$G$64</f>
        <v>11950</v>
      </c>
      <c r="D65" s="1121"/>
      <c r="E65" s="1121"/>
      <c r="F65" s="289">
        <v>0</v>
      </c>
      <c r="G65" s="292"/>
      <c r="H65" s="291"/>
      <c r="I65" s="291"/>
      <c r="J65" s="288"/>
      <c r="K65" s="1121"/>
      <c r="L65" s="1121" t="s">
        <v>230</v>
      </c>
      <c r="M65" s="1121" t="s">
        <v>2757</v>
      </c>
      <c r="N65" s="1121" t="s">
        <v>145</v>
      </c>
      <c r="O65" s="1121"/>
      <c r="P65" s="1121"/>
      <c r="Q65" s="1121">
        <v>0</v>
      </c>
      <c r="R65" s="289">
        <v>0</v>
      </c>
      <c r="S65" s="292"/>
      <c r="T65" s="1121">
        <v>35</v>
      </c>
      <c r="U65" s="1121"/>
      <c r="V65" s="1121"/>
      <c r="W65" s="1121">
        <v>1.4</v>
      </c>
      <c r="X65" s="1121"/>
      <c r="Y65" s="1121"/>
      <c r="Z65" s="1121"/>
      <c r="AA65" s="1121"/>
      <c r="AB65" s="1121"/>
      <c r="AC65" s="1121" t="s">
        <v>2963</v>
      </c>
      <c r="AD65" s="1121"/>
      <c r="AE65" s="1121"/>
      <c r="AF65" s="1121">
        <v>6000</v>
      </c>
      <c r="AG65" s="288">
        <v>11949.87</v>
      </c>
      <c r="AH65" s="1121">
        <v>2535</v>
      </c>
      <c r="AI65" s="289">
        <v>689</v>
      </c>
      <c r="AJ65" s="1121"/>
      <c r="AK65" s="1121"/>
      <c r="AL65" s="1121"/>
      <c r="AM65" s="1121" t="s">
        <v>1228</v>
      </c>
      <c r="AN65" s="315">
        <v>5.5</v>
      </c>
      <c r="AO65" s="315"/>
      <c r="AP65" s="315"/>
      <c r="AQ65" s="315"/>
      <c r="AR65" s="315"/>
      <c r="AS65" s="315"/>
      <c r="AT65" s="315">
        <f>+ab($T$65,$T$63,$T$67,$G$64,$G$66,-1*$F$65,1200)</f>
        <v>8.0286726655051481</v>
      </c>
      <c r="AU65" s="315"/>
      <c r="AV65" s="315"/>
      <c r="AW65" s="315" t="s">
        <v>2634</v>
      </c>
      <c r="AX65" s="315" t="s">
        <v>1641</v>
      </c>
      <c r="AY65" s="315">
        <v>4.2</v>
      </c>
      <c r="AZ65" s="315"/>
      <c r="BA65" s="315"/>
      <c r="BB65" s="306"/>
      <c r="BC65" s="307"/>
      <c r="BD65" s="307"/>
      <c r="BE65" s="298"/>
      <c r="BF65" s="298"/>
      <c r="BG65" s="298"/>
      <c r="BI65" s="307"/>
      <c r="BJ65" s="307"/>
      <c r="BK65" s="307"/>
      <c r="BL65" s="307"/>
      <c r="BM65" s="307"/>
    </row>
    <row r="66" spans="1:65" ht="14.25">
      <c r="A66" s="352"/>
      <c r="B66" s="353"/>
      <c r="C66" s="354"/>
      <c r="D66" s="353"/>
      <c r="E66" s="353"/>
      <c r="F66" s="355"/>
      <c r="G66" s="356">
        <v>59</v>
      </c>
      <c r="H66" s="357"/>
      <c r="I66" s="358"/>
      <c r="J66" s="354"/>
      <c r="K66" s="353"/>
      <c r="L66" s="353"/>
      <c r="M66" s="353"/>
      <c r="N66" s="353"/>
      <c r="O66" s="353"/>
      <c r="P66" s="353"/>
      <c r="Q66" s="353"/>
      <c r="R66" s="356"/>
      <c r="S66" s="356">
        <f t="shared" si="18"/>
        <v>58.869999999998981</v>
      </c>
      <c r="T66" s="353"/>
      <c r="U66" s="353"/>
      <c r="V66" s="353"/>
      <c r="W66" s="353"/>
      <c r="X66" s="353"/>
      <c r="Y66" s="353"/>
      <c r="Z66" s="353"/>
      <c r="AA66" s="353"/>
      <c r="AB66" s="353"/>
      <c r="AC66" s="353"/>
      <c r="AD66" s="353"/>
      <c r="AE66" s="353"/>
      <c r="AF66" s="353"/>
      <c r="AG66" s="354"/>
      <c r="AH66" s="353"/>
      <c r="AI66" s="355"/>
      <c r="AJ66" s="353"/>
      <c r="AK66" s="353"/>
      <c r="AL66" s="353"/>
      <c r="AM66" s="353"/>
      <c r="AN66" s="359"/>
      <c r="AO66" s="359"/>
      <c r="AP66" s="359"/>
      <c r="AQ66" s="359">
        <f>+FL_2($T$67,$T$65,$G$66,1200,9.28,-1*$F$67)</f>
        <v>-0.42598074926302099</v>
      </c>
      <c r="AR66" s="359"/>
      <c r="AS66" s="359"/>
      <c r="AT66" s="359"/>
      <c r="AU66" s="359"/>
      <c r="AV66" s="359"/>
      <c r="AW66" s="359"/>
      <c r="AX66" s="359"/>
      <c r="AY66" s="359"/>
      <c r="AZ66" s="359"/>
      <c r="BA66" s="359"/>
      <c r="BB66" s="306"/>
      <c r="BE66" s="298"/>
      <c r="BF66" s="298"/>
      <c r="BG66" s="298"/>
      <c r="BI66" s="307"/>
      <c r="BJ66" s="307"/>
      <c r="BK66" s="307"/>
      <c r="BL66" s="307"/>
      <c r="BM66" s="307"/>
    </row>
    <row r="67" spans="1:65" ht="14.25">
      <c r="A67" s="340"/>
      <c r="B67" s="340" t="s">
        <v>2067</v>
      </c>
      <c r="C67" s="288">
        <f>+$C$65+$G$66</f>
        <v>12009</v>
      </c>
      <c r="D67" s="1121"/>
      <c r="E67" s="1121"/>
      <c r="F67" s="289">
        <f>150*-1600/(C67-11984)</f>
        <v>-9600</v>
      </c>
      <c r="G67" s="292"/>
      <c r="H67" s="1121"/>
      <c r="I67" s="289"/>
      <c r="J67" s="288"/>
      <c r="K67" s="1121"/>
      <c r="L67" s="1121" t="s">
        <v>230</v>
      </c>
      <c r="M67" s="1121" t="s">
        <v>2757</v>
      </c>
      <c r="N67" s="1121" t="s">
        <v>144</v>
      </c>
      <c r="O67" s="1121"/>
      <c r="P67" s="1121"/>
      <c r="Q67" s="1121">
        <v>15</v>
      </c>
      <c r="R67" s="292">
        <v>-4664.24</v>
      </c>
      <c r="S67" s="292"/>
      <c r="T67" s="1121">
        <v>-30</v>
      </c>
      <c r="U67" s="1121"/>
      <c r="V67" s="1121"/>
      <c r="W67" s="1121">
        <v>1.4</v>
      </c>
      <c r="X67" s="1121"/>
      <c r="Y67" s="1121"/>
      <c r="Z67" s="1121"/>
      <c r="AA67" s="1121"/>
      <c r="AB67" s="1121"/>
      <c r="AC67" s="1121" t="s">
        <v>1702</v>
      </c>
      <c r="AD67" s="1121"/>
      <c r="AE67" s="1121"/>
      <c r="AF67" s="1121">
        <v>6000</v>
      </c>
      <c r="AG67" s="288">
        <v>12008.74</v>
      </c>
      <c r="AH67" s="1121">
        <v>2600</v>
      </c>
      <c r="AI67" s="289">
        <v>706</v>
      </c>
      <c r="AJ67" s="1121"/>
      <c r="AK67" s="1121"/>
      <c r="AL67" s="1121"/>
      <c r="AM67" s="1121" t="s">
        <v>1228</v>
      </c>
      <c r="AN67" s="315">
        <v>5.5</v>
      </c>
      <c r="AO67" s="315"/>
      <c r="AP67" s="315"/>
      <c r="AQ67" s="315"/>
      <c r="AR67" s="315"/>
      <c r="AS67" s="315"/>
      <c r="AT67" s="315">
        <f>+ab($T$67,$T$65,$T$69,$G$66,$G$68,-1*$F$67,1200)</f>
        <v>-12.011029332119227</v>
      </c>
      <c r="AU67" s="315"/>
      <c r="AV67" s="315"/>
      <c r="AW67" s="315" t="s">
        <v>2634</v>
      </c>
      <c r="AX67" s="315" t="s">
        <v>1641</v>
      </c>
      <c r="AY67" s="315">
        <v>4.2</v>
      </c>
      <c r="AZ67" s="315"/>
      <c r="BA67" s="315"/>
      <c r="BB67" s="306"/>
      <c r="BE67" s="298"/>
      <c r="BF67" s="298"/>
      <c r="BG67" s="298"/>
      <c r="BI67" s="307"/>
      <c r="BJ67" s="307"/>
      <c r="BK67" s="307"/>
      <c r="BL67" s="307"/>
      <c r="BM67" s="307"/>
    </row>
    <row r="68" spans="1:65" ht="14.25">
      <c r="A68" s="340"/>
      <c r="B68" s="340"/>
      <c r="C68" s="288"/>
      <c r="D68" s="1121"/>
      <c r="E68" s="1121"/>
      <c r="F68" s="289"/>
      <c r="G68" s="292">
        <v>56</v>
      </c>
      <c r="H68" s="1121"/>
      <c r="I68" s="289"/>
      <c r="J68" s="288">
        <f>C69-7.5</f>
        <v>12057.5</v>
      </c>
      <c r="K68" s="1121" t="s">
        <v>3018</v>
      </c>
      <c r="L68" s="1121"/>
      <c r="M68" s="1121"/>
      <c r="N68" s="1121"/>
      <c r="O68" s="1121"/>
      <c r="P68" s="1121"/>
      <c r="Q68" s="1121"/>
      <c r="R68" s="292"/>
      <c r="S68" s="292">
        <f t="shared" si="18"/>
        <v>55.969999999999345</v>
      </c>
      <c r="T68" s="1121"/>
      <c r="U68" s="1121"/>
      <c r="V68" s="1121"/>
      <c r="W68" s="1121"/>
      <c r="X68" s="1121"/>
      <c r="Y68" s="1121"/>
      <c r="Z68" s="1121"/>
      <c r="AA68" s="1121"/>
      <c r="AB68" s="1121"/>
      <c r="AC68" s="1121"/>
      <c r="AD68" s="1121"/>
      <c r="AE68" s="1121"/>
      <c r="AF68" s="1121"/>
      <c r="AG68" s="288"/>
      <c r="AH68" s="1121"/>
      <c r="AI68" s="289"/>
      <c r="AJ68" s="1121"/>
      <c r="AK68" s="1121"/>
      <c r="AL68" s="1121"/>
      <c r="AM68" s="1121"/>
      <c r="AN68" s="315"/>
      <c r="AO68" s="315"/>
      <c r="AP68" s="315"/>
      <c r="AQ68" s="315">
        <f>+FL_2($T$69,$T$67,$G$68,1200,9.28,-1*$F$69*2)</f>
        <v>-0.43022354629072307</v>
      </c>
      <c r="AR68" s="315"/>
      <c r="AS68" s="315"/>
      <c r="AT68" s="315"/>
      <c r="AU68" s="315"/>
      <c r="AV68" s="315"/>
      <c r="AW68" s="315" t="s">
        <v>2634</v>
      </c>
      <c r="AX68" s="315" t="s">
        <v>1641</v>
      </c>
      <c r="AY68" s="315"/>
      <c r="AZ68" s="315">
        <v>3.5</v>
      </c>
      <c r="BA68" s="315"/>
      <c r="BB68" s="306"/>
      <c r="BE68" s="298"/>
      <c r="BF68" s="298"/>
      <c r="BG68" s="298"/>
      <c r="BI68" s="307"/>
      <c r="BJ68" s="307"/>
      <c r="BK68" s="307"/>
      <c r="BL68" s="307"/>
      <c r="BM68" s="307"/>
    </row>
    <row r="69" spans="1:65" ht="14.25">
      <c r="A69" s="340"/>
      <c r="B69" s="340" t="s">
        <v>2068</v>
      </c>
      <c r="C69" s="288">
        <f>+$C$67+$G$68</f>
        <v>12065</v>
      </c>
      <c r="D69" s="1121"/>
      <c r="E69" s="1121"/>
      <c r="F69" s="289">
        <f t="shared" ref="F69" si="20">150*-1600/(C69-11984)</f>
        <v>-2962.962962962963</v>
      </c>
      <c r="G69" s="292"/>
      <c r="H69" s="291" t="s">
        <v>954</v>
      </c>
      <c r="I69" s="291"/>
      <c r="J69" s="288"/>
      <c r="K69" s="1121"/>
      <c r="L69" s="1121" t="s">
        <v>231</v>
      </c>
      <c r="M69" s="1121" t="s">
        <v>2756</v>
      </c>
      <c r="N69" s="1121" t="s">
        <v>145</v>
      </c>
      <c r="O69" s="1121"/>
      <c r="P69" s="1121"/>
      <c r="Q69" s="1121">
        <v>55</v>
      </c>
      <c r="R69" s="292">
        <v>-4180.6000000000004</v>
      </c>
      <c r="S69" s="292"/>
      <c r="T69" s="1121">
        <v>30</v>
      </c>
      <c r="U69" s="1121"/>
      <c r="V69" s="1121"/>
      <c r="W69" s="1121">
        <v>1.4</v>
      </c>
      <c r="X69" s="1121"/>
      <c r="Y69" s="1121"/>
      <c r="Z69" s="1121"/>
      <c r="AA69" s="1121"/>
      <c r="AB69" s="1121"/>
      <c r="AC69" s="1121" t="s">
        <v>2963</v>
      </c>
      <c r="AD69" s="1121"/>
      <c r="AE69" s="1121"/>
      <c r="AF69" s="1121">
        <v>6000</v>
      </c>
      <c r="AG69" s="288">
        <v>12064.71</v>
      </c>
      <c r="AH69" s="1121">
        <v>2546</v>
      </c>
      <c r="AI69" s="289">
        <v>693</v>
      </c>
      <c r="AJ69" s="1121"/>
      <c r="AK69" s="1121"/>
      <c r="AL69" s="1121"/>
      <c r="AM69" s="1121" t="s">
        <v>1228</v>
      </c>
      <c r="AN69" s="315">
        <v>5.5</v>
      </c>
      <c r="AO69" s="315"/>
      <c r="AP69" s="315"/>
      <c r="AQ69" s="315"/>
      <c r="AR69" s="315"/>
      <c r="AS69" s="315"/>
      <c r="AT69" s="315">
        <f>+ab($T$69,$T$67,$T$71,$G$68,$G$70,-1*$F$69,1200)</f>
        <v>6.5260614969404935</v>
      </c>
      <c r="AU69" s="315"/>
      <c r="AV69" s="315"/>
      <c r="AW69" s="315" t="s">
        <v>2634</v>
      </c>
      <c r="AX69" s="315" t="s">
        <v>1641</v>
      </c>
      <c r="AY69" s="315">
        <v>4.2</v>
      </c>
      <c r="AZ69" s="315"/>
      <c r="BA69" s="315"/>
      <c r="BB69" s="306"/>
      <c r="BC69" s="307"/>
      <c r="BD69" s="307"/>
      <c r="BE69" s="298"/>
      <c r="BI69" s="307"/>
      <c r="BJ69" s="307"/>
      <c r="BK69" s="307"/>
      <c r="BL69" s="307"/>
      <c r="BM69" s="307"/>
    </row>
    <row r="70" spans="1:65" ht="14.25">
      <c r="A70" s="340"/>
      <c r="B70" s="340"/>
      <c r="C70" s="288"/>
      <c r="D70" s="1121"/>
      <c r="E70" s="1121"/>
      <c r="F70" s="289"/>
      <c r="G70" s="292">
        <v>54</v>
      </c>
      <c r="H70" s="291"/>
      <c r="I70" s="294">
        <f>SUM(G56:G70)</f>
        <v>426</v>
      </c>
      <c r="J70" s="288"/>
      <c r="K70" s="1121"/>
      <c r="L70" s="1121"/>
      <c r="M70" s="1121"/>
      <c r="N70" s="1121"/>
      <c r="O70" s="1121"/>
      <c r="P70" s="1121"/>
      <c r="Q70" s="1121"/>
      <c r="R70" s="292"/>
      <c r="S70" s="292">
        <f t="shared" si="18"/>
        <v>54.130000000001019</v>
      </c>
      <c r="T70" s="1121"/>
      <c r="U70" s="1121"/>
      <c r="V70" s="1121"/>
      <c r="W70" s="1121"/>
      <c r="X70" s="1121"/>
      <c r="Y70" s="1121"/>
      <c r="Z70" s="1121"/>
      <c r="AA70" s="1121"/>
      <c r="AB70" s="1121"/>
      <c r="AC70" s="1121"/>
      <c r="AD70" s="1121"/>
      <c r="AE70" s="1121"/>
      <c r="AF70" s="1121"/>
      <c r="AG70" s="288"/>
      <c r="AH70" s="1121"/>
      <c r="AI70" s="289"/>
      <c r="AJ70" s="1121"/>
      <c r="AK70" s="1121"/>
      <c r="AL70" s="1121"/>
      <c r="AM70" s="1121"/>
      <c r="AN70" s="315"/>
      <c r="AO70" s="315"/>
      <c r="AP70" s="315"/>
      <c r="AQ70" s="315">
        <f>+FL_1($T$71,$T$69,$G$70,1200,9.28,-1*$F$71)</f>
        <v>0.37683692550108283</v>
      </c>
      <c r="AR70" s="315"/>
      <c r="AS70" s="315"/>
      <c r="AT70" s="315"/>
      <c r="AU70" s="315"/>
      <c r="AV70" s="315"/>
      <c r="AW70" s="315"/>
      <c r="AX70" s="315"/>
      <c r="AY70" s="315"/>
      <c r="AZ70" s="315"/>
      <c r="BA70" s="315"/>
      <c r="BB70" s="306"/>
      <c r="BC70" s="307"/>
      <c r="BD70" s="307"/>
      <c r="BE70" s="298"/>
      <c r="BI70" s="307"/>
      <c r="BJ70" s="307"/>
      <c r="BK70" s="307"/>
      <c r="BL70" s="307"/>
      <c r="BM70" s="307"/>
    </row>
    <row r="71" spans="1:65" ht="14.25">
      <c r="A71" s="340"/>
      <c r="B71" s="340" t="s">
        <v>2069</v>
      </c>
      <c r="C71" s="288">
        <f>+$C$69+$G$70</f>
        <v>12119</v>
      </c>
      <c r="D71" s="1121"/>
      <c r="E71" s="1121"/>
      <c r="F71" s="289">
        <f t="shared" ref="F71" si="21">150*-1600/(C71-11984)</f>
        <v>-1777.7777777777778</v>
      </c>
      <c r="G71" s="292"/>
      <c r="H71" s="291" t="s">
        <v>955</v>
      </c>
      <c r="I71" s="291"/>
      <c r="J71" s="288"/>
      <c r="K71" s="1121"/>
      <c r="L71" s="1121" t="s">
        <v>231</v>
      </c>
      <c r="M71" s="1121" t="s">
        <v>2756</v>
      </c>
      <c r="N71" s="1121" t="s">
        <v>145</v>
      </c>
      <c r="O71" s="1121"/>
      <c r="P71" s="1121"/>
      <c r="Q71" s="1121">
        <v>84</v>
      </c>
      <c r="R71" s="292">
        <v>-1681.54</v>
      </c>
      <c r="S71" s="292"/>
      <c r="T71" s="1121">
        <v>30</v>
      </c>
      <c r="U71" s="1121"/>
      <c r="V71" s="1121"/>
      <c r="W71" s="1121">
        <v>1.4</v>
      </c>
      <c r="X71" s="1121"/>
      <c r="Y71" s="1121"/>
      <c r="Z71" s="1121"/>
      <c r="AA71" s="1121"/>
      <c r="AB71" s="1121"/>
      <c r="AC71" s="1121" t="s">
        <v>2963</v>
      </c>
      <c r="AD71" s="1121"/>
      <c r="AE71" s="1121"/>
      <c r="AF71" s="1121">
        <v>6000</v>
      </c>
      <c r="AG71" s="288">
        <v>12118.84</v>
      </c>
      <c r="AH71" s="1121">
        <v>2486</v>
      </c>
      <c r="AI71" s="289">
        <v>698</v>
      </c>
      <c r="AJ71" s="1121"/>
      <c r="AK71" s="1121"/>
      <c r="AL71" s="1121"/>
      <c r="AM71" s="1121" t="s">
        <v>1228</v>
      </c>
      <c r="AN71" s="315">
        <v>5.5</v>
      </c>
      <c r="AO71" s="315"/>
      <c r="AP71" s="315"/>
      <c r="AQ71" s="315"/>
      <c r="AR71" s="315"/>
      <c r="AS71" s="315"/>
      <c r="AT71" s="315">
        <f>+ab($T$71,$T$69,$T$73,$G$70,$G$72,-1*$F$71,1200)</f>
        <v>6.2347694579535222</v>
      </c>
      <c r="AU71" s="315"/>
      <c r="AV71" s="315"/>
      <c r="AW71" s="315" t="s">
        <v>2634</v>
      </c>
      <c r="AX71" s="315" t="s">
        <v>1641</v>
      </c>
      <c r="AY71" s="315">
        <v>4.2</v>
      </c>
      <c r="AZ71" s="315"/>
      <c r="BA71" s="315"/>
      <c r="BB71" s="306"/>
      <c r="BC71" s="307"/>
      <c r="BD71" s="307"/>
      <c r="BE71" s="298"/>
      <c r="BI71" s="307"/>
      <c r="BJ71" s="307"/>
      <c r="BK71" s="307"/>
      <c r="BL71" s="307"/>
      <c r="BM71" s="307"/>
    </row>
    <row r="72" spans="1:65" ht="14.25">
      <c r="A72" s="340"/>
      <c r="B72" s="340"/>
      <c r="C72" s="288"/>
      <c r="D72" s="1121"/>
      <c r="E72" s="1121"/>
      <c r="F72" s="289"/>
      <c r="G72" s="292">
        <v>55</v>
      </c>
      <c r="H72" s="291"/>
      <c r="I72" s="294">
        <f>SUM(G72:G90)</f>
        <v>551</v>
      </c>
      <c r="J72" s="288"/>
      <c r="K72" s="1121"/>
      <c r="L72" s="1121"/>
      <c r="M72" s="1121"/>
      <c r="N72" s="1121"/>
      <c r="O72" s="1121"/>
      <c r="P72" s="1121"/>
      <c r="Q72" s="1121"/>
      <c r="R72" s="292"/>
      <c r="S72" s="292">
        <f t="shared" si="18"/>
        <v>55.069999999999709</v>
      </c>
      <c r="T72" s="1121"/>
      <c r="U72" s="1121"/>
      <c r="V72" s="1121"/>
      <c r="W72" s="1121"/>
      <c r="X72" s="1121"/>
      <c r="Y72" s="1121"/>
      <c r="Z72" s="1121"/>
      <c r="AA72" s="1121"/>
      <c r="AB72" s="1121"/>
      <c r="AC72" s="1121"/>
      <c r="AD72" s="1121"/>
      <c r="AE72" s="1121"/>
      <c r="AF72" s="1121"/>
      <c r="AG72" s="288"/>
      <c r="AH72" s="1121"/>
      <c r="AI72" s="289"/>
      <c r="AJ72" s="1121"/>
      <c r="AK72" s="1121"/>
      <c r="AL72" s="1121"/>
      <c r="AM72" s="1121"/>
      <c r="AN72" s="315"/>
      <c r="AO72" s="315"/>
      <c r="AP72" s="315"/>
      <c r="AQ72" s="315">
        <f>+FL_1($T$73,$T$71,$G$72,1200,9.28,-1*$F$73)</f>
        <v>0.35607108565618417</v>
      </c>
      <c r="AR72" s="315"/>
      <c r="AS72" s="315"/>
      <c r="AT72" s="315"/>
      <c r="AU72" s="315"/>
      <c r="AV72" s="315"/>
      <c r="AW72" s="315"/>
      <c r="AX72" s="315"/>
      <c r="AY72" s="315"/>
      <c r="AZ72" s="315"/>
      <c r="BA72" s="315"/>
      <c r="BB72" s="306"/>
      <c r="BC72" s="307"/>
      <c r="BD72" s="307"/>
      <c r="BE72" s="298"/>
    </row>
    <row r="73" spans="1:65" ht="14.25">
      <c r="A73" s="340"/>
      <c r="B73" s="340" t="s">
        <v>2070</v>
      </c>
      <c r="C73" s="288">
        <f>+$C$71+$G$72</f>
        <v>12174</v>
      </c>
      <c r="D73" s="1121"/>
      <c r="E73" s="1121"/>
      <c r="F73" s="289">
        <v>-1600</v>
      </c>
      <c r="G73" s="292"/>
      <c r="H73" s="1121" t="s">
        <v>954</v>
      </c>
      <c r="I73" s="289"/>
      <c r="J73" s="288"/>
      <c r="K73" s="1121"/>
      <c r="L73" s="1121" t="s">
        <v>231</v>
      </c>
      <c r="M73" s="1121" t="s">
        <v>2756</v>
      </c>
      <c r="N73" s="1121" t="s">
        <v>145</v>
      </c>
      <c r="O73" s="1121"/>
      <c r="P73" s="1121"/>
      <c r="Q73" s="1121">
        <v>104</v>
      </c>
      <c r="R73" s="292">
        <v>-1600</v>
      </c>
      <c r="S73" s="292"/>
      <c r="T73" s="1121">
        <v>30</v>
      </c>
      <c r="U73" s="1121"/>
      <c r="V73" s="1121"/>
      <c r="W73" s="1121">
        <v>1.4</v>
      </c>
      <c r="X73" s="1121"/>
      <c r="Y73" s="1121"/>
      <c r="Z73" s="1121"/>
      <c r="AA73" s="1121"/>
      <c r="AB73" s="1121"/>
      <c r="AC73" s="1121" t="s">
        <v>2963</v>
      </c>
      <c r="AD73" s="1121"/>
      <c r="AE73" s="1121"/>
      <c r="AF73" s="1121">
        <v>6000</v>
      </c>
      <c r="AG73" s="288">
        <v>12173.91</v>
      </c>
      <c r="AH73" s="1121">
        <v>2660</v>
      </c>
      <c r="AI73" s="289">
        <v>715</v>
      </c>
      <c r="AJ73" s="1121"/>
      <c r="AK73" s="1121"/>
      <c r="AL73" s="1121"/>
      <c r="AM73" s="1121" t="s">
        <v>1228</v>
      </c>
      <c r="AN73" s="315">
        <v>5.5</v>
      </c>
      <c r="AO73" s="315"/>
      <c r="AP73" s="315"/>
      <c r="AQ73" s="315"/>
      <c r="AR73" s="315"/>
      <c r="AS73" s="315"/>
      <c r="AT73" s="315">
        <f>+ab($T$73,$T$71,$T$75,$G$72,$G$74,-1*$F$73,1200)</f>
        <v>5.8279742658117053</v>
      </c>
      <c r="AU73" s="315"/>
      <c r="AV73" s="315"/>
      <c r="AW73" s="315" t="s">
        <v>2634</v>
      </c>
      <c r="AX73" s="315" t="s">
        <v>1641</v>
      </c>
      <c r="AY73" s="315">
        <v>4.2</v>
      </c>
      <c r="AZ73" s="315"/>
      <c r="BA73" s="315"/>
      <c r="BB73" s="306"/>
      <c r="BC73" s="307"/>
      <c r="BD73" s="307"/>
      <c r="BE73" s="298"/>
    </row>
    <row r="74" spans="1:65" ht="14.25">
      <c r="A74" s="340"/>
      <c r="B74" s="340"/>
      <c r="C74" s="288"/>
      <c r="D74" s="1121"/>
      <c r="E74" s="1121"/>
      <c r="F74" s="289"/>
      <c r="G74" s="292">
        <v>50</v>
      </c>
      <c r="H74" s="291"/>
      <c r="I74" s="291"/>
      <c r="J74" s="288">
        <f>C73+7.5</f>
        <v>12181.5</v>
      </c>
      <c r="K74" s="1121" t="s">
        <v>3018</v>
      </c>
      <c r="L74" s="1121"/>
      <c r="M74" s="1121"/>
      <c r="N74" s="1121"/>
      <c r="O74" s="1121"/>
      <c r="P74" s="1121"/>
      <c r="Q74" s="1121"/>
      <c r="R74" s="292"/>
      <c r="S74" s="292">
        <f t="shared" si="18"/>
        <v>50.069999999999709</v>
      </c>
      <c r="T74" s="1121"/>
      <c r="U74" s="1121"/>
      <c r="V74" s="1121"/>
      <c r="W74" s="1121"/>
      <c r="X74" s="1121"/>
      <c r="Y74" s="1121"/>
      <c r="Z74" s="1121"/>
      <c r="AA74" s="1121"/>
      <c r="AB74" s="1121"/>
      <c r="AC74" s="1121"/>
      <c r="AD74" s="1121"/>
      <c r="AE74" s="1121"/>
      <c r="AF74" s="1121"/>
      <c r="AG74" s="288"/>
      <c r="AH74" s="1121"/>
      <c r="AI74" s="289"/>
      <c r="AJ74" s="1121"/>
      <c r="AK74" s="1121"/>
      <c r="AL74" s="1121"/>
      <c r="AM74" s="1121"/>
      <c r="AN74" s="315"/>
      <c r="AO74" s="315"/>
      <c r="AP74" s="315"/>
      <c r="AQ74" s="315">
        <f>+FL_1($T$75,$T$73,$G$74,1200,9.28,-1*$F$75)</f>
        <v>0.36196988302314514</v>
      </c>
      <c r="AR74" s="315"/>
      <c r="AS74" s="315"/>
      <c r="AT74" s="315"/>
      <c r="AU74" s="315"/>
      <c r="AV74" s="315"/>
      <c r="AW74" s="315" t="s">
        <v>2634</v>
      </c>
      <c r="AX74" s="315" t="s">
        <v>1641</v>
      </c>
      <c r="AY74" s="315"/>
      <c r="AZ74" s="315">
        <v>3.5</v>
      </c>
      <c r="BA74" s="315"/>
      <c r="BB74" s="306"/>
      <c r="BC74" s="307"/>
      <c r="BD74" s="307"/>
      <c r="BE74" s="298"/>
    </row>
    <row r="75" spans="1:65" ht="14.25">
      <c r="A75" s="340"/>
      <c r="B75" s="340" t="s">
        <v>2071</v>
      </c>
      <c r="C75" s="288">
        <f>+$C$73+$G$74</f>
        <v>12224</v>
      </c>
      <c r="D75" s="1121"/>
      <c r="E75" s="1121"/>
      <c r="F75" s="289">
        <f>150*-1600/-(C75-12362)</f>
        <v>-1739.1304347826087</v>
      </c>
      <c r="G75" s="292"/>
      <c r="H75" s="1121"/>
      <c r="I75" s="289"/>
      <c r="J75" s="288"/>
      <c r="K75" s="1121"/>
      <c r="L75" s="1121" t="s">
        <v>231</v>
      </c>
      <c r="M75" s="1121" t="s">
        <v>2756</v>
      </c>
      <c r="N75" s="1121" t="s">
        <v>145</v>
      </c>
      <c r="O75" s="1121"/>
      <c r="P75" s="1121"/>
      <c r="Q75" s="1121">
        <v>100</v>
      </c>
      <c r="R75" s="292">
        <v>-1600</v>
      </c>
      <c r="S75" s="292"/>
      <c r="T75" s="1121">
        <v>30</v>
      </c>
      <c r="U75" s="1121"/>
      <c r="V75" s="1121"/>
      <c r="W75" s="1121">
        <v>1.4</v>
      </c>
      <c r="X75" s="1121"/>
      <c r="Y75" s="1121"/>
      <c r="Z75" s="1121"/>
      <c r="AA75" s="1121"/>
      <c r="AB75" s="1121"/>
      <c r="AC75" s="1121" t="s">
        <v>2963</v>
      </c>
      <c r="AD75" s="1121"/>
      <c r="AE75" s="1121"/>
      <c r="AF75" s="1121">
        <v>6000</v>
      </c>
      <c r="AG75" s="288">
        <v>12223.98</v>
      </c>
      <c r="AH75" s="1121">
        <v>2507</v>
      </c>
      <c r="AI75" s="289">
        <v>655</v>
      </c>
      <c r="AJ75" s="1121"/>
      <c r="AK75" s="1121"/>
      <c r="AL75" s="1121"/>
      <c r="AM75" s="1121" t="s">
        <v>1228</v>
      </c>
      <c r="AN75" s="315">
        <v>5.5</v>
      </c>
      <c r="AO75" s="315"/>
      <c r="AP75" s="315"/>
      <c r="AQ75" s="315"/>
      <c r="AR75" s="315"/>
      <c r="AS75" s="315"/>
      <c r="AT75" s="315">
        <f>+ab($T$75,$T$73,$T$77,$G$74,$G$76,-1*$F$75,1200)</f>
        <v>6.271556117605777</v>
      </c>
      <c r="AU75" s="315"/>
      <c r="AV75" s="315"/>
      <c r="AW75" s="315" t="s">
        <v>2634</v>
      </c>
      <c r="AX75" s="315" t="s">
        <v>1641</v>
      </c>
      <c r="AY75" s="315">
        <v>4.2</v>
      </c>
      <c r="AZ75" s="315"/>
      <c r="BA75" s="315"/>
      <c r="BB75" s="306"/>
      <c r="BC75" s="307"/>
      <c r="BD75" s="307"/>
      <c r="BE75" s="298"/>
    </row>
    <row r="76" spans="1:65" ht="14.25">
      <c r="A76" s="341" t="s">
        <v>2605</v>
      </c>
      <c r="B76" s="341"/>
      <c r="C76" s="342"/>
      <c r="D76" s="343"/>
      <c r="E76" s="343"/>
      <c r="F76" s="344"/>
      <c r="G76" s="345">
        <v>56</v>
      </c>
      <c r="H76" s="360"/>
      <c r="I76" s="360"/>
      <c r="J76" s="342"/>
      <c r="K76" s="343"/>
      <c r="L76" s="343"/>
      <c r="M76" s="343"/>
      <c r="N76" s="343"/>
      <c r="O76" s="343"/>
      <c r="P76" s="343"/>
      <c r="Q76" s="343"/>
      <c r="R76" s="345"/>
      <c r="S76" s="345">
        <f t="shared" ref="S76:S82" si="22">+AG77-AG75</f>
        <v>56.020000000000437</v>
      </c>
      <c r="T76" s="343"/>
      <c r="U76" s="343"/>
      <c r="V76" s="343"/>
      <c r="W76" s="343"/>
      <c r="X76" s="343"/>
      <c r="Y76" s="343"/>
      <c r="Z76" s="343"/>
      <c r="AA76" s="343"/>
      <c r="AB76" s="343"/>
      <c r="AC76" s="343"/>
      <c r="AD76" s="343"/>
      <c r="AE76" s="343"/>
      <c r="AF76" s="343"/>
      <c r="AG76" s="342"/>
      <c r="AH76" s="343" t="s">
        <v>695</v>
      </c>
      <c r="AI76" s="344"/>
      <c r="AJ76" s="343"/>
      <c r="AK76" s="343"/>
      <c r="AL76" s="343"/>
      <c r="AM76" s="343"/>
      <c r="AN76" s="347"/>
      <c r="AO76" s="347"/>
      <c r="AP76" s="347"/>
      <c r="AQ76" s="347">
        <f>+FL_1($T$77,$T$75,$G$76,1200,9.28,-1*$F$77)</f>
        <v>0.4692102687611942</v>
      </c>
      <c r="AR76" s="347"/>
      <c r="AS76" s="347"/>
      <c r="AT76" s="347"/>
      <c r="AU76" s="347"/>
      <c r="AV76" s="347"/>
      <c r="AW76" s="347"/>
      <c r="AX76" s="347"/>
      <c r="AY76" s="347" t="s">
        <v>695</v>
      </c>
      <c r="AZ76" s="347"/>
      <c r="BA76" s="347"/>
      <c r="BB76" s="306"/>
      <c r="BC76" s="307"/>
      <c r="BD76" s="307"/>
      <c r="BE76" s="298"/>
    </row>
    <row r="77" spans="1:65" ht="14.25">
      <c r="A77" s="341"/>
      <c r="B77" s="341" t="s">
        <v>2072</v>
      </c>
      <c r="C77" s="342">
        <f>+$C$75+$G$76</f>
        <v>12280</v>
      </c>
      <c r="D77" s="343"/>
      <c r="E77" s="343"/>
      <c r="F77" s="344">
        <f t="shared" ref="F77" si="23">150*-1600/-(C77-12362)</f>
        <v>-2926.8292682926831</v>
      </c>
      <c r="G77" s="345"/>
      <c r="H77" s="343"/>
      <c r="I77" s="346"/>
      <c r="J77" s="342"/>
      <c r="K77" s="343"/>
      <c r="L77" s="343" t="s">
        <v>2684</v>
      </c>
      <c r="M77" s="343" t="s">
        <v>2793</v>
      </c>
      <c r="N77" s="343" t="s">
        <v>145</v>
      </c>
      <c r="O77" s="343"/>
      <c r="P77" s="343"/>
      <c r="Q77" s="343">
        <v>60</v>
      </c>
      <c r="R77" s="345">
        <v>-2927</v>
      </c>
      <c r="S77" s="345"/>
      <c r="T77" s="343">
        <v>30</v>
      </c>
      <c r="U77" s="343"/>
      <c r="V77" s="343"/>
      <c r="W77" s="343">
        <v>1.4</v>
      </c>
      <c r="X77" s="343"/>
      <c r="Y77" s="343"/>
      <c r="Z77" s="343"/>
      <c r="AA77" s="343"/>
      <c r="AB77" s="343"/>
      <c r="AC77" s="343" t="s">
        <v>2963</v>
      </c>
      <c r="AD77" s="343"/>
      <c r="AE77" s="343"/>
      <c r="AF77" s="343">
        <v>6000</v>
      </c>
      <c r="AG77" s="342">
        <v>12280</v>
      </c>
      <c r="AH77" s="343">
        <v>2812</v>
      </c>
      <c r="AI77" s="344">
        <v>850</v>
      </c>
      <c r="AJ77" s="343"/>
      <c r="AK77" s="343"/>
      <c r="AL77" s="343"/>
      <c r="AM77" s="343" t="s">
        <v>1228</v>
      </c>
      <c r="AN77" s="347">
        <v>5.5</v>
      </c>
      <c r="AO77" s="347"/>
      <c r="AP77" s="347"/>
      <c r="AQ77" s="347"/>
      <c r="AR77" s="347"/>
      <c r="AS77" s="347"/>
      <c r="AT77" s="347">
        <f>+ab($T$77,$T$75,$T$79,$G$76,$G$78,-1*$F$77,1200)</f>
        <v>6.3972021867060302</v>
      </c>
      <c r="AU77" s="347"/>
      <c r="AV77" s="347"/>
      <c r="AW77" s="347" t="s">
        <v>699</v>
      </c>
      <c r="AX77" s="347" t="s">
        <v>699</v>
      </c>
      <c r="AY77" s="347" t="s">
        <v>699</v>
      </c>
      <c r="AZ77" s="347" t="s">
        <v>699</v>
      </c>
      <c r="BA77" s="347"/>
      <c r="BB77" s="306"/>
      <c r="BC77" s="307"/>
      <c r="BD77" s="307"/>
      <c r="BE77" s="298"/>
    </row>
    <row r="78" spans="1:65" ht="14.25">
      <c r="A78" s="341"/>
      <c r="B78" s="341"/>
      <c r="C78" s="342"/>
      <c r="D78" s="343"/>
      <c r="E78" s="343"/>
      <c r="F78" s="344"/>
      <c r="G78" s="345">
        <v>55</v>
      </c>
      <c r="H78" s="343"/>
      <c r="I78" s="346"/>
      <c r="J78" s="342"/>
      <c r="K78" s="343"/>
      <c r="L78" s="343"/>
      <c r="M78" s="343"/>
      <c r="N78" s="343"/>
      <c r="O78" s="343"/>
      <c r="P78" s="343"/>
      <c r="Q78" s="343"/>
      <c r="R78" s="345"/>
      <c r="S78" s="345">
        <f t="shared" si="22"/>
        <v>55</v>
      </c>
      <c r="T78" s="343"/>
      <c r="U78" s="343"/>
      <c r="V78" s="343"/>
      <c r="W78" s="343"/>
      <c r="X78" s="343"/>
      <c r="Y78" s="343"/>
      <c r="Z78" s="343"/>
      <c r="AA78" s="343"/>
      <c r="AB78" s="343"/>
      <c r="AC78" s="343"/>
      <c r="AD78" s="343"/>
      <c r="AE78" s="343"/>
      <c r="AF78" s="343"/>
      <c r="AG78" s="342"/>
      <c r="AH78" s="343" t="s">
        <v>695</v>
      </c>
      <c r="AI78" s="344"/>
      <c r="AJ78" s="343"/>
      <c r="AK78" s="343"/>
      <c r="AL78" s="343"/>
      <c r="AM78" s="343"/>
      <c r="AN78" s="347"/>
      <c r="AO78" s="347"/>
      <c r="AP78" s="347"/>
      <c r="AQ78" s="347">
        <f>+FL_2($T$79,$T$77,$G$78,1200,9.28,-1*$F$79)</f>
        <v>-0.40212883953043665</v>
      </c>
      <c r="AR78" s="347"/>
      <c r="AS78" s="347"/>
      <c r="AT78" s="347"/>
      <c r="AU78" s="347"/>
      <c r="AV78" s="347"/>
      <c r="AW78" s="347"/>
      <c r="AX78" s="347"/>
      <c r="AY78" s="347"/>
      <c r="AZ78" s="347"/>
      <c r="BA78" s="347"/>
      <c r="BB78" s="306"/>
      <c r="BC78" s="307"/>
      <c r="BD78" s="307"/>
      <c r="BE78" s="298"/>
    </row>
    <row r="79" spans="1:65" ht="14.25">
      <c r="A79" s="341"/>
      <c r="B79" s="341" t="s">
        <v>2073</v>
      </c>
      <c r="C79" s="342">
        <f>+$C$77+$G$78</f>
        <v>12335</v>
      </c>
      <c r="D79" s="343"/>
      <c r="E79" s="343"/>
      <c r="F79" s="344">
        <f t="shared" ref="F79" si="24">150*-1600/-(C79-12362)</f>
        <v>-8888.8888888888887</v>
      </c>
      <c r="G79" s="345"/>
      <c r="H79" s="343"/>
      <c r="I79" s="346"/>
      <c r="J79" s="342"/>
      <c r="K79" s="343"/>
      <c r="L79" s="343" t="s">
        <v>2684</v>
      </c>
      <c r="M79" s="343" t="s">
        <v>2793</v>
      </c>
      <c r="N79" s="343" t="s">
        <v>144</v>
      </c>
      <c r="O79" s="343"/>
      <c r="P79" s="343"/>
      <c r="Q79" s="343">
        <v>20</v>
      </c>
      <c r="R79" s="345">
        <v>-8889</v>
      </c>
      <c r="S79" s="345"/>
      <c r="T79" s="343">
        <v>-30</v>
      </c>
      <c r="U79" s="343"/>
      <c r="V79" s="343"/>
      <c r="W79" s="343">
        <v>1.4</v>
      </c>
      <c r="X79" s="343"/>
      <c r="Y79" s="343"/>
      <c r="Z79" s="343"/>
      <c r="AA79" s="343"/>
      <c r="AB79" s="343"/>
      <c r="AC79" s="343" t="s">
        <v>1700</v>
      </c>
      <c r="AD79" s="343"/>
      <c r="AE79" s="343"/>
      <c r="AF79" s="343">
        <v>6000</v>
      </c>
      <c r="AG79" s="342">
        <v>12335</v>
      </c>
      <c r="AH79" s="343">
        <v>2837</v>
      </c>
      <c r="AI79" s="344">
        <v>870</v>
      </c>
      <c r="AJ79" s="343"/>
      <c r="AK79" s="343"/>
      <c r="AL79" s="343"/>
      <c r="AM79" s="343" t="s">
        <v>1228</v>
      </c>
      <c r="AN79" s="347">
        <v>5.5</v>
      </c>
      <c r="AO79" s="347"/>
      <c r="AP79" s="347"/>
      <c r="AQ79" s="347"/>
      <c r="AR79" s="347"/>
      <c r="AS79" s="347"/>
      <c r="AT79" s="347">
        <f>+ab($T$79,$T$77,$T$81,$G$78,$G$80,-1*$F$79,1200)</f>
        <v>-11.447112570753903</v>
      </c>
      <c r="AU79" s="347"/>
      <c r="AV79" s="347"/>
      <c r="AW79" s="347" t="s">
        <v>699</v>
      </c>
      <c r="AX79" s="347" t="s">
        <v>699</v>
      </c>
      <c r="AY79" s="347" t="s">
        <v>699</v>
      </c>
      <c r="AZ79" s="347" t="s">
        <v>699</v>
      </c>
      <c r="BA79" s="347"/>
      <c r="BB79" s="306"/>
      <c r="BC79" s="307"/>
      <c r="BD79" s="307"/>
      <c r="BE79" s="298"/>
    </row>
    <row r="80" spans="1:65" ht="14.25">
      <c r="A80" s="341"/>
      <c r="B80" s="341"/>
      <c r="C80" s="342"/>
      <c r="D80" s="343"/>
      <c r="E80" s="343"/>
      <c r="F80" s="344"/>
      <c r="G80" s="345">
        <v>55</v>
      </c>
      <c r="H80" s="343"/>
      <c r="I80" s="346"/>
      <c r="J80" s="342"/>
      <c r="K80" s="343"/>
      <c r="L80" s="343"/>
      <c r="M80" s="343"/>
      <c r="N80" s="343"/>
      <c r="O80" s="343"/>
      <c r="P80" s="343"/>
      <c r="Q80" s="343"/>
      <c r="R80" s="345"/>
      <c r="S80" s="345">
        <f t="shared" si="22"/>
        <v>55</v>
      </c>
      <c r="T80" s="343"/>
      <c r="U80" s="343"/>
      <c r="V80" s="343"/>
      <c r="W80" s="343"/>
      <c r="X80" s="343"/>
      <c r="Y80" s="343"/>
      <c r="Z80" s="343"/>
      <c r="AA80" s="343"/>
      <c r="AB80" s="343"/>
      <c r="AC80" s="343"/>
      <c r="AD80" s="343"/>
      <c r="AE80" s="343"/>
      <c r="AF80" s="343"/>
      <c r="AG80" s="342"/>
      <c r="AH80" s="343" t="s">
        <v>695</v>
      </c>
      <c r="AI80" s="344"/>
      <c r="AJ80" s="343"/>
      <c r="AK80" s="343"/>
      <c r="AL80" s="343"/>
      <c r="AM80" s="343"/>
      <c r="AN80" s="347"/>
      <c r="AO80" s="347"/>
      <c r="AP80" s="347"/>
      <c r="AQ80" s="347">
        <f>+FL_1($T$81,$T$79,$G$80,1200,9.28,-1*$F$81)</f>
        <v>0.40772017018181811</v>
      </c>
      <c r="AR80" s="347"/>
      <c r="AS80" s="347"/>
      <c r="AT80" s="347"/>
      <c r="AU80" s="347"/>
      <c r="AV80" s="347"/>
      <c r="AW80" s="347"/>
      <c r="AX80" s="347"/>
      <c r="AY80" s="347"/>
      <c r="AZ80" s="347"/>
      <c r="BA80" s="347"/>
      <c r="BB80" s="306"/>
      <c r="BE80" s="298"/>
    </row>
    <row r="81" spans="1:59" ht="14.25">
      <c r="A81" s="341"/>
      <c r="B81" s="341" t="s">
        <v>2074</v>
      </c>
      <c r="C81" s="342">
        <f>+$C$79+$G$80</f>
        <v>12390</v>
      </c>
      <c r="D81" s="343"/>
      <c r="E81" s="343"/>
      <c r="F81" s="344">
        <v>0</v>
      </c>
      <c r="G81" s="345"/>
      <c r="H81" s="343"/>
      <c r="I81" s="346"/>
      <c r="J81" s="342"/>
      <c r="K81" s="343"/>
      <c r="L81" s="343" t="s">
        <v>2684</v>
      </c>
      <c r="M81" s="343" t="s">
        <v>2793</v>
      </c>
      <c r="N81" s="343" t="s">
        <v>145</v>
      </c>
      <c r="O81" s="343"/>
      <c r="P81" s="343"/>
      <c r="Q81" s="343">
        <v>0</v>
      </c>
      <c r="R81" s="344">
        <v>0</v>
      </c>
      <c r="S81" s="345"/>
      <c r="T81" s="343">
        <v>35</v>
      </c>
      <c r="U81" s="343"/>
      <c r="V81" s="343"/>
      <c r="W81" s="343">
        <v>1.4</v>
      </c>
      <c r="X81" s="343"/>
      <c r="Y81" s="343"/>
      <c r="Z81" s="343"/>
      <c r="AA81" s="343"/>
      <c r="AB81" s="343"/>
      <c r="AC81" s="343" t="s">
        <v>2963</v>
      </c>
      <c r="AD81" s="343"/>
      <c r="AE81" s="343"/>
      <c r="AF81" s="343">
        <v>6000</v>
      </c>
      <c r="AG81" s="342">
        <v>12390</v>
      </c>
      <c r="AH81" s="343">
        <v>2832</v>
      </c>
      <c r="AI81" s="344">
        <v>900</v>
      </c>
      <c r="AJ81" s="343"/>
      <c r="AK81" s="343"/>
      <c r="AL81" s="343"/>
      <c r="AM81" s="343" t="s">
        <v>1228</v>
      </c>
      <c r="AN81" s="347">
        <v>5.5</v>
      </c>
      <c r="AO81" s="347"/>
      <c r="AP81" s="347"/>
      <c r="AQ81" s="347"/>
      <c r="AR81" s="347"/>
      <c r="AS81" s="347"/>
      <c r="AT81" s="347">
        <f>+ab($T$81,$T$79,$T$83,$G$80,$G$82,-1*$F$81,1200)</f>
        <v>7.7698496484123583</v>
      </c>
      <c r="AU81" s="347"/>
      <c r="AV81" s="347"/>
      <c r="AW81" s="347" t="s">
        <v>699</v>
      </c>
      <c r="AX81" s="347" t="s">
        <v>699</v>
      </c>
      <c r="AY81" s="347" t="s">
        <v>699</v>
      </c>
      <c r="AZ81" s="347" t="s">
        <v>699</v>
      </c>
      <c r="BA81" s="347"/>
      <c r="BB81" s="306"/>
      <c r="BE81" s="298"/>
    </row>
    <row r="82" spans="1:59" ht="14.25">
      <c r="A82" s="341" t="s">
        <v>2605</v>
      </c>
      <c r="B82" s="341"/>
      <c r="C82" s="342"/>
      <c r="D82" s="343"/>
      <c r="E82" s="343"/>
      <c r="F82" s="344"/>
      <c r="G82" s="345">
        <v>55</v>
      </c>
      <c r="H82" s="343"/>
      <c r="I82" s="346"/>
      <c r="J82" s="342"/>
      <c r="K82" s="343"/>
      <c r="L82" s="343"/>
      <c r="M82" s="343"/>
      <c r="N82" s="343"/>
      <c r="O82" s="343"/>
      <c r="P82" s="343"/>
      <c r="Q82" s="343"/>
      <c r="R82" s="345"/>
      <c r="S82" s="345">
        <f t="shared" si="22"/>
        <v>54.840000000000146</v>
      </c>
      <c r="T82" s="343"/>
      <c r="U82" s="343"/>
      <c r="V82" s="343"/>
      <c r="W82" s="343"/>
      <c r="X82" s="343"/>
      <c r="Y82" s="343"/>
      <c r="Z82" s="343"/>
      <c r="AA82" s="343"/>
      <c r="AB82" s="343"/>
      <c r="AC82" s="343"/>
      <c r="AD82" s="343"/>
      <c r="AE82" s="343"/>
      <c r="AF82" s="343"/>
      <c r="AG82" s="342"/>
      <c r="AH82" s="343" t="s">
        <v>695</v>
      </c>
      <c r="AI82" s="344"/>
      <c r="AJ82" s="343"/>
      <c r="AK82" s="343"/>
      <c r="AL82" s="343"/>
      <c r="AM82" s="343"/>
      <c r="AN82" s="347"/>
      <c r="AO82" s="347"/>
      <c r="AP82" s="347"/>
      <c r="AQ82" s="347">
        <f>+FL_2($T$83,$T$81,$G$82,1200,9.28,-1*$F$83)</f>
        <v>-0.39714735709090909</v>
      </c>
      <c r="AR82" s="347"/>
      <c r="AS82" s="347"/>
      <c r="AT82" s="347"/>
      <c r="AU82" s="347"/>
      <c r="AV82" s="347"/>
      <c r="AW82" s="347"/>
      <c r="AX82" s="347"/>
      <c r="AY82" s="347" t="s">
        <v>695</v>
      </c>
      <c r="AZ82" s="347"/>
      <c r="BA82" s="347"/>
      <c r="BB82" s="306"/>
      <c r="BE82" s="298"/>
    </row>
    <row r="83" spans="1:59" ht="14.25">
      <c r="A83" s="340"/>
      <c r="B83" s="340" t="s">
        <v>2075</v>
      </c>
      <c r="C83" s="288">
        <f>+$C$81+$G$82</f>
        <v>12445</v>
      </c>
      <c r="D83" s="1121"/>
      <c r="E83" s="1121"/>
      <c r="F83" s="289">
        <v>0</v>
      </c>
      <c r="G83" s="292"/>
      <c r="H83" s="1121"/>
      <c r="I83" s="294"/>
      <c r="J83" s="288"/>
      <c r="K83" s="1121"/>
      <c r="L83" s="1121" t="s">
        <v>230</v>
      </c>
      <c r="M83" s="1121" t="s">
        <v>2757</v>
      </c>
      <c r="N83" s="1121" t="s">
        <v>144</v>
      </c>
      <c r="O83" s="1121"/>
      <c r="P83" s="1121"/>
      <c r="Q83" s="1121">
        <v>0</v>
      </c>
      <c r="R83" s="289">
        <v>0</v>
      </c>
      <c r="S83" s="292"/>
      <c r="T83" s="1121">
        <v>-35</v>
      </c>
      <c r="U83" s="1121"/>
      <c r="V83" s="1121"/>
      <c r="W83" s="1121">
        <v>1.4</v>
      </c>
      <c r="X83" s="1121"/>
      <c r="Y83" s="1121"/>
      <c r="Z83" s="1121"/>
      <c r="AA83" s="1121"/>
      <c r="AB83" s="1121"/>
      <c r="AC83" s="1121" t="s">
        <v>2963</v>
      </c>
      <c r="AD83" s="1121"/>
      <c r="AE83" s="1121"/>
      <c r="AF83" s="1121">
        <v>6000</v>
      </c>
      <c r="AG83" s="288">
        <v>12444.84</v>
      </c>
      <c r="AH83" s="1121">
        <v>3193</v>
      </c>
      <c r="AI83" s="289">
        <v>747</v>
      </c>
      <c r="AJ83" s="1121"/>
      <c r="AK83" s="1121"/>
      <c r="AL83" s="1121"/>
      <c r="AM83" s="1121" t="s">
        <v>1228</v>
      </c>
      <c r="AN83" s="315">
        <v>5.5</v>
      </c>
      <c r="AO83" s="315"/>
      <c r="AP83" s="315"/>
      <c r="AQ83" s="315"/>
      <c r="AR83" s="315"/>
      <c r="AS83" s="315"/>
      <c r="AT83" s="315">
        <f>+ab($T$83,$T$81,$T$85,$G$82,$G$84,-1*$F$83,1200)</f>
        <v>-7.8175501667728815</v>
      </c>
      <c r="AU83" s="315"/>
      <c r="AV83" s="315"/>
      <c r="AW83" s="315" t="s">
        <v>2634</v>
      </c>
      <c r="AX83" s="315" t="s">
        <v>1641</v>
      </c>
      <c r="AY83" s="315">
        <v>4.2</v>
      </c>
      <c r="AZ83" s="315"/>
      <c r="BA83" s="315"/>
      <c r="BB83" s="306"/>
      <c r="BE83" s="298"/>
    </row>
    <row r="84" spans="1:59" ht="14.25">
      <c r="A84" s="340"/>
      <c r="B84" s="340"/>
      <c r="C84" s="288"/>
      <c r="D84" s="1121"/>
      <c r="E84" s="1121"/>
      <c r="F84" s="289"/>
      <c r="G84" s="292">
        <v>60</v>
      </c>
      <c r="H84" s="1121"/>
      <c r="I84" s="294"/>
      <c r="J84" s="288">
        <f>C85-7.5</f>
        <v>12497.5</v>
      </c>
      <c r="K84" s="1121" t="s">
        <v>3017</v>
      </c>
      <c r="L84" s="1121"/>
      <c r="M84" s="1121"/>
      <c r="N84" s="1121"/>
      <c r="O84" s="1121"/>
      <c r="P84" s="1121"/>
      <c r="Q84" s="1121"/>
      <c r="R84" s="292"/>
      <c r="S84" s="292">
        <f t="shared" ref="S84:S102" si="25">+AG85-AG83</f>
        <v>60.059999999999491</v>
      </c>
      <c r="T84" s="1121"/>
      <c r="U84" s="1121"/>
      <c r="V84" s="1121"/>
      <c r="W84" s="1121"/>
      <c r="X84" s="1121"/>
      <c r="Y84" s="1121"/>
      <c r="Z84" s="1121"/>
      <c r="AA84" s="1121"/>
      <c r="AB84" s="1121"/>
      <c r="AC84" s="1121"/>
      <c r="AD84" s="1121"/>
      <c r="AE84" s="1121"/>
      <c r="AF84" s="1121"/>
      <c r="AG84" s="288"/>
      <c r="AH84" s="1121" t="s">
        <v>695</v>
      </c>
      <c r="AI84" s="289"/>
      <c r="AJ84" s="1121"/>
      <c r="AK84" s="1121"/>
      <c r="AL84" s="1121"/>
      <c r="AM84" s="1121"/>
      <c r="AN84" s="315"/>
      <c r="AO84" s="315"/>
      <c r="AP84" s="315"/>
      <c r="AQ84" s="315">
        <f>+FL_1($T$85,$T$83,$G$84,1200,9.28,-1*$F$85)</f>
        <v>0.43600286799999999</v>
      </c>
      <c r="AR84" s="315"/>
      <c r="AS84" s="315"/>
      <c r="AT84" s="315"/>
      <c r="AU84" s="315"/>
      <c r="AV84" s="315"/>
      <c r="AW84" s="315" t="s">
        <v>2634</v>
      </c>
      <c r="AX84" s="315" t="s">
        <v>1641</v>
      </c>
      <c r="AY84" s="315"/>
      <c r="AZ84" s="315">
        <v>3.5</v>
      </c>
      <c r="BA84" s="315"/>
      <c r="BB84" s="306"/>
      <c r="BE84" s="298"/>
    </row>
    <row r="85" spans="1:59" ht="14.25">
      <c r="A85" s="340"/>
      <c r="B85" s="340" t="s">
        <v>2076</v>
      </c>
      <c r="C85" s="288">
        <f>+$C$83+$G$84</f>
        <v>12505</v>
      </c>
      <c r="D85" s="1121"/>
      <c r="E85" s="1121"/>
      <c r="F85" s="289">
        <v>0</v>
      </c>
      <c r="G85" s="292"/>
      <c r="H85" s="1121" t="s">
        <v>138</v>
      </c>
      <c r="I85" s="294" t="s">
        <v>656</v>
      </c>
      <c r="J85" s="288"/>
      <c r="K85" s="1121"/>
      <c r="L85" s="1121" t="s">
        <v>1061</v>
      </c>
      <c r="M85" s="1121" t="s">
        <v>2756</v>
      </c>
      <c r="N85" s="1121" t="s">
        <v>145</v>
      </c>
      <c r="O85" s="1121"/>
      <c r="P85" s="1121"/>
      <c r="Q85" s="1121">
        <v>0</v>
      </c>
      <c r="R85" s="289">
        <v>0</v>
      </c>
      <c r="S85" s="292"/>
      <c r="T85" s="1121">
        <v>35</v>
      </c>
      <c r="U85" s="1121"/>
      <c r="V85" s="1121"/>
      <c r="W85" s="1121">
        <v>1.4</v>
      </c>
      <c r="X85" s="1121"/>
      <c r="Y85" s="1121"/>
      <c r="Z85" s="1121"/>
      <c r="AA85" s="1121"/>
      <c r="AB85" s="1121"/>
      <c r="AC85" s="1121" t="s">
        <v>2963</v>
      </c>
      <c r="AD85" s="1121"/>
      <c r="AE85" s="1121"/>
      <c r="AF85" s="1121">
        <v>6000</v>
      </c>
      <c r="AG85" s="288">
        <v>12504.9</v>
      </c>
      <c r="AH85" s="1121">
        <v>3250</v>
      </c>
      <c r="AI85" s="289">
        <v>730</v>
      </c>
      <c r="AJ85" s="1121"/>
      <c r="AK85" s="1121"/>
      <c r="AL85" s="1121"/>
      <c r="AM85" s="1121" t="s">
        <v>1228</v>
      </c>
      <c r="AN85" s="315">
        <v>5.5</v>
      </c>
      <c r="AO85" s="315"/>
      <c r="AP85" s="315"/>
      <c r="AQ85" s="315"/>
      <c r="AR85" s="315"/>
      <c r="AS85" s="315"/>
      <c r="AT85" s="315">
        <f>+ab($T$85,$T$83,$T$87,$G$84,$G$86,-1*$F$85,1200)</f>
        <v>8.9432732349203512</v>
      </c>
      <c r="AU85" s="315"/>
      <c r="AV85" s="315"/>
      <c r="AW85" s="315" t="s">
        <v>2634</v>
      </c>
      <c r="AX85" s="315" t="s">
        <v>1641</v>
      </c>
      <c r="AY85" s="315">
        <v>4.2</v>
      </c>
      <c r="AZ85" s="315"/>
      <c r="BA85" s="315"/>
      <c r="BB85" s="306"/>
      <c r="BE85" s="298"/>
    </row>
    <row r="86" spans="1:59" ht="14.25">
      <c r="A86" s="340"/>
      <c r="B86" s="340"/>
      <c r="C86" s="288"/>
      <c r="D86" s="1121"/>
      <c r="E86" s="1121"/>
      <c r="F86" s="289"/>
      <c r="G86" s="292">
        <v>52</v>
      </c>
      <c r="H86" s="291"/>
      <c r="I86" s="294" t="s">
        <v>1223</v>
      </c>
      <c r="J86" s="288">
        <f>C87-7.5</f>
        <v>12549.5</v>
      </c>
      <c r="K86" s="1121" t="s">
        <v>3018</v>
      </c>
      <c r="L86" s="1121"/>
      <c r="M86" s="1121"/>
      <c r="N86" s="1121"/>
      <c r="O86" s="1121"/>
      <c r="P86" s="1121"/>
      <c r="Q86" s="1121"/>
      <c r="R86" s="292"/>
      <c r="S86" s="292">
        <f t="shared" si="25"/>
        <v>52.229999999999563</v>
      </c>
      <c r="T86" s="1121"/>
      <c r="U86" s="1121"/>
      <c r="V86" s="1121"/>
      <c r="W86" s="1121"/>
      <c r="X86" s="1121"/>
      <c r="Y86" s="1121"/>
      <c r="Z86" s="1121"/>
      <c r="AA86" s="1121"/>
      <c r="AB86" s="1121"/>
      <c r="AC86" s="1121"/>
      <c r="AD86" s="1121"/>
      <c r="AE86" s="1121"/>
      <c r="AF86" s="1121"/>
      <c r="AG86" s="288"/>
      <c r="AH86" s="1121" t="s">
        <v>695</v>
      </c>
      <c r="AI86" s="289"/>
      <c r="AJ86" s="1121"/>
      <c r="AK86" s="1121"/>
      <c r="AL86" s="1121"/>
      <c r="AM86" s="1121"/>
      <c r="AN86" s="315"/>
      <c r="AO86" s="315"/>
      <c r="AP86" s="315"/>
      <c r="AQ86" s="315">
        <f>+FL_1($U$87,$T$85,$G$86,1200,9.28,-1*$F$87)</f>
        <v>0.37855025261538461</v>
      </c>
      <c r="AR86" s="315"/>
      <c r="AS86" s="315"/>
      <c r="AT86" s="315"/>
      <c r="AU86" s="315"/>
      <c r="AV86" s="315"/>
      <c r="AW86" s="315" t="s">
        <v>2634</v>
      </c>
      <c r="AX86" s="315" t="s">
        <v>1641</v>
      </c>
      <c r="AY86" s="315"/>
      <c r="AZ86" s="315">
        <v>3.5</v>
      </c>
      <c r="BA86" s="315"/>
      <c r="BB86" s="306"/>
      <c r="BE86" s="298"/>
    </row>
    <row r="87" spans="1:59" ht="14.25">
      <c r="A87" s="340"/>
      <c r="B87" s="340" t="s">
        <v>2077</v>
      </c>
      <c r="C87" s="288">
        <f>+$C$85+$G$86</f>
        <v>12557</v>
      </c>
      <c r="D87" s="1121"/>
      <c r="E87" s="1121"/>
      <c r="F87" s="289">
        <v>0</v>
      </c>
      <c r="G87" s="292"/>
      <c r="H87" s="291" t="s">
        <v>651</v>
      </c>
      <c r="I87" s="294" t="s">
        <v>1223</v>
      </c>
      <c r="J87" s="288">
        <f>C87+7.5</f>
        <v>12564.5</v>
      </c>
      <c r="K87" s="1121" t="s">
        <v>3018</v>
      </c>
      <c r="L87" s="1121" t="s">
        <v>231</v>
      </c>
      <c r="M87" s="1121" t="s">
        <v>2756</v>
      </c>
      <c r="N87" s="1121" t="s">
        <v>140</v>
      </c>
      <c r="O87" s="1121" t="s">
        <v>144</v>
      </c>
      <c r="P87" s="1121"/>
      <c r="Q87" s="1121">
        <v>0</v>
      </c>
      <c r="R87" s="289">
        <v>0</v>
      </c>
      <c r="S87" s="292"/>
      <c r="T87" s="1121">
        <v>-15</v>
      </c>
      <c r="U87" s="1121">
        <v>-35</v>
      </c>
      <c r="V87" s="1121"/>
      <c r="W87" s="1121">
        <v>1.4</v>
      </c>
      <c r="X87" s="1121">
        <v>2.2999999999999998</v>
      </c>
      <c r="Y87" s="1121"/>
      <c r="Z87" s="1121">
        <v>0.5</v>
      </c>
      <c r="AA87" s="1121"/>
      <c r="AB87" s="1121"/>
      <c r="AC87" s="1121"/>
      <c r="AD87" s="1121" t="s">
        <v>1704</v>
      </c>
      <c r="AE87" s="1121"/>
      <c r="AF87" s="1121">
        <v>6000</v>
      </c>
      <c r="AG87" s="288">
        <v>12557.13</v>
      </c>
      <c r="AH87" s="1121">
        <v>3232</v>
      </c>
      <c r="AI87" s="289">
        <v>720</v>
      </c>
      <c r="AJ87" s="1121"/>
      <c r="AK87" s="1121"/>
      <c r="AL87" s="1121"/>
      <c r="AM87" s="1121" t="s">
        <v>1228</v>
      </c>
      <c r="AN87" s="315">
        <v>5.5</v>
      </c>
      <c r="AO87" s="315"/>
      <c r="AP87" s="315"/>
      <c r="AQ87" s="315"/>
      <c r="AR87" s="315"/>
      <c r="AS87" s="315"/>
      <c r="AT87" s="315">
        <f>+ab($U$87,$T$85,$U$89,$G$86,$G$88,-1*$F$87,1200)</f>
        <v>-8.6242082250962664</v>
      </c>
      <c r="AU87" s="315"/>
      <c r="AV87" s="315"/>
      <c r="AW87" s="315" t="s">
        <v>2634</v>
      </c>
      <c r="AX87" s="315" t="s">
        <v>1641</v>
      </c>
      <c r="AY87" s="361">
        <v>4.2</v>
      </c>
      <c r="AZ87" s="361">
        <v>3.5</v>
      </c>
      <c r="BA87" s="361"/>
      <c r="BB87" s="306"/>
      <c r="BE87" s="298"/>
    </row>
    <row r="88" spans="1:59" ht="14.25">
      <c r="A88" s="340"/>
      <c r="B88" s="340"/>
      <c r="C88" s="288"/>
      <c r="D88" s="1121"/>
      <c r="E88" s="1121"/>
      <c r="F88" s="289"/>
      <c r="G88" s="292">
        <v>58</v>
      </c>
      <c r="H88" s="291"/>
      <c r="I88" s="294"/>
      <c r="J88" s="288"/>
      <c r="K88" s="1121"/>
      <c r="L88" s="1121"/>
      <c r="M88" s="1121"/>
      <c r="N88" s="1121"/>
      <c r="O88" s="1121"/>
      <c r="P88" s="1121"/>
      <c r="Q88" s="1121"/>
      <c r="R88" s="292"/>
      <c r="S88" s="292">
        <f t="shared" si="25"/>
        <v>57.670000000000073</v>
      </c>
      <c r="T88" s="1121"/>
      <c r="U88" s="1121"/>
      <c r="V88" s="1121"/>
      <c r="W88" s="1121"/>
      <c r="X88" s="1121"/>
      <c r="Y88" s="1121"/>
      <c r="Z88" s="1121"/>
      <c r="AA88" s="1121"/>
      <c r="AB88" s="1121"/>
      <c r="AC88" s="1121"/>
      <c r="AD88" s="1121"/>
      <c r="AE88" s="1121"/>
      <c r="AF88" s="1121"/>
      <c r="AG88" s="288"/>
      <c r="AH88" s="1121" t="s">
        <v>695</v>
      </c>
      <c r="AI88" s="289"/>
      <c r="AJ88" s="1121"/>
      <c r="AK88" s="1121"/>
      <c r="AL88" s="1121"/>
      <c r="AM88" s="1121"/>
      <c r="AN88" s="315"/>
      <c r="AO88" s="315"/>
      <c r="AP88" s="315"/>
      <c r="AQ88" s="315">
        <f>+FL_2($T$89,$U$87,$G$88,1200,9.28,-1*$F$89)</f>
        <v>-0.41936333972413781</v>
      </c>
      <c r="AR88" s="315"/>
      <c r="AS88" s="315"/>
      <c r="AT88" s="315"/>
      <c r="AU88" s="315"/>
      <c r="AV88" s="315"/>
      <c r="AW88" s="315"/>
      <c r="AX88" s="315"/>
      <c r="AY88" s="315"/>
      <c r="AZ88" s="315"/>
      <c r="BA88" s="315"/>
      <c r="BB88" s="306"/>
      <c r="BE88" s="298"/>
    </row>
    <row r="89" spans="1:59" ht="14.25">
      <c r="A89" s="340"/>
      <c r="B89" s="340" t="s">
        <v>2078</v>
      </c>
      <c r="C89" s="288">
        <f>+$C$87+$G$88</f>
        <v>12615</v>
      </c>
      <c r="D89" s="1121"/>
      <c r="E89" s="1121"/>
      <c r="F89" s="289">
        <v>0</v>
      </c>
      <c r="G89" s="292"/>
      <c r="H89" s="291" t="s">
        <v>651</v>
      </c>
      <c r="I89" s="294" t="s">
        <v>1223</v>
      </c>
      <c r="J89" s="288">
        <f>C89-7.5</f>
        <v>12607.5</v>
      </c>
      <c r="K89" s="1121" t="s">
        <v>3018</v>
      </c>
      <c r="L89" s="1121" t="s">
        <v>231</v>
      </c>
      <c r="M89" s="1121" t="s">
        <v>2756</v>
      </c>
      <c r="N89" s="1121" t="s">
        <v>145</v>
      </c>
      <c r="O89" s="1121" t="s">
        <v>140</v>
      </c>
      <c r="P89" s="1121"/>
      <c r="Q89" s="1121">
        <v>0</v>
      </c>
      <c r="R89" s="289">
        <v>0</v>
      </c>
      <c r="S89" s="292"/>
      <c r="T89" s="1121">
        <v>35</v>
      </c>
      <c r="U89" s="1121">
        <v>15</v>
      </c>
      <c r="V89" s="1121"/>
      <c r="W89" s="1121">
        <v>1.4</v>
      </c>
      <c r="X89" s="1121">
        <v>2.2999999999999998</v>
      </c>
      <c r="Y89" s="1121"/>
      <c r="Z89" s="1121"/>
      <c r="AA89" s="1121">
        <v>0.5</v>
      </c>
      <c r="AB89" s="1121"/>
      <c r="AC89" s="1121" t="s">
        <v>1704</v>
      </c>
      <c r="AD89" s="1121"/>
      <c r="AE89" s="1121"/>
      <c r="AF89" s="1121">
        <v>6000</v>
      </c>
      <c r="AG89" s="288">
        <v>12614.8</v>
      </c>
      <c r="AH89" s="1121">
        <v>2614</v>
      </c>
      <c r="AI89" s="289">
        <v>737</v>
      </c>
      <c r="AJ89" s="1121"/>
      <c r="AK89" s="1121"/>
      <c r="AL89" s="1121"/>
      <c r="AM89" s="1121" t="s">
        <v>1228</v>
      </c>
      <c r="AN89" s="315">
        <v>5.5</v>
      </c>
      <c r="AO89" s="315"/>
      <c r="AP89" s="315"/>
      <c r="AQ89" s="315"/>
      <c r="AR89" s="315"/>
      <c r="AS89" s="315"/>
      <c r="AT89" s="315">
        <f>+ab($T$89,$T$87,$T$91,$G$88,$G$90,-1*$F$89,1200)</f>
        <v>8.9161053409604758</v>
      </c>
      <c r="AU89" s="315"/>
      <c r="AV89" s="315"/>
      <c r="AW89" s="315" t="s">
        <v>2634</v>
      </c>
      <c r="AX89" s="315" t="s">
        <v>1641</v>
      </c>
      <c r="AY89" s="361">
        <v>4.2</v>
      </c>
      <c r="AZ89" s="361">
        <v>3.5</v>
      </c>
      <c r="BA89" s="361"/>
      <c r="BB89" s="306"/>
      <c r="BC89" s="307"/>
      <c r="BE89" s="298"/>
    </row>
    <row r="90" spans="1:59" ht="14.25">
      <c r="A90" s="340"/>
      <c r="B90" s="340"/>
      <c r="C90" s="288"/>
      <c r="D90" s="1121"/>
      <c r="E90" s="1121"/>
      <c r="F90" s="289"/>
      <c r="G90" s="292">
        <v>55</v>
      </c>
      <c r="H90" s="291"/>
      <c r="I90" s="294" t="s">
        <v>1223</v>
      </c>
      <c r="J90" s="288">
        <f>C89+7.5</f>
        <v>12622.5</v>
      </c>
      <c r="K90" s="1121" t="s">
        <v>3018</v>
      </c>
      <c r="L90" s="1121"/>
      <c r="M90" s="1121"/>
      <c r="N90" s="1121"/>
      <c r="O90" s="1121"/>
      <c r="P90" s="1121"/>
      <c r="Q90" s="1121"/>
      <c r="R90" s="292"/>
      <c r="S90" s="292">
        <f t="shared" si="25"/>
        <v>55.159999999999854</v>
      </c>
      <c r="T90" s="1121"/>
      <c r="U90" s="1121"/>
      <c r="V90" s="1121"/>
      <c r="W90" s="1121"/>
      <c r="X90" s="1121"/>
      <c r="Y90" s="1121"/>
      <c r="Z90" s="1121"/>
      <c r="AA90" s="1121"/>
      <c r="AB90" s="1121"/>
      <c r="AC90" s="1121"/>
      <c r="AD90" s="1121"/>
      <c r="AE90" s="1121"/>
      <c r="AF90" s="1121"/>
      <c r="AG90" s="288"/>
      <c r="AH90" s="1121" t="s">
        <v>695</v>
      </c>
      <c r="AI90" s="289"/>
      <c r="AJ90" s="1121"/>
      <c r="AK90" s="1121"/>
      <c r="AL90" s="1121"/>
      <c r="AM90" s="1121"/>
      <c r="AN90" s="315"/>
      <c r="AO90" s="315"/>
      <c r="AP90" s="315"/>
      <c r="AQ90" s="315">
        <f>+FL_1($T$91,$T$89,$G$90,1200,9.28,-1*$F$91)</f>
        <v>0.39714735709090898</v>
      </c>
      <c r="AR90" s="315"/>
      <c r="AS90" s="315"/>
      <c r="AT90" s="315"/>
      <c r="AU90" s="315"/>
      <c r="AV90" s="315"/>
      <c r="AW90" s="315" t="s">
        <v>2634</v>
      </c>
      <c r="AX90" s="315" t="s">
        <v>1641</v>
      </c>
      <c r="AY90" s="315"/>
      <c r="AZ90" s="315">
        <v>3.5</v>
      </c>
      <c r="BA90" s="315"/>
      <c r="BB90" s="306"/>
      <c r="BC90" s="307"/>
      <c r="BD90" s="350"/>
      <c r="BE90" s="298"/>
    </row>
    <row r="91" spans="1:59" ht="14.25">
      <c r="A91" s="340"/>
      <c r="B91" s="340" t="s">
        <v>2079</v>
      </c>
      <c r="C91" s="288">
        <f>+$C$89+$G$90</f>
        <v>12670</v>
      </c>
      <c r="D91" s="1121"/>
      <c r="E91" s="1121"/>
      <c r="F91" s="289">
        <v>0</v>
      </c>
      <c r="G91" s="292"/>
      <c r="H91" s="291" t="s">
        <v>138</v>
      </c>
      <c r="I91" s="294" t="s">
        <v>656</v>
      </c>
      <c r="J91" s="288"/>
      <c r="K91" s="1121"/>
      <c r="L91" s="1121" t="s">
        <v>1061</v>
      </c>
      <c r="M91" s="1121" t="s">
        <v>2756</v>
      </c>
      <c r="N91" s="1121" t="s">
        <v>144</v>
      </c>
      <c r="O91" s="1121"/>
      <c r="P91" s="1121"/>
      <c r="Q91" s="1121">
        <v>0</v>
      </c>
      <c r="R91" s="289">
        <v>0</v>
      </c>
      <c r="S91" s="292"/>
      <c r="T91" s="1121">
        <v>-35</v>
      </c>
      <c r="U91" s="1121"/>
      <c r="V91" s="1121"/>
      <c r="W91" s="1121">
        <v>1.4</v>
      </c>
      <c r="X91" s="1121"/>
      <c r="Y91" s="1121"/>
      <c r="Z91" s="1121"/>
      <c r="AA91" s="1121"/>
      <c r="AB91" s="1121"/>
      <c r="AC91" s="1121" t="s">
        <v>2963</v>
      </c>
      <c r="AD91" s="1121"/>
      <c r="AE91" s="1121"/>
      <c r="AF91" s="1121">
        <v>6000</v>
      </c>
      <c r="AG91" s="288">
        <v>12669.96</v>
      </c>
      <c r="AH91" s="1121">
        <v>2596</v>
      </c>
      <c r="AI91" s="289">
        <v>715</v>
      </c>
      <c r="AJ91" s="1121"/>
      <c r="AK91" s="1121"/>
      <c r="AL91" s="1121"/>
      <c r="AM91" s="1121" t="s">
        <v>1228</v>
      </c>
      <c r="AN91" s="315">
        <v>5.5</v>
      </c>
      <c r="AO91" s="315"/>
      <c r="AP91" s="315"/>
      <c r="AQ91" s="315"/>
      <c r="AR91" s="315"/>
      <c r="AS91" s="315"/>
      <c r="AT91" s="315">
        <f>+ab($T$91,$T$89,$T$93,$G$90,$G$92,-1*$F$91,1200)</f>
        <v>-7.495600280563588</v>
      </c>
      <c r="AU91" s="315"/>
      <c r="AV91" s="315"/>
      <c r="AW91" s="315" t="s">
        <v>2634</v>
      </c>
      <c r="AX91" s="315" t="s">
        <v>1641</v>
      </c>
      <c r="AY91" s="315">
        <v>4.2</v>
      </c>
      <c r="AZ91" s="315"/>
      <c r="BA91" s="315"/>
      <c r="BB91" s="306"/>
      <c r="BC91" s="307"/>
      <c r="BE91" s="298"/>
    </row>
    <row r="92" spans="1:59" ht="14.25">
      <c r="A92" s="340"/>
      <c r="B92" s="340"/>
      <c r="C92" s="288"/>
      <c r="D92" s="1121"/>
      <c r="E92" s="1121"/>
      <c r="F92" s="289"/>
      <c r="G92" s="292">
        <v>55</v>
      </c>
      <c r="H92" s="291"/>
      <c r="I92" s="291"/>
      <c r="J92" s="288">
        <f>C91+7.5</f>
        <v>12677.5</v>
      </c>
      <c r="K92" s="1121" t="s">
        <v>3017</v>
      </c>
      <c r="L92" s="1121"/>
      <c r="M92" s="1121"/>
      <c r="N92" s="1121"/>
      <c r="O92" s="1121"/>
      <c r="P92" s="1121"/>
      <c r="Q92" s="1121"/>
      <c r="R92" s="292"/>
      <c r="S92" s="292">
        <f t="shared" si="25"/>
        <v>54.980000000001382</v>
      </c>
      <c r="T92" s="1121"/>
      <c r="U92" s="1121"/>
      <c r="V92" s="1121"/>
      <c r="W92" s="1121"/>
      <c r="X92" s="1121"/>
      <c r="Y92" s="1121"/>
      <c r="Z92" s="1121"/>
      <c r="AA92" s="1121"/>
      <c r="AB92" s="1121"/>
      <c r="AC92" s="1121"/>
      <c r="AD92" s="1121"/>
      <c r="AE92" s="1121"/>
      <c r="AF92" s="1121"/>
      <c r="AG92" s="288"/>
      <c r="AH92" s="1121" t="s">
        <v>695</v>
      </c>
      <c r="AI92" s="289"/>
      <c r="AJ92" s="1121"/>
      <c r="AK92" s="1121"/>
      <c r="AL92" s="1121"/>
      <c r="AM92" s="1121"/>
      <c r="AN92" s="315"/>
      <c r="AO92" s="315"/>
      <c r="AP92" s="315"/>
      <c r="AQ92" s="315">
        <f>+FL_2($T$93,$T$91,$G$92,1200,9.28,-1*$F$93)</f>
        <v>-0.39714735709090898</v>
      </c>
      <c r="AR92" s="315"/>
      <c r="AS92" s="315"/>
      <c r="AT92" s="315"/>
      <c r="AU92" s="315"/>
      <c r="AV92" s="315"/>
      <c r="AW92" s="315" t="s">
        <v>2634</v>
      </c>
      <c r="AX92" s="315" t="s">
        <v>1641</v>
      </c>
      <c r="AY92" s="315"/>
      <c r="AZ92" s="315">
        <v>3.5</v>
      </c>
      <c r="BA92" s="315"/>
      <c r="BB92" s="306"/>
      <c r="BC92" s="307"/>
      <c r="BE92" s="298"/>
    </row>
    <row r="93" spans="1:59" ht="14.25">
      <c r="A93" s="340"/>
      <c r="B93" s="340" t="s">
        <v>2080</v>
      </c>
      <c r="C93" s="288">
        <f>+$C$91+$G$92</f>
        <v>12725</v>
      </c>
      <c r="D93" s="1121"/>
      <c r="E93" s="1121"/>
      <c r="F93" s="289">
        <v>0</v>
      </c>
      <c r="G93" s="292"/>
      <c r="H93" s="1121"/>
      <c r="I93" s="294"/>
      <c r="J93" s="288"/>
      <c r="K93" s="1121"/>
      <c r="L93" s="1121" t="s">
        <v>230</v>
      </c>
      <c r="M93" s="1121" t="s">
        <v>2757</v>
      </c>
      <c r="N93" s="1121" t="s">
        <v>145</v>
      </c>
      <c r="O93" s="1121"/>
      <c r="P93" s="1121"/>
      <c r="Q93" s="1121">
        <v>0</v>
      </c>
      <c r="R93" s="289">
        <v>0</v>
      </c>
      <c r="S93" s="292"/>
      <c r="T93" s="1121">
        <v>35</v>
      </c>
      <c r="U93" s="1121"/>
      <c r="V93" s="1121"/>
      <c r="W93" s="1121">
        <v>1.4</v>
      </c>
      <c r="X93" s="1121"/>
      <c r="Y93" s="1121"/>
      <c r="Z93" s="1121"/>
      <c r="AA93" s="1121"/>
      <c r="AB93" s="1121"/>
      <c r="AC93" s="1121" t="s">
        <v>2963</v>
      </c>
      <c r="AD93" s="1121"/>
      <c r="AE93" s="1121"/>
      <c r="AF93" s="1121">
        <v>6000</v>
      </c>
      <c r="AG93" s="288">
        <v>12724.94</v>
      </c>
      <c r="AH93" s="1121">
        <v>2671</v>
      </c>
      <c r="AI93" s="289">
        <v>740</v>
      </c>
      <c r="AJ93" s="1121"/>
      <c r="AK93" s="1121"/>
      <c r="AL93" s="1121"/>
      <c r="AM93" s="1121" t="s">
        <v>1228</v>
      </c>
      <c r="AN93" s="315">
        <v>5.5</v>
      </c>
      <c r="AO93" s="315"/>
      <c r="AP93" s="315"/>
      <c r="AQ93" s="315"/>
      <c r="AR93" s="315"/>
      <c r="AS93" s="315"/>
      <c r="AT93" s="315">
        <f>+ab($T$93,$T$91,$T$95,$G$92,$G$94,-1*$F$93,1200)</f>
        <v>7.1424146886693025</v>
      </c>
      <c r="AU93" s="315"/>
      <c r="AV93" s="315"/>
      <c r="AW93" s="315" t="s">
        <v>2634</v>
      </c>
      <c r="AX93" s="315" t="s">
        <v>1641</v>
      </c>
      <c r="AY93" s="315">
        <v>4.2</v>
      </c>
      <c r="AZ93" s="315"/>
      <c r="BA93" s="315"/>
      <c r="BB93" s="306"/>
      <c r="BC93" s="307"/>
      <c r="BE93" s="298"/>
      <c r="BF93" s="362"/>
      <c r="BG93" s="362"/>
    </row>
    <row r="94" spans="1:59" ht="14.25">
      <c r="A94" s="340"/>
      <c r="B94" s="340"/>
      <c r="C94" s="288"/>
      <c r="D94" s="1121"/>
      <c r="E94" s="1121"/>
      <c r="F94" s="289"/>
      <c r="G94" s="292">
        <v>50</v>
      </c>
      <c r="H94" s="1121"/>
      <c r="I94" s="294"/>
      <c r="J94" s="288"/>
      <c r="K94" s="1121"/>
      <c r="L94" s="1121"/>
      <c r="M94" s="1121"/>
      <c r="N94" s="1121"/>
      <c r="O94" s="1121"/>
      <c r="P94" s="1121"/>
      <c r="Q94" s="1121"/>
      <c r="R94" s="292"/>
      <c r="S94" s="292">
        <f t="shared" si="25"/>
        <v>49.8799999999992</v>
      </c>
      <c r="T94" s="1121"/>
      <c r="U94" s="1121"/>
      <c r="V94" s="1121"/>
      <c r="W94" s="1121"/>
      <c r="X94" s="1121"/>
      <c r="Y94" s="1121"/>
      <c r="Z94" s="1121"/>
      <c r="AA94" s="1121"/>
      <c r="AB94" s="1121"/>
      <c r="AC94" s="1121"/>
      <c r="AD94" s="1121"/>
      <c r="AE94" s="1121"/>
      <c r="AF94" s="1121"/>
      <c r="AG94" s="288"/>
      <c r="AH94" s="1121" t="s">
        <v>695</v>
      </c>
      <c r="AI94" s="289"/>
      <c r="AJ94" s="1121"/>
      <c r="AK94" s="1121"/>
      <c r="AL94" s="1121"/>
      <c r="AM94" s="1121"/>
      <c r="AN94" s="315"/>
      <c r="AO94" s="315"/>
      <c r="AP94" s="315"/>
      <c r="AQ94" s="315">
        <f>+FL_1($T$95,$T$93,$G$94,1200,9.28,-1*$F$95)</f>
        <v>0.36839080000000002</v>
      </c>
      <c r="AR94" s="315"/>
      <c r="AS94" s="315"/>
      <c r="AT94" s="315"/>
      <c r="AU94" s="315"/>
      <c r="AV94" s="315"/>
      <c r="AW94" s="315"/>
      <c r="AX94" s="315"/>
      <c r="AY94" s="315" t="s">
        <v>695</v>
      </c>
      <c r="AZ94" s="315"/>
      <c r="BA94" s="315"/>
      <c r="BB94" s="306"/>
      <c r="BC94" s="307"/>
      <c r="BE94" s="298"/>
    </row>
    <row r="95" spans="1:59" ht="14.25">
      <c r="A95" s="340"/>
      <c r="B95" s="340" t="s">
        <v>2081</v>
      </c>
      <c r="C95" s="288">
        <f>+$C$93+$G$94</f>
        <v>12775</v>
      </c>
      <c r="D95" s="1121"/>
      <c r="E95" s="1121"/>
      <c r="F95" s="289">
        <v>0</v>
      </c>
      <c r="G95" s="292"/>
      <c r="H95" s="1121"/>
      <c r="I95" s="294"/>
      <c r="J95" s="288"/>
      <c r="K95" s="1121"/>
      <c r="L95" s="1121" t="s">
        <v>230</v>
      </c>
      <c r="M95" s="1121" t="s">
        <v>2757</v>
      </c>
      <c r="N95" s="1121" t="s">
        <v>144</v>
      </c>
      <c r="O95" s="1121"/>
      <c r="P95" s="1121"/>
      <c r="Q95" s="1121">
        <v>0</v>
      </c>
      <c r="R95" s="289">
        <v>0</v>
      </c>
      <c r="S95" s="292"/>
      <c r="T95" s="1121">
        <v>-35</v>
      </c>
      <c r="U95" s="1121"/>
      <c r="V95" s="1121"/>
      <c r="W95" s="1121">
        <v>1.4</v>
      </c>
      <c r="X95" s="1121"/>
      <c r="Y95" s="1121"/>
      <c r="Z95" s="1121"/>
      <c r="AA95" s="1121"/>
      <c r="AB95" s="1121"/>
      <c r="AC95" s="1121" t="s">
        <v>2963</v>
      </c>
      <c r="AD95" s="1121"/>
      <c r="AE95" s="1121"/>
      <c r="AF95" s="1121">
        <v>6000</v>
      </c>
      <c r="AG95" s="288">
        <v>12774.82</v>
      </c>
      <c r="AH95" s="1121">
        <v>2606</v>
      </c>
      <c r="AI95" s="289">
        <v>764</v>
      </c>
      <c r="AJ95" s="1121"/>
      <c r="AK95" s="1121"/>
      <c r="AL95" s="1121"/>
      <c r="AM95" s="1121" t="s">
        <v>1228</v>
      </c>
      <c r="AN95" s="315">
        <v>5.5</v>
      </c>
      <c r="AO95" s="315"/>
      <c r="AP95" s="315"/>
      <c r="AQ95" s="315"/>
      <c r="AR95" s="315"/>
      <c r="AS95" s="315"/>
      <c r="AT95" s="315">
        <f>+ab($T$95,$T$93,$T$97,$G$94,$G$96,-1*$F$95,1200)</f>
        <v>-7.4343488377840483</v>
      </c>
      <c r="AU95" s="315"/>
      <c r="AV95" s="315"/>
      <c r="AW95" s="315" t="s">
        <v>2634</v>
      </c>
      <c r="AX95" s="315" t="s">
        <v>1641</v>
      </c>
      <c r="AY95" s="315">
        <v>4.2</v>
      </c>
      <c r="AZ95" s="315"/>
      <c r="BA95" s="315"/>
      <c r="BB95" s="306"/>
      <c r="BC95" s="307"/>
      <c r="BE95" s="298"/>
    </row>
    <row r="96" spans="1:59" ht="14.25">
      <c r="A96" s="352"/>
      <c r="B96" s="352"/>
      <c r="C96" s="354"/>
      <c r="D96" s="353"/>
      <c r="E96" s="353"/>
      <c r="F96" s="355"/>
      <c r="G96" s="356">
        <v>60</v>
      </c>
      <c r="H96" s="353"/>
      <c r="I96" s="358"/>
      <c r="J96" s="354"/>
      <c r="K96" s="353"/>
      <c r="L96" s="353"/>
      <c r="M96" s="353"/>
      <c r="N96" s="353"/>
      <c r="O96" s="353"/>
      <c r="P96" s="353"/>
      <c r="Q96" s="353"/>
      <c r="R96" s="356"/>
      <c r="S96" s="356">
        <f t="shared" si="25"/>
        <v>59.829999999999927</v>
      </c>
      <c r="T96" s="353"/>
      <c r="U96" s="353"/>
      <c r="V96" s="353"/>
      <c r="W96" s="353"/>
      <c r="X96" s="353"/>
      <c r="Y96" s="353"/>
      <c r="Z96" s="353"/>
      <c r="AA96" s="353"/>
      <c r="AB96" s="353"/>
      <c r="AC96" s="353"/>
      <c r="AD96" s="353"/>
      <c r="AE96" s="353"/>
      <c r="AF96" s="353"/>
      <c r="AG96" s="354"/>
      <c r="AH96" s="353" t="s">
        <v>695</v>
      </c>
      <c r="AI96" s="355"/>
      <c r="AJ96" s="353"/>
      <c r="AK96" s="353"/>
      <c r="AL96" s="353"/>
      <c r="AM96" s="353"/>
      <c r="AN96" s="359"/>
      <c r="AO96" s="359"/>
      <c r="AP96" s="359"/>
      <c r="AQ96" s="359">
        <f>+FL_2($T$97,$T$95,$G$96,1200,9.28,-1*$F$97)</f>
        <v>-0.43600286799999993</v>
      </c>
      <c r="AR96" s="359"/>
      <c r="AS96" s="359"/>
      <c r="AT96" s="359"/>
      <c r="AU96" s="359"/>
      <c r="AV96" s="359"/>
      <c r="AW96" s="359"/>
      <c r="AX96" s="359"/>
      <c r="AY96" s="359" t="s">
        <v>695</v>
      </c>
      <c r="AZ96" s="359"/>
      <c r="BA96" s="359"/>
      <c r="BB96" s="306"/>
      <c r="BC96" s="307"/>
      <c r="BE96" s="298"/>
    </row>
    <row r="97" spans="1:57" ht="14.25">
      <c r="A97" s="287"/>
      <c r="B97" s="340" t="s">
        <v>2082</v>
      </c>
      <c r="C97" s="288">
        <f>+$C$95+$G$96</f>
        <v>12835</v>
      </c>
      <c r="D97" s="1121"/>
      <c r="E97" s="1121"/>
      <c r="F97" s="289">
        <v>0</v>
      </c>
      <c r="G97" s="292"/>
      <c r="H97" s="1121"/>
      <c r="I97" s="294"/>
      <c r="J97" s="288"/>
      <c r="K97" s="1121"/>
      <c r="L97" s="1121" t="s">
        <v>230</v>
      </c>
      <c r="M97" s="1121" t="s">
        <v>2757</v>
      </c>
      <c r="N97" s="1121" t="s">
        <v>145</v>
      </c>
      <c r="O97" s="1121"/>
      <c r="P97" s="1121"/>
      <c r="Q97" s="1121">
        <v>0</v>
      </c>
      <c r="R97" s="289">
        <v>0</v>
      </c>
      <c r="S97" s="292"/>
      <c r="T97" s="1121">
        <v>35</v>
      </c>
      <c r="U97" s="1121"/>
      <c r="V97" s="1121"/>
      <c r="W97" s="1121">
        <v>1.4</v>
      </c>
      <c r="X97" s="1121"/>
      <c r="Y97" s="1121"/>
      <c r="Z97" s="1121"/>
      <c r="AA97" s="1121"/>
      <c r="AB97" s="1121"/>
      <c r="AC97" s="1121" t="s">
        <v>2963</v>
      </c>
      <c r="AD97" s="1121"/>
      <c r="AE97" s="1121"/>
      <c r="AF97" s="1121">
        <v>6000</v>
      </c>
      <c r="AG97" s="288">
        <v>12834.65</v>
      </c>
      <c r="AH97" s="1121">
        <v>3199</v>
      </c>
      <c r="AI97" s="289">
        <v>841</v>
      </c>
      <c r="AJ97" s="1121"/>
      <c r="AK97" s="1121"/>
      <c r="AL97" s="1121"/>
      <c r="AM97" s="1121" t="s">
        <v>1228</v>
      </c>
      <c r="AN97" s="315">
        <v>5.5</v>
      </c>
      <c r="AO97" s="315"/>
      <c r="AP97" s="315"/>
      <c r="AQ97" s="315"/>
      <c r="AR97" s="315"/>
      <c r="AS97" s="315"/>
      <c r="AT97" s="315">
        <f>+ab($T$97,$T$95,$T$99,$G$96,$G$98,-1*$F$97,1200)</f>
        <v>8.1004357269298364</v>
      </c>
      <c r="AU97" s="315"/>
      <c r="AV97" s="315"/>
      <c r="AW97" s="315" t="s">
        <v>699</v>
      </c>
      <c r="AX97" s="315" t="s">
        <v>699</v>
      </c>
      <c r="AY97" s="315" t="s">
        <v>695</v>
      </c>
      <c r="AZ97" s="315"/>
      <c r="BA97" s="315"/>
      <c r="BB97" s="306"/>
      <c r="BC97" s="307"/>
      <c r="BE97" s="298"/>
    </row>
    <row r="98" spans="1:57" ht="14.25">
      <c r="A98" s="341" t="s">
        <v>2606</v>
      </c>
      <c r="B98" s="341"/>
      <c r="C98" s="342"/>
      <c r="D98" s="343"/>
      <c r="E98" s="343"/>
      <c r="F98" s="344"/>
      <c r="G98" s="345">
        <v>59</v>
      </c>
      <c r="H98" s="360"/>
      <c r="I98" s="346"/>
      <c r="J98" s="342"/>
      <c r="K98" s="343"/>
      <c r="L98" s="343"/>
      <c r="M98" s="343"/>
      <c r="N98" s="343"/>
      <c r="O98" s="343"/>
      <c r="P98" s="343"/>
      <c r="Q98" s="343"/>
      <c r="R98" s="345"/>
      <c r="S98" s="345">
        <f t="shared" si="25"/>
        <v>59.350000000000364</v>
      </c>
      <c r="T98" s="343"/>
      <c r="U98" s="343"/>
      <c r="V98" s="343"/>
      <c r="W98" s="343"/>
      <c r="X98" s="343"/>
      <c r="Y98" s="343"/>
      <c r="Z98" s="343"/>
      <c r="AA98" s="343"/>
      <c r="AB98" s="343"/>
      <c r="AC98" s="343"/>
      <c r="AD98" s="343"/>
      <c r="AE98" s="343"/>
      <c r="AF98" s="343"/>
      <c r="AG98" s="342"/>
      <c r="AH98" s="343" t="s">
        <v>695</v>
      </c>
      <c r="AI98" s="344"/>
      <c r="AJ98" s="343"/>
      <c r="AK98" s="343"/>
      <c r="AL98" s="343"/>
      <c r="AM98" s="343"/>
      <c r="AN98" s="347"/>
      <c r="AO98" s="347"/>
      <c r="AP98" s="347"/>
      <c r="AQ98" s="347">
        <f>+FL_2($T$99,$T$97,$G$98,1200,10.96,-1*$F$99)</f>
        <v>-0.47447483173446331</v>
      </c>
      <c r="AR98" s="347"/>
      <c r="AS98" s="347"/>
      <c r="AT98" s="347"/>
      <c r="AU98" s="347"/>
      <c r="AV98" s="347"/>
      <c r="AW98" s="347"/>
      <c r="AX98" s="347"/>
      <c r="AY98" s="347" t="s">
        <v>695</v>
      </c>
      <c r="AZ98" s="347"/>
      <c r="BA98" s="347"/>
      <c r="BB98" s="306"/>
      <c r="BC98" s="307"/>
      <c r="BE98" s="298"/>
    </row>
    <row r="99" spans="1:57" ht="14.25">
      <c r="A99" s="363"/>
      <c r="B99" s="341" t="s">
        <v>2083</v>
      </c>
      <c r="C99" s="342">
        <f>+$C$97+$G$98</f>
        <v>12894</v>
      </c>
      <c r="D99" s="343"/>
      <c r="E99" s="343"/>
      <c r="F99" s="344">
        <v>0</v>
      </c>
      <c r="G99" s="345"/>
      <c r="H99" s="343"/>
      <c r="I99" s="346"/>
      <c r="J99" s="342"/>
      <c r="K99" s="343"/>
      <c r="L99" s="343" t="s">
        <v>2684</v>
      </c>
      <c r="M99" s="343" t="s">
        <v>2793</v>
      </c>
      <c r="N99" s="343" t="s">
        <v>144</v>
      </c>
      <c r="O99" s="343"/>
      <c r="P99" s="343"/>
      <c r="Q99" s="343">
        <v>0</v>
      </c>
      <c r="R99" s="344">
        <v>0</v>
      </c>
      <c r="S99" s="345"/>
      <c r="T99" s="343">
        <v>-35</v>
      </c>
      <c r="U99" s="343"/>
      <c r="V99" s="343"/>
      <c r="W99" s="343">
        <v>1.4</v>
      </c>
      <c r="X99" s="343"/>
      <c r="Y99" s="343"/>
      <c r="Z99" s="343"/>
      <c r="AA99" s="343"/>
      <c r="AB99" s="343"/>
      <c r="AC99" s="343" t="s">
        <v>2963</v>
      </c>
      <c r="AD99" s="343"/>
      <c r="AE99" s="343"/>
      <c r="AF99" s="343">
        <v>6000</v>
      </c>
      <c r="AG99" s="342">
        <v>12894</v>
      </c>
      <c r="AH99" s="343">
        <v>2792</v>
      </c>
      <c r="AI99" s="344">
        <v>945</v>
      </c>
      <c r="AJ99" s="343"/>
      <c r="AK99" s="343"/>
      <c r="AL99" s="343"/>
      <c r="AM99" s="343" t="s">
        <v>1228</v>
      </c>
      <c r="AN99" s="347">
        <v>5.5</v>
      </c>
      <c r="AO99" s="347"/>
      <c r="AP99" s="347"/>
      <c r="AQ99" s="347"/>
      <c r="AR99" s="347"/>
      <c r="AS99" s="347"/>
      <c r="AT99" s="347">
        <f>+ab($T$99,$T$97,$T$101,$G$98,$G$100,-1*$F$99,1200)</f>
        <v>-7.533225662935819</v>
      </c>
      <c r="AU99" s="347"/>
      <c r="AV99" s="347"/>
      <c r="AW99" s="347" t="s">
        <v>699</v>
      </c>
      <c r="AX99" s="347" t="s">
        <v>699</v>
      </c>
      <c r="AY99" s="347" t="s">
        <v>699</v>
      </c>
      <c r="AZ99" s="347" t="s">
        <v>699</v>
      </c>
      <c r="BA99" s="347"/>
      <c r="BB99" s="306"/>
      <c r="BC99" s="307"/>
      <c r="BE99" s="298"/>
    </row>
    <row r="100" spans="1:57" ht="14.25">
      <c r="A100" s="341"/>
      <c r="B100" s="341"/>
      <c r="C100" s="342"/>
      <c r="D100" s="343"/>
      <c r="E100" s="343"/>
      <c r="F100" s="344"/>
      <c r="G100" s="345">
        <v>52</v>
      </c>
      <c r="H100" s="360"/>
      <c r="I100" s="346"/>
      <c r="J100" s="342"/>
      <c r="K100" s="343"/>
      <c r="L100" s="343"/>
      <c r="M100" s="343"/>
      <c r="N100" s="343"/>
      <c r="O100" s="343"/>
      <c r="P100" s="343"/>
      <c r="Q100" s="343"/>
      <c r="R100" s="345"/>
      <c r="S100" s="345">
        <f t="shared" si="25"/>
        <v>51.899999999999636</v>
      </c>
      <c r="T100" s="343"/>
      <c r="U100" s="343"/>
      <c r="V100" s="343"/>
      <c r="W100" s="343"/>
      <c r="X100" s="343"/>
      <c r="Y100" s="343"/>
      <c r="Z100" s="343"/>
      <c r="AA100" s="343"/>
      <c r="AB100" s="343"/>
      <c r="AC100" s="343"/>
      <c r="AD100" s="343"/>
      <c r="AE100" s="343"/>
      <c r="AF100" s="343"/>
      <c r="AG100" s="342"/>
      <c r="AH100" s="343" t="s">
        <v>695</v>
      </c>
      <c r="AI100" s="344"/>
      <c r="AJ100" s="343"/>
      <c r="AK100" s="343"/>
      <c r="AL100" s="343"/>
      <c r="AM100" s="343"/>
      <c r="AN100" s="347"/>
      <c r="AO100" s="347"/>
      <c r="AP100" s="347"/>
      <c r="AQ100" s="347">
        <f>+FL_1($T$101,$T$99,$G$100,1200,10.96,-1*$F$101)</f>
        <v>0.40791087292307693</v>
      </c>
      <c r="AR100" s="347"/>
      <c r="AS100" s="347"/>
      <c r="AT100" s="347"/>
      <c r="AU100" s="347"/>
      <c r="AV100" s="347"/>
      <c r="AW100" s="347"/>
      <c r="AX100" s="347"/>
      <c r="AY100" s="347"/>
      <c r="AZ100" s="347"/>
      <c r="BA100" s="347"/>
      <c r="BB100" s="306"/>
      <c r="BC100" s="307"/>
      <c r="BE100" s="298"/>
    </row>
    <row r="101" spans="1:57" ht="14.25">
      <c r="A101" s="341"/>
      <c r="B101" s="341" t="s">
        <v>2084</v>
      </c>
      <c r="C101" s="342">
        <f>+$C$99+$G$100</f>
        <v>12946</v>
      </c>
      <c r="D101" s="343"/>
      <c r="E101" s="343"/>
      <c r="F101" s="344">
        <v>0</v>
      </c>
      <c r="G101" s="345"/>
      <c r="H101" s="360"/>
      <c r="I101" s="346"/>
      <c r="J101" s="342"/>
      <c r="K101" s="343"/>
      <c r="L101" s="343" t="s">
        <v>2684</v>
      </c>
      <c r="M101" s="343" t="s">
        <v>2793</v>
      </c>
      <c r="N101" s="343" t="s">
        <v>145</v>
      </c>
      <c r="O101" s="343"/>
      <c r="P101" s="343"/>
      <c r="Q101" s="343">
        <v>0</v>
      </c>
      <c r="R101" s="344">
        <v>0</v>
      </c>
      <c r="S101" s="345"/>
      <c r="T101" s="343">
        <v>35</v>
      </c>
      <c r="U101" s="343"/>
      <c r="V101" s="343"/>
      <c r="W101" s="343">
        <v>1.4</v>
      </c>
      <c r="X101" s="343"/>
      <c r="Y101" s="343"/>
      <c r="Z101" s="343"/>
      <c r="AA101" s="343"/>
      <c r="AB101" s="343"/>
      <c r="AC101" s="343" t="s">
        <v>2963</v>
      </c>
      <c r="AD101" s="343"/>
      <c r="AE101" s="343"/>
      <c r="AF101" s="343">
        <v>6000</v>
      </c>
      <c r="AG101" s="342">
        <v>12945.9</v>
      </c>
      <c r="AH101" s="343">
        <v>2833</v>
      </c>
      <c r="AI101" s="344">
        <v>940</v>
      </c>
      <c r="AJ101" s="343"/>
      <c r="AK101" s="343"/>
      <c r="AL101" s="343"/>
      <c r="AM101" s="343" t="s">
        <v>1228</v>
      </c>
      <c r="AN101" s="347">
        <v>5.5</v>
      </c>
      <c r="AO101" s="347"/>
      <c r="AP101" s="347"/>
      <c r="AQ101" s="347"/>
      <c r="AR101" s="347"/>
      <c r="AS101" s="347"/>
      <c r="AT101" s="347">
        <f>+ab($T$101,$T$99,$T$103,$G$100,$G$102,-1*$F$101,1200)</f>
        <v>6.4251312737913233</v>
      </c>
      <c r="AU101" s="347"/>
      <c r="AV101" s="347"/>
      <c r="AW101" s="347" t="s">
        <v>699</v>
      </c>
      <c r="AX101" s="347" t="s">
        <v>699</v>
      </c>
      <c r="AY101" s="347" t="s">
        <v>699</v>
      </c>
      <c r="AZ101" s="347" t="s">
        <v>699</v>
      </c>
      <c r="BA101" s="347"/>
      <c r="BB101" s="306"/>
      <c r="BC101" s="307"/>
      <c r="BE101" s="298"/>
    </row>
    <row r="102" spans="1:57" ht="14.25">
      <c r="A102" s="341" t="s">
        <v>2606</v>
      </c>
      <c r="B102" s="341"/>
      <c r="C102" s="342"/>
      <c r="D102" s="343"/>
      <c r="E102" s="343"/>
      <c r="F102" s="344"/>
      <c r="G102" s="345">
        <v>43</v>
      </c>
      <c r="H102" s="343"/>
      <c r="I102" s="344"/>
      <c r="J102" s="342"/>
      <c r="K102" s="343"/>
      <c r="L102" s="343"/>
      <c r="M102" s="343"/>
      <c r="N102" s="343"/>
      <c r="O102" s="343"/>
      <c r="P102" s="343"/>
      <c r="Q102" s="343"/>
      <c r="R102" s="345"/>
      <c r="S102" s="345">
        <f t="shared" si="25"/>
        <v>42.8700000000008</v>
      </c>
      <c r="T102" s="343"/>
      <c r="U102" s="343"/>
      <c r="V102" s="343"/>
      <c r="W102" s="343"/>
      <c r="X102" s="343"/>
      <c r="Y102" s="343"/>
      <c r="Z102" s="343"/>
      <c r="AA102" s="343"/>
      <c r="AB102" s="343"/>
      <c r="AC102" s="343"/>
      <c r="AD102" s="343"/>
      <c r="AE102" s="343"/>
      <c r="AF102" s="343"/>
      <c r="AG102" s="342"/>
      <c r="AH102" s="343" t="s">
        <v>695</v>
      </c>
      <c r="AI102" s="344"/>
      <c r="AJ102" s="343"/>
      <c r="AK102" s="343"/>
      <c r="AL102" s="343"/>
      <c r="AM102" s="343"/>
      <c r="AN102" s="347"/>
      <c r="AO102" s="347"/>
      <c r="AP102" s="347"/>
      <c r="AQ102" s="347">
        <f>+FL_1($T$103,$T$101,$G$102,1200,11.08,-1*$F$103)</f>
        <v>0.35691161450000003</v>
      </c>
      <c r="AR102" s="347"/>
      <c r="AS102" s="347"/>
      <c r="AT102" s="347"/>
      <c r="AU102" s="347"/>
      <c r="AV102" s="347"/>
      <c r="AW102" s="347"/>
      <c r="AX102" s="347"/>
      <c r="AY102" s="347" t="s">
        <v>695</v>
      </c>
      <c r="AZ102" s="347"/>
      <c r="BA102" s="347"/>
      <c r="BB102" s="306"/>
      <c r="BC102" s="307"/>
      <c r="BE102" s="298"/>
    </row>
    <row r="103" spans="1:57" ht="14.25">
      <c r="A103" s="340"/>
      <c r="B103" s="340" t="s">
        <v>2085</v>
      </c>
      <c r="C103" s="288">
        <f>+$C$101+$G$102</f>
        <v>12989</v>
      </c>
      <c r="D103" s="1121"/>
      <c r="E103" s="1121"/>
      <c r="F103" s="289">
        <v>0</v>
      </c>
      <c r="G103" s="292"/>
      <c r="H103" s="291"/>
      <c r="I103" s="291"/>
      <c r="J103" s="288"/>
      <c r="K103" s="1121"/>
      <c r="L103" s="1121" t="s">
        <v>230</v>
      </c>
      <c r="M103" s="1121" t="s">
        <v>2757</v>
      </c>
      <c r="N103" s="1121" t="s">
        <v>144</v>
      </c>
      <c r="O103" s="1121"/>
      <c r="P103" s="1121"/>
      <c r="Q103" s="1121">
        <v>0</v>
      </c>
      <c r="R103" s="289">
        <v>0</v>
      </c>
      <c r="S103" s="292"/>
      <c r="T103" s="1121">
        <v>-35</v>
      </c>
      <c r="U103" s="1121"/>
      <c r="V103" s="1121"/>
      <c r="W103" s="1121">
        <v>1.4</v>
      </c>
      <c r="X103" s="1121"/>
      <c r="Y103" s="1121"/>
      <c r="Z103" s="1121"/>
      <c r="AA103" s="1121"/>
      <c r="AB103" s="1121"/>
      <c r="AC103" s="1121" t="s">
        <v>2963</v>
      </c>
      <c r="AD103" s="1121"/>
      <c r="AE103" s="1121"/>
      <c r="AF103" s="1121">
        <v>6000</v>
      </c>
      <c r="AG103" s="288">
        <v>12988.77</v>
      </c>
      <c r="AH103" s="1121">
        <v>3252</v>
      </c>
      <c r="AI103" s="289">
        <v>805</v>
      </c>
      <c r="AJ103" s="1121"/>
      <c r="AK103" s="1121"/>
      <c r="AL103" s="1121"/>
      <c r="AM103" s="1121" t="s">
        <v>1228</v>
      </c>
      <c r="AN103" s="315">
        <v>5.5</v>
      </c>
      <c r="AO103" s="315"/>
      <c r="AP103" s="315"/>
      <c r="AQ103" s="315"/>
      <c r="AR103" s="315"/>
      <c r="AS103" s="315"/>
      <c r="AT103" s="315">
        <f>+ab($T$103,$T$101,$T$105,$G$102,$G$104,-1*$F$103,1200)</f>
        <v>-6.9188608432789271</v>
      </c>
      <c r="AU103" s="315"/>
      <c r="AV103" s="315"/>
      <c r="AW103" s="315" t="s">
        <v>2634</v>
      </c>
      <c r="AX103" s="315" t="s">
        <v>1641</v>
      </c>
      <c r="AY103" s="315">
        <v>4.2</v>
      </c>
      <c r="AZ103" s="315"/>
      <c r="BA103" s="315"/>
      <c r="BB103" s="306"/>
      <c r="BC103" s="307"/>
      <c r="BE103" s="298"/>
    </row>
    <row r="104" spans="1:57" ht="14.25">
      <c r="A104" s="340"/>
      <c r="B104" s="340"/>
      <c r="C104" s="288"/>
      <c r="D104" s="1121"/>
      <c r="E104" s="1121"/>
      <c r="F104" s="289"/>
      <c r="G104" s="292">
        <v>53</v>
      </c>
      <c r="H104" s="1121"/>
      <c r="I104" s="289"/>
      <c r="J104" s="288"/>
      <c r="K104" s="1121"/>
      <c r="L104" s="1121"/>
      <c r="M104" s="1121"/>
      <c r="N104" s="1121"/>
      <c r="O104" s="1121"/>
      <c r="P104" s="1121"/>
      <c r="Q104" s="1121"/>
      <c r="R104" s="292"/>
      <c r="S104" s="292">
        <f t="shared" ref="S104" si="26">+AG105-AG103</f>
        <v>53.18999999999869</v>
      </c>
      <c r="T104" s="1121"/>
      <c r="U104" s="1121"/>
      <c r="V104" s="1121"/>
      <c r="W104" s="1121"/>
      <c r="X104" s="1121"/>
      <c r="Y104" s="1121"/>
      <c r="Z104" s="1121"/>
      <c r="AA104" s="1121"/>
      <c r="AB104" s="1121"/>
      <c r="AC104" s="1121"/>
      <c r="AD104" s="1121"/>
      <c r="AE104" s="1121"/>
      <c r="AF104" s="1121"/>
      <c r="AG104" s="288"/>
      <c r="AH104" s="1121" t="s">
        <v>695</v>
      </c>
      <c r="AI104" s="289"/>
      <c r="AJ104" s="1121"/>
      <c r="AK104" s="1121"/>
      <c r="AL104" s="1121"/>
      <c r="AM104" s="1121"/>
      <c r="AN104" s="315"/>
      <c r="AO104" s="315"/>
      <c r="AP104" s="315"/>
      <c r="AQ104" s="315">
        <f>+FL_1($T$105,$T$103,$G$104,1200,9.28,-1*$F$105)</f>
        <v>0.33902960282728833</v>
      </c>
      <c r="AR104" s="315"/>
      <c r="AS104" s="315"/>
      <c r="AT104" s="315"/>
      <c r="AU104" s="315"/>
      <c r="AV104" s="315"/>
      <c r="AW104" s="315"/>
      <c r="AX104" s="315"/>
      <c r="AY104" s="315" t="s">
        <v>695</v>
      </c>
      <c r="AZ104" s="315"/>
      <c r="BA104" s="315"/>
      <c r="BB104" s="306"/>
      <c r="BC104" s="307"/>
      <c r="BE104" s="298"/>
    </row>
    <row r="105" spans="1:57" ht="14.25">
      <c r="A105" s="340"/>
      <c r="B105" s="340" t="s">
        <v>2086</v>
      </c>
      <c r="C105" s="288">
        <f>+$C$103+$G$104</f>
        <v>13042</v>
      </c>
      <c r="D105" s="1121"/>
      <c r="E105" s="1121"/>
      <c r="F105" s="289">
        <v>7500</v>
      </c>
      <c r="G105" s="292"/>
      <c r="H105" s="291"/>
      <c r="I105" s="291"/>
      <c r="J105" s="288"/>
      <c r="K105" s="1121"/>
      <c r="L105" s="1121" t="s">
        <v>230</v>
      </c>
      <c r="M105" s="1121" t="s">
        <v>2757</v>
      </c>
      <c r="N105" s="1121" t="s">
        <v>145</v>
      </c>
      <c r="O105" s="1121"/>
      <c r="P105" s="1121"/>
      <c r="Q105" s="1121">
        <v>13</v>
      </c>
      <c r="R105" s="292">
        <v>7653.42</v>
      </c>
      <c r="S105" s="292"/>
      <c r="T105" s="1121">
        <v>25</v>
      </c>
      <c r="U105" s="1121"/>
      <c r="V105" s="1121"/>
      <c r="W105" s="1121">
        <v>1.4</v>
      </c>
      <c r="X105" s="1121"/>
      <c r="Y105" s="1121"/>
      <c r="Z105" s="1121"/>
      <c r="AA105" s="1121"/>
      <c r="AB105" s="1121"/>
      <c r="AC105" s="1121" t="s">
        <v>1704</v>
      </c>
      <c r="AD105" s="1121"/>
      <c r="AE105" s="1121"/>
      <c r="AF105" s="1121">
        <v>6000</v>
      </c>
      <c r="AG105" s="288">
        <v>13041.96</v>
      </c>
      <c r="AH105" s="1121">
        <v>2560</v>
      </c>
      <c r="AI105" s="289">
        <v>691</v>
      </c>
      <c r="AJ105" s="1121"/>
      <c r="AK105" s="1121"/>
      <c r="AL105" s="1121"/>
      <c r="AM105" s="1121" t="s">
        <v>1228</v>
      </c>
      <c r="AN105" s="315">
        <v>5.5</v>
      </c>
      <c r="AO105" s="315"/>
      <c r="AP105" s="315"/>
      <c r="AQ105" s="315"/>
      <c r="AR105" s="315"/>
      <c r="AS105" s="315"/>
      <c r="AT105" s="315">
        <f>+ab($T$105,$T$103,$T$107,$G$104,$G$106,-1*$F$105,1200)</f>
        <v>16.262380597312411</v>
      </c>
      <c r="AU105" s="315"/>
      <c r="AV105" s="315"/>
      <c r="AW105" s="315" t="s">
        <v>2634</v>
      </c>
      <c r="AX105" s="315" t="s">
        <v>1641</v>
      </c>
      <c r="AY105" s="315">
        <v>4.2</v>
      </c>
      <c r="AZ105" s="315"/>
      <c r="BA105" s="315"/>
      <c r="BB105" s="306"/>
      <c r="BC105" s="307"/>
      <c r="BE105" s="298"/>
    </row>
    <row r="106" spans="1:57" ht="14.25">
      <c r="A106" s="340"/>
      <c r="B106" s="340"/>
      <c r="C106" s="288"/>
      <c r="D106" s="1121"/>
      <c r="E106" s="1121"/>
      <c r="F106" s="289"/>
      <c r="G106" s="292">
        <v>59</v>
      </c>
      <c r="H106" s="1121"/>
      <c r="I106" s="289"/>
      <c r="J106" s="288">
        <f>C107-7.5</f>
        <v>13093.5</v>
      </c>
      <c r="K106" s="1121" t="s">
        <v>3018</v>
      </c>
      <c r="L106" s="1121"/>
      <c r="M106" s="1121"/>
      <c r="N106" s="1121"/>
      <c r="O106" s="1121"/>
      <c r="P106" s="1121"/>
      <c r="Q106" s="1121"/>
      <c r="R106" s="292"/>
      <c r="S106" s="292">
        <f t="shared" ref="S106" si="27">+AG107-AG105</f>
        <v>59.080000000001746</v>
      </c>
      <c r="T106" s="1121"/>
      <c r="U106" s="1121"/>
      <c r="V106" s="1121"/>
      <c r="W106" s="1121"/>
      <c r="X106" s="1121"/>
      <c r="Y106" s="1121"/>
      <c r="Z106" s="1121"/>
      <c r="AA106" s="1121"/>
      <c r="AB106" s="1121"/>
      <c r="AC106" s="1121"/>
      <c r="AD106" s="1121"/>
      <c r="AE106" s="1121"/>
      <c r="AF106" s="1121"/>
      <c r="AG106" s="288"/>
      <c r="AH106" s="1121" t="s">
        <v>695</v>
      </c>
      <c r="AI106" s="289"/>
      <c r="AJ106" s="1121"/>
      <c r="AK106" s="1121"/>
      <c r="AL106" s="1121"/>
      <c r="AM106" s="1121"/>
      <c r="AN106" s="315"/>
      <c r="AO106" s="315"/>
      <c r="AP106" s="315"/>
      <c r="AQ106" s="315">
        <f>+FL_1($T$107,$T$105,$G$106,1200,9.28,-1*$F$107)</f>
        <v>0.47966983991245987</v>
      </c>
      <c r="AR106" s="315"/>
      <c r="AS106" s="315"/>
      <c r="AT106" s="315"/>
      <c r="AU106" s="315"/>
      <c r="AV106" s="315"/>
      <c r="AW106" s="315" t="s">
        <v>2634</v>
      </c>
      <c r="AX106" s="315" t="s">
        <v>1641</v>
      </c>
      <c r="AY106" s="315"/>
      <c r="AZ106" s="315">
        <v>3.5</v>
      </c>
      <c r="BA106" s="315"/>
      <c r="BB106" s="306"/>
      <c r="BC106" s="307"/>
      <c r="BE106" s="298"/>
    </row>
    <row r="107" spans="1:57" ht="14.25">
      <c r="A107" s="340"/>
      <c r="B107" s="340" t="s">
        <v>2087</v>
      </c>
      <c r="C107" s="288">
        <f>+$C$105+$G$106</f>
        <v>13101</v>
      </c>
      <c r="D107" s="1121"/>
      <c r="E107" s="1121"/>
      <c r="F107" s="289">
        <f t="shared" ref="F107" si="28">160*2000/(C107-13036)</f>
        <v>4923.0769230769229</v>
      </c>
      <c r="G107" s="292"/>
      <c r="H107" s="291" t="s">
        <v>954</v>
      </c>
      <c r="I107" s="291"/>
      <c r="J107" s="288"/>
      <c r="K107" s="1121"/>
      <c r="L107" s="1121" t="s">
        <v>231</v>
      </c>
      <c r="M107" s="1121" t="s">
        <v>2756</v>
      </c>
      <c r="N107" s="1121" t="s">
        <v>144</v>
      </c>
      <c r="O107" s="1121"/>
      <c r="P107" s="1121"/>
      <c r="Q107" s="1121">
        <v>55</v>
      </c>
      <c r="R107" s="292">
        <v>3298.53</v>
      </c>
      <c r="S107" s="292"/>
      <c r="T107" s="1121">
        <v>-20</v>
      </c>
      <c r="U107" s="1121"/>
      <c r="V107" s="1121"/>
      <c r="W107" s="1121">
        <v>1.4</v>
      </c>
      <c r="X107" s="1121"/>
      <c r="Y107" s="1121"/>
      <c r="Z107" s="1121"/>
      <c r="AA107" s="1121"/>
      <c r="AB107" s="1121"/>
      <c r="AC107" s="1121" t="s">
        <v>1704</v>
      </c>
      <c r="AD107" s="1121"/>
      <c r="AE107" s="1121"/>
      <c r="AF107" s="1121">
        <v>6000</v>
      </c>
      <c r="AG107" s="288">
        <v>13101.04</v>
      </c>
      <c r="AH107" s="1121">
        <v>2609</v>
      </c>
      <c r="AI107" s="289">
        <v>751</v>
      </c>
      <c r="AJ107" s="1121"/>
      <c r="AK107" s="1121"/>
      <c r="AL107" s="1121"/>
      <c r="AM107" s="1121" t="s">
        <v>1228</v>
      </c>
      <c r="AN107" s="315">
        <v>5.5</v>
      </c>
      <c r="AO107" s="315"/>
      <c r="AP107" s="315"/>
      <c r="AQ107" s="315"/>
      <c r="AR107" s="315"/>
      <c r="AS107" s="315"/>
      <c r="AT107" s="315">
        <f>+ab($T$107,$T$105,$T$109,$G$106,$G$108,-1*$F$107,1200)</f>
        <v>-10.821554153009133</v>
      </c>
      <c r="AU107" s="315"/>
      <c r="AV107" s="315"/>
      <c r="AW107" s="315" t="s">
        <v>2634</v>
      </c>
      <c r="AX107" s="315" t="s">
        <v>1641</v>
      </c>
      <c r="AY107" s="315">
        <v>4.2</v>
      </c>
      <c r="AZ107" s="315"/>
      <c r="BA107" s="315"/>
      <c r="BB107" s="306"/>
      <c r="BC107" s="307"/>
      <c r="BE107" s="298"/>
    </row>
    <row r="108" spans="1:57" ht="14.25">
      <c r="A108" s="340"/>
      <c r="B108" s="340"/>
      <c r="C108" s="288"/>
      <c r="D108" s="1121"/>
      <c r="E108" s="1121"/>
      <c r="F108" s="289"/>
      <c r="G108" s="292">
        <v>56</v>
      </c>
      <c r="H108" s="291"/>
      <c r="I108" s="294">
        <f>SUM(G86:G108)</f>
        <v>652</v>
      </c>
      <c r="J108" s="288"/>
      <c r="K108" s="1121"/>
      <c r="L108" s="1121"/>
      <c r="M108" s="1121"/>
      <c r="N108" s="1121"/>
      <c r="O108" s="1121"/>
      <c r="P108" s="1121"/>
      <c r="Q108" s="1121"/>
      <c r="R108" s="292"/>
      <c r="S108" s="292">
        <f t="shared" ref="S108" si="29">+AG109-AG107</f>
        <v>56.099999999998545</v>
      </c>
      <c r="T108" s="1121"/>
      <c r="U108" s="1121"/>
      <c r="V108" s="1121"/>
      <c r="W108" s="1121"/>
      <c r="X108" s="1121"/>
      <c r="Y108" s="1121"/>
      <c r="Z108" s="1121"/>
      <c r="AA108" s="1121"/>
      <c r="AB108" s="1121"/>
      <c r="AC108" s="1121"/>
      <c r="AD108" s="1121"/>
      <c r="AE108" s="1121"/>
      <c r="AF108" s="1121"/>
      <c r="AG108" s="288"/>
      <c r="AH108" s="1121" t="s">
        <v>695</v>
      </c>
      <c r="AI108" s="289"/>
      <c r="AJ108" s="1121"/>
      <c r="AK108" s="1121"/>
      <c r="AL108" s="1121"/>
      <c r="AM108" s="1121"/>
      <c r="AN108" s="315"/>
      <c r="AO108" s="315"/>
      <c r="AP108" s="315"/>
      <c r="AQ108" s="315">
        <f>+FL_2($T$109,$T$107,$G$108,1200,9.28,-1*$F$109)</f>
        <v>-0.40895202269985764</v>
      </c>
      <c r="AR108" s="315"/>
      <c r="AS108" s="315"/>
      <c r="AT108" s="315"/>
      <c r="AU108" s="315"/>
      <c r="AV108" s="315"/>
      <c r="AW108" s="315"/>
      <c r="AX108" s="315"/>
      <c r="AY108" s="315" t="s">
        <v>695</v>
      </c>
      <c r="AZ108" s="315"/>
      <c r="BA108" s="315"/>
      <c r="BB108" s="306"/>
      <c r="BC108" s="307"/>
      <c r="BE108" s="298"/>
    </row>
    <row r="109" spans="1:57" ht="14.25">
      <c r="A109" s="340"/>
      <c r="B109" s="340" t="s">
        <v>2088</v>
      </c>
      <c r="C109" s="288">
        <f>+$C$107+$G$108</f>
        <v>13157</v>
      </c>
      <c r="D109" s="1121"/>
      <c r="E109" s="1121"/>
      <c r="F109" s="289">
        <f t="shared" ref="F109" si="30">160*2000/(C109-13036)</f>
        <v>2644.6280991735539</v>
      </c>
      <c r="G109" s="292"/>
      <c r="H109" s="291" t="s">
        <v>955</v>
      </c>
      <c r="I109" s="291"/>
      <c r="J109" s="288"/>
      <c r="K109" s="1121"/>
      <c r="L109" s="1121" t="s">
        <v>231</v>
      </c>
      <c r="M109" s="1121" t="s">
        <v>2756</v>
      </c>
      <c r="N109" s="1121" t="s">
        <v>144</v>
      </c>
      <c r="O109" s="1121"/>
      <c r="P109" s="1121"/>
      <c r="Q109" s="1121">
        <v>96</v>
      </c>
      <c r="R109" s="292">
        <v>2156.25</v>
      </c>
      <c r="S109" s="292"/>
      <c r="T109" s="1121">
        <v>-30</v>
      </c>
      <c r="U109" s="1121"/>
      <c r="V109" s="1121"/>
      <c r="W109" s="1121">
        <v>1.4</v>
      </c>
      <c r="X109" s="1121"/>
      <c r="Y109" s="1121"/>
      <c r="Z109" s="1121"/>
      <c r="AA109" s="1121"/>
      <c r="AB109" s="1121"/>
      <c r="AC109" s="1121" t="s">
        <v>2963</v>
      </c>
      <c r="AD109" s="1121"/>
      <c r="AE109" s="1121"/>
      <c r="AF109" s="1121">
        <v>6000</v>
      </c>
      <c r="AG109" s="288">
        <v>13157.14</v>
      </c>
      <c r="AH109" s="1121">
        <v>2726</v>
      </c>
      <c r="AI109" s="289">
        <v>829</v>
      </c>
      <c r="AJ109" s="1121"/>
      <c r="AK109" s="1121"/>
      <c r="AL109" s="1121"/>
      <c r="AM109" s="1121" t="s">
        <v>1228</v>
      </c>
      <c r="AN109" s="315">
        <v>5.5</v>
      </c>
      <c r="AO109" s="315"/>
      <c r="AP109" s="315"/>
      <c r="AQ109" s="315"/>
      <c r="AR109" s="315"/>
      <c r="AS109" s="315"/>
      <c r="AT109" s="315">
        <f>+ab($T$109,$T$107,$T$111,$G$108,$G$110,-1*$F$109,1200)</f>
        <v>-8.2989072143285618</v>
      </c>
      <c r="AU109" s="315"/>
      <c r="AV109" s="315"/>
      <c r="AW109" s="315" t="s">
        <v>2634</v>
      </c>
      <c r="AX109" s="315" t="s">
        <v>1641</v>
      </c>
      <c r="AY109" s="315">
        <v>4.2</v>
      </c>
      <c r="AZ109" s="315"/>
      <c r="BA109" s="315"/>
      <c r="BB109" s="306"/>
      <c r="BC109" s="307"/>
      <c r="BE109" s="298"/>
    </row>
    <row r="110" spans="1:57" ht="14.25">
      <c r="A110" s="340"/>
      <c r="B110" s="340"/>
      <c r="C110" s="288"/>
      <c r="D110" s="1121"/>
      <c r="E110" s="1121"/>
      <c r="F110" s="289"/>
      <c r="G110" s="292">
        <v>56</v>
      </c>
      <c r="H110" s="291"/>
      <c r="I110" s="294">
        <f>SUM(G110:G134)</f>
        <v>668</v>
      </c>
      <c r="J110" s="288"/>
      <c r="K110" s="1121"/>
      <c r="L110" s="1121"/>
      <c r="M110" s="1121"/>
      <c r="N110" s="1121"/>
      <c r="O110" s="1121"/>
      <c r="P110" s="1121"/>
      <c r="Q110" s="1121"/>
      <c r="R110" s="292"/>
      <c r="S110" s="292">
        <f t="shared" ref="S110" si="31">+AG111-AG109</f>
        <v>55.850000000000364</v>
      </c>
      <c r="T110" s="1121"/>
      <c r="U110" s="1121"/>
      <c r="V110" s="1121"/>
      <c r="W110" s="1121"/>
      <c r="X110" s="1121"/>
      <c r="Y110" s="1121"/>
      <c r="Z110" s="1121"/>
      <c r="AA110" s="1121"/>
      <c r="AB110" s="1121"/>
      <c r="AC110" s="1121"/>
      <c r="AD110" s="1121"/>
      <c r="AE110" s="1121"/>
      <c r="AF110" s="1121"/>
      <c r="AG110" s="288"/>
      <c r="AH110" s="1121" t="s">
        <v>695</v>
      </c>
      <c r="AI110" s="289"/>
      <c r="AJ110" s="1121"/>
      <c r="AK110" s="1121"/>
      <c r="AL110" s="1121"/>
      <c r="AM110" s="1121"/>
      <c r="AN110" s="315"/>
      <c r="AO110" s="315"/>
      <c r="AP110" s="315"/>
      <c r="AQ110" s="315">
        <f>+FL_2($T$111,$T$109,$G$110,1200,9.28,-1*$F$111)</f>
        <v>-0.40713706172535702</v>
      </c>
      <c r="AR110" s="315"/>
      <c r="AS110" s="315"/>
      <c r="AT110" s="315"/>
      <c r="AU110" s="315"/>
      <c r="AV110" s="315"/>
      <c r="AW110" s="315"/>
      <c r="AX110" s="315"/>
      <c r="AY110" s="315" t="s">
        <v>695</v>
      </c>
      <c r="AZ110" s="315"/>
      <c r="BA110" s="315"/>
      <c r="BB110" s="306"/>
      <c r="BC110" s="307"/>
      <c r="BE110" s="298"/>
    </row>
    <row r="111" spans="1:57" ht="14.25">
      <c r="A111" s="340"/>
      <c r="B111" s="340" t="s">
        <v>2089</v>
      </c>
      <c r="C111" s="288">
        <f>+$C$109+$G$110</f>
        <v>13213</v>
      </c>
      <c r="D111" s="1121"/>
      <c r="E111" s="1121"/>
      <c r="F111" s="289">
        <v>2000</v>
      </c>
      <c r="G111" s="292"/>
      <c r="H111" s="1121" t="s">
        <v>954</v>
      </c>
      <c r="I111" s="289"/>
      <c r="J111" s="288"/>
      <c r="K111" s="1121"/>
      <c r="L111" s="1121" t="s">
        <v>231</v>
      </c>
      <c r="M111" s="1121" t="s">
        <v>2756</v>
      </c>
      <c r="N111" s="1121" t="s">
        <v>144</v>
      </c>
      <c r="O111" s="1121"/>
      <c r="P111" s="1121"/>
      <c r="Q111" s="1121">
        <v>123</v>
      </c>
      <c r="R111" s="292">
        <v>2004.7</v>
      </c>
      <c r="S111" s="292"/>
      <c r="T111" s="1121">
        <v>-30</v>
      </c>
      <c r="U111" s="1121"/>
      <c r="V111" s="1121"/>
      <c r="W111" s="1121">
        <v>1.4</v>
      </c>
      <c r="X111" s="1121"/>
      <c r="Y111" s="1121"/>
      <c r="Z111" s="1121"/>
      <c r="AA111" s="1121"/>
      <c r="AB111" s="1121"/>
      <c r="AC111" s="1121" t="s">
        <v>2963</v>
      </c>
      <c r="AD111" s="1121"/>
      <c r="AE111" s="1121"/>
      <c r="AF111" s="1121">
        <v>6000</v>
      </c>
      <c r="AG111" s="288">
        <v>13212.99</v>
      </c>
      <c r="AH111" s="1121">
        <v>2604</v>
      </c>
      <c r="AI111" s="289">
        <v>755</v>
      </c>
      <c r="AJ111" s="1121"/>
      <c r="AK111" s="1121"/>
      <c r="AL111" s="1121"/>
      <c r="AM111" s="1121" t="s">
        <v>1228</v>
      </c>
      <c r="AN111" s="315">
        <v>5.5</v>
      </c>
      <c r="AO111" s="315"/>
      <c r="AP111" s="315"/>
      <c r="AQ111" s="315"/>
      <c r="AR111" s="315"/>
      <c r="AS111" s="315"/>
      <c r="AT111" s="315">
        <f>+ab($T$111,$T$109,$T$113,$G$110,$G$112,-1*$F$111,1200)</f>
        <v>-6.820903141098448</v>
      </c>
      <c r="AU111" s="315"/>
      <c r="AV111" s="315"/>
      <c r="AW111" s="315" t="s">
        <v>2630</v>
      </c>
      <c r="AX111" s="315" t="s">
        <v>1641</v>
      </c>
      <c r="AY111" s="315">
        <v>4.2</v>
      </c>
      <c r="AZ111" s="315"/>
      <c r="BA111" s="315"/>
      <c r="BB111" s="306"/>
      <c r="BC111" s="307"/>
      <c r="BE111" s="298"/>
    </row>
    <row r="112" spans="1:57" ht="14.25">
      <c r="A112" s="340"/>
      <c r="B112" s="340"/>
      <c r="C112" s="288"/>
      <c r="D112" s="1121"/>
      <c r="E112" s="1121"/>
      <c r="F112" s="289"/>
      <c r="G112" s="292">
        <v>56</v>
      </c>
      <c r="H112" s="291"/>
      <c r="I112" s="291"/>
      <c r="J112" s="288">
        <f>C111+7.5</f>
        <v>13220.5</v>
      </c>
      <c r="K112" s="1121" t="s">
        <v>3018</v>
      </c>
      <c r="L112" s="1121"/>
      <c r="M112" s="1121"/>
      <c r="N112" s="1121"/>
      <c r="O112" s="1121"/>
      <c r="P112" s="1121"/>
      <c r="Q112" s="1121"/>
      <c r="R112" s="292"/>
      <c r="S112" s="292">
        <f t="shared" ref="S112" si="32">+AG113-AG111</f>
        <v>55.969999999999345</v>
      </c>
      <c r="T112" s="1121"/>
      <c r="U112" s="1121"/>
      <c r="V112" s="1121"/>
      <c r="W112" s="1121"/>
      <c r="X112" s="1121"/>
      <c r="Y112" s="1121"/>
      <c r="Z112" s="1121"/>
      <c r="AA112" s="1121"/>
      <c r="AB112" s="1121"/>
      <c r="AC112" s="1121"/>
      <c r="AD112" s="1121"/>
      <c r="AE112" s="1121"/>
      <c r="AF112" s="1121"/>
      <c r="AG112" s="288"/>
      <c r="AH112" s="1121" t="s">
        <v>695</v>
      </c>
      <c r="AI112" s="289"/>
      <c r="AJ112" s="1121"/>
      <c r="AK112" s="1121"/>
      <c r="AL112" s="1121"/>
      <c r="AM112" s="1121"/>
      <c r="AN112" s="315"/>
      <c r="AO112" s="315"/>
      <c r="AP112" s="315"/>
      <c r="AQ112" s="315">
        <f>+FL_2($T$113,$T$111,$G$112,1200,9.28,-1*$F$113)</f>
        <v>-0.40713706172535702</v>
      </c>
      <c r="AR112" s="315"/>
      <c r="AS112" s="315"/>
      <c r="AT112" s="315"/>
      <c r="AU112" s="315"/>
      <c r="AV112" s="315"/>
      <c r="AW112" s="315" t="s">
        <v>2630</v>
      </c>
      <c r="AX112" s="315" t="s">
        <v>1641</v>
      </c>
      <c r="AY112" s="315"/>
      <c r="AZ112" s="315">
        <v>3.5</v>
      </c>
      <c r="BA112" s="315"/>
      <c r="BB112" s="306"/>
      <c r="BC112" s="307"/>
      <c r="BE112" s="298"/>
    </row>
    <row r="113" spans="1:57" ht="14.25">
      <c r="A113" s="340"/>
      <c r="B113" s="340" t="s">
        <v>2090</v>
      </c>
      <c r="C113" s="288">
        <f>+$C$111+$G$112</f>
        <v>13269</v>
      </c>
      <c r="D113" s="1121"/>
      <c r="E113" s="1121"/>
      <c r="F113" s="289">
        <v>2000</v>
      </c>
      <c r="G113" s="292"/>
      <c r="H113" s="1121"/>
      <c r="I113" s="294"/>
      <c r="J113" s="288"/>
      <c r="K113" s="1121"/>
      <c r="L113" s="1121" t="s">
        <v>231</v>
      </c>
      <c r="M113" s="1121" t="s">
        <v>2756</v>
      </c>
      <c r="N113" s="1121" t="s">
        <v>144</v>
      </c>
      <c r="O113" s="1121"/>
      <c r="P113" s="1121"/>
      <c r="Q113" s="1121">
        <v>124</v>
      </c>
      <c r="R113" s="292">
        <v>2004.7</v>
      </c>
      <c r="S113" s="292"/>
      <c r="T113" s="1121">
        <v>-30</v>
      </c>
      <c r="U113" s="1121"/>
      <c r="V113" s="1121"/>
      <c r="W113" s="1121">
        <v>1.4</v>
      </c>
      <c r="X113" s="1121"/>
      <c r="Y113" s="1121"/>
      <c r="Z113" s="1121"/>
      <c r="AA113" s="1121"/>
      <c r="AB113" s="1121"/>
      <c r="AC113" s="1121" t="s">
        <v>2963</v>
      </c>
      <c r="AD113" s="1121"/>
      <c r="AE113" s="1121"/>
      <c r="AF113" s="1121">
        <v>6000</v>
      </c>
      <c r="AG113" s="288">
        <v>13268.96</v>
      </c>
      <c r="AH113" s="1121">
        <v>2623</v>
      </c>
      <c r="AI113" s="289">
        <v>837</v>
      </c>
      <c r="AJ113" s="1121"/>
      <c r="AK113" s="1121"/>
      <c r="AL113" s="1121"/>
      <c r="AM113" s="1121" t="s">
        <v>1228</v>
      </c>
      <c r="AN113" s="315">
        <v>5.5</v>
      </c>
      <c r="AO113" s="315"/>
      <c r="AP113" s="315"/>
      <c r="AQ113" s="315"/>
      <c r="AR113" s="315"/>
      <c r="AS113" s="315"/>
      <c r="AT113" s="315">
        <f>+ab($T$113,$T$111,$T$115,$G$112,$G$114,-1*$F$113,1200)</f>
        <v>-6.9437194600928631</v>
      </c>
      <c r="AU113" s="315"/>
      <c r="AV113" s="315"/>
      <c r="AW113" s="315" t="s">
        <v>2630</v>
      </c>
      <c r="AX113" s="315" t="s">
        <v>1641</v>
      </c>
      <c r="AY113" s="315">
        <v>4.2</v>
      </c>
      <c r="AZ113" s="315"/>
      <c r="BA113" s="315"/>
      <c r="BB113" s="306"/>
      <c r="BC113" s="307"/>
      <c r="BE113" s="298"/>
    </row>
    <row r="114" spans="1:57" ht="14.25">
      <c r="A114" s="340"/>
      <c r="B114" s="340"/>
      <c r="C114" s="288"/>
      <c r="D114" s="1121"/>
      <c r="E114" s="1121"/>
      <c r="F114" s="289"/>
      <c r="G114" s="292">
        <v>54</v>
      </c>
      <c r="H114" s="1121"/>
      <c r="I114" s="294"/>
      <c r="J114" s="288"/>
      <c r="K114" s="1121"/>
      <c r="L114" s="1121"/>
      <c r="M114" s="1121"/>
      <c r="N114" s="1121"/>
      <c r="O114" s="1121"/>
      <c r="P114" s="1121"/>
      <c r="Q114" s="1121"/>
      <c r="R114" s="292"/>
      <c r="S114" s="292">
        <f t="shared" ref="S114" si="33">+AG115-AG113</f>
        <v>53.920000000000073</v>
      </c>
      <c r="T114" s="1121"/>
      <c r="U114" s="1121"/>
      <c r="V114" s="1121"/>
      <c r="W114" s="1121"/>
      <c r="X114" s="1121"/>
      <c r="Y114" s="1121"/>
      <c r="Z114" s="1121"/>
      <c r="AA114" s="1121"/>
      <c r="AB114" s="1121"/>
      <c r="AC114" s="1121"/>
      <c r="AD114" s="1121"/>
      <c r="AE114" s="1121"/>
      <c r="AF114" s="1121"/>
      <c r="AG114" s="288"/>
      <c r="AH114" s="1121" t="s">
        <v>695</v>
      </c>
      <c r="AI114" s="289"/>
      <c r="AJ114" s="1121"/>
      <c r="AK114" s="1121"/>
      <c r="AL114" s="1121"/>
      <c r="AM114" s="1121"/>
      <c r="AN114" s="315"/>
      <c r="AO114" s="315"/>
      <c r="AP114" s="315"/>
      <c r="AQ114" s="315">
        <f>+FL_2($T$115,$T$113,$G$114,1200,9.28,-1*$F$115)</f>
        <v>-0.39962169547770721</v>
      </c>
      <c r="AR114" s="315"/>
      <c r="AS114" s="315"/>
      <c r="AT114" s="315"/>
      <c r="AU114" s="315"/>
      <c r="AV114" s="315"/>
      <c r="AW114" s="315"/>
      <c r="AX114" s="315"/>
      <c r="AY114" s="315" t="s">
        <v>695</v>
      </c>
      <c r="AZ114" s="315"/>
      <c r="BA114" s="315"/>
      <c r="BB114" s="306"/>
      <c r="BC114" s="307"/>
      <c r="BE114" s="298"/>
    </row>
    <row r="115" spans="1:57" ht="14.25">
      <c r="A115" s="340"/>
      <c r="B115" s="340" t="s">
        <v>2091</v>
      </c>
      <c r="C115" s="288">
        <f>+$C$113+$G$114</f>
        <v>13323</v>
      </c>
      <c r="D115" s="1121"/>
      <c r="E115" s="1121"/>
      <c r="F115" s="289">
        <v>2000</v>
      </c>
      <c r="G115" s="292"/>
      <c r="H115" s="1121"/>
      <c r="I115" s="294"/>
      <c r="J115" s="288"/>
      <c r="K115" s="1121"/>
      <c r="L115" s="1121" t="s">
        <v>231</v>
      </c>
      <c r="M115" s="1121" t="s">
        <v>2756</v>
      </c>
      <c r="N115" s="1121" t="s">
        <v>144</v>
      </c>
      <c r="O115" s="1121"/>
      <c r="P115" s="1121"/>
      <c r="Q115" s="1121">
        <v>128</v>
      </c>
      <c r="R115" s="292">
        <v>2004.7</v>
      </c>
      <c r="S115" s="292"/>
      <c r="T115" s="1121">
        <v>-30</v>
      </c>
      <c r="U115" s="1121"/>
      <c r="V115" s="1121"/>
      <c r="W115" s="1121">
        <v>1.4</v>
      </c>
      <c r="X115" s="1121"/>
      <c r="Y115" s="1121"/>
      <c r="Z115" s="1121"/>
      <c r="AA115" s="1121"/>
      <c r="AB115" s="1121"/>
      <c r="AC115" s="1121" t="s">
        <v>2963</v>
      </c>
      <c r="AD115" s="1121"/>
      <c r="AE115" s="1121"/>
      <c r="AF115" s="1121">
        <v>6000</v>
      </c>
      <c r="AG115" s="288">
        <v>13322.88</v>
      </c>
      <c r="AH115" s="1121">
        <v>2644</v>
      </c>
      <c r="AI115" s="289">
        <v>799</v>
      </c>
      <c r="AJ115" s="1121"/>
      <c r="AK115" s="1121"/>
      <c r="AL115" s="1121"/>
      <c r="AM115" s="1121" t="s">
        <v>1228</v>
      </c>
      <c r="AN115" s="315">
        <v>5.5</v>
      </c>
      <c r="AO115" s="315"/>
      <c r="AP115" s="315"/>
      <c r="AQ115" s="315"/>
      <c r="AR115" s="315"/>
      <c r="AS115" s="315"/>
      <c r="AT115" s="315">
        <f>+ab($T$115,$T$113,$T$117,$G$114,$G$116,-1*$F$115,1200)</f>
        <v>-7.3400671642256503</v>
      </c>
      <c r="AU115" s="315"/>
      <c r="AV115" s="315"/>
      <c r="AW115" s="315" t="s">
        <v>2630</v>
      </c>
      <c r="AX115" s="315" t="s">
        <v>1641</v>
      </c>
      <c r="AY115" s="315">
        <v>4.2</v>
      </c>
      <c r="AZ115" s="315"/>
      <c r="BA115" s="315"/>
      <c r="BB115" s="306"/>
      <c r="BC115" s="307"/>
      <c r="BE115" s="298"/>
    </row>
    <row r="116" spans="1:57" ht="14.25">
      <c r="A116" s="340"/>
      <c r="B116" s="340"/>
      <c r="C116" s="288"/>
      <c r="D116" s="1121"/>
      <c r="E116" s="1121"/>
      <c r="F116" s="289"/>
      <c r="G116" s="292">
        <v>50</v>
      </c>
      <c r="H116" s="1121"/>
      <c r="I116" s="294"/>
      <c r="J116" s="288"/>
      <c r="K116" s="1121"/>
      <c r="L116" s="1121"/>
      <c r="M116" s="1121"/>
      <c r="N116" s="1121"/>
      <c r="O116" s="1121"/>
      <c r="P116" s="1121"/>
      <c r="Q116" s="1121"/>
      <c r="R116" s="292"/>
      <c r="S116" s="292">
        <f t="shared" ref="S116" si="34">+AG117-AG115</f>
        <v>49.970000000001164</v>
      </c>
      <c r="T116" s="1121"/>
      <c r="U116" s="1121"/>
      <c r="V116" s="1121"/>
      <c r="W116" s="1121"/>
      <c r="X116" s="1121"/>
      <c r="Y116" s="1121"/>
      <c r="Z116" s="1121"/>
      <c r="AA116" s="1121"/>
      <c r="AB116" s="1121"/>
      <c r="AC116" s="1121"/>
      <c r="AD116" s="1121"/>
      <c r="AE116" s="1121"/>
      <c r="AF116" s="1121"/>
      <c r="AG116" s="288"/>
      <c r="AH116" s="1121" t="s">
        <v>695</v>
      </c>
      <c r="AI116" s="289"/>
      <c r="AJ116" s="1121"/>
      <c r="AK116" s="1121"/>
      <c r="AL116" s="1121"/>
      <c r="AM116" s="1121"/>
      <c r="AN116" s="315"/>
      <c r="AO116" s="315"/>
      <c r="AP116" s="315"/>
      <c r="AQ116" s="315">
        <f>+FL_2($T$117,$T$115,$G$116,1200,9.28,-1*$F$117)</f>
        <v>-0.38541056267414808</v>
      </c>
      <c r="AR116" s="315"/>
      <c r="AS116" s="315"/>
      <c r="AT116" s="315"/>
      <c r="AU116" s="315"/>
      <c r="AV116" s="315"/>
      <c r="AW116" s="315"/>
      <c r="AX116" s="315"/>
      <c r="AY116" s="315" t="s">
        <v>695</v>
      </c>
      <c r="AZ116" s="315"/>
      <c r="BA116" s="315"/>
      <c r="BB116" s="306"/>
      <c r="BC116" s="307"/>
      <c r="BE116" s="298"/>
    </row>
    <row r="117" spans="1:57" ht="14.25">
      <c r="A117" s="340"/>
      <c r="B117" s="340" t="s">
        <v>2092</v>
      </c>
      <c r="C117" s="288">
        <f>+$C$115+$G$116</f>
        <v>13373</v>
      </c>
      <c r="D117" s="1121"/>
      <c r="E117" s="1121"/>
      <c r="F117" s="289">
        <v>2000</v>
      </c>
      <c r="G117" s="292"/>
      <c r="H117" s="1121"/>
      <c r="I117" s="294"/>
      <c r="J117" s="288"/>
      <c r="K117" s="1121"/>
      <c r="L117" s="1121" t="s">
        <v>231</v>
      </c>
      <c r="M117" s="1121" t="s">
        <v>2756</v>
      </c>
      <c r="N117" s="1121" t="s">
        <v>144</v>
      </c>
      <c r="O117" s="1121"/>
      <c r="P117" s="1121"/>
      <c r="Q117" s="1121">
        <v>106</v>
      </c>
      <c r="R117" s="292">
        <v>2004.7</v>
      </c>
      <c r="S117" s="292"/>
      <c r="T117" s="1121">
        <v>-30</v>
      </c>
      <c r="U117" s="1121"/>
      <c r="V117" s="1121"/>
      <c r="W117" s="1121">
        <v>1.4</v>
      </c>
      <c r="X117" s="1121"/>
      <c r="Y117" s="1121"/>
      <c r="Z117" s="1121"/>
      <c r="AA117" s="1121"/>
      <c r="AB117" s="1121"/>
      <c r="AC117" s="1121" t="s">
        <v>2963</v>
      </c>
      <c r="AD117" s="1121"/>
      <c r="AE117" s="1121"/>
      <c r="AF117" s="1121">
        <v>6000</v>
      </c>
      <c r="AG117" s="288">
        <v>13372.85</v>
      </c>
      <c r="AH117" s="1121">
        <v>2497</v>
      </c>
      <c r="AI117" s="289">
        <v>765</v>
      </c>
      <c r="AJ117" s="1121"/>
      <c r="AK117" s="1121"/>
      <c r="AL117" s="1121"/>
      <c r="AM117" s="1121" t="s">
        <v>1228</v>
      </c>
      <c r="AN117" s="315">
        <v>5.5</v>
      </c>
      <c r="AO117" s="315"/>
      <c r="AP117" s="315"/>
      <c r="AQ117" s="315"/>
      <c r="AR117" s="315"/>
      <c r="AS117" s="315"/>
      <c r="AT117" s="315">
        <f>+ab($T$117,$T$115,$T$119,$G$116,$G$118,-1*$F$117,1200)</f>
        <v>-7.6302760504335234</v>
      </c>
      <c r="AU117" s="315"/>
      <c r="AV117" s="315"/>
      <c r="AW117" s="315" t="s">
        <v>2630</v>
      </c>
      <c r="AX117" s="315" t="s">
        <v>1641</v>
      </c>
      <c r="AY117" s="315">
        <v>4.2</v>
      </c>
      <c r="AZ117" s="315"/>
      <c r="BA117" s="315"/>
      <c r="BB117" s="306"/>
      <c r="BC117" s="307"/>
      <c r="BE117" s="298"/>
    </row>
    <row r="118" spans="1:57" ht="14.25">
      <c r="A118" s="340"/>
      <c r="B118" s="340"/>
      <c r="C118" s="288"/>
      <c r="D118" s="1121"/>
      <c r="E118" s="1121"/>
      <c r="F118" s="289"/>
      <c r="G118" s="292">
        <v>50</v>
      </c>
      <c r="H118" s="1121"/>
      <c r="I118" s="294"/>
      <c r="J118" s="288"/>
      <c r="K118" s="1121"/>
      <c r="L118" s="1121"/>
      <c r="M118" s="1121"/>
      <c r="N118" s="1121"/>
      <c r="O118" s="1121"/>
      <c r="P118" s="1121"/>
      <c r="Q118" s="1121"/>
      <c r="R118" s="292"/>
      <c r="S118" s="292">
        <f t="shared" ref="S118" si="35">+AG119-AG117</f>
        <v>50.049999999999272</v>
      </c>
      <c r="T118" s="1121"/>
      <c r="U118" s="1121"/>
      <c r="V118" s="1121"/>
      <c r="W118" s="1121"/>
      <c r="X118" s="1121"/>
      <c r="Y118" s="1121"/>
      <c r="Z118" s="1121"/>
      <c r="AA118" s="1121"/>
      <c r="AB118" s="1121"/>
      <c r="AC118" s="1121"/>
      <c r="AD118" s="1121"/>
      <c r="AE118" s="1121"/>
      <c r="AF118" s="1121"/>
      <c r="AG118" s="288"/>
      <c r="AH118" s="1121" t="s">
        <v>695</v>
      </c>
      <c r="AI118" s="289"/>
      <c r="AJ118" s="1121"/>
      <c r="AK118" s="1121"/>
      <c r="AL118" s="1121"/>
      <c r="AM118" s="1121"/>
      <c r="AN118" s="315"/>
      <c r="AO118" s="315"/>
      <c r="AP118" s="315"/>
      <c r="AQ118" s="315">
        <f>+FL_2($T$119,$T$117,$G$118,1200,9.28,-1*$F$119)</f>
        <v>-0.38541056267414808</v>
      </c>
      <c r="AR118" s="315"/>
      <c r="AS118" s="315"/>
      <c r="AT118" s="315"/>
      <c r="AU118" s="315"/>
      <c r="AV118" s="315"/>
      <c r="AW118" s="315"/>
      <c r="AX118" s="315"/>
      <c r="AY118" s="315" t="s">
        <v>695</v>
      </c>
      <c r="AZ118" s="315"/>
      <c r="BA118" s="315"/>
      <c r="BB118" s="306"/>
      <c r="BC118" s="307"/>
      <c r="BE118" s="298"/>
    </row>
    <row r="119" spans="1:57" ht="14.25">
      <c r="A119" s="340"/>
      <c r="B119" s="340" t="s">
        <v>2093</v>
      </c>
      <c r="C119" s="288">
        <f>+$C$117+$G$118</f>
        <v>13423</v>
      </c>
      <c r="D119" s="1121"/>
      <c r="E119" s="1121"/>
      <c r="F119" s="289">
        <v>2000</v>
      </c>
      <c r="G119" s="292"/>
      <c r="H119" s="1121"/>
      <c r="I119" s="294"/>
      <c r="J119" s="288"/>
      <c r="K119" s="1121"/>
      <c r="L119" s="1121" t="s">
        <v>231</v>
      </c>
      <c r="M119" s="1121" t="s">
        <v>2756</v>
      </c>
      <c r="N119" s="1121" t="s">
        <v>144</v>
      </c>
      <c r="O119" s="1121"/>
      <c r="P119" s="1121"/>
      <c r="Q119" s="1121">
        <v>128</v>
      </c>
      <c r="R119" s="292">
        <v>2004.7</v>
      </c>
      <c r="S119" s="292"/>
      <c r="T119" s="1121">
        <v>-30</v>
      </c>
      <c r="U119" s="1121"/>
      <c r="V119" s="1121"/>
      <c r="W119" s="1121">
        <v>1.4</v>
      </c>
      <c r="X119" s="1121"/>
      <c r="Y119" s="1121"/>
      <c r="Z119" s="1121"/>
      <c r="AA119" s="1121"/>
      <c r="AB119" s="1121"/>
      <c r="AC119" s="1121" t="s">
        <v>2963</v>
      </c>
      <c r="AD119" s="1121"/>
      <c r="AE119" s="1121"/>
      <c r="AF119" s="1121">
        <v>6000</v>
      </c>
      <c r="AG119" s="288">
        <v>13422.9</v>
      </c>
      <c r="AH119" s="1121">
        <v>2603</v>
      </c>
      <c r="AI119" s="289">
        <v>785</v>
      </c>
      <c r="AJ119" s="1121"/>
      <c r="AK119" s="1121"/>
      <c r="AL119" s="1121"/>
      <c r="AM119" s="1121" t="s">
        <v>1228</v>
      </c>
      <c r="AN119" s="315">
        <v>5.5</v>
      </c>
      <c r="AO119" s="315"/>
      <c r="AP119" s="315"/>
      <c r="AQ119" s="315"/>
      <c r="AR119" s="315"/>
      <c r="AS119" s="315"/>
      <c r="AT119" s="315">
        <f>+ab($T$119,$T$117,$T$121,$G$118,$G$120,-1*$F$119,1200)</f>
        <v>-7.6302760504335234</v>
      </c>
      <c r="AU119" s="315"/>
      <c r="AV119" s="315"/>
      <c r="AW119" s="315" t="s">
        <v>2630</v>
      </c>
      <c r="AX119" s="315" t="s">
        <v>1641</v>
      </c>
      <c r="AY119" s="315">
        <v>4.2</v>
      </c>
      <c r="AZ119" s="315"/>
      <c r="BA119" s="315"/>
      <c r="BB119" s="306"/>
      <c r="BC119" s="307"/>
      <c r="BE119" s="298"/>
    </row>
    <row r="120" spans="1:57" ht="14.25">
      <c r="A120" s="340"/>
      <c r="B120" s="340"/>
      <c r="C120" s="288"/>
      <c r="D120" s="1121"/>
      <c r="E120" s="1121"/>
      <c r="F120" s="289"/>
      <c r="G120" s="292">
        <v>50</v>
      </c>
      <c r="H120" s="1121"/>
      <c r="I120" s="289"/>
      <c r="J120" s="288"/>
      <c r="K120" s="1121"/>
      <c r="L120" s="1121"/>
      <c r="M120" s="1121"/>
      <c r="N120" s="1121"/>
      <c r="O120" s="1121"/>
      <c r="P120" s="1121"/>
      <c r="Q120" s="1121"/>
      <c r="R120" s="292"/>
      <c r="S120" s="292">
        <f t="shared" ref="S120" si="36">+AG121-AG119</f>
        <v>50.050000000001091</v>
      </c>
      <c r="T120" s="1121"/>
      <c r="U120" s="1121"/>
      <c r="V120" s="1121"/>
      <c r="W120" s="1121"/>
      <c r="X120" s="1121"/>
      <c r="Y120" s="1121"/>
      <c r="Z120" s="1121"/>
      <c r="AA120" s="1121"/>
      <c r="AB120" s="1121"/>
      <c r="AC120" s="1121"/>
      <c r="AD120" s="1121"/>
      <c r="AE120" s="1121"/>
      <c r="AF120" s="1121"/>
      <c r="AG120" s="288"/>
      <c r="AH120" s="1121" t="s">
        <v>695</v>
      </c>
      <c r="AI120" s="289"/>
      <c r="AJ120" s="1121"/>
      <c r="AK120" s="1121"/>
      <c r="AL120" s="1121"/>
      <c r="AM120" s="1121"/>
      <c r="AN120" s="315"/>
      <c r="AO120" s="315"/>
      <c r="AP120" s="315"/>
      <c r="AQ120" s="315">
        <f>+FL_2($T$121,$T$119,$G$120,1200,9.28,-1*$F$121)</f>
        <v>-0.38541056267414808</v>
      </c>
      <c r="AR120" s="315"/>
      <c r="AS120" s="315"/>
      <c r="AT120" s="315"/>
      <c r="AU120" s="315"/>
      <c r="AV120" s="315"/>
      <c r="AW120" s="315"/>
      <c r="AX120" s="315"/>
      <c r="AY120" s="315" t="s">
        <v>695</v>
      </c>
      <c r="AZ120" s="315"/>
      <c r="BA120" s="315"/>
      <c r="BB120" s="306"/>
      <c r="BC120" s="307"/>
      <c r="BE120" s="298"/>
    </row>
    <row r="121" spans="1:57" ht="14.25">
      <c r="A121" s="340"/>
      <c r="B121" s="340" t="s">
        <v>2094</v>
      </c>
      <c r="C121" s="288">
        <f>+$C$119+$G$120</f>
        <v>13473</v>
      </c>
      <c r="D121" s="1121"/>
      <c r="E121" s="1121"/>
      <c r="F121" s="289">
        <v>2000</v>
      </c>
      <c r="G121" s="292"/>
      <c r="H121" s="291"/>
      <c r="I121" s="291"/>
      <c r="J121" s="288"/>
      <c r="K121" s="1121"/>
      <c r="L121" s="1121" t="s">
        <v>231</v>
      </c>
      <c r="M121" s="1121" t="s">
        <v>2756</v>
      </c>
      <c r="N121" s="1121" t="s">
        <v>144</v>
      </c>
      <c r="O121" s="1121"/>
      <c r="P121" s="1121"/>
      <c r="Q121" s="1121">
        <v>127</v>
      </c>
      <c r="R121" s="292">
        <v>2004.7</v>
      </c>
      <c r="S121" s="292"/>
      <c r="T121" s="1121">
        <v>-30</v>
      </c>
      <c r="U121" s="1121"/>
      <c r="V121" s="1121"/>
      <c r="W121" s="1121">
        <v>1.4</v>
      </c>
      <c r="X121" s="1121"/>
      <c r="Y121" s="1121"/>
      <c r="Z121" s="1121"/>
      <c r="AA121" s="1121"/>
      <c r="AB121" s="1121"/>
      <c r="AC121" s="1121" t="s">
        <v>2963</v>
      </c>
      <c r="AD121" s="1121"/>
      <c r="AE121" s="1121"/>
      <c r="AF121" s="1121">
        <v>6000</v>
      </c>
      <c r="AG121" s="288">
        <v>13472.95</v>
      </c>
      <c r="AH121" s="1121">
        <v>2653</v>
      </c>
      <c r="AI121" s="289">
        <v>799</v>
      </c>
      <c r="AJ121" s="1121"/>
      <c r="AK121" s="1121"/>
      <c r="AL121" s="1121"/>
      <c r="AM121" s="1121" t="s">
        <v>1228</v>
      </c>
      <c r="AN121" s="315">
        <v>5.5</v>
      </c>
      <c r="AO121" s="315"/>
      <c r="AP121" s="315"/>
      <c r="AQ121" s="315"/>
      <c r="AR121" s="315"/>
      <c r="AS121" s="315"/>
      <c r="AT121" s="315">
        <f>+ab($T$121,$T$119,$T$123,$G$120,$G$122,-1*$F$121,1200)</f>
        <v>-7.6302760504335234</v>
      </c>
      <c r="AU121" s="315"/>
      <c r="AV121" s="315"/>
      <c r="AW121" s="315" t="s">
        <v>2630</v>
      </c>
      <c r="AX121" s="315" t="s">
        <v>1641</v>
      </c>
      <c r="AY121" s="315">
        <v>4.2</v>
      </c>
      <c r="AZ121" s="315"/>
      <c r="BA121" s="315"/>
      <c r="BB121" s="306"/>
      <c r="BC121" s="307"/>
      <c r="BE121" s="298"/>
    </row>
    <row r="122" spans="1:57" ht="14.25">
      <c r="A122" s="340"/>
      <c r="B122" s="340"/>
      <c r="C122" s="288"/>
      <c r="D122" s="1121"/>
      <c r="E122" s="1121"/>
      <c r="F122" s="289"/>
      <c r="G122" s="292">
        <v>50</v>
      </c>
      <c r="H122" s="291"/>
      <c r="I122" s="294"/>
      <c r="J122" s="288"/>
      <c r="K122" s="1121"/>
      <c r="L122" s="1121"/>
      <c r="M122" s="1121"/>
      <c r="N122" s="1121"/>
      <c r="O122" s="1121"/>
      <c r="P122" s="1121"/>
      <c r="Q122" s="1121"/>
      <c r="R122" s="292"/>
      <c r="S122" s="292">
        <f t="shared" ref="S122" si="37">+AG123-AG121</f>
        <v>50.019999999998618</v>
      </c>
      <c r="T122" s="1121"/>
      <c r="U122" s="1121"/>
      <c r="V122" s="1121"/>
      <c r="W122" s="1121"/>
      <c r="X122" s="1121"/>
      <c r="Y122" s="1121"/>
      <c r="Z122" s="1121"/>
      <c r="AA122" s="1121"/>
      <c r="AB122" s="1121"/>
      <c r="AC122" s="1121"/>
      <c r="AD122" s="1121"/>
      <c r="AE122" s="1121"/>
      <c r="AF122" s="1121"/>
      <c r="AG122" s="288"/>
      <c r="AH122" s="1121" t="s">
        <v>695</v>
      </c>
      <c r="AI122" s="289"/>
      <c r="AJ122" s="1121"/>
      <c r="AK122" s="1121"/>
      <c r="AL122" s="1121"/>
      <c r="AM122" s="1121"/>
      <c r="AN122" s="315"/>
      <c r="AO122" s="315"/>
      <c r="AP122" s="315"/>
      <c r="AQ122" s="315">
        <f>+FL_2($T$123,$T$121,$G$122,1200,9.28,-1*$F$123)</f>
        <v>-0.38541056267414808</v>
      </c>
      <c r="AR122" s="315"/>
      <c r="AS122" s="315"/>
      <c r="AT122" s="315"/>
      <c r="AU122" s="315"/>
      <c r="AV122" s="315"/>
      <c r="AW122" s="315"/>
      <c r="AX122" s="315"/>
      <c r="AY122" s="315" t="s">
        <v>695</v>
      </c>
      <c r="AZ122" s="315"/>
      <c r="BA122" s="315"/>
      <c r="BB122" s="306"/>
      <c r="BC122" s="307"/>
      <c r="BE122" s="298"/>
    </row>
    <row r="123" spans="1:57" ht="14.25">
      <c r="A123" s="340"/>
      <c r="B123" s="340" t="s">
        <v>2095</v>
      </c>
      <c r="C123" s="288">
        <f>+$C$121+$G$122</f>
        <v>13523</v>
      </c>
      <c r="D123" s="1121"/>
      <c r="E123" s="1121"/>
      <c r="F123" s="289">
        <v>2000</v>
      </c>
      <c r="G123" s="292"/>
      <c r="H123" s="291"/>
      <c r="I123" s="291"/>
      <c r="J123" s="288"/>
      <c r="K123" s="1121"/>
      <c r="L123" s="1121" t="s">
        <v>231</v>
      </c>
      <c r="M123" s="1121" t="s">
        <v>2756</v>
      </c>
      <c r="N123" s="1121" t="s">
        <v>144</v>
      </c>
      <c r="O123" s="1121"/>
      <c r="P123" s="1121"/>
      <c r="Q123" s="1121">
        <v>127</v>
      </c>
      <c r="R123" s="292">
        <v>2004.7</v>
      </c>
      <c r="S123" s="292"/>
      <c r="T123" s="1121">
        <v>-30</v>
      </c>
      <c r="U123" s="1121"/>
      <c r="V123" s="1121"/>
      <c r="W123" s="1121">
        <v>1.4</v>
      </c>
      <c r="X123" s="1121"/>
      <c r="Y123" s="1121"/>
      <c r="Z123" s="1121"/>
      <c r="AA123" s="1121"/>
      <c r="AB123" s="1121"/>
      <c r="AC123" s="1121" t="s">
        <v>2963</v>
      </c>
      <c r="AD123" s="1121"/>
      <c r="AE123" s="1121"/>
      <c r="AF123" s="1121">
        <v>6000</v>
      </c>
      <c r="AG123" s="288">
        <v>13522.97</v>
      </c>
      <c r="AH123" s="1121">
        <v>2538</v>
      </c>
      <c r="AI123" s="289">
        <v>758</v>
      </c>
      <c r="AJ123" s="1121"/>
      <c r="AK123" s="1121"/>
      <c r="AL123" s="1121"/>
      <c r="AM123" s="1121" t="s">
        <v>1228</v>
      </c>
      <c r="AN123" s="315">
        <v>5.5</v>
      </c>
      <c r="AO123" s="315"/>
      <c r="AP123" s="315"/>
      <c r="AQ123" s="315"/>
      <c r="AR123" s="315"/>
      <c r="AS123" s="315"/>
      <c r="AT123" s="315">
        <f>+ab($T$123,$T$121,$T$125,$G$122,$G$124,-1*$F$123,1200)</f>
        <v>-8.0267638533087418</v>
      </c>
      <c r="AU123" s="315"/>
      <c r="AV123" s="315"/>
      <c r="AW123" s="315" t="s">
        <v>2630</v>
      </c>
      <c r="AX123" s="315" t="s">
        <v>1641</v>
      </c>
      <c r="AY123" s="315">
        <v>4.2</v>
      </c>
      <c r="AZ123" s="315"/>
      <c r="BA123" s="315"/>
      <c r="BB123" s="306"/>
      <c r="BC123" s="307"/>
      <c r="BE123" s="298"/>
    </row>
    <row r="124" spans="1:57" ht="14.25">
      <c r="A124" s="340"/>
      <c r="B124" s="340"/>
      <c r="C124" s="288"/>
      <c r="D124" s="1121"/>
      <c r="E124" s="1121"/>
      <c r="F124" s="289"/>
      <c r="G124" s="292">
        <v>45</v>
      </c>
      <c r="H124" s="291"/>
      <c r="I124" s="294"/>
      <c r="J124" s="288"/>
      <c r="K124" s="1121"/>
      <c r="L124" s="1121"/>
      <c r="M124" s="1121"/>
      <c r="N124" s="1121"/>
      <c r="O124" s="1121"/>
      <c r="P124" s="1121"/>
      <c r="Q124" s="1121"/>
      <c r="R124" s="292"/>
      <c r="S124" s="292">
        <f t="shared" ref="S124" si="38">+AG125-AG123</f>
        <v>44.909999999999854</v>
      </c>
      <c r="T124" s="1121"/>
      <c r="U124" s="1121"/>
      <c r="V124" s="1121"/>
      <c r="W124" s="1121"/>
      <c r="X124" s="1121"/>
      <c r="Y124" s="1121"/>
      <c r="Z124" s="1121"/>
      <c r="AA124" s="1121"/>
      <c r="AB124" s="1121"/>
      <c r="AC124" s="1121"/>
      <c r="AD124" s="1121"/>
      <c r="AE124" s="1121"/>
      <c r="AF124" s="1121"/>
      <c r="AG124" s="288"/>
      <c r="AH124" s="1121" t="s">
        <v>695</v>
      </c>
      <c r="AI124" s="289"/>
      <c r="AJ124" s="1121"/>
      <c r="AK124" s="1121"/>
      <c r="AL124" s="1121"/>
      <c r="AM124" s="1121"/>
      <c r="AN124" s="315"/>
      <c r="AO124" s="315"/>
      <c r="AP124" s="315"/>
      <c r="AQ124" s="315">
        <f>+FL_2($T$125,$T$123,$G$124,1200,9.28,-1*$F$125)</f>
        <v>-0.36918349523007415</v>
      </c>
      <c r="AR124" s="315"/>
      <c r="AS124" s="315"/>
      <c r="AT124" s="315"/>
      <c r="AU124" s="315"/>
      <c r="AV124" s="315"/>
      <c r="AW124" s="315"/>
      <c r="AX124" s="315"/>
      <c r="AY124" s="315" t="s">
        <v>695</v>
      </c>
      <c r="AZ124" s="315"/>
      <c r="BA124" s="315"/>
      <c r="BB124" s="306"/>
      <c r="BC124" s="307"/>
      <c r="BE124" s="298"/>
    </row>
    <row r="125" spans="1:57" ht="14.25">
      <c r="A125" s="340"/>
      <c r="B125" s="340" t="s">
        <v>2096</v>
      </c>
      <c r="C125" s="288">
        <f>+$C$123+$G$124</f>
        <v>13568</v>
      </c>
      <c r="D125" s="1121"/>
      <c r="E125" s="1121"/>
      <c r="F125" s="289">
        <v>2000</v>
      </c>
      <c r="G125" s="292"/>
      <c r="H125" s="1121"/>
      <c r="I125" s="289"/>
      <c r="J125" s="288"/>
      <c r="K125" s="1121"/>
      <c r="L125" s="1121" t="s">
        <v>231</v>
      </c>
      <c r="M125" s="1121" t="s">
        <v>2756</v>
      </c>
      <c r="N125" s="1121" t="s">
        <v>144</v>
      </c>
      <c r="O125" s="1121"/>
      <c r="P125" s="1121"/>
      <c r="Q125" s="1121">
        <v>131</v>
      </c>
      <c r="R125" s="292">
        <v>2004.7</v>
      </c>
      <c r="S125" s="292"/>
      <c r="T125" s="1121">
        <v>-30</v>
      </c>
      <c r="U125" s="1121"/>
      <c r="V125" s="1121"/>
      <c r="W125" s="1121">
        <v>1.4</v>
      </c>
      <c r="X125" s="1121"/>
      <c r="Y125" s="1121"/>
      <c r="Z125" s="1121"/>
      <c r="AA125" s="1121"/>
      <c r="AB125" s="1121"/>
      <c r="AC125" s="1121" t="s">
        <v>2963</v>
      </c>
      <c r="AD125" s="1121"/>
      <c r="AE125" s="1121"/>
      <c r="AF125" s="1121">
        <v>6000</v>
      </c>
      <c r="AG125" s="288">
        <v>13567.88</v>
      </c>
      <c r="AH125" s="1121">
        <v>2600</v>
      </c>
      <c r="AI125" s="289">
        <v>765</v>
      </c>
      <c r="AJ125" s="1121"/>
      <c r="AK125" s="1121"/>
      <c r="AL125" s="1121"/>
      <c r="AM125" s="1121" t="s">
        <v>1228</v>
      </c>
      <c r="AN125" s="315">
        <v>5.5</v>
      </c>
      <c r="AO125" s="315"/>
      <c r="AP125" s="315"/>
      <c r="AQ125" s="315"/>
      <c r="AR125" s="315"/>
      <c r="AS125" s="315"/>
      <c r="AT125" s="315">
        <f>+ab($T$125,$T$123,$T$127,$G$124,$G$126,-1*$F$125,1200)</f>
        <v>-8.466398528188126</v>
      </c>
      <c r="AU125" s="315"/>
      <c r="AV125" s="315"/>
      <c r="AW125" s="315" t="s">
        <v>2630</v>
      </c>
      <c r="AX125" s="315" t="s">
        <v>1641</v>
      </c>
      <c r="AY125" s="315">
        <v>4.2</v>
      </c>
      <c r="AZ125" s="315"/>
      <c r="BA125" s="315"/>
      <c r="BB125" s="306"/>
      <c r="BC125" s="307"/>
      <c r="BE125" s="298"/>
    </row>
    <row r="126" spans="1:57" ht="14.25">
      <c r="A126" s="340"/>
      <c r="B126" s="340"/>
      <c r="C126" s="288"/>
      <c r="D126" s="1121"/>
      <c r="E126" s="1121"/>
      <c r="F126" s="289"/>
      <c r="G126" s="292">
        <v>45</v>
      </c>
      <c r="H126" s="1121"/>
      <c r="I126" s="294"/>
      <c r="J126" s="288"/>
      <c r="K126" s="1121"/>
      <c r="L126" s="1121"/>
      <c r="M126" s="1121"/>
      <c r="N126" s="1121"/>
      <c r="O126" s="1121"/>
      <c r="P126" s="1121"/>
      <c r="Q126" s="1121"/>
      <c r="R126" s="292"/>
      <c r="S126" s="292">
        <f t="shared" ref="S126" si="39">+AG127-AG125</f>
        <v>44.890000000001237</v>
      </c>
      <c r="T126" s="1121"/>
      <c r="U126" s="1121"/>
      <c r="V126" s="1121"/>
      <c r="W126" s="1121"/>
      <c r="X126" s="1121"/>
      <c r="Y126" s="1121"/>
      <c r="Z126" s="1121"/>
      <c r="AA126" s="1121"/>
      <c r="AB126" s="1121"/>
      <c r="AC126" s="1121"/>
      <c r="AD126" s="1121"/>
      <c r="AE126" s="1121"/>
      <c r="AF126" s="1121"/>
      <c r="AG126" s="288"/>
      <c r="AH126" s="1121" t="s">
        <v>695</v>
      </c>
      <c r="AI126" s="289"/>
      <c r="AJ126" s="1121"/>
      <c r="AK126" s="1121"/>
      <c r="AL126" s="1121"/>
      <c r="AM126" s="1121"/>
      <c r="AN126" s="315"/>
      <c r="AO126" s="315"/>
      <c r="AP126" s="315"/>
      <c r="AQ126" s="315">
        <f>+FL_2($T$127,$T$125,$G$126,1200,9.28,-1*$F$127)</f>
        <v>-0.36918349523007415</v>
      </c>
      <c r="AR126" s="315"/>
      <c r="AS126" s="315"/>
      <c r="AT126" s="315"/>
      <c r="AU126" s="315"/>
      <c r="AV126" s="315"/>
      <c r="AW126" s="315"/>
      <c r="AX126" s="315"/>
      <c r="AY126" s="315"/>
      <c r="AZ126" s="315"/>
      <c r="BA126" s="315"/>
      <c r="BB126" s="306"/>
      <c r="BC126" s="307"/>
      <c r="BE126" s="298"/>
    </row>
    <row r="127" spans="1:57" ht="14.25">
      <c r="A127" s="340"/>
      <c r="B127" s="340" t="s">
        <v>2097</v>
      </c>
      <c r="C127" s="288">
        <f>+$C$125+$G$126</f>
        <v>13613</v>
      </c>
      <c r="D127" s="1121"/>
      <c r="E127" s="1121"/>
      <c r="F127" s="289">
        <v>2000</v>
      </c>
      <c r="G127" s="292"/>
      <c r="H127" s="1121"/>
      <c r="I127" s="294"/>
      <c r="J127" s="288"/>
      <c r="K127" s="1121"/>
      <c r="L127" s="1121" t="s">
        <v>231</v>
      </c>
      <c r="M127" s="1121" t="s">
        <v>2756</v>
      </c>
      <c r="N127" s="1121" t="s">
        <v>144</v>
      </c>
      <c r="O127" s="1121"/>
      <c r="P127" s="1121"/>
      <c r="Q127" s="1121">
        <v>121</v>
      </c>
      <c r="R127" s="292">
        <v>2004.7</v>
      </c>
      <c r="S127" s="292"/>
      <c r="T127" s="1121">
        <v>-30</v>
      </c>
      <c r="U127" s="1121"/>
      <c r="V127" s="1121"/>
      <c r="W127" s="1121">
        <v>1.4</v>
      </c>
      <c r="X127" s="1121"/>
      <c r="Y127" s="1121"/>
      <c r="Z127" s="1121"/>
      <c r="AA127" s="1121"/>
      <c r="AB127" s="1121"/>
      <c r="AC127" s="1121" t="s">
        <v>1704</v>
      </c>
      <c r="AD127" s="1121"/>
      <c r="AE127" s="1121"/>
      <c r="AF127" s="1121">
        <v>6000</v>
      </c>
      <c r="AG127" s="288">
        <v>13612.77</v>
      </c>
      <c r="AH127" s="1121">
        <v>2523</v>
      </c>
      <c r="AI127" s="289">
        <v>797</v>
      </c>
      <c r="AJ127" s="1121"/>
      <c r="AK127" s="1121"/>
      <c r="AL127" s="1121"/>
      <c r="AM127" s="1121" t="s">
        <v>1228</v>
      </c>
      <c r="AN127" s="315">
        <v>5.5</v>
      </c>
      <c r="AO127" s="315"/>
      <c r="AP127" s="315"/>
      <c r="AQ127" s="315"/>
      <c r="AR127" s="315"/>
      <c r="AS127" s="315"/>
      <c r="AT127" s="315">
        <f>+ab($T$127,$T$125,$T$129,$G$126,$G$128,-1*$F$127,1200)</f>
        <v>-8.2849289948695528</v>
      </c>
      <c r="AU127" s="315"/>
      <c r="AV127" s="315"/>
      <c r="AW127" s="315" t="s">
        <v>2630</v>
      </c>
      <c r="AX127" s="315" t="s">
        <v>1641</v>
      </c>
      <c r="AY127" s="315">
        <v>4.2</v>
      </c>
      <c r="AZ127" s="315"/>
      <c r="BA127" s="315"/>
      <c r="BB127" s="306"/>
      <c r="BC127" s="307"/>
      <c r="BE127" s="298"/>
    </row>
    <row r="128" spans="1:57" ht="14.25">
      <c r="A128" s="340"/>
      <c r="B128" s="340"/>
      <c r="C128" s="288"/>
      <c r="D128" s="1121"/>
      <c r="E128" s="1121"/>
      <c r="F128" s="289"/>
      <c r="G128" s="292">
        <v>47</v>
      </c>
      <c r="H128" s="1121"/>
      <c r="I128" s="294"/>
      <c r="J128" s="288">
        <f>C129-7.5</f>
        <v>13652.5</v>
      </c>
      <c r="K128" s="1121" t="s">
        <v>3017</v>
      </c>
      <c r="L128" s="1121"/>
      <c r="M128" s="1121"/>
      <c r="N128" s="1121"/>
      <c r="O128" s="1121"/>
      <c r="P128" s="1121"/>
      <c r="Q128" s="1121"/>
      <c r="R128" s="292"/>
      <c r="S128" s="292">
        <f t="shared" ref="S128" si="40">+AG129-AG127</f>
        <v>47.119999999998981</v>
      </c>
      <c r="T128" s="1121"/>
      <c r="U128" s="1121"/>
      <c r="V128" s="1121"/>
      <c r="W128" s="1121"/>
      <c r="X128" s="1121"/>
      <c r="Y128" s="1121"/>
      <c r="Z128" s="1121"/>
      <c r="AA128" s="1121"/>
      <c r="AB128" s="1121"/>
      <c r="AC128" s="1121"/>
      <c r="AD128" s="1121"/>
      <c r="AE128" s="1121"/>
      <c r="AF128" s="1121"/>
      <c r="AG128" s="288"/>
      <c r="AH128" s="1121" t="s">
        <v>695</v>
      </c>
      <c r="AI128" s="289"/>
      <c r="AJ128" s="1121"/>
      <c r="AK128" s="1121"/>
      <c r="AL128" s="1121"/>
      <c r="AM128" s="1121"/>
      <c r="AN128" s="315"/>
      <c r="AO128" s="315"/>
      <c r="AP128" s="315"/>
      <c r="AQ128" s="315">
        <f>+FL_2($T$129,$T$127,$G$128,1200,9.28,-1*$F$129)</f>
        <v>-0.37546940102431814</v>
      </c>
      <c r="AR128" s="315"/>
      <c r="AS128" s="315"/>
      <c r="AT128" s="315"/>
      <c r="AU128" s="315"/>
      <c r="AV128" s="315"/>
      <c r="AW128" s="315" t="s">
        <v>2630</v>
      </c>
      <c r="AX128" s="315" t="s">
        <v>1641</v>
      </c>
      <c r="AY128" s="315"/>
      <c r="AZ128" s="315">
        <v>3.5</v>
      </c>
      <c r="BA128" s="315"/>
      <c r="BB128" s="306"/>
      <c r="BC128" s="307"/>
      <c r="BE128" s="298"/>
    </row>
    <row r="129" spans="1:57" ht="14.25">
      <c r="A129" s="340"/>
      <c r="B129" s="340" t="s">
        <v>2098</v>
      </c>
      <c r="C129" s="288">
        <f>+$C$127+$G$128</f>
        <v>13660</v>
      </c>
      <c r="D129" s="1121"/>
      <c r="E129" s="1121"/>
      <c r="F129" s="289">
        <v>2000</v>
      </c>
      <c r="G129" s="292"/>
      <c r="H129" s="1121" t="s">
        <v>138</v>
      </c>
      <c r="I129" s="294" t="s">
        <v>656</v>
      </c>
      <c r="J129" s="288"/>
      <c r="K129" s="1121"/>
      <c r="L129" s="1121" t="s">
        <v>1062</v>
      </c>
      <c r="M129" s="1121" t="s">
        <v>2758</v>
      </c>
      <c r="N129" s="1121" t="s">
        <v>144</v>
      </c>
      <c r="O129" s="1121"/>
      <c r="P129" s="1121"/>
      <c r="Q129" s="1121">
        <v>128</v>
      </c>
      <c r="R129" s="292">
        <v>2004.7</v>
      </c>
      <c r="S129" s="292"/>
      <c r="T129" s="1121">
        <v>-30</v>
      </c>
      <c r="U129" s="1121"/>
      <c r="V129" s="1121"/>
      <c r="W129" s="1121">
        <v>1.4</v>
      </c>
      <c r="X129" s="1121"/>
      <c r="Y129" s="1121"/>
      <c r="Z129" s="1121"/>
      <c r="AA129" s="1121"/>
      <c r="AB129" s="1121"/>
      <c r="AC129" s="1121" t="s">
        <v>2963</v>
      </c>
      <c r="AD129" s="1121"/>
      <c r="AE129" s="1121"/>
      <c r="AF129" s="1121">
        <v>6000</v>
      </c>
      <c r="AG129" s="288">
        <v>13659.89</v>
      </c>
      <c r="AH129" s="1121">
        <v>2497</v>
      </c>
      <c r="AI129" s="289">
        <v>805</v>
      </c>
      <c r="AJ129" s="1121"/>
      <c r="AK129" s="1121"/>
      <c r="AL129" s="1121"/>
      <c r="AM129" s="1121" t="s">
        <v>1228</v>
      </c>
      <c r="AN129" s="315">
        <v>5.5</v>
      </c>
      <c r="AO129" s="315"/>
      <c r="AP129" s="315"/>
      <c r="AQ129" s="315"/>
      <c r="AR129" s="315"/>
      <c r="AS129" s="315"/>
      <c r="AT129" s="315">
        <f>+ab($T$129,$T$127,$T$131,$G$128,$G$130,-1*$F$129,1200)</f>
        <v>-6.5572404393917481</v>
      </c>
      <c r="AU129" s="315"/>
      <c r="AV129" s="315"/>
      <c r="AW129" s="315" t="s">
        <v>2630</v>
      </c>
      <c r="AX129" s="315" t="s">
        <v>1641</v>
      </c>
      <c r="AY129" s="315">
        <v>4.2</v>
      </c>
      <c r="AZ129" s="315"/>
      <c r="BA129" s="315"/>
      <c r="BB129" s="306"/>
      <c r="BC129" s="307"/>
      <c r="BE129" s="298"/>
    </row>
    <row r="130" spans="1:57" ht="14.25">
      <c r="A130" s="340"/>
      <c r="B130" s="340"/>
      <c r="C130" s="288"/>
      <c r="D130" s="1121"/>
      <c r="E130" s="1121"/>
      <c r="F130" s="289"/>
      <c r="G130" s="292">
        <v>55</v>
      </c>
      <c r="H130" s="291"/>
      <c r="I130" s="294"/>
      <c r="J130" s="288"/>
      <c r="K130" s="1121"/>
      <c r="L130" s="1121"/>
      <c r="M130" s="1121"/>
      <c r="N130" s="1121"/>
      <c r="O130" s="1121"/>
      <c r="P130" s="1121"/>
      <c r="Q130" s="1121"/>
      <c r="R130" s="292"/>
      <c r="S130" s="292">
        <f t="shared" ref="S130" si="41">+AG131-AG129</f>
        <v>54.8700000000008</v>
      </c>
      <c r="T130" s="1121"/>
      <c r="U130" s="1121"/>
      <c r="V130" s="1121"/>
      <c r="W130" s="1121"/>
      <c r="X130" s="1121"/>
      <c r="Y130" s="1121"/>
      <c r="Z130" s="1121"/>
      <c r="AA130" s="1121"/>
      <c r="AB130" s="1121"/>
      <c r="AC130" s="1121"/>
      <c r="AD130" s="1121"/>
      <c r="AE130" s="1121"/>
      <c r="AF130" s="1121"/>
      <c r="AG130" s="288"/>
      <c r="AH130" s="1121" t="s">
        <v>695</v>
      </c>
      <c r="AI130" s="289"/>
      <c r="AJ130" s="1121"/>
      <c r="AK130" s="1121"/>
      <c r="AL130" s="1121"/>
      <c r="AM130" s="1121"/>
      <c r="AN130" s="315"/>
      <c r="AO130" s="315"/>
      <c r="AP130" s="315"/>
      <c r="AQ130" s="315">
        <f>+FL_2($U$131,$T$129,$G$130,1200,9.28,-1*$F$131)</f>
        <v>-0.40334522966468156</v>
      </c>
      <c r="AR130" s="315"/>
      <c r="AS130" s="315"/>
      <c r="AT130" s="315"/>
      <c r="AU130" s="315"/>
      <c r="AV130" s="315"/>
      <c r="AW130" s="315"/>
      <c r="AX130" s="315"/>
      <c r="AY130" s="315" t="s">
        <v>695</v>
      </c>
      <c r="AZ130" s="315"/>
      <c r="BA130" s="315"/>
      <c r="BB130" s="306"/>
      <c r="BC130" s="307"/>
      <c r="BE130" s="298"/>
    </row>
    <row r="131" spans="1:57" ht="14.25">
      <c r="A131" s="340"/>
      <c r="B131" s="340" t="s">
        <v>2099</v>
      </c>
      <c r="C131" s="288">
        <f>+$C$129+$G$130</f>
        <v>13715</v>
      </c>
      <c r="D131" s="1121"/>
      <c r="E131" s="1121"/>
      <c r="F131" s="289">
        <v>2000</v>
      </c>
      <c r="G131" s="292"/>
      <c r="H131" s="291" t="s">
        <v>651</v>
      </c>
      <c r="I131" s="294"/>
      <c r="J131" s="288"/>
      <c r="K131" s="1121"/>
      <c r="L131" s="1121" t="s">
        <v>1056</v>
      </c>
      <c r="M131" s="1121" t="s">
        <v>2759</v>
      </c>
      <c r="N131" s="1121" t="s">
        <v>140</v>
      </c>
      <c r="O131" s="1121" t="s">
        <v>144</v>
      </c>
      <c r="P131" s="1121"/>
      <c r="Q131" s="1121">
        <v>126</v>
      </c>
      <c r="R131" s="292">
        <v>2004.7</v>
      </c>
      <c r="S131" s="292"/>
      <c r="T131" s="1121">
        <v>-10</v>
      </c>
      <c r="U131" s="1121">
        <v>-30</v>
      </c>
      <c r="V131" s="1121"/>
      <c r="W131" s="1121">
        <v>1.4</v>
      </c>
      <c r="X131" s="1121">
        <v>2.2999999999999998</v>
      </c>
      <c r="Y131" s="1121"/>
      <c r="Z131" s="1121">
        <v>0.5</v>
      </c>
      <c r="AA131" s="1121"/>
      <c r="AB131" s="1121"/>
      <c r="AC131" s="1121"/>
      <c r="AD131" s="1121" t="s">
        <v>2963</v>
      </c>
      <c r="AE131" s="1121"/>
      <c r="AF131" s="1121">
        <v>6000</v>
      </c>
      <c r="AG131" s="288">
        <v>13714.76</v>
      </c>
      <c r="AH131" s="1121">
        <v>2690</v>
      </c>
      <c r="AI131" s="289">
        <v>761</v>
      </c>
      <c r="AJ131" s="1121"/>
      <c r="AK131" s="1121"/>
      <c r="AL131" s="1121"/>
      <c r="AM131" s="1121" t="s">
        <v>1228</v>
      </c>
      <c r="AN131" s="315">
        <v>5.5</v>
      </c>
      <c r="AO131" s="315"/>
      <c r="AP131" s="315"/>
      <c r="AQ131" s="315"/>
      <c r="AR131" s="315"/>
      <c r="AS131" s="315"/>
      <c r="AT131" s="315">
        <f>+ab($U$131,$T$129,$U$133,$G$130,$G$132,-1*$F$131,1200)</f>
        <v>-6.9437194600928631</v>
      </c>
      <c r="AU131" s="315"/>
      <c r="AV131" s="315"/>
      <c r="AW131" s="315" t="s">
        <v>2630</v>
      </c>
      <c r="AX131" s="315" t="s">
        <v>1641</v>
      </c>
      <c r="AY131" s="315">
        <v>4.2</v>
      </c>
      <c r="AZ131" s="315"/>
      <c r="BA131" s="315"/>
      <c r="BB131" s="306"/>
      <c r="BC131" s="307"/>
      <c r="BE131" s="298"/>
    </row>
    <row r="132" spans="1:57" ht="14.25">
      <c r="A132" s="340"/>
      <c r="B132" s="340"/>
      <c r="C132" s="288"/>
      <c r="D132" s="1121"/>
      <c r="E132" s="1121"/>
      <c r="F132" s="289"/>
      <c r="G132" s="292">
        <v>55</v>
      </c>
      <c r="H132" s="291"/>
      <c r="I132" s="294"/>
      <c r="J132" s="288"/>
      <c r="K132" s="1121"/>
      <c r="L132" s="1121"/>
      <c r="M132" s="1121"/>
      <c r="N132" s="1121"/>
      <c r="O132" s="1121"/>
      <c r="P132" s="1121"/>
      <c r="Q132" s="1121"/>
      <c r="R132" s="292"/>
      <c r="S132" s="292">
        <f t="shared" ref="S132" si="42">+AG133-AG131</f>
        <v>55.25</v>
      </c>
      <c r="T132" s="1121"/>
      <c r="U132" s="1121"/>
      <c r="V132" s="1121"/>
      <c r="W132" s="1121"/>
      <c r="X132" s="1121"/>
      <c r="Y132" s="1121"/>
      <c r="Z132" s="1121"/>
      <c r="AA132" s="1121"/>
      <c r="AB132" s="1121"/>
      <c r="AC132" s="1121"/>
      <c r="AD132" s="1121"/>
      <c r="AE132" s="1121"/>
      <c r="AF132" s="1121"/>
      <c r="AG132" s="288"/>
      <c r="AH132" s="1121" t="s">
        <v>695</v>
      </c>
      <c r="AI132" s="289"/>
      <c r="AJ132" s="1121"/>
      <c r="AK132" s="1121"/>
      <c r="AL132" s="1121"/>
      <c r="AM132" s="1121"/>
      <c r="AN132" s="315"/>
      <c r="AO132" s="315"/>
      <c r="AP132" s="315"/>
      <c r="AQ132" s="315">
        <f>+FL_2($T$133,$U$131,$G$132,1200,9.28,-1*$F$133)</f>
        <v>-0.32753759278077932</v>
      </c>
      <c r="AR132" s="315"/>
      <c r="AS132" s="315"/>
      <c r="AT132" s="315"/>
      <c r="AU132" s="315"/>
      <c r="AV132" s="315"/>
      <c r="AW132" s="315"/>
      <c r="AX132" s="315"/>
      <c r="AY132" s="315" t="s">
        <v>695</v>
      </c>
      <c r="AZ132" s="315"/>
      <c r="BA132" s="315"/>
      <c r="BB132" s="306"/>
      <c r="BC132" s="307"/>
      <c r="BE132" s="298"/>
    </row>
    <row r="133" spans="1:57" ht="14.25">
      <c r="A133" s="340"/>
      <c r="B133" s="340" t="s">
        <v>2100</v>
      </c>
      <c r="C133" s="288">
        <f>+$C$131+$G$132</f>
        <v>13770</v>
      </c>
      <c r="D133" s="1121"/>
      <c r="E133" s="1121"/>
      <c r="F133" s="289">
        <v>2000</v>
      </c>
      <c r="G133" s="292"/>
      <c r="H133" s="291" t="s">
        <v>651</v>
      </c>
      <c r="I133" s="294"/>
      <c r="J133" s="288"/>
      <c r="K133" s="1121"/>
      <c r="L133" s="1121" t="s">
        <v>1056</v>
      </c>
      <c r="M133" s="1121" t="s">
        <v>2759</v>
      </c>
      <c r="N133" s="1121" t="s">
        <v>144</v>
      </c>
      <c r="O133" s="1121" t="s">
        <v>140</v>
      </c>
      <c r="P133" s="1121"/>
      <c r="Q133" s="1121">
        <v>126</v>
      </c>
      <c r="R133" s="292">
        <v>2004.7</v>
      </c>
      <c r="S133" s="292"/>
      <c r="T133" s="1121">
        <v>-10</v>
      </c>
      <c r="U133" s="1121">
        <v>-30</v>
      </c>
      <c r="V133" s="1121"/>
      <c r="W133" s="1121">
        <v>1.4</v>
      </c>
      <c r="X133" s="1121">
        <v>2.2999999999999998</v>
      </c>
      <c r="Y133" s="1121"/>
      <c r="Z133" s="1121"/>
      <c r="AA133" s="1121">
        <v>0.5</v>
      </c>
      <c r="AB133" s="1121"/>
      <c r="AC133" s="1121" t="s">
        <v>2963</v>
      </c>
      <c r="AD133" s="1121"/>
      <c r="AE133" s="1121"/>
      <c r="AF133" s="1121">
        <v>6000</v>
      </c>
      <c r="AG133" s="288">
        <v>13770.01</v>
      </c>
      <c r="AH133" s="1121">
        <v>2563</v>
      </c>
      <c r="AI133" s="289">
        <v>732</v>
      </c>
      <c r="AJ133" s="1121"/>
      <c r="AK133" s="1121"/>
      <c r="AL133" s="1121"/>
      <c r="AM133" s="1121" t="s">
        <v>1228</v>
      </c>
      <c r="AN133" s="315">
        <v>5.5</v>
      </c>
      <c r="AO133" s="315"/>
      <c r="AP133" s="315"/>
      <c r="AQ133" s="315"/>
      <c r="AR133" s="315"/>
      <c r="AS133" s="315"/>
      <c r="AT133" s="315">
        <f>+ab($T$133,$T$131,$T$135,$G$132,$G$134,-1*$F$133,1200)</f>
        <v>-7.9890358238033476</v>
      </c>
      <c r="AU133" s="315"/>
      <c r="AV133" s="315"/>
      <c r="AW133" s="315" t="s">
        <v>2630</v>
      </c>
      <c r="AX133" s="315" t="s">
        <v>1641</v>
      </c>
      <c r="AY133" s="315">
        <v>4.2</v>
      </c>
      <c r="AZ133" s="315"/>
      <c r="BA133" s="315"/>
      <c r="BB133" s="306"/>
      <c r="BC133" s="307"/>
      <c r="BE133" s="298"/>
    </row>
    <row r="134" spans="1:57" ht="14.25">
      <c r="A134" s="340"/>
      <c r="B134" s="340"/>
      <c r="C134" s="288"/>
      <c r="D134" s="1121"/>
      <c r="E134" s="1121"/>
      <c r="F134" s="289"/>
      <c r="G134" s="292">
        <v>55</v>
      </c>
      <c r="H134" s="291"/>
      <c r="I134" s="294"/>
      <c r="J134" s="288"/>
      <c r="K134" s="1121"/>
      <c r="L134" s="1121"/>
      <c r="M134" s="1121"/>
      <c r="N134" s="1121"/>
      <c r="O134" s="1121"/>
      <c r="P134" s="1121"/>
      <c r="Q134" s="1121"/>
      <c r="R134" s="292"/>
      <c r="S134" s="292">
        <f t="shared" ref="S134" si="43">+AG135-AG133</f>
        <v>54.829999999999927</v>
      </c>
      <c r="T134" s="1121"/>
      <c r="U134" s="1121"/>
      <c r="V134" s="1121"/>
      <c r="W134" s="1121"/>
      <c r="X134" s="1121"/>
      <c r="Y134" s="1121"/>
      <c r="Z134" s="1121"/>
      <c r="AA134" s="1121"/>
      <c r="AB134" s="1121"/>
      <c r="AC134" s="1121"/>
      <c r="AD134" s="1121"/>
      <c r="AE134" s="1121"/>
      <c r="AF134" s="1121"/>
      <c r="AG134" s="288"/>
      <c r="AH134" s="1121" t="s">
        <v>695</v>
      </c>
      <c r="AI134" s="289"/>
      <c r="AJ134" s="1121"/>
      <c r="AK134" s="1121"/>
      <c r="AL134" s="1121"/>
      <c r="AM134" s="1121"/>
      <c r="AN134" s="315"/>
      <c r="AO134" s="315"/>
      <c r="AP134" s="315"/>
      <c r="AQ134" s="315">
        <f>+FL_2($T$135,$T$133,$G$134,1200,9.28,-1*$F$135)</f>
        <v>-0.3275375927807806</v>
      </c>
      <c r="AR134" s="315"/>
      <c r="AS134" s="315"/>
      <c r="AT134" s="315"/>
      <c r="AU134" s="315"/>
      <c r="AV134" s="315"/>
      <c r="AW134" s="315"/>
      <c r="AX134" s="315"/>
      <c r="AY134" s="315" t="s">
        <v>695</v>
      </c>
      <c r="AZ134" s="315"/>
      <c r="BA134" s="315"/>
      <c r="BB134" s="306"/>
      <c r="BC134" s="307"/>
      <c r="BE134" s="298"/>
    </row>
    <row r="135" spans="1:57" ht="14.25">
      <c r="A135" s="340"/>
      <c r="B135" s="340" t="s">
        <v>2101</v>
      </c>
      <c r="C135" s="288">
        <f>+$C$133+$G$134</f>
        <v>13825</v>
      </c>
      <c r="D135" s="1121"/>
      <c r="E135" s="1121"/>
      <c r="F135" s="289">
        <v>2000</v>
      </c>
      <c r="G135" s="292"/>
      <c r="H135" s="291" t="s">
        <v>138</v>
      </c>
      <c r="I135" s="294" t="s">
        <v>656</v>
      </c>
      <c r="J135" s="288"/>
      <c r="K135" s="1121"/>
      <c r="L135" s="1121" t="s">
        <v>1062</v>
      </c>
      <c r="M135" s="1121" t="s">
        <v>2758</v>
      </c>
      <c r="N135" s="1121" t="s">
        <v>144</v>
      </c>
      <c r="O135" s="1121"/>
      <c r="P135" s="1121"/>
      <c r="Q135" s="1121">
        <v>127</v>
      </c>
      <c r="R135" s="292">
        <v>2004.7</v>
      </c>
      <c r="S135" s="292"/>
      <c r="T135" s="1121">
        <v>-30</v>
      </c>
      <c r="U135" s="1121"/>
      <c r="V135" s="1121"/>
      <c r="W135" s="1121">
        <v>1.4</v>
      </c>
      <c r="X135" s="1121"/>
      <c r="Y135" s="1121"/>
      <c r="Z135" s="1121"/>
      <c r="AA135" s="1121"/>
      <c r="AB135" s="1121"/>
      <c r="AC135" s="1121" t="s">
        <v>2963</v>
      </c>
      <c r="AD135" s="1121"/>
      <c r="AE135" s="1121"/>
      <c r="AF135" s="1121">
        <v>6000</v>
      </c>
      <c r="AG135" s="288">
        <v>13824.84</v>
      </c>
      <c r="AH135" s="1121">
        <v>2542</v>
      </c>
      <c r="AI135" s="289">
        <v>711</v>
      </c>
      <c r="AJ135" s="1121"/>
      <c r="AK135" s="1121"/>
      <c r="AL135" s="1121"/>
      <c r="AM135" s="1121" t="s">
        <v>1228</v>
      </c>
      <c r="AN135" s="315">
        <v>5.5</v>
      </c>
      <c r="AO135" s="315"/>
      <c r="AP135" s="315"/>
      <c r="AQ135" s="315"/>
      <c r="AR135" s="315"/>
      <c r="AS135" s="315"/>
      <c r="AT135" s="315">
        <f>+ab($T$135,$T$133,$T$137,$G$134,$G$136,-1*$F$135,1200)</f>
        <v>-6.5019354305077037</v>
      </c>
      <c r="AU135" s="315"/>
      <c r="AV135" s="315"/>
      <c r="AW135" s="315" t="s">
        <v>2630</v>
      </c>
      <c r="AX135" s="315" t="s">
        <v>1641</v>
      </c>
      <c r="AY135" s="315">
        <v>4.2</v>
      </c>
      <c r="AZ135" s="315"/>
      <c r="BA135" s="315"/>
      <c r="BB135" s="306"/>
      <c r="BC135" s="307"/>
      <c r="BE135" s="298"/>
    </row>
    <row r="136" spans="1:57" ht="14.25">
      <c r="A136" s="340"/>
      <c r="B136" s="340"/>
      <c r="C136" s="288"/>
      <c r="D136" s="1121"/>
      <c r="E136" s="1121"/>
      <c r="F136" s="289"/>
      <c r="G136" s="292">
        <v>48</v>
      </c>
      <c r="H136" s="291"/>
      <c r="I136" s="291"/>
      <c r="J136" s="288">
        <f>C135+7.5</f>
        <v>13832.5</v>
      </c>
      <c r="K136" s="1121" t="s">
        <v>3017</v>
      </c>
      <c r="L136" s="1121"/>
      <c r="M136" s="1121"/>
      <c r="N136" s="1121"/>
      <c r="O136" s="1121"/>
      <c r="P136" s="1121"/>
      <c r="Q136" s="1121"/>
      <c r="R136" s="292"/>
      <c r="S136" s="292">
        <f t="shared" ref="S136" si="44">+AG137-AG135</f>
        <v>48.010000000000218</v>
      </c>
      <c r="T136" s="1121"/>
      <c r="U136" s="1121"/>
      <c r="V136" s="1121"/>
      <c r="W136" s="1121"/>
      <c r="X136" s="1121"/>
      <c r="Y136" s="1121"/>
      <c r="Z136" s="1121"/>
      <c r="AA136" s="1121"/>
      <c r="AB136" s="1121"/>
      <c r="AC136" s="1121"/>
      <c r="AD136" s="1121"/>
      <c r="AE136" s="1121"/>
      <c r="AF136" s="1121"/>
      <c r="AG136" s="288"/>
      <c r="AH136" s="1121" t="s">
        <v>695</v>
      </c>
      <c r="AI136" s="289"/>
      <c r="AJ136" s="1121"/>
      <c r="AK136" s="1121"/>
      <c r="AL136" s="1121"/>
      <c r="AM136" s="1121"/>
      <c r="AN136" s="315"/>
      <c r="AO136" s="315"/>
      <c r="AP136" s="315"/>
      <c r="AQ136" s="315">
        <f>+FL_2($T$137,$T$135,$G$136,1200,9.28,-1*$F$137)</f>
        <v>-0.37871481562667275</v>
      </c>
      <c r="AR136" s="315"/>
      <c r="AS136" s="315"/>
      <c r="AT136" s="315"/>
      <c r="AU136" s="315"/>
      <c r="AV136" s="315"/>
      <c r="AW136" s="315" t="s">
        <v>2630</v>
      </c>
      <c r="AX136" s="315" t="s">
        <v>1641</v>
      </c>
      <c r="AY136" s="315"/>
      <c r="AZ136" s="315">
        <v>3.5</v>
      </c>
      <c r="BA136" s="315"/>
      <c r="BB136" s="306"/>
      <c r="BC136" s="307"/>
      <c r="BE136" s="298"/>
    </row>
    <row r="137" spans="1:57" ht="14.25">
      <c r="A137" s="340"/>
      <c r="B137" s="340" t="s">
        <v>2102</v>
      </c>
      <c r="C137" s="288">
        <f>+$C$135+$G$136</f>
        <v>13873</v>
      </c>
      <c r="D137" s="1121"/>
      <c r="E137" s="1121"/>
      <c r="F137" s="289">
        <v>2000</v>
      </c>
      <c r="G137" s="292"/>
      <c r="H137" s="1121"/>
      <c r="I137" s="294"/>
      <c r="J137" s="288"/>
      <c r="K137" s="1121"/>
      <c r="L137" s="1121" t="s">
        <v>231</v>
      </c>
      <c r="M137" s="1121" t="s">
        <v>2756</v>
      </c>
      <c r="N137" s="1121" t="s">
        <v>144</v>
      </c>
      <c r="O137" s="1121"/>
      <c r="P137" s="1121"/>
      <c r="Q137" s="1121">
        <v>130</v>
      </c>
      <c r="R137" s="292">
        <v>2004.7</v>
      </c>
      <c r="S137" s="292"/>
      <c r="T137" s="1121">
        <v>-30</v>
      </c>
      <c r="U137" s="1121"/>
      <c r="V137" s="1121"/>
      <c r="W137" s="1121">
        <v>1.4</v>
      </c>
      <c r="X137" s="1121"/>
      <c r="Y137" s="1121"/>
      <c r="Z137" s="1121"/>
      <c r="AA137" s="1121"/>
      <c r="AB137" s="1121"/>
      <c r="AC137" s="1121" t="s">
        <v>2963</v>
      </c>
      <c r="AD137" s="1121"/>
      <c r="AE137" s="1121"/>
      <c r="AF137" s="1121">
        <v>6000</v>
      </c>
      <c r="AG137" s="288">
        <v>13872.85</v>
      </c>
      <c r="AH137" s="1121">
        <v>2507</v>
      </c>
      <c r="AI137" s="289">
        <v>689</v>
      </c>
      <c r="AJ137" s="1121"/>
      <c r="AK137" s="1121"/>
      <c r="AL137" s="1121"/>
      <c r="AM137" s="1121" t="s">
        <v>1228</v>
      </c>
      <c r="AN137" s="315">
        <v>5.5</v>
      </c>
      <c r="AO137" s="315"/>
      <c r="AP137" s="315"/>
      <c r="AQ137" s="315"/>
      <c r="AR137" s="315"/>
      <c r="AS137" s="315"/>
      <c r="AT137" s="315">
        <f>+ab($T$137,$T$135,$T$139,$G$136,$G$138,-1*$F$137,1200)</f>
        <v>-7.7841056161698239</v>
      </c>
      <c r="AU137" s="315"/>
      <c r="AV137" s="315"/>
      <c r="AW137" s="315" t="s">
        <v>2630</v>
      </c>
      <c r="AX137" s="315" t="s">
        <v>1641</v>
      </c>
      <c r="AY137" s="315">
        <v>4.2</v>
      </c>
      <c r="AZ137" s="315"/>
      <c r="BA137" s="315"/>
      <c r="BB137" s="306"/>
      <c r="BC137" s="307"/>
      <c r="BE137" s="298"/>
    </row>
    <row r="138" spans="1:57" ht="14.25">
      <c r="A138" s="340"/>
      <c r="B138" s="340"/>
      <c r="C138" s="288"/>
      <c r="D138" s="1121"/>
      <c r="E138" s="1121"/>
      <c r="F138" s="289"/>
      <c r="G138" s="292">
        <v>50</v>
      </c>
      <c r="H138" s="291"/>
      <c r="I138" s="294"/>
      <c r="J138" s="288"/>
      <c r="K138" s="1121"/>
      <c r="L138" s="1121"/>
      <c r="M138" s="1121"/>
      <c r="N138" s="1121"/>
      <c r="O138" s="1121"/>
      <c r="P138" s="1121"/>
      <c r="Q138" s="1121"/>
      <c r="R138" s="292"/>
      <c r="S138" s="292">
        <f t="shared" ref="S138" si="45">+AG139-AG137</f>
        <v>50.229999999999563</v>
      </c>
      <c r="T138" s="1121"/>
      <c r="U138" s="1121"/>
      <c r="V138" s="1121"/>
      <c r="W138" s="1121"/>
      <c r="X138" s="1121"/>
      <c r="Y138" s="1121"/>
      <c r="Z138" s="1121"/>
      <c r="AA138" s="1121"/>
      <c r="AB138" s="1121"/>
      <c r="AC138" s="1121"/>
      <c r="AD138" s="1121"/>
      <c r="AE138" s="1121"/>
      <c r="AF138" s="1121"/>
      <c r="AG138" s="288"/>
      <c r="AH138" s="1121" t="s">
        <v>695</v>
      </c>
      <c r="AI138" s="289"/>
      <c r="AJ138" s="1121"/>
      <c r="AK138" s="1121"/>
      <c r="AL138" s="1121"/>
      <c r="AM138" s="1121"/>
      <c r="AN138" s="315"/>
      <c r="AO138" s="315"/>
      <c r="AP138" s="315"/>
      <c r="AQ138" s="315">
        <f>+FL_2($T$139,$T$137,$G$138,1200,9.28,-1*$F$139)</f>
        <v>-0.38541056267414808</v>
      </c>
      <c r="AR138" s="315"/>
      <c r="AS138" s="315"/>
      <c r="AT138" s="315"/>
      <c r="AU138" s="315"/>
      <c r="AV138" s="315"/>
      <c r="AW138" s="315"/>
      <c r="AX138" s="315"/>
      <c r="AY138" s="315" t="s">
        <v>695</v>
      </c>
      <c r="AZ138" s="315"/>
      <c r="BA138" s="315"/>
      <c r="BB138" s="306"/>
      <c r="BC138" s="307"/>
      <c r="BE138" s="298"/>
    </row>
    <row r="139" spans="1:57" ht="14.25">
      <c r="A139" s="340"/>
      <c r="B139" s="340" t="s">
        <v>2103</v>
      </c>
      <c r="C139" s="288">
        <f>+$C$137+$G$138</f>
        <v>13923</v>
      </c>
      <c r="D139" s="1121"/>
      <c r="E139" s="1121"/>
      <c r="F139" s="289">
        <v>2000</v>
      </c>
      <c r="G139" s="292"/>
      <c r="H139" s="291"/>
      <c r="I139" s="294"/>
      <c r="J139" s="288"/>
      <c r="K139" s="1121"/>
      <c r="L139" s="1121" t="s">
        <v>231</v>
      </c>
      <c r="M139" s="1121" t="s">
        <v>2756</v>
      </c>
      <c r="N139" s="1121" t="s">
        <v>144</v>
      </c>
      <c r="O139" s="1121"/>
      <c r="P139" s="1121"/>
      <c r="Q139" s="1121">
        <v>119</v>
      </c>
      <c r="R139" s="292">
        <v>2004.7</v>
      </c>
      <c r="S139" s="292"/>
      <c r="T139" s="1121">
        <v>-30</v>
      </c>
      <c r="U139" s="1121"/>
      <c r="V139" s="1121"/>
      <c r="W139" s="1121">
        <v>1.4</v>
      </c>
      <c r="X139" s="1121"/>
      <c r="Y139" s="1121"/>
      <c r="Z139" s="1121"/>
      <c r="AA139" s="1121"/>
      <c r="AB139" s="1121"/>
      <c r="AC139" s="1121" t="s">
        <v>2963</v>
      </c>
      <c r="AD139" s="1121"/>
      <c r="AE139" s="1121"/>
      <c r="AF139" s="1121">
        <v>6000</v>
      </c>
      <c r="AG139" s="288">
        <v>13923.08</v>
      </c>
      <c r="AH139" s="1121">
        <v>2582</v>
      </c>
      <c r="AI139" s="289">
        <v>754</v>
      </c>
      <c r="AJ139" s="1121"/>
      <c r="AK139" s="1121"/>
      <c r="AL139" s="1121"/>
      <c r="AM139" s="1121" t="s">
        <v>1228</v>
      </c>
      <c r="AN139" s="315">
        <v>5.5</v>
      </c>
      <c r="AO139" s="315"/>
      <c r="AP139" s="315"/>
      <c r="AQ139" s="315"/>
      <c r="AR139" s="315"/>
      <c r="AS139" s="315"/>
      <c r="AT139" s="315">
        <f>+ab($T$139,$T$137,$T$141,$G$138,$G$140,-1*$F$139,1200)</f>
        <v>-7.6302760504335234</v>
      </c>
      <c r="AU139" s="315"/>
      <c r="AV139" s="315"/>
      <c r="AW139" s="315" t="s">
        <v>2630</v>
      </c>
      <c r="AX139" s="315" t="s">
        <v>1641</v>
      </c>
      <c r="AY139" s="315">
        <v>4.2</v>
      </c>
      <c r="AZ139" s="315"/>
      <c r="BA139" s="315"/>
      <c r="BB139" s="306"/>
      <c r="BC139" s="307"/>
      <c r="BE139" s="298"/>
    </row>
    <row r="140" spans="1:57" ht="14.25">
      <c r="A140" s="340"/>
      <c r="B140" s="340"/>
      <c r="C140" s="288"/>
      <c r="D140" s="1121"/>
      <c r="E140" s="1121"/>
      <c r="F140" s="289"/>
      <c r="G140" s="292">
        <v>50</v>
      </c>
      <c r="H140" s="291"/>
      <c r="I140" s="294"/>
      <c r="J140" s="288"/>
      <c r="K140" s="1121"/>
      <c r="L140" s="1121"/>
      <c r="M140" s="1121"/>
      <c r="N140" s="1121"/>
      <c r="O140" s="1121"/>
      <c r="P140" s="1121"/>
      <c r="Q140" s="1121"/>
      <c r="R140" s="292"/>
      <c r="S140" s="292">
        <f t="shared" ref="S140" si="46">+AG141-AG139</f>
        <v>49.989999999999782</v>
      </c>
      <c r="T140" s="1121"/>
      <c r="U140" s="1121"/>
      <c r="V140" s="1121"/>
      <c r="W140" s="1121"/>
      <c r="X140" s="1121"/>
      <c r="Y140" s="1121"/>
      <c r="Z140" s="1121"/>
      <c r="AA140" s="1121"/>
      <c r="AB140" s="1121"/>
      <c r="AC140" s="1121"/>
      <c r="AD140" s="1121"/>
      <c r="AE140" s="1121"/>
      <c r="AF140" s="1121"/>
      <c r="AG140" s="288"/>
      <c r="AH140" s="1121" t="s">
        <v>695</v>
      </c>
      <c r="AI140" s="289"/>
      <c r="AJ140" s="1121"/>
      <c r="AK140" s="1121"/>
      <c r="AL140" s="1121"/>
      <c r="AM140" s="1121"/>
      <c r="AN140" s="315"/>
      <c r="AO140" s="315"/>
      <c r="AP140" s="315"/>
      <c r="AQ140" s="315">
        <f>+FL_2($T$141,$T$139,$G$140,1200,9.28,-1*$F$141)</f>
        <v>-0.38541056267414808</v>
      </c>
      <c r="AR140" s="315"/>
      <c r="AS140" s="315"/>
      <c r="AT140" s="315"/>
      <c r="AU140" s="315"/>
      <c r="AV140" s="315"/>
      <c r="AW140" s="315"/>
      <c r="AX140" s="315"/>
      <c r="AY140" s="315" t="s">
        <v>695</v>
      </c>
      <c r="AZ140" s="315"/>
      <c r="BA140" s="315"/>
      <c r="BB140" s="306"/>
      <c r="BC140" s="307"/>
      <c r="BE140" s="298"/>
    </row>
    <row r="141" spans="1:57" ht="14.25">
      <c r="A141" s="340"/>
      <c r="B141" s="340" t="s">
        <v>2104</v>
      </c>
      <c r="C141" s="288">
        <f>+$C$139+$G$140</f>
        <v>13973</v>
      </c>
      <c r="D141" s="1121"/>
      <c r="E141" s="1121"/>
      <c r="F141" s="289">
        <v>2000</v>
      </c>
      <c r="G141" s="292"/>
      <c r="H141" s="291"/>
      <c r="I141" s="294"/>
      <c r="J141" s="288"/>
      <c r="K141" s="1121"/>
      <c r="L141" s="1121" t="s">
        <v>231</v>
      </c>
      <c r="M141" s="1121" t="s">
        <v>2756</v>
      </c>
      <c r="N141" s="1121" t="s">
        <v>144</v>
      </c>
      <c r="O141" s="1121"/>
      <c r="P141" s="1121"/>
      <c r="Q141" s="1121">
        <v>122</v>
      </c>
      <c r="R141" s="292">
        <v>2004.7</v>
      </c>
      <c r="S141" s="292"/>
      <c r="T141" s="1121">
        <v>-30</v>
      </c>
      <c r="U141" s="1121"/>
      <c r="V141" s="1121"/>
      <c r="W141" s="1121">
        <v>1.4</v>
      </c>
      <c r="X141" s="1121"/>
      <c r="Y141" s="1121"/>
      <c r="Z141" s="1121"/>
      <c r="AA141" s="1121"/>
      <c r="AB141" s="1121"/>
      <c r="AC141" s="1121" t="s">
        <v>2963</v>
      </c>
      <c r="AD141" s="1121"/>
      <c r="AE141" s="1121"/>
      <c r="AF141" s="1121">
        <v>6000</v>
      </c>
      <c r="AG141" s="288">
        <v>13973.07</v>
      </c>
      <c r="AH141" s="1121">
        <v>2517</v>
      </c>
      <c r="AI141" s="289">
        <v>709</v>
      </c>
      <c r="AJ141" s="1121"/>
      <c r="AK141" s="1121"/>
      <c r="AL141" s="1121"/>
      <c r="AM141" s="1121" t="s">
        <v>1228</v>
      </c>
      <c r="AN141" s="315">
        <v>5.5</v>
      </c>
      <c r="AO141" s="315"/>
      <c r="AP141" s="315"/>
      <c r="AQ141" s="315"/>
      <c r="AR141" s="315"/>
      <c r="AS141" s="315"/>
      <c r="AT141" s="315">
        <f>+ab($T$141,$T$139,$T$143,$G$140,$G$142,-1*$F$141,1200)</f>
        <v>-7.2030436965217843</v>
      </c>
      <c r="AU141" s="315"/>
      <c r="AV141" s="315"/>
      <c r="AW141" s="315" t="s">
        <v>2630</v>
      </c>
      <c r="AX141" s="315" t="s">
        <v>1641</v>
      </c>
      <c r="AY141" s="315">
        <v>4.2</v>
      </c>
      <c r="AZ141" s="315"/>
      <c r="BA141" s="315"/>
      <c r="BB141" s="306"/>
      <c r="BC141" s="307"/>
      <c r="BE141" s="298"/>
    </row>
    <row r="142" spans="1:57" ht="14.25">
      <c r="A142" s="340"/>
      <c r="B142" s="340"/>
      <c r="C142" s="288"/>
      <c r="D142" s="1121"/>
      <c r="E142" s="1121"/>
      <c r="F142" s="289"/>
      <c r="G142" s="292">
        <v>56</v>
      </c>
      <c r="H142" s="291"/>
      <c r="I142" s="291"/>
      <c r="J142" s="288"/>
      <c r="K142" s="1121"/>
      <c r="L142" s="1121"/>
      <c r="M142" s="1121"/>
      <c r="N142" s="1121"/>
      <c r="O142" s="1121"/>
      <c r="P142" s="1121"/>
      <c r="Q142" s="1121"/>
      <c r="R142" s="292"/>
      <c r="S142" s="292">
        <f t="shared" ref="S142" si="47">+AG143-AG141</f>
        <v>55.899999999999636</v>
      </c>
      <c r="T142" s="1121"/>
      <c r="U142" s="1121"/>
      <c r="V142" s="1121"/>
      <c r="W142" s="1121"/>
      <c r="X142" s="1121"/>
      <c r="Y142" s="1121"/>
      <c r="Z142" s="1121"/>
      <c r="AA142" s="1121"/>
      <c r="AB142" s="1121"/>
      <c r="AC142" s="1121"/>
      <c r="AD142" s="1121"/>
      <c r="AE142" s="1121"/>
      <c r="AF142" s="1121"/>
      <c r="AG142" s="288"/>
      <c r="AH142" s="1121" t="s">
        <v>695</v>
      </c>
      <c r="AI142" s="289"/>
      <c r="AJ142" s="1121"/>
      <c r="AK142" s="1121"/>
      <c r="AL142" s="1121"/>
      <c r="AM142" s="1121"/>
      <c r="AN142" s="315"/>
      <c r="AO142" s="315"/>
      <c r="AP142" s="315"/>
      <c r="AQ142" s="315">
        <f>+FL_2($T$143,$T$141,$G$142,1200,9.28,-1*$F$143)</f>
        <v>-0.41203776427968031</v>
      </c>
      <c r="AR142" s="315"/>
      <c r="AS142" s="315"/>
      <c r="AT142" s="315"/>
      <c r="AU142" s="315"/>
      <c r="AV142" s="315"/>
      <c r="AW142" s="315"/>
      <c r="AX142" s="315"/>
      <c r="AY142" s="315" t="s">
        <v>695</v>
      </c>
      <c r="AZ142" s="315"/>
      <c r="BA142" s="315"/>
      <c r="BB142" s="306"/>
      <c r="BC142" s="307"/>
      <c r="BE142" s="298"/>
    </row>
    <row r="143" spans="1:57" ht="14.25">
      <c r="A143" s="340"/>
      <c r="B143" s="340" t="s">
        <v>2105</v>
      </c>
      <c r="C143" s="288">
        <f>+$C$141+$G$142</f>
        <v>14029</v>
      </c>
      <c r="D143" s="1121"/>
      <c r="E143" s="1121"/>
      <c r="F143" s="289">
        <f>160*2000/-(C143-14185)</f>
        <v>2051.2820512820513</v>
      </c>
      <c r="G143" s="292"/>
      <c r="H143" s="291"/>
      <c r="I143" s="291"/>
      <c r="J143" s="288"/>
      <c r="K143" s="1121"/>
      <c r="L143" s="1121" t="s">
        <v>231</v>
      </c>
      <c r="M143" s="1121" t="s">
        <v>2756</v>
      </c>
      <c r="N143" s="1121" t="s">
        <v>144</v>
      </c>
      <c r="O143" s="1121"/>
      <c r="P143" s="1121"/>
      <c r="Q143" s="1121">
        <v>121</v>
      </c>
      <c r="R143" s="292">
        <v>2776.74</v>
      </c>
      <c r="S143" s="292"/>
      <c r="T143" s="1121">
        <v>-30</v>
      </c>
      <c r="U143" s="1121"/>
      <c r="V143" s="1121"/>
      <c r="W143" s="1121">
        <v>1.4</v>
      </c>
      <c r="X143" s="1121"/>
      <c r="Y143" s="1121"/>
      <c r="Z143" s="1121"/>
      <c r="AA143" s="1121"/>
      <c r="AB143" s="1121"/>
      <c r="AC143" s="1121" t="s">
        <v>1704</v>
      </c>
      <c r="AD143" s="1121"/>
      <c r="AE143" s="1121"/>
      <c r="AF143" s="1121">
        <v>6000</v>
      </c>
      <c r="AG143" s="288">
        <v>14028.97</v>
      </c>
      <c r="AH143" s="1121">
        <v>2555</v>
      </c>
      <c r="AI143" s="289">
        <v>735</v>
      </c>
      <c r="AJ143" s="1121"/>
      <c r="AK143" s="1121"/>
      <c r="AL143" s="1121"/>
      <c r="AM143" s="1121" t="s">
        <v>1228</v>
      </c>
      <c r="AN143" s="315">
        <v>5.5</v>
      </c>
      <c r="AO143" s="315"/>
      <c r="AP143" s="315"/>
      <c r="AQ143" s="315"/>
      <c r="AR143" s="315"/>
      <c r="AS143" s="315"/>
      <c r="AT143" s="315">
        <f>+ab($T$143,$T$141,$T$145,$G$142,$G$144,-1*$F$143,1200)</f>
        <v>-6.5685593997037985</v>
      </c>
      <c r="AU143" s="315"/>
      <c r="AV143" s="315"/>
      <c r="AW143" s="315" t="s">
        <v>2634</v>
      </c>
      <c r="AX143" s="315" t="s">
        <v>1641</v>
      </c>
      <c r="AY143" s="315">
        <v>4.2</v>
      </c>
      <c r="AZ143" s="315"/>
      <c r="BA143" s="315"/>
      <c r="BB143" s="306"/>
      <c r="BC143" s="307"/>
      <c r="BE143" s="298"/>
    </row>
    <row r="144" spans="1:57" ht="14.25">
      <c r="A144" s="340"/>
      <c r="B144" s="340"/>
      <c r="C144" s="288"/>
      <c r="D144" s="1121"/>
      <c r="E144" s="1121"/>
      <c r="F144" s="289"/>
      <c r="G144" s="292">
        <v>56</v>
      </c>
      <c r="H144" s="291"/>
      <c r="I144" s="291"/>
      <c r="J144" s="288"/>
      <c r="K144" s="1121"/>
      <c r="L144" s="1121"/>
      <c r="M144" s="1121"/>
      <c r="N144" s="1121"/>
      <c r="O144" s="1121"/>
      <c r="P144" s="1121"/>
      <c r="Q144" s="1121"/>
      <c r="R144" s="292"/>
      <c r="S144" s="292">
        <f t="shared" ref="S144" si="48">+AG145-AG143</f>
        <v>55.890000000001237</v>
      </c>
      <c r="T144" s="1121"/>
      <c r="U144" s="1121"/>
      <c r="V144" s="1121"/>
      <c r="W144" s="1121"/>
      <c r="X144" s="1121"/>
      <c r="Y144" s="1121"/>
      <c r="Z144" s="1121"/>
      <c r="AA144" s="1121"/>
      <c r="AB144" s="1121"/>
      <c r="AC144" s="1121"/>
      <c r="AD144" s="1121"/>
      <c r="AE144" s="1121"/>
      <c r="AF144" s="1121"/>
      <c r="AG144" s="288"/>
      <c r="AH144" s="1121" t="s">
        <v>695</v>
      </c>
      <c r="AI144" s="289"/>
      <c r="AJ144" s="1121"/>
      <c r="AK144" s="1121"/>
      <c r="AL144" s="1121"/>
      <c r="AM144" s="1121"/>
      <c r="AN144" s="315"/>
      <c r="AO144" s="315"/>
      <c r="AP144" s="315"/>
      <c r="AQ144" s="315">
        <f>+FL_2($T$145,$T$143,$G$144,1200,9.28,-1*$F$145)</f>
        <v>-0.43410419779996656</v>
      </c>
      <c r="AR144" s="315"/>
      <c r="AS144" s="315"/>
      <c r="AT144" s="315"/>
      <c r="AU144" s="315"/>
      <c r="AV144" s="315"/>
      <c r="AW144" s="315"/>
      <c r="AX144" s="315"/>
      <c r="AY144" s="315" t="s">
        <v>695</v>
      </c>
      <c r="AZ144" s="315"/>
      <c r="BA144" s="315"/>
      <c r="BB144" s="306"/>
      <c r="BC144" s="307"/>
      <c r="BE144" s="298"/>
    </row>
    <row r="145" spans="1:59" ht="14.25">
      <c r="A145" s="340"/>
      <c r="B145" s="340" t="s">
        <v>2106</v>
      </c>
      <c r="C145" s="288">
        <f>+$C$143+$G$144</f>
        <v>14085</v>
      </c>
      <c r="D145" s="1121"/>
      <c r="E145" s="1121"/>
      <c r="F145" s="289">
        <f t="shared" ref="F145" si="49">160*2000/-(C145-14185)</f>
        <v>3200</v>
      </c>
      <c r="G145" s="292"/>
      <c r="H145" s="291"/>
      <c r="I145" s="291"/>
      <c r="J145" s="288"/>
      <c r="K145" s="1121"/>
      <c r="L145" s="1121" t="s">
        <v>230</v>
      </c>
      <c r="M145" s="1121" t="s">
        <v>2757</v>
      </c>
      <c r="N145" s="1121" t="s">
        <v>144</v>
      </c>
      <c r="O145" s="1121"/>
      <c r="P145" s="1121"/>
      <c r="Q145" s="1121">
        <v>78</v>
      </c>
      <c r="R145" s="292">
        <v>2776.74</v>
      </c>
      <c r="S145" s="292"/>
      <c r="T145" s="1121">
        <v>-20</v>
      </c>
      <c r="U145" s="1121"/>
      <c r="V145" s="1121"/>
      <c r="W145" s="1121">
        <v>1.4</v>
      </c>
      <c r="X145" s="1121"/>
      <c r="Y145" s="1121"/>
      <c r="Z145" s="1121"/>
      <c r="AA145" s="1121"/>
      <c r="AB145" s="1121"/>
      <c r="AC145" s="1121" t="s">
        <v>2963</v>
      </c>
      <c r="AD145" s="1121"/>
      <c r="AE145" s="1121"/>
      <c r="AF145" s="1121">
        <v>6000</v>
      </c>
      <c r="AG145" s="288">
        <v>14084.86</v>
      </c>
      <c r="AH145" s="1121">
        <v>2619</v>
      </c>
      <c r="AI145" s="289">
        <v>730</v>
      </c>
      <c r="AJ145" s="1121"/>
      <c r="AK145" s="1121"/>
      <c r="AL145" s="1121"/>
      <c r="AM145" s="1121" t="s">
        <v>1228</v>
      </c>
      <c r="AN145" s="315">
        <v>5.5</v>
      </c>
      <c r="AO145" s="315"/>
      <c r="AP145" s="315"/>
      <c r="AQ145" s="315"/>
      <c r="AR145" s="315"/>
      <c r="AS145" s="315"/>
      <c r="AT145" s="315">
        <f>+ab($T$145,$T$143,$T$147,$G$144,$G$146,-1*$F$145,1200)</f>
        <v>-7.9970907088254579</v>
      </c>
      <c r="AU145" s="315"/>
      <c r="AV145" s="315"/>
      <c r="AW145" s="315" t="s">
        <v>2634</v>
      </c>
      <c r="AX145" s="315" t="s">
        <v>1641</v>
      </c>
      <c r="AY145" s="315">
        <v>4.2</v>
      </c>
      <c r="AZ145" s="315"/>
      <c r="BA145" s="315"/>
      <c r="BB145" s="306"/>
      <c r="BC145" s="307"/>
      <c r="BE145" s="298"/>
    </row>
    <row r="146" spans="1:59" ht="14.25">
      <c r="A146" s="340"/>
      <c r="B146" s="340"/>
      <c r="C146" s="288"/>
      <c r="D146" s="1121"/>
      <c r="E146" s="1121"/>
      <c r="F146" s="289"/>
      <c r="G146" s="292">
        <v>60</v>
      </c>
      <c r="H146" s="1121"/>
      <c r="I146" s="289"/>
      <c r="J146" s="288"/>
      <c r="K146" s="1121"/>
      <c r="L146" s="1121"/>
      <c r="M146" s="1121"/>
      <c r="N146" s="1121"/>
      <c r="O146" s="1121"/>
      <c r="P146" s="1121"/>
      <c r="Q146" s="1121"/>
      <c r="R146" s="292"/>
      <c r="S146" s="292">
        <f t="shared" ref="S146" si="50">+AG147-AG145</f>
        <v>60.109999999998763</v>
      </c>
      <c r="T146" s="1121"/>
      <c r="U146" s="1121"/>
      <c r="V146" s="1121"/>
      <c r="W146" s="1121"/>
      <c r="X146" s="1121"/>
      <c r="Y146" s="1121"/>
      <c r="Z146" s="1121"/>
      <c r="AA146" s="1121"/>
      <c r="AB146" s="1121"/>
      <c r="AC146" s="1121"/>
      <c r="AD146" s="1121"/>
      <c r="AE146" s="1121"/>
      <c r="AF146" s="1121"/>
      <c r="AG146" s="288"/>
      <c r="AH146" s="1121" t="s">
        <v>695</v>
      </c>
      <c r="AI146" s="289"/>
      <c r="AJ146" s="1121"/>
      <c r="AK146" s="1121"/>
      <c r="AL146" s="1121"/>
      <c r="AM146" s="1121"/>
      <c r="AN146" s="315"/>
      <c r="AO146" s="315"/>
      <c r="AP146" s="315"/>
      <c r="AQ146" s="315">
        <f>+FL_1($T$147,$T$145,$G$146,1200,9.28,-1*$F$147)</f>
        <v>0.46055814538562351</v>
      </c>
      <c r="AR146" s="315"/>
      <c r="AS146" s="315"/>
      <c r="AT146" s="315"/>
      <c r="AU146" s="315"/>
      <c r="AV146" s="315"/>
      <c r="AW146" s="315"/>
      <c r="AX146" s="315"/>
      <c r="AY146" s="315" t="s">
        <v>695</v>
      </c>
      <c r="AZ146" s="315"/>
      <c r="BA146" s="315"/>
      <c r="BB146" s="306"/>
      <c r="BC146" s="307"/>
      <c r="BD146" s="350"/>
      <c r="BE146" s="298"/>
    </row>
    <row r="147" spans="1:59" ht="14.25">
      <c r="A147" s="340"/>
      <c r="B147" s="340" t="s">
        <v>2107</v>
      </c>
      <c r="C147" s="288">
        <f>+$C$145+$G$146</f>
        <v>14145</v>
      </c>
      <c r="D147" s="1121"/>
      <c r="E147" s="1121"/>
      <c r="F147" s="289">
        <f t="shared" ref="F147" si="51">160*2000/-(C147-14185)</f>
        <v>8000</v>
      </c>
      <c r="G147" s="292"/>
      <c r="H147" s="1121"/>
      <c r="I147" s="289"/>
      <c r="J147" s="288"/>
      <c r="K147" s="1121"/>
      <c r="L147" s="1121" t="s">
        <v>230</v>
      </c>
      <c r="M147" s="1121" t="s">
        <v>2757</v>
      </c>
      <c r="N147" s="1121" t="s">
        <v>145</v>
      </c>
      <c r="O147" s="1121"/>
      <c r="P147" s="1121"/>
      <c r="Q147" s="1121">
        <v>33</v>
      </c>
      <c r="R147" s="292">
        <v>6390.26</v>
      </c>
      <c r="S147" s="292"/>
      <c r="T147" s="1121">
        <v>25</v>
      </c>
      <c r="U147" s="1121"/>
      <c r="V147" s="1121"/>
      <c r="W147" s="1121">
        <v>1.4</v>
      </c>
      <c r="X147" s="1121"/>
      <c r="Y147" s="1121"/>
      <c r="Z147" s="1121"/>
      <c r="AA147" s="1121"/>
      <c r="AB147" s="1121"/>
      <c r="AC147" s="1121" t="s">
        <v>1704</v>
      </c>
      <c r="AD147" s="1121"/>
      <c r="AE147" s="1121"/>
      <c r="AF147" s="1121">
        <v>6000</v>
      </c>
      <c r="AG147" s="288">
        <v>14144.97</v>
      </c>
      <c r="AH147" s="1121">
        <v>2591</v>
      </c>
      <c r="AI147" s="289">
        <v>731</v>
      </c>
      <c r="AJ147" s="1121"/>
      <c r="AK147" s="1121"/>
      <c r="AL147" s="1121"/>
      <c r="AM147" s="1121" t="s">
        <v>1228</v>
      </c>
      <c r="AN147" s="315">
        <v>5.5</v>
      </c>
      <c r="AO147" s="315"/>
      <c r="AP147" s="315"/>
      <c r="AQ147" s="315"/>
      <c r="AR147" s="315"/>
      <c r="AS147" s="315"/>
      <c r="AT147" s="315">
        <f>+ab($T$147,$T$145,$T$149,$G$146,$G$148,-1*$F$147,1200)</f>
        <v>21.870388776056952</v>
      </c>
      <c r="AU147" s="315"/>
      <c r="AV147" s="315"/>
      <c r="AW147" s="315" t="s">
        <v>2634</v>
      </c>
      <c r="AX147" s="315" t="s">
        <v>1641</v>
      </c>
      <c r="AY147" s="315">
        <v>4.2</v>
      </c>
      <c r="AZ147" s="315"/>
      <c r="BA147" s="315"/>
      <c r="BB147" s="306"/>
      <c r="BC147" s="307"/>
      <c r="BE147" s="298"/>
    </row>
    <row r="148" spans="1:59" ht="14.25">
      <c r="A148" s="340"/>
      <c r="B148" s="340"/>
      <c r="C148" s="288"/>
      <c r="D148" s="1121"/>
      <c r="E148" s="1121"/>
      <c r="F148" s="289"/>
      <c r="G148" s="292">
        <v>64</v>
      </c>
      <c r="H148" s="1121"/>
      <c r="I148" s="289"/>
      <c r="J148" s="288"/>
      <c r="K148" s="1121"/>
      <c r="L148" s="1121"/>
      <c r="M148" s="1121"/>
      <c r="N148" s="1121"/>
      <c r="O148" s="1121"/>
      <c r="P148" s="1121"/>
      <c r="Q148" s="1121"/>
      <c r="R148" s="292"/>
      <c r="S148" s="292">
        <f t="shared" ref="S148" si="52">+AG149-AG147</f>
        <v>64.200000000000728</v>
      </c>
      <c r="T148" s="1121"/>
      <c r="U148" s="1121"/>
      <c r="V148" s="1121"/>
      <c r="W148" s="1121"/>
      <c r="X148" s="1121"/>
      <c r="Y148" s="1121"/>
      <c r="Z148" s="1121"/>
      <c r="AA148" s="1121"/>
      <c r="AB148" s="1121"/>
      <c r="AC148" s="1121"/>
      <c r="AD148" s="1121"/>
      <c r="AE148" s="1121"/>
      <c r="AF148" s="1121"/>
      <c r="AG148" s="288"/>
      <c r="AH148" s="1121" t="s">
        <v>695</v>
      </c>
      <c r="AI148" s="289"/>
      <c r="AJ148" s="1121"/>
      <c r="AK148" s="1121"/>
      <c r="AL148" s="1121"/>
      <c r="AM148" s="1121"/>
      <c r="AN148" s="315"/>
      <c r="AO148" s="315"/>
      <c r="AP148" s="315"/>
      <c r="AQ148" s="315">
        <f>+FL_2($T$149,$T$147,$G$148,1200,9.28,-1*$F$149)</f>
        <v>-0.46869615049999996</v>
      </c>
      <c r="AR148" s="315"/>
      <c r="AS148" s="315"/>
      <c r="AT148" s="315"/>
      <c r="AU148" s="315"/>
      <c r="AV148" s="315"/>
      <c r="AW148" s="315"/>
      <c r="AX148" s="315"/>
      <c r="AY148" s="315" t="s">
        <v>695</v>
      </c>
      <c r="AZ148" s="315"/>
      <c r="BA148" s="315"/>
      <c r="BB148" s="306"/>
      <c r="BC148" s="307"/>
      <c r="BE148" s="298"/>
    </row>
    <row r="149" spans="1:59" ht="14.25">
      <c r="A149" s="340"/>
      <c r="B149" s="340" t="s">
        <v>2108</v>
      </c>
      <c r="C149" s="288">
        <f>+$C$147+$G$148</f>
        <v>14209</v>
      </c>
      <c r="D149" s="1121"/>
      <c r="E149" s="1121"/>
      <c r="F149" s="289">
        <v>0</v>
      </c>
      <c r="G149" s="292"/>
      <c r="H149" s="291"/>
      <c r="I149" s="291"/>
      <c r="J149" s="288"/>
      <c r="K149" s="1121"/>
      <c r="L149" s="1121" t="s">
        <v>230</v>
      </c>
      <c r="M149" s="1121" t="s">
        <v>2757</v>
      </c>
      <c r="N149" s="1121" t="s">
        <v>144</v>
      </c>
      <c r="O149" s="1121"/>
      <c r="P149" s="1121"/>
      <c r="Q149" s="1121">
        <v>0</v>
      </c>
      <c r="R149" s="289">
        <v>0</v>
      </c>
      <c r="S149" s="292"/>
      <c r="T149" s="1121">
        <v>-30</v>
      </c>
      <c r="U149" s="1121"/>
      <c r="V149" s="1121"/>
      <c r="W149" s="1121">
        <v>1.4</v>
      </c>
      <c r="X149" s="1121"/>
      <c r="Y149" s="1121"/>
      <c r="Z149" s="1121"/>
      <c r="AA149" s="1121"/>
      <c r="AB149" s="1121"/>
      <c r="AC149" s="1121" t="s">
        <v>1704</v>
      </c>
      <c r="AD149" s="1121"/>
      <c r="AE149" s="1121"/>
      <c r="AF149" s="1121">
        <v>6000</v>
      </c>
      <c r="AG149" s="288">
        <v>14209.17</v>
      </c>
      <c r="AH149" s="1121">
        <v>2575</v>
      </c>
      <c r="AI149" s="289">
        <v>705</v>
      </c>
      <c r="AJ149" s="1121"/>
      <c r="AK149" s="1121"/>
      <c r="AL149" s="1121"/>
      <c r="AM149" s="1121" t="s">
        <v>1228</v>
      </c>
      <c r="AN149" s="315">
        <v>5.5</v>
      </c>
      <c r="AO149" s="315"/>
      <c r="AP149" s="315"/>
      <c r="AQ149" s="315"/>
      <c r="AR149" s="315"/>
      <c r="AS149" s="315"/>
      <c r="AT149" s="315">
        <f>+ab($T$149,$T$147,$T$151,$G$148,$G$150,-1*$F$149,1200)</f>
        <v>-9.691628391822789</v>
      </c>
      <c r="AU149" s="315"/>
      <c r="AV149" s="315"/>
      <c r="AW149" s="315" t="s">
        <v>2634</v>
      </c>
      <c r="AX149" s="315" t="s">
        <v>1641</v>
      </c>
      <c r="AY149" s="315">
        <v>4.2</v>
      </c>
      <c r="AZ149" s="315"/>
      <c r="BA149" s="315"/>
      <c r="BB149" s="306"/>
      <c r="BC149" s="307"/>
      <c r="BE149" s="298"/>
      <c r="BF149" s="362"/>
      <c r="BG149" s="362"/>
    </row>
    <row r="150" spans="1:59" ht="14.25">
      <c r="A150" s="340"/>
      <c r="B150" s="340"/>
      <c r="C150" s="288"/>
      <c r="D150" s="1121"/>
      <c r="E150" s="1121"/>
      <c r="F150" s="289"/>
      <c r="G150" s="292">
        <v>59</v>
      </c>
      <c r="H150" s="1121"/>
      <c r="I150" s="289"/>
      <c r="J150" s="288">
        <f>C151-7.5</f>
        <v>14260.5</v>
      </c>
      <c r="K150" s="1121" t="s">
        <v>3018</v>
      </c>
      <c r="L150" s="1121"/>
      <c r="M150" s="1121"/>
      <c r="N150" s="1121"/>
      <c r="O150" s="1121"/>
      <c r="P150" s="1121"/>
      <c r="Q150" s="1121"/>
      <c r="R150" s="292"/>
      <c r="S150" s="292">
        <f t="shared" ref="S150" si="53">+AG151-AG149</f>
        <v>58.809999999999491</v>
      </c>
      <c r="T150" s="1121"/>
      <c r="U150" s="1121"/>
      <c r="V150" s="1121"/>
      <c r="W150" s="1121"/>
      <c r="X150" s="1121"/>
      <c r="Y150" s="1121"/>
      <c r="Z150" s="1121"/>
      <c r="AA150" s="1121"/>
      <c r="AB150" s="1121"/>
      <c r="AC150" s="1121"/>
      <c r="AD150" s="1121"/>
      <c r="AE150" s="1121"/>
      <c r="AF150" s="1121"/>
      <c r="AG150" s="288"/>
      <c r="AH150" s="1121" t="s">
        <v>695</v>
      </c>
      <c r="AI150" s="289"/>
      <c r="AJ150" s="1121"/>
      <c r="AK150" s="1121"/>
      <c r="AL150" s="1121"/>
      <c r="AM150" s="1121"/>
      <c r="AN150" s="315"/>
      <c r="AO150" s="315"/>
      <c r="AP150" s="315"/>
      <c r="AQ150" s="315">
        <f>+FL_2($T$151,$T$149,$G$150,1200,9.28,-1*$F$151)</f>
        <v>-0.38997069209039537</v>
      </c>
      <c r="AR150" s="315"/>
      <c r="AS150" s="315"/>
      <c r="AT150" s="315"/>
      <c r="AU150" s="315"/>
      <c r="AV150" s="315"/>
      <c r="AW150" s="315" t="s">
        <v>2634</v>
      </c>
      <c r="AX150" s="315" t="s">
        <v>1641</v>
      </c>
      <c r="AY150" s="315"/>
      <c r="AZ150" s="315">
        <v>3.5</v>
      </c>
      <c r="BA150" s="315"/>
      <c r="BB150" s="306"/>
      <c r="BC150" s="307"/>
      <c r="BE150" s="298"/>
    </row>
    <row r="151" spans="1:59" ht="14.25">
      <c r="A151" s="340"/>
      <c r="B151" s="1036" t="s">
        <v>2109</v>
      </c>
      <c r="C151" s="288">
        <f>+$C$149+$G$150</f>
        <v>14268</v>
      </c>
      <c r="D151" s="1121"/>
      <c r="E151" s="1121"/>
      <c r="F151" s="289">
        <v>0</v>
      </c>
      <c r="G151" s="292"/>
      <c r="H151" s="291" t="s">
        <v>954</v>
      </c>
      <c r="I151" s="291"/>
      <c r="J151" s="288"/>
      <c r="K151" s="1121"/>
      <c r="L151" s="1121" t="s">
        <v>231</v>
      </c>
      <c r="M151" s="1121" t="s">
        <v>2756</v>
      </c>
      <c r="N151" s="1121" t="s">
        <v>145</v>
      </c>
      <c r="O151" s="1121"/>
      <c r="P151" s="1121"/>
      <c r="Q151" s="1121">
        <v>0</v>
      </c>
      <c r="R151" s="289">
        <v>0</v>
      </c>
      <c r="S151" s="292"/>
      <c r="T151" s="1121">
        <v>35</v>
      </c>
      <c r="U151" s="1121"/>
      <c r="V151" s="1121"/>
      <c r="W151" s="1121">
        <v>1.4</v>
      </c>
      <c r="X151" s="1121"/>
      <c r="Y151" s="1121"/>
      <c r="Z151" s="1121"/>
      <c r="AA151" s="1121"/>
      <c r="AB151" s="1121"/>
      <c r="AC151" s="1121" t="s">
        <v>1704</v>
      </c>
      <c r="AD151" s="1121"/>
      <c r="AE151" s="1121"/>
      <c r="AF151" s="1121">
        <v>6000</v>
      </c>
      <c r="AG151" s="288">
        <v>14267.98</v>
      </c>
      <c r="AH151" s="1121">
        <v>2420</v>
      </c>
      <c r="AI151" s="289">
        <v>712</v>
      </c>
      <c r="AJ151" s="1121"/>
      <c r="AK151" s="1121"/>
      <c r="AL151" s="1121"/>
      <c r="AM151" s="1121" t="s">
        <v>1228</v>
      </c>
      <c r="AN151" s="315">
        <v>5.5</v>
      </c>
      <c r="AO151" s="315"/>
      <c r="AP151" s="315"/>
      <c r="AQ151" s="315"/>
      <c r="AR151" s="315"/>
      <c r="AS151" s="315"/>
      <c r="AT151" s="315">
        <f>+ab($T$151,$T$149,$T$153,$G$150,$G$152,-1*$F$151,1200)</f>
        <v>9.0542210737003703</v>
      </c>
      <c r="AU151" s="315"/>
      <c r="AV151" s="315"/>
      <c r="AW151" s="315" t="s">
        <v>2634</v>
      </c>
      <c r="AX151" s="315" t="s">
        <v>1641</v>
      </c>
      <c r="AY151" s="315">
        <v>4.2</v>
      </c>
      <c r="AZ151" s="315"/>
      <c r="BA151" s="315"/>
      <c r="BB151" s="306"/>
      <c r="BC151" s="307"/>
      <c r="BE151" s="298"/>
    </row>
    <row r="152" spans="1:59" ht="14.25">
      <c r="A152" s="340"/>
      <c r="B152" s="340"/>
      <c r="C152" s="288"/>
      <c r="D152" s="1121"/>
      <c r="E152" s="1121"/>
      <c r="F152" s="289"/>
      <c r="G152" s="292">
        <v>65</v>
      </c>
      <c r="H152" s="291"/>
      <c r="I152" s="294">
        <f>SUM(G129:G152)</f>
        <v>673</v>
      </c>
      <c r="J152" s="288"/>
      <c r="K152" s="1121"/>
      <c r="L152" s="1121"/>
      <c r="M152" s="1121"/>
      <c r="N152" s="1121"/>
      <c r="O152" s="1121"/>
      <c r="P152" s="1121"/>
      <c r="Q152" s="1121"/>
      <c r="R152" s="292"/>
      <c r="S152" s="292">
        <f t="shared" ref="S152" si="54">+AG153-AG151</f>
        <v>65.110000000000582</v>
      </c>
      <c r="T152" s="1121"/>
      <c r="U152" s="1121"/>
      <c r="V152" s="1121"/>
      <c r="W152" s="1121"/>
      <c r="X152" s="1121"/>
      <c r="Y152" s="1121"/>
      <c r="Z152" s="1121"/>
      <c r="AA152" s="1121"/>
      <c r="AB152" s="1121"/>
      <c r="AC152" s="1121"/>
      <c r="AD152" s="1121"/>
      <c r="AE152" s="1121"/>
      <c r="AF152" s="1121"/>
      <c r="AG152" s="288"/>
      <c r="AH152" s="1121" t="s">
        <v>695</v>
      </c>
      <c r="AI152" s="289"/>
      <c r="AJ152" s="1121"/>
      <c r="AK152" s="1121"/>
      <c r="AL152" s="1121"/>
      <c r="AM152" s="1121"/>
      <c r="AN152" s="315"/>
      <c r="AO152" s="315"/>
      <c r="AP152" s="315"/>
      <c r="AQ152" s="315">
        <f>+FL_1($T$153,$T$151,$G$152,1200,9.18,-1*$F$153)</f>
        <v>0.49437510074999985</v>
      </c>
      <c r="AR152" s="315"/>
      <c r="AS152" s="315"/>
      <c r="AT152" s="315"/>
      <c r="AU152" s="315"/>
      <c r="AV152" s="315"/>
      <c r="AW152" s="315"/>
      <c r="AX152" s="315"/>
      <c r="AY152" s="315"/>
      <c r="AZ152" s="315"/>
      <c r="BA152" s="315"/>
      <c r="BB152" s="306"/>
      <c r="BC152" s="307"/>
      <c r="BE152" s="298"/>
    </row>
    <row r="153" spans="1:59" ht="14.25">
      <c r="A153" s="340"/>
      <c r="B153" s="340" t="s">
        <v>2110</v>
      </c>
      <c r="C153" s="288">
        <f>+$C$151+$G$152</f>
        <v>14333</v>
      </c>
      <c r="D153" s="1121"/>
      <c r="E153" s="1121"/>
      <c r="F153" s="289">
        <v>0</v>
      </c>
      <c r="G153" s="292"/>
      <c r="H153" s="291" t="s">
        <v>955</v>
      </c>
      <c r="I153" s="291"/>
      <c r="J153" s="288"/>
      <c r="K153" s="1121"/>
      <c r="L153" s="1121" t="s">
        <v>230</v>
      </c>
      <c r="M153" s="1121" t="s">
        <v>2757</v>
      </c>
      <c r="N153" s="1121" t="s">
        <v>144</v>
      </c>
      <c r="O153" s="1121"/>
      <c r="P153" s="1121"/>
      <c r="Q153" s="1121">
        <v>0</v>
      </c>
      <c r="R153" s="289">
        <v>0</v>
      </c>
      <c r="S153" s="292"/>
      <c r="T153" s="1121">
        <v>-30</v>
      </c>
      <c r="U153" s="1121"/>
      <c r="V153" s="1121"/>
      <c r="W153" s="1121">
        <v>1.4</v>
      </c>
      <c r="X153" s="1121"/>
      <c r="Y153" s="1121"/>
      <c r="Z153" s="1121"/>
      <c r="AA153" s="1121"/>
      <c r="AB153" s="1121"/>
      <c r="AC153" s="1121" t="s">
        <v>1704</v>
      </c>
      <c r="AD153" s="1121"/>
      <c r="AE153" s="1121"/>
      <c r="AF153" s="1121">
        <v>6000</v>
      </c>
      <c r="AG153" s="288">
        <v>14333.09</v>
      </c>
      <c r="AH153" s="1121">
        <v>2614</v>
      </c>
      <c r="AI153" s="289">
        <v>676</v>
      </c>
      <c r="AJ153" s="1121"/>
      <c r="AK153" s="1121"/>
      <c r="AL153" s="1121"/>
      <c r="AM153" s="1121" t="s">
        <v>1228</v>
      </c>
      <c r="AN153" s="315">
        <v>5.5</v>
      </c>
      <c r="AO153" s="315"/>
      <c r="AP153" s="315"/>
      <c r="AQ153" s="315"/>
      <c r="AR153" s="315"/>
      <c r="AS153" s="315"/>
      <c r="AT153" s="315">
        <f>+ab($T$153,$T$151,$T$155,$G$152,$G$154,-1*$F$153,1200)</f>
        <v>-10.282394717331455</v>
      </c>
      <c r="AU153" s="315"/>
      <c r="AV153" s="315"/>
      <c r="AW153" s="315" t="s">
        <v>2634</v>
      </c>
      <c r="AX153" s="315" t="s">
        <v>1641</v>
      </c>
      <c r="AY153" s="315">
        <v>4.2</v>
      </c>
      <c r="AZ153" s="315"/>
      <c r="BA153" s="315"/>
      <c r="BB153" s="306"/>
      <c r="BC153" s="307"/>
      <c r="BE153" s="298"/>
    </row>
    <row r="154" spans="1:59" ht="14.25">
      <c r="A154" s="340"/>
      <c r="B154" s="340"/>
      <c r="C154" s="288"/>
      <c r="D154" s="1121"/>
      <c r="E154" s="1121"/>
      <c r="F154" s="289"/>
      <c r="G154" s="292">
        <v>65</v>
      </c>
      <c r="H154" s="291"/>
      <c r="I154" s="294">
        <f>SUM(G154:G177)</f>
        <v>692</v>
      </c>
      <c r="J154" s="288"/>
      <c r="K154" s="1121"/>
      <c r="L154" s="1121"/>
      <c r="M154" s="1121"/>
      <c r="N154" s="1121"/>
      <c r="O154" s="1121"/>
      <c r="P154" s="1121"/>
      <c r="Q154" s="1121"/>
      <c r="R154" s="292"/>
      <c r="S154" s="292">
        <f t="shared" ref="S154" si="55">+AG155-AG153</f>
        <v>64.940000000000509</v>
      </c>
      <c r="T154" s="1121"/>
      <c r="U154" s="1121"/>
      <c r="V154" s="1121"/>
      <c r="W154" s="1121"/>
      <c r="X154" s="1121"/>
      <c r="Y154" s="1121"/>
      <c r="Z154" s="1121"/>
      <c r="AA154" s="1121"/>
      <c r="AB154" s="1121"/>
      <c r="AC154" s="1121"/>
      <c r="AD154" s="1121"/>
      <c r="AE154" s="1121"/>
      <c r="AF154" s="1121"/>
      <c r="AG154" s="288"/>
      <c r="AH154" s="1121" t="s">
        <v>695</v>
      </c>
      <c r="AI154" s="289"/>
      <c r="AJ154" s="1121"/>
      <c r="AK154" s="1121"/>
      <c r="AL154" s="1121"/>
      <c r="AM154" s="1121"/>
      <c r="AN154" s="315"/>
      <c r="AO154" s="315"/>
      <c r="AP154" s="315"/>
      <c r="AQ154" s="315">
        <f>+FL_2($T$155,$T$153,$G$154,1200,9.28,-1*$F$155)</f>
        <v>-0.47970823876923074</v>
      </c>
      <c r="AR154" s="315"/>
      <c r="AS154" s="315"/>
      <c r="AT154" s="315"/>
      <c r="AU154" s="315"/>
      <c r="AV154" s="315"/>
      <c r="AW154" s="315"/>
      <c r="AX154" s="315"/>
      <c r="AY154" s="315" t="s">
        <v>695</v>
      </c>
      <c r="AZ154" s="315"/>
      <c r="BA154" s="315"/>
      <c r="BB154" s="306"/>
      <c r="BC154" s="307"/>
      <c r="BE154" s="298"/>
    </row>
    <row r="155" spans="1:59" ht="14.25">
      <c r="A155" s="340"/>
      <c r="B155" s="340" t="s">
        <v>2111</v>
      </c>
      <c r="C155" s="288">
        <f>+$C$153+$G$154</f>
        <v>14398</v>
      </c>
      <c r="D155" s="1121"/>
      <c r="E155" s="1121"/>
      <c r="F155" s="289">
        <v>0</v>
      </c>
      <c r="G155" s="292"/>
      <c r="H155" s="1121" t="s">
        <v>954</v>
      </c>
      <c r="I155" s="289"/>
      <c r="J155" s="288"/>
      <c r="K155" s="1121"/>
      <c r="L155" s="1121" t="s">
        <v>231</v>
      </c>
      <c r="M155" s="1121" t="s">
        <v>2756</v>
      </c>
      <c r="N155" s="1121" t="s">
        <v>145</v>
      </c>
      <c r="O155" s="1121"/>
      <c r="P155" s="1121"/>
      <c r="Q155" s="1121">
        <v>0</v>
      </c>
      <c r="R155" s="289">
        <v>0</v>
      </c>
      <c r="S155" s="292"/>
      <c r="T155" s="1121">
        <v>25</v>
      </c>
      <c r="U155" s="1121"/>
      <c r="V155" s="1121"/>
      <c r="W155" s="1121">
        <v>1.4</v>
      </c>
      <c r="X155" s="1121"/>
      <c r="Y155" s="1121"/>
      <c r="Z155" s="1121"/>
      <c r="AA155" s="1121"/>
      <c r="AB155" s="1121"/>
      <c r="AC155" s="1121" t="s">
        <v>1704</v>
      </c>
      <c r="AD155" s="1121"/>
      <c r="AE155" s="1121"/>
      <c r="AF155" s="1121">
        <v>6000</v>
      </c>
      <c r="AG155" s="288">
        <v>14398.03</v>
      </c>
      <c r="AH155" s="1121">
        <v>2583</v>
      </c>
      <c r="AI155" s="289">
        <v>692</v>
      </c>
      <c r="AJ155" s="1121"/>
      <c r="AK155" s="1121"/>
      <c r="AL155" s="1121"/>
      <c r="AM155" s="1121" t="s">
        <v>1228</v>
      </c>
      <c r="AN155" s="315">
        <v>5.5</v>
      </c>
      <c r="AO155" s="315"/>
      <c r="AP155" s="315"/>
      <c r="AQ155" s="315"/>
      <c r="AR155" s="315"/>
      <c r="AS155" s="315"/>
      <c r="AT155" s="315">
        <f>+ab($T$155,$T$153,$T$157,$G$154,$G$156,-1*$F$155,1200)</f>
        <v>11.713074342027149</v>
      </c>
      <c r="AU155" s="315"/>
      <c r="AV155" s="315"/>
      <c r="AW155" s="315" t="s">
        <v>2634</v>
      </c>
      <c r="AX155" s="315" t="s">
        <v>1641</v>
      </c>
      <c r="AY155" s="315">
        <v>4.2</v>
      </c>
      <c r="AZ155" s="315"/>
      <c r="BA155" s="315"/>
      <c r="BB155" s="306"/>
      <c r="BC155" s="307"/>
      <c r="BE155" s="298"/>
    </row>
    <row r="156" spans="1:59" ht="14.25">
      <c r="A156" s="340"/>
      <c r="B156" s="340"/>
      <c r="C156" s="288"/>
      <c r="D156" s="1121"/>
      <c r="E156" s="1121"/>
      <c r="F156" s="289"/>
      <c r="G156" s="292">
        <v>65</v>
      </c>
      <c r="H156" s="291"/>
      <c r="I156" s="291"/>
      <c r="J156" s="288">
        <f>C155+7.5</f>
        <v>14405.5</v>
      </c>
      <c r="K156" s="1121" t="s">
        <v>3018</v>
      </c>
      <c r="L156" s="1121"/>
      <c r="M156" s="1121"/>
      <c r="N156" s="1121"/>
      <c r="O156" s="1121"/>
      <c r="P156" s="1121"/>
      <c r="Q156" s="1121"/>
      <c r="R156" s="292"/>
      <c r="S156" s="292">
        <f t="shared" ref="S156" si="56">+AG157-AG155</f>
        <v>65.119999999998981</v>
      </c>
      <c r="T156" s="1121"/>
      <c r="U156" s="1121"/>
      <c r="V156" s="1121"/>
      <c r="W156" s="1121"/>
      <c r="X156" s="1121"/>
      <c r="Y156" s="1121"/>
      <c r="Z156" s="1121"/>
      <c r="AA156" s="1121"/>
      <c r="AB156" s="1121"/>
      <c r="AC156" s="1121"/>
      <c r="AD156" s="1121"/>
      <c r="AE156" s="1121"/>
      <c r="AF156" s="1121"/>
      <c r="AG156" s="288"/>
      <c r="AH156" s="1121" t="s">
        <v>695</v>
      </c>
      <c r="AI156" s="289"/>
      <c r="AJ156" s="1121"/>
      <c r="AK156" s="1121"/>
      <c r="AL156" s="1121"/>
      <c r="AM156" s="1121"/>
      <c r="AN156" s="315"/>
      <c r="AO156" s="315"/>
      <c r="AP156" s="315"/>
      <c r="AQ156" s="315">
        <f>+FL_1($T$157,$T$155,$G$156,1200,9.28,-1*$F$157)</f>
        <v>0.49184588272801072</v>
      </c>
      <c r="AR156" s="315"/>
      <c r="AS156" s="315"/>
      <c r="AT156" s="315"/>
      <c r="AU156" s="315"/>
      <c r="AV156" s="315"/>
      <c r="AW156" s="315" t="s">
        <v>2634</v>
      </c>
      <c r="AX156" s="315" t="s">
        <v>1641</v>
      </c>
      <c r="AY156" s="315"/>
      <c r="AZ156" s="315">
        <v>3.5</v>
      </c>
      <c r="BA156" s="315"/>
      <c r="BB156" s="306"/>
      <c r="BC156" s="307"/>
      <c r="BE156" s="298"/>
    </row>
    <row r="157" spans="1:59" ht="14.25">
      <c r="A157" s="340"/>
      <c r="B157" s="340" t="s">
        <v>2112</v>
      </c>
      <c r="C157" s="288">
        <f>+$C$155+$G$156</f>
        <v>14463</v>
      </c>
      <c r="D157" s="1121"/>
      <c r="E157" s="1121"/>
      <c r="F157" s="289">
        <f>100*3000/(C157-14435)</f>
        <v>10714.285714285714</v>
      </c>
      <c r="G157" s="292"/>
      <c r="H157" s="1121"/>
      <c r="I157" s="289"/>
      <c r="J157" s="288"/>
      <c r="K157" s="1121"/>
      <c r="L157" s="1121" t="s">
        <v>230</v>
      </c>
      <c r="M157" s="1121" t="s">
        <v>2757</v>
      </c>
      <c r="N157" s="1121" t="s">
        <v>144</v>
      </c>
      <c r="O157" s="1121"/>
      <c r="P157" s="1121"/>
      <c r="Q157" s="1121">
        <v>16</v>
      </c>
      <c r="R157" s="292">
        <v>9154.68</v>
      </c>
      <c r="S157" s="292"/>
      <c r="T157" s="1121">
        <v>-25</v>
      </c>
      <c r="U157" s="1121"/>
      <c r="V157" s="1121"/>
      <c r="W157" s="1121">
        <v>1.4</v>
      </c>
      <c r="X157" s="1121"/>
      <c r="Y157" s="1121"/>
      <c r="Z157" s="1121"/>
      <c r="AA157" s="1121"/>
      <c r="AB157" s="1121"/>
      <c r="AC157" s="1121" t="s">
        <v>1704</v>
      </c>
      <c r="AD157" s="1121"/>
      <c r="AE157" s="1121"/>
      <c r="AF157" s="1121">
        <v>6000</v>
      </c>
      <c r="AG157" s="288">
        <v>14463.15</v>
      </c>
      <c r="AH157" s="1121">
        <v>2550</v>
      </c>
      <c r="AI157" s="289">
        <v>727</v>
      </c>
      <c r="AJ157" s="1121"/>
      <c r="AK157" s="1121"/>
      <c r="AL157" s="1121"/>
      <c r="AM157" s="1121" t="s">
        <v>1228</v>
      </c>
      <c r="AN157" s="315">
        <v>5.5</v>
      </c>
      <c r="AO157" s="315"/>
      <c r="AP157" s="315"/>
      <c r="AQ157" s="315"/>
      <c r="AR157" s="315"/>
      <c r="AS157" s="315"/>
      <c r="AT157" s="315">
        <f>+ab($T$157,$T$155,$T$159,$G$156,$G$158,-1*$F$157,1200)</f>
        <v>-13.070821456067989</v>
      </c>
      <c r="AU157" s="315"/>
      <c r="AV157" s="315"/>
      <c r="AW157" s="315" t="s">
        <v>2634</v>
      </c>
      <c r="AX157" s="315" t="s">
        <v>1641</v>
      </c>
      <c r="AY157" s="315">
        <v>4.2</v>
      </c>
      <c r="AZ157" s="315"/>
      <c r="BA157" s="315"/>
      <c r="BB157" s="306"/>
      <c r="BC157" s="307"/>
      <c r="BE157" s="298"/>
    </row>
    <row r="158" spans="1:59" ht="14.25">
      <c r="A158" s="340"/>
      <c r="B158" s="340"/>
      <c r="C158" s="288"/>
      <c r="D158" s="1121"/>
      <c r="E158" s="1121"/>
      <c r="F158" s="289"/>
      <c r="G158" s="292">
        <v>62</v>
      </c>
      <c r="H158" s="291"/>
      <c r="I158" s="291"/>
      <c r="J158" s="288"/>
      <c r="K158" s="1121"/>
      <c r="L158" s="1121"/>
      <c r="M158" s="1121"/>
      <c r="N158" s="1121"/>
      <c r="O158" s="1121"/>
      <c r="P158" s="1121"/>
      <c r="Q158" s="1121"/>
      <c r="R158" s="292"/>
      <c r="S158" s="292">
        <f t="shared" ref="S158" si="57">+AG159-AG157</f>
        <v>62.030000000000655</v>
      </c>
      <c r="T158" s="1121"/>
      <c r="U158" s="1121"/>
      <c r="V158" s="1121"/>
      <c r="W158" s="1121"/>
      <c r="X158" s="1121"/>
      <c r="Y158" s="1121"/>
      <c r="Z158" s="1121"/>
      <c r="AA158" s="1121"/>
      <c r="AB158" s="1121"/>
      <c r="AC158" s="1121"/>
      <c r="AD158" s="1121"/>
      <c r="AE158" s="1121"/>
      <c r="AF158" s="1121"/>
      <c r="AG158" s="288"/>
      <c r="AH158" s="1121" t="s">
        <v>695</v>
      </c>
      <c r="AI158" s="289"/>
      <c r="AJ158" s="1121"/>
      <c r="AK158" s="1121"/>
      <c r="AL158" s="1121"/>
      <c r="AM158" s="1121"/>
      <c r="AN158" s="315"/>
      <c r="AO158" s="315"/>
      <c r="AP158" s="315"/>
      <c r="AQ158" s="315">
        <f>+FL_2($T$159,$T$157,$G$158,1200,9.28,-1*$F$159)</f>
        <v>-0.45312056944343126</v>
      </c>
      <c r="AR158" s="315"/>
      <c r="AS158" s="315"/>
      <c r="AT158" s="315"/>
      <c r="AU158" s="315"/>
      <c r="AV158" s="315"/>
      <c r="AW158" s="315"/>
      <c r="AX158" s="315"/>
      <c r="AY158" s="315"/>
      <c r="AZ158" s="315"/>
      <c r="BA158" s="315"/>
      <c r="BB158" s="306"/>
      <c r="BC158" s="307"/>
      <c r="BE158" s="298"/>
    </row>
    <row r="159" spans="1:59" ht="14.25">
      <c r="A159" s="340"/>
      <c r="B159" s="340" t="s">
        <v>2113</v>
      </c>
      <c r="C159" s="288">
        <f>+$C$157+$G$158</f>
        <v>14525</v>
      </c>
      <c r="D159" s="1121"/>
      <c r="E159" s="1121"/>
      <c r="F159" s="289">
        <f>100*3000/(C159-14435)</f>
        <v>3333.3333333333335</v>
      </c>
      <c r="G159" s="292"/>
      <c r="H159" s="291"/>
      <c r="I159" s="294"/>
      <c r="J159" s="288"/>
      <c r="K159" s="1121"/>
      <c r="L159" s="1121" t="s">
        <v>230</v>
      </c>
      <c r="M159" s="1121" t="s">
        <v>2757</v>
      </c>
      <c r="N159" s="1121" t="s">
        <v>144</v>
      </c>
      <c r="O159" s="1121"/>
      <c r="P159" s="1121"/>
      <c r="Q159" s="1121">
        <v>51</v>
      </c>
      <c r="R159" s="292">
        <v>3185.36</v>
      </c>
      <c r="S159" s="292"/>
      <c r="T159" s="1121">
        <v>-20</v>
      </c>
      <c r="U159" s="1121"/>
      <c r="V159" s="1121"/>
      <c r="W159" s="1121">
        <v>1.4</v>
      </c>
      <c r="X159" s="1121"/>
      <c r="Y159" s="1121"/>
      <c r="Z159" s="1121"/>
      <c r="AA159" s="1121"/>
      <c r="AB159" s="1121"/>
      <c r="AC159" s="1121" t="s">
        <v>1704</v>
      </c>
      <c r="AD159" s="1121"/>
      <c r="AE159" s="1121"/>
      <c r="AF159" s="1121">
        <v>6000</v>
      </c>
      <c r="AG159" s="288">
        <v>14525.18</v>
      </c>
      <c r="AH159" s="1121">
        <v>2639</v>
      </c>
      <c r="AI159" s="289">
        <v>778</v>
      </c>
      <c r="AJ159" s="1121"/>
      <c r="AK159" s="1121"/>
      <c r="AL159" s="1121"/>
      <c r="AM159" s="1121" t="s">
        <v>1228</v>
      </c>
      <c r="AN159" s="315">
        <v>5.5</v>
      </c>
      <c r="AO159" s="315"/>
      <c r="AP159" s="315"/>
      <c r="AQ159" s="315"/>
      <c r="AR159" s="315"/>
      <c r="AS159" s="315"/>
      <c r="AT159" s="315">
        <f>+ab($T$159,$T$157,$T$161,$G$158,$G$160,-1*$F$159,1200)</f>
        <v>-10.838189367413028</v>
      </c>
      <c r="AU159" s="315"/>
      <c r="AV159" s="315"/>
      <c r="AW159" s="315" t="s">
        <v>2634</v>
      </c>
      <c r="AX159" s="315" t="s">
        <v>1641</v>
      </c>
      <c r="AY159" s="315">
        <v>4.2</v>
      </c>
      <c r="AZ159" s="315"/>
      <c r="BA159" s="315"/>
      <c r="BB159" s="306"/>
      <c r="BC159" s="307"/>
      <c r="BE159" s="298"/>
    </row>
    <row r="160" spans="1:59" ht="14.25">
      <c r="A160" s="340"/>
      <c r="B160" s="340"/>
      <c r="C160" s="288"/>
      <c r="D160" s="1121"/>
      <c r="E160" s="1121"/>
      <c r="F160" s="289"/>
      <c r="G160" s="292">
        <v>60</v>
      </c>
      <c r="H160" s="291"/>
      <c r="I160" s="294"/>
      <c r="J160" s="288"/>
      <c r="K160" s="1121"/>
      <c r="L160" s="1121"/>
      <c r="M160" s="1121"/>
      <c r="N160" s="1121"/>
      <c r="O160" s="1121"/>
      <c r="P160" s="1121"/>
      <c r="Q160" s="1121"/>
      <c r="R160" s="292"/>
      <c r="S160" s="292">
        <f t="shared" ref="S160" si="58">+AG161-AG159</f>
        <v>59.959999999999127</v>
      </c>
      <c r="T160" s="1121"/>
      <c r="U160" s="1121"/>
      <c r="V160" s="1121"/>
      <c r="W160" s="1121"/>
      <c r="X160" s="1121"/>
      <c r="Y160" s="1121"/>
      <c r="Z160" s="1121"/>
      <c r="AA160" s="1121"/>
      <c r="AB160" s="1121"/>
      <c r="AC160" s="1121"/>
      <c r="AD160" s="1121"/>
      <c r="AE160" s="1121"/>
      <c r="AF160" s="1121"/>
      <c r="AG160" s="288"/>
      <c r="AH160" s="1121" t="s">
        <v>695</v>
      </c>
      <c r="AI160" s="289"/>
      <c r="AJ160" s="1121"/>
      <c r="AK160" s="1121"/>
      <c r="AL160" s="1121"/>
      <c r="AM160" s="1121"/>
      <c r="AN160" s="315"/>
      <c r="AO160" s="315"/>
      <c r="AP160" s="315"/>
      <c r="AQ160" s="315">
        <f>+FL_2($T$161,$T$159,$G$160,1200,9.28,-1*$F$161)</f>
        <v>-0.39799624981264792</v>
      </c>
      <c r="AR160" s="315"/>
      <c r="AS160" s="315"/>
      <c r="AT160" s="315"/>
      <c r="AU160" s="315"/>
      <c r="AV160" s="315"/>
      <c r="AW160" s="315"/>
      <c r="AX160" s="315"/>
      <c r="AY160" s="315"/>
      <c r="AZ160" s="315"/>
      <c r="BA160" s="315"/>
      <c r="BB160" s="306"/>
      <c r="BC160" s="307"/>
      <c r="BE160" s="298"/>
    </row>
    <row r="161" spans="1:57" ht="14.25">
      <c r="A161" s="340"/>
      <c r="B161" s="340" t="s">
        <v>2114</v>
      </c>
      <c r="C161" s="288">
        <f>+$C$159+$G$160</f>
        <v>14585</v>
      </c>
      <c r="D161" s="1121"/>
      <c r="E161" s="1121"/>
      <c r="F161" s="289">
        <v>3000</v>
      </c>
      <c r="G161" s="292"/>
      <c r="H161" s="291"/>
      <c r="I161" s="294"/>
      <c r="J161" s="288"/>
      <c r="K161" s="1121"/>
      <c r="L161" s="1121" t="s">
        <v>230</v>
      </c>
      <c r="M161" s="1121" t="s">
        <v>2757</v>
      </c>
      <c r="N161" s="1121" t="s">
        <v>144</v>
      </c>
      <c r="O161" s="1121"/>
      <c r="P161" s="1121"/>
      <c r="Q161" s="1121">
        <v>73</v>
      </c>
      <c r="R161" s="292">
        <v>3004.7</v>
      </c>
      <c r="S161" s="292"/>
      <c r="T161" s="1121">
        <v>-20</v>
      </c>
      <c r="U161" s="1121"/>
      <c r="V161" s="1121"/>
      <c r="W161" s="1121">
        <v>1.4</v>
      </c>
      <c r="X161" s="1121"/>
      <c r="Y161" s="1121"/>
      <c r="Z161" s="1121"/>
      <c r="AA161" s="1121"/>
      <c r="AB161" s="1121"/>
      <c r="AC161" s="1121" t="s">
        <v>2963</v>
      </c>
      <c r="AD161" s="1121"/>
      <c r="AE161" s="1121"/>
      <c r="AF161" s="1121">
        <v>6000</v>
      </c>
      <c r="AG161" s="288">
        <v>14585.14</v>
      </c>
      <c r="AH161" s="1121">
        <v>2620</v>
      </c>
      <c r="AI161" s="289">
        <v>731</v>
      </c>
      <c r="AJ161" s="1121"/>
      <c r="AK161" s="1121"/>
      <c r="AL161" s="1121"/>
      <c r="AM161" s="1121" t="s">
        <v>1228</v>
      </c>
      <c r="AN161" s="315">
        <v>5.5</v>
      </c>
      <c r="AO161" s="315"/>
      <c r="AP161" s="315"/>
      <c r="AQ161" s="315"/>
      <c r="AR161" s="315"/>
      <c r="AS161" s="315"/>
      <c r="AT161" s="315">
        <f>+ab($T$161,$T$159,$T$163,$G$160,$G$162,-1*$F$161,1200)</f>
        <v>-6.9437194600928631</v>
      </c>
      <c r="AU161" s="315"/>
      <c r="AV161" s="315"/>
      <c r="AW161" s="315" t="s">
        <v>2634</v>
      </c>
      <c r="AX161" s="315" t="s">
        <v>1641</v>
      </c>
      <c r="AY161" s="315">
        <v>4.2</v>
      </c>
      <c r="AZ161" s="315"/>
      <c r="BA161" s="315"/>
      <c r="BB161" s="306"/>
      <c r="BC161" s="307"/>
      <c r="BE161" s="298"/>
    </row>
    <row r="162" spans="1:57" ht="14.25">
      <c r="A162" s="340"/>
      <c r="B162" s="340"/>
      <c r="C162" s="288"/>
      <c r="D162" s="1121"/>
      <c r="E162" s="1121"/>
      <c r="F162" s="289"/>
      <c r="G162" s="292">
        <v>60</v>
      </c>
      <c r="H162" s="291"/>
      <c r="I162" s="291"/>
      <c r="J162" s="288"/>
      <c r="K162" s="1121"/>
      <c r="L162" s="1121"/>
      <c r="M162" s="1121"/>
      <c r="N162" s="1121"/>
      <c r="O162" s="1121"/>
      <c r="P162" s="1121"/>
      <c r="Q162" s="1121"/>
      <c r="R162" s="292"/>
      <c r="S162" s="292">
        <f t="shared" ref="S162" si="59">+AG163-AG161</f>
        <v>59.920000000000073</v>
      </c>
      <c r="T162" s="1121"/>
      <c r="U162" s="1121"/>
      <c r="V162" s="1121"/>
      <c r="W162" s="1121"/>
      <c r="X162" s="1121"/>
      <c r="Y162" s="1121"/>
      <c r="Z162" s="1121"/>
      <c r="AA162" s="1121"/>
      <c r="AB162" s="1121"/>
      <c r="AC162" s="1121"/>
      <c r="AD162" s="1121"/>
      <c r="AE162" s="1121"/>
      <c r="AF162" s="1121"/>
      <c r="AG162" s="288"/>
      <c r="AH162" s="1121" t="s">
        <v>695</v>
      </c>
      <c r="AI162" s="289"/>
      <c r="AJ162" s="1121"/>
      <c r="AK162" s="1121"/>
      <c r="AL162" s="1121"/>
      <c r="AM162" s="1121"/>
      <c r="AN162" s="315"/>
      <c r="AO162" s="315"/>
      <c r="AP162" s="315"/>
      <c r="AQ162" s="315">
        <f>+FL_1($T$163,$T$161,$G$162,1200,9.28,-1*$F$163)</f>
        <v>0.46818207213477203</v>
      </c>
      <c r="AR162" s="315"/>
      <c r="AS162" s="315"/>
      <c r="AT162" s="315"/>
      <c r="AU162" s="315"/>
      <c r="AV162" s="315"/>
      <c r="AW162" s="315"/>
      <c r="AX162" s="315"/>
      <c r="AY162" s="315"/>
      <c r="AZ162" s="315"/>
      <c r="BA162" s="315"/>
      <c r="BB162" s="306"/>
      <c r="BC162" s="307"/>
      <c r="BE162" s="298"/>
    </row>
    <row r="163" spans="1:57" ht="14.25">
      <c r="A163" s="340"/>
      <c r="B163" s="340" t="s">
        <v>2115</v>
      </c>
      <c r="C163" s="288">
        <f>+$C$161+$G$162</f>
        <v>14645</v>
      </c>
      <c r="D163" s="1121"/>
      <c r="E163" s="1121"/>
      <c r="F163" s="289">
        <f>100*3000/-(C163-14688)</f>
        <v>6976.7441860465115</v>
      </c>
      <c r="G163" s="292"/>
      <c r="H163" s="291"/>
      <c r="I163" s="294"/>
      <c r="J163" s="288"/>
      <c r="K163" s="1121"/>
      <c r="L163" s="1121" t="s">
        <v>230</v>
      </c>
      <c r="M163" s="1121" t="s">
        <v>2757</v>
      </c>
      <c r="N163" s="1121" t="s">
        <v>145</v>
      </c>
      <c r="O163" s="1121"/>
      <c r="P163" s="1121"/>
      <c r="Q163" s="1121">
        <v>32</v>
      </c>
      <c r="R163" s="292">
        <v>5196.93</v>
      </c>
      <c r="S163" s="292"/>
      <c r="T163" s="1121">
        <v>25</v>
      </c>
      <c r="U163" s="1121"/>
      <c r="V163" s="1121"/>
      <c r="W163" s="1121">
        <v>1.4</v>
      </c>
      <c r="X163" s="1121"/>
      <c r="Y163" s="1121"/>
      <c r="Z163" s="1121"/>
      <c r="AA163" s="1121"/>
      <c r="AB163" s="1121"/>
      <c r="AC163" s="1121" t="s">
        <v>1704</v>
      </c>
      <c r="AD163" s="1121"/>
      <c r="AE163" s="1121"/>
      <c r="AF163" s="1121">
        <v>6000</v>
      </c>
      <c r="AG163" s="288">
        <v>14645.06</v>
      </c>
      <c r="AH163" s="1121">
        <v>2625</v>
      </c>
      <c r="AI163" s="289">
        <v>790</v>
      </c>
      <c r="AJ163" s="1121"/>
      <c r="AK163" s="1121"/>
      <c r="AL163" s="1121"/>
      <c r="AM163" s="1121" t="s">
        <v>1228</v>
      </c>
      <c r="AN163" s="315">
        <v>5.5</v>
      </c>
      <c r="AO163" s="315"/>
      <c r="AP163" s="315"/>
      <c r="AQ163" s="315"/>
      <c r="AR163" s="315"/>
      <c r="AS163" s="315"/>
      <c r="AT163" s="315">
        <f>+ab($T$163,$T$161,$T$165,$G$162,$G$164,-1*$F$163,1200)</f>
        <v>20.621815683359493</v>
      </c>
      <c r="AU163" s="315"/>
      <c r="AV163" s="315"/>
      <c r="AW163" s="315" t="s">
        <v>2634</v>
      </c>
      <c r="AX163" s="315" t="s">
        <v>1641</v>
      </c>
      <c r="AY163" s="315">
        <v>4.2</v>
      </c>
      <c r="AZ163" s="315"/>
      <c r="BA163" s="315"/>
      <c r="BB163" s="306"/>
      <c r="BC163" s="307"/>
      <c r="BE163" s="298"/>
    </row>
    <row r="164" spans="1:57" ht="14.25">
      <c r="A164" s="340"/>
      <c r="B164" s="340"/>
      <c r="C164" s="288"/>
      <c r="D164" s="1121"/>
      <c r="E164" s="1121"/>
      <c r="F164" s="289"/>
      <c r="G164" s="292">
        <v>60</v>
      </c>
      <c r="H164" s="291"/>
      <c r="I164" s="294"/>
      <c r="J164" s="288"/>
      <c r="K164" s="1121"/>
      <c r="L164" s="1121"/>
      <c r="M164" s="1121"/>
      <c r="N164" s="1121"/>
      <c r="O164" s="1121"/>
      <c r="P164" s="1121"/>
      <c r="Q164" s="1121"/>
      <c r="R164" s="292"/>
      <c r="S164" s="292">
        <f t="shared" ref="S164" si="60">+AG165-AG163</f>
        <v>60.090000000000146</v>
      </c>
      <c r="T164" s="1121"/>
      <c r="U164" s="1121"/>
      <c r="V164" s="1121"/>
      <c r="W164" s="1121"/>
      <c r="X164" s="1121"/>
      <c r="Y164" s="1121"/>
      <c r="Z164" s="1121"/>
      <c r="AA164" s="1121"/>
      <c r="AB164" s="1121"/>
      <c r="AC164" s="1121"/>
      <c r="AD164" s="1121"/>
      <c r="AE164" s="1121"/>
      <c r="AF164" s="1121"/>
      <c r="AG164" s="288"/>
      <c r="AH164" s="1121" t="s">
        <v>695</v>
      </c>
      <c r="AI164" s="289"/>
      <c r="AJ164" s="1121"/>
      <c r="AK164" s="1121"/>
      <c r="AL164" s="1121"/>
      <c r="AM164" s="1121"/>
      <c r="AN164" s="315"/>
      <c r="AO164" s="315"/>
      <c r="AP164" s="315"/>
      <c r="AQ164" s="315">
        <f>+FL_2($T$165,$T$163,$G$164,1200,9.28,-1*$F$165)</f>
        <v>-0.46265517199999995</v>
      </c>
      <c r="AR164" s="315"/>
      <c r="AS164" s="315"/>
      <c r="AT164" s="315"/>
      <c r="AU164" s="315"/>
      <c r="AV164" s="315"/>
      <c r="AW164" s="315"/>
      <c r="AX164" s="315"/>
      <c r="AY164" s="315"/>
      <c r="AZ164" s="315"/>
      <c r="BA164" s="315"/>
      <c r="BB164" s="306"/>
      <c r="BC164" s="307"/>
      <c r="BE164" s="298"/>
    </row>
    <row r="165" spans="1:57" ht="14.25">
      <c r="A165" s="340"/>
      <c r="B165" s="340" t="s">
        <v>2116</v>
      </c>
      <c r="C165" s="288">
        <f>+$C$163+$G$164</f>
        <v>14705</v>
      </c>
      <c r="D165" s="1121"/>
      <c r="E165" s="1121"/>
      <c r="F165" s="289">
        <v>0</v>
      </c>
      <c r="G165" s="292"/>
      <c r="H165" s="291"/>
      <c r="I165" s="294"/>
      <c r="J165" s="288"/>
      <c r="K165" s="1121"/>
      <c r="L165" s="1121" t="s">
        <v>230</v>
      </c>
      <c r="M165" s="1121" t="s">
        <v>2757</v>
      </c>
      <c r="N165" s="1121" t="s">
        <v>144</v>
      </c>
      <c r="O165" s="1121"/>
      <c r="P165" s="1121"/>
      <c r="Q165" s="1121">
        <v>0</v>
      </c>
      <c r="R165" s="289">
        <v>0</v>
      </c>
      <c r="S165" s="292"/>
      <c r="T165" s="1121">
        <v>-35</v>
      </c>
      <c r="U165" s="1121"/>
      <c r="V165" s="1121"/>
      <c r="W165" s="1121">
        <v>1.4</v>
      </c>
      <c r="X165" s="1121"/>
      <c r="Y165" s="1121"/>
      <c r="Z165" s="1121"/>
      <c r="AA165" s="1121"/>
      <c r="AB165" s="1121"/>
      <c r="AC165" s="1121" t="s">
        <v>2963</v>
      </c>
      <c r="AD165" s="1121"/>
      <c r="AE165" s="1121"/>
      <c r="AF165" s="1121">
        <v>6000</v>
      </c>
      <c r="AG165" s="288">
        <v>14705.15</v>
      </c>
      <c r="AH165" s="1121">
        <v>2598</v>
      </c>
      <c r="AI165" s="289">
        <v>707</v>
      </c>
      <c r="AJ165" s="1121"/>
      <c r="AK165" s="1121"/>
      <c r="AL165" s="1121"/>
      <c r="AM165" s="1121" t="s">
        <v>1228</v>
      </c>
      <c r="AN165" s="315">
        <v>5.5</v>
      </c>
      <c r="AO165" s="315"/>
      <c r="AP165" s="315"/>
      <c r="AQ165" s="315"/>
      <c r="AR165" s="315"/>
      <c r="AS165" s="315"/>
      <c r="AT165" s="315">
        <f>+ab($T$165,$T$163,$T$167,$G$164,$G$166,-1*$F$165,1200)</f>
        <v>-8.7870630701144865</v>
      </c>
      <c r="AU165" s="315"/>
      <c r="AV165" s="315"/>
      <c r="AW165" s="315" t="s">
        <v>2634</v>
      </c>
      <c r="AX165" s="315" t="s">
        <v>1641</v>
      </c>
      <c r="AY165" s="315">
        <v>4.2</v>
      </c>
      <c r="AZ165" s="315"/>
      <c r="BA165" s="315"/>
      <c r="BB165" s="306"/>
      <c r="BC165" s="307"/>
      <c r="BE165" s="298"/>
    </row>
    <row r="166" spans="1:57" ht="14.25">
      <c r="A166" s="340"/>
      <c r="B166" s="340"/>
      <c r="C166" s="288"/>
      <c r="D166" s="1121"/>
      <c r="E166" s="1121"/>
      <c r="F166" s="289"/>
      <c r="G166" s="292">
        <v>60</v>
      </c>
      <c r="H166" s="291"/>
      <c r="I166" s="294"/>
      <c r="J166" s="288"/>
      <c r="K166" s="1121"/>
      <c r="L166" s="1121"/>
      <c r="M166" s="1121"/>
      <c r="N166" s="1121"/>
      <c r="O166" s="1121"/>
      <c r="P166" s="1121"/>
      <c r="Q166" s="1121"/>
      <c r="R166" s="292"/>
      <c r="S166" s="292">
        <f t="shared" ref="S166" si="61">+AG167-AG165</f>
        <v>59.979999999999563</v>
      </c>
      <c r="T166" s="1121"/>
      <c r="U166" s="1121"/>
      <c r="V166" s="1121"/>
      <c r="W166" s="1121"/>
      <c r="X166" s="1121"/>
      <c r="Y166" s="1121"/>
      <c r="Z166" s="1121"/>
      <c r="AA166" s="1121"/>
      <c r="AB166" s="1121"/>
      <c r="AC166" s="1121"/>
      <c r="AD166" s="1121"/>
      <c r="AE166" s="1121"/>
      <c r="AF166" s="1121"/>
      <c r="AG166" s="288"/>
      <c r="AH166" s="1121" t="s">
        <v>695</v>
      </c>
      <c r="AI166" s="289"/>
      <c r="AJ166" s="1121"/>
      <c r="AK166" s="1121"/>
      <c r="AL166" s="1121"/>
      <c r="AM166" s="1121"/>
      <c r="AN166" s="315"/>
      <c r="AO166" s="315"/>
      <c r="AP166" s="315"/>
      <c r="AQ166" s="315">
        <f>+FL_1($T$167,$T$165,$G$166,1200,9.28,-1*$F$167)</f>
        <v>0.43600286799999999</v>
      </c>
      <c r="AR166" s="315"/>
      <c r="AS166" s="315"/>
      <c r="AT166" s="315"/>
      <c r="AU166" s="315"/>
      <c r="AV166" s="315"/>
      <c r="AW166" s="315"/>
      <c r="AX166" s="315"/>
      <c r="AY166" s="315"/>
      <c r="AZ166" s="315"/>
      <c r="BA166" s="315"/>
      <c r="BB166" s="306"/>
      <c r="BC166" s="307"/>
      <c r="BE166" s="298"/>
    </row>
    <row r="167" spans="1:57" ht="14.25">
      <c r="A167" s="340"/>
      <c r="B167" s="340" t="s">
        <v>2117</v>
      </c>
      <c r="C167" s="288">
        <f>+$C$165+$G$166</f>
        <v>14765</v>
      </c>
      <c r="D167" s="1121"/>
      <c r="E167" s="1121"/>
      <c r="F167" s="289">
        <v>0</v>
      </c>
      <c r="G167" s="292"/>
      <c r="H167" s="291"/>
      <c r="I167" s="294"/>
      <c r="J167" s="288"/>
      <c r="K167" s="1121"/>
      <c r="L167" s="1121" t="s">
        <v>230</v>
      </c>
      <c r="M167" s="1121" t="s">
        <v>2757</v>
      </c>
      <c r="N167" s="1121" t="s">
        <v>145</v>
      </c>
      <c r="O167" s="1121"/>
      <c r="P167" s="1121"/>
      <c r="Q167" s="1121">
        <v>0</v>
      </c>
      <c r="R167" s="289">
        <v>0</v>
      </c>
      <c r="S167" s="292"/>
      <c r="T167" s="1121">
        <v>35</v>
      </c>
      <c r="U167" s="1121"/>
      <c r="V167" s="1121"/>
      <c r="W167" s="1121">
        <v>1.4</v>
      </c>
      <c r="X167" s="1121"/>
      <c r="Y167" s="1121"/>
      <c r="Z167" s="1121"/>
      <c r="AA167" s="1121"/>
      <c r="AB167" s="1121"/>
      <c r="AC167" s="1121" t="s">
        <v>2963</v>
      </c>
      <c r="AD167" s="1121"/>
      <c r="AE167" s="1121"/>
      <c r="AF167" s="1121">
        <v>6000</v>
      </c>
      <c r="AG167" s="288">
        <v>14765.13</v>
      </c>
      <c r="AH167" s="1121">
        <v>2563</v>
      </c>
      <c r="AI167" s="289">
        <v>742</v>
      </c>
      <c r="AJ167" s="1121"/>
      <c r="AK167" s="1121"/>
      <c r="AL167" s="1121"/>
      <c r="AM167" s="1121" t="s">
        <v>1228</v>
      </c>
      <c r="AN167" s="315">
        <v>5.5</v>
      </c>
      <c r="AO167" s="315"/>
      <c r="AP167" s="315"/>
      <c r="AQ167" s="315"/>
      <c r="AR167" s="315"/>
      <c r="AS167" s="315"/>
      <c r="AT167" s="315">
        <f>+ab($T$167,$T$165,$T$169,$G$166,$G$168,-1*$F$167,1200)</f>
        <v>7.4343173327685177</v>
      </c>
      <c r="AU167" s="315"/>
      <c r="AV167" s="315"/>
      <c r="AW167" s="315" t="s">
        <v>2634</v>
      </c>
      <c r="AX167" s="315" t="s">
        <v>1641</v>
      </c>
      <c r="AY167" s="315">
        <v>4.2</v>
      </c>
      <c r="AZ167" s="315"/>
      <c r="BA167" s="315"/>
      <c r="BB167" s="306"/>
      <c r="BC167" s="307"/>
      <c r="BE167" s="298"/>
    </row>
    <row r="168" spans="1:57" ht="14.25">
      <c r="A168" s="340"/>
      <c r="B168" s="340"/>
      <c r="C168" s="288"/>
      <c r="D168" s="1121"/>
      <c r="E168" s="1121"/>
      <c r="F168" s="289"/>
      <c r="G168" s="292">
        <v>50</v>
      </c>
      <c r="H168" s="291"/>
      <c r="I168" s="294"/>
      <c r="J168" s="288"/>
      <c r="K168" s="1121"/>
      <c r="L168" s="1121"/>
      <c r="M168" s="1121"/>
      <c r="N168" s="1121"/>
      <c r="O168" s="1121"/>
      <c r="P168" s="1121"/>
      <c r="Q168" s="1121"/>
      <c r="R168" s="292"/>
      <c r="S168" s="292">
        <f t="shared" ref="S168" si="62">+AG169-AG167</f>
        <v>49.940000000000509</v>
      </c>
      <c r="T168" s="1121"/>
      <c r="U168" s="1121"/>
      <c r="V168" s="1121"/>
      <c r="W168" s="1121"/>
      <c r="X168" s="1121"/>
      <c r="Y168" s="1121"/>
      <c r="Z168" s="1121"/>
      <c r="AA168" s="1121"/>
      <c r="AB168" s="1121"/>
      <c r="AC168" s="1121"/>
      <c r="AD168" s="1121"/>
      <c r="AE168" s="1121"/>
      <c r="AF168" s="1121"/>
      <c r="AG168" s="288"/>
      <c r="AH168" s="1121" t="s">
        <v>695</v>
      </c>
      <c r="AI168" s="289"/>
      <c r="AJ168" s="1121"/>
      <c r="AK168" s="1121"/>
      <c r="AL168" s="1121"/>
      <c r="AM168" s="1121"/>
      <c r="AN168" s="315"/>
      <c r="AO168" s="315"/>
      <c r="AP168" s="315"/>
      <c r="AQ168" s="315">
        <f>+FL_2($T$169,$T$167,$G$168,1200,9.28,-1*$F$169)</f>
        <v>-0.36839079999999996</v>
      </c>
      <c r="AR168" s="315"/>
      <c r="AS168" s="315"/>
      <c r="AT168" s="315"/>
      <c r="AU168" s="315"/>
      <c r="AV168" s="315"/>
      <c r="AW168" s="315"/>
      <c r="AX168" s="315"/>
      <c r="AY168" s="315"/>
      <c r="AZ168" s="315"/>
      <c r="BA168" s="315"/>
      <c r="BB168" s="306"/>
      <c r="BC168" s="307"/>
      <c r="BE168" s="298"/>
    </row>
    <row r="169" spans="1:57" ht="14.25">
      <c r="A169" s="340"/>
      <c r="B169" s="340" t="s">
        <v>2118</v>
      </c>
      <c r="C169" s="288">
        <f>+$C$167+$G$168</f>
        <v>14815</v>
      </c>
      <c r="D169" s="1121"/>
      <c r="E169" s="1121"/>
      <c r="F169" s="289">
        <v>0</v>
      </c>
      <c r="G169" s="292"/>
      <c r="H169" s="291"/>
      <c r="I169" s="294"/>
      <c r="J169" s="288"/>
      <c r="K169" s="1121"/>
      <c r="L169" s="1121" t="s">
        <v>230</v>
      </c>
      <c r="M169" s="1121" t="s">
        <v>2757</v>
      </c>
      <c r="N169" s="1121" t="s">
        <v>144</v>
      </c>
      <c r="O169" s="1121"/>
      <c r="P169" s="1121"/>
      <c r="Q169" s="1121">
        <v>0</v>
      </c>
      <c r="R169" s="289">
        <v>0</v>
      </c>
      <c r="S169" s="292"/>
      <c r="T169" s="1121">
        <v>-35</v>
      </c>
      <c r="U169" s="1121"/>
      <c r="V169" s="1121"/>
      <c r="W169" s="1121">
        <v>1.4</v>
      </c>
      <c r="X169" s="1121"/>
      <c r="Y169" s="1121"/>
      <c r="Z169" s="1121"/>
      <c r="AA169" s="1121"/>
      <c r="AB169" s="1121"/>
      <c r="AC169" s="1121" t="s">
        <v>2963</v>
      </c>
      <c r="AD169" s="1121"/>
      <c r="AE169" s="1121"/>
      <c r="AF169" s="1121">
        <v>6000</v>
      </c>
      <c r="AG169" s="288">
        <v>14815.07</v>
      </c>
      <c r="AH169" s="1121">
        <v>2576</v>
      </c>
      <c r="AI169" s="289">
        <v>731</v>
      </c>
      <c r="AJ169" s="1121"/>
      <c r="AK169" s="1121"/>
      <c r="AL169" s="1121"/>
      <c r="AM169" s="1121" t="s">
        <v>1228</v>
      </c>
      <c r="AN169" s="315">
        <v>5.5</v>
      </c>
      <c r="AO169" s="315"/>
      <c r="AP169" s="315"/>
      <c r="AQ169" s="315"/>
      <c r="AR169" s="315"/>
      <c r="AS169" s="315"/>
      <c r="AT169" s="315">
        <f>+ab($T$169,$T$167,$T$171,$G$168,$G$170,-1*$F$169,1200)</f>
        <v>-6.8209152065487553</v>
      </c>
      <c r="AU169" s="315"/>
      <c r="AV169" s="315"/>
      <c r="AW169" s="315" t="s">
        <v>2634</v>
      </c>
      <c r="AX169" s="315" t="s">
        <v>1641</v>
      </c>
      <c r="AY169" s="315">
        <v>4.2</v>
      </c>
      <c r="AZ169" s="315"/>
      <c r="BA169" s="315"/>
      <c r="BB169" s="306"/>
      <c r="BC169" s="307"/>
      <c r="BE169" s="298"/>
    </row>
    <row r="170" spans="1:57" ht="14.25">
      <c r="A170" s="340"/>
      <c r="B170" s="340"/>
      <c r="C170" s="288"/>
      <c r="D170" s="1121"/>
      <c r="E170" s="1121"/>
      <c r="F170" s="289"/>
      <c r="G170" s="292">
        <v>50</v>
      </c>
      <c r="H170" s="1121"/>
      <c r="I170" s="294"/>
      <c r="J170" s="288">
        <f>C171-7.5</f>
        <v>14857.5</v>
      </c>
      <c r="K170" s="1121" t="s">
        <v>3017</v>
      </c>
      <c r="L170" s="1121"/>
      <c r="M170" s="1121"/>
      <c r="N170" s="1121"/>
      <c r="O170" s="1121"/>
      <c r="P170" s="1121"/>
      <c r="Q170" s="1121"/>
      <c r="R170" s="292"/>
      <c r="S170" s="292">
        <f t="shared" ref="S170" si="63">+AG171-AG169</f>
        <v>50</v>
      </c>
      <c r="T170" s="1121"/>
      <c r="U170" s="1121"/>
      <c r="V170" s="1121"/>
      <c r="W170" s="1121"/>
      <c r="X170" s="1121"/>
      <c r="Y170" s="1121"/>
      <c r="Z170" s="1121"/>
      <c r="AA170" s="1121"/>
      <c r="AB170" s="1121"/>
      <c r="AC170" s="1121"/>
      <c r="AD170" s="1121"/>
      <c r="AE170" s="1121"/>
      <c r="AF170" s="1121"/>
      <c r="AG170" s="288"/>
      <c r="AH170" s="1121" t="s">
        <v>695</v>
      </c>
      <c r="AI170" s="289"/>
      <c r="AJ170" s="1121"/>
      <c r="AK170" s="1121"/>
      <c r="AL170" s="1121"/>
      <c r="AM170" s="1121"/>
      <c r="AN170" s="315"/>
      <c r="AO170" s="315"/>
      <c r="AP170" s="315"/>
      <c r="AQ170" s="315">
        <f>+FL_1($T$171,$T$169,$G$170,1200,9.28,-1*$F$171)</f>
        <v>0.36839079999999996</v>
      </c>
      <c r="AR170" s="315"/>
      <c r="AS170" s="315"/>
      <c r="AT170" s="315"/>
      <c r="AU170" s="315"/>
      <c r="AV170" s="315"/>
      <c r="AW170" s="315" t="s">
        <v>2634</v>
      </c>
      <c r="AX170" s="315" t="s">
        <v>1641</v>
      </c>
      <c r="AY170" s="315"/>
      <c r="AZ170" s="315">
        <v>3.5</v>
      </c>
      <c r="BA170" s="315"/>
      <c r="BB170" s="306"/>
      <c r="BC170" s="307"/>
      <c r="BE170" s="298"/>
    </row>
    <row r="171" spans="1:57" ht="14.25">
      <c r="A171" s="340"/>
      <c r="B171" s="340" t="s">
        <v>2119</v>
      </c>
      <c r="C171" s="288">
        <f>+$C$169+$G$170</f>
        <v>14865</v>
      </c>
      <c r="D171" s="1121"/>
      <c r="E171" s="1121"/>
      <c r="F171" s="289">
        <v>0</v>
      </c>
      <c r="G171" s="292"/>
      <c r="H171" s="1121" t="s">
        <v>138</v>
      </c>
      <c r="I171" s="294" t="s">
        <v>656</v>
      </c>
      <c r="J171" s="288"/>
      <c r="K171" s="1121"/>
      <c r="L171" s="1121" t="s">
        <v>1061</v>
      </c>
      <c r="M171" s="1121" t="s">
        <v>2756</v>
      </c>
      <c r="N171" s="1121" t="s">
        <v>145</v>
      </c>
      <c r="O171" s="1121"/>
      <c r="P171" s="1121"/>
      <c r="Q171" s="1121">
        <v>0</v>
      </c>
      <c r="R171" s="289">
        <v>0</v>
      </c>
      <c r="S171" s="292"/>
      <c r="T171" s="1121">
        <v>35</v>
      </c>
      <c r="U171" s="1121"/>
      <c r="V171" s="1121"/>
      <c r="W171" s="1121">
        <v>1.4</v>
      </c>
      <c r="X171" s="1121"/>
      <c r="Y171" s="1121"/>
      <c r="Z171" s="1121"/>
      <c r="AA171" s="1121"/>
      <c r="AB171" s="1121"/>
      <c r="AC171" s="1121" t="s">
        <v>2963</v>
      </c>
      <c r="AD171" s="1121"/>
      <c r="AE171" s="1121"/>
      <c r="AF171" s="1121">
        <v>6000</v>
      </c>
      <c r="AG171" s="288">
        <v>14865.07</v>
      </c>
      <c r="AH171" s="1121">
        <v>2574</v>
      </c>
      <c r="AI171" s="289">
        <v>708</v>
      </c>
      <c r="AJ171" s="1121"/>
      <c r="AK171" s="1121"/>
      <c r="AL171" s="1121"/>
      <c r="AM171" s="1121" t="s">
        <v>1228</v>
      </c>
      <c r="AN171" s="315">
        <v>5.5</v>
      </c>
      <c r="AO171" s="315"/>
      <c r="AP171" s="315"/>
      <c r="AQ171" s="315"/>
      <c r="AR171" s="315"/>
      <c r="AS171" s="315"/>
      <c r="AT171" s="315">
        <f>+ab($T$171,$T$169,$T$173,$G$170,$G$172,-1*$F$171,1200)</f>
        <v>8.2527428071636546</v>
      </c>
      <c r="AU171" s="315"/>
      <c r="AV171" s="315"/>
      <c r="AW171" s="315" t="s">
        <v>2634</v>
      </c>
      <c r="AX171" s="315" t="s">
        <v>1641</v>
      </c>
      <c r="AY171" s="315">
        <v>4.2</v>
      </c>
      <c r="AZ171" s="315"/>
      <c r="BA171" s="315"/>
      <c r="BB171" s="306"/>
      <c r="BC171" s="307"/>
      <c r="BE171" s="298"/>
    </row>
    <row r="172" spans="1:57" ht="14.25">
      <c r="A172" s="340"/>
      <c r="B172" s="340"/>
      <c r="C172" s="288"/>
      <c r="D172" s="1121"/>
      <c r="E172" s="1121"/>
      <c r="F172" s="289"/>
      <c r="G172" s="292">
        <v>55</v>
      </c>
      <c r="H172" s="291"/>
      <c r="I172" s="294" t="s">
        <v>1223</v>
      </c>
      <c r="J172" s="288">
        <f>C173-7.5</f>
        <v>14912.5</v>
      </c>
      <c r="K172" s="1121" t="s">
        <v>3018</v>
      </c>
      <c r="L172" s="1121"/>
      <c r="M172" s="1121"/>
      <c r="N172" s="1121"/>
      <c r="O172" s="1121"/>
      <c r="P172" s="1121"/>
      <c r="Q172" s="1121"/>
      <c r="R172" s="292"/>
      <c r="S172" s="292">
        <f t="shared" ref="S172" si="64">+AG173-AG171</f>
        <v>54.979999999999563</v>
      </c>
      <c r="T172" s="1121"/>
      <c r="U172" s="1121"/>
      <c r="V172" s="1121"/>
      <c r="W172" s="1121"/>
      <c r="X172" s="1121"/>
      <c r="Y172" s="1121"/>
      <c r="Z172" s="1121"/>
      <c r="AA172" s="1121"/>
      <c r="AB172" s="1121"/>
      <c r="AC172" s="1121"/>
      <c r="AD172" s="1121"/>
      <c r="AE172" s="1121"/>
      <c r="AF172" s="1121"/>
      <c r="AG172" s="288"/>
      <c r="AH172" s="1121" t="s">
        <v>695</v>
      </c>
      <c r="AI172" s="289"/>
      <c r="AJ172" s="1121"/>
      <c r="AK172" s="1121"/>
      <c r="AL172" s="1121"/>
      <c r="AM172" s="1121"/>
      <c r="AN172" s="315"/>
      <c r="AO172" s="315"/>
      <c r="AP172" s="315"/>
      <c r="AQ172" s="315">
        <f>+FL_1($U$173,$T$171,$G$172,1200,9.28,-1*$F$173)</f>
        <v>0.39714735709090898</v>
      </c>
      <c r="AR172" s="315"/>
      <c r="AS172" s="315"/>
      <c r="AT172" s="315"/>
      <c r="AU172" s="315"/>
      <c r="AV172" s="315"/>
      <c r="AW172" s="315" t="s">
        <v>2634</v>
      </c>
      <c r="AX172" s="315" t="s">
        <v>1641</v>
      </c>
      <c r="AY172" s="315"/>
      <c r="AZ172" s="315">
        <v>3.5</v>
      </c>
      <c r="BA172" s="315"/>
      <c r="BB172" s="306"/>
      <c r="BC172" s="307"/>
      <c r="BE172" s="298"/>
    </row>
    <row r="173" spans="1:57" ht="14.25">
      <c r="A173" s="340"/>
      <c r="B173" s="340" t="s">
        <v>2120</v>
      </c>
      <c r="C173" s="288">
        <f>+$C$171+$G$172</f>
        <v>14920</v>
      </c>
      <c r="D173" s="1121"/>
      <c r="E173" s="1121"/>
      <c r="F173" s="289">
        <v>0</v>
      </c>
      <c r="G173" s="292"/>
      <c r="H173" s="291" t="s">
        <v>651</v>
      </c>
      <c r="I173" s="294" t="s">
        <v>1223</v>
      </c>
      <c r="J173" s="288">
        <f>C173+7.5</f>
        <v>14927.5</v>
      </c>
      <c r="K173" s="1121" t="s">
        <v>3018</v>
      </c>
      <c r="L173" s="1121" t="s">
        <v>231</v>
      </c>
      <c r="M173" s="1121" t="s">
        <v>2756</v>
      </c>
      <c r="N173" s="1121" t="s">
        <v>140</v>
      </c>
      <c r="O173" s="1121" t="s">
        <v>144</v>
      </c>
      <c r="P173" s="1121"/>
      <c r="Q173" s="1121">
        <v>0</v>
      </c>
      <c r="R173" s="289">
        <v>0</v>
      </c>
      <c r="S173" s="292"/>
      <c r="T173" s="1121">
        <v>-15</v>
      </c>
      <c r="U173" s="1121">
        <v>-35</v>
      </c>
      <c r="V173" s="1121"/>
      <c r="W173" s="1121">
        <v>1.4</v>
      </c>
      <c r="X173" s="1121">
        <v>2.2999999999999998</v>
      </c>
      <c r="Y173" s="1121"/>
      <c r="Z173" s="1121">
        <v>0.5</v>
      </c>
      <c r="AA173" s="1121"/>
      <c r="AB173" s="1121"/>
      <c r="AC173" s="1121"/>
      <c r="AD173" s="1121" t="s">
        <v>1704</v>
      </c>
      <c r="AE173" s="1121"/>
      <c r="AF173" s="1121">
        <v>6000</v>
      </c>
      <c r="AG173" s="288">
        <v>14920.05</v>
      </c>
      <c r="AH173" s="1121">
        <v>2565</v>
      </c>
      <c r="AI173" s="289">
        <v>667</v>
      </c>
      <c r="AJ173" s="1121"/>
      <c r="AK173" s="1121"/>
      <c r="AL173" s="1121"/>
      <c r="AM173" s="1121" t="s">
        <v>1228</v>
      </c>
      <c r="AN173" s="315">
        <v>5.5</v>
      </c>
      <c r="AO173" s="315"/>
      <c r="AP173" s="315"/>
      <c r="AQ173" s="315"/>
      <c r="AR173" s="315"/>
      <c r="AS173" s="315"/>
      <c r="AT173" s="315">
        <f>+ab($U$173,$T$171,$U$175,$G$172,$G$174,-1*$F$173,1200)</f>
        <v>-8.3829626585540495</v>
      </c>
      <c r="AU173" s="315"/>
      <c r="AV173" s="315"/>
      <c r="AW173" s="315" t="s">
        <v>2634</v>
      </c>
      <c r="AX173" s="315" t="s">
        <v>1641</v>
      </c>
      <c r="AY173" s="361">
        <v>4.2</v>
      </c>
      <c r="AZ173" s="361">
        <v>3.5</v>
      </c>
      <c r="BA173" s="361"/>
      <c r="BB173" s="306"/>
      <c r="BC173" s="307"/>
      <c r="BE173" s="298"/>
    </row>
    <row r="174" spans="1:57" ht="14.25">
      <c r="A174" s="340"/>
      <c r="B174" s="340"/>
      <c r="C174" s="288"/>
      <c r="D174" s="1121"/>
      <c r="E174" s="1121"/>
      <c r="F174" s="289"/>
      <c r="G174" s="292">
        <v>50</v>
      </c>
      <c r="H174" s="291"/>
      <c r="I174" s="294"/>
      <c r="J174" s="288"/>
      <c r="K174" s="1121"/>
      <c r="L174" s="1121"/>
      <c r="M174" s="1121"/>
      <c r="N174" s="1121"/>
      <c r="O174" s="1121"/>
      <c r="P174" s="1121"/>
      <c r="Q174" s="1121"/>
      <c r="R174" s="292"/>
      <c r="S174" s="292">
        <f>+AG175-AG173</f>
        <v>50.040000000000873</v>
      </c>
      <c r="T174" s="1121"/>
      <c r="U174" s="1121"/>
      <c r="V174" s="1121"/>
      <c r="W174" s="1121"/>
      <c r="X174" s="1121"/>
      <c r="Y174" s="1121"/>
      <c r="Z174" s="1121"/>
      <c r="AA174" s="1121"/>
      <c r="AB174" s="1121"/>
      <c r="AC174" s="1121"/>
      <c r="AD174" s="1121"/>
      <c r="AE174" s="1121"/>
      <c r="AF174" s="1121"/>
      <c r="AG174" s="288"/>
      <c r="AH174" s="1121" t="s">
        <v>695</v>
      </c>
      <c r="AI174" s="289"/>
      <c r="AJ174" s="1121"/>
      <c r="AK174" s="1121"/>
      <c r="AL174" s="1121"/>
      <c r="AM174" s="1121"/>
      <c r="AN174" s="315"/>
      <c r="AO174" s="315"/>
      <c r="AP174" s="315"/>
      <c r="AQ174" s="315">
        <f>+FL_1($T$175,$U$173,$G$174,1200,9.28,-1*$F$175)</f>
        <v>0.36839079999999996</v>
      </c>
      <c r="AR174" s="315"/>
      <c r="AS174" s="315"/>
      <c r="AT174" s="315"/>
      <c r="AU174" s="315"/>
      <c r="AV174" s="315"/>
      <c r="AW174" s="315"/>
      <c r="AX174" s="315"/>
      <c r="AY174" s="315"/>
      <c r="AZ174" s="315"/>
      <c r="BA174" s="315"/>
      <c r="BB174" s="306"/>
      <c r="BC174" s="307"/>
      <c r="BE174" s="298"/>
    </row>
    <row r="175" spans="1:57" ht="14.25">
      <c r="A175" s="340"/>
      <c r="B175" s="340" t="s">
        <v>2121</v>
      </c>
      <c r="C175" s="288">
        <f>+$C$173+$G$174</f>
        <v>14970</v>
      </c>
      <c r="D175" s="1121"/>
      <c r="E175" s="1121"/>
      <c r="F175" s="289">
        <v>0</v>
      </c>
      <c r="G175" s="292"/>
      <c r="H175" s="291" t="s">
        <v>651</v>
      </c>
      <c r="I175" s="294" t="s">
        <v>1223</v>
      </c>
      <c r="J175" s="288">
        <f>C175-7.5</f>
        <v>14962.5</v>
      </c>
      <c r="K175" s="1121" t="s">
        <v>3018</v>
      </c>
      <c r="L175" s="1121" t="s">
        <v>231</v>
      </c>
      <c r="M175" s="1121" t="s">
        <v>2756</v>
      </c>
      <c r="N175" s="1121" t="s">
        <v>145</v>
      </c>
      <c r="O175" s="1121" t="s">
        <v>140</v>
      </c>
      <c r="P175" s="1121"/>
      <c r="Q175" s="1121">
        <v>0</v>
      </c>
      <c r="R175" s="289">
        <v>0</v>
      </c>
      <c r="S175" s="292"/>
      <c r="T175" s="1121">
        <v>35</v>
      </c>
      <c r="U175" s="1121">
        <v>15</v>
      </c>
      <c r="V175" s="1121"/>
      <c r="W175" s="1121">
        <v>1.4</v>
      </c>
      <c r="X175" s="1121">
        <v>2.2999999999999998</v>
      </c>
      <c r="Y175" s="1121"/>
      <c r="Z175" s="1121"/>
      <c r="AA175" s="1121">
        <v>0.5</v>
      </c>
      <c r="AB175" s="1121"/>
      <c r="AC175" s="1121" t="s">
        <v>1704</v>
      </c>
      <c r="AD175" s="1121"/>
      <c r="AE175" s="1121"/>
      <c r="AF175" s="1121">
        <v>6000</v>
      </c>
      <c r="AG175" s="288">
        <v>14970.09</v>
      </c>
      <c r="AH175" s="1121">
        <v>2575</v>
      </c>
      <c r="AI175" s="289">
        <v>671</v>
      </c>
      <c r="AJ175" s="1121"/>
      <c r="AK175" s="1121"/>
      <c r="AL175" s="1121"/>
      <c r="AM175" s="1121" t="s">
        <v>1228</v>
      </c>
      <c r="AN175" s="315">
        <v>5.5</v>
      </c>
      <c r="AO175" s="315"/>
      <c r="AP175" s="315"/>
      <c r="AQ175" s="315"/>
      <c r="AR175" s="315"/>
      <c r="AS175" s="315"/>
      <c r="AT175" s="315">
        <f>+ab($T$175,$T$173,$T$177,$G$174,$G$176,-1*$F$175,1200)</f>
        <v>8.3829244797029698</v>
      </c>
      <c r="AU175" s="315"/>
      <c r="AV175" s="315"/>
      <c r="AW175" s="315" t="s">
        <v>2634</v>
      </c>
      <c r="AX175" s="315" t="s">
        <v>1641</v>
      </c>
      <c r="AY175" s="361">
        <v>4.2</v>
      </c>
      <c r="AZ175" s="361">
        <v>3.5</v>
      </c>
      <c r="BA175" s="361"/>
      <c r="BB175" s="306"/>
      <c r="BC175" s="307"/>
      <c r="BE175" s="298"/>
    </row>
    <row r="176" spans="1:57" ht="14.25">
      <c r="A176" s="340"/>
      <c r="B176" s="340"/>
      <c r="C176" s="288"/>
      <c r="D176" s="1121"/>
      <c r="E176" s="1121"/>
      <c r="F176" s="289"/>
      <c r="G176" s="292">
        <v>55</v>
      </c>
      <c r="H176" s="291"/>
      <c r="I176" s="294" t="s">
        <v>1223</v>
      </c>
      <c r="J176" s="288">
        <f>C175+7.5</f>
        <v>14977.5</v>
      </c>
      <c r="K176" s="1121" t="s">
        <v>3018</v>
      </c>
      <c r="L176" s="1121"/>
      <c r="M176" s="1121"/>
      <c r="N176" s="1121"/>
      <c r="O176" s="1121"/>
      <c r="P176" s="1121"/>
      <c r="Q176" s="1121"/>
      <c r="R176" s="292"/>
      <c r="S176" s="292">
        <f t="shared" ref="S176" si="65">+AG177-AG175</f>
        <v>55.110000000000582</v>
      </c>
      <c r="T176" s="1121"/>
      <c r="U176" s="1121"/>
      <c r="V176" s="1121"/>
      <c r="W176" s="1121"/>
      <c r="X176" s="1121"/>
      <c r="Y176" s="1121"/>
      <c r="Z176" s="1121"/>
      <c r="AA176" s="1121"/>
      <c r="AB176" s="1121"/>
      <c r="AC176" s="1121"/>
      <c r="AD176" s="1121"/>
      <c r="AE176" s="1121"/>
      <c r="AF176" s="1121"/>
      <c r="AG176" s="288"/>
      <c r="AH176" s="1121"/>
      <c r="AI176" s="289"/>
      <c r="AJ176" s="1121"/>
      <c r="AK176" s="1121"/>
      <c r="AL176" s="1121"/>
      <c r="AM176" s="1121"/>
      <c r="AN176" s="315"/>
      <c r="AO176" s="315"/>
      <c r="AP176" s="315"/>
      <c r="AQ176" s="315">
        <f>+FL_1($T$177,$T$175,$G$176,1200,9.28,-1*$F$177)</f>
        <v>0.39714735709090898</v>
      </c>
      <c r="AR176" s="315"/>
      <c r="AS176" s="315"/>
      <c r="AT176" s="315"/>
      <c r="AU176" s="315"/>
      <c r="AV176" s="315"/>
      <c r="AW176" s="315" t="s">
        <v>2634</v>
      </c>
      <c r="AX176" s="315" t="s">
        <v>1641</v>
      </c>
      <c r="AY176" s="315"/>
      <c r="AZ176" s="315">
        <v>3.5</v>
      </c>
      <c r="BA176" s="315"/>
      <c r="BB176" s="306"/>
      <c r="BC176" s="307"/>
      <c r="BE176" s="298"/>
    </row>
    <row r="177" spans="1:57" ht="14.25">
      <c r="A177" s="340"/>
      <c r="B177" s="340" t="s">
        <v>2122</v>
      </c>
      <c r="C177" s="288">
        <f>+$C$175+$G$176</f>
        <v>15025</v>
      </c>
      <c r="D177" s="1121"/>
      <c r="E177" s="1121"/>
      <c r="F177" s="289">
        <v>0</v>
      </c>
      <c r="G177" s="292"/>
      <c r="H177" s="291" t="s">
        <v>138</v>
      </c>
      <c r="I177" s="294" t="s">
        <v>656</v>
      </c>
      <c r="J177" s="288"/>
      <c r="K177" s="1121"/>
      <c r="L177" s="1121" t="s">
        <v>1061</v>
      </c>
      <c r="M177" s="1121" t="s">
        <v>2756</v>
      </c>
      <c r="N177" s="1121" t="s">
        <v>144</v>
      </c>
      <c r="O177" s="1121"/>
      <c r="P177" s="1121"/>
      <c r="Q177" s="1121">
        <v>0</v>
      </c>
      <c r="R177" s="289">
        <v>0</v>
      </c>
      <c r="S177" s="292"/>
      <c r="T177" s="1121">
        <v>-35</v>
      </c>
      <c r="U177" s="1121"/>
      <c r="V177" s="1121"/>
      <c r="W177" s="1121">
        <v>1.4</v>
      </c>
      <c r="X177" s="1121"/>
      <c r="Y177" s="1121"/>
      <c r="Z177" s="1121"/>
      <c r="AA177" s="1121"/>
      <c r="AB177" s="1121"/>
      <c r="AC177" s="1121" t="s">
        <v>2963</v>
      </c>
      <c r="AD177" s="1121"/>
      <c r="AE177" s="1121"/>
      <c r="AF177" s="1121">
        <v>6000</v>
      </c>
      <c r="AG177" s="288">
        <v>15025.2</v>
      </c>
      <c r="AH177" s="1121">
        <v>2507</v>
      </c>
      <c r="AI177" s="289">
        <v>708</v>
      </c>
      <c r="AJ177" s="1121"/>
      <c r="AK177" s="1121"/>
      <c r="AL177" s="1121"/>
      <c r="AM177" s="1121" t="s">
        <v>1228</v>
      </c>
      <c r="AN177" s="315">
        <v>5.5</v>
      </c>
      <c r="AO177" s="315"/>
      <c r="AP177" s="315"/>
      <c r="AQ177" s="315"/>
      <c r="AR177" s="315"/>
      <c r="AS177" s="315"/>
      <c r="AT177" s="315">
        <f>+ab($T$177,$T$175,$T$179,$G$176,$G$178,-1*$F$177,1200)</f>
        <v>-8.0553129937398555</v>
      </c>
      <c r="AU177" s="315"/>
      <c r="AV177" s="315"/>
      <c r="AW177" s="315" t="s">
        <v>2634</v>
      </c>
      <c r="AX177" s="315" t="s">
        <v>1641</v>
      </c>
      <c r="AY177" s="315">
        <v>4.2</v>
      </c>
      <c r="AZ177" s="315"/>
      <c r="BA177" s="315"/>
      <c r="BB177" s="306"/>
      <c r="BC177" s="307"/>
      <c r="BE177" s="298"/>
    </row>
    <row r="178" spans="1:57" ht="14.25">
      <c r="A178" s="340"/>
      <c r="B178" s="340"/>
      <c r="C178" s="288"/>
      <c r="D178" s="1121"/>
      <c r="E178" s="1121"/>
      <c r="F178" s="289"/>
      <c r="G178" s="292">
        <v>64</v>
      </c>
      <c r="H178" s="291"/>
      <c r="I178" s="291"/>
      <c r="J178" s="288">
        <f>C177+7.5</f>
        <v>15032.5</v>
      </c>
      <c r="K178" s="1121" t="s">
        <v>3017</v>
      </c>
      <c r="L178" s="1121"/>
      <c r="M178" s="1121"/>
      <c r="N178" s="1121"/>
      <c r="O178" s="1121"/>
      <c r="P178" s="1121"/>
      <c r="Q178" s="1121"/>
      <c r="R178" s="292"/>
      <c r="S178" s="292">
        <f t="shared" ref="S178" si="66">+AG179-AG177</f>
        <v>63.859999999998763</v>
      </c>
      <c r="T178" s="1121"/>
      <c r="U178" s="1121"/>
      <c r="V178" s="1121"/>
      <c r="W178" s="1121"/>
      <c r="X178" s="1121"/>
      <c r="Y178" s="1121"/>
      <c r="Z178" s="1121"/>
      <c r="AA178" s="1121"/>
      <c r="AB178" s="1121"/>
      <c r="AC178" s="1121"/>
      <c r="AD178" s="1121"/>
      <c r="AE178" s="1121"/>
      <c r="AF178" s="1121"/>
      <c r="AG178" s="288"/>
      <c r="AH178" s="1121"/>
      <c r="AI178" s="289"/>
      <c r="AJ178" s="1121"/>
      <c r="AK178" s="1121"/>
      <c r="AL178" s="1121"/>
      <c r="AM178" s="1121"/>
      <c r="AN178" s="315"/>
      <c r="AO178" s="315"/>
      <c r="AP178" s="315"/>
      <c r="AQ178" s="315">
        <f>+FL_2($T$179,$T$177,$G$178,1200,9.28,-1*$F$179)</f>
        <v>-0.47329293799999983</v>
      </c>
      <c r="AR178" s="315"/>
      <c r="AS178" s="315"/>
      <c r="AT178" s="315"/>
      <c r="AU178" s="315"/>
      <c r="AV178" s="315"/>
      <c r="AW178" s="315" t="s">
        <v>2634</v>
      </c>
      <c r="AX178" s="315" t="s">
        <v>1641</v>
      </c>
      <c r="AY178" s="315"/>
      <c r="AZ178" s="315">
        <v>3.5</v>
      </c>
      <c r="BA178" s="315"/>
      <c r="BB178" s="306"/>
      <c r="BC178" s="307"/>
      <c r="BE178" s="298"/>
    </row>
    <row r="179" spans="1:57" ht="14.25">
      <c r="A179" s="340"/>
      <c r="B179" s="340" t="s">
        <v>2123</v>
      </c>
      <c r="C179" s="288">
        <f>+$C$177+$G$178</f>
        <v>15089</v>
      </c>
      <c r="D179" s="1121"/>
      <c r="E179" s="1121"/>
      <c r="F179" s="289">
        <v>0</v>
      </c>
      <c r="G179" s="292"/>
      <c r="H179" s="291"/>
      <c r="I179" s="294"/>
      <c r="J179" s="288"/>
      <c r="K179" s="1121"/>
      <c r="L179" s="1121" t="s">
        <v>230</v>
      </c>
      <c r="M179" s="1121" t="s">
        <v>2757</v>
      </c>
      <c r="N179" s="1121" t="s">
        <v>145</v>
      </c>
      <c r="O179" s="1121"/>
      <c r="P179" s="1121"/>
      <c r="Q179" s="1121">
        <v>0</v>
      </c>
      <c r="R179" s="289">
        <v>0</v>
      </c>
      <c r="S179" s="292"/>
      <c r="T179" s="1121">
        <v>35</v>
      </c>
      <c r="U179" s="1121"/>
      <c r="V179" s="1121"/>
      <c r="W179" s="1121">
        <v>1.4</v>
      </c>
      <c r="X179" s="1121"/>
      <c r="Y179" s="1121"/>
      <c r="Z179" s="1121"/>
      <c r="AA179" s="1121"/>
      <c r="AB179" s="1121"/>
      <c r="AC179" s="1121" t="s">
        <v>1704</v>
      </c>
      <c r="AD179" s="1121"/>
      <c r="AE179" s="1121"/>
      <c r="AF179" s="1121">
        <v>6000</v>
      </c>
      <c r="AG179" s="288">
        <v>15089.06</v>
      </c>
      <c r="AH179" s="1121">
        <v>2587</v>
      </c>
      <c r="AI179" s="289">
        <v>667</v>
      </c>
      <c r="AJ179" s="1121"/>
      <c r="AK179" s="1121"/>
      <c r="AL179" s="1121"/>
      <c r="AM179" s="1121" t="s">
        <v>1228</v>
      </c>
      <c r="AN179" s="315">
        <v>5.5</v>
      </c>
      <c r="AO179" s="315"/>
      <c r="AP179" s="315"/>
      <c r="AQ179" s="315"/>
      <c r="AR179" s="315"/>
      <c r="AS179" s="315"/>
      <c r="AT179" s="315">
        <f>+ab($T$179,$T$177,$T$181,$G$178,$G$180,-1*$F$179,1200)</f>
        <v>8.7710476490554079</v>
      </c>
      <c r="AU179" s="315"/>
      <c r="AV179" s="315"/>
      <c r="AW179" s="315" t="s">
        <v>2634</v>
      </c>
      <c r="AX179" s="315" t="s">
        <v>1641</v>
      </c>
      <c r="AY179" s="315">
        <v>4.2</v>
      </c>
      <c r="AZ179" s="315"/>
      <c r="BA179" s="315"/>
      <c r="BB179" s="306"/>
      <c r="BC179" s="307"/>
      <c r="BE179" s="298"/>
    </row>
    <row r="180" spans="1:57" ht="14.25">
      <c r="A180" s="340"/>
      <c r="B180" s="340"/>
      <c r="C180" s="288"/>
      <c r="D180" s="1121"/>
      <c r="E180" s="1121"/>
      <c r="F180" s="289"/>
      <c r="G180" s="292">
        <v>65</v>
      </c>
      <c r="H180" s="291"/>
      <c r="I180" s="294"/>
      <c r="J180" s="288"/>
      <c r="K180" s="1121"/>
      <c r="L180" s="1121"/>
      <c r="M180" s="1121"/>
      <c r="N180" s="1121"/>
      <c r="O180" s="1121"/>
      <c r="P180" s="1121"/>
      <c r="Q180" s="1121"/>
      <c r="R180" s="292"/>
      <c r="S180" s="292">
        <f t="shared" ref="S180" si="67">+AG181-AG179</f>
        <v>65.110000000000582</v>
      </c>
      <c r="T180" s="1121"/>
      <c r="U180" s="1121"/>
      <c r="V180" s="1121"/>
      <c r="W180" s="1121"/>
      <c r="X180" s="1121"/>
      <c r="Y180" s="1121"/>
      <c r="Z180" s="1121"/>
      <c r="AA180" s="1121"/>
      <c r="AB180" s="1121"/>
      <c r="AC180" s="1121"/>
      <c r="AD180" s="1121"/>
      <c r="AE180" s="1121"/>
      <c r="AF180" s="1121"/>
      <c r="AG180" s="288"/>
      <c r="AH180" s="1121"/>
      <c r="AI180" s="289"/>
      <c r="AJ180" s="1121"/>
      <c r="AK180" s="1121"/>
      <c r="AL180" s="1121"/>
      <c r="AM180" s="1121"/>
      <c r="AN180" s="315"/>
      <c r="AO180" s="315"/>
      <c r="AP180" s="315"/>
      <c r="AQ180" s="315">
        <f>+FL_1($T$181,$T$179,$G$180,1200,9.28,-1*$F$181)</f>
        <v>0.48340135661538447</v>
      </c>
      <c r="AR180" s="315"/>
      <c r="AS180" s="315"/>
      <c r="AT180" s="315"/>
      <c r="AU180" s="315"/>
      <c r="AV180" s="315"/>
      <c r="AW180" s="315"/>
      <c r="AX180" s="315"/>
      <c r="AY180" s="315" t="s">
        <v>695</v>
      </c>
      <c r="AZ180" s="315"/>
      <c r="BA180" s="315"/>
      <c r="BB180" s="306"/>
      <c r="BC180" s="307"/>
      <c r="BE180" s="298"/>
    </row>
    <row r="181" spans="1:57" ht="14.25">
      <c r="A181" s="340"/>
      <c r="B181" s="340" t="s">
        <v>2124</v>
      </c>
      <c r="C181" s="288">
        <f>+$C$179+$G$180</f>
        <v>15154</v>
      </c>
      <c r="D181" s="1121"/>
      <c r="E181" s="1121"/>
      <c r="F181" s="289">
        <v>0</v>
      </c>
      <c r="G181" s="292"/>
      <c r="H181" s="1121"/>
      <c r="I181" s="289"/>
      <c r="J181" s="288"/>
      <c r="K181" s="1121"/>
      <c r="L181" s="1121" t="s">
        <v>230</v>
      </c>
      <c r="M181" s="1121" t="s">
        <v>2757</v>
      </c>
      <c r="N181" s="1121" t="s">
        <v>144</v>
      </c>
      <c r="O181" s="1121"/>
      <c r="P181" s="1121"/>
      <c r="Q181" s="1121">
        <v>0</v>
      </c>
      <c r="R181" s="289">
        <v>0</v>
      </c>
      <c r="S181" s="292"/>
      <c r="T181" s="1121">
        <v>-35</v>
      </c>
      <c r="U181" s="1121"/>
      <c r="V181" s="1121"/>
      <c r="W181" s="1121">
        <v>1.4</v>
      </c>
      <c r="X181" s="1121"/>
      <c r="Y181" s="1121"/>
      <c r="Z181" s="1121"/>
      <c r="AA181" s="1121"/>
      <c r="AB181" s="1121"/>
      <c r="AC181" s="1121" t="s">
        <v>1704</v>
      </c>
      <c r="AD181" s="1121"/>
      <c r="AE181" s="1121"/>
      <c r="AF181" s="1121">
        <v>6000</v>
      </c>
      <c r="AG181" s="288">
        <v>15154.17</v>
      </c>
      <c r="AH181" s="1121">
        <v>2574</v>
      </c>
      <c r="AI181" s="289">
        <v>589</v>
      </c>
      <c r="AJ181" s="1121"/>
      <c r="AK181" s="1121"/>
      <c r="AL181" s="1121"/>
      <c r="AM181" s="1121" t="s">
        <v>1228</v>
      </c>
      <c r="AN181" s="315">
        <v>5.5</v>
      </c>
      <c r="AO181" s="315"/>
      <c r="AP181" s="315"/>
      <c r="AQ181" s="315"/>
      <c r="AR181" s="315"/>
      <c r="AS181" s="315"/>
      <c r="AT181" s="315">
        <f>+ab($T$181,$T$179,$T$183,$G$180,$G$182,-1*$F$181,1200)</f>
        <v>-8.4902594794620363</v>
      </c>
      <c r="AU181" s="315"/>
      <c r="AV181" s="315"/>
      <c r="AW181" s="315" t="s">
        <v>2634</v>
      </c>
      <c r="AX181" s="315" t="s">
        <v>1641</v>
      </c>
      <c r="AY181" s="315">
        <v>4.2</v>
      </c>
      <c r="AZ181" s="315"/>
      <c r="BA181" s="315"/>
      <c r="BB181" s="306"/>
      <c r="BC181" s="307"/>
      <c r="BE181" s="298"/>
    </row>
    <row r="182" spans="1:57" ht="14.25">
      <c r="A182" s="340"/>
      <c r="B182" s="340"/>
      <c r="C182" s="288"/>
      <c r="D182" s="1121"/>
      <c r="E182" s="1121"/>
      <c r="F182" s="289"/>
      <c r="G182" s="292">
        <v>60</v>
      </c>
      <c r="H182" s="291"/>
      <c r="I182" s="291"/>
      <c r="J182" s="288"/>
      <c r="K182" s="1121"/>
      <c r="L182" s="1121"/>
      <c r="M182" s="1121"/>
      <c r="N182" s="1121"/>
      <c r="O182" s="1121"/>
      <c r="P182" s="1121"/>
      <c r="Q182" s="1121"/>
      <c r="R182" s="292"/>
      <c r="S182" s="292">
        <f t="shared" ref="S182" si="68">+AG183-AG181</f>
        <v>59.989999999999782</v>
      </c>
      <c r="T182" s="1121"/>
      <c r="U182" s="1121"/>
      <c r="V182" s="1121"/>
      <c r="W182" s="1121"/>
      <c r="X182" s="1121"/>
      <c r="Y182" s="1121"/>
      <c r="Z182" s="1121"/>
      <c r="AA182" s="1121"/>
      <c r="AB182" s="1121"/>
      <c r="AC182" s="1121"/>
      <c r="AD182" s="1121"/>
      <c r="AE182" s="1121"/>
      <c r="AF182" s="1121"/>
      <c r="AG182" s="288"/>
      <c r="AH182" s="1121"/>
      <c r="AI182" s="289"/>
      <c r="AJ182" s="1121"/>
      <c r="AK182" s="1121"/>
      <c r="AL182" s="1121"/>
      <c r="AM182" s="1121"/>
      <c r="AN182" s="315"/>
      <c r="AO182" s="315"/>
      <c r="AP182" s="315"/>
      <c r="AQ182" s="315">
        <f>+FL_1($T$183,$T$181,$G$182,1200,9.28,-1*$F$183)</f>
        <v>0.43600286799999999</v>
      </c>
      <c r="AR182" s="315"/>
      <c r="AS182" s="315"/>
      <c r="AT182" s="315"/>
      <c r="AU182" s="315"/>
      <c r="AV182" s="315"/>
      <c r="AW182" s="315"/>
      <c r="AX182" s="315"/>
      <c r="AY182" s="315" t="s">
        <v>695</v>
      </c>
      <c r="AZ182" s="315"/>
      <c r="BA182" s="315"/>
      <c r="BB182" s="306"/>
      <c r="BC182" s="307"/>
      <c r="BE182" s="298"/>
    </row>
    <row r="183" spans="1:57" ht="14.25">
      <c r="A183" s="340"/>
      <c r="B183" s="340" t="s">
        <v>2125</v>
      </c>
      <c r="C183" s="288">
        <f>+$C$181+$G$182</f>
        <v>15214</v>
      </c>
      <c r="D183" s="1121"/>
      <c r="E183" s="1121"/>
      <c r="F183" s="289">
        <v>0</v>
      </c>
      <c r="G183" s="292"/>
      <c r="H183" s="1121"/>
      <c r="I183" s="294"/>
      <c r="J183" s="288"/>
      <c r="K183" s="1121"/>
      <c r="L183" s="1121" t="s">
        <v>230</v>
      </c>
      <c r="M183" s="1121" t="s">
        <v>2757</v>
      </c>
      <c r="N183" s="1121" t="s">
        <v>145</v>
      </c>
      <c r="O183" s="1121"/>
      <c r="P183" s="1121"/>
      <c r="Q183" s="1121">
        <v>0</v>
      </c>
      <c r="R183" s="289">
        <v>0</v>
      </c>
      <c r="S183" s="292"/>
      <c r="T183" s="1121">
        <v>35</v>
      </c>
      <c r="U183" s="1121"/>
      <c r="V183" s="1121"/>
      <c r="W183" s="1121">
        <v>1.4</v>
      </c>
      <c r="X183" s="1121"/>
      <c r="Y183" s="1121"/>
      <c r="Z183" s="1121"/>
      <c r="AA183" s="1121"/>
      <c r="AB183" s="1121"/>
      <c r="AC183" s="1121" t="s">
        <v>2963</v>
      </c>
      <c r="AD183" s="1121"/>
      <c r="AE183" s="1121"/>
      <c r="AF183" s="1121">
        <v>6000</v>
      </c>
      <c r="AG183" s="288">
        <v>15214.16</v>
      </c>
      <c r="AH183" s="1121">
        <v>2523</v>
      </c>
      <c r="AI183" s="289">
        <v>669</v>
      </c>
      <c r="AJ183" s="1121"/>
      <c r="AK183" s="1121"/>
      <c r="AL183" s="1121"/>
      <c r="AM183" s="1121" t="s">
        <v>1228</v>
      </c>
      <c r="AN183" s="315">
        <v>5.5</v>
      </c>
      <c r="AO183" s="315"/>
      <c r="AP183" s="315"/>
      <c r="AQ183" s="315"/>
      <c r="AR183" s="315"/>
      <c r="AS183" s="315"/>
      <c r="AT183" s="315">
        <f>+ab($T$183,$T$181,$T$185,$G$182,$G$184,-1*$F$183,1200)</f>
        <v>7.8175137683875535</v>
      </c>
      <c r="AU183" s="315"/>
      <c r="AV183" s="315"/>
      <c r="AW183" s="315" t="s">
        <v>2634</v>
      </c>
      <c r="AX183" s="315" t="s">
        <v>1641</v>
      </c>
      <c r="AY183" s="315">
        <v>4.2</v>
      </c>
      <c r="AZ183" s="315"/>
      <c r="BA183" s="315"/>
      <c r="BB183" s="306"/>
      <c r="BC183" s="307"/>
      <c r="BE183" s="298"/>
    </row>
    <row r="184" spans="1:57" ht="14.25">
      <c r="A184" s="340"/>
      <c r="B184" s="340"/>
      <c r="C184" s="288"/>
      <c r="D184" s="1121"/>
      <c r="E184" s="1121"/>
      <c r="F184" s="289"/>
      <c r="G184" s="292">
        <v>55</v>
      </c>
      <c r="H184" s="291"/>
      <c r="I184" s="294"/>
      <c r="J184" s="288"/>
      <c r="K184" s="1121"/>
      <c r="L184" s="1121"/>
      <c r="M184" s="1121"/>
      <c r="N184" s="1121"/>
      <c r="O184" s="1121"/>
      <c r="P184" s="1121"/>
      <c r="Q184" s="1121"/>
      <c r="R184" s="292"/>
      <c r="S184" s="292">
        <f t="shared" ref="S184" si="69">+AG185-AG183</f>
        <v>54.8700000000008</v>
      </c>
      <c r="T184" s="1121"/>
      <c r="U184" s="1121"/>
      <c r="V184" s="1121"/>
      <c r="W184" s="1121"/>
      <c r="X184" s="1121"/>
      <c r="Y184" s="1121"/>
      <c r="Z184" s="1121"/>
      <c r="AA184" s="1121"/>
      <c r="AB184" s="1121"/>
      <c r="AC184" s="1121"/>
      <c r="AD184" s="1121"/>
      <c r="AE184" s="1121"/>
      <c r="AF184" s="1121"/>
      <c r="AG184" s="288"/>
      <c r="AH184" s="1121"/>
      <c r="AI184" s="289"/>
      <c r="AJ184" s="1121"/>
      <c r="AK184" s="1121"/>
      <c r="AL184" s="1121"/>
      <c r="AM184" s="1121"/>
      <c r="AN184" s="315"/>
      <c r="AO184" s="315"/>
      <c r="AP184" s="315"/>
      <c r="AQ184" s="315">
        <f>+FL_1($T$185,$T$183,$G$184,1200,9.28,-1*$F$185)</f>
        <v>0.39714735709090898</v>
      </c>
      <c r="AR184" s="315"/>
      <c r="AS184" s="315"/>
      <c r="AT184" s="315"/>
      <c r="AU184" s="315"/>
      <c r="AV184" s="315"/>
      <c r="AW184" s="315"/>
      <c r="AX184" s="315"/>
      <c r="AY184" s="315" t="s">
        <v>695</v>
      </c>
      <c r="AZ184" s="315"/>
      <c r="BA184" s="315"/>
      <c r="BB184" s="306"/>
      <c r="BC184" s="307"/>
      <c r="BE184" s="298"/>
    </row>
    <row r="185" spans="1:57" ht="14.25">
      <c r="A185" s="340"/>
      <c r="B185" s="1036" t="s">
        <v>2126</v>
      </c>
      <c r="C185" s="288">
        <f>+$C$183+$G$184</f>
        <v>15269</v>
      </c>
      <c r="D185" s="1121"/>
      <c r="E185" s="1121"/>
      <c r="F185" s="289">
        <v>0</v>
      </c>
      <c r="G185" s="292"/>
      <c r="H185" s="291"/>
      <c r="I185" s="294"/>
      <c r="J185" s="288"/>
      <c r="K185" s="1121"/>
      <c r="L185" s="1121" t="s">
        <v>230</v>
      </c>
      <c r="M185" s="1121" t="s">
        <v>2757</v>
      </c>
      <c r="N185" s="1121" t="s">
        <v>144</v>
      </c>
      <c r="O185" s="1121"/>
      <c r="P185" s="1121"/>
      <c r="Q185" s="1121">
        <v>0</v>
      </c>
      <c r="R185" s="289">
        <v>0</v>
      </c>
      <c r="S185" s="292"/>
      <c r="T185" s="1121">
        <v>-35</v>
      </c>
      <c r="U185" s="1121"/>
      <c r="V185" s="1121"/>
      <c r="W185" s="1121">
        <v>1.4</v>
      </c>
      <c r="X185" s="1121"/>
      <c r="Y185" s="1121"/>
      <c r="Z185" s="1121"/>
      <c r="AA185" s="1121"/>
      <c r="AB185" s="1121"/>
      <c r="AC185" s="1121" t="s">
        <v>2963</v>
      </c>
      <c r="AD185" s="1121"/>
      <c r="AE185" s="1121"/>
      <c r="AF185" s="1121">
        <v>6000</v>
      </c>
      <c r="AG185" s="288">
        <v>15269.03</v>
      </c>
      <c r="AH185" s="1121">
        <v>2611</v>
      </c>
      <c r="AI185" s="289">
        <v>641</v>
      </c>
      <c r="AJ185" s="1121"/>
      <c r="AK185" s="1121"/>
      <c r="AL185" s="1121"/>
      <c r="AM185" s="1121" t="s">
        <v>1228</v>
      </c>
      <c r="AN185" s="315">
        <v>5.5</v>
      </c>
      <c r="AO185" s="315"/>
      <c r="AP185" s="315"/>
      <c r="AQ185" s="315"/>
      <c r="AR185" s="315"/>
      <c r="AS185" s="315"/>
      <c r="AT185" s="315">
        <f>+ab($T$185,$T$183,$T$187,$G$184,$G$186,-1*$F$185,1200)</f>
        <v>-6.8342944865812765</v>
      </c>
      <c r="AU185" s="315"/>
      <c r="AV185" s="315"/>
      <c r="AW185" s="315" t="s">
        <v>2634</v>
      </c>
      <c r="AX185" s="315" t="s">
        <v>1641</v>
      </c>
      <c r="AY185" s="315">
        <v>4.2</v>
      </c>
      <c r="AZ185" s="315"/>
      <c r="BA185" s="315"/>
      <c r="BB185" s="306"/>
      <c r="BC185" s="307"/>
      <c r="BE185" s="298"/>
    </row>
    <row r="186" spans="1:57" ht="14.25">
      <c r="A186" s="340"/>
      <c r="B186" s="340"/>
      <c r="C186" s="288"/>
      <c r="D186" s="1121"/>
      <c r="E186" s="1121"/>
      <c r="F186" s="289"/>
      <c r="G186" s="292">
        <v>46</v>
      </c>
      <c r="H186" s="291"/>
      <c r="I186" s="294"/>
      <c r="J186" s="288"/>
      <c r="K186" s="1121"/>
      <c r="L186" s="1121"/>
      <c r="M186" s="1121"/>
      <c r="N186" s="1121"/>
      <c r="O186" s="1121"/>
      <c r="P186" s="1121"/>
      <c r="Q186" s="1121"/>
      <c r="R186" s="292"/>
      <c r="S186" s="292">
        <f t="shared" ref="S186" si="70">+AG187-AG185</f>
        <v>46.019999999998618</v>
      </c>
      <c r="T186" s="1121"/>
      <c r="U186" s="1121"/>
      <c r="V186" s="1121"/>
      <c r="W186" s="1121"/>
      <c r="X186" s="1121"/>
      <c r="Y186" s="1121"/>
      <c r="Z186" s="1121"/>
      <c r="AA186" s="1121"/>
      <c r="AB186" s="1121"/>
      <c r="AC186" s="1121"/>
      <c r="AD186" s="1121"/>
      <c r="AE186" s="1121"/>
      <c r="AF186" s="1121"/>
      <c r="AG186" s="288"/>
      <c r="AH186" s="1121"/>
      <c r="AI186" s="289"/>
      <c r="AJ186" s="1121"/>
      <c r="AK186" s="1121"/>
      <c r="AL186" s="1121"/>
      <c r="AM186" s="1121"/>
      <c r="AN186" s="315"/>
      <c r="AO186" s="315"/>
      <c r="AP186" s="315"/>
      <c r="AQ186" s="315">
        <f>+FL_2($T$187,$T$185,$G$186,1200,9.28,-1*$F$187)</f>
        <v>-0.35426799953623195</v>
      </c>
      <c r="AR186" s="315"/>
      <c r="AS186" s="315"/>
      <c r="AT186" s="315"/>
      <c r="AU186" s="315"/>
      <c r="AV186" s="315"/>
      <c r="AW186" s="315"/>
      <c r="AX186" s="315"/>
      <c r="AY186" s="315" t="s">
        <v>695</v>
      </c>
      <c r="AZ186" s="315"/>
      <c r="BA186" s="315"/>
      <c r="BB186" s="306"/>
      <c r="BC186" s="307"/>
      <c r="BE186" s="298"/>
    </row>
    <row r="187" spans="1:57" ht="14.25">
      <c r="A187" s="287"/>
      <c r="B187" s="340" t="s">
        <v>2127</v>
      </c>
      <c r="C187" s="288">
        <f>+$C$185+$G$186</f>
        <v>15315</v>
      </c>
      <c r="D187" s="1121"/>
      <c r="E187" s="1121"/>
      <c r="F187" s="289">
        <v>0</v>
      </c>
      <c r="G187" s="292"/>
      <c r="H187" s="291"/>
      <c r="I187" s="291"/>
      <c r="J187" s="288"/>
      <c r="K187" s="1121"/>
      <c r="L187" s="1121" t="s">
        <v>230</v>
      </c>
      <c r="M187" s="1121" t="s">
        <v>2757</v>
      </c>
      <c r="N187" s="1121" t="s">
        <v>145</v>
      </c>
      <c r="O187" s="1121"/>
      <c r="P187" s="1121"/>
      <c r="Q187" s="1121">
        <v>0</v>
      </c>
      <c r="R187" s="289">
        <v>0</v>
      </c>
      <c r="S187" s="292"/>
      <c r="T187" s="1121">
        <v>35</v>
      </c>
      <c r="U187" s="1121"/>
      <c r="V187" s="1121"/>
      <c r="W187" s="1121">
        <v>1.4</v>
      </c>
      <c r="X187" s="1121"/>
      <c r="Y187" s="1121"/>
      <c r="Z187" s="1121"/>
      <c r="AA187" s="1121"/>
      <c r="AB187" s="1121"/>
      <c r="AC187" s="1121" t="s">
        <v>2963</v>
      </c>
      <c r="AD187" s="1121"/>
      <c r="AE187" s="1121"/>
      <c r="AF187" s="1121">
        <v>6000</v>
      </c>
      <c r="AG187" s="288">
        <v>15315.05</v>
      </c>
      <c r="AH187" s="1121">
        <v>2579</v>
      </c>
      <c r="AI187" s="289">
        <v>606</v>
      </c>
      <c r="AJ187" s="1121"/>
      <c r="AK187" s="1121"/>
      <c r="AL187" s="1121"/>
      <c r="AM187" s="1121" t="s">
        <v>1228</v>
      </c>
      <c r="AN187" s="315">
        <v>5.5</v>
      </c>
      <c r="AO187" s="315"/>
      <c r="AP187" s="315"/>
      <c r="AQ187" s="315"/>
      <c r="AR187" s="315"/>
      <c r="AS187" s="315"/>
      <c r="AT187" s="315">
        <f>+ab($T$187,$T$185,$T$189,$G$186,$G$188,-1*$F$187,1200)</f>
        <v>6.5392025240828513</v>
      </c>
      <c r="AU187" s="315"/>
      <c r="AV187" s="315"/>
      <c r="AW187" s="315" t="s">
        <v>2634</v>
      </c>
      <c r="AX187" s="315" t="s">
        <v>1641</v>
      </c>
      <c r="AY187" s="315">
        <v>4.2</v>
      </c>
      <c r="AZ187" s="315"/>
      <c r="BA187" s="315"/>
      <c r="BB187" s="306"/>
      <c r="BC187" s="307"/>
      <c r="BE187" s="298"/>
    </row>
    <row r="188" spans="1:57" ht="14.25">
      <c r="A188" s="363" t="s">
        <v>2588</v>
      </c>
      <c r="B188" s="341"/>
      <c r="C188" s="342"/>
      <c r="D188" s="343"/>
      <c r="E188" s="343"/>
      <c r="F188" s="344"/>
      <c r="G188" s="345">
        <v>50</v>
      </c>
      <c r="H188" s="360"/>
      <c r="I188" s="360"/>
      <c r="J188" s="342"/>
      <c r="K188" s="343"/>
      <c r="L188" s="343"/>
      <c r="M188" s="343"/>
      <c r="N188" s="343"/>
      <c r="O188" s="343"/>
      <c r="P188" s="343"/>
      <c r="Q188" s="343"/>
      <c r="R188" s="345"/>
      <c r="S188" s="345">
        <v>49.950000000000728</v>
      </c>
      <c r="T188" s="343"/>
      <c r="U188" s="343"/>
      <c r="V188" s="343"/>
      <c r="W188" s="343"/>
      <c r="X188" s="343"/>
      <c r="Y188" s="343"/>
      <c r="Z188" s="343"/>
      <c r="AA188" s="343"/>
      <c r="AB188" s="343"/>
      <c r="AC188" s="343"/>
      <c r="AD188" s="343"/>
      <c r="AE188" s="343"/>
      <c r="AF188" s="343"/>
      <c r="AG188" s="342"/>
      <c r="AH188" s="343"/>
      <c r="AI188" s="344"/>
      <c r="AJ188" s="343"/>
      <c r="AK188" s="343"/>
      <c r="AL188" s="343"/>
      <c r="AM188" s="343"/>
      <c r="AN188" s="347"/>
      <c r="AO188" s="347"/>
      <c r="AP188" s="347"/>
      <c r="AQ188" s="347">
        <f>+FL_2($T$189,$T$187,$G$188,1200,10.96,-1*$F$189)</f>
        <v>-0.39271593566666668</v>
      </c>
      <c r="AR188" s="347"/>
      <c r="AS188" s="347"/>
      <c r="AT188" s="347"/>
      <c r="AU188" s="347"/>
      <c r="AV188" s="347"/>
      <c r="AW188" s="347"/>
      <c r="AX188" s="347"/>
      <c r="AY188" s="347" t="s">
        <v>695</v>
      </c>
      <c r="AZ188" s="347"/>
      <c r="BA188" s="347"/>
      <c r="BB188" s="306"/>
      <c r="BC188" s="307"/>
      <c r="BE188" s="298"/>
    </row>
    <row r="189" spans="1:57" ht="14.25">
      <c r="A189" s="341"/>
      <c r="B189" s="341" t="s">
        <v>2128</v>
      </c>
      <c r="C189" s="342">
        <f>+$C$187+$G$188</f>
        <v>15365</v>
      </c>
      <c r="D189" s="343"/>
      <c r="E189" s="343"/>
      <c r="F189" s="344">
        <v>0</v>
      </c>
      <c r="G189" s="345"/>
      <c r="H189" s="360"/>
      <c r="I189" s="360"/>
      <c r="J189" s="342"/>
      <c r="K189" s="343"/>
      <c r="L189" s="343" t="s">
        <v>2685</v>
      </c>
      <c r="M189" s="343" t="s">
        <v>2796</v>
      </c>
      <c r="N189" s="343" t="s">
        <v>144</v>
      </c>
      <c r="O189" s="343"/>
      <c r="P189" s="343"/>
      <c r="Q189" s="343">
        <v>0</v>
      </c>
      <c r="R189" s="344">
        <v>0</v>
      </c>
      <c r="S189" s="345"/>
      <c r="T189" s="343">
        <v>-35</v>
      </c>
      <c r="U189" s="343"/>
      <c r="V189" s="343"/>
      <c r="W189" s="343">
        <v>1.4</v>
      </c>
      <c r="X189" s="343"/>
      <c r="Y189" s="343"/>
      <c r="Z189" s="343"/>
      <c r="AA189" s="343"/>
      <c r="AB189" s="343"/>
      <c r="AC189" s="343" t="s">
        <v>2963</v>
      </c>
      <c r="AD189" s="343"/>
      <c r="AE189" s="343"/>
      <c r="AF189" s="343">
        <v>6000</v>
      </c>
      <c r="AG189" s="342">
        <v>15365</v>
      </c>
      <c r="AH189" s="343">
        <v>2912</v>
      </c>
      <c r="AI189" s="344">
        <v>475</v>
      </c>
      <c r="AJ189" s="343"/>
      <c r="AK189" s="343"/>
      <c r="AL189" s="343"/>
      <c r="AM189" s="343" t="s">
        <v>1228</v>
      </c>
      <c r="AN189" s="347">
        <v>5.5</v>
      </c>
      <c r="AO189" s="347"/>
      <c r="AP189" s="347"/>
      <c r="AQ189" s="347"/>
      <c r="AR189" s="347"/>
      <c r="AS189" s="347"/>
      <c r="AT189" s="347">
        <f>+ab($T$189,$T$187,$T$191,$G$188,$G$190,-1*$F$189,1200)</f>
        <v>-6.8209152065487553</v>
      </c>
      <c r="AU189" s="347"/>
      <c r="AV189" s="347"/>
      <c r="AW189" s="347" t="s">
        <v>699</v>
      </c>
      <c r="AX189" s="347" t="s">
        <v>699</v>
      </c>
      <c r="AY189" s="347" t="s">
        <v>699</v>
      </c>
      <c r="AZ189" s="347" t="s">
        <v>699</v>
      </c>
      <c r="BA189" s="347"/>
      <c r="BB189" s="306"/>
      <c r="BC189" s="307"/>
      <c r="BE189" s="298"/>
    </row>
    <row r="190" spans="1:57" ht="14.25">
      <c r="A190" s="341"/>
      <c r="B190" s="341"/>
      <c r="C190" s="342"/>
      <c r="D190" s="343"/>
      <c r="E190" s="343"/>
      <c r="F190" s="344"/>
      <c r="G190" s="345">
        <v>50</v>
      </c>
      <c r="H190" s="360"/>
      <c r="I190" s="360"/>
      <c r="J190" s="342"/>
      <c r="K190" s="343"/>
      <c r="L190" s="343"/>
      <c r="M190" s="343"/>
      <c r="N190" s="343"/>
      <c r="O190" s="343"/>
      <c r="P190" s="343"/>
      <c r="Q190" s="343"/>
      <c r="R190" s="345"/>
      <c r="S190" s="345">
        <v>50</v>
      </c>
      <c r="T190" s="343"/>
      <c r="U190" s="343"/>
      <c r="V190" s="343"/>
      <c r="W190" s="343"/>
      <c r="X190" s="343"/>
      <c r="Y190" s="343"/>
      <c r="Z190" s="343"/>
      <c r="AA190" s="343"/>
      <c r="AB190" s="343"/>
      <c r="AC190" s="343"/>
      <c r="AD190" s="343"/>
      <c r="AE190" s="343"/>
      <c r="AF190" s="343"/>
      <c r="AG190" s="342"/>
      <c r="AH190" s="343"/>
      <c r="AI190" s="344"/>
      <c r="AJ190" s="343"/>
      <c r="AK190" s="343"/>
      <c r="AL190" s="343"/>
      <c r="AM190" s="343"/>
      <c r="AN190" s="347"/>
      <c r="AO190" s="347"/>
      <c r="AP190" s="347"/>
      <c r="AQ190" s="347">
        <f>+FL_2($T$191,$T$189,$G$190,1200,10.96,-1*$F$191)</f>
        <v>-0.39271593566666668</v>
      </c>
      <c r="AR190" s="347"/>
      <c r="AS190" s="347"/>
      <c r="AT190" s="347"/>
      <c r="AU190" s="347"/>
      <c r="AV190" s="347"/>
      <c r="AW190" s="347"/>
      <c r="AX190" s="347"/>
      <c r="AY190" s="347"/>
      <c r="AZ190" s="347"/>
      <c r="BA190" s="347"/>
      <c r="BB190" s="306"/>
      <c r="BC190" s="307"/>
      <c r="BE190" s="298"/>
    </row>
    <row r="191" spans="1:57" ht="14.25">
      <c r="A191" s="341"/>
      <c r="B191" s="341" t="s">
        <v>2129</v>
      </c>
      <c r="C191" s="342">
        <f>+$C$189+$G$190</f>
        <v>15415</v>
      </c>
      <c r="D191" s="343"/>
      <c r="E191" s="343"/>
      <c r="F191" s="344">
        <v>0</v>
      </c>
      <c r="G191" s="345"/>
      <c r="H191" s="360"/>
      <c r="I191" s="360"/>
      <c r="J191" s="342"/>
      <c r="K191" s="343"/>
      <c r="L191" s="343" t="s">
        <v>2685</v>
      </c>
      <c r="M191" s="343" t="s">
        <v>2796</v>
      </c>
      <c r="N191" s="343" t="s">
        <v>145</v>
      </c>
      <c r="O191" s="343"/>
      <c r="P191" s="343"/>
      <c r="Q191" s="343">
        <v>0</v>
      </c>
      <c r="R191" s="344">
        <v>0</v>
      </c>
      <c r="S191" s="345"/>
      <c r="T191" s="343">
        <v>35</v>
      </c>
      <c r="U191" s="343"/>
      <c r="V191" s="343"/>
      <c r="W191" s="343">
        <v>1.4</v>
      </c>
      <c r="X191" s="343"/>
      <c r="Y191" s="343"/>
      <c r="Z191" s="343"/>
      <c r="AA191" s="343"/>
      <c r="AB191" s="343"/>
      <c r="AC191" s="343" t="s">
        <v>2963</v>
      </c>
      <c r="AD191" s="343"/>
      <c r="AE191" s="343"/>
      <c r="AF191" s="343">
        <v>6000</v>
      </c>
      <c r="AG191" s="342">
        <v>15415</v>
      </c>
      <c r="AH191" s="343">
        <v>2962</v>
      </c>
      <c r="AI191" s="344">
        <v>505</v>
      </c>
      <c r="AJ191" s="343"/>
      <c r="AK191" s="343"/>
      <c r="AL191" s="343"/>
      <c r="AM191" s="343" t="s">
        <v>1228</v>
      </c>
      <c r="AN191" s="347">
        <v>5.5</v>
      </c>
      <c r="AO191" s="347"/>
      <c r="AP191" s="347"/>
      <c r="AQ191" s="347"/>
      <c r="AR191" s="347"/>
      <c r="AS191" s="347"/>
      <c r="AT191" s="347">
        <f>+ab($T$191,$T$189,$T$193,$G$190,$G$192,-1*$F$191,1200)</f>
        <v>7.0028859242414825</v>
      </c>
      <c r="AU191" s="347"/>
      <c r="AV191" s="347"/>
      <c r="AW191" s="347" t="s">
        <v>699</v>
      </c>
      <c r="AX191" s="347" t="s">
        <v>699</v>
      </c>
      <c r="AY191" s="347" t="s">
        <v>699</v>
      </c>
      <c r="AZ191" s="347" t="s">
        <v>699</v>
      </c>
      <c r="BA191" s="347"/>
      <c r="BB191" s="306"/>
      <c r="BC191" s="307"/>
      <c r="BE191" s="298"/>
    </row>
    <row r="192" spans="1:57" ht="14.25">
      <c r="A192" s="341"/>
      <c r="B192" s="341"/>
      <c r="C192" s="342"/>
      <c r="D192" s="343"/>
      <c r="E192" s="343"/>
      <c r="F192" s="344"/>
      <c r="G192" s="345">
        <v>49</v>
      </c>
      <c r="H192" s="360"/>
      <c r="I192" s="360"/>
      <c r="J192" s="342"/>
      <c r="K192" s="343"/>
      <c r="L192" s="343"/>
      <c r="M192" s="343"/>
      <c r="N192" s="343"/>
      <c r="O192" s="343"/>
      <c r="P192" s="343"/>
      <c r="Q192" s="343"/>
      <c r="R192" s="345"/>
      <c r="S192" s="345">
        <v>49</v>
      </c>
      <c r="T192" s="343"/>
      <c r="U192" s="343"/>
      <c r="V192" s="343"/>
      <c r="W192" s="343"/>
      <c r="X192" s="343"/>
      <c r="Y192" s="343"/>
      <c r="Z192" s="343"/>
      <c r="AA192" s="343"/>
      <c r="AB192" s="343"/>
      <c r="AC192" s="343"/>
      <c r="AD192" s="343"/>
      <c r="AE192" s="343"/>
      <c r="AF192" s="343"/>
      <c r="AG192" s="342"/>
      <c r="AH192" s="343"/>
      <c r="AI192" s="344"/>
      <c r="AJ192" s="343"/>
      <c r="AK192" s="343"/>
      <c r="AL192" s="343"/>
      <c r="AM192" s="343"/>
      <c r="AN192" s="347"/>
      <c r="AO192" s="347"/>
      <c r="AP192" s="347"/>
      <c r="AQ192" s="347">
        <f>+FL_1($T$193,$T$191,$G$192,1200,11.08,-1*$F$193)</f>
        <v>0.3974051301462585</v>
      </c>
      <c r="AR192" s="347"/>
      <c r="AS192" s="347"/>
      <c r="AT192" s="347"/>
      <c r="AU192" s="347"/>
      <c r="AV192" s="347"/>
      <c r="AW192" s="347"/>
      <c r="AX192" s="347"/>
      <c r="AY192" s="347"/>
      <c r="AZ192" s="347"/>
      <c r="BA192" s="347"/>
      <c r="BB192" s="306"/>
      <c r="BC192" s="307"/>
      <c r="BE192" s="298"/>
    </row>
    <row r="193" spans="1:59" ht="14.25">
      <c r="A193" s="341"/>
      <c r="B193" s="341" t="s">
        <v>2130</v>
      </c>
      <c r="C193" s="342">
        <f>+$C$191+$G$192</f>
        <v>15464</v>
      </c>
      <c r="D193" s="343"/>
      <c r="E193" s="343"/>
      <c r="F193" s="344">
        <v>0</v>
      </c>
      <c r="G193" s="345"/>
      <c r="H193" s="360" t="s">
        <v>954</v>
      </c>
      <c r="I193" s="360"/>
      <c r="J193" s="342"/>
      <c r="K193" s="343"/>
      <c r="L193" s="343" t="s">
        <v>2542</v>
      </c>
      <c r="M193" s="343" t="s">
        <v>474</v>
      </c>
      <c r="N193" s="343" t="s">
        <v>3249</v>
      </c>
      <c r="O193" s="343"/>
      <c r="P193" s="343"/>
      <c r="Q193" s="343">
        <v>0</v>
      </c>
      <c r="R193" s="344">
        <v>0</v>
      </c>
      <c r="S193" s="345"/>
      <c r="T193" s="343">
        <v>-30</v>
      </c>
      <c r="U193" s="343"/>
      <c r="V193" s="343"/>
      <c r="W193" s="343">
        <v>1.4</v>
      </c>
      <c r="X193" s="343"/>
      <c r="Y193" s="343"/>
      <c r="Z193" s="343"/>
      <c r="AA193" s="343"/>
      <c r="AB193" s="343"/>
      <c r="AC193" s="343" t="s">
        <v>1702</v>
      </c>
      <c r="AD193" s="343"/>
      <c r="AE193" s="343"/>
      <c r="AF193" s="343">
        <v>5200</v>
      </c>
      <c r="AG193" s="342">
        <v>15464</v>
      </c>
      <c r="AH193" s="343">
        <v>2892</v>
      </c>
      <c r="AI193" s="344">
        <v>465</v>
      </c>
      <c r="AJ193" s="343"/>
      <c r="AK193" s="343"/>
      <c r="AL193" s="343"/>
      <c r="AM193" s="343" t="s">
        <v>1228</v>
      </c>
      <c r="AN193" s="347">
        <v>5.5</v>
      </c>
      <c r="AO193" s="347"/>
      <c r="AP193" s="347"/>
      <c r="AQ193" s="347"/>
      <c r="AR193" s="347"/>
      <c r="AS193" s="347"/>
      <c r="AT193" s="347">
        <f>+ab($T$193,$T$191,$T$195,$G$192,$G$194,-1*$F$193,1200)</f>
        <v>-7.8584730247446606</v>
      </c>
      <c r="AU193" s="347"/>
      <c r="AV193" s="347"/>
      <c r="AW193" s="347" t="s">
        <v>699</v>
      </c>
      <c r="AX193" s="347" t="s">
        <v>699</v>
      </c>
      <c r="AY193" s="347" t="s">
        <v>699</v>
      </c>
      <c r="AZ193" s="347" t="s">
        <v>699</v>
      </c>
      <c r="BA193" s="347"/>
      <c r="BB193" s="306"/>
      <c r="BC193" s="307"/>
      <c r="BE193" s="298"/>
    </row>
    <row r="194" spans="1:59" ht="14.25">
      <c r="A194" s="341"/>
      <c r="B194" s="341"/>
      <c r="C194" s="342"/>
      <c r="D194" s="343"/>
      <c r="E194" s="343"/>
      <c r="F194" s="344"/>
      <c r="G194" s="345">
        <v>50</v>
      </c>
      <c r="H194" s="360"/>
      <c r="I194" s="364">
        <f>SUM(G172:G194)</f>
        <v>649</v>
      </c>
      <c r="J194" s="342"/>
      <c r="K194" s="343"/>
      <c r="L194" s="343"/>
      <c r="M194" s="343"/>
      <c r="N194" s="343"/>
      <c r="O194" s="343"/>
      <c r="P194" s="343"/>
      <c r="Q194" s="343"/>
      <c r="R194" s="345"/>
      <c r="S194" s="345">
        <v>50</v>
      </c>
      <c r="T194" s="343"/>
      <c r="U194" s="343"/>
      <c r="V194" s="343"/>
      <c r="W194" s="343"/>
      <c r="X194" s="343"/>
      <c r="Y194" s="343"/>
      <c r="Z194" s="343"/>
      <c r="AA194" s="343"/>
      <c r="AB194" s="343"/>
      <c r="AC194" s="343"/>
      <c r="AD194" s="343"/>
      <c r="AE194" s="343"/>
      <c r="AF194" s="343"/>
      <c r="AG194" s="342"/>
      <c r="AH194" s="343"/>
      <c r="AI194" s="344"/>
      <c r="AJ194" s="343"/>
      <c r="AK194" s="343"/>
      <c r="AL194" s="343"/>
      <c r="AM194" s="343"/>
      <c r="AN194" s="347"/>
      <c r="AO194" s="347"/>
      <c r="AP194" s="347"/>
      <c r="AQ194" s="347">
        <f>+FL_2($T$195,$T$193,$G$194,1200,11.45,-1*$F$195)</f>
        <v>-0.45833569374955191</v>
      </c>
      <c r="AR194" s="347"/>
      <c r="AS194" s="347"/>
      <c r="AT194" s="347"/>
      <c r="AU194" s="347"/>
      <c r="AV194" s="347"/>
      <c r="AW194" s="347"/>
      <c r="AX194" s="347"/>
      <c r="AY194" s="347"/>
      <c r="AZ194" s="347"/>
      <c r="BA194" s="347"/>
      <c r="BB194" s="306"/>
      <c r="BC194" s="307"/>
      <c r="BE194" s="298"/>
    </row>
    <row r="195" spans="1:59" ht="14.25">
      <c r="A195" s="341"/>
      <c r="B195" s="341" t="s">
        <v>2131</v>
      </c>
      <c r="C195" s="342">
        <f>+$C$193+$G$194</f>
        <v>15514</v>
      </c>
      <c r="D195" s="343"/>
      <c r="E195" s="343"/>
      <c r="F195" s="344">
        <f t="shared" ref="F195" si="71">150*-1600/(C195-15448)</f>
        <v>-3636.3636363636365</v>
      </c>
      <c r="G195" s="345"/>
      <c r="H195" s="360" t="s">
        <v>955</v>
      </c>
      <c r="I195" s="360"/>
      <c r="J195" s="342"/>
      <c r="K195" s="343"/>
      <c r="L195" s="343" t="s">
        <v>2685</v>
      </c>
      <c r="M195" s="343" t="s">
        <v>2796</v>
      </c>
      <c r="N195" s="343" t="s">
        <v>145</v>
      </c>
      <c r="O195" s="343"/>
      <c r="P195" s="343"/>
      <c r="Q195" s="343">
        <v>40</v>
      </c>
      <c r="R195" s="345">
        <v>-3636</v>
      </c>
      <c r="S195" s="345"/>
      <c r="T195" s="343">
        <v>25</v>
      </c>
      <c r="U195" s="343"/>
      <c r="V195" s="343"/>
      <c r="W195" s="343">
        <v>1.4</v>
      </c>
      <c r="X195" s="343"/>
      <c r="Y195" s="343"/>
      <c r="Z195" s="343"/>
      <c r="AA195" s="343"/>
      <c r="AB195" s="343"/>
      <c r="AC195" s="343" t="s">
        <v>1704</v>
      </c>
      <c r="AD195" s="343"/>
      <c r="AE195" s="343"/>
      <c r="AF195" s="343">
        <v>6000</v>
      </c>
      <c r="AG195" s="342">
        <v>15514</v>
      </c>
      <c r="AH195" s="343">
        <v>2947</v>
      </c>
      <c r="AI195" s="344">
        <v>465</v>
      </c>
      <c r="AJ195" s="343"/>
      <c r="AK195" s="343"/>
      <c r="AL195" s="343"/>
      <c r="AM195" s="343" t="s">
        <v>1228</v>
      </c>
      <c r="AN195" s="347">
        <v>5.5</v>
      </c>
      <c r="AO195" s="347"/>
      <c r="AP195" s="347"/>
      <c r="AQ195" s="347"/>
      <c r="AR195" s="347"/>
      <c r="AS195" s="347"/>
      <c r="AT195" s="347">
        <f>+ab($T$195,$T$193,$T$197,$G$194,$G$196,-1*$F$195,1200)</f>
        <v>7.706427887885309</v>
      </c>
      <c r="AU195" s="347"/>
      <c r="AV195" s="347"/>
      <c r="AW195" s="347" t="s">
        <v>699</v>
      </c>
      <c r="AX195" s="347" t="s">
        <v>699</v>
      </c>
      <c r="AY195" s="347" t="s">
        <v>699</v>
      </c>
      <c r="AZ195" s="347" t="s">
        <v>699</v>
      </c>
      <c r="BA195" s="347"/>
      <c r="BB195" s="306"/>
      <c r="BC195" s="307"/>
      <c r="BE195" s="298"/>
    </row>
    <row r="196" spans="1:59" ht="14.25">
      <c r="A196" s="341"/>
      <c r="B196" s="341"/>
      <c r="C196" s="342"/>
      <c r="D196" s="343"/>
      <c r="E196" s="343"/>
      <c r="F196" s="344"/>
      <c r="G196" s="345">
        <v>50</v>
      </c>
      <c r="H196" s="360"/>
      <c r="I196" s="364">
        <f>SUM(G196:G221)</f>
        <v>719.9</v>
      </c>
      <c r="J196" s="342"/>
      <c r="K196" s="343"/>
      <c r="L196" s="343"/>
      <c r="M196" s="343"/>
      <c r="N196" s="343"/>
      <c r="O196" s="343"/>
      <c r="P196" s="343"/>
      <c r="Q196" s="343"/>
      <c r="R196" s="345"/>
      <c r="S196" s="345">
        <v>50</v>
      </c>
      <c r="T196" s="343"/>
      <c r="U196" s="343"/>
      <c r="V196" s="343"/>
      <c r="W196" s="343"/>
      <c r="X196" s="343"/>
      <c r="Y196" s="343"/>
      <c r="Z196" s="343"/>
      <c r="AA196" s="343"/>
      <c r="AB196" s="343"/>
      <c r="AC196" s="343"/>
      <c r="AD196" s="343"/>
      <c r="AE196" s="343"/>
      <c r="AF196" s="343"/>
      <c r="AG196" s="342"/>
      <c r="AH196" s="343"/>
      <c r="AI196" s="344"/>
      <c r="AJ196" s="343"/>
      <c r="AK196" s="343"/>
      <c r="AL196" s="343"/>
      <c r="AM196" s="343"/>
      <c r="AN196" s="347"/>
      <c r="AO196" s="347"/>
      <c r="AP196" s="347"/>
      <c r="AQ196" s="347">
        <f>+FL_1($T$197,$T$195,$G$196,1200,11.21,-1*$F$197)</f>
        <v>0.39087990298115383</v>
      </c>
      <c r="AR196" s="347"/>
      <c r="AS196" s="347"/>
      <c r="AT196" s="347"/>
      <c r="AU196" s="347"/>
      <c r="AV196" s="347"/>
      <c r="AW196" s="347"/>
      <c r="AX196" s="347"/>
      <c r="AY196" s="347"/>
      <c r="AZ196" s="347"/>
      <c r="BA196" s="347"/>
      <c r="BB196" s="306"/>
      <c r="BC196" s="307"/>
      <c r="BE196" s="298"/>
    </row>
    <row r="197" spans="1:59" ht="14.25">
      <c r="A197" s="341"/>
      <c r="B197" s="341" t="s">
        <v>2132</v>
      </c>
      <c r="C197" s="342">
        <f>+$C$195+$G$196</f>
        <v>15564</v>
      </c>
      <c r="D197" s="343"/>
      <c r="E197" s="343"/>
      <c r="F197" s="344">
        <f t="shared" ref="F197" si="72">150*-1600/(C197-15448)</f>
        <v>-2068.9655172413795</v>
      </c>
      <c r="G197" s="345"/>
      <c r="H197" s="360" t="s">
        <v>954</v>
      </c>
      <c r="I197" s="360"/>
      <c r="J197" s="342"/>
      <c r="K197" s="343"/>
      <c r="L197" s="343" t="s">
        <v>2828</v>
      </c>
      <c r="M197" s="343" t="s">
        <v>2805</v>
      </c>
      <c r="N197" s="343" t="s">
        <v>145</v>
      </c>
      <c r="O197" s="343"/>
      <c r="P197" s="343"/>
      <c r="Q197" s="343">
        <v>80</v>
      </c>
      <c r="R197" s="345">
        <v>-2069</v>
      </c>
      <c r="S197" s="345"/>
      <c r="T197" s="343">
        <v>25</v>
      </c>
      <c r="U197" s="343"/>
      <c r="V197" s="343"/>
      <c r="W197" s="343">
        <v>1.4</v>
      </c>
      <c r="X197" s="343"/>
      <c r="Y197" s="343"/>
      <c r="Z197" s="343"/>
      <c r="AA197" s="343"/>
      <c r="AB197" s="343"/>
      <c r="AC197" s="343" t="s">
        <v>1704</v>
      </c>
      <c r="AD197" s="343"/>
      <c r="AE197" s="343"/>
      <c r="AF197" s="343">
        <v>5200</v>
      </c>
      <c r="AG197" s="342">
        <v>15564</v>
      </c>
      <c r="AH197" s="343">
        <v>2857</v>
      </c>
      <c r="AI197" s="344">
        <v>535</v>
      </c>
      <c r="AJ197" s="343"/>
      <c r="AK197" s="343"/>
      <c r="AL197" s="343"/>
      <c r="AM197" s="343" t="s">
        <v>1228</v>
      </c>
      <c r="AN197" s="347">
        <v>5.5</v>
      </c>
      <c r="AO197" s="347"/>
      <c r="AP197" s="347"/>
      <c r="AQ197" s="347"/>
      <c r="AR197" s="347"/>
      <c r="AS197" s="347"/>
      <c r="AT197" s="347">
        <f>+ab($T$197,$T$195,$T$199,$G$196,$G$198,-1*$F$197,1200)</f>
        <v>8.2261438003710872</v>
      </c>
      <c r="AU197" s="347"/>
      <c r="AV197" s="347"/>
      <c r="AW197" s="347" t="s">
        <v>699</v>
      </c>
      <c r="AX197" s="347" t="s">
        <v>699</v>
      </c>
      <c r="AY197" s="347" t="s">
        <v>699</v>
      </c>
      <c r="AZ197" s="347" t="s">
        <v>699</v>
      </c>
      <c r="BA197" s="347"/>
      <c r="BB197" s="306"/>
      <c r="BC197" s="307"/>
      <c r="BE197" s="298"/>
    </row>
    <row r="198" spans="1:59" ht="14.25">
      <c r="A198" s="341"/>
      <c r="B198" s="341"/>
      <c r="C198" s="342"/>
      <c r="D198" s="343"/>
      <c r="E198" s="343"/>
      <c r="F198" s="344"/>
      <c r="G198" s="345">
        <v>50</v>
      </c>
      <c r="H198" s="360"/>
      <c r="I198" s="360"/>
      <c r="J198" s="342"/>
      <c r="K198" s="343"/>
      <c r="L198" s="343"/>
      <c r="M198" s="343"/>
      <c r="N198" s="343"/>
      <c r="O198" s="343"/>
      <c r="P198" s="343"/>
      <c r="Q198" s="343"/>
      <c r="R198" s="345"/>
      <c r="S198" s="345">
        <v>50</v>
      </c>
      <c r="T198" s="343"/>
      <c r="U198" s="343"/>
      <c r="V198" s="343"/>
      <c r="W198" s="343"/>
      <c r="X198" s="343"/>
      <c r="Y198" s="343"/>
      <c r="Z198" s="343"/>
      <c r="AA198" s="343"/>
      <c r="AB198" s="343"/>
      <c r="AC198" s="343"/>
      <c r="AD198" s="343"/>
      <c r="AE198" s="343"/>
      <c r="AF198" s="343"/>
      <c r="AG198" s="342"/>
      <c r="AH198" s="343"/>
      <c r="AI198" s="344"/>
      <c r="AJ198" s="343"/>
      <c r="AK198" s="343"/>
      <c r="AL198" s="343"/>
      <c r="AM198" s="343"/>
      <c r="AN198" s="347"/>
      <c r="AO198" s="347"/>
      <c r="AP198" s="347"/>
      <c r="AQ198" s="347">
        <f>+FL_1($T$199,$T$197,$G$198,1200,11.08,-1*$F$199)</f>
        <v>0.34953889661740034</v>
      </c>
      <c r="AR198" s="347"/>
      <c r="AS198" s="347"/>
      <c r="AT198" s="347"/>
      <c r="AU198" s="347"/>
      <c r="AV198" s="347"/>
      <c r="AW198" s="347"/>
      <c r="AX198" s="347"/>
      <c r="AY198" s="347"/>
      <c r="AZ198" s="347"/>
      <c r="BA198" s="347"/>
      <c r="BB198" s="306"/>
      <c r="BC198" s="307"/>
      <c r="BE198" s="298"/>
    </row>
    <row r="199" spans="1:59" ht="14.25">
      <c r="A199" s="341"/>
      <c r="B199" s="341" t="s">
        <v>2133</v>
      </c>
      <c r="C199" s="342">
        <f>+$C$197+$G$198</f>
        <v>15614</v>
      </c>
      <c r="D199" s="343"/>
      <c r="E199" s="343"/>
      <c r="F199" s="344">
        <f t="shared" ref="F199" si="73">150*-1600/(C199-15448)</f>
        <v>-1445.7831325301204</v>
      </c>
      <c r="G199" s="345"/>
      <c r="H199" s="360"/>
      <c r="I199" s="360"/>
      <c r="J199" s="342"/>
      <c r="K199" s="343"/>
      <c r="L199" s="343" t="s">
        <v>2685</v>
      </c>
      <c r="M199" s="343" t="s">
        <v>2796</v>
      </c>
      <c r="N199" s="343" t="s">
        <v>145</v>
      </c>
      <c r="O199" s="343"/>
      <c r="P199" s="343"/>
      <c r="Q199" s="343">
        <v>100</v>
      </c>
      <c r="R199" s="345">
        <v>-1446</v>
      </c>
      <c r="S199" s="345"/>
      <c r="T199" s="343">
        <v>30</v>
      </c>
      <c r="U199" s="343"/>
      <c r="V199" s="343"/>
      <c r="W199" s="343">
        <v>1.4</v>
      </c>
      <c r="X199" s="343"/>
      <c r="Y199" s="343"/>
      <c r="Z199" s="343"/>
      <c r="AA199" s="343"/>
      <c r="AB199" s="343"/>
      <c r="AC199" s="343" t="s">
        <v>2963</v>
      </c>
      <c r="AD199" s="343"/>
      <c r="AE199" s="343"/>
      <c r="AF199" s="343">
        <v>6000</v>
      </c>
      <c r="AG199" s="342">
        <v>15614</v>
      </c>
      <c r="AH199" s="343">
        <v>2992</v>
      </c>
      <c r="AI199" s="344">
        <v>530</v>
      </c>
      <c r="AJ199" s="343"/>
      <c r="AK199" s="343"/>
      <c r="AL199" s="343"/>
      <c r="AM199" s="343" t="s">
        <v>1228</v>
      </c>
      <c r="AN199" s="347">
        <v>5.5</v>
      </c>
      <c r="AO199" s="347"/>
      <c r="AP199" s="347"/>
      <c r="AQ199" s="347"/>
      <c r="AR199" s="347"/>
      <c r="AS199" s="347"/>
      <c r="AT199" s="347">
        <f>+ab($T$199,$T$197,$T$201,$G$198,$G$200,-1*$F$199,1200)</f>
        <v>5.2749879491708711</v>
      </c>
      <c r="AU199" s="347"/>
      <c r="AV199" s="347"/>
      <c r="AW199" s="347" t="s">
        <v>699</v>
      </c>
      <c r="AX199" s="347" t="s">
        <v>699</v>
      </c>
      <c r="AY199" s="347" t="s">
        <v>699</v>
      </c>
      <c r="AZ199" s="347" t="s">
        <v>699</v>
      </c>
      <c r="BA199" s="347"/>
      <c r="BB199" s="306"/>
      <c r="BC199" s="307"/>
      <c r="BD199" s="350"/>
      <c r="BE199" s="298"/>
    </row>
    <row r="200" spans="1:59" ht="14.25">
      <c r="A200" s="341"/>
      <c r="B200" s="341"/>
      <c r="C200" s="342"/>
      <c r="D200" s="343"/>
      <c r="E200" s="343"/>
      <c r="F200" s="344"/>
      <c r="G200" s="345">
        <v>52</v>
      </c>
      <c r="H200" s="360"/>
      <c r="I200" s="360"/>
      <c r="J200" s="342"/>
      <c r="K200" s="343"/>
      <c r="L200" s="343"/>
      <c r="M200" s="343"/>
      <c r="N200" s="343"/>
      <c r="O200" s="343"/>
      <c r="P200" s="343"/>
      <c r="Q200" s="343"/>
      <c r="R200" s="345"/>
      <c r="S200" s="345">
        <v>52</v>
      </c>
      <c r="T200" s="343"/>
      <c r="U200" s="343"/>
      <c r="V200" s="343"/>
      <c r="W200" s="343"/>
      <c r="X200" s="343"/>
      <c r="Y200" s="343"/>
      <c r="Z200" s="343"/>
      <c r="AA200" s="343"/>
      <c r="AB200" s="343"/>
      <c r="AC200" s="343"/>
      <c r="AD200" s="343"/>
      <c r="AE200" s="343"/>
      <c r="AF200" s="343"/>
      <c r="AG200" s="342"/>
      <c r="AH200" s="343"/>
      <c r="AI200" s="344"/>
      <c r="AJ200" s="343"/>
      <c r="AK200" s="343"/>
      <c r="AL200" s="343"/>
      <c r="AM200" s="343"/>
      <c r="AN200" s="347"/>
      <c r="AO200" s="347"/>
      <c r="AP200" s="347"/>
      <c r="AQ200" s="347">
        <f>+FL_1($T$201,$T$199,$G$200,1200,11.21,-1*$F$201)</f>
        <v>0.30868884532214214</v>
      </c>
      <c r="AR200" s="347"/>
      <c r="AS200" s="347"/>
      <c r="AT200" s="347"/>
      <c r="AU200" s="347"/>
      <c r="AV200" s="347"/>
      <c r="AW200" s="347"/>
      <c r="AX200" s="347"/>
      <c r="AY200" s="347"/>
      <c r="AZ200" s="347"/>
      <c r="BA200" s="347"/>
      <c r="BB200" s="306"/>
      <c r="BC200" s="307"/>
      <c r="BE200" s="298"/>
    </row>
    <row r="201" spans="1:59" ht="14.25">
      <c r="A201" s="341"/>
      <c r="B201" s="341" t="s">
        <v>2134</v>
      </c>
      <c r="C201" s="342">
        <f>+$C$199+$G$200</f>
        <v>15666</v>
      </c>
      <c r="D201" s="343"/>
      <c r="E201" s="343"/>
      <c r="F201" s="344">
        <f t="shared" ref="F201" si="74">150*-1600/(C201-15448)</f>
        <v>-1100.9174311926606</v>
      </c>
      <c r="G201" s="345"/>
      <c r="H201" s="360"/>
      <c r="I201" s="360"/>
      <c r="J201" s="342"/>
      <c r="K201" s="343"/>
      <c r="L201" s="343" t="s">
        <v>2685</v>
      </c>
      <c r="M201" s="343" t="s">
        <v>2796</v>
      </c>
      <c r="N201" s="343" t="s">
        <v>145</v>
      </c>
      <c r="O201" s="343"/>
      <c r="P201" s="343"/>
      <c r="Q201" s="343">
        <v>100</v>
      </c>
      <c r="R201" s="345">
        <v>-1101</v>
      </c>
      <c r="S201" s="345"/>
      <c r="T201" s="343">
        <v>30</v>
      </c>
      <c r="U201" s="343"/>
      <c r="V201" s="343"/>
      <c r="W201" s="343">
        <v>1.4</v>
      </c>
      <c r="X201" s="343"/>
      <c r="Y201" s="343"/>
      <c r="Z201" s="343"/>
      <c r="AA201" s="343"/>
      <c r="AB201" s="343"/>
      <c r="AC201" s="343" t="s">
        <v>2963</v>
      </c>
      <c r="AD201" s="343"/>
      <c r="AE201" s="343"/>
      <c r="AF201" s="343">
        <v>6000</v>
      </c>
      <c r="AG201" s="342">
        <v>15666</v>
      </c>
      <c r="AH201" s="343">
        <v>3032</v>
      </c>
      <c r="AI201" s="344">
        <v>620</v>
      </c>
      <c r="AJ201" s="343"/>
      <c r="AK201" s="343"/>
      <c r="AL201" s="343"/>
      <c r="AM201" s="343" t="s">
        <v>1228</v>
      </c>
      <c r="AN201" s="347">
        <v>5.5</v>
      </c>
      <c r="AO201" s="347"/>
      <c r="AP201" s="347"/>
      <c r="AQ201" s="347"/>
      <c r="AR201" s="347"/>
      <c r="AS201" s="347"/>
      <c r="AT201" s="347">
        <f>+ab($T$201,$T$199,$T$203,$G$200,$G$202,-1*$F$201,1200)</f>
        <v>4.1351187772183566</v>
      </c>
      <c r="AU201" s="347"/>
      <c r="AV201" s="347"/>
      <c r="AW201" s="347" t="s">
        <v>699</v>
      </c>
      <c r="AX201" s="347" t="s">
        <v>699</v>
      </c>
      <c r="AY201" s="347" t="s">
        <v>699</v>
      </c>
      <c r="AZ201" s="347" t="s">
        <v>699</v>
      </c>
      <c r="BA201" s="347"/>
      <c r="BB201" s="306"/>
      <c r="BC201" s="307"/>
      <c r="BE201" s="298"/>
    </row>
    <row r="202" spans="1:59" ht="14.25">
      <c r="A202" s="341"/>
      <c r="B202" s="341"/>
      <c r="C202" s="342"/>
      <c r="D202" s="343"/>
      <c r="E202" s="343"/>
      <c r="F202" s="344"/>
      <c r="G202" s="345">
        <v>50</v>
      </c>
      <c r="H202" s="360"/>
      <c r="I202" s="360"/>
      <c r="J202" s="342"/>
      <c r="K202" s="343"/>
      <c r="L202" s="343"/>
      <c r="M202" s="343"/>
      <c r="N202" s="343"/>
      <c r="O202" s="343"/>
      <c r="P202" s="343"/>
      <c r="Q202" s="343"/>
      <c r="R202" s="345"/>
      <c r="S202" s="345">
        <v>50</v>
      </c>
      <c r="T202" s="343"/>
      <c r="U202" s="343"/>
      <c r="V202" s="343"/>
      <c r="W202" s="343"/>
      <c r="X202" s="343"/>
      <c r="Y202" s="343"/>
      <c r="Z202" s="343"/>
      <c r="AA202" s="343"/>
      <c r="AB202" s="343"/>
      <c r="AC202" s="343"/>
      <c r="AD202" s="343"/>
      <c r="AE202" s="343"/>
      <c r="AF202" s="343"/>
      <c r="AG202" s="342"/>
      <c r="AH202" s="343"/>
      <c r="AI202" s="344"/>
      <c r="AJ202" s="343"/>
      <c r="AK202" s="343"/>
      <c r="AL202" s="343"/>
      <c r="AM202" s="343"/>
      <c r="AN202" s="347"/>
      <c r="AO202" s="347"/>
      <c r="AP202" s="347"/>
      <c r="AQ202" s="347">
        <f>+FL_1($T$203,$T$201,$G$202,1200,11.08,-1*$F$203)</f>
        <v>0.3000483429565019</v>
      </c>
      <c r="AR202" s="347"/>
      <c r="AS202" s="347"/>
      <c r="AT202" s="347"/>
      <c r="AU202" s="347"/>
      <c r="AV202" s="347"/>
      <c r="AW202" s="347"/>
      <c r="AX202" s="347"/>
      <c r="AY202" s="347"/>
      <c r="AZ202" s="347"/>
      <c r="BA202" s="347"/>
      <c r="BB202" s="306"/>
      <c r="BC202" s="307"/>
      <c r="BE202" s="298"/>
      <c r="BF202" s="362"/>
      <c r="BG202" s="362"/>
    </row>
    <row r="203" spans="1:59" ht="14.25">
      <c r="A203" s="341"/>
      <c r="B203" s="341" t="s">
        <v>2135</v>
      </c>
      <c r="C203" s="342">
        <f>+$C$201+$G$202</f>
        <v>15716</v>
      </c>
      <c r="D203" s="343"/>
      <c r="E203" s="343"/>
      <c r="F203" s="344">
        <f>150*-1600/(C203-15448)</f>
        <v>-895.52238805970148</v>
      </c>
      <c r="G203" s="345"/>
      <c r="H203" s="360"/>
      <c r="I203" s="360"/>
      <c r="J203" s="342"/>
      <c r="K203" s="343"/>
      <c r="L203" s="343" t="s">
        <v>2685</v>
      </c>
      <c r="M203" s="343" t="s">
        <v>2796</v>
      </c>
      <c r="N203" s="343" t="s">
        <v>145</v>
      </c>
      <c r="O203" s="343"/>
      <c r="P203" s="343"/>
      <c r="Q203" s="343">
        <v>105</v>
      </c>
      <c r="R203" s="345">
        <v>-896</v>
      </c>
      <c r="S203" s="345"/>
      <c r="T203" s="343">
        <v>30</v>
      </c>
      <c r="U203" s="343"/>
      <c r="V203" s="343"/>
      <c r="W203" s="343">
        <v>1.4</v>
      </c>
      <c r="X203" s="343"/>
      <c r="Y203" s="343"/>
      <c r="Z203" s="343"/>
      <c r="AA203" s="343"/>
      <c r="AB203" s="343"/>
      <c r="AC203" s="343" t="s">
        <v>2995</v>
      </c>
      <c r="AD203" s="343"/>
      <c r="AE203" s="343"/>
      <c r="AF203" s="343">
        <v>6000</v>
      </c>
      <c r="AG203" s="342">
        <v>15716</v>
      </c>
      <c r="AH203" s="343">
        <v>2967</v>
      </c>
      <c r="AI203" s="344">
        <v>565</v>
      </c>
      <c r="AJ203" s="343"/>
      <c r="AK203" s="343"/>
      <c r="AL203" s="343"/>
      <c r="AM203" s="343" t="s">
        <v>1228</v>
      </c>
      <c r="AN203" s="347">
        <v>5.5</v>
      </c>
      <c r="AO203" s="347"/>
      <c r="AP203" s="347"/>
      <c r="AQ203" s="347"/>
      <c r="AR203" s="347"/>
      <c r="AS203" s="347"/>
      <c r="AT203" s="347">
        <f>+ab($T$203,$T$201,$T$205,$G$202,$G$204,-1*$F$203,1200)</f>
        <v>3.4327702410279977</v>
      </c>
      <c r="AU203" s="347"/>
      <c r="AV203" s="347"/>
      <c r="AW203" s="347" t="s">
        <v>699</v>
      </c>
      <c r="AX203" s="347" t="s">
        <v>699</v>
      </c>
      <c r="AY203" s="347" t="s">
        <v>699</v>
      </c>
      <c r="AZ203" s="347" t="s">
        <v>699</v>
      </c>
      <c r="BA203" s="347"/>
      <c r="BB203" s="306"/>
      <c r="BC203" s="307"/>
      <c r="BE203" s="298"/>
    </row>
    <row r="204" spans="1:59" ht="14.25">
      <c r="A204" s="341"/>
      <c r="B204" s="341"/>
      <c r="C204" s="342"/>
      <c r="D204" s="343"/>
      <c r="E204" s="343"/>
      <c r="F204" s="344"/>
      <c r="G204" s="345">
        <v>50</v>
      </c>
      <c r="H204" s="360"/>
      <c r="I204" s="360"/>
      <c r="J204" s="342"/>
      <c r="K204" s="343"/>
      <c r="L204" s="343"/>
      <c r="M204" s="343"/>
      <c r="N204" s="343"/>
      <c r="O204" s="343"/>
      <c r="P204" s="343"/>
      <c r="Q204" s="343"/>
      <c r="R204" s="345"/>
      <c r="S204" s="345">
        <v>50</v>
      </c>
      <c r="T204" s="343"/>
      <c r="U204" s="343"/>
      <c r="V204" s="343"/>
      <c r="W204" s="343"/>
      <c r="X204" s="343"/>
      <c r="Y204" s="343"/>
      <c r="Z204" s="343"/>
      <c r="AA204" s="343"/>
      <c r="AB204" s="343"/>
      <c r="AC204" s="343"/>
      <c r="AD204" s="343"/>
      <c r="AE204" s="343"/>
      <c r="AF204" s="343"/>
      <c r="AG204" s="342"/>
      <c r="AH204" s="343"/>
      <c r="AI204" s="344"/>
      <c r="AJ204" s="343"/>
      <c r="AK204" s="343"/>
      <c r="AL204" s="343"/>
      <c r="AM204" s="343"/>
      <c r="AN204" s="347"/>
      <c r="AO204" s="347"/>
      <c r="AP204" s="347"/>
      <c r="AQ204" s="347">
        <f>+FL_1($T$205,$T$203,$G$204,1200,10.96,-1*$F$205)</f>
        <v>0.39009224428229272</v>
      </c>
      <c r="AR204" s="347"/>
      <c r="AS204" s="347"/>
      <c r="AT204" s="347"/>
      <c r="AU204" s="347"/>
      <c r="AV204" s="347"/>
      <c r="AW204" s="347"/>
      <c r="AX204" s="347"/>
      <c r="AY204" s="347"/>
      <c r="AZ204" s="347"/>
      <c r="BA204" s="347"/>
      <c r="BB204" s="306"/>
      <c r="BC204" s="307"/>
      <c r="BE204" s="298"/>
    </row>
    <row r="205" spans="1:59" ht="14.25">
      <c r="A205" s="341"/>
      <c r="B205" s="341" t="s">
        <v>2136</v>
      </c>
      <c r="C205" s="342">
        <f>+$C$203+$G$204</f>
        <v>15766</v>
      </c>
      <c r="D205" s="343"/>
      <c r="E205" s="343"/>
      <c r="F205" s="344">
        <v>-1600</v>
      </c>
      <c r="G205" s="345"/>
      <c r="H205" s="360"/>
      <c r="I205" s="360"/>
      <c r="J205" s="342"/>
      <c r="K205" s="343"/>
      <c r="L205" s="343" t="s">
        <v>2685</v>
      </c>
      <c r="M205" s="343" t="s">
        <v>2796</v>
      </c>
      <c r="N205" s="343" t="s">
        <v>145</v>
      </c>
      <c r="O205" s="343"/>
      <c r="P205" s="343"/>
      <c r="Q205" s="343">
        <v>100</v>
      </c>
      <c r="R205" s="345">
        <v>-1600</v>
      </c>
      <c r="S205" s="345"/>
      <c r="T205" s="343">
        <v>30</v>
      </c>
      <c r="U205" s="343"/>
      <c r="V205" s="343"/>
      <c r="W205" s="343">
        <v>1.4</v>
      </c>
      <c r="X205" s="343"/>
      <c r="Y205" s="343"/>
      <c r="Z205" s="343"/>
      <c r="AA205" s="343"/>
      <c r="AB205" s="343"/>
      <c r="AC205" s="343" t="s">
        <v>2963</v>
      </c>
      <c r="AD205" s="343"/>
      <c r="AE205" s="343"/>
      <c r="AF205" s="343">
        <v>6000</v>
      </c>
      <c r="AG205" s="342">
        <v>15766</v>
      </c>
      <c r="AH205" s="343">
        <v>2937</v>
      </c>
      <c r="AI205" s="344">
        <v>485</v>
      </c>
      <c r="AJ205" s="343"/>
      <c r="AK205" s="343"/>
      <c r="AL205" s="343"/>
      <c r="AM205" s="343" t="s">
        <v>1228</v>
      </c>
      <c r="AN205" s="347">
        <v>5.5</v>
      </c>
      <c r="AO205" s="347"/>
      <c r="AP205" s="347"/>
      <c r="AQ205" s="347"/>
      <c r="AR205" s="347"/>
      <c r="AS205" s="347"/>
      <c r="AT205" s="347">
        <f>+ab($T$205,$T$203,$T$207,$G$204,$G$206,-1*$F$205,1200)</f>
        <v>6.1172155954188518</v>
      </c>
      <c r="AU205" s="347"/>
      <c r="AV205" s="347"/>
      <c r="AW205" s="347" t="s">
        <v>699</v>
      </c>
      <c r="AX205" s="347" t="s">
        <v>699</v>
      </c>
      <c r="AY205" s="347" t="s">
        <v>699</v>
      </c>
      <c r="AZ205" s="347" t="s">
        <v>699</v>
      </c>
      <c r="BA205" s="347"/>
      <c r="BB205" s="306"/>
      <c r="BC205" s="307"/>
      <c r="BE205" s="298"/>
    </row>
    <row r="206" spans="1:59" ht="14.25">
      <c r="A206" s="341"/>
      <c r="B206" s="341"/>
      <c r="C206" s="342"/>
      <c r="D206" s="343"/>
      <c r="E206" s="343"/>
      <c r="F206" s="344"/>
      <c r="G206" s="345">
        <v>50</v>
      </c>
      <c r="H206" s="360"/>
      <c r="I206" s="360"/>
      <c r="J206" s="342"/>
      <c r="K206" s="343"/>
      <c r="L206" s="343"/>
      <c r="M206" s="343"/>
      <c r="N206" s="343"/>
      <c r="O206" s="343"/>
      <c r="P206" s="343"/>
      <c r="Q206" s="343"/>
      <c r="R206" s="345"/>
      <c r="S206" s="345">
        <v>50</v>
      </c>
      <c r="T206" s="343"/>
      <c r="U206" s="343"/>
      <c r="V206" s="343"/>
      <c r="W206" s="343"/>
      <c r="X206" s="343"/>
      <c r="Y206" s="343"/>
      <c r="Z206" s="343"/>
      <c r="AA206" s="343"/>
      <c r="AB206" s="343"/>
      <c r="AC206" s="343"/>
      <c r="AD206" s="343"/>
      <c r="AE206" s="343"/>
      <c r="AF206" s="343"/>
      <c r="AG206" s="342"/>
      <c r="AH206" s="343"/>
      <c r="AI206" s="344"/>
      <c r="AJ206" s="343"/>
      <c r="AK206" s="343"/>
      <c r="AL206" s="343"/>
      <c r="AM206" s="343"/>
      <c r="AN206" s="347"/>
      <c r="AO206" s="347"/>
      <c r="AP206" s="347"/>
      <c r="AQ206" s="347">
        <f>+FL_1($T$207,$T$205,$G$206,1200,11.21,-1*$F$207)</f>
        <v>0.39660266094895935</v>
      </c>
      <c r="AR206" s="347"/>
      <c r="AS206" s="347"/>
      <c r="AT206" s="347"/>
      <c r="AU206" s="347"/>
      <c r="AV206" s="347"/>
      <c r="AW206" s="347"/>
      <c r="AX206" s="347"/>
      <c r="AY206" s="347"/>
      <c r="AZ206" s="347"/>
      <c r="BA206" s="347"/>
      <c r="BB206" s="306"/>
      <c r="BC206" s="307"/>
      <c r="BE206" s="298"/>
    </row>
    <row r="207" spans="1:59" ht="14.25">
      <c r="A207" s="341"/>
      <c r="B207" s="341" t="s">
        <v>2137</v>
      </c>
      <c r="C207" s="342">
        <f>+$C$205+$G$206</f>
        <v>15816</v>
      </c>
      <c r="D207" s="343"/>
      <c r="E207" s="343"/>
      <c r="F207" s="344">
        <v>-1600</v>
      </c>
      <c r="G207" s="345"/>
      <c r="H207" s="360"/>
      <c r="I207" s="360"/>
      <c r="J207" s="342"/>
      <c r="K207" s="343"/>
      <c r="L207" s="343" t="s">
        <v>2685</v>
      </c>
      <c r="M207" s="343" t="s">
        <v>2796</v>
      </c>
      <c r="N207" s="343" t="s">
        <v>145</v>
      </c>
      <c r="O207" s="343"/>
      <c r="P207" s="343"/>
      <c r="Q207" s="343">
        <v>95</v>
      </c>
      <c r="R207" s="345">
        <v>-1600</v>
      </c>
      <c r="S207" s="345"/>
      <c r="T207" s="343">
        <v>30</v>
      </c>
      <c r="U207" s="343"/>
      <c r="V207" s="343"/>
      <c r="W207" s="343">
        <v>1.4</v>
      </c>
      <c r="X207" s="343"/>
      <c r="Y207" s="343"/>
      <c r="Z207" s="343"/>
      <c r="AA207" s="343"/>
      <c r="AB207" s="343"/>
      <c r="AC207" s="343" t="s">
        <v>2963</v>
      </c>
      <c r="AD207" s="343"/>
      <c r="AE207" s="343"/>
      <c r="AF207" s="343">
        <v>6000</v>
      </c>
      <c r="AG207" s="342">
        <v>15816</v>
      </c>
      <c r="AH207" s="343">
        <v>2902</v>
      </c>
      <c r="AI207" s="344">
        <v>470</v>
      </c>
      <c r="AJ207" s="343"/>
      <c r="AK207" s="343"/>
      <c r="AL207" s="343"/>
      <c r="AM207" s="343" t="s">
        <v>1228</v>
      </c>
      <c r="AN207" s="347">
        <v>5.5</v>
      </c>
      <c r="AO207" s="347"/>
      <c r="AP207" s="347"/>
      <c r="AQ207" s="347"/>
      <c r="AR207" s="347"/>
      <c r="AS207" s="347"/>
      <c r="AT207" s="347">
        <f>+ab($T$207,$T$205,$T$209,$G$206,$G$208,-1*$F$207,1200)</f>
        <v>5.7052293709567135</v>
      </c>
      <c r="AU207" s="347"/>
      <c r="AV207" s="347"/>
      <c r="AW207" s="347" t="s">
        <v>699</v>
      </c>
      <c r="AX207" s="347" t="s">
        <v>699</v>
      </c>
      <c r="AY207" s="347" t="s">
        <v>699</v>
      </c>
      <c r="AZ207" s="347" t="s">
        <v>699</v>
      </c>
      <c r="BA207" s="347"/>
      <c r="BB207" s="306"/>
      <c r="BC207" s="307"/>
      <c r="BE207" s="298"/>
    </row>
    <row r="208" spans="1:59" ht="14.25">
      <c r="A208" s="341"/>
      <c r="B208" s="341"/>
      <c r="C208" s="342"/>
      <c r="D208" s="343"/>
      <c r="E208" s="343"/>
      <c r="F208" s="344"/>
      <c r="G208" s="345">
        <v>51</v>
      </c>
      <c r="H208" s="360"/>
      <c r="I208" s="360"/>
      <c r="J208" s="342"/>
      <c r="K208" s="343"/>
      <c r="L208" s="343"/>
      <c r="M208" s="343"/>
      <c r="N208" s="343"/>
      <c r="O208" s="343"/>
      <c r="P208" s="343"/>
      <c r="Q208" s="343"/>
      <c r="R208" s="345"/>
      <c r="S208" s="345">
        <v>51</v>
      </c>
      <c r="T208" s="343"/>
      <c r="U208" s="343"/>
      <c r="V208" s="343"/>
      <c r="W208" s="343"/>
      <c r="X208" s="343"/>
      <c r="Y208" s="343"/>
      <c r="Z208" s="343"/>
      <c r="AA208" s="343"/>
      <c r="AB208" s="343"/>
      <c r="AC208" s="343"/>
      <c r="AD208" s="343"/>
      <c r="AE208" s="343"/>
      <c r="AF208" s="343"/>
      <c r="AG208" s="342"/>
      <c r="AH208" s="343"/>
      <c r="AI208" s="344"/>
      <c r="AJ208" s="343"/>
      <c r="AK208" s="343"/>
      <c r="AL208" s="343"/>
      <c r="AM208" s="343"/>
      <c r="AN208" s="347"/>
      <c r="AO208" s="347"/>
      <c r="AP208" s="347"/>
      <c r="AQ208" s="347">
        <f>+FL_1($T$207,$T$205,$G$206,1200,11.21,-1*$F$207)</f>
        <v>0.39660266094895935</v>
      </c>
      <c r="AR208" s="347"/>
      <c r="AS208" s="347"/>
      <c r="AT208" s="347"/>
      <c r="AU208" s="347"/>
      <c r="AV208" s="347"/>
      <c r="AW208" s="347"/>
      <c r="AX208" s="347"/>
      <c r="AY208" s="347"/>
      <c r="AZ208" s="347"/>
      <c r="BA208" s="347"/>
      <c r="BB208" s="306"/>
      <c r="BC208" s="307"/>
      <c r="BE208" s="298"/>
    </row>
    <row r="209" spans="1:57" ht="14.25">
      <c r="A209" s="341"/>
      <c r="B209" s="341" t="s">
        <v>2138</v>
      </c>
      <c r="C209" s="342">
        <f>+$C$207+$G$208</f>
        <v>15867</v>
      </c>
      <c r="D209" s="343"/>
      <c r="E209" s="343"/>
      <c r="F209" s="344">
        <v>-1600</v>
      </c>
      <c r="G209" s="345"/>
      <c r="H209" s="360"/>
      <c r="I209" s="360"/>
      <c r="J209" s="342"/>
      <c r="K209" s="343"/>
      <c r="L209" s="343" t="s">
        <v>2685</v>
      </c>
      <c r="M209" s="343" t="s">
        <v>2796</v>
      </c>
      <c r="N209" s="343" t="s">
        <v>145</v>
      </c>
      <c r="O209" s="343"/>
      <c r="P209" s="343"/>
      <c r="Q209" s="343">
        <v>55</v>
      </c>
      <c r="R209" s="345">
        <v>-1600</v>
      </c>
      <c r="S209" s="345"/>
      <c r="T209" s="343">
        <v>20</v>
      </c>
      <c r="U209" s="343"/>
      <c r="V209" s="343"/>
      <c r="W209" s="343">
        <v>1.4</v>
      </c>
      <c r="X209" s="343"/>
      <c r="Y209" s="343"/>
      <c r="Z209" s="343"/>
      <c r="AA209" s="343"/>
      <c r="AB209" s="343"/>
      <c r="AC209" s="343" t="s">
        <v>2963</v>
      </c>
      <c r="AD209" s="343"/>
      <c r="AE209" s="343"/>
      <c r="AF209" s="343">
        <v>6000</v>
      </c>
      <c r="AG209" s="342">
        <v>15867</v>
      </c>
      <c r="AH209" s="343">
        <v>2882</v>
      </c>
      <c r="AI209" s="344">
        <v>480</v>
      </c>
      <c r="AJ209" s="343"/>
      <c r="AK209" s="343"/>
      <c r="AL209" s="343"/>
      <c r="AM209" s="343" t="s">
        <v>1228</v>
      </c>
      <c r="AN209" s="347">
        <v>5.5</v>
      </c>
      <c r="AO209" s="347"/>
      <c r="AP209" s="347"/>
      <c r="AQ209" s="347"/>
      <c r="AR209" s="347"/>
      <c r="AS209" s="347"/>
      <c r="AT209" s="347">
        <f>+ab($T$207,$T$205,$T$209,$G$206,$G$208,-1*$F$207,1200)</f>
        <v>5.7052293709567135</v>
      </c>
      <c r="AU209" s="347"/>
      <c r="AV209" s="347"/>
      <c r="AW209" s="347" t="s">
        <v>699</v>
      </c>
      <c r="AX209" s="347" t="s">
        <v>699</v>
      </c>
      <c r="AY209" s="347" t="s">
        <v>699</v>
      </c>
      <c r="AZ209" s="347" t="s">
        <v>699</v>
      </c>
      <c r="BA209" s="347"/>
      <c r="BB209" s="306"/>
      <c r="BC209" s="307"/>
      <c r="BE209" s="298"/>
    </row>
    <row r="210" spans="1:57" ht="14.25">
      <c r="A210" s="363" t="s">
        <v>2588</v>
      </c>
      <c r="B210" s="341"/>
      <c r="C210" s="342"/>
      <c r="D210" s="343"/>
      <c r="E210" s="343"/>
      <c r="F210" s="344"/>
      <c r="G210" s="345">
        <v>59.9</v>
      </c>
      <c r="H210" s="360"/>
      <c r="I210" s="360"/>
      <c r="J210" s="342"/>
      <c r="K210" s="343"/>
      <c r="L210" s="343"/>
      <c r="M210" s="343"/>
      <c r="N210" s="343"/>
      <c r="O210" s="343"/>
      <c r="P210" s="343"/>
      <c r="Q210" s="343"/>
      <c r="R210" s="345"/>
      <c r="S210" s="345">
        <v>59.950000000000728</v>
      </c>
      <c r="T210" s="343"/>
      <c r="U210" s="343"/>
      <c r="V210" s="343"/>
      <c r="W210" s="343"/>
      <c r="X210" s="343"/>
      <c r="Y210" s="343"/>
      <c r="Z210" s="343"/>
      <c r="AA210" s="343"/>
      <c r="AB210" s="343"/>
      <c r="AC210" s="343"/>
      <c r="AD210" s="343"/>
      <c r="AE210" s="343"/>
      <c r="AF210" s="343"/>
      <c r="AG210" s="342"/>
      <c r="AH210" s="343"/>
      <c r="AI210" s="344"/>
      <c r="AJ210" s="343"/>
      <c r="AK210" s="343"/>
      <c r="AL210" s="343"/>
      <c r="AM210" s="343"/>
      <c r="AN210" s="347"/>
      <c r="AO210" s="347"/>
      <c r="AP210" s="347"/>
      <c r="AQ210" s="347">
        <f>+FL_1($T$207,$T$205,$G$206,1200,11.21,-1*$F$207)</f>
        <v>0.39660266094895935</v>
      </c>
      <c r="AR210" s="347"/>
      <c r="AS210" s="347"/>
      <c r="AT210" s="347"/>
      <c r="AU210" s="347"/>
      <c r="AV210" s="347"/>
      <c r="AW210" s="347"/>
      <c r="AX210" s="347"/>
      <c r="AY210" s="347" t="s">
        <v>695</v>
      </c>
      <c r="AZ210" s="347"/>
      <c r="BA210" s="347"/>
      <c r="BB210" s="306"/>
      <c r="BC210" s="307"/>
      <c r="BE210" s="298"/>
    </row>
    <row r="211" spans="1:57" ht="14.25">
      <c r="A211" s="340"/>
      <c r="B211" s="340" t="s">
        <v>2139</v>
      </c>
      <c r="C211" s="288">
        <f>+$C$209+$G$210+0.1</f>
        <v>15927</v>
      </c>
      <c r="D211" s="1121"/>
      <c r="E211" s="1121"/>
      <c r="F211" s="289">
        <v>0</v>
      </c>
      <c r="G211" s="292"/>
      <c r="H211" s="291"/>
      <c r="I211" s="291"/>
      <c r="J211" s="288"/>
      <c r="K211" s="1121"/>
      <c r="L211" s="1121" t="s">
        <v>230</v>
      </c>
      <c r="M211" s="1121" t="s">
        <v>2757</v>
      </c>
      <c r="N211" s="1121" t="s">
        <v>144</v>
      </c>
      <c r="O211" s="1121"/>
      <c r="P211" s="1121"/>
      <c r="Q211" s="1121">
        <v>13</v>
      </c>
      <c r="R211" s="292">
        <v>-11479</v>
      </c>
      <c r="S211" s="292"/>
      <c r="T211" s="1121">
        <v>-35</v>
      </c>
      <c r="U211" s="1121"/>
      <c r="V211" s="1121"/>
      <c r="W211" s="1121">
        <v>1.4</v>
      </c>
      <c r="X211" s="1121"/>
      <c r="Y211" s="1121"/>
      <c r="Z211" s="1121"/>
      <c r="AA211" s="1121"/>
      <c r="AB211" s="1121"/>
      <c r="AC211" s="1121" t="s">
        <v>1704</v>
      </c>
      <c r="AD211" s="1121"/>
      <c r="AE211" s="1121"/>
      <c r="AF211" s="1121">
        <v>6000</v>
      </c>
      <c r="AG211" s="288">
        <v>15926.95</v>
      </c>
      <c r="AH211" s="1121">
        <v>3617</v>
      </c>
      <c r="AI211" s="289">
        <v>741</v>
      </c>
      <c r="AJ211" s="1121"/>
      <c r="AK211" s="1121"/>
      <c r="AL211" s="1121"/>
      <c r="AM211" s="1121" t="s">
        <v>1228</v>
      </c>
      <c r="AN211" s="315">
        <v>5.5</v>
      </c>
      <c r="AO211" s="315"/>
      <c r="AP211" s="315"/>
      <c r="AQ211" s="315"/>
      <c r="AR211" s="315"/>
      <c r="AS211" s="315"/>
      <c r="AT211" s="365">
        <f>+ab($T$207,$T$205,$T$209,$G$206,$G$208,-1*$F$207,1200)</f>
        <v>5.7052293709567135</v>
      </c>
      <c r="AU211" s="315"/>
      <c r="AV211" s="315"/>
      <c r="AW211" s="315" t="s">
        <v>2634</v>
      </c>
      <c r="AX211" s="315" t="s">
        <v>1641</v>
      </c>
      <c r="AY211" s="315">
        <v>4.2</v>
      </c>
      <c r="AZ211" s="315"/>
      <c r="BA211" s="315"/>
      <c r="BB211" s="306"/>
      <c r="BC211" s="307"/>
      <c r="BE211" s="298"/>
    </row>
    <row r="212" spans="1:57" ht="14.25">
      <c r="A212" s="340"/>
      <c r="B212" s="340"/>
      <c r="C212" s="288"/>
      <c r="D212" s="1121"/>
      <c r="E212" s="1121"/>
      <c r="F212" s="289"/>
      <c r="G212" s="292">
        <v>65</v>
      </c>
      <c r="H212" s="291"/>
      <c r="I212" s="291"/>
      <c r="J212" s="288"/>
      <c r="K212" s="1121"/>
      <c r="L212" s="1121"/>
      <c r="M212" s="1121"/>
      <c r="N212" s="1121"/>
      <c r="O212" s="1121"/>
      <c r="P212" s="1121"/>
      <c r="Q212" s="1121"/>
      <c r="R212" s="292"/>
      <c r="S212" s="292">
        <f t="shared" ref="S212:S274" si="75">+AG213-AG211</f>
        <v>65.079999999999927</v>
      </c>
      <c r="T212" s="1121"/>
      <c r="U212" s="1121"/>
      <c r="V212" s="1121"/>
      <c r="W212" s="1121"/>
      <c r="X212" s="1121"/>
      <c r="Y212" s="1121"/>
      <c r="Z212" s="1121"/>
      <c r="AA212" s="1121"/>
      <c r="AB212" s="1121"/>
      <c r="AC212" s="1121"/>
      <c r="AD212" s="1121"/>
      <c r="AE212" s="1121"/>
      <c r="AF212" s="1121"/>
      <c r="AG212" s="288"/>
      <c r="AH212" s="1121"/>
      <c r="AI212" s="289"/>
      <c r="AJ212" s="1121"/>
      <c r="AK212" s="1121"/>
      <c r="AL212" s="1121"/>
      <c r="AM212" s="1121"/>
      <c r="AN212" s="315"/>
      <c r="AO212" s="315"/>
      <c r="AP212" s="315"/>
      <c r="AQ212" s="315">
        <f>+FL_2($T$213,$T$211,$G$212,1200,9.28,-1*$F$213)</f>
        <v>-0.49807183866666654</v>
      </c>
      <c r="AR212" s="315"/>
      <c r="AS212" s="315"/>
      <c r="AT212" s="315"/>
      <c r="AU212" s="315"/>
      <c r="AV212" s="315"/>
      <c r="AW212" s="315"/>
      <c r="AX212" s="315"/>
      <c r="AY212" s="315" t="s">
        <v>695</v>
      </c>
      <c r="AZ212" s="315"/>
      <c r="BA212" s="315"/>
      <c r="BB212" s="306"/>
      <c r="BC212" s="307"/>
      <c r="BE212" s="298"/>
    </row>
    <row r="213" spans="1:57" ht="14.25">
      <c r="A213" s="340"/>
      <c r="B213" s="340" t="s">
        <v>2680</v>
      </c>
      <c r="C213" s="288">
        <f>+$C$211+$G$212</f>
        <v>15992</v>
      </c>
      <c r="D213" s="1121"/>
      <c r="E213" s="1121"/>
      <c r="F213" s="289">
        <v>0</v>
      </c>
      <c r="G213" s="292"/>
      <c r="H213" s="291"/>
      <c r="I213" s="291"/>
      <c r="J213" s="288"/>
      <c r="K213" s="1121"/>
      <c r="L213" s="1121" t="s">
        <v>230</v>
      </c>
      <c r="M213" s="1121" t="s">
        <v>2757</v>
      </c>
      <c r="N213" s="1121" t="s">
        <v>145</v>
      </c>
      <c r="O213" s="1121"/>
      <c r="P213" s="1121"/>
      <c r="Q213" s="1121">
        <v>2</v>
      </c>
      <c r="R213" s="289">
        <v>0</v>
      </c>
      <c r="S213" s="292"/>
      <c r="T213" s="1121">
        <v>30</v>
      </c>
      <c r="U213" s="1121"/>
      <c r="V213" s="1121"/>
      <c r="W213" s="1121">
        <v>1.4</v>
      </c>
      <c r="X213" s="1121"/>
      <c r="Y213" s="1121"/>
      <c r="Z213" s="1121"/>
      <c r="AA213" s="1121"/>
      <c r="AB213" s="1121"/>
      <c r="AC213" s="1121" t="s">
        <v>1704</v>
      </c>
      <c r="AD213" s="1121"/>
      <c r="AE213" s="1121"/>
      <c r="AF213" s="1121">
        <v>6000</v>
      </c>
      <c r="AG213" s="288">
        <v>15992.03</v>
      </c>
      <c r="AH213" s="1121">
        <v>3723</v>
      </c>
      <c r="AI213" s="289">
        <v>706</v>
      </c>
      <c r="AJ213" s="1121"/>
      <c r="AK213" s="1121"/>
      <c r="AL213" s="1121"/>
      <c r="AM213" s="1121" t="s">
        <v>1228</v>
      </c>
      <c r="AN213" s="315">
        <v>5.5</v>
      </c>
      <c r="AO213" s="315"/>
      <c r="AP213" s="315"/>
      <c r="AQ213" s="315"/>
      <c r="AR213" s="315"/>
      <c r="AS213" s="315"/>
      <c r="AT213" s="315">
        <f>+ab($T$213,$T$211,$T$215,$G$212,$G$214,-1*$F$213,1200)</f>
        <v>10.282323857004098</v>
      </c>
      <c r="AU213" s="315"/>
      <c r="AV213" s="315"/>
      <c r="AW213" s="315" t="s">
        <v>2634</v>
      </c>
      <c r="AX213" s="315" t="s">
        <v>1641</v>
      </c>
      <c r="AY213" s="315">
        <v>4.2</v>
      </c>
      <c r="AZ213" s="315"/>
      <c r="BA213" s="315"/>
      <c r="BB213" s="306"/>
      <c r="BC213" s="307"/>
      <c r="BE213" s="298"/>
    </row>
    <row r="214" spans="1:57" ht="14.25">
      <c r="A214" s="340"/>
      <c r="B214" s="340"/>
      <c r="C214" s="288"/>
      <c r="D214" s="1121"/>
      <c r="E214" s="1121"/>
      <c r="F214" s="289"/>
      <c r="G214" s="292">
        <v>65</v>
      </c>
      <c r="H214" s="1121"/>
      <c r="I214" s="294"/>
      <c r="J214" s="288">
        <f>C215-7.5</f>
        <v>16049.5</v>
      </c>
      <c r="K214" s="1121" t="s">
        <v>3017</v>
      </c>
      <c r="L214" s="1121"/>
      <c r="M214" s="1121"/>
      <c r="N214" s="1121"/>
      <c r="O214" s="1121"/>
      <c r="P214" s="1121"/>
      <c r="Q214" s="1121"/>
      <c r="R214" s="292"/>
      <c r="S214" s="292">
        <f t="shared" si="75"/>
        <v>64.989999999999782</v>
      </c>
      <c r="T214" s="1121"/>
      <c r="U214" s="1121"/>
      <c r="V214" s="1121"/>
      <c r="W214" s="1121"/>
      <c r="X214" s="1121"/>
      <c r="Y214" s="1121"/>
      <c r="Z214" s="1121"/>
      <c r="AA214" s="1121"/>
      <c r="AB214" s="1121"/>
      <c r="AC214" s="1121"/>
      <c r="AD214" s="1121"/>
      <c r="AE214" s="1121"/>
      <c r="AF214" s="1121"/>
      <c r="AG214" s="288"/>
      <c r="AH214" s="1121"/>
      <c r="AI214" s="289"/>
      <c r="AJ214" s="1121"/>
      <c r="AK214" s="1121"/>
      <c r="AL214" s="1121"/>
      <c r="AM214" s="1121"/>
      <c r="AN214" s="315"/>
      <c r="AO214" s="315"/>
      <c r="AP214" s="315"/>
      <c r="AQ214" s="315">
        <f>+FL_1($T$215,$T$213,$G$214,1200,9.28,-1*$F$215)</f>
        <v>0.47970823876923074</v>
      </c>
      <c r="AR214" s="315"/>
      <c r="AS214" s="315"/>
      <c r="AT214" s="315"/>
      <c r="AU214" s="315"/>
      <c r="AV214" s="315"/>
      <c r="AW214" s="315" t="s">
        <v>2634</v>
      </c>
      <c r="AX214" s="315" t="s">
        <v>1641</v>
      </c>
      <c r="AY214" s="315"/>
      <c r="AZ214" s="315">
        <v>3.5</v>
      </c>
      <c r="BA214" s="315"/>
      <c r="BB214" s="306"/>
      <c r="BC214" s="307"/>
      <c r="BE214" s="298"/>
    </row>
    <row r="215" spans="1:57" ht="14.25">
      <c r="A215" s="340"/>
      <c r="B215" s="340" t="s">
        <v>2140</v>
      </c>
      <c r="C215" s="288">
        <f>+$C$213+$G$214</f>
        <v>16057</v>
      </c>
      <c r="D215" s="1121"/>
      <c r="E215" s="1121"/>
      <c r="F215" s="289">
        <v>0</v>
      </c>
      <c r="G215" s="292"/>
      <c r="H215" s="1121" t="s">
        <v>138</v>
      </c>
      <c r="I215" s="294" t="s">
        <v>657</v>
      </c>
      <c r="J215" s="288"/>
      <c r="K215" s="1121"/>
      <c r="L215" s="1121" t="s">
        <v>1061</v>
      </c>
      <c r="M215" s="1121" t="s">
        <v>2756</v>
      </c>
      <c r="N215" s="1121" t="s">
        <v>144</v>
      </c>
      <c r="O215" s="1121"/>
      <c r="P215" s="1121"/>
      <c r="Q215" s="1121">
        <v>0</v>
      </c>
      <c r="R215" s="289">
        <v>0</v>
      </c>
      <c r="S215" s="292"/>
      <c r="T215" s="1121">
        <v>-25</v>
      </c>
      <c r="U215" s="1121"/>
      <c r="V215" s="1121"/>
      <c r="W215" s="1121">
        <v>1.4</v>
      </c>
      <c r="X215" s="1121"/>
      <c r="Y215" s="1121"/>
      <c r="Z215" s="1121"/>
      <c r="AA215" s="1121"/>
      <c r="AB215" s="1121"/>
      <c r="AC215" s="1121" t="s">
        <v>1704</v>
      </c>
      <c r="AD215" s="1121"/>
      <c r="AE215" s="1121"/>
      <c r="AF215" s="1121">
        <v>6000</v>
      </c>
      <c r="AG215" s="288">
        <v>16057.02</v>
      </c>
      <c r="AH215" s="1121">
        <v>2577</v>
      </c>
      <c r="AI215" s="289">
        <v>525</v>
      </c>
      <c r="AJ215" s="1121"/>
      <c r="AK215" s="1121"/>
      <c r="AL215" s="1121"/>
      <c r="AM215" s="1121" t="s">
        <v>1228</v>
      </c>
      <c r="AN215" s="315">
        <v>5.5</v>
      </c>
      <c r="AO215" s="315"/>
      <c r="AP215" s="315"/>
      <c r="AQ215" s="315"/>
      <c r="AR215" s="315"/>
      <c r="AS215" s="315"/>
      <c r="AT215" s="315">
        <f>+ab($T$215,$T$213,$T$217,$G$214,$G$216,-1*$F$215,1200)</f>
        <v>-10.634611227867302</v>
      </c>
      <c r="AU215" s="315"/>
      <c r="AV215" s="315"/>
      <c r="AW215" s="315" t="s">
        <v>2634</v>
      </c>
      <c r="AX215" s="315" t="s">
        <v>1641</v>
      </c>
      <c r="AY215" s="315">
        <v>4.2</v>
      </c>
      <c r="AZ215" s="315"/>
      <c r="BA215" s="315"/>
      <c r="BB215" s="306"/>
      <c r="BC215" s="307"/>
      <c r="BE215" s="298"/>
    </row>
    <row r="216" spans="1:57" ht="14.25">
      <c r="A216" s="340"/>
      <c r="B216" s="340"/>
      <c r="C216" s="288"/>
      <c r="D216" s="1121"/>
      <c r="E216" s="1121"/>
      <c r="F216" s="289"/>
      <c r="G216" s="292">
        <v>64</v>
      </c>
      <c r="H216" s="291"/>
      <c r="I216" s="294">
        <f>SUM(G216:G236)</f>
        <v>685</v>
      </c>
      <c r="J216" s="288"/>
      <c r="K216" s="1121"/>
      <c r="L216" s="1121"/>
      <c r="M216" s="1121"/>
      <c r="N216" s="1121"/>
      <c r="O216" s="1121"/>
      <c r="P216" s="1121"/>
      <c r="Q216" s="1121"/>
      <c r="R216" s="292"/>
      <c r="S216" s="292">
        <f t="shared" si="75"/>
        <v>64.029999999998836</v>
      </c>
      <c r="T216" s="1121"/>
      <c r="U216" s="1121"/>
      <c r="V216" s="1121"/>
      <c r="W216" s="1121"/>
      <c r="X216" s="1121"/>
      <c r="Y216" s="1121"/>
      <c r="Z216" s="1121"/>
      <c r="AA216" s="1121"/>
      <c r="AB216" s="1121"/>
      <c r="AC216" s="1121"/>
      <c r="AD216" s="1121"/>
      <c r="AE216" s="1121"/>
      <c r="AF216" s="1121"/>
      <c r="AG216" s="288"/>
      <c r="AH216" s="1121"/>
      <c r="AI216" s="289"/>
      <c r="AJ216" s="1121"/>
      <c r="AK216" s="1121"/>
      <c r="AL216" s="1121"/>
      <c r="AM216" s="1121"/>
      <c r="AN216" s="315"/>
      <c r="AO216" s="315"/>
      <c r="AP216" s="315"/>
      <c r="AQ216" s="315">
        <f>+FL_2($U$217,$T$215,$G$216,1200,9.28,-1*$F$217)</f>
        <v>-0.47120259199999992</v>
      </c>
      <c r="AR216" s="315"/>
      <c r="AS216" s="315"/>
      <c r="AT216" s="315"/>
      <c r="AU216" s="315"/>
      <c r="AV216" s="315"/>
      <c r="AW216" s="315"/>
      <c r="AX216" s="315"/>
      <c r="AY216" s="315" t="s">
        <v>695</v>
      </c>
      <c r="AZ216" s="315"/>
      <c r="BA216" s="315"/>
      <c r="BB216" s="306"/>
      <c r="BC216" s="307"/>
      <c r="BE216" s="298"/>
    </row>
    <row r="217" spans="1:57" ht="14.25">
      <c r="A217" s="340"/>
      <c r="B217" s="340" t="s">
        <v>2141</v>
      </c>
      <c r="C217" s="288">
        <f>+$C$215+$G$216</f>
        <v>16121</v>
      </c>
      <c r="D217" s="1121"/>
      <c r="E217" s="1121"/>
      <c r="F217" s="289">
        <v>0</v>
      </c>
      <c r="G217" s="292"/>
      <c r="H217" s="291" t="s">
        <v>651</v>
      </c>
      <c r="I217" s="294"/>
      <c r="J217" s="288"/>
      <c r="K217" s="1121"/>
      <c r="L217" s="1121" t="s">
        <v>231</v>
      </c>
      <c r="M217" s="1121" t="s">
        <v>2756</v>
      </c>
      <c r="N217" s="1121" t="s">
        <v>140</v>
      </c>
      <c r="O217" s="1121" t="s">
        <v>145</v>
      </c>
      <c r="P217" s="1121"/>
      <c r="Q217" s="1121">
        <v>0</v>
      </c>
      <c r="R217" s="289">
        <v>0</v>
      </c>
      <c r="S217" s="292"/>
      <c r="T217" s="1121">
        <v>35</v>
      </c>
      <c r="U217" s="1121">
        <v>15</v>
      </c>
      <c r="V217" s="1121"/>
      <c r="W217" s="1121">
        <v>1.4</v>
      </c>
      <c r="X217" s="1121">
        <v>2.2999999999999998</v>
      </c>
      <c r="Y217" s="1121"/>
      <c r="Z217" s="1121">
        <v>0.5</v>
      </c>
      <c r="AA217" s="1121"/>
      <c r="AB217" s="1121"/>
      <c r="AC217" s="1121"/>
      <c r="AD217" s="1121" t="s">
        <v>1704</v>
      </c>
      <c r="AE217" s="1121"/>
      <c r="AF217" s="1121">
        <v>6000</v>
      </c>
      <c r="AG217" s="288">
        <v>16121.05</v>
      </c>
      <c r="AH217" s="1121">
        <v>2648</v>
      </c>
      <c r="AI217" s="289">
        <v>589</v>
      </c>
      <c r="AJ217" s="1121"/>
      <c r="AK217" s="1121"/>
      <c r="AL217" s="1121"/>
      <c r="AM217" s="1121" t="s">
        <v>1228</v>
      </c>
      <c r="AN217" s="315">
        <v>5.5</v>
      </c>
      <c r="AO217" s="315"/>
      <c r="AP217" s="315"/>
      <c r="AQ217" s="315"/>
      <c r="AR217" s="315"/>
      <c r="AS217" s="315"/>
      <c r="AT217" s="315">
        <f>+ab($U$217,$T$215,$U$219,$G$216,$G$218,-1*$F$217,1200)</f>
        <v>12.442913437627322</v>
      </c>
      <c r="AU217" s="315"/>
      <c r="AV217" s="315"/>
      <c r="AW217" s="315" t="s">
        <v>2634</v>
      </c>
      <c r="AX217" s="315" t="s">
        <v>1641</v>
      </c>
      <c r="AY217" s="315">
        <v>4.2</v>
      </c>
      <c r="AZ217" s="315"/>
      <c r="BA217" s="315"/>
      <c r="BB217" s="306"/>
      <c r="BC217" s="307"/>
      <c r="BE217" s="298"/>
    </row>
    <row r="218" spans="1:57" ht="14.25">
      <c r="A218" s="340"/>
      <c r="B218" s="340"/>
      <c r="C218" s="288"/>
      <c r="D218" s="1121"/>
      <c r="E218" s="1121"/>
      <c r="F218" s="289"/>
      <c r="G218" s="292">
        <v>56</v>
      </c>
      <c r="H218" s="291"/>
      <c r="I218" s="294"/>
      <c r="J218" s="288"/>
      <c r="K218" s="1121"/>
      <c r="L218" s="1121"/>
      <c r="M218" s="1121"/>
      <c r="N218" s="1121"/>
      <c r="O218" s="1121"/>
      <c r="P218" s="1121"/>
      <c r="Q218" s="1121"/>
      <c r="R218" s="292"/>
      <c r="S218" s="292">
        <f t="shared" si="75"/>
        <v>56.040000000000873</v>
      </c>
      <c r="T218" s="1121"/>
      <c r="U218" s="1121"/>
      <c r="V218" s="1121"/>
      <c r="W218" s="1121"/>
      <c r="X218" s="1121"/>
      <c r="Y218" s="1121"/>
      <c r="Z218" s="1121"/>
      <c r="AA218" s="1121"/>
      <c r="AB218" s="1121"/>
      <c r="AC218" s="1121"/>
      <c r="AD218" s="1121"/>
      <c r="AE218" s="1121"/>
      <c r="AF218" s="1121"/>
      <c r="AG218" s="288"/>
      <c r="AH218" s="1121"/>
      <c r="AI218" s="289"/>
      <c r="AJ218" s="1121"/>
      <c r="AK218" s="1121"/>
      <c r="AL218" s="1121"/>
      <c r="AM218" s="1121"/>
      <c r="AN218" s="315"/>
      <c r="AO218" s="315"/>
      <c r="AP218" s="315"/>
      <c r="AQ218" s="315">
        <f>+FL_2($T$219,$U$217,$G$218,1200,9.28,-1*$F$219)</f>
        <v>-0.32170203866666663</v>
      </c>
      <c r="AR218" s="315"/>
      <c r="AS218" s="315"/>
      <c r="AT218" s="315"/>
      <c r="AU218" s="315"/>
      <c r="AV218" s="315"/>
      <c r="AW218" s="315"/>
      <c r="AX218" s="315"/>
      <c r="AY218" s="315" t="s">
        <v>695</v>
      </c>
      <c r="AZ218" s="315"/>
      <c r="BA218" s="315"/>
      <c r="BB218" s="306"/>
      <c r="BC218" s="307"/>
      <c r="BE218" s="298"/>
    </row>
    <row r="219" spans="1:57" ht="14.25">
      <c r="A219" s="340"/>
      <c r="B219" s="1036" t="s">
        <v>2142</v>
      </c>
      <c r="C219" s="288">
        <f>+$C$217+$G$218</f>
        <v>16177</v>
      </c>
      <c r="D219" s="1121"/>
      <c r="E219" s="1121"/>
      <c r="F219" s="289">
        <v>0</v>
      </c>
      <c r="G219" s="292"/>
      <c r="H219" s="291" t="s">
        <v>651</v>
      </c>
      <c r="I219" s="294"/>
      <c r="J219" s="288"/>
      <c r="K219" s="1121"/>
      <c r="L219" s="1121" t="s">
        <v>231</v>
      </c>
      <c r="M219" s="1121" t="s">
        <v>2756</v>
      </c>
      <c r="N219" s="1121" t="s">
        <v>144</v>
      </c>
      <c r="O219" s="1121" t="s">
        <v>140</v>
      </c>
      <c r="P219" s="1121"/>
      <c r="Q219" s="1121">
        <v>0</v>
      </c>
      <c r="R219" s="289">
        <v>0</v>
      </c>
      <c r="S219" s="292"/>
      <c r="T219" s="1121">
        <v>-15</v>
      </c>
      <c r="U219" s="1121">
        <v>-35</v>
      </c>
      <c r="V219" s="1121"/>
      <c r="W219" s="1121">
        <v>1.4</v>
      </c>
      <c r="X219" s="1121">
        <v>2.2999999999999998</v>
      </c>
      <c r="Y219" s="1121"/>
      <c r="Z219" s="1121"/>
      <c r="AA219" s="1121">
        <v>0.5</v>
      </c>
      <c r="AB219" s="1121"/>
      <c r="AC219" s="1121" t="s">
        <v>1706</v>
      </c>
      <c r="AD219" s="1121"/>
      <c r="AE219" s="1121"/>
      <c r="AF219" s="1121">
        <v>6000</v>
      </c>
      <c r="AG219" s="288">
        <v>16177.09</v>
      </c>
      <c r="AH219" s="1121">
        <v>2578</v>
      </c>
      <c r="AI219" s="289">
        <v>575</v>
      </c>
      <c r="AJ219" s="1121"/>
      <c r="AK219" s="1121"/>
      <c r="AL219" s="1121"/>
      <c r="AM219" s="1121" t="s">
        <v>1228</v>
      </c>
      <c r="AN219" s="315">
        <v>5.5</v>
      </c>
      <c r="AO219" s="315"/>
      <c r="AP219" s="315"/>
      <c r="AQ219" s="315"/>
      <c r="AR219" s="315"/>
      <c r="AS219" s="315"/>
      <c r="AT219" s="315">
        <f>+ab($T$219,$T$217,$T$221,$G$218,$G$220,-1*$F$219,1200)</f>
        <v>-11.861452498625551</v>
      </c>
      <c r="AU219" s="315"/>
      <c r="AV219" s="315"/>
      <c r="AW219" s="315" t="s">
        <v>2634</v>
      </c>
      <c r="AX219" s="315" t="s">
        <v>1641</v>
      </c>
      <c r="AY219" s="315">
        <v>4.2</v>
      </c>
      <c r="AZ219" s="315"/>
      <c r="BA219" s="315"/>
      <c r="BB219" s="306"/>
      <c r="BC219" s="307"/>
      <c r="BE219" s="298"/>
    </row>
    <row r="220" spans="1:57" ht="14.25">
      <c r="A220" s="340"/>
      <c r="B220" s="340"/>
      <c r="C220" s="288"/>
      <c r="D220" s="1121"/>
      <c r="E220" s="1121"/>
      <c r="F220" s="289"/>
      <c r="G220" s="292">
        <v>57</v>
      </c>
      <c r="H220" s="291"/>
      <c r="I220" s="294"/>
      <c r="J220" s="288"/>
      <c r="K220" s="1121"/>
      <c r="L220" s="1121"/>
      <c r="M220" s="1121"/>
      <c r="N220" s="1121"/>
      <c r="O220" s="1121"/>
      <c r="P220" s="1121"/>
      <c r="Q220" s="1121"/>
      <c r="R220" s="292"/>
      <c r="S220" s="292">
        <f t="shared" si="75"/>
        <v>56.909999999999854</v>
      </c>
      <c r="T220" s="1121"/>
      <c r="U220" s="1121"/>
      <c r="V220" s="1121"/>
      <c r="W220" s="1121"/>
      <c r="X220" s="1121"/>
      <c r="Y220" s="1121"/>
      <c r="Z220" s="1121"/>
      <c r="AA220" s="1121"/>
      <c r="AB220" s="1121"/>
      <c r="AC220" s="1121"/>
      <c r="AD220" s="1121"/>
      <c r="AE220" s="1121"/>
      <c r="AF220" s="1121"/>
      <c r="AG220" s="288"/>
      <c r="AH220" s="1121"/>
      <c r="AI220" s="289"/>
      <c r="AJ220" s="1121"/>
      <c r="AK220" s="1121"/>
      <c r="AL220" s="1121"/>
      <c r="AM220" s="1121"/>
      <c r="AN220" s="315"/>
      <c r="AO220" s="315"/>
      <c r="AP220" s="315"/>
      <c r="AQ220" s="315">
        <f>+FL_1($T$221,$T$219,$G$220,1200,9.28,-1*$F$221)</f>
        <v>0.39591002814035087</v>
      </c>
      <c r="AR220" s="315"/>
      <c r="AS220" s="315"/>
      <c r="AT220" s="315"/>
      <c r="AU220" s="315"/>
      <c r="AV220" s="315"/>
      <c r="AW220" s="315"/>
      <c r="AX220" s="315"/>
      <c r="AY220" s="315" t="s">
        <v>695</v>
      </c>
      <c r="AZ220" s="315"/>
      <c r="BA220" s="315"/>
      <c r="BB220" s="306"/>
      <c r="BC220" s="307"/>
      <c r="BE220" s="298"/>
    </row>
    <row r="221" spans="1:57" ht="14.25">
      <c r="A221" s="340"/>
      <c r="B221" s="1036" t="s">
        <v>2143</v>
      </c>
      <c r="C221" s="288">
        <f>+$C$219+$G$220</f>
        <v>16234</v>
      </c>
      <c r="D221" s="1121"/>
      <c r="E221" s="1121"/>
      <c r="F221" s="289">
        <v>0</v>
      </c>
      <c r="G221" s="292"/>
      <c r="H221" s="291" t="s">
        <v>138</v>
      </c>
      <c r="I221" s="294" t="s">
        <v>656</v>
      </c>
      <c r="J221" s="288"/>
      <c r="K221" s="1121"/>
      <c r="L221" s="1121" t="s">
        <v>1061</v>
      </c>
      <c r="M221" s="1121" t="s">
        <v>2672</v>
      </c>
      <c r="N221" s="1121" t="s">
        <v>145</v>
      </c>
      <c r="O221" s="1121"/>
      <c r="P221" s="1121"/>
      <c r="Q221" s="1121">
        <v>0</v>
      </c>
      <c r="R221" s="289">
        <v>0</v>
      </c>
      <c r="S221" s="292"/>
      <c r="T221" s="1121">
        <v>25</v>
      </c>
      <c r="U221" s="1121"/>
      <c r="V221" s="1121"/>
      <c r="W221" s="1121">
        <v>1.4</v>
      </c>
      <c r="X221" s="1121"/>
      <c r="Y221" s="1121"/>
      <c r="Z221" s="1121"/>
      <c r="AA221" s="1121"/>
      <c r="AB221" s="1121"/>
      <c r="AC221" s="1121" t="s">
        <v>1704</v>
      </c>
      <c r="AD221" s="1121"/>
      <c r="AE221" s="1121"/>
      <c r="AF221" s="1121">
        <v>6000</v>
      </c>
      <c r="AG221" s="288">
        <v>16234</v>
      </c>
      <c r="AH221" s="1121">
        <v>2558</v>
      </c>
      <c r="AI221" s="289">
        <v>533</v>
      </c>
      <c r="AJ221" s="1121"/>
      <c r="AK221" s="1121"/>
      <c r="AL221" s="1121"/>
      <c r="AM221" s="1121" t="s">
        <v>1228</v>
      </c>
      <c r="AN221" s="315">
        <v>5.5</v>
      </c>
      <c r="AO221" s="315"/>
      <c r="AP221" s="315"/>
      <c r="AQ221" s="315"/>
      <c r="AR221" s="315"/>
      <c r="AS221" s="315"/>
      <c r="AT221" s="315">
        <f>+ab($T$221,$T$219,$T$223,$G$220,$G$222,-1*$F$221,1200)</f>
        <v>11.691708777466925</v>
      </c>
      <c r="AU221" s="315"/>
      <c r="AV221" s="315"/>
      <c r="AW221" s="315" t="s">
        <v>2631</v>
      </c>
      <c r="AX221" s="315" t="s">
        <v>1639</v>
      </c>
      <c r="AY221" s="315">
        <v>3.4</v>
      </c>
      <c r="AZ221" s="315"/>
      <c r="BA221" s="315"/>
      <c r="BB221" s="306"/>
      <c r="BC221" s="307"/>
      <c r="BE221" s="298"/>
    </row>
    <row r="222" spans="1:57" ht="14.25">
      <c r="A222" s="340"/>
      <c r="B222" s="340"/>
      <c r="C222" s="288"/>
      <c r="D222" s="1121"/>
      <c r="E222" s="1121"/>
      <c r="F222" s="289"/>
      <c r="G222" s="292">
        <v>60</v>
      </c>
      <c r="H222" s="291"/>
      <c r="I222" s="291"/>
      <c r="J222" s="288">
        <f>C221+7.5</f>
        <v>16241.5</v>
      </c>
      <c r="K222" s="1121" t="s">
        <v>653</v>
      </c>
      <c r="L222" s="1121"/>
      <c r="M222" s="1121"/>
      <c r="N222" s="1121"/>
      <c r="O222" s="1121"/>
      <c r="P222" s="1121"/>
      <c r="Q222" s="1121"/>
      <c r="R222" s="292"/>
      <c r="S222" s="292">
        <f t="shared" si="75"/>
        <v>59.989999999999782</v>
      </c>
      <c r="T222" s="1121"/>
      <c r="U222" s="1121"/>
      <c r="V222" s="1121"/>
      <c r="W222" s="1121"/>
      <c r="X222" s="1121"/>
      <c r="Y222" s="1121"/>
      <c r="Z222" s="1121"/>
      <c r="AA222" s="1121"/>
      <c r="AB222" s="1121"/>
      <c r="AC222" s="1121"/>
      <c r="AD222" s="1121"/>
      <c r="AE222" s="1121"/>
      <c r="AF222" s="1121"/>
      <c r="AG222" s="288"/>
      <c r="AH222" s="1121"/>
      <c r="AI222" s="289"/>
      <c r="AJ222" s="1121"/>
      <c r="AK222" s="1121"/>
      <c r="AL222" s="1121"/>
      <c r="AM222" s="1121"/>
      <c r="AN222" s="315"/>
      <c r="AO222" s="315"/>
      <c r="AP222" s="315"/>
      <c r="AQ222" s="315">
        <f>+FL_2($T$223,$T$221,$G$222,1200,9.28,-1*$F$223)</f>
        <v>-0.42732829999999994</v>
      </c>
      <c r="AR222" s="315"/>
      <c r="AS222" s="315"/>
      <c r="AT222" s="315"/>
      <c r="AU222" s="315"/>
      <c r="AV222" s="315"/>
      <c r="AW222" s="315" t="s">
        <v>2631</v>
      </c>
      <c r="AX222" s="315" t="s">
        <v>1639</v>
      </c>
      <c r="AY222" s="315"/>
      <c r="AZ222" s="315">
        <v>2.4</v>
      </c>
      <c r="BA222" s="315"/>
      <c r="BB222" s="306"/>
      <c r="BC222" s="307"/>
      <c r="BE222" s="298"/>
    </row>
    <row r="223" spans="1:57" ht="14.25">
      <c r="A223" s="340"/>
      <c r="B223" s="340" t="s">
        <v>2144</v>
      </c>
      <c r="C223" s="288">
        <f>+$C$221+$G$222</f>
        <v>16294</v>
      </c>
      <c r="D223" s="1121"/>
      <c r="E223" s="1121"/>
      <c r="F223" s="289">
        <v>0</v>
      </c>
      <c r="G223" s="292"/>
      <c r="H223" s="291"/>
      <c r="I223" s="294"/>
      <c r="J223" s="288"/>
      <c r="K223" s="1121"/>
      <c r="L223" s="1121" t="s">
        <v>230</v>
      </c>
      <c r="M223" s="1121" t="s">
        <v>2671</v>
      </c>
      <c r="N223" s="1121" t="s">
        <v>144</v>
      </c>
      <c r="O223" s="1121"/>
      <c r="P223" s="1121"/>
      <c r="Q223" s="1121">
        <v>0</v>
      </c>
      <c r="R223" s="289">
        <v>0</v>
      </c>
      <c r="S223" s="292"/>
      <c r="T223" s="1121">
        <v>-30</v>
      </c>
      <c r="U223" s="1121"/>
      <c r="V223" s="1121"/>
      <c r="W223" s="1121">
        <v>1.4</v>
      </c>
      <c r="X223" s="1121"/>
      <c r="Y223" s="1121"/>
      <c r="Z223" s="1121"/>
      <c r="AA223" s="1121"/>
      <c r="AB223" s="1121"/>
      <c r="AC223" s="1121" t="s">
        <v>1704</v>
      </c>
      <c r="AD223" s="1121"/>
      <c r="AE223" s="1121"/>
      <c r="AF223" s="1121">
        <v>6000</v>
      </c>
      <c r="AG223" s="288">
        <v>16293.99</v>
      </c>
      <c r="AH223" s="1121">
        <v>2543</v>
      </c>
      <c r="AI223" s="289">
        <v>600</v>
      </c>
      <c r="AJ223" s="1121"/>
      <c r="AK223" s="1121"/>
      <c r="AL223" s="1121"/>
      <c r="AM223" s="1121" t="s">
        <v>1228</v>
      </c>
      <c r="AN223" s="315">
        <v>5.5</v>
      </c>
      <c r="AO223" s="315"/>
      <c r="AP223" s="315"/>
      <c r="AQ223" s="315"/>
      <c r="AR223" s="315"/>
      <c r="AS223" s="315"/>
      <c r="AT223" s="315">
        <f>+ab($T$223,$T$221,$T$225,$G$222,$G$224,-1*$F$223,1200)</f>
        <v>-9.8331720874188377</v>
      </c>
      <c r="AU223" s="315"/>
      <c r="AV223" s="315"/>
      <c r="AW223" s="315" t="s">
        <v>2631</v>
      </c>
      <c r="AX223" s="315" t="s">
        <v>1639</v>
      </c>
      <c r="AY223" s="315">
        <v>3.4</v>
      </c>
      <c r="AZ223" s="315"/>
      <c r="BA223" s="315"/>
      <c r="BB223" s="306"/>
      <c r="BC223" s="307"/>
      <c r="BE223" s="298"/>
    </row>
    <row r="224" spans="1:57" ht="14.25">
      <c r="A224" s="340"/>
      <c r="B224" s="340"/>
      <c r="C224" s="288"/>
      <c r="D224" s="1121"/>
      <c r="E224" s="1121"/>
      <c r="F224" s="289"/>
      <c r="G224" s="292">
        <v>64</v>
      </c>
      <c r="H224" s="291"/>
      <c r="I224" s="291"/>
      <c r="J224" s="288"/>
      <c r="K224" s="1121"/>
      <c r="L224" s="1121"/>
      <c r="M224" s="1121"/>
      <c r="N224" s="1121"/>
      <c r="O224" s="1121"/>
      <c r="P224" s="1121"/>
      <c r="Q224" s="1121"/>
      <c r="R224" s="292"/>
      <c r="S224" s="292">
        <f t="shared" si="75"/>
        <v>64.010000000000218</v>
      </c>
      <c r="T224" s="1121"/>
      <c r="U224" s="1121"/>
      <c r="V224" s="1121"/>
      <c r="W224" s="1121"/>
      <c r="X224" s="1121"/>
      <c r="Y224" s="1121"/>
      <c r="Z224" s="1121"/>
      <c r="AA224" s="1121"/>
      <c r="AB224" s="1121"/>
      <c r="AC224" s="1121"/>
      <c r="AD224" s="1121"/>
      <c r="AE224" s="1121"/>
      <c r="AF224" s="1121"/>
      <c r="AG224" s="288"/>
      <c r="AH224" s="1121"/>
      <c r="AI224" s="289"/>
      <c r="AJ224" s="1121"/>
      <c r="AK224" s="1121"/>
      <c r="AL224" s="1121"/>
      <c r="AM224" s="1121"/>
      <c r="AN224" s="315"/>
      <c r="AO224" s="315"/>
      <c r="AP224" s="315"/>
      <c r="AQ224" s="315">
        <f>+FL_2($T$225,$T$223,$G$224,1200,9.28,-1*$F$225)</f>
        <v>-0.43763809449999991</v>
      </c>
      <c r="AR224" s="315"/>
      <c r="AS224" s="315"/>
      <c r="AT224" s="315"/>
      <c r="AU224" s="315"/>
      <c r="AV224" s="315"/>
      <c r="AW224" s="315"/>
      <c r="AX224" s="315"/>
      <c r="AY224" s="315"/>
      <c r="AZ224" s="315"/>
      <c r="BA224" s="315"/>
      <c r="BB224" s="306"/>
      <c r="BC224" s="307"/>
      <c r="BE224" s="298"/>
    </row>
    <row r="225" spans="1:57" ht="14.25">
      <c r="A225" s="340"/>
      <c r="B225" s="1036" t="s">
        <v>2145</v>
      </c>
      <c r="C225" s="288">
        <f>+$C$223+$G$224</f>
        <v>16358</v>
      </c>
      <c r="D225" s="1121"/>
      <c r="E225" s="1121"/>
      <c r="F225" s="289">
        <v>0</v>
      </c>
      <c r="G225" s="292"/>
      <c r="H225" s="291"/>
      <c r="I225" s="291"/>
      <c r="J225" s="288"/>
      <c r="K225" s="1121"/>
      <c r="L225" s="1121" t="s">
        <v>230</v>
      </c>
      <c r="M225" s="1121" t="s">
        <v>2671</v>
      </c>
      <c r="N225" s="1121" t="s">
        <v>145</v>
      </c>
      <c r="O225" s="1121"/>
      <c r="P225" s="1121"/>
      <c r="Q225" s="1121">
        <v>0</v>
      </c>
      <c r="R225" s="289">
        <v>0</v>
      </c>
      <c r="S225" s="292"/>
      <c r="T225" s="1121">
        <v>35</v>
      </c>
      <c r="U225" s="1121"/>
      <c r="V225" s="1121"/>
      <c r="W225" s="1121">
        <v>1.4</v>
      </c>
      <c r="X225" s="1121"/>
      <c r="Y225" s="1121"/>
      <c r="Z225" s="1121"/>
      <c r="AA225" s="1121"/>
      <c r="AB225" s="1121"/>
      <c r="AC225" s="1121" t="s">
        <v>1704</v>
      </c>
      <c r="AD225" s="1121"/>
      <c r="AE225" s="1121"/>
      <c r="AF225" s="1121">
        <v>6000</v>
      </c>
      <c r="AG225" s="288">
        <v>16358</v>
      </c>
      <c r="AH225" s="1121">
        <v>2602</v>
      </c>
      <c r="AI225" s="289">
        <v>572</v>
      </c>
      <c r="AJ225" s="1121"/>
      <c r="AK225" s="1121"/>
      <c r="AL225" s="1121"/>
      <c r="AM225" s="1121" t="s">
        <v>1228</v>
      </c>
      <c r="AN225" s="315">
        <v>5.5</v>
      </c>
      <c r="AO225" s="315"/>
      <c r="AP225" s="315"/>
      <c r="AQ225" s="315"/>
      <c r="AR225" s="315"/>
      <c r="AS225" s="315"/>
      <c r="AT225" s="315">
        <f>+ab($T$225,$T$223,$T$227,$G$224,$G$226,-1*$F$225,1200)</f>
        <v>9.0217977177921131</v>
      </c>
      <c r="AU225" s="315"/>
      <c r="AV225" s="315"/>
      <c r="AW225" s="315" t="s">
        <v>2631</v>
      </c>
      <c r="AX225" s="315" t="s">
        <v>1639</v>
      </c>
      <c r="AY225" s="315">
        <v>3.4</v>
      </c>
      <c r="AZ225" s="315"/>
      <c r="BA225" s="315"/>
      <c r="BB225" s="306"/>
      <c r="BC225" s="307"/>
      <c r="BE225" s="298"/>
    </row>
    <row r="226" spans="1:57" ht="14.25">
      <c r="A226" s="340"/>
      <c r="B226" s="340"/>
      <c r="C226" s="288"/>
      <c r="D226" s="1121"/>
      <c r="E226" s="1121"/>
      <c r="F226" s="289"/>
      <c r="G226" s="292">
        <v>64</v>
      </c>
      <c r="H226" s="291"/>
      <c r="I226" s="294"/>
      <c r="J226" s="288"/>
      <c r="K226" s="1121"/>
      <c r="L226" s="1121"/>
      <c r="M226" s="1121"/>
      <c r="N226" s="1121"/>
      <c r="O226" s="1121"/>
      <c r="P226" s="1121"/>
      <c r="Q226" s="1121"/>
      <c r="R226" s="292"/>
      <c r="S226" s="292">
        <f t="shared" si="75"/>
        <v>64.020000000000437</v>
      </c>
      <c r="T226" s="1121"/>
      <c r="U226" s="1121"/>
      <c r="V226" s="1121"/>
      <c r="W226" s="1121"/>
      <c r="X226" s="1121"/>
      <c r="Y226" s="1121"/>
      <c r="Z226" s="1121"/>
      <c r="AA226" s="1121"/>
      <c r="AB226" s="1121"/>
      <c r="AC226" s="1121"/>
      <c r="AD226" s="1121"/>
      <c r="AE226" s="1121"/>
      <c r="AF226" s="1121"/>
      <c r="AG226" s="288"/>
      <c r="AH226" s="1121"/>
      <c r="AI226" s="289"/>
      <c r="AJ226" s="1121"/>
      <c r="AK226" s="1121"/>
      <c r="AL226" s="1121"/>
      <c r="AM226" s="1121"/>
      <c r="AN226" s="315"/>
      <c r="AO226" s="315"/>
      <c r="AP226" s="315"/>
      <c r="AQ226" s="315">
        <f>+FL_1($T$227,$T$225,$G$226,1200,9.28,-1*$F$227)</f>
        <v>0.47329293799999983</v>
      </c>
      <c r="AR226" s="315"/>
      <c r="AS226" s="315"/>
      <c r="AT226" s="315"/>
      <c r="AU226" s="315"/>
      <c r="AV226" s="315"/>
      <c r="AW226" s="315"/>
      <c r="AX226" s="315"/>
      <c r="AY226" s="315"/>
      <c r="AZ226" s="315"/>
      <c r="BA226" s="315"/>
      <c r="BB226" s="306"/>
      <c r="BC226" s="307"/>
      <c r="BE226" s="298"/>
    </row>
    <row r="227" spans="1:57" ht="14.25">
      <c r="A227" s="340"/>
      <c r="B227" s="340" t="s">
        <v>2146</v>
      </c>
      <c r="C227" s="288">
        <f>+$C$225+$G$226</f>
        <v>16422</v>
      </c>
      <c r="D227" s="1121"/>
      <c r="E227" s="1121"/>
      <c r="F227" s="289">
        <v>0</v>
      </c>
      <c r="G227" s="292"/>
      <c r="H227" s="291"/>
      <c r="I227" s="291"/>
      <c r="J227" s="288"/>
      <c r="K227" s="1121"/>
      <c r="L227" s="1121" t="s">
        <v>230</v>
      </c>
      <c r="M227" s="1121" t="s">
        <v>2671</v>
      </c>
      <c r="N227" s="1121" t="s">
        <v>144</v>
      </c>
      <c r="O227" s="1121"/>
      <c r="P227" s="1121"/>
      <c r="Q227" s="1121">
        <v>0</v>
      </c>
      <c r="R227" s="289">
        <v>0</v>
      </c>
      <c r="S227" s="292"/>
      <c r="T227" s="1121">
        <v>-35</v>
      </c>
      <c r="U227" s="1121"/>
      <c r="V227" s="1121"/>
      <c r="W227" s="1121">
        <v>1.4</v>
      </c>
      <c r="X227" s="1121"/>
      <c r="Y227" s="1121"/>
      <c r="Z227" s="1121"/>
      <c r="AA227" s="1121"/>
      <c r="AB227" s="1121"/>
      <c r="AC227" s="1121" t="s">
        <v>1704</v>
      </c>
      <c r="AD227" s="1121"/>
      <c r="AE227" s="1121"/>
      <c r="AF227" s="1121">
        <v>6000</v>
      </c>
      <c r="AG227" s="288">
        <v>16422.02</v>
      </c>
      <c r="AH227" s="1121">
        <v>2640</v>
      </c>
      <c r="AI227" s="289">
        <v>571</v>
      </c>
      <c r="AJ227" s="1121"/>
      <c r="AK227" s="1121"/>
      <c r="AL227" s="1121"/>
      <c r="AM227" s="1121" t="s">
        <v>1228</v>
      </c>
      <c r="AN227" s="315">
        <v>5.5</v>
      </c>
      <c r="AO227" s="315"/>
      <c r="AP227" s="315"/>
      <c r="AQ227" s="315"/>
      <c r="AR227" s="315"/>
      <c r="AS227" s="315"/>
      <c r="AT227" s="315">
        <f>+ab($T$227,$T$225,$T$229,$G$226,$G$228,-1*$F$227,1200)</f>
        <v>-9.0218515631284362</v>
      </c>
      <c r="AU227" s="315"/>
      <c r="AV227" s="315"/>
      <c r="AW227" s="315" t="s">
        <v>2631</v>
      </c>
      <c r="AX227" s="315" t="s">
        <v>1639</v>
      </c>
      <c r="AY227" s="315">
        <v>3.4</v>
      </c>
      <c r="AZ227" s="315"/>
      <c r="BA227" s="315"/>
      <c r="BB227" s="306"/>
      <c r="BC227" s="307"/>
      <c r="BE227" s="298"/>
    </row>
    <row r="228" spans="1:57" ht="14.25">
      <c r="A228" s="340"/>
      <c r="B228" s="340"/>
      <c r="C228" s="288"/>
      <c r="D228" s="1121"/>
      <c r="E228" s="1121"/>
      <c r="F228" s="289"/>
      <c r="G228" s="292">
        <v>64</v>
      </c>
      <c r="H228" s="291"/>
      <c r="I228" s="294"/>
      <c r="J228" s="288"/>
      <c r="K228" s="1121"/>
      <c r="L228" s="1121"/>
      <c r="M228" s="1121"/>
      <c r="N228" s="1121"/>
      <c r="O228" s="1121"/>
      <c r="P228" s="1121"/>
      <c r="Q228" s="1121"/>
      <c r="R228" s="292"/>
      <c r="S228" s="292">
        <f t="shared" si="75"/>
        <v>63.959999999999127</v>
      </c>
      <c r="T228" s="1121"/>
      <c r="U228" s="1121"/>
      <c r="V228" s="1121"/>
      <c r="W228" s="1121"/>
      <c r="X228" s="1121"/>
      <c r="Y228" s="1121"/>
      <c r="Z228" s="1121"/>
      <c r="AA228" s="1121"/>
      <c r="AB228" s="1121"/>
      <c r="AC228" s="1121"/>
      <c r="AD228" s="1121"/>
      <c r="AE228" s="1121"/>
      <c r="AF228" s="1121"/>
      <c r="AG228" s="288"/>
      <c r="AH228" s="1121"/>
      <c r="AI228" s="289"/>
      <c r="AJ228" s="1121"/>
      <c r="AK228" s="1121"/>
      <c r="AL228" s="1121"/>
      <c r="AM228" s="1121"/>
      <c r="AN228" s="315"/>
      <c r="AO228" s="315"/>
      <c r="AP228" s="315"/>
      <c r="AQ228" s="315">
        <f>+FL_2($T$229,$T$227,$G$228,1200,9.28,-1*$F$229)</f>
        <v>-0.4876380944999999</v>
      </c>
      <c r="AR228" s="315"/>
      <c r="AS228" s="315"/>
      <c r="AT228" s="315"/>
      <c r="AU228" s="315"/>
      <c r="AV228" s="315"/>
      <c r="AW228" s="315"/>
      <c r="AX228" s="315"/>
      <c r="AY228" s="315"/>
      <c r="AZ228" s="315"/>
      <c r="BA228" s="315"/>
      <c r="BB228" s="306"/>
      <c r="BC228" s="307"/>
      <c r="BE228" s="298"/>
    </row>
    <row r="229" spans="1:57" ht="14.25">
      <c r="A229" s="340"/>
      <c r="B229" s="340" t="s">
        <v>2147</v>
      </c>
      <c r="C229" s="288">
        <f>+$C$227+$G$228</f>
        <v>16486</v>
      </c>
      <c r="D229" s="1121"/>
      <c r="E229" s="1121"/>
      <c r="F229" s="289">
        <v>0</v>
      </c>
      <c r="G229" s="292"/>
      <c r="H229" s="291"/>
      <c r="I229" s="291"/>
      <c r="J229" s="288"/>
      <c r="K229" s="1121"/>
      <c r="L229" s="1121" t="s">
        <v>230</v>
      </c>
      <c r="M229" s="1121" t="s">
        <v>2671</v>
      </c>
      <c r="N229" s="1121" t="s">
        <v>145</v>
      </c>
      <c r="O229" s="1121"/>
      <c r="P229" s="1121"/>
      <c r="Q229" s="1121">
        <v>0</v>
      </c>
      <c r="R229" s="289">
        <v>0</v>
      </c>
      <c r="S229" s="292"/>
      <c r="T229" s="1121">
        <v>30</v>
      </c>
      <c r="U229" s="1121"/>
      <c r="V229" s="1121"/>
      <c r="W229" s="1121">
        <v>1.4</v>
      </c>
      <c r="X229" s="1121"/>
      <c r="Y229" s="1121"/>
      <c r="Z229" s="1121"/>
      <c r="AA229" s="1121"/>
      <c r="AB229" s="1121"/>
      <c r="AC229" s="1121" t="s">
        <v>1704</v>
      </c>
      <c r="AD229" s="1121"/>
      <c r="AE229" s="1121"/>
      <c r="AF229" s="1121">
        <v>6000</v>
      </c>
      <c r="AG229" s="288">
        <v>16485.98</v>
      </c>
      <c r="AH229" s="1121">
        <v>2609</v>
      </c>
      <c r="AI229" s="289">
        <v>640</v>
      </c>
      <c r="AJ229" s="1121"/>
      <c r="AK229" s="1121"/>
      <c r="AL229" s="1121"/>
      <c r="AM229" s="1121" t="s">
        <v>1228</v>
      </c>
      <c r="AN229" s="315">
        <v>5.5</v>
      </c>
      <c r="AO229" s="315"/>
      <c r="AP229" s="315"/>
      <c r="AQ229" s="315"/>
      <c r="AR229" s="315"/>
      <c r="AS229" s="315"/>
      <c r="AT229" s="315">
        <f>+ab($T$229,$T$227,$T$231,$G$228,$G$230,-1*$F$229,1200)</f>
        <v>10.127434423295194</v>
      </c>
      <c r="AU229" s="315"/>
      <c r="AV229" s="315"/>
      <c r="AW229" s="315" t="s">
        <v>2631</v>
      </c>
      <c r="AX229" s="315" t="s">
        <v>1639</v>
      </c>
      <c r="AY229" s="315">
        <v>3.4</v>
      </c>
      <c r="AZ229" s="315"/>
      <c r="BA229" s="315"/>
      <c r="BB229" s="306"/>
      <c r="BC229" s="307"/>
      <c r="BE229" s="298"/>
    </row>
    <row r="230" spans="1:57" ht="14.25">
      <c r="A230" s="340"/>
      <c r="B230" s="340"/>
      <c r="C230" s="288"/>
      <c r="D230" s="1121"/>
      <c r="E230" s="1121"/>
      <c r="F230" s="289"/>
      <c r="G230" s="292">
        <v>64</v>
      </c>
      <c r="H230" s="1121"/>
      <c r="I230" s="294"/>
      <c r="J230" s="288">
        <f>C231-7.5</f>
        <v>16542.5</v>
      </c>
      <c r="K230" s="1121" t="s">
        <v>653</v>
      </c>
      <c r="L230" s="1121"/>
      <c r="M230" s="1121"/>
      <c r="N230" s="1121"/>
      <c r="O230" s="1121"/>
      <c r="P230" s="1121"/>
      <c r="Q230" s="1121"/>
      <c r="R230" s="292"/>
      <c r="S230" s="292">
        <f t="shared" si="75"/>
        <v>64.029999999998836</v>
      </c>
      <c r="T230" s="1121"/>
      <c r="U230" s="1121"/>
      <c r="V230" s="1121"/>
      <c r="W230" s="1121"/>
      <c r="X230" s="1121"/>
      <c r="Y230" s="1121"/>
      <c r="Z230" s="1121"/>
      <c r="AA230" s="1121"/>
      <c r="AB230" s="1121"/>
      <c r="AC230" s="1121"/>
      <c r="AD230" s="1121"/>
      <c r="AE230" s="1121"/>
      <c r="AF230" s="1121"/>
      <c r="AG230" s="288"/>
      <c r="AH230" s="1121"/>
      <c r="AI230" s="289"/>
      <c r="AJ230" s="1121"/>
      <c r="AK230" s="1121"/>
      <c r="AL230" s="1121"/>
      <c r="AM230" s="1121"/>
      <c r="AN230" s="315"/>
      <c r="AO230" s="315"/>
      <c r="AP230" s="315"/>
      <c r="AQ230" s="315">
        <f>+FL_1($T$231,$T$229,$G$230,1200,9.28,-1*$F$231)</f>
        <v>0.46869615049999996</v>
      </c>
      <c r="AR230" s="315"/>
      <c r="AS230" s="315"/>
      <c r="AT230" s="315"/>
      <c r="AU230" s="315"/>
      <c r="AV230" s="315"/>
      <c r="AW230" s="315" t="s">
        <v>2631</v>
      </c>
      <c r="AX230" s="315" t="s">
        <v>1639</v>
      </c>
      <c r="AY230" s="315"/>
      <c r="AZ230" s="315">
        <v>2.5</v>
      </c>
      <c r="BA230" s="315"/>
      <c r="BB230" s="306"/>
      <c r="BC230" s="307"/>
      <c r="BE230" s="298"/>
    </row>
    <row r="231" spans="1:57" ht="14.25">
      <c r="A231" s="340"/>
      <c r="B231" s="340" t="s">
        <v>2148</v>
      </c>
      <c r="C231" s="288">
        <f>+$C$229+$G$230</f>
        <v>16550</v>
      </c>
      <c r="D231" s="1121"/>
      <c r="E231" s="1121"/>
      <c r="F231" s="289">
        <v>0</v>
      </c>
      <c r="G231" s="292"/>
      <c r="H231" s="1121" t="s">
        <v>138</v>
      </c>
      <c r="I231" s="294" t="s">
        <v>2718</v>
      </c>
      <c r="J231" s="288"/>
      <c r="K231" s="1121"/>
      <c r="L231" s="1121" t="s">
        <v>1061</v>
      </c>
      <c r="M231" s="1121" t="s">
        <v>2672</v>
      </c>
      <c r="N231" s="1121" t="s">
        <v>144</v>
      </c>
      <c r="O231" s="1121"/>
      <c r="P231" s="1121"/>
      <c r="Q231" s="1121">
        <v>0</v>
      </c>
      <c r="R231" s="289">
        <v>0</v>
      </c>
      <c r="S231" s="292"/>
      <c r="T231" s="1121">
        <v>-25</v>
      </c>
      <c r="U231" s="1121"/>
      <c r="V231" s="1121"/>
      <c r="W231" s="1121">
        <v>1.4</v>
      </c>
      <c r="X231" s="1121"/>
      <c r="Y231" s="1121"/>
      <c r="Z231" s="1121"/>
      <c r="AA231" s="1121"/>
      <c r="AB231" s="1121"/>
      <c r="AC231" s="1121" t="s">
        <v>1704</v>
      </c>
      <c r="AD231" s="1121"/>
      <c r="AE231" s="1121"/>
      <c r="AF231" s="1121">
        <v>6000</v>
      </c>
      <c r="AG231" s="288">
        <v>16550.009999999998</v>
      </c>
      <c r="AH231" s="1121">
        <v>2602</v>
      </c>
      <c r="AI231" s="289">
        <v>568</v>
      </c>
      <c r="AJ231" s="1121"/>
      <c r="AK231" s="1121"/>
      <c r="AL231" s="1121"/>
      <c r="AM231" s="1121" t="s">
        <v>1228</v>
      </c>
      <c r="AN231" s="315">
        <v>5.5</v>
      </c>
      <c r="AO231" s="315"/>
      <c r="AP231" s="315"/>
      <c r="AQ231" s="315"/>
      <c r="AR231" s="315"/>
      <c r="AS231" s="315"/>
      <c r="AT231" s="315">
        <f>+ab($T$231,$T$229,$T$233,$G$230,$G$232,-1*$F$231,1200)</f>
        <v>-10.558128368145727</v>
      </c>
      <c r="AU231" s="315"/>
      <c r="AV231" s="315"/>
      <c r="AW231" s="315" t="s">
        <v>2631</v>
      </c>
      <c r="AX231" s="315" t="s">
        <v>1639</v>
      </c>
      <c r="AY231" s="315">
        <v>3.4</v>
      </c>
      <c r="AZ231" s="315"/>
      <c r="BA231" s="315"/>
      <c r="BB231" s="306"/>
      <c r="BC231" s="307"/>
      <c r="BE231" s="298"/>
    </row>
    <row r="232" spans="1:57" ht="14.25">
      <c r="A232" s="340"/>
      <c r="B232" s="340"/>
      <c r="C232" s="288"/>
      <c r="D232" s="1121"/>
      <c r="E232" s="1121"/>
      <c r="F232" s="289"/>
      <c r="G232" s="292">
        <v>64</v>
      </c>
      <c r="H232" s="291"/>
      <c r="I232" s="294"/>
      <c r="J232" s="288"/>
      <c r="K232" s="1121"/>
      <c r="L232" s="1121"/>
      <c r="M232" s="1121"/>
      <c r="N232" s="1121"/>
      <c r="O232" s="1121"/>
      <c r="P232" s="1121"/>
      <c r="Q232" s="1121"/>
      <c r="R232" s="292"/>
      <c r="S232" s="292">
        <f t="shared" si="75"/>
        <v>63.900000000001455</v>
      </c>
      <c r="T232" s="1121"/>
      <c r="U232" s="1121"/>
      <c r="V232" s="1121"/>
      <c r="W232" s="1121"/>
      <c r="X232" s="1121"/>
      <c r="Y232" s="1121"/>
      <c r="Z232" s="1121"/>
      <c r="AA232" s="1121"/>
      <c r="AB232" s="1121"/>
      <c r="AC232" s="1121"/>
      <c r="AD232" s="1121"/>
      <c r="AE232" s="1121"/>
      <c r="AF232" s="1121"/>
      <c r="AG232" s="288"/>
      <c r="AH232" s="1121"/>
      <c r="AI232" s="289"/>
      <c r="AJ232" s="1121"/>
      <c r="AK232" s="1121"/>
      <c r="AL232" s="1121"/>
      <c r="AM232" s="1121"/>
      <c r="AN232" s="315"/>
      <c r="AO232" s="315"/>
      <c r="AP232" s="315"/>
      <c r="AQ232" s="315">
        <f>+FL_2($U$233,$T$231,$G$232,1200,9.28,-1*$F$233)</f>
        <v>-0.47120259199999992</v>
      </c>
      <c r="AR232" s="315"/>
      <c r="AS232" s="315"/>
      <c r="AT232" s="315"/>
      <c r="AU232" s="315"/>
      <c r="AV232" s="315"/>
      <c r="AW232" s="315"/>
      <c r="AX232" s="315"/>
      <c r="AY232" s="315"/>
      <c r="AZ232" s="315"/>
      <c r="BA232" s="315"/>
      <c r="BB232" s="306"/>
      <c r="BC232" s="307"/>
      <c r="BE232" s="298"/>
    </row>
    <row r="233" spans="1:57" ht="14.25">
      <c r="A233" s="340"/>
      <c r="B233" s="340" t="s">
        <v>2149</v>
      </c>
      <c r="C233" s="288">
        <f>+$C$231+$G$232</f>
        <v>16614</v>
      </c>
      <c r="D233" s="1121"/>
      <c r="E233" s="1121"/>
      <c r="F233" s="289">
        <v>0</v>
      </c>
      <c r="G233" s="292"/>
      <c r="H233" s="291" t="s">
        <v>651</v>
      </c>
      <c r="I233" s="294"/>
      <c r="J233" s="288"/>
      <c r="K233" s="1121"/>
      <c r="L233" s="1121" t="s">
        <v>231</v>
      </c>
      <c r="M233" s="1121" t="s">
        <v>2672</v>
      </c>
      <c r="N233" s="1121" t="s">
        <v>140</v>
      </c>
      <c r="O233" s="1121" t="s">
        <v>145</v>
      </c>
      <c r="P233" s="1121"/>
      <c r="Q233" s="1121">
        <v>0</v>
      </c>
      <c r="R233" s="289">
        <v>0</v>
      </c>
      <c r="S233" s="292"/>
      <c r="T233" s="1121">
        <v>35</v>
      </c>
      <c r="U233" s="1121">
        <v>15</v>
      </c>
      <c r="V233" s="1121"/>
      <c r="W233" s="1121">
        <v>1.4</v>
      </c>
      <c r="X233" s="1121">
        <v>2.2999999999999998</v>
      </c>
      <c r="Y233" s="1121"/>
      <c r="Z233" s="1121">
        <v>0.6</v>
      </c>
      <c r="AA233" s="1121"/>
      <c r="AB233" s="1121"/>
      <c r="AC233" s="1121"/>
      <c r="AD233" s="1121" t="s">
        <v>1704</v>
      </c>
      <c r="AE233" s="1121"/>
      <c r="AF233" s="1121">
        <v>6000</v>
      </c>
      <c r="AG233" s="288">
        <v>16613.91</v>
      </c>
      <c r="AH233" s="1121">
        <v>2515</v>
      </c>
      <c r="AI233" s="289">
        <v>599</v>
      </c>
      <c r="AJ233" s="1121"/>
      <c r="AK233" s="1121"/>
      <c r="AL233" s="1121"/>
      <c r="AM233" s="1121" t="s">
        <v>1228</v>
      </c>
      <c r="AN233" s="315">
        <v>5.5</v>
      </c>
      <c r="AO233" s="315"/>
      <c r="AP233" s="315"/>
      <c r="AQ233" s="315"/>
      <c r="AR233" s="315"/>
      <c r="AS233" s="315"/>
      <c r="AT233" s="315">
        <f>+ab($U$233,$T$231,$U$235,$G$232,$G$234,-1*$F$233,1200)</f>
        <v>13.396079778223331</v>
      </c>
      <c r="AU233" s="315"/>
      <c r="AV233" s="315"/>
      <c r="AW233" s="315" t="s">
        <v>2631</v>
      </c>
      <c r="AX233" s="315" t="s">
        <v>1639</v>
      </c>
      <c r="AY233" s="315">
        <v>3.4</v>
      </c>
      <c r="AZ233" s="315"/>
      <c r="BA233" s="315"/>
      <c r="BB233" s="306"/>
      <c r="BC233" s="307"/>
      <c r="BE233" s="298"/>
    </row>
    <row r="234" spans="1:57" ht="14.25">
      <c r="A234" s="340"/>
      <c r="B234" s="340"/>
      <c r="C234" s="288"/>
      <c r="D234" s="1121"/>
      <c r="E234" s="1121"/>
      <c r="F234" s="289"/>
      <c r="G234" s="292">
        <v>64</v>
      </c>
      <c r="H234" s="291"/>
      <c r="I234" s="294"/>
      <c r="J234" s="288"/>
      <c r="K234" s="1121"/>
      <c r="L234" s="1121"/>
      <c r="M234" s="1121"/>
      <c r="N234" s="1121"/>
      <c r="O234" s="1121"/>
      <c r="P234" s="1121"/>
      <c r="Q234" s="1121"/>
      <c r="R234" s="292"/>
      <c r="S234" s="292">
        <f t="shared" si="75"/>
        <v>64.040000000000873</v>
      </c>
      <c r="T234" s="1121"/>
      <c r="U234" s="1121"/>
      <c r="V234" s="1121"/>
      <c r="W234" s="1121"/>
      <c r="X234" s="1121"/>
      <c r="Y234" s="1121"/>
      <c r="Z234" s="1121"/>
      <c r="AA234" s="1121"/>
      <c r="AB234" s="1121"/>
      <c r="AC234" s="1121"/>
      <c r="AD234" s="1121"/>
      <c r="AE234" s="1121"/>
      <c r="AF234" s="1121"/>
      <c r="AG234" s="288"/>
      <c r="AH234" s="1121"/>
      <c r="AI234" s="289"/>
      <c r="AJ234" s="1121"/>
      <c r="AK234" s="1121"/>
      <c r="AL234" s="1121"/>
      <c r="AM234" s="1121"/>
      <c r="AN234" s="315"/>
      <c r="AO234" s="315"/>
      <c r="AP234" s="315"/>
      <c r="AQ234" s="315">
        <f>+FL_1($T$235,$U$233,$G$234,1200,9.28,-1*$F$235)</f>
        <v>0.41015312466666665</v>
      </c>
      <c r="AR234" s="315"/>
      <c r="AS234" s="315"/>
      <c r="AT234" s="315"/>
      <c r="AU234" s="315"/>
      <c r="AV234" s="315"/>
      <c r="AW234" s="315"/>
      <c r="AX234" s="315"/>
      <c r="AY234" s="315"/>
      <c r="AZ234" s="315"/>
      <c r="BA234" s="315"/>
      <c r="BB234" s="306"/>
      <c r="BC234" s="307"/>
      <c r="BE234" s="298"/>
    </row>
    <row r="235" spans="1:57" ht="14.25">
      <c r="A235" s="340"/>
      <c r="B235" s="340" t="s">
        <v>2150</v>
      </c>
      <c r="C235" s="288">
        <f>+$C$233+$G$234</f>
        <v>16678</v>
      </c>
      <c r="D235" s="1121"/>
      <c r="E235" s="1121"/>
      <c r="F235" s="289">
        <v>0</v>
      </c>
      <c r="G235" s="292"/>
      <c r="H235" s="291" t="s">
        <v>651</v>
      </c>
      <c r="I235" s="294"/>
      <c r="J235" s="288"/>
      <c r="K235" s="1121"/>
      <c r="L235" s="1121" t="s">
        <v>231</v>
      </c>
      <c r="M235" s="1121" t="s">
        <v>2672</v>
      </c>
      <c r="N235" s="1121" t="s">
        <v>144</v>
      </c>
      <c r="O235" s="1121" t="s">
        <v>140</v>
      </c>
      <c r="P235" s="1121"/>
      <c r="Q235" s="1121">
        <v>0</v>
      </c>
      <c r="R235" s="289">
        <v>0</v>
      </c>
      <c r="S235" s="292"/>
      <c r="T235" s="1121">
        <v>-15</v>
      </c>
      <c r="U235" s="1121">
        <v>-35</v>
      </c>
      <c r="V235" s="1121"/>
      <c r="W235" s="1121">
        <v>1.4</v>
      </c>
      <c r="X235" s="1121">
        <v>2.2999999999999998</v>
      </c>
      <c r="Y235" s="1121"/>
      <c r="Z235" s="1121"/>
      <c r="AA235" s="1121">
        <v>0.6</v>
      </c>
      <c r="AB235" s="1121"/>
      <c r="AC235" s="1121" t="s">
        <v>1704</v>
      </c>
      <c r="AD235" s="1121"/>
      <c r="AE235" s="1121"/>
      <c r="AF235" s="1121">
        <v>6000</v>
      </c>
      <c r="AG235" s="288">
        <v>16677.95</v>
      </c>
      <c r="AH235" s="1121">
        <v>2630</v>
      </c>
      <c r="AI235" s="289">
        <v>617</v>
      </c>
      <c r="AJ235" s="1121"/>
      <c r="AK235" s="1121"/>
      <c r="AL235" s="1121"/>
      <c r="AM235" s="1121" t="s">
        <v>1228</v>
      </c>
      <c r="AN235" s="315">
        <v>5.5</v>
      </c>
      <c r="AO235" s="315"/>
      <c r="AP235" s="315"/>
      <c r="AQ235" s="315"/>
      <c r="AR235" s="315"/>
      <c r="AS235" s="315"/>
      <c r="AT235" s="315">
        <f>+ab($T$235,$T$233,$T$237,$G$234,$G$236,-1*$F$235,1200)</f>
        <v>-13.396197317412982</v>
      </c>
      <c r="AU235" s="315"/>
      <c r="AV235" s="315"/>
      <c r="AW235" s="315" t="s">
        <v>2631</v>
      </c>
      <c r="AX235" s="315" t="s">
        <v>1639</v>
      </c>
      <c r="AY235" s="315">
        <v>3.4</v>
      </c>
      <c r="AZ235" s="315"/>
      <c r="BA235" s="315"/>
      <c r="BB235" s="306"/>
      <c r="BC235" s="307"/>
      <c r="BE235" s="298"/>
    </row>
    <row r="236" spans="1:57" ht="14.25">
      <c r="A236" s="340"/>
      <c r="B236" s="340"/>
      <c r="C236" s="288"/>
      <c r="D236" s="1121"/>
      <c r="E236" s="1121"/>
      <c r="F236" s="289"/>
      <c r="G236" s="292">
        <v>64</v>
      </c>
      <c r="H236" s="291"/>
      <c r="I236" s="294"/>
      <c r="J236" s="288"/>
      <c r="K236" s="1121"/>
      <c r="L236" s="1121"/>
      <c r="M236" s="1121"/>
      <c r="N236" s="1121"/>
      <c r="O236" s="1121"/>
      <c r="P236" s="1121"/>
      <c r="Q236" s="1121"/>
      <c r="R236" s="292"/>
      <c r="S236" s="292">
        <f t="shared" si="75"/>
        <v>64.069999999999709</v>
      </c>
      <c r="T236" s="1121"/>
      <c r="U236" s="1121"/>
      <c r="V236" s="1121"/>
      <c r="W236" s="1121"/>
      <c r="X236" s="1121"/>
      <c r="Y236" s="1121"/>
      <c r="Z236" s="1121"/>
      <c r="AA236" s="1121"/>
      <c r="AB236" s="1121"/>
      <c r="AC236" s="1121"/>
      <c r="AD236" s="1121"/>
      <c r="AE236" s="1121"/>
      <c r="AF236" s="1121"/>
      <c r="AG236" s="288"/>
      <c r="AH236" s="1121"/>
      <c r="AI236" s="289"/>
      <c r="AJ236" s="1121"/>
      <c r="AK236" s="1121"/>
      <c r="AL236" s="1121"/>
      <c r="AM236" s="1121"/>
      <c r="AN236" s="315"/>
      <c r="AO236" s="315"/>
      <c r="AP236" s="315"/>
      <c r="AQ236" s="315">
        <f>+FL_1($T$237,$T$235,$G$236,1200,9.28,-1*$F$237)</f>
        <v>0.47120259199999998</v>
      </c>
      <c r="AR236" s="315"/>
      <c r="AS236" s="315"/>
      <c r="AT236" s="315"/>
      <c r="AU236" s="315"/>
      <c r="AV236" s="315"/>
      <c r="AW236" s="315"/>
      <c r="AX236" s="315"/>
      <c r="AY236" s="315"/>
      <c r="AZ236" s="315"/>
      <c r="BA236" s="315"/>
      <c r="BB236" s="306"/>
      <c r="BC236" s="307"/>
      <c r="BE236" s="298"/>
    </row>
    <row r="237" spans="1:57" ht="14.25">
      <c r="A237" s="340"/>
      <c r="B237" s="340" t="s">
        <v>2151</v>
      </c>
      <c r="C237" s="288">
        <f>+$C$235+$G$236</f>
        <v>16742</v>
      </c>
      <c r="D237" s="1121"/>
      <c r="E237" s="1121"/>
      <c r="F237" s="289">
        <v>0</v>
      </c>
      <c r="G237" s="292"/>
      <c r="H237" s="291" t="s">
        <v>138</v>
      </c>
      <c r="I237" s="294" t="s">
        <v>656</v>
      </c>
      <c r="J237" s="288"/>
      <c r="K237" s="1121"/>
      <c r="L237" s="1121" t="s">
        <v>1061</v>
      </c>
      <c r="M237" s="1121" t="s">
        <v>2672</v>
      </c>
      <c r="N237" s="1121" t="s">
        <v>145</v>
      </c>
      <c r="O237" s="1121"/>
      <c r="P237" s="1121"/>
      <c r="Q237" s="1121">
        <v>0</v>
      </c>
      <c r="R237" s="289">
        <v>0</v>
      </c>
      <c r="S237" s="292"/>
      <c r="T237" s="1121">
        <v>25</v>
      </c>
      <c r="U237" s="1121"/>
      <c r="V237" s="1121"/>
      <c r="W237" s="1121">
        <v>1.4</v>
      </c>
      <c r="X237" s="1121"/>
      <c r="Y237" s="1121"/>
      <c r="Z237" s="1121"/>
      <c r="AA237" s="1121"/>
      <c r="AB237" s="1121"/>
      <c r="AC237" s="1121" t="s">
        <v>1704</v>
      </c>
      <c r="AD237" s="1121"/>
      <c r="AE237" s="1121"/>
      <c r="AF237" s="1121">
        <v>6000</v>
      </c>
      <c r="AG237" s="288">
        <v>16742.02</v>
      </c>
      <c r="AH237" s="1121">
        <v>2609</v>
      </c>
      <c r="AI237" s="289">
        <v>562</v>
      </c>
      <c r="AJ237" s="1121"/>
      <c r="AK237" s="1121"/>
      <c r="AL237" s="1121"/>
      <c r="AM237" s="1121" t="s">
        <v>1228</v>
      </c>
      <c r="AN237" s="315">
        <v>5.5</v>
      </c>
      <c r="AO237" s="315"/>
      <c r="AP237" s="315"/>
      <c r="AQ237" s="315"/>
      <c r="AR237" s="315"/>
      <c r="AS237" s="315"/>
      <c r="AT237" s="315">
        <f>+ab($T$237,$T$235,$T$239,$G$236,$G$238,-1*$F$237,1200)</f>
        <v>12.137952887788551</v>
      </c>
      <c r="AU237" s="315"/>
      <c r="AV237" s="315"/>
      <c r="AW237" s="315" t="s">
        <v>2631</v>
      </c>
      <c r="AX237" s="315" t="s">
        <v>1639</v>
      </c>
      <c r="AY237" s="315">
        <v>3.4</v>
      </c>
      <c r="AZ237" s="315"/>
      <c r="BA237" s="315"/>
      <c r="BB237" s="306"/>
      <c r="BC237" s="307"/>
      <c r="BE237" s="298"/>
    </row>
    <row r="238" spans="1:57" ht="14.25">
      <c r="A238" s="340"/>
      <c r="B238" s="340"/>
      <c r="C238" s="288"/>
      <c r="D238" s="1121"/>
      <c r="E238" s="1121"/>
      <c r="F238" s="289"/>
      <c r="G238" s="292">
        <v>59</v>
      </c>
      <c r="H238" s="291"/>
      <c r="I238" s="291"/>
      <c r="J238" s="288">
        <f>C237+7.5</f>
        <v>16749.5</v>
      </c>
      <c r="K238" s="1121" t="s">
        <v>653</v>
      </c>
      <c r="L238" s="1121"/>
      <c r="M238" s="1121"/>
      <c r="N238" s="1121"/>
      <c r="O238" s="1121"/>
      <c r="P238" s="1121"/>
      <c r="Q238" s="1121"/>
      <c r="R238" s="292"/>
      <c r="S238" s="292">
        <f t="shared" si="75"/>
        <v>59.029999999998836</v>
      </c>
      <c r="T238" s="1121"/>
      <c r="U238" s="1121"/>
      <c r="V238" s="1121"/>
      <c r="W238" s="1121"/>
      <c r="X238" s="1121"/>
      <c r="Y238" s="1121"/>
      <c r="Z238" s="1121"/>
      <c r="AA238" s="1121"/>
      <c r="AB238" s="1121"/>
      <c r="AC238" s="1121"/>
      <c r="AD238" s="1121"/>
      <c r="AE238" s="1121"/>
      <c r="AF238" s="1121"/>
      <c r="AG238" s="288"/>
      <c r="AH238" s="1121"/>
      <c r="AI238" s="289"/>
      <c r="AJ238" s="1121"/>
      <c r="AK238" s="1121"/>
      <c r="AL238" s="1121"/>
      <c r="AM238" s="1121"/>
      <c r="AN238" s="315"/>
      <c r="AO238" s="315"/>
      <c r="AP238" s="315"/>
      <c r="AQ238" s="315">
        <f>+FL_2($T$239,$T$237,$G$238,1200,9.28,-1*$F$239)</f>
        <v>-0.45004468138757653</v>
      </c>
      <c r="AR238" s="315"/>
      <c r="AS238" s="315"/>
      <c r="AT238" s="315"/>
      <c r="AU238" s="315"/>
      <c r="AV238" s="315"/>
      <c r="AW238" s="315" t="s">
        <v>2631</v>
      </c>
      <c r="AX238" s="315" t="s">
        <v>1639</v>
      </c>
      <c r="AY238" s="315"/>
      <c r="AZ238" s="315">
        <v>2.5</v>
      </c>
      <c r="BA238" s="315"/>
      <c r="BB238" s="306"/>
      <c r="BC238" s="307"/>
      <c r="BE238" s="298"/>
    </row>
    <row r="239" spans="1:57" ht="14.25">
      <c r="A239" s="340"/>
      <c r="B239" s="340" t="s">
        <v>2152</v>
      </c>
      <c r="C239" s="288">
        <f>+$C$237+$G$238</f>
        <v>16801</v>
      </c>
      <c r="D239" s="1121"/>
      <c r="E239" s="1121"/>
      <c r="F239" s="289">
        <f>150*-1600/(C239-16780)</f>
        <v>-11428.571428571429</v>
      </c>
      <c r="G239" s="292"/>
      <c r="H239" s="291"/>
      <c r="I239" s="294"/>
      <c r="J239" s="288"/>
      <c r="K239" s="1121"/>
      <c r="L239" s="1121" t="s">
        <v>230</v>
      </c>
      <c r="M239" s="1121" t="s">
        <v>2671</v>
      </c>
      <c r="N239" s="1121" t="s">
        <v>144</v>
      </c>
      <c r="O239" s="1121"/>
      <c r="P239" s="1121"/>
      <c r="Q239" s="1121">
        <v>13</v>
      </c>
      <c r="R239" s="292">
        <v>-12600</v>
      </c>
      <c r="S239" s="292"/>
      <c r="T239" s="1121">
        <v>-30</v>
      </c>
      <c r="U239" s="1121"/>
      <c r="V239" s="1121"/>
      <c r="W239" s="1121">
        <v>1.4</v>
      </c>
      <c r="X239" s="1121"/>
      <c r="Y239" s="1121"/>
      <c r="Z239" s="1121"/>
      <c r="AA239" s="1121"/>
      <c r="AB239" s="1121"/>
      <c r="AC239" s="1121" t="s">
        <v>1704</v>
      </c>
      <c r="AD239" s="1121"/>
      <c r="AE239" s="1121"/>
      <c r="AF239" s="1121">
        <v>6000</v>
      </c>
      <c r="AG239" s="288">
        <v>16801.05</v>
      </c>
      <c r="AH239" s="1121">
        <v>2576</v>
      </c>
      <c r="AI239" s="289">
        <v>544</v>
      </c>
      <c r="AJ239" s="1121"/>
      <c r="AK239" s="1121"/>
      <c r="AL239" s="1121"/>
      <c r="AM239" s="1121" t="s">
        <v>1228</v>
      </c>
      <c r="AN239" s="315">
        <v>5.5</v>
      </c>
      <c r="AO239" s="315"/>
      <c r="AP239" s="315"/>
      <c r="AQ239" s="315"/>
      <c r="AR239" s="315"/>
      <c r="AS239" s="315"/>
      <c r="AT239" s="315">
        <f>+ab($T$239,$T$237,$T$241,$G$238,$G$240,-1*$F$239,1200)</f>
        <v>-13.797847054400572</v>
      </c>
      <c r="AU239" s="315"/>
      <c r="AV239" s="315"/>
      <c r="AW239" s="315" t="s">
        <v>2631</v>
      </c>
      <c r="AX239" s="315" t="s">
        <v>1639</v>
      </c>
      <c r="AY239" s="315">
        <v>3.4</v>
      </c>
      <c r="AZ239" s="315"/>
      <c r="BA239" s="315"/>
      <c r="BB239" s="306"/>
      <c r="BC239" s="307"/>
      <c r="BE239" s="298"/>
    </row>
    <row r="240" spans="1:57" ht="14.25">
      <c r="A240" s="340"/>
      <c r="B240" s="340"/>
      <c r="C240" s="288"/>
      <c r="D240" s="1121"/>
      <c r="E240" s="1121"/>
      <c r="F240" s="289"/>
      <c r="G240" s="292">
        <v>54</v>
      </c>
      <c r="H240" s="291"/>
      <c r="I240" s="294"/>
      <c r="J240" s="288"/>
      <c r="K240" s="1121"/>
      <c r="L240" s="1121"/>
      <c r="M240" s="1121"/>
      <c r="N240" s="1121"/>
      <c r="O240" s="1121"/>
      <c r="P240" s="1121"/>
      <c r="Q240" s="1121"/>
      <c r="R240" s="292"/>
      <c r="S240" s="292">
        <f t="shared" si="75"/>
        <v>53.940000000002328</v>
      </c>
      <c r="T240" s="1121"/>
      <c r="U240" s="1121"/>
      <c r="V240" s="1121"/>
      <c r="W240" s="1121"/>
      <c r="X240" s="1121"/>
      <c r="Y240" s="1121"/>
      <c r="Z240" s="1121"/>
      <c r="AA240" s="1121"/>
      <c r="AB240" s="1121"/>
      <c r="AC240" s="1121"/>
      <c r="AD240" s="1121"/>
      <c r="AE240" s="1121"/>
      <c r="AF240" s="1121"/>
      <c r="AG240" s="288"/>
      <c r="AH240" s="1121"/>
      <c r="AI240" s="289"/>
      <c r="AJ240" s="1121"/>
      <c r="AK240" s="1121"/>
      <c r="AL240" s="1121"/>
      <c r="AM240" s="1121"/>
      <c r="AN240" s="315"/>
      <c r="AO240" s="315"/>
      <c r="AP240" s="315"/>
      <c r="AQ240" s="315">
        <f>+FL_2($T$241,$T$239,$G$240,1200,9.28,-1*$F$241)</f>
        <v>-0.48526626904078585</v>
      </c>
      <c r="AR240" s="315"/>
      <c r="AS240" s="315"/>
      <c r="AT240" s="315"/>
      <c r="AU240" s="315"/>
      <c r="AV240" s="315"/>
      <c r="AW240" s="315"/>
      <c r="AX240" s="315"/>
      <c r="AY240" s="315"/>
      <c r="AZ240" s="315"/>
      <c r="BA240" s="315"/>
      <c r="BB240" s="306"/>
      <c r="BC240" s="307"/>
      <c r="BE240" s="298"/>
    </row>
    <row r="241" spans="1:57" ht="14.25">
      <c r="A241" s="340"/>
      <c r="B241" s="340" t="s">
        <v>2153</v>
      </c>
      <c r="C241" s="288">
        <f>+$C$239+$G$240</f>
        <v>16855</v>
      </c>
      <c r="D241" s="1121"/>
      <c r="E241" s="1121"/>
      <c r="F241" s="289">
        <f t="shared" ref="F241" si="76">150*-1600/(C241-16780)</f>
        <v>-3200</v>
      </c>
      <c r="G241" s="292"/>
      <c r="H241" s="291"/>
      <c r="I241" s="294"/>
      <c r="J241" s="288"/>
      <c r="K241" s="1121"/>
      <c r="L241" s="1121" t="s">
        <v>230</v>
      </c>
      <c r="M241" s="1121" t="s">
        <v>2671</v>
      </c>
      <c r="N241" s="1121" t="s">
        <v>145</v>
      </c>
      <c r="O241" s="1121"/>
      <c r="P241" s="1121"/>
      <c r="Q241" s="1121">
        <v>50</v>
      </c>
      <c r="R241" s="292">
        <v>-3797</v>
      </c>
      <c r="S241" s="292"/>
      <c r="T241" s="1121">
        <v>20</v>
      </c>
      <c r="U241" s="1121"/>
      <c r="V241" s="1121"/>
      <c r="W241" s="1121">
        <v>1.4</v>
      </c>
      <c r="X241" s="1121"/>
      <c r="Y241" s="1121"/>
      <c r="Z241" s="1121"/>
      <c r="AA241" s="1121"/>
      <c r="AB241" s="1121"/>
      <c r="AC241" s="1121" t="s">
        <v>1704</v>
      </c>
      <c r="AD241" s="1121"/>
      <c r="AE241" s="1121"/>
      <c r="AF241" s="1121">
        <v>6000</v>
      </c>
      <c r="AG241" s="288">
        <v>16854.990000000002</v>
      </c>
      <c r="AH241" s="1121">
        <v>2479</v>
      </c>
      <c r="AI241" s="289">
        <v>599</v>
      </c>
      <c r="AJ241" s="1121"/>
      <c r="AK241" s="1121"/>
      <c r="AL241" s="1121"/>
      <c r="AM241" s="1121" t="s">
        <v>1228</v>
      </c>
      <c r="AN241" s="315">
        <v>5.5</v>
      </c>
      <c r="AO241" s="315"/>
      <c r="AP241" s="315"/>
      <c r="AQ241" s="315"/>
      <c r="AR241" s="315"/>
      <c r="AS241" s="315"/>
      <c r="AT241" s="315">
        <f>+ab($T$241,$T$239,$T$243,$G$240,$G$242,-1*$F$241,1200)</f>
        <v>7.9774713183493775</v>
      </c>
      <c r="AU241" s="315"/>
      <c r="AV241" s="315"/>
      <c r="AW241" s="315" t="s">
        <v>2631</v>
      </c>
      <c r="AX241" s="315" t="s">
        <v>1639</v>
      </c>
      <c r="AY241" s="315">
        <v>3.4</v>
      </c>
      <c r="AZ241" s="315"/>
      <c r="BA241" s="315"/>
      <c r="BB241" s="306"/>
      <c r="BE241" s="298"/>
    </row>
    <row r="242" spans="1:57" ht="14.25">
      <c r="A242" s="340"/>
      <c r="B242" s="340"/>
      <c r="C242" s="288"/>
      <c r="D242" s="1121"/>
      <c r="E242" s="1121"/>
      <c r="F242" s="289"/>
      <c r="G242" s="292">
        <v>52</v>
      </c>
      <c r="H242" s="291"/>
      <c r="I242" s="294"/>
      <c r="J242" s="288"/>
      <c r="K242" s="1121"/>
      <c r="L242" s="1121"/>
      <c r="M242" s="1121"/>
      <c r="N242" s="1121"/>
      <c r="O242" s="1121"/>
      <c r="P242" s="1121"/>
      <c r="Q242" s="1121"/>
      <c r="R242" s="292"/>
      <c r="S242" s="292">
        <f t="shared" si="75"/>
        <v>51.94999999999709</v>
      </c>
      <c r="T242" s="1121"/>
      <c r="U242" s="1121"/>
      <c r="V242" s="1121"/>
      <c r="W242" s="1121"/>
      <c r="X242" s="1121"/>
      <c r="Y242" s="1121"/>
      <c r="Z242" s="1121"/>
      <c r="AA242" s="1121"/>
      <c r="AB242" s="1121"/>
      <c r="AC242" s="1121"/>
      <c r="AD242" s="1121"/>
      <c r="AE242" s="1121"/>
      <c r="AF242" s="1121"/>
      <c r="AG242" s="288"/>
      <c r="AH242" s="1121"/>
      <c r="AI242" s="289"/>
      <c r="AJ242" s="1121"/>
      <c r="AK242" s="1121"/>
      <c r="AL242" s="1121"/>
      <c r="AM242" s="1121"/>
      <c r="AN242" s="315"/>
      <c r="AO242" s="315"/>
      <c r="AP242" s="315"/>
      <c r="AQ242" s="315">
        <f>+FL_1($T$243,$T$241,$G$242,1200,9.28,-1*$F$243)</f>
        <v>0.34009450698778221</v>
      </c>
      <c r="AR242" s="315"/>
      <c r="AS242" s="315"/>
      <c r="AT242" s="315"/>
      <c r="AU242" s="315"/>
      <c r="AV242" s="315"/>
      <c r="AW242" s="315"/>
      <c r="AX242" s="315"/>
      <c r="AY242" s="315"/>
      <c r="AZ242" s="315"/>
      <c r="BA242" s="315"/>
      <c r="BB242" s="306"/>
      <c r="BE242" s="298"/>
    </row>
    <row r="243" spans="1:57" ht="14.25">
      <c r="A243" s="340"/>
      <c r="B243" s="340" t="s">
        <v>2154</v>
      </c>
      <c r="C243" s="288">
        <f>+$C$241+$G$242</f>
        <v>16907</v>
      </c>
      <c r="D243" s="1121"/>
      <c r="E243" s="1121"/>
      <c r="F243" s="289">
        <f t="shared" ref="F243" si="77">150*-1600/(C243-16780)</f>
        <v>-1889.7637795275591</v>
      </c>
      <c r="G243" s="292"/>
      <c r="H243" s="291"/>
      <c r="I243" s="294"/>
      <c r="J243" s="288"/>
      <c r="K243" s="1121"/>
      <c r="L243" s="1121" t="s">
        <v>231</v>
      </c>
      <c r="M243" s="1121" t="s">
        <v>2672</v>
      </c>
      <c r="N243" s="1121" t="s">
        <v>145</v>
      </c>
      <c r="O243" s="1121"/>
      <c r="P243" s="1121"/>
      <c r="Q243" s="1121">
        <v>87</v>
      </c>
      <c r="R243" s="292">
        <v>-1720</v>
      </c>
      <c r="S243" s="292"/>
      <c r="T243" s="1121">
        <v>30</v>
      </c>
      <c r="U243" s="1121"/>
      <c r="V243" s="1121"/>
      <c r="W243" s="1121">
        <v>1.4</v>
      </c>
      <c r="X243" s="1121"/>
      <c r="Y243" s="1121"/>
      <c r="Z243" s="1121"/>
      <c r="AA243" s="1121"/>
      <c r="AB243" s="1121"/>
      <c r="AC243" s="1121" t="s">
        <v>2963</v>
      </c>
      <c r="AD243" s="1121"/>
      <c r="AE243" s="1121"/>
      <c r="AF243" s="1121">
        <v>6000</v>
      </c>
      <c r="AG243" s="288">
        <v>16906.939999999999</v>
      </c>
      <c r="AH243" s="1121">
        <v>2554</v>
      </c>
      <c r="AI243" s="289">
        <v>636</v>
      </c>
      <c r="AJ243" s="1121"/>
      <c r="AK243" s="1121"/>
      <c r="AL243" s="1121"/>
      <c r="AM243" s="1121" t="s">
        <v>1228</v>
      </c>
      <c r="AN243" s="315">
        <v>5.5</v>
      </c>
      <c r="AO243" s="315"/>
      <c r="AP243" s="315"/>
      <c r="AQ243" s="315"/>
      <c r="AR243" s="315"/>
      <c r="AS243" s="315"/>
      <c r="AT243" s="315">
        <f>+ab($T$243,$T$241,$T$245,$G$242,$G$244,-1*$F$243,1200)</f>
        <v>6.4902468444334467</v>
      </c>
      <c r="AU243" s="315"/>
      <c r="AV243" s="315"/>
      <c r="AW243" s="315" t="s">
        <v>2631</v>
      </c>
      <c r="AX243" s="315" t="s">
        <v>1639</v>
      </c>
      <c r="AY243" s="315">
        <v>3.4</v>
      </c>
      <c r="AZ243" s="315"/>
      <c r="BA243" s="315"/>
      <c r="BB243" s="306"/>
      <c r="BE243" s="298"/>
    </row>
    <row r="244" spans="1:57" ht="14.25">
      <c r="A244" s="340"/>
      <c r="B244" s="340"/>
      <c r="C244" s="288"/>
      <c r="D244" s="1121"/>
      <c r="E244" s="1121"/>
      <c r="F244" s="289"/>
      <c r="G244" s="292">
        <v>52</v>
      </c>
      <c r="H244" s="1121"/>
      <c r="I244" s="289"/>
      <c r="J244" s="288">
        <f>C245-7.5</f>
        <v>16951.5</v>
      </c>
      <c r="K244" s="1121" t="s">
        <v>658</v>
      </c>
      <c r="L244" s="1121"/>
      <c r="M244" s="1121"/>
      <c r="N244" s="1121"/>
      <c r="O244" s="1121"/>
      <c r="P244" s="1121"/>
      <c r="Q244" s="1121"/>
      <c r="R244" s="292"/>
      <c r="S244" s="292">
        <f t="shared" si="75"/>
        <v>52.06000000000131</v>
      </c>
      <c r="T244" s="1121"/>
      <c r="U244" s="1121"/>
      <c r="V244" s="1121"/>
      <c r="W244" s="1121"/>
      <c r="X244" s="1121"/>
      <c r="Y244" s="1121"/>
      <c r="Z244" s="1121"/>
      <c r="AA244" s="1121"/>
      <c r="AB244" s="1121"/>
      <c r="AC244" s="1121"/>
      <c r="AD244" s="1121"/>
      <c r="AE244" s="1121"/>
      <c r="AF244" s="1121"/>
      <c r="AG244" s="288"/>
      <c r="AH244" s="1121"/>
      <c r="AI244" s="289"/>
      <c r="AJ244" s="1121"/>
      <c r="AK244" s="1121"/>
      <c r="AL244" s="1121"/>
      <c r="AM244" s="1121"/>
      <c r="AN244" s="315"/>
      <c r="AO244" s="315"/>
      <c r="AP244" s="315"/>
      <c r="AQ244" s="315">
        <f>+FL_1($T$245,$T$243,$G$244,1200,9.28,-1*$F$245)</f>
        <v>0.32758442887771644</v>
      </c>
      <c r="AR244" s="315"/>
      <c r="AS244" s="315"/>
      <c r="AT244" s="315"/>
      <c r="AU244" s="315"/>
      <c r="AV244" s="315"/>
      <c r="AW244" s="315" t="s">
        <v>2631</v>
      </c>
      <c r="AX244" s="315" t="s">
        <v>1639</v>
      </c>
      <c r="AY244" s="315"/>
      <c r="AZ244" s="315">
        <v>2.5</v>
      </c>
      <c r="BA244" s="315"/>
      <c r="BB244" s="306"/>
      <c r="BE244" s="298"/>
    </row>
    <row r="245" spans="1:57" ht="14.25">
      <c r="A245" s="340"/>
      <c r="B245" s="340" t="s">
        <v>2155</v>
      </c>
      <c r="C245" s="288">
        <f>+$C$243+$G$244</f>
        <v>16959</v>
      </c>
      <c r="D245" s="1121"/>
      <c r="E245" s="1121"/>
      <c r="F245" s="289">
        <f>150*-1600/-(C245-17125)</f>
        <v>-1445.7831325301204</v>
      </c>
      <c r="G245" s="292"/>
      <c r="H245" s="291" t="s">
        <v>954</v>
      </c>
      <c r="I245" s="291"/>
      <c r="J245" s="288"/>
      <c r="K245" s="1121"/>
      <c r="L245" s="1121" t="s">
        <v>231</v>
      </c>
      <c r="M245" s="1121" t="s">
        <v>2672</v>
      </c>
      <c r="N245" s="1121" t="s">
        <v>145</v>
      </c>
      <c r="O245" s="1121"/>
      <c r="P245" s="1121"/>
      <c r="Q245" s="1121">
        <v>103</v>
      </c>
      <c r="R245" s="292">
        <v>-1600</v>
      </c>
      <c r="S245" s="292"/>
      <c r="T245" s="1121">
        <v>30</v>
      </c>
      <c r="U245" s="1121"/>
      <c r="V245" s="1121"/>
      <c r="W245" s="1121">
        <v>1.4</v>
      </c>
      <c r="X245" s="1121"/>
      <c r="Y245" s="1121"/>
      <c r="Z245" s="1121"/>
      <c r="AA245" s="1121"/>
      <c r="AB245" s="1121"/>
      <c r="AC245" s="1121" t="s">
        <v>2963</v>
      </c>
      <c r="AD245" s="1121"/>
      <c r="AE245" s="1121"/>
      <c r="AF245" s="1121">
        <v>6000</v>
      </c>
      <c r="AG245" s="288">
        <v>16959</v>
      </c>
      <c r="AH245" s="1121">
        <v>2648</v>
      </c>
      <c r="AI245" s="289">
        <v>599</v>
      </c>
      <c r="AJ245" s="1121"/>
      <c r="AK245" s="1121"/>
      <c r="AL245" s="1121"/>
      <c r="AM245" s="1121" t="s">
        <v>1228</v>
      </c>
      <c r="AN245" s="315">
        <v>5.5</v>
      </c>
      <c r="AO245" s="315"/>
      <c r="AP245" s="315"/>
      <c r="AQ245" s="315"/>
      <c r="AR245" s="315"/>
      <c r="AS245" s="315"/>
      <c r="AT245" s="315">
        <f>+ab($T$245,$T$243,$T$247,$G$244,$G$246,-1*$F$245,1200)</f>
        <v>5.1239844170167439</v>
      </c>
      <c r="AU245" s="315"/>
      <c r="AV245" s="315"/>
      <c r="AW245" s="315" t="s">
        <v>2631</v>
      </c>
      <c r="AX245" s="315" t="s">
        <v>1639</v>
      </c>
      <c r="AY245" s="315">
        <v>3.4</v>
      </c>
      <c r="AZ245" s="315"/>
      <c r="BA245" s="315"/>
      <c r="BB245" s="306"/>
      <c r="BE245" s="298"/>
    </row>
    <row r="246" spans="1:57" ht="14.25">
      <c r="A246" s="340"/>
      <c r="B246" s="340"/>
      <c r="C246" s="288"/>
      <c r="D246" s="1121"/>
      <c r="E246" s="1121"/>
      <c r="F246" s="289"/>
      <c r="G246" s="292">
        <v>56</v>
      </c>
      <c r="H246" s="291"/>
      <c r="I246" s="294">
        <f>SUM(G232:G246)</f>
        <v>465</v>
      </c>
      <c r="J246" s="288"/>
      <c r="K246" s="1121"/>
      <c r="L246" s="1121"/>
      <c r="M246" s="1121"/>
      <c r="N246" s="1121"/>
      <c r="O246" s="1121"/>
      <c r="P246" s="1121"/>
      <c r="Q246" s="1121"/>
      <c r="R246" s="292"/>
      <c r="S246" s="292">
        <f t="shared" si="75"/>
        <v>56.040000000000873</v>
      </c>
      <c r="T246" s="1121"/>
      <c r="U246" s="1121"/>
      <c r="V246" s="1121"/>
      <c r="W246" s="1121"/>
      <c r="X246" s="1121"/>
      <c r="Y246" s="1121"/>
      <c r="Z246" s="1121"/>
      <c r="AA246" s="1121"/>
      <c r="AB246" s="1121"/>
      <c r="AC246" s="1121"/>
      <c r="AD246" s="1121"/>
      <c r="AE246" s="1121"/>
      <c r="AF246" s="1121"/>
      <c r="AG246" s="288"/>
      <c r="AH246" s="1121"/>
      <c r="AI246" s="289"/>
      <c r="AJ246" s="1121"/>
      <c r="AK246" s="1121"/>
      <c r="AL246" s="1121"/>
      <c r="AM246" s="1121"/>
      <c r="AN246" s="315"/>
      <c r="AO246" s="315"/>
      <c r="AP246" s="315"/>
      <c r="AQ246" s="315">
        <f>+FL_1($T$247,$T$245,$G$246,1200,9.28,-1*$F$247)</f>
        <v>0.42347260186519187</v>
      </c>
      <c r="AR246" s="315"/>
      <c r="AS246" s="315"/>
      <c r="AT246" s="315"/>
      <c r="AU246" s="315"/>
      <c r="AV246" s="315"/>
      <c r="AW246" s="315"/>
      <c r="AX246" s="315"/>
      <c r="AY246" s="315" t="s">
        <v>695</v>
      </c>
      <c r="AZ246" s="315"/>
      <c r="BA246" s="315"/>
      <c r="BB246" s="306"/>
      <c r="BE246" s="298"/>
    </row>
    <row r="247" spans="1:57" ht="14.25">
      <c r="A247" s="340"/>
      <c r="B247" s="340" t="s">
        <v>2156</v>
      </c>
      <c r="C247" s="288">
        <f>+$C$245+$G$246</f>
        <v>17015</v>
      </c>
      <c r="D247" s="1121"/>
      <c r="E247" s="1121"/>
      <c r="F247" s="289">
        <f t="shared" ref="F247" si="78">150*-1600/-(C247-17125)</f>
        <v>-2181.818181818182</v>
      </c>
      <c r="G247" s="292"/>
      <c r="H247" s="291" t="s">
        <v>955</v>
      </c>
      <c r="I247" s="291"/>
      <c r="J247" s="288"/>
      <c r="K247" s="1121"/>
      <c r="L247" s="1121" t="s">
        <v>231</v>
      </c>
      <c r="M247" s="1121" t="s">
        <v>2672</v>
      </c>
      <c r="N247" s="1121" t="s">
        <v>145</v>
      </c>
      <c r="O247" s="1121"/>
      <c r="P247" s="1121"/>
      <c r="Q247" s="1121">
        <v>76</v>
      </c>
      <c r="R247" s="292">
        <v>-1881</v>
      </c>
      <c r="S247" s="292"/>
      <c r="T247" s="1121">
        <v>30</v>
      </c>
      <c r="U247" s="1121"/>
      <c r="V247" s="1121"/>
      <c r="W247" s="1121">
        <v>1.4</v>
      </c>
      <c r="X247" s="1121"/>
      <c r="Y247" s="1121"/>
      <c r="Z247" s="1121"/>
      <c r="AA247" s="1121"/>
      <c r="AB247" s="1121"/>
      <c r="AC247" s="1121" t="s">
        <v>2963</v>
      </c>
      <c r="AD247" s="1121"/>
      <c r="AE247" s="1121"/>
      <c r="AF247" s="1121">
        <v>6000</v>
      </c>
      <c r="AG247" s="288">
        <v>17015.04</v>
      </c>
      <c r="AH247" s="1121">
        <v>2535</v>
      </c>
      <c r="AI247" s="289">
        <v>610</v>
      </c>
      <c r="AJ247" s="1121"/>
      <c r="AK247" s="1121"/>
      <c r="AL247" s="1121"/>
      <c r="AM247" s="1121" t="s">
        <v>1228</v>
      </c>
      <c r="AN247" s="315">
        <v>5.44</v>
      </c>
      <c r="AO247" s="315"/>
      <c r="AP247" s="315"/>
      <c r="AQ247" s="315"/>
      <c r="AR247" s="315"/>
      <c r="AS247" s="315"/>
      <c r="AT247" s="315">
        <f>+ab($T$247,$T$245,$T$249,$G$246,$G$248,-1*$F$247,1200)</f>
        <v>6.6959545857673346</v>
      </c>
      <c r="AU247" s="315"/>
      <c r="AV247" s="315"/>
      <c r="AW247" s="315" t="s">
        <v>2631</v>
      </c>
      <c r="AX247" s="315" t="s">
        <v>1639</v>
      </c>
      <c r="AY247" s="315">
        <v>3.4</v>
      </c>
      <c r="AZ247" s="315"/>
      <c r="BA247" s="315"/>
      <c r="BB247" s="306"/>
      <c r="BE247" s="298"/>
    </row>
    <row r="248" spans="1:57" ht="14.25">
      <c r="A248" s="340"/>
      <c r="B248" s="340"/>
      <c r="C248" s="288"/>
      <c r="D248" s="1121"/>
      <c r="E248" s="1121"/>
      <c r="F248" s="289"/>
      <c r="G248" s="292">
        <v>57</v>
      </c>
      <c r="H248" s="291"/>
      <c r="I248" s="294">
        <f>SUM(G248:G264)-10</f>
        <v>423</v>
      </c>
      <c r="J248" s="288"/>
      <c r="K248" s="1121"/>
      <c r="L248" s="1121"/>
      <c r="M248" s="1121"/>
      <c r="N248" s="1121"/>
      <c r="O248" s="1121"/>
      <c r="P248" s="1121"/>
      <c r="Q248" s="1121"/>
      <c r="R248" s="292"/>
      <c r="S248" s="292">
        <f t="shared" si="75"/>
        <v>56.989999999997963</v>
      </c>
      <c r="T248" s="1121"/>
      <c r="U248" s="1121"/>
      <c r="V248" s="1121"/>
      <c r="W248" s="1121"/>
      <c r="X248" s="1121"/>
      <c r="Y248" s="1121"/>
      <c r="Z248" s="1121"/>
      <c r="AA248" s="1121"/>
      <c r="AB248" s="1121"/>
      <c r="AC248" s="1121"/>
      <c r="AD248" s="1121"/>
      <c r="AE248" s="1121"/>
      <c r="AF248" s="1121"/>
      <c r="AG248" s="288"/>
      <c r="AH248" s="1121"/>
      <c r="AI248" s="289"/>
      <c r="AJ248" s="1121"/>
      <c r="AK248" s="1121"/>
      <c r="AL248" s="1121"/>
      <c r="AM248" s="1121"/>
      <c r="AN248" s="315"/>
      <c r="AO248" s="315"/>
      <c r="AP248" s="315"/>
      <c r="AQ248" s="315">
        <f>+FL_1($T$249,$T$247,$G$248,1200,9.28,-1*$F$249)</f>
        <v>0.45565037698788191</v>
      </c>
      <c r="AR248" s="315"/>
      <c r="AS248" s="315"/>
      <c r="AT248" s="315"/>
      <c r="AU248" s="315"/>
      <c r="AV248" s="315"/>
      <c r="AW248" s="315"/>
      <c r="AX248" s="315"/>
      <c r="AY248" s="315" t="s">
        <v>695</v>
      </c>
      <c r="AZ248" s="315"/>
      <c r="BA248" s="315"/>
      <c r="BB248" s="306"/>
      <c r="BE248" s="298"/>
    </row>
    <row r="249" spans="1:57" ht="14.25">
      <c r="A249" s="340"/>
      <c r="B249" s="340" t="s">
        <v>2157</v>
      </c>
      <c r="C249" s="288">
        <f>+$C$247+$G$248</f>
        <v>17072</v>
      </c>
      <c r="D249" s="1121"/>
      <c r="E249" s="1121"/>
      <c r="F249" s="289">
        <f t="shared" ref="F249" si="79">150*-1600/-(C249-17125)</f>
        <v>-4528.3018867924529</v>
      </c>
      <c r="G249" s="292"/>
      <c r="H249" s="1121" t="s">
        <v>954</v>
      </c>
      <c r="I249" s="291"/>
      <c r="J249" s="288">
        <f>C249+7.5</f>
        <v>17079.5</v>
      </c>
      <c r="K249" s="1121" t="s">
        <v>658</v>
      </c>
      <c r="L249" s="1121" t="s">
        <v>231</v>
      </c>
      <c r="M249" s="1121" t="s">
        <v>2672</v>
      </c>
      <c r="N249" s="1121" t="s">
        <v>145</v>
      </c>
      <c r="O249" s="1121"/>
      <c r="P249" s="1121"/>
      <c r="Q249" s="1121">
        <v>35</v>
      </c>
      <c r="R249" s="292">
        <v>-3671</v>
      </c>
      <c r="S249" s="292"/>
      <c r="T249" s="1121">
        <v>15</v>
      </c>
      <c r="U249" s="1121"/>
      <c r="V249" s="1121"/>
      <c r="W249" s="1121">
        <v>1.4</v>
      </c>
      <c r="X249" s="1121"/>
      <c r="Y249" s="1121"/>
      <c r="Z249" s="1121"/>
      <c r="AA249" s="1121"/>
      <c r="AB249" s="1121"/>
      <c r="AC249" s="1121" t="s">
        <v>1704</v>
      </c>
      <c r="AD249" s="1121"/>
      <c r="AE249" s="1121"/>
      <c r="AF249" s="1121">
        <v>6000</v>
      </c>
      <c r="AG249" s="288">
        <v>17072.03</v>
      </c>
      <c r="AH249" s="1121">
        <v>2587</v>
      </c>
      <c r="AI249" s="289">
        <v>556</v>
      </c>
      <c r="AJ249" s="1121"/>
      <c r="AK249" s="1121"/>
      <c r="AL249" s="1121"/>
      <c r="AM249" s="1121" t="s">
        <v>1228</v>
      </c>
      <c r="AN249" s="315">
        <v>5.31</v>
      </c>
      <c r="AO249" s="315"/>
      <c r="AP249" s="315"/>
      <c r="AQ249" s="315"/>
      <c r="AR249" s="315"/>
      <c r="AS249" s="315"/>
      <c r="AT249" s="315">
        <f>+ab($T$249,$T$247,-$T$251,$G$248,$G$250,-1*$F$249,1200)</f>
        <v>10.53741398371201</v>
      </c>
      <c r="AU249" s="315"/>
      <c r="AV249" s="315"/>
      <c r="AW249" s="315" t="s">
        <v>2631</v>
      </c>
      <c r="AX249" s="315" t="s">
        <v>1639</v>
      </c>
      <c r="AY249" s="315">
        <v>3.4</v>
      </c>
      <c r="AZ249" s="315">
        <v>2.5</v>
      </c>
      <c r="BA249" s="315"/>
      <c r="BB249" s="306"/>
      <c r="BE249" s="298"/>
    </row>
    <row r="250" spans="1:57" ht="14.25">
      <c r="A250" s="366" t="s">
        <v>978</v>
      </c>
      <c r="B250" s="366"/>
      <c r="C250" s="367"/>
      <c r="D250" s="368"/>
      <c r="E250" s="368"/>
      <c r="F250" s="369"/>
      <c r="G250" s="370">
        <v>53</v>
      </c>
      <c r="H250" s="371"/>
      <c r="I250" s="372" t="s">
        <v>1226</v>
      </c>
      <c r="J250" s="367"/>
      <c r="K250" s="368" t="s">
        <v>1060</v>
      </c>
      <c r="L250" s="368"/>
      <c r="M250" s="368"/>
      <c r="N250" s="368"/>
      <c r="O250" s="368"/>
      <c r="P250" s="368"/>
      <c r="Q250" s="368"/>
      <c r="R250" s="370"/>
      <c r="S250" s="370">
        <f t="shared" si="75"/>
        <v>52.990000000001601</v>
      </c>
      <c r="T250" s="368"/>
      <c r="U250" s="368"/>
      <c r="V250" s="368"/>
      <c r="W250" s="368"/>
      <c r="X250" s="368"/>
      <c r="Y250" s="368"/>
      <c r="Z250" s="368"/>
      <c r="AA250" s="368"/>
      <c r="AB250" s="368"/>
      <c r="AC250" s="368"/>
      <c r="AD250" s="368"/>
      <c r="AE250" s="368"/>
      <c r="AF250" s="368"/>
      <c r="AG250" s="367"/>
      <c r="AH250" s="368"/>
      <c r="AI250" s="369"/>
      <c r="AJ250" s="368"/>
      <c r="AK250" s="368"/>
      <c r="AL250" s="368"/>
      <c r="AM250" s="368"/>
      <c r="AN250" s="373"/>
      <c r="AO250" s="373"/>
      <c r="AP250" s="373"/>
      <c r="AQ250" s="373">
        <f>+FL_2($T$251,$T$249,-$G$250,1200,9.28,-1*$F$251)</f>
        <v>0.3</v>
      </c>
      <c r="AR250" s="373"/>
      <c r="AS250" s="373"/>
      <c r="AT250" s="373"/>
      <c r="AU250" s="373"/>
      <c r="AV250" s="373"/>
      <c r="AW250" s="373" t="s">
        <v>2631</v>
      </c>
      <c r="AX250" s="373" t="s">
        <v>1639</v>
      </c>
      <c r="AY250" s="373"/>
      <c r="AZ250" s="373">
        <v>2.5</v>
      </c>
      <c r="BA250" s="373"/>
      <c r="BB250" s="306"/>
      <c r="BE250" s="298"/>
    </row>
    <row r="251" spans="1:57" ht="14.25">
      <c r="A251" s="366"/>
      <c r="B251" s="366" t="s">
        <v>2158</v>
      </c>
      <c r="C251" s="367">
        <f>+$C$249+$G$250</f>
        <v>17125</v>
      </c>
      <c r="D251" s="368"/>
      <c r="E251" s="368"/>
      <c r="F251" s="369">
        <v>0</v>
      </c>
      <c r="G251" s="370"/>
      <c r="H251" s="371"/>
      <c r="I251" s="372" t="s">
        <v>1226</v>
      </c>
      <c r="J251" s="367"/>
      <c r="K251" s="368" t="s">
        <v>1060</v>
      </c>
      <c r="L251" s="368" t="s">
        <v>239</v>
      </c>
      <c r="M251" s="368"/>
      <c r="N251" s="368" t="s">
        <v>674</v>
      </c>
      <c r="O251" s="368"/>
      <c r="P251" s="368"/>
      <c r="Q251" s="368">
        <v>0</v>
      </c>
      <c r="R251" s="370">
        <v>-8691</v>
      </c>
      <c r="S251" s="370"/>
      <c r="T251" s="368">
        <v>30</v>
      </c>
      <c r="U251" s="368"/>
      <c r="V251" s="368"/>
      <c r="W251" s="368">
        <v>1.1000000000000001</v>
      </c>
      <c r="X251" s="368"/>
      <c r="Y251" s="368"/>
      <c r="Z251" s="368"/>
      <c r="AA251" s="368"/>
      <c r="AB251" s="368"/>
      <c r="AC251" s="368" t="s">
        <v>1700</v>
      </c>
      <c r="AD251" s="368"/>
      <c r="AE251" s="368"/>
      <c r="AF251" s="368">
        <v>200</v>
      </c>
      <c r="AG251" s="367">
        <v>17125.02</v>
      </c>
      <c r="AH251" s="368">
        <v>2108</v>
      </c>
      <c r="AI251" s="369">
        <v>-5114</v>
      </c>
      <c r="AJ251" s="368"/>
      <c r="AK251" s="368"/>
      <c r="AL251" s="368"/>
      <c r="AM251" s="374" t="s">
        <v>2021</v>
      </c>
      <c r="AN251" s="373">
        <v>5.25</v>
      </c>
      <c r="AO251" s="373"/>
      <c r="AP251" s="373"/>
      <c r="AQ251" s="373"/>
      <c r="AR251" s="373"/>
      <c r="AS251" s="373"/>
      <c r="AT251" s="373">
        <f>+ab($T$251,$T$249,$T$253,$G$250,$G$252,-1*$F$251,1200)</f>
        <v>12.119751102576014</v>
      </c>
      <c r="AU251" s="373"/>
      <c r="AV251" s="373"/>
      <c r="AW251" s="373" t="s">
        <v>699</v>
      </c>
      <c r="AX251" s="373" t="s">
        <v>699</v>
      </c>
      <c r="AY251" s="373" t="s">
        <v>699</v>
      </c>
      <c r="AZ251" s="373" t="s">
        <v>699</v>
      </c>
      <c r="BA251" s="373"/>
      <c r="BB251" s="306"/>
      <c r="BE251" s="298"/>
    </row>
    <row r="252" spans="1:57" ht="14.25">
      <c r="A252" s="366"/>
      <c r="B252" s="366"/>
      <c r="C252" s="367"/>
      <c r="D252" s="368"/>
      <c r="E252" s="368"/>
      <c r="F252" s="369"/>
      <c r="G252" s="370">
        <v>47</v>
      </c>
      <c r="H252" s="371"/>
      <c r="I252" s="372"/>
      <c r="J252" s="367"/>
      <c r="K252" s="368"/>
      <c r="L252" s="368"/>
      <c r="M252" s="368"/>
      <c r="N252" s="368"/>
      <c r="O252" s="368"/>
      <c r="P252" s="368"/>
      <c r="Q252" s="368"/>
      <c r="R252" s="370"/>
      <c r="S252" s="370">
        <f t="shared" si="75"/>
        <v>47.049999999999272</v>
      </c>
      <c r="T252" s="368"/>
      <c r="U252" s="368"/>
      <c r="V252" s="368"/>
      <c r="W252" s="368"/>
      <c r="X252" s="368"/>
      <c r="Y252" s="368"/>
      <c r="Z252" s="368"/>
      <c r="AA252" s="368"/>
      <c r="AB252" s="368"/>
      <c r="AC252" s="368"/>
      <c r="AD252" s="368"/>
      <c r="AE252" s="368"/>
      <c r="AF252" s="368"/>
      <c r="AG252" s="367"/>
      <c r="AH252" s="368"/>
      <c r="AI252" s="369"/>
      <c r="AJ252" s="368"/>
      <c r="AK252" s="368"/>
      <c r="AL252" s="368"/>
      <c r="AM252" s="368"/>
      <c r="AN252" s="373"/>
      <c r="AO252" s="373"/>
      <c r="AP252" s="373"/>
      <c r="AQ252" s="373">
        <f>+FL_1($T$253,$T$251,$G$252,1200,9.28,-1*$F$253)</f>
        <v>0.31890498544680856</v>
      </c>
      <c r="AR252" s="373"/>
      <c r="AS252" s="373"/>
      <c r="AT252" s="373"/>
      <c r="AU252" s="373"/>
      <c r="AV252" s="373"/>
      <c r="AW252" s="373"/>
      <c r="AX252" s="373"/>
      <c r="AY252" s="373"/>
      <c r="AZ252" s="373"/>
      <c r="BA252" s="373"/>
      <c r="BB252" s="306"/>
      <c r="BE252" s="298"/>
    </row>
    <row r="253" spans="1:57" ht="14.25">
      <c r="A253" s="366"/>
      <c r="B253" s="366" t="s">
        <v>2159</v>
      </c>
      <c r="C253" s="367">
        <f>+$C$251+$G$252</f>
        <v>17172</v>
      </c>
      <c r="D253" s="368"/>
      <c r="E253" s="368"/>
      <c r="F253" s="369">
        <v>0</v>
      </c>
      <c r="G253" s="370"/>
      <c r="H253" s="371"/>
      <c r="I253" s="372"/>
      <c r="J253" s="367"/>
      <c r="K253" s="368"/>
      <c r="L253" s="368" t="s">
        <v>239</v>
      </c>
      <c r="M253" s="368"/>
      <c r="N253" s="368" t="s">
        <v>3251</v>
      </c>
      <c r="O253" s="368"/>
      <c r="P253" s="368"/>
      <c r="Q253" s="368">
        <v>0</v>
      </c>
      <c r="R253" s="369">
        <v>0</v>
      </c>
      <c r="S253" s="370"/>
      <c r="T253" s="368">
        <v>-30</v>
      </c>
      <c r="U253" s="368"/>
      <c r="V253" s="368"/>
      <c r="W253" s="368">
        <v>1.1000000000000001</v>
      </c>
      <c r="X253" s="368"/>
      <c r="Y253" s="368"/>
      <c r="Z253" s="368"/>
      <c r="AA253" s="368"/>
      <c r="AB253" s="368"/>
      <c r="AC253" s="368" t="s">
        <v>2963</v>
      </c>
      <c r="AD253" s="368"/>
      <c r="AE253" s="368"/>
      <c r="AF253" s="368">
        <v>200</v>
      </c>
      <c r="AG253" s="367">
        <v>17172.07</v>
      </c>
      <c r="AH253" s="368">
        <v>2096</v>
      </c>
      <c r="AI253" s="369">
        <v>-5145</v>
      </c>
      <c r="AJ253" s="368"/>
      <c r="AK253" s="368"/>
      <c r="AL253" s="368"/>
      <c r="AM253" s="374" t="s">
        <v>2021</v>
      </c>
      <c r="AN253" s="373">
        <v>5.25</v>
      </c>
      <c r="AO253" s="373"/>
      <c r="AP253" s="373"/>
      <c r="AQ253" s="373"/>
      <c r="AR253" s="373"/>
      <c r="AS253" s="373"/>
      <c r="AT253" s="373">
        <f>+ab($T$253,$T$251,$T$255,$G$252,$G$254,-1*$F$253,1200)</f>
        <v>-6.4918124495628797</v>
      </c>
      <c r="AU253" s="373"/>
      <c r="AV253" s="373"/>
      <c r="AW253" s="373" t="s">
        <v>699</v>
      </c>
      <c r="AX253" s="373" t="s">
        <v>699</v>
      </c>
      <c r="AY253" s="373" t="s">
        <v>699</v>
      </c>
      <c r="AZ253" s="373" t="s">
        <v>699</v>
      </c>
      <c r="BA253" s="373"/>
      <c r="BB253" s="306"/>
      <c r="BE253" s="298"/>
    </row>
    <row r="254" spans="1:57" ht="14.25">
      <c r="A254" s="366" t="s">
        <v>2976</v>
      </c>
      <c r="B254" s="366"/>
      <c r="C254" s="367"/>
      <c r="D254" s="368"/>
      <c r="E254" s="368"/>
      <c r="F254" s="369"/>
      <c r="G254" s="370">
        <v>36</v>
      </c>
      <c r="H254" s="371"/>
      <c r="I254" s="372"/>
      <c r="J254" s="367"/>
      <c r="K254" s="368"/>
      <c r="L254" s="368"/>
      <c r="M254" s="368"/>
      <c r="N254" s="368"/>
      <c r="O254" s="368"/>
      <c r="P254" s="368"/>
      <c r="Q254" s="368"/>
      <c r="R254" s="370"/>
      <c r="S254" s="370">
        <f t="shared" si="75"/>
        <v>36.029999999998836</v>
      </c>
      <c r="T254" s="368"/>
      <c r="U254" s="368"/>
      <c r="V254" s="368"/>
      <c r="W254" s="368"/>
      <c r="X254" s="368"/>
      <c r="Y254" s="368"/>
      <c r="Z254" s="368"/>
      <c r="AA254" s="368"/>
      <c r="AB254" s="368"/>
      <c r="AC254" s="368"/>
      <c r="AD254" s="368"/>
      <c r="AE254" s="368"/>
      <c r="AF254" s="368"/>
      <c r="AG254" s="367"/>
      <c r="AH254" s="368"/>
      <c r="AI254" s="369"/>
      <c r="AJ254" s="368"/>
      <c r="AK254" s="368"/>
      <c r="AL254" s="368"/>
      <c r="AM254" s="368"/>
      <c r="AN254" s="373"/>
      <c r="AO254" s="373"/>
      <c r="AP254" s="373"/>
      <c r="AQ254" s="373">
        <f>+FL_1($T$255,$T$253,$G$254,1200,9.28,-1*$F$255)</f>
        <v>0.3</v>
      </c>
      <c r="AR254" s="373"/>
      <c r="AS254" s="373"/>
      <c r="AT254" s="373"/>
      <c r="AU254" s="373"/>
      <c r="AV254" s="373"/>
      <c r="AW254" s="373"/>
      <c r="AX254" s="373"/>
      <c r="AY254" s="373"/>
      <c r="AZ254" s="373"/>
      <c r="BA254" s="373"/>
      <c r="BB254" s="306"/>
      <c r="BE254" s="298"/>
    </row>
    <row r="255" spans="1:57" ht="14.25">
      <c r="A255" s="366"/>
      <c r="B255" s="366" t="s">
        <v>2160</v>
      </c>
      <c r="C255" s="367">
        <f>+$C$253+$G$254</f>
        <v>17208</v>
      </c>
      <c r="D255" s="368"/>
      <c r="E255" s="368"/>
      <c r="F255" s="369">
        <v>0</v>
      </c>
      <c r="G255" s="370"/>
      <c r="H255" s="371"/>
      <c r="I255" s="372"/>
      <c r="J255" s="367"/>
      <c r="K255" s="368"/>
      <c r="L255" s="368" t="s">
        <v>239</v>
      </c>
      <c r="M255" s="368"/>
      <c r="N255" s="368" t="s">
        <v>674</v>
      </c>
      <c r="O255" s="368"/>
      <c r="P255" s="368"/>
      <c r="Q255" s="368">
        <v>0</v>
      </c>
      <c r="R255" s="369">
        <v>0</v>
      </c>
      <c r="S255" s="370"/>
      <c r="T255" s="368">
        <v>30</v>
      </c>
      <c r="U255" s="368"/>
      <c r="V255" s="368"/>
      <c r="W255" s="368">
        <v>1.1000000000000001</v>
      </c>
      <c r="X255" s="368"/>
      <c r="Y255" s="368"/>
      <c r="Z255" s="368"/>
      <c r="AA255" s="368"/>
      <c r="AB255" s="368"/>
      <c r="AC255" s="368" t="s">
        <v>2965</v>
      </c>
      <c r="AD255" s="368"/>
      <c r="AE255" s="368"/>
      <c r="AF255" s="368">
        <v>200</v>
      </c>
      <c r="AG255" s="367">
        <v>17208.099999999999</v>
      </c>
      <c r="AH255" s="368">
        <v>2074</v>
      </c>
      <c r="AI255" s="369">
        <v>-5129</v>
      </c>
      <c r="AJ255" s="368"/>
      <c r="AK255" s="368"/>
      <c r="AL255" s="368"/>
      <c r="AM255" s="374" t="s">
        <v>2021</v>
      </c>
      <c r="AN255" s="373">
        <v>5.25</v>
      </c>
      <c r="AO255" s="373"/>
      <c r="AP255" s="373"/>
      <c r="AQ255" s="373"/>
      <c r="AR255" s="373"/>
      <c r="AS255" s="373"/>
      <c r="AT255" s="373">
        <f>+ab($T$255,$T$253,$T$257,$G$254,$G$256,-1*$F$255,1200)</f>
        <v>5.7375183312225033</v>
      </c>
      <c r="AU255" s="373"/>
      <c r="AV255" s="373"/>
      <c r="AW255" s="373" t="s">
        <v>699</v>
      </c>
      <c r="AX255" s="373" t="s">
        <v>699</v>
      </c>
      <c r="AY255" s="373" t="s">
        <v>699</v>
      </c>
      <c r="AZ255" s="373" t="s">
        <v>699</v>
      </c>
      <c r="BA255" s="373"/>
      <c r="BB255" s="306"/>
      <c r="BE255" s="298"/>
    </row>
    <row r="256" spans="1:57" ht="14.25">
      <c r="A256" s="366"/>
      <c r="B256" s="366"/>
      <c r="C256" s="367"/>
      <c r="D256" s="368"/>
      <c r="E256" s="368"/>
      <c r="F256" s="369"/>
      <c r="G256" s="370">
        <v>36</v>
      </c>
      <c r="H256" s="371"/>
      <c r="I256" s="372"/>
      <c r="J256" s="367"/>
      <c r="K256" s="368"/>
      <c r="L256" s="368"/>
      <c r="M256" s="368"/>
      <c r="N256" s="368"/>
      <c r="O256" s="368"/>
      <c r="P256" s="368"/>
      <c r="Q256" s="368"/>
      <c r="R256" s="370"/>
      <c r="S256" s="370">
        <f t="shared" si="75"/>
        <v>36.540000000000873</v>
      </c>
      <c r="T256" s="368"/>
      <c r="U256" s="368"/>
      <c r="V256" s="368"/>
      <c r="W256" s="368"/>
      <c r="X256" s="368"/>
      <c r="Y256" s="368"/>
      <c r="Z256" s="368"/>
      <c r="AA256" s="368"/>
      <c r="AB256" s="368"/>
      <c r="AC256" s="368"/>
      <c r="AD256" s="368"/>
      <c r="AE256" s="368"/>
      <c r="AF256" s="368"/>
      <c r="AG256" s="367"/>
      <c r="AH256" s="368"/>
      <c r="AI256" s="369"/>
      <c r="AJ256" s="368"/>
      <c r="AK256" s="368"/>
      <c r="AL256" s="368"/>
      <c r="AM256" s="368"/>
      <c r="AN256" s="373"/>
      <c r="AO256" s="373"/>
      <c r="AP256" s="373"/>
      <c r="AQ256" s="373">
        <f>+FL_1($T$257,$T$255,$G$256,1200,9.28,-1*$F$257)</f>
        <v>0.30000000000000376</v>
      </c>
      <c r="AR256" s="373"/>
      <c r="AS256" s="373"/>
      <c r="AT256" s="373"/>
      <c r="AU256" s="373"/>
      <c r="AV256" s="373"/>
      <c r="AW256" s="373"/>
      <c r="AX256" s="373"/>
      <c r="AY256" s="373"/>
      <c r="AZ256" s="373"/>
      <c r="BA256" s="373"/>
      <c r="BB256" s="306"/>
      <c r="BE256" s="298"/>
    </row>
    <row r="257" spans="1:57" ht="14.25">
      <c r="A257" s="366"/>
      <c r="B257" s="366" t="s">
        <v>2161</v>
      </c>
      <c r="C257" s="367">
        <f>+$C$255+$G$256</f>
        <v>17244</v>
      </c>
      <c r="D257" s="368"/>
      <c r="E257" s="368"/>
      <c r="F257" s="369">
        <v>0</v>
      </c>
      <c r="G257" s="370"/>
      <c r="H257" s="371"/>
      <c r="I257" s="372" t="s">
        <v>1226</v>
      </c>
      <c r="J257" s="367"/>
      <c r="K257" s="368" t="s">
        <v>1060</v>
      </c>
      <c r="L257" s="368" t="s">
        <v>239</v>
      </c>
      <c r="M257" s="368"/>
      <c r="N257" s="368" t="s">
        <v>3251</v>
      </c>
      <c r="O257" s="368"/>
      <c r="P257" s="368"/>
      <c r="Q257" s="368">
        <v>0</v>
      </c>
      <c r="R257" s="369">
        <v>0</v>
      </c>
      <c r="S257" s="370"/>
      <c r="T257" s="368">
        <v>-30</v>
      </c>
      <c r="U257" s="368"/>
      <c r="V257" s="368"/>
      <c r="W257" s="368">
        <v>1.1000000000000001</v>
      </c>
      <c r="X257" s="368"/>
      <c r="Y257" s="368"/>
      <c r="Z257" s="368"/>
      <c r="AA257" s="368"/>
      <c r="AB257" s="368"/>
      <c r="AC257" s="368" t="s">
        <v>2963</v>
      </c>
      <c r="AD257" s="368"/>
      <c r="AE257" s="368"/>
      <c r="AF257" s="368">
        <v>200</v>
      </c>
      <c r="AG257" s="367">
        <v>17244.64</v>
      </c>
      <c r="AH257" s="368">
        <v>2048</v>
      </c>
      <c r="AI257" s="369">
        <v>-5125</v>
      </c>
      <c r="AJ257" s="368"/>
      <c r="AK257" s="368"/>
      <c r="AL257" s="368"/>
      <c r="AM257" s="374" t="s">
        <v>2021</v>
      </c>
      <c r="AN257" s="373">
        <v>5.25</v>
      </c>
      <c r="AO257" s="373"/>
      <c r="AP257" s="373"/>
      <c r="AQ257" s="373"/>
      <c r="AR257" s="373"/>
      <c r="AS257" s="373"/>
      <c r="AT257" s="373">
        <f>+ab($T$257,$T$255,$T$259,$G$256,$G$258,-1*$F$257,1200)</f>
        <v>-6.3068694543619346</v>
      </c>
      <c r="AU257" s="373"/>
      <c r="AV257" s="373"/>
      <c r="AW257" s="373" t="s">
        <v>699</v>
      </c>
      <c r="AX257" s="373" t="s">
        <v>699</v>
      </c>
      <c r="AY257" s="373" t="s">
        <v>699</v>
      </c>
      <c r="AZ257" s="373" t="s">
        <v>699</v>
      </c>
      <c r="BA257" s="373"/>
      <c r="BB257" s="306"/>
      <c r="BE257" s="298"/>
    </row>
    <row r="258" spans="1:57" ht="14.25">
      <c r="A258" s="366"/>
      <c r="B258" s="366"/>
      <c r="C258" s="367"/>
      <c r="D258" s="368"/>
      <c r="E258" s="368"/>
      <c r="F258" s="369"/>
      <c r="G258" s="370">
        <v>44</v>
      </c>
      <c r="H258" s="368"/>
      <c r="I258" s="372" t="s">
        <v>1226</v>
      </c>
      <c r="J258" s="367"/>
      <c r="K258" s="368" t="s">
        <v>1060</v>
      </c>
      <c r="L258" s="368"/>
      <c r="M258" s="368"/>
      <c r="N258" s="368"/>
      <c r="O258" s="368"/>
      <c r="P258" s="368"/>
      <c r="Q258" s="368"/>
      <c r="R258" s="370"/>
      <c r="S258" s="370">
        <f t="shared" si="75"/>
        <v>43.270000000000437</v>
      </c>
      <c r="T258" s="368"/>
      <c r="U258" s="368"/>
      <c r="V258" s="368"/>
      <c r="W258" s="368"/>
      <c r="X258" s="368"/>
      <c r="Y258" s="368"/>
      <c r="Z258" s="368"/>
      <c r="AA258" s="368"/>
      <c r="AB258" s="368"/>
      <c r="AC258" s="368"/>
      <c r="AD258" s="368"/>
      <c r="AE258" s="368"/>
      <c r="AF258" s="368"/>
      <c r="AG258" s="367"/>
      <c r="AH258" s="368"/>
      <c r="AI258" s="369"/>
      <c r="AJ258" s="368"/>
      <c r="AK258" s="368"/>
      <c r="AL258" s="368"/>
      <c r="AM258" s="368"/>
      <c r="AN258" s="373"/>
      <c r="AO258" s="373"/>
      <c r="AP258" s="373"/>
      <c r="AQ258" s="373">
        <f>+FL_2($T$259,$T$257,$G$258,1200,9.28,-1*$F$259)</f>
        <v>-0.30737322290909086</v>
      </c>
      <c r="AR258" s="373"/>
      <c r="AS258" s="373"/>
      <c r="AT258" s="373"/>
      <c r="AU258" s="373"/>
      <c r="AV258" s="373"/>
      <c r="AW258" s="373"/>
      <c r="AX258" s="373"/>
      <c r="AY258" s="373"/>
      <c r="AZ258" s="373"/>
      <c r="BA258" s="373"/>
      <c r="BB258" s="306"/>
      <c r="BE258" s="298"/>
    </row>
    <row r="259" spans="1:57" ht="14.25">
      <c r="A259" s="366"/>
      <c r="B259" s="366" t="s">
        <v>2162</v>
      </c>
      <c r="C259" s="367">
        <f>+$C$257+$G$258</f>
        <v>17288</v>
      </c>
      <c r="D259" s="368"/>
      <c r="E259" s="368"/>
      <c r="F259" s="369">
        <v>0</v>
      </c>
      <c r="G259" s="370"/>
      <c r="H259" s="368" t="s">
        <v>138</v>
      </c>
      <c r="I259" s="372" t="s">
        <v>2717</v>
      </c>
      <c r="J259" s="367"/>
      <c r="K259" s="368"/>
      <c r="L259" s="368" t="s">
        <v>239</v>
      </c>
      <c r="M259" s="368"/>
      <c r="N259" s="368" t="s">
        <v>674</v>
      </c>
      <c r="O259" s="368"/>
      <c r="P259" s="368"/>
      <c r="Q259" s="368">
        <v>0</v>
      </c>
      <c r="R259" s="369">
        <v>0</v>
      </c>
      <c r="S259" s="370"/>
      <c r="T259" s="368">
        <v>30</v>
      </c>
      <c r="U259" s="368"/>
      <c r="V259" s="368"/>
      <c r="W259" s="368">
        <v>1.1000000000000001</v>
      </c>
      <c r="X259" s="368"/>
      <c r="Y259" s="368"/>
      <c r="Z259" s="368"/>
      <c r="AA259" s="368"/>
      <c r="AB259" s="368"/>
      <c r="AC259" s="368" t="s">
        <v>1700</v>
      </c>
      <c r="AD259" s="368"/>
      <c r="AE259" s="368"/>
      <c r="AF259" s="368">
        <v>200</v>
      </c>
      <c r="AG259" s="367">
        <v>17287.91</v>
      </c>
      <c r="AH259" s="368">
        <v>2107</v>
      </c>
      <c r="AI259" s="369">
        <v>-5098</v>
      </c>
      <c r="AJ259" s="368"/>
      <c r="AK259" s="368"/>
      <c r="AL259" s="368"/>
      <c r="AM259" s="374" t="s">
        <v>2021</v>
      </c>
      <c r="AN259" s="373">
        <v>5.25</v>
      </c>
      <c r="AO259" s="373"/>
      <c r="AP259" s="373"/>
      <c r="AQ259" s="373"/>
      <c r="AR259" s="373"/>
      <c r="AS259" s="373"/>
      <c r="AT259" s="373">
        <f>+ab($T$259,$T$257,-$U$261,$G$258,$G$260,-1*$F$259,1200)</f>
        <v>9.351892617564161</v>
      </c>
      <c r="AU259" s="373"/>
      <c r="AV259" s="373"/>
      <c r="AW259" s="373" t="s">
        <v>699</v>
      </c>
      <c r="AX259" s="373" t="s">
        <v>699</v>
      </c>
      <c r="AY259" s="373" t="s">
        <v>699</v>
      </c>
      <c r="AZ259" s="373" t="s">
        <v>699</v>
      </c>
      <c r="BA259" s="373"/>
      <c r="BB259" s="306"/>
      <c r="BE259" s="298"/>
    </row>
    <row r="260" spans="1:57" ht="14.25">
      <c r="A260" s="366" t="s">
        <v>978</v>
      </c>
      <c r="B260" s="366"/>
      <c r="C260" s="367"/>
      <c r="D260" s="368"/>
      <c r="E260" s="368"/>
      <c r="F260" s="369"/>
      <c r="G260" s="370">
        <v>59.7</v>
      </c>
      <c r="H260" s="368"/>
      <c r="I260" s="372" t="s">
        <v>2016</v>
      </c>
      <c r="J260" s="367">
        <f>C259+10</f>
        <v>17298</v>
      </c>
      <c r="K260" s="368"/>
      <c r="L260" s="368"/>
      <c r="M260" s="368"/>
      <c r="N260" s="368"/>
      <c r="O260" s="368"/>
      <c r="P260" s="368"/>
      <c r="Q260" s="368"/>
      <c r="R260" s="370"/>
      <c r="S260" s="370">
        <f t="shared" si="75"/>
        <v>59.759999999998399</v>
      </c>
      <c r="T260" s="368"/>
      <c r="U260" s="368"/>
      <c r="V260" s="368"/>
      <c r="W260" s="368"/>
      <c r="X260" s="368"/>
      <c r="Y260" s="368"/>
      <c r="Z260" s="368"/>
      <c r="AA260" s="368"/>
      <c r="AB260" s="368"/>
      <c r="AC260" s="368"/>
      <c r="AD260" s="368"/>
      <c r="AE260" s="368"/>
      <c r="AF260" s="368"/>
      <c r="AG260" s="367"/>
      <c r="AH260" s="368"/>
      <c r="AI260" s="369"/>
      <c r="AJ260" s="368"/>
      <c r="AK260" s="368"/>
      <c r="AL260" s="368"/>
      <c r="AM260" s="368"/>
      <c r="AN260" s="373"/>
      <c r="AO260" s="373"/>
      <c r="AP260" s="373"/>
      <c r="AQ260" s="373">
        <f>+FL_2($U$261,-$T$259,$G$260,1200,7.28,-1*$F$261)</f>
        <v>-0.40727592224623116</v>
      </c>
      <c r="AR260" s="373"/>
      <c r="AS260" s="373"/>
      <c r="AT260" s="373"/>
      <c r="AU260" s="373"/>
      <c r="AV260" s="373"/>
      <c r="AW260" s="373"/>
      <c r="AX260" s="373"/>
      <c r="AY260" s="373" t="s">
        <v>695</v>
      </c>
      <c r="AZ260" s="373"/>
      <c r="BA260" s="373"/>
      <c r="BB260" s="306"/>
      <c r="BE260" s="298"/>
    </row>
    <row r="261" spans="1:57" ht="14.25">
      <c r="A261" s="340" t="s">
        <v>3223</v>
      </c>
      <c r="B261" s="340" t="s">
        <v>2163</v>
      </c>
      <c r="C261" s="288">
        <f>+$C$259+$G$260</f>
        <v>17347.7</v>
      </c>
      <c r="D261" s="1121"/>
      <c r="E261" s="1121"/>
      <c r="F261" s="289">
        <v>0</v>
      </c>
      <c r="G261" s="292"/>
      <c r="H261" s="1121" t="s">
        <v>651</v>
      </c>
      <c r="I261" s="375" t="s">
        <v>1226</v>
      </c>
      <c r="J261" s="288"/>
      <c r="K261" s="374" t="s">
        <v>1060</v>
      </c>
      <c r="L261" s="1121" t="s">
        <v>231</v>
      </c>
      <c r="M261" s="1121" t="s">
        <v>2756</v>
      </c>
      <c r="N261" s="1121" t="s">
        <v>140</v>
      </c>
      <c r="O261" s="1121" t="s">
        <v>145</v>
      </c>
      <c r="P261" s="1121"/>
      <c r="Q261" s="1121">
        <v>4</v>
      </c>
      <c r="R261" s="289">
        <v>0</v>
      </c>
      <c r="S261" s="292"/>
      <c r="T261" s="1121">
        <v>55</v>
      </c>
      <c r="U261" s="1121">
        <v>10</v>
      </c>
      <c r="V261" s="1121"/>
      <c r="W261" s="1121">
        <v>1.4</v>
      </c>
      <c r="X261" s="1121">
        <v>2</v>
      </c>
      <c r="Y261" s="1121"/>
      <c r="Z261" s="1121">
        <v>0.45</v>
      </c>
      <c r="AA261" s="1121"/>
      <c r="AB261" s="1121"/>
      <c r="AC261" s="1121"/>
      <c r="AD261" s="1121" t="s">
        <v>3260</v>
      </c>
      <c r="AE261" s="1121"/>
      <c r="AF261" s="1121">
        <v>6000</v>
      </c>
      <c r="AG261" s="288">
        <v>17347.669999999998</v>
      </c>
      <c r="AH261" s="1121">
        <v>2566</v>
      </c>
      <c r="AI261" s="289">
        <v>656</v>
      </c>
      <c r="AJ261" s="1121" t="s">
        <v>3224</v>
      </c>
      <c r="AK261" s="1121"/>
      <c r="AL261" s="1121"/>
      <c r="AM261" s="1121" t="s">
        <v>1228</v>
      </c>
      <c r="AN261" s="315">
        <v>5.25</v>
      </c>
      <c r="AO261" s="315"/>
      <c r="AP261" s="315"/>
      <c r="AQ261" s="315"/>
      <c r="AR261" s="315"/>
      <c r="AS261" s="315"/>
      <c r="AT261" s="315">
        <f>+ab($U$261,-$T$259,-$U$263,$G$260,$G$262,-1*$F$261,1200)</f>
        <v>9.7008822370494983</v>
      </c>
      <c r="AU261" s="315"/>
      <c r="AV261" s="315"/>
      <c r="AW261" s="315" t="s">
        <v>2630</v>
      </c>
      <c r="AX261" s="315" t="s">
        <v>1641</v>
      </c>
      <c r="AY261" s="315">
        <v>4.2</v>
      </c>
      <c r="AZ261" s="315"/>
      <c r="BA261" s="315"/>
      <c r="BB261" s="306"/>
      <c r="BE261" s="298"/>
    </row>
    <row r="262" spans="1:57" ht="14.25">
      <c r="A262" s="366" t="s">
        <v>978</v>
      </c>
      <c r="B262" s="366"/>
      <c r="C262" s="367"/>
      <c r="D262" s="368"/>
      <c r="E262" s="368"/>
      <c r="F262" s="369"/>
      <c r="G262" s="370">
        <v>54.3</v>
      </c>
      <c r="H262" s="368"/>
      <c r="I262" s="372" t="s">
        <v>1226</v>
      </c>
      <c r="J262" s="367"/>
      <c r="K262" s="368" t="s">
        <v>1060</v>
      </c>
      <c r="L262" s="368"/>
      <c r="M262" s="368"/>
      <c r="N262" s="368"/>
      <c r="O262" s="368"/>
      <c r="P262" s="368"/>
      <c r="Q262" s="368"/>
      <c r="R262" s="370"/>
      <c r="S262" s="370">
        <f t="shared" si="75"/>
        <v>53.330000000001746</v>
      </c>
      <c r="T262" s="368"/>
      <c r="U262" s="368"/>
      <c r="V262" s="368"/>
      <c r="W262" s="368"/>
      <c r="X262" s="368"/>
      <c r="Y262" s="368"/>
      <c r="Z262" s="368"/>
      <c r="AA262" s="368"/>
      <c r="AB262" s="368"/>
      <c r="AC262" s="368"/>
      <c r="AD262" s="368"/>
      <c r="AE262" s="368"/>
      <c r="AF262" s="368"/>
      <c r="AG262" s="367"/>
      <c r="AH262" s="368"/>
      <c r="AI262" s="369"/>
      <c r="AJ262" s="368"/>
      <c r="AK262" s="368"/>
      <c r="AL262" s="368"/>
      <c r="AM262" s="368"/>
      <c r="AN262" s="373"/>
      <c r="AO262" s="373"/>
      <c r="AP262" s="373"/>
      <c r="AQ262" s="373">
        <f>+FL_1($T$263,-$U$261,$G$262,1200,9.28,-1*$F$263)</f>
        <v>0.32372584014732964</v>
      </c>
      <c r="AR262" s="373"/>
      <c r="AS262" s="373"/>
      <c r="AT262" s="373"/>
      <c r="AU262" s="373"/>
      <c r="AV262" s="373"/>
      <c r="AW262" s="373"/>
      <c r="AX262" s="373"/>
      <c r="AY262" s="373" t="s">
        <v>695</v>
      </c>
      <c r="AZ262" s="373"/>
      <c r="BA262" s="373"/>
      <c r="BB262" s="306"/>
      <c r="BE262" s="298"/>
    </row>
    <row r="263" spans="1:57" ht="14.25">
      <c r="A263" s="366"/>
      <c r="B263" s="366" t="s">
        <v>2164</v>
      </c>
      <c r="C263" s="367">
        <f>+$C$261+$G$262</f>
        <v>17402</v>
      </c>
      <c r="D263" s="368"/>
      <c r="E263" s="368"/>
      <c r="F263" s="369">
        <v>0</v>
      </c>
      <c r="G263" s="370"/>
      <c r="H263" s="376" t="s">
        <v>2165</v>
      </c>
      <c r="I263" s="372" t="s">
        <v>2717</v>
      </c>
      <c r="J263" s="367"/>
      <c r="K263" s="368"/>
      <c r="L263" s="368" t="s">
        <v>458</v>
      </c>
      <c r="M263" s="368"/>
      <c r="N263" s="368" t="s">
        <v>3251</v>
      </c>
      <c r="O263" s="368" t="s">
        <v>675</v>
      </c>
      <c r="P263" s="368"/>
      <c r="Q263" s="368">
        <v>0</v>
      </c>
      <c r="R263" s="369">
        <v>0</v>
      </c>
      <c r="S263" s="370"/>
      <c r="T263" s="368">
        <v>15</v>
      </c>
      <c r="U263" s="368">
        <v>60</v>
      </c>
      <c r="V263" s="368"/>
      <c r="W263" s="368">
        <v>1.4</v>
      </c>
      <c r="X263" s="368">
        <v>1.1000000000000001</v>
      </c>
      <c r="Y263" s="368"/>
      <c r="Z263" s="368"/>
      <c r="AA263" s="368">
        <v>0.45</v>
      </c>
      <c r="AB263" s="368"/>
      <c r="AC263" s="368" t="s">
        <v>1708</v>
      </c>
      <c r="AD263" s="368"/>
      <c r="AE263" s="368"/>
      <c r="AF263" s="368">
        <v>200</v>
      </c>
      <c r="AG263" s="367">
        <v>17401</v>
      </c>
      <c r="AH263" s="368">
        <v>2103</v>
      </c>
      <c r="AI263" s="369">
        <v>-5101</v>
      </c>
      <c r="AJ263" s="368"/>
      <c r="AK263" s="368"/>
      <c r="AL263" s="368"/>
      <c r="AM263" s="374" t="s">
        <v>2021</v>
      </c>
      <c r="AN263" s="373">
        <v>5.25</v>
      </c>
      <c r="AO263" s="373"/>
      <c r="AP263" s="373"/>
      <c r="AQ263" s="373"/>
      <c r="AR263" s="373"/>
      <c r="AS263" s="373"/>
      <c r="AT263" s="373">
        <f>+ab($T$263,-$T$261,$U$265,$G$262,$G$264,-1*$F$263,1200)</f>
        <v>21.405639966424602</v>
      </c>
      <c r="AU263" s="373"/>
      <c r="AV263" s="373"/>
      <c r="AW263" s="373" t="s">
        <v>699</v>
      </c>
      <c r="AX263" s="373" t="s">
        <v>699</v>
      </c>
      <c r="AY263" s="373" t="s">
        <v>699</v>
      </c>
      <c r="AZ263" s="373" t="s">
        <v>699</v>
      </c>
      <c r="BA263" s="373"/>
      <c r="BB263" s="306"/>
      <c r="BE263" s="298"/>
    </row>
    <row r="264" spans="1:57" ht="14.25">
      <c r="A264" s="366"/>
      <c r="B264" s="366"/>
      <c r="C264" s="367"/>
      <c r="D264" s="368"/>
      <c r="E264" s="368"/>
      <c r="F264" s="369"/>
      <c r="G264" s="370">
        <v>46</v>
      </c>
      <c r="H264" s="371"/>
      <c r="I264" s="372"/>
      <c r="J264" s="367">
        <f>C263+10</f>
        <v>17412</v>
      </c>
      <c r="K264" s="374" t="s">
        <v>2985</v>
      </c>
      <c r="L264" s="368"/>
      <c r="M264" s="368"/>
      <c r="N264" s="368"/>
      <c r="O264" s="368"/>
      <c r="P264" s="368"/>
      <c r="Q264" s="368"/>
      <c r="R264" s="370"/>
      <c r="S264" s="370">
        <f t="shared" si="75"/>
        <v>46</v>
      </c>
      <c r="T264" s="368"/>
      <c r="U264" s="368"/>
      <c r="V264" s="368"/>
      <c r="W264" s="368"/>
      <c r="X264" s="368"/>
      <c r="Y264" s="368"/>
      <c r="Z264" s="368"/>
      <c r="AA264" s="368"/>
      <c r="AB264" s="368"/>
      <c r="AC264" s="368"/>
      <c r="AD264" s="368"/>
      <c r="AE264" s="368"/>
      <c r="AF264" s="368"/>
      <c r="AG264" s="367">
        <v>17403</v>
      </c>
      <c r="AH264" s="368">
        <v>2103</v>
      </c>
      <c r="AI264" s="369">
        <v>-5099</v>
      </c>
      <c r="AJ264" s="368"/>
      <c r="AK264" s="368"/>
      <c r="AL264" s="368"/>
      <c r="AM264" s="368"/>
      <c r="AN264" s="373"/>
      <c r="AO264" s="373"/>
      <c r="AP264" s="373"/>
      <c r="AQ264" s="373">
        <f>+FL_1($U$265,$T$263,$G$264,1200,9.28,-1*$F$265)</f>
        <v>0.46676881460869563</v>
      </c>
      <c r="AR264" s="373"/>
      <c r="AS264" s="373"/>
      <c r="AT264" s="373"/>
      <c r="AU264" s="373"/>
      <c r="AV264" s="373"/>
      <c r="AW264" s="373"/>
      <c r="AX264" s="373"/>
      <c r="AY264" s="373"/>
      <c r="AZ264" s="373"/>
      <c r="BA264" s="373"/>
      <c r="BB264" s="306"/>
    </row>
    <row r="265" spans="1:57" ht="14.25">
      <c r="A265" s="366" t="s">
        <v>2976</v>
      </c>
      <c r="B265" s="366" t="s">
        <v>2166</v>
      </c>
      <c r="C265" s="367">
        <f>+$C$263+$G$264</f>
        <v>17448</v>
      </c>
      <c r="D265" s="368"/>
      <c r="E265" s="368"/>
      <c r="F265" s="369">
        <v>0</v>
      </c>
      <c r="G265" s="370"/>
      <c r="H265" s="371" t="s">
        <v>2523</v>
      </c>
      <c r="I265" s="372" t="s">
        <v>2717</v>
      </c>
      <c r="J265" s="367">
        <f>C265-10</f>
        <v>17438</v>
      </c>
      <c r="K265" s="374" t="s">
        <v>2985</v>
      </c>
      <c r="L265" s="368" t="s">
        <v>458</v>
      </c>
      <c r="M265" s="368"/>
      <c r="N265" s="368" t="s">
        <v>675</v>
      </c>
      <c r="O265" s="368" t="s">
        <v>674</v>
      </c>
      <c r="P265" s="368"/>
      <c r="Q265" s="368">
        <v>0</v>
      </c>
      <c r="R265" s="369">
        <v>0</v>
      </c>
      <c r="S265" s="370"/>
      <c r="T265" s="368">
        <v>55</v>
      </c>
      <c r="U265" s="368">
        <v>35</v>
      </c>
      <c r="V265" s="368"/>
      <c r="W265" s="368">
        <v>1.1000000000000001</v>
      </c>
      <c r="X265" s="368">
        <v>1.4</v>
      </c>
      <c r="Y265" s="368"/>
      <c r="Z265" s="368">
        <v>0.6</v>
      </c>
      <c r="AA265" s="368"/>
      <c r="AB265" s="368"/>
      <c r="AC265" s="368"/>
      <c r="AD265" s="368" t="s">
        <v>1700</v>
      </c>
      <c r="AE265" s="368"/>
      <c r="AF265" s="368">
        <v>600</v>
      </c>
      <c r="AG265" s="367">
        <v>17447</v>
      </c>
      <c r="AH265" s="368">
        <v>2077</v>
      </c>
      <c r="AI265" s="369">
        <v>-5042</v>
      </c>
      <c r="AJ265" s="368"/>
      <c r="AK265" s="368"/>
      <c r="AL265" s="368"/>
      <c r="AM265" s="374" t="s">
        <v>2021</v>
      </c>
      <c r="AN265" s="373">
        <v>5.25</v>
      </c>
      <c r="AO265" s="373"/>
      <c r="AP265" s="373"/>
      <c r="AQ265" s="373"/>
      <c r="AR265" s="373"/>
      <c r="AS265" s="373"/>
      <c r="AT265" s="373">
        <f>+ab($U$265,$T$263,$U$267,$G$264,$G$266,-1*$F$265,1200)</f>
        <v>10.562124816158011</v>
      </c>
      <c r="AU265" s="373"/>
      <c r="AV265" s="373"/>
      <c r="AW265" s="373" t="s">
        <v>699</v>
      </c>
      <c r="AX265" s="373" t="s">
        <v>699</v>
      </c>
      <c r="AY265" s="373" t="s">
        <v>699</v>
      </c>
      <c r="AZ265" s="373" t="s">
        <v>699</v>
      </c>
      <c r="BA265" s="373"/>
      <c r="BB265" s="306"/>
    </row>
    <row r="266" spans="1:57" ht="14.25">
      <c r="A266" s="366"/>
      <c r="B266" s="366"/>
      <c r="C266" s="367"/>
      <c r="D266" s="368"/>
      <c r="E266" s="368"/>
      <c r="F266" s="369"/>
      <c r="G266" s="370">
        <v>40.4</v>
      </c>
      <c r="H266" s="371"/>
      <c r="I266" s="372"/>
      <c r="J266" s="367"/>
      <c r="K266" s="368"/>
      <c r="L266" s="368"/>
      <c r="M266" s="368"/>
      <c r="N266" s="368"/>
      <c r="O266" s="368"/>
      <c r="P266" s="368"/>
      <c r="Q266" s="368"/>
      <c r="R266" s="370"/>
      <c r="S266" s="370">
        <f t="shared" si="75"/>
        <v>42</v>
      </c>
      <c r="T266" s="368"/>
      <c r="U266" s="368"/>
      <c r="V266" s="368"/>
      <c r="W266" s="368"/>
      <c r="X266" s="368"/>
      <c r="Y266" s="368"/>
      <c r="Z266" s="368"/>
      <c r="AA266" s="368"/>
      <c r="AB266" s="368"/>
      <c r="AC266" s="368"/>
      <c r="AD266" s="368"/>
      <c r="AE266" s="368"/>
      <c r="AF266" s="368"/>
      <c r="AG266" s="367">
        <v>17449</v>
      </c>
      <c r="AH266" s="368">
        <v>2054</v>
      </c>
      <c r="AI266" s="369">
        <v>-5038</v>
      </c>
      <c r="AJ266" s="368"/>
      <c r="AK266" s="368"/>
      <c r="AL266" s="368"/>
      <c r="AM266" s="368"/>
      <c r="AN266" s="373"/>
      <c r="AO266" s="373"/>
      <c r="AP266" s="373"/>
      <c r="AQ266" s="373">
        <f>+FL_1($U$267,$U$265,$G$266,1200,9.28,-1*$F$267)</f>
        <v>0.35260556039603963</v>
      </c>
      <c r="AR266" s="373"/>
      <c r="AS266" s="373"/>
      <c r="AT266" s="373"/>
      <c r="AU266" s="373"/>
      <c r="AV266" s="373"/>
      <c r="AW266" s="373"/>
      <c r="AX266" s="373"/>
      <c r="AY266" s="373"/>
      <c r="AZ266" s="373"/>
      <c r="BA266" s="373"/>
      <c r="BB266" s="306"/>
    </row>
    <row r="267" spans="1:57" ht="14.25">
      <c r="A267" s="366"/>
      <c r="B267" s="366" t="s">
        <v>2167</v>
      </c>
      <c r="C267" s="367">
        <f>+$C$265+$G$266</f>
        <v>17488.400000000001</v>
      </c>
      <c r="D267" s="368"/>
      <c r="E267" s="368"/>
      <c r="F267" s="369">
        <v>0</v>
      </c>
      <c r="G267" s="370"/>
      <c r="H267" s="371" t="s">
        <v>2168</v>
      </c>
      <c r="I267" s="372" t="s">
        <v>2717</v>
      </c>
      <c r="J267" s="367"/>
      <c r="K267" s="368"/>
      <c r="L267" s="368" t="s">
        <v>458</v>
      </c>
      <c r="M267" s="368"/>
      <c r="N267" s="368" t="s">
        <v>674</v>
      </c>
      <c r="O267" s="368" t="s">
        <v>673</v>
      </c>
      <c r="P267" s="368"/>
      <c r="Q267" s="368">
        <v>0</v>
      </c>
      <c r="R267" s="369">
        <v>0</v>
      </c>
      <c r="S267" s="370"/>
      <c r="T267" s="368">
        <v>5</v>
      </c>
      <c r="U267" s="368">
        <v>-20</v>
      </c>
      <c r="V267" s="368"/>
      <c r="W267" s="368">
        <v>1.1000000000000001</v>
      </c>
      <c r="X267" s="368">
        <v>1.4</v>
      </c>
      <c r="Y267" s="368"/>
      <c r="Z267" s="368"/>
      <c r="AA267" s="368"/>
      <c r="AB267" s="368"/>
      <c r="AC267" s="368" t="s">
        <v>2997</v>
      </c>
      <c r="AD267" s="368" t="s">
        <v>1700</v>
      </c>
      <c r="AE267" s="368"/>
      <c r="AF267" s="368">
        <v>200</v>
      </c>
      <c r="AG267" s="367">
        <v>17489</v>
      </c>
      <c r="AH267" s="368">
        <v>2116</v>
      </c>
      <c r="AI267" s="369">
        <v>-5020</v>
      </c>
      <c r="AJ267" s="368"/>
      <c r="AK267" s="368"/>
      <c r="AL267" s="368"/>
      <c r="AM267" s="374" t="s">
        <v>2021</v>
      </c>
      <c r="AN267" s="373">
        <v>5.25</v>
      </c>
      <c r="AO267" s="373"/>
      <c r="AP267" s="373"/>
      <c r="AQ267" s="373"/>
      <c r="AR267" s="373"/>
      <c r="AS267" s="373"/>
      <c r="AT267" s="373">
        <f>+ab($U$267,$U$265,-$U$269,$G$266,$G$268,-1*$F$267,1200)</f>
        <v>-7.8823768254562463</v>
      </c>
      <c r="AU267" s="373"/>
      <c r="AV267" s="373"/>
      <c r="AW267" s="373" t="s">
        <v>699</v>
      </c>
      <c r="AX267" s="373" t="s">
        <v>699</v>
      </c>
      <c r="AY267" s="373" t="s">
        <v>699</v>
      </c>
      <c r="AZ267" s="373" t="s">
        <v>699</v>
      </c>
      <c r="BA267" s="373"/>
      <c r="BB267" s="306"/>
    </row>
    <row r="268" spans="1:57" ht="14.25">
      <c r="A268" s="366" t="s">
        <v>978</v>
      </c>
      <c r="B268" s="366"/>
      <c r="C268" s="367"/>
      <c r="D268" s="368"/>
      <c r="E268" s="368"/>
      <c r="F268" s="369"/>
      <c r="G268" s="370">
        <v>52</v>
      </c>
      <c r="H268" s="371"/>
      <c r="I268" s="372"/>
      <c r="J268" s="367">
        <f>C267+10</f>
        <v>17498.400000000001</v>
      </c>
      <c r="K268" s="374" t="s">
        <v>2985</v>
      </c>
      <c r="L268" s="368"/>
      <c r="M268" s="368"/>
      <c r="N268" s="368"/>
      <c r="O268" s="368"/>
      <c r="P268" s="368"/>
      <c r="Q268" s="368"/>
      <c r="R268" s="370"/>
      <c r="S268" s="370">
        <f t="shared" si="75"/>
        <v>51</v>
      </c>
      <c r="T268" s="368"/>
      <c r="U268" s="368"/>
      <c r="V268" s="368"/>
      <c r="W268" s="368"/>
      <c r="X268" s="368"/>
      <c r="Y268" s="368"/>
      <c r="Z268" s="368"/>
      <c r="AA268" s="368"/>
      <c r="AB268" s="368"/>
      <c r="AC268" s="368"/>
      <c r="AD268" s="368"/>
      <c r="AE268" s="368"/>
      <c r="AF268" s="368"/>
      <c r="AG268" s="367">
        <v>17489</v>
      </c>
      <c r="AH268" s="368">
        <v>2137</v>
      </c>
      <c r="AI268" s="369">
        <v>-5008</v>
      </c>
      <c r="AJ268" s="368"/>
      <c r="AK268" s="368"/>
      <c r="AL268" s="368"/>
      <c r="AM268" s="368"/>
      <c r="AN268" s="373"/>
      <c r="AO268" s="373"/>
      <c r="AP268" s="373"/>
      <c r="AQ268" s="373">
        <f>+FL_1($U$269,-$U$267,$G$268,1200,9.28,-1*$F$269)</f>
        <v>0.25871724635897425</v>
      </c>
      <c r="AR268" s="373"/>
      <c r="AS268" s="373"/>
      <c r="AT268" s="373"/>
      <c r="AU268" s="373"/>
      <c r="AV268" s="373"/>
      <c r="AW268" s="373"/>
      <c r="AX268" s="373"/>
      <c r="AY268" s="373" t="s">
        <v>695</v>
      </c>
      <c r="AZ268" s="373"/>
      <c r="BA268" s="373"/>
      <c r="BB268" s="306"/>
    </row>
    <row r="269" spans="1:57" ht="14.25">
      <c r="A269" s="340"/>
      <c r="B269" s="340" t="s">
        <v>2169</v>
      </c>
      <c r="C269" s="288">
        <f>+$C$267+$G$268</f>
        <v>17540.400000000001</v>
      </c>
      <c r="D269" s="1121"/>
      <c r="E269" s="1121"/>
      <c r="F269" s="289">
        <v>0</v>
      </c>
      <c r="G269" s="292"/>
      <c r="H269" s="291" t="s">
        <v>651</v>
      </c>
      <c r="I269" s="375" t="s">
        <v>1226</v>
      </c>
      <c r="J269" s="377"/>
      <c r="K269" s="374" t="s">
        <v>1060</v>
      </c>
      <c r="L269" s="1121" t="s">
        <v>880</v>
      </c>
      <c r="M269" s="1121" t="s">
        <v>2676</v>
      </c>
      <c r="N269" s="1121" t="s">
        <v>140</v>
      </c>
      <c r="O269" s="1121" t="s">
        <v>144</v>
      </c>
      <c r="P269" s="1121"/>
      <c r="Q269" s="1121">
        <v>0</v>
      </c>
      <c r="R269" s="289">
        <v>0</v>
      </c>
      <c r="S269" s="292"/>
      <c r="T269" s="1121">
        <v>10</v>
      </c>
      <c r="U269" s="1121">
        <v>-35</v>
      </c>
      <c r="V269" s="1121"/>
      <c r="W269" s="1121">
        <v>1.5</v>
      </c>
      <c r="X269" s="1121">
        <v>2.2999999999999998</v>
      </c>
      <c r="Y269" s="1121"/>
      <c r="Z269" s="1121">
        <v>0.5</v>
      </c>
      <c r="AA269" s="1121"/>
      <c r="AB269" s="1121"/>
      <c r="AC269" s="1121"/>
      <c r="AD269" s="1121" t="s">
        <v>1704</v>
      </c>
      <c r="AE269" s="1121"/>
      <c r="AF269" s="1121">
        <v>5800</v>
      </c>
      <c r="AG269" s="288">
        <v>17540</v>
      </c>
      <c r="AH269" s="1121">
        <v>2571</v>
      </c>
      <c r="AI269" s="289">
        <v>429</v>
      </c>
      <c r="AJ269" s="1121"/>
      <c r="AK269" s="1121"/>
      <c r="AL269" s="1121"/>
      <c r="AM269" s="1121" t="s">
        <v>1228</v>
      </c>
      <c r="AN269" s="315">
        <v>5.31</v>
      </c>
      <c r="AO269" s="315"/>
      <c r="AP269" s="315"/>
      <c r="AQ269" s="315"/>
      <c r="AR269" s="315"/>
      <c r="AS269" s="315"/>
      <c r="AT269" s="315">
        <f>+ab($U$269,-$U$267,$U$271,$G$268,$G$270,-1*$F$269,1200)</f>
        <v>-12.080908454713633</v>
      </c>
      <c r="AU269" s="315"/>
      <c r="AV269" s="315"/>
      <c r="AW269" s="315" t="s">
        <v>2630</v>
      </c>
      <c r="AX269" s="315" t="s">
        <v>1639</v>
      </c>
      <c r="AY269" s="315">
        <v>3.3</v>
      </c>
      <c r="AZ269" s="315"/>
      <c r="BA269" s="315"/>
      <c r="BB269" s="306"/>
    </row>
    <row r="270" spans="1:57" ht="14.25">
      <c r="A270" s="340"/>
      <c r="B270" s="340"/>
      <c r="C270" s="288"/>
      <c r="D270" s="1121"/>
      <c r="E270" s="1121"/>
      <c r="F270" s="289"/>
      <c r="G270" s="292">
        <v>49.3</v>
      </c>
      <c r="H270" s="291"/>
      <c r="I270" s="375" t="s">
        <v>1226</v>
      </c>
      <c r="J270" s="377"/>
      <c r="K270" s="374" t="s">
        <v>1060</v>
      </c>
      <c r="L270" s="1121"/>
      <c r="M270" s="1121"/>
      <c r="N270" s="1121"/>
      <c r="O270" s="1121"/>
      <c r="P270" s="1121"/>
      <c r="Q270" s="1121"/>
      <c r="R270" s="292"/>
      <c r="S270" s="292">
        <f t="shared" si="75"/>
        <v>49.590000000000146</v>
      </c>
      <c r="T270" s="1121"/>
      <c r="U270" s="1121"/>
      <c r="V270" s="1121"/>
      <c r="W270" s="1121"/>
      <c r="X270" s="1121"/>
      <c r="Y270" s="1121"/>
      <c r="Z270" s="1121"/>
      <c r="AA270" s="1121"/>
      <c r="AB270" s="1121"/>
      <c r="AC270" s="1121"/>
      <c r="AD270" s="1121"/>
      <c r="AE270" s="1121"/>
      <c r="AF270" s="1121"/>
      <c r="AG270" s="288"/>
      <c r="AH270" s="1121"/>
      <c r="AI270" s="289"/>
      <c r="AJ270" s="1121"/>
      <c r="AK270" s="1121"/>
      <c r="AL270" s="1121"/>
      <c r="AM270" s="1121"/>
      <c r="AN270" s="315"/>
      <c r="AO270" s="315"/>
      <c r="AP270" s="315"/>
      <c r="AQ270" s="315">
        <f>+FL_2($T$271,$U$269,$G$270,1200,9.28,-1*$F$271)</f>
        <v>-0.36529570983908044</v>
      </c>
      <c r="AR270" s="315"/>
      <c r="AS270" s="315"/>
      <c r="AT270" s="315"/>
      <c r="AU270" s="315"/>
      <c r="AV270" s="315"/>
      <c r="AW270" s="315"/>
      <c r="AX270" s="315"/>
      <c r="AY270" s="315" t="s">
        <v>695</v>
      </c>
      <c r="AZ270" s="315"/>
      <c r="BA270" s="315"/>
      <c r="BB270" s="306"/>
    </row>
    <row r="271" spans="1:57" ht="14.25">
      <c r="A271" s="340" t="s">
        <v>3226</v>
      </c>
      <c r="B271" s="340" t="s">
        <v>2170</v>
      </c>
      <c r="C271" s="288">
        <f>+$C$269+$G$270</f>
        <v>17589.7</v>
      </c>
      <c r="D271" s="1121"/>
      <c r="E271" s="1121"/>
      <c r="F271" s="289">
        <v>0</v>
      </c>
      <c r="G271" s="292"/>
      <c r="H271" s="291" t="s">
        <v>651</v>
      </c>
      <c r="I271" s="294" t="s">
        <v>2016</v>
      </c>
      <c r="J271" s="288"/>
      <c r="K271" s="1121"/>
      <c r="L271" s="1121" t="s">
        <v>231</v>
      </c>
      <c r="M271" s="1121" t="s">
        <v>2672</v>
      </c>
      <c r="N271" s="1121" t="s">
        <v>144</v>
      </c>
      <c r="O271" s="1121" t="s">
        <v>140</v>
      </c>
      <c r="P271" s="1121"/>
      <c r="Q271" s="1121">
        <v>0</v>
      </c>
      <c r="R271" s="289">
        <v>0</v>
      </c>
      <c r="S271" s="292"/>
      <c r="T271" s="1121">
        <v>35</v>
      </c>
      <c r="U271" s="1121">
        <v>-10</v>
      </c>
      <c r="V271" s="1121"/>
      <c r="W271" s="1121">
        <v>1.5</v>
      </c>
      <c r="X271" s="1121">
        <v>2.5</v>
      </c>
      <c r="Y271" s="1121"/>
      <c r="Z271" s="1121"/>
      <c r="AA271" s="1121">
        <v>0.5</v>
      </c>
      <c r="AB271" s="1121"/>
      <c r="AC271" s="1121" t="s">
        <v>1704</v>
      </c>
      <c r="AD271" s="1121"/>
      <c r="AE271" s="1121"/>
      <c r="AF271" s="1121">
        <v>6000</v>
      </c>
      <c r="AG271" s="288">
        <v>17589.59</v>
      </c>
      <c r="AH271" s="1121">
        <v>2516</v>
      </c>
      <c r="AI271" s="289">
        <v>659</v>
      </c>
      <c r="AJ271" s="1121" t="s">
        <v>3224</v>
      </c>
      <c r="AK271" s="1121"/>
      <c r="AL271" s="1121"/>
      <c r="AM271" s="1121" t="s">
        <v>1228</v>
      </c>
      <c r="AN271" s="315">
        <v>5.44</v>
      </c>
      <c r="AO271" s="315"/>
      <c r="AP271" s="315"/>
      <c r="AQ271" s="315"/>
      <c r="AR271" s="315"/>
      <c r="AS271" s="315"/>
      <c r="AT271" s="315">
        <f>+ab($T$271,$T$269,$T$273,$G$270,$G$272,-1*$F$271,1200)</f>
        <v>22.872711949106122</v>
      </c>
      <c r="AU271" s="315"/>
      <c r="AV271" s="315"/>
      <c r="AW271" s="315" t="s">
        <v>2630</v>
      </c>
      <c r="AX271" s="315" t="s">
        <v>1639</v>
      </c>
      <c r="AY271" s="315">
        <v>3.4</v>
      </c>
      <c r="AZ271" s="315"/>
      <c r="BA271" s="315"/>
      <c r="BB271" s="306"/>
    </row>
    <row r="272" spans="1:57" ht="14.25">
      <c r="A272" s="340"/>
      <c r="B272" s="340"/>
      <c r="C272" s="288"/>
      <c r="D272" s="1121"/>
      <c r="E272" s="1121"/>
      <c r="F272" s="289"/>
      <c r="G272" s="292">
        <v>52.3</v>
      </c>
      <c r="H272" s="291"/>
      <c r="I272" s="294">
        <f>SUM(G260:G272)</f>
        <v>354</v>
      </c>
      <c r="J272" s="288"/>
      <c r="K272" s="1121"/>
      <c r="L272" s="1121"/>
      <c r="M272" s="1121"/>
      <c r="N272" s="1121"/>
      <c r="O272" s="1121"/>
      <c r="P272" s="1121"/>
      <c r="Q272" s="1121"/>
      <c r="R272" s="292"/>
      <c r="S272" s="292">
        <f t="shared" si="75"/>
        <v>53.009999999998399</v>
      </c>
      <c r="T272" s="1121"/>
      <c r="U272" s="1121"/>
      <c r="V272" s="1121"/>
      <c r="W272" s="1121"/>
      <c r="X272" s="1121"/>
      <c r="Y272" s="1121"/>
      <c r="Z272" s="1121"/>
      <c r="AA272" s="1121"/>
      <c r="AB272" s="1121"/>
      <c r="AC272" s="1121"/>
      <c r="AD272" s="1121"/>
      <c r="AE272" s="1121"/>
      <c r="AF272" s="1121"/>
      <c r="AG272" s="288"/>
      <c r="AH272" s="1121"/>
      <c r="AI272" s="289"/>
      <c r="AJ272" s="1121"/>
      <c r="AK272" s="1121"/>
      <c r="AL272" s="1121"/>
      <c r="AM272" s="1121"/>
      <c r="AN272" s="315"/>
      <c r="AO272" s="315"/>
      <c r="AP272" s="315"/>
      <c r="AQ272" s="315">
        <f>+FL_1($T$273,$T$271,$G$272,1200,7.28,-1*$F$273)</f>
        <v>0.48920567758317396</v>
      </c>
      <c r="AR272" s="315"/>
      <c r="AS272" s="315"/>
      <c r="AT272" s="315"/>
      <c r="AU272" s="315"/>
      <c r="AV272" s="315"/>
      <c r="AW272" s="315"/>
      <c r="AX272" s="315"/>
      <c r="AY272" s="315" t="s">
        <v>695</v>
      </c>
      <c r="AZ272" s="315"/>
      <c r="BA272" s="315"/>
      <c r="BB272" s="306"/>
    </row>
    <row r="273" spans="1:59" ht="14.25">
      <c r="A273" s="366" t="s">
        <v>978</v>
      </c>
      <c r="B273" s="366" t="s">
        <v>2171</v>
      </c>
      <c r="C273" s="367">
        <f>+$C$271+$G$272</f>
        <v>17642</v>
      </c>
      <c r="D273" s="368"/>
      <c r="E273" s="368"/>
      <c r="F273" s="369">
        <v>0</v>
      </c>
      <c r="G273" s="370"/>
      <c r="H273" s="371" t="s">
        <v>2168</v>
      </c>
      <c r="I273" s="372" t="s">
        <v>911</v>
      </c>
      <c r="J273" s="367">
        <f>C273+7.5</f>
        <v>17649.5</v>
      </c>
      <c r="K273" s="368" t="s">
        <v>653</v>
      </c>
      <c r="L273" s="368" t="s">
        <v>2978</v>
      </c>
      <c r="M273" s="368"/>
      <c r="N273" s="368" t="s">
        <v>674</v>
      </c>
      <c r="O273" s="368" t="s">
        <v>673</v>
      </c>
      <c r="P273" s="368"/>
      <c r="Q273" s="368">
        <v>0</v>
      </c>
      <c r="R273" s="369">
        <v>0</v>
      </c>
      <c r="S273" s="370"/>
      <c r="T273" s="368">
        <v>20</v>
      </c>
      <c r="U273" s="368">
        <v>-5</v>
      </c>
      <c r="V273" s="368"/>
      <c r="W273" s="368">
        <v>1.4</v>
      </c>
      <c r="X273" s="368">
        <v>2.1</v>
      </c>
      <c r="Y273" s="368"/>
      <c r="Z273" s="368"/>
      <c r="AA273" s="368"/>
      <c r="AB273" s="368"/>
      <c r="AC273" s="368" t="s">
        <v>1704</v>
      </c>
      <c r="AD273" s="368"/>
      <c r="AE273" s="368"/>
      <c r="AF273" s="368">
        <v>200</v>
      </c>
      <c r="AG273" s="367">
        <v>17642.599999999999</v>
      </c>
      <c r="AH273" s="368">
        <v>2904</v>
      </c>
      <c r="AI273" s="369">
        <v>-5091</v>
      </c>
      <c r="AJ273" s="368"/>
      <c r="AK273" s="368"/>
      <c r="AL273" s="368"/>
      <c r="AM273" s="368" t="s">
        <v>1228</v>
      </c>
      <c r="AN273" s="373">
        <v>5.5</v>
      </c>
      <c r="AO273" s="373"/>
      <c r="AP273" s="373"/>
      <c r="AQ273" s="373"/>
      <c r="AR273" s="373"/>
      <c r="AS273" s="373"/>
      <c r="AT273" s="373">
        <f>+ab($T$273,$T$271,$T$275,$G$272,$G$274,-1*$F$273,1200)</f>
        <v>13.164178913267065</v>
      </c>
      <c r="AU273" s="373"/>
      <c r="AV273" s="373"/>
      <c r="AW273" s="373" t="s">
        <v>699</v>
      </c>
      <c r="AX273" s="373" t="s">
        <v>699</v>
      </c>
      <c r="AY273" s="373" t="s">
        <v>699</v>
      </c>
      <c r="AZ273" s="373" t="s">
        <v>699</v>
      </c>
      <c r="BA273" s="373"/>
      <c r="BB273" s="306"/>
    </row>
    <row r="274" spans="1:59" ht="14.25">
      <c r="A274" s="366"/>
      <c r="B274" s="366"/>
      <c r="C274" s="367"/>
      <c r="D274" s="368"/>
      <c r="E274" s="368"/>
      <c r="F274" s="369"/>
      <c r="G274" s="370">
        <v>32</v>
      </c>
      <c r="H274" s="371"/>
      <c r="I274" s="372" t="s">
        <v>1226</v>
      </c>
      <c r="J274" s="367"/>
      <c r="K274" s="368" t="s">
        <v>1060</v>
      </c>
      <c r="L274" s="368"/>
      <c r="M274" s="368"/>
      <c r="N274" s="368"/>
      <c r="O274" s="368"/>
      <c r="P274" s="368"/>
      <c r="Q274" s="368"/>
      <c r="R274" s="370"/>
      <c r="S274" s="370">
        <f t="shared" si="75"/>
        <v>30.690000000002328</v>
      </c>
      <c r="T274" s="368"/>
      <c r="U274" s="368"/>
      <c r="V274" s="368"/>
      <c r="W274" s="368"/>
      <c r="X274" s="368"/>
      <c r="Y274" s="366"/>
      <c r="Z274" s="367"/>
      <c r="AA274" s="368"/>
      <c r="AB274" s="368"/>
      <c r="AC274" s="368"/>
      <c r="AD274" s="368"/>
      <c r="AE274" s="368"/>
      <c r="AF274" s="368">
        <v>600</v>
      </c>
      <c r="AG274" s="367">
        <v>17643.62</v>
      </c>
      <c r="AH274" s="368">
        <v>2884</v>
      </c>
      <c r="AI274" s="369">
        <v>-4688</v>
      </c>
      <c r="AJ274" s="368"/>
      <c r="AK274" s="368"/>
      <c r="AL274" s="368"/>
      <c r="AM274" s="368"/>
      <c r="AN274" s="373"/>
      <c r="AO274" s="373"/>
      <c r="AP274" s="373"/>
      <c r="AQ274" s="373">
        <f>+FL_1($T$275,$T$273,$G$274,1200,9.28,-1*$F$275)</f>
        <v>0.20000000000001064</v>
      </c>
      <c r="AR274" s="373"/>
      <c r="AS274" s="373"/>
      <c r="AT274" s="373"/>
      <c r="AU274" s="373"/>
      <c r="AV274" s="373"/>
      <c r="AW274" s="373"/>
      <c r="AX274" s="373"/>
      <c r="AY274" s="373"/>
      <c r="AZ274" s="373"/>
      <c r="BA274" s="373"/>
      <c r="BB274" s="306"/>
      <c r="BF274" s="362"/>
      <c r="BG274" s="362"/>
    </row>
    <row r="275" spans="1:59" ht="14.25">
      <c r="A275" s="366"/>
      <c r="B275" s="366" t="s">
        <v>2172</v>
      </c>
      <c r="C275" s="367">
        <f>+$C$273+$G$274</f>
        <v>17674</v>
      </c>
      <c r="D275" s="368"/>
      <c r="E275" s="368"/>
      <c r="F275" s="369">
        <v>0</v>
      </c>
      <c r="G275" s="370"/>
      <c r="H275" s="371" t="s">
        <v>651</v>
      </c>
      <c r="I275" s="372" t="s">
        <v>1226</v>
      </c>
      <c r="J275" s="367"/>
      <c r="K275" s="368" t="s">
        <v>1060</v>
      </c>
      <c r="L275" s="368" t="s">
        <v>2978</v>
      </c>
      <c r="M275" s="368"/>
      <c r="N275" s="368" t="s">
        <v>673</v>
      </c>
      <c r="O275" s="368" t="s">
        <v>675</v>
      </c>
      <c r="P275" s="368"/>
      <c r="Q275" s="368">
        <v>0</v>
      </c>
      <c r="R275" s="369">
        <v>0</v>
      </c>
      <c r="S275" s="370"/>
      <c r="T275" s="368">
        <v>-35</v>
      </c>
      <c r="U275" s="368">
        <v>-55</v>
      </c>
      <c r="V275" s="368"/>
      <c r="W275" s="368">
        <v>1.4</v>
      </c>
      <c r="X275" s="368">
        <v>2.1</v>
      </c>
      <c r="Y275" s="366"/>
      <c r="Z275" s="367"/>
      <c r="AA275" s="368">
        <v>0.5</v>
      </c>
      <c r="AB275" s="368"/>
      <c r="AC275" s="368" t="s">
        <v>2963</v>
      </c>
      <c r="AD275" s="368"/>
      <c r="AE275" s="368"/>
      <c r="AF275" s="368">
        <v>900</v>
      </c>
      <c r="AG275" s="367">
        <v>17673.29</v>
      </c>
      <c r="AH275" s="368">
        <v>2799</v>
      </c>
      <c r="AI275" s="369">
        <v>-4715</v>
      </c>
      <c r="AJ275" s="368"/>
      <c r="AK275" s="368"/>
      <c r="AL275" s="368"/>
      <c r="AM275" s="368" t="s">
        <v>2021</v>
      </c>
      <c r="AN275" s="373">
        <v>5.5</v>
      </c>
      <c r="AO275" s="373"/>
      <c r="AP275" s="373"/>
      <c r="AQ275" s="373"/>
      <c r="AR275" s="373"/>
      <c r="AS275" s="373"/>
      <c r="AT275" s="373">
        <f>+ab($T$275,$T$273,$T$277,$G$274,$G$276,-1*$F$275,1200)</f>
        <v>-6.129389316838262</v>
      </c>
      <c r="AU275" s="373"/>
      <c r="AV275" s="373"/>
      <c r="AW275" s="373" t="s">
        <v>699</v>
      </c>
      <c r="AX275" s="373" t="s">
        <v>699</v>
      </c>
      <c r="AY275" s="373" t="s">
        <v>699</v>
      </c>
      <c r="AZ275" s="373" t="s">
        <v>699</v>
      </c>
      <c r="BA275" s="373"/>
      <c r="BB275" s="306"/>
      <c r="BE275" s="298"/>
    </row>
    <row r="276" spans="1:59" ht="14.25">
      <c r="A276" s="366"/>
      <c r="B276" s="366"/>
      <c r="C276" s="367"/>
      <c r="D276" s="368"/>
      <c r="E276" s="368"/>
      <c r="F276" s="369"/>
      <c r="G276" s="370">
        <v>50</v>
      </c>
      <c r="H276" s="371"/>
      <c r="I276" s="372">
        <f>SUM(G264:G276)-20</f>
        <v>302</v>
      </c>
      <c r="J276" s="367">
        <f>C277-10</f>
        <v>17714</v>
      </c>
      <c r="K276" s="368" t="s">
        <v>1055</v>
      </c>
      <c r="L276" s="368"/>
      <c r="M276" s="368"/>
      <c r="N276" s="368"/>
      <c r="O276" s="368"/>
      <c r="P276" s="368"/>
      <c r="Q276" s="368"/>
      <c r="R276" s="370"/>
      <c r="S276" s="370">
        <f t="shared" ref="S276:S318" si="80">+AG277-AG275</f>
        <v>50.5</v>
      </c>
      <c r="T276" s="368"/>
      <c r="U276" s="368"/>
      <c r="V276" s="368"/>
      <c r="W276" s="368"/>
      <c r="X276" s="368"/>
      <c r="Y276" s="366"/>
      <c r="Z276" s="367"/>
      <c r="AA276" s="368"/>
      <c r="AB276" s="368"/>
      <c r="AC276" s="368"/>
      <c r="AD276" s="368"/>
      <c r="AE276" s="368"/>
      <c r="AF276" s="368"/>
      <c r="AG276" s="367">
        <v>17674.8</v>
      </c>
      <c r="AH276" s="368">
        <v>2817</v>
      </c>
      <c r="AI276" s="369">
        <v>-4709</v>
      </c>
      <c r="AJ276" s="368"/>
      <c r="AK276" s="368"/>
      <c r="AL276" s="368"/>
      <c r="AM276" s="368"/>
      <c r="AN276" s="373"/>
      <c r="AO276" s="373"/>
      <c r="AP276" s="373"/>
      <c r="AQ276" s="373">
        <f>+FL_1($T$277,$T$275,$G$276,1200,9.28,-1*$F$277)</f>
        <v>0.36839079999999996</v>
      </c>
      <c r="AR276" s="373"/>
      <c r="AS276" s="373"/>
      <c r="AT276" s="373"/>
      <c r="AU276" s="373"/>
      <c r="AV276" s="373"/>
      <c r="AW276" s="373"/>
      <c r="AX276" s="373"/>
      <c r="AY276" s="373"/>
      <c r="AZ276" s="373"/>
      <c r="BA276" s="373"/>
      <c r="BB276" s="306"/>
      <c r="BE276" s="298"/>
    </row>
    <row r="277" spans="1:59" ht="14.25">
      <c r="A277" s="366"/>
      <c r="B277" s="366" t="s">
        <v>2173</v>
      </c>
      <c r="C277" s="367">
        <f>+$C$275+$G$276</f>
        <v>17724</v>
      </c>
      <c r="D277" s="368"/>
      <c r="E277" s="368"/>
      <c r="F277" s="369">
        <v>0</v>
      </c>
      <c r="G277" s="370"/>
      <c r="H277" s="371" t="s">
        <v>986</v>
      </c>
      <c r="I277" s="372" t="s">
        <v>911</v>
      </c>
      <c r="J277" s="367"/>
      <c r="K277" s="368"/>
      <c r="L277" s="368" t="s">
        <v>2977</v>
      </c>
      <c r="M277" s="368"/>
      <c r="N277" s="368" t="s">
        <v>674</v>
      </c>
      <c r="O277" s="368"/>
      <c r="P277" s="368"/>
      <c r="Q277" s="368">
        <v>0</v>
      </c>
      <c r="R277" s="369">
        <v>0</v>
      </c>
      <c r="S277" s="370"/>
      <c r="T277" s="368">
        <v>35</v>
      </c>
      <c r="U277" s="368"/>
      <c r="V277" s="368"/>
      <c r="W277" s="368">
        <v>1.4</v>
      </c>
      <c r="X277" s="368"/>
      <c r="Y277" s="366"/>
      <c r="Z277" s="367"/>
      <c r="AA277" s="368"/>
      <c r="AB277" s="368"/>
      <c r="AC277" s="368" t="s">
        <v>2965</v>
      </c>
      <c r="AD277" s="368"/>
      <c r="AE277" s="368"/>
      <c r="AF277" s="368">
        <v>900</v>
      </c>
      <c r="AG277" s="367">
        <v>17723.79</v>
      </c>
      <c r="AH277" s="368">
        <v>2824</v>
      </c>
      <c r="AI277" s="369">
        <v>-4641</v>
      </c>
      <c r="AJ277" s="368"/>
      <c r="AK277" s="368"/>
      <c r="AL277" s="368"/>
      <c r="AM277" s="368" t="s">
        <v>2021</v>
      </c>
      <c r="AN277" s="373">
        <v>5.5</v>
      </c>
      <c r="AO277" s="373"/>
      <c r="AP277" s="373"/>
      <c r="AQ277" s="373"/>
      <c r="AR277" s="373"/>
      <c r="AS277" s="373"/>
      <c r="AT277" s="373">
        <f>+ab($T$277,$T$275,$T$279,$G$276,$G$278,-1*$F$277,1200)</f>
        <v>6.4650205683818722</v>
      </c>
      <c r="AU277" s="373"/>
      <c r="AV277" s="373"/>
      <c r="AW277" s="373" t="s">
        <v>699</v>
      </c>
      <c r="AX277" s="373" t="s">
        <v>699</v>
      </c>
      <c r="AY277" s="373" t="s">
        <v>699</v>
      </c>
      <c r="AZ277" s="373" t="s">
        <v>699</v>
      </c>
      <c r="BA277" s="373"/>
      <c r="BB277" s="306"/>
      <c r="BE277" s="298"/>
    </row>
    <row r="278" spans="1:59" ht="14.25">
      <c r="A278" s="366"/>
      <c r="B278" s="366"/>
      <c r="C278" s="367"/>
      <c r="D278" s="368"/>
      <c r="E278" s="368"/>
      <c r="F278" s="369"/>
      <c r="G278" s="370">
        <v>45</v>
      </c>
      <c r="H278" s="371"/>
      <c r="I278" s="372"/>
      <c r="J278" s="367"/>
      <c r="K278" s="368"/>
      <c r="L278" s="368"/>
      <c r="M278" s="368"/>
      <c r="N278" s="368"/>
      <c r="O278" s="368"/>
      <c r="P278" s="368"/>
      <c r="Q278" s="368"/>
      <c r="R278" s="370"/>
      <c r="S278" s="370">
        <f t="shared" si="80"/>
        <v>44.829999999998108</v>
      </c>
      <c r="T278" s="368"/>
      <c r="U278" s="368"/>
      <c r="V278" s="368"/>
      <c r="W278" s="368"/>
      <c r="X278" s="368"/>
      <c r="Y278" s="366"/>
      <c r="Z278" s="367"/>
      <c r="AA278" s="368"/>
      <c r="AB278" s="368"/>
      <c r="AC278" s="368"/>
      <c r="AD278" s="368"/>
      <c r="AE278" s="368"/>
      <c r="AF278" s="368"/>
      <c r="AG278" s="367"/>
      <c r="AH278" s="368"/>
      <c r="AI278" s="369"/>
      <c r="AJ278" s="368"/>
      <c r="AK278" s="368"/>
      <c r="AL278" s="368"/>
      <c r="AM278" s="368"/>
      <c r="AN278" s="373"/>
      <c r="AO278" s="373"/>
      <c r="AP278" s="373"/>
      <c r="AQ278" s="373">
        <f>+FL_1($T$279,$T$277,$G$278,1200,9.28,-1*$F$279)</f>
        <v>0.35219954355555549</v>
      </c>
      <c r="AR278" s="373"/>
      <c r="AS278" s="373"/>
      <c r="AT278" s="373"/>
      <c r="AU278" s="373"/>
      <c r="AV278" s="373"/>
      <c r="AW278" s="373"/>
      <c r="AX278" s="373"/>
      <c r="AY278" s="373"/>
      <c r="AZ278" s="373"/>
      <c r="BA278" s="373"/>
      <c r="BB278" s="306"/>
      <c r="BE278" s="1119"/>
    </row>
    <row r="279" spans="1:59" ht="14.25">
      <c r="A279" s="366"/>
      <c r="B279" s="366" t="s">
        <v>2174</v>
      </c>
      <c r="C279" s="367">
        <f>+$C$277+$G$278</f>
        <v>17769</v>
      </c>
      <c r="D279" s="368"/>
      <c r="E279" s="368"/>
      <c r="F279" s="369">
        <v>0</v>
      </c>
      <c r="G279" s="370"/>
      <c r="H279" s="371" t="s">
        <v>1059</v>
      </c>
      <c r="I279" s="372"/>
      <c r="J279" s="367"/>
      <c r="K279" s="368"/>
      <c r="L279" s="368" t="s">
        <v>2977</v>
      </c>
      <c r="M279" s="368"/>
      <c r="N279" s="368" t="s">
        <v>673</v>
      </c>
      <c r="O279" s="368"/>
      <c r="P279" s="368"/>
      <c r="Q279" s="368">
        <v>0</v>
      </c>
      <c r="R279" s="369">
        <v>0</v>
      </c>
      <c r="S279" s="370"/>
      <c r="T279" s="368">
        <v>-35</v>
      </c>
      <c r="U279" s="368"/>
      <c r="V279" s="368"/>
      <c r="W279" s="368">
        <v>1.4</v>
      </c>
      <c r="X279" s="368"/>
      <c r="Y279" s="366"/>
      <c r="Z279" s="367"/>
      <c r="AA279" s="368"/>
      <c r="AB279" s="368"/>
      <c r="AC279" s="368" t="s">
        <v>2963</v>
      </c>
      <c r="AD279" s="368"/>
      <c r="AE279" s="368"/>
      <c r="AF279" s="368">
        <v>900</v>
      </c>
      <c r="AG279" s="367">
        <v>17768.62</v>
      </c>
      <c r="AH279" s="368">
        <v>2953</v>
      </c>
      <c r="AI279" s="369">
        <v>-4666</v>
      </c>
      <c r="AJ279" s="368"/>
      <c r="AK279" s="368"/>
      <c r="AL279" s="368"/>
      <c r="AM279" s="368" t="s">
        <v>2021</v>
      </c>
      <c r="AN279" s="373">
        <v>5.5</v>
      </c>
      <c r="AO279" s="373"/>
      <c r="AP279" s="373"/>
      <c r="AQ279" s="373"/>
      <c r="AR279" s="373"/>
      <c r="AS279" s="373"/>
      <c r="AT279" s="373">
        <f>+ab($T$279,$T$277,$T$281,$G$278,$G$280,-1*$F$279,1200)</f>
        <v>-6.3700552591313802</v>
      </c>
      <c r="AU279" s="373"/>
      <c r="AV279" s="373"/>
      <c r="AW279" s="373" t="s">
        <v>699</v>
      </c>
      <c r="AX279" s="373" t="s">
        <v>699</v>
      </c>
      <c r="AY279" s="373" t="s">
        <v>699</v>
      </c>
      <c r="AZ279" s="373" t="s">
        <v>699</v>
      </c>
      <c r="BA279" s="373"/>
      <c r="BB279" s="306"/>
      <c r="BE279" s="1119"/>
    </row>
    <row r="280" spans="1:59" ht="14.25">
      <c r="A280" s="366"/>
      <c r="B280" s="366"/>
      <c r="C280" s="367"/>
      <c r="D280" s="368"/>
      <c r="E280" s="368"/>
      <c r="F280" s="369"/>
      <c r="G280" s="370">
        <v>45</v>
      </c>
      <c r="H280" s="371"/>
      <c r="I280" s="372">
        <f>SUM(G268:G280)-10</f>
        <v>315.60000000000002</v>
      </c>
      <c r="J280" s="367">
        <f>C279+10</f>
        <v>17779</v>
      </c>
      <c r="K280" s="368" t="s">
        <v>1060</v>
      </c>
      <c r="L280" s="368"/>
      <c r="M280" s="368"/>
      <c r="N280" s="368"/>
      <c r="O280" s="368"/>
      <c r="P280" s="368"/>
      <c r="Q280" s="368"/>
      <c r="R280" s="370"/>
      <c r="S280" s="370">
        <f t="shared" si="80"/>
        <v>45.150000000001455</v>
      </c>
      <c r="T280" s="368"/>
      <c r="U280" s="368"/>
      <c r="V280" s="368"/>
      <c r="W280" s="368"/>
      <c r="X280" s="368"/>
      <c r="Y280" s="366"/>
      <c r="Z280" s="367"/>
      <c r="AA280" s="368"/>
      <c r="AB280" s="368"/>
      <c r="AC280" s="368"/>
      <c r="AD280" s="368"/>
      <c r="AE280" s="368"/>
      <c r="AF280" s="368"/>
      <c r="AG280" s="367"/>
      <c r="AH280" s="368"/>
      <c r="AI280" s="369"/>
      <c r="AJ280" s="368"/>
      <c r="AK280" s="368"/>
      <c r="AL280" s="368"/>
      <c r="AM280" s="368"/>
      <c r="AN280" s="373"/>
      <c r="AO280" s="373"/>
      <c r="AP280" s="373"/>
      <c r="AQ280" s="373">
        <f>+FL_1($T$281,$T$279,$G$280,1200,9.28,-1*$F$281)</f>
        <v>0.30564782755555553</v>
      </c>
      <c r="AR280" s="373"/>
      <c r="AS280" s="373"/>
      <c r="AT280" s="373"/>
      <c r="AU280" s="373"/>
      <c r="AV280" s="373"/>
      <c r="AW280" s="373"/>
      <c r="AX280" s="373"/>
      <c r="AY280" s="373"/>
      <c r="AZ280" s="373"/>
      <c r="BA280" s="373"/>
      <c r="BB280" s="306"/>
      <c r="BE280" s="1119"/>
    </row>
    <row r="281" spans="1:59" ht="14.25">
      <c r="A281" s="366"/>
      <c r="B281" s="366" t="s">
        <v>2175</v>
      </c>
      <c r="C281" s="367">
        <f>+$C$279+$G$280</f>
        <v>17814</v>
      </c>
      <c r="D281" s="368"/>
      <c r="E281" s="368"/>
      <c r="F281" s="369">
        <v>0</v>
      </c>
      <c r="G281" s="370"/>
      <c r="H281" s="371" t="s">
        <v>956</v>
      </c>
      <c r="I281" s="372"/>
      <c r="J281" s="367"/>
      <c r="K281" s="368"/>
      <c r="L281" s="368" t="s">
        <v>2977</v>
      </c>
      <c r="M281" s="368"/>
      <c r="N281" s="368" t="s">
        <v>674</v>
      </c>
      <c r="O281" s="368"/>
      <c r="P281" s="368"/>
      <c r="Q281" s="368">
        <v>0</v>
      </c>
      <c r="R281" s="369">
        <v>0</v>
      </c>
      <c r="S281" s="370"/>
      <c r="T281" s="368">
        <v>30</v>
      </c>
      <c r="U281" s="368"/>
      <c r="V281" s="368"/>
      <c r="W281" s="368">
        <v>1.4</v>
      </c>
      <c r="X281" s="368"/>
      <c r="Y281" s="366"/>
      <c r="Z281" s="367"/>
      <c r="AA281" s="368"/>
      <c r="AB281" s="368"/>
      <c r="AC281" s="368" t="s">
        <v>1700</v>
      </c>
      <c r="AD281" s="368"/>
      <c r="AE281" s="368"/>
      <c r="AF281" s="368">
        <v>900</v>
      </c>
      <c r="AG281" s="367">
        <v>17813.77</v>
      </c>
      <c r="AH281" s="368">
        <v>2928</v>
      </c>
      <c r="AI281" s="369">
        <v>-4458</v>
      </c>
      <c r="AJ281" s="368"/>
      <c r="AK281" s="368"/>
      <c r="AL281" s="368"/>
      <c r="AM281" s="368" t="s">
        <v>2021</v>
      </c>
      <c r="AN281" s="373">
        <v>5.45</v>
      </c>
      <c r="AO281" s="373"/>
      <c r="AP281" s="373"/>
      <c r="AQ281" s="373"/>
      <c r="AR281" s="373"/>
      <c r="AS281" s="373"/>
      <c r="AT281" s="373">
        <f>+ab($T$281,$T$279,$T$283,$G$280,$G$282,-1*$F$281,1200)</f>
        <v>14.100183350862617</v>
      </c>
      <c r="AU281" s="373"/>
      <c r="AV281" s="373"/>
      <c r="AW281" s="373" t="s">
        <v>699</v>
      </c>
      <c r="AX281" s="373" t="s">
        <v>699</v>
      </c>
      <c r="AY281" s="373" t="s">
        <v>699</v>
      </c>
      <c r="AZ281" s="373" t="s">
        <v>699</v>
      </c>
      <c r="BA281" s="373"/>
      <c r="BB281" s="306"/>
      <c r="BE281" s="1119"/>
    </row>
    <row r="282" spans="1:59" ht="14.25">
      <c r="A282" s="366"/>
      <c r="B282" s="366"/>
      <c r="C282" s="367"/>
      <c r="D282" s="368"/>
      <c r="E282" s="368"/>
      <c r="F282" s="369"/>
      <c r="G282" s="370">
        <v>45</v>
      </c>
      <c r="H282" s="371"/>
      <c r="I282" s="372">
        <f>SUM(G282:G297)</f>
        <v>456</v>
      </c>
      <c r="J282" s="367">
        <f>C283-10</f>
        <v>17849</v>
      </c>
      <c r="K282" s="368" t="s">
        <v>1060</v>
      </c>
      <c r="L282" s="368"/>
      <c r="M282" s="368"/>
      <c r="N282" s="368"/>
      <c r="O282" s="368"/>
      <c r="P282" s="368"/>
      <c r="Q282" s="368"/>
      <c r="R282" s="370"/>
      <c r="S282" s="370">
        <f t="shared" si="80"/>
        <v>45.149999999997817</v>
      </c>
      <c r="T282" s="368"/>
      <c r="U282" s="368"/>
      <c r="V282" s="368"/>
      <c r="W282" s="368"/>
      <c r="X282" s="368"/>
      <c r="Y282" s="366"/>
      <c r="Z282" s="367"/>
      <c r="AA282" s="368"/>
      <c r="AB282" s="368"/>
      <c r="AC282" s="368"/>
      <c r="AD282" s="368"/>
      <c r="AE282" s="368"/>
      <c r="AF282" s="368"/>
      <c r="AG282" s="367"/>
      <c r="AH282" s="368"/>
      <c r="AI282" s="369"/>
      <c r="AJ282" s="368"/>
      <c r="AK282" s="368"/>
      <c r="AL282" s="368"/>
      <c r="AM282" s="368"/>
      <c r="AN282" s="373"/>
      <c r="AO282" s="373"/>
      <c r="AP282" s="373"/>
      <c r="AQ282" s="373">
        <f>+FL_1($T$283,$T$281,$G$282,1200,9.28,-1*$F$283)</f>
        <v>0.5215482079999999</v>
      </c>
      <c r="AR282" s="373"/>
      <c r="AS282" s="373"/>
      <c r="AT282" s="373"/>
      <c r="AU282" s="373"/>
      <c r="AV282" s="373"/>
      <c r="AW282" s="373"/>
      <c r="AX282" s="373"/>
      <c r="AY282" s="373"/>
      <c r="AZ282" s="373"/>
      <c r="BA282" s="373"/>
      <c r="BB282" s="306"/>
      <c r="BE282" s="1119"/>
    </row>
    <row r="283" spans="1:59" ht="14.25">
      <c r="A283" s="366"/>
      <c r="B283" s="366" t="s">
        <v>2176</v>
      </c>
      <c r="C283" s="367">
        <f>+$C$281+$G$282</f>
        <v>17859</v>
      </c>
      <c r="D283" s="368"/>
      <c r="E283" s="368"/>
      <c r="F283" s="369">
        <v>0</v>
      </c>
      <c r="G283" s="370"/>
      <c r="H283" s="371" t="s">
        <v>2753</v>
      </c>
      <c r="I283" s="372" t="s">
        <v>911</v>
      </c>
      <c r="J283" s="367"/>
      <c r="K283" s="368"/>
      <c r="L283" s="368" t="s">
        <v>2977</v>
      </c>
      <c r="M283" s="368"/>
      <c r="N283" s="368" t="s">
        <v>674</v>
      </c>
      <c r="O283" s="368"/>
      <c r="P283" s="368"/>
      <c r="Q283" s="368">
        <v>0</v>
      </c>
      <c r="R283" s="369">
        <v>0</v>
      </c>
      <c r="S283" s="370"/>
      <c r="T283" s="368">
        <v>35</v>
      </c>
      <c r="U283" s="368"/>
      <c r="V283" s="368"/>
      <c r="W283" s="368">
        <v>1.4</v>
      </c>
      <c r="X283" s="368"/>
      <c r="Y283" s="366"/>
      <c r="Z283" s="367"/>
      <c r="AA283" s="368"/>
      <c r="AB283" s="368"/>
      <c r="AC283" s="368" t="s">
        <v>1700</v>
      </c>
      <c r="AD283" s="368"/>
      <c r="AE283" s="368"/>
      <c r="AF283" s="368">
        <v>900</v>
      </c>
      <c r="AG283" s="367">
        <v>17858.919999999998</v>
      </c>
      <c r="AH283" s="368">
        <v>2937</v>
      </c>
      <c r="AI283" s="369">
        <v>-4448</v>
      </c>
      <c r="AJ283" s="368"/>
      <c r="AK283" s="368"/>
      <c r="AL283" s="368"/>
      <c r="AM283" s="368" t="s">
        <v>2021</v>
      </c>
      <c r="AN283" s="373">
        <v>5.33</v>
      </c>
      <c r="AO283" s="373"/>
      <c r="AP283" s="373"/>
      <c r="AQ283" s="373"/>
      <c r="AR283" s="373"/>
      <c r="AS283" s="373"/>
      <c r="AT283" s="373">
        <f>+ab($T$283,$T$281,$U$285,$G$282,$G$284,-1*$F$283,1200)</f>
        <v>16.514119779997237</v>
      </c>
      <c r="AU283" s="373"/>
      <c r="AV283" s="373"/>
      <c r="AW283" s="373" t="s">
        <v>699</v>
      </c>
      <c r="AX283" s="373" t="s">
        <v>699</v>
      </c>
      <c r="AY283" s="373" t="s">
        <v>699</v>
      </c>
      <c r="AZ283" s="373" t="s">
        <v>699</v>
      </c>
      <c r="BA283" s="373"/>
      <c r="BB283" s="306"/>
      <c r="BE283" s="1119"/>
    </row>
    <row r="284" spans="1:59" ht="14.25">
      <c r="A284" s="366"/>
      <c r="B284" s="366"/>
      <c r="C284" s="367"/>
      <c r="D284" s="368"/>
      <c r="E284" s="368"/>
      <c r="F284" s="369"/>
      <c r="G284" s="370">
        <v>54</v>
      </c>
      <c r="H284" s="371"/>
      <c r="I284" s="372"/>
      <c r="J284" s="367">
        <f>C283+10</f>
        <v>17869</v>
      </c>
      <c r="K284" s="368" t="s">
        <v>1055</v>
      </c>
      <c r="L284" s="368"/>
      <c r="M284" s="368"/>
      <c r="N284" s="368"/>
      <c r="O284" s="368"/>
      <c r="P284" s="368"/>
      <c r="Q284" s="368"/>
      <c r="R284" s="370"/>
      <c r="S284" s="370">
        <f t="shared" si="80"/>
        <v>53.270000000000437</v>
      </c>
      <c r="T284" s="368"/>
      <c r="U284" s="368"/>
      <c r="V284" s="368"/>
      <c r="W284" s="368"/>
      <c r="X284" s="368"/>
      <c r="Y284" s="366"/>
      <c r="Z284" s="367"/>
      <c r="AA284" s="368"/>
      <c r="AB284" s="368"/>
      <c r="AC284" s="368"/>
      <c r="AD284" s="368"/>
      <c r="AE284" s="368"/>
      <c r="AF284" s="368"/>
      <c r="AG284" s="367"/>
      <c r="AH284" s="368"/>
      <c r="AI284" s="369"/>
      <c r="AJ284" s="368"/>
      <c r="AK284" s="368"/>
      <c r="AL284" s="368"/>
      <c r="AM284" s="368"/>
      <c r="AN284" s="373"/>
      <c r="AO284" s="373"/>
      <c r="AP284" s="373"/>
      <c r="AQ284" s="373">
        <f>+FL_1($U$285,$T$283,$G$284,1200,9.28,-1*$F$285)</f>
        <v>0.42395198088888891</v>
      </c>
      <c r="AR284" s="373"/>
      <c r="AS284" s="373"/>
      <c r="AT284" s="373"/>
      <c r="AU284" s="373"/>
      <c r="AV284" s="373"/>
      <c r="AW284" s="373"/>
      <c r="AX284" s="373"/>
      <c r="AY284" s="373"/>
      <c r="AZ284" s="373"/>
      <c r="BA284" s="373"/>
      <c r="BB284" s="306"/>
      <c r="BE284" s="1119"/>
    </row>
    <row r="285" spans="1:59" ht="14.25">
      <c r="A285" s="366"/>
      <c r="B285" s="366" t="s">
        <v>2177</v>
      </c>
      <c r="C285" s="367">
        <f>+$C$283+$G$284</f>
        <v>17913</v>
      </c>
      <c r="D285" s="368"/>
      <c r="E285" s="368"/>
      <c r="F285" s="369">
        <v>0</v>
      </c>
      <c r="G285" s="370"/>
      <c r="H285" s="371" t="s">
        <v>651</v>
      </c>
      <c r="I285" s="372" t="s">
        <v>1226</v>
      </c>
      <c r="J285" s="367"/>
      <c r="K285" s="368" t="s">
        <v>1060</v>
      </c>
      <c r="L285" s="368" t="s">
        <v>2978</v>
      </c>
      <c r="M285" s="368"/>
      <c r="N285" s="368" t="s">
        <v>675</v>
      </c>
      <c r="O285" s="368" t="s">
        <v>3251</v>
      </c>
      <c r="P285" s="368"/>
      <c r="Q285" s="368">
        <v>0</v>
      </c>
      <c r="R285" s="369">
        <v>0</v>
      </c>
      <c r="S285" s="370"/>
      <c r="T285" s="368">
        <v>-70</v>
      </c>
      <c r="U285" s="368">
        <v>-20</v>
      </c>
      <c r="V285" s="368"/>
      <c r="W285" s="368">
        <v>1.1000000000000001</v>
      </c>
      <c r="X285" s="368">
        <v>0.9</v>
      </c>
      <c r="Y285" s="366"/>
      <c r="Z285" s="368">
        <v>0.45</v>
      </c>
      <c r="AA285" s="368"/>
      <c r="AB285" s="368"/>
      <c r="AC285" s="368" t="s">
        <v>1700</v>
      </c>
      <c r="AD285" s="368"/>
      <c r="AE285" s="368"/>
      <c r="AF285" s="368">
        <v>900</v>
      </c>
      <c r="AG285" s="367">
        <v>17912.189999999999</v>
      </c>
      <c r="AH285" s="368">
        <v>2910</v>
      </c>
      <c r="AI285" s="369">
        <v>-4482</v>
      </c>
      <c r="AJ285" s="368"/>
      <c r="AK285" s="368"/>
      <c r="AL285" s="368"/>
      <c r="AM285" s="368" t="s">
        <v>2021</v>
      </c>
      <c r="AN285" s="373">
        <v>5.25</v>
      </c>
      <c r="AO285" s="373"/>
      <c r="AP285" s="373"/>
      <c r="AQ285" s="373"/>
      <c r="AR285" s="373"/>
      <c r="AS285" s="373"/>
      <c r="AT285" s="373">
        <f>+ab($U$285,$T$283,$U$287,$G$284,$G$286,-1*$F$285,1200)</f>
        <v>-19.885624362006986</v>
      </c>
      <c r="AU285" s="373"/>
      <c r="AV285" s="373"/>
      <c r="AW285" s="373" t="s">
        <v>699</v>
      </c>
      <c r="AX285" s="373" t="s">
        <v>699</v>
      </c>
      <c r="AY285" s="373" t="s">
        <v>699</v>
      </c>
      <c r="AZ285" s="373" t="s">
        <v>699</v>
      </c>
      <c r="BA285" s="373"/>
      <c r="BB285" s="306"/>
      <c r="BE285" s="1119"/>
    </row>
    <row r="286" spans="1:59" ht="14.25">
      <c r="A286" s="366" t="s">
        <v>978</v>
      </c>
      <c r="B286" s="366"/>
      <c r="C286" s="367"/>
      <c r="D286" s="368"/>
      <c r="E286" s="368"/>
      <c r="F286" s="369"/>
      <c r="G286" s="370">
        <v>54</v>
      </c>
      <c r="H286" s="371"/>
      <c r="I286" s="372" t="s">
        <v>1226</v>
      </c>
      <c r="J286" s="367"/>
      <c r="K286" s="368" t="s">
        <v>1060</v>
      </c>
      <c r="L286" s="368"/>
      <c r="M286" s="368"/>
      <c r="N286" s="368"/>
      <c r="O286" s="368"/>
      <c r="P286" s="368"/>
      <c r="Q286" s="368"/>
      <c r="R286" s="370"/>
      <c r="S286" s="370">
        <f t="shared" si="80"/>
        <v>54.830000000001746</v>
      </c>
      <c r="T286" s="368"/>
      <c r="U286" s="368"/>
      <c r="V286" s="368"/>
      <c r="W286" s="368"/>
      <c r="X286" s="368"/>
      <c r="Y286" s="368"/>
      <c r="Z286" s="368"/>
      <c r="AA286" s="368"/>
      <c r="AB286" s="368"/>
      <c r="AC286" s="368"/>
      <c r="AD286" s="368"/>
      <c r="AE286" s="368"/>
      <c r="AF286" s="368"/>
      <c r="AG286" s="367">
        <v>17913.71</v>
      </c>
      <c r="AH286" s="368">
        <v>2883</v>
      </c>
      <c r="AI286" s="369">
        <v>-4475</v>
      </c>
      <c r="AJ286" s="368"/>
      <c r="AK286" s="368"/>
      <c r="AL286" s="368"/>
      <c r="AM286" s="368"/>
      <c r="AN286" s="373"/>
      <c r="AO286" s="373"/>
      <c r="AP286" s="373"/>
      <c r="AQ286" s="373">
        <f>+FL_2($U$287,$U$285,$G$286,1200,8.28,-1*$F$287)</f>
        <v>-0.47712625874074072</v>
      </c>
      <c r="AR286" s="373"/>
      <c r="AS286" s="373"/>
      <c r="AT286" s="373"/>
      <c r="AU286" s="373"/>
      <c r="AV286" s="373"/>
      <c r="AW286" s="373"/>
      <c r="AX286" s="373"/>
      <c r="AY286" s="373" t="s">
        <v>695</v>
      </c>
      <c r="AZ286" s="373"/>
      <c r="BA286" s="373"/>
      <c r="BB286" s="306"/>
      <c r="BE286" s="1119"/>
    </row>
    <row r="287" spans="1:59" ht="14.25">
      <c r="A287" s="340"/>
      <c r="B287" s="340" t="s">
        <v>2589</v>
      </c>
      <c r="C287" s="288">
        <f>+$C$285+$G$286</f>
        <v>17967</v>
      </c>
      <c r="D287" s="334"/>
      <c r="E287" s="1121"/>
      <c r="F287" s="289">
        <v>0</v>
      </c>
      <c r="G287" s="292"/>
      <c r="H287" s="291" t="s">
        <v>2763</v>
      </c>
      <c r="I287" s="294"/>
      <c r="J287" s="288"/>
      <c r="K287" s="1121"/>
      <c r="L287" s="1121" t="s">
        <v>231</v>
      </c>
      <c r="M287" s="1121" t="s">
        <v>2672</v>
      </c>
      <c r="N287" s="1121" t="s">
        <v>145</v>
      </c>
      <c r="O287" s="1121" t="s">
        <v>144</v>
      </c>
      <c r="P287" s="1121"/>
      <c r="Q287" s="1121"/>
      <c r="R287" s="292"/>
      <c r="S287" s="292"/>
      <c r="T287" s="1121">
        <v>-80</v>
      </c>
      <c r="U287" s="1121">
        <v>-25</v>
      </c>
      <c r="V287" s="1121"/>
      <c r="W287" s="1121">
        <v>1.4</v>
      </c>
      <c r="X287" s="1121">
        <v>0.9</v>
      </c>
      <c r="Y287" s="1121"/>
      <c r="Z287" s="1121">
        <v>-0.05</v>
      </c>
      <c r="AA287" s="1121"/>
      <c r="AB287" s="1121"/>
      <c r="AC287" s="1121" t="s">
        <v>1704</v>
      </c>
      <c r="AD287" s="1121"/>
      <c r="AE287" s="1121"/>
      <c r="AF287" s="1121">
        <v>6000</v>
      </c>
      <c r="AG287" s="288">
        <v>17967.02</v>
      </c>
      <c r="AH287" s="1121">
        <v>3523</v>
      </c>
      <c r="AI287" s="289">
        <v>789</v>
      </c>
      <c r="AJ287" s="1121"/>
      <c r="AK287" s="1121"/>
      <c r="AL287" s="1121"/>
      <c r="AM287" s="1121" t="s">
        <v>1228</v>
      </c>
      <c r="AN287" s="315">
        <v>5.25</v>
      </c>
      <c r="AO287" s="315"/>
      <c r="AP287" s="315"/>
      <c r="AQ287" s="315"/>
      <c r="AR287" s="315"/>
      <c r="AS287" s="315"/>
      <c r="AT287" s="315">
        <f>+ab($U$287,$U$285,$T$289,$G$286,$G$288,-1*$F$287,1200)</f>
        <v>-18.202331729627787</v>
      </c>
      <c r="AU287" s="315"/>
      <c r="AV287" s="315"/>
      <c r="AW287" s="315" t="s">
        <v>2630</v>
      </c>
      <c r="AX287" s="315" t="s">
        <v>1639</v>
      </c>
      <c r="AY287" s="315">
        <v>3.4</v>
      </c>
      <c r="AZ287" s="315"/>
      <c r="BA287" s="315"/>
      <c r="BB287" s="306"/>
      <c r="BE287" s="1119"/>
    </row>
    <row r="288" spans="1:59" ht="14.25">
      <c r="A288" s="340"/>
      <c r="B288" s="340"/>
      <c r="C288" s="288"/>
      <c r="D288" s="334"/>
      <c r="E288" s="1121"/>
      <c r="F288" s="289"/>
      <c r="G288" s="292">
        <v>64.8</v>
      </c>
      <c r="H288" s="291"/>
      <c r="I288" s="294"/>
      <c r="J288" s="288"/>
      <c r="K288" s="1121"/>
      <c r="L288" s="1121"/>
      <c r="M288" s="1121"/>
      <c r="N288" s="1121"/>
      <c r="O288" s="1121"/>
      <c r="P288" s="1121"/>
      <c r="Q288" s="1121"/>
      <c r="R288" s="292"/>
      <c r="S288" s="292">
        <f t="shared" si="80"/>
        <v>62.880000000001019</v>
      </c>
      <c r="T288" s="1121"/>
      <c r="U288" s="1121"/>
      <c r="V288" s="1121"/>
      <c r="W288" s="1121"/>
      <c r="X288" s="1121"/>
      <c r="Y288" s="1121"/>
      <c r="Z288" s="1121"/>
      <c r="AA288" s="1121"/>
      <c r="AB288" s="1121"/>
      <c r="AC288" s="1121"/>
      <c r="AD288" s="1121"/>
      <c r="AE288" s="1121"/>
      <c r="AF288" s="1121"/>
      <c r="AG288" s="288"/>
      <c r="AH288" s="1121"/>
      <c r="AI288" s="289"/>
      <c r="AJ288" s="1121"/>
      <c r="AK288" s="1121"/>
      <c r="AL288" s="1121"/>
      <c r="AM288" s="1121"/>
      <c r="AN288" s="315"/>
      <c r="AO288" s="315"/>
      <c r="AP288" s="315"/>
      <c r="AQ288" s="315">
        <f>+FL_1($T$289,$T$287,$G$288,1200,9.28,-1*$F$289)</f>
        <v>0.38454056666666658</v>
      </c>
      <c r="AR288" s="315"/>
      <c r="AS288" s="315"/>
      <c r="AT288" s="315"/>
      <c r="AU288" s="315"/>
      <c r="AV288" s="315"/>
      <c r="AW288" s="315"/>
      <c r="AX288" s="315"/>
      <c r="AY288" s="315"/>
      <c r="AZ288" s="315"/>
      <c r="BA288" s="315"/>
      <c r="BB288" s="306"/>
      <c r="BE288" s="1119"/>
    </row>
    <row r="289" spans="1:60" ht="14.25">
      <c r="A289" s="340"/>
      <c r="B289" s="340" t="s">
        <v>2178</v>
      </c>
      <c r="C289" s="288">
        <f>+$C$287+$G$288</f>
        <v>18031.8</v>
      </c>
      <c r="D289" s="334"/>
      <c r="E289" s="1121"/>
      <c r="F289" s="289">
        <v>0</v>
      </c>
      <c r="G289" s="292"/>
      <c r="H289" s="1121"/>
      <c r="I289" s="294"/>
      <c r="J289" s="288"/>
      <c r="K289" s="1121"/>
      <c r="L289" s="1121"/>
      <c r="M289" s="1121"/>
      <c r="N289" s="1121" t="s">
        <v>917</v>
      </c>
      <c r="O289" s="1121"/>
      <c r="P289" s="1121"/>
      <c r="Q289" s="1121"/>
      <c r="R289" s="292"/>
      <c r="S289" s="292"/>
      <c r="T289" s="1121">
        <v>35</v>
      </c>
      <c r="U289" s="1121"/>
      <c r="V289" s="1121"/>
      <c r="W289" s="1121">
        <v>1.4</v>
      </c>
      <c r="X289" s="1121"/>
      <c r="Y289" s="1121"/>
      <c r="Z289" s="1121"/>
      <c r="AA289" s="1121"/>
      <c r="AB289" s="1121"/>
      <c r="AC289" s="1121" t="s">
        <v>1700</v>
      </c>
      <c r="AD289" s="1121"/>
      <c r="AE289" s="1121"/>
      <c r="AF289" s="1121">
        <v>200</v>
      </c>
      <c r="AG289" s="288">
        <v>18029.900000000001</v>
      </c>
      <c r="AH289" s="1121">
        <v>2150</v>
      </c>
      <c r="AI289" s="289">
        <v>5150</v>
      </c>
      <c r="AJ289" s="1121"/>
      <c r="AK289" s="1121" t="s">
        <v>139</v>
      </c>
      <c r="AL289" s="1121"/>
      <c r="AM289" s="1121"/>
      <c r="AN289" s="315">
        <v>5.35</v>
      </c>
      <c r="AO289" s="315"/>
      <c r="AP289" s="315"/>
      <c r="AQ289" s="315"/>
      <c r="AR289" s="315"/>
      <c r="AS289" s="315"/>
      <c r="AT289" s="315">
        <f>+ab($T$289,$U$287,$T$291,$G$288,$G$290,-1*$F$289,1200)</f>
        <v>9.3961575818481098</v>
      </c>
      <c r="AU289" s="315"/>
      <c r="AV289" s="315"/>
      <c r="AW289" s="315"/>
      <c r="AX289" s="315"/>
      <c r="AY289" s="315"/>
      <c r="AZ289" s="315"/>
      <c r="BA289" s="315"/>
      <c r="BB289" s="306"/>
    </row>
    <row r="290" spans="1:60" ht="14.25">
      <c r="A290" s="340"/>
      <c r="B290" s="287"/>
      <c r="C290" s="288"/>
      <c r="D290" s="1121"/>
      <c r="E290" s="1121"/>
      <c r="F290" s="289"/>
      <c r="G290" s="292">
        <v>59.2</v>
      </c>
      <c r="H290" s="291"/>
      <c r="I290" s="294"/>
      <c r="J290" s="288">
        <f>C291-7.5</f>
        <v>18083.5</v>
      </c>
      <c r="K290" s="1121" t="s">
        <v>2670</v>
      </c>
      <c r="L290" s="1121"/>
      <c r="M290" s="1121"/>
      <c r="N290" s="1121"/>
      <c r="O290" s="1121"/>
      <c r="P290" s="1121"/>
      <c r="Q290" s="1121"/>
      <c r="R290" s="292"/>
      <c r="S290" s="292">
        <f t="shared" si="80"/>
        <v>61.599999999998545</v>
      </c>
      <c r="T290" s="1121"/>
      <c r="U290" s="1121"/>
      <c r="V290" s="1121"/>
      <c r="W290" s="1121"/>
      <c r="X290" s="1121"/>
      <c r="Y290" s="1121"/>
      <c r="Z290" s="1121"/>
      <c r="AA290" s="1121"/>
      <c r="AB290" s="1121"/>
      <c r="AC290" s="1121"/>
      <c r="AD290" s="1121"/>
      <c r="AE290" s="1121"/>
      <c r="AF290" s="1121"/>
      <c r="AG290" s="288"/>
      <c r="AH290" s="1121"/>
      <c r="AI290" s="289"/>
      <c r="AJ290" s="1121"/>
      <c r="AK290" s="1121"/>
      <c r="AL290" s="1121"/>
      <c r="AM290" s="1121"/>
      <c r="AN290" s="315"/>
      <c r="AO290" s="315"/>
      <c r="AP290" s="315"/>
      <c r="AQ290" s="315">
        <f>+FL_1($T$291,$T$289,$G$290,1200,9.28,-1*$F$291)</f>
        <v>0.44172656216216222</v>
      </c>
      <c r="AR290" s="315"/>
      <c r="AS290" s="315"/>
      <c r="AT290" s="315"/>
      <c r="AU290" s="315"/>
      <c r="AV290" s="315"/>
      <c r="AW290" s="315" t="s">
        <v>2630</v>
      </c>
      <c r="AX290" s="315" t="s">
        <v>1639</v>
      </c>
      <c r="AY290" s="315"/>
      <c r="AZ290" s="315">
        <v>3.9</v>
      </c>
      <c r="BA290" s="1025" t="s">
        <v>3012</v>
      </c>
      <c r="BB290" s="306"/>
    </row>
    <row r="291" spans="1:60" ht="14.25">
      <c r="A291" s="1037"/>
      <c r="B291" s="340" t="s">
        <v>2179</v>
      </c>
      <c r="C291" s="288">
        <f>+$C$289+$G$290</f>
        <v>18091</v>
      </c>
      <c r="D291" s="1121"/>
      <c r="E291" s="1121"/>
      <c r="F291" s="289">
        <v>0</v>
      </c>
      <c r="G291" s="292"/>
      <c r="H291" s="1121" t="s">
        <v>138</v>
      </c>
      <c r="I291" s="294" t="s">
        <v>656</v>
      </c>
      <c r="J291" s="288"/>
      <c r="K291" s="1121"/>
      <c r="L291" s="1121" t="s">
        <v>880</v>
      </c>
      <c r="M291" s="1121" t="s">
        <v>2678</v>
      </c>
      <c r="N291" s="1121" t="s">
        <v>144</v>
      </c>
      <c r="O291" s="1121"/>
      <c r="P291" s="1121"/>
      <c r="Q291" s="1121">
        <v>0</v>
      </c>
      <c r="R291" s="289">
        <v>0</v>
      </c>
      <c r="S291" s="292"/>
      <c r="T291" s="1121">
        <v>-30</v>
      </c>
      <c r="U291" s="1121"/>
      <c r="V291" s="1121"/>
      <c r="W291" s="1121">
        <v>1.4</v>
      </c>
      <c r="X291" s="1121"/>
      <c r="Y291" s="1121"/>
      <c r="Z291" s="1121"/>
      <c r="AA291" s="1121"/>
      <c r="AB291" s="1121"/>
      <c r="AC291" s="1121" t="s">
        <v>1704</v>
      </c>
      <c r="AD291" s="1121"/>
      <c r="AE291" s="1121"/>
      <c r="AF291" s="1121">
        <v>6000</v>
      </c>
      <c r="AG291" s="288">
        <v>18091.5</v>
      </c>
      <c r="AH291" s="1121">
        <v>2288</v>
      </c>
      <c r="AI291" s="289">
        <v>514</v>
      </c>
      <c r="AJ291" s="1121"/>
      <c r="AK291" s="1121"/>
      <c r="AL291" s="1121"/>
      <c r="AM291" s="1121" t="s">
        <v>1228</v>
      </c>
      <c r="AN291" s="315">
        <v>5.45</v>
      </c>
      <c r="AO291" s="315"/>
      <c r="AP291" s="315"/>
      <c r="AQ291" s="315"/>
      <c r="AR291" s="315"/>
      <c r="AS291" s="315"/>
      <c r="AT291" s="315">
        <f>+ab($T$291,$T$289,$U$293,$G$290,$G$292,-1*$F$291,1200)</f>
        <v>-10.397620375905062</v>
      </c>
      <c r="AU291" s="315"/>
      <c r="AV291" s="315"/>
      <c r="AW291" s="315" t="s">
        <v>2630</v>
      </c>
      <c r="AX291" s="315" t="s">
        <v>1639</v>
      </c>
      <c r="AY291" s="315">
        <v>3.3</v>
      </c>
      <c r="AZ291" s="315"/>
      <c r="BA291" s="1025" t="s">
        <v>3012</v>
      </c>
      <c r="BB291" s="306"/>
    </row>
    <row r="292" spans="1:60" ht="14.25">
      <c r="A292" s="340"/>
      <c r="B292" s="287"/>
      <c r="C292" s="288"/>
      <c r="D292" s="1121"/>
      <c r="E292" s="1121"/>
      <c r="F292" s="289"/>
      <c r="G292" s="292">
        <v>55</v>
      </c>
      <c r="H292" s="291"/>
      <c r="I292" s="294"/>
      <c r="J292" s="288"/>
      <c r="K292" s="1121"/>
      <c r="L292" s="1121"/>
      <c r="M292" s="1121"/>
      <c r="N292" s="1121"/>
      <c r="O292" s="1121"/>
      <c r="P292" s="1121"/>
      <c r="Q292" s="1121"/>
      <c r="R292" s="292"/>
      <c r="S292" s="292">
        <f t="shared" si="80"/>
        <v>55.169999999998254</v>
      </c>
      <c r="T292" s="1121"/>
      <c r="U292" s="1121"/>
      <c r="V292" s="1121"/>
      <c r="W292" s="1121"/>
      <c r="X292" s="1121"/>
      <c r="Y292" s="1121"/>
      <c r="Z292" s="1121"/>
      <c r="AA292" s="1121"/>
      <c r="AB292" s="1121"/>
      <c r="AC292" s="1121"/>
      <c r="AD292" s="1121"/>
      <c r="AE292" s="1121"/>
      <c r="AF292" s="1121"/>
      <c r="AG292" s="288"/>
      <c r="AH292" s="1121"/>
      <c r="AI292" s="289"/>
      <c r="AJ292" s="1121"/>
      <c r="AK292" s="1121"/>
      <c r="AL292" s="1121"/>
      <c r="AM292" s="1121"/>
      <c r="AN292" s="315"/>
      <c r="AO292" s="315"/>
      <c r="AP292" s="315"/>
      <c r="AQ292" s="315">
        <f>+FL_2($U$293,$T$291,$G$290,1200,9.28,-1*$F$291)</f>
        <v>-0.46829938205405403</v>
      </c>
      <c r="AR292" s="315"/>
      <c r="AS292" s="315"/>
      <c r="AT292" s="315"/>
      <c r="AU292" s="315"/>
      <c r="AV292" s="315"/>
      <c r="AW292" s="315"/>
      <c r="AX292" s="315"/>
      <c r="AY292" s="315"/>
      <c r="AZ292" s="315"/>
      <c r="BA292" s="315"/>
      <c r="BB292" s="306"/>
    </row>
    <row r="293" spans="1:60" ht="14.25">
      <c r="A293" s="1037"/>
      <c r="B293" s="340" t="s">
        <v>2180</v>
      </c>
      <c r="C293" s="288">
        <f>+$C$291+$G$292</f>
        <v>18146</v>
      </c>
      <c r="D293" s="1121"/>
      <c r="E293" s="1121"/>
      <c r="F293" s="289">
        <v>0</v>
      </c>
      <c r="G293" s="292"/>
      <c r="H293" s="291" t="s">
        <v>651</v>
      </c>
      <c r="I293" s="294"/>
      <c r="J293" s="288"/>
      <c r="K293" s="1121"/>
      <c r="L293" s="1121" t="s">
        <v>231</v>
      </c>
      <c r="M293" s="1121" t="s">
        <v>2673</v>
      </c>
      <c r="N293" s="1121" t="s">
        <v>140</v>
      </c>
      <c r="O293" s="1121" t="s">
        <v>145</v>
      </c>
      <c r="P293" s="1121"/>
      <c r="Q293" s="1121">
        <v>0</v>
      </c>
      <c r="R293" s="289">
        <v>0</v>
      </c>
      <c r="S293" s="292"/>
      <c r="T293" s="1121">
        <v>55</v>
      </c>
      <c r="U293" s="1121">
        <v>10</v>
      </c>
      <c r="V293" s="1121"/>
      <c r="W293" s="1121">
        <v>1.4</v>
      </c>
      <c r="X293" s="1121">
        <v>2.2999999999999998</v>
      </c>
      <c r="Y293" s="1121"/>
      <c r="Z293" s="1121">
        <v>0.5</v>
      </c>
      <c r="AA293" s="1121"/>
      <c r="AB293" s="1121"/>
      <c r="AC293" s="1121" t="s">
        <v>1704</v>
      </c>
      <c r="AD293" s="1121"/>
      <c r="AE293" s="1121"/>
      <c r="AF293" s="1121">
        <v>6000</v>
      </c>
      <c r="AG293" s="288">
        <v>18146.669999999998</v>
      </c>
      <c r="AH293" s="1121">
        <v>2592</v>
      </c>
      <c r="AI293" s="289">
        <v>660</v>
      </c>
      <c r="AJ293" s="1121"/>
      <c r="AK293" s="1121"/>
      <c r="AL293" s="1121"/>
      <c r="AM293" s="1121" t="s">
        <v>1228</v>
      </c>
      <c r="AN293" s="315">
        <v>5.5</v>
      </c>
      <c r="AO293" s="315"/>
      <c r="AP293" s="315"/>
      <c r="AQ293" s="315"/>
      <c r="AR293" s="315"/>
      <c r="AS293" s="315"/>
      <c r="AT293" s="315">
        <f>+ab($T$299,$T$295,$T$301,$G$297,$G$300,-1*$F$299,1200)</f>
        <v>11.615280217972053</v>
      </c>
      <c r="AU293" s="315"/>
      <c r="AV293" s="315"/>
      <c r="AW293" s="315" t="s">
        <v>2630</v>
      </c>
      <c r="AX293" s="315" t="s">
        <v>1639</v>
      </c>
      <c r="AY293" s="315">
        <v>3.4</v>
      </c>
      <c r="AZ293" s="315"/>
      <c r="BA293" s="1025" t="s">
        <v>3012</v>
      </c>
      <c r="BB293" s="306"/>
    </row>
    <row r="294" spans="1:60" ht="14.25">
      <c r="A294" s="340"/>
      <c r="B294" s="287"/>
      <c r="C294" s="288"/>
      <c r="D294" s="1121"/>
      <c r="E294" s="1121"/>
      <c r="F294" s="289"/>
      <c r="G294" s="292">
        <v>59</v>
      </c>
      <c r="H294" s="291"/>
      <c r="I294" s="289"/>
      <c r="J294" s="288"/>
      <c r="K294" s="1121"/>
      <c r="L294" s="1121"/>
      <c r="M294" s="1121"/>
      <c r="N294" s="1121"/>
      <c r="O294" s="1121"/>
      <c r="P294" s="1121"/>
      <c r="Q294" s="1121"/>
      <c r="R294" s="292"/>
      <c r="S294" s="292">
        <f t="shared" si="80"/>
        <v>59.030000000002474</v>
      </c>
      <c r="T294" s="1121"/>
      <c r="U294" s="1121"/>
      <c r="V294" s="1121"/>
      <c r="W294" s="1121"/>
      <c r="X294" s="1121"/>
      <c r="Y294" s="1121"/>
      <c r="Z294" s="1121"/>
      <c r="AA294" s="1121"/>
      <c r="AB294" s="1121"/>
      <c r="AC294" s="1121"/>
      <c r="AD294" s="1121"/>
      <c r="AE294" s="1121"/>
      <c r="AF294" s="1121"/>
      <c r="AG294" s="288"/>
      <c r="AH294" s="1121"/>
      <c r="AI294" s="289"/>
      <c r="AJ294" s="1121"/>
      <c r="AK294" s="1121"/>
      <c r="AL294" s="1121"/>
      <c r="AM294" s="1121"/>
      <c r="AN294" s="315"/>
      <c r="AO294" s="315"/>
      <c r="AP294" s="315"/>
      <c r="AQ294" s="315">
        <f>+FL_1($T$295,$U$293,$G$294,1200,9.28,-1*$F$295)</f>
        <v>0.34392615629378531</v>
      </c>
      <c r="AR294" s="315"/>
      <c r="AS294" s="315"/>
      <c r="AT294" s="315"/>
      <c r="AU294" s="315"/>
      <c r="AV294" s="315"/>
      <c r="AW294" s="315"/>
      <c r="AX294" s="315"/>
      <c r="AY294" s="315"/>
      <c r="AZ294" s="315"/>
      <c r="BA294" s="315"/>
      <c r="BB294" s="306"/>
    </row>
    <row r="295" spans="1:60" ht="14.25">
      <c r="A295" s="1037" t="s">
        <v>3228</v>
      </c>
      <c r="B295" s="340" t="s">
        <v>2181</v>
      </c>
      <c r="C295" s="288">
        <f>+$C$293+$G$294</f>
        <v>18205</v>
      </c>
      <c r="D295" s="1121"/>
      <c r="E295" s="1121"/>
      <c r="F295" s="289">
        <v>0</v>
      </c>
      <c r="G295" s="292"/>
      <c r="H295" s="291" t="s">
        <v>651</v>
      </c>
      <c r="I295" s="294" t="s">
        <v>2016</v>
      </c>
      <c r="J295" s="288"/>
      <c r="K295" s="1121"/>
      <c r="L295" s="1121" t="s">
        <v>231</v>
      </c>
      <c r="M295" s="1121" t="s">
        <v>2673</v>
      </c>
      <c r="N295" s="1121" t="s">
        <v>3250</v>
      </c>
      <c r="O295" s="1121" t="s">
        <v>140</v>
      </c>
      <c r="P295" s="1121"/>
      <c r="Q295" s="1121">
        <v>0</v>
      </c>
      <c r="R295" s="289">
        <v>0</v>
      </c>
      <c r="S295" s="292"/>
      <c r="T295" s="1121">
        <v>-10</v>
      </c>
      <c r="U295" s="1121">
        <v>-55</v>
      </c>
      <c r="V295" s="1121"/>
      <c r="W295" s="1121">
        <v>1.4</v>
      </c>
      <c r="X295" s="1121">
        <v>2.2999999999999998</v>
      </c>
      <c r="Y295" s="1121"/>
      <c r="Z295" s="1121"/>
      <c r="AA295" s="1121">
        <v>0.5</v>
      </c>
      <c r="AB295" s="1121"/>
      <c r="AC295" s="1121" t="s">
        <v>1704</v>
      </c>
      <c r="AD295" s="1121"/>
      <c r="AE295" s="1121"/>
      <c r="AF295" s="1121">
        <v>6000</v>
      </c>
      <c r="AG295" s="288">
        <v>18205.7</v>
      </c>
      <c r="AH295" s="1121">
        <v>2592</v>
      </c>
      <c r="AI295" s="289">
        <v>660</v>
      </c>
      <c r="AJ295" s="1121" t="s">
        <v>3224</v>
      </c>
      <c r="AK295" s="1121"/>
      <c r="AL295" s="1121"/>
      <c r="AM295" s="1121" t="s">
        <v>1228</v>
      </c>
      <c r="AN295" s="315">
        <v>5.5</v>
      </c>
      <c r="AO295" s="315"/>
      <c r="AP295" s="315"/>
      <c r="AQ295" s="315"/>
      <c r="AR295" s="315"/>
      <c r="AS295" s="315"/>
      <c r="AT295" s="315">
        <f>+ab($T$299,$T$295,$T$301,$G$297,$G$300,-1*$F$299,1200)</f>
        <v>11.615280217972053</v>
      </c>
      <c r="AU295" s="315"/>
      <c r="AV295" s="315"/>
      <c r="AW295" s="315" t="s">
        <v>2630</v>
      </c>
      <c r="AX295" s="315" t="s">
        <v>1639</v>
      </c>
      <c r="AY295" s="315">
        <v>3.4</v>
      </c>
      <c r="AZ295" s="315"/>
      <c r="BA295" s="1025" t="s">
        <v>3012</v>
      </c>
      <c r="BB295" s="306"/>
    </row>
    <row r="296" spans="1:60" ht="14.25">
      <c r="A296" s="340"/>
      <c r="B296" s="340"/>
      <c r="C296" s="288"/>
      <c r="D296" s="1121"/>
      <c r="E296" s="1121"/>
      <c r="F296" s="289"/>
      <c r="G296" s="292"/>
      <c r="H296" s="291"/>
      <c r="I296" s="294"/>
      <c r="J296" s="288"/>
      <c r="K296" s="1121"/>
      <c r="L296" s="1121"/>
      <c r="M296" s="1121"/>
      <c r="N296" s="1121"/>
      <c r="O296" s="1121"/>
      <c r="P296" s="1121"/>
      <c r="Q296" s="1121"/>
      <c r="R296" s="292"/>
      <c r="S296" s="292">
        <f>+AG299-AG295</f>
        <v>65.090000000000146</v>
      </c>
      <c r="T296" s="1121"/>
      <c r="U296" s="1121"/>
      <c r="V296" s="1121"/>
      <c r="W296" s="1121"/>
      <c r="X296" s="1121"/>
      <c r="Y296" s="1121"/>
      <c r="Z296" s="1121"/>
      <c r="AA296" s="1121"/>
      <c r="AB296" s="1121"/>
      <c r="AC296" s="1121"/>
      <c r="AD296" s="1121"/>
      <c r="AE296" s="1121"/>
      <c r="AF296" s="1121"/>
      <c r="AG296" s="288"/>
      <c r="AH296" s="1121"/>
      <c r="AI296" s="289"/>
      <c r="AJ296" s="1121" t="s">
        <v>3002</v>
      </c>
      <c r="AK296" s="1121"/>
      <c r="AL296" s="1121"/>
      <c r="AM296" s="1121"/>
      <c r="AN296" s="315"/>
      <c r="AO296" s="315"/>
      <c r="AP296" s="315"/>
      <c r="AQ296" s="315"/>
      <c r="AR296" s="315"/>
      <c r="AS296" s="315"/>
      <c r="AT296" s="315"/>
      <c r="AU296" s="315"/>
      <c r="AV296" s="315"/>
      <c r="AW296" s="315"/>
      <c r="AX296" s="315"/>
      <c r="AY296" s="315"/>
      <c r="AZ296" s="315"/>
      <c r="BA296" s="315"/>
      <c r="BB296" s="306"/>
    </row>
    <row r="297" spans="1:60" ht="14.25">
      <c r="A297" s="340"/>
      <c r="B297" s="287" t="s">
        <v>3003</v>
      </c>
      <c r="C297" s="288">
        <v>18240</v>
      </c>
      <c r="D297" s="1121"/>
      <c r="E297" s="1121"/>
      <c r="F297" s="289"/>
      <c r="G297" s="292">
        <v>65</v>
      </c>
      <c r="H297" s="291" t="s">
        <v>138</v>
      </c>
      <c r="I297" s="294" t="s">
        <v>2718</v>
      </c>
      <c r="J297" s="288"/>
      <c r="K297" s="1121"/>
      <c r="L297" s="1121" t="s">
        <v>1061</v>
      </c>
      <c r="M297" s="1121" t="s">
        <v>2673</v>
      </c>
      <c r="N297" s="1121"/>
      <c r="O297" s="1121"/>
      <c r="P297" s="1121"/>
      <c r="Q297" s="1121"/>
      <c r="R297" s="292"/>
      <c r="S297" s="292"/>
      <c r="T297" s="1121"/>
      <c r="U297" s="1121"/>
      <c r="V297" s="1121"/>
      <c r="W297" s="1121"/>
      <c r="X297" s="1121"/>
      <c r="Y297" s="1121"/>
      <c r="Z297" s="1121"/>
      <c r="AA297" s="1121"/>
      <c r="AB297" s="1121"/>
      <c r="AC297" s="1121"/>
      <c r="AD297" s="1121"/>
      <c r="AE297" s="1121"/>
      <c r="AF297" s="1121"/>
      <c r="AG297" s="288">
        <v>18240</v>
      </c>
      <c r="AH297" s="1121">
        <v>2495</v>
      </c>
      <c r="AI297" s="289">
        <v>650</v>
      </c>
      <c r="AJ297" s="1121"/>
      <c r="AK297" s="1121"/>
      <c r="AL297" s="1121"/>
      <c r="AM297" s="1121" t="s">
        <v>1228</v>
      </c>
      <c r="AN297" s="315">
        <v>5.5</v>
      </c>
      <c r="AO297" s="315"/>
      <c r="AP297" s="315"/>
      <c r="AQ297" s="315"/>
      <c r="AR297" s="315"/>
      <c r="AS297" s="315"/>
      <c r="AT297" s="315">
        <f>+ab($T$299,$T$295,$T$301,$G$297,$G$300,-1*$F$299,1200)</f>
        <v>11.615280217972053</v>
      </c>
      <c r="AU297" s="315"/>
      <c r="AV297" s="315"/>
      <c r="AW297" s="315" t="s">
        <v>2630</v>
      </c>
      <c r="AX297" s="315" t="s">
        <v>1639</v>
      </c>
      <c r="AY297" s="315">
        <v>3.4</v>
      </c>
      <c r="AZ297" s="315"/>
      <c r="BA297" s="1025" t="s">
        <v>3012</v>
      </c>
      <c r="BB297" s="306"/>
    </row>
    <row r="298" spans="1:60" ht="14.25">
      <c r="A298" s="340"/>
      <c r="B298" s="287"/>
      <c r="C298" s="288"/>
      <c r="D298" s="1121"/>
      <c r="E298" s="1121"/>
      <c r="F298" s="289"/>
      <c r="G298" s="292"/>
      <c r="H298" s="291"/>
      <c r="I298" s="294"/>
      <c r="J298" s="288">
        <f>C297+7.5</f>
        <v>18247.5</v>
      </c>
      <c r="K298" s="1121" t="s">
        <v>2670</v>
      </c>
      <c r="L298" s="1121"/>
      <c r="M298" s="1121"/>
      <c r="N298" s="1121"/>
      <c r="O298" s="1121"/>
      <c r="P298" s="1121"/>
      <c r="Q298" s="1121"/>
      <c r="R298" s="292"/>
      <c r="S298" s="292"/>
      <c r="T298" s="1121"/>
      <c r="U298" s="1121"/>
      <c r="V298" s="1121"/>
      <c r="W298" s="1121"/>
      <c r="X298" s="1121"/>
      <c r="Y298" s="1121"/>
      <c r="Z298" s="1121"/>
      <c r="AA298" s="1121"/>
      <c r="AB298" s="1121"/>
      <c r="AC298" s="1121"/>
      <c r="AD298" s="1121"/>
      <c r="AE298" s="1121"/>
      <c r="AF298" s="1121"/>
      <c r="AG298" s="288"/>
      <c r="AH298" s="1121"/>
      <c r="AI298" s="289"/>
      <c r="AJ298" s="1121"/>
      <c r="AK298" s="1121"/>
      <c r="AL298" s="1121"/>
      <c r="AM298" s="1121"/>
      <c r="AN298" s="315"/>
      <c r="AO298" s="315"/>
      <c r="AP298" s="315"/>
      <c r="AQ298" s="315"/>
      <c r="AR298" s="315"/>
      <c r="AS298" s="315"/>
      <c r="AT298" s="315"/>
      <c r="AU298" s="315"/>
      <c r="AV298" s="315"/>
      <c r="AW298" s="315" t="s">
        <v>2630</v>
      </c>
      <c r="AX298" s="315" t="s">
        <v>1639</v>
      </c>
      <c r="AY298" s="315"/>
      <c r="AZ298" s="315">
        <v>3.9</v>
      </c>
      <c r="BA298" s="1025" t="s">
        <v>3012</v>
      </c>
      <c r="BB298" s="306"/>
    </row>
    <row r="299" spans="1:60" ht="14.25">
      <c r="A299" s="1037"/>
      <c r="B299" s="1036" t="s">
        <v>2182</v>
      </c>
      <c r="C299" s="288">
        <f>+$C$295+$G$297</f>
        <v>18270</v>
      </c>
      <c r="D299" s="1121"/>
      <c r="E299" s="1121"/>
      <c r="F299" s="289">
        <v>0</v>
      </c>
      <c r="G299" s="292"/>
      <c r="H299" s="291"/>
      <c r="I299" s="291"/>
      <c r="J299" s="291"/>
      <c r="K299" s="291"/>
      <c r="L299" s="1121" t="s">
        <v>230</v>
      </c>
      <c r="M299" s="1121" t="s">
        <v>2674</v>
      </c>
      <c r="N299" s="1121" t="s">
        <v>145</v>
      </c>
      <c r="O299" s="1121"/>
      <c r="P299" s="1121"/>
      <c r="Q299" s="1121">
        <v>0</v>
      </c>
      <c r="R299" s="289">
        <v>0</v>
      </c>
      <c r="S299" s="292"/>
      <c r="T299" s="1121">
        <v>25</v>
      </c>
      <c r="U299" s="1121"/>
      <c r="V299" s="1121"/>
      <c r="W299" s="1121">
        <v>1.4</v>
      </c>
      <c r="X299" s="1121"/>
      <c r="Y299" s="1121"/>
      <c r="Z299" s="1121"/>
      <c r="AA299" s="1121"/>
      <c r="AB299" s="1121"/>
      <c r="AC299" s="1121" t="s">
        <v>1704</v>
      </c>
      <c r="AD299" s="1121"/>
      <c r="AE299" s="1121"/>
      <c r="AF299" s="1121">
        <v>6000</v>
      </c>
      <c r="AG299" s="288">
        <v>18270.79</v>
      </c>
      <c r="AH299" s="1121">
        <v>2595</v>
      </c>
      <c r="AI299" s="289">
        <v>565</v>
      </c>
      <c r="AJ299" s="1121"/>
      <c r="AK299" s="1121"/>
      <c r="AL299" s="1121"/>
      <c r="AM299" s="1121" t="s">
        <v>1228</v>
      </c>
      <c r="AN299" s="315">
        <v>5.5</v>
      </c>
      <c r="AO299" s="315"/>
      <c r="AP299" s="315"/>
      <c r="AQ299" s="315"/>
      <c r="AR299" s="315"/>
      <c r="AS299" s="315"/>
      <c r="AT299" s="315">
        <f>+ab($T$299,$T$295,$T$301,$G$297,$G$300,-1*$F$299,1200)</f>
        <v>11.615280217972053</v>
      </c>
      <c r="AU299" s="315"/>
      <c r="AV299" s="315"/>
      <c r="AW299" s="315" t="s">
        <v>2630</v>
      </c>
      <c r="AX299" s="315" t="s">
        <v>1639</v>
      </c>
      <c r="AY299" s="315">
        <v>3.2</v>
      </c>
      <c r="AZ299" s="315"/>
      <c r="BA299" s="1025" t="s">
        <v>3012</v>
      </c>
      <c r="BB299" s="306"/>
    </row>
    <row r="300" spans="1:60" ht="14.25">
      <c r="A300" s="340"/>
      <c r="B300" s="287"/>
      <c r="C300" s="288"/>
      <c r="D300" s="1121"/>
      <c r="E300" s="1121"/>
      <c r="F300" s="289"/>
      <c r="G300" s="292">
        <v>55</v>
      </c>
      <c r="H300" s="291"/>
      <c r="I300" s="291"/>
      <c r="J300" s="288"/>
      <c r="K300" s="1121"/>
      <c r="L300" s="1121"/>
      <c r="M300" s="1121"/>
      <c r="N300" s="1121"/>
      <c r="O300" s="1121"/>
      <c r="P300" s="1121"/>
      <c r="Q300" s="1121"/>
      <c r="R300" s="292"/>
      <c r="S300" s="292">
        <f t="shared" si="80"/>
        <v>55.020000000000437</v>
      </c>
      <c r="T300" s="1121"/>
      <c r="U300" s="1121"/>
      <c r="V300" s="1121"/>
      <c r="W300" s="1121"/>
      <c r="X300" s="1121"/>
      <c r="Y300" s="1121"/>
      <c r="Z300" s="1121"/>
      <c r="AA300" s="1121"/>
      <c r="AB300" s="1121"/>
      <c r="AC300" s="1121"/>
      <c r="AD300" s="1121"/>
      <c r="AE300" s="1121"/>
      <c r="AF300" s="1121"/>
      <c r="AG300" s="288"/>
      <c r="AH300" s="1121"/>
      <c r="AI300" s="289"/>
      <c r="AJ300" s="1121"/>
      <c r="AK300" s="1121"/>
      <c r="AL300" s="1121"/>
      <c r="AM300" s="1121"/>
      <c r="AN300" s="315"/>
      <c r="AO300" s="315"/>
      <c r="AP300" s="315"/>
      <c r="AQ300" s="315">
        <f>+FL_2($T$301,$T$299,$G$300,1200,9.28,-1*$F$301)</f>
        <v>-0.41936166072727271</v>
      </c>
      <c r="AR300" s="315"/>
      <c r="AS300" s="315"/>
      <c r="AT300" s="315"/>
      <c r="AU300" s="315"/>
      <c r="AV300" s="315"/>
      <c r="AW300" s="315"/>
      <c r="AX300" s="315"/>
      <c r="AY300" s="315"/>
      <c r="AZ300" s="315"/>
      <c r="BA300" s="315"/>
      <c r="BB300" s="306"/>
    </row>
    <row r="301" spans="1:60" ht="14.25">
      <c r="A301" s="1037"/>
      <c r="B301" s="340" t="s">
        <v>2183</v>
      </c>
      <c r="C301" s="288">
        <f>+$C$299+$G$300</f>
        <v>18325</v>
      </c>
      <c r="D301" s="1121"/>
      <c r="E301" s="1121"/>
      <c r="F301" s="289">
        <v>0</v>
      </c>
      <c r="G301" s="292"/>
      <c r="H301" s="1121"/>
      <c r="I301" s="294"/>
      <c r="J301" s="288"/>
      <c r="K301" s="1121"/>
      <c r="L301" s="1121" t="s">
        <v>230</v>
      </c>
      <c r="M301" s="1121" t="s">
        <v>2674</v>
      </c>
      <c r="N301" s="1121" t="s">
        <v>144</v>
      </c>
      <c r="O301" s="1121"/>
      <c r="P301" s="1121"/>
      <c r="Q301" s="1121">
        <v>0</v>
      </c>
      <c r="R301" s="289">
        <v>0</v>
      </c>
      <c r="S301" s="292"/>
      <c r="T301" s="1121">
        <v>-35</v>
      </c>
      <c r="U301" s="1121"/>
      <c r="V301" s="1121"/>
      <c r="W301" s="1121">
        <v>1.4</v>
      </c>
      <c r="X301" s="1121"/>
      <c r="Y301" s="1121"/>
      <c r="Z301" s="1121"/>
      <c r="AA301" s="1121"/>
      <c r="AB301" s="1121"/>
      <c r="AC301" s="1121" t="s">
        <v>2963</v>
      </c>
      <c r="AD301" s="1121"/>
      <c r="AE301" s="1121"/>
      <c r="AF301" s="1121">
        <v>6000</v>
      </c>
      <c r="AG301" s="288">
        <v>18325.810000000001</v>
      </c>
      <c r="AH301" s="1121">
        <v>2540</v>
      </c>
      <c r="AI301" s="289">
        <v>511</v>
      </c>
      <c r="AJ301" s="1121"/>
      <c r="AK301" s="1121"/>
      <c r="AL301" s="1121"/>
      <c r="AM301" s="1121" t="s">
        <v>1228</v>
      </c>
      <c r="AN301" s="315">
        <v>5.5</v>
      </c>
      <c r="AO301" s="315"/>
      <c r="AP301" s="315"/>
      <c r="AQ301" s="315"/>
      <c r="AR301" s="315"/>
      <c r="AS301" s="315"/>
      <c r="AT301" s="315">
        <f>+ab($T$299,$T$295,$T$301,$G$297,$G$300,-1*$F$299,1200)</f>
        <v>11.615280217972053</v>
      </c>
      <c r="AU301" s="315"/>
      <c r="AV301" s="315"/>
      <c r="AW301" s="315" t="s">
        <v>2630</v>
      </c>
      <c r="AX301" s="315" t="s">
        <v>1639</v>
      </c>
      <c r="AY301" s="315">
        <v>3.2</v>
      </c>
      <c r="AZ301" s="315"/>
      <c r="BA301" s="1025" t="s">
        <v>3012</v>
      </c>
      <c r="BB301" s="306"/>
    </row>
    <row r="302" spans="1:60" ht="14.25">
      <c r="A302" s="340"/>
      <c r="B302" s="287"/>
      <c r="C302" s="288"/>
      <c r="D302" s="1121"/>
      <c r="E302" s="1121"/>
      <c r="F302" s="289"/>
      <c r="G302" s="292">
        <v>54</v>
      </c>
      <c r="H302" s="1121"/>
      <c r="I302" s="294"/>
      <c r="J302" s="288"/>
      <c r="K302" s="1121"/>
      <c r="L302" s="1121"/>
      <c r="M302" s="1121"/>
      <c r="N302" s="1121"/>
      <c r="O302" s="1121"/>
      <c r="P302" s="1121"/>
      <c r="Q302" s="1121"/>
      <c r="R302" s="292"/>
      <c r="S302" s="292">
        <f t="shared" si="80"/>
        <v>54.069999999999709</v>
      </c>
      <c r="T302" s="1121"/>
      <c r="U302" s="1121"/>
      <c r="V302" s="1121"/>
      <c r="W302" s="1121"/>
      <c r="X302" s="1121"/>
      <c r="Y302" s="1121"/>
      <c r="Z302" s="1121"/>
      <c r="AA302" s="1121"/>
      <c r="AB302" s="1121"/>
      <c r="AC302" s="1121"/>
      <c r="AD302" s="1121"/>
      <c r="AE302" s="1121"/>
      <c r="AF302" s="1121"/>
      <c r="AG302" s="288"/>
      <c r="AH302" s="1121"/>
      <c r="AI302" s="289"/>
      <c r="AJ302" s="1121"/>
      <c r="AK302" s="1121"/>
      <c r="AL302" s="1121"/>
      <c r="AM302" s="1121"/>
      <c r="AN302" s="315"/>
      <c r="AO302" s="315"/>
      <c r="AP302" s="315"/>
      <c r="AQ302" s="315">
        <f>+FL_1($T$303,$T$301,$G$302,1200,9.28,-1*$F$303)</f>
        <v>0.39052552059259255</v>
      </c>
      <c r="AR302" s="315"/>
      <c r="AS302" s="315"/>
      <c r="AT302" s="315"/>
      <c r="AU302" s="315"/>
      <c r="AV302" s="315"/>
      <c r="AW302" s="315"/>
      <c r="AX302" s="315"/>
      <c r="AY302" s="315"/>
      <c r="AZ302" s="315"/>
      <c r="BA302" s="315"/>
      <c r="BB302" s="306"/>
    </row>
    <row r="303" spans="1:60" ht="14.25">
      <c r="A303" s="1037"/>
      <c r="B303" s="340" t="s">
        <v>2184</v>
      </c>
      <c r="C303" s="288">
        <f>+$C$301+$G$302</f>
        <v>18379</v>
      </c>
      <c r="D303" s="1121"/>
      <c r="E303" s="1121"/>
      <c r="F303" s="289">
        <v>0</v>
      </c>
      <c r="G303" s="292"/>
      <c r="H303" s="1121"/>
      <c r="I303" s="294"/>
      <c r="J303" s="288"/>
      <c r="K303" s="1121"/>
      <c r="L303" s="1121" t="s">
        <v>230</v>
      </c>
      <c r="M303" s="1121" t="s">
        <v>2674</v>
      </c>
      <c r="N303" s="1121" t="s">
        <v>145</v>
      </c>
      <c r="O303" s="1121"/>
      <c r="P303" s="1121"/>
      <c r="Q303" s="1121">
        <v>0</v>
      </c>
      <c r="R303" s="289">
        <v>0</v>
      </c>
      <c r="S303" s="292"/>
      <c r="T303" s="1121">
        <v>35</v>
      </c>
      <c r="U303" s="1121"/>
      <c r="V303" s="1121"/>
      <c r="W303" s="1121">
        <v>1.4</v>
      </c>
      <c r="X303" s="1121"/>
      <c r="Y303" s="1121"/>
      <c r="Z303" s="1121"/>
      <c r="AA303" s="1121"/>
      <c r="AB303" s="1121"/>
      <c r="AC303" s="1121" t="s">
        <v>2963</v>
      </c>
      <c r="AD303" s="1121"/>
      <c r="AE303" s="1121"/>
      <c r="AF303" s="1121">
        <v>6000</v>
      </c>
      <c r="AG303" s="288">
        <v>18379.88</v>
      </c>
      <c r="AH303" s="1121">
        <v>2544</v>
      </c>
      <c r="AI303" s="289">
        <v>541</v>
      </c>
      <c r="AJ303" s="1121"/>
      <c r="AK303" s="1121"/>
      <c r="AL303" s="1121"/>
      <c r="AM303" s="1121" t="s">
        <v>1228</v>
      </c>
      <c r="AN303" s="315">
        <v>5.5</v>
      </c>
      <c r="AO303" s="315"/>
      <c r="AP303" s="315"/>
      <c r="AQ303" s="315"/>
      <c r="AR303" s="315"/>
      <c r="AS303" s="315"/>
      <c r="AT303" s="315">
        <f>+ab($T$299,$T$295,$T$301,$G$297,$G$300,-1*$F$299,1200)</f>
        <v>11.615280217972053</v>
      </c>
      <c r="AU303" s="315"/>
      <c r="AV303" s="315"/>
      <c r="AW303" s="315" t="s">
        <v>2630</v>
      </c>
      <c r="AX303" s="315" t="s">
        <v>1639</v>
      </c>
      <c r="AY303" s="315">
        <v>3.2</v>
      </c>
      <c r="AZ303" s="315"/>
      <c r="BA303" s="1025" t="s">
        <v>3012</v>
      </c>
      <c r="BB303" s="306"/>
      <c r="BE303" s="298"/>
      <c r="BH303" s="307"/>
    </row>
    <row r="304" spans="1:60" ht="14.25">
      <c r="A304" s="340"/>
      <c r="B304" s="287"/>
      <c r="C304" s="288"/>
      <c r="D304" s="1121"/>
      <c r="E304" s="1121"/>
      <c r="F304" s="289"/>
      <c r="G304" s="292">
        <v>50</v>
      </c>
      <c r="H304" s="1121"/>
      <c r="I304" s="294"/>
      <c r="J304" s="288"/>
      <c r="K304" s="1121"/>
      <c r="L304" s="1121"/>
      <c r="M304" s="1121"/>
      <c r="N304" s="1121"/>
      <c r="O304" s="1121"/>
      <c r="P304" s="1121"/>
      <c r="Q304" s="1121"/>
      <c r="R304" s="292"/>
      <c r="S304" s="292">
        <f t="shared" si="80"/>
        <v>49.840000000000146</v>
      </c>
      <c r="T304" s="1121"/>
      <c r="U304" s="1121"/>
      <c r="V304" s="1121"/>
      <c r="W304" s="1121"/>
      <c r="X304" s="1121"/>
      <c r="Y304" s="1121"/>
      <c r="Z304" s="1121"/>
      <c r="AA304" s="1121"/>
      <c r="AB304" s="1121"/>
      <c r="AC304" s="1121"/>
      <c r="AD304" s="1121"/>
      <c r="AE304" s="1121"/>
      <c r="AF304" s="1121"/>
      <c r="AG304" s="288"/>
      <c r="AH304" s="1121"/>
      <c r="AI304" s="289"/>
      <c r="AJ304" s="1121"/>
      <c r="AK304" s="1121"/>
      <c r="AL304" s="1121"/>
      <c r="AM304" s="1121"/>
      <c r="AN304" s="315"/>
      <c r="AO304" s="315"/>
      <c r="AP304" s="315"/>
      <c r="AQ304" s="315">
        <f>+FL_1($T$305,$T$303,$G$304,1200,9.28,-1*$F$305)</f>
        <v>0.36839080000000002</v>
      </c>
      <c r="AR304" s="315"/>
      <c r="AS304" s="315"/>
      <c r="AT304" s="315"/>
      <c r="AU304" s="315"/>
      <c r="AV304" s="315"/>
      <c r="AW304" s="315"/>
      <c r="AX304" s="315"/>
      <c r="AY304" s="315"/>
      <c r="AZ304" s="315"/>
      <c r="BA304" s="315"/>
      <c r="BB304" s="306"/>
      <c r="BE304" s="298"/>
      <c r="BH304" s="307"/>
    </row>
    <row r="305" spans="1:72" s="307" customFormat="1" ht="14.25">
      <c r="A305" s="1037"/>
      <c r="B305" s="340" t="s">
        <v>2185</v>
      </c>
      <c r="C305" s="288">
        <f>+$C$303+$G$304</f>
        <v>18429</v>
      </c>
      <c r="D305" s="1121"/>
      <c r="E305" s="1121"/>
      <c r="F305" s="289">
        <v>0</v>
      </c>
      <c r="G305" s="292"/>
      <c r="H305" s="1121"/>
      <c r="I305" s="294"/>
      <c r="J305" s="288"/>
      <c r="K305" s="1121"/>
      <c r="L305" s="1121" t="s">
        <v>230</v>
      </c>
      <c r="M305" s="1121" t="s">
        <v>2674</v>
      </c>
      <c r="N305" s="1121" t="s">
        <v>144</v>
      </c>
      <c r="O305" s="1121"/>
      <c r="P305" s="1121"/>
      <c r="Q305" s="1121">
        <v>0</v>
      </c>
      <c r="R305" s="289">
        <v>0</v>
      </c>
      <c r="S305" s="292"/>
      <c r="T305" s="1121">
        <v>-35</v>
      </c>
      <c r="U305" s="1121"/>
      <c r="V305" s="1121"/>
      <c r="W305" s="1121">
        <v>1.4</v>
      </c>
      <c r="X305" s="1121"/>
      <c r="Y305" s="1121"/>
      <c r="Z305" s="1121"/>
      <c r="AA305" s="1121"/>
      <c r="AB305" s="1121"/>
      <c r="AC305" s="1121" t="s">
        <v>2965</v>
      </c>
      <c r="AD305" s="1121"/>
      <c r="AE305" s="1121"/>
      <c r="AF305" s="1121">
        <v>6000</v>
      </c>
      <c r="AG305" s="288">
        <v>18429.72</v>
      </c>
      <c r="AH305" s="1121">
        <v>2603</v>
      </c>
      <c r="AI305" s="289">
        <v>607</v>
      </c>
      <c r="AJ305" s="1121"/>
      <c r="AK305" s="1121"/>
      <c r="AL305" s="1121"/>
      <c r="AM305" s="1121" t="s">
        <v>1228</v>
      </c>
      <c r="AN305" s="315">
        <v>5.5</v>
      </c>
      <c r="AO305" s="315"/>
      <c r="AP305" s="315"/>
      <c r="AQ305" s="315"/>
      <c r="AR305" s="315"/>
      <c r="AS305" s="315"/>
      <c r="AT305" s="315">
        <f>+ab($T$299,$T$295,$T$301,$G$297,$G$300,-1*$F$299,1200)</f>
        <v>11.615280217972053</v>
      </c>
      <c r="AU305" s="315"/>
      <c r="AV305" s="315"/>
      <c r="AW305" s="315" t="s">
        <v>2630</v>
      </c>
      <c r="AX305" s="315" t="s">
        <v>1639</v>
      </c>
      <c r="AY305" s="315">
        <v>3.2</v>
      </c>
      <c r="AZ305" s="315"/>
      <c r="BA305" s="1025" t="s">
        <v>3012</v>
      </c>
      <c r="BB305" s="306"/>
      <c r="BC305" s="1119"/>
      <c r="BD305" s="1119"/>
      <c r="BE305" s="298"/>
      <c r="BI305" s="1119"/>
      <c r="BJ305" s="1119"/>
      <c r="BK305" s="1119"/>
      <c r="BL305" s="1119"/>
      <c r="BM305" s="1119"/>
      <c r="BS305" s="1119"/>
      <c r="BT305" s="1119"/>
    </row>
    <row r="306" spans="1:72" s="307" customFormat="1" ht="14.25">
      <c r="A306" s="340"/>
      <c r="B306" s="287"/>
      <c r="C306" s="288"/>
      <c r="D306" s="1121"/>
      <c r="E306" s="1121"/>
      <c r="F306" s="289"/>
      <c r="G306" s="292">
        <v>54</v>
      </c>
      <c r="H306" s="1121"/>
      <c r="I306" s="294"/>
      <c r="J306" s="288"/>
      <c r="K306" s="1121"/>
      <c r="L306" s="1121"/>
      <c r="M306" s="1121"/>
      <c r="N306" s="1121"/>
      <c r="O306" s="1121"/>
      <c r="P306" s="1121"/>
      <c r="Q306" s="1121"/>
      <c r="R306" s="292"/>
      <c r="S306" s="292">
        <f t="shared" si="80"/>
        <v>54.110000000000582</v>
      </c>
      <c r="T306" s="1121"/>
      <c r="U306" s="1121"/>
      <c r="V306" s="1121"/>
      <c r="W306" s="1121"/>
      <c r="X306" s="1121"/>
      <c r="Y306" s="1121"/>
      <c r="Z306" s="1121"/>
      <c r="AA306" s="1121"/>
      <c r="AB306" s="1121"/>
      <c r="AC306" s="1121"/>
      <c r="AD306" s="1121"/>
      <c r="AE306" s="1121"/>
      <c r="AF306" s="1121"/>
      <c r="AG306" s="288"/>
      <c r="AH306" s="1121"/>
      <c r="AI306" s="289"/>
      <c r="AJ306" s="1121"/>
      <c r="AK306" s="1121"/>
      <c r="AL306" s="1121"/>
      <c r="AM306" s="1121"/>
      <c r="AN306" s="315"/>
      <c r="AO306" s="315"/>
      <c r="AP306" s="315"/>
      <c r="AQ306" s="315">
        <f>+FL_1($T$307,$T$305,$G$306,1200,9.28,-1*$F$307)</f>
        <v>0.40077506562368309</v>
      </c>
      <c r="AR306" s="315"/>
      <c r="AS306" s="315"/>
      <c r="AT306" s="315"/>
      <c r="AU306" s="315"/>
      <c r="AV306" s="315"/>
      <c r="AW306" s="315"/>
      <c r="AX306" s="315"/>
      <c r="AY306" s="315"/>
      <c r="AZ306" s="315"/>
      <c r="BA306" s="315"/>
      <c r="BB306" s="306"/>
      <c r="BC306" s="1119"/>
      <c r="BD306" s="1119"/>
      <c r="BE306" s="298"/>
      <c r="BI306" s="1119"/>
      <c r="BJ306" s="1119"/>
      <c r="BK306" s="1119"/>
      <c r="BL306" s="1119"/>
      <c r="BM306" s="1119"/>
      <c r="BS306" s="1119"/>
      <c r="BT306" s="1119"/>
    </row>
    <row r="307" spans="1:72" s="307" customFormat="1" ht="14.25">
      <c r="A307" s="1037"/>
      <c r="B307" s="340" t="s">
        <v>2186</v>
      </c>
      <c r="C307" s="288">
        <f>+$C$305+$G$306</f>
        <v>18483</v>
      </c>
      <c r="D307" s="1121"/>
      <c r="E307" s="1121"/>
      <c r="F307" s="289">
        <f>(1500*195)/(C307-18428)</f>
        <v>5318.181818181818</v>
      </c>
      <c r="G307" s="292"/>
      <c r="H307" s="1121"/>
      <c r="I307" s="294"/>
      <c r="J307" s="288"/>
      <c r="K307" s="1121"/>
      <c r="L307" s="1121" t="s">
        <v>230</v>
      </c>
      <c r="M307" s="1121" t="s">
        <v>2674</v>
      </c>
      <c r="N307" s="1121" t="s">
        <v>145</v>
      </c>
      <c r="O307" s="1121"/>
      <c r="P307" s="1121"/>
      <c r="Q307" s="1121">
        <v>0</v>
      </c>
      <c r="R307" s="292">
        <v>6600</v>
      </c>
      <c r="S307" s="292"/>
      <c r="T307" s="1121">
        <v>30</v>
      </c>
      <c r="U307" s="1121"/>
      <c r="V307" s="1121"/>
      <c r="W307" s="1121">
        <v>1.4</v>
      </c>
      <c r="X307" s="1121"/>
      <c r="Y307" s="1121"/>
      <c r="Z307" s="1121"/>
      <c r="AA307" s="1121"/>
      <c r="AB307" s="1121"/>
      <c r="AC307" s="1121" t="s">
        <v>2963</v>
      </c>
      <c r="AD307" s="1121"/>
      <c r="AE307" s="1121"/>
      <c r="AF307" s="1121">
        <v>6000</v>
      </c>
      <c r="AG307" s="288">
        <v>18483.830000000002</v>
      </c>
      <c r="AH307" s="1121">
        <v>2595</v>
      </c>
      <c r="AI307" s="289">
        <v>590</v>
      </c>
      <c r="AJ307" s="1121"/>
      <c r="AK307" s="1121"/>
      <c r="AL307" s="1121"/>
      <c r="AM307" s="1121" t="s">
        <v>1228</v>
      </c>
      <c r="AN307" s="315">
        <v>5.44</v>
      </c>
      <c r="AO307" s="315"/>
      <c r="AP307" s="315"/>
      <c r="AQ307" s="315"/>
      <c r="AR307" s="315"/>
      <c r="AS307" s="315"/>
      <c r="AT307" s="315">
        <f>+ab($T$299,$T$295,$T$301,$G$297,$G$300,-1*$F$299,1200)</f>
        <v>11.615280217972053</v>
      </c>
      <c r="AU307" s="315"/>
      <c r="AV307" s="315"/>
      <c r="AW307" s="315" t="s">
        <v>2630</v>
      </c>
      <c r="AX307" s="315" t="s">
        <v>1639</v>
      </c>
      <c r="AY307" s="315">
        <v>3.2</v>
      </c>
      <c r="AZ307" s="315"/>
      <c r="BA307" s="1025" t="s">
        <v>3012</v>
      </c>
      <c r="BB307" s="306"/>
      <c r="BC307" s="1119"/>
      <c r="BD307" s="1119"/>
      <c r="BI307" s="1119"/>
      <c r="BJ307" s="1119"/>
      <c r="BK307" s="1119"/>
      <c r="BL307" s="1119"/>
      <c r="BM307" s="1119"/>
      <c r="BS307" s="1119"/>
      <c r="BT307" s="1119"/>
    </row>
    <row r="308" spans="1:72" s="307" customFormat="1" ht="14.25">
      <c r="A308" s="340"/>
      <c r="B308" s="287"/>
      <c r="C308" s="288"/>
      <c r="D308" s="1121"/>
      <c r="E308" s="1121"/>
      <c r="F308" s="289"/>
      <c r="G308" s="292">
        <v>50</v>
      </c>
      <c r="H308" s="1121"/>
      <c r="I308" s="294"/>
      <c r="J308" s="288"/>
      <c r="K308" s="1121"/>
      <c r="L308" s="1121"/>
      <c r="M308" s="1121"/>
      <c r="N308" s="1121"/>
      <c r="O308" s="1121"/>
      <c r="P308" s="1121"/>
      <c r="Q308" s="1121"/>
      <c r="R308" s="292"/>
      <c r="S308" s="292">
        <f t="shared" si="80"/>
        <v>49.94999999999709</v>
      </c>
      <c r="T308" s="1121"/>
      <c r="U308" s="1121"/>
      <c r="V308" s="1121"/>
      <c r="W308" s="1121"/>
      <c r="X308" s="1121"/>
      <c r="Y308" s="1121"/>
      <c r="Z308" s="1121"/>
      <c r="AA308" s="1121"/>
      <c r="AB308" s="1121"/>
      <c r="AC308" s="1121"/>
      <c r="AD308" s="1121"/>
      <c r="AE308" s="1121"/>
      <c r="AF308" s="1121"/>
      <c r="AG308" s="288"/>
      <c r="AH308" s="1121"/>
      <c r="AI308" s="289"/>
      <c r="AJ308" s="1121"/>
      <c r="AK308" s="1121"/>
      <c r="AL308" s="1121"/>
      <c r="AM308" s="1121"/>
      <c r="AN308" s="315"/>
      <c r="AO308" s="315"/>
      <c r="AP308" s="315"/>
      <c r="AQ308" s="315">
        <f>+FL_2($T$309,$T$307,$G$308,1200,9.28,-1*$F$309)</f>
        <v>-0.3</v>
      </c>
      <c r="AR308" s="315"/>
      <c r="AS308" s="315"/>
      <c r="AT308" s="315"/>
      <c r="AU308" s="315"/>
      <c r="AV308" s="315"/>
      <c r="AW308" s="315"/>
      <c r="AX308" s="315"/>
      <c r="AY308" s="315"/>
      <c r="AZ308" s="315"/>
      <c r="BA308" s="315"/>
      <c r="BB308" s="306"/>
      <c r="BC308" s="1119"/>
      <c r="BD308" s="1119"/>
      <c r="BI308" s="1119"/>
      <c r="BJ308" s="1119"/>
      <c r="BK308" s="1119"/>
      <c r="BL308" s="1119"/>
      <c r="BM308" s="1119"/>
      <c r="BS308" s="1119"/>
      <c r="BT308" s="1119"/>
    </row>
    <row r="309" spans="1:72" s="307" customFormat="1" ht="14.25">
      <c r="A309" s="1037"/>
      <c r="B309" s="340" t="s">
        <v>2187</v>
      </c>
      <c r="C309" s="288">
        <f>+$C$307+$G$308</f>
        <v>18533</v>
      </c>
      <c r="D309" s="1121"/>
      <c r="E309" s="1121"/>
      <c r="F309" s="289">
        <f>(1500*195)/(C309-18428)</f>
        <v>2785.7142857142858</v>
      </c>
      <c r="G309" s="292"/>
      <c r="H309" s="1121"/>
      <c r="I309" s="1121" t="s">
        <v>1226</v>
      </c>
      <c r="J309" s="288"/>
      <c r="K309" s="1121" t="s">
        <v>1060</v>
      </c>
      <c r="L309" s="1121" t="s">
        <v>230</v>
      </c>
      <c r="M309" s="1121" t="s">
        <v>2674</v>
      </c>
      <c r="N309" s="1121" t="s">
        <v>3250</v>
      </c>
      <c r="O309" s="1121"/>
      <c r="P309" s="1121"/>
      <c r="Q309" s="1121">
        <v>67</v>
      </c>
      <c r="R309" s="292">
        <v>2857</v>
      </c>
      <c r="S309" s="292"/>
      <c r="T309" s="1121">
        <v>-30</v>
      </c>
      <c r="U309" s="1121"/>
      <c r="V309" s="1121"/>
      <c r="W309" s="1121">
        <v>1.4</v>
      </c>
      <c r="X309" s="1121"/>
      <c r="Y309" s="1121"/>
      <c r="Z309" s="1121"/>
      <c r="AA309" s="1121"/>
      <c r="AB309" s="1121"/>
      <c r="AC309" s="1121" t="s">
        <v>1711</v>
      </c>
      <c r="AD309" s="1121"/>
      <c r="AE309" s="1121"/>
      <c r="AF309" s="1121">
        <v>6000</v>
      </c>
      <c r="AG309" s="288">
        <v>18533.78</v>
      </c>
      <c r="AH309" s="1121">
        <v>2018</v>
      </c>
      <c r="AI309" s="289">
        <v>224</v>
      </c>
      <c r="AJ309" s="1121"/>
      <c r="AK309" s="1121"/>
      <c r="AL309" s="1121"/>
      <c r="AM309" s="1121" t="s">
        <v>1228</v>
      </c>
      <c r="AN309" s="315">
        <v>5.31</v>
      </c>
      <c r="AO309" s="315"/>
      <c r="AP309" s="315"/>
      <c r="AQ309" s="315"/>
      <c r="AR309" s="315"/>
      <c r="AS309" s="315"/>
      <c r="AT309" s="315">
        <f>+ab($T$299,$T$295,$T$301,$G$297,$G$300,-1*$F$299,1200)</f>
        <v>11.615280217972053</v>
      </c>
      <c r="AU309" s="315"/>
      <c r="AV309" s="315"/>
      <c r="AW309" s="315" t="s">
        <v>2630</v>
      </c>
      <c r="AX309" s="315" t="s">
        <v>1639</v>
      </c>
      <c r="AY309" s="315">
        <v>3.2</v>
      </c>
      <c r="AZ309" s="315"/>
      <c r="BA309" s="1025" t="s">
        <v>3012</v>
      </c>
      <c r="BB309" s="306"/>
      <c r="BC309" s="1119"/>
      <c r="BD309" s="1119"/>
      <c r="BI309" s="1119"/>
      <c r="BJ309" s="1119"/>
      <c r="BK309" s="1119"/>
      <c r="BL309" s="1119"/>
      <c r="BM309" s="1119"/>
      <c r="BS309" s="1119"/>
      <c r="BT309" s="1119"/>
    </row>
    <row r="310" spans="1:72" s="307" customFormat="1" ht="14.25">
      <c r="A310" s="1212" t="s">
        <v>2188</v>
      </c>
      <c r="B310" s="378"/>
      <c r="C310" s="367"/>
      <c r="D310" s="368"/>
      <c r="E310" s="368"/>
      <c r="F310" s="369"/>
      <c r="G310" s="370">
        <v>49</v>
      </c>
      <c r="H310" s="371"/>
      <c r="I310" s="372" t="s">
        <v>1226</v>
      </c>
      <c r="J310" s="367"/>
      <c r="K310" s="368" t="s">
        <v>1060</v>
      </c>
      <c r="L310" s="368"/>
      <c r="M310" s="368"/>
      <c r="N310" s="368"/>
      <c r="O310" s="368"/>
      <c r="P310" s="368"/>
      <c r="Q310" s="368"/>
      <c r="R310" s="370"/>
      <c r="S310" s="370">
        <f t="shared" si="80"/>
        <v>48.900000000001455</v>
      </c>
      <c r="T310" s="368"/>
      <c r="U310" s="368"/>
      <c r="V310" s="368"/>
      <c r="W310" s="368"/>
      <c r="X310" s="368"/>
      <c r="Y310" s="366"/>
      <c r="Z310" s="368"/>
      <c r="AA310" s="368"/>
      <c r="AB310" s="368"/>
      <c r="AC310" s="368"/>
      <c r="AD310" s="368"/>
      <c r="AE310" s="368"/>
      <c r="AF310" s="368"/>
      <c r="AG310" s="367"/>
      <c r="AH310" s="368"/>
      <c r="AI310" s="369"/>
      <c r="AJ310" s="368"/>
      <c r="AK310" s="368"/>
      <c r="AL310" s="368"/>
      <c r="AM310" s="374"/>
      <c r="AN310" s="373"/>
      <c r="AO310" s="379"/>
      <c r="AP310" s="379"/>
      <c r="AQ310" s="379">
        <f>+FL_2($T$311,$T$309,$G$310,1200,9.28,-1*$F$311)</f>
        <v>-0.37407556327671077</v>
      </c>
      <c r="AR310" s="379"/>
      <c r="AS310" s="379"/>
      <c r="AT310" s="379"/>
      <c r="AU310" s="379"/>
      <c r="AV310" s="379"/>
      <c r="AW310" s="379"/>
      <c r="AX310" s="379"/>
      <c r="AY310" s="379"/>
      <c r="AZ310" s="379"/>
      <c r="BA310" s="379"/>
      <c r="BB310" s="306"/>
      <c r="BC310" s="1119"/>
      <c r="BD310" s="350"/>
      <c r="BI310" s="1119"/>
      <c r="BJ310" s="1119"/>
      <c r="BK310" s="1119"/>
      <c r="BL310" s="1119"/>
      <c r="BM310" s="1119"/>
      <c r="BS310" s="1119"/>
      <c r="BT310" s="1119"/>
    </row>
    <row r="311" spans="1:72" s="307" customFormat="1" ht="14.25">
      <c r="A311" s="1212"/>
      <c r="B311" s="378" t="s">
        <v>2189</v>
      </c>
      <c r="C311" s="367">
        <f>+$C$309+$G$310</f>
        <v>18582</v>
      </c>
      <c r="D311" s="368"/>
      <c r="E311" s="368"/>
      <c r="F311" s="369">
        <f>292500/(C311-18428)</f>
        <v>1899.3506493506493</v>
      </c>
      <c r="G311" s="370"/>
      <c r="H311" s="371" t="s">
        <v>138</v>
      </c>
      <c r="I311" s="372" t="s">
        <v>2846</v>
      </c>
      <c r="J311" s="367"/>
      <c r="K311" s="368"/>
      <c r="L311" s="368" t="s">
        <v>2977</v>
      </c>
      <c r="M311" s="368"/>
      <c r="N311" s="368" t="s">
        <v>673</v>
      </c>
      <c r="O311" s="368"/>
      <c r="P311" s="368"/>
      <c r="Q311" s="368">
        <v>103</v>
      </c>
      <c r="R311" s="370">
        <v>1955</v>
      </c>
      <c r="S311" s="370"/>
      <c r="T311" s="368">
        <v>-30</v>
      </c>
      <c r="U311" s="368"/>
      <c r="V311" s="368"/>
      <c r="W311" s="368">
        <v>1.1000000000000001</v>
      </c>
      <c r="X311" s="368"/>
      <c r="Y311" s="366"/>
      <c r="Z311" s="368"/>
      <c r="AA311" s="368"/>
      <c r="AB311" s="368"/>
      <c r="AC311" s="368" t="s">
        <v>2965</v>
      </c>
      <c r="AD311" s="368"/>
      <c r="AE311" s="368"/>
      <c r="AF311" s="368">
        <v>200</v>
      </c>
      <c r="AG311" s="367">
        <v>18582.68</v>
      </c>
      <c r="AH311" s="368">
        <v>2609</v>
      </c>
      <c r="AI311" s="369">
        <v>-5124</v>
      </c>
      <c r="AJ311" s="368"/>
      <c r="AK311" s="368"/>
      <c r="AL311" s="368"/>
      <c r="AM311" s="374" t="s">
        <v>2021</v>
      </c>
      <c r="AN311" s="373">
        <v>5.25</v>
      </c>
      <c r="AO311" s="379"/>
      <c r="AP311" s="379"/>
      <c r="AQ311" s="379"/>
      <c r="AR311" s="379"/>
      <c r="AS311" s="379"/>
      <c r="AT311" s="379">
        <f>+ab($T$311,$T$309,$T$313,$G$310,$G$312,-1*$F$311,1200)</f>
        <v>-6.3185834414939386</v>
      </c>
      <c r="AU311" s="379"/>
      <c r="AV311" s="379"/>
      <c r="AW311" s="379" t="s">
        <v>699</v>
      </c>
      <c r="AX311" s="379" t="s">
        <v>699</v>
      </c>
      <c r="AY311" s="379" t="s">
        <v>699</v>
      </c>
      <c r="AZ311" s="379" t="s">
        <v>699</v>
      </c>
      <c r="BA311" s="379"/>
      <c r="BB311" s="306"/>
      <c r="BC311" s="1119"/>
      <c r="BD311" s="1119"/>
      <c r="BH311" s="1119"/>
      <c r="BI311" s="1119"/>
      <c r="BJ311" s="1119"/>
      <c r="BK311" s="1119"/>
      <c r="BL311" s="1119"/>
      <c r="BM311" s="1119"/>
      <c r="BS311" s="1119"/>
    </row>
    <row r="312" spans="1:72" s="307" customFormat="1" ht="14.25">
      <c r="A312" s="378"/>
      <c r="B312" s="378"/>
      <c r="C312" s="367"/>
      <c r="D312" s="368"/>
      <c r="E312" s="368"/>
      <c r="F312" s="369"/>
      <c r="G312" s="370">
        <v>51</v>
      </c>
      <c r="H312" s="371"/>
      <c r="I312" s="372"/>
      <c r="J312" s="367">
        <f>C311+10</f>
        <v>18592</v>
      </c>
      <c r="K312" s="374" t="s">
        <v>2985</v>
      </c>
      <c r="L312" s="368"/>
      <c r="M312" s="368"/>
      <c r="N312" s="368"/>
      <c r="O312" s="368"/>
      <c r="P312" s="368"/>
      <c r="Q312" s="368"/>
      <c r="R312" s="370"/>
      <c r="S312" s="370">
        <f t="shared" si="80"/>
        <v>50.239999999997963</v>
      </c>
      <c r="T312" s="368"/>
      <c r="U312" s="368"/>
      <c r="V312" s="368"/>
      <c r="W312" s="368"/>
      <c r="X312" s="368"/>
      <c r="Y312" s="366"/>
      <c r="Z312" s="368"/>
      <c r="AA312" s="368"/>
      <c r="AB312" s="368"/>
      <c r="AC312" s="368"/>
      <c r="AD312" s="368"/>
      <c r="AE312" s="368"/>
      <c r="AF312" s="368"/>
      <c r="AG312" s="367"/>
      <c r="AH312" s="368"/>
      <c r="AI312" s="369"/>
      <c r="AJ312" s="368"/>
      <c r="AK312" s="368"/>
      <c r="AL312" s="368"/>
      <c r="AM312" s="374"/>
      <c r="AN312" s="373"/>
      <c r="AO312" s="379"/>
      <c r="AP312" s="379"/>
      <c r="AQ312" s="379">
        <f>+FL_2($U$313,$T$311,$G$312,1200,9.28,-1*$F$313)</f>
        <v>-0.33466433754917457</v>
      </c>
      <c r="AR312" s="379"/>
      <c r="AS312" s="379"/>
      <c r="AT312" s="379"/>
      <c r="AU312" s="379"/>
      <c r="AV312" s="379"/>
      <c r="AW312" s="379"/>
      <c r="AX312" s="379"/>
      <c r="AY312" s="379"/>
      <c r="AZ312" s="379"/>
      <c r="BA312" s="379"/>
      <c r="BB312" s="306"/>
      <c r="BC312" s="1119"/>
      <c r="BD312" s="1119"/>
      <c r="BH312" s="1119"/>
      <c r="BI312" s="1119"/>
      <c r="BJ312" s="1119"/>
      <c r="BK312" s="1119"/>
      <c r="BL312" s="1119"/>
      <c r="BM312" s="1119"/>
      <c r="BS312" s="1119"/>
    </row>
    <row r="313" spans="1:72" ht="14.25">
      <c r="A313" s="378"/>
      <c r="B313" s="378" t="s">
        <v>2190</v>
      </c>
      <c r="C313" s="367">
        <f>+$C$311+$G$312</f>
        <v>18633</v>
      </c>
      <c r="D313" s="368"/>
      <c r="E313" s="368">
        <v>130</v>
      </c>
      <c r="F313" s="369">
        <v>1500</v>
      </c>
      <c r="G313" s="370"/>
      <c r="H313" s="371" t="s">
        <v>651</v>
      </c>
      <c r="I313" s="372"/>
      <c r="J313" s="367"/>
      <c r="K313" s="368"/>
      <c r="L313" s="368" t="s">
        <v>2978</v>
      </c>
      <c r="M313" s="368"/>
      <c r="N313" s="368" t="s">
        <v>675</v>
      </c>
      <c r="O313" s="368" t="s">
        <v>3251</v>
      </c>
      <c r="P313" s="368"/>
      <c r="Q313" s="368">
        <v>126</v>
      </c>
      <c r="R313" s="370">
        <v>1505.06</v>
      </c>
      <c r="S313" s="370"/>
      <c r="T313" s="368">
        <v>-10</v>
      </c>
      <c r="U313" s="368">
        <v>-30</v>
      </c>
      <c r="V313" s="368"/>
      <c r="W313" s="368">
        <v>1.1000000000000001</v>
      </c>
      <c r="X313" s="368">
        <v>1.2</v>
      </c>
      <c r="Y313" s="366"/>
      <c r="Z313" s="368">
        <v>0.45</v>
      </c>
      <c r="AA313" s="368"/>
      <c r="AB313" s="368"/>
      <c r="AC313" s="368" t="s">
        <v>2970</v>
      </c>
      <c r="AD313" s="368"/>
      <c r="AE313" s="368"/>
      <c r="AF313" s="368">
        <v>200</v>
      </c>
      <c r="AG313" s="367">
        <v>18632.919999999998</v>
      </c>
      <c r="AH313" s="368">
        <v>2614</v>
      </c>
      <c r="AI313" s="369">
        <v>-4953</v>
      </c>
      <c r="AJ313" s="368"/>
      <c r="AK313" s="368"/>
      <c r="AL313" s="368"/>
      <c r="AM313" s="374" t="s">
        <v>2021</v>
      </c>
      <c r="AN313" s="373">
        <v>5.25</v>
      </c>
      <c r="AO313" s="379"/>
      <c r="AP313" s="379"/>
      <c r="AQ313" s="379"/>
      <c r="AR313" s="379"/>
      <c r="AS313" s="379"/>
      <c r="AT313" s="379">
        <f>+ab($U$313,$T$311,$U$315,$G$312,$G$314,-1*$F$313,1200)</f>
        <v>-5.7950867854733383</v>
      </c>
      <c r="AU313" s="379"/>
      <c r="AV313" s="379"/>
      <c r="AW313" s="379" t="s">
        <v>699</v>
      </c>
      <c r="AX313" s="379" t="s">
        <v>699</v>
      </c>
      <c r="AY313" s="379" t="s">
        <v>699</v>
      </c>
      <c r="AZ313" s="379" t="s">
        <v>699</v>
      </c>
      <c r="BA313" s="379"/>
      <c r="BB313" s="306"/>
      <c r="BF313" s="362"/>
      <c r="BG313" s="362"/>
    </row>
    <row r="314" spans="1:72" ht="14.25">
      <c r="A314" s="378"/>
      <c r="B314" s="378"/>
      <c r="C314" s="367"/>
      <c r="D314" s="368"/>
      <c r="E314" s="368"/>
      <c r="F314" s="369"/>
      <c r="G314" s="370">
        <v>48</v>
      </c>
      <c r="H314" s="371"/>
      <c r="I314" s="372"/>
      <c r="J314" s="367"/>
      <c r="K314" s="368"/>
      <c r="L314" s="368"/>
      <c r="M314" s="368"/>
      <c r="N314" s="368"/>
      <c r="O314" s="368"/>
      <c r="P314" s="368"/>
      <c r="Q314" s="368"/>
      <c r="R314" s="370"/>
      <c r="S314" s="370">
        <f t="shared" si="80"/>
        <v>48.06000000000131</v>
      </c>
      <c r="T314" s="368"/>
      <c r="U314" s="368"/>
      <c r="V314" s="368"/>
      <c r="W314" s="368"/>
      <c r="X314" s="368"/>
      <c r="Y314" s="366"/>
      <c r="Z314" s="368"/>
      <c r="AA314" s="368"/>
      <c r="AB314" s="368"/>
      <c r="AC314" s="368"/>
      <c r="AD314" s="368"/>
      <c r="AE314" s="368"/>
      <c r="AF314" s="368"/>
      <c r="AG314" s="367">
        <v>18634.419999999998</v>
      </c>
      <c r="AH314" s="368">
        <v>2619</v>
      </c>
      <c r="AI314" s="369">
        <v>-4942</v>
      </c>
      <c r="AJ314" s="368"/>
      <c r="AK314" s="368"/>
      <c r="AL314" s="368"/>
      <c r="AM314" s="374"/>
      <c r="AN314" s="373"/>
      <c r="AO314" s="379"/>
      <c r="AP314" s="379"/>
      <c r="AQ314" s="379">
        <f>+FL_2($T$315,$U$313,$G$314,1200,9.28,-1*$F$315)</f>
        <v>-0.30001606132486025</v>
      </c>
      <c r="AR314" s="379"/>
      <c r="AS314" s="379"/>
      <c r="AT314" s="379"/>
      <c r="AU314" s="379"/>
      <c r="AV314" s="379"/>
      <c r="AW314" s="379"/>
      <c r="AX314" s="379"/>
      <c r="AY314" s="379"/>
      <c r="AZ314" s="379"/>
      <c r="BA314" s="379"/>
      <c r="BB314" s="306"/>
    </row>
    <row r="315" spans="1:72" ht="14.25">
      <c r="A315" s="378"/>
      <c r="B315" s="378" t="s">
        <v>2191</v>
      </c>
      <c r="C315" s="367">
        <f>+$C$313+$G$314</f>
        <v>18681</v>
      </c>
      <c r="D315" s="368"/>
      <c r="E315" s="368">
        <v>130</v>
      </c>
      <c r="F315" s="369">
        <v>1500</v>
      </c>
      <c r="G315" s="370"/>
      <c r="H315" s="371" t="s">
        <v>651</v>
      </c>
      <c r="I315" s="372"/>
      <c r="J315" s="367"/>
      <c r="K315" s="368"/>
      <c r="L315" s="368" t="s">
        <v>2978</v>
      </c>
      <c r="M315" s="368"/>
      <c r="N315" s="368" t="s">
        <v>3251</v>
      </c>
      <c r="O315" s="368" t="s">
        <v>675</v>
      </c>
      <c r="P315" s="368"/>
      <c r="Q315" s="368">
        <v>131</v>
      </c>
      <c r="R315" s="370">
        <v>1505.06</v>
      </c>
      <c r="S315" s="370"/>
      <c r="T315" s="368">
        <v>-10</v>
      </c>
      <c r="U315" s="368">
        <v>-30</v>
      </c>
      <c r="V315" s="368"/>
      <c r="W315" s="368">
        <v>1.1000000000000001</v>
      </c>
      <c r="X315" s="368">
        <v>1.2</v>
      </c>
      <c r="Y315" s="366"/>
      <c r="Z315" s="368"/>
      <c r="AA315" s="368">
        <v>0.45</v>
      </c>
      <c r="AB315" s="368"/>
      <c r="AC315" s="368" t="s">
        <v>2970</v>
      </c>
      <c r="AD315" s="368"/>
      <c r="AE315" s="368"/>
      <c r="AF315" s="368">
        <v>200</v>
      </c>
      <c r="AG315" s="367">
        <v>18680.98</v>
      </c>
      <c r="AH315" s="368">
        <v>2621</v>
      </c>
      <c r="AI315" s="369">
        <v>-5071</v>
      </c>
      <c r="AJ315" s="368"/>
      <c r="AK315" s="368"/>
      <c r="AL315" s="368"/>
      <c r="AM315" s="374" t="s">
        <v>2021</v>
      </c>
      <c r="AN315" s="373">
        <v>5.25</v>
      </c>
      <c r="AO315" s="379"/>
      <c r="AP315" s="379"/>
      <c r="AQ315" s="379"/>
      <c r="AR315" s="379"/>
      <c r="AS315" s="379"/>
      <c r="AT315" s="379">
        <f>+ab($T$315,$T$313,$T$317,$G$314,$G$316,-1*$F$315,1200)</f>
        <v>-6.4798948856828105</v>
      </c>
      <c r="AU315" s="379"/>
      <c r="AV315" s="379"/>
      <c r="AW315" s="379" t="s">
        <v>699</v>
      </c>
      <c r="AX315" s="379" t="s">
        <v>699</v>
      </c>
      <c r="AY315" s="379" t="s">
        <v>699</v>
      </c>
      <c r="AZ315" s="379" t="s">
        <v>699</v>
      </c>
      <c r="BA315" s="379"/>
      <c r="BB315" s="306"/>
    </row>
    <row r="316" spans="1:72" ht="14.25">
      <c r="A316" s="1212" t="s">
        <v>2188</v>
      </c>
      <c r="B316" s="378"/>
      <c r="C316" s="367"/>
      <c r="D316" s="368"/>
      <c r="E316" s="368"/>
      <c r="F316" s="369"/>
      <c r="G316" s="370">
        <v>52</v>
      </c>
      <c r="H316" s="371"/>
      <c r="I316" s="372">
        <f>SUM(G292:G317)-10</f>
        <v>632</v>
      </c>
      <c r="J316" s="367">
        <f>C317-10</f>
        <v>18723</v>
      </c>
      <c r="K316" s="368" t="s">
        <v>1055</v>
      </c>
      <c r="L316" s="368"/>
      <c r="M316" s="368"/>
      <c r="N316" s="368"/>
      <c r="O316" s="368"/>
      <c r="P316" s="368"/>
      <c r="Q316" s="368"/>
      <c r="R316" s="370"/>
      <c r="S316" s="370">
        <f t="shared" si="80"/>
        <v>52.610000000000582</v>
      </c>
      <c r="T316" s="368"/>
      <c r="U316" s="368"/>
      <c r="V316" s="368"/>
      <c r="W316" s="368"/>
      <c r="X316" s="368"/>
      <c r="Y316" s="366"/>
      <c r="Z316" s="368"/>
      <c r="AA316" s="368"/>
      <c r="AB316" s="368"/>
      <c r="AC316" s="368"/>
      <c r="AD316" s="368"/>
      <c r="AE316" s="368"/>
      <c r="AF316" s="368"/>
      <c r="AG316" s="367">
        <v>18682.46</v>
      </c>
      <c r="AH316" s="368">
        <v>2625</v>
      </c>
      <c r="AI316" s="369">
        <v>-5058</v>
      </c>
      <c r="AJ316" s="368"/>
      <c r="AK316" s="368"/>
      <c r="AL316" s="368"/>
      <c r="AM316" s="374"/>
      <c r="AN316" s="373"/>
      <c r="AO316" s="379"/>
      <c r="AP316" s="379"/>
      <c r="AQ316" s="379">
        <f>+FL_2($T$317,$T$315,$G$316,1200,9.28,-1*$F$317)</f>
        <v>-0.3</v>
      </c>
      <c r="AR316" s="379"/>
      <c r="AS316" s="379"/>
      <c r="AT316" s="379"/>
      <c r="AU316" s="379"/>
      <c r="AV316" s="379"/>
      <c r="AW316" s="379"/>
      <c r="AX316" s="379"/>
      <c r="AY316" s="379"/>
      <c r="AZ316" s="379"/>
      <c r="BA316" s="379"/>
      <c r="BB316" s="306"/>
    </row>
    <row r="317" spans="1:72" ht="14.25">
      <c r="A317" s="1212"/>
      <c r="B317" s="378" t="s">
        <v>2192</v>
      </c>
      <c r="C317" s="367">
        <f>+$C$315+$G$316</f>
        <v>18733</v>
      </c>
      <c r="D317" s="368"/>
      <c r="E317" s="368">
        <v>130</v>
      </c>
      <c r="F317" s="369">
        <v>1500</v>
      </c>
      <c r="G317" s="370"/>
      <c r="H317" s="371" t="s">
        <v>138</v>
      </c>
      <c r="I317" s="372" t="s">
        <v>911</v>
      </c>
      <c r="J317" s="367"/>
      <c r="K317" s="368"/>
      <c r="L317" s="368" t="s">
        <v>2977</v>
      </c>
      <c r="M317" s="368"/>
      <c r="N317" s="368" t="s">
        <v>673</v>
      </c>
      <c r="O317" s="368"/>
      <c r="P317" s="368"/>
      <c r="Q317" s="368">
        <v>132</v>
      </c>
      <c r="R317" s="370">
        <v>1505.06</v>
      </c>
      <c r="S317" s="370"/>
      <c r="T317" s="368">
        <v>-30</v>
      </c>
      <c r="U317" s="368"/>
      <c r="V317" s="368"/>
      <c r="W317" s="368">
        <v>1.1000000000000001</v>
      </c>
      <c r="X317" s="368"/>
      <c r="Y317" s="366"/>
      <c r="Z317" s="368"/>
      <c r="AA317" s="368"/>
      <c r="AB317" s="368"/>
      <c r="AC317" s="368" t="s">
        <v>2970</v>
      </c>
      <c r="AD317" s="368"/>
      <c r="AE317" s="368"/>
      <c r="AF317" s="368">
        <v>200</v>
      </c>
      <c r="AG317" s="367">
        <v>18733.59</v>
      </c>
      <c r="AH317" s="368">
        <v>2660</v>
      </c>
      <c r="AI317" s="369">
        <v>-5001</v>
      </c>
      <c r="AJ317" s="368"/>
      <c r="AK317" s="368"/>
      <c r="AL317" s="368"/>
      <c r="AM317" s="374" t="s">
        <v>2021</v>
      </c>
      <c r="AN317" s="373">
        <v>5.25</v>
      </c>
      <c r="AO317" s="379"/>
      <c r="AP317" s="379"/>
      <c r="AQ317" s="379"/>
      <c r="AR317" s="379"/>
      <c r="AS317" s="379"/>
      <c r="AT317" s="379">
        <f>+ab($T$317,$T$315,$T$319,$G$316,$G$318,-1*$F$317,1200)</f>
        <v>-5.4899900382974751</v>
      </c>
      <c r="AU317" s="379"/>
      <c r="AV317" s="379"/>
      <c r="AW317" s="379" t="s">
        <v>699</v>
      </c>
      <c r="AX317" s="379" t="s">
        <v>699</v>
      </c>
      <c r="AY317" s="379" t="s">
        <v>699</v>
      </c>
      <c r="AZ317" s="379" t="s">
        <v>699</v>
      </c>
      <c r="BA317" s="379"/>
      <c r="BB317" s="306"/>
    </row>
    <row r="318" spans="1:72" ht="14.25">
      <c r="A318" s="340"/>
      <c r="B318" s="287"/>
      <c r="C318" s="288"/>
      <c r="D318" s="1121"/>
      <c r="E318" s="1121"/>
      <c r="F318" s="289"/>
      <c r="G318" s="292">
        <v>41</v>
      </c>
      <c r="H318" s="291"/>
      <c r="I318" s="291" t="s">
        <v>1226</v>
      </c>
      <c r="J318" s="288"/>
      <c r="K318" s="1121" t="s">
        <v>1060</v>
      </c>
      <c r="L318" s="1121"/>
      <c r="M318" s="1121"/>
      <c r="N318" s="1121"/>
      <c r="O318" s="1121"/>
      <c r="P318" s="1121"/>
      <c r="Q318" s="1121"/>
      <c r="R318" s="292"/>
      <c r="S318" s="292">
        <f t="shared" si="80"/>
        <v>41.25</v>
      </c>
      <c r="T318" s="1121"/>
      <c r="U318" s="1121"/>
      <c r="V318" s="1121"/>
      <c r="W318" s="1121"/>
      <c r="X318" s="1121"/>
      <c r="Y318" s="1121"/>
      <c r="Z318" s="1121"/>
      <c r="AA318" s="1121"/>
      <c r="AB318" s="1121"/>
      <c r="AC318" s="1121"/>
      <c r="AD318" s="1121"/>
      <c r="AE318" s="1121"/>
      <c r="AF318" s="1121"/>
      <c r="AG318" s="288"/>
      <c r="AH318" s="1121"/>
      <c r="AI318" s="289"/>
      <c r="AJ318" s="1121"/>
      <c r="AK318" s="1121"/>
      <c r="AL318" s="1121"/>
      <c r="AM318" s="1121"/>
      <c r="AN318" s="315"/>
      <c r="AO318" s="315"/>
      <c r="AP318" s="315"/>
      <c r="AQ318" s="315">
        <f>+FL_2($T$319,$T$317,$G$318,1200,10.96,-1*$F$319)</f>
        <v>-0.33673604472846019</v>
      </c>
      <c r="AR318" s="315"/>
      <c r="AS318" s="315"/>
      <c r="AT318" s="315"/>
      <c r="AU318" s="315"/>
      <c r="AV318" s="315"/>
      <c r="AW318" s="315"/>
      <c r="AX318" s="315"/>
      <c r="AY318" s="315" t="s">
        <v>695</v>
      </c>
      <c r="AZ318" s="315"/>
      <c r="BA318" s="315"/>
      <c r="BB318" s="306"/>
    </row>
    <row r="319" spans="1:72" ht="14.25">
      <c r="A319" s="340"/>
      <c r="B319" s="287" t="s">
        <v>2194</v>
      </c>
      <c r="C319" s="288">
        <f>+$C$317+$G$318</f>
        <v>18774</v>
      </c>
      <c r="D319" s="1121"/>
      <c r="E319" s="1121"/>
      <c r="F319" s="289">
        <f>(1500*195)/(18990-C319)</f>
        <v>1354.1666666666667</v>
      </c>
      <c r="G319" s="292"/>
      <c r="H319" s="1121"/>
      <c r="I319" s="294" t="s">
        <v>1226</v>
      </c>
      <c r="J319" s="288"/>
      <c r="K319" s="1121" t="s">
        <v>1060</v>
      </c>
      <c r="L319" s="1121" t="s">
        <v>1066</v>
      </c>
      <c r="M319" s="1121" t="s">
        <v>2547</v>
      </c>
      <c r="N319" s="1121" t="s">
        <v>144</v>
      </c>
      <c r="O319" s="1121"/>
      <c r="P319" s="1121"/>
      <c r="Q319" s="1121">
        <v>129</v>
      </c>
      <c r="R319" s="292">
        <v>1500</v>
      </c>
      <c r="S319" s="292"/>
      <c r="T319" s="1121">
        <v>-30</v>
      </c>
      <c r="U319" s="1121"/>
      <c r="V319" s="1121"/>
      <c r="W319" s="1121">
        <v>1.4</v>
      </c>
      <c r="X319" s="1121"/>
      <c r="Y319" s="1121"/>
      <c r="Z319" s="1121"/>
      <c r="AA319" s="1121"/>
      <c r="AB319" s="1121"/>
      <c r="AC319" s="1121" t="s">
        <v>2963</v>
      </c>
      <c r="AD319" s="1121"/>
      <c r="AE319" s="1121"/>
      <c r="AF319" s="1121">
        <v>5400</v>
      </c>
      <c r="AG319" s="288">
        <v>18774.84</v>
      </c>
      <c r="AH319" s="1121">
        <v>2439</v>
      </c>
      <c r="AI319" s="289">
        <v>145</v>
      </c>
      <c r="AJ319" s="1121"/>
      <c r="AK319" s="1121"/>
      <c r="AL319" s="1121"/>
      <c r="AM319" s="1121" t="s">
        <v>1228</v>
      </c>
      <c r="AN319" s="315">
        <v>5.3</v>
      </c>
      <c r="AO319" s="315"/>
      <c r="AP319" s="315"/>
      <c r="AQ319" s="315"/>
      <c r="AR319" s="315"/>
      <c r="AS319" s="315"/>
      <c r="AT319" s="315">
        <f>+ab($T$319,$T$317,$T$321,$G$318,$G$320,-1*$F$319,1200)</f>
        <v>-6.3895440638487324</v>
      </c>
      <c r="AU319" s="315"/>
      <c r="AV319" s="315"/>
      <c r="AW319" s="315" t="s">
        <v>699</v>
      </c>
      <c r="AX319" s="315" t="s">
        <v>699</v>
      </c>
      <c r="AY319" s="315" t="s">
        <v>699</v>
      </c>
      <c r="AZ319" s="315" t="s">
        <v>699</v>
      </c>
      <c r="BA319" s="315"/>
      <c r="BB319" s="306"/>
    </row>
    <row r="320" spans="1:72" ht="14.25">
      <c r="A320" s="340"/>
      <c r="B320" s="287"/>
      <c r="C320" s="288"/>
      <c r="D320" s="1121"/>
      <c r="E320" s="1121"/>
      <c r="F320" s="289"/>
      <c r="G320" s="292">
        <v>40</v>
      </c>
      <c r="H320" s="1121"/>
      <c r="I320" s="294"/>
      <c r="J320" s="288"/>
      <c r="K320" s="1121"/>
      <c r="L320" s="1121"/>
      <c r="M320" s="1121"/>
      <c r="N320" s="1121"/>
      <c r="O320" s="1121"/>
      <c r="P320" s="1121"/>
      <c r="Q320" s="1121"/>
      <c r="R320" s="292"/>
      <c r="S320" s="292">
        <f t="shared" ref="S320" si="81">AG321-AG319</f>
        <v>39.849999999998545</v>
      </c>
      <c r="T320" s="1121"/>
      <c r="U320" s="1121"/>
      <c r="V320" s="1121"/>
      <c r="W320" s="1121"/>
      <c r="X320" s="1121"/>
      <c r="Y320" s="1121"/>
      <c r="Z320" s="1121"/>
      <c r="AA320" s="1121"/>
      <c r="AB320" s="1121"/>
      <c r="AC320" s="1121"/>
      <c r="AD320" s="1121"/>
      <c r="AE320" s="1121"/>
      <c r="AF320" s="1121"/>
      <c r="AG320" s="288"/>
      <c r="AH320" s="1121"/>
      <c r="AI320" s="289"/>
      <c r="AJ320" s="1121"/>
      <c r="AK320" s="1121"/>
      <c r="AL320" s="1121"/>
      <c r="AM320" s="1121"/>
      <c r="AN320" s="315"/>
      <c r="AO320" s="315"/>
      <c r="AP320" s="315"/>
      <c r="AQ320" s="315">
        <f>+FL_2($T$321,$T$319,$G$320,1200,10.96,-1*$F$321)</f>
        <v>-0.36232042898098615</v>
      </c>
      <c r="AR320" s="315"/>
      <c r="AS320" s="315"/>
      <c r="AT320" s="315"/>
      <c r="AU320" s="315"/>
      <c r="AV320" s="315"/>
      <c r="AW320" s="315"/>
      <c r="AX320" s="315"/>
      <c r="AY320" s="315"/>
      <c r="AZ320" s="315"/>
      <c r="BA320" s="315"/>
      <c r="BB320" s="306"/>
    </row>
    <row r="321" spans="1:57" ht="14.25">
      <c r="A321" s="340"/>
      <c r="B321" s="287" t="s">
        <v>2195</v>
      </c>
      <c r="C321" s="288">
        <f>+$C$319+$G$320</f>
        <v>18814</v>
      </c>
      <c r="D321" s="1121"/>
      <c r="E321" s="1121"/>
      <c r="F321" s="289">
        <f>(1500*195)/(18990-C321)</f>
        <v>1661.9318181818182</v>
      </c>
      <c r="G321" s="292"/>
      <c r="H321" s="1121"/>
      <c r="I321" s="294"/>
      <c r="J321" s="288"/>
      <c r="K321" s="1121"/>
      <c r="L321" s="1121" t="s">
        <v>1066</v>
      </c>
      <c r="M321" s="1121" t="s">
        <v>2544</v>
      </c>
      <c r="N321" s="1121" t="s">
        <v>144</v>
      </c>
      <c r="O321" s="1121"/>
      <c r="P321" s="1121"/>
      <c r="Q321" s="1121">
        <v>130</v>
      </c>
      <c r="R321" s="292">
        <v>1659.68</v>
      </c>
      <c r="S321" s="292"/>
      <c r="T321" s="1121">
        <v>-30</v>
      </c>
      <c r="U321" s="1121"/>
      <c r="V321" s="1121"/>
      <c r="W321" s="1121">
        <v>1.4</v>
      </c>
      <c r="X321" s="1121"/>
      <c r="Y321" s="1121"/>
      <c r="Z321" s="1121"/>
      <c r="AA321" s="1121"/>
      <c r="AB321" s="1121"/>
      <c r="AC321" s="1121" t="s">
        <v>2963</v>
      </c>
      <c r="AD321" s="1121"/>
      <c r="AE321" s="1121"/>
      <c r="AF321" s="1121">
        <v>5400</v>
      </c>
      <c r="AG321" s="288">
        <v>18814.689999999999</v>
      </c>
      <c r="AH321" s="1121">
        <v>2382</v>
      </c>
      <c r="AI321" s="289">
        <v>294</v>
      </c>
      <c r="AJ321" s="1121"/>
      <c r="AK321" s="1121"/>
      <c r="AL321" s="1121"/>
      <c r="AM321" s="1121" t="s">
        <v>1228</v>
      </c>
      <c r="AN321" s="315">
        <v>5.38</v>
      </c>
      <c r="AO321" s="315"/>
      <c r="AP321" s="315"/>
      <c r="AQ321" s="315"/>
      <c r="AR321" s="315"/>
      <c r="AS321" s="315"/>
      <c r="AT321" s="315">
        <f>+ab($T$321,$T$319,$T$323,$G$320,$G$322,-1*$F$321,1200)</f>
        <v>-7.6028424041561244</v>
      </c>
      <c r="AU321" s="315"/>
      <c r="AV321" s="315"/>
      <c r="AW321" s="315" t="s">
        <v>699</v>
      </c>
      <c r="AX321" s="315" t="s">
        <v>699</v>
      </c>
      <c r="AY321" s="315" t="s">
        <v>699</v>
      </c>
      <c r="AZ321" s="315" t="s">
        <v>699</v>
      </c>
      <c r="BA321" s="315"/>
      <c r="BB321" s="306"/>
    </row>
    <row r="322" spans="1:57" ht="14.25">
      <c r="A322" s="341" t="s">
        <v>2193</v>
      </c>
      <c r="B322" s="363"/>
      <c r="C322" s="342"/>
      <c r="D322" s="343"/>
      <c r="E322" s="343"/>
      <c r="F322" s="344"/>
      <c r="G322" s="345">
        <v>43.4</v>
      </c>
      <c r="H322" s="343"/>
      <c r="I322" s="360"/>
      <c r="J322" s="342"/>
      <c r="K322" s="343"/>
      <c r="L322" s="343"/>
      <c r="M322" s="380"/>
      <c r="N322" s="360"/>
      <c r="O322" s="360"/>
      <c r="P322" s="360"/>
      <c r="Q322" s="343"/>
      <c r="R322" s="345"/>
      <c r="S322" s="345">
        <f t="shared" ref="S322" si="82">AG323-AG321</f>
        <v>43.850000000002183</v>
      </c>
      <c r="T322" s="343"/>
      <c r="U322" s="343"/>
      <c r="V322" s="343"/>
      <c r="W322" s="343"/>
      <c r="X322" s="343"/>
      <c r="Y322" s="343"/>
      <c r="Z322" s="343"/>
      <c r="AA322" s="343"/>
      <c r="AB322" s="343"/>
      <c r="AC322" s="343"/>
      <c r="AD322" s="343"/>
      <c r="AE322" s="343"/>
      <c r="AF322" s="343"/>
      <c r="AG322" s="342"/>
      <c r="AH322" s="343"/>
      <c r="AI322" s="344"/>
      <c r="AJ322" s="343"/>
      <c r="AK322" s="343"/>
      <c r="AL322" s="343"/>
      <c r="AM322" s="343"/>
      <c r="AN322" s="347"/>
      <c r="AO322" s="347"/>
      <c r="AP322" s="347"/>
      <c r="AQ322" s="381">
        <f>+FL_2($T$323,$T$321,$G$322,1200,10.96,-1*$F$323)</f>
        <v>-0.40830211760343249</v>
      </c>
      <c r="AR322" s="381"/>
      <c r="AS322" s="381"/>
      <c r="AT322" s="381"/>
      <c r="AU322" s="381"/>
      <c r="AV322" s="381"/>
      <c r="AW322" s="381"/>
      <c r="AX322" s="381"/>
      <c r="AY322" s="381"/>
      <c r="AZ322" s="381"/>
      <c r="BA322" s="381"/>
      <c r="BB322" s="306"/>
    </row>
    <row r="323" spans="1:57" ht="14.25">
      <c r="A323" s="341"/>
      <c r="B323" s="363" t="s">
        <v>2196</v>
      </c>
      <c r="C323" s="342">
        <f>+$C$321+$G$322</f>
        <v>18857.400000000001</v>
      </c>
      <c r="D323" s="343"/>
      <c r="E323" s="343"/>
      <c r="F323" s="344">
        <f>(1500*195)/(18990-C323)</f>
        <v>2205.8823529412007</v>
      </c>
      <c r="G323" s="345"/>
      <c r="H323" s="343"/>
      <c r="I323" s="360"/>
      <c r="J323" s="342"/>
      <c r="K323" s="343"/>
      <c r="L323" s="343" t="s">
        <v>1066</v>
      </c>
      <c r="M323" s="343" t="s">
        <v>2544</v>
      </c>
      <c r="N323" s="360" t="s">
        <v>144</v>
      </c>
      <c r="O323" s="360"/>
      <c r="P323" s="360"/>
      <c r="Q323" s="343">
        <v>87</v>
      </c>
      <c r="R323" s="345">
        <v>2205.44</v>
      </c>
      <c r="S323" s="345"/>
      <c r="T323" s="343">
        <v>-30</v>
      </c>
      <c r="U323" s="343"/>
      <c r="V323" s="343"/>
      <c r="W323" s="343">
        <v>1.4</v>
      </c>
      <c r="X323" s="343"/>
      <c r="Y323" s="343"/>
      <c r="Z323" s="343"/>
      <c r="AA323" s="343"/>
      <c r="AB323" s="343"/>
      <c r="AC323" s="343" t="s">
        <v>1704</v>
      </c>
      <c r="AD323" s="343"/>
      <c r="AE323" s="343"/>
      <c r="AF323" s="343">
        <v>5400</v>
      </c>
      <c r="AG323" s="342">
        <v>18858.54</v>
      </c>
      <c r="AH323" s="343">
        <v>3052</v>
      </c>
      <c r="AI323" s="344">
        <v>33</v>
      </c>
      <c r="AJ323" s="380"/>
      <c r="AK323" s="343"/>
      <c r="AL323" s="343"/>
      <c r="AM323" s="343" t="s">
        <v>1228</v>
      </c>
      <c r="AN323" s="347">
        <v>5.45</v>
      </c>
      <c r="AO323" s="347"/>
      <c r="AP323" s="347"/>
      <c r="AQ323" s="381"/>
      <c r="AR323" s="381"/>
      <c r="AS323" s="381"/>
      <c r="AT323" s="381">
        <f>+ab($T$323,$T$321,$T$325,$G$322,$G$324,-1*$F$323,1200)</f>
        <v>-9.9234304077033375</v>
      </c>
      <c r="AU323" s="381"/>
      <c r="AV323" s="381"/>
      <c r="AW323" s="381" t="s">
        <v>699</v>
      </c>
      <c r="AX323" s="381" t="s">
        <v>699</v>
      </c>
      <c r="AY323" s="381" t="s">
        <v>699</v>
      </c>
      <c r="AZ323" s="381" t="s">
        <v>699</v>
      </c>
      <c r="BA323" s="381"/>
      <c r="BB323" s="306"/>
    </row>
    <row r="324" spans="1:57" ht="14.25">
      <c r="A324" s="341"/>
      <c r="B324" s="363"/>
      <c r="C324" s="342"/>
      <c r="D324" s="343"/>
      <c r="E324" s="343"/>
      <c r="F324" s="344"/>
      <c r="G324" s="345">
        <v>34.700000000000003</v>
      </c>
      <c r="H324" s="343"/>
      <c r="I324" s="360"/>
      <c r="J324" s="342"/>
      <c r="K324" s="343"/>
      <c r="L324" s="343"/>
      <c r="M324" s="380"/>
      <c r="N324" s="360"/>
      <c r="O324" s="360"/>
      <c r="P324" s="360"/>
      <c r="Q324" s="343"/>
      <c r="R324" s="345"/>
      <c r="S324" s="345">
        <f t="shared" ref="S324" si="83">AG325-AG323</f>
        <v>34.829999999998108</v>
      </c>
      <c r="T324" s="343"/>
      <c r="U324" s="343"/>
      <c r="V324" s="343"/>
      <c r="W324" s="343"/>
      <c r="X324" s="343"/>
      <c r="Y324" s="343"/>
      <c r="Z324" s="343"/>
      <c r="AA324" s="343"/>
      <c r="AB324" s="343"/>
      <c r="AC324" s="343"/>
      <c r="AD324" s="343"/>
      <c r="AE324" s="343"/>
      <c r="AF324" s="343"/>
      <c r="AG324" s="342"/>
      <c r="AH324" s="343"/>
      <c r="AI324" s="344"/>
      <c r="AJ324" s="380"/>
      <c r="AK324" s="343"/>
      <c r="AL324" s="343"/>
      <c r="AM324" s="343"/>
      <c r="AN324" s="347"/>
      <c r="AO324" s="347"/>
      <c r="AP324" s="347"/>
      <c r="AQ324" s="381">
        <f>+FL_2($T$325,$T$323,$G$324,1200,11.21,-1*$F$325)</f>
        <v>-0.36695769180380938</v>
      </c>
      <c r="AR324" s="381"/>
      <c r="AS324" s="381"/>
      <c r="AT324" s="381"/>
      <c r="AU324" s="381"/>
      <c r="AV324" s="381"/>
      <c r="AW324" s="381"/>
      <c r="AX324" s="381"/>
      <c r="AY324" s="381"/>
      <c r="AZ324" s="381"/>
      <c r="BA324" s="381"/>
      <c r="BB324" s="306"/>
    </row>
    <row r="325" spans="1:57" ht="14.25">
      <c r="A325" s="341"/>
      <c r="B325" s="363" t="s">
        <v>2197</v>
      </c>
      <c r="C325" s="342">
        <f>+$C$323+$G$324</f>
        <v>18892.100000000002</v>
      </c>
      <c r="D325" s="343"/>
      <c r="E325" s="343"/>
      <c r="F325" s="344">
        <f>(1500*195)/(18990-C325)</f>
        <v>2987.7425944842344</v>
      </c>
      <c r="G325" s="345"/>
      <c r="H325" s="343"/>
      <c r="I325" s="360"/>
      <c r="J325" s="342"/>
      <c r="K325" s="343"/>
      <c r="L325" s="343" t="s">
        <v>1070</v>
      </c>
      <c r="M325" s="343" t="s">
        <v>2544</v>
      </c>
      <c r="N325" s="360" t="s">
        <v>144</v>
      </c>
      <c r="O325" s="360"/>
      <c r="P325" s="360"/>
      <c r="Q325" s="343">
        <v>64</v>
      </c>
      <c r="R325" s="345">
        <v>2980.86</v>
      </c>
      <c r="S325" s="345"/>
      <c r="T325" s="343">
        <v>-25</v>
      </c>
      <c r="U325" s="343"/>
      <c r="V325" s="343"/>
      <c r="W325" s="343">
        <v>1.4</v>
      </c>
      <c r="X325" s="343"/>
      <c r="Y325" s="343"/>
      <c r="Z325" s="343"/>
      <c r="AA325" s="343"/>
      <c r="AB325" s="343"/>
      <c r="AC325" s="343" t="s">
        <v>1704</v>
      </c>
      <c r="AD325" s="343"/>
      <c r="AE325" s="343"/>
      <c r="AF325" s="343">
        <v>5400</v>
      </c>
      <c r="AG325" s="342">
        <v>18893.37</v>
      </c>
      <c r="AH325" s="343">
        <v>3106</v>
      </c>
      <c r="AI325" s="344">
        <v>79</v>
      </c>
      <c r="AJ325" s="380"/>
      <c r="AK325" s="343"/>
      <c r="AL325" s="343"/>
      <c r="AM325" s="343" t="s">
        <v>1228</v>
      </c>
      <c r="AN325" s="347">
        <v>5.5</v>
      </c>
      <c r="AO325" s="347"/>
      <c r="AP325" s="347"/>
      <c r="AQ325" s="381"/>
      <c r="AR325" s="381"/>
      <c r="AS325" s="381"/>
      <c r="AT325" s="381">
        <f>+ab($T$325,$T$323,$T$327,$G$324,$G$326,-1*$F$325,1200)</f>
        <v>-14.212925235704665</v>
      </c>
      <c r="AU325" s="381"/>
      <c r="AV325" s="381"/>
      <c r="AW325" s="381" t="s">
        <v>699</v>
      </c>
      <c r="AX325" s="381" t="s">
        <v>699</v>
      </c>
      <c r="AY325" s="381" t="s">
        <v>699</v>
      </c>
      <c r="AZ325" s="381" t="s">
        <v>699</v>
      </c>
      <c r="BA325" s="381"/>
      <c r="BB325" s="306"/>
    </row>
    <row r="326" spans="1:57" ht="14.25">
      <c r="A326" s="341"/>
      <c r="B326" s="363"/>
      <c r="C326" s="342"/>
      <c r="D326" s="343"/>
      <c r="E326" s="343"/>
      <c r="F326" s="344"/>
      <c r="G326" s="345">
        <v>46.5</v>
      </c>
      <c r="H326" s="343"/>
      <c r="I326" s="360"/>
      <c r="J326" s="342"/>
      <c r="K326" s="343"/>
      <c r="L326" s="343"/>
      <c r="M326" s="380"/>
      <c r="N326" s="360"/>
      <c r="O326" s="360"/>
      <c r="P326" s="360"/>
      <c r="Q326" s="343"/>
      <c r="R326" s="345"/>
      <c r="S326" s="345">
        <f t="shared" ref="S326" si="84">AG327-AG325</f>
        <v>46.280000000002474</v>
      </c>
      <c r="T326" s="343"/>
      <c r="U326" s="343"/>
      <c r="V326" s="343"/>
      <c r="W326" s="343"/>
      <c r="X326" s="343"/>
      <c r="Y326" s="343"/>
      <c r="Z326" s="343"/>
      <c r="AA326" s="343"/>
      <c r="AB326" s="343"/>
      <c r="AC326" s="343"/>
      <c r="AD326" s="343"/>
      <c r="AE326" s="343"/>
      <c r="AF326" s="343"/>
      <c r="AG326" s="342"/>
      <c r="AH326" s="343"/>
      <c r="AI326" s="344"/>
      <c r="AJ326" s="380"/>
      <c r="AK326" s="343"/>
      <c r="AL326" s="343"/>
      <c r="AM326" s="343"/>
      <c r="AN326" s="347"/>
      <c r="AO326" s="347"/>
      <c r="AP326" s="347"/>
      <c r="AQ326" s="381">
        <f>+FL_2($T$327,$T$325,$G$326,1200,11.21,-1*$F$327)</f>
        <v>-0.43075418306123575</v>
      </c>
      <c r="AR326" s="381"/>
      <c r="AS326" s="381"/>
      <c r="AT326" s="381"/>
      <c r="AU326" s="381"/>
      <c r="AV326" s="381"/>
      <c r="AW326" s="381"/>
      <c r="AX326" s="381"/>
      <c r="AY326" s="381"/>
      <c r="AZ326" s="381"/>
      <c r="BA326" s="381"/>
      <c r="BB326" s="306"/>
    </row>
    <row r="327" spans="1:57" ht="14.25">
      <c r="A327" s="341"/>
      <c r="B327" s="363" t="s">
        <v>2198</v>
      </c>
      <c r="C327" s="342">
        <f>+$C$325+$G$326</f>
        <v>18938.600000000002</v>
      </c>
      <c r="D327" s="343"/>
      <c r="E327" s="343"/>
      <c r="F327" s="344">
        <f>(1500*195)/(18990-C327)</f>
        <v>5690.6614785994634</v>
      </c>
      <c r="G327" s="345"/>
      <c r="H327" s="343"/>
      <c r="I327" s="360"/>
      <c r="J327" s="342"/>
      <c r="K327" s="343"/>
      <c r="L327" s="343" t="s">
        <v>1070</v>
      </c>
      <c r="M327" s="343" t="s">
        <v>2544</v>
      </c>
      <c r="N327" s="360" t="s">
        <v>144</v>
      </c>
      <c r="O327" s="360"/>
      <c r="P327" s="360"/>
      <c r="Q327" s="343">
        <v>33</v>
      </c>
      <c r="R327" s="345">
        <v>5704.15</v>
      </c>
      <c r="S327" s="345"/>
      <c r="T327" s="343">
        <v>-20</v>
      </c>
      <c r="U327" s="343"/>
      <c r="V327" s="343"/>
      <c r="W327" s="343">
        <v>1.4</v>
      </c>
      <c r="X327" s="343"/>
      <c r="Y327" s="343"/>
      <c r="Z327" s="343"/>
      <c r="AA327" s="343"/>
      <c r="AB327" s="343"/>
      <c r="AC327" s="343" t="s">
        <v>1704</v>
      </c>
      <c r="AD327" s="343"/>
      <c r="AE327" s="343"/>
      <c r="AF327" s="343">
        <v>5400</v>
      </c>
      <c r="AG327" s="342">
        <v>18939.650000000001</v>
      </c>
      <c r="AH327" s="343">
        <v>3072</v>
      </c>
      <c r="AI327" s="344">
        <v>13</v>
      </c>
      <c r="AJ327" s="380"/>
      <c r="AK327" s="343"/>
      <c r="AL327" s="343"/>
      <c r="AM327" s="343" t="s">
        <v>1228</v>
      </c>
      <c r="AN327" s="347">
        <v>5.5</v>
      </c>
      <c r="AO327" s="347"/>
      <c r="AP327" s="347"/>
      <c r="AQ327" s="381"/>
      <c r="AR327" s="381"/>
      <c r="AS327" s="381"/>
      <c r="AT327" s="381">
        <f>+ab($T$327,$T$325,$T$329,$G$326,$G$328,-1*$F$327,1200)</f>
        <v>-11.920281790505483</v>
      </c>
      <c r="AU327" s="381"/>
      <c r="AV327" s="381"/>
      <c r="AW327" s="381" t="s">
        <v>699</v>
      </c>
      <c r="AX327" s="381" t="s">
        <v>699</v>
      </c>
      <c r="AY327" s="381" t="s">
        <v>699</v>
      </c>
      <c r="AZ327" s="381" t="s">
        <v>699</v>
      </c>
      <c r="BA327" s="381"/>
      <c r="BB327" s="306"/>
    </row>
    <row r="328" spans="1:57" ht="14.25">
      <c r="A328" s="341"/>
      <c r="B328" s="363"/>
      <c r="C328" s="342"/>
      <c r="D328" s="343"/>
      <c r="E328" s="343"/>
      <c r="F328" s="344"/>
      <c r="G328" s="345">
        <v>58</v>
      </c>
      <c r="H328" s="343"/>
      <c r="I328" s="360"/>
      <c r="J328" s="342"/>
      <c r="K328" s="343"/>
      <c r="L328" s="343"/>
      <c r="M328" s="380"/>
      <c r="N328" s="360"/>
      <c r="O328" s="360"/>
      <c r="P328" s="360"/>
      <c r="Q328" s="343"/>
      <c r="R328" s="345"/>
      <c r="S328" s="345">
        <f t="shared" ref="S328" si="85">AG329-AG327</f>
        <v>58.229999999999563</v>
      </c>
      <c r="T328" s="343"/>
      <c r="U328" s="343"/>
      <c r="V328" s="343"/>
      <c r="W328" s="343"/>
      <c r="X328" s="343"/>
      <c r="Y328" s="343"/>
      <c r="Z328" s="343"/>
      <c r="AA328" s="343"/>
      <c r="AB328" s="343"/>
      <c r="AC328" s="343"/>
      <c r="AD328" s="343"/>
      <c r="AE328" s="343"/>
      <c r="AF328" s="343"/>
      <c r="AG328" s="342"/>
      <c r="AH328" s="343"/>
      <c r="AI328" s="344"/>
      <c r="AJ328" s="380"/>
      <c r="AK328" s="343"/>
      <c r="AL328" s="343"/>
      <c r="AM328" s="343"/>
      <c r="AN328" s="347"/>
      <c r="AO328" s="347"/>
      <c r="AP328" s="347"/>
      <c r="AQ328" s="381">
        <f>+FL_1($T$329,$T$327,$G$328,1200,11.21,-1*$F$329)</f>
        <v>0.4500362678893679</v>
      </c>
      <c r="AR328" s="381"/>
      <c r="AS328" s="381"/>
      <c r="AT328" s="381"/>
      <c r="AU328" s="381"/>
      <c r="AV328" s="381"/>
      <c r="AW328" s="381"/>
      <c r="AX328" s="381"/>
      <c r="AY328" s="381"/>
      <c r="AZ328" s="381"/>
      <c r="BA328" s="381"/>
      <c r="BB328" s="306"/>
    </row>
    <row r="329" spans="1:57" ht="14.25">
      <c r="A329" s="341"/>
      <c r="B329" s="363" t="s">
        <v>2199</v>
      </c>
      <c r="C329" s="342">
        <f>+$C$327+$G$328</f>
        <v>18996.600000000002</v>
      </c>
      <c r="D329" s="343"/>
      <c r="E329" s="343"/>
      <c r="F329" s="344">
        <v>0</v>
      </c>
      <c r="G329" s="345"/>
      <c r="H329" s="343"/>
      <c r="I329" s="360"/>
      <c r="J329" s="342"/>
      <c r="K329" s="343"/>
      <c r="L329" s="343" t="s">
        <v>1070</v>
      </c>
      <c r="M329" s="343" t="s">
        <v>2544</v>
      </c>
      <c r="N329" s="360" t="s">
        <v>145</v>
      </c>
      <c r="O329" s="360"/>
      <c r="P329" s="360"/>
      <c r="Q329" s="343">
        <v>0</v>
      </c>
      <c r="R329" s="344">
        <v>0</v>
      </c>
      <c r="S329" s="345"/>
      <c r="T329" s="343">
        <v>25</v>
      </c>
      <c r="U329" s="343"/>
      <c r="V329" s="343"/>
      <c r="W329" s="343">
        <v>1.4</v>
      </c>
      <c r="X329" s="343"/>
      <c r="Y329" s="343"/>
      <c r="Z329" s="343"/>
      <c r="AA329" s="343"/>
      <c r="AB329" s="343"/>
      <c r="AC329" s="343" t="s">
        <v>1704</v>
      </c>
      <c r="AD329" s="343"/>
      <c r="AE329" s="343"/>
      <c r="AF329" s="343">
        <v>5400</v>
      </c>
      <c r="AG329" s="342">
        <v>18997.88</v>
      </c>
      <c r="AH329" s="343">
        <v>3115</v>
      </c>
      <c r="AI329" s="344">
        <v>55</v>
      </c>
      <c r="AJ329" s="380"/>
      <c r="AK329" s="343"/>
      <c r="AL329" s="343"/>
      <c r="AM329" s="343" t="s">
        <v>1228</v>
      </c>
      <c r="AN329" s="347">
        <v>5.5</v>
      </c>
      <c r="AO329" s="347"/>
      <c r="AP329" s="347"/>
      <c r="AQ329" s="381"/>
      <c r="AR329" s="381"/>
      <c r="AS329" s="381"/>
      <c r="AT329" s="381">
        <f>+ab($T$329,$T$327,$T$331,$G$328,$G$330,-1*$F$329,1200)</f>
        <v>23.3482341889951</v>
      </c>
      <c r="AU329" s="381"/>
      <c r="AV329" s="381"/>
      <c r="AW329" s="381" t="s">
        <v>699</v>
      </c>
      <c r="AX329" s="381" t="s">
        <v>699</v>
      </c>
      <c r="AY329" s="381" t="s">
        <v>699</v>
      </c>
      <c r="AZ329" s="381" t="s">
        <v>699</v>
      </c>
      <c r="BA329" s="381"/>
      <c r="BB329" s="306"/>
    </row>
    <row r="330" spans="1:57" ht="14.25">
      <c r="A330" s="341"/>
      <c r="B330" s="363"/>
      <c r="C330" s="342"/>
      <c r="D330" s="343"/>
      <c r="E330" s="343"/>
      <c r="F330" s="344"/>
      <c r="G330" s="345">
        <v>44.5</v>
      </c>
      <c r="H330" s="343"/>
      <c r="I330" s="360"/>
      <c r="J330" s="342"/>
      <c r="K330" s="343"/>
      <c r="L330" s="343"/>
      <c r="M330" s="380"/>
      <c r="N330" s="360"/>
      <c r="O330" s="360"/>
      <c r="P330" s="360"/>
      <c r="Q330" s="343"/>
      <c r="R330" s="345"/>
      <c r="S330" s="345">
        <f t="shared" ref="S330" si="86">AG331-AG329</f>
        <v>44.430000000000291</v>
      </c>
      <c r="T330" s="343"/>
      <c r="U330" s="343"/>
      <c r="V330" s="343"/>
      <c r="W330" s="343"/>
      <c r="X330" s="343"/>
      <c r="Y330" s="343"/>
      <c r="Z330" s="343"/>
      <c r="AA330" s="343"/>
      <c r="AB330" s="343"/>
      <c r="AC330" s="343"/>
      <c r="AD330" s="343"/>
      <c r="AE330" s="343"/>
      <c r="AF330" s="343"/>
      <c r="AG330" s="342"/>
      <c r="AH330" s="343"/>
      <c r="AI330" s="344"/>
      <c r="AJ330" s="380"/>
      <c r="AK330" s="343"/>
      <c r="AL330" s="343"/>
      <c r="AM330" s="343"/>
      <c r="AN330" s="347"/>
      <c r="AO330" s="347"/>
      <c r="AP330" s="347"/>
      <c r="AQ330" s="381">
        <f>+FL_1($T$331,$T$329,$G$330,1200,11.21,-1*$F$331)</f>
        <v>0.48123544270833335</v>
      </c>
      <c r="AR330" s="381"/>
      <c r="AS330" s="381"/>
      <c r="AT330" s="381"/>
      <c r="AU330" s="381"/>
      <c r="AV330" s="381"/>
      <c r="AW330" s="381"/>
      <c r="AX330" s="381"/>
      <c r="AY330" s="381"/>
      <c r="AZ330" s="381"/>
      <c r="BA330" s="381"/>
      <c r="BB330" s="306"/>
    </row>
    <row r="331" spans="1:57" ht="14.25">
      <c r="A331" s="341"/>
      <c r="B331" s="363" t="s">
        <v>2200</v>
      </c>
      <c r="C331" s="342">
        <f>+$C$329+$G$330</f>
        <v>19041.100000000002</v>
      </c>
      <c r="D331" s="343"/>
      <c r="E331" s="343"/>
      <c r="F331" s="344">
        <v>0</v>
      </c>
      <c r="G331" s="345"/>
      <c r="H331" s="343"/>
      <c r="I331" s="360"/>
      <c r="J331" s="342"/>
      <c r="K331" s="343"/>
      <c r="L331" s="343" t="s">
        <v>1070</v>
      </c>
      <c r="M331" s="343" t="s">
        <v>2544</v>
      </c>
      <c r="N331" s="360" t="s">
        <v>145</v>
      </c>
      <c r="O331" s="360"/>
      <c r="P331" s="360"/>
      <c r="Q331" s="343">
        <v>0</v>
      </c>
      <c r="R331" s="344">
        <v>0</v>
      </c>
      <c r="S331" s="345"/>
      <c r="T331" s="343">
        <v>25</v>
      </c>
      <c r="U331" s="343"/>
      <c r="V331" s="343"/>
      <c r="W331" s="343">
        <v>1.4</v>
      </c>
      <c r="X331" s="343"/>
      <c r="Y331" s="343"/>
      <c r="Z331" s="343"/>
      <c r="AA331" s="343"/>
      <c r="AB331" s="343"/>
      <c r="AC331" s="343" t="s">
        <v>1704</v>
      </c>
      <c r="AD331" s="343"/>
      <c r="AE331" s="343"/>
      <c r="AF331" s="343">
        <v>5400</v>
      </c>
      <c r="AG331" s="342">
        <v>19042.310000000001</v>
      </c>
      <c r="AH331" s="343">
        <v>3079</v>
      </c>
      <c r="AI331" s="344">
        <v>73</v>
      </c>
      <c r="AJ331" s="380"/>
      <c r="AK331" s="343"/>
      <c r="AL331" s="343"/>
      <c r="AM331" s="343" t="s">
        <v>1228</v>
      </c>
      <c r="AN331" s="347">
        <v>5.5</v>
      </c>
      <c r="AO331" s="347"/>
      <c r="AP331" s="347"/>
      <c r="AQ331" s="381"/>
      <c r="AR331" s="381"/>
      <c r="AS331" s="381"/>
      <c r="AT331" s="381">
        <f>+ab($T$331,$T$329,$T$333,$G$330,$G$332,-1*$F$331,1200)</f>
        <v>14.550539031525107</v>
      </c>
      <c r="AU331" s="381"/>
      <c r="AV331" s="381"/>
      <c r="AW331" s="381" t="s">
        <v>699</v>
      </c>
      <c r="AX331" s="381" t="s">
        <v>699</v>
      </c>
      <c r="AY331" s="381" t="s">
        <v>699</v>
      </c>
      <c r="AZ331" s="381" t="s">
        <v>699</v>
      </c>
      <c r="BA331" s="381"/>
      <c r="BB331" s="306"/>
      <c r="BE331" s="362"/>
    </row>
    <row r="332" spans="1:57" ht="14.25">
      <c r="A332" s="341"/>
      <c r="B332" s="363"/>
      <c r="C332" s="342"/>
      <c r="D332" s="343"/>
      <c r="E332" s="343"/>
      <c r="F332" s="344"/>
      <c r="G332" s="345">
        <v>46.5</v>
      </c>
      <c r="H332" s="343"/>
      <c r="I332" s="360"/>
      <c r="J332" s="342"/>
      <c r="K332" s="343"/>
      <c r="L332" s="343"/>
      <c r="M332" s="380"/>
      <c r="N332" s="360"/>
      <c r="O332" s="360"/>
      <c r="P332" s="360"/>
      <c r="Q332" s="343"/>
      <c r="R332" s="345"/>
      <c r="S332" s="345">
        <f t="shared" ref="S332" si="87">AG333-AG331</f>
        <v>46.340000000000146</v>
      </c>
      <c r="T332" s="343"/>
      <c r="U332" s="343"/>
      <c r="V332" s="343"/>
      <c r="W332" s="343"/>
      <c r="X332" s="343"/>
      <c r="Y332" s="343"/>
      <c r="Z332" s="343"/>
      <c r="AA332" s="343"/>
      <c r="AB332" s="343"/>
      <c r="AC332" s="343"/>
      <c r="AD332" s="343"/>
      <c r="AE332" s="343"/>
      <c r="AF332" s="343"/>
      <c r="AG332" s="342"/>
      <c r="AH332" s="343"/>
      <c r="AI332" s="344"/>
      <c r="AJ332" s="380"/>
      <c r="AK332" s="343"/>
      <c r="AL332" s="343"/>
      <c r="AM332" s="343"/>
      <c r="AN332" s="347"/>
      <c r="AO332" s="347"/>
      <c r="AP332" s="347"/>
      <c r="AQ332" s="381">
        <f>+FL_2($T$333,$T$331,$G$332,1200,11.21,-1*$F$333)</f>
        <v>-0.3916009710537634</v>
      </c>
      <c r="AR332" s="381"/>
      <c r="AS332" s="381"/>
      <c r="AT332" s="381"/>
      <c r="AU332" s="381"/>
      <c r="AV332" s="381"/>
      <c r="AW332" s="381"/>
      <c r="AX332" s="381"/>
      <c r="AY332" s="381"/>
      <c r="AZ332" s="381"/>
      <c r="BA332" s="381"/>
      <c r="BB332" s="306"/>
    </row>
    <row r="333" spans="1:57" ht="14.25">
      <c r="A333" s="341"/>
      <c r="B333" s="363" t="s">
        <v>2201</v>
      </c>
      <c r="C333" s="342">
        <f>+$C$331+$G$332</f>
        <v>19087.600000000002</v>
      </c>
      <c r="D333" s="343"/>
      <c r="E333" s="343"/>
      <c r="F333" s="344">
        <v>0</v>
      </c>
      <c r="G333" s="345"/>
      <c r="H333" s="343" t="s">
        <v>954</v>
      </c>
      <c r="I333" s="360"/>
      <c r="J333" s="342"/>
      <c r="K333" s="343"/>
      <c r="L333" s="343" t="s">
        <v>2542</v>
      </c>
      <c r="M333" s="343" t="s">
        <v>2543</v>
      </c>
      <c r="N333" s="360" t="s">
        <v>144</v>
      </c>
      <c r="O333" s="360"/>
      <c r="P333" s="360"/>
      <c r="Q333" s="343">
        <v>0</v>
      </c>
      <c r="R333" s="344">
        <v>0</v>
      </c>
      <c r="S333" s="345"/>
      <c r="T333" s="343">
        <v>-35</v>
      </c>
      <c r="U333" s="343"/>
      <c r="V333" s="343"/>
      <c r="W333" s="343">
        <v>1.4</v>
      </c>
      <c r="X333" s="343"/>
      <c r="Y333" s="343"/>
      <c r="Z333" s="343"/>
      <c r="AA333" s="343"/>
      <c r="AB333" s="343"/>
      <c r="AC333" s="343" t="s">
        <v>2963</v>
      </c>
      <c r="AD333" s="343"/>
      <c r="AE333" s="343"/>
      <c r="AF333" s="343">
        <v>5400</v>
      </c>
      <c r="AG333" s="342">
        <v>19088.650000000001</v>
      </c>
      <c r="AH333" s="343">
        <v>2966</v>
      </c>
      <c r="AI333" s="344">
        <v>137</v>
      </c>
      <c r="AJ333" s="380"/>
      <c r="AK333" s="343"/>
      <c r="AL333" s="343"/>
      <c r="AM333" s="343" t="s">
        <v>1228</v>
      </c>
      <c r="AN333" s="347">
        <v>5.5</v>
      </c>
      <c r="AO333" s="347"/>
      <c r="AP333" s="347"/>
      <c r="AQ333" s="381"/>
      <c r="AR333" s="381"/>
      <c r="AS333" s="381"/>
      <c r="AT333" s="381">
        <f>+ab($T$333,$T$331,$T$335,$G$332,$G$334,-1*$F$333,1200)</f>
        <v>-7.7010235893415677</v>
      </c>
      <c r="AU333" s="381"/>
      <c r="AV333" s="381"/>
      <c r="AW333" s="381" t="s">
        <v>699</v>
      </c>
      <c r="AX333" s="381" t="s">
        <v>699</v>
      </c>
      <c r="AY333" s="381" t="s">
        <v>699</v>
      </c>
      <c r="AZ333" s="381" t="s">
        <v>699</v>
      </c>
      <c r="BA333" s="381"/>
      <c r="BB333" s="306"/>
    </row>
    <row r="334" spans="1:57" ht="14.25">
      <c r="A334" s="341"/>
      <c r="B334" s="363"/>
      <c r="C334" s="342"/>
      <c r="D334" s="343"/>
      <c r="E334" s="343"/>
      <c r="F334" s="344"/>
      <c r="G334" s="345">
        <v>59</v>
      </c>
      <c r="H334" s="343"/>
      <c r="I334" s="360">
        <f>SUM(G312:G334)-10</f>
        <v>554.59999999999991</v>
      </c>
      <c r="J334" s="342"/>
      <c r="K334" s="343"/>
      <c r="L334" s="343"/>
      <c r="M334" s="380"/>
      <c r="N334" s="360"/>
      <c r="O334" s="360"/>
      <c r="P334" s="360"/>
      <c r="Q334" s="343"/>
      <c r="R334" s="345"/>
      <c r="S334" s="345">
        <f t="shared" ref="S334" si="88">AG335-AG333</f>
        <v>58.909999999999854</v>
      </c>
      <c r="T334" s="343"/>
      <c r="U334" s="343"/>
      <c r="V334" s="343"/>
      <c r="W334" s="343"/>
      <c r="X334" s="343"/>
      <c r="Y334" s="343"/>
      <c r="Z334" s="343"/>
      <c r="AA334" s="343"/>
      <c r="AB334" s="343"/>
      <c r="AC334" s="343"/>
      <c r="AD334" s="343"/>
      <c r="AE334" s="343"/>
      <c r="AF334" s="343"/>
      <c r="AG334" s="342"/>
      <c r="AH334" s="343"/>
      <c r="AI334" s="344"/>
      <c r="AJ334" s="380"/>
      <c r="AK334" s="343"/>
      <c r="AL334" s="343"/>
      <c r="AM334" s="343"/>
      <c r="AN334" s="347"/>
      <c r="AO334" s="347"/>
      <c r="AP334" s="347"/>
      <c r="AQ334" s="381">
        <f>+FL_2($T$335,$T$333,$G$334,1200,11.21,-1*$F$335)</f>
        <v>-0.48182136610169501</v>
      </c>
      <c r="AR334" s="381"/>
      <c r="AS334" s="381"/>
      <c r="AT334" s="381"/>
      <c r="AU334" s="381"/>
      <c r="AV334" s="381"/>
      <c r="AW334" s="381"/>
      <c r="AX334" s="381"/>
      <c r="AY334" s="381"/>
      <c r="AZ334" s="381"/>
      <c r="BA334" s="381"/>
      <c r="BB334" s="306"/>
    </row>
    <row r="335" spans="1:57" ht="14.25">
      <c r="A335" s="341"/>
      <c r="B335" s="363" t="s">
        <v>2202</v>
      </c>
      <c r="C335" s="342">
        <f>+$C$333+$G$334</f>
        <v>19146.600000000002</v>
      </c>
      <c r="D335" s="343"/>
      <c r="E335" s="343"/>
      <c r="F335" s="344">
        <v>0</v>
      </c>
      <c r="G335" s="345"/>
      <c r="H335" s="343" t="s">
        <v>955</v>
      </c>
      <c r="I335" s="360"/>
      <c r="J335" s="342"/>
      <c r="K335" s="343"/>
      <c r="L335" s="343" t="s">
        <v>1070</v>
      </c>
      <c r="M335" s="343" t="s">
        <v>2544</v>
      </c>
      <c r="N335" s="360" t="s">
        <v>145</v>
      </c>
      <c r="O335" s="360"/>
      <c r="P335" s="360"/>
      <c r="Q335" s="343">
        <v>0</v>
      </c>
      <c r="R335" s="344">
        <v>0</v>
      </c>
      <c r="S335" s="345"/>
      <c r="T335" s="343">
        <v>35</v>
      </c>
      <c r="U335" s="343"/>
      <c r="V335" s="343"/>
      <c r="W335" s="343">
        <v>1.4</v>
      </c>
      <c r="X335" s="343"/>
      <c r="Y335" s="343"/>
      <c r="Z335" s="343"/>
      <c r="AA335" s="343"/>
      <c r="AB335" s="343"/>
      <c r="AC335" s="343" t="s">
        <v>2963</v>
      </c>
      <c r="AD335" s="343"/>
      <c r="AE335" s="343"/>
      <c r="AF335" s="343">
        <v>5400</v>
      </c>
      <c r="AG335" s="342">
        <v>19147.560000000001</v>
      </c>
      <c r="AH335" s="343">
        <v>3170</v>
      </c>
      <c r="AI335" s="344">
        <v>60</v>
      </c>
      <c r="AJ335" s="380"/>
      <c r="AK335" s="343"/>
      <c r="AL335" s="343"/>
      <c r="AM335" s="343" t="s">
        <v>1228</v>
      </c>
      <c r="AN335" s="347">
        <v>5.5</v>
      </c>
      <c r="AO335" s="347"/>
      <c r="AP335" s="347"/>
      <c r="AQ335" s="381"/>
      <c r="AR335" s="381"/>
      <c r="AS335" s="381"/>
      <c r="AT335" s="381">
        <f>+ab($T$335,$T$333,$T$337,$G$334,$G$336,-1*$F$335,1200)</f>
        <v>8.0338173651602922</v>
      </c>
      <c r="AU335" s="381"/>
      <c r="AV335" s="381"/>
      <c r="AW335" s="381" t="s">
        <v>699</v>
      </c>
      <c r="AX335" s="381" t="s">
        <v>699</v>
      </c>
      <c r="AY335" s="381" t="s">
        <v>699</v>
      </c>
      <c r="AZ335" s="381" t="s">
        <v>699</v>
      </c>
      <c r="BA335" s="381"/>
      <c r="BB335" s="306"/>
    </row>
    <row r="336" spans="1:57" ht="14.25">
      <c r="A336" s="341"/>
      <c r="B336" s="363"/>
      <c r="C336" s="342"/>
      <c r="D336" s="343"/>
      <c r="E336" s="343"/>
      <c r="F336" s="344"/>
      <c r="G336" s="345">
        <v>59</v>
      </c>
      <c r="H336" s="343"/>
      <c r="I336" s="360">
        <f>SUM(G336:G350)</f>
        <v>485.4</v>
      </c>
      <c r="J336" s="342"/>
      <c r="K336" s="343"/>
      <c r="L336" s="343"/>
      <c r="M336" s="380"/>
      <c r="N336" s="360"/>
      <c r="O336" s="360"/>
      <c r="P336" s="360"/>
      <c r="Q336" s="343"/>
      <c r="R336" s="345"/>
      <c r="S336" s="345">
        <f t="shared" ref="S336" si="89">AG337-AG335</f>
        <v>59.059999999997672</v>
      </c>
      <c r="T336" s="343"/>
      <c r="U336" s="343"/>
      <c r="V336" s="343"/>
      <c r="W336" s="343"/>
      <c r="X336" s="343"/>
      <c r="Y336" s="343"/>
      <c r="Z336" s="343"/>
      <c r="AA336" s="343"/>
      <c r="AB336" s="343"/>
      <c r="AC336" s="343"/>
      <c r="AD336" s="343"/>
      <c r="AE336" s="343"/>
      <c r="AF336" s="343"/>
      <c r="AG336" s="342"/>
      <c r="AH336" s="343"/>
      <c r="AI336" s="344"/>
      <c r="AJ336" s="380"/>
      <c r="AK336" s="343"/>
      <c r="AL336" s="343"/>
      <c r="AM336" s="343"/>
      <c r="AN336" s="347"/>
      <c r="AO336" s="347"/>
      <c r="AP336" s="347"/>
      <c r="AQ336" s="381">
        <f>+FL_1($T$337,$T$335,$G$336,1200,11.21,-1*$F$337)</f>
        <v>0.48182136610169501</v>
      </c>
      <c r="AR336" s="381"/>
      <c r="AS336" s="381"/>
      <c r="AT336" s="381"/>
      <c r="AU336" s="381"/>
      <c r="AV336" s="381"/>
      <c r="AW336" s="381"/>
      <c r="AX336" s="381"/>
      <c r="AY336" s="381"/>
      <c r="AZ336" s="381"/>
      <c r="BA336" s="381"/>
      <c r="BB336" s="306"/>
    </row>
    <row r="337" spans="1:54" ht="14.25">
      <c r="A337" s="341"/>
      <c r="B337" s="363" t="s">
        <v>2203</v>
      </c>
      <c r="C337" s="342">
        <f>+$C$335+$G$336</f>
        <v>19205.600000000002</v>
      </c>
      <c r="D337" s="343"/>
      <c r="E337" s="343"/>
      <c r="F337" s="344">
        <v>0</v>
      </c>
      <c r="G337" s="345"/>
      <c r="H337" s="343" t="s">
        <v>954</v>
      </c>
      <c r="I337" s="360"/>
      <c r="J337" s="342"/>
      <c r="K337" s="343"/>
      <c r="L337" s="343" t="s">
        <v>2542</v>
      </c>
      <c r="M337" s="343" t="s">
        <v>2543</v>
      </c>
      <c r="N337" s="360" t="s">
        <v>144</v>
      </c>
      <c r="O337" s="360"/>
      <c r="P337" s="360"/>
      <c r="Q337" s="343">
        <v>0</v>
      </c>
      <c r="R337" s="344">
        <v>0</v>
      </c>
      <c r="S337" s="345"/>
      <c r="T337" s="343">
        <v>-35</v>
      </c>
      <c r="U337" s="343"/>
      <c r="V337" s="343"/>
      <c r="W337" s="343">
        <v>1.4</v>
      </c>
      <c r="X337" s="343"/>
      <c r="Y337" s="343"/>
      <c r="Z337" s="343"/>
      <c r="AA337" s="343"/>
      <c r="AB337" s="343"/>
      <c r="AC337" s="343" t="s">
        <v>2963</v>
      </c>
      <c r="AD337" s="343"/>
      <c r="AE337" s="343"/>
      <c r="AF337" s="343">
        <v>5400</v>
      </c>
      <c r="AG337" s="342">
        <v>19206.62</v>
      </c>
      <c r="AH337" s="343">
        <v>3066</v>
      </c>
      <c r="AI337" s="344">
        <v>54</v>
      </c>
      <c r="AJ337" s="380"/>
      <c r="AK337" s="343"/>
      <c r="AL337" s="343"/>
      <c r="AM337" s="343" t="s">
        <v>1228</v>
      </c>
      <c r="AN337" s="347">
        <v>5.5</v>
      </c>
      <c r="AO337" s="347"/>
      <c r="AP337" s="347"/>
      <c r="AQ337" s="381"/>
      <c r="AR337" s="381"/>
      <c r="AS337" s="381"/>
      <c r="AT337" s="381">
        <f>+ab($T$337,$T$335,$T$339,$G$336,$G$338,-1*$F$337,1200)</f>
        <v>-8.0338567946902995</v>
      </c>
      <c r="AU337" s="381"/>
      <c r="AV337" s="381"/>
      <c r="AW337" s="381" t="s">
        <v>699</v>
      </c>
      <c r="AX337" s="381" t="s">
        <v>699</v>
      </c>
      <c r="AY337" s="381" t="s">
        <v>699</v>
      </c>
      <c r="AZ337" s="381" t="s">
        <v>699</v>
      </c>
      <c r="BA337" s="381"/>
      <c r="BB337" s="306"/>
    </row>
    <row r="338" spans="1:54" ht="14.25">
      <c r="A338" s="341"/>
      <c r="B338" s="363"/>
      <c r="C338" s="342"/>
      <c r="D338" s="343"/>
      <c r="E338" s="343"/>
      <c r="F338" s="344"/>
      <c r="G338" s="345">
        <v>59</v>
      </c>
      <c r="H338" s="343"/>
      <c r="I338" s="360"/>
      <c r="J338" s="342"/>
      <c r="K338" s="343"/>
      <c r="L338" s="343"/>
      <c r="M338" s="380"/>
      <c r="N338" s="360"/>
      <c r="O338" s="360"/>
      <c r="P338" s="360"/>
      <c r="Q338" s="343"/>
      <c r="R338" s="345"/>
      <c r="S338" s="345">
        <f t="shared" ref="S338" si="90">AG339-AG337</f>
        <v>58.960000000002765</v>
      </c>
      <c r="T338" s="343"/>
      <c r="U338" s="343"/>
      <c r="V338" s="343"/>
      <c r="W338" s="343"/>
      <c r="X338" s="343"/>
      <c r="Y338" s="343"/>
      <c r="Z338" s="343"/>
      <c r="AA338" s="343"/>
      <c r="AB338" s="343"/>
      <c r="AC338" s="343"/>
      <c r="AD338" s="343"/>
      <c r="AE338" s="343"/>
      <c r="AF338" s="343"/>
      <c r="AG338" s="342"/>
      <c r="AH338" s="343"/>
      <c r="AI338" s="344"/>
      <c r="AJ338" s="380"/>
      <c r="AK338" s="343"/>
      <c r="AL338" s="343"/>
      <c r="AM338" s="343"/>
      <c r="AN338" s="347"/>
      <c r="AO338" s="347"/>
      <c r="AP338" s="347"/>
      <c r="AQ338" s="381">
        <f>+FL_2($T$339,$T$337,$G$338,1200,11.21,-1*$F$339)</f>
        <v>-0.48182136610169501</v>
      </c>
      <c r="AR338" s="381"/>
      <c r="AS338" s="381"/>
      <c r="AT338" s="381"/>
      <c r="AU338" s="381"/>
      <c r="AV338" s="381"/>
      <c r="AW338" s="381"/>
      <c r="AX338" s="381"/>
      <c r="AY338" s="381"/>
      <c r="AZ338" s="381"/>
      <c r="BA338" s="381"/>
      <c r="BB338" s="306"/>
    </row>
    <row r="339" spans="1:54" ht="14.25">
      <c r="A339" s="341"/>
      <c r="B339" s="363" t="s">
        <v>2204</v>
      </c>
      <c r="C339" s="342">
        <f>+$C$337+$G$338</f>
        <v>19264.600000000002</v>
      </c>
      <c r="D339" s="343"/>
      <c r="E339" s="343"/>
      <c r="F339" s="344">
        <v>0</v>
      </c>
      <c r="G339" s="345"/>
      <c r="H339" s="343"/>
      <c r="I339" s="360"/>
      <c r="J339" s="342"/>
      <c r="K339" s="343"/>
      <c r="L339" s="343" t="s">
        <v>1070</v>
      </c>
      <c r="M339" s="343" t="s">
        <v>2544</v>
      </c>
      <c r="N339" s="360" t="s">
        <v>145</v>
      </c>
      <c r="O339" s="360"/>
      <c r="P339" s="360"/>
      <c r="Q339" s="343">
        <v>0</v>
      </c>
      <c r="R339" s="344">
        <v>0</v>
      </c>
      <c r="S339" s="345"/>
      <c r="T339" s="343">
        <v>35</v>
      </c>
      <c r="U339" s="343"/>
      <c r="V339" s="343"/>
      <c r="W339" s="343">
        <v>1.4</v>
      </c>
      <c r="X339" s="343"/>
      <c r="Y339" s="343"/>
      <c r="Z339" s="343"/>
      <c r="AA339" s="343"/>
      <c r="AB339" s="343"/>
      <c r="AC339" s="343" t="s">
        <v>2963</v>
      </c>
      <c r="AD339" s="343"/>
      <c r="AE339" s="343"/>
      <c r="AF339" s="343">
        <v>5400</v>
      </c>
      <c r="AG339" s="342">
        <v>19265.580000000002</v>
      </c>
      <c r="AH339" s="343">
        <v>3113</v>
      </c>
      <c r="AI339" s="344">
        <v>41</v>
      </c>
      <c r="AJ339" s="380"/>
      <c r="AK339" s="343"/>
      <c r="AL339" s="343"/>
      <c r="AM339" s="343" t="s">
        <v>1228</v>
      </c>
      <c r="AN339" s="347">
        <v>5.5</v>
      </c>
      <c r="AO339" s="347"/>
      <c r="AP339" s="347"/>
      <c r="AQ339" s="381"/>
      <c r="AR339" s="381"/>
      <c r="AS339" s="381"/>
      <c r="AT339" s="381">
        <f>+ab($T$339,$T$337,$T$341,$G$338,$G$340,-1*$F$339,1200)</f>
        <v>8.0338173651602922</v>
      </c>
      <c r="AU339" s="381"/>
      <c r="AV339" s="381"/>
      <c r="AW339" s="381" t="s">
        <v>699</v>
      </c>
      <c r="AX339" s="381" t="s">
        <v>699</v>
      </c>
      <c r="AY339" s="381" t="s">
        <v>699</v>
      </c>
      <c r="AZ339" s="381" t="s">
        <v>699</v>
      </c>
      <c r="BA339" s="381"/>
      <c r="BB339" s="306"/>
    </row>
    <row r="340" spans="1:54" ht="14.25">
      <c r="A340" s="341"/>
      <c r="B340" s="363"/>
      <c r="C340" s="342"/>
      <c r="D340" s="343"/>
      <c r="E340" s="343"/>
      <c r="F340" s="344"/>
      <c r="G340" s="345">
        <v>59</v>
      </c>
      <c r="H340" s="343"/>
      <c r="I340" s="360"/>
      <c r="J340" s="342"/>
      <c r="K340" s="343"/>
      <c r="L340" s="343"/>
      <c r="M340" s="380"/>
      <c r="N340" s="360"/>
      <c r="O340" s="360"/>
      <c r="P340" s="360"/>
      <c r="Q340" s="343"/>
      <c r="R340" s="345"/>
      <c r="S340" s="345">
        <f t="shared" ref="S340" si="91">AG341-AG339</f>
        <v>59.039999999997235</v>
      </c>
      <c r="T340" s="343"/>
      <c r="U340" s="343"/>
      <c r="V340" s="343"/>
      <c r="W340" s="343"/>
      <c r="X340" s="343"/>
      <c r="Y340" s="343"/>
      <c r="Z340" s="343"/>
      <c r="AA340" s="343"/>
      <c r="AB340" s="343"/>
      <c r="AC340" s="343"/>
      <c r="AD340" s="343"/>
      <c r="AE340" s="343"/>
      <c r="AF340" s="343"/>
      <c r="AG340" s="342"/>
      <c r="AH340" s="343"/>
      <c r="AI340" s="344"/>
      <c r="AJ340" s="380"/>
      <c r="AK340" s="343"/>
      <c r="AL340" s="343"/>
      <c r="AM340" s="343"/>
      <c r="AN340" s="347"/>
      <c r="AO340" s="347"/>
      <c r="AP340" s="347"/>
      <c r="AQ340" s="381">
        <f>+FL_1($T$341,$T$339,$G$340,1200,11.21,-1*$F$341)</f>
        <v>0.48182136610169501</v>
      </c>
      <c r="AR340" s="381"/>
      <c r="AS340" s="381"/>
      <c r="AT340" s="381"/>
      <c r="AU340" s="381"/>
      <c r="AV340" s="381"/>
      <c r="AW340" s="381"/>
      <c r="AX340" s="381"/>
      <c r="AY340" s="381"/>
      <c r="AZ340" s="381"/>
      <c r="BA340" s="381"/>
      <c r="BB340" s="306"/>
    </row>
    <row r="341" spans="1:54" ht="14.25">
      <c r="A341" s="341"/>
      <c r="B341" s="363" t="s">
        <v>2205</v>
      </c>
      <c r="C341" s="342">
        <f>+$C$339+$G$340</f>
        <v>19323.600000000002</v>
      </c>
      <c r="D341" s="343"/>
      <c r="E341" s="343"/>
      <c r="F341" s="344">
        <v>0</v>
      </c>
      <c r="G341" s="345"/>
      <c r="H341" s="343"/>
      <c r="I341" s="360"/>
      <c r="J341" s="342"/>
      <c r="K341" s="343"/>
      <c r="L341" s="343" t="s">
        <v>1070</v>
      </c>
      <c r="M341" s="343" t="s">
        <v>2544</v>
      </c>
      <c r="N341" s="360" t="s">
        <v>144</v>
      </c>
      <c r="O341" s="360"/>
      <c r="P341" s="360"/>
      <c r="Q341" s="343">
        <v>0</v>
      </c>
      <c r="R341" s="344">
        <v>0</v>
      </c>
      <c r="S341" s="345"/>
      <c r="T341" s="343">
        <v>-35</v>
      </c>
      <c r="U341" s="343"/>
      <c r="V341" s="343"/>
      <c r="W341" s="343">
        <v>1.4</v>
      </c>
      <c r="X341" s="343"/>
      <c r="Y341" s="343"/>
      <c r="Z341" s="343"/>
      <c r="AA341" s="343"/>
      <c r="AB341" s="343"/>
      <c r="AC341" s="343" t="s">
        <v>1704</v>
      </c>
      <c r="AD341" s="343"/>
      <c r="AE341" s="343"/>
      <c r="AF341" s="343">
        <v>5400</v>
      </c>
      <c r="AG341" s="342">
        <v>19324.62</v>
      </c>
      <c r="AH341" s="343">
        <v>3087</v>
      </c>
      <c r="AI341" s="344">
        <v>43</v>
      </c>
      <c r="AJ341" s="380"/>
      <c r="AK341" s="343"/>
      <c r="AL341" s="343"/>
      <c r="AM341" s="343" t="s">
        <v>1228</v>
      </c>
      <c r="AN341" s="347">
        <v>5.5</v>
      </c>
      <c r="AO341" s="347"/>
      <c r="AP341" s="347"/>
      <c r="AQ341" s="381"/>
      <c r="AR341" s="381"/>
      <c r="AS341" s="381"/>
      <c r="AT341" s="381">
        <f>+ab($T$341,$T$339,$T$343,$G$340,$G$342,-1*$F$341,1200)</f>
        <v>-8.3273081682019985</v>
      </c>
      <c r="AU341" s="381"/>
      <c r="AV341" s="381"/>
      <c r="AW341" s="381" t="s">
        <v>699</v>
      </c>
      <c r="AX341" s="381" t="s">
        <v>699</v>
      </c>
      <c r="AY341" s="381" t="s">
        <v>699</v>
      </c>
      <c r="AZ341" s="381" t="s">
        <v>699</v>
      </c>
      <c r="BA341" s="381"/>
      <c r="BB341" s="306"/>
    </row>
    <row r="342" spans="1:54" ht="14.25">
      <c r="A342" s="341"/>
      <c r="B342" s="363"/>
      <c r="C342" s="342"/>
      <c r="D342" s="343"/>
      <c r="E342" s="343"/>
      <c r="F342" s="344"/>
      <c r="G342" s="345">
        <v>59</v>
      </c>
      <c r="H342" s="343"/>
      <c r="I342" s="360"/>
      <c r="J342" s="342"/>
      <c r="K342" s="343"/>
      <c r="L342" s="343"/>
      <c r="M342" s="380"/>
      <c r="N342" s="360"/>
      <c r="O342" s="360"/>
      <c r="P342" s="360"/>
      <c r="Q342" s="343"/>
      <c r="R342" s="345"/>
      <c r="S342" s="345">
        <f t="shared" ref="S342" si="92">AG343-AG341</f>
        <v>58.960000000002765</v>
      </c>
      <c r="T342" s="343"/>
      <c r="U342" s="343"/>
      <c r="V342" s="343"/>
      <c r="W342" s="343"/>
      <c r="X342" s="343"/>
      <c r="Y342" s="343"/>
      <c r="Z342" s="343"/>
      <c r="AA342" s="343"/>
      <c r="AB342" s="343"/>
      <c r="AC342" s="343"/>
      <c r="AD342" s="343"/>
      <c r="AE342" s="343"/>
      <c r="AF342" s="343"/>
      <c r="AG342" s="342"/>
      <c r="AH342" s="343"/>
      <c r="AI342" s="344"/>
      <c r="AJ342" s="380"/>
      <c r="AK342" s="343"/>
      <c r="AL342" s="343"/>
      <c r="AM342" s="343"/>
      <c r="AN342" s="347"/>
      <c r="AO342" s="347"/>
      <c r="AP342" s="347"/>
      <c r="AQ342" s="381">
        <f>+FL_2($T$343,$T$341,$G$342,1200,11.21,-1*$F$343)</f>
        <v>-0.49644260296680787</v>
      </c>
      <c r="AR342" s="381"/>
      <c r="AS342" s="381"/>
      <c r="AT342" s="381"/>
      <c r="AU342" s="381"/>
      <c r="AV342" s="381"/>
      <c r="AW342" s="381"/>
      <c r="AX342" s="381"/>
      <c r="AY342" s="381"/>
      <c r="AZ342" s="381"/>
      <c r="BA342" s="381"/>
      <c r="BB342" s="306"/>
    </row>
    <row r="343" spans="1:54" ht="14.25">
      <c r="A343" s="341" t="s">
        <v>2193</v>
      </c>
      <c r="B343" s="363" t="s">
        <v>2206</v>
      </c>
      <c r="C343" s="342">
        <f>+$C$341+$G$342</f>
        <v>19382.600000000002</v>
      </c>
      <c r="D343" s="343"/>
      <c r="E343" s="343"/>
      <c r="F343" s="344">
        <v>0</v>
      </c>
      <c r="G343" s="345"/>
      <c r="H343" s="343"/>
      <c r="I343" s="360"/>
      <c r="J343" s="342"/>
      <c r="K343" s="343"/>
      <c r="L343" s="343" t="s">
        <v>1070</v>
      </c>
      <c r="M343" s="343" t="s">
        <v>2544</v>
      </c>
      <c r="N343" s="360" t="s">
        <v>145</v>
      </c>
      <c r="O343" s="360"/>
      <c r="P343" s="360"/>
      <c r="Q343" s="343">
        <v>0</v>
      </c>
      <c r="R343" s="344">
        <v>0</v>
      </c>
      <c r="S343" s="345"/>
      <c r="T343" s="343">
        <v>30</v>
      </c>
      <c r="U343" s="343"/>
      <c r="V343" s="343"/>
      <c r="W343" s="343">
        <v>1.4</v>
      </c>
      <c r="X343" s="343"/>
      <c r="Y343" s="343"/>
      <c r="Z343" s="343"/>
      <c r="AA343" s="343"/>
      <c r="AB343" s="343"/>
      <c r="AC343" s="343" t="s">
        <v>1704</v>
      </c>
      <c r="AD343" s="343"/>
      <c r="AE343" s="343"/>
      <c r="AF343" s="343">
        <v>5400</v>
      </c>
      <c r="AG343" s="342">
        <v>19383.580000000002</v>
      </c>
      <c r="AH343" s="343">
        <v>3115</v>
      </c>
      <c r="AI343" s="344">
        <v>54</v>
      </c>
      <c r="AJ343" s="380"/>
      <c r="AK343" s="343"/>
      <c r="AL343" s="343"/>
      <c r="AM343" s="343" t="s">
        <v>1228</v>
      </c>
      <c r="AN343" s="347">
        <v>5.5</v>
      </c>
      <c r="AO343" s="347"/>
      <c r="AP343" s="347"/>
      <c r="AQ343" s="381"/>
      <c r="AR343" s="381"/>
      <c r="AS343" s="381"/>
      <c r="AT343" s="381">
        <f>+ab($T$343,$T$341,$T$345,$G$342,$G$344,-1*$F$343,1200)</f>
        <v>9.7175158761732554</v>
      </c>
      <c r="AU343" s="381"/>
      <c r="AV343" s="381"/>
      <c r="AW343" s="381" t="s">
        <v>699</v>
      </c>
      <c r="AX343" s="381" t="s">
        <v>699</v>
      </c>
      <c r="AY343" s="381" t="s">
        <v>699</v>
      </c>
      <c r="AZ343" s="381" t="s">
        <v>699</v>
      </c>
      <c r="BA343" s="381"/>
      <c r="BB343" s="306"/>
    </row>
    <row r="344" spans="1:54" ht="14.25">
      <c r="A344" s="340"/>
      <c r="B344" s="340"/>
      <c r="C344" s="288"/>
      <c r="D344" s="1121"/>
      <c r="E344" s="1121"/>
      <c r="F344" s="289"/>
      <c r="G344" s="292">
        <v>64.400000000000006</v>
      </c>
      <c r="H344" s="1121"/>
      <c r="I344" s="294"/>
      <c r="J344" s="288">
        <f>C345-7.5</f>
        <v>19439.500000000004</v>
      </c>
      <c r="K344" s="1121" t="s">
        <v>2762</v>
      </c>
      <c r="L344" s="1121"/>
      <c r="M344" s="1121"/>
      <c r="N344" s="1121"/>
      <c r="O344" s="1121"/>
      <c r="P344" s="1121"/>
      <c r="Q344" s="1121"/>
      <c r="R344" s="292"/>
      <c r="S344" s="1017">
        <f t="shared" ref="S344" si="93">AG345-AG343</f>
        <v>64.619999999998981</v>
      </c>
      <c r="T344" s="1121"/>
      <c r="U344" s="1121"/>
      <c r="V344" s="1121"/>
      <c r="W344" s="1121"/>
      <c r="X344" s="1121"/>
      <c r="Y344" s="1121"/>
      <c r="Z344" s="1121"/>
      <c r="AA344" s="1121"/>
      <c r="AB344" s="1121"/>
      <c r="AC344" s="1121"/>
      <c r="AD344" s="1121"/>
      <c r="AE344" s="1121"/>
      <c r="AF344" s="1121"/>
      <c r="AG344" s="288"/>
      <c r="AH344" s="1121"/>
      <c r="AI344" s="289"/>
      <c r="AJ344" s="1121"/>
      <c r="AK344" s="1121"/>
      <c r="AL344" s="1121"/>
      <c r="AM344" s="1121"/>
      <c r="AN344" s="315"/>
      <c r="AO344" s="315"/>
      <c r="AP344" s="315"/>
      <c r="AQ344" s="315">
        <f>+FL_1($T$345,$T$343,$G$344,1200,9.28,-1*$F$345)</f>
        <v>0.47306962895238092</v>
      </c>
      <c r="AR344" s="315"/>
      <c r="AS344" s="315"/>
      <c r="AT344" s="315"/>
      <c r="AU344" s="315"/>
      <c r="AV344" s="315"/>
      <c r="AW344" s="315" t="s">
        <v>2634</v>
      </c>
      <c r="AX344" s="315" t="s">
        <v>1641</v>
      </c>
      <c r="AY344" s="315"/>
      <c r="AZ344" s="315">
        <v>3.5</v>
      </c>
      <c r="BA344" s="315"/>
      <c r="BB344" s="306"/>
    </row>
    <row r="345" spans="1:54" ht="14.25">
      <c r="A345" s="340"/>
      <c r="B345" s="287" t="s">
        <v>2207</v>
      </c>
      <c r="C345" s="288">
        <f>+$C$343+$G$344</f>
        <v>19447.000000000004</v>
      </c>
      <c r="D345" s="1121"/>
      <c r="E345" s="1121"/>
      <c r="F345" s="289">
        <v>0</v>
      </c>
      <c r="G345" s="292"/>
      <c r="H345" s="1121" t="s">
        <v>138</v>
      </c>
      <c r="I345" s="294" t="s">
        <v>656</v>
      </c>
      <c r="J345" s="288"/>
      <c r="K345" s="1121"/>
      <c r="L345" s="1121" t="s">
        <v>1061</v>
      </c>
      <c r="M345" s="1121" t="s">
        <v>3208</v>
      </c>
      <c r="N345" s="1121" t="s">
        <v>144</v>
      </c>
      <c r="O345" s="1121"/>
      <c r="P345" s="1121"/>
      <c r="Q345" s="1121">
        <v>0</v>
      </c>
      <c r="R345" s="289">
        <v>0</v>
      </c>
      <c r="S345" s="1017"/>
      <c r="T345" s="1121">
        <v>-25</v>
      </c>
      <c r="U345" s="1121"/>
      <c r="V345" s="1121"/>
      <c r="W345" s="1121">
        <v>1.4</v>
      </c>
      <c r="X345" s="1121"/>
      <c r="Y345" s="1121"/>
      <c r="Z345" s="1121"/>
      <c r="AA345" s="1121"/>
      <c r="AB345" s="1121"/>
      <c r="AC345" s="1121" t="s">
        <v>1704</v>
      </c>
      <c r="AD345" s="1121"/>
      <c r="AE345" s="1121"/>
      <c r="AF345" s="1121">
        <v>5800</v>
      </c>
      <c r="AG345" s="288">
        <v>19448.2</v>
      </c>
      <c r="AH345" s="1121">
        <v>2666</v>
      </c>
      <c r="AI345" s="289">
        <v>322</v>
      </c>
      <c r="AJ345" s="1121"/>
      <c r="AK345" s="1121"/>
      <c r="AL345" s="1121"/>
      <c r="AM345" s="1121" t="s">
        <v>1228</v>
      </c>
      <c r="AN345" s="315">
        <v>5.5</v>
      </c>
      <c r="AO345" s="315"/>
      <c r="AP345" s="315"/>
      <c r="AQ345" s="315"/>
      <c r="AR345" s="315"/>
      <c r="AS345" s="315"/>
      <c r="AT345" s="315">
        <f>+ab($T$345,$T$343,$T$347,$G$344,$G$346,-1*$F$345,1200)</f>
        <v>-10.67284867056833</v>
      </c>
      <c r="AU345" s="315"/>
      <c r="AV345" s="315"/>
      <c r="AW345" s="315" t="s">
        <v>2634</v>
      </c>
      <c r="AX345" s="315" t="s">
        <v>1641</v>
      </c>
      <c r="AY345" s="315">
        <v>4.2</v>
      </c>
      <c r="AZ345" s="315"/>
      <c r="BA345" s="315"/>
      <c r="BB345" s="306"/>
    </row>
    <row r="346" spans="1:54" ht="14.25">
      <c r="A346" s="340"/>
      <c r="B346" s="340"/>
      <c r="C346" s="288"/>
      <c r="D346" s="1121"/>
      <c r="E346" s="1121"/>
      <c r="F346" s="289"/>
      <c r="G346" s="292">
        <v>65</v>
      </c>
      <c r="H346" s="291"/>
      <c r="I346" s="294"/>
      <c r="J346" s="288"/>
      <c r="K346" s="1121"/>
      <c r="L346" s="1121"/>
      <c r="M346" s="1121"/>
      <c r="N346" s="291"/>
      <c r="O346" s="291"/>
      <c r="P346" s="1121"/>
      <c r="Q346" s="1121"/>
      <c r="R346" s="292"/>
      <c r="S346" s="1017">
        <f t="shared" ref="S346" si="94">AG347-AG345</f>
        <v>65.110000000000582</v>
      </c>
      <c r="T346" s="1121"/>
      <c r="U346" s="1121"/>
      <c r="V346" s="1121"/>
      <c r="W346" s="1121"/>
      <c r="X346" s="1121"/>
      <c r="Y346" s="1121"/>
      <c r="Z346" s="1121"/>
      <c r="AA346" s="1121"/>
      <c r="AB346" s="1121"/>
      <c r="AC346" s="1121"/>
      <c r="AD346" s="1121"/>
      <c r="AE346" s="1121"/>
      <c r="AF346" s="1121"/>
      <c r="AG346" s="288"/>
      <c r="AH346" s="1121"/>
      <c r="AI346" s="289"/>
      <c r="AJ346" s="1121"/>
      <c r="AK346" s="1121"/>
      <c r="AL346" s="1121"/>
      <c r="AM346" s="1121"/>
      <c r="AN346" s="315"/>
      <c r="AO346" s="315"/>
      <c r="AP346" s="315"/>
      <c r="AQ346" s="315">
        <f>+FL_2($U$347,$T$345,$G$346,1200,9.28,-1*$F$347)</f>
        <v>-0.48290146338461526</v>
      </c>
      <c r="AR346" s="315"/>
      <c r="AS346" s="315"/>
      <c r="AT346" s="315"/>
      <c r="AU346" s="315"/>
      <c r="AV346" s="315"/>
      <c r="AW346" s="315"/>
      <c r="AX346" s="315"/>
      <c r="AY346" s="315"/>
      <c r="AZ346" s="315"/>
      <c r="BA346" s="315"/>
      <c r="BB346" s="306"/>
    </row>
    <row r="347" spans="1:54" ht="14.25">
      <c r="A347" s="340"/>
      <c r="B347" s="287" t="s">
        <v>2208</v>
      </c>
      <c r="C347" s="288">
        <f>+$C$345+$G$346</f>
        <v>19512.000000000004</v>
      </c>
      <c r="D347" s="1121"/>
      <c r="E347" s="1121"/>
      <c r="F347" s="289">
        <v>0</v>
      </c>
      <c r="G347" s="292"/>
      <c r="H347" s="291" t="s">
        <v>651</v>
      </c>
      <c r="I347" s="294"/>
      <c r="J347" s="288"/>
      <c r="K347" s="1121"/>
      <c r="L347" s="1121" t="s">
        <v>231</v>
      </c>
      <c r="M347" s="1121" t="s">
        <v>2672</v>
      </c>
      <c r="N347" s="291" t="s">
        <v>140</v>
      </c>
      <c r="O347" s="291" t="s">
        <v>145</v>
      </c>
      <c r="P347" s="1121"/>
      <c r="Q347" s="293">
        <v>0</v>
      </c>
      <c r="R347" s="508">
        <v>0</v>
      </c>
      <c r="S347" s="1017"/>
      <c r="T347" s="1121">
        <v>35</v>
      </c>
      <c r="U347" s="1121">
        <v>15</v>
      </c>
      <c r="V347" s="1121"/>
      <c r="W347" s="1121">
        <v>1.4</v>
      </c>
      <c r="X347" s="1121">
        <v>2.2999999999999998</v>
      </c>
      <c r="Y347" s="1121"/>
      <c r="Z347" s="1121">
        <v>0.6</v>
      </c>
      <c r="AA347" s="1121"/>
      <c r="AB347" s="1121"/>
      <c r="AC347" s="1121"/>
      <c r="AD347" s="1121" t="s">
        <v>1704</v>
      </c>
      <c r="AE347" s="1121"/>
      <c r="AF347" s="1121">
        <v>6000</v>
      </c>
      <c r="AG347" s="288">
        <v>19513.310000000001</v>
      </c>
      <c r="AH347" s="293">
        <v>2625</v>
      </c>
      <c r="AI347" s="508">
        <v>655</v>
      </c>
      <c r="AJ347" s="1121"/>
      <c r="AK347" s="1121"/>
      <c r="AL347" s="1121"/>
      <c r="AM347" s="1121" t="s">
        <v>1228</v>
      </c>
      <c r="AN347" s="315">
        <v>5.5</v>
      </c>
      <c r="AO347" s="315"/>
      <c r="AP347" s="315"/>
      <c r="AQ347" s="315"/>
      <c r="AR347" s="315"/>
      <c r="AS347" s="315"/>
      <c r="AT347" s="315">
        <f>+ab($U$347,$T$345,$U$349,$G$346,$G$348,-1*$F$347,1200)</f>
        <v>13.59767656083914</v>
      </c>
      <c r="AU347" s="315"/>
      <c r="AV347" s="315"/>
      <c r="AW347" s="315" t="s">
        <v>2634</v>
      </c>
      <c r="AX347" s="315" t="s">
        <v>1639</v>
      </c>
      <c r="AY347" s="315">
        <v>3.4</v>
      </c>
      <c r="AZ347" s="315"/>
      <c r="BA347" s="315"/>
      <c r="BB347" s="306"/>
    </row>
    <row r="348" spans="1:54" ht="14.25">
      <c r="A348" s="340"/>
      <c r="B348" s="340"/>
      <c r="C348" s="288"/>
      <c r="D348" s="1121"/>
      <c r="E348" s="1121"/>
      <c r="F348" s="289"/>
      <c r="G348" s="292">
        <v>65</v>
      </c>
      <c r="H348" s="291"/>
      <c r="I348" s="294"/>
      <c r="J348" s="288"/>
      <c r="K348" s="1121"/>
      <c r="L348" s="1121"/>
      <c r="M348" s="1121"/>
      <c r="N348" s="291"/>
      <c r="O348" s="291"/>
      <c r="P348" s="1121"/>
      <c r="Q348" s="293"/>
      <c r="R348" s="1017"/>
      <c r="S348" s="1017">
        <f t="shared" ref="S348" si="95">AG349-AG347</f>
        <v>64.899999999997817</v>
      </c>
      <c r="T348" s="1121"/>
      <c r="U348" s="1121"/>
      <c r="V348" s="1121"/>
      <c r="W348" s="1121"/>
      <c r="X348" s="1121"/>
      <c r="Y348" s="1121"/>
      <c r="Z348" s="1121"/>
      <c r="AA348" s="1121"/>
      <c r="AB348" s="1121"/>
      <c r="AC348" s="1121"/>
      <c r="AD348" s="1121"/>
      <c r="AE348" s="1121"/>
      <c r="AF348" s="1121"/>
      <c r="AG348" s="288"/>
      <c r="AH348" s="293" t="s">
        <v>695</v>
      </c>
      <c r="AI348" s="508" t="s">
        <v>695</v>
      </c>
      <c r="AJ348" s="1121"/>
      <c r="AK348" s="1121"/>
      <c r="AL348" s="1121"/>
      <c r="AM348" s="1121"/>
      <c r="AN348" s="315"/>
      <c r="AO348" s="315"/>
      <c r="AP348" s="315"/>
      <c r="AQ348" s="315">
        <f>+FL_1($T$349,$U$347,$S$348,1200,9.28,-1*$R$349)</f>
        <v>0.42097613896453434</v>
      </c>
      <c r="AR348" s="315"/>
      <c r="AS348" s="315"/>
      <c r="AT348" s="315"/>
      <c r="AU348" s="315"/>
      <c r="AV348" s="315"/>
      <c r="AW348" s="315"/>
      <c r="AX348" s="315"/>
      <c r="AY348" s="315"/>
      <c r="AZ348" s="315"/>
      <c r="BA348" s="315"/>
      <c r="BB348" s="306"/>
    </row>
    <row r="349" spans="1:54" ht="14.25">
      <c r="A349" s="340"/>
      <c r="B349" s="287" t="s">
        <v>2209</v>
      </c>
      <c r="C349" s="288">
        <f>+$C$347+$G$348</f>
        <v>19577.000000000004</v>
      </c>
      <c r="D349" s="1121"/>
      <c r="E349" s="1121"/>
      <c r="F349" s="289">
        <v>0</v>
      </c>
      <c r="G349" s="292"/>
      <c r="H349" s="291" t="s">
        <v>651</v>
      </c>
      <c r="I349" s="294"/>
      <c r="J349" s="288"/>
      <c r="K349" s="1121"/>
      <c r="L349" s="1121" t="s">
        <v>231</v>
      </c>
      <c r="M349" s="1121" t="s">
        <v>2672</v>
      </c>
      <c r="N349" s="291" t="s">
        <v>144</v>
      </c>
      <c r="O349" s="291" t="s">
        <v>140</v>
      </c>
      <c r="P349" s="1121"/>
      <c r="Q349" s="293">
        <v>0</v>
      </c>
      <c r="R349" s="508">
        <v>0</v>
      </c>
      <c r="S349" s="1017"/>
      <c r="T349" s="1121">
        <v>-15</v>
      </c>
      <c r="U349" s="1121">
        <v>-35</v>
      </c>
      <c r="V349" s="1121"/>
      <c r="W349" s="1121">
        <v>1.4</v>
      </c>
      <c r="X349" s="1121">
        <v>2.2999999999999998</v>
      </c>
      <c r="Y349" s="1121"/>
      <c r="Z349" s="1121"/>
      <c r="AA349" s="1121">
        <v>0.6</v>
      </c>
      <c r="AB349" s="1121"/>
      <c r="AC349" s="1121" t="s">
        <v>1704</v>
      </c>
      <c r="AD349" s="1121"/>
      <c r="AE349" s="1121"/>
      <c r="AF349" s="1121">
        <v>6000</v>
      </c>
      <c r="AG349" s="288">
        <v>19578.21</v>
      </c>
      <c r="AH349" s="293">
        <v>2556</v>
      </c>
      <c r="AI349" s="508">
        <v>656</v>
      </c>
      <c r="AJ349" s="1121"/>
      <c r="AK349" s="1121"/>
      <c r="AL349" s="1121"/>
      <c r="AM349" s="1121" t="s">
        <v>1228</v>
      </c>
      <c r="AN349" s="315">
        <v>5.5</v>
      </c>
      <c r="AO349" s="315"/>
      <c r="AP349" s="315"/>
      <c r="AQ349" s="315"/>
      <c r="AR349" s="315"/>
      <c r="AS349" s="315"/>
      <c r="AT349" s="315">
        <f>+ab($T$349,$T$347,$T$351,$G$348,$G$350,-1*$F$349,1200)</f>
        <v>-11.913713262230418</v>
      </c>
      <c r="AU349" s="315"/>
      <c r="AV349" s="315"/>
      <c r="AW349" s="315" t="s">
        <v>2630</v>
      </c>
      <c r="AX349" s="315" t="s">
        <v>1639</v>
      </c>
      <c r="AY349" s="315">
        <v>3.4</v>
      </c>
      <c r="AZ349" s="315"/>
      <c r="BA349" s="315"/>
      <c r="BB349" s="306"/>
    </row>
    <row r="350" spans="1:54" ht="14.25">
      <c r="A350" s="340"/>
      <c r="B350" s="340"/>
      <c r="C350" s="288"/>
      <c r="D350" s="1121"/>
      <c r="E350" s="1121"/>
      <c r="F350" s="289"/>
      <c r="G350" s="292">
        <v>55</v>
      </c>
      <c r="H350" s="291"/>
      <c r="I350" s="294"/>
      <c r="J350" s="288"/>
      <c r="K350" s="1121"/>
      <c r="L350" s="1121"/>
      <c r="M350" s="1121"/>
      <c r="N350" s="291"/>
      <c r="O350" s="291"/>
      <c r="P350" s="1121"/>
      <c r="Q350" s="293"/>
      <c r="R350" s="1017"/>
      <c r="S350" s="1017">
        <f t="shared" ref="S350" si="96">AG351-AG349</f>
        <v>55.029999999998836</v>
      </c>
      <c r="T350" s="1121"/>
      <c r="U350" s="1121"/>
      <c r="V350" s="1121"/>
      <c r="W350" s="1121"/>
      <c r="X350" s="1121"/>
      <c r="Y350" s="1121"/>
      <c r="Z350" s="1121"/>
      <c r="AA350" s="1121"/>
      <c r="AB350" s="1121"/>
      <c r="AC350" s="1121"/>
      <c r="AD350" s="1121"/>
      <c r="AE350" s="1121"/>
      <c r="AF350" s="1121"/>
      <c r="AG350" s="288"/>
      <c r="AH350" s="293" t="s">
        <v>695</v>
      </c>
      <c r="AI350" s="508" t="s">
        <v>695</v>
      </c>
      <c r="AJ350" s="1121"/>
      <c r="AK350" s="1121"/>
      <c r="AL350" s="1121"/>
      <c r="AM350" s="1121"/>
      <c r="AN350" s="315"/>
      <c r="AO350" s="315"/>
      <c r="AP350" s="315"/>
      <c r="AQ350" s="315">
        <f>+FL_1($T$351,$T$349,$G$350,1200,9.28,-1*$F$351)</f>
        <v>0.3825287524188527</v>
      </c>
      <c r="AR350" s="315"/>
      <c r="AS350" s="315"/>
      <c r="AT350" s="315"/>
      <c r="AU350" s="315"/>
      <c r="AV350" s="315"/>
      <c r="AW350" s="315"/>
      <c r="AX350" s="315"/>
      <c r="AY350" s="315"/>
      <c r="AZ350" s="315"/>
      <c r="BA350" s="315"/>
      <c r="BB350" s="306"/>
    </row>
    <row r="351" spans="1:54" ht="14.25">
      <c r="A351" s="340"/>
      <c r="B351" s="287" t="s">
        <v>2210</v>
      </c>
      <c r="C351" s="288">
        <f>+$C$349+$G$350</f>
        <v>19632.000000000004</v>
      </c>
      <c r="D351" s="1121"/>
      <c r="E351" s="1121"/>
      <c r="F351" s="289">
        <f>(2000*190)/(19598-C351)</f>
        <v>-11176.470588234099</v>
      </c>
      <c r="G351" s="292"/>
      <c r="H351" s="291" t="s">
        <v>138</v>
      </c>
      <c r="I351" s="294" t="s">
        <v>2718</v>
      </c>
      <c r="J351" s="288"/>
      <c r="K351" s="1121"/>
      <c r="L351" s="1121" t="s">
        <v>1061</v>
      </c>
      <c r="M351" s="1121" t="s">
        <v>2672</v>
      </c>
      <c r="N351" s="291" t="s">
        <v>145</v>
      </c>
      <c r="O351" s="291"/>
      <c r="P351" s="1121"/>
      <c r="Q351" s="293">
        <v>18</v>
      </c>
      <c r="R351" s="1017">
        <v>-11161</v>
      </c>
      <c r="S351" s="1017"/>
      <c r="T351" s="1121">
        <v>30</v>
      </c>
      <c r="U351" s="1121"/>
      <c r="V351" s="1121"/>
      <c r="W351" s="1121">
        <v>1.4</v>
      </c>
      <c r="X351" s="1121"/>
      <c r="Y351" s="1121"/>
      <c r="Z351" s="1121"/>
      <c r="AA351" s="1121"/>
      <c r="AB351" s="1121"/>
      <c r="AC351" s="1121" t="s">
        <v>1704</v>
      </c>
      <c r="AD351" s="1121"/>
      <c r="AE351" s="1121"/>
      <c r="AF351" s="1121">
        <v>6000</v>
      </c>
      <c r="AG351" s="288">
        <v>19633.239999999998</v>
      </c>
      <c r="AH351" s="293">
        <v>2512</v>
      </c>
      <c r="AI351" s="508">
        <v>597</v>
      </c>
      <c r="AJ351" s="1121"/>
      <c r="AK351" s="1121"/>
      <c r="AL351" s="1121"/>
      <c r="AM351" s="1121" t="s">
        <v>1228</v>
      </c>
      <c r="AN351" s="315">
        <v>5.5</v>
      </c>
      <c r="AO351" s="315"/>
      <c r="AP351" s="315"/>
      <c r="AQ351" s="315"/>
      <c r="AR351" s="315"/>
      <c r="AS351" s="315"/>
      <c r="AT351" s="315">
        <f>+ab($T$351,$T$349,$T$353,$G$350,$G$352,-1*$F$351,1200)</f>
        <v>12.659942250499656</v>
      </c>
      <c r="AU351" s="315"/>
      <c r="AV351" s="315"/>
      <c r="AW351" s="315" t="s">
        <v>2630</v>
      </c>
      <c r="AX351" s="315" t="s">
        <v>1639</v>
      </c>
      <c r="AY351" s="315">
        <v>3.4</v>
      </c>
      <c r="AZ351" s="315"/>
      <c r="BA351" s="315"/>
      <c r="BB351" s="306"/>
    </row>
    <row r="352" spans="1:54" ht="14.25">
      <c r="A352" s="340"/>
      <c r="B352" s="340"/>
      <c r="C352" s="288"/>
      <c r="D352" s="1121"/>
      <c r="E352" s="1121"/>
      <c r="F352" s="289"/>
      <c r="G352" s="292">
        <v>54</v>
      </c>
      <c r="H352" s="291"/>
      <c r="I352" s="291"/>
      <c r="J352" s="288">
        <f>C351+7.5</f>
        <v>19639.500000000004</v>
      </c>
      <c r="K352" s="1121" t="s">
        <v>653</v>
      </c>
      <c r="L352" s="1121"/>
      <c r="M352" s="1121"/>
      <c r="N352" s="291"/>
      <c r="O352" s="291"/>
      <c r="P352" s="1121"/>
      <c r="Q352" s="293"/>
      <c r="R352" s="1017"/>
      <c r="S352" s="1017">
        <f>AG353-AG351</f>
        <v>54.010000000002037</v>
      </c>
      <c r="T352" s="1121"/>
      <c r="U352" s="1121"/>
      <c r="V352" s="1121"/>
      <c r="W352" s="1121"/>
      <c r="X352" s="1121"/>
      <c r="Y352" s="1121"/>
      <c r="Z352" s="1121"/>
      <c r="AA352" s="1121"/>
      <c r="AB352" s="1121"/>
      <c r="AC352" s="1121"/>
      <c r="AD352" s="1121"/>
      <c r="AE352" s="1121"/>
      <c r="AF352" s="1121"/>
      <c r="AG352" s="288"/>
      <c r="AH352" s="293" t="s">
        <v>695</v>
      </c>
      <c r="AI352" s="508" t="s">
        <v>695</v>
      </c>
      <c r="AJ352" s="1121"/>
      <c r="AK352" s="1121"/>
      <c r="AL352" s="1121"/>
      <c r="AM352" s="1121"/>
      <c r="AN352" s="315"/>
      <c r="AO352" s="315"/>
      <c r="AP352" s="315"/>
      <c r="AQ352" s="315">
        <f>+FL_1($T$353,$T$351,$G$352,1200,9.28,-1*$F$353)</f>
        <v>0.45063372024761128</v>
      </c>
      <c r="AR352" s="315"/>
      <c r="AS352" s="315"/>
      <c r="AT352" s="315"/>
      <c r="AU352" s="315"/>
      <c r="AV352" s="315"/>
      <c r="AW352" s="315" t="s">
        <v>2630</v>
      </c>
      <c r="AX352" s="315" t="s">
        <v>1639</v>
      </c>
      <c r="AY352" s="315"/>
      <c r="AZ352" s="315">
        <v>2.5</v>
      </c>
      <c r="BA352" s="315"/>
      <c r="BB352" s="306"/>
    </row>
    <row r="353" spans="1:54" ht="14.25">
      <c r="A353" s="340"/>
      <c r="B353" s="287" t="s">
        <v>2211</v>
      </c>
      <c r="C353" s="288">
        <f>+$C$351+$G$352</f>
        <v>19686.000000000004</v>
      </c>
      <c r="D353" s="1121"/>
      <c r="E353" s="1121"/>
      <c r="F353" s="289">
        <f>(2000*190)/(19598-C353)</f>
        <v>-4318.1818181816398</v>
      </c>
      <c r="G353" s="292"/>
      <c r="H353" s="291"/>
      <c r="I353" s="291"/>
      <c r="J353" s="288"/>
      <c r="K353" s="1121"/>
      <c r="L353" s="1121" t="s">
        <v>230</v>
      </c>
      <c r="M353" s="1121" t="s">
        <v>2671</v>
      </c>
      <c r="N353" s="291" t="s">
        <v>145</v>
      </c>
      <c r="O353" s="291"/>
      <c r="P353" s="1121"/>
      <c r="Q353" s="293">
        <v>46</v>
      </c>
      <c r="R353" s="1017">
        <v>-4312</v>
      </c>
      <c r="S353" s="1017"/>
      <c r="T353" s="1121">
        <v>20</v>
      </c>
      <c r="U353" s="1121"/>
      <c r="V353" s="1121"/>
      <c r="W353" s="1121">
        <v>1.4</v>
      </c>
      <c r="X353" s="1121"/>
      <c r="Y353" s="1121"/>
      <c r="Z353" s="1121"/>
      <c r="AA353" s="1121"/>
      <c r="AB353" s="1121"/>
      <c r="AC353" s="1121" t="s">
        <v>1704</v>
      </c>
      <c r="AD353" s="1121"/>
      <c r="AE353" s="1121"/>
      <c r="AF353" s="1121">
        <v>6000</v>
      </c>
      <c r="AG353" s="288">
        <v>19687.25</v>
      </c>
      <c r="AH353" s="293">
        <v>2635</v>
      </c>
      <c r="AI353" s="508">
        <v>708</v>
      </c>
      <c r="AJ353" s="1121"/>
      <c r="AK353" s="1121"/>
      <c r="AL353" s="1121"/>
      <c r="AM353" s="1121" t="s">
        <v>1228</v>
      </c>
      <c r="AN353" s="315">
        <v>5.5</v>
      </c>
      <c r="AO353" s="315"/>
      <c r="AP353" s="315"/>
      <c r="AQ353" s="315"/>
      <c r="AR353" s="315"/>
      <c r="AS353" s="315"/>
      <c r="AT353" s="315">
        <f>+ab($T$353,$T$351,$T$355,$G$352,$G$354,-1*$F$353,1200)</f>
        <v>20.83275667085881</v>
      </c>
      <c r="AU353" s="315"/>
      <c r="AV353" s="315"/>
      <c r="AW353" s="315" t="s">
        <v>2630</v>
      </c>
      <c r="AX353" s="315" t="s">
        <v>1639</v>
      </c>
      <c r="AY353" s="315">
        <v>3.4</v>
      </c>
      <c r="AZ353" s="315"/>
      <c r="BA353" s="315"/>
      <c r="BB353" s="306"/>
    </row>
    <row r="354" spans="1:54" ht="14.25">
      <c r="A354" s="340"/>
      <c r="B354" s="340"/>
      <c r="C354" s="288"/>
      <c r="D354" s="1121"/>
      <c r="E354" s="1121"/>
      <c r="F354" s="289"/>
      <c r="G354" s="292">
        <v>54</v>
      </c>
      <c r="H354" s="291"/>
      <c r="I354" s="291"/>
      <c r="J354" s="288"/>
      <c r="K354" s="1121"/>
      <c r="L354" s="1121"/>
      <c r="M354" s="1121"/>
      <c r="N354" s="291"/>
      <c r="O354" s="291"/>
      <c r="P354" s="1121"/>
      <c r="Q354" s="293"/>
      <c r="R354" s="1017"/>
      <c r="S354" s="1017">
        <v>54.009999999998399</v>
      </c>
      <c r="T354" s="1121"/>
      <c r="U354" s="1121"/>
      <c r="V354" s="1121"/>
      <c r="W354" s="1121"/>
      <c r="X354" s="1121"/>
      <c r="Y354" s="1121"/>
      <c r="Z354" s="1121"/>
      <c r="AA354" s="1121"/>
      <c r="AB354" s="1121"/>
      <c r="AC354" s="1121"/>
      <c r="AD354" s="1121"/>
      <c r="AE354" s="1121"/>
      <c r="AF354" s="1121"/>
      <c r="AG354" s="288"/>
      <c r="AH354" s="293" t="s">
        <v>695</v>
      </c>
      <c r="AI354" s="508" t="s">
        <v>695</v>
      </c>
      <c r="AJ354" s="1121"/>
      <c r="AK354" s="1121"/>
      <c r="AL354" s="1121"/>
      <c r="AM354" s="1121"/>
      <c r="AN354" s="315"/>
      <c r="AO354" s="315"/>
      <c r="AP354" s="315"/>
      <c r="AQ354" s="315">
        <f>+FL_1($T$355,$T$353,$G$354,1200,9.28,-1*$F$355)</f>
        <v>0.35589591736808979</v>
      </c>
      <c r="AR354" s="315"/>
      <c r="AS354" s="315"/>
      <c r="AT354" s="315"/>
      <c r="AU354" s="315"/>
      <c r="AV354" s="315"/>
      <c r="AW354" s="315"/>
      <c r="AX354" s="315"/>
      <c r="AY354" s="315"/>
      <c r="AZ354" s="315"/>
      <c r="BA354" s="315"/>
      <c r="BB354" s="306"/>
    </row>
    <row r="355" spans="1:54" ht="14.25">
      <c r="A355" s="340"/>
      <c r="B355" s="287" t="s">
        <v>2212</v>
      </c>
      <c r="C355" s="288">
        <f>+$C$353+$G$354</f>
        <v>19740.000000000004</v>
      </c>
      <c r="D355" s="1121"/>
      <c r="E355" s="1121">
        <v>-100</v>
      </c>
      <c r="F355" s="289">
        <v>-2000</v>
      </c>
      <c r="G355" s="292"/>
      <c r="H355" s="291"/>
      <c r="I355" s="291"/>
      <c r="J355" s="288"/>
      <c r="K355" s="1121"/>
      <c r="L355" s="1121" t="s">
        <v>231</v>
      </c>
      <c r="M355" s="1121" t="s">
        <v>2672</v>
      </c>
      <c r="N355" s="291" t="s">
        <v>145</v>
      </c>
      <c r="O355" s="291"/>
      <c r="P355" s="1121"/>
      <c r="Q355" s="293">
        <v>76</v>
      </c>
      <c r="R355" s="1017">
        <v>-2672.04</v>
      </c>
      <c r="S355" s="1017"/>
      <c r="T355" s="1121">
        <v>30</v>
      </c>
      <c r="U355" s="1121"/>
      <c r="V355" s="1121"/>
      <c r="W355" s="1121">
        <v>1.4</v>
      </c>
      <c r="X355" s="1121"/>
      <c r="Y355" s="1121"/>
      <c r="Z355" s="1121"/>
      <c r="AA355" s="1121"/>
      <c r="AB355" s="1121"/>
      <c r="AC355" s="1121" t="s">
        <v>2963</v>
      </c>
      <c r="AD355" s="1121"/>
      <c r="AE355" s="1121"/>
      <c r="AF355" s="1121">
        <v>6000</v>
      </c>
      <c r="AG355" s="288">
        <v>19741.259999999998</v>
      </c>
      <c r="AH355" s="293">
        <v>2596</v>
      </c>
      <c r="AI355" s="508">
        <v>640</v>
      </c>
      <c r="AJ355" s="1121"/>
      <c r="AK355" s="1121"/>
      <c r="AL355" s="1121"/>
      <c r="AM355" s="1121" t="s">
        <v>1228</v>
      </c>
      <c r="AN355" s="315">
        <v>5.5</v>
      </c>
      <c r="AO355" s="315"/>
      <c r="AP355" s="315"/>
      <c r="AQ355" s="315"/>
      <c r="AR355" s="315"/>
      <c r="AS355" s="315"/>
      <c r="AT355" s="315">
        <f>+ab($T$355,$T$353,$T$357,$G$354,$G$356,-1*$F$355,1200)</f>
        <v>6.509514800011388</v>
      </c>
      <c r="AU355" s="315"/>
      <c r="AV355" s="315"/>
      <c r="AW355" s="315" t="s">
        <v>2630</v>
      </c>
      <c r="AX355" s="315" t="s">
        <v>1639</v>
      </c>
      <c r="AY355" s="315">
        <v>3.4</v>
      </c>
      <c r="AZ355" s="315"/>
      <c r="BA355" s="315"/>
      <c r="BB355" s="306"/>
    </row>
    <row r="356" spans="1:54" ht="14.25">
      <c r="A356" s="340"/>
      <c r="B356" s="340"/>
      <c r="C356" s="288"/>
      <c r="D356" s="1121"/>
      <c r="E356" s="1121"/>
      <c r="F356" s="289"/>
      <c r="G356" s="292">
        <v>56</v>
      </c>
      <c r="H356" s="1121"/>
      <c r="I356" s="289"/>
      <c r="J356" s="288"/>
      <c r="K356" s="1121"/>
      <c r="L356" s="1121"/>
      <c r="M356" s="1121"/>
      <c r="N356" s="1121"/>
      <c r="O356" s="1121"/>
      <c r="P356" s="1121"/>
      <c r="Q356" s="293"/>
      <c r="R356" s="1017"/>
      <c r="S356" s="1017">
        <f>AG357-AG355</f>
        <v>55.849999999998545</v>
      </c>
      <c r="T356" s="1121"/>
      <c r="U356" s="1121"/>
      <c r="V356" s="1121"/>
      <c r="W356" s="1121"/>
      <c r="X356" s="1121"/>
      <c r="Y356" s="1121"/>
      <c r="Z356" s="1121"/>
      <c r="AA356" s="1121"/>
      <c r="AB356" s="1121"/>
      <c r="AC356" s="1121"/>
      <c r="AD356" s="1121"/>
      <c r="AE356" s="1121"/>
      <c r="AF356" s="1121"/>
      <c r="AG356" s="288"/>
      <c r="AH356" s="293" t="s">
        <v>695</v>
      </c>
      <c r="AI356" s="508" t="s">
        <v>695</v>
      </c>
      <c r="AJ356" s="1121"/>
      <c r="AK356" s="1121"/>
      <c r="AL356" s="1121"/>
      <c r="AM356" s="1121"/>
      <c r="AN356" s="315"/>
      <c r="AO356" s="315"/>
      <c r="AP356" s="315"/>
      <c r="AQ356" s="315">
        <f>+FL_1($T$357,$T$355,$G$356,1200,9.28,-1*$F$357)</f>
        <v>0.40713706172535702</v>
      </c>
      <c r="AR356" s="315"/>
      <c r="AS356" s="315"/>
      <c r="AT356" s="315"/>
      <c r="AU356" s="315"/>
      <c r="AV356" s="315"/>
      <c r="AW356" s="315"/>
      <c r="AX356" s="315"/>
      <c r="AY356" s="315"/>
      <c r="AZ356" s="315"/>
      <c r="BA356" s="315"/>
      <c r="BB356" s="306"/>
    </row>
    <row r="357" spans="1:54" ht="14.25">
      <c r="A357" s="340"/>
      <c r="B357" s="287" t="s">
        <v>2213</v>
      </c>
      <c r="C357" s="288">
        <f>+$C$355+$G$356</f>
        <v>19796.000000000004</v>
      </c>
      <c r="D357" s="1121"/>
      <c r="E357" s="1121">
        <v>-100</v>
      </c>
      <c r="F357" s="289">
        <v>-2000</v>
      </c>
      <c r="G357" s="292"/>
      <c r="H357" s="1121"/>
      <c r="I357" s="289"/>
      <c r="J357" s="288"/>
      <c r="K357" s="1121"/>
      <c r="L357" s="1121" t="s">
        <v>231</v>
      </c>
      <c r="M357" s="1121" t="s">
        <v>2672</v>
      </c>
      <c r="N357" s="1121" t="s">
        <v>145</v>
      </c>
      <c r="O357" s="1121"/>
      <c r="P357" s="1121"/>
      <c r="Q357" s="293">
        <v>99</v>
      </c>
      <c r="R357" s="1017">
        <v>-1997.65</v>
      </c>
      <c r="S357" s="1017"/>
      <c r="T357" s="1121">
        <v>30</v>
      </c>
      <c r="U357" s="1121"/>
      <c r="V357" s="1121"/>
      <c r="W357" s="1121">
        <v>1.4</v>
      </c>
      <c r="X357" s="1121"/>
      <c r="Y357" s="1121"/>
      <c r="Z357" s="1121"/>
      <c r="AA357" s="1121"/>
      <c r="AB357" s="1121"/>
      <c r="AC357" s="1121" t="s">
        <v>2963</v>
      </c>
      <c r="AD357" s="1121"/>
      <c r="AE357" s="1121"/>
      <c r="AF357" s="1121">
        <v>6000</v>
      </c>
      <c r="AG357" s="288">
        <v>19797.109999999997</v>
      </c>
      <c r="AH357" s="293">
        <v>2609</v>
      </c>
      <c r="AI357" s="508">
        <v>586</v>
      </c>
      <c r="AJ357" s="1121"/>
      <c r="AK357" s="1121"/>
      <c r="AL357" s="1121"/>
      <c r="AM357" s="1121" t="s">
        <v>1228</v>
      </c>
      <c r="AN357" s="315">
        <v>5.5</v>
      </c>
      <c r="AO357" s="315"/>
      <c r="AP357" s="315"/>
      <c r="AQ357" s="382"/>
      <c r="AR357" s="315"/>
      <c r="AS357" s="315"/>
      <c r="AT357" s="315">
        <f>+ab($T$357,$T$355,$T$359,$G$356,$G$358,-1*$F$357,1200)</f>
        <v>6.820903141098448</v>
      </c>
      <c r="AU357" s="315"/>
      <c r="AV357" s="315"/>
      <c r="AW357" s="315" t="s">
        <v>2630</v>
      </c>
      <c r="AX357" s="315" t="s">
        <v>1639</v>
      </c>
      <c r="AY357" s="315">
        <v>3.4</v>
      </c>
      <c r="AZ357" s="315"/>
      <c r="BA357" s="315"/>
      <c r="BB357" s="306"/>
    </row>
    <row r="358" spans="1:54" ht="14.25">
      <c r="A358" s="340"/>
      <c r="B358" s="287"/>
      <c r="C358" s="288"/>
      <c r="D358" s="1121"/>
      <c r="E358" s="1121"/>
      <c r="F358" s="289"/>
      <c r="G358" s="292">
        <v>56</v>
      </c>
      <c r="H358" s="1121"/>
      <c r="I358" s="289"/>
      <c r="J358" s="288">
        <f>C359-7.5</f>
        <v>19844.500000000004</v>
      </c>
      <c r="K358" s="1121" t="s">
        <v>658</v>
      </c>
      <c r="L358" s="1121"/>
      <c r="M358" s="1121"/>
      <c r="N358" s="1121"/>
      <c r="O358" s="1121"/>
      <c r="P358" s="1121"/>
      <c r="Q358" s="293"/>
      <c r="R358" s="1017"/>
      <c r="S358" s="1017">
        <f>AG359-AG357</f>
        <v>55.920000000001892</v>
      </c>
      <c r="T358" s="1121"/>
      <c r="U358" s="1121"/>
      <c r="V358" s="1121"/>
      <c r="W358" s="1121"/>
      <c r="X358" s="1121"/>
      <c r="Y358" s="1121"/>
      <c r="Z358" s="1121"/>
      <c r="AA358" s="1121"/>
      <c r="AB358" s="1121"/>
      <c r="AC358" s="1121"/>
      <c r="AD358" s="1121"/>
      <c r="AE358" s="1121"/>
      <c r="AF358" s="1121"/>
      <c r="AG358" s="288"/>
      <c r="AH358" s="293" t="s">
        <v>695</v>
      </c>
      <c r="AI358" s="508" t="s">
        <v>695</v>
      </c>
      <c r="AJ358" s="1121"/>
      <c r="AK358" s="1121"/>
      <c r="AL358" s="1121"/>
      <c r="AM358" s="1121"/>
      <c r="AN358" s="315"/>
      <c r="AO358" s="315"/>
      <c r="AP358" s="315"/>
      <c r="AQ358" s="315">
        <f>+FL_1($T$359,$T$357,$G$358,1200,9.28,-1*$F$359)</f>
        <v>0.40713706172535702</v>
      </c>
      <c r="AR358" s="315"/>
      <c r="AS358" s="315"/>
      <c r="AT358" s="382"/>
      <c r="AU358" s="315"/>
      <c r="AV358" s="315"/>
      <c r="AW358" s="315" t="s">
        <v>2630</v>
      </c>
      <c r="AX358" s="315" t="s">
        <v>1639</v>
      </c>
      <c r="AY358" s="315"/>
      <c r="AZ358" s="315">
        <v>2.5</v>
      </c>
      <c r="BA358" s="315"/>
      <c r="BB358" s="306"/>
    </row>
    <row r="359" spans="1:54" ht="14.25">
      <c r="A359" s="340"/>
      <c r="B359" s="287" t="s">
        <v>2214</v>
      </c>
      <c r="C359" s="288">
        <f>+$C$357+$G$358</f>
        <v>19852.000000000004</v>
      </c>
      <c r="D359" s="1121"/>
      <c r="E359" s="1121">
        <v>-100</v>
      </c>
      <c r="F359" s="289">
        <v>-2000</v>
      </c>
      <c r="G359" s="292"/>
      <c r="H359" s="291" t="s">
        <v>954</v>
      </c>
      <c r="I359" s="291"/>
      <c r="J359" s="288"/>
      <c r="K359" s="1121"/>
      <c r="L359" s="1121" t="s">
        <v>231</v>
      </c>
      <c r="M359" s="1121" t="s">
        <v>2672</v>
      </c>
      <c r="N359" s="1121" t="s">
        <v>145</v>
      </c>
      <c r="O359" s="1121"/>
      <c r="P359" s="1121"/>
      <c r="Q359" s="293">
        <v>100</v>
      </c>
      <c r="R359" s="1017">
        <v>-1997.65</v>
      </c>
      <c r="S359" s="1017"/>
      <c r="T359" s="1121">
        <v>30</v>
      </c>
      <c r="U359" s="1121"/>
      <c r="V359" s="1121"/>
      <c r="W359" s="1121">
        <v>1.4</v>
      </c>
      <c r="X359" s="1121"/>
      <c r="Y359" s="1121"/>
      <c r="Z359" s="1121"/>
      <c r="AA359" s="1121"/>
      <c r="AB359" s="1121"/>
      <c r="AC359" s="1121" t="s">
        <v>2963</v>
      </c>
      <c r="AD359" s="1121"/>
      <c r="AE359" s="1121"/>
      <c r="AF359" s="1121">
        <v>6000</v>
      </c>
      <c r="AG359" s="288">
        <v>19853.03</v>
      </c>
      <c r="AH359" s="293">
        <v>2584</v>
      </c>
      <c r="AI359" s="508">
        <v>692</v>
      </c>
      <c r="AJ359" s="1121"/>
      <c r="AK359" s="1121"/>
      <c r="AL359" s="1121"/>
      <c r="AM359" s="1121" t="s">
        <v>1228</v>
      </c>
      <c r="AN359" s="315">
        <v>5.5</v>
      </c>
      <c r="AO359" s="315"/>
      <c r="AP359" s="315"/>
      <c r="AQ359" s="382"/>
      <c r="AR359" s="315"/>
      <c r="AS359" s="315"/>
      <c r="AT359" s="315">
        <f>+ab($T$359,$T$357,$T$361,$G$358,$G$360,-1*$F$359,1200)</f>
        <v>6.820903141098448</v>
      </c>
      <c r="AU359" s="315"/>
      <c r="AV359" s="315"/>
      <c r="AW359" s="315" t="s">
        <v>2634</v>
      </c>
      <c r="AX359" s="315" t="s">
        <v>1639</v>
      </c>
      <c r="AY359" s="315">
        <v>3.4</v>
      </c>
      <c r="AZ359" s="315"/>
      <c r="BA359" s="315"/>
      <c r="BB359" s="306"/>
    </row>
    <row r="360" spans="1:54" ht="14.25">
      <c r="A360" s="340"/>
      <c r="B360" s="287"/>
      <c r="C360" s="288"/>
      <c r="D360" s="1121"/>
      <c r="E360" s="1121"/>
      <c r="F360" s="289"/>
      <c r="G360" s="292">
        <v>56</v>
      </c>
      <c r="H360" s="291"/>
      <c r="I360" s="294">
        <f>SUM(G346:G360)</f>
        <v>461</v>
      </c>
      <c r="J360" s="288"/>
      <c r="K360" s="1121"/>
      <c r="L360" s="1121"/>
      <c r="M360" s="1121"/>
      <c r="N360" s="291"/>
      <c r="O360" s="291"/>
      <c r="P360" s="1121"/>
      <c r="Q360" s="293"/>
      <c r="R360" s="1017"/>
      <c r="S360" s="1017">
        <v>55.920000000001892</v>
      </c>
      <c r="T360" s="1121"/>
      <c r="U360" s="1121"/>
      <c r="V360" s="1121"/>
      <c r="W360" s="1121"/>
      <c r="X360" s="1121"/>
      <c r="Y360" s="1121"/>
      <c r="Z360" s="1121"/>
      <c r="AA360" s="1121"/>
      <c r="AB360" s="1121"/>
      <c r="AC360" s="1121"/>
      <c r="AD360" s="1121"/>
      <c r="AE360" s="1121"/>
      <c r="AF360" s="1121"/>
      <c r="AG360" s="288"/>
      <c r="AH360" s="293" t="s">
        <v>695</v>
      </c>
      <c r="AI360" s="508" t="s">
        <v>695</v>
      </c>
      <c r="AJ360" s="1121"/>
      <c r="AK360" s="1121"/>
      <c r="AL360" s="1121"/>
      <c r="AM360" s="1121"/>
      <c r="AN360" s="315"/>
      <c r="AO360" s="315"/>
      <c r="AP360" s="315"/>
      <c r="AQ360" s="315">
        <f>+FL_1($T$361,$T$359,$G$360,1200,9.28,-1*$F$361)</f>
        <v>0.40713706172535702</v>
      </c>
      <c r="AR360" s="315"/>
      <c r="AS360" s="315"/>
      <c r="AT360" s="382"/>
      <c r="AU360" s="315"/>
      <c r="AV360" s="315"/>
      <c r="AW360" s="315"/>
      <c r="AX360" s="315"/>
      <c r="AY360" s="315"/>
      <c r="AZ360" s="315"/>
      <c r="BA360" s="315"/>
      <c r="BB360" s="306"/>
    </row>
    <row r="361" spans="1:54" ht="14.25">
      <c r="A361" s="340"/>
      <c r="B361" s="287" t="s">
        <v>2215</v>
      </c>
      <c r="C361" s="288">
        <f>+$C$359+$G$360</f>
        <v>19908.000000000004</v>
      </c>
      <c r="D361" s="1121"/>
      <c r="E361" s="1121">
        <v>-100</v>
      </c>
      <c r="F361" s="289">
        <v>-2000</v>
      </c>
      <c r="G361" s="292"/>
      <c r="H361" s="291" t="s">
        <v>955</v>
      </c>
      <c r="I361" s="291"/>
      <c r="J361" s="288"/>
      <c r="K361" s="1121"/>
      <c r="L361" s="1121" t="s">
        <v>231</v>
      </c>
      <c r="M361" s="1121" t="s">
        <v>2672</v>
      </c>
      <c r="N361" s="291" t="s">
        <v>145</v>
      </c>
      <c r="O361" s="291"/>
      <c r="P361" s="1121"/>
      <c r="Q361" s="293">
        <v>100</v>
      </c>
      <c r="R361" s="1017">
        <v>-1997.65</v>
      </c>
      <c r="S361" s="1017"/>
      <c r="T361" s="1121">
        <v>30</v>
      </c>
      <c r="U361" s="1121"/>
      <c r="V361" s="1121"/>
      <c r="W361" s="1121">
        <v>1.4</v>
      </c>
      <c r="X361" s="1121"/>
      <c r="Y361" s="1121"/>
      <c r="Z361" s="1121"/>
      <c r="AA361" s="1121"/>
      <c r="AB361" s="1121"/>
      <c r="AC361" s="1121" t="s">
        <v>2963</v>
      </c>
      <c r="AD361" s="1121"/>
      <c r="AE361" s="1121"/>
      <c r="AF361" s="1121">
        <v>6000</v>
      </c>
      <c r="AG361" s="288">
        <v>19908.95</v>
      </c>
      <c r="AH361" s="293">
        <v>2571</v>
      </c>
      <c r="AI361" s="508">
        <v>661</v>
      </c>
      <c r="AJ361" s="1121"/>
      <c r="AK361" s="1121"/>
      <c r="AL361" s="1121"/>
      <c r="AM361" s="1121" t="s">
        <v>1228</v>
      </c>
      <c r="AN361" s="315">
        <v>5.5</v>
      </c>
      <c r="AO361" s="315"/>
      <c r="AP361" s="315"/>
      <c r="AQ361" s="315"/>
      <c r="AR361" s="315"/>
      <c r="AS361" s="315"/>
      <c r="AT361" s="315">
        <f>+ab($T$361,$T$359,$T$363,$G$360,$G$362,-1*$F$361,1200)</f>
        <v>6.820903141098448</v>
      </c>
      <c r="AU361" s="315"/>
      <c r="AV361" s="315"/>
      <c r="AW361" s="315" t="s">
        <v>2634</v>
      </c>
      <c r="AX361" s="315" t="s">
        <v>1639</v>
      </c>
      <c r="AY361" s="315">
        <v>3.4</v>
      </c>
      <c r="AZ361" s="315"/>
      <c r="BA361" s="315"/>
      <c r="BB361" s="306"/>
    </row>
    <row r="362" spans="1:54" ht="14.25">
      <c r="A362" s="340"/>
      <c r="B362" s="287"/>
      <c r="C362" s="288"/>
      <c r="D362" s="1121"/>
      <c r="E362" s="1121"/>
      <c r="F362" s="289"/>
      <c r="G362" s="292">
        <v>56</v>
      </c>
      <c r="H362" s="291"/>
      <c r="I362" s="294">
        <f>SUM(G362:G376)</f>
        <v>437</v>
      </c>
      <c r="J362" s="288"/>
      <c r="K362" s="1121"/>
      <c r="L362" s="1121"/>
      <c r="M362" s="1121"/>
      <c r="N362" s="291"/>
      <c r="O362" s="291"/>
      <c r="P362" s="1121"/>
      <c r="Q362" s="293"/>
      <c r="R362" s="1017"/>
      <c r="S362" s="1017">
        <v>55.950000000000728</v>
      </c>
      <c r="T362" s="1121"/>
      <c r="U362" s="1121"/>
      <c r="V362" s="1121"/>
      <c r="W362" s="1121"/>
      <c r="X362" s="1121"/>
      <c r="Y362" s="1121"/>
      <c r="Z362" s="1121"/>
      <c r="AA362" s="1121"/>
      <c r="AB362" s="1121"/>
      <c r="AC362" s="1121"/>
      <c r="AD362" s="1121"/>
      <c r="AE362" s="1121"/>
      <c r="AF362" s="1121"/>
      <c r="AG362" s="288"/>
      <c r="AH362" s="293" t="s">
        <v>695</v>
      </c>
      <c r="AI362" s="508" t="s">
        <v>695</v>
      </c>
      <c r="AJ362" s="1121"/>
      <c r="AK362" s="1121"/>
      <c r="AL362" s="1121"/>
      <c r="AM362" s="1121"/>
      <c r="AN362" s="315"/>
      <c r="AO362" s="315"/>
      <c r="AP362" s="315"/>
      <c r="AQ362" s="315">
        <f>+FL_1($T$363,$T$361,$G$362,1200,9.28,-1*$F$363)</f>
        <v>0.40713706172535702</v>
      </c>
      <c r="AR362" s="315"/>
      <c r="AS362" s="315"/>
      <c r="AT362" s="315"/>
      <c r="AU362" s="315"/>
      <c r="AV362" s="315"/>
      <c r="AW362" s="315"/>
      <c r="AX362" s="315"/>
      <c r="AY362" s="315"/>
      <c r="AZ362" s="315"/>
      <c r="BA362" s="315"/>
      <c r="BB362" s="306"/>
    </row>
    <row r="363" spans="1:54" ht="14.25">
      <c r="A363" s="340"/>
      <c r="B363" s="287" t="s">
        <v>2216</v>
      </c>
      <c r="C363" s="288">
        <f>+$C$361+$G$362</f>
        <v>19964.000000000004</v>
      </c>
      <c r="D363" s="1121"/>
      <c r="E363" s="1121">
        <v>-100</v>
      </c>
      <c r="F363" s="289">
        <v>-2000</v>
      </c>
      <c r="G363" s="292"/>
      <c r="H363" s="1121" t="s">
        <v>954</v>
      </c>
      <c r="I363" s="289"/>
      <c r="J363" s="288"/>
      <c r="K363" s="1121"/>
      <c r="L363" s="1121" t="s">
        <v>231</v>
      </c>
      <c r="M363" s="1121" t="s">
        <v>2672</v>
      </c>
      <c r="N363" s="291" t="s">
        <v>145</v>
      </c>
      <c r="O363" s="291"/>
      <c r="P363" s="1121"/>
      <c r="Q363" s="293">
        <v>100</v>
      </c>
      <c r="R363" s="1017">
        <v>-1997.65</v>
      </c>
      <c r="S363" s="1017"/>
      <c r="T363" s="1121">
        <v>30</v>
      </c>
      <c r="U363" s="1121"/>
      <c r="V363" s="1121"/>
      <c r="W363" s="1121">
        <v>1.4</v>
      </c>
      <c r="X363" s="1121"/>
      <c r="Y363" s="1121"/>
      <c r="Z363" s="1121"/>
      <c r="AA363" s="1121"/>
      <c r="AB363" s="1121"/>
      <c r="AC363" s="1121" t="s">
        <v>2963</v>
      </c>
      <c r="AD363" s="1121"/>
      <c r="AE363" s="1121"/>
      <c r="AF363" s="1121">
        <v>6000</v>
      </c>
      <c r="AG363" s="288">
        <v>19964.900000000001</v>
      </c>
      <c r="AH363" s="293">
        <v>2565</v>
      </c>
      <c r="AI363" s="508">
        <v>709</v>
      </c>
      <c r="AJ363" s="1121"/>
      <c r="AK363" s="1121"/>
      <c r="AL363" s="1121"/>
      <c r="AM363" s="1121" t="s">
        <v>1228</v>
      </c>
      <c r="AN363" s="315">
        <v>5.5</v>
      </c>
      <c r="AO363" s="315"/>
      <c r="AP363" s="315"/>
      <c r="AQ363" s="315"/>
      <c r="AR363" s="315"/>
      <c r="AS363" s="315"/>
      <c r="AT363" s="315">
        <f>+ab($T$363,$T$361,$T$365,$G$362,$G$364,-1*$F$363,1200)</f>
        <v>6.820903141098448</v>
      </c>
      <c r="AU363" s="315"/>
      <c r="AV363" s="315"/>
      <c r="AW363" s="315" t="s">
        <v>2634</v>
      </c>
      <c r="AX363" s="315" t="s">
        <v>1639</v>
      </c>
      <c r="AY363" s="315">
        <v>3.4</v>
      </c>
      <c r="AZ363" s="315"/>
      <c r="BA363" s="315"/>
      <c r="BB363" s="306"/>
    </row>
    <row r="364" spans="1:54" ht="14.25">
      <c r="A364" s="340"/>
      <c r="B364" s="287"/>
      <c r="C364" s="288"/>
      <c r="D364" s="1121"/>
      <c r="E364" s="1121"/>
      <c r="F364" s="289"/>
      <c r="G364" s="292">
        <v>56</v>
      </c>
      <c r="H364" s="291"/>
      <c r="I364" s="291"/>
      <c r="J364" s="288">
        <f>C363+7.5</f>
        <v>19971.500000000004</v>
      </c>
      <c r="K364" s="1121" t="s">
        <v>658</v>
      </c>
      <c r="L364" s="1121"/>
      <c r="M364" s="1121"/>
      <c r="N364" s="291"/>
      <c r="O364" s="291"/>
      <c r="P364" s="1121"/>
      <c r="Q364" s="293"/>
      <c r="R364" s="1017"/>
      <c r="S364" s="1017">
        <v>55.869999999998981</v>
      </c>
      <c r="T364" s="1121"/>
      <c r="U364" s="1121"/>
      <c r="V364" s="1121"/>
      <c r="W364" s="1121"/>
      <c r="X364" s="1121"/>
      <c r="Y364" s="1121"/>
      <c r="Z364" s="1121"/>
      <c r="AA364" s="1121"/>
      <c r="AB364" s="1121"/>
      <c r="AC364" s="1121"/>
      <c r="AD364" s="1121"/>
      <c r="AE364" s="1121"/>
      <c r="AF364" s="1121"/>
      <c r="AG364" s="288"/>
      <c r="AH364" s="293" t="s">
        <v>695</v>
      </c>
      <c r="AI364" s="508" t="s">
        <v>695</v>
      </c>
      <c r="AJ364" s="1121"/>
      <c r="AK364" s="1121"/>
      <c r="AL364" s="1121"/>
      <c r="AM364" s="1121"/>
      <c r="AN364" s="315"/>
      <c r="AO364" s="315"/>
      <c r="AP364" s="315"/>
      <c r="AQ364" s="315">
        <f>+FL_1($T$365,$T$363,$G$364,1200,9.28,-1*$F$365)</f>
        <v>0.40713706172535702</v>
      </c>
      <c r="AR364" s="315"/>
      <c r="AS364" s="315"/>
      <c r="AT364" s="315"/>
      <c r="AU364" s="315"/>
      <c r="AV364" s="315"/>
      <c r="AW364" s="315" t="s">
        <v>2634</v>
      </c>
      <c r="AX364" s="315" t="s">
        <v>1639</v>
      </c>
      <c r="AY364" s="315"/>
      <c r="AZ364" s="315">
        <v>2.5</v>
      </c>
      <c r="BA364" s="315"/>
      <c r="BB364" s="306"/>
    </row>
    <row r="365" spans="1:54" ht="14.25">
      <c r="A365" s="340"/>
      <c r="B365" s="287" t="s">
        <v>2217</v>
      </c>
      <c r="C365" s="288">
        <f>+$C$363+$G$364</f>
        <v>20020.000000000004</v>
      </c>
      <c r="D365" s="1121"/>
      <c r="E365" s="1121">
        <v>-100</v>
      </c>
      <c r="F365" s="289">
        <v>-2000</v>
      </c>
      <c r="G365" s="292"/>
      <c r="H365" s="291"/>
      <c r="I365" s="291"/>
      <c r="J365" s="288"/>
      <c r="K365" s="1121"/>
      <c r="L365" s="1121" t="s">
        <v>231</v>
      </c>
      <c r="M365" s="1121" t="s">
        <v>2672</v>
      </c>
      <c r="N365" s="291" t="s">
        <v>145</v>
      </c>
      <c r="O365" s="291"/>
      <c r="P365" s="1121"/>
      <c r="Q365" s="293">
        <v>99</v>
      </c>
      <c r="R365" s="1017">
        <v>-1997.65</v>
      </c>
      <c r="S365" s="1017"/>
      <c r="T365" s="1121">
        <v>30</v>
      </c>
      <c r="U365" s="1121"/>
      <c r="V365" s="1121"/>
      <c r="W365" s="1121">
        <v>1.4</v>
      </c>
      <c r="X365" s="1121"/>
      <c r="Y365" s="1121"/>
      <c r="Z365" s="1121"/>
      <c r="AA365" s="1121"/>
      <c r="AB365" s="1121"/>
      <c r="AC365" s="1121" t="s">
        <v>2963</v>
      </c>
      <c r="AD365" s="1121"/>
      <c r="AE365" s="1121"/>
      <c r="AF365" s="1121">
        <v>6000</v>
      </c>
      <c r="AG365" s="288">
        <v>20020.77</v>
      </c>
      <c r="AH365" s="293">
        <v>2555</v>
      </c>
      <c r="AI365" s="508">
        <v>655</v>
      </c>
      <c r="AJ365" s="1121"/>
      <c r="AK365" s="1121"/>
      <c r="AL365" s="1121"/>
      <c r="AM365" s="1121" t="s">
        <v>1228</v>
      </c>
      <c r="AN365" s="315">
        <v>5.5</v>
      </c>
      <c r="AO365" s="315"/>
      <c r="AP365" s="315"/>
      <c r="AQ365" s="315"/>
      <c r="AR365" s="315"/>
      <c r="AS365" s="315"/>
      <c r="AT365" s="315">
        <f>+ab($T$365,$T$363,$T$367,$G$364,$G$366,-1*$F$365,1200)</f>
        <v>6.820903141098448</v>
      </c>
      <c r="AU365" s="315"/>
      <c r="AV365" s="315"/>
      <c r="AW365" s="315" t="s">
        <v>2634</v>
      </c>
      <c r="AX365" s="315" t="s">
        <v>1639</v>
      </c>
      <c r="AY365" s="315">
        <v>3.4</v>
      </c>
      <c r="AZ365" s="315"/>
      <c r="BA365" s="315"/>
      <c r="BB365" s="306"/>
    </row>
    <row r="366" spans="1:54" ht="14.25">
      <c r="A366" s="340"/>
      <c r="B366" s="287"/>
      <c r="C366" s="288"/>
      <c r="D366" s="1121"/>
      <c r="E366" s="1121"/>
      <c r="F366" s="289"/>
      <c r="G366" s="292">
        <v>56</v>
      </c>
      <c r="H366" s="291"/>
      <c r="I366" s="294"/>
      <c r="J366" s="288"/>
      <c r="K366" s="1121"/>
      <c r="L366" s="1121"/>
      <c r="M366" s="1121"/>
      <c r="N366" s="291"/>
      <c r="O366" s="291"/>
      <c r="P366" s="1121"/>
      <c r="Q366" s="293"/>
      <c r="R366" s="1017"/>
      <c r="S366" s="1017">
        <v>55.979999999999563</v>
      </c>
      <c r="T366" s="1121"/>
      <c r="U366" s="1121"/>
      <c r="V366" s="1121"/>
      <c r="W366" s="1121"/>
      <c r="X366" s="1121"/>
      <c r="Y366" s="1121"/>
      <c r="Z366" s="1121"/>
      <c r="AA366" s="1121"/>
      <c r="AB366" s="1121"/>
      <c r="AC366" s="1121"/>
      <c r="AD366" s="1121"/>
      <c r="AE366" s="1121"/>
      <c r="AF366" s="1121"/>
      <c r="AG366" s="288"/>
      <c r="AH366" s="293" t="s">
        <v>695</v>
      </c>
      <c r="AI366" s="508" t="s">
        <v>695</v>
      </c>
      <c r="AJ366" s="1121"/>
      <c r="AK366" s="1121"/>
      <c r="AL366" s="1121"/>
      <c r="AM366" s="1121"/>
      <c r="AN366" s="315"/>
      <c r="AO366" s="315"/>
      <c r="AP366" s="315"/>
      <c r="AQ366" s="315">
        <f>+FL_1($T$367,$T$365,$G$366,1200,9.28,-1*$F$367)</f>
        <v>0.40713706172535702</v>
      </c>
      <c r="AR366" s="315"/>
      <c r="AS366" s="315"/>
      <c r="AT366" s="315"/>
      <c r="AU366" s="315"/>
      <c r="AV366" s="315"/>
      <c r="AW366" s="315"/>
      <c r="AX366" s="315"/>
      <c r="AY366" s="315"/>
      <c r="AZ366" s="315"/>
      <c r="BA366" s="315"/>
      <c r="BB366" s="306"/>
    </row>
    <row r="367" spans="1:54" ht="14.25">
      <c r="A367" s="340"/>
      <c r="B367" s="287" t="s">
        <v>2218</v>
      </c>
      <c r="C367" s="288">
        <f>+$C$365+$G$366</f>
        <v>20076.000000000004</v>
      </c>
      <c r="D367" s="1121"/>
      <c r="E367" s="1121">
        <v>-100</v>
      </c>
      <c r="F367" s="289">
        <v>-2000</v>
      </c>
      <c r="G367" s="292"/>
      <c r="H367" s="291"/>
      <c r="I367" s="291"/>
      <c r="J367" s="288"/>
      <c r="K367" s="1121"/>
      <c r="L367" s="1121" t="s">
        <v>231</v>
      </c>
      <c r="M367" s="1121" t="s">
        <v>2672</v>
      </c>
      <c r="N367" s="291" t="s">
        <v>145</v>
      </c>
      <c r="O367" s="291"/>
      <c r="P367" s="1121"/>
      <c r="Q367" s="293">
        <v>103</v>
      </c>
      <c r="R367" s="1017">
        <v>-1997.65</v>
      </c>
      <c r="S367" s="1017"/>
      <c r="T367" s="1121">
        <v>30</v>
      </c>
      <c r="U367" s="1121"/>
      <c r="V367" s="1121"/>
      <c r="W367" s="1121">
        <v>1.4</v>
      </c>
      <c r="X367" s="1121"/>
      <c r="Y367" s="1121"/>
      <c r="Z367" s="1121"/>
      <c r="AA367" s="1121"/>
      <c r="AB367" s="1121"/>
      <c r="AC367" s="1121" t="s">
        <v>2963</v>
      </c>
      <c r="AD367" s="1121"/>
      <c r="AE367" s="1121"/>
      <c r="AF367" s="1121">
        <v>6000</v>
      </c>
      <c r="AG367" s="288">
        <v>20076.75</v>
      </c>
      <c r="AH367" s="293">
        <v>2543</v>
      </c>
      <c r="AI367" s="508">
        <v>690</v>
      </c>
      <c r="AJ367" s="1121"/>
      <c r="AK367" s="1121"/>
      <c r="AL367" s="1121"/>
      <c r="AM367" s="1121" t="s">
        <v>1228</v>
      </c>
      <c r="AN367" s="315">
        <v>5.5</v>
      </c>
      <c r="AO367" s="315"/>
      <c r="AP367" s="315"/>
      <c r="AQ367" s="315"/>
      <c r="AR367" s="315"/>
      <c r="AS367" s="315"/>
      <c r="AT367" s="315">
        <f>+ab($T$367,$T$365,$T$369,$G$366,$G$368,-1*$F$367,1200)</f>
        <v>6.820903141098448</v>
      </c>
      <c r="AU367" s="315"/>
      <c r="AV367" s="315"/>
      <c r="AW367" s="315" t="s">
        <v>2634</v>
      </c>
      <c r="AX367" s="315" t="s">
        <v>1639</v>
      </c>
      <c r="AY367" s="315">
        <v>3.4</v>
      </c>
      <c r="AZ367" s="315"/>
      <c r="BA367" s="315"/>
      <c r="BB367" s="306"/>
    </row>
    <row r="368" spans="1:54" ht="14.25">
      <c r="A368" s="340"/>
      <c r="B368" s="287"/>
      <c r="C368" s="288"/>
      <c r="D368" s="1121"/>
      <c r="E368" s="1121"/>
      <c r="F368" s="289"/>
      <c r="G368" s="292">
        <v>56</v>
      </c>
      <c r="H368" s="291"/>
      <c r="I368" s="291"/>
      <c r="J368" s="288"/>
      <c r="K368" s="1121"/>
      <c r="L368" s="1121"/>
      <c r="M368" s="1121"/>
      <c r="N368" s="291"/>
      <c r="O368" s="291"/>
      <c r="P368" s="1121"/>
      <c r="Q368" s="293"/>
      <c r="R368" s="1017"/>
      <c r="S368" s="1017">
        <v>56</v>
      </c>
      <c r="T368" s="1121"/>
      <c r="U368" s="1121"/>
      <c r="V368" s="1121"/>
      <c r="W368" s="1121"/>
      <c r="X368" s="1121"/>
      <c r="Y368" s="1121"/>
      <c r="Z368" s="1121"/>
      <c r="AA368" s="1121"/>
      <c r="AB368" s="1121"/>
      <c r="AC368" s="1121"/>
      <c r="AD368" s="1121"/>
      <c r="AE368" s="1121"/>
      <c r="AF368" s="1121"/>
      <c r="AG368" s="288"/>
      <c r="AH368" s="293" t="s">
        <v>695</v>
      </c>
      <c r="AI368" s="508" t="s">
        <v>695</v>
      </c>
      <c r="AJ368" s="1121"/>
      <c r="AK368" s="1121"/>
      <c r="AL368" s="1121"/>
      <c r="AM368" s="1121"/>
      <c r="AN368" s="315"/>
      <c r="AO368" s="315"/>
      <c r="AP368" s="315"/>
      <c r="AQ368" s="315">
        <f>+FL_1($T$369,$T$367,$G$368,1200,9.28,-1*$F$369)</f>
        <v>0.40713706172535702</v>
      </c>
      <c r="AR368" s="315"/>
      <c r="AS368" s="315"/>
      <c r="AT368" s="315"/>
      <c r="AU368" s="315"/>
      <c r="AV368" s="315"/>
      <c r="AW368" s="315"/>
      <c r="AX368" s="315"/>
      <c r="AY368" s="315"/>
      <c r="AZ368" s="315"/>
      <c r="BA368" s="315"/>
      <c r="BB368" s="306"/>
    </row>
    <row r="369" spans="1:54" ht="14.25">
      <c r="A369" s="341" t="s">
        <v>2219</v>
      </c>
      <c r="B369" s="363" t="s">
        <v>2220</v>
      </c>
      <c r="C369" s="342">
        <f>+$C$367+$G$368</f>
        <v>20132.000000000004</v>
      </c>
      <c r="D369" s="343"/>
      <c r="E369" s="343">
        <v>-100</v>
      </c>
      <c r="F369" s="344">
        <v>-2000</v>
      </c>
      <c r="G369" s="345"/>
      <c r="H369" s="343"/>
      <c r="I369" s="360"/>
      <c r="J369" s="342"/>
      <c r="K369" s="343"/>
      <c r="L369" s="343" t="s">
        <v>231</v>
      </c>
      <c r="M369" s="343" t="s">
        <v>2672</v>
      </c>
      <c r="N369" s="360" t="s">
        <v>145</v>
      </c>
      <c r="O369" s="360"/>
      <c r="P369" s="360"/>
      <c r="Q369" s="343">
        <v>104</v>
      </c>
      <c r="R369" s="345">
        <v>-1997.65</v>
      </c>
      <c r="S369" s="345"/>
      <c r="T369" s="343">
        <v>30</v>
      </c>
      <c r="U369" s="343"/>
      <c r="V369" s="343"/>
      <c r="W369" s="343">
        <v>1.4</v>
      </c>
      <c r="X369" s="343"/>
      <c r="Y369" s="343"/>
      <c r="Z369" s="343"/>
      <c r="AA369" s="343"/>
      <c r="AB369" s="343"/>
      <c r="AC369" s="343" t="s">
        <v>2963</v>
      </c>
      <c r="AD369" s="343"/>
      <c r="AE369" s="343"/>
      <c r="AF369" s="343">
        <v>6000</v>
      </c>
      <c r="AG369" s="342">
        <v>20132.75</v>
      </c>
      <c r="AH369" s="343">
        <v>2553</v>
      </c>
      <c r="AI369" s="344">
        <v>643</v>
      </c>
      <c r="AJ369" s="380"/>
      <c r="AK369" s="343"/>
      <c r="AL369" s="343"/>
      <c r="AM369" s="343" t="s">
        <v>1228</v>
      </c>
      <c r="AN369" s="347">
        <v>5.5</v>
      </c>
      <c r="AO369" s="347"/>
      <c r="AP369" s="347"/>
      <c r="AQ369" s="381"/>
      <c r="AR369" s="381"/>
      <c r="AS369" s="381"/>
      <c r="AT369" s="381">
        <f>+ab($T$369,$T$367,$T$371,$G$368,$G$370,-1*$F$369,1200)</f>
        <v>6.9437194600928631</v>
      </c>
      <c r="AU369" s="381"/>
      <c r="AV369" s="381"/>
      <c r="AW369" s="381" t="s">
        <v>2634</v>
      </c>
      <c r="AX369" s="381" t="s">
        <v>1639</v>
      </c>
      <c r="AY369" s="381">
        <v>3.4</v>
      </c>
      <c r="AZ369" s="381"/>
      <c r="BA369" s="381"/>
      <c r="BB369" s="306"/>
    </row>
    <row r="370" spans="1:54" ht="14.25">
      <c r="A370" s="341"/>
      <c r="B370" s="363"/>
      <c r="C370" s="342"/>
      <c r="D370" s="343"/>
      <c r="E370" s="343"/>
      <c r="F370" s="344"/>
      <c r="G370" s="345">
        <v>54</v>
      </c>
      <c r="H370" s="343"/>
      <c r="I370" s="360"/>
      <c r="J370" s="342">
        <f>C371-7.5</f>
        <v>20178.500000000004</v>
      </c>
      <c r="K370" s="343" t="s">
        <v>653</v>
      </c>
      <c r="L370" s="343"/>
      <c r="M370" s="380"/>
      <c r="N370" s="360"/>
      <c r="O370" s="360"/>
      <c r="P370" s="360"/>
      <c r="Q370" s="343"/>
      <c r="R370" s="345"/>
      <c r="S370" s="345">
        <v>53.889999999999418</v>
      </c>
      <c r="T370" s="343"/>
      <c r="U370" s="343"/>
      <c r="V370" s="343"/>
      <c r="W370" s="343"/>
      <c r="X370" s="343"/>
      <c r="Y370" s="343"/>
      <c r="Z370" s="343"/>
      <c r="AA370" s="343"/>
      <c r="AB370" s="343"/>
      <c r="AC370" s="343"/>
      <c r="AD370" s="343"/>
      <c r="AE370" s="343"/>
      <c r="AF370" s="343"/>
      <c r="AG370" s="342"/>
      <c r="AH370" s="343" t="s">
        <v>695</v>
      </c>
      <c r="AI370" s="344" t="s">
        <v>695</v>
      </c>
      <c r="AJ370" s="380"/>
      <c r="AK370" s="343"/>
      <c r="AL370" s="343"/>
      <c r="AM370" s="343"/>
      <c r="AN370" s="347"/>
      <c r="AO370" s="347"/>
      <c r="AP370" s="347"/>
      <c r="AQ370" s="381">
        <f>+FL_1($T$371,$T$369,$G$370,1200,9.28,-1*$F$371)</f>
        <v>0.39962169547770721</v>
      </c>
      <c r="AR370" s="381"/>
      <c r="AS370" s="381"/>
      <c r="AT370" s="381"/>
      <c r="AU370" s="381"/>
      <c r="AV370" s="381"/>
      <c r="AW370" s="381" t="s">
        <v>2634</v>
      </c>
      <c r="AX370" s="381" t="s">
        <v>1639</v>
      </c>
      <c r="AY370" s="381"/>
      <c r="AZ370" s="381">
        <v>2.5</v>
      </c>
      <c r="BA370" s="381"/>
      <c r="BB370" s="306"/>
    </row>
    <row r="371" spans="1:54" ht="14.25">
      <c r="A371" s="341"/>
      <c r="B371" s="363" t="s">
        <v>2221</v>
      </c>
      <c r="C371" s="342">
        <f>+$C$369+$G$370</f>
        <v>20186.000000000004</v>
      </c>
      <c r="D371" s="343"/>
      <c r="E371" s="343">
        <v>-100</v>
      </c>
      <c r="F371" s="344">
        <v>-2000</v>
      </c>
      <c r="G371" s="345"/>
      <c r="H371" s="343" t="s">
        <v>138</v>
      </c>
      <c r="I371" s="360" t="s">
        <v>656</v>
      </c>
      <c r="J371" s="342"/>
      <c r="K371" s="343"/>
      <c r="L371" s="343" t="s">
        <v>1062</v>
      </c>
      <c r="M371" s="343" t="s">
        <v>235</v>
      </c>
      <c r="N371" s="360" t="s">
        <v>145</v>
      </c>
      <c r="O371" s="360"/>
      <c r="P371" s="360"/>
      <c r="Q371" s="343">
        <v>100</v>
      </c>
      <c r="R371" s="345">
        <v>-1997.65</v>
      </c>
      <c r="S371" s="345"/>
      <c r="T371" s="343">
        <v>30</v>
      </c>
      <c r="U371" s="343"/>
      <c r="V371" s="343"/>
      <c r="W371" s="343">
        <v>1.4</v>
      </c>
      <c r="X371" s="343"/>
      <c r="Y371" s="343"/>
      <c r="Z371" s="343"/>
      <c r="AA371" s="343"/>
      <c r="AB371" s="343"/>
      <c r="AC371" s="343" t="s">
        <v>2963</v>
      </c>
      <c r="AD371" s="343"/>
      <c r="AE371" s="343"/>
      <c r="AF371" s="343">
        <v>6000</v>
      </c>
      <c r="AG371" s="342">
        <v>20186.64</v>
      </c>
      <c r="AH371" s="343">
        <v>2027</v>
      </c>
      <c r="AI371" s="344">
        <v>355</v>
      </c>
      <c r="AJ371" s="380"/>
      <c r="AK371" s="343"/>
      <c r="AL371" s="343"/>
      <c r="AM371" s="343" t="s">
        <v>1228</v>
      </c>
      <c r="AN371" s="347">
        <v>5.5</v>
      </c>
      <c r="AO371" s="347"/>
      <c r="AP371" s="347"/>
      <c r="AQ371" s="381"/>
      <c r="AR371" s="381"/>
      <c r="AS371" s="381"/>
      <c r="AT371" s="381">
        <f>+ab($T$371,$T$369,$T$373,$G$370,$G$372,-1*$F$371,1200)</f>
        <v>6.9437194600928631</v>
      </c>
      <c r="AU371" s="381"/>
      <c r="AV371" s="381"/>
      <c r="AW371" s="381" t="s">
        <v>2634</v>
      </c>
      <c r="AX371" s="381" t="s">
        <v>1639</v>
      </c>
      <c r="AY371" s="381">
        <v>3.4</v>
      </c>
      <c r="AZ371" s="381"/>
      <c r="BA371" s="381"/>
      <c r="BB371" s="306"/>
    </row>
    <row r="372" spans="1:54" ht="14.25">
      <c r="A372" s="341"/>
      <c r="B372" s="363"/>
      <c r="C372" s="342"/>
      <c r="D372" s="343"/>
      <c r="E372" s="343"/>
      <c r="F372" s="344"/>
      <c r="G372" s="345">
        <v>56</v>
      </c>
      <c r="H372" s="343"/>
      <c r="I372" s="360"/>
      <c r="J372" s="342"/>
      <c r="K372" s="343"/>
      <c r="L372" s="343"/>
      <c r="M372" s="380"/>
      <c r="N372" s="360"/>
      <c r="O372" s="360"/>
      <c r="P372" s="360"/>
      <c r="Q372" s="343"/>
      <c r="R372" s="345"/>
      <c r="S372" s="345">
        <v>55.880000000001019</v>
      </c>
      <c r="T372" s="343"/>
      <c r="U372" s="343"/>
      <c r="V372" s="343"/>
      <c r="W372" s="343"/>
      <c r="X372" s="343"/>
      <c r="Y372" s="343"/>
      <c r="Z372" s="343"/>
      <c r="AA372" s="343"/>
      <c r="AB372" s="343"/>
      <c r="AC372" s="343"/>
      <c r="AD372" s="343"/>
      <c r="AE372" s="343"/>
      <c r="AF372" s="343"/>
      <c r="AG372" s="342"/>
      <c r="AH372" s="343" t="s">
        <v>695</v>
      </c>
      <c r="AI372" s="344" t="s">
        <v>695</v>
      </c>
      <c r="AJ372" s="380"/>
      <c r="AK372" s="343"/>
      <c r="AL372" s="343"/>
      <c r="AM372" s="343"/>
      <c r="AN372" s="347"/>
      <c r="AO372" s="347"/>
      <c r="AP372" s="347"/>
      <c r="AQ372" s="381">
        <f>+FL_1($U$373,$T$371,$G$372,1200,9.28,-1*$F$373)</f>
        <v>0.33047329323279206</v>
      </c>
      <c r="AR372" s="381"/>
      <c r="AS372" s="381"/>
      <c r="AT372" s="381"/>
      <c r="AU372" s="381"/>
      <c r="AV372" s="381"/>
      <c r="AW372" s="381"/>
      <c r="AX372" s="381"/>
      <c r="AY372" s="381"/>
      <c r="AZ372" s="381"/>
      <c r="BA372" s="381"/>
      <c r="BB372" s="306"/>
    </row>
    <row r="373" spans="1:54" ht="14.25">
      <c r="A373" s="341" t="s">
        <v>2222</v>
      </c>
      <c r="B373" s="363" t="s">
        <v>2223</v>
      </c>
      <c r="C373" s="342">
        <f>+$C$371+$G$372</f>
        <v>20242.000000000004</v>
      </c>
      <c r="D373" s="343"/>
      <c r="E373" s="343">
        <v>-100</v>
      </c>
      <c r="F373" s="344">
        <v>-2000</v>
      </c>
      <c r="G373" s="345"/>
      <c r="H373" s="343" t="s">
        <v>651</v>
      </c>
      <c r="I373" s="360"/>
      <c r="J373" s="342"/>
      <c r="K373" s="343"/>
      <c r="L373" s="343" t="s">
        <v>1056</v>
      </c>
      <c r="M373" s="343" t="s">
        <v>2760</v>
      </c>
      <c r="N373" s="360" t="s">
        <v>140</v>
      </c>
      <c r="O373" s="360" t="s">
        <v>145</v>
      </c>
      <c r="P373" s="360"/>
      <c r="Q373" s="343">
        <v>100</v>
      </c>
      <c r="R373" s="345">
        <v>-1997.65</v>
      </c>
      <c r="S373" s="345"/>
      <c r="T373" s="343">
        <v>30</v>
      </c>
      <c r="U373" s="343">
        <v>10</v>
      </c>
      <c r="V373" s="343"/>
      <c r="W373" s="343">
        <v>1.4</v>
      </c>
      <c r="X373" s="343">
        <v>2.2999999999999998</v>
      </c>
      <c r="Y373" s="343"/>
      <c r="Z373" s="343">
        <v>0.45</v>
      </c>
      <c r="AA373" s="343"/>
      <c r="AB373" s="343"/>
      <c r="AC373" s="343"/>
      <c r="AD373" s="343" t="s">
        <v>1704</v>
      </c>
      <c r="AE373" s="343"/>
      <c r="AF373" s="343">
        <v>6000</v>
      </c>
      <c r="AG373" s="342">
        <v>20242.52</v>
      </c>
      <c r="AH373" s="343">
        <v>2537</v>
      </c>
      <c r="AI373" s="344">
        <v>616</v>
      </c>
      <c r="AJ373" s="380"/>
      <c r="AK373" s="343"/>
      <c r="AL373" s="343"/>
      <c r="AM373" s="343" t="s">
        <v>1228</v>
      </c>
      <c r="AN373" s="347">
        <v>5.5</v>
      </c>
      <c r="AO373" s="347"/>
      <c r="AP373" s="347"/>
      <c r="AQ373" s="381"/>
      <c r="AR373" s="381"/>
      <c r="AS373" s="381"/>
      <c r="AT373" s="381">
        <f>+ab($U$373,$T$371,$U$375,$G$372,$G$374,-1*$F$373,1200)</f>
        <v>8.3103788245628891</v>
      </c>
      <c r="AU373" s="381"/>
      <c r="AV373" s="381"/>
      <c r="AW373" s="381" t="s">
        <v>2634</v>
      </c>
      <c r="AX373" s="381" t="s">
        <v>1639</v>
      </c>
      <c r="AY373" s="381">
        <v>3.4</v>
      </c>
      <c r="AZ373" s="381"/>
      <c r="BA373" s="381"/>
      <c r="BB373" s="306"/>
    </row>
    <row r="374" spans="1:54" ht="14.25">
      <c r="A374" s="340"/>
      <c r="B374" s="287"/>
      <c r="C374" s="288"/>
      <c r="D374" s="1121"/>
      <c r="E374" s="1121"/>
      <c r="F374" s="289"/>
      <c r="G374" s="292">
        <v>50</v>
      </c>
      <c r="H374" s="291"/>
      <c r="I374" s="291"/>
      <c r="J374" s="383"/>
      <c r="K374" s="291"/>
      <c r="L374" s="1121"/>
      <c r="M374" s="1121"/>
      <c r="N374" s="291"/>
      <c r="O374" s="291"/>
      <c r="P374" s="1121"/>
      <c r="Q374" s="293"/>
      <c r="R374" s="1017"/>
      <c r="S374" s="1017">
        <v>49.989999999997963</v>
      </c>
      <c r="T374" s="1121"/>
      <c r="U374" s="1121"/>
      <c r="V374" s="1121"/>
      <c r="W374" s="1121"/>
      <c r="X374" s="1121"/>
      <c r="Y374" s="1121"/>
      <c r="Z374" s="1121"/>
      <c r="AA374" s="1121"/>
      <c r="AB374" s="1121"/>
      <c r="AC374" s="1121"/>
      <c r="AD374" s="1121"/>
      <c r="AE374" s="1121"/>
      <c r="AF374" s="1121"/>
      <c r="AG374" s="288"/>
      <c r="AH374" s="293" t="s">
        <v>695</v>
      </c>
      <c r="AI374" s="508" t="s">
        <v>695</v>
      </c>
      <c r="AJ374" s="1121"/>
      <c r="AK374" s="1121"/>
      <c r="AL374" s="1121"/>
      <c r="AM374" s="1121"/>
      <c r="AN374" s="315"/>
      <c r="AO374" s="315"/>
      <c r="AP374" s="315"/>
      <c r="AQ374" s="315">
        <f>+FL_1($T$375,$U$373,$G$374,1200,9.28,-1*$F$375)</f>
        <v>0.30245946940801716</v>
      </c>
      <c r="AR374" s="315"/>
      <c r="AS374" s="315"/>
      <c r="AT374" s="315"/>
      <c r="AU374" s="315"/>
      <c r="AV374" s="315"/>
      <c r="AW374" s="315"/>
      <c r="AX374" s="315"/>
      <c r="AY374" s="315"/>
      <c r="AZ374" s="315"/>
      <c r="BA374" s="315"/>
      <c r="BB374" s="306"/>
    </row>
    <row r="375" spans="1:54" ht="14.25">
      <c r="A375" s="340"/>
      <c r="B375" s="287" t="s">
        <v>2224</v>
      </c>
      <c r="C375" s="288">
        <f>+$C$373+$G$374</f>
        <v>20292.000000000004</v>
      </c>
      <c r="D375" s="1121"/>
      <c r="E375" s="289">
        <f>+$E$373*$F$373/F375</f>
        <v>-114.73684210526123</v>
      </c>
      <c r="F375" s="289">
        <f>(190*2000)/(C375-20510)</f>
        <v>-1743.1192660550751</v>
      </c>
      <c r="G375" s="292"/>
      <c r="H375" s="291" t="s">
        <v>651</v>
      </c>
      <c r="I375" s="291" t="s">
        <v>1223</v>
      </c>
      <c r="J375" s="288">
        <f>C375+7.5</f>
        <v>20299.500000000004</v>
      </c>
      <c r="K375" s="1121" t="s">
        <v>658</v>
      </c>
      <c r="L375" s="1121" t="s">
        <v>1056</v>
      </c>
      <c r="M375" s="1121" t="s">
        <v>2760</v>
      </c>
      <c r="N375" s="291" t="s">
        <v>145</v>
      </c>
      <c r="O375" s="291" t="s">
        <v>140</v>
      </c>
      <c r="P375" s="1121"/>
      <c r="Q375" s="293">
        <v>100</v>
      </c>
      <c r="R375" s="1017">
        <v>-1997.65</v>
      </c>
      <c r="S375" s="1017"/>
      <c r="T375" s="1121">
        <v>30</v>
      </c>
      <c r="U375" s="1121">
        <v>10</v>
      </c>
      <c r="V375" s="1121"/>
      <c r="W375" s="1121">
        <v>1.4</v>
      </c>
      <c r="X375" s="1121">
        <v>2.2999999999999998</v>
      </c>
      <c r="Y375" s="1121"/>
      <c r="Z375" s="1121"/>
      <c r="AA375" s="1121">
        <v>0.45</v>
      </c>
      <c r="AB375" s="1121"/>
      <c r="AC375" s="1121" t="s">
        <v>2963</v>
      </c>
      <c r="AD375" s="1121"/>
      <c r="AE375" s="1121"/>
      <c r="AF375" s="1121">
        <v>6000</v>
      </c>
      <c r="AG375" s="288">
        <v>20292.509999999998</v>
      </c>
      <c r="AH375" s="293">
        <v>2558</v>
      </c>
      <c r="AI375" s="508">
        <v>648</v>
      </c>
      <c r="AJ375" s="1121"/>
      <c r="AK375" s="1121"/>
      <c r="AL375" s="1121"/>
      <c r="AM375" s="1121" t="s">
        <v>1228</v>
      </c>
      <c r="AN375" s="315">
        <v>5.5</v>
      </c>
      <c r="AO375" s="315"/>
      <c r="AP375" s="315"/>
      <c r="AQ375" s="315"/>
      <c r="AR375" s="315"/>
      <c r="AS375" s="315"/>
      <c r="AT375" s="315">
        <f>+ab($T$375,$T$373,$T$377,$G$374,$G$376,-1*$F$375,1200)</f>
        <v>6.0821518693859433</v>
      </c>
      <c r="AU375" s="315"/>
      <c r="AV375" s="315"/>
      <c r="AW375" s="315" t="s">
        <v>2634</v>
      </c>
      <c r="AX375" s="315" t="s">
        <v>1639</v>
      </c>
      <c r="AY375" s="315">
        <v>3.4</v>
      </c>
      <c r="AZ375" s="315">
        <v>2.5</v>
      </c>
      <c r="BA375" s="315"/>
      <c r="BB375" s="306"/>
    </row>
    <row r="376" spans="1:54" ht="14.25">
      <c r="A376" s="340"/>
      <c r="B376" s="287"/>
      <c r="C376" s="288"/>
      <c r="D376" s="1121"/>
      <c r="E376" s="289"/>
      <c r="F376" s="289"/>
      <c r="G376" s="292">
        <v>53</v>
      </c>
      <c r="H376" s="291"/>
      <c r="I376" s="291" t="s">
        <v>2668</v>
      </c>
      <c r="J376" s="288">
        <f>C375+9.5</f>
        <v>20301.500000000004</v>
      </c>
      <c r="K376" s="1121" t="s">
        <v>658</v>
      </c>
      <c r="L376" s="1121"/>
      <c r="M376" s="1121"/>
      <c r="N376" s="291"/>
      <c r="O376" s="291"/>
      <c r="P376" s="1121"/>
      <c r="Q376" s="293"/>
      <c r="R376" s="1017"/>
      <c r="S376" s="1017">
        <v>53.159999999999854</v>
      </c>
      <c r="T376" s="1121"/>
      <c r="U376" s="1121"/>
      <c r="V376" s="1121"/>
      <c r="W376" s="1121"/>
      <c r="X376" s="1121"/>
      <c r="Y376" s="1121"/>
      <c r="Z376" s="1121"/>
      <c r="AA376" s="1121"/>
      <c r="AB376" s="1121"/>
      <c r="AC376" s="1121"/>
      <c r="AD376" s="1121"/>
      <c r="AE376" s="1121"/>
      <c r="AF376" s="1121"/>
      <c r="AG376" s="288"/>
      <c r="AH376" s="293" t="s">
        <v>695</v>
      </c>
      <c r="AI376" s="508" t="s">
        <v>695</v>
      </c>
      <c r="AJ376" s="1121"/>
      <c r="AK376" s="1121"/>
      <c r="AL376" s="1121"/>
      <c r="AM376" s="1121"/>
      <c r="AN376" s="315"/>
      <c r="AO376" s="315"/>
      <c r="AP376" s="315"/>
      <c r="AQ376" s="315">
        <f>+FL_1($T$377,$T$375,$G$376,1200,9.28,-1*$F$377)</f>
        <v>0.37431869593379663</v>
      </c>
      <c r="AR376" s="315"/>
      <c r="AS376" s="315"/>
      <c r="AT376" s="315"/>
      <c r="AU376" s="315"/>
      <c r="AV376" s="315"/>
      <c r="AW376" s="315" t="s">
        <v>2634</v>
      </c>
      <c r="AX376" s="315" t="s">
        <v>1639</v>
      </c>
      <c r="AY376" s="315"/>
      <c r="AZ376" s="315">
        <v>2.5</v>
      </c>
      <c r="BA376" s="315"/>
      <c r="BB376" s="306"/>
    </row>
    <row r="377" spans="1:54" ht="14.25">
      <c r="A377" s="384" t="s">
        <v>2225</v>
      </c>
      <c r="B377" s="287" t="s">
        <v>2226</v>
      </c>
      <c r="C377" s="288">
        <f>+$C$375+$G$376</f>
        <v>20345.000000000004</v>
      </c>
      <c r="D377" s="1121"/>
      <c r="E377" s="289">
        <f>+$E$373*$F$373/F377</f>
        <v>-86.842105263155972</v>
      </c>
      <c r="F377" s="289">
        <f>(190*2000)/(C377-20510)</f>
        <v>-2303.0303030303539</v>
      </c>
      <c r="G377" s="292"/>
      <c r="H377" s="291" t="s">
        <v>138</v>
      </c>
      <c r="I377" s="294" t="s">
        <v>656</v>
      </c>
      <c r="J377" s="288"/>
      <c r="K377" s="1121"/>
      <c r="L377" s="1121" t="s">
        <v>1062</v>
      </c>
      <c r="M377" s="1121" t="s">
        <v>235</v>
      </c>
      <c r="N377" s="291" t="s">
        <v>145</v>
      </c>
      <c r="O377" s="291"/>
      <c r="P377" s="1121"/>
      <c r="Q377" s="293">
        <v>87</v>
      </c>
      <c r="R377" s="1017">
        <v>-2302.8000000000002</v>
      </c>
      <c r="S377" s="1017"/>
      <c r="T377" s="1121">
        <v>20</v>
      </c>
      <c r="U377" s="1121"/>
      <c r="V377" s="1121"/>
      <c r="W377" s="1121">
        <v>1.4</v>
      </c>
      <c r="X377" s="1121"/>
      <c r="Y377" s="1121"/>
      <c r="Z377" s="1121"/>
      <c r="AA377" s="1121"/>
      <c r="AB377" s="1121"/>
      <c r="AC377" s="1121" t="s">
        <v>1704</v>
      </c>
      <c r="AD377" s="1121"/>
      <c r="AE377" s="1121"/>
      <c r="AF377" s="1121">
        <v>6000</v>
      </c>
      <c r="AG377" s="288">
        <v>20345.669999999998</v>
      </c>
      <c r="AH377" s="293">
        <v>2512</v>
      </c>
      <c r="AI377" s="508">
        <v>676</v>
      </c>
      <c r="AJ377" s="1121"/>
      <c r="AK377" s="1121"/>
      <c r="AL377" s="1121"/>
      <c r="AM377" s="1121" t="s">
        <v>1228</v>
      </c>
      <c r="AN377" s="315">
        <v>5.5</v>
      </c>
      <c r="AO377" s="315"/>
      <c r="AP377" s="315"/>
      <c r="AQ377" s="315"/>
      <c r="AR377" s="315"/>
      <c r="AS377" s="315"/>
      <c r="AT377" s="315">
        <f>+ab($T$377,$T$375,$T$379,$G$376,$G$378,-1*$F$377,1200)</f>
        <v>8.4125613290835837</v>
      </c>
      <c r="AU377" s="315"/>
      <c r="AV377" s="315"/>
      <c r="AW377" s="315" t="s">
        <v>2634</v>
      </c>
      <c r="AX377" s="315" t="s">
        <v>1639</v>
      </c>
      <c r="AY377" s="315">
        <v>3.4</v>
      </c>
      <c r="AZ377" s="315"/>
      <c r="BA377" s="315"/>
      <c r="BB377" s="306"/>
    </row>
    <row r="378" spans="1:54" ht="14.25">
      <c r="A378" s="340"/>
      <c r="B378" s="287"/>
      <c r="C378" s="288"/>
      <c r="D378" s="1121"/>
      <c r="E378" s="289"/>
      <c r="F378" s="289"/>
      <c r="G378" s="292">
        <v>60</v>
      </c>
      <c r="H378" s="291"/>
      <c r="I378" s="291"/>
      <c r="J378" s="288">
        <f>C377+7.5</f>
        <v>20352.500000000004</v>
      </c>
      <c r="K378" s="1121" t="s">
        <v>653</v>
      </c>
      <c r="L378" s="1121"/>
      <c r="M378" s="1121"/>
      <c r="N378" s="291"/>
      <c r="O378" s="291"/>
      <c r="P378" s="1121"/>
      <c r="Q378" s="1121"/>
      <c r="R378" s="292"/>
      <c r="S378" s="292">
        <v>59.640000000003056</v>
      </c>
      <c r="T378" s="1121"/>
      <c r="U378" s="1121"/>
      <c r="V378" s="1121"/>
      <c r="W378" s="1121"/>
      <c r="X378" s="1121"/>
      <c r="Y378" s="1121"/>
      <c r="Z378" s="1121"/>
      <c r="AA378" s="1121"/>
      <c r="AB378" s="1121"/>
      <c r="AC378" s="1121"/>
      <c r="AD378" s="1121"/>
      <c r="AE378" s="1121"/>
      <c r="AF378" s="1121"/>
      <c r="AG378" s="288"/>
      <c r="AH378" s="1121" t="s">
        <v>695</v>
      </c>
      <c r="AI378" s="289" t="s">
        <v>695</v>
      </c>
      <c r="AJ378" s="1121"/>
      <c r="AK378" s="1121"/>
      <c r="AL378" s="1121"/>
      <c r="AM378" s="1121"/>
      <c r="AN378" s="315"/>
      <c r="AO378" s="315"/>
      <c r="AP378" s="315"/>
      <c r="AQ378" s="315">
        <f>+FL_1($T$379,$T$377,$G$378,1200,9.28,-1*$F$379)</f>
        <v>0.42365575860980975</v>
      </c>
      <c r="AR378" s="315"/>
      <c r="AS378" s="315"/>
      <c r="AT378" s="315"/>
      <c r="AU378" s="315"/>
      <c r="AV378" s="315"/>
      <c r="AW378" s="315" t="s">
        <v>2634</v>
      </c>
      <c r="AX378" s="315" t="s">
        <v>1639</v>
      </c>
      <c r="AY378" s="315"/>
      <c r="AZ378" s="315">
        <v>2.5</v>
      </c>
      <c r="BA378" s="315"/>
      <c r="BB378" s="306"/>
    </row>
    <row r="379" spans="1:54" ht="14.25">
      <c r="A379" s="340"/>
      <c r="B379" s="287" t="s">
        <v>2227</v>
      </c>
      <c r="C379" s="288">
        <f>+$C$377+$G$378</f>
        <v>20405.000000000004</v>
      </c>
      <c r="D379" s="1121"/>
      <c r="E379" s="289">
        <f>+$E$373*$F$373/F379</f>
        <v>-55.263157894734931</v>
      </c>
      <c r="F379" s="289">
        <f>(190*2000)/(C379-20510)</f>
        <v>-3619.0476190477443</v>
      </c>
      <c r="G379" s="292"/>
      <c r="H379" s="291"/>
      <c r="I379" s="291"/>
      <c r="J379" s="288"/>
      <c r="K379" s="1121"/>
      <c r="L379" s="1121"/>
      <c r="M379" s="1121"/>
      <c r="N379" s="291" t="s">
        <v>917</v>
      </c>
      <c r="O379" s="291"/>
      <c r="P379" s="1121"/>
      <c r="Q379" s="1121">
        <v>55</v>
      </c>
      <c r="R379" s="292">
        <v>-3619.0476190477443</v>
      </c>
      <c r="S379" s="292"/>
      <c r="T379" s="1121">
        <v>20</v>
      </c>
      <c r="U379" s="1121"/>
      <c r="V379" s="1121"/>
      <c r="W379" s="1121">
        <v>1.4</v>
      </c>
      <c r="X379" s="1121"/>
      <c r="Y379" s="1121"/>
      <c r="Z379" s="1121"/>
      <c r="AA379" s="1121"/>
      <c r="AB379" s="1121"/>
      <c r="AC379" s="1121" t="s">
        <v>2963</v>
      </c>
      <c r="AD379" s="1121"/>
      <c r="AE379" s="1121"/>
      <c r="AF379" s="1121">
        <v>200</v>
      </c>
      <c r="AG379" s="288">
        <v>20405.310000000001</v>
      </c>
      <c r="AH379" s="1121">
        <v>1782</v>
      </c>
      <c r="AI379" s="289">
        <v>-5300</v>
      </c>
      <c r="AJ379" s="1121"/>
      <c r="AK379" s="1121" t="s">
        <v>139</v>
      </c>
      <c r="AL379" s="1121"/>
      <c r="AM379" s="1121"/>
      <c r="AN379" s="315">
        <v>5.5</v>
      </c>
      <c r="AO379" s="315"/>
      <c r="AP379" s="315"/>
      <c r="AQ379" s="315"/>
      <c r="AR379" s="315"/>
      <c r="AS379" s="315"/>
      <c r="AT379" s="315">
        <f>+ab($T$379,$T$377,$T$381,$G$378,$G$380,-1*$F$379,1200)</f>
        <v>7.5712048931594511</v>
      </c>
      <c r="AU379" s="315"/>
      <c r="AV379" s="315"/>
      <c r="AW379" s="315" t="s">
        <v>699</v>
      </c>
      <c r="AX379" s="315" t="s">
        <v>699</v>
      </c>
      <c r="AY379" s="315" t="s">
        <v>699</v>
      </c>
      <c r="AZ379" s="315" t="s">
        <v>699</v>
      </c>
      <c r="BA379" s="315"/>
      <c r="BB379" s="306"/>
    </row>
    <row r="380" spans="1:54" ht="14.25">
      <c r="A380" s="340"/>
      <c r="B380" s="287"/>
      <c r="C380" s="288"/>
      <c r="D380" s="1121"/>
      <c r="E380" s="289"/>
      <c r="F380" s="289"/>
      <c r="G380" s="292">
        <v>50</v>
      </c>
      <c r="H380" s="291"/>
      <c r="I380" s="291"/>
      <c r="J380" s="288"/>
      <c r="K380" s="1121"/>
      <c r="L380" s="1121"/>
      <c r="M380" s="1121"/>
      <c r="N380" s="291"/>
      <c r="O380" s="291"/>
      <c r="P380" s="1121"/>
      <c r="Q380" s="1121"/>
      <c r="R380" s="292"/>
      <c r="S380" s="292">
        <v>50.159999999999854</v>
      </c>
      <c r="T380" s="1121"/>
      <c r="U380" s="1121"/>
      <c r="V380" s="1121"/>
      <c r="W380" s="1121"/>
      <c r="X380" s="1121"/>
      <c r="Y380" s="1121"/>
      <c r="Z380" s="1121"/>
      <c r="AA380" s="1121"/>
      <c r="AB380" s="1121"/>
      <c r="AC380" s="1121"/>
      <c r="AD380" s="1121"/>
      <c r="AE380" s="1121"/>
      <c r="AF380" s="1121"/>
      <c r="AG380" s="288"/>
      <c r="AH380" s="1121" t="s">
        <v>695</v>
      </c>
      <c r="AI380" s="289" t="s">
        <v>695</v>
      </c>
      <c r="AJ380" s="1121"/>
      <c r="AK380" s="1121"/>
      <c r="AL380" s="1121"/>
      <c r="AM380" s="1121"/>
      <c r="AN380" s="315"/>
      <c r="AO380" s="315"/>
      <c r="AP380" s="315"/>
      <c r="AQ380" s="315">
        <f>+FL_2($T$381,$T$379,$G$380,1200,9.28,-1*$F$381)</f>
        <v>-0.39135909199438979</v>
      </c>
      <c r="AR380" s="315"/>
      <c r="AS380" s="315"/>
      <c r="AT380" s="315"/>
      <c r="AU380" s="315"/>
      <c r="AV380" s="315"/>
      <c r="AW380" s="315"/>
      <c r="AX380" s="315"/>
      <c r="AY380" s="315"/>
      <c r="AZ380" s="315"/>
      <c r="BA380" s="315"/>
      <c r="BB380" s="306"/>
    </row>
    <row r="381" spans="1:54" ht="14.25">
      <c r="A381" s="340"/>
      <c r="B381" s="287" t="s">
        <v>2228</v>
      </c>
      <c r="C381" s="288">
        <f>+$C$379+$G$380</f>
        <v>20455.000000000004</v>
      </c>
      <c r="D381" s="1121"/>
      <c r="E381" s="289">
        <f>+$E$373*$F$373/F381</f>
        <v>-28.947368421050715</v>
      </c>
      <c r="F381" s="289">
        <f t="shared" ref="F381" si="97">(190*2000)/(C381-20510)</f>
        <v>-6909.0909090913665</v>
      </c>
      <c r="G381" s="292"/>
      <c r="H381" s="291"/>
      <c r="I381" s="291"/>
      <c r="J381" s="288"/>
      <c r="K381" s="1121"/>
      <c r="L381" s="1121"/>
      <c r="M381" s="1121"/>
      <c r="N381" s="291" t="s">
        <v>916</v>
      </c>
      <c r="O381" s="291"/>
      <c r="P381" s="1121"/>
      <c r="Q381" s="1121">
        <v>29</v>
      </c>
      <c r="R381" s="292">
        <v>-6909.0909090913665</v>
      </c>
      <c r="S381" s="292"/>
      <c r="T381" s="1121">
        <v>-30</v>
      </c>
      <c r="U381" s="1121"/>
      <c r="V381" s="1121"/>
      <c r="W381" s="1121">
        <v>1.4</v>
      </c>
      <c r="X381" s="1121"/>
      <c r="Y381" s="1121"/>
      <c r="Z381" s="1121"/>
      <c r="AA381" s="1121"/>
      <c r="AB381" s="1121"/>
      <c r="AC381" s="1121" t="s">
        <v>1704</v>
      </c>
      <c r="AD381" s="1121"/>
      <c r="AE381" s="1121"/>
      <c r="AF381" s="1121">
        <v>200</v>
      </c>
      <c r="AG381" s="288">
        <v>20455.47</v>
      </c>
      <c r="AH381" s="1121">
        <v>1782</v>
      </c>
      <c r="AI381" s="289">
        <v>-5300</v>
      </c>
      <c r="AJ381" s="1121"/>
      <c r="AK381" s="1121" t="s">
        <v>139</v>
      </c>
      <c r="AL381" s="1121"/>
      <c r="AM381" s="1121"/>
      <c r="AN381" s="315">
        <v>5.5</v>
      </c>
      <c r="AO381" s="315"/>
      <c r="AP381" s="315"/>
      <c r="AQ381" s="315"/>
      <c r="AR381" s="315"/>
      <c r="AS381" s="315"/>
      <c r="AT381" s="315">
        <f>+ab($T$381,$T$379,$T$383,$G$380,$G$382,-1*$F$381,1200)</f>
        <v>-11.26780783844519</v>
      </c>
      <c r="AU381" s="315"/>
      <c r="AV381" s="315"/>
      <c r="AW381" s="315" t="s">
        <v>699</v>
      </c>
      <c r="AX381" s="315" t="s">
        <v>699</v>
      </c>
      <c r="AY381" s="315" t="s">
        <v>699</v>
      </c>
      <c r="AZ381" s="315" t="s">
        <v>699</v>
      </c>
      <c r="BA381" s="315"/>
      <c r="BB381" s="306"/>
    </row>
    <row r="382" spans="1:54" ht="14.25">
      <c r="A382" s="340"/>
      <c r="B382" s="287"/>
      <c r="C382" s="288"/>
      <c r="D382" s="1121"/>
      <c r="E382" s="289"/>
      <c r="F382" s="289"/>
      <c r="G382" s="292">
        <v>47</v>
      </c>
      <c r="H382" s="291"/>
      <c r="I382" s="291"/>
      <c r="J382" s="288"/>
      <c r="K382" s="1121"/>
      <c r="L382" s="1121"/>
      <c r="M382" s="1121"/>
      <c r="N382" s="291"/>
      <c r="O382" s="291"/>
      <c r="P382" s="1121"/>
      <c r="Q382" s="1121"/>
      <c r="R382" s="292"/>
      <c r="S382" s="292">
        <v>46.959999999999127</v>
      </c>
      <c r="T382" s="1121"/>
      <c r="U382" s="1121"/>
      <c r="V382" s="1121"/>
      <c r="W382" s="1121"/>
      <c r="X382" s="1121"/>
      <c r="Y382" s="1121"/>
      <c r="Z382" s="1121"/>
      <c r="AA382" s="1121"/>
      <c r="AB382" s="1121"/>
      <c r="AC382" s="1121"/>
      <c r="AD382" s="1121"/>
      <c r="AE382" s="1121"/>
      <c r="AF382" s="1121"/>
      <c r="AG382" s="288"/>
      <c r="AH382" s="1121" t="s">
        <v>695</v>
      </c>
      <c r="AI382" s="289" t="s">
        <v>695</v>
      </c>
      <c r="AJ382" s="1121"/>
      <c r="AK382" s="1121"/>
      <c r="AL382" s="1121"/>
      <c r="AM382" s="1121"/>
      <c r="AN382" s="315"/>
      <c r="AO382" s="315"/>
      <c r="AP382" s="315"/>
      <c r="AQ382" s="315">
        <f>+FL_1($T$383,$T$381,$G$382,1200,9.28,-1*$F$383)</f>
        <v>0.35984560972658475</v>
      </c>
      <c r="AR382" s="315"/>
      <c r="AS382" s="315"/>
      <c r="AT382" s="315"/>
      <c r="AU382" s="315"/>
      <c r="AV382" s="315"/>
      <c r="AW382" s="315"/>
      <c r="AX382" s="315"/>
      <c r="AY382" s="315"/>
      <c r="AZ382" s="315"/>
      <c r="BA382" s="315"/>
      <c r="BB382" s="306"/>
    </row>
    <row r="383" spans="1:54" ht="14.25">
      <c r="A383" s="340"/>
      <c r="B383" s="287" t="s">
        <v>3157</v>
      </c>
      <c r="C383" s="288">
        <f>+$C$381+$G$382</f>
        <v>20502.000000000004</v>
      </c>
      <c r="D383" s="1121"/>
      <c r="E383" s="289">
        <v>0</v>
      </c>
      <c r="F383" s="289">
        <f t="shared" ref="F383" si="98">(190*2000)/(C383-20510)</f>
        <v>-47500.000000021602</v>
      </c>
      <c r="G383" s="292"/>
      <c r="H383" s="291"/>
      <c r="I383" s="291"/>
      <c r="J383" s="288"/>
      <c r="K383" s="1121"/>
      <c r="L383" s="1121"/>
      <c r="M383" s="1121"/>
      <c r="N383" s="291" t="s">
        <v>917</v>
      </c>
      <c r="O383" s="291"/>
      <c r="P383" s="1121"/>
      <c r="Q383" s="1121">
        <v>0</v>
      </c>
      <c r="R383" s="292">
        <v>-47500.000000021602</v>
      </c>
      <c r="S383" s="292"/>
      <c r="T383" s="1121">
        <v>35</v>
      </c>
      <c r="U383" s="1121"/>
      <c r="V383" s="1121"/>
      <c r="W383" s="1121">
        <v>1.4</v>
      </c>
      <c r="X383" s="1121"/>
      <c r="Y383" s="1121"/>
      <c r="Z383" s="1121"/>
      <c r="AA383" s="1121"/>
      <c r="AB383" s="1121"/>
      <c r="AC383" s="1121" t="s">
        <v>2963</v>
      </c>
      <c r="AD383" s="1121"/>
      <c r="AE383" s="1121"/>
      <c r="AF383" s="1121">
        <v>200</v>
      </c>
      <c r="AG383" s="288">
        <v>20502.43</v>
      </c>
      <c r="AH383" s="1121">
        <v>1582</v>
      </c>
      <c r="AI383" s="289">
        <v>-5300</v>
      </c>
      <c r="AJ383" s="1121"/>
      <c r="AK383" s="1121" t="s">
        <v>139</v>
      </c>
      <c r="AL383" s="1121"/>
      <c r="AM383" s="1121"/>
      <c r="AN383" s="315">
        <v>5.5</v>
      </c>
      <c r="AO383" s="315"/>
      <c r="AP383" s="315"/>
      <c r="AQ383" s="315"/>
      <c r="AR383" s="315"/>
      <c r="AS383" s="315"/>
      <c r="AT383" s="315">
        <f>+ab($T$383,$T$381,$T$385,$G$382,$G$384,-1*$F$383,1200)</f>
        <v>7.0182097185548322</v>
      </c>
      <c r="AU383" s="315"/>
      <c r="AV383" s="315"/>
      <c r="AW383" s="315" t="s">
        <v>699</v>
      </c>
      <c r="AX383" s="315" t="s">
        <v>699</v>
      </c>
      <c r="AY383" s="315" t="s">
        <v>699</v>
      </c>
      <c r="AZ383" s="315" t="s">
        <v>699</v>
      </c>
      <c r="BA383" s="315"/>
      <c r="BB383" s="306"/>
    </row>
    <row r="384" spans="1:54" ht="14.25">
      <c r="A384" s="340"/>
      <c r="B384" s="287"/>
      <c r="C384" s="288"/>
      <c r="D384" s="1121"/>
      <c r="E384" s="1121"/>
      <c r="F384" s="289"/>
      <c r="G384" s="292">
        <v>57</v>
      </c>
      <c r="H384" s="291"/>
      <c r="I384" s="294"/>
      <c r="J384" s="288"/>
      <c r="K384" s="1121"/>
      <c r="L384" s="1121"/>
      <c r="M384" s="1121"/>
      <c r="N384" s="291"/>
      <c r="O384" s="291"/>
      <c r="P384" s="1121"/>
      <c r="Q384" s="1121"/>
      <c r="R384" s="292"/>
      <c r="S384" s="292">
        <v>56.959999999999127</v>
      </c>
      <c r="T384" s="1121"/>
      <c r="U384" s="1121"/>
      <c r="V384" s="1121"/>
      <c r="W384" s="1121"/>
      <c r="X384" s="1121"/>
      <c r="Y384" s="1121"/>
      <c r="Z384" s="1121"/>
      <c r="AA384" s="1121"/>
      <c r="AB384" s="1121"/>
      <c r="AC384" s="1121"/>
      <c r="AD384" s="1121"/>
      <c r="AE384" s="1121"/>
      <c r="AF384" s="1121"/>
      <c r="AG384" s="288"/>
      <c r="AH384" s="1121" t="s">
        <v>695</v>
      </c>
      <c r="AI384" s="289" t="s">
        <v>695</v>
      </c>
      <c r="AJ384" s="1121"/>
      <c r="AK384" s="1121"/>
      <c r="AL384" s="1121"/>
      <c r="AM384" s="1121"/>
      <c r="AN384" s="315"/>
      <c r="AO384" s="315"/>
      <c r="AP384" s="315"/>
      <c r="AQ384" s="315">
        <f>+FL_1($T$385,$T$383,$G$384,1200,9.28,-1*$F$385)</f>
        <v>0.41158010919298232</v>
      </c>
      <c r="AR384" s="315"/>
      <c r="AS384" s="315"/>
      <c r="AT384" s="315"/>
      <c r="AU384" s="315"/>
      <c r="AV384" s="315"/>
      <c r="AW384" s="315"/>
      <c r="AX384" s="315"/>
      <c r="AY384" s="315"/>
      <c r="AZ384" s="315"/>
      <c r="BA384" s="315"/>
      <c r="BB384" s="306"/>
    </row>
    <row r="385" spans="1:57" ht="14.25">
      <c r="A385" s="340"/>
      <c r="B385" s="287" t="s">
        <v>3158</v>
      </c>
      <c r="C385" s="288">
        <f>+$C$383+$G$384</f>
        <v>20559.000000000004</v>
      </c>
      <c r="D385" s="1121"/>
      <c r="E385" s="1121"/>
      <c r="F385" s="289">
        <v>0</v>
      </c>
      <c r="G385" s="292"/>
      <c r="H385" s="291"/>
      <c r="I385" s="291"/>
      <c r="J385" s="288"/>
      <c r="K385" s="1121"/>
      <c r="L385" s="1121"/>
      <c r="M385" s="1121"/>
      <c r="N385" s="291" t="s">
        <v>916</v>
      </c>
      <c r="O385" s="291"/>
      <c r="P385" s="1121"/>
      <c r="Q385" s="1121">
        <v>0</v>
      </c>
      <c r="R385" s="289">
        <v>0</v>
      </c>
      <c r="S385" s="292"/>
      <c r="T385" s="1121">
        <v>-35</v>
      </c>
      <c r="U385" s="1121"/>
      <c r="V385" s="1121"/>
      <c r="W385" s="1121">
        <v>1.4</v>
      </c>
      <c r="X385" s="1121"/>
      <c r="Y385" s="1121"/>
      <c r="Z385" s="1121"/>
      <c r="AA385" s="1121"/>
      <c r="AB385" s="1121"/>
      <c r="AC385" s="1121" t="s">
        <v>2963</v>
      </c>
      <c r="AD385" s="1121"/>
      <c r="AE385" s="1121"/>
      <c r="AF385" s="1121">
        <v>200</v>
      </c>
      <c r="AG385" s="288">
        <v>20559.39</v>
      </c>
      <c r="AH385" s="1121">
        <v>2013</v>
      </c>
      <c r="AI385" s="289">
        <v>-5300</v>
      </c>
      <c r="AJ385" s="1121"/>
      <c r="AK385" s="1121" t="s">
        <v>139</v>
      </c>
      <c r="AL385" s="1121"/>
      <c r="AM385" s="1121"/>
      <c r="AN385" s="315">
        <v>5.5</v>
      </c>
      <c r="AO385" s="315"/>
      <c r="AP385" s="315"/>
      <c r="AQ385" s="315"/>
      <c r="AR385" s="315"/>
      <c r="AS385" s="315"/>
      <c r="AT385" s="315">
        <f>+ab($T$385,$T$383,$T$387,$G$384,$G$386,-1*$F$385,1200)</f>
        <v>-7.6970119667141104</v>
      </c>
      <c r="AU385" s="315"/>
      <c r="AV385" s="315"/>
      <c r="AW385" s="315" t="s">
        <v>699</v>
      </c>
      <c r="AX385" s="315" t="s">
        <v>699</v>
      </c>
      <c r="AY385" s="315" t="s">
        <v>699</v>
      </c>
      <c r="AZ385" s="315" t="s">
        <v>699</v>
      </c>
      <c r="BA385" s="315"/>
      <c r="BB385" s="306"/>
    </row>
    <row r="386" spans="1:57" ht="14.25">
      <c r="A386" s="340"/>
      <c r="B386" s="287"/>
      <c r="C386" s="288"/>
      <c r="D386" s="1121"/>
      <c r="E386" s="1121"/>
      <c r="F386" s="289"/>
      <c r="G386" s="292">
        <v>56</v>
      </c>
      <c r="H386" s="291"/>
      <c r="I386" s="294">
        <f>SUM(G372:G386)</f>
        <v>429</v>
      </c>
      <c r="J386" s="288"/>
      <c r="K386" s="1121"/>
      <c r="L386" s="1121"/>
      <c r="M386" s="1121"/>
      <c r="N386" s="291"/>
      <c r="O386" s="291"/>
      <c r="P386" s="1121"/>
      <c r="Q386" s="1121"/>
      <c r="R386" s="292"/>
      <c r="S386" s="292">
        <v>55.970000000001164</v>
      </c>
      <c r="T386" s="1121"/>
      <c r="U386" s="1121"/>
      <c r="V386" s="1121"/>
      <c r="W386" s="1121"/>
      <c r="X386" s="1121"/>
      <c r="Y386" s="1121"/>
      <c r="Z386" s="1121"/>
      <c r="AA386" s="1121"/>
      <c r="AB386" s="1121"/>
      <c r="AC386" s="1121"/>
      <c r="AD386" s="1121"/>
      <c r="AE386" s="1121"/>
      <c r="AF386" s="1121"/>
      <c r="AG386" s="288"/>
      <c r="AH386" s="1121" t="s">
        <v>695</v>
      </c>
      <c r="AI386" s="289" t="s">
        <v>695</v>
      </c>
      <c r="AJ386" s="1121"/>
      <c r="AK386" s="1121"/>
      <c r="AL386" s="1121"/>
      <c r="AM386" s="1121"/>
      <c r="AN386" s="315"/>
      <c r="AO386" s="315"/>
      <c r="AP386" s="315"/>
      <c r="AQ386" s="315">
        <f>+FL_1($T$387,$T$385,$G$386,1200,9.28,-1*$F$387)</f>
        <v>0.404170368</v>
      </c>
      <c r="AR386" s="315"/>
      <c r="AS386" s="315"/>
      <c r="AT386" s="315"/>
      <c r="AU386" s="315"/>
      <c r="AV386" s="315"/>
      <c r="AW386" s="315"/>
      <c r="AX386" s="315"/>
      <c r="AY386" s="315"/>
      <c r="AZ386" s="315"/>
      <c r="BA386" s="315"/>
      <c r="BB386" s="306"/>
    </row>
    <row r="387" spans="1:57" ht="14.25">
      <c r="A387" s="340"/>
      <c r="B387" s="287" t="s">
        <v>3159</v>
      </c>
      <c r="C387" s="288">
        <f>+$C$385+$G$386</f>
        <v>20615.000000000004</v>
      </c>
      <c r="D387" s="1121"/>
      <c r="E387" s="1121"/>
      <c r="F387" s="289">
        <v>0</v>
      </c>
      <c r="G387" s="292"/>
      <c r="H387" s="1121" t="s">
        <v>955</v>
      </c>
      <c r="I387" s="291"/>
      <c r="J387" s="288"/>
      <c r="K387" s="1121"/>
      <c r="L387" s="1121"/>
      <c r="M387" s="1121"/>
      <c r="N387" s="291" t="s">
        <v>917</v>
      </c>
      <c r="O387" s="291"/>
      <c r="P387" s="1121"/>
      <c r="Q387" s="1121">
        <v>0</v>
      </c>
      <c r="R387" s="289">
        <v>0</v>
      </c>
      <c r="S387" s="292"/>
      <c r="T387" s="1121">
        <v>35</v>
      </c>
      <c r="U387" s="1121"/>
      <c r="V387" s="1121"/>
      <c r="W387" s="1121">
        <v>1.4</v>
      </c>
      <c r="X387" s="1121"/>
      <c r="Y387" s="1121"/>
      <c r="Z387" s="1121"/>
      <c r="AA387" s="1121"/>
      <c r="AB387" s="1121"/>
      <c r="AC387" s="1121" t="s">
        <v>2963</v>
      </c>
      <c r="AD387" s="1121"/>
      <c r="AE387" s="1121"/>
      <c r="AF387" s="1121">
        <v>200</v>
      </c>
      <c r="AG387" s="288">
        <v>20615.36</v>
      </c>
      <c r="AH387" s="1121">
        <v>1713</v>
      </c>
      <c r="AI387" s="289">
        <v>-5300</v>
      </c>
      <c r="AJ387" s="1121"/>
      <c r="AK387" s="1121" t="s">
        <v>139</v>
      </c>
      <c r="AL387" s="1121"/>
      <c r="AM387" s="1121"/>
      <c r="AN387" s="315">
        <v>5.5</v>
      </c>
      <c r="AO387" s="315"/>
      <c r="AP387" s="315"/>
      <c r="AQ387" s="315"/>
      <c r="AR387" s="315"/>
      <c r="AS387" s="315"/>
      <c r="AT387" s="315">
        <f>+ab($T$387,$T$385,$T$389,$G$386,$G$388,-1*$F$387,1200)</f>
        <v>7.6302591600218337</v>
      </c>
      <c r="AU387" s="315"/>
      <c r="AV387" s="315"/>
      <c r="AW387" s="315" t="s">
        <v>699</v>
      </c>
      <c r="AX387" s="315" t="s">
        <v>699</v>
      </c>
      <c r="AY387" s="315" t="s">
        <v>699</v>
      </c>
      <c r="AZ387" s="315" t="s">
        <v>699</v>
      </c>
      <c r="BA387" s="315"/>
      <c r="BB387" s="306"/>
      <c r="BE387" s="362"/>
    </row>
    <row r="388" spans="1:57" ht="14.25">
      <c r="A388" s="340"/>
      <c r="B388" s="287"/>
      <c r="C388" s="288"/>
      <c r="D388" s="1121"/>
      <c r="E388" s="1121"/>
      <c r="F388" s="289"/>
      <c r="G388" s="292">
        <v>56</v>
      </c>
      <c r="H388" s="291"/>
      <c r="I388" s="294">
        <f>SUM(G388:G401)+32</f>
        <v>422</v>
      </c>
      <c r="J388" s="288"/>
      <c r="K388" s="1121"/>
      <c r="L388" s="1121"/>
      <c r="M388" s="1121"/>
      <c r="N388" s="291"/>
      <c r="O388" s="291"/>
      <c r="P388" s="1121"/>
      <c r="Q388" s="1121"/>
      <c r="R388" s="292"/>
      <c r="S388" s="292">
        <v>56.090000000000146</v>
      </c>
      <c r="T388" s="1121"/>
      <c r="U388" s="1121"/>
      <c r="V388" s="1121"/>
      <c r="W388" s="1121"/>
      <c r="X388" s="1121"/>
      <c r="Y388" s="1121"/>
      <c r="Z388" s="1121"/>
      <c r="AA388" s="1121"/>
      <c r="AB388" s="1121"/>
      <c r="AC388" s="1121"/>
      <c r="AD388" s="1121"/>
      <c r="AE388" s="1121"/>
      <c r="AF388" s="1121"/>
      <c r="AG388" s="288"/>
      <c r="AH388" s="1121" t="s">
        <v>695</v>
      </c>
      <c r="AI388" s="289" t="s">
        <v>695</v>
      </c>
      <c r="AJ388" s="1121"/>
      <c r="AK388" s="1121"/>
      <c r="AL388" s="1121"/>
      <c r="AM388" s="1121"/>
      <c r="AN388" s="315"/>
      <c r="AO388" s="315"/>
      <c r="AP388" s="315"/>
      <c r="AQ388" s="315">
        <f>+FL_1($T$389,$T$387,$G$388,1200,9.28,-1*$F$389)</f>
        <v>0.40417036800000006</v>
      </c>
      <c r="AR388" s="315"/>
      <c r="AS388" s="315"/>
      <c r="AT388" s="315"/>
      <c r="AU388" s="315"/>
      <c r="AV388" s="315"/>
      <c r="AW388" s="315"/>
      <c r="AX388" s="315"/>
      <c r="AY388" s="315"/>
      <c r="AZ388" s="315"/>
      <c r="BA388" s="315"/>
      <c r="BB388" s="306"/>
    </row>
    <row r="389" spans="1:57" ht="14.25">
      <c r="A389" s="340"/>
      <c r="B389" s="1036" t="s">
        <v>3160</v>
      </c>
      <c r="C389" s="288">
        <f>+$C$387+$G$388</f>
        <v>20671.000000000004</v>
      </c>
      <c r="D389" s="1121"/>
      <c r="E389" s="1121"/>
      <c r="F389" s="289">
        <v>0</v>
      </c>
      <c r="G389" s="292"/>
      <c r="H389" s="291"/>
      <c r="I389" s="294"/>
      <c r="J389" s="288"/>
      <c r="K389" s="1121"/>
      <c r="L389" s="1121"/>
      <c r="M389" s="1121"/>
      <c r="N389" s="291" t="s">
        <v>916</v>
      </c>
      <c r="O389" s="291"/>
      <c r="P389" s="1121"/>
      <c r="Q389" s="1121">
        <v>0</v>
      </c>
      <c r="R389" s="289">
        <v>0</v>
      </c>
      <c r="S389" s="292"/>
      <c r="T389" s="1121">
        <v>-35</v>
      </c>
      <c r="U389" s="1121"/>
      <c r="V389" s="1121"/>
      <c r="W389" s="1121">
        <v>1.4</v>
      </c>
      <c r="X389" s="1121"/>
      <c r="Y389" s="1121"/>
      <c r="Z389" s="1121"/>
      <c r="AA389" s="1121"/>
      <c r="AB389" s="1121"/>
      <c r="AC389" s="1121" t="s">
        <v>2963</v>
      </c>
      <c r="AD389" s="1121"/>
      <c r="AE389" s="1121"/>
      <c r="AF389" s="1121">
        <v>200</v>
      </c>
      <c r="AG389" s="288">
        <v>20671.45</v>
      </c>
      <c r="AH389" s="1121">
        <v>1863</v>
      </c>
      <c r="AI389" s="289">
        <v>-5300</v>
      </c>
      <c r="AJ389" s="1121"/>
      <c r="AK389" s="1121" t="s">
        <v>139</v>
      </c>
      <c r="AL389" s="1121"/>
      <c r="AM389" s="1121"/>
      <c r="AN389" s="315">
        <v>5.5</v>
      </c>
      <c r="AO389" s="315"/>
      <c r="AP389" s="315"/>
      <c r="AQ389" s="315"/>
      <c r="AR389" s="315"/>
      <c r="AS389" s="315"/>
      <c r="AT389" s="315">
        <f>+ab($T$389,$T$387,$T$391,$G$388,$G$390,-1*$F$389,1200)</f>
        <v>-7.6970119667141104</v>
      </c>
      <c r="AU389" s="315"/>
      <c r="AV389" s="315"/>
      <c r="AW389" s="315" t="s">
        <v>699</v>
      </c>
      <c r="AX389" s="315" t="s">
        <v>699</v>
      </c>
      <c r="AY389" s="315" t="s">
        <v>699</v>
      </c>
      <c r="AZ389" s="315" t="s">
        <v>699</v>
      </c>
      <c r="BA389" s="315"/>
      <c r="BB389" s="306"/>
    </row>
    <row r="390" spans="1:57" ht="14.25">
      <c r="A390" s="340"/>
      <c r="B390" s="287"/>
      <c r="C390" s="288"/>
      <c r="D390" s="1121"/>
      <c r="E390" s="1121"/>
      <c r="F390" s="289"/>
      <c r="G390" s="292">
        <v>57</v>
      </c>
      <c r="H390" s="291"/>
      <c r="I390" s="294"/>
      <c r="J390" s="288"/>
      <c r="K390" s="1121"/>
      <c r="L390" s="1121"/>
      <c r="M390" s="1121"/>
      <c r="N390" s="291"/>
      <c r="O390" s="291"/>
      <c r="P390" s="1121"/>
      <c r="Q390" s="1121"/>
      <c r="R390" s="292"/>
      <c r="S390" s="292">
        <v>57.090000000000146</v>
      </c>
      <c r="T390" s="1121"/>
      <c r="U390" s="1121"/>
      <c r="V390" s="1121"/>
      <c r="W390" s="1121"/>
      <c r="X390" s="1121"/>
      <c r="Y390" s="1121"/>
      <c r="Z390" s="1121"/>
      <c r="AA390" s="1121"/>
      <c r="AB390" s="1121"/>
      <c r="AC390" s="1121"/>
      <c r="AD390" s="1121"/>
      <c r="AE390" s="1121"/>
      <c r="AF390" s="1121"/>
      <c r="AG390" s="288"/>
      <c r="AH390" s="1121" t="s">
        <v>695</v>
      </c>
      <c r="AI390" s="289" t="s">
        <v>695</v>
      </c>
      <c r="AJ390" s="1121"/>
      <c r="AK390" s="1121"/>
      <c r="AL390" s="1121"/>
      <c r="AM390" s="1121"/>
      <c r="AN390" s="315"/>
      <c r="AO390" s="315"/>
      <c r="AP390" s="315"/>
      <c r="AQ390" s="315">
        <f>+FL_1($T$391,$T$389,$G$390,1200,9.28,-1*$F$391)</f>
        <v>0.41158010919298244</v>
      </c>
      <c r="AR390" s="315"/>
      <c r="AS390" s="315"/>
      <c r="AT390" s="315"/>
      <c r="AU390" s="315"/>
      <c r="AV390" s="315"/>
      <c r="AW390" s="315"/>
      <c r="AX390" s="315"/>
      <c r="AY390" s="315"/>
      <c r="AZ390" s="315"/>
      <c r="BA390" s="315"/>
      <c r="BB390" s="306"/>
    </row>
    <row r="391" spans="1:57" ht="14.25">
      <c r="A391" s="340"/>
      <c r="B391" s="1036" t="s">
        <v>3161</v>
      </c>
      <c r="C391" s="288">
        <f>+$C$389+$G$390</f>
        <v>20728.000000000004</v>
      </c>
      <c r="D391" s="1121"/>
      <c r="E391" s="1121"/>
      <c r="F391" s="289">
        <v>0</v>
      </c>
      <c r="G391" s="292"/>
      <c r="H391" s="1121"/>
      <c r="I391" s="289"/>
      <c r="J391" s="288"/>
      <c r="K391" s="1121"/>
      <c r="L391" s="1121"/>
      <c r="M391" s="1121"/>
      <c r="N391" s="291" t="s">
        <v>917</v>
      </c>
      <c r="O391" s="291"/>
      <c r="P391" s="1121"/>
      <c r="Q391" s="1121">
        <v>0</v>
      </c>
      <c r="R391" s="289">
        <v>0</v>
      </c>
      <c r="S391" s="292"/>
      <c r="T391" s="1121">
        <v>35</v>
      </c>
      <c r="U391" s="1121"/>
      <c r="V391" s="1121"/>
      <c r="W391" s="1121">
        <v>1.4</v>
      </c>
      <c r="X391" s="1121"/>
      <c r="Y391" s="1121"/>
      <c r="Z391" s="1121"/>
      <c r="AA391" s="1121"/>
      <c r="AB391" s="1121"/>
      <c r="AC391" s="1121" t="s">
        <v>2963</v>
      </c>
      <c r="AD391" s="1121"/>
      <c r="AE391" s="1121"/>
      <c r="AF391" s="1121">
        <v>200</v>
      </c>
      <c r="AG391" s="288">
        <v>20728.54</v>
      </c>
      <c r="AH391" s="1121">
        <v>1582</v>
      </c>
      <c r="AI391" s="289">
        <v>-5300</v>
      </c>
      <c r="AJ391" s="1121"/>
      <c r="AK391" s="1121" t="s">
        <v>139</v>
      </c>
      <c r="AL391" s="1121"/>
      <c r="AM391" s="1121"/>
      <c r="AN391" s="315">
        <v>5.5</v>
      </c>
      <c r="AO391" s="315"/>
      <c r="AP391" s="315"/>
      <c r="AQ391" s="315"/>
      <c r="AR391" s="315"/>
      <c r="AS391" s="315"/>
      <c r="AT391" s="315">
        <f>+ab($T$391,$T$389,$T$393,$G$390,$G$392,-1*$F$391,1200)</f>
        <v>7.6969772891706594</v>
      </c>
      <c r="AU391" s="315"/>
      <c r="AV391" s="315"/>
      <c r="AW391" s="315" t="s">
        <v>699</v>
      </c>
      <c r="AX391" s="315" t="s">
        <v>699</v>
      </c>
      <c r="AY391" s="315" t="s">
        <v>699</v>
      </c>
      <c r="AZ391" s="315" t="s">
        <v>699</v>
      </c>
      <c r="BA391" s="315"/>
      <c r="BB391" s="306"/>
    </row>
    <row r="392" spans="1:57" ht="14.25">
      <c r="A392" s="340"/>
      <c r="B392" s="287"/>
      <c r="C392" s="288"/>
      <c r="D392" s="1121"/>
      <c r="E392" s="1121"/>
      <c r="F392" s="289"/>
      <c r="G392" s="292">
        <v>56</v>
      </c>
      <c r="H392" s="1121"/>
      <c r="I392" s="385"/>
      <c r="J392" s="288"/>
      <c r="K392" s="1121"/>
      <c r="L392" s="1121"/>
      <c r="M392" s="1121"/>
      <c r="N392" s="291"/>
      <c r="O392" s="291"/>
      <c r="P392" s="1121"/>
      <c r="Q392" s="1121"/>
      <c r="R392" s="292"/>
      <c r="S392" s="292">
        <v>55.930000000000291</v>
      </c>
      <c r="T392" s="1121"/>
      <c r="U392" s="1121"/>
      <c r="V392" s="1121"/>
      <c r="W392" s="1121"/>
      <c r="X392" s="1121"/>
      <c r="Y392" s="1121"/>
      <c r="Z392" s="1121"/>
      <c r="AA392" s="1121"/>
      <c r="AB392" s="1121"/>
      <c r="AC392" s="1121"/>
      <c r="AD392" s="1121"/>
      <c r="AE392" s="1121"/>
      <c r="AF392" s="1121"/>
      <c r="AG392" s="288"/>
      <c r="AH392" s="1121" t="s">
        <v>695</v>
      </c>
      <c r="AI392" s="289" t="s">
        <v>695</v>
      </c>
      <c r="AJ392" s="1121"/>
      <c r="AK392" s="1121"/>
      <c r="AL392" s="1121"/>
      <c r="AM392" s="1121"/>
      <c r="AN392" s="315"/>
      <c r="AO392" s="315"/>
      <c r="AP392" s="315"/>
      <c r="AQ392" s="315">
        <f>+FL_1($T$393,$T$391,$G$392,1200,9.28,-1*$F$393)</f>
        <v>0.40417036800000006</v>
      </c>
      <c r="AR392" s="315"/>
      <c r="AS392" s="315"/>
      <c r="AT392" s="315"/>
      <c r="AU392" s="315"/>
      <c r="AV392" s="315"/>
      <c r="AW392" s="315"/>
      <c r="AX392" s="315"/>
      <c r="AY392" s="315"/>
      <c r="AZ392" s="315"/>
      <c r="BA392" s="315"/>
      <c r="BB392" s="306"/>
    </row>
    <row r="393" spans="1:57" ht="14.25">
      <c r="A393" s="340"/>
      <c r="B393" s="1036" t="s">
        <v>3162</v>
      </c>
      <c r="C393" s="288">
        <f>+$C$391+$G$392</f>
        <v>20784.000000000004</v>
      </c>
      <c r="D393" s="1121"/>
      <c r="E393" s="1121"/>
      <c r="F393" s="289">
        <v>0</v>
      </c>
      <c r="G393" s="292"/>
      <c r="H393" s="1121"/>
      <c r="I393" s="289"/>
      <c r="J393" s="288"/>
      <c r="K393" s="1121"/>
      <c r="L393" s="1121"/>
      <c r="M393" s="1121"/>
      <c r="N393" s="291" t="s">
        <v>916</v>
      </c>
      <c r="O393" s="291"/>
      <c r="P393" s="1121"/>
      <c r="Q393" s="1121">
        <v>0</v>
      </c>
      <c r="R393" s="289">
        <v>0</v>
      </c>
      <c r="S393" s="292"/>
      <c r="T393" s="1121">
        <v>-35</v>
      </c>
      <c r="U393" s="1121"/>
      <c r="V393" s="1121"/>
      <c r="W393" s="1121">
        <v>1.4</v>
      </c>
      <c r="X393" s="1121"/>
      <c r="Y393" s="1121"/>
      <c r="Z393" s="1121"/>
      <c r="AA393" s="1121"/>
      <c r="AB393" s="1121"/>
      <c r="AC393" s="1121" t="s">
        <v>2963</v>
      </c>
      <c r="AD393" s="1121"/>
      <c r="AE393" s="1121"/>
      <c r="AF393" s="1121">
        <v>200</v>
      </c>
      <c r="AG393" s="288">
        <v>20784.47</v>
      </c>
      <c r="AH393" s="1121">
        <v>1782</v>
      </c>
      <c r="AI393" s="289">
        <v>-5300</v>
      </c>
      <c r="AJ393" s="1121"/>
      <c r="AK393" s="1121" t="s">
        <v>139</v>
      </c>
      <c r="AL393" s="1121"/>
      <c r="AM393" s="1121"/>
      <c r="AN393" s="315">
        <v>5.5</v>
      </c>
      <c r="AO393" s="315"/>
      <c r="AP393" s="315"/>
      <c r="AQ393" s="315"/>
      <c r="AR393" s="315"/>
      <c r="AS393" s="315"/>
      <c r="AT393" s="315">
        <f>+ab($T$393,$T$391,$T$395,$G$392,$G$394,-1*$F$393,1200)</f>
        <v>-7.5623503934039924</v>
      </c>
      <c r="AU393" s="315"/>
      <c r="AV393" s="315"/>
      <c r="AW393" s="315" t="s">
        <v>699</v>
      </c>
      <c r="AX393" s="315" t="s">
        <v>699</v>
      </c>
      <c r="AY393" s="315" t="s">
        <v>699</v>
      </c>
      <c r="AZ393" s="315" t="s">
        <v>699</v>
      </c>
      <c r="BA393" s="315"/>
      <c r="BB393" s="306"/>
    </row>
    <row r="394" spans="1:57" ht="14.25">
      <c r="A394" s="340"/>
      <c r="B394" s="287"/>
      <c r="C394" s="288"/>
      <c r="D394" s="1121"/>
      <c r="E394" s="1121"/>
      <c r="F394" s="289"/>
      <c r="G394" s="292">
        <v>55</v>
      </c>
      <c r="H394" s="1121"/>
      <c r="I394" s="385"/>
      <c r="J394" s="288"/>
      <c r="K394" s="1121"/>
      <c r="L394" s="1121"/>
      <c r="M394" s="1121"/>
      <c r="N394" s="291"/>
      <c r="O394" s="291"/>
      <c r="P394" s="1121"/>
      <c r="Q394" s="1121"/>
      <c r="R394" s="292"/>
      <c r="S394" s="292">
        <v>55.590000000000146</v>
      </c>
      <c r="T394" s="1121"/>
      <c r="U394" s="1121"/>
      <c r="V394" s="1121"/>
      <c r="W394" s="1121"/>
      <c r="X394" s="1121"/>
      <c r="Y394" s="1121"/>
      <c r="Z394" s="1121"/>
      <c r="AA394" s="1121"/>
      <c r="AB394" s="1121"/>
      <c r="AC394" s="1121"/>
      <c r="AD394" s="1121"/>
      <c r="AE394" s="1121"/>
      <c r="AF394" s="1121"/>
      <c r="AG394" s="288"/>
      <c r="AH394" s="1121" t="s">
        <v>695</v>
      </c>
      <c r="AI394" s="289" t="s">
        <v>695</v>
      </c>
      <c r="AJ394" s="1121"/>
      <c r="AK394" s="1121"/>
      <c r="AL394" s="1121"/>
      <c r="AM394" s="1121"/>
      <c r="AN394" s="315"/>
      <c r="AO394" s="315"/>
      <c r="AP394" s="315"/>
      <c r="AQ394" s="315">
        <f>+FL_1($T$395,$T$393,$G$394,1200,9.28,-1*$F$395)</f>
        <v>0.39714735709090909</v>
      </c>
      <c r="AR394" s="315"/>
      <c r="AS394" s="315"/>
      <c r="AT394" s="315"/>
      <c r="AU394" s="315"/>
      <c r="AV394" s="315"/>
      <c r="AW394" s="315"/>
      <c r="AX394" s="315"/>
      <c r="AY394" s="315"/>
      <c r="AZ394" s="315"/>
      <c r="BA394" s="315"/>
      <c r="BB394" s="306"/>
    </row>
    <row r="395" spans="1:57" ht="14.25">
      <c r="A395" s="340"/>
      <c r="B395" s="287" t="s">
        <v>3163</v>
      </c>
      <c r="C395" s="288">
        <f>+$C$393+$G$394</f>
        <v>20839.000000000004</v>
      </c>
      <c r="D395" s="1121"/>
      <c r="E395" s="1121"/>
      <c r="F395" s="289">
        <v>0</v>
      </c>
      <c r="G395" s="292"/>
      <c r="H395" s="293" t="s">
        <v>138</v>
      </c>
      <c r="I395" s="289"/>
      <c r="J395" s="288"/>
      <c r="K395" s="1121"/>
      <c r="L395" s="1121"/>
      <c r="M395" s="1121"/>
      <c r="N395" s="291" t="s">
        <v>917</v>
      </c>
      <c r="O395" s="291"/>
      <c r="P395" s="1121"/>
      <c r="Q395" s="1121">
        <v>0</v>
      </c>
      <c r="R395" s="289">
        <v>0</v>
      </c>
      <c r="S395" s="292"/>
      <c r="T395" s="1121">
        <v>35</v>
      </c>
      <c r="U395" s="1121"/>
      <c r="V395" s="1121"/>
      <c r="W395" s="1121">
        <v>1.4</v>
      </c>
      <c r="X395" s="1121"/>
      <c r="Y395" s="1121"/>
      <c r="Z395" s="1121"/>
      <c r="AA395" s="1121"/>
      <c r="AB395" s="1121"/>
      <c r="AC395" s="1121" t="s">
        <v>1704</v>
      </c>
      <c r="AD395" s="1121"/>
      <c r="AE395" s="1121"/>
      <c r="AF395" s="1121">
        <v>200</v>
      </c>
      <c r="AG395" s="288">
        <v>20840.060000000001</v>
      </c>
      <c r="AH395" s="1121">
        <v>1782</v>
      </c>
      <c r="AI395" s="289">
        <v>-5300</v>
      </c>
      <c r="AJ395" s="1121"/>
      <c r="AK395" s="1121" t="s">
        <v>139</v>
      </c>
      <c r="AL395" s="1121"/>
      <c r="AM395" s="1121"/>
      <c r="AN395" s="315">
        <v>5.5</v>
      </c>
      <c r="AO395" s="315"/>
      <c r="AP395" s="315"/>
      <c r="AQ395" s="315"/>
      <c r="AR395" s="315"/>
      <c r="AS395" s="315"/>
      <c r="AT395" s="315">
        <f>+ab($T$395,$T$393,$U$397,$G$394,$G$396,-1*$F$395,1200)</f>
        <v>8.3264882120690444</v>
      </c>
      <c r="AU395" s="315"/>
      <c r="AV395" s="315"/>
      <c r="AW395" s="315" t="s">
        <v>699</v>
      </c>
      <c r="AX395" s="315" t="s">
        <v>699</v>
      </c>
      <c r="AY395" s="315" t="s">
        <v>699</v>
      </c>
      <c r="AZ395" s="315" t="s">
        <v>699</v>
      </c>
      <c r="BA395" s="315"/>
      <c r="BB395" s="306"/>
    </row>
    <row r="396" spans="1:57" ht="14.25">
      <c r="A396" s="340"/>
      <c r="B396" s="287"/>
      <c r="C396" s="288"/>
      <c r="D396" s="1121"/>
      <c r="E396" s="1121"/>
      <c r="F396" s="289"/>
      <c r="G396" s="292">
        <v>64</v>
      </c>
      <c r="H396" s="291"/>
      <c r="I396" s="294"/>
      <c r="J396" s="288"/>
      <c r="K396" s="1121"/>
      <c r="L396" s="1121"/>
      <c r="M396" s="1121"/>
      <c r="N396" s="291"/>
      <c r="O396" s="291"/>
      <c r="P396" s="1121"/>
      <c r="Q396" s="1121"/>
      <c r="R396" s="292"/>
      <c r="S396" s="292">
        <v>63.409999999999854</v>
      </c>
      <c r="T396" s="1121"/>
      <c r="U396" s="1121"/>
      <c r="V396" s="1121"/>
      <c r="W396" s="1121"/>
      <c r="X396" s="1121"/>
      <c r="Y396" s="1121"/>
      <c r="Z396" s="1121"/>
      <c r="AA396" s="1121"/>
      <c r="AB396" s="1121"/>
      <c r="AC396" s="1121"/>
      <c r="AD396" s="1121"/>
      <c r="AE396" s="1121"/>
      <c r="AF396" s="1121"/>
      <c r="AG396" s="288"/>
      <c r="AH396" s="1121" t="s">
        <v>695</v>
      </c>
      <c r="AI396" s="289" t="s">
        <v>695</v>
      </c>
      <c r="AJ396" s="1121"/>
      <c r="AK396" s="1121"/>
      <c r="AL396" s="1121"/>
      <c r="AM396" s="1121"/>
      <c r="AN396" s="315"/>
      <c r="AO396" s="315"/>
      <c r="AP396" s="315"/>
      <c r="AQ396" s="315">
        <f>+FL_1($U$397,$T$395,$G$396,1200,9.28,-1*$F$397)</f>
        <v>0.4876380944999999</v>
      </c>
      <c r="AR396" s="315"/>
      <c r="AS396" s="315"/>
      <c r="AT396" s="315"/>
      <c r="AU396" s="315"/>
      <c r="AV396" s="315"/>
      <c r="AW396" s="315"/>
      <c r="AX396" s="315"/>
      <c r="AY396" s="315"/>
      <c r="AZ396" s="315"/>
      <c r="BA396" s="315"/>
      <c r="BB396" s="306"/>
    </row>
    <row r="397" spans="1:57" ht="14.25">
      <c r="A397" s="340" t="s">
        <v>3230</v>
      </c>
      <c r="B397" s="287" t="s">
        <v>3164</v>
      </c>
      <c r="C397" s="288">
        <f>+$C$395+$G$396</f>
        <v>20903.000000000004</v>
      </c>
      <c r="D397" s="1121"/>
      <c r="E397" s="1121"/>
      <c r="F397" s="289">
        <v>0</v>
      </c>
      <c r="G397" s="292"/>
      <c r="H397" s="291" t="s">
        <v>651</v>
      </c>
      <c r="I397" s="291" t="s">
        <v>2016</v>
      </c>
      <c r="J397" s="288"/>
      <c r="K397" s="1121"/>
      <c r="L397" s="1121"/>
      <c r="M397" s="1121"/>
      <c r="N397" s="291" t="s">
        <v>918</v>
      </c>
      <c r="O397" s="291" t="s">
        <v>916</v>
      </c>
      <c r="P397" s="1121"/>
      <c r="Q397" s="1121">
        <v>0</v>
      </c>
      <c r="R397" s="289">
        <v>0</v>
      </c>
      <c r="S397" s="292"/>
      <c r="T397" s="1121">
        <v>15</v>
      </c>
      <c r="U397" s="1121">
        <v>-30</v>
      </c>
      <c r="V397" s="1121"/>
      <c r="W397" s="1121">
        <v>1.4</v>
      </c>
      <c r="X397" s="1121">
        <v>2.2999999999999998</v>
      </c>
      <c r="Y397" s="1121"/>
      <c r="Z397" s="1121">
        <v>0.45</v>
      </c>
      <c r="AA397" s="1121"/>
      <c r="AB397" s="1121"/>
      <c r="AC397" s="1121"/>
      <c r="AD397" s="1121" t="s">
        <v>1702</v>
      </c>
      <c r="AE397" s="1121"/>
      <c r="AF397" s="1121">
        <v>200</v>
      </c>
      <c r="AG397" s="288">
        <v>20903.47</v>
      </c>
      <c r="AH397" s="1121">
        <v>1782</v>
      </c>
      <c r="AI397" s="289">
        <v>-5300</v>
      </c>
      <c r="AJ397" s="1128" t="s">
        <v>3254</v>
      </c>
      <c r="AK397" s="1121" t="s">
        <v>229</v>
      </c>
      <c r="AL397" s="1121"/>
      <c r="AM397" s="1121"/>
      <c r="AN397" s="315">
        <v>5.5</v>
      </c>
      <c r="AO397" s="315"/>
      <c r="AP397" s="315"/>
      <c r="AQ397" s="315"/>
      <c r="AR397" s="315"/>
      <c r="AS397" s="315"/>
      <c r="AT397" s="315">
        <f>+ab($U$397,$T$395,$U$399,$G$396,$G$398,-1*$F$397,1200)</f>
        <v>-14.461336436823288</v>
      </c>
      <c r="AU397" s="315"/>
      <c r="AV397" s="315"/>
      <c r="AW397" s="315" t="s">
        <v>699</v>
      </c>
      <c r="AX397" s="315" t="s">
        <v>699</v>
      </c>
      <c r="AY397" s="315" t="s">
        <v>699</v>
      </c>
      <c r="AZ397" s="315" t="s">
        <v>699</v>
      </c>
      <c r="BA397" s="315"/>
      <c r="BB397" s="306"/>
    </row>
    <row r="398" spans="1:57" ht="14.25">
      <c r="A398" s="340"/>
      <c r="B398" s="287"/>
      <c r="C398" s="288"/>
      <c r="D398" s="1121"/>
      <c r="E398" s="1121"/>
      <c r="F398" s="289"/>
      <c r="G398" s="292">
        <v>53</v>
      </c>
      <c r="H398" s="291"/>
      <c r="I398" s="291"/>
      <c r="J398" s="288"/>
      <c r="K398" s="1121"/>
      <c r="L398" s="1121"/>
      <c r="M398" s="1121"/>
      <c r="N398" s="291"/>
      <c r="O398" s="291"/>
      <c r="P398" s="1121"/>
      <c r="Q398" s="1121"/>
      <c r="R398" s="292"/>
      <c r="S398" s="292">
        <v>52.529999999998836</v>
      </c>
      <c r="T398" s="1121"/>
      <c r="U398" s="1121"/>
      <c r="V398" s="1121"/>
      <c r="W398" s="1121"/>
      <c r="X398" s="1121"/>
      <c r="Y398" s="1121"/>
      <c r="Z398" s="1121"/>
      <c r="AA398" s="1121"/>
      <c r="AB398" s="1121"/>
      <c r="AC398" s="1121"/>
      <c r="AD398" s="1121"/>
      <c r="AE398" s="1121"/>
      <c r="AF398" s="1121"/>
      <c r="AG398" s="288"/>
      <c r="AH398" s="1121" t="s">
        <v>695</v>
      </c>
      <c r="AI398" s="289" t="s">
        <v>695</v>
      </c>
      <c r="AJ398" s="1128" t="s">
        <v>3002</v>
      </c>
      <c r="AK398" s="1121"/>
      <c r="AL398" s="1121"/>
      <c r="AM398" s="1121"/>
      <c r="AN398" s="315"/>
      <c r="AO398" s="315"/>
      <c r="AP398" s="315"/>
      <c r="AQ398" s="315">
        <f>+FL_1($T$399,$U$397,$G$398,1200,9.28,-1*$F$399)</f>
        <v>0.35439840372327042</v>
      </c>
      <c r="AR398" s="315"/>
      <c r="AS398" s="315"/>
      <c r="AT398" s="315"/>
      <c r="AU398" s="315"/>
      <c r="AV398" s="315"/>
      <c r="AW398" s="315"/>
      <c r="AX398" s="315"/>
      <c r="AY398" s="315"/>
      <c r="AZ398" s="315"/>
      <c r="BA398" s="315"/>
      <c r="BB398" s="306"/>
    </row>
    <row r="399" spans="1:57" ht="14.25">
      <c r="A399" s="340"/>
      <c r="B399" s="287" t="s">
        <v>3165</v>
      </c>
      <c r="C399" s="288">
        <f>+$C$397+$G$398</f>
        <v>20956.000000000004</v>
      </c>
      <c r="D399" s="1121"/>
      <c r="E399" s="1121"/>
      <c r="F399" s="289">
        <v>0</v>
      </c>
      <c r="G399" s="292"/>
      <c r="H399" s="291" t="s">
        <v>651</v>
      </c>
      <c r="I399" s="291"/>
      <c r="J399" s="288"/>
      <c r="K399" s="1121"/>
      <c r="L399" s="1121" t="s">
        <v>882</v>
      </c>
      <c r="M399" s="1121" t="s">
        <v>2787</v>
      </c>
      <c r="N399" s="291" t="s">
        <v>145</v>
      </c>
      <c r="O399" s="291" t="s">
        <v>140</v>
      </c>
      <c r="P399" s="1121"/>
      <c r="Q399" s="1121">
        <v>0</v>
      </c>
      <c r="R399" s="289">
        <v>0</v>
      </c>
      <c r="S399" s="292"/>
      <c r="T399" s="1121">
        <v>30</v>
      </c>
      <c r="U399" s="1121">
        <v>-15</v>
      </c>
      <c r="V399" s="1121"/>
      <c r="W399" s="1121">
        <v>1.4</v>
      </c>
      <c r="X399" s="1121">
        <v>2.2999999999999998</v>
      </c>
      <c r="Y399" s="1121"/>
      <c r="Z399" s="1121"/>
      <c r="AA399" s="1121">
        <v>0.45</v>
      </c>
      <c r="AB399" s="1121"/>
      <c r="AC399" s="1121" t="s">
        <v>1704</v>
      </c>
      <c r="AD399" s="1121"/>
      <c r="AE399" s="1121"/>
      <c r="AF399" s="1121">
        <v>6000</v>
      </c>
      <c r="AG399" s="288">
        <v>20956</v>
      </c>
      <c r="AH399" s="1121">
        <v>2643</v>
      </c>
      <c r="AI399" s="289">
        <v>30</v>
      </c>
      <c r="AJ399" s="1121"/>
      <c r="AK399" s="1121"/>
      <c r="AL399" s="1121" t="s">
        <v>894</v>
      </c>
      <c r="AM399" s="1121"/>
      <c r="AN399" s="315">
        <v>5.5</v>
      </c>
      <c r="AO399" s="315"/>
      <c r="AP399" s="315"/>
      <c r="AQ399" s="315"/>
      <c r="AR399" s="315"/>
      <c r="AS399" s="315"/>
      <c r="AT399" s="315">
        <f>+ab($T$399,$T$397,$T$401,$G$398,$G$400,-1*$F$399,1200)</f>
        <v>11.754368346639559</v>
      </c>
      <c r="AU399" s="315"/>
      <c r="AV399" s="315"/>
      <c r="AW399" s="315" t="s">
        <v>699</v>
      </c>
      <c r="AX399" s="315" t="s">
        <v>699</v>
      </c>
      <c r="AY399" s="315" t="s">
        <v>699</v>
      </c>
      <c r="AZ399" s="315" t="s">
        <v>699</v>
      </c>
      <c r="BA399" s="315"/>
      <c r="BB399" s="306"/>
    </row>
    <row r="400" spans="1:57" ht="14.25">
      <c r="A400" s="340"/>
      <c r="B400" s="287"/>
      <c r="C400" s="288"/>
      <c r="D400" s="1121"/>
      <c r="E400" s="1121"/>
      <c r="F400" s="289"/>
      <c r="G400" s="292">
        <v>49</v>
      </c>
      <c r="H400" s="291"/>
      <c r="I400" s="291"/>
      <c r="J400" s="288"/>
      <c r="K400" s="1121"/>
      <c r="L400" s="1121"/>
      <c r="M400" s="1121"/>
      <c r="N400" s="291"/>
      <c r="O400" s="291"/>
      <c r="P400" s="1121"/>
      <c r="Q400" s="1121"/>
      <c r="R400" s="292"/>
      <c r="S400" s="292">
        <v>49.459999999999127</v>
      </c>
      <c r="T400" s="1121"/>
      <c r="U400" s="1121"/>
      <c r="V400" s="1121"/>
      <c r="W400" s="1121"/>
      <c r="X400" s="1121"/>
      <c r="Y400" s="1121"/>
      <c r="Z400" s="1121"/>
      <c r="AA400" s="1121"/>
      <c r="AB400" s="1121"/>
      <c r="AC400" s="1121"/>
      <c r="AD400" s="1121"/>
      <c r="AE400" s="1121"/>
      <c r="AF400" s="1121"/>
      <c r="AG400" s="288"/>
      <c r="AH400" s="1121" t="s">
        <v>695</v>
      </c>
      <c r="AI400" s="289" t="s">
        <v>695</v>
      </c>
      <c r="AJ400" s="1121"/>
      <c r="AK400" s="1121"/>
      <c r="AL400" s="1121"/>
      <c r="AM400" s="1121"/>
      <c r="AN400" s="315"/>
      <c r="AO400" s="315"/>
      <c r="AP400" s="315"/>
      <c r="AQ400" s="315">
        <f>+FL_1($T$401,$T$399,$G$400,1200,9.28,-1*$F$401)</f>
        <v>0.32086929999999991</v>
      </c>
      <c r="AR400" s="315"/>
      <c r="AS400" s="315"/>
      <c r="AT400" s="315"/>
      <c r="AU400" s="315"/>
      <c r="AV400" s="315"/>
      <c r="AW400" s="315"/>
      <c r="AX400" s="315"/>
      <c r="AY400" s="315"/>
      <c r="AZ400" s="315"/>
      <c r="BA400" s="315"/>
      <c r="BB400" s="306"/>
    </row>
    <row r="401" spans="1:54" ht="14.25">
      <c r="A401" s="340"/>
      <c r="B401" s="287" t="s">
        <v>3166</v>
      </c>
      <c r="C401" s="288">
        <f>+$C$399+$G$400</f>
        <v>21005.000000000004</v>
      </c>
      <c r="D401" s="1121"/>
      <c r="E401" s="1121"/>
      <c r="F401" s="289">
        <v>0</v>
      </c>
      <c r="G401" s="292"/>
      <c r="H401" s="291"/>
      <c r="I401" s="291"/>
      <c r="J401" s="288"/>
      <c r="K401" s="1121"/>
      <c r="L401" s="1121"/>
      <c r="M401" s="1121"/>
      <c r="N401" s="291" t="s">
        <v>916</v>
      </c>
      <c r="O401" s="291"/>
      <c r="P401" s="1121"/>
      <c r="Q401" s="1121">
        <v>0</v>
      </c>
      <c r="R401" s="289">
        <v>0</v>
      </c>
      <c r="S401" s="292"/>
      <c r="T401" s="1121">
        <v>-35</v>
      </c>
      <c r="U401" s="1121"/>
      <c r="V401" s="1121"/>
      <c r="W401" s="1121">
        <v>1.4</v>
      </c>
      <c r="X401" s="1121"/>
      <c r="Y401" s="1121"/>
      <c r="Z401" s="1121"/>
      <c r="AA401" s="1121"/>
      <c r="AB401" s="1121"/>
      <c r="AC401" s="1121" t="s">
        <v>2963</v>
      </c>
      <c r="AD401" s="1121"/>
      <c r="AE401" s="1121"/>
      <c r="AF401" s="1121">
        <v>200</v>
      </c>
      <c r="AG401" s="288">
        <v>21005.46</v>
      </c>
      <c r="AH401" s="1121">
        <v>1782</v>
      </c>
      <c r="AI401" s="289">
        <v>-5300</v>
      </c>
      <c r="AJ401" s="1121"/>
      <c r="AK401" s="1121" t="s">
        <v>139</v>
      </c>
      <c r="AL401" s="1121"/>
      <c r="AM401" s="1121"/>
      <c r="AN401" s="315">
        <v>5.5</v>
      </c>
      <c r="AO401" s="315"/>
      <c r="AP401" s="315"/>
      <c r="AQ401" s="315"/>
      <c r="AR401" s="315"/>
      <c r="AS401" s="315"/>
      <c r="AT401" s="315">
        <f>+ab($T$401,$T$399,$T$403,$G$400,$G$402,-1*$F$401,1200)</f>
        <v>-7.1948327870343274</v>
      </c>
      <c r="AU401" s="315"/>
      <c r="AV401" s="315"/>
      <c r="AW401" s="315" t="s">
        <v>699</v>
      </c>
      <c r="AX401" s="315" t="s">
        <v>699</v>
      </c>
      <c r="AY401" s="315" t="s">
        <v>699</v>
      </c>
      <c r="AZ401" s="315" t="s">
        <v>699</v>
      </c>
      <c r="BA401" s="315"/>
      <c r="BB401" s="306"/>
    </row>
    <row r="402" spans="1:54" ht="14.25">
      <c r="A402" s="340"/>
      <c r="B402" s="287"/>
      <c r="C402" s="288"/>
      <c r="D402" s="1121"/>
      <c r="E402" s="1121"/>
      <c r="F402" s="289"/>
      <c r="G402" s="292">
        <v>49</v>
      </c>
      <c r="H402" s="291"/>
      <c r="I402" s="294"/>
      <c r="J402" s="288"/>
      <c r="K402" s="1121"/>
      <c r="L402" s="1121"/>
      <c r="M402" s="1121"/>
      <c r="N402" s="291"/>
      <c r="O402" s="291"/>
      <c r="P402" s="1121"/>
      <c r="Q402" s="1121"/>
      <c r="R402" s="292"/>
      <c r="S402" s="292">
        <v>48.930000000000291</v>
      </c>
      <c r="T402" s="1121"/>
      <c r="U402" s="1121"/>
      <c r="V402" s="1121"/>
      <c r="W402" s="1121"/>
      <c r="X402" s="1121"/>
      <c r="Y402" s="1121"/>
      <c r="Z402" s="1121"/>
      <c r="AA402" s="1121"/>
      <c r="AB402" s="1121"/>
      <c r="AC402" s="1121"/>
      <c r="AD402" s="1121"/>
      <c r="AE402" s="1121"/>
      <c r="AF402" s="1121"/>
      <c r="AG402" s="288"/>
      <c r="AH402" s="1121" t="s">
        <v>695</v>
      </c>
      <c r="AI402" s="289" t="s">
        <v>695</v>
      </c>
      <c r="AJ402" s="1121"/>
      <c r="AK402" s="1121"/>
      <c r="AL402" s="1121"/>
      <c r="AM402" s="1121"/>
      <c r="AN402" s="315"/>
      <c r="AO402" s="315"/>
      <c r="AP402" s="315"/>
      <c r="AQ402" s="315">
        <f>+FL_1($T$403,$T$401,$G$402,1200,9.28,-1*$F$403)</f>
        <v>0.32086930000000002</v>
      </c>
      <c r="AR402" s="315"/>
      <c r="AS402" s="315"/>
      <c r="AT402" s="315"/>
      <c r="AU402" s="315"/>
      <c r="AV402" s="315"/>
      <c r="AW402" s="315"/>
      <c r="AX402" s="315"/>
      <c r="AY402" s="315"/>
      <c r="AZ402" s="315"/>
      <c r="BA402" s="315"/>
      <c r="BB402" s="306"/>
    </row>
    <row r="403" spans="1:54" ht="14.25">
      <c r="A403" s="340"/>
      <c r="B403" s="287" t="s">
        <v>3167</v>
      </c>
      <c r="C403" s="288">
        <f>+$C$401+$G$402</f>
        <v>21054.000000000004</v>
      </c>
      <c r="D403" s="1121"/>
      <c r="E403" s="1121"/>
      <c r="F403" s="289">
        <v>0</v>
      </c>
      <c r="G403" s="292"/>
      <c r="H403" s="293" t="s">
        <v>138</v>
      </c>
      <c r="I403" s="294"/>
      <c r="J403" s="288"/>
      <c r="K403" s="1121"/>
      <c r="L403" s="1121"/>
      <c r="M403" s="1121"/>
      <c r="N403" s="291" t="s">
        <v>917</v>
      </c>
      <c r="O403" s="291"/>
      <c r="P403" s="1121"/>
      <c r="Q403" s="1121">
        <v>0</v>
      </c>
      <c r="R403" s="289">
        <v>0</v>
      </c>
      <c r="S403" s="292"/>
      <c r="T403" s="1121">
        <v>30</v>
      </c>
      <c r="U403" s="1121"/>
      <c r="V403" s="1121"/>
      <c r="W403" s="1121">
        <v>1.4</v>
      </c>
      <c r="X403" s="1121"/>
      <c r="Y403" s="1121"/>
      <c r="Z403" s="1121"/>
      <c r="AA403" s="1121"/>
      <c r="AB403" s="1121"/>
      <c r="AC403" s="1121" t="s">
        <v>2963</v>
      </c>
      <c r="AD403" s="1121"/>
      <c r="AE403" s="1121"/>
      <c r="AF403" s="1121">
        <v>200</v>
      </c>
      <c r="AG403" s="288">
        <v>21054.39</v>
      </c>
      <c r="AH403" s="1121">
        <v>1282</v>
      </c>
      <c r="AI403" s="289">
        <v>-5850</v>
      </c>
      <c r="AJ403" s="1121"/>
      <c r="AK403" s="1121" t="s">
        <v>139</v>
      </c>
      <c r="AL403" s="1121"/>
      <c r="AM403" s="1121"/>
      <c r="AN403" s="315">
        <v>5.5</v>
      </c>
      <c r="AO403" s="315"/>
      <c r="AP403" s="315"/>
      <c r="AQ403" s="315"/>
      <c r="AR403" s="315"/>
      <c r="AS403" s="315"/>
      <c r="AT403" s="315">
        <f>+ab($T$403,$T$401,$T$405,$G$402,$G$404,-1*$F$403,1200)</f>
        <v>7.5639335182317202</v>
      </c>
      <c r="AU403" s="315"/>
      <c r="AV403" s="315"/>
      <c r="AW403" s="315" t="s">
        <v>699</v>
      </c>
      <c r="AX403" s="315" t="s">
        <v>699</v>
      </c>
      <c r="AY403" s="315" t="s">
        <v>699</v>
      </c>
      <c r="AZ403" s="315" t="s">
        <v>699</v>
      </c>
      <c r="BA403" s="315"/>
      <c r="BB403" s="306"/>
    </row>
    <row r="404" spans="1:54" ht="14.25">
      <c r="A404" s="340"/>
      <c r="B404" s="1121"/>
      <c r="C404" s="288"/>
      <c r="D404" s="1121"/>
      <c r="E404" s="1121"/>
      <c r="F404" s="289"/>
      <c r="G404" s="292">
        <v>46</v>
      </c>
      <c r="H404" s="291"/>
      <c r="I404" s="294"/>
      <c r="J404" s="288"/>
      <c r="K404" s="1121"/>
      <c r="L404" s="1121"/>
      <c r="M404" s="1121"/>
      <c r="N404" s="291"/>
      <c r="O404" s="291"/>
      <c r="P404" s="1121"/>
      <c r="Q404" s="1121"/>
      <c r="R404" s="292"/>
      <c r="S404" s="292">
        <v>45.610000000000582</v>
      </c>
      <c r="T404" s="1121"/>
      <c r="U404" s="1121"/>
      <c r="V404" s="1121"/>
      <c r="W404" s="1121"/>
      <c r="X404" s="1121"/>
      <c r="Y404" s="1121"/>
      <c r="Z404" s="1121"/>
      <c r="AA404" s="1121"/>
      <c r="AB404" s="1121"/>
      <c r="AC404" s="1121"/>
      <c r="AD404" s="1121"/>
      <c r="AE404" s="1121"/>
      <c r="AF404" s="1121"/>
      <c r="AG404" s="288"/>
      <c r="AH404" s="1121" t="s">
        <v>695</v>
      </c>
      <c r="AI404" s="289" t="s">
        <v>695</v>
      </c>
      <c r="AJ404" s="1121"/>
      <c r="AK404" s="1121"/>
      <c r="AL404" s="1121"/>
      <c r="AM404" s="1121"/>
      <c r="AN404" s="315"/>
      <c r="AO404" s="315"/>
      <c r="AP404" s="315"/>
      <c r="AQ404" s="315">
        <f>+FL_1($T$405,$T$403,$G$404,1200,9.28,-1*$F$405)</f>
        <v>0.3219766740869564</v>
      </c>
      <c r="AR404" s="315"/>
      <c r="AS404" s="315"/>
      <c r="AT404" s="315"/>
      <c r="AU404" s="315"/>
      <c r="AV404" s="315"/>
      <c r="AW404" s="315"/>
      <c r="AX404" s="315"/>
      <c r="AY404" s="315"/>
      <c r="AZ404" s="315"/>
      <c r="BA404" s="315"/>
      <c r="BB404" s="306"/>
    </row>
    <row r="405" spans="1:54" ht="14.25">
      <c r="A405" s="340"/>
      <c r="B405" s="287" t="s">
        <v>3168</v>
      </c>
      <c r="C405" s="288">
        <f>+$C$403+$G$404</f>
        <v>21100.000000000004</v>
      </c>
      <c r="D405" s="1121"/>
      <c r="E405" s="1121"/>
      <c r="F405" s="289">
        <v>0</v>
      </c>
      <c r="G405" s="292"/>
      <c r="H405" s="291" t="s">
        <v>142</v>
      </c>
      <c r="I405" s="294"/>
      <c r="J405" s="288"/>
      <c r="K405" s="1121"/>
      <c r="L405" s="1121"/>
      <c r="M405" s="1121"/>
      <c r="N405" s="291" t="s">
        <v>916</v>
      </c>
      <c r="O405" s="291" t="s">
        <v>917</v>
      </c>
      <c r="P405" s="291"/>
      <c r="Q405" s="293">
        <v>0</v>
      </c>
      <c r="R405" s="508">
        <v>0</v>
      </c>
      <c r="S405" s="292"/>
      <c r="T405" s="1121">
        <v>-25</v>
      </c>
      <c r="U405" s="1121">
        <v>-80</v>
      </c>
      <c r="V405" s="1121"/>
      <c r="W405" s="1121">
        <v>1.4</v>
      </c>
      <c r="X405" s="1121">
        <v>2.2999999999999998</v>
      </c>
      <c r="Y405" s="1121"/>
      <c r="Z405" s="1121"/>
      <c r="AA405" s="1121">
        <v>-0.05</v>
      </c>
      <c r="AB405" s="1121"/>
      <c r="AC405" s="1121" t="s">
        <v>1704</v>
      </c>
      <c r="AD405" s="1121" t="s">
        <v>480</v>
      </c>
      <c r="AE405" s="1121"/>
      <c r="AF405" s="1121">
        <v>200</v>
      </c>
      <c r="AG405" s="288">
        <v>21100</v>
      </c>
      <c r="AH405" s="293">
        <v>2082</v>
      </c>
      <c r="AI405" s="508">
        <v>-5300</v>
      </c>
      <c r="AJ405" s="1121"/>
      <c r="AK405" s="1121" t="s">
        <v>229</v>
      </c>
      <c r="AL405" s="1121"/>
      <c r="AM405" s="1121"/>
      <c r="AN405" s="315">
        <v>5.5</v>
      </c>
      <c r="AO405" s="315"/>
      <c r="AP405" s="315"/>
      <c r="AQ405" s="315"/>
      <c r="AR405" s="315"/>
      <c r="AS405" s="315"/>
      <c r="AT405" s="315">
        <f>+ab($T$405,$T$403,$T$407,$G$404,$G$406,-1*$F$405,1200)</f>
        <v>-15.648223985452056</v>
      </c>
      <c r="AU405" s="315"/>
      <c r="AV405" s="315"/>
      <c r="AW405" s="315" t="s">
        <v>699</v>
      </c>
      <c r="AX405" s="315" t="s">
        <v>699</v>
      </c>
      <c r="AY405" s="315" t="s">
        <v>699</v>
      </c>
      <c r="AZ405" s="315" t="s">
        <v>699</v>
      </c>
      <c r="BA405" s="315"/>
      <c r="BB405" s="306"/>
    </row>
    <row r="406" spans="1:54" ht="14.25">
      <c r="A406" s="340"/>
      <c r="B406" s="287"/>
      <c r="C406" s="288"/>
      <c r="D406" s="1121"/>
      <c r="E406" s="1121"/>
      <c r="F406" s="289"/>
      <c r="G406" s="292">
        <v>46</v>
      </c>
      <c r="H406" s="291"/>
      <c r="I406" s="294"/>
      <c r="J406" s="288">
        <f>C407-7.5</f>
        <v>21138.500000000004</v>
      </c>
      <c r="K406" s="1121" t="s">
        <v>653</v>
      </c>
      <c r="L406" s="1121"/>
      <c r="M406" s="1121"/>
      <c r="N406" s="291"/>
      <c r="O406" s="291"/>
      <c r="P406" s="1121"/>
      <c r="Q406" s="1121"/>
      <c r="R406" s="292"/>
      <c r="S406" s="292">
        <v>45.139999999999418</v>
      </c>
      <c r="T406" s="1121"/>
      <c r="U406" s="1121"/>
      <c r="V406" s="1121"/>
      <c r="W406" s="1121"/>
      <c r="X406" s="1121"/>
      <c r="Y406" s="1121"/>
      <c r="Z406" s="1121"/>
      <c r="AA406" s="1121"/>
      <c r="AB406" s="1121"/>
      <c r="AC406" s="1121"/>
      <c r="AD406" s="1121"/>
      <c r="AE406" s="1121"/>
      <c r="AF406" s="1121"/>
      <c r="AG406" s="288"/>
      <c r="AH406" s="1121" t="s">
        <v>695</v>
      </c>
      <c r="AI406" s="289" t="s">
        <v>695</v>
      </c>
      <c r="AJ406" s="1121"/>
      <c r="AK406" s="1121"/>
      <c r="AL406" s="1121"/>
      <c r="AM406" s="1121"/>
      <c r="AN406" s="315"/>
      <c r="AO406" s="315"/>
      <c r="AP406" s="315"/>
      <c r="AQ406" s="315">
        <f>+FL_2($T$407,$T$405,$G$406,1200,9.28,-1*$F$407)</f>
        <v>-0.45454666666666665</v>
      </c>
      <c r="AR406" s="315"/>
      <c r="AS406" s="315"/>
      <c r="AT406" s="315"/>
      <c r="AU406" s="315"/>
      <c r="AV406" s="315"/>
      <c r="AW406" s="315" t="s">
        <v>2634</v>
      </c>
      <c r="AX406" s="315" t="s">
        <v>1639</v>
      </c>
      <c r="AY406" s="1121"/>
      <c r="AZ406" s="315">
        <v>2.5</v>
      </c>
      <c r="BA406" s="315"/>
      <c r="BB406" s="306"/>
    </row>
    <row r="407" spans="1:54" ht="14.25">
      <c r="A407" s="340"/>
      <c r="B407" s="287" t="s">
        <v>3169</v>
      </c>
      <c r="C407" s="288">
        <f>+$C$405+$G$406</f>
        <v>21146.000000000004</v>
      </c>
      <c r="D407" s="1121"/>
      <c r="E407" s="1121"/>
      <c r="F407" s="289">
        <v>0</v>
      </c>
      <c r="G407" s="292"/>
      <c r="H407" s="291" t="s">
        <v>2229</v>
      </c>
      <c r="I407" s="294" t="s">
        <v>656</v>
      </c>
      <c r="J407" s="288"/>
      <c r="K407" s="1121"/>
      <c r="L407" s="1121" t="s">
        <v>1062</v>
      </c>
      <c r="M407" s="1121" t="s">
        <v>235</v>
      </c>
      <c r="N407" s="291" t="s">
        <v>144</v>
      </c>
      <c r="O407" s="291" t="s">
        <v>140</v>
      </c>
      <c r="P407" s="1121"/>
      <c r="Q407" s="1121">
        <v>0</v>
      </c>
      <c r="R407" s="289">
        <v>0</v>
      </c>
      <c r="S407" s="292"/>
      <c r="T407" s="1121">
        <v>-25</v>
      </c>
      <c r="U407" s="1121">
        <v>-80</v>
      </c>
      <c r="V407" s="1121"/>
      <c r="W407" s="1121">
        <v>1.4</v>
      </c>
      <c r="X407" s="1121">
        <v>2.2999999999999998</v>
      </c>
      <c r="Y407" s="1121"/>
      <c r="Z407" s="1121"/>
      <c r="AA407" s="1121">
        <v>0.45</v>
      </c>
      <c r="AB407" s="1121"/>
      <c r="AC407" s="1121" t="s">
        <v>1700</v>
      </c>
      <c r="AD407" s="1121"/>
      <c r="AE407" s="1121"/>
      <c r="AF407" s="1121">
        <v>5900</v>
      </c>
      <c r="AG407" s="288">
        <v>21145.14</v>
      </c>
      <c r="AH407" s="1121">
        <v>2559</v>
      </c>
      <c r="AI407" s="289">
        <v>566</v>
      </c>
      <c r="AJ407" s="1121"/>
      <c r="AK407" s="1121"/>
      <c r="AL407" s="1121"/>
      <c r="AM407" s="1121" t="s">
        <v>1228</v>
      </c>
      <c r="AN407" s="315">
        <v>5.5</v>
      </c>
      <c r="AO407" s="315"/>
      <c r="AP407" s="315"/>
      <c r="AQ407" s="315"/>
      <c r="AR407" s="315"/>
      <c r="AS407" s="315"/>
      <c r="AT407" s="315">
        <f>+ab($T$407,$T$405,$U$409,$G$406,$G$408,-1*$F$407,1200)</f>
        <v>-23.123464678305087</v>
      </c>
      <c r="AU407" s="315"/>
      <c r="AV407" s="315"/>
      <c r="AW407" s="315" t="s">
        <v>2634</v>
      </c>
      <c r="AX407" s="315" t="s">
        <v>1639</v>
      </c>
      <c r="AY407" s="315">
        <v>3.4</v>
      </c>
      <c r="AZ407" s="315"/>
      <c r="BA407" s="315"/>
      <c r="BB407" s="306"/>
    </row>
    <row r="408" spans="1:54" ht="14.25">
      <c r="A408" s="340"/>
      <c r="B408" s="287"/>
      <c r="C408" s="288"/>
      <c r="D408" s="1121"/>
      <c r="E408" s="1121"/>
      <c r="F408" s="289"/>
      <c r="G408" s="292">
        <v>51</v>
      </c>
      <c r="H408" s="291"/>
      <c r="I408" s="291"/>
      <c r="J408" s="288"/>
      <c r="K408" s="1121"/>
      <c r="L408" s="1121"/>
      <c r="M408" s="1121"/>
      <c r="N408" s="291"/>
      <c r="O408" s="291"/>
      <c r="P408" s="1121"/>
      <c r="Q408" s="1121"/>
      <c r="R408" s="292"/>
      <c r="S408" s="292">
        <v>52.220000000001164</v>
      </c>
      <c r="T408" s="1121"/>
      <c r="U408" s="1121"/>
      <c r="V408" s="1121"/>
      <c r="W408" s="1121"/>
      <c r="X408" s="1121"/>
      <c r="Y408" s="1121"/>
      <c r="Z408" s="1121"/>
      <c r="AA408" s="1121"/>
      <c r="AB408" s="1121"/>
      <c r="AC408" s="1121"/>
      <c r="AD408" s="1121"/>
      <c r="AE408" s="1121"/>
      <c r="AF408" s="1121"/>
      <c r="AG408" s="288"/>
      <c r="AH408" s="1121" t="s">
        <v>695</v>
      </c>
      <c r="AI408" s="289" t="s">
        <v>695</v>
      </c>
      <c r="AJ408" s="1121"/>
      <c r="AK408" s="1121"/>
      <c r="AL408" s="1121"/>
      <c r="AM408" s="1121"/>
      <c r="AN408" s="315"/>
      <c r="AO408" s="315"/>
      <c r="AP408" s="315"/>
      <c r="AQ408" s="315">
        <f>+FL_2($U$409,$T$407,$G$408,1200,9.28,-1*$F$409)</f>
        <v>-0.36459595147570212</v>
      </c>
      <c r="AR408" s="315"/>
      <c r="AS408" s="315"/>
      <c r="AT408" s="315"/>
      <c r="AU408" s="315"/>
      <c r="AV408" s="315"/>
      <c r="AW408" s="315"/>
      <c r="AX408" s="315"/>
      <c r="AY408" s="315"/>
      <c r="AZ408" s="315"/>
      <c r="BA408" s="315"/>
      <c r="BB408" s="306"/>
    </row>
    <row r="409" spans="1:54" ht="14.25">
      <c r="A409" s="384" t="s">
        <v>2230</v>
      </c>
      <c r="B409" s="287" t="s">
        <v>3170</v>
      </c>
      <c r="C409" s="288">
        <f>+$C$407+$G$408</f>
        <v>21197.000000000004</v>
      </c>
      <c r="D409" s="1121"/>
      <c r="E409" s="1121">
        <v>-60</v>
      </c>
      <c r="F409" s="289">
        <f>(160*3500)/(21150-C409)</f>
        <v>-11914.893617020354</v>
      </c>
      <c r="G409" s="292"/>
      <c r="H409" s="291" t="s">
        <v>2751</v>
      </c>
      <c r="I409" s="291" t="s">
        <v>656</v>
      </c>
      <c r="J409" s="288">
        <f>C409+7.5</f>
        <v>21204.500000000004</v>
      </c>
      <c r="K409" s="1121" t="s">
        <v>653</v>
      </c>
      <c r="L409" s="1121" t="s">
        <v>1062</v>
      </c>
      <c r="M409" s="1121" t="s">
        <v>235</v>
      </c>
      <c r="N409" s="291" t="s">
        <v>140</v>
      </c>
      <c r="O409" s="291" t="s">
        <v>145</v>
      </c>
      <c r="P409" s="291"/>
      <c r="Q409" s="1121">
        <v>18</v>
      </c>
      <c r="R409" s="292">
        <v>-12068.68</v>
      </c>
      <c r="S409" s="292"/>
      <c r="T409" s="1121">
        <v>60</v>
      </c>
      <c r="U409" s="1121">
        <v>15</v>
      </c>
      <c r="V409" s="1121"/>
      <c r="W409" s="1121">
        <v>1.4</v>
      </c>
      <c r="X409" s="1121">
        <v>2.2999999999999998</v>
      </c>
      <c r="Y409" s="1121"/>
      <c r="Z409" s="1121">
        <v>0.5</v>
      </c>
      <c r="AA409" s="1121"/>
      <c r="AB409" s="1121"/>
      <c r="AC409" s="1121"/>
      <c r="AD409" s="1121" t="s">
        <v>1704</v>
      </c>
      <c r="AE409" s="1121"/>
      <c r="AF409" s="1121">
        <v>5900</v>
      </c>
      <c r="AG409" s="288">
        <v>21197.360000000001</v>
      </c>
      <c r="AH409" s="1121">
        <v>2584</v>
      </c>
      <c r="AI409" s="289">
        <v>611</v>
      </c>
      <c r="AJ409" s="1121"/>
      <c r="AK409" s="1121"/>
      <c r="AL409" s="1121"/>
      <c r="AM409" s="1121" t="s">
        <v>1228</v>
      </c>
      <c r="AN409" s="315">
        <v>5.5</v>
      </c>
      <c r="AO409" s="315"/>
      <c r="AP409" s="315"/>
      <c r="AQ409" s="315"/>
      <c r="AR409" s="315"/>
      <c r="AS409" s="315"/>
      <c r="AT409" s="315">
        <f>+ab($U$409,$T$407,$U$411,$G$408,$G$410,-1*$F$409,1200)</f>
        <v>7.4173286947571002</v>
      </c>
      <c r="AU409" s="315"/>
      <c r="AV409" s="315"/>
      <c r="AW409" s="315" t="s">
        <v>2634</v>
      </c>
      <c r="AX409" s="315" t="s">
        <v>1639</v>
      </c>
      <c r="AY409" s="315">
        <v>3.4</v>
      </c>
      <c r="AZ409" s="315">
        <v>2.5</v>
      </c>
      <c r="BA409" s="315"/>
      <c r="BB409" s="306"/>
    </row>
    <row r="410" spans="1:54" ht="14.25">
      <c r="A410" s="340"/>
      <c r="B410" s="287"/>
      <c r="C410" s="288"/>
      <c r="D410" s="1121"/>
      <c r="E410" s="1121"/>
      <c r="F410" s="289"/>
      <c r="G410" s="292">
        <v>56</v>
      </c>
      <c r="H410" s="291"/>
      <c r="I410" s="294" t="s">
        <v>2668</v>
      </c>
      <c r="J410" s="288">
        <f>C411-9.5</f>
        <v>21243.500000000004</v>
      </c>
      <c r="K410" s="1121" t="s">
        <v>658</v>
      </c>
      <c r="L410" s="1121"/>
      <c r="M410" s="1121"/>
      <c r="N410" s="291"/>
      <c r="O410" s="291"/>
      <c r="P410" s="291"/>
      <c r="Q410" s="1121"/>
      <c r="R410" s="292"/>
      <c r="S410" s="292">
        <v>55.979999999999563</v>
      </c>
      <c r="T410" s="1121"/>
      <c r="U410" s="1121"/>
      <c r="V410" s="1121"/>
      <c r="W410" s="1121"/>
      <c r="X410" s="1121"/>
      <c r="Y410" s="1121"/>
      <c r="Z410" s="1121"/>
      <c r="AA410" s="1121"/>
      <c r="AB410" s="1121"/>
      <c r="AC410" s="1121"/>
      <c r="AD410" s="1121"/>
      <c r="AE410" s="1121"/>
      <c r="AF410" s="1121"/>
      <c r="AG410" s="288"/>
      <c r="AH410" s="1121" t="s">
        <v>695</v>
      </c>
      <c r="AI410" s="289" t="s">
        <v>695</v>
      </c>
      <c r="AJ410" s="1121"/>
      <c r="AK410" s="1121"/>
      <c r="AL410" s="1121"/>
      <c r="AM410" s="1121"/>
      <c r="AN410" s="315"/>
      <c r="AO410" s="315"/>
      <c r="AP410" s="315"/>
      <c r="AQ410" s="315">
        <f>+FL_2($T$411,$U$409,$S$410,1200,9.28,-1*$R$411)</f>
        <v>-0.3895976920831713</v>
      </c>
      <c r="AR410" s="315"/>
      <c r="AS410" s="315"/>
      <c r="AT410" s="315"/>
      <c r="AU410" s="315"/>
      <c r="AV410" s="315"/>
      <c r="AW410" s="315" t="s">
        <v>2634</v>
      </c>
      <c r="AX410" s="315" t="s">
        <v>1639</v>
      </c>
      <c r="AY410" s="315"/>
      <c r="AZ410" s="315">
        <v>2.5</v>
      </c>
      <c r="BA410" s="315"/>
      <c r="BB410" s="306"/>
    </row>
    <row r="411" spans="1:54" ht="14.25">
      <c r="A411" s="340" t="s">
        <v>3235</v>
      </c>
      <c r="B411" s="287" t="s">
        <v>3171</v>
      </c>
      <c r="C411" s="288">
        <f>+$C$409+$G$410</f>
        <v>21253.000000000004</v>
      </c>
      <c r="D411" s="1121"/>
      <c r="E411" s="1121">
        <v>-60</v>
      </c>
      <c r="F411" s="289">
        <f>(160*3500)/(21150-C411)</f>
        <v>-5436.8932038833027</v>
      </c>
      <c r="G411" s="292"/>
      <c r="H411" s="1121" t="s">
        <v>651</v>
      </c>
      <c r="I411" s="294" t="s">
        <v>1223</v>
      </c>
      <c r="J411" s="288">
        <f>C411-7.5</f>
        <v>21245.500000000004</v>
      </c>
      <c r="K411" s="1121" t="s">
        <v>658</v>
      </c>
      <c r="L411" s="1121" t="s">
        <v>231</v>
      </c>
      <c r="M411" s="1121" t="s">
        <v>2672</v>
      </c>
      <c r="N411" s="291" t="s">
        <v>145</v>
      </c>
      <c r="O411" s="291" t="s">
        <v>140</v>
      </c>
      <c r="P411" s="291"/>
      <c r="Q411" s="1121">
        <v>38</v>
      </c>
      <c r="R411" s="292">
        <v>-5467.11</v>
      </c>
      <c r="S411" s="292"/>
      <c r="T411" s="1121">
        <v>-15</v>
      </c>
      <c r="U411" s="1121">
        <v>-60</v>
      </c>
      <c r="V411" s="1121"/>
      <c r="W411" s="1121">
        <v>1.4</v>
      </c>
      <c r="X411" s="1121">
        <v>2.2999999999999998</v>
      </c>
      <c r="Y411" s="1121"/>
      <c r="Z411" s="1121"/>
      <c r="AA411" s="1121">
        <v>0.5</v>
      </c>
      <c r="AB411" s="1121"/>
      <c r="AC411" s="1121" t="s">
        <v>1700</v>
      </c>
      <c r="AD411" s="1121"/>
      <c r="AE411" s="1121"/>
      <c r="AF411" s="1121">
        <v>6000</v>
      </c>
      <c r="AG411" s="288">
        <v>21253.34</v>
      </c>
      <c r="AH411" s="1121">
        <v>2580</v>
      </c>
      <c r="AI411" s="289">
        <v>588</v>
      </c>
      <c r="AJ411" s="1121" t="s">
        <v>959</v>
      </c>
      <c r="AK411" s="1121"/>
      <c r="AL411" s="1121"/>
      <c r="AM411" s="1121" t="s">
        <v>1228</v>
      </c>
      <c r="AN411" s="315">
        <v>5.5</v>
      </c>
      <c r="AO411" s="315"/>
      <c r="AP411" s="315"/>
      <c r="AQ411" s="315"/>
      <c r="AR411" s="315"/>
      <c r="AS411" s="315"/>
      <c r="AT411" s="315">
        <f>+ab($T$411,$T$409,$T$413,$G$410,$G$412,-1*$F$411,1200)</f>
        <v>-20.94671287099041</v>
      </c>
      <c r="AU411" s="315"/>
      <c r="AV411" s="315"/>
      <c r="AW411" s="315" t="s">
        <v>2634</v>
      </c>
      <c r="AX411" s="315" t="s">
        <v>1639</v>
      </c>
      <c r="AY411" s="315">
        <v>3.4</v>
      </c>
      <c r="AZ411" s="315">
        <v>2.5</v>
      </c>
      <c r="BA411" s="315"/>
      <c r="BB411" s="306"/>
    </row>
    <row r="412" spans="1:54" ht="14.25">
      <c r="A412" s="340"/>
      <c r="B412" s="287"/>
      <c r="C412" s="288"/>
      <c r="D412" s="1121"/>
      <c r="E412" s="1121"/>
      <c r="F412" s="289"/>
      <c r="G412" s="292">
        <v>59</v>
      </c>
      <c r="H412" s="291"/>
      <c r="I412" s="291"/>
      <c r="J412" s="288"/>
      <c r="K412" s="1121"/>
      <c r="L412" s="1121"/>
      <c r="M412" s="1121"/>
      <c r="N412" s="1121"/>
      <c r="O412" s="1121"/>
      <c r="P412" s="291"/>
      <c r="Q412" s="1121"/>
      <c r="R412" s="292"/>
      <c r="S412" s="292">
        <v>59.040000000000873</v>
      </c>
      <c r="T412" s="1121"/>
      <c r="U412" s="1121"/>
      <c r="V412" s="1121"/>
      <c r="W412" s="1121"/>
      <c r="X412" s="1121"/>
      <c r="Y412" s="1121"/>
      <c r="Z412" s="1121"/>
      <c r="AA412" s="1121"/>
      <c r="AB412" s="1121"/>
      <c r="AC412" s="1121"/>
      <c r="AD412" s="1121"/>
      <c r="AE412" s="1121"/>
      <c r="AF412" s="1121"/>
      <c r="AG412" s="288"/>
      <c r="AH412" s="1121" t="s">
        <v>695</v>
      </c>
      <c r="AI412" s="289" t="s">
        <v>695</v>
      </c>
      <c r="AJ412" s="1121"/>
      <c r="AK412" s="1121"/>
      <c r="AL412" s="1121"/>
      <c r="AM412" s="1121"/>
      <c r="AN412" s="315"/>
      <c r="AO412" s="315"/>
      <c r="AP412" s="315"/>
      <c r="AQ412" s="315">
        <f>+FL_2($T$413,$T$411,$S$412,1200,9.28,-1*$R$413)</f>
        <v>-0.45311780448300615</v>
      </c>
      <c r="AR412" s="315"/>
      <c r="AS412" s="315"/>
      <c r="AT412" s="315"/>
      <c r="AU412" s="315"/>
      <c r="AV412" s="315"/>
      <c r="AW412" s="315"/>
      <c r="AX412" s="315"/>
      <c r="AY412" s="315"/>
      <c r="AZ412" s="315"/>
      <c r="BA412" s="315"/>
      <c r="BB412" s="306"/>
    </row>
    <row r="413" spans="1:54" ht="14.25">
      <c r="A413" s="340"/>
      <c r="B413" s="1036" t="s">
        <v>3172</v>
      </c>
      <c r="C413" s="288">
        <f>+$C$411+$G$412</f>
        <v>21312.000000000004</v>
      </c>
      <c r="D413" s="1121"/>
      <c r="E413" s="1121">
        <v>-60</v>
      </c>
      <c r="F413" s="289">
        <v>-3500</v>
      </c>
      <c r="G413" s="292"/>
      <c r="H413" s="1121" t="s">
        <v>651</v>
      </c>
      <c r="I413" s="289"/>
      <c r="J413" s="450"/>
      <c r="K413" s="1121"/>
      <c r="L413" s="1121" t="s">
        <v>231</v>
      </c>
      <c r="M413" s="1121" t="s">
        <v>2672</v>
      </c>
      <c r="N413" s="291" t="s">
        <v>145</v>
      </c>
      <c r="O413" s="291" t="s">
        <v>140</v>
      </c>
      <c r="P413" s="291"/>
      <c r="Q413" s="1121">
        <v>60</v>
      </c>
      <c r="R413" s="292">
        <v>-3497.65</v>
      </c>
      <c r="S413" s="292"/>
      <c r="T413" s="1121">
        <v>20</v>
      </c>
      <c r="U413" s="1121">
        <v>-25</v>
      </c>
      <c r="V413" s="1121"/>
      <c r="W413" s="1121">
        <v>1.4</v>
      </c>
      <c r="X413" s="1121">
        <v>2.2999999999999998</v>
      </c>
      <c r="Y413" s="1121"/>
      <c r="Z413" s="1121"/>
      <c r="AA413" s="1121">
        <v>0.5</v>
      </c>
      <c r="AB413" s="1121"/>
      <c r="AC413" s="1121" t="s">
        <v>1704</v>
      </c>
      <c r="AD413" s="1121"/>
      <c r="AE413" s="1121"/>
      <c r="AF413" s="1121">
        <v>6000</v>
      </c>
      <c r="AG413" s="288">
        <v>21312.38</v>
      </c>
      <c r="AH413" s="1121">
        <v>2639</v>
      </c>
      <c r="AI413" s="289">
        <v>588</v>
      </c>
      <c r="AJ413" s="1121"/>
      <c r="AK413" s="1121"/>
      <c r="AL413" s="1121"/>
      <c r="AM413" s="1121" t="s">
        <v>1228</v>
      </c>
      <c r="AN413" s="315">
        <v>5.5</v>
      </c>
      <c r="AO413" s="315"/>
      <c r="AP413" s="315"/>
      <c r="AQ413" s="315"/>
      <c r="AR413" s="315"/>
      <c r="AS413" s="315"/>
      <c r="AT413" s="315">
        <f>+ab($T$413,$T$411,$T$415,$G$412,$G$414,-1*$F$413,1200)</f>
        <v>8.4650518977844929</v>
      </c>
      <c r="AU413" s="315"/>
      <c r="AV413" s="315"/>
      <c r="AW413" s="315" t="s">
        <v>2634</v>
      </c>
      <c r="AX413" s="315" t="s">
        <v>1639</v>
      </c>
      <c r="AY413" s="315">
        <v>3.4</v>
      </c>
      <c r="AZ413" s="315"/>
      <c r="BA413" s="1025"/>
      <c r="BB413" s="306"/>
    </row>
    <row r="414" spans="1:54" ht="14.25">
      <c r="A414" s="340"/>
      <c r="B414" s="287"/>
      <c r="C414" s="288"/>
      <c r="D414" s="1121"/>
      <c r="E414" s="1121"/>
      <c r="F414" s="289"/>
      <c r="G414" s="292">
        <v>57</v>
      </c>
      <c r="H414" s="291"/>
      <c r="I414" s="291"/>
      <c r="J414" s="288"/>
      <c r="K414" s="1121"/>
      <c r="L414" s="1121"/>
      <c r="M414" s="1121"/>
      <c r="N414" s="291"/>
      <c r="O414" s="291"/>
      <c r="P414" s="291"/>
      <c r="Q414" s="1121"/>
      <c r="R414" s="292"/>
      <c r="S414" s="292">
        <v>56.619999999998981</v>
      </c>
      <c r="T414" s="1121"/>
      <c r="U414" s="1121"/>
      <c r="V414" s="1121"/>
      <c r="W414" s="1121"/>
      <c r="X414" s="1121"/>
      <c r="Y414" s="1121"/>
      <c r="Z414" s="1121"/>
      <c r="AA414" s="1121"/>
      <c r="AB414" s="1121"/>
      <c r="AC414" s="1121"/>
      <c r="AD414" s="1121"/>
      <c r="AE414" s="1121"/>
      <c r="AF414" s="1121"/>
      <c r="AG414" s="288"/>
      <c r="AH414" s="1121" t="s">
        <v>695</v>
      </c>
      <c r="AI414" s="289" t="s">
        <v>695</v>
      </c>
      <c r="AJ414" s="1121"/>
      <c r="AK414" s="1121"/>
      <c r="AL414" s="1121"/>
      <c r="AM414" s="1121"/>
      <c r="AN414" s="315"/>
      <c r="AO414" s="315"/>
      <c r="AP414" s="315"/>
      <c r="AQ414" s="315">
        <f>+FL_1($T$415,$T$413,$G$414,1200,9.28,-1*$F$415)</f>
        <v>0.39803236218113702</v>
      </c>
      <c r="AR414" s="315"/>
      <c r="AS414" s="315"/>
      <c r="AT414" s="315"/>
      <c r="AU414" s="315"/>
      <c r="AV414" s="315"/>
      <c r="AW414" s="315"/>
      <c r="AX414" s="315"/>
      <c r="AY414" s="315"/>
      <c r="AZ414" s="315"/>
      <c r="BA414" s="315"/>
      <c r="BB414" s="306"/>
    </row>
    <row r="415" spans="1:54" ht="14.25">
      <c r="A415" s="340"/>
      <c r="B415" s="1036" t="s">
        <v>2231</v>
      </c>
      <c r="C415" s="288">
        <f>+$C$413+$G$414</f>
        <v>21369.000000000004</v>
      </c>
      <c r="D415" s="1121"/>
      <c r="E415" s="1121">
        <v>-60</v>
      </c>
      <c r="F415" s="289">
        <v>-3500</v>
      </c>
      <c r="G415" s="292"/>
      <c r="H415" s="291" t="s">
        <v>651</v>
      </c>
      <c r="I415" s="289"/>
      <c r="J415" s="450"/>
      <c r="K415" s="1121"/>
      <c r="L415" s="1121" t="s">
        <v>231</v>
      </c>
      <c r="M415" s="1121" t="s">
        <v>2672</v>
      </c>
      <c r="N415" s="291" t="s">
        <v>145</v>
      </c>
      <c r="O415" s="291"/>
      <c r="P415" s="291"/>
      <c r="Q415" s="1121">
        <v>60</v>
      </c>
      <c r="R415" s="292">
        <v>-3497.65</v>
      </c>
      <c r="S415" s="292"/>
      <c r="T415" s="1121">
        <v>20</v>
      </c>
      <c r="U415" s="1121">
        <v>-30</v>
      </c>
      <c r="V415" s="1121"/>
      <c r="W415" s="1121">
        <v>1.4</v>
      </c>
      <c r="X415" s="1121">
        <v>2.2999999999999998</v>
      </c>
      <c r="Y415" s="1121"/>
      <c r="Z415" s="1121"/>
      <c r="AA415" s="1121">
        <v>0.5</v>
      </c>
      <c r="AB415" s="1121"/>
      <c r="AC415" s="1121" t="s">
        <v>1704</v>
      </c>
      <c r="AD415" s="1121"/>
      <c r="AE415" s="1121"/>
      <c r="AF415" s="1121">
        <v>6000</v>
      </c>
      <c r="AG415" s="288">
        <v>21369</v>
      </c>
      <c r="AH415" s="1121">
        <v>2616</v>
      </c>
      <c r="AI415" s="289">
        <v>601</v>
      </c>
      <c r="AJ415" s="1121"/>
      <c r="AK415" s="1121"/>
      <c r="AL415" s="1121"/>
      <c r="AM415" s="1121" t="s">
        <v>1228</v>
      </c>
      <c r="AN415" s="315">
        <v>5.5</v>
      </c>
      <c r="AO415" s="315"/>
      <c r="AP415" s="315"/>
      <c r="AQ415" s="315"/>
      <c r="AR415" s="315"/>
      <c r="AS415" s="315"/>
      <c r="AT415" s="315">
        <f>+ab($T$415,$T$413,$T$417,$G$414,$G$416,-1*$F$415,1200)</f>
        <v>12.138457266414544</v>
      </c>
      <c r="AU415" s="315"/>
      <c r="AV415" s="315"/>
      <c r="AW415" s="315" t="s">
        <v>2630</v>
      </c>
      <c r="AX415" s="315" t="s">
        <v>1639</v>
      </c>
      <c r="AY415" s="315">
        <v>3.4</v>
      </c>
      <c r="AZ415" s="315"/>
      <c r="BA415" s="1025" t="s">
        <v>3012</v>
      </c>
      <c r="BB415" s="306"/>
    </row>
    <row r="416" spans="1:54" ht="14.25">
      <c r="A416" s="340"/>
      <c r="B416" s="287"/>
      <c r="C416" s="288"/>
      <c r="D416" s="1121"/>
      <c r="E416" s="1121"/>
      <c r="F416" s="289"/>
      <c r="G416" s="292">
        <v>52</v>
      </c>
      <c r="H416" s="291"/>
      <c r="I416" s="291"/>
      <c r="J416" s="288"/>
      <c r="K416" s="1121"/>
      <c r="L416" s="1121"/>
      <c r="M416" s="1121"/>
      <c r="N416" s="291"/>
      <c r="O416" s="291"/>
      <c r="P416" s="291"/>
      <c r="Q416" s="1121"/>
      <c r="R416" s="292"/>
      <c r="S416" s="292">
        <v>52</v>
      </c>
      <c r="T416" s="1121"/>
      <c r="U416" s="1121"/>
      <c r="V416" s="1121"/>
      <c r="W416" s="1121"/>
      <c r="X416" s="1121"/>
      <c r="Y416" s="1121"/>
      <c r="Z416" s="1121"/>
      <c r="AA416" s="1121"/>
      <c r="AB416" s="1121"/>
      <c r="AC416" s="1121"/>
      <c r="AD416" s="1121"/>
      <c r="AE416" s="1121"/>
      <c r="AF416" s="1121"/>
      <c r="AG416" s="288"/>
      <c r="AH416" s="1121" t="s">
        <v>695</v>
      </c>
      <c r="AI416" s="289" t="s">
        <v>695</v>
      </c>
      <c r="AJ416" s="1121"/>
      <c r="AK416" s="1121"/>
      <c r="AL416" s="1121"/>
      <c r="AM416" s="1121"/>
      <c r="AN416" s="315"/>
      <c r="AO416" s="315"/>
      <c r="AP416" s="315"/>
      <c r="AQ416" s="315">
        <f>+FL_1($T$417,$T$415,$G$416,1200,9.28,-1*$F$417)</f>
        <v>0.36481390576710454</v>
      </c>
      <c r="AR416" s="315"/>
      <c r="AS416" s="315"/>
      <c r="AT416" s="315"/>
      <c r="AU416" s="315"/>
      <c r="AV416" s="315"/>
      <c r="AW416" s="315"/>
      <c r="AX416" s="315"/>
      <c r="AY416" s="315"/>
      <c r="AZ416" s="315"/>
      <c r="BA416" s="315"/>
      <c r="BB416" s="306"/>
    </row>
    <row r="417" spans="1:54" ht="14.25">
      <c r="A417" s="340"/>
      <c r="B417" s="1036" t="s">
        <v>2232</v>
      </c>
      <c r="C417" s="288">
        <f>+$C$415+$G$416</f>
        <v>21421.000000000004</v>
      </c>
      <c r="D417" s="1121"/>
      <c r="E417" s="1121">
        <v>-60</v>
      </c>
      <c r="F417" s="289">
        <v>-3500</v>
      </c>
      <c r="G417" s="292"/>
      <c r="H417" s="291" t="s">
        <v>138</v>
      </c>
      <c r="I417" s="294" t="s">
        <v>656</v>
      </c>
      <c r="J417" s="288"/>
      <c r="K417" s="1121"/>
      <c r="L417" s="1121" t="s">
        <v>1061</v>
      </c>
      <c r="M417" s="1121" t="s">
        <v>2672</v>
      </c>
      <c r="N417" s="1121" t="s">
        <v>145</v>
      </c>
      <c r="O417" s="1121"/>
      <c r="P417" s="1121"/>
      <c r="Q417" s="1121">
        <v>60</v>
      </c>
      <c r="R417" s="292">
        <v>-3497.65</v>
      </c>
      <c r="S417" s="292"/>
      <c r="T417" s="1121">
        <v>20</v>
      </c>
      <c r="U417" s="1121"/>
      <c r="V417" s="1121"/>
      <c r="W417" s="1121">
        <v>1.4</v>
      </c>
      <c r="X417" s="1121"/>
      <c r="Y417" s="1121"/>
      <c r="Z417" s="1121"/>
      <c r="AA417" s="1121"/>
      <c r="AB417" s="1121"/>
      <c r="AC417" s="1121" t="s">
        <v>1704</v>
      </c>
      <c r="AD417" s="1121"/>
      <c r="AE417" s="1121"/>
      <c r="AF417" s="1121">
        <v>6000</v>
      </c>
      <c r="AG417" s="288">
        <v>21421</v>
      </c>
      <c r="AH417" s="1121">
        <v>2572</v>
      </c>
      <c r="AI417" s="289">
        <v>627</v>
      </c>
      <c r="AJ417" s="1121"/>
      <c r="AK417" s="1121"/>
      <c r="AL417" s="1121"/>
      <c r="AM417" s="1121" t="s">
        <v>1228</v>
      </c>
      <c r="AN417" s="315">
        <v>5.5</v>
      </c>
      <c r="AO417" s="315"/>
      <c r="AP417" s="315"/>
      <c r="AQ417" s="315"/>
      <c r="AR417" s="315"/>
      <c r="AS417" s="315"/>
      <c r="AT417" s="315">
        <f>+ab($T$417,$T$415,$T$419,$G$416,$G$418,-1*$F$417,1200)</f>
        <v>12.471390525552774</v>
      </c>
      <c r="AU417" s="315"/>
      <c r="AV417" s="315"/>
      <c r="AW417" s="315" t="s">
        <v>2630</v>
      </c>
      <c r="AX417" s="315" t="s">
        <v>1639</v>
      </c>
      <c r="AY417" s="315">
        <v>3.4</v>
      </c>
      <c r="AZ417" s="315"/>
      <c r="BA417" s="1025" t="s">
        <v>3012</v>
      </c>
      <c r="BB417" s="306"/>
    </row>
    <row r="418" spans="1:54" ht="14.25">
      <c r="A418" s="340"/>
      <c r="B418" s="287"/>
      <c r="C418" s="288"/>
      <c r="D418" s="1121"/>
      <c r="E418" s="1121"/>
      <c r="F418" s="289"/>
      <c r="G418" s="292">
        <v>54</v>
      </c>
      <c r="H418" s="291"/>
      <c r="I418" s="294"/>
      <c r="J418" s="288">
        <f>C417+7.5</f>
        <v>21428.500000000004</v>
      </c>
      <c r="K418" s="1121" t="s">
        <v>653</v>
      </c>
      <c r="L418" s="1121"/>
      <c r="M418" s="1121"/>
      <c r="N418" s="291"/>
      <c r="O418" s="291"/>
      <c r="P418" s="291"/>
      <c r="Q418" s="1121"/>
      <c r="R418" s="292"/>
      <c r="S418" s="292">
        <v>54.200000000000728</v>
      </c>
      <c r="T418" s="1121"/>
      <c r="U418" s="1121"/>
      <c r="V418" s="1121"/>
      <c r="W418" s="1121"/>
      <c r="X418" s="1121"/>
      <c r="Y418" s="1121"/>
      <c r="Z418" s="1121"/>
      <c r="AA418" s="1121"/>
      <c r="AB418" s="1121"/>
      <c r="AC418" s="1121"/>
      <c r="AD418" s="1121"/>
      <c r="AE418" s="1121"/>
      <c r="AF418" s="1121"/>
      <c r="AG418" s="288"/>
      <c r="AH418" s="1121" t="s">
        <v>695</v>
      </c>
      <c r="AI418" s="289" t="s">
        <v>695</v>
      </c>
      <c r="AJ418" s="1121"/>
      <c r="AK418" s="1121"/>
      <c r="AL418" s="1121"/>
      <c r="AM418" s="1121"/>
      <c r="AN418" s="315"/>
      <c r="AO418" s="315"/>
      <c r="AP418" s="315"/>
      <c r="AQ418" s="315">
        <f>+FL_1($T$419,$T$417,$G$418,1200,9.28,-1*$F$419)</f>
        <v>0.37773559342049234</v>
      </c>
      <c r="AR418" s="315"/>
      <c r="AS418" s="315"/>
      <c r="AT418" s="315"/>
      <c r="AU418" s="315"/>
      <c r="AV418" s="315"/>
      <c r="AW418" s="315" t="s">
        <v>2630</v>
      </c>
      <c r="AX418" s="315" t="s">
        <v>1639</v>
      </c>
      <c r="AY418" s="315"/>
      <c r="AZ418" s="315">
        <v>2.5</v>
      </c>
      <c r="BA418" s="1025" t="s">
        <v>3012</v>
      </c>
      <c r="BB418" s="306"/>
    </row>
    <row r="419" spans="1:54" ht="14.25">
      <c r="A419" s="340"/>
      <c r="B419" s="287" t="s">
        <v>2233</v>
      </c>
      <c r="C419" s="288">
        <f>+$C$417+$G$418</f>
        <v>21475.000000000004</v>
      </c>
      <c r="D419" s="1121"/>
      <c r="E419" s="1121">
        <v>-60</v>
      </c>
      <c r="F419" s="289">
        <v>-3500</v>
      </c>
      <c r="G419" s="292"/>
      <c r="H419" s="291"/>
      <c r="I419" s="291"/>
      <c r="J419" s="288"/>
      <c r="K419" s="1121"/>
      <c r="L419" s="1121" t="s">
        <v>230</v>
      </c>
      <c r="M419" s="1121" t="s">
        <v>2671</v>
      </c>
      <c r="N419" s="291" t="s">
        <v>145</v>
      </c>
      <c r="O419" s="291"/>
      <c r="P419" s="291"/>
      <c r="Q419" s="1121">
        <v>60</v>
      </c>
      <c r="R419" s="292">
        <v>-3497.65</v>
      </c>
      <c r="S419" s="292"/>
      <c r="T419" s="1121">
        <v>20</v>
      </c>
      <c r="U419" s="1121"/>
      <c r="V419" s="1121"/>
      <c r="W419" s="1121">
        <v>1.4</v>
      </c>
      <c r="X419" s="1121"/>
      <c r="Y419" s="1121"/>
      <c r="Z419" s="1121"/>
      <c r="AA419" s="1121"/>
      <c r="AB419" s="1121"/>
      <c r="AC419" s="1121" t="s">
        <v>1704</v>
      </c>
      <c r="AD419" s="1121"/>
      <c r="AE419" s="1121"/>
      <c r="AF419" s="1121">
        <v>6000</v>
      </c>
      <c r="AG419" s="288">
        <v>21475.200000000001</v>
      </c>
      <c r="AH419" s="1121">
        <v>2589</v>
      </c>
      <c r="AI419" s="289">
        <v>620</v>
      </c>
      <c r="AJ419" s="1121"/>
      <c r="AK419" s="1121"/>
      <c r="AL419" s="1121"/>
      <c r="AM419" s="1121" t="s">
        <v>1228</v>
      </c>
      <c r="AN419" s="315">
        <v>5.5</v>
      </c>
      <c r="AO419" s="315"/>
      <c r="AP419" s="315"/>
      <c r="AQ419" s="315"/>
      <c r="AR419" s="315"/>
      <c r="AS419" s="315"/>
      <c r="AT419" s="315">
        <f>+ab($T$419,$T$417,$T$421,$G$418,$G$420,-1*$F$419,1200)</f>
        <v>12.138457266414544</v>
      </c>
      <c r="AU419" s="315"/>
      <c r="AV419" s="315"/>
      <c r="AW419" s="315" t="s">
        <v>2630</v>
      </c>
      <c r="AX419" s="315" t="s">
        <v>1639</v>
      </c>
      <c r="AY419" s="315">
        <v>3.4</v>
      </c>
      <c r="AZ419" s="315"/>
      <c r="BA419" s="315"/>
      <c r="BB419" s="306"/>
    </row>
    <row r="420" spans="1:54" ht="14.25">
      <c r="A420" s="340"/>
      <c r="B420" s="287"/>
      <c r="C420" s="288"/>
      <c r="D420" s="1121"/>
      <c r="E420" s="1121"/>
      <c r="F420" s="289"/>
      <c r="G420" s="292">
        <v>55</v>
      </c>
      <c r="H420" s="291"/>
      <c r="I420" s="291"/>
      <c r="J420" s="288"/>
      <c r="K420" s="1121"/>
      <c r="L420" s="1121"/>
      <c r="M420" s="1121"/>
      <c r="N420" s="291"/>
      <c r="O420" s="291"/>
      <c r="P420" s="291"/>
      <c r="Q420" s="1121"/>
      <c r="R420" s="292"/>
      <c r="S420" s="292">
        <v>54.93999999999869</v>
      </c>
      <c r="T420" s="1121"/>
      <c r="U420" s="1121"/>
      <c r="V420" s="1121"/>
      <c r="W420" s="1121"/>
      <c r="X420" s="1121"/>
      <c r="Y420" s="1121"/>
      <c r="Z420" s="1121"/>
      <c r="AA420" s="1121"/>
      <c r="AB420" s="1121"/>
      <c r="AC420" s="1121"/>
      <c r="AD420" s="1121"/>
      <c r="AE420" s="1121"/>
      <c r="AF420" s="1121"/>
      <c r="AG420" s="288"/>
      <c r="AH420" s="1121" t="s">
        <v>695</v>
      </c>
      <c r="AI420" s="289" t="s">
        <v>695</v>
      </c>
      <c r="AJ420" s="1121"/>
      <c r="AK420" s="1121"/>
      <c r="AL420" s="1121"/>
      <c r="AM420" s="1121"/>
      <c r="AN420" s="315"/>
      <c r="AO420" s="315"/>
      <c r="AP420" s="315"/>
      <c r="AQ420" s="315">
        <f>+FL_1($T$421,$T$419,$G$420,1200,9.28,-1*$F$421)</f>
        <v>0.38437928494176837</v>
      </c>
      <c r="AR420" s="315"/>
      <c r="AS420" s="315"/>
      <c r="AT420" s="315"/>
      <c r="AU420" s="315"/>
      <c r="AV420" s="315"/>
      <c r="AW420" s="315"/>
      <c r="AX420" s="315"/>
      <c r="AY420" s="315"/>
      <c r="AZ420" s="315"/>
      <c r="BA420" s="315"/>
      <c r="BB420" s="306"/>
    </row>
    <row r="421" spans="1:54" ht="14.25">
      <c r="A421" s="340"/>
      <c r="B421" s="287" t="s">
        <v>2234</v>
      </c>
      <c r="C421" s="288">
        <f>+$C$419+$G$420</f>
        <v>21530.000000000004</v>
      </c>
      <c r="D421" s="1121"/>
      <c r="E421" s="1121">
        <v>-60</v>
      </c>
      <c r="F421" s="289">
        <v>-3500</v>
      </c>
      <c r="G421" s="292"/>
      <c r="H421" s="291"/>
      <c r="I421" s="294"/>
      <c r="J421" s="288"/>
      <c r="K421" s="1121"/>
      <c r="L421" s="1121" t="s">
        <v>230</v>
      </c>
      <c r="M421" s="1121" t="s">
        <v>2671</v>
      </c>
      <c r="N421" s="291" t="s">
        <v>145</v>
      </c>
      <c r="O421" s="291"/>
      <c r="P421" s="291"/>
      <c r="Q421" s="1121">
        <v>60</v>
      </c>
      <c r="R421" s="292">
        <v>-3497.65</v>
      </c>
      <c r="S421" s="292"/>
      <c r="T421" s="1121">
        <v>20</v>
      </c>
      <c r="U421" s="1121"/>
      <c r="V421" s="1121"/>
      <c r="W421" s="1121">
        <v>1.4</v>
      </c>
      <c r="X421" s="1121"/>
      <c r="Y421" s="1121"/>
      <c r="Z421" s="1121"/>
      <c r="AA421" s="1121"/>
      <c r="AB421" s="1121"/>
      <c r="AC421" s="1121" t="s">
        <v>1704</v>
      </c>
      <c r="AD421" s="1121"/>
      <c r="AE421" s="1121"/>
      <c r="AF421" s="1121">
        <v>6000</v>
      </c>
      <c r="AG421" s="288">
        <v>21530.14</v>
      </c>
      <c r="AH421" s="1121">
        <v>2541</v>
      </c>
      <c r="AI421" s="289">
        <v>615</v>
      </c>
      <c r="AJ421" s="1121"/>
      <c r="AK421" s="1121"/>
      <c r="AL421" s="1121"/>
      <c r="AM421" s="1121" t="s">
        <v>1228</v>
      </c>
      <c r="AN421" s="315">
        <v>5.5</v>
      </c>
      <c r="AO421" s="315"/>
      <c r="AP421" s="315"/>
      <c r="AQ421" s="315"/>
      <c r="AR421" s="315"/>
      <c r="AS421" s="315"/>
      <c r="AT421" s="315">
        <f>+ab($T$421,$T$419,$T$423,$G$420,$G$422,-1*$F$421,1200)</f>
        <v>11.92606388915336</v>
      </c>
      <c r="AU421" s="315"/>
      <c r="AV421" s="315"/>
      <c r="AW421" s="315" t="s">
        <v>2630</v>
      </c>
      <c r="AX421" s="315" t="s">
        <v>1639</v>
      </c>
      <c r="AY421" s="315">
        <v>3.4</v>
      </c>
      <c r="AZ421" s="315"/>
      <c r="BA421" s="315"/>
      <c r="BB421" s="306"/>
    </row>
    <row r="422" spans="1:54" ht="14.25">
      <c r="A422" s="340"/>
      <c r="B422" s="287"/>
      <c r="C422" s="288"/>
      <c r="D422" s="1121"/>
      <c r="E422" s="1121"/>
      <c r="F422" s="289"/>
      <c r="G422" s="292">
        <v>56</v>
      </c>
      <c r="H422" s="291"/>
      <c r="I422" s="291"/>
      <c r="J422" s="288"/>
      <c r="K422" s="1121"/>
      <c r="L422" s="1121"/>
      <c r="M422" s="1121"/>
      <c r="N422" s="291"/>
      <c r="O422" s="291"/>
      <c r="P422" s="291"/>
      <c r="Q422" s="1121"/>
      <c r="R422" s="292"/>
      <c r="S422" s="292">
        <v>56.040000000000873</v>
      </c>
      <c r="T422" s="1121"/>
      <c r="U422" s="1121"/>
      <c r="V422" s="1121"/>
      <c r="W422" s="1121"/>
      <c r="X422" s="1121"/>
      <c r="Y422" s="1121"/>
      <c r="Z422" s="1121"/>
      <c r="AA422" s="1121"/>
      <c r="AB422" s="1121"/>
      <c r="AC422" s="1121"/>
      <c r="AD422" s="1121"/>
      <c r="AE422" s="1121"/>
      <c r="AF422" s="1121"/>
      <c r="AG422" s="288"/>
      <c r="AH422" s="1121" t="s">
        <v>695</v>
      </c>
      <c r="AI422" s="289" t="s">
        <v>695</v>
      </c>
      <c r="AJ422" s="1121"/>
      <c r="AK422" s="1121"/>
      <c r="AL422" s="1121"/>
      <c r="AM422" s="1121"/>
      <c r="AN422" s="315"/>
      <c r="AO422" s="315"/>
      <c r="AP422" s="315"/>
      <c r="AQ422" s="315">
        <f>+FL_1($T$423,$T$421,$G$422,1200,9.28,-1*$F$423)</f>
        <v>0.39114487460914016</v>
      </c>
      <c r="AR422" s="315"/>
      <c r="AS422" s="315"/>
      <c r="AT422" s="315"/>
      <c r="AU422" s="315"/>
      <c r="AV422" s="315"/>
      <c r="AW422" s="315"/>
      <c r="AX422" s="315"/>
      <c r="AY422" s="315"/>
      <c r="AZ422" s="315"/>
      <c r="BA422" s="315"/>
      <c r="BB422" s="306"/>
    </row>
    <row r="423" spans="1:54" ht="14.25">
      <c r="A423" s="340"/>
      <c r="B423" s="287" t="s">
        <v>2235</v>
      </c>
      <c r="C423" s="288">
        <f>+$C$421+$G$422</f>
        <v>21586.000000000004</v>
      </c>
      <c r="D423" s="1121"/>
      <c r="E423" s="1121">
        <v>-60</v>
      </c>
      <c r="F423" s="289">
        <v>-3500</v>
      </c>
      <c r="G423" s="292"/>
      <c r="H423" s="291"/>
      <c r="I423" s="291"/>
      <c r="J423" s="288"/>
      <c r="K423" s="1121"/>
      <c r="L423" s="1121" t="s">
        <v>230</v>
      </c>
      <c r="M423" s="1121" t="s">
        <v>2671</v>
      </c>
      <c r="N423" s="291" t="s">
        <v>145</v>
      </c>
      <c r="O423" s="291"/>
      <c r="P423" s="291"/>
      <c r="Q423" s="1121">
        <v>60</v>
      </c>
      <c r="R423" s="292">
        <v>-3497.65</v>
      </c>
      <c r="S423" s="292"/>
      <c r="T423" s="1121">
        <v>20</v>
      </c>
      <c r="U423" s="1121"/>
      <c r="V423" s="1121"/>
      <c r="W423" s="1121">
        <v>1.4</v>
      </c>
      <c r="X423" s="1121"/>
      <c r="Y423" s="1121"/>
      <c r="Z423" s="1121"/>
      <c r="AA423" s="1121"/>
      <c r="AB423" s="1121"/>
      <c r="AC423" s="1121" t="s">
        <v>1704</v>
      </c>
      <c r="AD423" s="1121"/>
      <c r="AE423" s="1121"/>
      <c r="AF423" s="1121">
        <v>6000</v>
      </c>
      <c r="AG423" s="288">
        <v>21586.18</v>
      </c>
      <c r="AH423" s="1121">
        <v>2600</v>
      </c>
      <c r="AI423" s="289">
        <v>611</v>
      </c>
      <c r="AJ423" s="1121"/>
      <c r="AK423" s="1121"/>
      <c r="AL423" s="1121"/>
      <c r="AM423" s="1121" t="s">
        <v>1228</v>
      </c>
      <c r="AN423" s="315">
        <v>5.5</v>
      </c>
      <c r="AO423" s="315"/>
      <c r="AP423" s="315"/>
      <c r="AQ423" s="315"/>
      <c r="AR423" s="315"/>
      <c r="AS423" s="315"/>
      <c r="AT423" s="315">
        <f>+ab($T$423,$T$421,$T$425,$G$422,$G$424,-1*$F$423,1200)</f>
        <v>11.92606388915336</v>
      </c>
      <c r="AU423" s="315"/>
      <c r="AV423" s="315"/>
      <c r="AW423" s="315" t="s">
        <v>2630</v>
      </c>
      <c r="AX423" s="315" t="s">
        <v>1639</v>
      </c>
      <c r="AY423" s="315">
        <v>3.4</v>
      </c>
      <c r="AZ423" s="315"/>
      <c r="BA423" s="315"/>
      <c r="BB423" s="306"/>
    </row>
    <row r="424" spans="1:54" ht="14.25">
      <c r="A424" s="340"/>
      <c r="B424" s="287"/>
      <c r="C424" s="288"/>
      <c r="D424" s="1121"/>
      <c r="E424" s="1121"/>
      <c r="F424" s="289"/>
      <c r="G424" s="292">
        <v>55</v>
      </c>
      <c r="H424" s="291"/>
      <c r="I424" s="294"/>
      <c r="J424" s="288"/>
      <c r="K424" s="1121"/>
      <c r="L424" s="1121"/>
      <c r="M424" s="1121"/>
      <c r="N424" s="291"/>
      <c r="O424" s="291"/>
      <c r="P424" s="291"/>
      <c r="Q424" s="1121"/>
      <c r="R424" s="292"/>
      <c r="S424" s="292">
        <v>54.970000000001164</v>
      </c>
      <c r="T424" s="1121"/>
      <c r="U424" s="1121"/>
      <c r="V424" s="1121"/>
      <c r="W424" s="1121"/>
      <c r="X424" s="1121"/>
      <c r="Y424" s="1121"/>
      <c r="Z424" s="1121"/>
      <c r="AA424" s="1121"/>
      <c r="AB424" s="1121"/>
      <c r="AC424" s="1121"/>
      <c r="AD424" s="1121"/>
      <c r="AE424" s="1121"/>
      <c r="AF424" s="1121"/>
      <c r="AG424" s="288"/>
      <c r="AH424" s="1121" t="s">
        <v>695</v>
      </c>
      <c r="AI424" s="289" t="s">
        <v>695</v>
      </c>
      <c r="AJ424" s="1121"/>
      <c r="AK424" s="1121"/>
      <c r="AL424" s="1121"/>
      <c r="AM424" s="1121"/>
      <c r="AN424" s="315"/>
      <c r="AO424" s="315"/>
      <c r="AP424" s="315"/>
      <c r="AQ424" s="315">
        <f>+FL_1($T$425,$T$423,$G$424,1200,9.28,-1*$F$425)</f>
        <v>0.38437928494176837</v>
      </c>
      <c r="AR424" s="315"/>
      <c r="AS424" s="315"/>
      <c r="AT424" s="315"/>
      <c r="AU424" s="315"/>
      <c r="AV424" s="315"/>
      <c r="AW424" s="315"/>
      <c r="AX424" s="315"/>
      <c r="AY424" s="315"/>
      <c r="AZ424" s="315"/>
      <c r="BA424" s="315"/>
      <c r="BB424" s="306"/>
    </row>
    <row r="425" spans="1:54" ht="14.25">
      <c r="A425" s="340"/>
      <c r="B425" s="287" t="s">
        <v>2236</v>
      </c>
      <c r="C425" s="288">
        <f>+$C$423+$G$424</f>
        <v>21641.000000000004</v>
      </c>
      <c r="D425" s="1121"/>
      <c r="E425" s="1121">
        <v>-60</v>
      </c>
      <c r="F425" s="289">
        <v>-3500</v>
      </c>
      <c r="G425" s="292"/>
      <c r="H425" s="291"/>
      <c r="I425" s="291"/>
      <c r="J425" s="288"/>
      <c r="K425" s="1121"/>
      <c r="L425" s="1121" t="s">
        <v>230</v>
      </c>
      <c r="M425" s="1121" t="s">
        <v>2671</v>
      </c>
      <c r="N425" s="291" t="s">
        <v>145</v>
      </c>
      <c r="O425" s="291"/>
      <c r="P425" s="291"/>
      <c r="Q425" s="1121">
        <v>60</v>
      </c>
      <c r="R425" s="292">
        <v>-3497.65</v>
      </c>
      <c r="S425" s="292"/>
      <c r="T425" s="1121">
        <v>20</v>
      </c>
      <c r="U425" s="1121"/>
      <c r="V425" s="1121"/>
      <c r="W425" s="1121">
        <v>1.4</v>
      </c>
      <c r="X425" s="1121"/>
      <c r="Y425" s="1121"/>
      <c r="Z425" s="1121"/>
      <c r="AA425" s="1121"/>
      <c r="AB425" s="1121"/>
      <c r="AC425" s="1121" t="s">
        <v>1704</v>
      </c>
      <c r="AD425" s="1121"/>
      <c r="AE425" s="1121"/>
      <c r="AF425" s="1121">
        <v>6000</v>
      </c>
      <c r="AG425" s="288">
        <v>21641.15</v>
      </c>
      <c r="AH425" s="1121">
        <v>2563</v>
      </c>
      <c r="AI425" s="289">
        <v>653</v>
      </c>
      <c r="AJ425" s="1121"/>
      <c r="AK425" s="1121"/>
      <c r="AL425" s="1121"/>
      <c r="AM425" s="1121" t="s">
        <v>1228</v>
      </c>
      <c r="AN425" s="315">
        <v>5.5</v>
      </c>
      <c r="AO425" s="315"/>
      <c r="AP425" s="315"/>
      <c r="AQ425" s="315"/>
      <c r="AR425" s="315"/>
      <c r="AS425" s="315"/>
      <c r="AT425" s="315">
        <f>+ab($T$425,$T$423,$T$427,$G$424,$G$426,-1*$F$425,1200)</f>
        <v>11.92606388915336</v>
      </c>
      <c r="AU425" s="315"/>
      <c r="AV425" s="315"/>
      <c r="AW425" s="315" t="s">
        <v>2630</v>
      </c>
      <c r="AX425" s="315" t="s">
        <v>1639</v>
      </c>
      <c r="AY425" s="315">
        <v>3.4</v>
      </c>
      <c r="AZ425" s="315"/>
      <c r="BA425" s="315"/>
      <c r="BB425" s="306"/>
    </row>
    <row r="426" spans="1:54" ht="14.25">
      <c r="A426" s="340"/>
      <c r="B426" s="287"/>
      <c r="C426" s="288"/>
      <c r="D426" s="1121"/>
      <c r="E426" s="1121"/>
      <c r="F426" s="289"/>
      <c r="G426" s="292">
        <v>56</v>
      </c>
      <c r="H426" s="291"/>
      <c r="I426" s="294"/>
      <c r="J426" s="288"/>
      <c r="K426" s="1121"/>
      <c r="L426" s="1121"/>
      <c r="M426" s="1121"/>
      <c r="N426" s="291"/>
      <c r="O426" s="291"/>
      <c r="P426" s="291"/>
      <c r="Q426" s="1121"/>
      <c r="R426" s="292"/>
      <c r="S426" s="292">
        <v>56.049999999999272</v>
      </c>
      <c r="T426" s="1121"/>
      <c r="U426" s="1121"/>
      <c r="V426" s="1121"/>
      <c r="W426" s="1121"/>
      <c r="X426" s="1121"/>
      <c r="Y426" s="1121"/>
      <c r="Z426" s="1121"/>
      <c r="AA426" s="1121"/>
      <c r="AB426" s="1121"/>
      <c r="AC426" s="1121"/>
      <c r="AD426" s="1121"/>
      <c r="AE426" s="1121"/>
      <c r="AF426" s="1121"/>
      <c r="AG426" s="288"/>
      <c r="AH426" s="1121" t="s">
        <v>695</v>
      </c>
      <c r="AI426" s="289" t="s">
        <v>695</v>
      </c>
      <c r="AJ426" s="1121"/>
      <c r="AK426" s="1121"/>
      <c r="AL426" s="1121"/>
      <c r="AM426" s="1121"/>
      <c r="AN426" s="315"/>
      <c r="AO426" s="315"/>
      <c r="AP426" s="315"/>
      <c r="AQ426" s="315">
        <f>+FL_1($T$427,$T$425,$G$426,1200,9.28,-1*$F$427)</f>
        <v>0.39114487460914016</v>
      </c>
      <c r="AR426" s="315"/>
      <c r="AS426" s="315"/>
      <c r="AT426" s="315"/>
      <c r="AU426" s="315"/>
      <c r="AV426" s="315"/>
      <c r="AW426" s="315"/>
      <c r="AX426" s="315"/>
      <c r="AY426" s="315"/>
      <c r="AZ426" s="315"/>
      <c r="BA426" s="315"/>
      <c r="BB426" s="306"/>
    </row>
    <row r="427" spans="1:54" ht="14.25">
      <c r="A427" s="340"/>
      <c r="B427" s="287" t="s">
        <v>2237</v>
      </c>
      <c r="C427" s="288">
        <f>+$C$425+$G$426</f>
        <v>21697.000000000004</v>
      </c>
      <c r="D427" s="1121"/>
      <c r="E427" s="1121">
        <v>-60</v>
      </c>
      <c r="F427" s="289">
        <v>-3500</v>
      </c>
      <c r="G427" s="292"/>
      <c r="H427" s="291"/>
      <c r="I427" s="294"/>
      <c r="J427" s="288"/>
      <c r="K427" s="1121"/>
      <c r="L427" s="1121" t="s">
        <v>230</v>
      </c>
      <c r="M427" s="1121" t="s">
        <v>2671</v>
      </c>
      <c r="N427" s="291" t="s">
        <v>145</v>
      </c>
      <c r="O427" s="291"/>
      <c r="P427" s="291"/>
      <c r="Q427" s="1121">
        <v>60</v>
      </c>
      <c r="R427" s="292">
        <v>-3497.65</v>
      </c>
      <c r="S427" s="292"/>
      <c r="T427" s="1121">
        <v>20</v>
      </c>
      <c r="U427" s="1121"/>
      <c r="V427" s="1121"/>
      <c r="W427" s="1121">
        <v>1.4</v>
      </c>
      <c r="X427" s="1121"/>
      <c r="Y427" s="1121"/>
      <c r="Z427" s="1121"/>
      <c r="AA427" s="1121"/>
      <c r="AB427" s="1121"/>
      <c r="AC427" s="1121" t="s">
        <v>1704</v>
      </c>
      <c r="AD427" s="1121"/>
      <c r="AE427" s="1121"/>
      <c r="AF427" s="1121">
        <v>6000</v>
      </c>
      <c r="AG427" s="288">
        <v>21697.200000000001</v>
      </c>
      <c r="AH427" s="1121">
        <v>2580</v>
      </c>
      <c r="AI427" s="289">
        <v>642</v>
      </c>
      <c r="AJ427" s="1121"/>
      <c r="AK427" s="1121"/>
      <c r="AL427" s="1121"/>
      <c r="AM427" s="1121" t="s">
        <v>1228</v>
      </c>
      <c r="AN427" s="315">
        <v>5.5</v>
      </c>
      <c r="AO427" s="315"/>
      <c r="AP427" s="315"/>
      <c r="AQ427" s="315"/>
      <c r="AR427" s="315"/>
      <c r="AS427" s="315"/>
      <c r="AT427" s="315">
        <f>+ab($T$427,$T$425,$T$429,$G$426,$G$428,-1*$F$427,1200)</f>
        <v>11.92606388915336</v>
      </c>
      <c r="AU427" s="315"/>
      <c r="AV427" s="315"/>
      <c r="AW427" s="315" t="s">
        <v>2630</v>
      </c>
      <c r="AX427" s="315" t="s">
        <v>1639</v>
      </c>
      <c r="AY427" s="315">
        <v>3.4</v>
      </c>
      <c r="AZ427" s="315"/>
      <c r="BA427" s="315"/>
      <c r="BB427" s="306"/>
    </row>
    <row r="428" spans="1:54" ht="14.25">
      <c r="A428" s="340"/>
      <c r="B428" s="287"/>
      <c r="C428" s="288"/>
      <c r="D428" s="1121"/>
      <c r="E428" s="1121"/>
      <c r="F428" s="289"/>
      <c r="G428" s="292">
        <v>55</v>
      </c>
      <c r="H428" s="291"/>
      <c r="I428" s="294"/>
      <c r="J428" s="288"/>
      <c r="K428" s="1121"/>
      <c r="L428" s="1121"/>
      <c r="M428" s="1121"/>
      <c r="N428" s="291"/>
      <c r="O428" s="291"/>
      <c r="P428" s="291"/>
      <c r="Q428" s="1121"/>
      <c r="R428" s="292"/>
      <c r="S428" s="292">
        <v>54.919999999998254</v>
      </c>
      <c r="T428" s="1121"/>
      <c r="U428" s="1121"/>
      <c r="V428" s="1121"/>
      <c r="W428" s="1121"/>
      <c r="X428" s="1121"/>
      <c r="Y428" s="1121"/>
      <c r="Z428" s="1121"/>
      <c r="AA428" s="1121"/>
      <c r="AB428" s="1121"/>
      <c r="AC428" s="1121"/>
      <c r="AD428" s="1121"/>
      <c r="AE428" s="1121"/>
      <c r="AF428" s="1121"/>
      <c r="AG428" s="288"/>
      <c r="AH428" s="1121" t="s">
        <v>695</v>
      </c>
      <c r="AI428" s="289" t="s">
        <v>695</v>
      </c>
      <c r="AJ428" s="1121"/>
      <c r="AK428" s="1121"/>
      <c r="AL428" s="1121"/>
      <c r="AM428" s="1121"/>
      <c r="AN428" s="315"/>
      <c r="AO428" s="315"/>
      <c r="AP428" s="315"/>
      <c r="AQ428" s="315">
        <f>+FL_1($T$429,$T$427,$G$428,1200,9.28,-1*$F$429)</f>
        <v>0.38437928494176837</v>
      </c>
      <c r="AR428" s="315"/>
      <c r="AS428" s="315"/>
      <c r="AT428" s="315"/>
      <c r="AU428" s="315"/>
      <c r="AV428" s="315"/>
      <c r="AW428" s="315"/>
      <c r="AX428" s="315"/>
      <c r="AY428" s="315"/>
      <c r="AZ428" s="315"/>
      <c r="BA428" s="315"/>
      <c r="BB428" s="306"/>
    </row>
    <row r="429" spans="1:54" ht="14.25">
      <c r="A429" s="340"/>
      <c r="B429" s="287" t="s">
        <v>2239</v>
      </c>
      <c r="C429" s="288">
        <f>+$C$427+$G$428</f>
        <v>21752.000000000004</v>
      </c>
      <c r="D429" s="1121"/>
      <c r="E429" s="1121">
        <v>-60</v>
      </c>
      <c r="F429" s="289">
        <v>-3500</v>
      </c>
      <c r="G429" s="292"/>
      <c r="H429" s="292"/>
      <c r="I429" s="294"/>
      <c r="J429" s="288"/>
      <c r="K429" s="1121"/>
      <c r="L429" s="1121" t="s">
        <v>230</v>
      </c>
      <c r="M429" s="386" t="s">
        <v>2757</v>
      </c>
      <c r="N429" s="291" t="s">
        <v>145</v>
      </c>
      <c r="O429" s="291"/>
      <c r="P429" s="291"/>
      <c r="Q429" s="1121">
        <v>60</v>
      </c>
      <c r="R429" s="292">
        <v>-3497.65</v>
      </c>
      <c r="S429" s="292"/>
      <c r="T429" s="1121">
        <v>20</v>
      </c>
      <c r="U429" s="1121"/>
      <c r="V429" s="1121"/>
      <c r="W429" s="1121">
        <v>1.4</v>
      </c>
      <c r="X429" s="1121"/>
      <c r="Y429" s="1121"/>
      <c r="Z429" s="1121"/>
      <c r="AA429" s="1121"/>
      <c r="AB429" s="1121"/>
      <c r="AC429" s="1121" t="s">
        <v>1704</v>
      </c>
      <c r="AD429" s="1121"/>
      <c r="AE429" s="1121"/>
      <c r="AF429" s="1121">
        <v>6000</v>
      </c>
      <c r="AG429" s="288">
        <v>21752.12</v>
      </c>
      <c r="AH429" s="1121">
        <v>2544</v>
      </c>
      <c r="AI429" s="289">
        <v>655</v>
      </c>
      <c r="AJ429" s="386"/>
      <c r="AK429" s="1121"/>
      <c r="AL429" s="1121"/>
      <c r="AM429" s="1121" t="s">
        <v>1228</v>
      </c>
      <c r="AN429" s="315">
        <v>5.5</v>
      </c>
      <c r="AO429" s="315"/>
      <c r="AP429" s="315"/>
      <c r="AQ429" s="315"/>
      <c r="AR429" s="315"/>
      <c r="AS429" s="315"/>
      <c r="AT429" s="315">
        <f>+ab($T$429,$T$427,$T$431,$G$428,$G$430,-1*$F$429,1200)</f>
        <v>12.247472644781666</v>
      </c>
      <c r="AU429" s="315"/>
      <c r="AV429" s="315"/>
      <c r="AW429" s="315" t="s">
        <v>2634</v>
      </c>
      <c r="AX429" s="315" t="s">
        <v>1641</v>
      </c>
      <c r="AY429" s="315">
        <v>4.2</v>
      </c>
      <c r="AZ429" s="315"/>
      <c r="BA429" s="315"/>
      <c r="BB429" s="306"/>
    </row>
    <row r="430" spans="1:54" ht="14.25">
      <c r="A430" s="340"/>
      <c r="B430" s="287"/>
      <c r="C430" s="288"/>
      <c r="D430" s="1121"/>
      <c r="E430" s="289"/>
      <c r="F430" s="289"/>
      <c r="G430" s="292">
        <v>53</v>
      </c>
      <c r="H430" s="291"/>
      <c r="I430" s="294"/>
      <c r="J430" s="288">
        <f>C431-7.5</f>
        <v>21797.500000000004</v>
      </c>
      <c r="K430" s="1121" t="s">
        <v>3018</v>
      </c>
      <c r="L430" s="1121"/>
      <c r="M430" s="386"/>
      <c r="N430" s="291"/>
      <c r="O430" s="291"/>
      <c r="P430" s="291"/>
      <c r="Q430" s="1121"/>
      <c r="R430" s="292"/>
      <c r="S430" s="292">
        <v>53.17</v>
      </c>
      <c r="T430" s="1121"/>
      <c r="U430" s="1121"/>
      <c r="V430" s="1121"/>
      <c r="W430" s="1121"/>
      <c r="X430" s="1121"/>
      <c r="Y430" s="1121"/>
      <c r="Z430" s="1121"/>
      <c r="AA430" s="1121"/>
      <c r="AB430" s="1121"/>
      <c r="AC430" s="1121"/>
      <c r="AD430" s="1121"/>
      <c r="AE430" s="1121"/>
      <c r="AF430" s="1121"/>
      <c r="AG430" s="288"/>
      <c r="AH430" s="1121" t="s">
        <v>695</v>
      </c>
      <c r="AI430" s="289" t="s">
        <v>695</v>
      </c>
      <c r="AJ430" s="386"/>
      <c r="AK430" s="1121"/>
      <c r="AL430" s="1121"/>
      <c r="AM430" s="1121"/>
      <c r="AN430" s="315"/>
      <c r="AO430" s="315"/>
      <c r="AP430" s="315"/>
      <c r="AQ430" s="315">
        <f>+FL_1($T$431,$T$429,$G$430,1200,9.28,-1*$F$431)</f>
        <v>0.37121380028405454</v>
      </c>
      <c r="AR430" s="315"/>
      <c r="AS430" s="315"/>
      <c r="AT430" s="315"/>
      <c r="AU430" s="315"/>
      <c r="AV430" s="315"/>
      <c r="AW430" s="315" t="s">
        <v>2634</v>
      </c>
      <c r="AX430" s="315" t="s">
        <v>1641</v>
      </c>
      <c r="AY430" s="315"/>
      <c r="AZ430" s="315">
        <v>3.5</v>
      </c>
      <c r="BA430" s="315"/>
      <c r="BB430" s="306"/>
    </row>
    <row r="431" spans="1:54" ht="14.25">
      <c r="A431" s="340"/>
      <c r="B431" s="287" t="s">
        <v>3173</v>
      </c>
      <c r="C431" s="288">
        <f>+$C$429+$G$430</f>
        <v>21805.000000000004</v>
      </c>
      <c r="D431" s="1121"/>
      <c r="E431" s="289">
        <v>-60</v>
      </c>
      <c r="F431" s="289">
        <v>-3500</v>
      </c>
      <c r="G431" s="292"/>
      <c r="H431" s="292" t="s">
        <v>954</v>
      </c>
      <c r="I431" s="291"/>
      <c r="J431" s="288"/>
      <c r="K431" s="1121"/>
      <c r="L431" s="1121" t="s">
        <v>231</v>
      </c>
      <c r="M431" s="386" t="s">
        <v>2756</v>
      </c>
      <c r="N431" s="291" t="s">
        <v>145</v>
      </c>
      <c r="O431" s="291"/>
      <c r="P431" s="291"/>
      <c r="Q431" s="1121">
        <v>60</v>
      </c>
      <c r="R431" s="292">
        <v>-3497.65</v>
      </c>
      <c r="S431" s="292"/>
      <c r="T431" s="1121">
        <v>20</v>
      </c>
      <c r="U431" s="1121"/>
      <c r="V431" s="1121"/>
      <c r="W431" s="1121">
        <v>1.4</v>
      </c>
      <c r="X431" s="1121"/>
      <c r="Y431" s="1121"/>
      <c r="Z431" s="1121"/>
      <c r="AA431" s="1121"/>
      <c r="AB431" s="1121"/>
      <c r="AC431" s="1121" t="s">
        <v>1704</v>
      </c>
      <c r="AD431" s="1121"/>
      <c r="AE431" s="1121"/>
      <c r="AF431" s="1121">
        <v>6000</v>
      </c>
      <c r="AG431" s="288">
        <v>21805.29</v>
      </c>
      <c r="AH431" s="1121">
        <v>2158</v>
      </c>
      <c r="AI431" s="289">
        <v>517</v>
      </c>
      <c r="AJ431" s="386"/>
      <c r="AK431" s="1121"/>
      <c r="AL431" s="1121"/>
      <c r="AM431" s="1121" t="s">
        <v>1228</v>
      </c>
      <c r="AN431" s="315">
        <v>5.5</v>
      </c>
      <c r="AO431" s="315"/>
      <c r="AP431" s="315"/>
      <c r="AQ431" s="315"/>
      <c r="AR431" s="315"/>
      <c r="AS431" s="315"/>
      <c r="AT431" s="315">
        <f>+ab($T$431,$T$429,$T$433,$G$430,$G$432,-1*$F$431,1200)</f>
        <v>12.181833233705119</v>
      </c>
      <c r="AU431" s="315"/>
      <c r="AV431" s="315"/>
      <c r="AW431" s="315" t="s">
        <v>2634</v>
      </c>
      <c r="AX431" s="315" t="s">
        <v>1641</v>
      </c>
      <c r="AY431" s="315">
        <v>4.2</v>
      </c>
      <c r="AZ431" s="315"/>
      <c r="BA431" s="315"/>
      <c r="BB431" s="306"/>
    </row>
    <row r="432" spans="1:54" ht="14.25">
      <c r="A432" s="341" t="s">
        <v>2238</v>
      </c>
      <c r="B432" s="363"/>
      <c r="C432" s="342"/>
      <c r="D432" s="343"/>
      <c r="E432" s="344"/>
      <c r="F432" s="344"/>
      <c r="G432" s="345">
        <v>55.6</v>
      </c>
      <c r="H432" s="387"/>
      <c r="I432" s="388">
        <f>SUM(G408:G432)</f>
        <v>714.6</v>
      </c>
      <c r="J432" s="389"/>
      <c r="K432" s="390"/>
      <c r="L432" s="390"/>
      <c r="M432" s="390"/>
      <c r="N432" s="387"/>
      <c r="O432" s="387"/>
      <c r="P432" s="387"/>
      <c r="Q432" s="390"/>
      <c r="R432" s="395"/>
      <c r="S432" s="395">
        <v>55.340000000000146</v>
      </c>
      <c r="T432" s="390"/>
      <c r="U432" s="390"/>
      <c r="V432" s="390"/>
      <c r="W432" s="390"/>
      <c r="X432" s="390"/>
      <c r="Y432" s="390"/>
      <c r="Z432" s="390"/>
      <c r="AA432" s="390"/>
      <c r="AB432" s="390"/>
      <c r="AC432" s="390"/>
      <c r="AD432" s="390"/>
      <c r="AE432" s="390"/>
      <c r="AF432" s="390"/>
      <c r="AG432" s="342"/>
      <c r="AH432" s="390" t="s">
        <v>695</v>
      </c>
      <c r="AI432" s="394" t="s">
        <v>695</v>
      </c>
      <c r="AJ432" s="390"/>
      <c r="AK432" s="390"/>
      <c r="AL432" s="390"/>
      <c r="AM432" s="390"/>
      <c r="AN432" s="381"/>
      <c r="AO432" s="381"/>
      <c r="AP432" s="381"/>
      <c r="AQ432" s="381">
        <f>+FL_1($T$433,$T$431,$G$432,1200,10.96,-1*$F$433)</f>
        <v>0.44252281098013957</v>
      </c>
      <c r="AR432" s="381"/>
      <c r="AS432" s="381"/>
      <c r="AT432" s="381"/>
      <c r="AU432" s="381"/>
      <c r="AV432" s="381"/>
      <c r="AW432" s="381"/>
      <c r="AX432" s="381"/>
      <c r="AY432" s="381"/>
      <c r="AZ432" s="381"/>
      <c r="BA432" s="381"/>
      <c r="BB432" s="306"/>
    </row>
    <row r="433" spans="1:57" ht="14.25">
      <c r="A433" s="341"/>
      <c r="B433" s="363" t="s">
        <v>3174</v>
      </c>
      <c r="C433" s="342">
        <f>+$C$431+$G$432</f>
        <v>21860.600000000002</v>
      </c>
      <c r="D433" s="343"/>
      <c r="E433" s="344">
        <v>-60</v>
      </c>
      <c r="F433" s="344">
        <v>-3500</v>
      </c>
      <c r="G433" s="345"/>
      <c r="H433" s="387" t="s">
        <v>955</v>
      </c>
      <c r="I433" s="387"/>
      <c r="J433" s="389"/>
      <c r="K433" s="390"/>
      <c r="L433" s="390" t="s">
        <v>1066</v>
      </c>
      <c r="M433" s="390" t="s">
        <v>474</v>
      </c>
      <c r="N433" s="387" t="s">
        <v>145</v>
      </c>
      <c r="O433" s="387"/>
      <c r="P433" s="387"/>
      <c r="Q433" s="390">
        <v>60</v>
      </c>
      <c r="R433" s="395">
        <v>-3497.65</v>
      </c>
      <c r="S433" s="395"/>
      <c r="T433" s="390">
        <v>20</v>
      </c>
      <c r="U433" s="390"/>
      <c r="V433" s="390"/>
      <c r="W433" s="390">
        <v>1.4</v>
      </c>
      <c r="X433" s="390"/>
      <c r="Y433" s="390"/>
      <c r="Z433" s="390"/>
      <c r="AA433" s="390"/>
      <c r="AB433" s="390"/>
      <c r="AC433" s="390" t="s">
        <v>1704</v>
      </c>
      <c r="AD433" s="390"/>
      <c r="AE433" s="390"/>
      <c r="AF433" s="390">
        <v>5400</v>
      </c>
      <c r="AG433" s="342">
        <v>21860.63</v>
      </c>
      <c r="AH433" s="390">
        <v>3143</v>
      </c>
      <c r="AI433" s="394">
        <v>-184</v>
      </c>
      <c r="AJ433" s="390"/>
      <c r="AK433" s="390"/>
      <c r="AL433" s="390"/>
      <c r="AM433" s="390" t="s">
        <v>1228</v>
      </c>
      <c r="AN433" s="381">
        <v>5.5</v>
      </c>
      <c r="AO433" s="381"/>
      <c r="AP433" s="381"/>
      <c r="AQ433" s="381"/>
      <c r="AR433" s="381"/>
      <c r="AS433" s="381"/>
      <c r="AT433" s="381">
        <f>+ab($T$433,$T$431,$T$435,$G$432,$G$434,-1*$F$433,1200)</f>
        <v>11.464311825888592</v>
      </c>
      <c r="AU433" s="381"/>
      <c r="AV433" s="381"/>
      <c r="AW433" s="381" t="s">
        <v>699</v>
      </c>
      <c r="AX433" s="381" t="s">
        <v>699</v>
      </c>
      <c r="AY433" s="381" t="s">
        <v>699</v>
      </c>
      <c r="AZ433" s="381" t="s">
        <v>699</v>
      </c>
      <c r="BA433" s="381"/>
      <c r="BB433" s="306"/>
    </row>
    <row r="434" spans="1:57" ht="14.25">
      <c r="A434" s="341"/>
      <c r="B434" s="363"/>
      <c r="C434" s="342"/>
      <c r="D434" s="343"/>
      <c r="E434" s="344"/>
      <c r="F434" s="344"/>
      <c r="G434" s="345">
        <v>60</v>
      </c>
      <c r="H434" s="387"/>
      <c r="I434" s="388">
        <f>SUM(G434:G456)</f>
        <v>677.3</v>
      </c>
      <c r="J434" s="389"/>
      <c r="K434" s="390"/>
      <c r="L434" s="390"/>
      <c r="M434" s="390"/>
      <c r="N434" s="387"/>
      <c r="O434" s="387"/>
      <c r="P434" s="387"/>
      <c r="Q434" s="390"/>
      <c r="R434" s="395"/>
      <c r="S434" s="395">
        <v>59.889999999999418</v>
      </c>
      <c r="T434" s="390"/>
      <c r="U434" s="390"/>
      <c r="V434" s="390"/>
      <c r="W434" s="390"/>
      <c r="X434" s="390"/>
      <c r="Y434" s="390"/>
      <c r="Z434" s="390"/>
      <c r="AA434" s="390"/>
      <c r="AB434" s="390"/>
      <c r="AC434" s="390"/>
      <c r="AD434" s="390"/>
      <c r="AE434" s="390"/>
      <c r="AF434" s="390"/>
      <c r="AG434" s="342"/>
      <c r="AH434" s="390" t="s">
        <v>695</v>
      </c>
      <c r="AI434" s="394" t="s">
        <v>695</v>
      </c>
      <c r="AJ434" s="390"/>
      <c r="AK434" s="390"/>
      <c r="AL434" s="390"/>
      <c r="AM434" s="390"/>
      <c r="AN434" s="381"/>
      <c r="AO434" s="381"/>
      <c r="AP434" s="381"/>
      <c r="AQ434" s="381">
        <f>+FL_1($T$435,$T$433,$G$434,1200,10.96,-1*$F$435)</f>
        <v>0.48242620982558582</v>
      </c>
      <c r="AR434" s="381"/>
      <c r="AS434" s="381"/>
      <c r="AT434" s="381"/>
      <c r="AU434" s="381"/>
      <c r="AV434" s="381"/>
      <c r="AW434" s="381"/>
      <c r="AX434" s="381"/>
      <c r="AY434" s="381"/>
      <c r="AZ434" s="381"/>
      <c r="BA434" s="381"/>
      <c r="BB434" s="306"/>
    </row>
    <row r="435" spans="1:57" ht="14.25">
      <c r="A435" s="341"/>
      <c r="B435" s="363" t="s">
        <v>3175</v>
      </c>
      <c r="C435" s="342">
        <f>+$C$433+$G$434</f>
        <v>21920.600000000002</v>
      </c>
      <c r="D435" s="343"/>
      <c r="E435" s="344">
        <v>-60</v>
      </c>
      <c r="F435" s="344">
        <v>-3500</v>
      </c>
      <c r="G435" s="345"/>
      <c r="H435" s="387" t="s">
        <v>954</v>
      </c>
      <c r="I435" s="387"/>
      <c r="J435" s="389"/>
      <c r="K435" s="390"/>
      <c r="L435" s="390" t="s">
        <v>2828</v>
      </c>
      <c r="M435" s="343" t="s">
        <v>2805</v>
      </c>
      <c r="N435" s="387" t="s">
        <v>145</v>
      </c>
      <c r="O435" s="387"/>
      <c r="P435" s="387"/>
      <c r="Q435" s="390">
        <v>60</v>
      </c>
      <c r="R435" s="395">
        <v>-3497.65</v>
      </c>
      <c r="S435" s="395"/>
      <c r="T435" s="390">
        <v>20</v>
      </c>
      <c r="U435" s="390"/>
      <c r="V435" s="390"/>
      <c r="W435" s="390">
        <v>1.4</v>
      </c>
      <c r="X435" s="390"/>
      <c r="Y435" s="390"/>
      <c r="Z435" s="390"/>
      <c r="AA435" s="390"/>
      <c r="AB435" s="390"/>
      <c r="AC435" s="390" t="s">
        <v>1704</v>
      </c>
      <c r="AD435" s="390"/>
      <c r="AE435" s="390"/>
      <c r="AF435" s="390">
        <v>6400</v>
      </c>
      <c r="AG435" s="342">
        <v>21920.52</v>
      </c>
      <c r="AH435" s="390">
        <v>3090</v>
      </c>
      <c r="AI435" s="394">
        <v>1256</v>
      </c>
      <c r="AJ435" s="390"/>
      <c r="AK435" s="390"/>
      <c r="AL435" s="390"/>
      <c r="AM435" s="390" t="s">
        <v>1228</v>
      </c>
      <c r="AN435" s="381">
        <v>5.5</v>
      </c>
      <c r="AO435" s="381"/>
      <c r="AP435" s="381"/>
      <c r="AQ435" s="381"/>
      <c r="AR435" s="381"/>
      <c r="AS435" s="381"/>
      <c r="AT435" s="381">
        <f>+ab($T$435,$T$433,$T$437,$G$434,$G$436,-1*$F$435,1200)</f>
        <v>10.757120356290399</v>
      </c>
      <c r="AU435" s="381"/>
      <c r="AV435" s="381"/>
      <c r="AW435" s="381" t="s">
        <v>699</v>
      </c>
      <c r="AX435" s="381" t="s">
        <v>699</v>
      </c>
      <c r="AY435" s="381" t="s">
        <v>699</v>
      </c>
      <c r="AZ435" s="381" t="s">
        <v>699</v>
      </c>
      <c r="BA435" s="381"/>
      <c r="BB435" s="306"/>
    </row>
    <row r="436" spans="1:57" ht="14.25">
      <c r="A436" s="341" t="s">
        <v>2240</v>
      </c>
      <c r="B436" s="363"/>
      <c r="C436" s="342"/>
      <c r="D436" s="343"/>
      <c r="E436" s="344"/>
      <c r="F436" s="344"/>
      <c r="G436" s="345">
        <v>63.4</v>
      </c>
      <c r="H436" s="387"/>
      <c r="I436" s="387"/>
      <c r="J436" s="389"/>
      <c r="K436" s="390"/>
      <c r="L436" s="390"/>
      <c r="M436" s="390"/>
      <c r="N436" s="387"/>
      <c r="O436" s="387"/>
      <c r="P436" s="387"/>
      <c r="Q436" s="390"/>
      <c r="R436" s="395"/>
      <c r="S436" s="395">
        <v>63.239999999997963</v>
      </c>
      <c r="T436" s="390"/>
      <c r="U436" s="390"/>
      <c r="V436" s="390"/>
      <c r="W436" s="390"/>
      <c r="X436" s="390"/>
      <c r="Y436" s="390"/>
      <c r="Z436" s="390"/>
      <c r="AA436" s="390"/>
      <c r="AB436" s="390"/>
      <c r="AC436" s="390"/>
      <c r="AD436" s="390"/>
      <c r="AE436" s="390"/>
      <c r="AF436" s="390"/>
      <c r="AG436" s="342"/>
      <c r="AH436" s="390" t="s">
        <v>695</v>
      </c>
      <c r="AI436" s="394" t="s">
        <v>695</v>
      </c>
      <c r="AJ436" s="390"/>
      <c r="AK436" s="390"/>
      <c r="AL436" s="390"/>
      <c r="AM436" s="390"/>
      <c r="AN436" s="381"/>
      <c r="AO436" s="381"/>
      <c r="AP436" s="381"/>
      <c r="AQ436" s="381">
        <f>+FL_1($T$437,$T$435,$G$436,1200,9.28,-1*$F$437)</f>
        <v>0.44499880822548721</v>
      </c>
      <c r="AR436" s="381"/>
      <c r="AS436" s="381"/>
      <c r="AT436" s="381"/>
      <c r="AU436" s="381"/>
      <c r="AV436" s="381"/>
      <c r="AW436" s="381"/>
      <c r="AX436" s="381"/>
      <c r="AY436" s="381"/>
      <c r="AZ436" s="381"/>
      <c r="BA436" s="381"/>
      <c r="BB436" s="306"/>
    </row>
    <row r="437" spans="1:57" ht="14.25">
      <c r="A437" s="340"/>
      <c r="B437" s="287" t="s">
        <v>3176</v>
      </c>
      <c r="C437" s="288">
        <f>+$C$435+$G$436</f>
        <v>21984.000000000004</v>
      </c>
      <c r="D437" s="1121"/>
      <c r="E437" s="1121">
        <v>-60</v>
      </c>
      <c r="F437" s="289">
        <v>-3500</v>
      </c>
      <c r="G437" s="292"/>
      <c r="H437" s="292"/>
      <c r="I437" s="291"/>
      <c r="J437" s="288"/>
      <c r="K437" s="1121"/>
      <c r="L437" s="1121" t="s">
        <v>230</v>
      </c>
      <c r="M437" s="1121" t="s">
        <v>2757</v>
      </c>
      <c r="N437" s="291" t="s">
        <v>145</v>
      </c>
      <c r="O437" s="291"/>
      <c r="P437" s="291"/>
      <c r="Q437" s="1121">
        <v>60</v>
      </c>
      <c r="R437" s="292">
        <v>-3497.65</v>
      </c>
      <c r="S437" s="292"/>
      <c r="T437" s="1121">
        <v>20</v>
      </c>
      <c r="U437" s="1121"/>
      <c r="V437" s="1121"/>
      <c r="W437" s="1121">
        <v>1.4</v>
      </c>
      <c r="X437" s="1121"/>
      <c r="Y437" s="1121"/>
      <c r="Z437" s="1121"/>
      <c r="AA437" s="1121"/>
      <c r="AB437" s="1121"/>
      <c r="AC437" s="1121" t="s">
        <v>1704</v>
      </c>
      <c r="AD437" s="1121"/>
      <c r="AE437" s="1121"/>
      <c r="AF437" s="1121">
        <v>6000</v>
      </c>
      <c r="AG437" s="288">
        <v>21983.759999999998</v>
      </c>
      <c r="AH437" s="1121">
        <v>2697</v>
      </c>
      <c r="AI437" s="289">
        <v>657</v>
      </c>
      <c r="AJ437" s="1121"/>
      <c r="AK437" s="1121"/>
      <c r="AL437" s="1121"/>
      <c r="AM437" s="1121" t="s">
        <v>1228</v>
      </c>
      <c r="AN437" s="315">
        <v>5.5</v>
      </c>
      <c r="AO437" s="315"/>
      <c r="AP437" s="315"/>
      <c r="AQ437" s="315"/>
      <c r="AR437" s="315"/>
      <c r="AS437" s="315"/>
      <c r="AT437" s="315">
        <f>+ab($T$437,$T$435,$T$439,$G$436,$G$438,-1*$F$437,1200)</f>
        <v>11.293089632691093</v>
      </c>
      <c r="AU437" s="315"/>
      <c r="AV437" s="315"/>
      <c r="AW437" s="315" t="s">
        <v>2634</v>
      </c>
      <c r="AX437" s="315" t="s">
        <v>1641</v>
      </c>
      <c r="AY437" s="315">
        <v>4.2</v>
      </c>
      <c r="AZ437" s="315"/>
      <c r="BA437" s="315"/>
      <c r="BB437" s="306"/>
    </row>
    <row r="438" spans="1:57" ht="14.25">
      <c r="A438" s="340"/>
      <c r="B438" s="287"/>
      <c r="C438" s="288"/>
      <c r="D438" s="1121"/>
      <c r="E438" s="1121"/>
      <c r="F438" s="289"/>
      <c r="G438" s="292">
        <v>54</v>
      </c>
      <c r="H438" s="291"/>
      <c r="I438" s="294"/>
      <c r="J438" s="288"/>
      <c r="K438" s="1121"/>
      <c r="L438" s="1121"/>
      <c r="M438" s="1121"/>
      <c r="N438" s="291"/>
      <c r="O438" s="291"/>
      <c r="P438" s="291"/>
      <c r="Q438" s="1121"/>
      <c r="R438" s="292"/>
      <c r="S438" s="292">
        <v>54.040000000000873</v>
      </c>
      <c r="T438" s="1121"/>
      <c r="U438" s="1121"/>
      <c r="V438" s="1121"/>
      <c r="W438" s="1121"/>
      <c r="X438" s="1121"/>
      <c r="Y438" s="1121"/>
      <c r="Z438" s="1121"/>
      <c r="AA438" s="1121"/>
      <c r="AB438" s="1121"/>
      <c r="AC438" s="1121"/>
      <c r="AD438" s="1121"/>
      <c r="AE438" s="1121"/>
      <c r="AF438" s="1121"/>
      <c r="AG438" s="288"/>
      <c r="AH438" s="1121" t="s">
        <v>695</v>
      </c>
      <c r="AI438" s="289" t="s">
        <v>695</v>
      </c>
      <c r="AJ438" s="1121"/>
      <c r="AK438" s="1121"/>
      <c r="AL438" s="1121"/>
      <c r="AM438" s="1121"/>
      <c r="AN438" s="315"/>
      <c r="AO438" s="315"/>
      <c r="AP438" s="315"/>
      <c r="AQ438" s="315">
        <f>+FL_1($T$439,$T$437,$G$438,1200,9.28,-1*$F$439)</f>
        <v>0.37773559342049234</v>
      </c>
      <c r="AR438" s="315"/>
      <c r="AS438" s="315"/>
      <c r="AT438" s="315"/>
      <c r="AU438" s="315"/>
      <c r="AV438" s="315"/>
      <c r="AW438" s="315"/>
      <c r="AX438" s="315"/>
      <c r="AY438" s="315"/>
      <c r="AZ438" s="315"/>
      <c r="BA438" s="315"/>
      <c r="BB438" s="306"/>
    </row>
    <row r="439" spans="1:57" ht="14.25">
      <c r="A439" s="340"/>
      <c r="B439" s="287" t="s">
        <v>2241</v>
      </c>
      <c r="C439" s="288">
        <f>+$C$437+$G$438</f>
        <v>22038.000000000004</v>
      </c>
      <c r="D439" s="1121"/>
      <c r="E439" s="1121">
        <v>-60</v>
      </c>
      <c r="F439" s="289">
        <v>-3500</v>
      </c>
      <c r="G439" s="292"/>
      <c r="H439" s="291"/>
      <c r="I439" s="291"/>
      <c r="J439" s="288"/>
      <c r="K439" s="1121"/>
      <c r="L439" s="1121" t="s">
        <v>230</v>
      </c>
      <c r="M439" s="1121" t="s">
        <v>2757</v>
      </c>
      <c r="N439" s="291" t="s">
        <v>145</v>
      </c>
      <c r="O439" s="291"/>
      <c r="P439" s="291"/>
      <c r="Q439" s="1121">
        <v>61</v>
      </c>
      <c r="R439" s="1017">
        <v>-3497.65</v>
      </c>
      <c r="S439" s="292"/>
      <c r="T439" s="1121">
        <v>20</v>
      </c>
      <c r="U439" s="1121"/>
      <c r="V439" s="1121"/>
      <c r="W439" s="1121">
        <v>1.4</v>
      </c>
      <c r="X439" s="1121"/>
      <c r="Y439" s="1121"/>
      <c r="Z439" s="1121"/>
      <c r="AA439" s="1121"/>
      <c r="AB439" s="1121"/>
      <c r="AC439" s="1121" t="s">
        <v>1704</v>
      </c>
      <c r="AD439" s="1121"/>
      <c r="AE439" s="1121"/>
      <c r="AF439" s="1121">
        <v>6000</v>
      </c>
      <c r="AG439" s="288">
        <v>22037.8</v>
      </c>
      <c r="AH439" s="1121">
        <v>2637</v>
      </c>
      <c r="AI439" s="289">
        <v>635</v>
      </c>
      <c r="AJ439" s="1121"/>
      <c r="AK439" s="1121"/>
      <c r="AL439" s="1121"/>
      <c r="AM439" s="1121" t="s">
        <v>1228</v>
      </c>
      <c r="AN439" s="315">
        <v>5.5</v>
      </c>
      <c r="AO439" s="315"/>
      <c r="AP439" s="315"/>
      <c r="AQ439" s="315"/>
      <c r="AR439" s="315"/>
      <c r="AS439" s="315"/>
      <c r="AT439" s="315">
        <f>+ab($T$439,$T$437,$T$441,$G$438,$G$440,-1*$F$439,1200)</f>
        <v>12.944286856565929</v>
      </c>
      <c r="AU439" s="315"/>
      <c r="AV439" s="315"/>
      <c r="AW439" s="315" t="s">
        <v>2634</v>
      </c>
      <c r="AX439" s="315" t="s">
        <v>1641</v>
      </c>
      <c r="AY439" s="315">
        <v>4.2</v>
      </c>
      <c r="AZ439" s="315"/>
      <c r="BA439" s="315"/>
      <c r="BB439" s="306"/>
    </row>
    <row r="440" spans="1:57" ht="14.25">
      <c r="A440" s="340"/>
      <c r="B440" s="287"/>
      <c r="C440" s="288"/>
      <c r="D440" s="1121"/>
      <c r="E440" s="1121"/>
      <c r="F440" s="289"/>
      <c r="G440" s="292">
        <v>48</v>
      </c>
      <c r="H440" s="291"/>
      <c r="I440" s="291"/>
      <c r="J440" s="288"/>
      <c r="K440" s="1121"/>
      <c r="L440" s="1121"/>
      <c r="M440" s="1121"/>
      <c r="N440" s="291"/>
      <c r="O440" s="291"/>
      <c r="P440" s="291"/>
      <c r="Q440" s="1121"/>
      <c r="R440" s="1017"/>
      <c r="S440" s="1017">
        <v>48.25</v>
      </c>
      <c r="T440" s="1121"/>
      <c r="U440" s="1121"/>
      <c r="V440" s="1121"/>
      <c r="W440" s="1121"/>
      <c r="X440" s="1121"/>
      <c r="Y440" s="1121"/>
      <c r="Z440" s="1121"/>
      <c r="AA440" s="1121"/>
      <c r="AB440" s="1121"/>
      <c r="AC440" s="1121"/>
      <c r="AD440" s="1121"/>
      <c r="AE440" s="1121"/>
      <c r="AF440" s="1121"/>
      <c r="AG440" s="288"/>
      <c r="AH440" s="1121" t="s">
        <v>695</v>
      </c>
      <c r="AI440" s="289" t="s">
        <v>695</v>
      </c>
      <c r="AJ440" s="1121"/>
      <c r="AK440" s="1121"/>
      <c r="AL440" s="1121"/>
      <c r="AM440" s="1121"/>
      <c r="AN440" s="315"/>
      <c r="AO440" s="315"/>
      <c r="AP440" s="315"/>
      <c r="AQ440" s="315">
        <f>+FL_1($T$441,$T$439,$G$440,1200,9.28,-1*$F$441)</f>
        <v>0.3404333184143713</v>
      </c>
      <c r="AR440" s="315"/>
      <c r="AS440" s="315"/>
      <c r="AT440" s="315"/>
      <c r="AU440" s="315"/>
      <c r="AV440" s="315"/>
      <c r="AW440" s="315"/>
      <c r="AX440" s="315"/>
      <c r="AY440" s="315"/>
      <c r="AZ440" s="315"/>
      <c r="BA440" s="315"/>
      <c r="BB440" s="306"/>
      <c r="BE440" s="362"/>
    </row>
    <row r="441" spans="1:57" ht="14.25">
      <c r="A441" s="340"/>
      <c r="B441" s="287" t="s">
        <v>2242</v>
      </c>
      <c r="C441" s="288">
        <f>+$C$439+$G$440</f>
        <v>22086.000000000004</v>
      </c>
      <c r="D441" s="1121"/>
      <c r="E441" s="1121">
        <v>-60</v>
      </c>
      <c r="F441" s="289">
        <v>-3500</v>
      </c>
      <c r="G441" s="292"/>
      <c r="H441" s="291"/>
      <c r="I441" s="291"/>
      <c r="J441" s="288"/>
      <c r="K441" s="1121"/>
      <c r="L441" s="1121" t="s">
        <v>230</v>
      </c>
      <c r="M441" s="1121" t="s">
        <v>2671</v>
      </c>
      <c r="N441" s="291" t="s">
        <v>145</v>
      </c>
      <c r="O441" s="291"/>
      <c r="P441" s="291"/>
      <c r="Q441" s="1121">
        <v>61</v>
      </c>
      <c r="R441" s="1017">
        <v>-3497.65</v>
      </c>
      <c r="S441" s="1017"/>
      <c r="T441" s="1121">
        <v>20</v>
      </c>
      <c r="U441" s="1121"/>
      <c r="V441" s="1121"/>
      <c r="W441" s="1121">
        <v>1.4</v>
      </c>
      <c r="X441" s="1121"/>
      <c r="Y441" s="1121"/>
      <c r="Z441" s="1121"/>
      <c r="AA441" s="1121"/>
      <c r="AB441" s="1121"/>
      <c r="AC441" s="1121" t="s">
        <v>1704</v>
      </c>
      <c r="AD441" s="1121"/>
      <c r="AE441" s="1121"/>
      <c r="AF441" s="1121">
        <v>6000</v>
      </c>
      <c r="AG441" s="288">
        <v>22086.05</v>
      </c>
      <c r="AH441" s="1121">
        <v>2567</v>
      </c>
      <c r="AI441" s="289">
        <v>617</v>
      </c>
      <c r="AJ441" s="1121"/>
      <c r="AK441" s="1121"/>
      <c r="AL441" s="1121"/>
      <c r="AM441" s="1121" t="s">
        <v>1228</v>
      </c>
      <c r="AN441" s="315">
        <v>5.5</v>
      </c>
      <c r="AO441" s="315"/>
      <c r="AP441" s="315"/>
      <c r="AQ441" s="315"/>
      <c r="AR441" s="315"/>
      <c r="AS441" s="315"/>
      <c r="AT441" s="315">
        <f>+ab($T$441,$T$439,$T$443,$G$440,$G$442,-1*$F$441,1200)</f>
        <v>12.471390525552774</v>
      </c>
      <c r="AU441" s="315"/>
      <c r="AV441" s="315"/>
      <c r="AW441" s="315" t="s">
        <v>2630</v>
      </c>
      <c r="AX441" s="315" t="s">
        <v>1639</v>
      </c>
      <c r="AY441" s="315">
        <v>3.4</v>
      </c>
      <c r="AZ441" s="315"/>
      <c r="BA441" s="315"/>
      <c r="BB441" s="306"/>
    </row>
    <row r="442" spans="1:57" ht="14.25">
      <c r="A442" s="340"/>
      <c r="B442" s="287"/>
      <c r="C442" s="288"/>
      <c r="D442" s="1121"/>
      <c r="E442" s="1121"/>
      <c r="F442" s="289"/>
      <c r="G442" s="292">
        <v>58</v>
      </c>
      <c r="H442" s="291"/>
      <c r="I442" s="291"/>
      <c r="J442" s="288"/>
      <c r="K442" s="1121"/>
      <c r="L442" s="1121"/>
      <c r="M442" s="1121"/>
      <c r="N442" s="291"/>
      <c r="O442" s="291"/>
      <c r="P442" s="291"/>
      <c r="Q442" s="293"/>
      <c r="R442" s="1017"/>
      <c r="S442" s="1017">
        <v>57.729999999999563</v>
      </c>
      <c r="T442" s="1121"/>
      <c r="U442" s="1121"/>
      <c r="V442" s="1121"/>
      <c r="W442" s="1121"/>
      <c r="X442" s="1121"/>
      <c r="Y442" s="1121"/>
      <c r="Z442" s="1121"/>
      <c r="AA442" s="1121"/>
      <c r="AB442" s="1121"/>
      <c r="AC442" s="1121"/>
      <c r="AD442" s="1121"/>
      <c r="AE442" s="1121"/>
      <c r="AF442" s="1121"/>
      <c r="AG442" s="288"/>
      <c r="AH442" s="1121" t="s">
        <v>695</v>
      </c>
      <c r="AI442" s="289" t="s">
        <v>695</v>
      </c>
      <c r="AJ442" s="1121"/>
      <c r="AK442" s="1121"/>
      <c r="AL442" s="1121"/>
      <c r="AM442" s="1121"/>
      <c r="AN442" s="315"/>
      <c r="AO442" s="315"/>
      <c r="AP442" s="315"/>
      <c r="AQ442" s="315">
        <f>+FL_1($T$443,$T$441,$G$442,1200,9.28,-1*$F$443)</f>
        <v>0.40504174740946675</v>
      </c>
      <c r="AR442" s="315"/>
      <c r="AS442" s="315"/>
      <c r="AT442" s="315"/>
      <c r="AU442" s="315"/>
      <c r="AV442" s="315"/>
      <c r="AW442" s="315"/>
      <c r="AX442" s="315"/>
      <c r="AY442" s="315"/>
      <c r="AZ442" s="315"/>
      <c r="BA442" s="315"/>
      <c r="BB442" s="306"/>
    </row>
    <row r="443" spans="1:57" ht="14.25">
      <c r="A443" s="340"/>
      <c r="B443" s="287" t="s">
        <v>2243</v>
      </c>
      <c r="C443" s="288">
        <f>+$C$441+$G$442</f>
        <v>22144.000000000004</v>
      </c>
      <c r="D443" s="1121"/>
      <c r="E443" s="1121">
        <v>-60</v>
      </c>
      <c r="F443" s="289">
        <v>-3500</v>
      </c>
      <c r="G443" s="292"/>
      <c r="H443" s="291"/>
      <c r="I443" s="291"/>
      <c r="J443" s="288"/>
      <c r="K443" s="1121"/>
      <c r="L443" s="1121" t="s">
        <v>230</v>
      </c>
      <c r="M443" s="1121" t="s">
        <v>2671</v>
      </c>
      <c r="N443" s="291" t="s">
        <v>145</v>
      </c>
      <c r="O443" s="291"/>
      <c r="P443" s="291"/>
      <c r="Q443" s="1121">
        <v>55</v>
      </c>
      <c r="R443" s="1017">
        <v>-3497.65</v>
      </c>
      <c r="S443" s="1017"/>
      <c r="T443" s="1121">
        <v>20</v>
      </c>
      <c r="U443" s="1121"/>
      <c r="V443" s="1121"/>
      <c r="W443" s="1121">
        <v>1.4</v>
      </c>
      <c r="X443" s="1121"/>
      <c r="Y443" s="1121"/>
      <c r="Z443" s="1121"/>
      <c r="AA443" s="1121"/>
      <c r="AB443" s="1121"/>
      <c r="AC443" s="1121" t="s">
        <v>1704</v>
      </c>
      <c r="AD443" s="1121"/>
      <c r="AE443" s="1121"/>
      <c r="AF443" s="1121">
        <v>6000</v>
      </c>
      <c r="AG443" s="288">
        <v>22143.78</v>
      </c>
      <c r="AH443" s="1121">
        <v>2566</v>
      </c>
      <c r="AI443" s="289">
        <v>580</v>
      </c>
      <c r="AJ443" s="1121"/>
      <c r="AK443" s="1121"/>
      <c r="AL443" s="1121"/>
      <c r="AM443" s="1121" t="s">
        <v>1228</v>
      </c>
      <c r="AN443" s="315">
        <v>5.5</v>
      </c>
      <c r="AO443" s="315"/>
      <c r="AP443" s="315"/>
      <c r="AQ443" s="315"/>
      <c r="AR443" s="315"/>
      <c r="AS443" s="315"/>
      <c r="AT443" s="315">
        <f>+ab($T$443,$T$441,$T$445,$G$442,$G$444,-1*$F$443,1200)</f>
        <v>11.237131949351888</v>
      </c>
      <c r="AU443" s="315"/>
      <c r="AV443" s="315"/>
      <c r="AW443" s="315" t="s">
        <v>2630</v>
      </c>
      <c r="AX443" s="315" t="s">
        <v>1639</v>
      </c>
      <c r="AY443" s="315">
        <v>3.4</v>
      </c>
      <c r="AZ443" s="315"/>
      <c r="BA443" s="315"/>
      <c r="BB443" s="306"/>
    </row>
    <row r="444" spans="1:57" ht="14.25">
      <c r="A444" s="340"/>
      <c r="B444" s="287"/>
      <c r="C444" s="288"/>
      <c r="D444" s="1121"/>
      <c r="E444" s="1121"/>
      <c r="F444" s="289"/>
      <c r="G444" s="292">
        <v>60</v>
      </c>
      <c r="H444" s="291"/>
      <c r="I444" s="294"/>
      <c r="J444" s="288"/>
      <c r="K444" s="1121"/>
      <c r="L444" s="1121"/>
      <c r="M444" s="1121"/>
      <c r="N444" s="291"/>
      <c r="O444" s="291"/>
      <c r="P444" s="291"/>
      <c r="Q444" s="1121"/>
      <c r="R444" s="1017"/>
      <c r="S444" s="1017">
        <v>59.990000000001601</v>
      </c>
      <c r="T444" s="1121"/>
      <c r="U444" s="1121"/>
      <c r="V444" s="1121"/>
      <c r="W444" s="1121"/>
      <c r="X444" s="1121"/>
      <c r="Y444" s="1121"/>
      <c r="Z444" s="1121"/>
      <c r="AA444" s="1121"/>
      <c r="AB444" s="1121"/>
      <c r="AC444" s="1121"/>
      <c r="AD444" s="1121"/>
      <c r="AE444" s="1121"/>
      <c r="AF444" s="1121"/>
      <c r="AG444" s="288"/>
      <c r="AH444" s="1121" t="s">
        <v>695</v>
      </c>
      <c r="AI444" s="289" t="s">
        <v>695</v>
      </c>
      <c r="AJ444" s="1121"/>
      <c r="AK444" s="1121"/>
      <c r="AL444" s="1121"/>
      <c r="AM444" s="1121"/>
      <c r="AN444" s="315"/>
      <c r="AO444" s="315"/>
      <c r="AP444" s="315"/>
      <c r="AQ444" s="315">
        <f>+FL_1($T$445,$T$443,$G$444,1200,9.28,-1*$F$445)</f>
        <v>0.41942620982558587</v>
      </c>
      <c r="AR444" s="315"/>
      <c r="AS444" s="315"/>
      <c r="AT444" s="315"/>
      <c r="AU444" s="315"/>
      <c r="AV444" s="315"/>
      <c r="AW444" s="315"/>
      <c r="AX444" s="315"/>
      <c r="AY444" s="315"/>
      <c r="AZ444" s="315"/>
      <c r="BA444" s="315"/>
      <c r="BB444" s="306"/>
    </row>
    <row r="445" spans="1:57" ht="14.25">
      <c r="A445" s="340"/>
      <c r="B445" s="287" t="s">
        <v>2244</v>
      </c>
      <c r="C445" s="288">
        <f>+$C$443+$G$444</f>
        <v>22204.000000000004</v>
      </c>
      <c r="D445" s="1121"/>
      <c r="E445" s="1121">
        <v>-60</v>
      </c>
      <c r="F445" s="289">
        <v>-3500</v>
      </c>
      <c r="G445" s="292"/>
      <c r="H445" s="1121"/>
      <c r="I445" s="294"/>
      <c r="J445" s="288"/>
      <c r="K445" s="1121"/>
      <c r="L445" s="1121" t="s">
        <v>230</v>
      </c>
      <c r="M445" s="1121" t="s">
        <v>2671</v>
      </c>
      <c r="N445" s="291" t="s">
        <v>145</v>
      </c>
      <c r="O445" s="291"/>
      <c r="P445" s="291"/>
      <c r="Q445" s="1121">
        <v>62</v>
      </c>
      <c r="R445" s="1017">
        <v>-3497.65</v>
      </c>
      <c r="S445" s="1017"/>
      <c r="T445" s="1121">
        <v>20</v>
      </c>
      <c r="U445" s="1121"/>
      <c r="V445" s="1121"/>
      <c r="W445" s="1121">
        <v>1.4</v>
      </c>
      <c r="X445" s="1121"/>
      <c r="Y445" s="1121"/>
      <c r="Z445" s="1121"/>
      <c r="AA445" s="1121"/>
      <c r="AB445" s="1121"/>
      <c r="AC445" s="1121" t="s">
        <v>1704</v>
      </c>
      <c r="AD445" s="1121"/>
      <c r="AE445" s="1121"/>
      <c r="AF445" s="1121">
        <v>6000</v>
      </c>
      <c r="AG445" s="288">
        <v>22203.77</v>
      </c>
      <c r="AH445" s="1121">
        <v>2602</v>
      </c>
      <c r="AI445" s="289">
        <v>574</v>
      </c>
      <c r="AJ445" s="1121"/>
      <c r="AK445" s="1121"/>
      <c r="AL445" s="1121"/>
      <c r="AM445" s="1121" t="s">
        <v>1228</v>
      </c>
      <c r="AN445" s="315">
        <v>5.5</v>
      </c>
      <c r="AO445" s="315"/>
      <c r="AP445" s="315"/>
      <c r="AQ445" s="315"/>
      <c r="AR445" s="315"/>
      <c r="AS445" s="315"/>
      <c r="AT445" s="315">
        <f>+ab($T$445,$T$443,$T$447,$G$444,$G$446,-1*$F$445,1200)</f>
        <v>11.054497279482726</v>
      </c>
      <c r="AU445" s="315"/>
      <c r="AV445" s="315"/>
      <c r="AW445" s="315" t="s">
        <v>2630</v>
      </c>
      <c r="AX445" s="315" t="s">
        <v>1639</v>
      </c>
      <c r="AY445" s="315">
        <v>3.4</v>
      </c>
      <c r="AZ445" s="315"/>
      <c r="BA445" s="315"/>
      <c r="BB445" s="306"/>
    </row>
    <row r="446" spans="1:57" ht="14.25">
      <c r="A446" s="340"/>
      <c r="B446" s="287"/>
      <c r="C446" s="288"/>
      <c r="D446" s="1121"/>
      <c r="E446" s="1121"/>
      <c r="F446" s="289"/>
      <c r="G446" s="292">
        <v>60</v>
      </c>
      <c r="H446" s="291"/>
      <c r="I446" s="294"/>
      <c r="J446" s="288"/>
      <c r="K446" s="1121"/>
      <c r="L446" s="1121"/>
      <c r="M446" s="1121"/>
      <c r="N446" s="291"/>
      <c r="O446" s="291"/>
      <c r="P446" s="291"/>
      <c r="Q446" s="293"/>
      <c r="R446" s="1017"/>
      <c r="S446" s="1017">
        <v>59.919999999998254</v>
      </c>
      <c r="T446" s="1121"/>
      <c r="U446" s="1121"/>
      <c r="V446" s="1121"/>
      <c r="W446" s="1121"/>
      <c r="X446" s="1121"/>
      <c r="Y446" s="1121"/>
      <c r="Z446" s="1121"/>
      <c r="AA446" s="1121"/>
      <c r="AB446" s="1121"/>
      <c r="AC446" s="1121"/>
      <c r="AD446" s="1121"/>
      <c r="AE446" s="1121"/>
      <c r="AF446" s="1121"/>
      <c r="AG446" s="288"/>
      <c r="AH446" s="1121" t="s">
        <v>695</v>
      </c>
      <c r="AI446" s="289" t="s">
        <v>695</v>
      </c>
      <c r="AJ446" s="1121"/>
      <c r="AK446" s="1121"/>
      <c r="AL446" s="1121"/>
      <c r="AM446" s="1121"/>
      <c r="AN446" s="315"/>
      <c r="AO446" s="315"/>
      <c r="AP446" s="315"/>
      <c r="AQ446" s="315">
        <f>+FL_1($T$447,$T$445,$G$446,1200,9.28,-1*$F$447)</f>
        <v>0.41942620982558587</v>
      </c>
      <c r="AR446" s="315"/>
      <c r="AS446" s="315"/>
      <c r="AT446" s="315"/>
      <c r="AU446" s="315"/>
      <c r="AV446" s="315"/>
      <c r="AW446" s="315"/>
      <c r="AX446" s="315"/>
      <c r="AY446" s="315"/>
      <c r="AZ446" s="315"/>
      <c r="BA446" s="315"/>
      <c r="BB446" s="306"/>
    </row>
    <row r="447" spans="1:57" ht="14.25">
      <c r="A447" s="340"/>
      <c r="B447" s="287" t="s">
        <v>2245</v>
      </c>
      <c r="C447" s="288">
        <f>+$C$445+$G$446</f>
        <v>22264.000000000004</v>
      </c>
      <c r="D447" s="1121"/>
      <c r="E447" s="1121">
        <v>-60</v>
      </c>
      <c r="F447" s="289">
        <v>-3500</v>
      </c>
      <c r="G447" s="292"/>
      <c r="H447" s="1121"/>
      <c r="I447" s="294"/>
      <c r="J447" s="288"/>
      <c r="K447" s="1121"/>
      <c r="L447" s="1121" t="s">
        <v>230</v>
      </c>
      <c r="M447" s="1121" t="s">
        <v>2671</v>
      </c>
      <c r="N447" s="291" t="s">
        <v>145</v>
      </c>
      <c r="O447" s="291"/>
      <c r="P447" s="291"/>
      <c r="Q447" s="1121">
        <v>60</v>
      </c>
      <c r="R447" s="1017">
        <v>-3497.65</v>
      </c>
      <c r="S447" s="1017"/>
      <c r="T447" s="1121">
        <v>20</v>
      </c>
      <c r="U447" s="1121"/>
      <c r="V447" s="1121"/>
      <c r="W447" s="1121">
        <v>1.4</v>
      </c>
      <c r="X447" s="1121"/>
      <c r="Y447" s="1121"/>
      <c r="Z447" s="1121"/>
      <c r="AA447" s="1121"/>
      <c r="AB447" s="1121"/>
      <c r="AC447" s="1121" t="s">
        <v>1704</v>
      </c>
      <c r="AD447" s="1121"/>
      <c r="AE447" s="1121"/>
      <c r="AF447" s="1121">
        <v>6000</v>
      </c>
      <c r="AG447" s="288">
        <v>22263.69</v>
      </c>
      <c r="AH447" s="1121">
        <v>2565</v>
      </c>
      <c r="AI447" s="289">
        <v>577</v>
      </c>
      <c r="AJ447" s="1121"/>
      <c r="AK447" s="1121"/>
      <c r="AL447" s="1121"/>
      <c r="AM447" s="1121" t="s">
        <v>1228</v>
      </c>
      <c r="AN447" s="315">
        <v>5.5</v>
      </c>
      <c r="AO447" s="315"/>
      <c r="AP447" s="315"/>
      <c r="AQ447" s="315"/>
      <c r="AR447" s="315"/>
      <c r="AS447" s="315"/>
      <c r="AT447" s="315">
        <f>+ab($T$447,$T$445,$T$449,$G$446,$G$448,-1*$F$447,1200)</f>
        <v>11.33070134109105</v>
      </c>
      <c r="AU447" s="315"/>
      <c r="AV447" s="315"/>
      <c r="AW447" s="315" t="s">
        <v>2630</v>
      </c>
      <c r="AX447" s="315" t="s">
        <v>1639</v>
      </c>
      <c r="AY447" s="315">
        <v>3.4</v>
      </c>
      <c r="AZ447" s="315"/>
      <c r="BA447" s="315"/>
      <c r="BB447" s="306"/>
    </row>
    <row r="448" spans="1:57" ht="14.25">
      <c r="A448" s="340"/>
      <c r="B448" s="287"/>
      <c r="C448" s="288"/>
      <c r="D448" s="1121"/>
      <c r="E448" s="1121"/>
      <c r="F448" s="289"/>
      <c r="G448" s="292">
        <v>57</v>
      </c>
      <c r="H448" s="291"/>
      <c r="I448" s="294"/>
      <c r="J448" s="288"/>
      <c r="K448" s="1121"/>
      <c r="L448" s="1121"/>
      <c r="M448" s="1121"/>
      <c r="N448" s="291"/>
      <c r="O448" s="291"/>
      <c r="P448" s="291"/>
      <c r="Q448" s="1121"/>
      <c r="R448" s="1017"/>
      <c r="S448" s="1017">
        <v>57.180000000000291</v>
      </c>
      <c r="T448" s="1121"/>
      <c r="U448" s="1121"/>
      <c r="V448" s="1121"/>
      <c r="W448" s="1121"/>
      <c r="X448" s="1121"/>
      <c r="Y448" s="1121"/>
      <c r="Z448" s="1121"/>
      <c r="AA448" s="1121"/>
      <c r="AB448" s="1121"/>
      <c r="AC448" s="1121"/>
      <c r="AD448" s="1121"/>
      <c r="AE448" s="1121"/>
      <c r="AF448" s="1121"/>
      <c r="AG448" s="288"/>
      <c r="AH448" s="1121" t="s">
        <v>695</v>
      </c>
      <c r="AI448" s="289" t="s">
        <v>695</v>
      </c>
      <c r="AJ448" s="1121"/>
      <c r="AK448" s="1121"/>
      <c r="AL448" s="1121"/>
      <c r="AM448" s="1121"/>
      <c r="AN448" s="315"/>
      <c r="AO448" s="315"/>
      <c r="AP448" s="315"/>
      <c r="AQ448" s="315">
        <f>+FL_1($T$449,$T$447,$G$448,1200,9.28,-1*$F$449)</f>
        <v>0.39803236218113702</v>
      </c>
      <c r="AR448" s="315"/>
      <c r="AS448" s="315"/>
      <c r="AT448" s="315"/>
      <c r="AU448" s="315"/>
      <c r="AV448" s="315"/>
      <c r="AW448" s="315"/>
      <c r="AX448" s="315"/>
      <c r="AY448" s="315"/>
      <c r="AZ448" s="315"/>
      <c r="BA448" s="315"/>
      <c r="BB448" s="306"/>
    </row>
    <row r="449" spans="1:54" ht="14.25">
      <c r="A449" s="340" t="s">
        <v>2246</v>
      </c>
      <c r="B449" s="287" t="s">
        <v>2247</v>
      </c>
      <c r="C449" s="288">
        <f>+$C$447+$G$448</f>
        <v>22321.000000000004</v>
      </c>
      <c r="D449" s="1121"/>
      <c r="E449" s="1121">
        <v>-60</v>
      </c>
      <c r="F449" s="289">
        <v>-3500</v>
      </c>
      <c r="G449" s="292"/>
      <c r="H449" s="291"/>
      <c r="I449" s="294"/>
      <c r="J449" s="288"/>
      <c r="K449" s="1121"/>
      <c r="L449" s="1121" t="s">
        <v>230</v>
      </c>
      <c r="M449" s="1121" t="s">
        <v>2671</v>
      </c>
      <c r="N449" s="291" t="s">
        <v>145</v>
      </c>
      <c r="O449" s="291"/>
      <c r="P449" s="291"/>
      <c r="Q449" s="1121">
        <v>61</v>
      </c>
      <c r="R449" s="1017">
        <v>-3497.65</v>
      </c>
      <c r="S449" s="1017"/>
      <c r="T449" s="1121">
        <v>20</v>
      </c>
      <c r="U449" s="1121"/>
      <c r="V449" s="1121"/>
      <c r="W449" s="1121">
        <v>1.4</v>
      </c>
      <c r="X449" s="1121"/>
      <c r="Y449" s="1121"/>
      <c r="Z449" s="1121"/>
      <c r="AA449" s="1121"/>
      <c r="AB449" s="1121"/>
      <c r="AC449" s="1121" t="s">
        <v>1704</v>
      </c>
      <c r="AD449" s="1121"/>
      <c r="AE449" s="1121"/>
      <c r="AF449" s="1121">
        <v>6000</v>
      </c>
      <c r="AG449" s="288">
        <v>22320.87</v>
      </c>
      <c r="AH449" s="1121">
        <v>2620</v>
      </c>
      <c r="AI449" s="289">
        <v>588</v>
      </c>
      <c r="AJ449" s="1121"/>
      <c r="AK449" s="1121"/>
      <c r="AL449" s="1121"/>
      <c r="AM449" s="1121" t="s">
        <v>1228</v>
      </c>
      <c r="AN449" s="315">
        <v>5.5</v>
      </c>
      <c r="AO449" s="315"/>
      <c r="AP449" s="315"/>
      <c r="AQ449" s="315"/>
      <c r="AR449" s="315"/>
      <c r="AS449" s="315"/>
      <c r="AT449" s="315">
        <f>+ab($T$449,$T$447,$T$451,$G$448,$G$450,-1*$F$449,1200)</f>
        <v>11.720873178323368</v>
      </c>
      <c r="AU449" s="315"/>
      <c r="AV449" s="315"/>
      <c r="AW449" s="315" t="s">
        <v>2630</v>
      </c>
      <c r="AX449" s="315" t="s">
        <v>1639</v>
      </c>
      <c r="AY449" s="315">
        <v>3.4</v>
      </c>
      <c r="AZ449" s="315"/>
      <c r="BA449" s="315"/>
      <c r="BB449" s="306"/>
    </row>
    <row r="450" spans="1:54" ht="14.25">
      <c r="A450" s="340"/>
      <c r="B450" s="287"/>
      <c r="C450" s="288"/>
      <c r="D450" s="1121"/>
      <c r="E450" s="1121"/>
      <c r="F450" s="289"/>
      <c r="G450" s="292">
        <v>56</v>
      </c>
      <c r="H450" s="291"/>
      <c r="I450" s="294"/>
      <c r="J450" s="288">
        <f>C451-7.5</f>
        <v>22369.500000000004</v>
      </c>
      <c r="K450" s="1121" t="s">
        <v>653</v>
      </c>
      <c r="L450" s="1121"/>
      <c r="M450" s="1121"/>
      <c r="N450" s="291"/>
      <c r="O450" s="291"/>
      <c r="P450" s="291"/>
      <c r="Q450" s="293"/>
      <c r="R450" s="1017"/>
      <c r="S450" s="1017">
        <v>55.960000000002765</v>
      </c>
      <c r="T450" s="1121"/>
      <c r="U450" s="1121"/>
      <c r="V450" s="1121"/>
      <c r="W450" s="1121"/>
      <c r="X450" s="1121"/>
      <c r="Y450" s="1121"/>
      <c r="Z450" s="1121"/>
      <c r="AA450" s="1121"/>
      <c r="AB450" s="1121"/>
      <c r="AC450" s="1121"/>
      <c r="AD450" s="1121"/>
      <c r="AE450" s="1121"/>
      <c r="AF450" s="1121"/>
      <c r="AG450" s="288"/>
      <c r="AH450" s="1121" t="s">
        <v>695</v>
      </c>
      <c r="AI450" s="289" t="s">
        <v>695</v>
      </c>
      <c r="AJ450" s="1121"/>
      <c r="AK450" s="1121"/>
      <c r="AL450" s="1121"/>
      <c r="AM450" s="1121"/>
      <c r="AN450" s="315"/>
      <c r="AO450" s="315"/>
      <c r="AP450" s="315"/>
      <c r="AQ450" s="315">
        <f>+FL_1($T$451,$T$449,$G$450,1200,9.28,-1*$F$451)</f>
        <v>0.39114487460914016</v>
      </c>
      <c r="AR450" s="315"/>
      <c r="AS450" s="315"/>
      <c r="AT450" s="315"/>
      <c r="AU450" s="315"/>
      <c r="AV450" s="315"/>
      <c r="AW450" s="315" t="s">
        <v>2630</v>
      </c>
      <c r="AX450" s="315" t="s">
        <v>1639</v>
      </c>
      <c r="AY450" s="315"/>
      <c r="AZ450" s="315">
        <v>2.5</v>
      </c>
      <c r="BA450" s="315"/>
      <c r="BB450" s="306"/>
    </row>
    <row r="451" spans="1:54" ht="14.25">
      <c r="A451" s="340"/>
      <c r="B451" s="287" t="s">
        <v>2248</v>
      </c>
      <c r="C451" s="288">
        <f>+$C$449+$G$450</f>
        <v>22377.000000000004</v>
      </c>
      <c r="D451" s="1121"/>
      <c r="E451" s="1121">
        <v>-60</v>
      </c>
      <c r="F451" s="289">
        <v>-3500</v>
      </c>
      <c r="G451" s="292"/>
      <c r="H451" s="291" t="s">
        <v>138</v>
      </c>
      <c r="I451" s="294" t="s">
        <v>656</v>
      </c>
      <c r="J451" s="288"/>
      <c r="K451" s="1121"/>
      <c r="L451" s="1121" t="s">
        <v>1061</v>
      </c>
      <c r="M451" s="1121" t="s">
        <v>2672</v>
      </c>
      <c r="N451" s="291" t="s">
        <v>145</v>
      </c>
      <c r="O451" s="291"/>
      <c r="P451" s="291"/>
      <c r="Q451" s="1121">
        <v>61</v>
      </c>
      <c r="R451" s="1017">
        <v>-3497.65</v>
      </c>
      <c r="S451" s="1017"/>
      <c r="T451" s="1121">
        <v>20</v>
      </c>
      <c r="U451" s="1121"/>
      <c r="V451" s="1121"/>
      <c r="W451" s="1121">
        <v>1.4</v>
      </c>
      <c r="X451" s="1121"/>
      <c r="Y451" s="1121"/>
      <c r="Z451" s="1121"/>
      <c r="AA451" s="1121"/>
      <c r="AB451" s="1121"/>
      <c r="AC451" s="1121" t="s">
        <v>1704</v>
      </c>
      <c r="AD451" s="1121"/>
      <c r="AE451" s="1121"/>
      <c r="AF451" s="1121">
        <v>6000</v>
      </c>
      <c r="AG451" s="288">
        <v>22376.83</v>
      </c>
      <c r="AH451" s="1121">
        <v>2572</v>
      </c>
      <c r="AI451" s="289">
        <v>565</v>
      </c>
      <c r="AJ451" s="1121"/>
      <c r="AK451" s="1121"/>
      <c r="AL451" s="1121"/>
      <c r="AM451" s="1121" t="s">
        <v>1228</v>
      </c>
      <c r="AN451" s="315">
        <v>5.5</v>
      </c>
      <c r="AO451" s="315"/>
      <c r="AP451" s="315"/>
      <c r="AQ451" s="315"/>
      <c r="AR451" s="315"/>
      <c r="AS451" s="315"/>
      <c r="AT451" s="315">
        <f>+ab($T$451,$T$449,$U$453,$G$450,$G$452,-1*$F$451,1200)</f>
        <v>8.912357454192728</v>
      </c>
      <c r="AU451" s="315"/>
      <c r="AV451" s="315"/>
      <c r="AW451" s="315" t="s">
        <v>2630</v>
      </c>
      <c r="AX451" s="315" t="s">
        <v>1639</v>
      </c>
      <c r="AY451" s="315">
        <v>3.4</v>
      </c>
      <c r="AZ451" s="315"/>
      <c r="BA451" s="315"/>
      <c r="BB451" s="306"/>
    </row>
    <row r="452" spans="1:54" ht="14.25">
      <c r="A452" s="340"/>
      <c r="B452" s="287"/>
      <c r="C452" s="288"/>
      <c r="D452" s="1121"/>
      <c r="E452" s="1121"/>
      <c r="F452" s="289"/>
      <c r="G452" s="292">
        <v>56</v>
      </c>
      <c r="H452" s="291"/>
      <c r="I452" s="294"/>
      <c r="J452" s="288"/>
      <c r="K452" s="1121"/>
      <c r="L452" s="1121"/>
      <c r="M452" s="1121"/>
      <c r="N452" s="291"/>
      <c r="O452" s="291"/>
      <c r="P452" s="291"/>
      <c r="Q452" s="1121"/>
      <c r="R452" s="292"/>
      <c r="S452" s="1017">
        <v>56.05</v>
      </c>
      <c r="T452" s="1121"/>
      <c r="U452" s="1121"/>
      <c r="V452" s="1121"/>
      <c r="W452" s="1121"/>
      <c r="X452" s="1121"/>
      <c r="Y452" s="1121"/>
      <c r="Z452" s="1121"/>
      <c r="AA452" s="1121"/>
      <c r="AB452" s="1121"/>
      <c r="AC452" s="1121"/>
      <c r="AD452" s="1121"/>
      <c r="AE452" s="1121"/>
      <c r="AF452" s="1121"/>
      <c r="AG452" s="288"/>
      <c r="AH452" s="1121" t="s">
        <v>695</v>
      </c>
      <c r="AI452" s="289" t="s">
        <v>695</v>
      </c>
      <c r="AJ452" s="1121"/>
      <c r="AK452" s="1121"/>
      <c r="AL452" s="1121"/>
      <c r="AM452" s="1121"/>
      <c r="AN452" s="315"/>
      <c r="AO452" s="315"/>
      <c r="AP452" s="315"/>
      <c r="AQ452" s="315">
        <f>+FL_2($U$453,$T$451,$G$452,1200,9.28,-1*$F$453)</f>
        <v>-0.3786977706325006</v>
      </c>
      <c r="AR452" s="315"/>
      <c r="AS452" s="315"/>
      <c r="AT452" s="315"/>
      <c r="AU452" s="315"/>
      <c r="AV452" s="315"/>
      <c r="AW452" s="315"/>
      <c r="AX452" s="315"/>
      <c r="AY452" s="315"/>
      <c r="AZ452" s="315"/>
      <c r="BA452" s="315"/>
      <c r="BB452" s="306"/>
    </row>
    <row r="453" spans="1:54" ht="14.25">
      <c r="A453" s="340" t="s">
        <v>3238</v>
      </c>
      <c r="B453" s="287" t="s">
        <v>3177</v>
      </c>
      <c r="C453" s="288">
        <f>+$C$451+$G$452</f>
        <v>22433.000000000004</v>
      </c>
      <c r="D453" s="1121"/>
      <c r="E453" s="1121"/>
      <c r="F453" s="289">
        <v>-3500</v>
      </c>
      <c r="G453" s="292"/>
      <c r="H453" s="291" t="s">
        <v>651</v>
      </c>
      <c r="I453" s="294" t="s">
        <v>2016</v>
      </c>
      <c r="J453" s="288"/>
      <c r="K453" s="1121"/>
      <c r="L453" s="1121" t="s">
        <v>1056</v>
      </c>
      <c r="M453" s="1121" t="s">
        <v>2760</v>
      </c>
      <c r="N453" s="291" t="s">
        <v>140</v>
      </c>
      <c r="O453" s="291" t="s">
        <v>145</v>
      </c>
      <c r="P453" s="291"/>
      <c r="Q453" s="1121">
        <v>60</v>
      </c>
      <c r="R453" s="1017">
        <v>-3497.65</v>
      </c>
      <c r="S453" s="1017"/>
      <c r="T453" s="1121">
        <v>35</v>
      </c>
      <c r="U453" s="1121">
        <v>-10</v>
      </c>
      <c r="V453" s="1121"/>
      <c r="W453" s="1121">
        <v>1.4</v>
      </c>
      <c r="X453" s="1121">
        <v>2.2999999999999998</v>
      </c>
      <c r="Y453" s="1121"/>
      <c r="Z453" s="1121">
        <v>0.5</v>
      </c>
      <c r="AA453" s="1121"/>
      <c r="AB453" s="1121"/>
      <c r="AC453" s="1121"/>
      <c r="AD453" s="1121" t="s">
        <v>1710</v>
      </c>
      <c r="AE453" s="1121"/>
      <c r="AF453" s="1121">
        <v>6000</v>
      </c>
      <c r="AG453" s="288">
        <v>22432.880000000001</v>
      </c>
      <c r="AH453" s="1121">
        <v>2535</v>
      </c>
      <c r="AI453" s="289">
        <v>604</v>
      </c>
      <c r="AJ453" s="1121" t="s">
        <v>3224</v>
      </c>
      <c r="AK453" s="1121"/>
      <c r="AL453" s="1121"/>
      <c r="AM453" s="1121" t="s">
        <v>1228</v>
      </c>
      <c r="AN453" s="315">
        <v>5.5</v>
      </c>
      <c r="AO453" s="315"/>
      <c r="AP453" s="315"/>
      <c r="AQ453" s="315"/>
      <c r="AR453" s="315"/>
      <c r="AS453" s="315"/>
      <c r="AT453" s="315">
        <f>+ab($U$453,$T$451,$U$455,$G$452,$G$454,-1*$F$453,1200)</f>
        <v>14.208727644341483</v>
      </c>
      <c r="AU453" s="315"/>
      <c r="AV453" s="315"/>
      <c r="AW453" s="315" t="s">
        <v>2630</v>
      </c>
      <c r="AX453" s="315" t="s">
        <v>1639</v>
      </c>
      <c r="AY453" s="315">
        <v>3.4</v>
      </c>
      <c r="AZ453" s="315"/>
      <c r="BA453" s="315"/>
      <c r="BB453" s="306"/>
    </row>
    <row r="454" spans="1:54" ht="14.25">
      <c r="A454" s="340"/>
      <c r="B454" s="287"/>
      <c r="C454" s="288"/>
      <c r="D454" s="1121"/>
      <c r="E454" s="1121"/>
      <c r="F454" s="289"/>
      <c r="G454" s="292">
        <v>55</v>
      </c>
      <c r="H454" s="291"/>
      <c r="I454" s="291"/>
      <c r="J454" s="288"/>
      <c r="K454" s="1121"/>
      <c r="L454" s="1121"/>
      <c r="M454" s="1121"/>
      <c r="N454" s="291"/>
      <c r="O454" s="291"/>
      <c r="P454" s="291"/>
      <c r="Q454" s="1121"/>
      <c r="R454" s="292"/>
      <c r="S454" s="1017">
        <v>54.799999999999272</v>
      </c>
      <c r="T454" s="1121"/>
      <c r="U454" s="1121"/>
      <c r="V454" s="1121"/>
      <c r="W454" s="1121"/>
      <c r="X454" s="1121"/>
      <c r="Y454" s="1121"/>
      <c r="Z454" s="1121"/>
      <c r="AA454" s="1121"/>
      <c r="AB454" s="1121"/>
      <c r="AC454" s="1121"/>
      <c r="AD454" s="1121"/>
      <c r="AE454" s="1121"/>
      <c r="AF454" s="1121"/>
      <c r="AG454" s="288"/>
      <c r="AH454" s="1121" t="s">
        <v>695</v>
      </c>
      <c r="AI454" s="289" t="s">
        <v>695</v>
      </c>
      <c r="AJ454" s="1121"/>
      <c r="AK454" s="1121"/>
      <c r="AL454" s="1121"/>
      <c r="AM454" s="1121"/>
      <c r="AN454" s="315"/>
      <c r="AO454" s="315"/>
      <c r="AP454" s="315"/>
      <c r="AQ454" s="315">
        <f>+FL_2($T$455,$U$453,$G$454,1200,9.28,-1*$F$455)</f>
        <v>-0.33591539239865353</v>
      </c>
      <c r="AR454" s="315"/>
      <c r="AS454" s="315"/>
      <c r="AT454" s="315"/>
      <c r="AU454" s="315"/>
      <c r="AV454" s="315"/>
      <c r="AW454" s="315"/>
      <c r="AX454" s="315"/>
      <c r="AY454" s="315"/>
      <c r="AZ454" s="315"/>
      <c r="BA454" s="315"/>
      <c r="BB454" s="306"/>
    </row>
    <row r="455" spans="1:54" ht="14.25">
      <c r="A455" s="340"/>
      <c r="B455" s="287" t="s">
        <v>3178</v>
      </c>
      <c r="C455" s="288">
        <f>+$C$453+$G$454</f>
        <v>22488.000000000004</v>
      </c>
      <c r="D455" s="1121"/>
      <c r="E455" s="1121"/>
      <c r="F455" s="289">
        <f>(160*3500)/(C455-22604)</f>
        <v>-4827.5862068967035</v>
      </c>
      <c r="G455" s="292"/>
      <c r="H455" s="291" t="s">
        <v>651</v>
      </c>
      <c r="I455" s="291"/>
      <c r="J455" s="288"/>
      <c r="K455" s="1121"/>
      <c r="L455" s="1121" t="s">
        <v>1056</v>
      </c>
      <c r="M455" s="1121" t="s">
        <v>2760</v>
      </c>
      <c r="N455" s="291" t="s">
        <v>145</v>
      </c>
      <c r="O455" s="291" t="s">
        <v>140</v>
      </c>
      <c r="P455" s="291"/>
      <c r="Q455" s="1121">
        <v>48</v>
      </c>
      <c r="R455" s="1017">
        <v>-4835.32</v>
      </c>
      <c r="S455" s="1017"/>
      <c r="T455" s="1121">
        <v>20</v>
      </c>
      <c r="U455" s="1121">
        <v>-25</v>
      </c>
      <c r="V455" s="1121"/>
      <c r="W455" s="1121">
        <v>1.4</v>
      </c>
      <c r="X455" s="1121">
        <v>2.2999999999999998</v>
      </c>
      <c r="Y455" s="1121"/>
      <c r="Z455" s="1121"/>
      <c r="AA455" s="1121">
        <v>0.5</v>
      </c>
      <c r="AB455" s="1121"/>
      <c r="AC455" s="1121" t="s">
        <v>1704</v>
      </c>
      <c r="AD455" s="1121"/>
      <c r="AE455" s="1121"/>
      <c r="AF455" s="1121">
        <v>6000</v>
      </c>
      <c r="AG455" s="288">
        <v>22487.68</v>
      </c>
      <c r="AH455" s="1121">
        <v>2545</v>
      </c>
      <c r="AI455" s="289">
        <v>597</v>
      </c>
      <c r="AJ455" s="1121"/>
      <c r="AK455" s="1121"/>
      <c r="AL455" s="1121"/>
      <c r="AM455" s="1121" t="s">
        <v>1228</v>
      </c>
      <c r="AN455" s="315">
        <v>5.5</v>
      </c>
      <c r="AO455" s="315"/>
      <c r="AP455" s="315"/>
      <c r="AQ455" s="315"/>
      <c r="AR455" s="315"/>
      <c r="AS455" s="315"/>
      <c r="AT455" s="315">
        <f>+ab($T$455,$T$453,$T$457,$G$454,$G$456,-1*$F$455,1200)</f>
        <v>10.450819594540798</v>
      </c>
      <c r="AU455" s="315"/>
      <c r="AV455" s="315"/>
      <c r="AW455" s="315" t="s">
        <v>2630</v>
      </c>
      <c r="AX455" s="315" t="s">
        <v>1639</v>
      </c>
      <c r="AY455" s="315">
        <v>3.4</v>
      </c>
      <c r="AZ455" s="315"/>
      <c r="BA455" s="315"/>
      <c r="BB455" s="306"/>
    </row>
    <row r="456" spans="1:54" ht="14.25">
      <c r="A456" s="340"/>
      <c r="B456" s="287"/>
      <c r="C456" s="288"/>
      <c r="D456" s="1121"/>
      <c r="E456" s="1121"/>
      <c r="F456" s="289"/>
      <c r="G456" s="292">
        <v>49.9</v>
      </c>
      <c r="H456" s="291"/>
      <c r="I456" s="294"/>
      <c r="J456" s="288"/>
      <c r="K456" s="1121"/>
      <c r="L456" s="1121"/>
      <c r="M456" s="1121"/>
      <c r="N456" s="291"/>
      <c r="O456" s="291"/>
      <c r="P456" s="291"/>
      <c r="Q456" s="1121"/>
      <c r="R456" s="292"/>
      <c r="S456" s="1017">
        <v>61.150000000001455</v>
      </c>
      <c r="T456" s="1121"/>
      <c r="U456" s="1121"/>
      <c r="V456" s="1121"/>
      <c r="W456" s="1121"/>
      <c r="X456" s="1121"/>
      <c r="Y456" s="1121"/>
      <c r="Z456" s="1121"/>
      <c r="AA456" s="1121"/>
      <c r="AB456" s="1121"/>
      <c r="AC456" s="1121"/>
      <c r="AD456" s="1121"/>
      <c r="AE456" s="1121"/>
      <c r="AF456" s="1121"/>
      <c r="AG456" s="288"/>
      <c r="AH456" s="1121" t="s">
        <v>695</v>
      </c>
      <c r="AI456" s="289" t="s">
        <v>695</v>
      </c>
      <c r="AJ456" s="1121"/>
      <c r="AK456" s="1121"/>
      <c r="AL456" s="1121"/>
      <c r="AM456" s="1121"/>
      <c r="AN456" s="315"/>
      <c r="AO456" s="315"/>
      <c r="AP456" s="315"/>
      <c r="AQ456" s="315">
        <f>+FL_2($T$457,$T$455,$G$456,1200,9.28,-1*$F$457)</f>
        <v>-0.38375831829547596</v>
      </c>
      <c r="AR456" s="315"/>
      <c r="AS456" s="315"/>
      <c r="AT456" s="315"/>
      <c r="AU456" s="315"/>
      <c r="AV456" s="315"/>
      <c r="AW456" s="315"/>
      <c r="AX456" s="315"/>
      <c r="AY456" s="315"/>
      <c r="AZ456" s="315"/>
      <c r="BA456" s="315"/>
      <c r="BB456" s="306"/>
    </row>
    <row r="457" spans="1:54" ht="14.25">
      <c r="A457" s="340"/>
      <c r="B457" s="287" t="s">
        <v>3179</v>
      </c>
      <c r="C457" s="288">
        <f>+$C$455+$G$456</f>
        <v>22537.900000000005</v>
      </c>
      <c r="D457" s="1121"/>
      <c r="E457" s="1121"/>
      <c r="F457" s="289">
        <f>(160*3500)/(C457-22604)</f>
        <v>-8472.0121028750855</v>
      </c>
      <c r="G457" s="292"/>
      <c r="H457" s="291" t="s">
        <v>138</v>
      </c>
      <c r="I457" s="294" t="s">
        <v>656</v>
      </c>
      <c r="J457" s="288"/>
      <c r="K457" s="1121"/>
      <c r="L457" s="1121" t="s">
        <v>1061</v>
      </c>
      <c r="M457" s="1121" t="s">
        <v>2672</v>
      </c>
      <c r="N457" s="291" t="s">
        <v>144</v>
      </c>
      <c r="O457" s="291"/>
      <c r="P457" s="291"/>
      <c r="Q457" s="1121">
        <v>21</v>
      </c>
      <c r="R457" s="1017">
        <v>-10258.6</v>
      </c>
      <c r="S457" s="1017"/>
      <c r="T457" s="1121">
        <v>-30</v>
      </c>
      <c r="U457" s="1121"/>
      <c r="V457" s="1121"/>
      <c r="W457" s="1121">
        <v>1.4</v>
      </c>
      <c r="X457" s="1121"/>
      <c r="Y457" s="1121"/>
      <c r="Z457" s="1121"/>
      <c r="AA457" s="1121"/>
      <c r="AB457" s="1121"/>
      <c r="AC457" s="1121" t="s">
        <v>1704</v>
      </c>
      <c r="AD457" s="1121"/>
      <c r="AE457" s="1121"/>
      <c r="AF457" s="1121">
        <v>6000</v>
      </c>
      <c r="AG457" s="288">
        <v>22548.83</v>
      </c>
      <c r="AH457" s="1121">
        <v>2529</v>
      </c>
      <c r="AI457" s="289">
        <v>612</v>
      </c>
      <c r="AJ457" s="1121"/>
      <c r="AK457" s="1121"/>
      <c r="AL457" s="1121"/>
      <c r="AM457" s="1121" t="s">
        <v>1228</v>
      </c>
      <c r="AN457" s="315">
        <v>5.5</v>
      </c>
      <c r="AO457" s="315"/>
      <c r="AP457" s="315"/>
      <c r="AQ457" s="315"/>
      <c r="AR457" s="315"/>
      <c r="AS457" s="315"/>
      <c r="AT457" s="315">
        <f>+ab($T$457,$T$455,$T$461,$G$456,$G$459,-1*$F$457,1200)</f>
        <v>-11.267686391488377</v>
      </c>
      <c r="AU457" s="315"/>
      <c r="AV457" s="315"/>
      <c r="AW457" s="315" t="s">
        <v>2630</v>
      </c>
      <c r="AX457" s="315" t="s">
        <v>1639</v>
      </c>
      <c r="AY457" s="315">
        <v>3.4</v>
      </c>
      <c r="AZ457" s="315"/>
      <c r="BA457" s="315"/>
      <c r="BB457" s="306"/>
    </row>
    <row r="458" spans="1:54" ht="14.25">
      <c r="A458" s="340"/>
      <c r="B458" s="287"/>
      <c r="C458" s="288"/>
      <c r="D458" s="1121"/>
      <c r="E458" s="1121"/>
      <c r="F458" s="289"/>
      <c r="G458" s="1119"/>
      <c r="H458" s="291"/>
      <c r="I458" s="294"/>
      <c r="J458" s="288">
        <f>C457+7.5</f>
        <v>22545.400000000005</v>
      </c>
      <c r="K458" s="1121" t="s">
        <v>653</v>
      </c>
      <c r="L458" s="1121"/>
      <c r="M458" s="1121"/>
      <c r="N458" s="291"/>
      <c r="O458" s="291"/>
      <c r="P458" s="291"/>
      <c r="Q458" s="1121"/>
      <c r="R458" s="292"/>
      <c r="S458" s="1017">
        <v>39.75</v>
      </c>
      <c r="T458" s="1121"/>
      <c r="U458" s="1121"/>
      <c r="V458" s="1121"/>
      <c r="W458" s="1121"/>
      <c r="X458" s="1121"/>
      <c r="Y458" s="1121"/>
      <c r="Z458" s="1121"/>
      <c r="AA458" s="1121"/>
      <c r="AB458" s="1121"/>
      <c r="AC458" s="1121"/>
      <c r="AD458" s="1121"/>
      <c r="AE458" s="1121"/>
      <c r="AF458" s="1121"/>
      <c r="AG458" s="288"/>
      <c r="AH458" s="1121" t="s">
        <v>695</v>
      </c>
      <c r="AI458" s="289" t="s">
        <v>695</v>
      </c>
      <c r="AJ458" s="1121"/>
      <c r="AK458" s="1121"/>
      <c r="AL458" s="1121"/>
      <c r="AM458" s="1121"/>
      <c r="AN458" s="315"/>
      <c r="AO458" s="315"/>
      <c r="AP458" s="315"/>
      <c r="AQ458" s="315">
        <f>+FL_1($T$461,$T$457,$G$459,1200,9.28,-1*$F$461)</f>
        <v>0.38145426101960783</v>
      </c>
      <c r="AR458" s="315"/>
      <c r="AS458" s="315"/>
      <c r="AT458" s="315"/>
      <c r="AU458" s="315"/>
      <c r="AV458" s="315"/>
      <c r="AW458" s="315" t="s">
        <v>2630</v>
      </c>
      <c r="AX458" s="315" t="s">
        <v>1639</v>
      </c>
      <c r="AY458" s="315"/>
      <c r="AZ458" s="315">
        <v>2.5</v>
      </c>
      <c r="BA458" s="315"/>
      <c r="BB458" s="306"/>
    </row>
    <row r="459" spans="1:54" ht="14.25">
      <c r="A459" s="340" t="s">
        <v>3239</v>
      </c>
      <c r="B459" s="287" t="s">
        <v>3152</v>
      </c>
      <c r="C459" s="288">
        <v>22585</v>
      </c>
      <c r="D459" s="1121"/>
      <c r="E459" s="1121"/>
      <c r="F459" s="289"/>
      <c r="G459" s="292">
        <v>51</v>
      </c>
      <c r="H459" s="291"/>
      <c r="I459" s="294"/>
      <c r="J459" s="288"/>
      <c r="K459" s="1121"/>
      <c r="L459" s="1121" t="s">
        <v>881</v>
      </c>
      <c r="M459" s="1121" t="s">
        <v>1057</v>
      </c>
      <c r="N459" s="291"/>
      <c r="O459" s="291"/>
      <c r="P459" s="291"/>
      <c r="Q459" s="1121"/>
      <c r="R459" s="292"/>
      <c r="S459" s="1017"/>
      <c r="T459" s="1121"/>
      <c r="U459" s="1121"/>
      <c r="V459" s="1121"/>
      <c r="W459" s="1121"/>
      <c r="X459" s="1121"/>
      <c r="Y459" s="1121"/>
      <c r="Z459" s="1121"/>
      <c r="AA459" s="1121"/>
      <c r="AB459" s="1121"/>
      <c r="AC459" s="1121"/>
      <c r="AD459" s="1121"/>
      <c r="AE459" s="1121"/>
      <c r="AF459" s="1121"/>
      <c r="AG459" s="288"/>
      <c r="AH459" s="1121"/>
      <c r="AI459" s="289"/>
      <c r="AJ459" s="1121" t="s">
        <v>3241</v>
      </c>
      <c r="AK459" s="1121"/>
      <c r="AL459" s="1121"/>
      <c r="AM459" s="1121"/>
      <c r="AN459" s="315"/>
      <c r="AO459" s="315"/>
      <c r="AP459" s="315"/>
      <c r="AQ459" s="315"/>
      <c r="AR459" s="315"/>
      <c r="AS459" s="315"/>
      <c r="AT459" s="315"/>
      <c r="AU459" s="315"/>
      <c r="AV459" s="315"/>
      <c r="AW459" s="1121" t="s">
        <v>2630</v>
      </c>
      <c r="AX459" s="1121" t="s">
        <v>1639</v>
      </c>
      <c r="AY459" s="315">
        <v>3.4</v>
      </c>
      <c r="AZ459" s="315"/>
      <c r="BA459" s="1025" t="s">
        <v>3012</v>
      </c>
      <c r="BB459" s="306"/>
    </row>
    <row r="460" spans="1:54" ht="14.25">
      <c r="A460" s="340"/>
      <c r="B460" s="287"/>
      <c r="C460" s="288"/>
      <c r="D460" s="1121"/>
      <c r="E460" s="1121"/>
      <c r="F460" s="289"/>
      <c r="G460" s="292"/>
      <c r="H460" s="291"/>
      <c r="I460" s="294"/>
      <c r="J460" s="288"/>
      <c r="K460" s="1121"/>
      <c r="L460" s="1121"/>
      <c r="M460" s="1121"/>
      <c r="N460" s="291"/>
      <c r="O460" s="291"/>
      <c r="P460" s="291"/>
      <c r="Q460" s="1121"/>
      <c r="R460" s="292"/>
      <c r="S460" s="1017"/>
      <c r="T460" s="1121"/>
      <c r="U460" s="1121"/>
      <c r="V460" s="1121"/>
      <c r="W460" s="1121"/>
      <c r="X460" s="1121"/>
      <c r="Y460" s="1121"/>
      <c r="Z460" s="1121"/>
      <c r="AA460" s="1121"/>
      <c r="AB460" s="1121"/>
      <c r="AC460" s="1121"/>
      <c r="AD460" s="1121"/>
      <c r="AE460" s="1121"/>
      <c r="AF460" s="1121"/>
      <c r="AG460" s="288"/>
      <c r="AH460" s="1121"/>
      <c r="AI460" s="289"/>
      <c r="AJ460" s="1121" t="s">
        <v>966</v>
      </c>
      <c r="AK460" s="1121"/>
      <c r="AL460" s="1121"/>
      <c r="AM460" s="1121"/>
      <c r="AN460" s="315"/>
      <c r="AO460" s="315"/>
      <c r="AP460" s="315"/>
      <c r="AQ460" s="315"/>
      <c r="AR460" s="315"/>
      <c r="AS460" s="315"/>
      <c r="AT460" s="315"/>
      <c r="AU460" s="315"/>
      <c r="AV460" s="315"/>
      <c r="AW460" s="315"/>
      <c r="AX460" s="315"/>
      <c r="AY460" s="315"/>
      <c r="AZ460" s="315"/>
      <c r="BA460" s="315"/>
      <c r="BB460" s="306"/>
    </row>
    <row r="461" spans="1:54" ht="14.25">
      <c r="A461" s="340"/>
      <c r="B461" s="287" t="s">
        <v>3180</v>
      </c>
      <c r="C461" s="288">
        <f>+$C$457+$G$459</f>
        <v>22588.900000000005</v>
      </c>
      <c r="D461" s="1121"/>
      <c r="E461" s="1121"/>
      <c r="F461" s="289">
        <v>0</v>
      </c>
      <c r="G461" s="292"/>
      <c r="H461" s="291"/>
      <c r="I461" s="294"/>
      <c r="J461" s="288"/>
      <c r="K461" s="1121"/>
      <c r="L461" s="1121" t="s">
        <v>230</v>
      </c>
      <c r="M461" s="1121" t="s">
        <v>2671</v>
      </c>
      <c r="N461" s="291" t="s">
        <v>145</v>
      </c>
      <c r="O461" s="291"/>
      <c r="P461" s="291"/>
      <c r="Q461" s="1121">
        <v>6</v>
      </c>
      <c r="R461" s="1017">
        <v>-37854.32</v>
      </c>
      <c r="S461" s="1017"/>
      <c r="T461" s="1121">
        <v>35</v>
      </c>
      <c r="U461" s="1121"/>
      <c r="V461" s="1121"/>
      <c r="W461" s="1121">
        <v>1.4</v>
      </c>
      <c r="X461" s="1121"/>
      <c r="Y461" s="1121"/>
      <c r="Z461" s="1121"/>
      <c r="AA461" s="1121"/>
      <c r="AB461" s="1121"/>
      <c r="AC461" s="1121" t="s">
        <v>2963</v>
      </c>
      <c r="AD461" s="1121"/>
      <c r="AE461" s="1121"/>
      <c r="AF461" s="1121">
        <v>6000</v>
      </c>
      <c r="AG461" s="288">
        <v>22588.58</v>
      </c>
      <c r="AH461" s="1121">
        <v>2535</v>
      </c>
      <c r="AI461" s="289">
        <v>626</v>
      </c>
      <c r="AJ461" s="1121"/>
      <c r="AK461" s="1121"/>
      <c r="AL461" s="1121"/>
      <c r="AM461" s="1121" t="s">
        <v>1228</v>
      </c>
      <c r="AN461" s="315">
        <v>5.5</v>
      </c>
      <c r="AO461" s="315"/>
      <c r="AP461" s="315"/>
      <c r="AQ461" s="315"/>
      <c r="AR461" s="315"/>
      <c r="AS461" s="315"/>
      <c r="AT461" s="315">
        <f>+ab($T$461,$T$457,$T$463,$G$459,$G$462,-1*$F$461,1200)</f>
        <v>7.3393061420811154</v>
      </c>
      <c r="AU461" s="315"/>
      <c r="AV461" s="315"/>
      <c r="AW461" s="315" t="s">
        <v>2630</v>
      </c>
      <c r="AX461" s="315" t="s">
        <v>1639</v>
      </c>
      <c r="AY461" s="315">
        <v>3.4</v>
      </c>
      <c r="AZ461" s="315"/>
      <c r="BA461" s="315"/>
      <c r="BB461" s="306"/>
    </row>
    <row r="462" spans="1:54" ht="14.25">
      <c r="A462" s="340"/>
      <c r="B462" s="287"/>
      <c r="C462" s="288"/>
      <c r="D462" s="1121"/>
      <c r="E462" s="1121"/>
      <c r="F462" s="289"/>
      <c r="G462" s="292">
        <v>52.8</v>
      </c>
      <c r="H462" s="291"/>
      <c r="I462" s="294"/>
      <c r="J462" s="288"/>
      <c r="K462" s="1121"/>
      <c r="L462" s="1121"/>
      <c r="M462" s="1121"/>
      <c r="N462" s="291"/>
      <c r="O462" s="291"/>
      <c r="P462" s="291"/>
      <c r="Q462" s="1121"/>
      <c r="R462" s="292"/>
      <c r="S462" s="1017">
        <v>52.667999999997846</v>
      </c>
      <c r="T462" s="1121"/>
      <c r="U462" s="1121"/>
      <c r="V462" s="1121"/>
      <c r="W462" s="1121"/>
      <c r="X462" s="1121"/>
      <c r="Y462" s="1121"/>
      <c r="Z462" s="1121"/>
      <c r="AA462" s="1121"/>
      <c r="AB462" s="1121"/>
      <c r="AC462" s="1121"/>
      <c r="AD462" s="1121"/>
      <c r="AE462" s="1121"/>
      <c r="AF462" s="1121"/>
      <c r="AG462" s="288"/>
      <c r="AH462" s="1121" t="s">
        <v>695</v>
      </c>
      <c r="AI462" s="289" t="s">
        <v>695</v>
      </c>
      <c r="AJ462" s="1121"/>
      <c r="AK462" s="1121"/>
      <c r="AL462" s="1121"/>
      <c r="AM462" s="1121"/>
      <c r="AN462" s="315"/>
      <c r="AO462" s="315"/>
      <c r="AP462" s="315"/>
      <c r="AQ462" s="315">
        <f>+FL_1($T$463,$T$461,$G$462,1200,9.28,-1*$F$463)</f>
        <v>0.38313126981818174</v>
      </c>
      <c r="AR462" s="315"/>
      <c r="AS462" s="315"/>
      <c r="AT462" s="315"/>
      <c r="AU462" s="315"/>
      <c r="AV462" s="315"/>
      <c r="AW462" s="315"/>
      <c r="AX462" s="315"/>
      <c r="AY462" s="315"/>
      <c r="AZ462" s="315"/>
      <c r="BA462" s="315"/>
      <c r="BB462" s="306"/>
    </row>
    <row r="463" spans="1:54" ht="14.25">
      <c r="A463" s="340"/>
      <c r="B463" s="287" t="s">
        <v>3181</v>
      </c>
      <c r="C463" s="288">
        <f>+$C$461+$G$462</f>
        <v>22641.700000000004</v>
      </c>
      <c r="D463" s="1121"/>
      <c r="E463" s="1121"/>
      <c r="F463" s="289">
        <v>0</v>
      </c>
      <c r="G463" s="292"/>
      <c r="H463" s="291"/>
      <c r="I463" s="294" t="s">
        <v>1223</v>
      </c>
      <c r="J463" s="288">
        <f>C463+7.5</f>
        <v>22649.200000000004</v>
      </c>
      <c r="K463" s="1121" t="s">
        <v>658</v>
      </c>
      <c r="L463" s="1121" t="s">
        <v>230</v>
      </c>
      <c r="M463" s="1121" t="s">
        <v>2671</v>
      </c>
      <c r="N463" s="291" t="s">
        <v>144</v>
      </c>
      <c r="O463" s="291"/>
      <c r="P463" s="291"/>
      <c r="Q463" s="1121">
        <v>0</v>
      </c>
      <c r="R463" s="508">
        <v>0</v>
      </c>
      <c r="S463" s="1017"/>
      <c r="T463" s="1121">
        <v>-35</v>
      </c>
      <c r="U463" s="1121"/>
      <c r="V463" s="1121"/>
      <c r="W463" s="1121">
        <v>1.4</v>
      </c>
      <c r="X463" s="1121"/>
      <c r="Y463" s="1121"/>
      <c r="Z463" s="1121"/>
      <c r="AA463" s="1121"/>
      <c r="AB463" s="1121"/>
      <c r="AC463" s="1121" t="s">
        <v>2963</v>
      </c>
      <c r="AD463" s="1121"/>
      <c r="AE463" s="1121"/>
      <c r="AF463" s="1121">
        <v>6000</v>
      </c>
      <c r="AG463" s="288">
        <v>22641.248</v>
      </c>
      <c r="AH463" s="1121">
        <v>2567</v>
      </c>
      <c r="AI463" s="289">
        <v>626</v>
      </c>
      <c r="AJ463" s="1121"/>
      <c r="AK463" s="1121"/>
      <c r="AL463" s="1121"/>
      <c r="AM463" s="1121" t="s">
        <v>1228</v>
      </c>
      <c r="AN463" s="315">
        <v>5.5</v>
      </c>
      <c r="AO463" s="315"/>
      <c r="AP463" s="315"/>
      <c r="AQ463" s="315"/>
      <c r="AR463" s="315"/>
      <c r="AS463" s="315"/>
      <c r="AT463" s="315">
        <f>+ab($T$463,$T$461,$T$465,$G$462,$G$464,-1*$F$463,1200)</f>
        <v>-5.9703942878402261</v>
      </c>
      <c r="AU463" s="315"/>
      <c r="AV463" s="315"/>
      <c r="AW463" s="315" t="s">
        <v>2630</v>
      </c>
      <c r="AX463" s="315" t="s">
        <v>1639</v>
      </c>
      <c r="AY463" s="315">
        <v>3.4</v>
      </c>
      <c r="AZ463" s="315">
        <v>2.5</v>
      </c>
      <c r="BA463" s="315"/>
      <c r="BB463" s="306"/>
    </row>
    <row r="464" spans="1:54" ht="14.25">
      <c r="A464" s="340"/>
      <c r="B464" s="287"/>
      <c r="C464" s="288"/>
      <c r="D464" s="1121"/>
      <c r="E464" s="1121"/>
      <c r="F464" s="289"/>
      <c r="G464" s="292">
        <v>37.299999999999997</v>
      </c>
      <c r="H464" s="291"/>
      <c r="I464" s="294" t="s">
        <v>2668</v>
      </c>
      <c r="J464" s="288">
        <f>C463+9.5</f>
        <v>22651.200000000004</v>
      </c>
      <c r="K464" s="1121" t="s">
        <v>658</v>
      </c>
      <c r="L464" s="1121"/>
      <c r="M464" s="1121"/>
      <c r="N464" s="291"/>
      <c r="O464" s="291"/>
      <c r="P464" s="291"/>
      <c r="Q464" s="1121"/>
      <c r="R464" s="292"/>
      <c r="S464" s="1017">
        <v>37.202000000001135</v>
      </c>
      <c r="T464" s="1121"/>
      <c r="U464" s="1121"/>
      <c r="V464" s="1121"/>
      <c r="W464" s="1121"/>
      <c r="X464" s="1121"/>
      <c r="Y464" s="1121"/>
      <c r="Z464" s="1121"/>
      <c r="AA464" s="1121"/>
      <c r="AB464" s="1121"/>
      <c r="AC464" s="1121"/>
      <c r="AD464" s="1121"/>
      <c r="AE464" s="1121"/>
      <c r="AF464" s="1121"/>
      <c r="AG464" s="288"/>
      <c r="AH464" s="1121" t="s">
        <v>695</v>
      </c>
      <c r="AI464" s="289" t="s">
        <v>695</v>
      </c>
      <c r="AJ464" s="1121" t="s">
        <v>2524</v>
      </c>
      <c r="AK464" s="1121"/>
      <c r="AL464" s="1121"/>
      <c r="AM464" s="1121"/>
      <c r="AN464" s="315"/>
      <c r="AO464" s="315"/>
      <c r="AP464" s="315"/>
      <c r="AQ464" s="315">
        <f>+FL_2($T$465,$T$463,$G$464,1200,9.28,-1*$F$465)</f>
        <v>-0.35000000000000492</v>
      </c>
      <c r="AR464" s="315"/>
      <c r="AS464" s="315"/>
      <c r="AT464" s="315"/>
      <c r="AU464" s="315"/>
      <c r="AV464" s="315"/>
      <c r="AW464" s="315" t="s">
        <v>2630</v>
      </c>
      <c r="AX464" s="315" t="s">
        <v>1639</v>
      </c>
      <c r="AY464" s="315"/>
      <c r="AZ464" s="315">
        <v>2.5</v>
      </c>
      <c r="BA464" s="315"/>
      <c r="BB464" s="306"/>
    </row>
    <row r="465" spans="1:54" ht="14.25">
      <c r="A465" s="340"/>
      <c r="B465" s="287" t="s">
        <v>3182</v>
      </c>
      <c r="C465" s="288">
        <f>+$C$463+$G$464</f>
        <v>22679.000000000004</v>
      </c>
      <c r="D465" s="1121"/>
      <c r="E465" s="1121"/>
      <c r="F465" s="289">
        <v>0</v>
      </c>
      <c r="G465" s="292"/>
      <c r="H465" s="291" t="s">
        <v>2752</v>
      </c>
      <c r="I465" s="294" t="s">
        <v>656</v>
      </c>
      <c r="J465" s="288">
        <f>C465-7.5</f>
        <v>22671.500000000004</v>
      </c>
      <c r="K465" s="1121" t="s">
        <v>653</v>
      </c>
      <c r="L465" s="1121" t="s">
        <v>1062</v>
      </c>
      <c r="M465" s="1121" t="s">
        <v>235</v>
      </c>
      <c r="N465" s="291" t="s">
        <v>145</v>
      </c>
      <c r="O465" s="291" t="s">
        <v>3250</v>
      </c>
      <c r="P465" s="291"/>
      <c r="Q465" s="1121">
        <v>0</v>
      </c>
      <c r="R465" s="508">
        <v>0</v>
      </c>
      <c r="S465" s="1017"/>
      <c r="T465" s="1121">
        <v>35</v>
      </c>
      <c r="U465" s="1121">
        <v>55</v>
      </c>
      <c r="V465" s="1121"/>
      <c r="W465" s="1121">
        <v>2</v>
      </c>
      <c r="X465" s="1121">
        <v>1.4</v>
      </c>
      <c r="Y465" s="1121"/>
      <c r="Z465" s="1121"/>
      <c r="AA465" s="1121">
        <v>0</v>
      </c>
      <c r="AB465" s="1121"/>
      <c r="AC465" s="1121" t="s">
        <v>1710</v>
      </c>
      <c r="AD465" s="1121" t="s">
        <v>3256</v>
      </c>
      <c r="AE465" s="1121"/>
      <c r="AF465" s="1121">
        <v>5900</v>
      </c>
      <c r="AG465" s="288">
        <v>22678.45</v>
      </c>
      <c r="AH465" s="1121">
        <v>2503</v>
      </c>
      <c r="AI465" s="289">
        <v>566</v>
      </c>
      <c r="AJ465" s="1121"/>
      <c r="AK465" s="1121"/>
      <c r="AL465" s="1121"/>
      <c r="AM465" s="1121" t="s">
        <v>1228</v>
      </c>
      <c r="AN465" s="315">
        <v>5.5</v>
      </c>
      <c r="AO465" s="315"/>
      <c r="AP465" s="315"/>
      <c r="AQ465" s="315"/>
      <c r="AR465" s="315"/>
      <c r="AS465" s="315"/>
      <c r="AT465" s="315">
        <f>+ab($T$465,$T$463,$U$467,$G$464,$G$466,-1*$F$465,1200)</f>
        <v>5.1583099460467503</v>
      </c>
      <c r="AU465" s="315"/>
      <c r="AV465" s="315"/>
      <c r="AW465" s="315" t="s">
        <v>2630</v>
      </c>
      <c r="AX465" s="315" t="s">
        <v>1639</v>
      </c>
      <c r="AY465" s="315">
        <v>3.4</v>
      </c>
      <c r="AZ465" s="315">
        <v>2.5</v>
      </c>
      <c r="BA465" s="315"/>
      <c r="BB465" s="306"/>
    </row>
    <row r="466" spans="1:54" ht="14.25">
      <c r="A466" s="340"/>
      <c r="B466" s="287"/>
      <c r="C466" s="288"/>
      <c r="D466" s="1121"/>
      <c r="E466" s="1121"/>
      <c r="F466" s="289"/>
      <c r="G466" s="292">
        <v>30</v>
      </c>
      <c r="H466" s="291"/>
      <c r="I466" s="291"/>
      <c r="J466" s="288"/>
      <c r="K466" s="1121"/>
      <c r="L466" s="1121"/>
      <c r="M466" s="1121"/>
      <c r="N466" s="291"/>
      <c r="O466" s="291"/>
      <c r="P466" s="291"/>
      <c r="Q466" s="1121"/>
      <c r="R466" s="292"/>
      <c r="S466" s="1017">
        <v>30.25</v>
      </c>
      <c r="T466" s="1121"/>
      <c r="U466" s="1121"/>
      <c r="V466" s="1121"/>
      <c r="W466" s="1121"/>
      <c r="X466" s="1121"/>
      <c r="Y466" s="1121"/>
      <c r="Z466" s="1121"/>
      <c r="AA466" s="1121"/>
      <c r="AB466" s="1121"/>
      <c r="AC466" s="1121"/>
      <c r="AD466" s="1121"/>
      <c r="AE466" s="1121"/>
      <c r="AF466" s="1121"/>
      <c r="AG466" s="288"/>
      <c r="AH466" s="1121" t="s">
        <v>695</v>
      </c>
      <c r="AI466" s="289" t="s">
        <v>695</v>
      </c>
      <c r="AJ466" s="1121"/>
      <c r="AK466" s="1121"/>
      <c r="AL466" s="1121"/>
      <c r="AM466" s="1121"/>
      <c r="AN466" s="315"/>
      <c r="AO466" s="315"/>
      <c r="AP466" s="315"/>
      <c r="AQ466" s="315">
        <f>+FL_1($U$467,$T$465,$G$466,1200,9.28,-1*$F$467)</f>
        <v>0.35000000000001275</v>
      </c>
      <c r="AR466" s="315"/>
      <c r="AS466" s="315"/>
      <c r="AT466" s="315"/>
      <c r="AU466" s="315"/>
      <c r="AV466" s="315"/>
      <c r="AW466" s="315"/>
      <c r="AX466" s="315"/>
      <c r="AY466" s="315"/>
      <c r="AZ466" s="315"/>
      <c r="BA466" s="315"/>
      <c r="BB466" s="306"/>
    </row>
    <row r="467" spans="1:54" ht="14.25">
      <c r="A467" s="340"/>
      <c r="B467" s="287" t="s">
        <v>3183</v>
      </c>
      <c r="C467" s="288">
        <f>+$C$465+$G$466</f>
        <v>22709.000000000004</v>
      </c>
      <c r="D467" s="1121"/>
      <c r="E467" s="1121"/>
      <c r="F467" s="289">
        <v>0</v>
      </c>
      <c r="G467" s="292"/>
      <c r="H467" s="291" t="s">
        <v>651</v>
      </c>
      <c r="I467" s="291"/>
      <c r="J467" s="288"/>
      <c r="K467" s="1121"/>
      <c r="L467" s="1121" t="s">
        <v>1056</v>
      </c>
      <c r="M467" s="1121" t="s">
        <v>2760</v>
      </c>
      <c r="N467" s="291" t="s">
        <v>140</v>
      </c>
      <c r="O467" s="291" t="s">
        <v>140</v>
      </c>
      <c r="P467" s="291" t="s">
        <v>144</v>
      </c>
      <c r="Q467" s="1121">
        <v>0</v>
      </c>
      <c r="R467" s="508">
        <v>0</v>
      </c>
      <c r="S467" s="1017"/>
      <c r="T467" s="1121">
        <v>-75</v>
      </c>
      <c r="U467" s="1121">
        <v>-20</v>
      </c>
      <c r="V467" s="1121">
        <v>-55</v>
      </c>
      <c r="W467" s="1121">
        <v>2.2000000000000002</v>
      </c>
      <c r="X467" s="1121">
        <v>1.4</v>
      </c>
      <c r="Y467" s="1121">
        <v>1.8</v>
      </c>
      <c r="Z467" s="1121">
        <v>0.45</v>
      </c>
      <c r="AA467" s="1121">
        <v>0.2</v>
      </c>
      <c r="AB467" s="1121">
        <v>0</v>
      </c>
      <c r="AC467" s="1121"/>
      <c r="AD467" s="1121"/>
      <c r="AE467" s="1121" t="s">
        <v>3257</v>
      </c>
      <c r="AF467" s="1121">
        <v>6000</v>
      </c>
      <c r="AG467" s="288">
        <v>22708.7</v>
      </c>
      <c r="AH467" s="1121">
        <v>3125</v>
      </c>
      <c r="AI467" s="289">
        <v>443</v>
      </c>
      <c r="AJ467" s="1121"/>
      <c r="AK467" s="1121"/>
      <c r="AL467" s="1121"/>
      <c r="AM467" s="1121" t="s">
        <v>1228</v>
      </c>
      <c r="AN467" s="315">
        <v>5.5</v>
      </c>
      <c r="AO467" s="315"/>
      <c r="AP467" s="315"/>
      <c r="AQ467" s="315"/>
      <c r="AR467" s="315"/>
      <c r="AS467" s="315"/>
      <c r="AT467" s="315">
        <f>+ab($U$467,$T$465,$U$469,$G$466,$G$468,-1*$F$467,1200)</f>
        <v>-5.0590553418010078</v>
      </c>
      <c r="AU467" s="315"/>
      <c r="AV467" s="315"/>
      <c r="AW467" s="315" t="s">
        <v>2630</v>
      </c>
      <c r="AX467" s="315" t="s">
        <v>1639</v>
      </c>
      <c r="AY467" s="315">
        <v>3.4</v>
      </c>
      <c r="AZ467" s="315"/>
      <c r="BA467" s="315"/>
      <c r="BB467" s="306"/>
    </row>
    <row r="468" spans="1:54" ht="14.25">
      <c r="A468" s="340"/>
      <c r="B468" s="287"/>
      <c r="C468" s="288"/>
      <c r="D468" s="1121"/>
      <c r="E468" s="1121"/>
      <c r="F468" s="289"/>
      <c r="G468" s="292">
        <v>35.9</v>
      </c>
      <c r="H468" s="291"/>
      <c r="I468" s="382">
        <f>+C469-C451</f>
        <v>367.90000000000146</v>
      </c>
      <c r="J468" s="288"/>
      <c r="K468" s="1121"/>
      <c r="L468" s="1121"/>
      <c r="M468" s="1121"/>
      <c r="N468" s="1121"/>
      <c r="O468" s="291"/>
      <c r="P468" s="291"/>
      <c r="Q468" s="1121"/>
      <c r="R468" s="292"/>
      <c r="S468" s="1017">
        <v>35.649999999997817</v>
      </c>
      <c r="T468" s="1121"/>
      <c r="U468" s="1121"/>
      <c r="V468" s="1121"/>
      <c r="W468" s="1121"/>
      <c r="X468" s="1121"/>
      <c r="Y468" s="1121"/>
      <c r="Z468" s="1121"/>
      <c r="AA468" s="1121"/>
      <c r="AB468" s="1121"/>
      <c r="AC468" s="1121"/>
      <c r="AD468" s="1121"/>
      <c r="AE468" s="1121"/>
      <c r="AF468" s="1121"/>
      <c r="AG468" s="288"/>
      <c r="AH468" s="1121" t="s">
        <v>695</v>
      </c>
      <c r="AI468" s="289" t="s">
        <v>695</v>
      </c>
      <c r="AJ468" s="1121"/>
      <c r="AK468" s="1121"/>
      <c r="AL468" s="1121"/>
      <c r="AM468" s="1121"/>
      <c r="AN468" s="315"/>
      <c r="AO468" s="315"/>
      <c r="AP468" s="315"/>
      <c r="AQ468" s="315">
        <f>+FL_1($U$469,$U$467,$G$468,1200,9.28,-1*$F$469)</f>
        <v>0.5</v>
      </c>
      <c r="AR468" s="315"/>
      <c r="AS468" s="315"/>
      <c r="AT468" s="315"/>
      <c r="AU468" s="315"/>
      <c r="AV468" s="315"/>
      <c r="AW468" s="315"/>
      <c r="AX468" s="315"/>
      <c r="AY468" s="315"/>
      <c r="AZ468" s="315"/>
      <c r="BA468" s="315"/>
      <c r="BB468" s="306"/>
    </row>
    <row r="469" spans="1:54" ht="14.25">
      <c r="A469" s="340"/>
      <c r="B469" s="287" t="s">
        <v>3184</v>
      </c>
      <c r="C469" s="288">
        <f>+$C$467+$G$468</f>
        <v>22744.900000000005</v>
      </c>
      <c r="D469" s="1121"/>
      <c r="E469" s="1121"/>
      <c r="F469" s="289">
        <v>0</v>
      </c>
      <c r="G469" s="292"/>
      <c r="H469" s="293" t="s">
        <v>2748</v>
      </c>
      <c r="I469" s="291"/>
      <c r="J469" s="288"/>
      <c r="K469" s="1121"/>
      <c r="L469" s="1121"/>
      <c r="M469" s="1121"/>
      <c r="N469" s="291" t="s">
        <v>918</v>
      </c>
      <c r="O469" s="291" t="s">
        <v>917</v>
      </c>
      <c r="P469" s="291" t="s">
        <v>3258</v>
      </c>
      <c r="Q469" s="1121">
        <v>0</v>
      </c>
      <c r="R469" s="508">
        <v>0</v>
      </c>
      <c r="S469" s="1017"/>
      <c r="T469" s="1121">
        <v>-20</v>
      </c>
      <c r="U469" s="1121">
        <v>50</v>
      </c>
      <c r="V469" s="1121">
        <v>35</v>
      </c>
      <c r="W469" s="1121">
        <v>2.2000000000000002</v>
      </c>
      <c r="X469" s="1121">
        <v>1.4</v>
      </c>
      <c r="Y469" s="1121">
        <v>1.8</v>
      </c>
      <c r="Z469" s="1121">
        <v>0.45</v>
      </c>
      <c r="AA469" s="1121"/>
      <c r="AB469" s="1121">
        <v>0</v>
      </c>
      <c r="AC469" s="1121"/>
      <c r="AD469" s="1121" t="s">
        <v>3256</v>
      </c>
      <c r="AE469" s="1121" t="s">
        <v>3256</v>
      </c>
      <c r="AF469" s="1121">
        <v>200</v>
      </c>
      <c r="AG469" s="288">
        <v>22744.35</v>
      </c>
      <c r="AH469" s="1121">
        <v>1786</v>
      </c>
      <c r="AI469" s="289">
        <v>755</v>
      </c>
      <c r="AJ469" s="1121"/>
      <c r="AK469" s="1121" t="s">
        <v>229</v>
      </c>
      <c r="AL469" s="1121"/>
      <c r="AM469" s="1121"/>
      <c r="AN469" s="315">
        <v>5.5</v>
      </c>
      <c r="AO469" s="315"/>
      <c r="AP469" s="315"/>
      <c r="AQ469" s="315"/>
      <c r="AR469" s="315"/>
      <c r="AS469" s="315"/>
      <c r="AT469" s="315">
        <f>+ab($U$469,$U$467,$U$471,$G$468,$G$470,-1*$F$469,1200)</f>
        <v>4.3128017636536944</v>
      </c>
      <c r="AU469" s="315"/>
      <c r="AV469" s="315"/>
      <c r="AW469" s="315" t="s">
        <v>699</v>
      </c>
      <c r="AX469" s="315" t="s">
        <v>699</v>
      </c>
      <c r="AY469" s="315" t="s">
        <v>699</v>
      </c>
      <c r="AZ469" s="315" t="s">
        <v>699</v>
      </c>
      <c r="BA469" s="315"/>
      <c r="BB469" s="306"/>
    </row>
    <row r="470" spans="1:54" ht="14.25">
      <c r="A470" s="340"/>
      <c r="B470" s="287"/>
      <c r="C470" s="288"/>
      <c r="D470" s="1121"/>
      <c r="E470" s="1121"/>
      <c r="F470" s="289"/>
      <c r="G470" s="292">
        <v>28.1</v>
      </c>
      <c r="H470" s="291"/>
      <c r="I470" s="291"/>
      <c r="J470" s="288"/>
      <c r="K470" s="1121"/>
      <c r="L470" s="1121"/>
      <c r="M470" s="1121"/>
      <c r="N470" s="291"/>
      <c r="O470" s="291"/>
      <c r="P470" s="291"/>
      <c r="Q470" s="1121"/>
      <c r="R470" s="292"/>
      <c r="S470" s="1017">
        <v>28.180000000000291</v>
      </c>
      <c r="T470" s="1121"/>
      <c r="U470" s="1121"/>
      <c r="V470" s="1121"/>
      <c r="W470" s="1121"/>
      <c r="X470" s="1121"/>
      <c r="Y470" s="1121"/>
      <c r="Z470" s="1121"/>
      <c r="AA470" s="1121"/>
      <c r="AB470" s="1121"/>
      <c r="AC470" s="1121"/>
      <c r="AD470" s="1121"/>
      <c r="AE470" s="1121"/>
      <c r="AF470" s="1121"/>
      <c r="AG470" s="288"/>
      <c r="AH470" s="1121" t="s">
        <v>695</v>
      </c>
      <c r="AI470" s="289" t="s">
        <v>695</v>
      </c>
      <c r="AJ470" s="1121" t="s">
        <v>2524</v>
      </c>
      <c r="AK470" s="1121"/>
      <c r="AL470" s="1121"/>
      <c r="AM470" s="1121"/>
      <c r="AN470" s="315"/>
      <c r="AO470" s="315"/>
      <c r="AP470" s="315"/>
      <c r="AQ470" s="315">
        <f>+FL_1($U$471,$U$469,$G$470,1200,9.28,-1*$F$471)</f>
        <v>0.5000000000000222</v>
      </c>
      <c r="AR470" s="315"/>
      <c r="AS470" s="315"/>
      <c r="AT470" s="315"/>
      <c r="AU470" s="315"/>
      <c r="AV470" s="315"/>
      <c r="AW470" s="315"/>
      <c r="AX470" s="315"/>
      <c r="AY470" s="315"/>
      <c r="AZ470" s="315"/>
      <c r="BA470" s="315"/>
      <c r="BB470" s="306"/>
    </row>
    <row r="471" spans="1:54" ht="14.25">
      <c r="A471" s="340" t="s">
        <v>3242</v>
      </c>
      <c r="B471" s="287" t="s">
        <v>3185</v>
      </c>
      <c r="C471" s="288">
        <f>+$C$469+$G$470</f>
        <v>22773.000000000004</v>
      </c>
      <c r="D471" s="1121"/>
      <c r="E471" s="1121"/>
      <c r="F471" s="289">
        <v>0</v>
      </c>
      <c r="G471" s="292"/>
      <c r="H471" s="291"/>
      <c r="I471" s="294"/>
      <c r="J471" s="288"/>
      <c r="K471" s="1121"/>
      <c r="L471" s="1121"/>
      <c r="M471" s="1121"/>
      <c r="N471" s="291" t="s">
        <v>918</v>
      </c>
      <c r="O471" s="291" t="s">
        <v>916</v>
      </c>
      <c r="P471" s="291"/>
      <c r="Q471" s="1121">
        <v>0</v>
      </c>
      <c r="R471" s="508">
        <v>0</v>
      </c>
      <c r="S471" s="1017"/>
      <c r="T471" s="399">
        <v>55</v>
      </c>
      <c r="U471" s="399">
        <v>-20</v>
      </c>
      <c r="V471" s="399"/>
      <c r="W471" s="399">
        <v>1.8</v>
      </c>
      <c r="X471" s="399">
        <v>2</v>
      </c>
      <c r="Y471" s="399"/>
      <c r="Z471" s="399">
        <v>0.2</v>
      </c>
      <c r="AA471" s="399"/>
      <c r="AB471" s="1121"/>
      <c r="AC471" s="1121"/>
      <c r="AD471" s="1121" t="s">
        <v>1704</v>
      </c>
      <c r="AE471" s="1121"/>
      <c r="AF471" s="1121">
        <v>200</v>
      </c>
      <c r="AG471" s="288">
        <v>22772.53</v>
      </c>
      <c r="AH471" s="1121">
        <v>1782</v>
      </c>
      <c r="AI471" s="289">
        <v>698</v>
      </c>
      <c r="AJ471" s="1121" t="s">
        <v>3241</v>
      </c>
      <c r="AK471" s="1121" t="s">
        <v>229</v>
      </c>
      <c r="AL471" s="1121"/>
      <c r="AM471" s="1121"/>
      <c r="AN471" s="315">
        <v>5.5</v>
      </c>
      <c r="AO471" s="315"/>
      <c r="AP471" s="315"/>
      <c r="AQ471" s="315"/>
      <c r="AR471" s="315"/>
      <c r="AS471" s="315"/>
      <c r="AT471" s="315">
        <f>+ab($U$471,$U$469,$U$473,$G$470,$G$472,-1*$F$471,1200)</f>
        <v>-10.174759293555601</v>
      </c>
      <c r="AU471" s="315"/>
      <c r="AV471" s="315"/>
      <c r="AW471" s="315" t="s">
        <v>699</v>
      </c>
      <c r="AX471" s="315" t="s">
        <v>699</v>
      </c>
      <c r="AY471" s="315" t="s">
        <v>699</v>
      </c>
      <c r="AZ471" s="315" t="s">
        <v>699</v>
      </c>
      <c r="BA471" s="315"/>
      <c r="BB471" s="306"/>
    </row>
    <row r="472" spans="1:54" ht="14.25">
      <c r="A472" s="340"/>
      <c r="B472" s="287"/>
      <c r="C472" s="288"/>
      <c r="D472" s="1121"/>
      <c r="E472" s="1121"/>
      <c r="F472" s="289"/>
      <c r="G472" s="292">
        <v>24</v>
      </c>
      <c r="H472" s="291"/>
      <c r="I472" s="385"/>
      <c r="J472" s="288"/>
      <c r="K472" s="1121"/>
      <c r="L472" s="1121"/>
      <c r="M472" s="1121"/>
      <c r="N472" s="291"/>
      <c r="O472" s="291"/>
      <c r="P472" s="291"/>
      <c r="Q472" s="1121"/>
      <c r="R472" s="292"/>
      <c r="S472" s="1017">
        <v>24.030000000002474</v>
      </c>
      <c r="T472" s="399"/>
      <c r="U472" s="399"/>
      <c r="V472" s="399"/>
      <c r="W472" s="399"/>
      <c r="X472" s="399"/>
      <c r="Y472" s="399"/>
      <c r="Z472" s="399"/>
      <c r="AA472" s="399"/>
      <c r="AB472" s="1121"/>
      <c r="AC472" s="1121"/>
      <c r="AD472" s="1121"/>
      <c r="AE472" s="1121"/>
      <c r="AF472" s="1121"/>
      <c r="AG472" s="288"/>
      <c r="AH472" s="1121" t="s">
        <v>695</v>
      </c>
      <c r="AI472" s="289" t="s">
        <v>695</v>
      </c>
      <c r="AJ472" s="1121"/>
      <c r="AK472" s="1121"/>
      <c r="AL472" s="1121"/>
      <c r="AM472" s="1121"/>
      <c r="AN472" s="315"/>
      <c r="AO472" s="315"/>
      <c r="AP472" s="315"/>
      <c r="AQ472" s="315">
        <f>+FL_2($U$473,$U$471,$G$472,1200,9.28,-1*$F$473)</f>
        <v>-0.35593592533333335</v>
      </c>
      <c r="AR472" s="315"/>
      <c r="AS472" s="315"/>
      <c r="AT472" s="315"/>
      <c r="AU472" s="315"/>
      <c r="AV472" s="315"/>
      <c r="AW472" s="315"/>
      <c r="AX472" s="315"/>
      <c r="AY472" s="315"/>
      <c r="AZ472" s="315"/>
      <c r="BA472" s="315"/>
      <c r="BB472" s="306"/>
    </row>
    <row r="473" spans="1:54" ht="14.25">
      <c r="A473" s="340"/>
      <c r="B473" s="287" t="s">
        <v>3186</v>
      </c>
      <c r="C473" s="288">
        <f>+$C$471+$G$472</f>
        <v>22797.000000000004</v>
      </c>
      <c r="D473" s="1121"/>
      <c r="E473" s="1121"/>
      <c r="F473" s="289">
        <v>0</v>
      </c>
      <c r="G473" s="292"/>
      <c r="H473" s="291" t="s">
        <v>2724</v>
      </c>
      <c r="I473" s="385"/>
      <c r="J473" s="288"/>
      <c r="K473" s="1121"/>
      <c r="L473" s="1121"/>
      <c r="M473" s="1121"/>
      <c r="N473" s="291" t="s">
        <v>917</v>
      </c>
      <c r="O473" s="291" t="s">
        <v>3258</v>
      </c>
      <c r="P473" s="291"/>
      <c r="Q473" s="1121">
        <v>0</v>
      </c>
      <c r="R473" s="508">
        <v>0</v>
      </c>
      <c r="S473" s="1017"/>
      <c r="T473" s="399">
        <v>55</v>
      </c>
      <c r="U473" s="399">
        <v>-35</v>
      </c>
      <c r="V473" s="399"/>
      <c r="W473" s="399">
        <v>1.8</v>
      </c>
      <c r="X473" s="399">
        <v>1.4</v>
      </c>
      <c r="Y473" s="399"/>
      <c r="Z473" s="399"/>
      <c r="AA473" s="399"/>
      <c r="AB473" s="1121"/>
      <c r="AC473" s="1121" t="s">
        <v>2991</v>
      </c>
      <c r="AD473" s="1121" t="s">
        <v>2971</v>
      </c>
      <c r="AE473" s="1121"/>
      <c r="AF473" s="1121">
        <v>200</v>
      </c>
      <c r="AG473" s="288">
        <v>22796.560000000001</v>
      </c>
      <c r="AH473" s="1121">
        <v>2082</v>
      </c>
      <c r="AI473" s="289">
        <v>-5300</v>
      </c>
      <c r="AJ473" s="1121"/>
      <c r="AK473" s="1121" t="s">
        <v>229</v>
      </c>
      <c r="AL473" s="1121"/>
      <c r="AM473" s="1121"/>
      <c r="AN473" s="315">
        <v>5.5</v>
      </c>
      <c r="AO473" s="315"/>
      <c r="AP473" s="315"/>
      <c r="AQ473" s="315"/>
      <c r="AR473" s="315"/>
      <c r="AS473" s="315"/>
      <c r="AT473" s="315">
        <f>+ab($U$473,-35,$T$475,$G$472,$G$474,-1*$F$473,1200)</f>
        <v>-27.661074778488029</v>
      </c>
      <c r="AU473" s="315"/>
      <c r="AV473" s="315"/>
      <c r="AW473" s="315" t="s">
        <v>699</v>
      </c>
      <c r="AX473" s="315" t="s">
        <v>699</v>
      </c>
      <c r="AY473" s="315" t="s">
        <v>699</v>
      </c>
      <c r="AZ473" s="315" t="s">
        <v>699</v>
      </c>
      <c r="BA473" s="315"/>
      <c r="BB473" s="306"/>
    </row>
    <row r="474" spans="1:54" ht="14.25">
      <c r="A474" s="340"/>
      <c r="B474" s="287"/>
      <c r="C474" s="288"/>
      <c r="D474" s="1121"/>
      <c r="E474" s="1121"/>
      <c r="F474" s="289"/>
      <c r="G474" s="292">
        <v>31.3</v>
      </c>
      <c r="H474" s="291"/>
      <c r="I474" s="385"/>
      <c r="J474" s="288"/>
      <c r="K474" s="1121"/>
      <c r="L474" s="1121"/>
      <c r="M474" s="1121"/>
      <c r="N474" s="291"/>
      <c r="O474" s="291"/>
      <c r="P474" s="291"/>
      <c r="Q474" s="1121"/>
      <c r="R474" s="292"/>
      <c r="S474" s="1017">
        <v>31.229999999999563</v>
      </c>
      <c r="T474" s="399"/>
      <c r="U474" s="399"/>
      <c r="V474" s="399"/>
      <c r="W474" s="399"/>
      <c r="X474" s="399"/>
      <c r="Y474" s="399"/>
      <c r="Z474" s="399"/>
      <c r="AA474" s="399"/>
      <c r="AB474" s="1121"/>
      <c r="AC474" s="1121"/>
      <c r="AD474" s="1121"/>
      <c r="AE474" s="1121"/>
      <c r="AF474" s="1121"/>
      <c r="AG474" s="288"/>
      <c r="AH474" s="1121" t="s">
        <v>695</v>
      </c>
      <c r="AI474" s="289" t="s">
        <v>695</v>
      </c>
      <c r="AJ474" s="1121"/>
      <c r="AK474" s="1121"/>
      <c r="AL474" s="1121"/>
      <c r="AM474" s="1121"/>
      <c r="AN474" s="315"/>
      <c r="AO474" s="315"/>
      <c r="AP474" s="315"/>
      <c r="AQ474" s="315">
        <f>+FL_1($T$475,$U$473,$G$474,1200,9.28,-1*$F$475)</f>
        <v>-0.12889841928434503</v>
      </c>
      <c r="AR474" s="315"/>
      <c r="AS474" s="315"/>
      <c r="AT474" s="315"/>
      <c r="AU474" s="315"/>
      <c r="AV474" s="315"/>
      <c r="AW474" s="315"/>
      <c r="AX474" s="315"/>
      <c r="AY474" s="315"/>
      <c r="AZ474" s="315"/>
      <c r="BA474" s="315"/>
      <c r="BB474" s="306"/>
    </row>
    <row r="475" spans="1:54" ht="14.25">
      <c r="A475" s="340"/>
      <c r="B475" s="287" t="s">
        <v>3187</v>
      </c>
      <c r="C475" s="288">
        <f>+$C$473+$G$474</f>
        <v>22828.300000000003</v>
      </c>
      <c r="D475" s="1121"/>
      <c r="E475" s="1121"/>
      <c r="F475" s="289">
        <v>0</v>
      </c>
      <c r="G475" s="292"/>
      <c r="H475" s="291"/>
      <c r="I475" s="291"/>
      <c r="J475" s="288"/>
      <c r="K475" s="1121"/>
      <c r="L475" s="1121"/>
      <c r="M475" s="1121"/>
      <c r="N475" s="291" t="s">
        <v>3258</v>
      </c>
      <c r="O475" s="291"/>
      <c r="P475" s="291"/>
      <c r="Q475" s="1121">
        <v>0</v>
      </c>
      <c r="R475" s="508">
        <v>0</v>
      </c>
      <c r="S475" s="1017"/>
      <c r="T475" s="399">
        <v>-15</v>
      </c>
      <c r="U475" s="399"/>
      <c r="V475" s="399"/>
      <c r="W475" s="399">
        <v>1.4</v>
      </c>
      <c r="X475" s="399"/>
      <c r="Y475" s="399"/>
      <c r="Z475" s="399"/>
      <c r="AA475" s="399"/>
      <c r="AB475" s="1121"/>
      <c r="AC475" s="1121" t="s">
        <v>2963</v>
      </c>
      <c r="AD475" s="1121"/>
      <c r="AE475" s="1121"/>
      <c r="AF475" s="1121">
        <v>100</v>
      </c>
      <c r="AG475" s="288">
        <v>22827.79</v>
      </c>
      <c r="AH475" s="1121">
        <v>1782</v>
      </c>
      <c r="AI475" s="289">
        <v>-5300</v>
      </c>
      <c r="AJ475" s="1121" t="s">
        <v>2524</v>
      </c>
      <c r="AK475" s="1121" t="s">
        <v>229</v>
      </c>
      <c r="AL475" s="1121"/>
      <c r="AM475" s="1121"/>
      <c r="AN475" s="315">
        <v>5.5</v>
      </c>
      <c r="AO475" s="315"/>
      <c r="AP475" s="315"/>
      <c r="AQ475" s="315"/>
      <c r="AR475" s="315"/>
      <c r="AS475" s="315"/>
      <c r="AT475" s="315">
        <f>+ab(-$T$475,U473,T477,$G$474,$G$476,-1*$F$475,1200)</f>
        <v>6.8224242743898822</v>
      </c>
      <c r="AU475" s="315"/>
      <c r="AV475" s="315"/>
      <c r="AW475" s="315" t="s">
        <v>699</v>
      </c>
      <c r="AX475" s="315" t="s">
        <v>699</v>
      </c>
      <c r="AY475" s="315" t="s">
        <v>699</v>
      </c>
      <c r="AZ475" s="315" t="s">
        <v>699</v>
      </c>
      <c r="BA475" s="315"/>
      <c r="BB475" s="306"/>
    </row>
    <row r="476" spans="1:54" ht="14.25">
      <c r="A476" s="340"/>
      <c r="B476" s="287"/>
      <c r="C476" s="288"/>
      <c r="D476" s="1121"/>
      <c r="E476" s="1121"/>
      <c r="F476" s="289"/>
      <c r="G476" s="292">
        <v>20.8</v>
      </c>
      <c r="H476" s="291"/>
      <c r="I476" s="385"/>
      <c r="J476" s="288"/>
      <c r="K476" s="1121"/>
      <c r="L476" s="1121"/>
      <c r="M476" s="1121"/>
      <c r="N476" s="291"/>
      <c r="O476" s="291"/>
      <c r="P476" s="291"/>
      <c r="Q476" s="1121"/>
      <c r="R476" s="292"/>
      <c r="S476" s="1017">
        <v>20.860000000000582</v>
      </c>
      <c r="T476" s="399"/>
      <c r="U476" s="399"/>
      <c r="V476" s="399"/>
      <c r="W476" s="399"/>
      <c r="X476" s="399"/>
      <c r="Y476" s="399"/>
      <c r="Z476" s="399"/>
      <c r="AA476" s="399"/>
      <c r="AB476" s="1121"/>
      <c r="AC476" s="1121"/>
      <c r="AD476" s="1121"/>
      <c r="AE476" s="1121"/>
      <c r="AF476" s="1121"/>
      <c r="AG476" s="288"/>
      <c r="AH476" s="1121" t="s">
        <v>695</v>
      </c>
      <c r="AI476" s="289" t="s">
        <v>695</v>
      </c>
      <c r="AJ476" s="1121"/>
      <c r="AK476" s="1121"/>
      <c r="AL476" s="1121"/>
      <c r="AM476" s="1121"/>
      <c r="AN476" s="315"/>
      <c r="AO476" s="315"/>
      <c r="AP476" s="315"/>
      <c r="AQ476" s="315">
        <f>+FL_1(U473,-$T$475,$G$476,1200,9.28,-1*$F$477)</f>
        <v>0.15000000000000713</v>
      </c>
      <c r="AR476" s="315"/>
      <c r="AS476" s="315"/>
      <c r="AT476" s="315"/>
      <c r="AU476" s="315"/>
      <c r="AV476" s="315"/>
      <c r="AW476" s="315"/>
      <c r="AX476" s="315"/>
      <c r="AY476" s="315"/>
      <c r="AZ476" s="315"/>
      <c r="BA476" s="315"/>
      <c r="BB476" s="306"/>
    </row>
    <row r="477" spans="1:54" ht="14.25">
      <c r="A477" s="340"/>
      <c r="B477" s="287" t="s">
        <v>3188</v>
      </c>
      <c r="C477" s="288">
        <f>+$C$475+$G$476</f>
        <v>22849.100000000002</v>
      </c>
      <c r="D477" s="1121"/>
      <c r="E477" s="1121"/>
      <c r="F477" s="289">
        <v>0</v>
      </c>
      <c r="G477" s="292"/>
      <c r="H477" s="291"/>
      <c r="I477" s="294"/>
      <c r="J477" s="288"/>
      <c r="K477" s="1121"/>
      <c r="L477" s="1121"/>
      <c r="M477" s="1121"/>
      <c r="N477" s="291" t="s">
        <v>916</v>
      </c>
      <c r="O477" s="291"/>
      <c r="P477" s="291"/>
      <c r="Q477" s="1121">
        <v>0</v>
      </c>
      <c r="R477" s="508">
        <v>0</v>
      </c>
      <c r="S477" s="1017"/>
      <c r="T477" s="399">
        <v>-10</v>
      </c>
      <c r="U477" s="1016"/>
      <c r="V477" s="399"/>
      <c r="W477" s="399">
        <v>1.4</v>
      </c>
      <c r="X477" s="1016"/>
      <c r="Y477" s="399"/>
      <c r="Z477" s="399"/>
      <c r="AA477" s="399"/>
      <c r="AB477" s="1121"/>
      <c r="AC477" s="1121" t="s">
        <v>2974</v>
      </c>
      <c r="AE477" s="1121"/>
      <c r="AF477" s="1121">
        <v>200</v>
      </c>
      <c r="AG477" s="288">
        <v>22848.65</v>
      </c>
      <c r="AH477" s="1121">
        <v>1783</v>
      </c>
      <c r="AI477" s="289">
        <v>-5300</v>
      </c>
      <c r="AJ477" s="1121"/>
      <c r="AK477" s="1121" t="s">
        <v>229</v>
      </c>
      <c r="AL477" s="1121"/>
      <c r="AM477" s="1121"/>
      <c r="AN477" s="315">
        <v>5.5</v>
      </c>
      <c r="AO477" s="315"/>
      <c r="AP477" s="315"/>
      <c r="AQ477" s="315"/>
      <c r="AR477" s="315"/>
      <c r="AS477" s="315"/>
      <c r="AT477" s="315">
        <f>+ab($T$477,$U$475,$U$479,$G$476,$G$478,-1*$F$477,1200)</f>
        <v>-9.8327027066892221</v>
      </c>
      <c r="AU477" s="315"/>
      <c r="AV477" s="315"/>
      <c r="AW477" s="315" t="s">
        <v>699</v>
      </c>
      <c r="AX477" s="315" t="s">
        <v>699</v>
      </c>
      <c r="AY477" s="315" t="s">
        <v>699</v>
      </c>
      <c r="AZ477" s="315" t="s">
        <v>699</v>
      </c>
      <c r="BA477" s="315"/>
      <c r="BB477" s="306"/>
    </row>
    <row r="478" spans="1:54" ht="14.25">
      <c r="A478" s="340"/>
      <c r="B478" s="287"/>
      <c r="C478" s="288"/>
      <c r="D478" s="1121"/>
      <c r="E478" s="1121"/>
      <c r="F478" s="289"/>
      <c r="G478" s="292">
        <v>31</v>
      </c>
      <c r="H478" s="291"/>
      <c r="I478" s="289"/>
      <c r="J478" s="288"/>
      <c r="K478" s="1121"/>
      <c r="L478" s="1121"/>
      <c r="M478" s="1121"/>
      <c r="N478" s="291"/>
      <c r="O478" s="291"/>
      <c r="P478" s="291"/>
      <c r="Q478" s="1121"/>
      <c r="R478" s="292"/>
      <c r="S478" s="1017">
        <v>30.969999999997526</v>
      </c>
      <c r="T478" s="1121"/>
      <c r="U478" s="1121"/>
      <c r="V478" s="1121"/>
      <c r="W478" s="1121"/>
      <c r="X478" s="1121"/>
      <c r="Y478" s="1121"/>
      <c r="Z478" s="1121"/>
      <c r="AA478" s="1121"/>
      <c r="AB478" s="1121"/>
      <c r="AC478" s="1121"/>
      <c r="AD478" s="1121"/>
      <c r="AE478" s="1121"/>
      <c r="AF478" s="1121"/>
      <c r="AG478" s="288"/>
      <c r="AH478" s="1121" t="s">
        <v>695</v>
      </c>
      <c r="AI478" s="289" t="s">
        <v>695</v>
      </c>
      <c r="AJ478" s="1121"/>
      <c r="AK478" s="1121"/>
      <c r="AL478" s="1121"/>
      <c r="AM478" s="1121"/>
      <c r="AN478" s="315"/>
      <c r="AO478" s="315"/>
      <c r="AP478" s="315"/>
      <c r="AQ478" s="315">
        <f>+FL_2($T$479,T477,$G$478,1200,9.28,-1*$F$479)</f>
        <v>-0.19289666666666666</v>
      </c>
      <c r="AR478" s="315"/>
      <c r="AS478" s="315"/>
      <c r="AT478" s="315"/>
      <c r="AU478" s="315"/>
      <c r="AV478" s="315"/>
      <c r="AW478" s="315"/>
      <c r="AX478" s="315"/>
      <c r="AY478" s="315"/>
      <c r="AZ478" s="315"/>
      <c r="BA478" s="315"/>
      <c r="BB478" s="306"/>
    </row>
    <row r="479" spans="1:54" ht="14.25">
      <c r="A479" s="340" t="s">
        <v>3243</v>
      </c>
      <c r="B479" s="287" t="s">
        <v>3189</v>
      </c>
      <c r="C479" s="288">
        <f>+$C$477+$G$478</f>
        <v>22880.100000000002</v>
      </c>
      <c r="D479" s="1121"/>
      <c r="E479" s="1121"/>
      <c r="F479" s="289">
        <v>0</v>
      </c>
      <c r="G479" s="292"/>
      <c r="H479" s="291" t="s">
        <v>651</v>
      </c>
      <c r="I479" s="291"/>
      <c r="J479" s="288"/>
      <c r="K479" s="1121"/>
      <c r="L479" s="1121"/>
      <c r="M479" s="1121"/>
      <c r="N479" s="291" t="s">
        <v>918</v>
      </c>
      <c r="O479" s="291" t="s">
        <v>917</v>
      </c>
      <c r="P479" s="291"/>
      <c r="Q479" s="1121">
        <v>0</v>
      </c>
      <c r="R479" s="508">
        <v>0</v>
      </c>
      <c r="S479" s="1017"/>
      <c r="T479" s="1121">
        <v>-10</v>
      </c>
      <c r="U479" s="1121">
        <v>35</v>
      </c>
      <c r="V479" s="1121"/>
      <c r="W479" s="1121">
        <v>2.2999999999999998</v>
      </c>
      <c r="X479" s="1121">
        <v>1.4</v>
      </c>
      <c r="Y479" s="1121"/>
      <c r="Z479" s="1121">
        <v>0.45</v>
      </c>
      <c r="AA479" s="1121"/>
      <c r="AB479" s="1121"/>
      <c r="AC479" s="1121"/>
      <c r="AD479" s="1121" t="s">
        <v>1704</v>
      </c>
      <c r="AE479" s="1121"/>
      <c r="AF479" s="1121">
        <v>200</v>
      </c>
      <c r="AG479" s="288">
        <v>22879.62</v>
      </c>
      <c r="AH479" s="1121">
        <v>1782</v>
      </c>
      <c r="AI479" s="289">
        <v>-5300</v>
      </c>
      <c r="AJ479" s="1121" t="s">
        <v>3103</v>
      </c>
      <c r="AK479" s="1121" t="s">
        <v>229</v>
      </c>
      <c r="AL479" s="1121"/>
      <c r="AM479" s="1121"/>
      <c r="AN479" s="315">
        <v>5.5</v>
      </c>
      <c r="AO479" s="315"/>
      <c r="AP479" s="315"/>
      <c r="AQ479" s="315"/>
      <c r="AR479" s="315"/>
      <c r="AS479" s="315"/>
      <c r="AT479" s="315">
        <f>+ab($U$479,$T$477,$U$481,$G$478,$G$480,-1*$F$479,1200)</f>
        <v>14.005907991437917</v>
      </c>
      <c r="AU479" s="315"/>
      <c r="AV479" s="315"/>
      <c r="AW479" s="315" t="s">
        <v>699</v>
      </c>
      <c r="AX479" s="315" t="s">
        <v>699</v>
      </c>
      <c r="AY479" s="315" t="s">
        <v>699</v>
      </c>
      <c r="AZ479" s="315" t="s">
        <v>699</v>
      </c>
      <c r="BA479" s="315"/>
      <c r="BB479" s="306"/>
    </row>
    <row r="480" spans="1:54" ht="14.25">
      <c r="A480" s="340"/>
      <c r="B480" s="287"/>
      <c r="C480" s="288"/>
      <c r="D480" s="1121"/>
      <c r="E480" s="1121"/>
      <c r="F480" s="289"/>
      <c r="G480" s="292">
        <v>45.9</v>
      </c>
      <c r="H480" s="291"/>
      <c r="I480" s="291"/>
      <c r="J480" s="288"/>
      <c r="K480" s="1121"/>
      <c r="L480" s="1121"/>
      <c r="M480" s="1121"/>
      <c r="N480" s="291"/>
      <c r="O480" s="291"/>
      <c r="P480" s="291"/>
      <c r="Q480" s="1121"/>
      <c r="R480" s="292"/>
      <c r="S480" s="1017">
        <v>45.960000000002765</v>
      </c>
      <c r="T480" s="1121"/>
      <c r="U480" s="1121"/>
      <c r="V480" s="1121"/>
      <c r="W480" s="1121"/>
      <c r="X480" s="1121"/>
      <c r="Y480" s="1121"/>
      <c r="Z480" s="1121"/>
      <c r="AA480" s="1121"/>
      <c r="AB480" s="1121"/>
      <c r="AC480" s="1121"/>
      <c r="AD480" s="1121"/>
      <c r="AE480" s="1121"/>
      <c r="AF480" s="1121"/>
      <c r="AG480" s="288"/>
      <c r="AH480" s="1121" t="s">
        <v>695</v>
      </c>
      <c r="AI480" s="289" t="s">
        <v>695</v>
      </c>
      <c r="AJ480" s="1121"/>
      <c r="AK480" s="1121"/>
      <c r="AL480" s="1121"/>
      <c r="AM480" s="1121"/>
      <c r="AN480" s="315"/>
      <c r="AO480" s="315"/>
      <c r="AP480" s="315"/>
      <c r="AQ480" s="315">
        <f>+FL_2($T$481,$T$479,$G$480,1200,9.28,-1*$F$481)</f>
        <v>-0.2794255157124183</v>
      </c>
      <c r="AR480" s="315"/>
      <c r="AS480" s="315"/>
      <c r="AT480" s="315"/>
      <c r="AU480" s="315"/>
      <c r="AV480" s="315"/>
      <c r="AW480" s="315"/>
      <c r="AX480" s="315"/>
      <c r="AY480" s="315"/>
      <c r="AZ480" s="315"/>
      <c r="BA480" s="315"/>
      <c r="BB480" s="306"/>
    </row>
    <row r="481" spans="1:54" ht="14.25">
      <c r="A481" s="340"/>
      <c r="B481" s="287" t="s">
        <v>3190</v>
      </c>
      <c r="C481" s="288">
        <f>+$C$479+$G$480</f>
        <v>22926.000000000004</v>
      </c>
      <c r="D481" s="1121"/>
      <c r="E481" s="1121"/>
      <c r="F481" s="289">
        <v>0</v>
      </c>
      <c r="G481" s="292"/>
      <c r="H481" s="291" t="s">
        <v>651</v>
      </c>
      <c r="I481" s="294" t="s">
        <v>2016</v>
      </c>
      <c r="J481" s="288"/>
      <c r="K481" s="1121"/>
      <c r="L481" s="1121"/>
      <c r="M481" s="1121"/>
      <c r="N481" s="291" t="s">
        <v>916</v>
      </c>
      <c r="O481" s="291" t="s">
        <v>918</v>
      </c>
      <c r="P481" s="291"/>
      <c r="Q481" s="1121">
        <v>0</v>
      </c>
      <c r="R481" s="508">
        <v>0</v>
      </c>
      <c r="S481" s="1017"/>
      <c r="T481" s="1121">
        <v>-5</v>
      </c>
      <c r="U481" s="1121">
        <v>40</v>
      </c>
      <c r="V481" s="1121"/>
      <c r="W481" s="1121">
        <v>2.2999999999999998</v>
      </c>
      <c r="X481" s="1121">
        <v>1.4</v>
      </c>
      <c r="Y481" s="1121"/>
      <c r="Z481" s="1121"/>
      <c r="AA481" s="1121">
        <v>0.45</v>
      </c>
      <c r="AB481" s="1121"/>
      <c r="AC481" s="1121" t="s">
        <v>1706</v>
      </c>
      <c r="AD481" s="1121"/>
      <c r="AE481" s="1121"/>
      <c r="AF481" s="1121">
        <v>200</v>
      </c>
      <c r="AG481" s="288">
        <v>22925.58</v>
      </c>
      <c r="AH481" s="1121">
        <v>1782</v>
      </c>
      <c r="AI481" s="289">
        <v>-5300</v>
      </c>
      <c r="AJ481" s="1121"/>
      <c r="AK481" s="1121" t="s">
        <v>139</v>
      </c>
      <c r="AL481" s="1121"/>
      <c r="AM481" s="1121"/>
      <c r="AN481" s="315">
        <v>5.5</v>
      </c>
      <c r="AO481" s="315"/>
      <c r="AP481" s="315"/>
      <c r="AQ481" s="315"/>
      <c r="AR481" s="315"/>
      <c r="AS481" s="315"/>
      <c r="AT481" s="315">
        <f>+ab($T$481,$T$479,$T$483,$G$480,$G$482,-1*$F$481,1200)</f>
        <v>23.35531713963891</v>
      </c>
      <c r="AU481" s="315"/>
      <c r="AV481" s="315"/>
      <c r="AW481" s="315" t="s">
        <v>699</v>
      </c>
      <c r="AX481" s="315" t="s">
        <v>699</v>
      </c>
      <c r="AY481" s="315" t="s">
        <v>699</v>
      </c>
      <c r="AZ481" s="315" t="s">
        <v>699</v>
      </c>
      <c r="BA481" s="315"/>
      <c r="BB481" s="306"/>
    </row>
    <row r="482" spans="1:54" ht="14.25">
      <c r="A482" s="340"/>
      <c r="B482" s="287"/>
      <c r="C482" s="288"/>
      <c r="D482" s="1121"/>
      <c r="E482" s="1121"/>
      <c r="F482" s="289"/>
      <c r="G482" s="292">
        <v>45</v>
      </c>
      <c r="H482" s="291"/>
      <c r="I482" s="385"/>
      <c r="J482" s="288"/>
      <c r="K482" s="1121"/>
      <c r="L482" s="1121"/>
      <c r="M482" s="1121"/>
      <c r="N482" s="291"/>
      <c r="O482" s="291"/>
      <c r="P482" s="291"/>
      <c r="Q482" s="1121"/>
      <c r="R482" s="292"/>
      <c r="S482" s="1017">
        <v>44.969999999997526</v>
      </c>
      <c r="T482" s="1121"/>
      <c r="U482" s="1121"/>
      <c r="V482" s="1121"/>
      <c r="W482" s="1121"/>
      <c r="X482" s="1121"/>
      <c r="Y482" s="1121"/>
      <c r="Z482" s="1121"/>
      <c r="AA482" s="1121"/>
      <c r="AB482" s="1121"/>
      <c r="AC482" s="1121"/>
      <c r="AD482" s="1121"/>
      <c r="AE482" s="1121"/>
      <c r="AF482" s="1121"/>
      <c r="AG482" s="288"/>
      <c r="AH482" s="1121" t="s">
        <v>695</v>
      </c>
      <c r="AI482" s="289" t="s">
        <v>695</v>
      </c>
      <c r="AJ482" s="1121"/>
      <c r="AK482" s="1121"/>
      <c r="AL482" s="1121"/>
      <c r="AM482" s="1121"/>
      <c r="AN482" s="315"/>
      <c r="AO482" s="315"/>
      <c r="AP482" s="315"/>
      <c r="AQ482" s="774">
        <f>+FL_2($T$483,$T$481,$G$482,1200,9.28,-1*$F$483)</f>
        <v>-0.42448563199999995</v>
      </c>
      <c r="AR482" s="315"/>
      <c r="AS482" s="315"/>
      <c r="AT482" s="315"/>
      <c r="AU482" s="315"/>
      <c r="AV482" s="315"/>
      <c r="AW482" s="315"/>
      <c r="AX482" s="315"/>
      <c r="AY482" s="315"/>
      <c r="AZ482" s="315"/>
      <c r="BA482" s="315"/>
      <c r="BB482" s="306"/>
    </row>
    <row r="483" spans="1:54" ht="14.25">
      <c r="A483" s="340"/>
      <c r="B483" s="287" t="s">
        <v>3191</v>
      </c>
      <c r="C483" s="288">
        <f>+$C$481+$G$482</f>
        <v>22971.000000000004</v>
      </c>
      <c r="D483" s="1121"/>
      <c r="E483" s="1121"/>
      <c r="F483" s="289">
        <v>0</v>
      </c>
      <c r="G483" s="292"/>
      <c r="H483" s="291"/>
      <c r="I483" s="294"/>
      <c r="J483" s="288"/>
      <c r="K483" s="1121"/>
      <c r="L483" s="1121"/>
      <c r="M483" s="1121"/>
      <c r="N483" s="291" t="s">
        <v>916</v>
      </c>
      <c r="O483" s="291"/>
      <c r="P483" s="291"/>
      <c r="Q483" s="1121">
        <v>0</v>
      </c>
      <c r="R483" s="508">
        <v>0</v>
      </c>
      <c r="S483" s="1017"/>
      <c r="T483" s="1121">
        <v>-35</v>
      </c>
      <c r="U483" s="1121"/>
      <c r="V483" s="1121"/>
      <c r="W483" s="1121">
        <v>1.4</v>
      </c>
      <c r="X483" s="1121"/>
      <c r="Y483" s="1121"/>
      <c r="Z483" s="1121"/>
      <c r="AA483" s="1121"/>
      <c r="AB483" s="1121"/>
      <c r="AC483" s="1121" t="s">
        <v>2975</v>
      </c>
      <c r="AD483" s="1121"/>
      <c r="AE483" s="1121"/>
      <c r="AF483" s="1121">
        <v>200</v>
      </c>
      <c r="AG483" s="288">
        <v>22970.55</v>
      </c>
      <c r="AH483" s="1121">
        <v>1782</v>
      </c>
      <c r="AI483" s="289">
        <v>-5300</v>
      </c>
      <c r="AJ483" s="1121"/>
      <c r="AK483" s="1121" t="s">
        <v>139</v>
      </c>
      <c r="AL483" s="1121"/>
      <c r="AM483" s="1121"/>
      <c r="AN483" s="315">
        <v>5.5</v>
      </c>
      <c r="AO483" s="315"/>
      <c r="AP483" s="315"/>
      <c r="AQ483" s="315"/>
      <c r="AR483" s="315"/>
      <c r="AS483" s="315"/>
      <c r="AT483" s="315">
        <f>+ab($T$483,$T$481,$T$485,$G$482,$G$484,-1*$F$483,1200)</f>
        <v>-9.2051241343708483</v>
      </c>
      <c r="AU483" s="315"/>
      <c r="AV483" s="315"/>
      <c r="AW483" s="315" t="s">
        <v>699</v>
      </c>
      <c r="AX483" s="315" t="s">
        <v>699</v>
      </c>
      <c r="AY483" s="315" t="s">
        <v>699</v>
      </c>
      <c r="AZ483" s="315" t="s">
        <v>699</v>
      </c>
      <c r="BA483" s="315"/>
      <c r="BB483" s="306"/>
    </row>
    <row r="484" spans="1:54" ht="14.25">
      <c r="A484" s="340"/>
      <c r="B484" s="287"/>
      <c r="C484" s="288"/>
      <c r="D484" s="1121"/>
      <c r="E484" s="1121"/>
      <c r="F484" s="289"/>
      <c r="G484" s="292">
        <v>50</v>
      </c>
      <c r="H484" s="291"/>
      <c r="I484" s="385">
        <f>+C485-C451</f>
        <v>644</v>
      </c>
      <c r="J484" s="288"/>
      <c r="K484" s="1121"/>
      <c r="L484" s="1121"/>
      <c r="M484" s="1121"/>
      <c r="N484" s="291"/>
      <c r="O484" s="291"/>
      <c r="P484" s="291"/>
      <c r="Q484" s="1121"/>
      <c r="R484" s="292"/>
      <c r="S484" s="1017">
        <v>50.020000000000437</v>
      </c>
      <c r="T484" s="1121"/>
      <c r="U484" s="1121"/>
      <c r="V484" s="1121"/>
      <c r="W484" s="1121"/>
      <c r="X484" s="1121"/>
      <c r="Y484" s="1121"/>
      <c r="Z484" s="1121"/>
      <c r="AA484" s="1121"/>
      <c r="AB484" s="1121"/>
      <c r="AC484" s="1121"/>
      <c r="AD484" s="1121"/>
      <c r="AE484" s="1121"/>
      <c r="AF484" s="1121"/>
      <c r="AG484" s="288"/>
      <c r="AH484" s="1121" t="s">
        <v>695</v>
      </c>
      <c r="AI484" s="289" t="s">
        <v>695</v>
      </c>
      <c r="AJ484" s="1121"/>
      <c r="AK484" s="1121"/>
      <c r="AL484" s="1121"/>
      <c r="AM484" s="1121"/>
      <c r="AN484" s="315"/>
      <c r="AO484" s="315"/>
      <c r="AP484" s="315"/>
      <c r="AQ484" s="315">
        <f>+FL_1($T$485,$T$483,$G$484,1200,9.28,-1*$F$485)</f>
        <v>0.36839079999999996</v>
      </c>
      <c r="AR484" s="315"/>
      <c r="AS484" s="315"/>
      <c r="AT484" s="315"/>
      <c r="AU484" s="315"/>
      <c r="AV484" s="315"/>
      <c r="AW484" s="315"/>
      <c r="AX484" s="315"/>
      <c r="AY484" s="315"/>
      <c r="AZ484" s="315"/>
      <c r="BA484" s="315"/>
      <c r="BB484" s="306"/>
    </row>
    <row r="485" spans="1:54" ht="14.25">
      <c r="A485" s="340"/>
      <c r="B485" s="287" t="s">
        <v>3192</v>
      </c>
      <c r="C485" s="288">
        <f>+$C$483+$G$484</f>
        <v>23021.000000000004</v>
      </c>
      <c r="D485" s="1121"/>
      <c r="E485" s="1121"/>
      <c r="F485" s="289">
        <v>0</v>
      </c>
      <c r="G485" s="292"/>
      <c r="H485" s="291" t="s">
        <v>138</v>
      </c>
      <c r="I485" s="294"/>
      <c r="J485" s="288"/>
      <c r="K485" s="1121"/>
      <c r="L485" s="1121"/>
      <c r="M485" s="1121"/>
      <c r="N485" s="291" t="s">
        <v>917</v>
      </c>
      <c r="O485" s="291"/>
      <c r="P485" s="291"/>
      <c r="Q485" s="1121">
        <v>0</v>
      </c>
      <c r="R485" s="508">
        <v>0</v>
      </c>
      <c r="S485" s="1017"/>
      <c r="T485" s="1121">
        <v>35</v>
      </c>
      <c r="U485" s="1121"/>
      <c r="V485" s="1121"/>
      <c r="W485" s="1121">
        <v>1.4</v>
      </c>
      <c r="X485" s="1121"/>
      <c r="Y485" s="1121"/>
      <c r="Z485" s="1121"/>
      <c r="AA485" s="1121"/>
      <c r="AB485" s="1121"/>
      <c r="AC485" s="1121" t="s">
        <v>2963</v>
      </c>
      <c r="AD485" s="1121"/>
      <c r="AE485" s="1121"/>
      <c r="AF485" s="1121">
        <v>200</v>
      </c>
      <c r="AG485" s="288">
        <v>23020.57</v>
      </c>
      <c r="AH485" s="1121">
        <v>1782</v>
      </c>
      <c r="AI485" s="289">
        <v>-5300</v>
      </c>
      <c r="AJ485" s="1121"/>
      <c r="AK485" s="1121" t="s">
        <v>139</v>
      </c>
      <c r="AL485" s="1121"/>
      <c r="AM485" s="1121"/>
      <c r="AN485" s="315">
        <v>5.5</v>
      </c>
      <c r="AO485" s="315"/>
      <c r="AP485" s="315"/>
      <c r="AQ485" s="315"/>
      <c r="AR485" s="315"/>
      <c r="AS485" s="315"/>
      <c r="AT485" s="315">
        <f>+ab($T$485,$T$483,$T$487,$G$484,$G$486,-1*$F$485,1200)</f>
        <v>6.820891075690624</v>
      </c>
      <c r="AU485" s="315"/>
      <c r="AV485" s="315"/>
      <c r="AW485" s="315" t="s">
        <v>699</v>
      </c>
      <c r="AX485" s="315" t="s">
        <v>699</v>
      </c>
      <c r="AY485" s="315" t="s">
        <v>699</v>
      </c>
      <c r="AZ485" s="315" t="s">
        <v>699</v>
      </c>
      <c r="BA485" s="315"/>
      <c r="BB485" s="306"/>
    </row>
    <row r="486" spans="1:54" ht="14.25">
      <c r="A486" s="340"/>
      <c r="B486" s="287"/>
      <c r="C486" s="288"/>
      <c r="D486" s="1121"/>
      <c r="E486" s="1121"/>
      <c r="F486" s="289"/>
      <c r="G486" s="292">
        <v>50</v>
      </c>
      <c r="H486" s="291"/>
      <c r="I486" s="294"/>
      <c r="J486" s="288"/>
      <c r="K486" s="1121"/>
      <c r="L486" s="1121"/>
      <c r="M486" s="1121"/>
      <c r="N486" s="291"/>
      <c r="O486" s="291"/>
      <c r="P486" s="291"/>
      <c r="Q486" s="1121"/>
      <c r="R486" s="292"/>
      <c r="S486" s="1017">
        <v>49.959999999999127</v>
      </c>
      <c r="T486" s="1121"/>
      <c r="U486" s="1121"/>
      <c r="V486" s="1121"/>
      <c r="W486" s="1121"/>
      <c r="X486" s="1121"/>
      <c r="Y486" s="1121"/>
      <c r="Z486" s="1121"/>
      <c r="AA486" s="1121"/>
      <c r="AB486" s="1121"/>
      <c r="AC486" s="1121"/>
      <c r="AD486" s="1121"/>
      <c r="AE486" s="1121"/>
      <c r="AF486" s="1121"/>
      <c r="AG486" s="288"/>
      <c r="AH486" s="1121" t="s">
        <v>695</v>
      </c>
      <c r="AI486" s="289" t="s">
        <v>695</v>
      </c>
      <c r="AJ486" s="1121"/>
      <c r="AK486" s="1121"/>
      <c r="AL486" s="1121"/>
      <c r="AM486" s="1121"/>
      <c r="AN486" s="315"/>
      <c r="AO486" s="315"/>
      <c r="AP486" s="315"/>
      <c r="AQ486" s="315">
        <f>+FL_2($T$487,$T$485,$G$486,1200,9.28,-1*$F$487)</f>
        <v>-0.36839079999999996</v>
      </c>
      <c r="AR486" s="315"/>
      <c r="AS486" s="315"/>
      <c r="AT486" s="315"/>
      <c r="AU486" s="315"/>
      <c r="AV486" s="315"/>
      <c r="AW486" s="315"/>
      <c r="AX486" s="315"/>
      <c r="AY486" s="315"/>
      <c r="AZ486" s="315"/>
      <c r="BA486" s="315"/>
      <c r="BB486" s="306"/>
    </row>
    <row r="487" spans="1:54" ht="14.25">
      <c r="A487" s="340"/>
      <c r="B487" s="287" t="s">
        <v>3193</v>
      </c>
      <c r="C487" s="288">
        <f>+$C$485+$G$486</f>
        <v>23071.000000000004</v>
      </c>
      <c r="D487" s="1121"/>
      <c r="E487" s="1121"/>
      <c r="F487" s="289">
        <v>0</v>
      </c>
      <c r="G487" s="292"/>
      <c r="H487" s="291"/>
      <c r="I487" s="291"/>
      <c r="J487" s="288"/>
      <c r="K487" s="1121"/>
      <c r="L487" s="1121"/>
      <c r="M487" s="1121"/>
      <c r="N487" s="291" t="s">
        <v>916</v>
      </c>
      <c r="O487" s="291"/>
      <c r="P487" s="291"/>
      <c r="Q487" s="1121">
        <v>0</v>
      </c>
      <c r="R487" s="508">
        <v>0</v>
      </c>
      <c r="S487" s="1017"/>
      <c r="T487" s="1121">
        <v>-35</v>
      </c>
      <c r="U487" s="1121"/>
      <c r="V487" s="1121"/>
      <c r="W487" s="1121">
        <v>1.4</v>
      </c>
      <c r="X487" s="1121"/>
      <c r="Y487" s="1121"/>
      <c r="Z487" s="1121"/>
      <c r="AA487" s="1121"/>
      <c r="AB487" s="1121"/>
      <c r="AC487" s="1121" t="s">
        <v>2975</v>
      </c>
      <c r="AD487" s="1121"/>
      <c r="AE487" s="1121"/>
      <c r="AF487" s="1121">
        <v>200</v>
      </c>
      <c r="AG487" s="288">
        <v>23070.53</v>
      </c>
      <c r="AH487" s="1121">
        <v>1782</v>
      </c>
      <c r="AI487" s="289">
        <v>-5300</v>
      </c>
      <c r="AJ487" s="1121"/>
      <c r="AK487" s="1121" t="s">
        <v>139</v>
      </c>
      <c r="AL487" s="1121"/>
      <c r="AM487" s="1121"/>
      <c r="AN487" s="315">
        <v>5.5</v>
      </c>
      <c r="AO487" s="315"/>
      <c r="AP487" s="315"/>
      <c r="AQ487" s="315"/>
      <c r="AR487" s="315"/>
      <c r="AS487" s="315"/>
      <c r="AT487" s="315">
        <f>+ab($T$487,$T$485,$T$489,$G$486,$G$488,-1*$F$487,1200)</f>
        <v>-6.8209152065487553</v>
      </c>
      <c r="AU487" s="315"/>
      <c r="AV487" s="315"/>
      <c r="AW487" s="315" t="s">
        <v>699</v>
      </c>
      <c r="AX487" s="315" t="s">
        <v>699</v>
      </c>
      <c r="AY487" s="315" t="s">
        <v>699</v>
      </c>
      <c r="AZ487" s="315" t="s">
        <v>699</v>
      </c>
      <c r="BA487" s="315"/>
      <c r="BB487" s="306"/>
    </row>
    <row r="488" spans="1:54" ht="14.25">
      <c r="A488" s="340"/>
      <c r="B488" s="1121"/>
      <c r="C488" s="288"/>
      <c r="D488" s="1121"/>
      <c r="E488" s="1121"/>
      <c r="F488" s="289"/>
      <c r="G488" s="292">
        <v>50</v>
      </c>
      <c r="H488" s="291"/>
      <c r="I488" s="294"/>
      <c r="J488" s="288"/>
      <c r="K488" s="1121"/>
      <c r="L488" s="1121"/>
      <c r="M488" s="1121"/>
      <c r="N488" s="291"/>
      <c r="O488" s="291"/>
      <c r="P488" s="291"/>
      <c r="Q488" s="1121"/>
      <c r="R488" s="292"/>
      <c r="S488" s="1017">
        <v>50.190000000002328</v>
      </c>
      <c r="T488" s="1121"/>
      <c r="U488" s="1121"/>
      <c r="V488" s="1121"/>
      <c r="W488" s="1121"/>
      <c r="X488" s="1121"/>
      <c r="Y488" s="1121"/>
      <c r="Z488" s="1121"/>
      <c r="AA488" s="1121"/>
      <c r="AB488" s="1121"/>
      <c r="AC488" s="1121"/>
      <c r="AD488" s="1121"/>
      <c r="AE488" s="1121"/>
      <c r="AF488" s="1121"/>
      <c r="AG488" s="288"/>
      <c r="AH488" s="1121" t="s">
        <v>695</v>
      </c>
      <c r="AI488" s="289" t="s">
        <v>695</v>
      </c>
      <c r="AJ488" s="1121"/>
      <c r="AK488" s="1121"/>
      <c r="AL488" s="1121"/>
      <c r="AM488" s="1121"/>
      <c r="AN488" s="315"/>
      <c r="AO488" s="315"/>
      <c r="AP488" s="315"/>
      <c r="AQ488" s="315">
        <f>+FL_1($T$489,$T$487,$G$488,1200,9.28,-1*$F$489)</f>
        <v>0.36839079999999996</v>
      </c>
      <c r="AR488" s="315"/>
      <c r="AS488" s="315"/>
      <c r="AT488" s="315"/>
      <c r="AU488" s="315"/>
      <c r="AV488" s="315"/>
      <c r="AW488" s="315"/>
      <c r="AX488" s="315"/>
      <c r="AY488" s="315"/>
      <c r="AZ488" s="315"/>
      <c r="BA488" s="315"/>
      <c r="BB488" s="306"/>
    </row>
    <row r="489" spans="1:54" ht="14.25">
      <c r="A489" s="340"/>
      <c r="B489" s="287" t="s">
        <v>3194</v>
      </c>
      <c r="C489" s="288">
        <f>+$C$487+$G$488</f>
        <v>23121.000000000004</v>
      </c>
      <c r="D489" s="1121"/>
      <c r="E489" s="1121"/>
      <c r="F489" s="289">
        <v>0</v>
      </c>
      <c r="G489" s="292"/>
      <c r="H489" s="291"/>
      <c r="I489" s="291"/>
      <c r="J489" s="288"/>
      <c r="K489" s="1121"/>
      <c r="L489" s="1121"/>
      <c r="M489" s="1121"/>
      <c r="N489" s="291" t="s">
        <v>917</v>
      </c>
      <c r="O489" s="291"/>
      <c r="P489" s="291"/>
      <c r="Q489" s="1121">
        <v>0</v>
      </c>
      <c r="R489" s="508">
        <v>0</v>
      </c>
      <c r="S489" s="1017"/>
      <c r="T489" s="1121">
        <v>35</v>
      </c>
      <c r="U489" s="1121"/>
      <c r="V489" s="1121"/>
      <c r="W489" s="1121">
        <v>1.4</v>
      </c>
      <c r="X489" s="1121"/>
      <c r="Y489" s="1121"/>
      <c r="Z489" s="1121"/>
      <c r="AA489" s="1121"/>
      <c r="AB489" s="1121"/>
      <c r="AC489" s="1121" t="s">
        <v>2963</v>
      </c>
      <c r="AD489" s="1121"/>
      <c r="AE489" s="1121"/>
      <c r="AF489" s="1121">
        <v>200</v>
      </c>
      <c r="AG489" s="288">
        <v>23120.720000000001</v>
      </c>
      <c r="AH489" s="1121">
        <v>1782</v>
      </c>
      <c r="AI489" s="289">
        <v>-5300</v>
      </c>
      <c r="AJ489" s="1121"/>
      <c r="AK489" s="1121" t="s">
        <v>139</v>
      </c>
      <c r="AL489" s="1121"/>
      <c r="AM489" s="1121"/>
      <c r="AN489" s="315">
        <v>5.5</v>
      </c>
      <c r="AO489" s="315"/>
      <c r="AP489" s="315"/>
      <c r="AQ489" s="315"/>
      <c r="AR489" s="315"/>
      <c r="AS489" s="315"/>
      <c r="AT489" s="315">
        <f>+ab($T$489,$T$487,$T$491,$G$488,$G$490,-1*$F$489,1200)</f>
        <v>6.820891075690624</v>
      </c>
      <c r="AU489" s="315"/>
      <c r="AV489" s="315"/>
      <c r="AW489" s="315" t="s">
        <v>699</v>
      </c>
      <c r="AX489" s="315" t="s">
        <v>699</v>
      </c>
      <c r="AY489" s="315" t="s">
        <v>699</v>
      </c>
      <c r="AZ489" s="315" t="s">
        <v>699</v>
      </c>
      <c r="BA489" s="315"/>
      <c r="BB489" s="306"/>
    </row>
    <row r="490" spans="1:54" ht="14.25">
      <c r="A490" s="340"/>
      <c r="B490" s="287"/>
      <c r="C490" s="288"/>
      <c r="D490" s="1121"/>
      <c r="E490" s="1121"/>
      <c r="F490" s="289"/>
      <c r="G490" s="292">
        <v>50</v>
      </c>
      <c r="H490" s="291"/>
      <c r="I490" s="294">
        <f>SUM(G468:G490)</f>
        <v>462</v>
      </c>
      <c r="J490" s="288"/>
      <c r="K490" s="1121"/>
      <c r="L490" s="1121"/>
      <c r="M490" s="1121"/>
      <c r="N490" s="291"/>
      <c r="O490" s="291"/>
      <c r="P490" s="291"/>
      <c r="Q490" s="1121"/>
      <c r="R490" s="292"/>
      <c r="S490" s="1017">
        <v>49.849999999998545</v>
      </c>
      <c r="T490" s="1121"/>
      <c r="U490" s="1121"/>
      <c r="V490" s="1121"/>
      <c r="W490" s="1121"/>
      <c r="X490" s="1121"/>
      <c r="Y490" s="1121"/>
      <c r="Z490" s="1121"/>
      <c r="AA490" s="1121"/>
      <c r="AB490" s="1121"/>
      <c r="AC490" s="1121"/>
      <c r="AD490" s="1121"/>
      <c r="AE490" s="1121"/>
      <c r="AF490" s="1121"/>
      <c r="AG490" s="288"/>
      <c r="AH490" s="1121" t="s">
        <v>695</v>
      </c>
      <c r="AI490" s="289" t="s">
        <v>695</v>
      </c>
      <c r="AJ490" s="1121"/>
      <c r="AK490" s="1121"/>
      <c r="AL490" s="1121"/>
      <c r="AM490" s="1121"/>
      <c r="AN490" s="315"/>
      <c r="AO490" s="315"/>
      <c r="AP490" s="315"/>
      <c r="AQ490" s="315">
        <f>+FL_2($T$491,$T$489,$G$490,1200,9.28,-1*$F$491)</f>
        <v>-0.36839079999999996</v>
      </c>
      <c r="AR490" s="315"/>
      <c r="AS490" s="315"/>
      <c r="AT490" s="315"/>
      <c r="AU490" s="315"/>
      <c r="AV490" s="315"/>
      <c r="AW490" s="315"/>
      <c r="AX490" s="315"/>
      <c r="AY490" s="315"/>
      <c r="AZ490" s="315"/>
      <c r="BA490" s="315"/>
      <c r="BB490" s="306"/>
    </row>
    <row r="491" spans="1:54" ht="14.25">
      <c r="A491" s="340"/>
      <c r="B491" s="287" t="s">
        <v>3195</v>
      </c>
      <c r="C491" s="288">
        <f>+$C$489+$G$490</f>
        <v>23171.000000000004</v>
      </c>
      <c r="D491" s="1121"/>
      <c r="E491" s="1121"/>
      <c r="F491" s="289">
        <v>0</v>
      </c>
      <c r="G491" s="292"/>
      <c r="H491" s="291" t="s">
        <v>955</v>
      </c>
      <c r="I491" s="291"/>
      <c r="J491" s="288"/>
      <c r="K491" s="1121"/>
      <c r="L491" s="1121"/>
      <c r="M491" s="1121"/>
      <c r="N491" s="291" t="s">
        <v>916</v>
      </c>
      <c r="O491" s="291"/>
      <c r="P491" s="291"/>
      <c r="Q491" s="1121">
        <v>0</v>
      </c>
      <c r="R491" s="508">
        <v>0</v>
      </c>
      <c r="S491" s="1017"/>
      <c r="T491" s="1121">
        <v>-35</v>
      </c>
      <c r="U491" s="1121"/>
      <c r="V491" s="1121"/>
      <c r="W491" s="1121">
        <v>1.4</v>
      </c>
      <c r="X491" s="1121"/>
      <c r="Y491" s="1121"/>
      <c r="Z491" s="1121"/>
      <c r="AA491" s="1121"/>
      <c r="AB491" s="1121"/>
      <c r="AC491" s="1121" t="s">
        <v>2975</v>
      </c>
      <c r="AD491" s="1121"/>
      <c r="AE491" s="1121"/>
      <c r="AF491" s="1121">
        <v>200</v>
      </c>
      <c r="AG491" s="288">
        <v>23170.57</v>
      </c>
      <c r="AH491" s="1121">
        <v>1782</v>
      </c>
      <c r="AI491" s="289">
        <v>-5300</v>
      </c>
      <c r="AJ491" s="1121"/>
      <c r="AK491" s="1121" t="s">
        <v>139</v>
      </c>
      <c r="AL491" s="1121"/>
      <c r="AM491" s="1121"/>
      <c r="AN491" s="315">
        <v>5.5</v>
      </c>
      <c r="AO491" s="315"/>
      <c r="AP491" s="315"/>
      <c r="AQ491" s="315"/>
      <c r="AR491" s="315"/>
      <c r="AS491" s="315"/>
      <c r="AT491" s="315">
        <f>+ab($T$491,$T$489,$T$493,$G$490,$G$492,-1*$F$491,1200)</f>
        <v>-6.0690386396021712</v>
      </c>
      <c r="AU491" s="315"/>
      <c r="AV491" s="315"/>
      <c r="AW491" s="315" t="s">
        <v>699</v>
      </c>
      <c r="AX491" s="315" t="s">
        <v>699</v>
      </c>
      <c r="AY491" s="315" t="s">
        <v>699</v>
      </c>
      <c r="AZ491" s="315" t="s">
        <v>699</v>
      </c>
      <c r="BA491" s="315"/>
      <c r="BB491" s="306"/>
    </row>
    <row r="492" spans="1:54" ht="14.25">
      <c r="A492" s="340"/>
      <c r="B492" s="287"/>
      <c r="C492" s="288"/>
      <c r="D492" s="1121"/>
      <c r="E492" s="1121"/>
      <c r="F492" s="289"/>
      <c r="G492" s="292">
        <v>40</v>
      </c>
      <c r="H492" s="291"/>
      <c r="I492" s="294">
        <f>SUM(G492:G513)</f>
        <v>422.3</v>
      </c>
      <c r="J492" s="288"/>
      <c r="K492" s="1121"/>
      <c r="L492" s="1121"/>
      <c r="M492" s="1121"/>
      <c r="N492" s="291"/>
      <c r="O492" s="291"/>
      <c r="P492" s="291"/>
      <c r="Q492" s="1121"/>
      <c r="R492" s="292"/>
      <c r="S492" s="1017">
        <v>39.979999999999563</v>
      </c>
      <c r="T492" s="1121"/>
      <c r="U492" s="1121"/>
      <c r="V492" s="1121"/>
      <c r="W492" s="1121"/>
      <c r="X492" s="1121"/>
      <c r="Y492" s="1121"/>
      <c r="Z492" s="1121"/>
      <c r="AA492" s="1121"/>
      <c r="AB492" s="1121"/>
      <c r="AC492" s="1121"/>
      <c r="AD492" s="1121"/>
      <c r="AE492" s="1121"/>
      <c r="AF492" s="1121"/>
      <c r="AG492" s="288"/>
      <c r="AH492" s="1121" t="s">
        <v>695</v>
      </c>
      <c r="AI492" s="289" t="s">
        <v>695</v>
      </c>
      <c r="AJ492" s="1121"/>
      <c r="AK492" s="1121"/>
      <c r="AL492" s="1121"/>
      <c r="AM492" s="1121"/>
      <c r="AN492" s="315"/>
      <c r="AO492" s="315"/>
      <c r="AP492" s="315"/>
      <c r="AQ492" s="315">
        <f>+FL_1($T$493,$T$491,$G$492,1200,9.28,-1*$F$493)</f>
        <v>0.35</v>
      </c>
      <c r="AR492" s="315"/>
      <c r="AS492" s="315"/>
      <c r="AT492" s="315"/>
      <c r="AU492" s="315"/>
      <c r="AV492" s="315"/>
      <c r="AW492" s="315"/>
      <c r="AX492" s="315"/>
      <c r="AY492" s="315"/>
      <c r="AZ492" s="315"/>
      <c r="BA492" s="315"/>
      <c r="BB492" s="306"/>
    </row>
    <row r="493" spans="1:54" ht="14.25">
      <c r="A493" s="340"/>
      <c r="B493" s="287" t="s">
        <v>3196</v>
      </c>
      <c r="C493" s="288">
        <f>+$C491+$G492</f>
        <v>23211.000000000004</v>
      </c>
      <c r="D493" s="1121"/>
      <c r="E493" s="1121"/>
      <c r="F493" s="289">
        <v>0</v>
      </c>
      <c r="G493" s="292"/>
      <c r="H493" s="291"/>
      <c r="I493" s="291"/>
      <c r="J493" s="288"/>
      <c r="K493" s="1121"/>
      <c r="L493" s="1121"/>
      <c r="M493" s="1121"/>
      <c r="N493" s="291" t="s">
        <v>917</v>
      </c>
      <c r="O493" s="291"/>
      <c r="P493" s="291"/>
      <c r="Q493" s="1121">
        <v>0</v>
      </c>
      <c r="R493" s="508">
        <v>0</v>
      </c>
      <c r="S493" s="1017"/>
      <c r="T493" s="1121">
        <v>35</v>
      </c>
      <c r="U493" s="1121"/>
      <c r="V493" s="1121"/>
      <c r="W493" s="1121">
        <v>1.4</v>
      </c>
      <c r="X493" s="1121"/>
      <c r="Y493" s="1121"/>
      <c r="Z493" s="1121"/>
      <c r="AA493" s="1121"/>
      <c r="AB493" s="1121"/>
      <c r="AC493" s="1121" t="s">
        <v>2963</v>
      </c>
      <c r="AD493" s="1121"/>
      <c r="AE493" s="1121"/>
      <c r="AF493" s="1121">
        <v>200</v>
      </c>
      <c r="AG493" s="288">
        <v>23210.55</v>
      </c>
      <c r="AH493" s="1121">
        <v>1782</v>
      </c>
      <c r="AI493" s="289">
        <v>-5300</v>
      </c>
      <c r="AJ493" s="1121"/>
      <c r="AK493" s="1121" t="s">
        <v>139</v>
      </c>
      <c r="AL493" s="1121"/>
      <c r="AM493" s="1121"/>
      <c r="AN493" s="315">
        <v>5.5</v>
      </c>
      <c r="AO493" s="315"/>
      <c r="AP493" s="315"/>
      <c r="AQ493" s="315"/>
      <c r="AR493" s="315"/>
      <c r="AS493" s="315"/>
      <c r="AT493" s="315">
        <f>+ab($T$493,$T$491,$T$495,$G$492,$G$494,-1*$F$493,1200)</f>
        <v>5.6623025175359789</v>
      </c>
      <c r="AU493" s="315"/>
      <c r="AV493" s="315"/>
      <c r="AW493" s="315" t="s">
        <v>699</v>
      </c>
      <c r="AX493" s="315" t="s">
        <v>699</v>
      </c>
      <c r="AY493" s="315" t="s">
        <v>699</v>
      </c>
      <c r="AZ493" s="315" t="s">
        <v>699</v>
      </c>
      <c r="BA493" s="315"/>
      <c r="BB493" s="306"/>
    </row>
    <row r="494" spans="1:54" ht="14.25">
      <c r="A494" s="340"/>
      <c r="B494" s="287"/>
      <c r="C494" s="288"/>
      <c r="D494" s="1121"/>
      <c r="E494" s="1121"/>
      <c r="F494" s="289"/>
      <c r="G494" s="292">
        <v>43</v>
      </c>
      <c r="H494" s="291"/>
      <c r="I494" s="294"/>
      <c r="J494" s="288"/>
      <c r="K494" s="1121"/>
      <c r="L494" s="1121"/>
      <c r="M494" s="1121"/>
      <c r="N494" s="291"/>
      <c r="O494" s="291"/>
      <c r="P494" s="291"/>
      <c r="Q494" s="1121"/>
      <c r="R494" s="292"/>
      <c r="S494" s="1017">
        <v>43.030000000002474</v>
      </c>
      <c r="T494" s="1121"/>
      <c r="U494" s="1121"/>
      <c r="V494" s="1121"/>
      <c r="W494" s="1121"/>
      <c r="X494" s="1121"/>
      <c r="Y494" s="1121"/>
      <c r="Z494" s="1121"/>
      <c r="AA494" s="1121"/>
      <c r="AB494" s="1121"/>
      <c r="AC494" s="1121"/>
      <c r="AD494" s="1121"/>
      <c r="AE494" s="1121"/>
      <c r="AF494" s="1121"/>
      <c r="AG494" s="288"/>
      <c r="AH494" s="1121" t="s">
        <v>695</v>
      </c>
      <c r="AI494" s="289" t="s">
        <v>695</v>
      </c>
      <c r="AJ494" s="1121"/>
      <c r="AK494" s="1121"/>
      <c r="AL494" s="1121"/>
      <c r="AM494" s="1121"/>
      <c r="AN494" s="315"/>
      <c r="AO494" s="315"/>
      <c r="AP494" s="315"/>
      <c r="AQ494" s="315">
        <f>+FL_1($T$495,$T$493,$G$494,1200,9.28,-1*$F$495)</f>
        <v>0.35007811860465121</v>
      </c>
      <c r="AR494" s="315"/>
      <c r="AS494" s="315"/>
      <c r="AT494" s="315"/>
      <c r="AU494" s="315"/>
      <c r="AV494" s="315"/>
      <c r="AW494" s="315"/>
      <c r="AX494" s="315"/>
      <c r="AY494" s="315"/>
      <c r="AZ494" s="315"/>
      <c r="BA494" s="315"/>
      <c r="BB494" s="306"/>
    </row>
    <row r="495" spans="1:54" ht="14.25">
      <c r="A495" s="340"/>
      <c r="B495" s="287" t="s">
        <v>3197</v>
      </c>
      <c r="C495" s="288">
        <f t="shared" ref="C495" si="99">+$C493+$G494</f>
        <v>23254.000000000004</v>
      </c>
      <c r="D495" s="1121"/>
      <c r="E495" s="1121"/>
      <c r="F495" s="289">
        <v>0</v>
      </c>
      <c r="G495" s="292"/>
      <c r="H495" s="1121"/>
      <c r="I495" s="294"/>
      <c r="J495" s="288"/>
      <c r="K495" s="1121"/>
      <c r="L495" s="1121"/>
      <c r="M495" s="1121"/>
      <c r="N495" s="291" t="s">
        <v>916</v>
      </c>
      <c r="O495" s="291"/>
      <c r="P495" s="291"/>
      <c r="Q495" s="1121">
        <v>0</v>
      </c>
      <c r="R495" s="508">
        <v>0</v>
      </c>
      <c r="S495" s="1017"/>
      <c r="T495" s="1121">
        <v>-35</v>
      </c>
      <c r="U495" s="1121"/>
      <c r="V495" s="1121"/>
      <c r="W495" s="1121">
        <v>1.4</v>
      </c>
      <c r="X495" s="1121"/>
      <c r="Y495" s="1121"/>
      <c r="Z495" s="1121"/>
      <c r="AA495" s="1121"/>
      <c r="AB495" s="1121"/>
      <c r="AC495" s="1121" t="s">
        <v>2975</v>
      </c>
      <c r="AD495" s="1121"/>
      <c r="AE495" s="1121"/>
      <c r="AF495" s="1121">
        <v>200</v>
      </c>
      <c r="AG495" s="288">
        <v>23253.58</v>
      </c>
      <c r="AH495" s="1121">
        <v>1782</v>
      </c>
      <c r="AI495" s="289">
        <v>-5300</v>
      </c>
      <c r="AJ495" s="1121"/>
      <c r="AK495" s="1121" t="s">
        <v>139</v>
      </c>
      <c r="AL495" s="1121"/>
      <c r="AM495" s="1121"/>
      <c r="AN495" s="315">
        <v>5.5</v>
      </c>
      <c r="AO495" s="315"/>
      <c r="AP495" s="315"/>
      <c r="AQ495" s="315"/>
      <c r="AR495" s="315"/>
      <c r="AS495" s="315"/>
      <c r="AT495" s="315">
        <f>+ab($T$495,$T$493,$T$497,$G$494,$G$496,-1*$F$495,1200)</f>
        <v>-5.7343007766859211</v>
      </c>
      <c r="AU495" s="315"/>
      <c r="AV495" s="315"/>
      <c r="AW495" s="315" t="s">
        <v>699</v>
      </c>
      <c r="AX495" s="315" t="s">
        <v>699</v>
      </c>
      <c r="AY495" s="315" t="s">
        <v>699</v>
      </c>
      <c r="AZ495" s="315" t="s">
        <v>699</v>
      </c>
      <c r="BA495" s="315"/>
      <c r="BB495" s="306"/>
    </row>
    <row r="496" spans="1:54" ht="14.25">
      <c r="A496" s="340"/>
      <c r="B496" s="287"/>
      <c r="C496" s="288"/>
      <c r="D496" s="1121"/>
      <c r="E496" s="1121"/>
      <c r="F496" s="289"/>
      <c r="G496" s="292">
        <v>41</v>
      </c>
      <c r="H496" s="291"/>
      <c r="I496" s="294"/>
      <c r="J496" s="288"/>
      <c r="K496" s="1121"/>
      <c r="L496" s="1121"/>
      <c r="M496" s="1121"/>
      <c r="N496" s="291"/>
      <c r="O496" s="291"/>
      <c r="P496" s="291"/>
      <c r="Q496" s="1121"/>
      <c r="R496" s="292"/>
      <c r="S496" s="1017">
        <v>40.879999999997381</v>
      </c>
      <c r="T496" s="1121"/>
      <c r="U496" s="1121"/>
      <c r="V496" s="1121"/>
      <c r="W496" s="1121"/>
      <c r="X496" s="1121"/>
      <c r="Y496" s="1121"/>
      <c r="Z496" s="1121"/>
      <c r="AA496" s="1121"/>
      <c r="AB496" s="1121"/>
      <c r="AC496" s="1121"/>
      <c r="AD496" s="1121"/>
      <c r="AE496" s="1121"/>
      <c r="AF496" s="1121"/>
      <c r="AG496" s="288"/>
      <c r="AH496" s="1121" t="s">
        <v>695</v>
      </c>
      <c r="AI496" s="289" t="s">
        <v>695</v>
      </c>
      <c r="AJ496" s="1121"/>
      <c r="AK496" s="1121"/>
      <c r="AL496" s="1121"/>
      <c r="AM496" s="1121"/>
      <c r="AN496" s="315"/>
      <c r="AO496" s="315"/>
      <c r="AP496" s="315"/>
      <c r="AQ496" s="315">
        <f>+FL_2($T$497,$T$495,$G$496,1200,9.28,-1*$F$497)</f>
        <v>-0.35000000000000048</v>
      </c>
      <c r="AR496" s="315"/>
      <c r="AS496" s="315"/>
      <c r="AT496" s="315"/>
      <c r="AU496" s="315"/>
      <c r="AV496" s="315"/>
      <c r="AW496" s="315"/>
      <c r="AX496" s="315"/>
      <c r="AY496" s="315"/>
      <c r="AZ496" s="315"/>
      <c r="BA496" s="315"/>
      <c r="BB496" s="306"/>
    </row>
    <row r="497" spans="1:54" ht="14.25">
      <c r="A497" s="340"/>
      <c r="B497" s="287" t="s">
        <v>3198</v>
      </c>
      <c r="C497" s="288">
        <f t="shared" ref="C497" si="100">+$C495+$G496</f>
        <v>23295.000000000004</v>
      </c>
      <c r="D497" s="1121"/>
      <c r="E497" s="1121"/>
      <c r="F497" s="289">
        <v>0</v>
      </c>
      <c r="G497" s="292"/>
      <c r="H497" s="291"/>
      <c r="I497" s="294"/>
      <c r="J497" s="288"/>
      <c r="K497" s="1121"/>
      <c r="L497" s="1121"/>
      <c r="M497" s="1121"/>
      <c r="N497" s="291" t="s">
        <v>917</v>
      </c>
      <c r="O497" s="291"/>
      <c r="P497" s="291"/>
      <c r="Q497" s="1121">
        <v>0</v>
      </c>
      <c r="R497" s="508">
        <v>0</v>
      </c>
      <c r="S497" s="1017"/>
      <c r="T497" s="1121">
        <v>35</v>
      </c>
      <c r="U497" s="1121"/>
      <c r="V497" s="1121"/>
      <c r="W497" s="1121">
        <v>1.4</v>
      </c>
      <c r="X497" s="1121"/>
      <c r="Y497" s="1121"/>
      <c r="Z497" s="1121"/>
      <c r="AA497" s="1121"/>
      <c r="AB497" s="1121"/>
      <c r="AC497" s="1121" t="s">
        <v>2963</v>
      </c>
      <c r="AD497" s="1121"/>
      <c r="AE497" s="1121"/>
      <c r="AF497" s="1121">
        <v>200</v>
      </c>
      <c r="AG497" s="288">
        <v>23294.46</v>
      </c>
      <c r="AH497" s="1121">
        <v>1782</v>
      </c>
      <c r="AI497" s="289">
        <v>-5300</v>
      </c>
      <c r="AJ497" s="1121"/>
      <c r="AK497" s="1121" t="s">
        <v>139</v>
      </c>
      <c r="AL497" s="1121"/>
      <c r="AM497" s="1121"/>
      <c r="AN497" s="315">
        <v>5.5</v>
      </c>
      <c r="AO497" s="315"/>
      <c r="AP497" s="315"/>
      <c r="AQ497" s="315"/>
      <c r="AR497" s="315"/>
      <c r="AS497" s="315"/>
      <c r="AT497" s="315">
        <f>+ab($T$497,$T$495,$T$499,$G$496,$G$498,-1*$F$497,1200)</f>
        <v>5.1191164950862333</v>
      </c>
      <c r="AU497" s="315"/>
      <c r="AV497" s="315"/>
      <c r="AW497" s="315" t="s">
        <v>699</v>
      </c>
      <c r="AX497" s="315" t="s">
        <v>699</v>
      </c>
      <c r="AY497" s="315" t="s">
        <v>699</v>
      </c>
      <c r="AZ497" s="315" t="s">
        <v>699</v>
      </c>
      <c r="BA497" s="315"/>
      <c r="BB497" s="306"/>
    </row>
    <row r="498" spans="1:54" ht="14.25">
      <c r="A498" s="340"/>
      <c r="B498" s="287"/>
      <c r="C498" s="288"/>
      <c r="D498" s="1121"/>
      <c r="E498" s="1121"/>
      <c r="F498" s="289"/>
      <c r="G498" s="292">
        <v>32</v>
      </c>
      <c r="H498" s="291"/>
      <c r="I498" s="294"/>
      <c r="J498" s="288"/>
      <c r="K498" s="1121"/>
      <c r="L498" s="1121"/>
      <c r="M498" s="1121"/>
      <c r="N498" s="291"/>
      <c r="O498" s="291"/>
      <c r="P498" s="291"/>
      <c r="Q498" s="1121"/>
      <c r="R498" s="292"/>
      <c r="S498" s="1017">
        <v>32.180000000000291</v>
      </c>
      <c r="T498" s="1121"/>
      <c r="U498" s="1121"/>
      <c r="V498" s="1121"/>
      <c r="W498" s="1121"/>
      <c r="X498" s="1121"/>
      <c r="Y498" s="1121"/>
      <c r="Z498" s="1121"/>
      <c r="AA498" s="1121"/>
      <c r="AB498" s="1121"/>
      <c r="AC498" s="1121"/>
      <c r="AD498" s="1121"/>
      <c r="AE498" s="1121"/>
      <c r="AF498" s="1121"/>
      <c r="AG498" s="288"/>
      <c r="AH498" s="1121" t="s">
        <v>695</v>
      </c>
      <c r="AI498" s="289" t="s">
        <v>695</v>
      </c>
      <c r="AJ498" s="1121"/>
      <c r="AK498" s="1121"/>
      <c r="AL498" s="1121"/>
      <c r="AM498" s="1121"/>
      <c r="AN498" s="315"/>
      <c r="AO498" s="315"/>
      <c r="AP498" s="315"/>
      <c r="AQ498" s="315">
        <f>+FL_1($T$499,$T$497,$G$498,1200,9.28,-1*$F$499)</f>
        <v>0.35000000000001757</v>
      </c>
      <c r="AR498" s="315"/>
      <c r="AS498" s="315"/>
      <c r="AT498" s="315"/>
      <c r="AU498" s="315"/>
      <c r="AV498" s="315"/>
      <c r="AW498" s="315"/>
      <c r="AX498" s="315"/>
      <c r="AY498" s="315"/>
      <c r="AZ498" s="315"/>
      <c r="BA498" s="315"/>
      <c r="BB498" s="306"/>
    </row>
    <row r="499" spans="1:54" ht="14.25">
      <c r="A499" s="340"/>
      <c r="B499" s="287" t="s">
        <v>3199</v>
      </c>
      <c r="C499" s="288">
        <f t="shared" ref="C499" si="101">+$C497+$G498</f>
        <v>23327.000000000004</v>
      </c>
      <c r="D499" s="1121"/>
      <c r="E499" s="1121"/>
      <c r="F499" s="289">
        <v>0</v>
      </c>
      <c r="G499" s="292"/>
      <c r="H499" s="291"/>
      <c r="I499" s="294"/>
      <c r="J499" s="288"/>
      <c r="K499" s="1121"/>
      <c r="L499" s="1121"/>
      <c r="M499" s="1121"/>
      <c r="N499" s="291" t="s">
        <v>916</v>
      </c>
      <c r="O499" s="291"/>
      <c r="P499" s="291"/>
      <c r="Q499" s="1121">
        <v>0</v>
      </c>
      <c r="R499" s="508">
        <v>0</v>
      </c>
      <c r="S499" s="1017"/>
      <c r="T499" s="1121">
        <v>-30</v>
      </c>
      <c r="U499" s="1121"/>
      <c r="V499" s="1121"/>
      <c r="W499" s="1121">
        <v>1.4</v>
      </c>
      <c r="X499" s="1121"/>
      <c r="Y499" s="1121"/>
      <c r="Z499" s="1121"/>
      <c r="AA499" s="1121"/>
      <c r="AB499" s="1121"/>
      <c r="AC499" s="1121" t="s">
        <v>2974</v>
      </c>
      <c r="AD499" s="1121"/>
      <c r="AE499" s="1121"/>
      <c r="AF499" s="1121">
        <v>200</v>
      </c>
      <c r="AG499" s="288">
        <v>23326.639999999999</v>
      </c>
      <c r="AH499" s="1121">
        <v>1782</v>
      </c>
      <c r="AI499" s="289">
        <v>-5300</v>
      </c>
      <c r="AJ499" s="1121"/>
      <c r="AK499" s="1121" t="s">
        <v>139</v>
      </c>
      <c r="AL499" s="1121"/>
      <c r="AM499" s="1121"/>
      <c r="AN499" s="315">
        <v>5.5</v>
      </c>
      <c r="AO499" s="315"/>
      <c r="AP499" s="315"/>
      <c r="AQ499" s="315"/>
      <c r="AR499" s="315"/>
      <c r="AS499" s="315"/>
      <c r="AT499" s="315">
        <f>+ab($T$499,$T$497,$T$501,$G$498,$G$500,-1*$F$499,1200)</f>
        <v>-7.8279540330675479</v>
      </c>
      <c r="AU499" s="315"/>
      <c r="AV499" s="315"/>
      <c r="AW499" s="315" t="s">
        <v>699</v>
      </c>
      <c r="AX499" s="315" t="s">
        <v>699</v>
      </c>
      <c r="AY499" s="315" t="s">
        <v>699</v>
      </c>
      <c r="AZ499" s="315" t="s">
        <v>699</v>
      </c>
      <c r="BA499" s="315"/>
      <c r="BB499" s="306"/>
    </row>
    <row r="500" spans="1:54" ht="14.25">
      <c r="A500" s="340"/>
      <c r="B500" s="287"/>
      <c r="C500" s="288"/>
      <c r="D500" s="1121"/>
      <c r="E500" s="1121"/>
      <c r="F500" s="289"/>
      <c r="G500" s="292">
        <v>24.7</v>
      </c>
      <c r="H500" s="291"/>
      <c r="I500" s="294"/>
      <c r="J500" s="288"/>
      <c r="K500" s="1121"/>
      <c r="L500" s="1121"/>
      <c r="M500" s="1121"/>
      <c r="N500" s="291"/>
      <c r="O500" s="291"/>
      <c r="P500" s="291"/>
      <c r="Q500" s="1121"/>
      <c r="R500" s="292"/>
      <c r="S500" s="1017">
        <v>24.569999999999709</v>
      </c>
      <c r="T500" s="1121"/>
      <c r="U500" s="1121"/>
      <c r="V500" s="1121"/>
      <c r="W500" s="1121"/>
      <c r="X500" s="1121"/>
      <c r="Y500" s="1121"/>
      <c r="Z500" s="1121"/>
      <c r="AA500" s="1121"/>
      <c r="AB500" s="1121"/>
      <c r="AC500" s="1121"/>
      <c r="AD500" s="1121"/>
      <c r="AE500" s="1121"/>
      <c r="AF500" s="1121"/>
      <c r="AG500" s="288"/>
      <c r="AH500" s="1121" t="s">
        <v>695</v>
      </c>
      <c r="AI500" s="289" t="s">
        <v>695</v>
      </c>
      <c r="AJ500" s="1121"/>
      <c r="AK500" s="1121"/>
      <c r="AL500" s="1121"/>
      <c r="AM500" s="1121"/>
      <c r="AN500" s="315"/>
      <c r="AO500" s="315"/>
      <c r="AP500" s="315"/>
      <c r="AQ500" s="315">
        <f>+FL_1($T$501,-$T$499,$G$500,1200,9.28,-1*$F$501)</f>
        <v>0.30000000000001131</v>
      </c>
      <c r="AR500" s="315"/>
      <c r="AS500" s="315"/>
      <c r="AT500" s="315"/>
      <c r="AU500" s="315"/>
      <c r="AV500" s="315"/>
      <c r="AW500" s="315"/>
      <c r="AX500" s="315"/>
      <c r="AY500" s="315"/>
      <c r="AZ500" s="315"/>
      <c r="BA500" s="315"/>
      <c r="BB500" s="306"/>
    </row>
    <row r="501" spans="1:54" ht="14.25">
      <c r="A501" s="340"/>
      <c r="B501" s="287" t="s">
        <v>3200</v>
      </c>
      <c r="C501" s="288">
        <f t="shared" ref="C501" si="102">+$C499+$G500</f>
        <v>23351.700000000004</v>
      </c>
      <c r="D501" s="1121"/>
      <c r="E501" s="1121"/>
      <c r="F501" s="289">
        <v>0</v>
      </c>
      <c r="G501" s="292"/>
      <c r="H501" s="291"/>
      <c r="I501" s="294"/>
      <c r="J501" s="288"/>
      <c r="K501" s="1121"/>
      <c r="L501" s="1121"/>
      <c r="M501" s="1121"/>
      <c r="N501" s="974" t="s">
        <v>916</v>
      </c>
      <c r="O501" s="291"/>
      <c r="P501" s="291"/>
      <c r="Q501" s="1121">
        <v>0</v>
      </c>
      <c r="R501" s="508">
        <v>0</v>
      </c>
      <c r="S501" s="1017"/>
      <c r="T501" s="1121">
        <v>-20</v>
      </c>
      <c r="U501" s="1121"/>
      <c r="V501" s="1121"/>
      <c r="W501" s="1121">
        <v>1.4</v>
      </c>
      <c r="X501" s="1121"/>
      <c r="Y501" s="1121"/>
      <c r="Z501" s="1121"/>
      <c r="AA501" s="1121"/>
      <c r="AB501" s="1121"/>
      <c r="AC501" s="1121" t="s">
        <v>2975</v>
      </c>
      <c r="AD501" s="1121"/>
      <c r="AE501" s="1121"/>
      <c r="AF501" s="1121">
        <v>200</v>
      </c>
      <c r="AG501" s="288">
        <v>23351.21</v>
      </c>
      <c r="AH501" s="1121">
        <v>1582</v>
      </c>
      <c r="AI501" s="289">
        <v>-5300</v>
      </c>
      <c r="AJ501" s="1121"/>
      <c r="AK501" s="1121" t="s">
        <v>139</v>
      </c>
      <c r="AL501" s="1121"/>
      <c r="AM501" s="1121"/>
      <c r="AN501" s="315">
        <v>5.5</v>
      </c>
      <c r="AO501" s="315"/>
      <c r="AP501" s="315"/>
      <c r="AQ501" s="315"/>
      <c r="AR501" s="315"/>
      <c r="AS501" s="315"/>
      <c r="AT501" s="315">
        <f>+ab($T$501,-T499,$T$503,$G$500,$G$502,-1*$F$501,1200)</f>
        <v>-10.113412254475458</v>
      </c>
      <c r="AU501" s="315"/>
      <c r="AV501" s="315"/>
      <c r="AW501" s="315" t="s">
        <v>699</v>
      </c>
      <c r="AX501" s="315" t="s">
        <v>699</v>
      </c>
      <c r="AY501" s="315" t="s">
        <v>699</v>
      </c>
      <c r="AZ501" s="315" t="s">
        <v>699</v>
      </c>
      <c r="BA501" s="315"/>
      <c r="BB501" s="306"/>
    </row>
    <row r="502" spans="1:54" ht="14.25">
      <c r="A502" s="340"/>
      <c r="B502" s="287"/>
      <c r="C502" s="288"/>
      <c r="D502" s="1121"/>
      <c r="E502" s="1121"/>
      <c r="F502" s="289"/>
      <c r="G502" s="292">
        <v>34.1</v>
      </c>
      <c r="H502" s="291"/>
      <c r="I502" s="294"/>
      <c r="J502" s="288"/>
      <c r="K502" s="1121"/>
      <c r="L502" s="1121"/>
      <c r="M502" s="1121"/>
      <c r="N502" s="291"/>
      <c r="O502" s="291"/>
      <c r="P502" s="291"/>
      <c r="Q502" s="1121"/>
      <c r="R502" s="292"/>
      <c r="S502" s="1017">
        <v>34.110000000000582</v>
      </c>
      <c r="T502" s="1121"/>
      <c r="U502" s="1121"/>
      <c r="V502" s="1121"/>
      <c r="W502" s="1121"/>
      <c r="X502" s="1121"/>
      <c r="Y502" s="1121"/>
      <c r="Z502" s="1121"/>
      <c r="AA502" s="1121"/>
      <c r="AB502" s="1121"/>
      <c r="AC502" s="1121"/>
      <c r="AD502" s="1121"/>
      <c r="AE502" s="1121"/>
      <c r="AF502" s="1121"/>
      <c r="AG502" s="288"/>
      <c r="AH502" s="1121" t="s">
        <v>695</v>
      </c>
      <c r="AI502" s="289" t="s">
        <v>695</v>
      </c>
      <c r="AJ502" s="1121"/>
      <c r="AK502" s="1121"/>
      <c r="AL502" s="1121"/>
      <c r="AM502" s="1121"/>
      <c r="AN502" s="315"/>
      <c r="AO502" s="315"/>
      <c r="AP502" s="315"/>
      <c r="AQ502" s="315">
        <f>+FL_1($T$503,$T$501,$G$502,1200,9.28,-1*$F$503)</f>
        <v>-0.11120497624633431</v>
      </c>
      <c r="AR502" s="315"/>
      <c r="AS502" s="315"/>
      <c r="AT502" s="315"/>
      <c r="AU502" s="315"/>
      <c r="AV502" s="315"/>
      <c r="AW502" s="315"/>
      <c r="AX502" s="315"/>
      <c r="AY502" s="315"/>
      <c r="AZ502" s="315"/>
      <c r="BA502" s="315"/>
      <c r="BB502" s="306"/>
    </row>
    <row r="503" spans="1:54" ht="14.25">
      <c r="A503" s="340"/>
      <c r="B503" s="287" t="s">
        <v>3201</v>
      </c>
      <c r="C503" s="288">
        <f>+$C501+$G502</f>
        <v>23385.800000000003</v>
      </c>
      <c r="D503" s="1121"/>
      <c r="E503" s="1121"/>
      <c r="F503" s="289">
        <v>0</v>
      </c>
      <c r="G503" s="292"/>
      <c r="H503" s="291" t="s">
        <v>142</v>
      </c>
      <c r="I503" s="294"/>
      <c r="J503" s="288"/>
      <c r="K503" s="1121"/>
      <c r="L503" s="1121"/>
      <c r="M503" s="1121"/>
      <c r="N503" s="291" t="s">
        <v>916</v>
      </c>
      <c r="O503" s="291" t="s">
        <v>917</v>
      </c>
      <c r="P503" s="291"/>
      <c r="Q503" s="1121">
        <v>0</v>
      </c>
      <c r="R503" s="508">
        <v>0</v>
      </c>
      <c r="S503" s="1017"/>
      <c r="T503" s="1121">
        <v>-25</v>
      </c>
      <c r="U503" s="1121">
        <v>-80</v>
      </c>
      <c r="V503" s="1121"/>
      <c r="W503" s="1121">
        <v>1.4</v>
      </c>
      <c r="X503" s="1121">
        <v>2.2999999999999998</v>
      </c>
      <c r="Y503" s="1121"/>
      <c r="Z503" s="1121"/>
      <c r="AA503" s="1121"/>
      <c r="AB503" s="1121">
        <v>-0.05</v>
      </c>
      <c r="AC503" s="1121" t="s">
        <v>2970</v>
      </c>
      <c r="AD503" s="1121" t="s">
        <v>480</v>
      </c>
      <c r="AE503" s="1121"/>
      <c r="AF503" s="1121">
        <v>200</v>
      </c>
      <c r="AG503" s="288">
        <v>23385.32</v>
      </c>
      <c r="AH503" s="1121">
        <v>2082</v>
      </c>
      <c r="AI503" s="289">
        <v>-5300</v>
      </c>
      <c r="AJ503" s="1121" t="s">
        <v>2524</v>
      </c>
      <c r="AK503" s="1121" t="s">
        <v>229</v>
      </c>
      <c r="AL503" s="1121"/>
      <c r="AM503" s="1121"/>
      <c r="AN503" s="315">
        <v>5.5</v>
      </c>
      <c r="AO503" s="315"/>
      <c r="AP503" s="315"/>
      <c r="AQ503" s="315"/>
      <c r="AR503" s="315"/>
      <c r="AS503" s="315"/>
      <c r="AT503" s="315">
        <f>+ab($T$503,$T$501,$U$505,$G$502,$G$504,-1*$F$503,1200)</f>
        <v>-10.932314824100093</v>
      </c>
      <c r="AU503" s="315"/>
      <c r="AV503" s="315"/>
      <c r="AW503" s="315" t="s">
        <v>699</v>
      </c>
      <c r="AX503" s="315" t="s">
        <v>699</v>
      </c>
      <c r="AY503" s="315" t="s">
        <v>699</v>
      </c>
      <c r="AZ503" s="315" t="s">
        <v>699</v>
      </c>
      <c r="BA503" s="315"/>
      <c r="BB503" s="306"/>
    </row>
    <row r="504" spans="1:54" ht="14.25">
      <c r="A504" s="340"/>
      <c r="B504" s="287"/>
      <c r="C504" s="288"/>
      <c r="D504" s="1121"/>
      <c r="E504" s="1121"/>
      <c r="F504" s="289"/>
      <c r="G504" s="292">
        <v>25.2</v>
      </c>
      <c r="H504" s="291"/>
      <c r="I504" s="294"/>
      <c r="J504" s="288"/>
      <c r="K504" s="1121"/>
      <c r="L504" s="1121"/>
      <c r="M504" s="1121"/>
      <c r="N504" s="291"/>
      <c r="O504" s="291"/>
      <c r="P504" s="291"/>
      <c r="Q504" s="1121"/>
      <c r="R504" s="292"/>
      <c r="S504" s="1017">
        <f>AG505-AG503</f>
        <v>26.180000000000291</v>
      </c>
      <c r="T504" s="1121"/>
      <c r="U504" s="1121"/>
      <c r="V504" s="1121"/>
      <c r="W504" s="1121"/>
      <c r="X504" s="1121"/>
      <c r="Y504" s="1121"/>
      <c r="Z504" s="1121"/>
      <c r="AA504" s="1121"/>
      <c r="AB504" s="1121"/>
      <c r="AC504" s="1121"/>
      <c r="AD504" s="1121"/>
      <c r="AE504" s="1121"/>
      <c r="AF504" s="1121"/>
      <c r="AG504" s="288"/>
      <c r="AH504" s="1121" t="s">
        <v>695</v>
      </c>
      <c r="AI504" s="289" t="s">
        <v>695</v>
      </c>
      <c r="AJ504" s="1121"/>
      <c r="AK504" s="1121"/>
      <c r="AL504" s="1121"/>
      <c r="AM504" s="1121"/>
      <c r="AN504" s="315"/>
      <c r="AO504" s="315"/>
      <c r="AP504" s="315"/>
      <c r="AQ504" s="315">
        <f>+FL_2($U$505,$T$503,$G$504,1200,9.28,-1*$F$505)</f>
        <v>-0.25000000000000694</v>
      </c>
      <c r="AR504" s="315"/>
      <c r="AS504" s="315"/>
      <c r="AT504" s="315"/>
      <c r="AU504" s="315"/>
      <c r="AV504" s="315"/>
      <c r="AW504" s="315"/>
      <c r="AX504" s="315"/>
      <c r="AY504" s="315"/>
      <c r="AZ504" s="315"/>
      <c r="BA504" s="315"/>
      <c r="BB504" s="306"/>
    </row>
    <row r="505" spans="1:54" ht="14.25">
      <c r="A505" s="340"/>
      <c r="B505" s="287" t="s">
        <v>3202</v>
      </c>
      <c r="C505" s="288">
        <f t="shared" ref="C505" si="103">+$C503+$G504</f>
        <v>23411.000000000004</v>
      </c>
      <c r="D505" s="1121"/>
      <c r="E505" s="1121"/>
      <c r="F505" s="289"/>
      <c r="G505" s="292"/>
      <c r="H505" s="291"/>
      <c r="I505" s="294"/>
      <c r="J505" s="288"/>
      <c r="K505" s="1121"/>
      <c r="L505" s="1121"/>
      <c r="M505" s="1121"/>
      <c r="N505" s="291" t="s">
        <v>918</v>
      </c>
      <c r="O505" s="291" t="s">
        <v>917</v>
      </c>
      <c r="P505" s="291" t="s">
        <v>918</v>
      </c>
      <c r="Q505" s="1121">
        <v>0</v>
      </c>
      <c r="R505" s="508">
        <v>0</v>
      </c>
      <c r="S505" s="1017"/>
      <c r="T505" s="1121">
        <v>75</v>
      </c>
      <c r="U505" s="1121">
        <v>15</v>
      </c>
      <c r="V505" s="1121">
        <v>-75</v>
      </c>
      <c r="W505" s="1121">
        <v>1.4</v>
      </c>
      <c r="X505" s="1121">
        <v>1.8</v>
      </c>
      <c r="Y505" s="1121">
        <v>2.2999999999999998</v>
      </c>
      <c r="Z505" s="1121">
        <v>0.45</v>
      </c>
      <c r="AA505" s="1121"/>
      <c r="AB505" s="1121">
        <v>0.3</v>
      </c>
      <c r="AC505" s="1121"/>
      <c r="AD505" s="1121" t="s">
        <v>1704</v>
      </c>
      <c r="AE505" s="1121"/>
      <c r="AF505" s="1121">
        <v>200</v>
      </c>
      <c r="AG505" s="288">
        <v>23411.5</v>
      </c>
      <c r="AH505" s="1121">
        <v>1782</v>
      </c>
      <c r="AI505" s="289">
        <v>-5300</v>
      </c>
      <c r="AJ505" s="1121"/>
      <c r="AK505" s="1121" t="s">
        <v>229</v>
      </c>
      <c r="AL505" s="1121"/>
      <c r="AM505" s="1121"/>
      <c r="AN505" s="315">
        <v>5.5</v>
      </c>
      <c r="AO505" s="315"/>
      <c r="AP505" s="315"/>
      <c r="AQ505" s="315"/>
      <c r="AR505" s="315"/>
      <c r="AS505" s="315"/>
      <c r="AT505" s="315">
        <f>+ab($U$505,$T$503,$U$507,$G$504,$G$506,-1*$F$505,1200)</f>
        <v>14.028922308191348</v>
      </c>
      <c r="AU505" s="315"/>
      <c r="AV505" s="315"/>
      <c r="AW505" s="315" t="s">
        <v>699</v>
      </c>
      <c r="AX505" s="315" t="s">
        <v>699</v>
      </c>
      <c r="AY505" s="315" t="s">
        <v>699</v>
      </c>
      <c r="AZ505" s="315" t="s">
        <v>699</v>
      </c>
      <c r="BA505" s="315"/>
      <c r="BB505" s="306"/>
    </row>
    <row r="506" spans="1:54" ht="14.25">
      <c r="A506" s="340"/>
      <c r="B506" s="287"/>
      <c r="C506" s="288"/>
      <c r="D506" s="1121"/>
      <c r="E506" s="1121"/>
      <c r="F506" s="289"/>
      <c r="G506" s="292">
        <v>40.5</v>
      </c>
      <c r="H506" s="291"/>
      <c r="I506" s="294"/>
      <c r="J506" s="288">
        <f>C507-7.5</f>
        <v>23444.000000000004</v>
      </c>
      <c r="K506" s="1121" t="s">
        <v>653</v>
      </c>
      <c r="L506" s="1121"/>
      <c r="M506" s="1121"/>
      <c r="N506" s="291"/>
      <c r="O506" s="291"/>
      <c r="P506" s="291"/>
      <c r="Q506" s="1121"/>
      <c r="R506" s="292"/>
      <c r="S506" s="1017">
        <f>AG507-AG505</f>
        <v>39.43999999999869</v>
      </c>
      <c r="T506" s="1121"/>
      <c r="U506" s="1121"/>
      <c r="V506" s="1121"/>
      <c r="W506" s="1121"/>
      <c r="X506" s="1121"/>
      <c r="Y506" s="1121"/>
      <c r="Z506" s="1121"/>
      <c r="AA506" s="1121"/>
      <c r="AB506" s="1121"/>
      <c r="AC506" s="1121"/>
      <c r="AD506" s="1121"/>
      <c r="AE506" s="1121"/>
      <c r="AF506" s="1121"/>
      <c r="AG506" s="288"/>
      <c r="AH506" s="1121" t="s">
        <v>695</v>
      </c>
      <c r="AI506" s="289" t="s">
        <v>695</v>
      </c>
      <c r="AJ506" s="1121"/>
      <c r="AK506" s="1121"/>
      <c r="AL506" s="1121"/>
      <c r="AM506" s="1121"/>
      <c r="AN506" s="315"/>
      <c r="AO506" s="315"/>
      <c r="AP506" s="315"/>
      <c r="AQ506" s="315">
        <f>+FL_1($U$507,$U$505,$G$506,1200,9.28,-1*$F$507)</f>
        <v>0.36249928454320984</v>
      </c>
      <c r="AR506" s="315"/>
      <c r="AS506" s="315"/>
      <c r="AT506" s="315"/>
      <c r="AU506" s="315"/>
      <c r="AV506" s="315"/>
      <c r="AW506" s="315" t="s">
        <v>2630</v>
      </c>
      <c r="AX506" s="315" t="s">
        <v>1639</v>
      </c>
      <c r="AY506" s="315"/>
      <c r="AZ506" s="315">
        <v>2.5</v>
      </c>
      <c r="BA506" s="315"/>
      <c r="BB506" s="306"/>
    </row>
    <row r="507" spans="1:54" ht="14.25">
      <c r="A507" s="340"/>
      <c r="B507" s="391" t="s">
        <v>3203</v>
      </c>
      <c r="C507" s="288">
        <f t="shared" ref="C507" si="104">+$C505+$G506</f>
        <v>23451.500000000004</v>
      </c>
      <c r="D507" s="1121"/>
      <c r="E507" s="1121"/>
      <c r="F507" s="289">
        <v>0</v>
      </c>
      <c r="G507" s="292"/>
      <c r="H507" s="291" t="s">
        <v>2764</v>
      </c>
      <c r="I507" s="294" t="s">
        <v>657</v>
      </c>
      <c r="J507" s="288"/>
      <c r="K507" s="1121"/>
      <c r="L507" s="1121" t="s">
        <v>1062</v>
      </c>
      <c r="M507" s="1121" t="s">
        <v>235</v>
      </c>
      <c r="N507" s="291" t="s">
        <v>144</v>
      </c>
      <c r="O507" s="291" t="s">
        <v>145</v>
      </c>
      <c r="P507" s="291" t="s">
        <v>918</v>
      </c>
      <c r="Q507" s="1121">
        <v>0</v>
      </c>
      <c r="R507" s="508">
        <v>0</v>
      </c>
      <c r="S507" s="1017"/>
      <c r="T507" s="1121">
        <v>80</v>
      </c>
      <c r="U507" s="1121">
        <v>25</v>
      </c>
      <c r="V507" s="1121">
        <v>-75</v>
      </c>
      <c r="W507" s="1121">
        <v>1.5</v>
      </c>
      <c r="X507" s="1121">
        <v>2</v>
      </c>
      <c r="Y507" s="1121">
        <v>2.5</v>
      </c>
      <c r="Z507" s="1121">
        <v>-0.05</v>
      </c>
      <c r="AA507" s="1121"/>
      <c r="AB507" s="1121">
        <v>0.45</v>
      </c>
      <c r="AC507" s="1121" t="s">
        <v>2966</v>
      </c>
      <c r="AD507" s="1121" t="s">
        <v>1710</v>
      </c>
      <c r="AE507" s="1121"/>
      <c r="AF507" s="1121">
        <v>5900</v>
      </c>
      <c r="AG507" s="288">
        <v>23450.94</v>
      </c>
      <c r="AH507" s="1121">
        <v>3576</v>
      </c>
      <c r="AI507" s="289">
        <v>587</v>
      </c>
      <c r="AJ507" s="1121"/>
      <c r="AK507" s="1121"/>
      <c r="AL507" s="1121"/>
      <c r="AM507" s="1121" t="s">
        <v>1228</v>
      </c>
      <c r="AN507" s="315">
        <v>5.5</v>
      </c>
      <c r="AO507" s="315"/>
      <c r="AP507" s="315"/>
      <c r="AQ507" s="315"/>
      <c r="AR507" s="315"/>
      <c r="AS507" s="315"/>
      <c r="AT507" s="315">
        <f>+ab($U$507,$U$505,$U$509,$G$506,$G$508,-1*$F$507,1200)</f>
        <v>11.787204094217444</v>
      </c>
      <c r="AU507" s="315"/>
      <c r="AV507" s="315"/>
      <c r="AW507" s="315" t="s">
        <v>2630</v>
      </c>
      <c r="AX507" s="315" t="s">
        <v>1639</v>
      </c>
      <c r="AY507" s="315">
        <v>3.4</v>
      </c>
      <c r="AZ507" s="315"/>
      <c r="BA507" s="315"/>
      <c r="BB507" s="306"/>
    </row>
    <row r="508" spans="1:54" ht="14.25">
      <c r="A508" s="340"/>
      <c r="B508" s="287"/>
      <c r="C508" s="288"/>
      <c r="D508" s="1121"/>
      <c r="E508" s="1121"/>
      <c r="F508" s="289"/>
      <c r="G508" s="292">
        <v>40.5</v>
      </c>
      <c r="H508" s="291"/>
      <c r="I508" s="294">
        <f>SUM(G508:G520)</f>
        <v>376.5</v>
      </c>
      <c r="J508" s="288"/>
      <c r="K508" s="1121"/>
      <c r="L508" s="1121"/>
      <c r="M508" s="1121"/>
      <c r="N508" s="291"/>
      <c r="O508" s="291"/>
      <c r="P508" s="291"/>
      <c r="Q508" s="1121"/>
      <c r="R508" s="292"/>
      <c r="S508" s="1017">
        <v>40.640000000003056</v>
      </c>
      <c r="T508" s="1121"/>
      <c r="U508" s="1121"/>
      <c r="V508" s="1121"/>
      <c r="W508" s="1121"/>
      <c r="X508" s="1121"/>
      <c r="Y508" s="1121"/>
      <c r="Z508" s="1121"/>
      <c r="AA508" s="1121"/>
      <c r="AB508" s="1121"/>
      <c r="AC508" s="1121"/>
      <c r="AD508" s="1121"/>
      <c r="AE508" s="1121"/>
      <c r="AF508" s="1121"/>
      <c r="AG508" s="288"/>
      <c r="AH508" s="1121" t="s">
        <v>695</v>
      </c>
      <c r="AI508" s="289" t="s">
        <v>695</v>
      </c>
      <c r="AJ508" s="1121"/>
      <c r="AK508" s="1121"/>
      <c r="AL508" s="1121"/>
      <c r="AM508" s="1121"/>
      <c r="AN508" s="315"/>
      <c r="AO508" s="315"/>
      <c r="AP508" s="315"/>
      <c r="AQ508" s="315">
        <f>+FL_2($U$509,$U$507,$G$508,1200,9.28,-1*$F$509)</f>
        <v>-0.30279657713580244</v>
      </c>
      <c r="AR508" s="315"/>
      <c r="AS508" s="315"/>
      <c r="AT508" s="315"/>
      <c r="AU508" s="315"/>
      <c r="AV508" s="315"/>
      <c r="AW508" s="315"/>
      <c r="AX508" s="315"/>
      <c r="AY508" s="315"/>
      <c r="AZ508" s="315"/>
      <c r="BA508" s="315"/>
      <c r="BB508" s="306"/>
    </row>
    <row r="509" spans="1:54" ht="14.25">
      <c r="A509" s="340"/>
      <c r="B509" s="287" t="s">
        <v>3204</v>
      </c>
      <c r="C509" s="288">
        <f>+$C$507+$G$508</f>
        <v>23492.000000000004</v>
      </c>
      <c r="D509" s="1121">
        <v>23492</v>
      </c>
      <c r="E509" s="1121"/>
      <c r="F509" s="289">
        <v>0</v>
      </c>
      <c r="G509" s="292"/>
      <c r="H509" s="291" t="s">
        <v>2249</v>
      </c>
      <c r="I509" s="294" t="s">
        <v>656</v>
      </c>
      <c r="J509" s="288">
        <f>C509+7.5</f>
        <v>23499.500000000004</v>
      </c>
      <c r="K509" s="1121" t="s">
        <v>653</v>
      </c>
      <c r="L509" s="1121" t="s">
        <v>1062</v>
      </c>
      <c r="M509" s="1121" t="s">
        <v>235</v>
      </c>
      <c r="N509" s="291" t="s">
        <v>140</v>
      </c>
      <c r="O509" s="291" t="s">
        <v>145</v>
      </c>
      <c r="P509" s="291"/>
      <c r="Q509" s="1121">
        <v>0</v>
      </c>
      <c r="R509" s="508">
        <v>0</v>
      </c>
      <c r="S509" s="1017"/>
      <c r="T509" s="1121">
        <v>15</v>
      </c>
      <c r="U509" s="1121">
        <v>-30</v>
      </c>
      <c r="V509" s="1121"/>
      <c r="W509" s="1121">
        <v>1.4</v>
      </c>
      <c r="X509" s="1121">
        <v>2.2999999999999998</v>
      </c>
      <c r="Y509" s="1121"/>
      <c r="Z509" s="1121">
        <v>0.45</v>
      </c>
      <c r="AA509" s="1121"/>
      <c r="AB509" s="1121"/>
      <c r="AC509" s="1121"/>
      <c r="AD509" s="1121" t="s">
        <v>1704</v>
      </c>
      <c r="AE509" s="1121"/>
      <c r="AF509" s="1121">
        <v>5900</v>
      </c>
      <c r="AG509" s="288">
        <v>23491.58</v>
      </c>
      <c r="AH509" s="1121">
        <v>2530</v>
      </c>
      <c r="AI509" s="289">
        <v>536</v>
      </c>
      <c r="AJ509" s="1121" t="s">
        <v>2524</v>
      </c>
      <c r="AK509" s="1121"/>
      <c r="AL509" s="1121"/>
      <c r="AM509" s="1121" t="s">
        <v>1228</v>
      </c>
      <c r="AN509" s="315">
        <v>5.5</v>
      </c>
      <c r="AO509" s="315"/>
      <c r="AP509" s="315"/>
      <c r="AQ509" s="315"/>
      <c r="AR509" s="315"/>
      <c r="AS509" s="315"/>
      <c r="AT509" s="315">
        <f>+ab($U$509,$U$507,$U$511,$G$508,$G$510,-1*$F$509,1200)</f>
        <v>-24.555584443958974</v>
      </c>
      <c r="AU509" s="315"/>
      <c r="AV509" s="315"/>
      <c r="AW509" s="315" t="s">
        <v>2630</v>
      </c>
      <c r="AX509" s="315" t="s">
        <v>1639</v>
      </c>
      <c r="AY509" s="315">
        <v>3.4</v>
      </c>
      <c r="AZ509" s="315">
        <v>2.5</v>
      </c>
      <c r="BA509" s="315"/>
      <c r="BB509" s="306"/>
    </row>
    <row r="510" spans="1:54" ht="14.25">
      <c r="A510" s="340"/>
      <c r="B510" s="287"/>
      <c r="C510" s="288"/>
      <c r="D510" s="1121"/>
      <c r="E510" s="1121"/>
      <c r="F510" s="289"/>
      <c r="G510" s="292">
        <v>48</v>
      </c>
      <c r="H510" s="291"/>
      <c r="I510" s="294" t="s">
        <v>2668</v>
      </c>
      <c r="J510" s="288">
        <f>C511-9.5</f>
        <v>23530.500000000004</v>
      </c>
      <c r="K510" s="1121" t="s">
        <v>658</v>
      </c>
      <c r="L510" s="1121"/>
      <c r="M510" s="1121"/>
      <c r="N510" s="291"/>
      <c r="O510" s="291"/>
      <c r="P510" s="291"/>
      <c r="Q510" s="1121"/>
      <c r="R510" s="292"/>
      <c r="S510" s="1017">
        <v>49.519999999996799</v>
      </c>
      <c r="T510" s="1121"/>
      <c r="U510" s="1121"/>
      <c r="V510" s="1121"/>
      <c r="W510" s="1121"/>
      <c r="X510" s="1121"/>
      <c r="Y510" s="1121"/>
      <c r="Z510" s="1121"/>
      <c r="AA510" s="1121"/>
      <c r="AB510" s="1121"/>
      <c r="AC510" s="1121"/>
      <c r="AD510" s="1121"/>
      <c r="AE510" s="1121"/>
      <c r="AF510" s="1121"/>
      <c r="AG510" s="288"/>
      <c r="AH510" s="1121" t="s">
        <v>695</v>
      </c>
      <c r="AI510" s="289" t="s">
        <v>695</v>
      </c>
      <c r="AJ510" s="1121"/>
      <c r="AK510" s="1121"/>
      <c r="AL510" s="1121"/>
      <c r="AM510" s="1121"/>
      <c r="AN510" s="315"/>
      <c r="AO510" s="315"/>
      <c r="AP510" s="315"/>
      <c r="AQ510" s="315">
        <f>+FL_2($T$511,$U$509,$G$510,1200,9.28,-1*$F$511)</f>
        <v>-0.45403398133333328</v>
      </c>
      <c r="AR510" s="315"/>
      <c r="AS510" s="315"/>
      <c r="AT510" s="315"/>
      <c r="AU510" s="315"/>
      <c r="AV510" s="315"/>
      <c r="AW510" s="315" t="s">
        <v>2630</v>
      </c>
      <c r="AX510" s="315" t="s">
        <v>1639</v>
      </c>
      <c r="AY510" s="315"/>
      <c r="AZ510" s="315">
        <v>2.5</v>
      </c>
      <c r="BA510" s="315"/>
      <c r="BB510" s="306"/>
    </row>
    <row r="511" spans="1:54" ht="14.25">
      <c r="A511" s="340" t="s">
        <v>3245</v>
      </c>
      <c r="B511" s="391" t="s">
        <v>3205</v>
      </c>
      <c r="C511" s="288">
        <f>+$C$509+$G$510</f>
        <v>23540.000000000004</v>
      </c>
      <c r="D511" s="1121">
        <v>23540</v>
      </c>
      <c r="E511" s="1121"/>
      <c r="F511" s="289">
        <v>0</v>
      </c>
      <c r="G511" s="292"/>
      <c r="H511" s="1121" t="s">
        <v>651</v>
      </c>
      <c r="I511" s="291" t="s">
        <v>1223</v>
      </c>
      <c r="J511" s="288">
        <f>C511-7.5</f>
        <v>23532.500000000004</v>
      </c>
      <c r="K511" s="1121" t="s">
        <v>658</v>
      </c>
      <c r="L511" s="1121" t="s">
        <v>231</v>
      </c>
      <c r="M511" s="1121" t="s">
        <v>2672</v>
      </c>
      <c r="N511" s="291" t="s">
        <v>144</v>
      </c>
      <c r="O511" s="291" t="s">
        <v>140</v>
      </c>
      <c r="P511" s="291"/>
      <c r="Q511" s="1121">
        <v>0</v>
      </c>
      <c r="R511" s="508">
        <v>0</v>
      </c>
      <c r="S511" s="1017"/>
      <c r="T511" s="1121">
        <v>-15</v>
      </c>
      <c r="U511" s="1121">
        <v>-60</v>
      </c>
      <c r="V511" s="1121"/>
      <c r="W511" s="1121">
        <v>1.4</v>
      </c>
      <c r="X511" s="1121">
        <v>2.2999999999999998</v>
      </c>
      <c r="Y511" s="1121"/>
      <c r="Z511" s="1121"/>
      <c r="AA511" s="1121">
        <v>0.45</v>
      </c>
      <c r="AB511" s="1121"/>
      <c r="AC511" s="1121" t="s">
        <v>1704</v>
      </c>
      <c r="AD511" s="1121"/>
      <c r="AE511" s="1121"/>
      <c r="AF511" s="1121">
        <v>6000</v>
      </c>
      <c r="AG511" s="288">
        <v>23541.1</v>
      </c>
      <c r="AH511" s="1121">
        <v>2607</v>
      </c>
      <c r="AI511" s="289">
        <v>558</v>
      </c>
      <c r="AJ511" s="1121" t="s">
        <v>2017</v>
      </c>
      <c r="AK511" s="1121"/>
      <c r="AL511" s="1121"/>
      <c r="AM511" s="1121" t="s">
        <v>1228</v>
      </c>
      <c r="AN511" s="315">
        <v>5.5</v>
      </c>
      <c r="AO511" s="315"/>
      <c r="AP511" s="315"/>
      <c r="AQ511" s="315"/>
      <c r="AR511" s="315"/>
      <c r="AS511" s="315"/>
      <c r="AT511" s="315">
        <f>+ab($T$511,$T$509,$T$513,$G$510,$G$512,-1*$F$511,1200)</f>
        <v>-13.684817075102437</v>
      </c>
      <c r="AU511" s="315"/>
      <c r="AV511" s="315"/>
      <c r="AW511" s="315" t="s">
        <v>2630</v>
      </c>
      <c r="AX511" s="315" t="s">
        <v>1639</v>
      </c>
      <c r="AY511" s="315">
        <v>3.4</v>
      </c>
      <c r="AZ511" s="315">
        <v>2.5</v>
      </c>
      <c r="BA511" s="315"/>
      <c r="BB511" s="306"/>
    </row>
    <row r="512" spans="1:54" ht="14.25">
      <c r="A512" s="340"/>
      <c r="B512" s="287"/>
      <c r="C512" s="288"/>
      <c r="D512" s="1121"/>
      <c r="E512" s="1121"/>
      <c r="F512" s="289"/>
      <c r="G512" s="292">
        <v>53.3</v>
      </c>
      <c r="H512" s="291"/>
      <c r="I512" s="289" t="s">
        <v>2016</v>
      </c>
      <c r="J512" s="450"/>
      <c r="K512" s="1121"/>
      <c r="L512" s="1121"/>
      <c r="M512" s="1121"/>
      <c r="N512" s="291"/>
      <c r="O512" s="291"/>
      <c r="P512" s="291"/>
      <c r="Q512" s="1121"/>
      <c r="R512" s="292"/>
      <c r="S512" s="1017">
        <v>51.569999999999709</v>
      </c>
      <c r="T512" s="1121"/>
      <c r="U512" s="1121"/>
      <c r="V512" s="1121"/>
      <c r="W512" s="1121"/>
      <c r="X512" s="1121"/>
      <c r="Y512" s="1121"/>
      <c r="Z512" s="1121"/>
      <c r="AA512" s="1121"/>
      <c r="AB512" s="1121"/>
      <c r="AC512" s="1121"/>
      <c r="AD512" s="1121"/>
      <c r="AE512" s="1121"/>
      <c r="AF512" s="1121"/>
      <c r="AG512" s="288"/>
      <c r="AH512" s="1121" t="s">
        <v>695</v>
      </c>
      <c r="AI512" s="289" t="s">
        <v>695</v>
      </c>
      <c r="AJ512" s="1121"/>
      <c r="AK512" s="1121"/>
      <c r="AL512" s="1121"/>
      <c r="AM512" s="1121"/>
      <c r="AN512" s="315"/>
      <c r="AO512" s="315"/>
      <c r="AP512" s="315"/>
      <c r="AQ512" s="315">
        <f>+FL_2($T$513,$T$511,$G$512,1200,9.28,-1*$F$513)</f>
        <v>-0.26103339718574098</v>
      </c>
      <c r="AR512" s="315"/>
      <c r="AS512" s="315"/>
      <c r="AT512" s="315"/>
      <c r="AU512" s="315"/>
      <c r="AV512" s="315"/>
      <c r="AW512" s="315"/>
      <c r="AX512" s="315"/>
      <c r="AY512" s="315"/>
      <c r="AZ512" s="315"/>
      <c r="BA512" s="315"/>
      <c r="BB512" s="306"/>
    </row>
    <row r="513" spans="1:57" ht="14.25">
      <c r="A513" s="340"/>
      <c r="B513" s="287" t="s">
        <v>3206</v>
      </c>
      <c r="C513" s="288">
        <f>+$C$511+$G$512</f>
        <v>23593.300000000003</v>
      </c>
      <c r="D513" s="1121">
        <v>23595</v>
      </c>
      <c r="E513" s="1121"/>
      <c r="F513" s="289">
        <v>0</v>
      </c>
      <c r="G513" s="292"/>
      <c r="H513" s="291" t="s">
        <v>2569</v>
      </c>
      <c r="I513" s="294" t="s">
        <v>656</v>
      </c>
      <c r="J513" s="288"/>
      <c r="K513" s="1121"/>
      <c r="L513" s="1121" t="s">
        <v>1061</v>
      </c>
      <c r="M513" s="1121" t="s">
        <v>2672</v>
      </c>
      <c r="N513" s="291" t="s">
        <v>145</v>
      </c>
      <c r="O513" s="291" t="s">
        <v>144</v>
      </c>
      <c r="P513" s="291"/>
      <c r="Q513" s="1121">
        <v>0</v>
      </c>
      <c r="R513" s="508">
        <v>0</v>
      </c>
      <c r="S513" s="1017"/>
      <c r="T513" s="1121">
        <v>25</v>
      </c>
      <c r="U513" s="1121">
        <v>80</v>
      </c>
      <c r="V513" s="1121"/>
      <c r="W513" s="1121">
        <v>2.2999999999999998</v>
      </c>
      <c r="X513" s="1121">
        <v>1.4</v>
      </c>
      <c r="Y513" s="1121"/>
      <c r="Z513" s="1121"/>
      <c r="AA513" s="1121">
        <v>-0.05</v>
      </c>
      <c r="AB513" s="1121"/>
      <c r="AC513" s="1121" t="s">
        <v>1710</v>
      </c>
      <c r="AD513" s="1121" t="s">
        <v>480</v>
      </c>
      <c r="AE513" s="1121"/>
      <c r="AF513" s="1121">
        <v>5900</v>
      </c>
      <c r="AG513" s="288">
        <v>23592.67</v>
      </c>
      <c r="AH513" s="1121">
        <v>2507</v>
      </c>
      <c r="AI513" s="289">
        <v>565</v>
      </c>
      <c r="AJ513" s="1121" t="s">
        <v>2524</v>
      </c>
      <c r="AK513" s="1121"/>
      <c r="AL513" s="1121"/>
      <c r="AM513" s="1121" t="s">
        <v>1228</v>
      </c>
      <c r="AN513" s="315">
        <v>5.5</v>
      </c>
      <c r="AO513" s="315"/>
      <c r="AP513" s="315"/>
      <c r="AQ513" s="315"/>
      <c r="AR513" s="315"/>
      <c r="AS513" s="315"/>
      <c r="AT513" s="315">
        <f>+ab($T$513,$T$511,$T$515,$G$512,$G$514,-1*$F$513,1200)</f>
        <v>18.951226537643695</v>
      </c>
      <c r="AU513" s="315"/>
      <c r="AV513" s="315"/>
      <c r="AW513" s="315" t="s">
        <v>2630</v>
      </c>
      <c r="AX513" s="315" t="s">
        <v>1639</v>
      </c>
      <c r="AY513" s="315">
        <v>3.4</v>
      </c>
      <c r="AZ513" s="315"/>
      <c r="BA513" s="315"/>
      <c r="BB513" s="306"/>
    </row>
    <row r="514" spans="1:57" ht="14.25">
      <c r="A514" s="340"/>
      <c r="B514" s="287"/>
      <c r="C514" s="288"/>
      <c r="D514" s="1121"/>
      <c r="E514" s="1121"/>
      <c r="F514" s="289"/>
      <c r="G514" s="292">
        <v>66.7</v>
      </c>
      <c r="H514" s="291"/>
      <c r="I514" s="294"/>
      <c r="J514" s="288">
        <f>C513+7.5</f>
        <v>23600.800000000003</v>
      </c>
      <c r="K514" s="1121" t="s">
        <v>653</v>
      </c>
      <c r="L514" s="1121"/>
      <c r="M514" s="1121"/>
      <c r="N514" s="291"/>
      <c r="O514" s="291"/>
      <c r="P514" s="291"/>
      <c r="Q514" s="1121"/>
      <c r="R514" s="292"/>
      <c r="S514" s="1017">
        <v>66.330000000001746</v>
      </c>
      <c r="T514" s="1121"/>
      <c r="U514" s="1121"/>
      <c r="V514" s="1121"/>
      <c r="W514" s="1121"/>
      <c r="X514" s="1121"/>
      <c r="Y514" s="1121"/>
      <c r="Z514" s="1121"/>
      <c r="AA514" s="1121"/>
      <c r="AB514" s="1121"/>
      <c r="AC514" s="1121"/>
      <c r="AD514" s="1121"/>
      <c r="AE514" s="1121"/>
      <c r="AF514" s="1121"/>
      <c r="AG514" s="288"/>
      <c r="AH514" s="1121" t="s">
        <v>695</v>
      </c>
      <c r="AI514" s="289" t="s">
        <v>695</v>
      </c>
      <c r="AJ514" s="1121"/>
      <c r="AK514" s="1121"/>
      <c r="AL514" s="1121"/>
      <c r="AM514" s="1121"/>
      <c r="AN514" s="315"/>
      <c r="AO514" s="315"/>
      <c r="AP514" s="315"/>
      <c r="AQ514" s="315">
        <f>+FL_1($T$515,$T$513,$S$514,1200,7.88,-1*$R$515)</f>
        <v>0.49911586691103038</v>
      </c>
      <c r="AR514" s="315"/>
      <c r="AS514" s="315"/>
      <c r="AT514" s="315"/>
      <c r="AU514" s="315"/>
      <c r="AV514" s="315"/>
      <c r="AW514" s="315" t="s">
        <v>2630</v>
      </c>
      <c r="AX514" s="315" t="s">
        <v>1639</v>
      </c>
      <c r="AY514" s="315"/>
      <c r="AZ514" s="315">
        <v>2.5</v>
      </c>
      <c r="BA514" s="315"/>
      <c r="BB514" s="306"/>
    </row>
    <row r="515" spans="1:57" ht="14.25">
      <c r="A515" s="340"/>
      <c r="B515" s="391" t="s">
        <v>3207</v>
      </c>
      <c r="C515" s="288">
        <f>C513+G514</f>
        <v>23660.000000000004</v>
      </c>
      <c r="D515" s="1121">
        <v>23660</v>
      </c>
      <c r="E515" s="1121"/>
      <c r="F515" s="289">
        <v>0</v>
      </c>
      <c r="G515" s="292"/>
      <c r="H515" s="291" t="s">
        <v>2523</v>
      </c>
      <c r="I515" s="294" t="s">
        <v>656</v>
      </c>
      <c r="J515" s="288">
        <f>C515-7.5</f>
        <v>23652.500000000004</v>
      </c>
      <c r="K515" s="1121" t="s">
        <v>653</v>
      </c>
      <c r="L515" s="1121" t="s">
        <v>1062</v>
      </c>
      <c r="M515" s="1121" t="s">
        <v>235</v>
      </c>
      <c r="N515" s="291" t="s">
        <v>145</v>
      </c>
      <c r="O515" s="291" t="s">
        <v>140</v>
      </c>
      <c r="P515" s="291"/>
      <c r="Q515" s="1121">
        <v>15</v>
      </c>
      <c r="R515" s="1017">
        <v>-13276.98</v>
      </c>
      <c r="S515" s="1017"/>
      <c r="T515" s="1121">
        <v>10</v>
      </c>
      <c r="U515" s="1121">
        <v>60</v>
      </c>
      <c r="V515" s="1121"/>
      <c r="W515" s="1121">
        <v>2.2999999999999998</v>
      </c>
      <c r="X515" s="1121">
        <v>1.4</v>
      </c>
      <c r="Y515" s="1121"/>
      <c r="Z515" s="1121"/>
      <c r="AA515" s="1121">
        <v>0.6</v>
      </c>
      <c r="AB515" s="1121"/>
      <c r="AC515" s="1121" t="s">
        <v>1704</v>
      </c>
      <c r="AD515" s="1121"/>
      <c r="AE515" s="1121"/>
      <c r="AF515" s="1121">
        <v>5900</v>
      </c>
      <c r="AG515" s="288">
        <v>23659</v>
      </c>
      <c r="AH515" s="1121">
        <v>2740</v>
      </c>
      <c r="AI515" s="289">
        <v>640</v>
      </c>
      <c r="AJ515" s="1121"/>
      <c r="AK515" s="1121"/>
      <c r="AL515" s="1121"/>
      <c r="AM515" s="1121" t="s">
        <v>1228</v>
      </c>
      <c r="AN515" s="315">
        <v>5.5</v>
      </c>
      <c r="AO515" s="315"/>
      <c r="AP515" s="315"/>
      <c r="AQ515" s="315"/>
      <c r="AR515" s="315"/>
      <c r="AS515" s="315"/>
      <c r="AT515" s="315">
        <f>+ab($T$515,$T$513,$U$517,$S$514,$S$516,-1*$R$515,1200)</f>
        <v>29.793803776358533</v>
      </c>
      <c r="AU515" s="315"/>
      <c r="AV515" s="315"/>
      <c r="AW515" s="315" t="s">
        <v>2630</v>
      </c>
      <c r="AX515" s="315" t="s">
        <v>1639</v>
      </c>
      <c r="AY515" s="315">
        <v>3.2</v>
      </c>
      <c r="AZ515" s="315">
        <v>2.1</v>
      </c>
      <c r="BA515" s="315"/>
      <c r="BB515" s="306"/>
    </row>
    <row r="516" spans="1:57" ht="14.25">
      <c r="A516" s="340"/>
      <c r="B516" s="287"/>
      <c r="C516" s="288"/>
      <c r="D516" s="1121"/>
      <c r="E516" s="1121"/>
      <c r="F516" s="289"/>
      <c r="G516" s="292">
        <v>59</v>
      </c>
      <c r="H516" s="291"/>
      <c r="I516" s="294"/>
      <c r="J516" s="288"/>
      <c r="K516" s="1121"/>
      <c r="L516" s="1121"/>
      <c r="M516" s="1121"/>
      <c r="N516" s="291"/>
      <c r="O516" s="291"/>
      <c r="P516" s="291"/>
      <c r="Q516" s="1121"/>
      <c r="R516" s="292"/>
      <c r="S516" s="1017">
        <v>58.93999999999869</v>
      </c>
      <c r="T516" s="1121"/>
      <c r="U516" s="1121"/>
      <c r="V516" s="1121"/>
      <c r="W516" s="1121"/>
      <c r="X516" s="1121"/>
      <c r="Y516" s="1121"/>
      <c r="Z516" s="1121"/>
      <c r="AA516" s="1121"/>
      <c r="AB516" s="1121"/>
      <c r="AC516" s="1121"/>
      <c r="AD516" s="1121"/>
      <c r="AE516" s="1121"/>
      <c r="AF516" s="1121"/>
      <c r="AG516" s="288"/>
      <c r="AH516" s="1121" t="s">
        <v>695</v>
      </c>
      <c r="AI516" s="289" t="s">
        <v>695</v>
      </c>
      <c r="AJ516" s="1121"/>
      <c r="AK516" s="1121"/>
      <c r="AL516" s="1121"/>
      <c r="AM516" s="1121"/>
      <c r="AN516" s="315"/>
      <c r="AO516" s="315"/>
      <c r="AP516" s="315"/>
      <c r="AQ516" s="315">
        <f>+FL_2($U$517,$T$515,$G$516,1200,9.28,-1*$F$517)</f>
        <v>-0.44298098605074843</v>
      </c>
      <c r="AR516" s="315"/>
      <c r="AS516" s="315"/>
      <c r="AT516" s="315"/>
      <c r="AU516" s="315"/>
      <c r="AV516" s="315"/>
      <c r="AW516" s="315"/>
      <c r="AX516" s="315"/>
      <c r="AY516" s="315"/>
      <c r="AZ516" s="315"/>
      <c r="BA516" s="315"/>
      <c r="BB516" s="306"/>
    </row>
    <row r="517" spans="1:57" ht="14.25">
      <c r="A517" s="340"/>
      <c r="B517" s="391" t="s">
        <v>1713</v>
      </c>
      <c r="C517" s="288">
        <f>+$C$515+$G$516</f>
        <v>23719.000000000004</v>
      </c>
      <c r="D517" s="1121">
        <v>23719</v>
      </c>
      <c r="E517" s="1121"/>
      <c r="F517" s="289">
        <f>-380000/(C517-23631)</f>
        <v>-4318.1818181816398</v>
      </c>
      <c r="G517" s="292"/>
      <c r="H517" s="291" t="s">
        <v>2249</v>
      </c>
      <c r="I517" s="294" t="s">
        <v>656</v>
      </c>
      <c r="J517" s="288"/>
      <c r="K517" s="1121"/>
      <c r="L517" s="1121" t="s">
        <v>1062</v>
      </c>
      <c r="M517" s="1121" t="s">
        <v>235</v>
      </c>
      <c r="N517" s="291" t="s">
        <v>140</v>
      </c>
      <c r="O517" s="291" t="s">
        <v>145</v>
      </c>
      <c r="P517" s="291"/>
      <c r="Q517" s="1121">
        <v>46</v>
      </c>
      <c r="R517" s="1017">
        <v>-4334.16</v>
      </c>
      <c r="S517" s="1017"/>
      <c r="T517" s="1121">
        <v>35</v>
      </c>
      <c r="U517" s="1121">
        <v>-10</v>
      </c>
      <c r="V517" s="1121"/>
      <c r="W517" s="1121">
        <v>1.4</v>
      </c>
      <c r="X517" s="1121">
        <v>2.2999999999999998</v>
      </c>
      <c r="Y517" s="1121"/>
      <c r="Z517" s="1121">
        <v>0.45</v>
      </c>
      <c r="AA517" s="1121"/>
      <c r="AB517" s="1121"/>
      <c r="AC517" s="1121"/>
      <c r="AD517" s="1121" t="s">
        <v>1704</v>
      </c>
      <c r="AE517" s="1121"/>
      <c r="AF517" s="1121">
        <v>5900</v>
      </c>
      <c r="AG517" s="288">
        <v>23717.94</v>
      </c>
      <c r="AH517" s="1121">
        <v>2728</v>
      </c>
      <c r="AI517" s="289">
        <v>674</v>
      </c>
      <c r="AJ517" s="1121"/>
      <c r="AK517" s="1121"/>
      <c r="AL517" s="1121"/>
      <c r="AM517" s="1121" t="s">
        <v>1228</v>
      </c>
      <c r="AN517" s="315">
        <v>5.5</v>
      </c>
      <c r="AO517" s="315"/>
      <c r="AP517" s="315"/>
      <c r="AQ517" s="315"/>
      <c r="AR517" s="315"/>
      <c r="AS517" s="315"/>
      <c r="AT517" s="315">
        <f>+ab($U$517,$T$515,$U$519,$G$516,$G$518,-1*$F$517,1200)</f>
        <v>15.104359301224262</v>
      </c>
      <c r="AU517" s="315"/>
      <c r="AV517" s="315"/>
      <c r="AW517" s="315" t="s">
        <v>2630</v>
      </c>
      <c r="AX517" s="315" t="s">
        <v>1639</v>
      </c>
      <c r="AY517" s="315">
        <v>3.2</v>
      </c>
      <c r="AZ517" s="315"/>
      <c r="BA517" s="315"/>
      <c r="BB517" s="306"/>
    </row>
    <row r="518" spans="1:57" ht="14.25">
      <c r="A518" s="340"/>
      <c r="B518" s="287"/>
      <c r="C518" s="288"/>
      <c r="D518" s="1121"/>
      <c r="E518" s="1121"/>
      <c r="F518" s="289"/>
      <c r="G518" s="292">
        <v>53</v>
      </c>
      <c r="H518" s="291"/>
      <c r="I518" s="291"/>
      <c r="J518" s="288">
        <f>C517+7.5</f>
        <v>23726.500000000004</v>
      </c>
      <c r="K518" s="1121" t="s">
        <v>653</v>
      </c>
      <c r="L518" s="1121"/>
      <c r="M518" s="1121"/>
      <c r="N518" s="291"/>
      <c r="O518" s="291"/>
      <c r="P518" s="291"/>
      <c r="Q518" s="1121"/>
      <c r="R518" s="292"/>
      <c r="S518" s="1017">
        <v>52.890000000003056</v>
      </c>
      <c r="T518" s="1121"/>
      <c r="U518" s="1121"/>
      <c r="V518" s="1121"/>
      <c r="W518" s="1121"/>
      <c r="X518" s="1121"/>
      <c r="Y518" s="1121"/>
      <c r="Z518" s="1121"/>
      <c r="AA518" s="1121"/>
      <c r="AB518" s="1121"/>
      <c r="AC518" s="1121"/>
      <c r="AD518" s="1121"/>
      <c r="AE518" s="1121"/>
      <c r="AF518" s="1121"/>
      <c r="AG518" s="288"/>
      <c r="AH518" s="1121" t="s">
        <v>695</v>
      </c>
      <c r="AI518" s="289" t="s">
        <v>695</v>
      </c>
      <c r="AJ518" s="1121"/>
      <c r="AK518" s="1121"/>
      <c r="AL518" s="1121"/>
      <c r="AM518" s="1121"/>
      <c r="AN518" s="315"/>
      <c r="AO518" s="315"/>
      <c r="AP518" s="315"/>
      <c r="AQ518" s="315">
        <f>+FL_2($T$519,$U$517,$G$518,1200,9.28,-1*$F$519)</f>
        <v>-0.36582416471113965</v>
      </c>
      <c r="AR518" s="315"/>
      <c r="AS518" s="315"/>
      <c r="AT518" s="315"/>
      <c r="AU518" s="315"/>
      <c r="AV518" s="315"/>
      <c r="AW518" s="315" t="s">
        <v>2630</v>
      </c>
      <c r="AX518" s="315" t="s">
        <v>1639</v>
      </c>
      <c r="AY518" s="315"/>
      <c r="AZ518" s="315">
        <v>2.1</v>
      </c>
      <c r="BA518" s="315"/>
      <c r="BB518" s="306"/>
    </row>
    <row r="519" spans="1:57" ht="14.25">
      <c r="A519" s="340" t="s">
        <v>3247</v>
      </c>
      <c r="B519" s="391" t="s">
        <v>1714</v>
      </c>
      <c r="C519" s="288">
        <f>+$C$517+$G$518</f>
        <v>23772.000000000004</v>
      </c>
      <c r="D519" s="1121"/>
      <c r="E519" s="1121"/>
      <c r="F519" s="289">
        <f>-380000/(C519-23631)</f>
        <v>-2695.0354609928381</v>
      </c>
      <c r="G519" s="292"/>
      <c r="H519" s="291" t="s">
        <v>651</v>
      </c>
      <c r="I519" s="291" t="s">
        <v>2016</v>
      </c>
      <c r="J519" s="288"/>
      <c r="K519" s="1121"/>
      <c r="L519" s="1121" t="s">
        <v>1056</v>
      </c>
      <c r="M519" s="1121" t="s">
        <v>2760</v>
      </c>
      <c r="N519" s="291" t="s">
        <v>145</v>
      </c>
      <c r="O519" s="291" t="s">
        <v>140</v>
      </c>
      <c r="P519" s="291"/>
      <c r="Q519" s="1121">
        <v>74</v>
      </c>
      <c r="R519" s="1017">
        <v>-2702.49</v>
      </c>
      <c r="S519" s="1017"/>
      <c r="T519" s="1121">
        <v>20</v>
      </c>
      <c r="U519" s="1121">
        <v>-25</v>
      </c>
      <c r="V519" s="1121"/>
      <c r="W519" s="1121">
        <v>1.4</v>
      </c>
      <c r="X519" s="1121">
        <v>2.2999999999999998</v>
      </c>
      <c r="Y519" s="1121"/>
      <c r="Z519" s="1121"/>
      <c r="AA519" s="1121">
        <v>0.45</v>
      </c>
      <c r="AB519" s="1121"/>
      <c r="AC519" s="1121" t="s">
        <v>1710</v>
      </c>
      <c r="AD519" s="1121"/>
      <c r="AE519" s="1121"/>
      <c r="AF519" s="1121">
        <v>6000</v>
      </c>
      <c r="AG519" s="288">
        <v>23770.83</v>
      </c>
      <c r="AH519" s="1121">
        <v>2711</v>
      </c>
      <c r="AI519" s="289">
        <v>636</v>
      </c>
      <c r="AJ519" s="1121" t="s">
        <v>2017</v>
      </c>
      <c r="AK519" s="1121"/>
      <c r="AL519" s="1121"/>
      <c r="AM519" s="1121" t="s">
        <v>1228</v>
      </c>
      <c r="AN519" s="315">
        <v>5.5</v>
      </c>
      <c r="AO519" s="315"/>
      <c r="AP519" s="315"/>
      <c r="AQ519" s="315"/>
      <c r="AR519" s="315"/>
      <c r="AS519" s="315"/>
      <c r="AT519" s="315">
        <f>+ab($T$519,$T$517,$T$521,$G$518,$G$520,-1*$F$519,1200)</f>
        <v>12.112011642250621</v>
      </c>
      <c r="AU519" s="315"/>
      <c r="AV519" s="315"/>
      <c r="AW519" s="315" t="s">
        <v>2630</v>
      </c>
      <c r="AX519" s="315" t="s">
        <v>1639</v>
      </c>
      <c r="AY519" s="315">
        <v>3.3</v>
      </c>
      <c r="AZ519" s="315"/>
      <c r="BA519" s="315"/>
      <c r="BB519" s="306"/>
    </row>
    <row r="520" spans="1:57" ht="14.25">
      <c r="A520" s="340"/>
      <c r="B520" s="287"/>
      <c r="C520" s="288"/>
      <c r="D520" s="1121"/>
      <c r="E520" s="1121"/>
      <c r="F520" s="289"/>
      <c r="G520" s="292">
        <v>56</v>
      </c>
      <c r="H520" s="291"/>
      <c r="I520" s="291"/>
      <c r="J520" s="288"/>
      <c r="K520" s="1121"/>
      <c r="L520" s="1121"/>
      <c r="M520" s="1121"/>
      <c r="N520" s="291"/>
      <c r="O520" s="291"/>
      <c r="P520" s="291"/>
      <c r="Q520" s="1121"/>
      <c r="R520" s="292"/>
      <c r="S520" s="1017">
        <v>56.159999999999854</v>
      </c>
      <c r="T520" s="1121"/>
      <c r="U520" s="1121"/>
      <c r="V520" s="1121"/>
      <c r="W520" s="1121"/>
      <c r="X520" s="1121"/>
      <c r="Y520" s="1121"/>
      <c r="Z520" s="1121"/>
      <c r="AA520" s="1121"/>
      <c r="AB520" s="1121"/>
      <c r="AC520" s="1121"/>
      <c r="AD520" s="1121"/>
      <c r="AE520" s="1121"/>
      <c r="AF520" s="1121"/>
      <c r="AG520" s="288"/>
      <c r="AH520" s="1121" t="s">
        <v>695</v>
      </c>
      <c r="AI520" s="289" t="s">
        <v>695</v>
      </c>
      <c r="AJ520" s="1121"/>
      <c r="AK520" s="1121"/>
      <c r="AL520" s="1121"/>
      <c r="AM520" s="1121"/>
      <c r="AN520" s="315"/>
      <c r="AO520" s="315"/>
      <c r="AP520" s="315"/>
      <c r="AQ520" s="315">
        <f>+FL_1($T$521,$T$519,$G$520,1200,9.28,-1*$F$521)</f>
        <v>0.36297120278185324</v>
      </c>
      <c r="AR520" s="315"/>
      <c r="AS520" s="315"/>
      <c r="AT520" s="315"/>
      <c r="AU520" s="315"/>
      <c r="AV520" s="315"/>
      <c r="AW520" s="315"/>
      <c r="AX520" s="315"/>
      <c r="AY520" s="315"/>
      <c r="AZ520" s="315"/>
      <c r="BA520" s="315"/>
      <c r="BB520" s="306"/>
      <c r="BE520" s="362"/>
    </row>
    <row r="521" spans="1:57" ht="14.25">
      <c r="A521" s="340" t="s">
        <v>1712</v>
      </c>
      <c r="B521" s="391" t="s">
        <v>1715</v>
      </c>
      <c r="C521" s="288">
        <f>+$C$519+$G$520</f>
        <v>23828.000000000004</v>
      </c>
      <c r="D521" s="1121"/>
      <c r="E521" s="1121">
        <v>-100</v>
      </c>
      <c r="F521" s="289">
        <v>-2000</v>
      </c>
      <c r="G521" s="292"/>
      <c r="H521" s="291" t="s">
        <v>138</v>
      </c>
      <c r="I521" s="291" t="s">
        <v>656</v>
      </c>
      <c r="J521" s="288"/>
      <c r="K521" s="1121"/>
      <c r="L521" s="1121" t="s">
        <v>1062</v>
      </c>
      <c r="M521" s="1121" t="s">
        <v>235</v>
      </c>
      <c r="N521" s="291" t="s">
        <v>145</v>
      </c>
      <c r="O521" s="291"/>
      <c r="P521" s="291"/>
      <c r="Q521" s="1121">
        <v>100</v>
      </c>
      <c r="R521" s="292">
        <v>-1997.65</v>
      </c>
      <c r="S521" s="292"/>
      <c r="T521" s="1121">
        <v>30</v>
      </c>
      <c r="U521" s="1121"/>
      <c r="V521" s="1121"/>
      <c r="W521" s="1121">
        <v>1.4</v>
      </c>
      <c r="X521" s="1121"/>
      <c r="Y521" s="1121"/>
      <c r="Z521" s="1121"/>
      <c r="AA521" s="1121"/>
      <c r="AB521" s="1121"/>
      <c r="AC521" s="1121" t="s">
        <v>2963</v>
      </c>
      <c r="AD521" s="1121"/>
      <c r="AE521" s="1121"/>
      <c r="AF521" s="1121">
        <v>6000</v>
      </c>
      <c r="AG521" s="288">
        <v>23826.99</v>
      </c>
      <c r="AH521" s="1121">
        <v>2689</v>
      </c>
      <c r="AI521" s="289">
        <v>649</v>
      </c>
      <c r="AJ521" s="1121"/>
      <c r="AK521" s="1121"/>
      <c r="AL521" s="1121"/>
      <c r="AM521" s="1121" t="s">
        <v>1228</v>
      </c>
      <c r="AN521" s="315">
        <v>5.5</v>
      </c>
      <c r="AO521" s="315"/>
      <c r="AP521" s="315"/>
      <c r="AQ521" s="315"/>
      <c r="AR521" s="315"/>
      <c r="AS521" s="315"/>
      <c r="AT521" s="315">
        <f>+ab($T$521,$T$519,$T$523,$G$520,$G$522,-1*$F$521,1200)</f>
        <v>6.4154927079365356</v>
      </c>
      <c r="AU521" s="315"/>
      <c r="AV521" s="315"/>
      <c r="AW521" s="315" t="s">
        <v>2630</v>
      </c>
      <c r="AX521" s="315" t="s">
        <v>1639</v>
      </c>
      <c r="AY521" s="315">
        <v>3.2</v>
      </c>
      <c r="AZ521" s="315"/>
      <c r="BA521" s="315"/>
      <c r="BB521" s="306"/>
    </row>
    <row r="522" spans="1:57" ht="14.25">
      <c r="A522" s="340"/>
      <c r="B522" s="287"/>
      <c r="C522" s="288"/>
      <c r="D522" s="1121"/>
      <c r="E522" s="1121"/>
      <c r="F522" s="289"/>
      <c r="G522" s="292">
        <v>56</v>
      </c>
      <c r="H522" s="291"/>
      <c r="I522" s="291"/>
      <c r="J522" s="288">
        <f>C521+7.5</f>
        <v>23835.500000000004</v>
      </c>
      <c r="K522" s="1121" t="s">
        <v>653</v>
      </c>
      <c r="L522" s="1121"/>
      <c r="M522" s="1121"/>
      <c r="N522" s="291"/>
      <c r="O522" s="291"/>
      <c r="P522" s="291"/>
      <c r="Q522" s="1121"/>
      <c r="R522" s="292"/>
      <c r="S522" s="292">
        <v>55.93999999999869</v>
      </c>
      <c r="T522" s="1121"/>
      <c r="U522" s="1121"/>
      <c r="V522" s="1121"/>
      <c r="W522" s="1121"/>
      <c r="X522" s="1121"/>
      <c r="Y522" s="1121"/>
      <c r="Z522" s="1121"/>
      <c r="AA522" s="1121"/>
      <c r="AB522" s="1121"/>
      <c r="AC522" s="1121"/>
      <c r="AD522" s="1121"/>
      <c r="AE522" s="1121"/>
      <c r="AF522" s="1121"/>
      <c r="AG522" s="288"/>
      <c r="AH522" s="1121" t="s">
        <v>695</v>
      </c>
      <c r="AI522" s="289" t="s">
        <v>695</v>
      </c>
      <c r="AJ522" s="1121"/>
      <c r="AK522" s="1121"/>
      <c r="AL522" s="1121"/>
      <c r="AM522" s="1121"/>
      <c r="AN522" s="315"/>
      <c r="AO522" s="315"/>
      <c r="AP522" s="315"/>
      <c r="AQ522" s="315">
        <f>+FL_1($T$523,$T$521,$G$522,1200,9.28,-1*$F$523)</f>
        <v>0.40713706172535702</v>
      </c>
      <c r="AR522" s="315"/>
      <c r="AS522" s="315"/>
      <c r="AT522" s="315"/>
      <c r="AU522" s="315"/>
      <c r="AV522" s="315"/>
      <c r="AW522" s="315" t="s">
        <v>2630</v>
      </c>
      <c r="AX522" s="315" t="s">
        <v>1639</v>
      </c>
      <c r="AY522" s="315"/>
      <c r="AZ522" s="315">
        <v>2.2999999999999998</v>
      </c>
      <c r="BA522" s="315"/>
      <c r="BB522" s="306"/>
    </row>
    <row r="523" spans="1:57" ht="14.25">
      <c r="A523" s="340"/>
      <c r="B523" s="391" t="s">
        <v>2594</v>
      </c>
      <c r="C523" s="288">
        <f>+$C$521+$G$522</f>
        <v>23884.000000000004</v>
      </c>
      <c r="D523" s="1121"/>
      <c r="E523" s="1121">
        <v>-100</v>
      </c>
      <c r="F523" s="289">
        <v>-2000</v>
      </c>
      <c r="G523" s="292"/>
      <c r="H523" s="291"/>
      <c r="I523" s="291"/>
      <c r="J523" s="288"/>
      <c r="K523" s="1121"/>
      <c r="L523" s="1121" t="s">
        <v>231</v>
      </c>
      <c r="M523" s="1121" t="s">
        <v>2672</v>
      </c>
      <c r="N523" s="291" t="s">
        <v>145</v>
      </c>
      <c r="O523" s="291"/>
      <c r="P523" s="291"/>
      <c r="Q523" s="1121">
        <v>100</v>
      </c>
      <c r="R523" s="292">
        <v>-1997.65</v>
      </c>
      <c r="S523" s="292"/>
      <c r="T523" s="1121">
        <v>30</v>
      </c>
      <c r="U523" s="1121"/>
      <c r="V523" s="1121"/>
      <c r="W523" s="1121">
        <v>1.4</v>
      </c>
      <c r="X523" s="1121"/>
      <c r="Y523" s="1121"/>
      <c r="Z523" s="1121"/>
      <c r="AA523" s="1121"/>
      <c r="AB523" s="1121"/>
      <c r="AC523" s="1121" t="s">
        <v>2963</v>
      </c>
      <c r="AD523" s="1121"/>
      <c r="AE523" s="1121"/>
      <c r="AF523" s="1121">
        <v>6000</v>
      </c>
      <c r="AG523" s="288">
        <v>23882.93</v>
      </c>
      <c r="AH523" s="1121">
        <v>2696</v>
      </c>
      <c r="AI523" s="289">
        <v>444</v>
      </c>
      <c r="AJ523" s="1121"/>
      <c r="AK523" s="1121"/>
      <c r="AL523" s="1121"/>
      <c r="AM523" s="1121" t="s">
        <v>1228</v>
      </c>
      <c r="AN523" s="315">
        <v>5.5</v>
      </c>
      <c r="AO523" s="315"/>
      <c r="AP523" s="315"/>
      <c r="AQ523" s="315"/>
      <c r="AR523" s="315"/>
      <c r="AS523" s="315"/>
      <c r="AT523" s="315">
        <f>+ab($T$523,$T$521,$T$525,$G$522,$G$524,-1*$F$523,1200)</f>
        <v>6.820903141098448</v>
      </c>
      <c r="AU523" s="315"/>
      <c r="AV523" s="315"/>
      <c r="AW523" s="315" t="s">
        <v>2630</v>
      </c>
      <c r="AX523" s="315" t="s">
        <v>1639</v>
      </c>
      <c r="AY523" s="315">
        <v>3.2</v>
      </c>
      <c r="AZ523" s="315"/>
      <c r="BA523" s="315"/>
      <c r="BB523" s="306"/>
      <c r="BC523" s="307"/>
    </row>
    <row r="524" spans="1:57" ht="14.25">
      <c r="A524" s="340"/>
      <c r="B524" s="287"/>
      <c r="C524" s="288"/>
      <c r="D524" s="1121"/>
      <c r="E524" s="1121"/>
      <c r="F524" s="289"/>
      <c r="G524" s="292">
        <v>56</v>
      </c>
      <c r="H524" s="291"/>
      <c r="I524" s="291"/>
      <c r="J524" s="288"/>
      <c r="K524" s="1121"/>
      <c r="L524" s="1121"/>
      <c r="M524" s="1121"/>
      <c r="N524" s="291"/>
      <c r="O524" s="291"/>
      <c r="P524" s="291"/>
      <c r="Q524" s="1121"/>
      <c r="R524" s="292"/>
      <c r="S524" s="292">
        <v>55.869999999998981</v>
      </c>
      <c r="T524" s="1121"/>
      <c r="U524" s="1121"/>
      <c r="V524" s="1121"/>
      <c r="W524" s="1121"/>
      <c r="X524" s="1121"/>
      <c r="Y524" s="1121"/>
      <c r="Z524" s="1121"/>
      <c r="AA524" s="1121"/>
      <c r="AB524" s="1121"/>
      <c r="AC524" s="1121"/>
      <c r="AD524" s="1121"/>
      <c r="AE524" s="1121"/>
      <c r="AF524" s="1121"/>
      <c r="AG524" s="288"/>
      <c r="AH524" s="1121" t="s">
        <v>695</v>
      </c>
      <c r="AI524" s="289" t="s">
        <v>695</v>
      </c>
      <c r="AJ524" s="1121"/>
      <c r="AK524" s="1121"/>
      <c r="AL524" s="1121"/>
      <c r="AM524" s="1121"/>
      <c r="AN524" s="315"/>
      <c r="AO524" s="315"/>
      <c r="AP524" s="315"/>
      <c r="AQ524" s="315">
        <f>+FL_1($T$525,$T$523,$G$524,1200,9.28,-1*$F$525)</f>
        <v>0.40713706172535702</v>
      </c>
      <c r="AR524" s="315"/>
      <c r="AS524" s="315"/>
      <c r="AT524" s="315"/>
      <c r="AU524" s="315"/>
      <c r="AV524" s="315"/>
      <c r="AW524" s="315"/>
      <c r="AX524" s="315"/>
      <c r="AY524" s="315"/>
      <c r="AZ524" s="315"/>
      <c r="BA524" s="315"/>
      <c r="BB524" s="306"/>
      <c r="BC524" s="307"/>
    </row>
    <row r="525" spans="1:57" ht="14.25">
      <c r="A525" s="340"/>
      <c r="B525" s="391" t="s">
        <v>2639</v>
      </c>
      <c r="C525" s="288">
        <f>+$C$523+$G$524</f>
        <v>23940.000000000004</v>
      </c>
      <c r="D525" s="1121"/>
      <c r="E525" s="1121">
        <v>-100</v>
      </c>
      <c r="F525" s="289">
        <v>-2000</v>
      </c>
      <c r="G525" s="292"/>
      <c r="H525" s="291"/>
      <c r="I525" s="291"/>
      <c r="J525" s="288"/>
      <c r="K525" s="1121"/>
      <c r="L525" s="1121" t="s">
        <v>231</v>
      </c>
      <c r="M525" s="1121" t="s">
        <v>2672</v>
      </c>
      <c r="N525" s="291" t="s">
        <v>145</v>
      </c>
      <c r="O525" s="291"/>
      <c r="P525" s="291"/>
      <c r="Q525" s="1121">
        <v>100</v>
      </c>
      <c r="R525" s="292">
        <v>-1997.65</v>
      </c>
      <c r="S525" s="292"/>
      <c r="T525" s="1121">
        <v>30</v>
      </c>
      <c r="U525" s="1121"/>
      <c r="V525" s="1121"/>
      <c r="W525" s="1121">
        <v>1.4</v>
      </c>
      <c r="X525" s="1121"/>
      <c r="Y525" s="1121"/>
      <c r="Z525" s="1121"/>
      <c r="AA525" s="1121"/>
      <c r="AB525" s="1121"/>
      <c r="AC525" s="1121" t="s">
        <v>2963</v>
      </c>
      <c r="AD525" s="1121"/>
      <c r="AE525" s="1121"/>
      <c r="AF525" s="1121">
        <v>6000</v>
      </c>
      <c r="AG525" s="288">
        <v>23938.799999999999</v>
      </c>
      <c r="AH525" s="1121">
        <v>2658</v>
      </c>
      <c r="AI525" s="289">
        <v>644</v>
      </c>
      <c r="AJ525" s="1121"/>
      <c r="AK525" s="1121"/>
      <c r="AL525" s="1121"/>
      <c r="AM525" s="1121" t="s">
        <v>1228</v>
      </c>
      <c r="AN525" s="315">
        <v>5.5</v>
      </c>
      <c r="AO525" s="315"/>
      <c r="AP525" s="315"/>
      <c r="AQ525" s="315"/>
      <c r="AR525" s="315"/>
      <c r="AS525" s="315"/>
      <c r="AT525" s="315">
        <f>+ab($T$525,$T$523,$T$527,$G$524,$G$526,-1*$F$525,1200)</f>
        <v>6.820903141098448</v>
      </c>
      <c r="AU525" s="315"/>
      <c r="AV525" s="315"/>
      <c r="AW525" s="315" t="s">
        <v>2630</v>
      </c>
      <c r="AX525" s="315" t="s">
        <v>1639</v>
      </c>
      <c r="AY525" s="315">
        <v>3.2</v>
      </c>
      <c r="AZ525" s="315"/>
      <c r="BA525" s="315"/>
      <c r="BB525" s="306"/>
      <c r="BC525" s="307"/>
    </row>
    <row r="526" spans="1:57" ht="14.25">
      <c r="A526" s="340"/>
      <c r="B526" s="287"/>
      <c r="C526" s="288"/>
      <c r="D526" s="1121"/>
      <c r="E526" s="1121"/>
      <c r="F526" s="289"/>
      <c r="G526" s="292">
        <v>56</v>
      </c>
      <c r="H526" s="291"/>
      <c r="I526" s="294"/>
      <c r="J526" s="288"/>
      <c r="K526" s="1121"/>
      <c r="L526" s="1121"/>
      <c r="M526" s="1121"/>
      <c r="N526" s="291"/>
      <c r="O526" s="291"/>
      <c r="P526" s="291"/>
      <c r="Q526" s="1121"/>
      <c r="R526" s="292"/>
      <c r="S526" s="292">
        <v>55.950000000000728</v>
      </c>
      <c r="T526" s="1121"/>
      <c r="U526" s="1121"/>
      <c r="V526" s="1121"/>
      <c r="W526" s="1121"/>
      <c r="X526" s="1121"/>
      <c r="Y526" s="1121"/>
      <c r="Z526" s="1121"/>
      <c r="AA526" s="1121"/>
      <c r="AB526" s="1121"/>
      <c r="AC526" s="1121"/>
      <c r="AD526" s="1121"/>
      <c r="AE526" s="1121"/>
      <c r="AF526" s="1121"/>
      <c r="AG526" s="288"/>
      <c r="AH526" s="1121" t="s">
        <v>695</v>
      </c>
      <c r="AI526" s="289" t="s">
        <v>695</v>
      </c>
      <c r="AJ526" s="1121"/>
      <c r="AK526" s="1121"/>
      <c r="AL526" s="1121"/>
      <c r="AM526" s="1121"/>
      <c r="AN526" s="315"/>
      <c r="AO526" s="315"/>
      <c r="AP526" s="315"/>
      <c r="AQ526" s="315">
        <f>+FL_1($T$527,$T$525,$G$526,1200,9.28,-1*$F$527)</f>
        <v>0.40713706172535702</v>
      </c>
      <c r="AR526" s="315"/>
      <c r="AS526" s="315"/>
      <c r="AT526" s="315"/>
      <c r="AU526" s="315"/>
      <c r="AV526" s="315"/>
      <c r="AW526" s="315"/>
      <c r="AX526" s="315"/>
      <c r="AY526" s="315"/>
      <c r="AZ526" s="315"/>
      <c r="BA526" s="315"/>
      <c r="BB526" s="306"/>
      <c r="BC526" s="307"/>
    </row>
    <row r="527" spans="1:57" ht="14.25">
      <c r="A527" s="340"/>
      <c r="B527" s="391" t="s">
        <v>2640</v>
      </c>
      <c r="C527" s="288">
        <f>+$C$525+$G$526</f>
        <v>23996.000000000004</v>
      </c>
      <c r="D527" s="1121"/>
      <c r="E527" s="1121">
        <v>-100</v>
      </c>
      <c r="F527" s="289">
        <v>-2000</v>
      </c>
      <c r="G527" s="292"/>
      <c r="H527" s="291"/>
      <c r="I527" s="291"/>
      <c r="J527" s="288"/>
      <c r="K527" s="1121"/>
      <c r="L527" s="1121" t="s">
        <v>231</v>
      </c>
      <c r="M527" s="1121" t="s">
        <v>2672</v>
      </c>
      <c r="N527" s="291" t="s">
        <v>145</v>
      </c>
      <c r="O527" s="291"/>
      <c r="P527" s="291"/>
      <c r="Q527" s="1121">
        <v>100</v>
      </c>
      <c r="R527" s="292">
        <v>-1997.65</v>
      </c>
      <c r="S527" s="292"/>
      <c r="T527" s="1121">
        <v>30</v>
      </c>
      <c r="U527" s="1121"/>
      <c r="V527" s="1121"/>
      <c r="W527" s="1121">
        <v>1.4</v>
      </c>
      <c r="X527" s="1121"/>
      <c r="Y527" s="1121"/>
      <c r="Z527" s="1121"/>
      <c r="AA527" s="1121"/>
      <c r="AB527" s="1121"/>
      <c r="AC527" s="1121" t="s">
        <v>2963</v>
      </c>
      <c r="AD527" s="1121"/>
      <c r="AE527" s="1121"/>
      <c r="AF527" s="1121">
        <v>6000</v>
      </c>
      <c r="AG527" s="288">
        <v>23994.75</v>
      </c>
      <c r="AH527" s="1121">
        <v>2631</v>
      </c>
      <c r="AI527" s="289">
        <v>661</v>
      </c>
      <c r="AJ527" s="1121"/>
      <c r="AK527" s="1121"/>
      <c r="AL527" s="1121"/>
      <c r="AM527" s="1121" t="s">
        <v>1228</v>
      </c>
      <c r="AN527" s="315">
        <v>5.5</v>
      </c>
      <c r="AO527" s="315"/>
      <c r="AP527" s="315"/>
      <c r="AQ527" s="315"/>
      <c r="AR527" s="315"/>
      <c r="AS527" s="315"/>
      <c r="AT527" s="315">
        <f>+ab($T$527,$T$525,$T$529,$G$526,$G$528,-1*$F$527,1200)</f>
        <v>6.820903141098448</v>
      </c>
      <c r="AU527" s="315"/>
      <c r="AV527" s="315"/>
      <c r="AW527" s="315" t="s">
        <v>2630</v>
      </c>
      <c r="AX527" s="315" t="s">
        <v>1639</v>
      </c>
      <c r="AY527" s="315">
        <v>2.6</v>
      </c>
      <c r="AZ527" s="315"/>
      <c r="BA527" s="315"/>
      <c r="BB527" s="306"/>
      <c r="BC527" s="290"/>
    </row>
    <row r="528" spans="1:57" ht="14.25">
      <c r="A528" s="340"/>
      <c r="B528" s="287"/>
      <c r="C528" s="288"/>
      <c r="D528" s="1121"/>
      <c r="E528" s="1121"/>
      <c r="F528" s="289"/>
      <c r="G528" s="292">
        <v>56</v>
      </c>
      <c r="H528" s="291"/>
      <c r="I528" s="294"/>
      <c r="J528" s="288">
        <f>C529-7.5</f>
        <v>24044.500000000004</v>
      </c>
      <c r="K528" s="1121" t="s">
        <v>658</v>
      </c>
      <c r="L528" s="1121"/>
      <c r="M528" s="1121"/>
      <c r="N528" s="291"/>
      <c r="O528" s="291"/>
      <c r="P528" s="291"/>
      <c r="Q528" s="1121"/>
      <c r="R528" s="292"/>
      <c r="S528" s="292">
        <v>55.930000000000291</v>
      </c>
      <c r="T528" s="1121"/>
      <c r="U528" s="1121"/>
      <c r="V528" s="1121"/>
      <c r="W528" s="1121"/>
      <c r="X528" s="1121"/>
      <c r="Y528" s="1121"/>
      <c r="Z528" s="1121"/>
      <c r="AA528" s="1121"/>
      <c r="AB528" s="1121"/>
      <c r="AC528" s="1121"/>
      <c r="AD528" s="1121"/>
      <c r="AE528" s="1121"/>
      <c r="AF528" s="1121"/>
      <c r="AG528" s="288"/>
      <c r="AH528" s="1121" t="s">
        <v>695</v>
      </c>
      <c r="AI528" s="289" t="s">
        <v>695</v>
      </c>
      <c r="AJ528" s="1121"/>
      <c r="AK528" s="1121"/>
      <c r="AL528" s="1121"/>
      <c r="AM528" s="1121"/>
      <c r="AN528" s="315"/>
      <c r="AO528" s="315"/>
      <c r="AP528" s="315"/>
      <c r="AQ528" s="315">
        <f>+FL_1($T$529,$T$527,$G$528,1200,9.28,-1*$F$529)</f>
        <v>0.40713706172535702</v>
      </c>
      <c r="AR528" s="315"/>
      <c r="AS528" s="315"/>
      <c r="AT528" s="315"/>
      <c r="AU528" s="315"/>
      <c r="AV528" s="315"/>
      <c r="AW528" s="315" t="s">
        <v>2630</v>
      </c>
      <c r="AX528" s="315" t="s">
        <v>1639</v>
      </c>
      <c r="AY528" s="315"/>
      <c r="AZ528" s="315">
        <v>2</v>
      </c>
      <c r="BA528" s="315"/>
      <c r="BB528" s="306"/>
      <c r="BC528" s="307"/>
    </row>
    <row r="529" spans="1:55" ht="14.25">
      <c r="A529" s="340"/>
      <c r="B529" s="287" t="s">
        <v>1716</v>
      </c>
      <c r="C529" s="288">
        <f>+$C$527+$G$528</f>
        <v>24052.000000000004</v>
      </c>
      <c r="D529" s="1121"/>
      <c r="E529" s="1121">
        <v>-100</v>
      </c>
      <c r="F529" s="289">
        <v>-2000</v>
      </c>
      <c r="G529" s="292"/>
      <c r="H529" s="1121" t="s">
        <v>954</v>
      </c>
      <c r="I529" s="291"/>
      <c r="J529" s="288"/>
      <c r="K529" s="1121"/>
      <c r="L529" s="1121" t="s">
        <v>231</v>
      </c>
      <c r="M529" s="1121" t="s">
        <v>2672</v>
      </c>
      <c r="N529" s="291" t="s">
        <v>145</v>
      </c>
      <c r="O529" s="291"/>
      <c r="P529" s="291"/>
      <c r="Q529" s="1121">
        <v>100</v>
      </c>
      <c r="R529" s="292">
        <v>-1997.65</v>
      </c>
      <c r="S529" s="292"/>
      <c r="T529" s="1121">
        <v>30</v>
      </c>
      <c r="U529" s="1121"/>
      <c r="V529" s="1121"/>
      <c r="W529" s="1121">
        <v>1.4</v>
      </c>
      <c r="X529" s="1121"/>
      <c r="Y529" s="1121"/>
      <c r="Z529" s="1121"/>
      <c r="AA529" s="1121"/>
      <c r="AB529" s="1121"/>
      <c r="AC529" s="1121" t="s">
        <v>2963</v>
      </c>
      <c r="AD529" s="1121"/>
      <c r="AE529" s="1121"/>
      <c r="AF529" s="1121">
        <v>6000</v>
      </c>
      <c r="AG529" s="288">
        <v>24050.68</v>
      </c>
      <c r="AH529" s="1121">
        <v>2666</v>
      </c>
      <c r="AI529" s="289">
        <v>634</v>
      </c>
      <c r="AJ529" s="1121"/>
      <c r="AK529" s="1121"/>
      <c r="AL529" s="1121"/>
      <c r="AM529" s="1121" t="s">
        <v>1228</v>
      </c>
      <c r="AN529" s="315">
        <v>5.5</v>
      </c>
      <c r="AO529" s="315"/>
      <c r="AP529" s="315"/>
      <c r="AQ529" s="315"/>
      <c r="AR529" s="315"/>
      <c r="AS529" s="315"/>
      <c r="AT529" s="315">
        <f>+ab($T$529,$T$527,T531,$G$528,$G$530,-1*$F$529,1200)</f>
        <v>6.820903141098448</v>
      </c>
      <c r="AU529" s="315"/>
      <c r="AV529" s="315"/>
      <c r="AW529" s="315" t="s">
        <v>2630</v>
      </c>
      <c r="AX529" s="315" t="s">
        <v>1639</v>
      </c>
      <c r="AY529" s="315">
        <v>2.6</v>
      </c>
      <c r="AZ529" s="315"/>
      <c r="BA529" s="315"/>
      <c r="BB529" s="306"/>
      <c r="BC529" s="307"/>
    </row>
    <row r="530" spans="1:55" ht="14.25">
      <c r="A530" s="340"/>
      <c r="B530" s="287"/>
      <c r="C530" s="288"/>
      <c r="D530" s="1121"/>
      <c r="E530" s="1121"/>
      <c r="F530" s="289"/>
      <c r="G530" s="292">
        <v>56</v>
      </c>
      <c r="H530" s="291"/>
      <c r="I530" s="294">
        <f>SUM(G516:G530)</f>
        <v>448</v>
      </c>
      <c r="J530" s="288"/>
      <c r="K530" s="1121"/>
      <c r="L530" s="1121"/>
      <c r="M530" s="1121"/>
      <c r="N530" s="291"/>
      <c r="O530" s="291"/>
      <c r="P530" s="291"/>
      <c r="Q530" s="1121"/>
      <c r="R530" s="292"/>
      <c r="S530" s="292">
        <v>55.919999999998254</v>
      </c>
      <c r="T530" s="1121"/>
      <c r="U530" s="1121"/>
      <c r="V530" s="1121"/>
      <c r="W530" s="1121"/>
      <c r="X530" s="1121"/>
      <c r="Y530" s="1121"/>
      <c r="Z530" s="1121"/>
      <c r="AA530" s="1121"/>
      <c r="AB530" s="1121"/>
      <c r="AC530" s="1121"/>
      <c r="AD530" s="1121"/>
      <c r="AE530" s="1121"/>
      <c r="AF530" s="1121"/>
      <c r="AG530" s="288"/>
      <c r="AH530" s="1121" t="s">
        <v>695</v>
      </c>
      <c r="AI530" s="289" t="s">
        <v>695</v>
      </c>
      <c r="AJ530" s="1121"/>
      <c r="AK530" s="1121"/>
      <c r="AL530" s="1121"/>
      <c r="AM530" s="1121"/>
      <c r="AN530" s="315"/>
      <c r="AO530" s="315"/>
      <c r="AP530" s="315"/>
      <c r="AQ530" s="315">
        <f>+FL_1($T$531,$T$529,$G$530,1200,9.28,-1*$F$531)</f>
        <v>0.40713706172535702</v>
      </c>
      <c r="AR530" s="315"/>
      <c r="AS530" s="315"/>
      <c r="AT530" s="315"/>
      <c r="AU530" s="315"/>
      <c r="AV530" s="315"/>
      <c r="AW530" s="315"/>
      <c r="AX530" s="315"/>
      <c r="AY530" s="315"/>
      <c r="AZ530" s="315"/>
      <c r="BA530" s="315"/>
      <c r="BB530" s="306"/>
      <c r="BC530" s="307"/>
    </row>
    <row r="531" spans="1:55" ht="14.25">
      <c r="A531" s="340"/>
      <c r="B531" s="287" t="s">
        <v>1717</v>
      </c>
      <c r="C531" s="288">
        <f>+$C$529+$G$530</f>
        <v>24108.000000000004</v>
      </c>
      <c r="D531" s="1121"/>
      <c r="E531" s="1121">
        <v>-100</v>
      </c>
      <c r="F531" s="289">
        <v>-2000</v>
      </c>
      <c r="G531" s="292"/>
      <c r="H531" s="291" t="s">
        <v>955</v>
      </c>
      <c r="I531" s="291"/>
      <c r="J531" s="383"/>
      <c r="K531" s="1121"/>
      <c r="L531" s="1121" t="s">
        <v>231</v>
      </c>
      <c r="M531" s="1121" t="s">
        <v>2672</v>
      </c>
      <c r="N531" s="291" t="s">
        <v>145</v>
      </c>
      <c r="O531" s="291"/>
      <c r="P531" s="291"/>
      <c r="Q531" s="1121">
        <v>100</v>
      </c>
      <c r="R531" s="292">
        <v>-1997.65</v>
      </c>
      <c r="S531" s="292"/>
      <c r="T531" s="1121">
        <v>30</v>
      </c>
      <c r="U531" s="1121"/>
      <c r="V531" s="1121"/>
      <c r="W531" s="1121">
        <v>1.4</v>
      </c>
      <c r="X531" s="1121"/>
      <c r="Y531" s="1121"/>
      <c r="Z531" s="1121"/>
      <c r="AA531" s="1121"/>
      <c r="AB531" s="1121"/>
      <c r="AC531" s="1121" t="s">
        <v>2963</v>
      </c>
      <c r="AD531" s="1121"/>
      <c r="AE531" s="1121"/>
      <c r="AF531" s="1121">
        <v>6000</v>
      </c>
      <c r="AG531" s="288">
        <v>24106.6</v>
      </c>
      <c r="AH531" s="1121">
        <v>2801</v>
      </c>
      <c r="AI531" s="289">
        <v>514</v>
      </c>
      <c r="AJ531" s="1121"/>
      <c r="AK531" s="1121"/>
      <c r="AL531" s="1121"/>
      <c r="AM531" s="1121" t="s">
        <v>1228</v>
      </c>
      <c r="AN531" s="315">
        <v>5.5</v>
      </c>
      <c r="AO531" s="315"/>
      <c r="AP531" s="315"/>
      <c r="AQ531" s="315"/>
      <c r="AR531" s="315"/>
      <c r="AS531" s="315"/>
      <c r="AT531" s="315">
        <f>+ab($T$531,$T$529,$T$533,$G$530,$G$532,-1*$F$531,1200)</f>
        <v>6.820903141098448</v>
      </c>
      <c r="AU531" s="315"/>
      <c r="AV531" s="315"/>
      <c r="AW531" s="315" t="s">
        <v>2630</v>
      </c>
      <c r="AX531" s="315" t="s">
        <v>1639</v>
      </c>
      <c r="AY531" s="315">
        <v>4</v>
      </c>
      <c r="AZ531" s="315"/>
      <c r="BA531" s="315"/>
      <c r="BB531" s="306"/>
      <c r="BC531" s="290"/>
    </row>
    <row r="532" spans="1:55" ht="14.25">
      <c r="A532" s="340"/>
      <c r="B532" s="287"/>
      <c r="C532" s="288"/>
      <c r="D532" s="1121"/>
      <c r="E532" s="1121"/>
      <c r="F532" s="289"/>
      <c r="G532" s="292">
        <v>56</v>
      </c>
      <c r="H532" s="291"/>
      <c r="I532" s="385">
        <f>SUM(G532:G544)</f>
        <v>400</v>
      </c>
      <c r="J532" s="383"/>
      <c r="K532" s="1121"/>
      <c r="L532" s="1121"/>
      <c r="M532" s="1121"/>
      <c r="N532" s="291"/>
      <c r="O532" s="291"/>
      <c r="P532" s="291"/>
      <c r="Q532" s="1121"/>
      <c r="R532" s="292"/>
      <c r="S532" s="292">
        <v>55.950000000000728</v>
      </c>
      <c r="T532" s="1121"/>
      <c r="U532" s="1121"/>
      <c r="V532" s="1121"/>
      <c r="W532" s="1121"/>
      <c r="X532" s="1121"/>
      <c r="Y532" s="1121"/>
      <c r="Z532" s="1121"/>
      <c r="AA532" s="1121"/>
      <c r="AB532" s="1121"/>
      <c r="AC532" s="1121"/>
      <c r="AD532" s="1121"/>
      <c r="AE532" s="1121"/>
      <c r="AF532" s="1121"/>
      <c r="AG532" s="288"/>
      <c r="AH532" s="1121" t="s">
        <v>695</v>
      </c>
      <c r="AI532" s="289" t="s">
        <v>695</v>
      </c>
      <c r="AJ532" s="1121"/>
      <c r="AK532" s="1121"/>
      <c r="AL532" s="1121"/>
      <c r="AM532" s="1121"/>
      <c r="AN532" s="315"/>
      <c r="AO532" s="315"/>
      <c r="AP532" s="315"/>
      <c r="AQ532" s="315">
        <f>+FL_1($T$533,$T$531,$G$532,1200,9.28,-1*$F$533)</f>
        <v>0.40713706172535702</v>
      </c>
      <c r="AR532" s="315"/>
      <c r="AS532" s="315"/>
      <c r="AT532" s="315"/>
      <c r="AU532" s="315"/>
      <c r="AV532" s="315"/>
      <c r="AW532" s="315"/>
      <c r="AX532" s="315"/>
      <c r="AY532" s="315"/>
      <c r="AZ532" s="315"/>
      <c r="BA532" s="315"/>
      <c r="BB532" s="306"/>
      <c r="BC532" s="307"/>
    </row>
    <row r="533" spans="1:55" ht="14.25">
      <c r="A533" s="340"/>
      <c r="B533" s="287" t="s">
        <v>1718</v>
      </c>
      <c r="C533" s="288">
        <f>+$C$531+$G$532</f>
        <v>24164.000000000004</v>
      </c>
      <c r="D533" s="1121"/>
      <c r="E533" s="1121">
        <v>-100</v>
      </c>
      <c r="F533" s="289">
        <v>-2000</v>
      </c>
      <c r="G533" s="292"/>
      <c r="H533" s="291" t="s">
        <v>954</v>
      </c>
      <c r="I533" s="291"/>
      <c r="J533" s="383"/>
      <c r="K533" s="1121"/>
      <c r="L533" s="1121" t="s">
        <v>231</v>
      </c>
      <c r="M533" s="1121" t="s">
        <v>2672</v>
      </c>
      <c r="N533" s="291" t="s">
        <v>145</v>
      </c>
      <c r="O533" s="291"/>
      <c r="P533" s="291"/>
      <c r="Q533" s="1121">
        <v>100</v>
      </c>
      <c r="R533" s="292">
        <v>-1997.65</v>
      </c>
      <c r="S533" s="292"/>
      <c r="T533" s="1121">
        <v>30</v>
      </c>
      <c r="U533" s="1121"/>
      <c r="V533" s="1121"/>
      <c r="W533" s="1121">
        <v>1.4</v>
      </c>
      <c r="X533" s="1121"/>
      <c r="Y533" s="1121"/>
      <c r="Z533" s="1121"/>
      <c r="AA533" s="1121"/>
      <c r="AB533" s="1121"/>
      <c r="AC533" s="1121" t="s">
        <v>2963</v>
      </c>
      <c r="AD533" s="1121"/>
      <c r="AE533" s="1121"/>
      <c r="AF533" s="1121">
        <v>6000</v>
      </c>
      <c r="AG533" s="288">
        <v>24162.55</v>
      </c>
      <c r="AH533" s="1121">
        <v>2660</v>
      </c>
      <c r="AI533" s="289">
        <v>682</v>
      </c>
      <c r="AJ533" s="1121"/>
      <c r="AK533" s="1121"/>
      <c r="AL533" s="1121"/>
      <c r="AM533" s="1121" t="s">
        <v>1228</v>
      </c>
      <c r="AN533" s="315">
        <v>5.5</v>
      </c>
      <c r="AO533" s="315"/>
      <c r="AP533" s="315"/>
      <c r="AQ533" s="315"/>
      <c r="AR533" s="315"/>
      <c r="AS533" s="315"/>
      <c r="AT533" s="315">
        <f>+ab($T$533,$T$531,$T$535,$G$532,$G$534,-1*$F$533,1200)</f>
        <v>6.820903141098448</v>
      </c>
      <c r="AU533" s="315"/>
      <c r="AV533" s="315"/>
      <c r="AW533" s="315" t="s">
        <v>2630</v>
      </c>
      <c r="AX533" s="315" t="s">
        <v>1641</v>
      </c>
      <c r="AY533" s="315">
        <v>4</v>
      </c>
      <c r="AZ533" s="315"/>
      <c r="BA533" s="315"/>
      <c r="BB533" s="306"/>
      <c r="BC533" s="307"/>
    </row>
    <row r="534" spans="1:55" ht="14.25">
      <c r="A534" s="340"/>
      <c r="B534" s="287"/>
      <c r="C534" s="288"/>
      <c r="D534" s="1121"/>
      <c r="E534" s="1121"/>
      <c r="F534" s="289"/>
      <c r="G534" s="292">
        <v>56</v>
      </c>
      <c r="H534" s="291"/>
      <c r="I534" s="294"/>
      <c r="J534" s="288">
        <f>C533+7.5</f>
        <v>24171.500000000004</v>
      </c>
      <c r="K534" s="1121" t="s">
        <v>658</v>
      </c>
      <c r="L534" s="1121"/>
      <c r="M534" s="1121"/>
      <c r="N534" s="291"/>
      <c r="O534" s="291"/>
      <c r="P534" s="291"/>
      <c r="Q534" s="1121"/>
      <c r="R534" s="292"/>
      <c r="S534" s="292">
        <v>55.920000000001892</v>
      </c>
      <c r="T534" s="1121"/>
      <c r="U534" s="1121"/>
      <c r="V534" s="1121"/>
      <c r="W534" s="1121"/>
      <c r="X534" s="1121"/>
      <c r="Y534" s="1121"/>
      <c r="Z534" s="1121"/>
      <c r="AA534" s="1121"/>
      <c r="AB534" s="1121"/>
      <c r="AC534" s="1121"/>
      <c r="AD534" s="1121"/>
      <c r="AE534" s="1121"/>
      <c r="AF534" s="1121"/>
      <c r="AG534" s="288"/>
      <c r="AH534" s="1121" t="s">
        <v>695</v>
      </c>
      <c r="AI534" s="289" t="s">
        <v>695</v>
      </c>
      <c r="AJ534" s="1121"/>
      <c r="AK534" s="1121"/>
      <c r="AL534" s="1121"/>
      <c r="AM534" s="1121"/>
      <c r="AN534" s="315"/>
      <c r="AO534" s="315"/>
      <c r="AP534" s="315"/>
      <c r="AQ534" s="315">
        <f>+FL_1($T$535,$T$533,$G$534,1200,9.28,-1*$F$535)</f>
        <v>0.40713706172535702</v>
      </c>
      <c r="AR534" s="315"/>
      <c r="AS534" s="315"/>
      <c r="AT534" s="315"/>
      <c r="AU534" s="315"/>
      <c r="AV534" s="315"/>
      <c r="AW534" s="315" t="s">
        <v>2630</v>
      </c>
      <c r="AX534" s="315" t="s">
        <v>1641</v>
      </c>
      <c r="AY534" s="315"/>
      <c r="AZ534" s="315">
        <v>2</v>
      </c>
      <c r="BA534" s="315"/>
      <c r="BB534" s="306"/>
      <c r="BC534" s="307"/>
    </row>
    <row r="535" spans="1:55" ht="14.25">
      <c r="A535" s="340"/>
      <c r="B535" s="287" t="s">
        <v>1719</v>
      </c>
      <c r="C535" s="288">
        <f>+$C$533+$G$534</f>
        <v>24220.000000000004</v>
      </c>
      <c r="D535" s="1121"/>
      <c r="E535" s="1121">
        <v>-100</v>
      </c>
      <c r="F535" s="289">
        <v>-2000</v>
      </c>
      <c r="G535" s="292"/>
      <c r="H535" s="1121"/>
      <c r="I535" s="294"/>
      <c r="J535" s="288"/>
      <c r="K535" s="1121"/>
      <c r="L535" s="1121" t="s">
        <v>231</v>
      </c>
      <c r="M535" s="1121" t="s">
        <v>2672</v>
      </c>
      <c r="N535" s="291" t="s">
        <v>145</v>
      </c>
      <c r="O535" s="291"/>
      <c r="P535" s="291"/>
      <c r="Q535" s="1121">
        <v>100</v>
      </c>
      <c r="R535" s="292">
        <v>-1997.65</v>
      </c>
      <c r="S535" s="292"/>
      <c r="T535" s="1121">
        <v>30</v>
      </c>
      <c r="U535" s="1121"/>
      <c r="V535" s="1121"/>
      <c r="W535" s="1121">
        <v>1.4</v>
      </c>
      <c r="X535" s="1121"/>
      <c r="Y535" s="1121"/>
      <c r="Z535" s="1121"/>
      <c r="AA535" s="1121"/>
      <c r="AB535" s="1121"/>
      <c r="AC535" s="1121" t="s">
        <v>2963</v>
      </c>
      <c r="AD535" s="1121"/>
      <c r="AE535" s="1121"/>
      <c r="AF535" s="1121">
        <v>6000</v>
      </c>
      <c r="AG535" s="288">
        <v>24218.47</v>
      </c>
      <c r="AH535" s="1121">
        <v>2708</v>
      </c>
      <c r="AI535" s="289">
        <v>653</v>
      </c>
      <c r="AJ535" s="1121"/>
      <c r="AK535" s="1121"/>
      <c r="AL535" s="1121"/>
      <c r="AM535" s="1121" t="s">
        <v>1228</v>
      </c>
      <c r="AN535" s="315">
        <v>5.5</v>
      </c>
      <c r="AO535" s="315"/>
      <c r="AP535" s="315"/>
      <c r="AQ535" s="315"/>
      <c r="AR535" s="315"/>
      <c r="AS535" s="315"/>
      <c r="AT535" s="315">
        <f>+ab($T$535,$T$533,$T$537,$G$534,$G$536,-1*$F$535,1200)</f>
        <v>6.820903141098448</v>
      </c>
      <c r="AU535" s="315"/>
      <c r="AV535" s="315"/>
      <c r="AW535" s="315" t="s">
        <v>2630</v>
      </c>
      <c r="AX535" s="315" t="s">
        <v>1641</v>
      </c>
      <c r="AY535" s="315">
        <v>4</v>
      </c>
      <c r="AZ535" s="315"/>
      <c r="BA535" s="315"/>
      <c r="BB535" s="306"/>
      <c r="BC535" s="307"/>
    </row>
    <row r="536" spans="1:55" ht="14.25">
      <c r="A536" s="340"/>
      <c r="B536" s="287"/>
      <c r="C536" s="288"/>
      <c r="D536" s="1121"/>
      <c r="E536" s="1121"/>
      <c r="F536" s="289"/>
      <c r="G536" s="292">
        <v>56</v>
      </c>
      <c r="H536" s="291"/>
      <c r="I536" s="294"/>
      <c r="J536" s="288"/>
      <c r="K536" s="1121"/>
      <c r="L536" s="1121"/>
      <c r="M536" s="1121"/>
      <c r="N536" s="291"/>
      <c r="O536" s="291"/>
      <c r="P536" s="291"/>
      <c r="Q536" s="1121"/>
      <c r="R536" s="292"/>
      <c r="S536" s="292">
        <v>55.919999999998254</v>
      </c>
      <c r="T536" s="1121"/>
      <c r="U536" s="1121"/>
      <c r="V536" s="1121"/>
      <c r="W536" s="1121"/>
      <c r="X536" s="1121"/>
      <c r="Y536" s="1121"/>
      <c r="Z536" s="1121"/>
      <c r="AA536" s="1121"/>
      <c r="AB536" s="1121"/>
      <c r="AC536" s="1121"/>
      <c r="AD536" s="1121"/>
      <c r="AE536" s="1121"/>
      <c r="AF536" s="1121"/>
      <c r="AG536" s="288"/>
      <c r="AH536" s="1121" t="s">
        <v>695</v>
      </c>
      <c r="AI536" s="289" t="s">
        <v>695</v>
      </c>
      <c r="AJ536" s="1121"/>
      <c r="AK536" s="1121"/>
      <c r="AL536" s="1121"/>
      <c r="AM536" s="1121"/>
      <c r="AN536" s="315"/>
      <c r="AO536" s="315"/>
      <c r="AP536" s="315"/>
      <c r="AQ536" s="315">
        <f>+FL_1($T$537,$T$535,$G$536,1200,9.28,-1*$F$537)</f>
        <v>0.41745428943189389</v>
      </c>
      <c r="AR536" s="315"/>
      <c r="AS536" s="315"/>
      <c r="AT536" s="315"/>
      <c r="AU536" s="315"/>
      <c r="AV536" s="315"/>
      <c r="AW536" s="315"/>
      <c r="AX536" s="315"/>
      <c r="AY536" s="315"/>
      <c r="AZ536" s="315"/>
      <c r="BA536" s="315"/>
      <c r="BB536" s="306"/>
      <c r="BC536" s="307"/>
    </row>
    <row r="537" spans="1:55" ht="14.25">
      <c r="A537" s="340"/>
      <c r="B537" s="287" t="s">
        <v>1720</v>
      </c>
      <c r="C537" s="288">
        <f>+$C$535+$G$536</f>
        <v>24276.000000000004</v>
      </c>
      <c r="D537" s="1121"/>
      <c r="E537" s="1121"/>
      <c r="F537" s="289">
        <f>-380000/(24456-C537)</f>
        <v>-2111.1111111111536</v>
      </c>
      <c r="G537" s="292"/>
      <c r="H537" s="291"/>
      <c r="I537" s="294"/>
      <c r="J537" s="288"/>
      <c r="K537" s="1121"/>
      <c r="L537" s="1121" t="s">
        <v>231</v>
      </c>
      <c r="M537" s="1121" t="s">
        <v>2672</v>
      </c>
      <c r="N537" s="291" t="s">
        <v>145</v>
      </c>
      <c r="O537" s="291"/>
      <c r="P537" s="1121"/>
      <c r="Q537" s="1121">
        <v>100</v>
      </c>
      <c r="R537" s="292">
        <v>-2107.7399999999998</v>
      </c>
      <c r="S537" s="292"/>
      <c r="T537" s="1121">
        <v>30</v>
      </c>
      <c r="U537" s="1121"/>
      <c r="V537" s="1121"/>
      <c r="W537" s="1121">
        <v>1.4</v>
      </c>
      <c r="X537" s="1121"/>
      <c r="Y537" s="1121"/>
      <c r="Z537" s="1121"/>
      <c r="AA537" s="1121"/>
      <c r="AB537" s="1121"/>
      <c r="AC537" s="1121" t="s">
        <v>2963</v>
      </c>
      <c r="AD537" s="1121"/>
      <c r="AE537" s="1121"/>
      <c r="AF537" s="1121">
        <v>6000</v>
      </c>
      <c r="AG537" s="288">
        <v>24274.39</v>
      </c>
      <c r="AH537" s="1121">
        <v>2744</v>
      </c>
      <c r="AI537" s="289">
        <v>634</v>
      </c>
      <c r="AJ537" s="1121"/>
      <c r="AK537" s="1121"/>
      <c r="AL537" s="1121"/>
      <c r="AM537" s="1121" t="s">
        <v>1228</v>
      </c>
      <c r="AN537" s="315">
        <v>5.5</v>
      </c>
      <c r="AO537" s="315"/>
      <c r="AP537" s="315"/>
      <c r="AQ537" s="315"/>
      <c r="AR537" s="315"/>
      <c r="AS537" s="315"/>
      <c r="AT537" s="315">
        <f>+ab($T$537,$T$535,$T$539,$G$536,$G$538,-1*$F$537,1200)</f>
        <v>7.2601126740802453</v>
      </c>
      <c r="AU537" s="315"/>
      <c r="AV537" s="315"/>
      <c r="AW537" s="315" t="s">
        <v>2630</v>
      </c>
      <c r="AX537" s="315" t="s">
        <v>1641</v>
      </c>
      <c r="AY537" s="315">
        <v>4</v>
      </c>
      <c r="AZ537" s="315"/>
      <c r="BA537" s="315"/>
      <c r="BB537" s="306"/>
      <c r="BC537" s="307"/>
    </row>
    <row r="538" spans="1:55" ht="14.25">
      <c r="A538" s="340"/>
      <c r="B538" s="287"/>
      <c r="C538" s="288"/>
      <c r="D538" s="1121"/>
      <c r="E538" s="1121"/>
      <c r="F538" s="289"/>
      <c r="G538" s="292">
        <v>55</v>
      </c>
      <c r="H538" s="291"/>
      <c r="I538" s="294"/>
      <c r="J538" s="288">
        <f>C539-7.5</f>
        <v>24323.500000000004</v>
      </c>
      <c r="K538" s="1121" t="s">
        <v>653</v>
      </c>
      <c r="L538" s="1121"/>
      <c r="M538" s="1121"/>
      <c r="N538" s="291"/>
      <c r="O538" s="291"/>
      <c r="P538" s="1121"/>
      <c r="Q538" s="1121"/>
      <c r="R538" s="292"/>
      <c r="S538" s="292">
        <v>54.990000000001601</v>
      </c>
      <c r="T538" s="1121"/>
      <c r="U538" s="1121"/>
      <c r="V538" s="1121"/>
      <c r="W538" s="1121"/>
      <c r="X538" s="1121"/>
      <c r="Y538" s="1121"/>
      <c r="Z538" s="1121"/>
      <c r="AA538" s="1121"/>
      <c r="AB538" s="1121"/>
      <c r="AC538" s="1121"/>
      <c r="AD538" s="1121"/>
      <c r="AE538" s="1121"/>
      <c r="AF538" s="1121"/>
      <c r="AG538" s="288"/>
      <c r="AH538" s="1121" t="s">
        <v>695</v>
      </c>
      <c r="AI538" s="289" t="s">
        <v>695</v>
      </c>
      <c r="AJ538" s="1121"/>
      <c r="AK538" s="1121"/>
      <c r="AL538" s="1121"/>
      <c r="AM538" s="1121"/>
      <c r="AN538" s="315"/>
      <c r="AO538" s="315"/>
      <c r="AP538" s="315"/>
      <c r="AQ538" s="315">
        <f>+FL_1($T$539,$T$537,$G$538,1200,9.28,-1*$F$539)</f>
        <v>0.46803089827499078</v>
      </c>
      <c r="AR538" s="315"/>
      <c r="AS538" s="315"/>
      <c r="AT538" s="315"/>
      <c r="AU538" s="315"/>
      <c r="AV538" s="315"/>
      <c r="AW538" s="315" t="s">
        <v>2630</v>
      </c>
      <c r="AX538" s="315" t="s">
        <v>1641</v>
      </c>
      <c r="AY538" s="315"/>
      <c r="AZ538" s="315">
        <v>2</v>
      </c>
      <c r="BA538" s="315"/>
      <c r="BB538" s="306"/>
    </row>
    <row r="539" spans="1:55" ht="14.25">
      <c r="A539" s="340"/>
      <c r="B539" s="287" t="s">
        <v>1721</v>
      </c>
      <c r="C539" s="288">
        <f>+$C$537+$G$538</f>
        <v>24331.000000000004</v>
      </c>
      <c r="D539" s="1121"/>
      <c r="E539" s="1121"/>
      <c r="F539" s="289">
        <f>-380000/(24456-C539)</f>
        <v>-3040.0000000000887</v>
      </c>
      <c r="G539" s="292"/>
      <c r="H539" s="291" t="s">
        <v>138</v>
      </c>
      <c r="I539" s="294" t="s">
        <v>656</v>
      </c>
      <c r="J539" s="288"/>
      <c r="K539" s="1121"/>
      <c r="L539" s="1121" t="s">
        <v>1061</v>
      </c>
      <c r="M539" s="1121" t="s">
        <v>2672</v>
      </c>
      <c r="N539" s="291" t="s">
        <v>145</v>
      </c>
      <c r="O539" s="291"/>
      <c r="P539" s="1121"/>
      <c r="Q539" s="1121">
        <v>100</v>
      </c>
      <c r="R539" s="292">
        <v>-3034.68</v>
      </c>
      <c r="S539" s="292"/>
      <c r="T539" s="1121">
        <v>30</v>
      </c>
      <c r="U539" s="1121"/>
      <c r="V539" s="1121"/>
      <c r="W539" s="1121">
        <v>1.4</v>
      </c>
      <c r="X539" s="1121"/>
      <c r="Y539" s="1121"/>
      <c r="Z539" s="1121"/>
      <c r="AA539" s="1121"/>
      <c r="AB539" s="1121"/>
      <c r="AC539" s="1121" t="s">
        <v>2963</v>
      </c>
      <c r="AD539" s="1121"/>
      <c r="AE539" s="1121"/>
      <c r="AF539" s="1121">
        <v>6000</v>
      </c>
      <c r="AG539" s="288">
        <v>24329.38</v>
      </c>
      <c r="AH539" s="1121">
        <v>2904</v>
      </c>
      <c r="AI539" s="289">
        <v>665</v>
      </c>
      <c r="AJ539" s="1121"/>
      <c r="AK539" s="1121"/>
      <c r="AL539" s="1121"/>
      <c r="AM539" s="1121" t="s">
        <v>1228</v>
      </c>
      <c r="AN539" s="315">
        <v>5.5</v>
      </c>
      <c r="AO539" s="315"/>
      <c r="AP539" s="315"/>
      <c r="AQ539" s="315"/>
      <c r="AR539" s="315"/>
      <c r="AS539" s="315"/>
      <c r="AT539" s="315">
        <f>+ab($T$539,$T$537,$T$541,$G$538,$G$540,-1*$F$539,1200)</f>
        <v>7.2261199915589929</v>
      </c>
      <c r="AU539" s="315"/>
      <c r="AV539" s="315"/>
      <c r="AW539" s="315" t="s">
        <v>2630</v>
      </c>
      <c r="AX539" s="315" t="s">
        <v>1639</v>
      </c>
      <c r="AY539" s="315">
        <v>2.6</v>
      </c>
      <c r="AZ539" s="315"/>
      <c r="BA539" s="315"/>
      <c r="BB539" s="306"/>
    </row>
    <row r="540" spans="1:55" ht="14.25">
      <c r="A540" s="340"/>
      <c r="B540" s="287"/>
      <c r="C540" s="288"/>
      <c r="D540" s="1121"/>
      <c r="E540" s="1121"/>
      <c r="F540" s="289"/>
      <c r="G540" s="292">
        <v>60</v>
      </c>
      <c r="H540" s="291"/>
      <c r="I540" s="294"/>
      <c r="J540" s="288"/>
      <c r="K540" s="1121"/>
      <c r="L540" s="1121"/>
      <c r="M540" s="1121"/>
      <c r="N540" s="291"/>
      <c r="O540" s="291"/>
      <c r="P540" s="1121"/>
      <c r="Q540" s="1121"/>
      <c r="R540" s="292"/>
      <c r="S540" s="292">
        <v>60.549999999999272</v>
      </c>
      <c r="T540" s="1121"/>
      <c r="U540" s="1121"/>
      <c r="V540" s="1121"/>
      <c r="W540" s="1121"/>
      <c r="X540" s="1121"/>
      <c r="Y540" s="1121"/>
      <c r="Z540" s="1121"/>
      <c r="AA540" s="1121"/>
      <c r="AB540" s="1121"/>
      <c r="AC540" s="1121"/>
      <c r="AD540" s="1121"/>
      <c r="AE540" s="1121"/>
      <c r="AF540" s="1121"/>
      <c r="AG540" s="288"/>
      <c r="AH540" s="1121" t="s">
        <v>695</v>
      </c>
      <c r="AI540" s="289" t="s">
        <v>695</v>
      </c>
      <c r="AJ540" s="1121"/>
      <c r="AK540" s="1121"/>
      <c r="AL540" s="1121"/>
      <c r="AM540" s="1121"/>
      <c r="AN540" s="315"/>
      <c r="AO540" s="315"/>
      <c r="AP540" s="315"/>
      <c r="AQ540" s="315">
        <f>+FL_2($U$541,$T$539,$G$540,1200,8.28,-1*$F$541)</f>
        <v>-0.48062381690240824</v>
      </c>
      <c r="AR540" s="315"/>
      <c r="AS540" s="315"/>
      <c r="AT540" s="315"/>
      <c r="AU540" s="315"/>
      <c r="AV540" s="315"/>
      <c r="AW540" s="315"/>
      <c r="AX540" s="315"/>
      <c r="AY540" s="315"/>
      <c r="AZ540" s="315"/>
      <c r="BA540" s="315"/>
      <c r="BB540" s="306"/>
    </row>
    <row r="541" spans="1:55" ht="14.25">
      <c r="A541" s="340"/>
      <c r="B541" s="287" t="s">
        <v>1722</v>
      </c>
      <c r="C541" s="288">
        <f>+$C$539+$G$540</f>
        <v>24391.000000000004</v>
      </c>
      <c r="D541" s="1121"/>
      <c r="E541" s="1121"/>
      <c r="F541" s="289">
        <f>-380000/(24456-C541)</f>
        <v>-5846.1538461541732</v>
      </c>
      <c r="G541" s="292"/>
      <c r="H541" s="291" t="s">
        <v>651</v>
      </c>
      <c r="I541" s="294" t="s">
        <v>1223</v>
      </c>
      <c r="J541" s="288">
        <f>C541-7.5</f>
        <v>24383.500000000004</v>
      </c>
      <c r="K541" s="1121" t="s">
        <v>658</v>
      </c>
      <c r="L541" s="1121" t="s">
        <v>231</v>
      </c>
      <c r="M541" s="1121" t="s">
        <v>2672</v>
      </c>
      <c r="N541" s="291" t="s">
        <v>140</v>
      </c>
      <c r="O541" s="291" t="s">
        <v>144</v>
      </c>
      <c r="P541" s="1121"/>
      <c r="Q541" s="1121">
        <v>34</v>
      </c>
      <c r="R541" s="292">
        <v>-5883.95</v>
      </c>
      <c r="S541" s="292"/>
      <c r="T541" s="1121">
        <v>-15</v>
      </c>
      <c r="U541" s="1121">
        <v>-35</v>
      </c>
      <c r="V541" s="1121"/>
      <c r="W541" s="1121">
        <v>1.4</v>
      </c>
      <c r="X541" s="1121">
        <v>2.2999999999999998</v>
      </c>
      <c r="Y541" s="1121"/>
      <c r="Z541" s="1121">
        <v>0.6</v>
      </c>
      <c r="AA541" s="1121"/>
      <c r="AB541" s="1121"/>
      <c r="AC541" s="1121"/>
      <c r="AD541" s="1121" t="s">
        <v>1704</v>
      </c>
      <c r="AE541" s="1121"/>
      <c r="AF541" s="1121">
        <v>6000</v>
      </c>
      <c r="AG541" s="288">
        <v>24389.93</v>
      </c>
      <c r="AH541" s="1121">
        <v>2754</v>
      </c>
      <c r="AI541" s="289">
        <v>646</v>
      </c>
      <c r="AJ541" s="1121"/>
      <c r="AK541" s="1121"/>
      <c r="AL541" s="1121"/>
      <c r="AM541" s="1121" t="s">
        <v>1228</v>
      </c>
      <c r="AN541" s="315">
        <v>5.5</v>
      </c>
      <c r="AO541" s="315"/>
      <c r="AP541" s="315"/>
      <c r="AQ541" s="315"/>
      <c r="AR541" s="315"/>
      <c r="AS541" s="315"/>
      <c r="AT541" s="315">
        <f>+ab($U$541,$T$539,$U$543,$G$540,$G$542,-1*$F$541,1200)</f>
        <v>-21.589268116305586</v>
      </c>
      <c r="AU541" s="315"/>
      <c r="AV541" s="315"/>
      <c r="AW541" s="315" t="s">
        <v>2630</v>
      </c>
      <c r="AX541" s="315" t="s">
        <v>1639</v>
      </c>
      <c r="AY541" s="315">
        <v>2.6</v>
      </c>
      <c r="AZ541" s="315">
        <v>2</v>
      </c>
      <c r="BA541" s="315"/>
      <c r="BB541" s="306"/>
    </row>
    <row r="542" spans="1:55" ht="14.25">
      <c r="A542" s="340"/>
      <c r="B542" s="334"/>
      <c r="C542" s="288"/>
      <c r="D542" s="1121"/>
      <c r="E542" s="1121"/>
      <c r="F542" s="289"/>
      <c r="G542" s="292">
        <v>62</v>
      </c>
      <c r="H542" s="291"/>
      <c r="I542" s="291" t="s">
        <v>1223</v>
      </c>
      <c r="J542" s="288">
        <f>C541+7.5</f>
        <v>24398.500000000004</v>
      </c>
      <c r="K542" s="1121" t="s">
        <v>658</v>
      </c>
      <c r="L542" s="1121"/>
      <c r="M542" s="1121"/>
      <c r="N542" s="291"/>
      <c r="O542" s="291"/>
      <c r="P542" s="1121"/>
      <c r="Q542" s="1121"/>
      <c r="R542" s="292"/>
      <c r="S542" s="292">
        <v>62.049999999999272</v>
      </c>
      <c r="T542" s="1121"/>
      <c r="U542" s="1121"/>
      <c r="V542" s="1121"/>
      <c r="W542" s="1121"/>
      <c r="X542" s="1121"/>
      <c r="Y542" s="1121"/>
      <c r="Z542" s="1121"/>
      <c r="AA542" s="1121"/>
      <c r="AB542" s="1121"/>
      <c r="AC542" s="1121"/>
      <c r="AD542" s="1121"/>
      <c r="AE542" s="1121"/>
      <c r="AF542" s="1121"/>
      <c r="AG542" s="288"/>
      <c r="AH542" s="1121" t="s">
        <v>695</v>
      </c>
      <c r="AI542" s="289" t="s">
        <v>695</v>
      </c>
      <c r="AJ542" s="1121"/>
      <c r="AK542" s="1121"/>
      <c r="AL542" s="1121"/>
      <c r="AM542" s="1121"/>
      <c r="AN542" s="315"/>
      <c r="AO542" s="315"/>
      <c r="AP542" s="315"/>
      <c r="AQ542" s="315">
        <f>+FL_1($T$543,$U$541,$G$542,1200,9.28,-1*$F$543)</f>
        <v>0.45400350967741931</v>
      </c>
      <c r="AR542" s="315"/>
      <c r="AS542" s="315"/>
      <c r="AT542" s="315"/>
      <c r="AU542" s="315"/>
      <c r="AV542" s="315"/>
      <c r="AW542" s="315" t="s">
        <v>2630</v>
      </c>
      <c r="AX542" s="315" t="s">
        <v>1639</v>
      </c>
      <c r="AY542" s="315"/>
      <c r="AZ542" s="315">
        <v>2</v>
      </c>
      <c r="BA542" s="315"/>
      <c r="BB542" s="306"/>
    </row>
    <row r="543" spans="1:55" ht="14.25">
      <c r="A543" s="340"/>
      <c r="B543" s="334" t="s">
        <v>1723</v>
      </c>
      <c r="C543" s="288">
        <f>+$C$541+$G$542</f>
        <v>24453.000000000004</v>
      </c>
      <c r="D543" s="1121"/>
      <c r="E543" s="1121"/>
      <c r="F543" s="289">
        <v>0</v>
      </c>
      <c r="G543" s="292"/>
      <c r="H543" s="291" t="s">
        <v>651</v>
      </c>
      <c r="I543" s="291" t="s">
        <v>1223</v>
      </c>
      <c r="J543" s="383">
        <f>C543-7.5</f>
        <v>24445.500000000004</v>
      </c>
      <c r="K543" s="1121" t="s">
        <v>658</v>
      </c>
      <c r="L543" s="1121" t="s">
        <v>231</v>
      </c>
      <c r="M543" s="386" t="s">
        <v>2672</v>
      </c>
      <c r="N543" s="291" t="s">
        <v>145</v>
      </c>
      <c r="O543" s="291" t="s">
        <v>140</v>
      </c>
      <c r="P543" s="1121"/>
      <c r="Q543" s="1121">
        <v>2</v>
      </c>
      <c r="R543" s="292">
        <v>-155514.75</v>
      </c>
      <c r="S543" s="292"/>
      <c r="T543" s="1121">
        <v>35</v>
      </c>
      <c r="U543" s="1121">
        <v>15</v>
      </c>
      <c r="V543" s="1121"/>
      <c r="W543" s="1121">
        <v>1.4</v>
      </c>
      <c r="X543" s="1121">
        <v>2.2999999999999998</v>
      </c>
      <c r="Y543" s="1121"/>
      <c r="Z543" s="1121"/>
      <c r="AA543" s="1121">
        <v>0.6</v>
      </c>
      <c r="AB543" s="1121"/>
      <c r="AC543" s="1121" t="s">
        <v>2963</v>
      </c>
      <c r="AD543" s="1121"/>
      <c r="AE543" s="1121"/>
      <c r="AF543" s="1121">
        <v>6000</v>
      </c>
      <c r="AG543" s="288">
        <v>24451.98</v>
      </c>
      <c r="AH543" s="1121">
        <v>2690</v>
      </c>
      <c r="AI543" s="289">
        <v>653</v>
      </c>
      <c r="AJ543" s="1121"/>
      <c r="AK543" s="1121"/>
      <c r="AL543" s="1121"/>
      <c r="AM543" s="1121" t="s">
        <v>1228</v>
      </c>
      <c r="AN543" s="315">
        <v>5.5</v>
      </c>
      <c r="AO543" s="315"/>
      <c r="AP543" s="315"/>
      <c r="AQ543" s="315"/>
      <c r="AR543" s="315"/>
      <c r="AS543" s="315"/>
      <c r="AT543" s="315">
        <f>+ab($T$543,$T$541,$T$545,$G$542,$G$544,-1*$F$543,1200)</f>
        <v>9.5614525070787604</v>
      </c>
      <c r="AU543" s="315"/>
      <c r="AV543" s="315"/>
      <c r="AW543" s="315" t="s">
        <v>2630</v>
      </c>
      <c r="AX543" s="315" t="s">
        <v>1639</v>
      </c>
      <c r="AY543" s="315">
        <v>2.6</v>
      </c>
      <c r="AZ543" s="315">
        <v>2</v>
      </c>
      <c r="BA543" s="315"/>
      <c r="BB543" s="306"/>
    </row>
    <row r="544" spans="1:55" ht="14.25">
      <c r="A544" s="340"/>
      <c r="B544" s="334"/>
      <c r="C544" s="288"/>
      <c r="D544" s="1121"/>
      <c r="E544" s="1121"/>
      <c r="F544" s="289"/>
      <c r="G544" s="292">
        <v>55</v>
      </c>
      <c r="H544" s="291"/>
      <c r="I544" s="291" t="s">
        <v>1223</v>
      </c>
      <c r="J544" s="383">
        <f>C543+7.5</f>
        <v>24460.500000000004</v>
      </c>
      <c r="K544" s="1121" t="s">
        <v>658</v>
      </c>
      <c r="L544" s="1121"/>
      <c r="M544" s="386"/>
      <c r="N544" s="291"/>
      <c r="O544" s="291"/>
      <c r="P544" s="1121"/>
      <c r="Q544" s="1121"/>
      <c r="R544" s="292"/>
      <c r="S544" s="292">
        <v>54.930000000000291</v>
      </c>
      <c r="T544" s="1121"/>
      <c r="U544" s="1121"/>
      <c r="V544" s="1121"/>
      <c r="W544" s="1121"/>
      <c r="X544" s="1121"/>
      <c r="Y544" s="1121"/>
      <c r="Z544" s="1121"/>
      <c r="AA544" s="1121"/>
      <c r="AB544" s="1121"/>
      <c r="AC544" s="1121"/>
      <c r="AD544" s="1121"/>
      <c r="AE544" s="1121"/>
      <c r="AF544" s="1121"/>
      <c r="AG544" s="288"/>
      <c r="AH544" s="1121" t="s">
        <v>695</v>
      </c>
      <c r="AI544" s="289" t="s">
        <v>695</v>
      </c>
      <c r="AJ544" s="1121"/>
      <c r="AK544" s="1121"/>
      <c r="AL544" s="1121"/>
      <c r="AM544" s="1121"/>
      <c r="AN544" s="315"/>
      <c r="AO544" s="315"/>
      <c r="AP544" s="315"/>
      <c r="AQ544" s="315">
        <f>+FL_1($T$545,$T$543,$S$544,1200,9.28,-1*$R$545)</f>
        <v>0.41649856662523427</v>
      </c>
      <c r="AR544" s="315"/>
      <c r="AS544" s="315"/>
      <c r="AT544" s="315"/>
      <c r="AU544" s="315"/>
      <c r="AV544" s="315"/>
      <c r="AW544" s="315" t="s">
        <v>2630</v>
      </c>
      <c r="AX544" s="315" t="s">
        <v>1639</v>
      </c>
      <c r="AY544" s="315"/>
      <c r="AZ544" s="315">
        <v>2</v>
      </c>
      <c r="BA544" s="315"/>
      <c r="BB544" s="306"/>
    </row>
    <row r="545" spans="1:57" ht="14.25">
      <c r="A545" s="340"/>
      <c r="B545" s="334" t="s">
        <v>1724</v>
      </c>
      <c r="C545" s="288">
        <f>+$C$543+$G$544</f>
        <v>24508.000000000004</v>
      </c>
      <c r="D545" s="1121"/>
      <c r="E545" s="1121"/>
      <c r="F545" s="289">
        <v>0</v>
      </c>
      <c r="G545" s="292"/>
      <c r="H545" s="291" t="s">
        <v>138</v>
      </c>
      <c r="I545" s="291" t="s">
        <v>656</v>
      </c>
      <c r="J545" s="383"/>
      <c r="K545" s="1121"/>
      <c r="L545" s="1121" t="s">
        <v>1061</v>
      </c>
      <c r="M545" s="386" t="s">
        <v>2672</v>
      </c>
      <c r="N545" s="291" t="s">
        <v>144</v>
      </c>
      <c r="O545" s="291"/>
      <c r="P545" s="1121"/>
      <c r="Q545" s="1121">
        <v>7</v>
      </c>
      <c r="R545" s="292">
        <v>28537.41</v>
      </c>
      <c r="S545" s="292"/>
      <c r="T545" s="1121">
        <v>-30</v>
      </c>
      <c r="U545" s="1121"/>
      <c r="V545" s="1121"/>
      <c r="W545" s="1121">
        <v>1.4</v>
      </c>
      <c r="X545" s="1121"/>
      <c r="Y545" s="1121"/>
      <c r="Z545" s="1121"/>
      <c r="AA545" s="1121"/>
      <c r="AB545" s="1121"/>
      <c r="AC545" s="1121" t="s">
        <v>1704</v>
      </c>
      <c r="AD545" s="1121"/>
      <c r="AE545" s="1121"/>
      <c r="AF545" s="1121">
        <v>6000</v>
      </c>
      <c r="AG545" s="288">
        <v>24506.91</v>
      </c>
      <c r="AH545" s="1121">
        <v>2705</v>
      </c>
      <c r="AI545" s="289">
        <v>609</v>
      </c>
      <c r="AJ545" s="1121"/>
      <c r="AK545" s="1121"/>
      <c r="AL545" s="1121"/>
      <c r="AM545" s="1121" t="s">
        <v>1228</v>
      </c>
      <c r="AN545" s="315">
        <v>5.5</v>
      </c>
      <c r="AO545" s="315"/>
      <c r="AP545" s="315"/>
      <c r="AQ545" s="315"/>
      <c r="AR545" s="315"/>
      <c r="AS545" s="315"/>
      <c r="AT545" s="315">
        <f>+ab($T$545,$T$543,$T$547,$S$544,$S$546,-1*$R$545,1200)</f>
        <v>-12.155140710085394</v>
      </c>
      <c r="AU545" s="315"/>
      <c r="AV545" s="315"/>
      <c r="AW545" s="315" t="s">
        <v>2630</v>
      </c>
      <c r="AX545" s="315" t="s">
        <v>1639</v>
      </c>
      <c r="AY545" s="315">
        <v>2.6</v>
      </c>
      <c r="AZ545" s="315"/>
      <c r="BA545" s="315"/>
      <c r="BB545" s="306"/>
    </row>
    <row r="546" spans="1:57" ht="14.25">
      <c r="A546" s="392" t="s">
        <v>1725</v>
      </c>
      <c r="B546" s="393"/>
      <c r="C546" s="389"/>
      <c r="D546" s="390"/>
      <c r="E546" s="390"/>
      <c r="F546" s="394"/>
      <c r="G546" s="395">
        <v>57</v>
      </c>
      <c r="H546" s="387"/>
      <c r="I546" s="387"/>
      <c r="J546" s="396">
        <f>C545+7.5</f>
        <v>24515.500000000004</v>
      </c>
      <c r="K546" s="390" t="s">
        <v>653</v>
      </c>
      <c r="L546" s="390"/>
      <c r="M546" s="397"/>
      <c r="N546" s="387"/>
      <c r="O546" s="387"/>
      <c r="P546" s="390"/>
      <c r="Q546" s="390"/>
      <c r="R546" s="395"/>
      <c r="S546" s="395">
        <v>56.95</v>
      </c>
      <c r="T546" s="390"/>
      <c r="U546" s="390"/>
      <c r="V546" s="390"/>
      <c r="W546" s="390"/>
      <c r="X546" s="390"/>
      <c r="Y546" s="390"/>
      <c r="Z546" s="390"/>
      <c r="AA546" s="390"/>
      <c r="AB546" s="390"/>
      <c r="AC546" s="390"/>
      <c r="AD546" s="390"/>
      <c r="AE546" s="390"/>
      <c r="AF546" s="390"/>
      <c r="AG546" s="389"/>
      <c r="AH546" s="390" t="s">
        <v>695</v>
      </c>
      <c r="AI546" s="394" t="s">
        <v>695</v>
      </c>
      <c r="AJ546" s="390"/>
      <c r="AK546" s="390"/>
      <c r="AL546" s="390"/>
      <c r="AM546" s="390"/>
      <c r="AN546" s="381"/>
      <c r="AO546" s="381"/>
      <c r="AP546" s="381"/>
      <c r="AQ546" s="381">
        <f>+FL_2($T$547,$T$545,$S$546,1200,9.28,-1*$R$547)</f>
        <v>-0.4910420010513229</v>
      </c>
      <c r="AR546" s="381"/>
      <c r="AS546" s="381"/>
      <c r="AT546" s="381"/>
      <c r="AU546" s="381"/>
      <c r="AV546" s="381"/>
      <c r="AW546" s="381" t="s">
        <v>2630</v>
      </c>
      <c r="AX546" s="381" t="s">
        <v>1639</v>
      </c>
      <c r="AY546" s="381"/>
      <c r="AZ546" s="381">
        <v>2.2999999999999998</v>
      </c>
      <c r="BA546" s="381"/>
      <c r="BB546" s="306"/>
    </row>
    <row r="547" spans="1:57" ht="14.25">
      <c r="A547" s="392"/>
      <c r="B547" s="393" t="s">
        <v>1726</v>
      </c>
      <c r="C547" s="389">
        <f>+$C$545+$G$546</f>
        <v>24565.000000000004</v>
      </c>
      <c r="D547" s="390"/>
      <c r="E547" s="390"/>
      <c r="F547" s="394">
        <f>380000/(C547-24495)</f>
        <v>5428.5714285711465</v>
      </c>
      <c r="G547" s="395"/>
      <c r="H547" s="387"/>
      <c r="I547" s="387"/>
      <c r="J547" s="396"/>
      <c r="K547" s="390"/>
      <c r="L547" s="343" t="s">
        <v>1070</v>
      </c>
      <c r="M547" s="343" t="s">
        <v>2543</v>
      </c>
      <c r="N547" s="387" t="s">
        <v>144</v>
      </c>
      <c r="O547" s="387"/>
      <c r="P547" s="390"/>
      <c r="Q547" s="390">
        <v>36</v>
      </c>
      <c r="R547" s="395">
        <v>5398.44</v>
      </c>
      <c r="S547" s="395"/>
      <c r="T547" s="390">
        <v>-20</v>
      </c>
      <c r="U547" s="390"/>
      <c r="V547" s="390"/>
      <c r="W547" s="390">
        <v>1.4</v>
      </c>
      <c r="X547" s="390"/>
      <c r="Y547" s="390"/>
      <c r="Z547" s="390"/>
      <c r="AA547" s="390"/>
      <c r="AB547" s="390"/>
      <c r="AC547" s="390" t="s">
        <v>1702</v>
      </c>
      <c r="AD547" s="390"/>
      <c r="AE547" s="390"/>
      <c r="AF547" s="390">
        <v>5200</v>
      </c>
      <c r="AG547" s="389">
        <v>24563.86</v>
      </c>
      <c r="AH547" s="390">
        <v>3172</v>
      </c>
      <c r="AI547" s="394">
        <v>-42</v>
      </c>
      <c r="AJ547" s="390"/>
      <c r="AK547" s="390"/>
      <c r="AL547" s="390"/>
      <c r="AM547" s="390" t="s">
        <v>1228</v>
      </c>
      <c r="AN547" s="381">
        <v>5.5</v>
      </c>
      <c r="AO547" s="381"/>
      <c r="AP547" s="381"/>
      <c r="AQ547" s="381"/>
      <c r="AR547" s="381"/>
      <c r="AS547" s="381"/>
      <c r="AT547" s="381">
        <f>+ab($T$547,$T$545,$T$549,$S$546,$S$548,-1*$R$547,1200)</f>
        <v>-22.308700205864582</v>
      </c>
      <c r="AU547" s="381"/>
      <c r="AV547" s="381"/>
      <c r="AW547" s="381" t="s">
        <v>699</v>
      </c>
      <c r="AX547" s="381" t="s">
        <v>699</v>
      </c>
      <c r="AY547" s="381" t="s">
        <v>699</v>
      </c>
      <c r="AZ547" s="381" t="s">
        <v>699</v>
      </c>
      <c r="BA547" s="381"/>
      <c r="BB547" s="306"/>
    </row>
    <row r="548" spans="1:57" ht="14.25">
      <c r="A548" s="392"/>
      <c r="B548" s="393"/>
      <c r="C548" s="389"/>
      <c r="D548" s="390"/>
      <c r="E548" s="390"/>
      <c r="F548" s="394"/>
      <c r="G548" s="395">
        <v>59</v>
      </c>
      <c r="H548" s="387"/>
      <c r="I548" s="387"/>
      <c r="J548" s="389"/>
      <c r="K548" s="390"/>
      <c r="L548" s="390"/>
      <c r="M548" s="397"/>
      <c r="N548" s="387"/>
      <c r="O548" s="387"/>
      <c r="P548" s="390"/>
      <c r="Q548" s="390"/>
      <c r="R548" s="395"/>
      <c r="S548" s="395">
        <v>59.25</v>
      </c>
      <c r="T548" s="390"/>
      <c r="U548" s="390"/>
      <c r="V548" s="390"/>
      <c r="W548" s="390"/>
      <c r="X548" s="390"/>
      <c r="Y548" s="390"/>
      <c r="Z548" s="390"/>
      <c r="AA548" s="390"/>
      <c r="AB548" s="390"/>
      <c r="AC548" s="390"/>
      <c r="AD548" s="390"/>
      <c r="AE548" s="390"/>
      <c r="AF548" s="390"/>
      <c r="AG548" s="389"/>
      <c r="AH548" s="390" t="s">
        <v>695</v>
      </c>
      <c r="AI548" s="394" t="s">
        <v>695</v>
      </c>
      <c r="AJ548" s="390"/>
      <c r="AK548" s="390"/>
      <c r="AL548" s="390"/>
      <c r="AM548" s="390"/>
      <c r="AN548" s="381"/>
      <c r="AO548" s="381"/>
      <c r="AP548" s="381"/>
      <c r="AQ548" s="381">
        <f>+FL_2($T$549,$T$547,$G$548,1200,11.08,-1*$F$549)</f>
        <v>-0.47966327508212503</v>
      </c>
      <c r="AR548" s="381"/>
      <c r="AS548" s="381"/>
      <c r="AT548" s="381"/>
      <c r="AU548" s="381"/>
      <c r="AV548" s="381"/>
      <c r="AW548" s="381"/>
      <c r="AX548" s="381"/>
      <c r="AY548" s="381"/>
      <c r="AZ548" s="381"/>
      <c r="BA548" s="381"/>
      <c r="BB548" s="306"/>
    </row>
    <row r="549" spans="1:57" ht="14.25">
      <c r="A549" s="392"/>
      <c r="B549" s="393" t="s">
        <v>1727</v>
      </c>
      <c r="C549" s="389">
        <f>+$C$547+$G$548</f>
        <v>24624.000000000004</v>
      </c>
      <c r="D549" s="390"/>
      <c r="E549" s="390"/>
      <c r="F549" s="394">
        <f>380000/(C549-24495)</f>
        <v>2945.736434108444</v>
      </c>
      <c r="G549" s="395"/>
      <c r="H549" s="390"/>
      <c r="I549" s="398"/>
      <c r="J549" s="389"/>
      <c r="K549" s="390"/>
      <c r="L549" s="343" t="s">
        <v>1066</v>
      </c>
      <c r="M549" s="343" t="s">
        <v>2544</v>
      </c>
      <c r="N549" s="387" t="s">
        <v>144</v>
      </c>
      <c r="O549" s="387"/>
      <c r="P549" s="390"/>
      <c r="Q549" s="390">
        <v>69</v>
      </c>
      <c r="R549" s="395">
        <v>2938.78</v>
      </c>
      <c r="S549" s="395"/>
      <c r="T549" s="390">
        <v>-25</v>
      </c>
      <c r="U549" s="390"/>
      <c r="V549" s="390"/>
      <c r="W549" s="390">
        <v>1.4</v>
      </c>
      <c r="X549" s="390"/>
      <c r="Y549" s="390"/>
      <c r="Z549" s="390"/>
      <c r="AA549" s="390"/>
      <c r="AB549" s="390"/>
      <c r="AC549" s="390" t="s">
        <v>2963</v>
      </c>
      <c r="AD549" s="390"/>
      <c r="AE549" s="390"/>
      <c r="AF549" s="390">
        <v>5200</v>
      </c>
      <c r="AG549" s="389">
        <v>24623.11</v>
      </c>
      <c r="AH549" s="390">
        <v>2992</v>
      </c>
      <c r="AI549" s="394">
        <v>-149</v>
      </c>
      <c r="AJ549" s="390"/>
      <c r="AK549" s="390"/>
      <c r="AL549" s="390"/>
      <c r="AM549" s="390" t="s">
        <v>1228</v>
      </c>
      <c r="AN549" s="381">
        <v>5.5</v>
      </c>
      <c r="AO549" s="381"/>
      <c r="AP549" s="381"/>
      <c r="AQ549" s="381"/>
      <c r="AR549" s="381"/>
      <c r="AS549" s="381"/>
      <c r="AT549" s="381">
        <f>+ab($T$549,$T$547,$T$551,$S$548,$S$550,-1*$R$549,1200)</f>
        <v>-9.3636351344869837</v>
      </c>
      <c r="AU549" s="381"/>
      <c r="AV549" s="381"/>
      <c r="AW549" s="381" t="s">
        <v>699</v>
      </c>
      <c r="AX549" s="381" t="s">
        <v>699</v>
      </c>
      <c r="AY549" s="381" t="s">
        <v>699</v>
      </c>
      <c r="AZ549" s="381" t="s">
        <v>699</v>
      </c>
      <c r="BA549" s="381"/>
      <c r="BB549" s="306"/>
    </row>
    <row r="550" spans="1:57" ht="14.25">
      <c r="A550" s="392"/>
      <c r="B550" s="393"/>
      <c r="C550" s="389"/>
      <c r="D550" s="390"/>
      <c r="E550" s="390"/>
      <c r="F550" s="394"/>
      <c r="G550" s="395">
        <v>60</v>
      </c>
      <c r="H550" s="387"/>
      <c r="I550" s="398"/>
      <c r="J550" s="396"/>
      <c r="K550" s="390"/>
      <c r="L550" s="390"/>
      <c r="M550" s="397"/>
      <c r="N550" s="387"/>
      <c r="O550" s="387"/>
      <c r="P550" s="390"/>
      <c r="Q550" s="390"/>
      <c r="R550" s="395"/>
      <c r="S550" s="395">
        <v>60.06</v>
      </c>
      <c r="T550" s="390"/>
      <c r="U550" s="390"/>
      <c r="V550" s="390"/>
      <c r="W550" s="390"/>
      <c r="X550" s="390"/>
      <c r="Y550" s="390"/>
      <c r="Z550" s="390"/>
      <c r="AA550" s="390"/>
      <c r="AB550" s="390"/>
      <c r="AC550" s="390"/>
      <c r="AD550" s="390"/>
      <c r="AE550" s="390"/>
      <c r="AF550" s="390"/>
      <c r="AG550" s="389"/>
      <c r="AH550" s="390" t="s">
        <v>695</v>
      </c>
      <c r="AI550" s="394" t="s">
        <v>695</v>
      </c>
      <c r="AJ550" s="390"/>
      <c r="AK550" s="390"/>
      <c r="AL550" s="390"/>
      <c r="AM550" s="390"/>
      <c r="AN550" s="381"/>
      <c r="AO550" s="381"/>
      <c r="AP550" s="381"/>
      <c r="AQ550" s="381">
        <f>+FL_2($T$551,$T$549,$S$550,1200,11.08,-1*$R$551)</f>
        <v>-0.46756497803121377</v>
      </c>
      <c r="AR550" s="381"/>
      <c r="AS550" s="381"/>
      <c r="AT550" s="381"/>
      <c r="AU550" s="381"/>
      <c r="AV550" s="381"/>
      <c r="AW550" s="381"/>
      <c r="AX550" s="381"/>
      <c r="AY550" s="381"/>
      <c r="AZ550" s="381"/>
      <c r="BA550" s="381"/>
      <c r="BB550" s="306"/>
    </row>
    <row r="551" spans="1:57" ht="14.25">
      <c r="A551" s="392"/>
      <c r="B551" s="393" t="s">
        <v>1728</v>
      </c>
      <c r="C551" s="389">
        <f>+$C$549+$G$550</f>
        <v>24684.000000000004</v>
      </c>
      <c r="D551" s="390"/>
      <c r="E551" s="390">
        <v>100</v>
      </c>
      <c r="F551" s="394">
        <v>2000</v>
      </c>
      <c r="G551" s="395"/>
      <c r="H551" s="387"/>
      <c r="I551" s="387"/>
      <c r="J551" s="396"/>
      <c r="K551" s="390"/>
      <c r="L551" s="343" t="s">
        <v>1068</v>
      </c>
      <c r="M551" s="343" t="s">
        <v>2544</v>
      </c>
      <c r="N551" s="387" t="s">
        <v>144</v>
      </c>
      <c r="O551" s="387"/>
      <c r="P551" s="390"/>
      <c r="Q551" s="390">
        <v>98</v>
      </c>
      <c r="R551" s="395">
        <v>2007.85</v>
      </c>
      <c r="S551" s="395"/>
      <c r="T551" s="390">
        <v>-30</v>
      </c>
      <c r="U551" s="390"/>
      <c r="V551" s="390"/>
      <c r="W551" s="390">
        <v>1.4</v>
      </c>
      <c r="X551" s="390"/>
      <c r="Y551" s="390"/>
      <c r="Z551" s="390"/>
      <c r="AA551" s="390"/>
      <c r="AB551" s="390"/>
      <c r="AC551" s="390" t="s">
        <v>2963</v>
      </c>
      <c r="AD551" s="390"/>
      <c r="AE551" s="390"/>
      <c r="AF551" s="390">
        <v>5200</v>
      </c>
      <c r="AG551" s="389">
        <v>24683.17</v>
      </c>
      <c r="AH551" s="390">
        <v>3032</v>
      </c>
      <c r="AI551" s="394">
        <v>-323</v>
      </c>
      <c r="AJ551" s="390"/>
      <c r="AK551" s="390"/>
      <c r="AL551" s="390"/>
      <c r="AM551" s="390" t="s">
        <v>1228</v>
      </c>
      <c r="AN551" s="381">
        <v>5.5</v>
      </c>
      <c r="AO551" s="381"/>
      <c r="AP551" s="381"/>
      <c r="AQ551" s="381"/>
      <c r="AR551" s="381"/>
      <c r="AS551" s="381"/>
      <c r="AT551" s="381">
        <f>+ab($T$551,$T$549,$T$553,$S$550,$S$552,-1*$R$551,1200)</f>
        <v>-6.2153957249792784</v>
      </c>
      <c r="AU551" s="381"/>
      <c r="AV551" s="381"/>
      <c r="AW551" s="381" t="s">
        <v>699</v>
      </c>
      <c r="AX551" s="381" t="s">
        <v>699</v>
      </c>
      <c r="AY551" s="381" t="s">
        <v>699</v>
      </c>
      <c r="AZ551" s="381" t="s">
        <v>699</v>
      </c>
      <c r="BA551" s="381"/>
      <c r="BB551" s="306"/>
    </row>
    <row r="552" spans="1:57" ht="14.25">
      <c r="A552" s="392"/>
      <c r="B552" s="393"/>
      <c r="C552" s="389"/>
      <c r="D552" s="390"/>
      <c r="E552" s="390"/>
      <c r="F552" s="394"/>
      <c r="G552" s="395">
        <v>60</v>
      </c>
      <c r="H552" s="387"/>
      <c r="I552" s="398"/>
      <c r="J552" s="396"/>
      <c r="K552" s="390"/>
      <c r="L552" s="390"/>
      <c r="M552" s="390"/>
      <c r="N552" s="387"/>
      <c r="O552" s="387"/>
      <c r="P552" s="390"/>
      <c r="Q552" s="390"/>
      <c r="R552" s="395"/>
      <c r="S552" s="395">
        <v>60.09</v>
      </c>
      <c r="T552" s="390"/>
      <c r="U552" s="390"/>
      <c r="V552" s="390"/>
      <c r="W552" s="390"/>
      <c r="X552" s="390"/>
      <c r="Y552" s="390"/>
      <c r="Z552" s="390"/>
      <c r="AA552" s="390"/>
      <c r="AB552" s="390"/>
      <c r="AC552" s="390"/>
      <c r="AD552" s="390"/>
      <c r="AE552" s="390"/>
      <c r="AF552" s="390"/>
      <c r="AG552" s="389"/>
      <c r="AH552" s="390" t="s">
        <v>695</v>
      </c>
      <c r="AI552" s="394" t="s">
        <v>695</v>
      </c>
      <c r="AJ552" s="390"/>
      <c r="AK552" s="390"/>
      <c r="AL552" s="390"/>
      <c r="AM552" s="390"/>
      <c r="AN552" s="381"/>
      <c r="AO552" s="381"/>
      <c r="AP552" s="381"/>
      <c r="AQ552" s="381">
        <f>+FL_2($T$553,$T$551,$S$552,1200,11.08,-1*$R$553)</f>
        <v>-0.49132409182810732</v>
      </c>
      <c r="AR552" s="381"/>
      <c r="AS552" s="381"/>
      <c r="AT552" s="381"/>
      <c r="AU552" s="381"/>
      <c r="AV552" s="381"/>
      <c r="AW552" s="381"/>
      <c r="AX552" s="381"/>
      <c r="AY552" s="381"/>
      <c r="AZ552" s="381"/>
      <c r="BA552" s="381"/>
      <c r="BB552" s="306"/>
    </row>
    <row r="553" spans="1:57" ht="14.25">
      <c r="A553" s="392"/>
      <c r="B553" s="393" t="s">
        <v>1730</v>
      </c>
      <c r="C553" s="389">
        <f>+$C$551+$G$552</f>
        <v>24744.000000000004</v>
      </c>
      <c r="D553" s="390"/>
      <c r="E553" s="390">
        <v>100</v>
      </c>
      <c r="F553" s="394">
        <v>2000</v>
      </c>
      <c r="G553" s="395"/>
      <c r="H553" s="387"/>
      <c r="I553" s="398"/>
      <c r="J553" s="389"/>
      <c r="K553" s="390"/>
      <c r="L553" s="343" t="s">
        <v>1066</v>
      </c>
      <c r="M553" s="343" t="s">
        <v>2544</v>
      </c>
      <c r="N553" s="387" t="s">
        <v>144</v>
      </c>
      <c r="O553" s="387"/>
      <c r="P553" s="390"/>
      <c r="Q553" s="390">
        <v>100</v>
      </c>
      <c r="R553" s="395">
        <v>2002.35</v>
      </c>
      <c r="S553" s="395"/>
      <c r="T553" s="390">
        <v>-30</v>
      </c>
      <c r="U553" s="390"/>
      <c r="V553" s="390"/>
      <c r="W553" s="390">
        <v>1.4</v>
      </c>
      <c r="X553" s="390"/>
      <c r="Y553" s="390"/>
      <c r="Z553" s="390"/>
      <c r="AA553" s="390"/>
      <c r="AB553" s="390"/>
      <c r="AC553" s="390" t="s">
        <v>2963</v>
      </c>
      <c r="AD553" s="390"/>
      <c r="AE553" s="390"/>
      <c r="AF553" s="390">
        <v>5200</v>
      </c>
      <c r="AG553" s="389">
        <v>24743.26</v>
      </c>
      <c r="AH553" s="390">
        <v>3037</v>
      </c>
      <c r="AI553" s="394">
        <v>-102</v>
      </c>
      <c r="AJ553" s="390"/>
      <c r="AK553" s="390"/>
      <c r="AL553" s="390"/>
      <c r="AM553" s="390" t="s">
        <v>1228</v>
      </c>
      <c r="AN553" s="381">
        <v>5.5</v>
      </c>
      <c r="AO553" s="381"/>
      <c r="AP553" s="381"/>
      <c r="AQ553" s="381"/>
      <c r="AR553" s="381"/>
      <c r="AS553" s="381"/>
      <c r="AT553" s="381">
        <f>+ab($T$553,$T$551,$T$555,$S$552,$S$554,-1*$R$553,1200)</f>
        <v>-6.7054771911468691</v>
      </c>
      <c r="AU553" s="381"/>
      <c r="AV553" s="381"/>
      <c r="AW553" s="381" t="s">
        <v>699</v>
      </c>
      <c r="AX553" s="381" t="s">
        <v>699</v>
      </c>
      <c r="AY553" s="381" t="s">
        <v>699</v>
      </c>
      <c r="AZ553" s="381" t="s">
        <v>699</v>
      </c>
      <c r="BA553" s="381"/>
      <c r="BB553" s="306"/>
    </row>
    <row r="554" spans="1:57" ht="14.25">
      <c r="A554" s="392" t="s">
        <v>1729</v>
      </c>
      <c r="B554" s="393"/>
      <c r="C554" s="389"/>
      <c r="D554" s="390"/>
      <c r="E554" s="390"/>
      <c r="F554" s="394"/>
      <c r="G554" s="395">
        <v>54</v>
      </c>
      <c r="H554" s="387"/>
      <c r="I554" s="398"/>
      <c r="J554" s="389"/>
      <c r="K554" s="390"/>
      <c r="L554" s="390"/>
      <c r="M554" s="390"/>
      <c r="N554" s="387"/>
      <c r="O554" s="387"/>
      <c r="P554" s="390"/>
      <c r="Q554" s="390"/>
      <c r="R554" s="395"/>
      <c r="S554" s="395">
        <v>53.99</v>
      </c>
      <c r="T554" s="390"/>
      <c r="U554" s="390"/>
      <c r="V554" s="390"/>
      <c r="W554" s="390"/>
      <c r="X554" s="390"/>
      <c r="Y554" s="390"/>
      <c r="Z554" s="390"/>
      <c r="AA554" s="390"/>
      <c r="AB554" s="390"/>
      <c r="AC554" s="390"/>
      <c r="AD554" s="390"/>
      <c r="AE554" s="390"/>
      <c r="AF554" s="390"/>
      <c r="AG554" s="389"/>
      <c r="AH554" s="390" t="s">
        <v>695</v>
      </c>
      <c r="AI554" s="394" t="s">
        <v>695</v>
      </c>
      <c r="AJ554" s="390"/>
      <c r="AK554" s="390"/>
      <c r="AL554" s="390"/>
      <c r="AM554" s="390"/>
      <c r="AN554" s="381"/>
      <c r="AO554" s="381"/>
      <c r="AP554" s="381"/>
      <c r="AQ554" s="381">
        <f>+FL_2($T$555,$T$553,$S$554,1200,9.28,-1*$R$555)</f>
        <v>-0.39979864402003751</v>
      </c>
      <c r="AR554" s="381"/>
      <c r="AS554" s="381"/>
      <c r="AT554" s="381"/>
      <c r="AU554" s="381"/>
      <c r="AV554" s="381"/>
      <c r="AW554" s="381"/>
      <c r="AX554" s="381"/>
      <c r="AY554" s="381"/>
      <c r="AZ554" s="381"/>
      <c r="BA554" s="381"/>
      <c r="BB554" s="306"/>
    </row>
    <row r="555" spans="1:57" ht="14.25">
      <c r="A555" s="340"/>
      <c r="B555" s="334" t="s">
        <v>1731</v>
      </c>
      <c r="C555" s="288">
        <f>+$C$553+$G$554</f>
        <v>24798.000000000004</v>
      </c>
      <c r="D555" s="1121"/>
      <c r="E555" s="1121">
        <v>100</v>
      </c>
      <c r="F555" s="289">
        <v>2000</v>
      </c>
      <c r="G555" s="292"/>
      <c r="H555" s="291" t="s">
        <v>954</v>
      </c>
      <c r="I555" s="1121"/>
      <c r="J555" s="288">
        <f>C555-7.5</f>
        <v>24790.500000000004</v>
      </c>
      <c r="K555" s="1121" t="s">
        <v>658</v>
      </c>
      <c r="L555" s="1121" t="s">
        <v>231</v>
      </c>
      <c r="M555" s="1121" t="s">
        <v>2672</v>
      </c>
      <c r="N555" s="291" t="s">
        <v>144</v>
      </c>
      <c r="O555" s="291"/>
      <c r="P555" s="1121"/>
      <c r="Q555" s="1121">
        <v>100</v>
      </c>
      <c r="R555" s="292">
        <v>2002.35</v>
      </c>
      <c r="S555" s="292"/>
      <c r="T555" s="1121">
        <v>-30</v>
      </c>
      <c r="U555" s="1121"/>
      <c r="V555" s="1121"/>
      <c r="W555" s="1121">
        <v>1.4</v>
      </c>
      <c r="X555" s="1121"/>
      <c r="Y555" s="1121"/>
      <c r="Z555" s="1121"/>
      <c r="AA555" s="1121"/>
      <c r="AB555" s="1121"/>
      <c r="AC555" s="1121" t="s">
        <v>2963</v>
      </c>
      <c r="AD555" s="1121"/>
      <c r="AE555" s="1121"/>
      <c r="AF555" s="1121">
        <v>6000</v>
      </c>
      <c r="AG555" s="288">
        <v>24797.25</v>
      </c>
      <c r="AH555" s="1121">
        <v>2574</v>
      </c>
      <c r="AI555" s="289">
        <v>561</v>
      </c>
      <c r="AJ555" s="1121"/>
      <c r="AK555" s="1121"/>
      <c r="AL555" s="1121"/>
      <c r="AM555" s="1121" t="s">
        <v>1228</v>
      </c>
      <c r="AN555" s="315">
        <v>5.5</v>
      </c>
      <c r="AO555" s="315"/>
      <c r="AP555" s="315"/>
      <c r="AQ555" s="315"/>
      <c r="AR555" s="315"/>
      <c r="AS555" s="315"/>
      <c r="AT555" s="315">
        <f>+ab($T$555,$T$553,$T$557,$S$554,$S$556,-1*$R$555,1200)</f>
        <v>-7.2087265813966859</v>
      </c>
      <c r="AU555" s="315"/>
      <c r="AV555" s="315"/>
      <c r="AW555" s="315" t="s">
        <v>2630</v>
      </c>
      <c r="AX555" s="315" t="s">
        <v>1639</v>
      </c>
      <c r="AY555" s="1121"/>
      <c r="AZ555" s="315">
        <v>3.2</v>
      </c>
      <c r="BA555" s="315"/>
      <c r="BB555" s="306"/>
      <c r="BE555" s="362"/>
    </row>
    <row r="556" spans="1:57" ht="14.25">
      <c r="A556" s="340"/>
      <c r="B556" s="334"/>
      <c r="C556" s="288"/>
      <c r="D556" s="1121"/>
      <c r="E556" s="1121"/>
      <c r="F556" s="289"/>
      <c r="G556" s="292">
        <v>52</v>
      </c>
      <c r="H556" s="291"/>
      <c r="I556" s="292">
        <f>SUM(G540:G556)</f>
        <v>519</v>
      </c>
      <c r="J556" s="288"/>
      <c r="K556" s="1121"/>
      <c r="L556" s="1121"/>
      <c r="M556" s="1121"/>
      <c r="N556" s="291"/>
      <c r="O556" s="291"/>
      <c r="P556" s="1121"/>
      <c r="Q556" s="1121"/>
      <c r="R556" s="292"/>
      <c r="S556" s="292">
        <v>52.049999999999272</v>
      </c>
      <c r="T556" s="1121"/>
      <c r="U556" s="1121"/>
      <c r="V556" s="1121"/>
      <c r="W556" s="1121"/>
      <c r="X556" s="1121"/>
      <c r="Y556" s="1121"/>
      <c r="Z556" s="1121"/>
      <c r="AA556" s="1121"/>
      <c r="AB556" s="1121"/>
      <c r="AC556" s="1121"/>
      <c r="AD556" s="1121"/>
      <c r="AE556" s="1121"/>
      <c r="AF556" s="1121"/>
      <c r="AG556" s="288"/>
      <c r="AH556" s="1121" t="s">
        <v>695</v>
      </c>
      <c r="AI556" s="289" t="s">
        <v>695</v>
      </c>
      <c r="AJ556" s="1121"/>
      <c r="AK556" s="1121"/>
      <c r="AL556" s="1121"/>
      <c r="AM556" s="1121"/>
      <c r="AN556" s="315"/>
      <c r="AO556" s="315"/>
      <c r="AP556" s="315"/>
      <c r="AQ556" s="315">
        <f>+FL_2($T$557,$T$555,$S$556,1200,9.28,-1*$R$557)</f>
        <v>-0.39275599573647413</v>
      </c>
      <c r="AR556" s="315"/>
      <c r="AS556" s="315"/>
      <c r="AT556" s="315"/>
      <c r="AU556" s="315"/>
      <c r="AV556" s="315"/>
      <c r="AW556" s="1121"/>
      <c r="AX556" s="1121"/>
      <c r="AY556" s="315"/>
      <c r="AZ556" s="315"/>
      <c r="BA556" s="315"/>
      <c r="BB556" s="306"/>
    </row>
    <row r="557" spans="1:57" ht="14.25">
      <c r="A557" s="340"/>
      <c r="B557" s="334" t="s">
        <v>1732</v>
      </c>
      <c r="C557" s="288">
        <f>+$C$555+$G$556</f>
        <v>24850.000000000004</v>
      </c>
      <c r="D557" s="1121"/>
      <c r="E557" s="1121">
        <v>100</v>
      </c>
      <c r="F557" s="289">
        <v>2000</v>
      </c>
      <c r="G557" s="292"/>
      <c r="H557" s="291" t="s">
        <v>955</v>
      </c>
      <c r="I557" s="1121"/>
      <c r="J557" s="288"/>
      <c r="K557" s="1121"/>
      <c r="L557" s="1121" t="s">
        <v>231</v>
      </c>
      <c r="M557" s="1121" t="s">
        <v>2672</v>
      </c>
      <c r="N557" s="291" t="s">
        <v>144</v>
      </c>
      <c r="O557" s="291"/>
      <c r="P557" s="1121"/>
      <c r="Q557" s="1121">
        <v>100</v>
      </c>
      <c r="R557" s="292">
        <v>2002.35</v>
      </c>
      <c r="S557" s="292"/>
      <c r="T557" s="1121">
        <v>-30</v>
      </c>
      <c r="U557" s="1121"/>
      <c r="V557" s="1121"/>
      <c r="W557" s="1121">
        <v>1.4</v>
      </c>
      <c r="X557" s="1121"/>
      <c r="Y557" s="1121"/>
      <c r="Z557" s="1121"/>
      <c r="AA557" s="1121"/>
      <c r="AB557" s="1121"/>
      <c r="AC557" s="1121" t="s">
        <v>2963</v>
      </c>
      <c r="AD557" s="1121"/>
      <c r="AE557" s="1121"/>
      <c r="AF557" s="1121">
        <v>6000</v>
      </c>
      <c r="AG557" s="288">
        <v>24849.3</v>
      </c>
      <c r="AH557" s="1121">
        <v>2611</v>
      </c>
      <c r="AI557" s="289">
        <v>612</v>
      </c>
      <c r="AJ557" s="1121"/>
      <c r="AK557" s="1121"/>
      <c r="AL557" s="1121"/>
      <c r="AM557" s="1121" t="s">
        <v>1228</v>
      </c>
      <c r="AN557" s="315">
        <v>5.5</v>
      </c>
      <c r="AO557" s="315"/>
      <c r="AP557" s="315"/>
      <c r="AQ557" s="315"/>
      <c r="AR557" s="315"/>
      <c r="AS557" s="315"/>
      <c r="AT557" s="315">
        <f>+ab($T$557,$T$555,$T$559,$G$556,$G$558,-1*$F$557,1200)</f>
        <v>-7.0710168220035321</v>
      </c>
      <c r="AU557" s="315"/>
      <c r="AV557" s="315"/>
      <c r="AW557" s="315" t="s">
        <v>2630</v>
      </c>
      <c r="AX557" s="315" t="s">
        <v>1639</v>
      </c>
      <c r="AY557" s="315">
        <v>2.6</v>
      </c>
      <c r="AZ557" s="315"/>
      <c r="BA557" s="315"/>
      <c r="BB557" s="306"/>
    </row>
    <row r="558" spans="1:57" ht="14.25">
      <c r="A558" s="340"/>
      <c r="B558" s="287"/>
      <c r="C558" s="288"/>
      <c r="D558" s="1121"/>
      <c r="E558" s="1121"/>
      <c r="F558" s="289"/>
      <c r="G558" s="292">
        <v>56</v>
      </c>
      <c r="H558" s="291"/>
      <c r="I558" s="292">
        <f>SUM(G558:G580)</f>
        <v>433</v>
      </c>
      <c r="J558" s="288"/>
      <c r="K558" s="1121"/>
      <c r="L558" s="1121"/>
      <c r="M558" s="1121"/>
      <c r="N558" s="291"/>
      <c r="O558" s="291"/>
      <c r="P558" s="1121"/>
      <c r="Q558" s="1121"/>
      <c r="R558" s="292"/>
      <c r="S558" s="292">
        <v>56.069999999999709</v>
      </c>
      <c r="T558" s="1121"/>
      <c r="U558" s="1121"/>
      <c r="V558" s="1121"/>
      <c r="W558" s="1121"/>
      <c r="X558" s="1121"/>
      <c r="Y558" s="1121"/>
      <c r="Z558" s="1121"/>
      <c r="AA558" s="1121"/>
      <c r="AB558" s="1121"/>
      <c r="AC558" s="1121"/>
      <c r="AD558" s="1121"/>
      <c r="AE558" s="1121"/>
      <c r="AF558" s="1121"/>
      <c r="AG558" s="288"/>
      <c r="AH558" s="1121" t="s">
        <v>695</v>
      </c>
      <c r="AI558" s="289" t="s">
        <v>695</v>
      </c>
      <c r="AJ558" s="1121"/>
      <c r="AK558" s="1121"/>
      <c r="AL558" s="1121"/>
      <c r="AM558" s="1121"/>
      <c r="AN558" s="315"/>
      <c r="AO558" s="315"/>
      <c r="AP558" s="315"/>
      <c r="AQ558" s="315">
        <f>+FL_2($T$559,$T$557,$G$558,1200,9.28,-1*$F$559)</f>
        <v>-0.45356345035755574</v>
      </c>
      <c r="AR558" s="315"/>
      <c r="AS558" s="315"/>
      <c r="AT558" s="315"/>
      <c r="AU558" s="315"/>
      <c r="AV558" s="315"/>
      <c r="AW558" s="315" t="s">
        <v>2630</v>
      </c>
      <c r="AX558" s="315" t="s">
        <v>1639</v>
      </c>
      <c r="AY558" s="315"/>
      <c r="AZ558" s="315">
        <v>2</v>
      </c>
      <c r="BA558" s="315"/>
      <c r="BB558" s="306"/>
    </row>
    <row r="559" spans="1:57" ht="14.25">
      <c r="A559" s="340"/>
      <c r="B559" s="287" t="s">
        <v>1733</v>
      </c>
      <c r="C559" s="288">
        <f>+$C$557+$G$558</f>
        <v>24906.000000000004</v>
      </c>
      <c r="D559" s="1121"/>
      <c r="E559" s="1121"/>
      <c r="F559" s="289">
        <f>380000/(25051-C559)</f>
        <v>2620.6896551724794</v>
      </c>
      <c r="G559" s="292"/>
      <c r="H559" s="1121" t="s">
        <v>954</v>
      </c>
      <c r="I559" s="294"/>
      <c r="J559" s="288">
        <f>C559+7.5</f>
        <v>24913.500000000004</v>
      </c>
      <c r="K559" s="1121" t="s">
        <v>658</v>
      </c>
      <c r="L559" s="1121" t="s">
        <v>231</v>
      </c>
      <c r="M559" s="1121" t="s">
        <v>2672</v>
      </c>
      <c r="N559" s="291" t="s">
        <v>144</v>
      </c>
      <c r="O559" s="291"/>
      <c r="P559" s="1121"/>
      <c r="Q559" s="1121">
        <v>76</v>
      </c>
      <c r="R559" s="292">
        <v>2625.44</v>
      </c>
      <c r="S559" s="292"/>
      <c r="T559" s="1121">
        <v>-30</v>
      </c>
      <c r="U559" s="1121"/>
      <c r="V559" s="1121"/>
      <c r="W559" s="1121">
        <v>1.4</v>
      </c>
      <c r="X559" s="1121"/>
      <c r="Y559" s="1121"/>
      <c r="Z559" s="1121"/>
      <c r="AA559" s="1121"/>
      <c r="AB559" s="1121"/>
      <c r="AC559" s="1121" t="s">
        <v>2963</v>
      </c>
      <c r="AD559" s="1121"/>
      <c r="AE559" s="1121"/>
      <c r="AF559" s="1121">
        <v>6000</v>
      </c>
      <c r="AG559" s="288">
        <v>24905.37</v>
      </c>
      <c r="AH559" s="1121">
        <v>2641</v>
      </c>
      <c r="AI559" s="289">
        <v>605</v>
      </c>
      <c r="AJ559" s="1121"/>
      <c r="AK559" s="1121"/>
      <c r="AL559" s="1121"/>
      <c r="AM559" s="1121" t="s">
        <v>1228</v>
      </c>
      <c r="AN559" s="315">
        <v>5.5</v>
      </c>
      <c r="AO559" s="315"/>
      <c r="AP559" s="315"/>
      <c r="AQ559" s="315"/>
      <c r="AR559" s="315"/>
      <c r="AS559" s="315"/>
      <c r="AT559" s="315">
        <f>+ab($T$559,$T$557,$T$561,$G$558,$G$560,-1*$F$559,1200)</f>
        <v>-8.010702830211919</v>
      </c>
      <c r="AU559" s="315"/>
      <c r="AV559" s="315"/>
      <c r="AW559" s="315" t="s">
        <v>2630</v>
      </c>
      <c r="AX559" s="315" t="s">
        <v>1639</v>
      </c>
      <c r="AY559" s="315">
        <v>2.6</v>
      </c>
      <c r="AZ559" s="315"/>
      <c r="BA559" s="315"/>
      <c r="BB559" s="306"/>
    </row>
    <row r="560" spans="1:57" ht="14.25">
      <c r="A560" s="340"/>
      <c r="B560" s="287"/>
      <c r="C560" s="288"/>
      <c r="D560" s="1121"/>
      <c r="E560" s="1121"/>
      <c r="F560" s="289"/>
      <c r="G560" s="292">
        <v>60</v>
      </c>
      <c r="H560" s="291"/>
      <c r="I560" s="294"/>
      <c r="J560" s="288"/>
      <c r="K560" s="1121"/>
      <c r="L560" s="1121"/>
      <c r="M560" s="1121"/>
      <c r="N560" s="291"/>
      <c r="O560" s="291"/>
      <c r="P560" s="1121"/>
      <c r="Q560" s="1121"/>
      <c r="R560" s="292"/>
      <c r="S560" s="292">
        <v>59.970000000001164</v>
      </c>
      <c r="T560" s="1121"/>
      <c r="U560" s="1121"/>
      <c r="V560" s="1121"/>
      <c r="W560" s="1121"/>
      <c r="X560" s="1121"/>
      <c r="Y560" s="1121"/>
      <c r="Z560" s="1121"/>
      <c r="AA560" s="1121"/>
      <c r="AB560" s="1121"/>
      <c r="AC560" s="1121"/>
      <c r="AD560" s="1121"/>
      <c r="AE560" s="1121"/>
      <c r="AF560" s="1121"/>
      <c r="AG560" s="288"/>
      <c r="AH560" s="1121" t="s">
        <v>695</v>
      </c>
      <c r="AI560" s="289" t="s">
        <v>695</v>
      </c>
      <c r="AJ560" s="1121"/>
      <c r="AK560" s="1121"/>
      <c r="AL560" s="1121"/>
      <c r="AM560" s="1121"/>
      <c r="AN560" s="315"/>
      <c r="AO560" s="315"/>
      <c r="AP560" s="315"/>
      <c r="AQ560" s="315">
        <f>+FL_2($T$561,$T$559,$G$560,1200,9.28,-1*$F$561)</f>
        <v>-0.49986785823813551</v>
      </c>
      <c r="AR560" s="315"/>
      <c r="AS560" s="315"/>
      <c r="AT560" s="315"/>
      <c r="AU560" s="315"/>
      <c r="AV560" s="315"/>
      <c r="AW560" s="315" t="s">
        <v>2630</v>
      </c>
      <c r="AX560" s="315" t="s">
        <v>1639</v>
      </c>
      <c r="AY560" s="315"/>
      <c r="AZ560" s="315">
        <v>2</v>
      </c>
      <c r="BA560" s="315"/>
      <c r="BB560" s="306"/>
    </row>
    <row r="561" spans="1:59" ht="14.25">
      <c r="A561" s="340"/>
      <c r="B561" s="287" t="s">
        <v>1734</v>
      </c>
      <c r="C561" s="288">
        <f>+$C$559+$G$560</f>
        <v>24966.000000000004</v>
      </c>
      <c r="D561" s="1121"/>
      <c r="E561" s="1121"/>
      <c r="F561" s="289">
        <f>380000/(25051-C561)</f>
        <v>4470.588235294309</v>
      </c>
      <c r="G561" s="292"/>
      <c r="H561" s="291"/>
      <c r="I561" s="294"/>
      <c r="J561" s="288"/>
      <c r="K561" s="1121"/>
      <c r="L561" s="1121" t="s">
        <v>230</v>
      </c>
      <c r="M561" s="1121" t="s">
        <v>2671</v>
      </c>
      <c r="N561" s="291" t="s">
        <v>144</v>
      </c>
      <c r="O561" s="291"/>
      <c r="P561" s="1121"/>
      <c r="Q561" s="1121">
        <v>44</v>
      </c>
      <c r="R561" s="292">
        <v>4477.6400000000003</v>
      </c>
      <c r="S561" s="292"/>
      <c r="T561" s="1121">
        <v>-20</v>
      </c>
      <c r="U561" s="1121"/>
      <c r="V561" s="1121"/>
      <c r="W561" s="1121">
        <v>1.4</v>
      </c>
      <c r="X561" s="1121"/>
      <c r="Y561" s="1121"/>
      <c r="Z561" s="1121"/>
      <c r="AA561" s="1121"/>
      <c r="AB561" s="1121"/>
      <c r="AC561" s="1121" t="s">
        <v>1704</v>
      </c>
      <c r="AD561" s="1121"/>
      <c r="AE561" s="1121"/>
      <c r="AF561" s="1121">
        <v>6000</v>
      </c>
      <c r="AG561" s="288">
        <v>24965.34</v>
      </c>
      <c r="AH561" s="1121">
        <v>2586</v>
      </c>
      <c r="AI561" s="289">
        <v>627</v>
      </c>
      <c r="AJ561" s="1121"/>
      <c r="AK561" s="1121"/>
      <c r="AL561" s="1121"/>
      <c r="AM561" s="1121" t="s">
        <v>1228</v>
      </c>
      <c r="AN561" s="315">
        <v>5.5</v>
      </c>
      <c r="AO561" s="315"/>
      <c r="AP561" s="315"/>
      <c r="AQ561" s="315"/>
      <c r="AR561" s="315"/>
      <c r="AS561" s="315"/>
      <c r="AT561" s="315">
        <f>+ab($T$561,$T$559,$T$565,$G$560,$G$562,-1*$F$561,1200)</f>
        <v>-12.515533501872939</v>
      </c>
      <c r="AU561" s="315"/>
      <c r="AV561" s="315"/>
      <c r="AW561" s="315" t="s">
        <v>2631</v>
      </c>
      <c r="AX561" s="315" t="s">
        <v>1639</v>
      </c>
      <c r="AY561" s="315">
        <v>2.5</v>
      </c>
      <c r="AZ561" s="315"/>
      <c r="BA561" s="315"/>
      <c r="BB561" s="306"/>
    </row>
    <row r="562" spans="1:59" ht="14.25">
      <c r="A562" s="318"/>
      <c r="B562" s="329"/>
      <c r="C562" s="320"/>
      <c r="D562" s="976"/>
      <c r="E562" s="976"/>
      <c r="F562" s="326"/>
      <c r="G562" s="327">
        <v>60</v>
      </c>
      <c r="H562" s="337"/>
      <c r="I562" s="319"/>
      <c r="J562" s="320">
        <f>C565-7.5</f>
        <v>-7.5</v>
      </c>
      <c r="K562" s="976" t="s">
        <v>653</v>
      </c>
      <c r="L562" s="976"/>
      <c r="M562" s="976"/>
      <c r="N562" s="337"/>
      <c r="O562" s="337"/>
      <c r="P562" s="976"/>
      <c r="Q562" s="976"/>
      <c r="R562" s="327"/>
      <c r="S562" s="327">
        <v>60.220000000001164</v>
      </c>
      <c r="T562" s="976"/>
      <c r="U562" s="976"/>
      <c r="V562" s="976"/>
      <c r="W562" s="976"/>
      <c r="X562" s="976"/>
      <c r="Y562" s="976"/>
      <c r="Z562" s="976"/>
      <c r="AA562" s="976"/>
      <c r="AB562" s="976"/>
      <c r="AC562" s="976"/>
      <c r="AD562" s="976"/>
      <c r="AE562" s="976"/>
      <c r="AF562" s="976"/>
      <c r="AG562" s="320"/>
      <c r="AH562" s="976" t="s">
        <v>695</v>
      </c>
      <c r="AI562" s="326" t="s">
        <v>695</v>
      </c>
      <c r="AJ562" s="976"/>
      <c r="AK562" s="976"/>
      <c r="AL562" s="976"/>
      <c r="AM562" s="976"/>
      <c r="AN562" s="321"/>
      <c r="AO562" s="321"/>
      <c r="AP562" s="321"/>
      <c r="AQ562" s="321">
        <f>+FL_1($T$565,$T$561,$G$562,1200,9.28,-1*$F$565)</f>
        <v>0.25518390800000001</v>
      </c>
      <c r="AR562" s="321"/>
      <c r="AS562" s="321"/>
      <c r="AT562" s="321"/>
      <c r="AU562" s="321"/>
      <c r="AV562" s="321"/>
      <c r="AW562" s="321" t="s">
        <v>2631</v>
      </c>
      <c r="AX562" s="321" t="s">
        <v>1639</v>
      </c>
      <c r="AY562" s="321"/>
      <c r="AZ562" s="321">
        <v>2</v>
      </c>
      <c r="BA562" s="321"/>
      <c r="BB562" s="306"/>
    </row>
    <row r="563" spans="1:59" s="1204" customFormat="1" ht="14.25">
      <c r="A563" s="318"/>
      <c r="B563" s="329" t="s">
        <v>1735</v>
      </c>
      <c r="C563" s="320">
        <f>+$C$561+$G$562</f>
        <v>25026.000000000004</v>
      </c>
      <c r="D563" s="976"/>
      <c r="E563" s="976"/>
      <c r="F563" s="326">
        <v>0</v>
      </c>
      <c r="G563" s="327"/>
      <c r="H563" s="337" t="s">
        <v>138</v>
      </c>
      <c r="I563" s="319" t="s">
        <v>656</v>
      </c>
      <c r="J563" s="320"/>
      <c r="K563" s="976"/>
      <c r="L563" s="976" t="s">
        <v>1061</v>
      </c>
      <c r="M563" s="976" t="s">
        <v>2672</v>
      </c>
      <c r="N563" s="337" t="s">
        <v>145</v>
      </c>
      <c r="O563" s="337"/>
      <c r="P563" s="976"/>
      <c r="Q563" s="976">
        <v>13</v>
      </c>
      <c r="R563" s="327">
        <v>15350.36</v>
      </c>
      <c r="S563" s="327"/>
      <c r="T563" s="976">
        <v>30</v>
      </c>
      <c r="U563" s="976"/>
      <c r="V563" s="976"/>
      <c r="W563" s="976">
        <v>1.4</v>
      </c>
      <c r="X563" s="976"/>
      <c r="Y563" s="976"/>
      <c r="Z563" s="976"/>
      <c r="AA563" s="976"/>
      <c r="AB563" s="976"/>
      <c r="AC563" s="976" t="s">
        <v>1704</v>
      </c>
      <c r="AD563" s="976"/>
      <c r="AE563" s="976"/>
      <c r="AF563" s="976">
        <v>6000</v>
      </c>
      <c r="AG563" s="320">
        <v>25025.56</v>
      </c>
      <c r="AH563" s="976">
        <v>2666</v>
      </c>
      <c r="AI563" s="326">
        <v>652</v>
      </c>
      <c r="AJ563" s="976"/>
      <c r="AK563" s="976"/>
      <c r="AL563" s="976"/>
      <c r="AM563" s="976" t="s">
        <v>1228</v>
      </c>
      <c r="AN563" s="321">
        <v>5.5</v>
      </c>
      <c r="AO563" s="321"/>
      <c r="AP563" s="321"/>
      <c r="AQ563" s="321"/>
      <c r="AR563" s="321"/>
      <c r="AS563" s="321"/>
      <c r="AT563" s="321">
        <f>+ab($T$565,$T$561,$T$567,$G$562,$G$566,-1*$F$565,1200)</f>
        <v>64.335845365224401</v>
      </c>
      <c r="AU563" s="321"/>
      <c r="AV563" s="321"/>
      <c r="AW563" s="321" t="s">
        <v>2631</v>
      </c>
      <c r="AX563" s="321" t="s">
        <v>1639</v>
      </c>
      <c r="AY563" s="321">
        <v>2.6</v>
      </c>
      <c r="AZ563" s="321"/>
      <c r="BA563" s="321"/>
      <c r="BB563" s="306"/>
      <c r="BE563" s="307"/>
      <c r="BF563" s="307"/>
      <c r="BG563" s="307"/>
    </row>
    <row r="564" spans="1:59" s="1204" customFormat="1" ht="14.25">
      <c r="A564" s="318"/>
      <c r="B564" s="329"/>
      <c r="C564" s="320"/>
      <c r="D564" s="976"/>
      <c r="E564" s="976"/>
      <c r="F564" s="326"/>
      <c r="G564" s="327"/>
      <c r="H564" s="337"/>
      <c r="I564" s="319"/>
      <c r="J564" s="320"/>
      <c r="K564" s="976"/>
      <c r="L564" s="976"/>
      <c r="M564" s="976"/>
      <c r="N564" s="337"/>
      <c r="O564" s="337"/>
      <c r="P564" s="976"/>
      <c r="Q564" s="976"/>
      <c r="R564" s="327"/>
      <c r="S564" s="327"/>
      <c r="T564" s="976"/>
      <c r="U564" s="976"/>
      <c r="V564" s="976"/>
      <c r="W564" s="976"/>
      <c r="X564" s="976"/>
      <c r="Y564" s="976"/>
      <c r="Z564" s="976"/>
      <c r="AA564" s="976"/>
      <c r="AB564" s="976"/>
      <c r="AC564" s="976"/>
      <c r="AD564" s="976"/>
      <c r="AE564" s="976"/>
      <c r="AF564" s="976"/>
      <c r="AG564" s="320"/>
      <c r="AH564" s="976" t="s">
        <v>695</v>
      </c>
      <c r="AI564" s="326" t="s">
        <v>695</v>
      </c>
      <c r="AJ564" s="976"/>
      <c r="AK564" s="976"/>
      <c r="AL564" s="976"/>
      <c r="AM564" s="976"/>
      <c r="AN564" s="321"/>
      <c r="AO564" s="321"/>
      <c r="AP564" s="321"/>
      <c r="AQ564" s="321"/>
      <c r="AR564" s="321"/>
      <c r="AS564" s="321"/>
      <c r="AT564" s="321"/>
      <c r="AU564" s="321"/>
      <c r="AV564" s="321"/>
      <c r="AW564" s="976"/>
      <c r="AX564" s="976"/>
      <c r="AY564" s="321"/>
      <c r="AZ564" s="321"/>
      <c r="BA564" s="321"/>
      <c r="BB564" s="306"/>
      <c r="BE564" s="307"/>
      <c r="BF564" s="307"/>
      <c r="BG564" s="307"/>
    </row>
    <row r="565" spans="1:59" ht="14.25">
      <c r="A565" s="318"/>
      <c r="B565" s="329" t="s">
        <v>3272</v>
      </c>
      <c r="C565" s="320"/>
      <c r="D565" s="976"/>
      <c r="E565" s="976"/>
      <c r="F565" s="326"/>
      <c r="G565" s="327"/>
      <c r="H565" s="337"/>
      <c r="I565" s="319"/>
      <c r="J565" s="320"/>
      <c r="K565" s="976"/>
      <c r="L565" s="976" t="s">
        <v>3274</v>
      </c>
      <c r="M565" s="1208" t="s">
        <v>3273</v>
      </c>
      <c r="N565" s="337"/>
      <c r="O565" s="337"/>
      <c r="P565" s="976"/>
      <c r="Q565" s="976"/>
      <c r="R565" s="327"/>
      <c r="S565" s="327"/>
      <c r="T565" s="976"/>
      <c r="U565" s="976"/>
      <c r="V565" s="976"/>
      <c r="W565" s="976"/>
      <c r="X565" s="976"/>
      <c r="Y565" s="976"/>
      <c r="Z565" s="976"/>
      <c r="AA565" s="976"/>
      <c r="AB565" s="976"/>
      <c r="AC565" s="976"/>
      <c r="AD565" s="976"/>
      <c r="AE565" s="976"/>
      <c r="AF565" s="976"/>
      <c r="AG565" s="320">
        <v>25057.8</v>
      </c>
      <c r="AH565" s="976"/>
      <c r="AI565" s="326"/>
      <c r="AJ565" s="976"/>
      <c r="AK565" s="976"/>
      <c r="AL565" s="976"/>
      <c r="AM565" s="976"/>
      <c r="AN565" s="321"/>
      <c r="AO565" s="321"/>
      <c r="AP565" s="321"/>
      <c r="AQ565" s="321"/>
      <c r="AR565" s="321"/>
      <c r="AS565" s="321"/>
      <c r="AT565" s="321"/>
      <c r="AU565" s="321"/>
      <c r="AV565" s="321"/>
      <c r="AW565" s="321" t="s">
        <v>2631</v>
      </c>
      <c r="AX565" s="321" t="s">
        <v>1639</v>
      </c>
      <c r="AY565" s="321">
        <v>1.2</v>
      </c>
      <c r="AZ565" s="321"/>
      <c r="BA565" s="321"/>
      <c r="BB565" s="306"/>
    </row>
    <row r="566" spans="1:59" ht="14.25">
      <c r="A566" s="318"/>
      <c r="B566" s="329"/>
      <c r="C566" s="320"/>
      <c r="D566" s="976"/>
      <c r="E566" s="976"/>
      <c r="F566" s="326"/>
      <c r="G566" s="327">
        <v>58</v>
      </c>
      <c r="H566" s="337"/>
      <c r="I566" s="319"/>
      <c r="J566" s="320"/>
      <c r="K566" s="976"/>
      <c r="L566" s="976"/>
      <c r="M566" s="976"/>
      <c r="N566" s="337"/>
      <c r="O566" s="337"/>
      <c r="P566" s="976"/>
      <c r="Q566" s="976"/>
      <c r="R566" s="327"/>
      <c r="S566" s="327">
        <f>AG567-AG563</f>
        <v>57.18999999999869</v>
      </c>
      <c r="T566" s="976"/>
      <c r="U566" s="976"/>
      <c r="V566" s="976"/>
      <c r="W566" s="976"/>
      <c r="X566" s="976"/>
      <c r="Y566" s="976"/>
      <c r="Z566" s="976"/>
      <c r="AA566" s="976"/>
      <c r="AB566" s="976"/>
      <c r="AC566" s="976"/>
      <c r="AD566" s="976"/>
      <c r="AE566" s="976"/>
      <c r="AF566" s="976"/>
      <c r="AG566" s="320"/>
      <c r="AH566" s="976" t="s">
        <v>695</v>
      </c>
      <c r="AI566" s="326" t="s">
        <v>695</v>
      </c>
      <c r="AJ566" s="976" t="s">
        <v>1593</v>
      </c>
      <c r="AK566" s="976"/>
      <c r="AL566" s="976"/>
      <c r="AM566" s="976"/>
      <c r="AN566" s="321"/>
      <c r="AO566" s="321"/>
      <c r="AP566" s="321"/>
      <c r="AQ566" s="321">
        <f>+FL_2($U$567,$T$565,$G$566,1200,9.28,-1*$F$567)</f>
        <v>-0.52373083218390803</v>
      </c>
      <c r="AR566" s="321"/>
      <c r="AS566" s="321"/>
      <c r="AT566" s="321"/>
      <c r="AU566" s="321"/>
      <c r="AV566" s="321"/>
      <c r="AW566" s="976"/>
      <c r="AX566" s="976"/>
      <c r="AY566" s="321"/>
      <c r="AZ566" s="321"/>
      <c r="BA566" s="321"/>
      <c r="BB566" s="306"/>
    </row>
    <row r="567" spans="1:59" ht="14.25">
      <c r="A567" s="318"/>
      <c r="B567" s="329" t="s">
        <v>1736</v>
      </c>
      <c r="C567" s="320">
        <f>+$C$563+$G$566</f>
        <v>25084.000000000004</v>
      </c>
      <c r="D567" s="976"/>
      <c r="E567" s="976"/>
      <c r="F567" s="326">
        <v>0</v>
      </c>
      <c r="G567" s="327"/>
      <c r="H567" s="337" t="s">
        <v>651</v>
      </c>
      <c r="I567" s="319" t="s">
        <v>2016</v>
      </c>
      <c r="J567" s="320"/>
      <c r="K567" s="976"/>
      <c r="L567" s="976" t="s">
        <v>231</v>
      </c>
      <c r="M567" s="976" t="s">
        <v>2672</v>
      </c>
      <c r="N567" s="337" t="s">
        <v>140</v>
      </c>
      <c r="O567" s="337" t="s">
        <v>144</v>
      </c>
      <c r="P567" s="976"/>
      <c r="Q567" s="976">
        <v>0</v>
      </c>
      <c r="R567" s="326">
        <v>0</v>
      </c>
      <c r="S567" s="327"/>
      <c r="T567" s="976">
        <v>10</v>
      </c>
      <c r="U567" s="976">
        <v>-35</v>
      </c>
      <c r="V567" s="976"/>
      <c r="W567" s="976">
        <v>1.4</v>
      </c>
      <c r="X567" s="976">
        <v>2.2999999999999998</v>
      </c>
      <c r="Y567" s="976"/>
      <c r="Z567" s="976">
        <v>0.45</v>
      </c>
      <c r="AA567" s="976"/>
      <c r="AB567" s="976"/>
      <c r="AC567" s="976"/>
      <c r="AD567" s="976" t="s">
        <v>1704</v>
      </c>
      <c r="AE567" s="976"/>
      <c r="AF567" s="976">
        <v>6000</v>
      </c>
      <c r="AG567" s="320">
        <v>25082.75</v>
      </c>
      <c r="AH567" s="976">
        <v>2680</v>
      </c>
      <c r="AI567" s="326">
        <v>576</v>
      </c>
      <c r="AJ567" s="976" t="s">
        <v>3248</v>
      </c>
      <c r="AK567" s="976"/>
      <c r="AL567" s="976"/>
      <c r="AM567" s="976" t="s">
        <v>1228</v>
      </c>
      <c r="AN567" s="321">
        <v>5.5</v>
      </c>
      <c r="AO567" s="321"/>
      <c r="AP567" s="321"/>
      <c r="AQ567" s="321"/>
      <c r="AR567" s="321"/>
      <c r="AS567" s="321"/>
      <c r="AT567" s="321">
        <f>+ab($U$567,$T$565,$U$571,$G$566,$G$568,-1*$F$567,1200)</f>
        <v>-15.610552522956953</v>
      </c>
      <c r="AU567" s="321"/>
      <c r="AV567" s="321"/>
      <c r="AW567" s="321" t="s">
        <v>2631</v>
      </c>
      <c r="AX567" s="321" t="s">
        <v>1639</v>
      </c>
      <c r="AY567" s="321">
        <v>2.6</v>
      </c>
      <c r="AZ567" s="321"/>
      <c r="BA567" s="321"/>
      <c r="BB567" s="306"/>
    </row>
    <row r="568" spans="1:59" ht="14.25">
      <c r="A568" s="318"/>
      <c r="B568" s="329"/>
      <c r="C568" s="320"/>
      <c r="D568" s="976"/>
      <c r="E568" s="976"/>
      <c r="F568" s="326"/>
      <c r="G568" s="327">
        <v>42</v>
      </c>
      <c r="H568" s="337"/>
      <c r="I568" s="319"/>
      <c r="J568" s="320"/>
      <c r="K568" s="976"/>
      <c r="L568" s="976"/>
      <c r="M568" s="976"/>
      <c r="N568" s="337"/>
      <c r="O568" s="337"/>
      <c r="P568" s="976"/>
      <c r="Q568" s="976"/>
      <c r="R568" s="327"/>
      <c r="S568" s="327">
        <v>42.630000000001019</v>
      </c>
      <c r="T568" s="976"/>
      <c r="U568" s="976"/>
      <c r="V568" s="976"/>
      <c r="W568" s="976"/>
      <c r="X568" s="976"/>
      <c r="Y568" s="976"/>
      <c r="Z568" s="976"/>
      <c r="AA568" s="976"/>
      <c r="AB568" s="976"/>
      <c r="AC568" s="976"/>
      <c r="AD568" s="976"/>
      <c r="AE568" s="976"/>
      <c r="AF568" s="976"/>
      <c r="AG568" s="320"/>
      <c r="AH568" s="976" t="s">
        <v>695</v>
      </c>
      <c r="AI568" s="326" t="s">
        <v>695</v>
      </c>
      <c r="AJ568" s="976"/>
      <c r="AK568" s="976"/>
      <c r="AL568" s="976"/>
      <c r="AM568" s="976"/>
      <c r="AN568" s="321"/>
      <c r="AO568" s="321"/>
      <c r="AP568" s="321"/>
      <c r="AQ568" s="321">
        <f>+FL_1($T$571,$U$567,$G$570+42,1200,9.28,-1*$F$571)</f>
        <v>0.35695465849645386</v>
      </c>
      <c r="AR568" s="321"/>
      <c r="AS568" s="321"/>
      <c r="AT568" s="321"/>
      <c r="AU568" s="321"/>
      <c r="AV568" s="321"/>
      <c r="AW568" s="976"/>
      <c r="AX568" s="976"/>
      <c r="AY568" s="321"/>
      <c r="AZ568" s="321"/>
      <c r="BA568" s="321"/>
      <c r="BB568" s="306"/>
    </row>
    <row r="569" spans="1:59" ht="14.25">
      <c r="A569" s="318"/>
      <c r="B569" s="329" t="s">
        <v>1737</v>
      </c>
      <c r="C569" s="320">
        <f>+$C$567+$G$568</f>
        <v>25126.000000000004</v>
      </c>
      <c r="D569" s="976"/>
      <c r="E569" s="976"/>
      <c r="F569" s="326">
        <v>0</v>
      </c>
      <c r="G569" s="327"/>
      <c r="H569" s="337"/>
      <c r="I569" s="319"/>
      <c r="J569" s="320"/>
      <c r="K569" s="976"/>
      <c r="L569" s="976" t="s">
        <v>881</v>
      </c>
      <c r="M569" s="976" t="s">
        <v>1057</v>
      </c>
      <c r="N569" s="337"/>
      <c r="O569" s="337"/>
      <c r="P569" s="976"/>
      <c r="Q569" s="976">
        <v>0</v>
      </c>
      <c r="R569" s="326">
        <v>0</v>
      </c>
      <c r="S569" s="327"/>
      <c r="T569" s="976"/>
      <c r="U569" s="976"/>
      <c r="V569" s="976"/>
      <c r="W569" s="976"/>
      <c r="X569" s="976"/>
      <c r="Y569" s="976"/>
      <c r="Z569" s="976"/>
      <c r="AA569" s="976"/>
      <c r="AB569" s="976"/>
      <c r="AC569" s="976"/>
      <c r="AD569" s="976"/>
      <c r="AE569" s="976"/>
      <c r="AF569" s="976"/>
      <c r="AG569" s="320">
        <v>25125.38</v>
      </c>
      <c r="AH569" s="976">
        <v>2556</v>
      </c>
      <c r="AI569" s="326">
        <v>626</v>
      </c>
      <c r="AJ569" s="976" t="s">
        <v>966</v>
      </c>
      <c r="AK569" s="976"/>
      <c r="AL569" s="976"/>
      <c r="AM569" s="976" t="s">
        <v>1228</v>
      </c>
      <c r="AN569" s="321"/>
      <c r="AO569" s="321"/>
      <c r="AP569" s="321"/>
      <c r="AQ569" s="321"/>
      <c r="AR569" s="321"/>
      <c r="AS569" s="321"/>
      <c r="AT569" s="321"/>
      <c r="AU569" s="321"/>
      <c r="AV569" s="321"/>
      <c r="AW569" s="321" t="s">
        <v>2631</v>
      </c>
      <c r="AX569" s="321" t="s">
        <v>1639</v>
      </c>
      <c r="AY569" s="321">
        <v>3.4</v>
      </c>
      <c r="AZ569" s="321"/>
      <c r="BA569" s="1127"/>
      <c r="BB569" s="306"/>
    </row>
    <row r="570" spans="1:59" ht="14.25">
      <c r="A570" s="318"/>
      <c r="B570" s="329"/>
      <c r="C570" s="320"/>
      <c r="D570" s="976"/>
      <c r="E570" s="976"/>
      <c r="F570" s="326"/>
      <c r="G570" s="327">
        <v>5</v>
      </c>
      <c r="H570" s="337"/>
      <c r="I570" s="319"/>
      <c r="J570" s="320"/>
      <c r="K570" s="976"/>
      <c r="L570" s="976"/>
      <c r="M570" s="976"/>
      <c r="N570" s="337"/>
      <c r="O570" s="337"/>
      <c r="P570" s="976"/>
      <c r="Q570" s="976"/>
      <c r="R570" s="327"/>
      <c r="S570" s="327">
        <v>4.9599999999991269</v>
      </c>
      <c r="T570" s="976"/>
      <c r="U570" s="976"/>
      <c r="V570" s="976"/>
      <c r="W570" s="976"/>
      <c r="X570" s="976"/>
      <c r="Y570" s="976"/>
      <c r="Z570" s="976"/>
      <c r="AA570" s="976"/>
      <c r="AB570" s="976"/>
      <c r="AC570" s="976"/>
      <c r="AD570" s="976"/>
      <c r="AE570" s="976"/>
      <c r="AF570" s="976"/>
      <c r="AG570" s="320"/>
      <c r="AH570" s="976" t="s">
        <v>695</v>
      </c>
      <c r="AI570" s="326" t="s">
        <v>695</v>
      </c>
      <c r="AJ570" s="976" t="s">
        <v>1590</v>
      </c>
      <c r="AK570" s="976"/>
      <c r="AL570" s="976"/>
      <c r="AM570" s="976"/>
      <c r="AN570" s="321"/>
      <c r="AO570" s="321"/>
      <c r="AP570" s="321"/>
      <c r="AQ570" s="321"/>
      <c r="AR570" s="321"/>
      <c r="AS570" s="321"/>
      <c r="AT570" s="321"/>
      <c r="AU570" s="321"/>
      <c r="AV570" s="321"/>
      <c r="AW570" s="976"/>
      <c r="AX570" s="976"/>
      <c r="AY570" s="321"/>
      <c r="AZ570" s="321"/>
      <c r="BA570" s="321"/>
      <c r="BB570" s="306"/>
    </row>
    <row r="571" spans="1:59" ht="14.25">
      <c r="A571" s="318"/>
      <c r="B571" s="329" t="s">
        <v>1738</v>
      </c>
      <c r="C571" s="320">
        <f>+$C$569+$G$570</f>
        <v>25131.000000000004</v>
      </c>
      <c r="D571" s="976"/>
      <c r="E571" s="976"/>
      <c r="F571" s="326">
        <v>0</v>
      </c>
      <c r="G571" s="327"/>
      <c r="H571" s="337" t="s">
        <v>651</v>
      </c>
      <c r="I571" s="319" t="s">
        <v>2016</v>
      </c>
      <c r="J571" s="320"/>
      <c r="K571" s="976"/>
      <c r="L571" s="976" t="s">
        <v>231</v>
      </c>
      <c r="M571" s="976" t="s">
        <v>2672</v>
      </c>
      <c r="N571" s="337" t="s">
        <v>145</v>
      </c>
      <c r="O571" s="337" t="s">
        <v>140</v>
      </c>
      <c r="P571" s="976"/>
      <c r="Q571" s="976">
        <v>0</v>
      </c>
      <c r="R571" s="326">
        <v>0</v>
      </c>
      <c r="S571" s="327"/>
      <c r="T571" s="976">
        <v>35</v>
      </c>
      <c r="U571" s="976">
        <v>-10</v>
      </c>
      <c r="V571" s="976"/>
      <c r="W571" s="976">
        <v>1.4</v>
      </c>
      <c r="X571" s="976">
        <v>2.2999999999999998</v>
      </c>
      <c r="Y571" s="976"/>
      <c r="Z571" s="976"/>
      <c r="AA571" s="976">
        <v>0.45</v>
      </c>
      <c r="AB571" s="976"/>
      <c r="AC571" s="976" t="s">
        <v>1704</v>
      </c>
      <c r="AD571" s="976"/>
      <c r="AE571" s="976"/>
      <c r="AF571" s="976">
        <v>6000</v>
      </c>
      <c r="AG571" s="320">
        <v>25130.34</v>
      </c>
      <c r="AH571" s="976">
        <v>2530</v>
      </c>
      <c r="AI571" s="326">
        <v>601</v>
      </c>
      <c r="AJ571" s="976" t="s">
        <v>3248</v>
      </c>
      <c r="AK571" s="976"/>
      <c r="AL571" s="976"/>
      <c r="AM571" s="976" t="s">
        <v>1228</v>
      </c>
      <c r="AN571" s="321">
        <v>5.5</v>
      </c>
      <c r="AO571" s="321"/>
      <c r="AP571" s="321"/>
      <c r="AQ571" s="321"/>
      <c r="AR571" s="321"/>
      <c r="AS571" s="321"/>
      <c r="AT571" s="321">
        <f>+ab($T$571,$T$567,$T$573,$G$568,$G$572,-1*$F$571,1200)</f>
        <v>16.548429696634429</v>
      </c>
      <c r="AU571" s="321"/>
      <c r="AV571" s="321"/>
      <c r="AW571" s="321" t="s">
        <v>2631</v>
      </c>
      <c r="AX571" s="321" t="s">
        <v>1639</v>
      </c>
      <c r="AY571" s="321">
        <v>3.2</v>
      </c>
      <c r="AZ571" s="321"/>
      <c r="BA571" s="321"/>
      <c r="BB571" s="306"/>
    </row>
    <row r="572" spans="1:59" ht="14.25">
      <c r="A572" s="318"/>
      <c r="B572" s="329"/>
      <c r="C572" s="320"/>
      <c r="D572" s="976"/>
      <c r="E572" s="976"/>
      <c r="F572" s="326"/>
      <c r="G572" s="327">
        <v>47</v>
      </c>
      <c r="H572" s="337"/>
      <c r="I572" s="319"/>
      <c r="J572" s="320"/>
      <c r="K572" s="976"/>
      <c r="L572" s="976"/>
      <c r="M572" s="976"/>
      <c r="N572" s="337"/>
      <c r="O572" s="337"/>
      <c r="P572" s="976"/>
      <c r="Q572" s="976"/>
      <c r="R572" s="327"/>
      <c r="S572" s="327">
        <v>47.290000000000873</v>
      </c>
      <c r="T572" s="976"/>
      <c r="U572" s="976"/>
      <c r="V572" s="976"/>
      <c r="W572" s="976"/>
      <c r="X572" s="976"/>
      <c r="Y572" s="976"/>
      <c r="Z572" s="976"/>
      <c r="AA572" s="976"/>
      <c r="AB572" s="976"/>
      <c r="AC572" s="976"/>
      <c r="AD572" s="976"/>
      <c r="AE572" s="976"/>
      <c r="AF572" s="976"/>
      <c r="AG572" s="320"/>
      <c r="AH572" s="976" t="s">
        <v>695</v>
      </c>
      <c r="AI572" s="326" t="s">
        <v>695</v>
      </c>
      <c r="AJ572" s="976"/>
      <c r="AK572" s="976"/>
      <c r="AL572" s="976"/>
      <c r="AM572" s="976"/>
      <c r="AN572" s="321"/>
      <c r="AO572" s="321"/>
      <c r="AP572" s="321"/>
      <c r="AQ572" s="321">
        <f>+FL_1($U$573,$T$571,$G$572,1200,9.28,-1*$F$573)</f>
        <v>0.35695465849645375</v>
      </c>
      <c r="AR572" s="321"/>
      <c r="AS572" s="321"/>
      <c r="AT572" s="321"/>
      <c r="AU572" s="321"/>
      <c r="AV572" s="321"/>
      <c r="AW572" s="976"/>
      <c r="AX572" s="976"/>
      <c r="AY572" s="321"/>
      <c r="AZ572" s="321"/>
      <c r="BA572" s="321"/>
      <c r="BB572" s="306"/>
    </row>
    <row r="573" spans="1:59" ht="14.25">
      <c r="A573" s="318"/>
      <c r="B573" s="329" t="s">
        <v>1739</v>
      </c>
      <c r="C573" s="320">
        <f>+$C$571+$G$572</f>
        <v>25178.000000000004</v>
      </c>
      <c r="D573" s="976"/>
      <c r="E573" s="976"/>
      <c r="F573" s="326">
        <v>0</v>
      </c>
      <c r="G573" s="327"/>
      <c r="H573" s="337" t="s">
        <v>651</v>
      </c>
      <c r="I573" s="319"/>
      <c r="J573" s="320"/>
      <c r="K573" s="976"/>
      <c r="L573" s="976" t="s">
        <v>231</v>
      </c>
      <c r="M573" s="976" t="s">
        <v>2672</v>
      </c>
      <c r="N573" s="337" t="s">
        <v>140</v>
      </c>
      <c r="O573" s="337" t="s">
        <v>144</v>
      </c>
      <c r="P573" s="976"/>
      <c r="Q573" s="976">
        <v>0</v>
      </c>
      <c r="R573" s="326">
        <v>0</v>
      </c>
      <c r="S573" s="327"/>
      <c r="T573" s="976">
        <v>10</v>
      </c>
      <c r="U573" s="976">
        <v>-35</v>
      </c>
      <c r="V573" s="976"/>
      <c r="W573" s="976">
        <v>1.4</v>
      </c>
      <c r="X573" s="976">
        <v>2.2999999999999998</v>
      </c>
      <c r="Y573" s="976"/>
      <c r="Z573" s="976">
        <v>0.45</v>
      </c>
      <c r="AA573" s="976"/>
      <c r="AB573" s="976"/>
      <c r="AC573" s="976"/>
      <c r="AD573" s="976" t="s">
        <v>1704</v>
      </c>
      <c r="AE573" s="976"/>
      <c r="AF573" s="976">
        <v>6000</v>
      </c>
      <c r="AG573" s="320">
        <v>25177.63</v>
      </c>
      <c r="AH573" s="976">
        <v>2655</v>
      </c>
      <c r="AI573" s="326">
        <v>651</v>
      </c>
      <c r="AJ573" s="976"/>
      <c r="AK573" s="976"/>
      <c r="AL573" s="976"/>
      <c r="AM573" s="976" t="s">
        <v>1228</v>
      </c>
      <c r="AN573" s="321">
        <v>5.5</v>
      </c>
      <c r="AO573" s="321"/>
      <c r="AP573" s="321"/>
      <c r="AQ573" s="321"/>
      <c r="AR573" s="321"/>
      <c r="AS573" s="321"/>
      <c r="AT573" s="321">
        <f>+ab($U$573,$U$571,$U$577,$G$572,$G$576,-1*$F$573,1200)</f>
        <v>-16.548553216927594</v>
      </c>
      <c r="AU573" s="321"/>
      <c r="AV573" s="321"/>
      <c r="AW573" s="321" t="s">
        <v>2631</v>
      </c>
      <c r="AX573" s="321" t="s">
        <v>1639</v>
      </c>
      <c r="AY573" s="321">
        <v>3.2</v>
      </c>
      <c r="AZ573" s="321"/>
      <c r="BA573" s="321"/>
      <c r="BB573" s="306"/>
    </row>
    <row r="574" spans="1:59" ht="14.25">
      <c r="A574" s="318"/>
      <c r="B574" s="329"/>
      <c r="C574" s="320"/>
      <c r="D574" s="976"/>
      <c r="E574" s="976"/>
      <c r="F574" s="326"/>
      <c r="G574" s="327">
        <v>5</v>
      </c>
      <c r="H574" s="337"/>
      <c r="I574" s="319"/>
      <c r="J574" s="320"/>
      <c r="K574" s="976"/>
      <c r="L574" s="976"/>
      <c r="M574" s="976"/>
      <c r="N574" s="337"/>
      <c r="O574" s="337"/>
      <c r="P574" s="976"/>
      <c r="Q574" s="976"/>
      <c r="R574" s="327"/>
      <c r="S574" s="327">
        <v>5.069999999999709</v>
      </c>
      <c r="T574" s="976"/>
      <c r="U574" s="976"/>
      <c r="V574" s="976"/>
      <c r="W574" s="976"/>
      <c r="X574" s="976"/>
      <c r="Y574" s="976"/>
      <c r="Z574" s="976"/>
      <c r="AA574" s="976"/>
      <c r="AB574" s="976"/>
      <c r="AC574" s="976"/>
      <c r="AD574" s="976"/>
      <c r="AE574" s="976"/>
      <c r="AF574" s="976"/>
      <c r="AG574" s="320"/>
      <c r="AH574" s="976" t="s">
        <v>695</v>
      </c>
      <c r="AI574" s="326" t="s">
        <v>695</v>
      </c>
      <c r="AJ574" s="976"/>
      <c r="AK574" s="976"/>
      <c r="AL574" s="976"/>
      <c r="AM574" s="976"/>
      <c r="AN574" s="321"/>
      <c r="AO574" s="321"/>
      <c r="AP574" s="321"/>
      <c r="AQ574" s="321">
        <f>+FL_1($T$577,$U$573,$G$574+42,1200,9.28,-1*$F$575)</f>
        <v>0.35695465849645386</v>
      </c>
      <c r="AR574" s="321"/>
      <c r="AS574" s="321"/>
      <c r="AT574" s="321"/>
      <c r="AU574" s="321"/>
      <c r="AV574" s="321"/>
      <c r="AW574" s="976"/>
      <c r="AX574" s="976"/>
      <c r="AY574" s="321"/>
      <c r="AZ574" s="321"/>
      <c r="BA574" s="321"/>
      <c r="BB574" s="306"/>
    </row>
    <row r="575" spans="1:59" ht="14.25">
      <c r="A575" s="318"/>
      <c r="B575" s="329" t="s">
        <v>1740</v>
      </c>
      <c r="C575" s="320">
        <f>+$C$573+$G$574</f>
        <v>25183.000000000004</v>
      </c>
      <c r="D575" s="976"/>
      <c r="E575" s="976"/>
      <c r="F575" s="326">
        <v>0</v>
      </c>
      <c r="G575" s="327"/>
      <c r="H575" s="337"/>
      <c r="I575" s="319"/>
      <c r="J575" s="320"/>
      <c r="K575" s="976"/>
      <c r="L575" s="976" t="s">
        <v>881</v>
      </c>
      <c r="M575" s="976" t="s">
        <v>1057</v>
      </c>
      <c r="N575" s="337"/>
      <c r="O575" s="337"/>
      <c r="P575" s="976"/>
      <c r="Q575" s="976">
        <v>0</v>
      </c>
      <c r="R575" s="326">
        <v>0</v>
      </c>
      <c r="S575" s="327"/>
      <c r="T575" s="976"/>
      <c r="U575" s="976"/>
      <c r="V575" s="976"/>
      <c r="W575" s="976"/>
      <c r="X575" s="976"/>
      <c r="Y575" s="976"/>
      <c r="Z575" s="976"/>
      <c r="AA575" s="976"/>
      <c r="AB575" s="976"/>
      <c r="AC575" s="976"/>
      <c r="AD575" s="976"/>
      <c r="AE575" s="976"/>
      <c r="AF575" s="976"/>
      <c r="AG575" s="320">
        <v>25182.7</v>
      </c>
      <c r="AH575" s="976">
        <v>2622</v>
      </c>
      <c r="AI575" s="326">
        <v>621</v>
      </c>
      <c r="AJ575" s="976" t="s">
        <v>966</v>
      </c>
      <c r="AK575" s="976"/>
      <c r="AL575" s="976"/>
      <c r="AM575" s="976" t="s">
        <v>1228</v>
      </c>
      <c r="AN575" s="321"/>
      <c r="AO575" s="321"/>
      <c r="AP575" s="321"/>
      <c r="AQ575" s="321"/>
      <c r="AR575" s="321"/>
      <c r="AS575" s="321"/>
      <c r="AT575" s="321"/>
      <c r="AU575" s="321"/>
      <c r="AV575" s="321"/>
      <c r="AW575" s="321" t="s">
        <v>2631</v>
      </c>
      <c r="AX575" s="321" t="s">
        <v>1639</v>
      </c>
      <c r="AY575" s="321">
        <v>3.4</v>
      </c>
      <c r="AZ575" s="321"/>
      <c r="BA575" s="1127"/>
      <c r="BB575" s="306"/>
    </row>
    <row r="576" spans="1:59" ht="14.25">
      <c r="A576" s="318"/>
      <c r="B576" s="329"/>
      <c r="C576" s="320"/>
      <c r="D576" s="976"/>
      <c r="E576" s="976"/>
      <c r="F576" s="326"/>
      <c r="G576" s="327">
        <v>42</v>
      </c>
      <c r="H576" s="337"/>
      <c r="I576" s="337"/>
      <c r="J576" s="320"/>
      <c r="K576" s="976"/>
      <c r="L576" s="976"/>
      <c r="M576" s="976"/>
      <c r="N576" s="337"/>
      <c r="O576" s="337"/>
      <c r="P576" s="976"/>
      <c r="Q576" s="976"/>
      <c r="R576" s="327"/>
      <c r="S576" s="327">
        <v>42.319999999999709</v>
      </c>
      <c r="T576" s="976"/>
      <c r="U576" s="976"/>
      <c r="V576" s="976"/>
      <c r="W576" s="976"/>
      <c r="X576" s="976"/>
      <c r="Y576" s="976"/>
      <c r="Z576" s="976"/>
      <c r="AA576" s="976"/>
      <c r="AB576" s="976"/>
      <c r="AC576" s="976"/>
      <c r="AD576" s="976"/>
      <c r="AE576" s="976"/>
      <c r="AF576" s="976"/>
      <c r="AG576" s="320"/>
      <c r="AH576" s="976" t="s">
        <v>695</v>
      </c>
      <c r="AI576" s="326" t="s">
        <v>695</v>
      </c>
      <c r="AJ576" s="976" t="s">
        <v>1590</v>
      </c>
      <c r="AK576" s="976"/>
      <c r="AL576" s="976"/>
      <c r="AM576" s="976"/>
      <c r="AN576" s="321"/>
      <c r="AO576" s="321"/>
      <c r="AP576" s="321"/>
      <c r="AQ576" s="321"/>
      <c r="AR576" s="321"/>
      <c r="AS576" s="321"/>
      <c r="AT576" s="321"/>
      <c r="AU576" s="321"/>
      <c r="AV576" s="321"/>
      <c r="AW576" s="976"/>
      <c r="AX576" s="976"/>
      <c r="AY576" s="321"/>
      <c r="AZ576" s="321"/>
      <c r="BA576" s="321"/>
      <c r="BB576" s="306"/>
    </row>
    <row r="577" spans="1:59" ht="14.25">
      <c r="A577" s="318"/>
      <c r="B577" s="329" t="s">
        <v>1741</v>
      </c>
      <c r="C577" s="320">
        <f>+$C$575+$G$576</f>
        <v>25225.000000000004</v>
      </c>
      <c r="D577" s="976"/>
      <c r="E577" s="976"/>
      <c r="F577" s="326">
        <v>0</v>
      </c>
      <c r="G577" s="327"/>
      <c r="H577" s="337" t="s">
        <v>651</v>
      </c>
      <c r="I577" s="319" t="s">
        <v>2016</v>
      </c>
      <c r="J577" s="320"/>
      <c r="K577" s="976"/>
      <c r="L577" s="976" t="s">
        <v>231</v>
      </c>
      <c r="M577" s="976" t="s">
        <v>2672</v>
      </c>
      <c r="N577" s="337" t="s">
        <v>145</v>
      </c>
      <c r="O577" s="337" t="s">
        <v>140</v>
      </c>
      <c r="P577" s="976"/>
      <c r="Q577" s="976">
        <v>0</v>
      </c>
      <c r="R577" s="326">
        <v>0</v>
      </c>
      <c r="S577" s="327"/>
      <c r="T577" s="976">
        <v>35</v>
      </c>
      <c r="U577" s="976">
        <v>-10</v>
      </c>
      <c r="V577" s="976"/>
      <c r="W577" s="976">
        <v>1.4</v>
      </c>
      <c r="X577" s="976">
        <v>2.2999999999999998</v>
      </c>
      <c r="Y577" s="976"/>
      <c r="Z577" s="976"/>
      <c r="AA577" s="976">
        <v>0.45</v>
      </c>
      <c r="AB577" s="976"/>
      <c r="AC577" s="976" t="s">
        <v>1704</v>
      </c>
      <c r="AD577" s="976"/>
      <c r="AE577" s="976"/>
      <c r="AF577" s="976">
        <v>6000</v>
      </c>
      <c r="AG577" s="320">
        <v>25225.02</v>
      </c>
      <c r="AH577" s="976">
        <v>2589</v>
      </c>
      <c r="AI577" s="326">
        <v>653</v>
      </c>
      <c r="AJ577" s="976" t="s">
        <v>3248</v>
      </c>
      <c r="AK577" s="976"/>
      <c r="AL577" s="976"/>
      <c r="AM577" s="976" t="s">
        <v>1228</v>
      </c>
      <c r="AN577" s="321">
        <v>5.5</v>
      </c>
      <c r="AO577" s="321"/>
      <c r="AP577" s="321"/>
      <c r="AQ577" s="321"/>
      <c r="AR577" s="321"/>
      <c r="AS577" s="321"/>
      <c r="AT577" s="321">
        <f>+ab($T$577,$T$573,$T$581,$G$576,$G$580,-1*$F$577,1200)</f>
        <v>11.044147634985636</v>
      </c>
      <c r="AU577" s="321"/>
      <c r="AV577" s="321"/>
      <c r="AW577" s="321" t="s">
        <v>2631</v>
      </c>
      <c r="AX577" s="321" t="s">
        <v>1639</v>
      </c>
      <c r="AY577" s="321">
        <v>3.2</v>
      </c>
      <c r="AZ577" s="321"/>
      <c r="BA577" s="321"/>
      <c r="BB577" s="306"/>
    </row>
    <row r="578" spans="1:59" s="1204" customFormat="1" ht="14.25">
      <c r="A578" s="318"/>
      <c r="B578" s="329"/>
      <c r="C578" s="320"/>
      <c r="D578" s="976"/>
      <c r="E578" s="976"/>
      <c r="F578" s="326"/>
      <c r="G578" s="327"/>
      <c r="H578" s="337"/>
      <c r="I578" s="319"/>
      <c r="J578" s="320"/>
      <c r="K578" s="976"/>
      <c r="L578" s="976"/>
      <c r="M578" s="976"/>
      <c r="N578" s="337"/>
      <c r="O578" s="337"/>
      <c r="P578" s="976"/>
      <c r="Q578" s="976"/>
      <c r="R578" s="327"/>
      <c r="S578" s="327"/>
      <c r="T578" s="976"/>
      <c r="U578" s="976"/>
      <c r="V578" s="976"/>
      <c r="W578" s="976"/>
      <c r="X578" s="976"/>
      <c r="Y578" s="976"/>
      <c r="Z578" s="976"/>
      <c r="AA578" s="976"/>
      <c r="AB578" s="976"/>
      <c r="AC578" s="976"/>
      <c r="AD578" s="976"/>
      <c r="AE578" s="976"/>
      <c r="AF578" s="976"/>
      <c r="AG578" s="320"/>
      <c r="AH578" s="976" t="s">
        <v>695</v>
      </c>
      <c r="AI578" s="326" t="s">
        <v>695</v>
      </c>
      <c r="AJ578" s="976" t="s">
        <v>1593</v>
      </c>
      <c r="AK578" s="976"/>
      <c r="AL578" s="976"/>
      <c r="AM578" s="976"/>
      <c r="AN578" s="321"/>
      <c r="AO578" s="321"/>
      <c r="AP578" s="321"/>
      <c r="AQ578" s="321"/>
      <c r="AR578" s="321"/>
      <c r="AS578" s="321"/>
      <c r="AT578" s="321"/>
      <c r="AU578" s="321"/>
      <c r="AV578" s="321"/>
      <c r="AW578" s="976"/>
      <c r="AX578" s="976"/>
      <c r="AY578" s="321"/>
      <c r="AZ578" s="321"/>
      <c r="BA578" s="321"/>
      <c r="BB578" s="306"/>
      <c r="BE578" s="307"/>
      <c r="BF578" s="307"/>
      <c r="BG578" s="307"/>
    </row>
    <row r="579" spans="1:59" s="1204" customFormat="1" ht="14.25">
      <c r="A579" s="318"/>
      <c r="B579" s="329" t="s">
        <v>3275</v>
      </c>
      <c r="C579" s="320"/>
      <c r="D579" s="976"/>
      <c r="E579" s="976"/>
      <c r="F579" s="326"/>
      <c r="G579" s="327"/>
      <c r="H579" s="337"/>
      <c r="I579" s="319"/>
      <c r="J579" s="320"/>
      <c r="K579" s="976"/>
      <c r="L579" s="976" t="s">
        <v>3274</v>
      </c>
      <c r="M579" s="1208" t="s">
        <v>3273</v>
      </c>
      <c r="N579" s="337"/>
      <c r="O579" s="337"/>
      <c r="P579" s="976"/>
      <c r="Q579" s="976"/>
      <c r="R579" s="327"/>
      <c r="S579" s="327"/>
      <c r="T579" s="976"/>
      <c r="U579" s="976"/>
      <c r="V579" s="976"/>
      <c r="W579" s="976"/>
      <c r="X579" s="976"/>
      <c r="Y579" s="976"/>
      <c r="Z579" s="976"/>
      <c r="AA579" s="976"/>
      <c r="AB579" s="976"/>
      <c r="AC579" s="976"/>
      <c r="AD579" s="976"/>
      <c r="AE579" s="976"/>
      <c r="AF579" s="976"/>
      <c r="AG579" s="320">
        <v>25250.02</v>
      </c>
      <c r="AH579" s="976"/>
      <c r="AI579" s="326"/>
      <c r="AJ579" s="976"/>
      <c r="AK579" s="976"/>
      <c r="AL579" s="976"/>
      <c r="AM579" s="976"/>
      <c r="AN579" s="321"/>
      <c r="AO579" s="321"/>
      <c r="AP579" s="321"/>
      <c r="AQ579" s="321"/>
      <c r="AR579" s="321"/>
      <c r="AS579" s="321"/>
      <c r="AT579" s="321"/>
      <c r="AU579" s="321"/>
      <c r="AV579" s="321"/>
      <c r="AW579" s="321" t="s">
        <v>2631</v>
      </c>
      <c r="AX579" s="321" t="s">
        <v>1639</v>
      </c>
      <c r="AY579" s="321">
        <v>1.2</v>
      </c>
      <c r="AZ579" s="321"/>
      <c r="BA579" s="321"/>
      <c r="BB579" s="306"/>
      <c r="BE579" s="307"/>
      <c r="BF579" s="307"/>
      <c r="BG579" s="307"/>
    </row>
    <row r="580" spans="1:59" ht="14.25">
      <c r="A580" s="318"/>
      <c r="B580" s="329"/>
      <c r="C580" s="320"/>
      <c r="D580" s="976"/>
      <c r="E580" s="976"/>
      <c r="F580" s="326"/>
      <c r="G580" s="327">
        <v>58</v>
      </c>
      <c r="H580" s="337"/>
      <c r="I580" s="319"/>
      <c r="J580" s="320"/>
      <c r="K580" s="976"/>
      <c r="L580" s="976"/>
      <c r="M580" s="976"/>
      <c r="N580" s="337"/>
      <c r="O580" s="337"/>
      <c r="P580" s="976"/>
      <c r="Q580" s="976"/>
      <c r="R580" s="327"/>
      <c r="S580" s="327">
        <v>57.450000000000728</v>
      </c>
      <c r="T580" s="976"/>
      <c r="U580" s="976"/>
      <c r="V580" s="976"/>
      <c r="W580" s="976"/>
      <c r="X580" s="976"/>
      <c r="Y580" s="976"/>
      <c r="Z580" s="976"/>
      <c r="AA580" s="976"/>
      <c r="AB580" s="976"/>
      <c r="AC580" s="976"/>
      <c r="AD580" s="976"/>
      <c r="AE580" s="976"/>
      <c r="AF580" s="976"/>
      <c r="AG580" s="320"/>
      <c r="AH580" s="976" t="s">
        <v>695</v>
      </c>
      <c r="AI580" s="326" t="s">
        <v>695</v>
      </c>
      <c r="AJ580" s="976"/>
      <c r="AK580" s="976"/>
      <c r="AL580" s="976"/>
      <c r="AM580" s="976"/>
      <c r="AN580" s="321"/>
      <c r="AO580" s="321"/>
      <c r="AP580" s="321"/>
      <c r="AQ580" s="321">
        <f>+FL_1($T$581,$T$577,$G$580,1200,9.28,-1*$F$581)</f>
        <v>0.43139002570114943</v>
      </c>
      <c r="AR580" s="321"/>
      <c r="AS580" s="321"/>
      <c r="AT580" s="321"/>
      <c r="AU580" s="321"/>
      <c r="AV580" s="321"/>
      <c r="AW580" s="976"/>
      <c r="AX580" s="976"/>
      <c r="AY580" s="321"/>
      <c r="AZ580" s="321"/>
      <c r="BA580" s="321"/>
      <c r="BB580" s="306"/>
    </row>
    <row r="581" spans="1:59" ht="14.25">
      <c r="A581" s="318"/>
      <c r="B581" s="329" t="s">
        <v>1742</v>
      </c>
      <c r="C581" s="320">
        <f>+$C$577+$G$580</f>
        <v>25283.000000000004</v>
      </c>
      <c r="D581" s="976"/>
      <c r="E581" s="976"/>
      <c r="F581" s="326">
        <v>0</v>
      </c>
      <c r="G581" s="327"/>
      <c r="H581" s="337" t="s">
        <v>138</v>
      </c>
      <c r="I581" s="319" t="s">
        <v>656</v>
      </c>
      <c r="J581" s="320"/>
      <c r="K581" s="976"/>
      <c r="L581" s="976" t="s">
        <v>1061</v>
      </c>
      <c r="M581" s="976" t="s">
        <v>2672</v>
      </c>
      <c r="N581" s="337" t="s">
        <v>144</v>
      </c>
      <c r="O581" s="337"/>
      <c r="P581" s="976"/>
      <c r="Q581" s="976">
        <v>0</v>
      </c>
      <c r="R581" s="326">
        <v>0</v>
      </c>
      <c r="S581" s="327"/>
      <c r="T581" s="976">
        <v>-30</v>
      </c>
      <c r="U581" s="976"/>
      <c r="V581" s="976"/>
      <c r="W581" s="976">
        <v>1.4</v>
      </c>
      <c r="X581" s="976"/>
      <c r="Y581" s="976"/>
      <c r="Z581" s="976"/>
      <c r="AA581" s="976"/>
      <c r="AB581" s="976"/>
      <c r="AC581" s="976" t="s">
        <v>1704</v>
      </c>
      <c r="AD581" s="976"/>
      <c r="AE581" s="976"/>
      <c r="AF581" s="976">
        <v>6000</v>
      </c>
      <c r="AG581" s="320">
        <v>25282.47</v>
      </c>
      <c r="AH581" s="976">
        <v>2603</v>
      </c>
      <c r="AI581" s="326">
        <v>602</v>
      </c>
      <c r="AJ581" s="976"/>
      <c r="AK581" s="976"/>
      <c r="AL581" s="976"/>
      <c r="AM581" s="976" t="s">
        <v>1228</v>
      </c>
      <c r="AN581" s="321">
        <v>5.5</v>
      </c>
      <c r="AO581" s="321"/>
      <c r="AP581" s="321"/>
      <c r="AQ581" s="321"/>
      <c r="AR581" s="321"/>
      <c r="AS581" s="321"/>
      <c r="AT581" s="321">
        <f>+ab($T$581,$T$577,$T$583,$G$580,$G$582,-1*$F$581,1200)</f>
        <v>-8.3515325223005963</v>
      </c>
      <c r="AU581" s="321"/>
      <c r="AV581" s="321"/>
      <c r="AW581" s="321" t="s">
        <v>2631</v>
      </c>
      <c r="AX581" s="321" t="s">
        <v>1639</v>
      </c>
      <c r="AY581" s="321">
        <v>3.2</v>
      </c>
      <c r="AZ581" s="321"/>
      <c r="BA581" s="321"/>
      <c r="BB581" s="306"/>
    </row>
    <row r="582" spans="1:59" ht="14.25">
      <c r="A582" s="318"/>
      <c r="B582" s="329"/>
      <c r="C582" s="320"/>
      <c r="D582" s="976"/>
      <c r="E582" s="976"/>
      <c r="F582" s="326"/>
      <c r="G582" s="327">
        <v>56</v>
      </c>
      <c r="H582" s="337"/>
      <c r="I582" s="319"/>
      <c r="J582" s="320">
        <f>C581+7.5</f>
        <v>25290.500000000004</v>
      </c>
      <c r="K582" s="976" t="s">
        <v>653</v>
      </c>
      <c r="L582" s="976"/>
      <c r="M582" s="976"/>
      <c r="N582" s="337"/>
      <c r="O582" s="337"/>
      <c r="P582" s="976"/>
      <c r="Q582" s="976"/>
      <c r="R582" s="327"/>
      <c r="S582" s="327">
        <v>56</v>
      </c>
      <c r="T582" s="976"/>
      <c r="U582" s="976"/>
      <c r="V582" s="976"/>
      <c r="W582" s="976"/>
      <c r="X582" s="976"/>
      <c r="Y582" s="976"/>
      <c r="Z582" s="976"/>
      <c r="AA582" s="976"/>
      <c r="AB582" s="976"/>
      <c r="AC582" s="976"/>
      <c r="AD582" s="976"/>
      <c r="AE582" s="976"/>
      <c r="AF582" s="976"/>
      <c r="AG582" s="320"/>
      <c r="AH582" s="976" t="s">
        <v>695</v>
      </c>
      <c r="AI582" s="326" t="s">
        <v>695</v>
      </c>
      <c r="AJ582" s="976"/>
      <c r="AK582" s="976"/>
      <c r="AL582" s="976"/>
      <c r="AM582" s="976"/>
      <c r="AN582" s="321"/>
      <c r="AO582" s="321"/>
      <c r="AP582" s="321"/>
      <c r="AQ582" s="321">
        <f>+FL_1($T$583,$T$581,$G$582,1200,9.28,-1*$F$583)</f>
        <v>0.41525384228571421</v>
      </c>
      <c r="AR582" s="321"/>
      <c r="AS582" s="321"/>
      <c r="AT582" s="321"/>
      <c r="AU582" s="321"/>
      <c r="AV582" s="321"/>
      <c r="AW582" s="321" t="s">
        <v>2631</v>
      </c>
      <c r="AX582" s="321" t="s">
        <v>1639</v>
      </c>
      <c r="AY582" s="321"/>
      <c r="AZ582" s="321">
        <v>2.2999999999999998</v>
      </c>
      <c r="BA582" s="321"/>
      <c r="BB582" s="306"/>
    </row>
    <row r="583" spans="1:59" ht="14.25">
      <c r="A583" s="340"/>
      <c r="B583" s="287" t="s">
        <v>1743</v>
      </c>
      <c r="C583" s="288">
        <f>+$C$581+$G$582</f>
        <v>25339.000000000004</v>
      </c>
      <c r="D583" s="1121"/>
      <c r="E583" s="1121"/>
      <c r="F583" s="289">
        <v>0</v>
      </c>
      <c r="G583" s="292"/>
      <c r="H583" s="291"/>
      <c r="I583" s="294"/>
      <c r="J583" s="288"/>
      <c r="K583" s="1121"/>
      <c r="L583" s="1121" t="s">
        <v>230</v>
      </c>
      <c r="M583" s="1121" t="s">
        <v>2671</v>
      </c>
      <c r="N583" s="291" t="s">
        <v>145</v>
      </c>
      <c r="O583" s="291"/>
      <c r="P583" s="1121"/>
      <c r="Q583" s="1121">
        <v>0</v>
      </c>
      <c r="R583" s="289">
        <v>0</v>
      </c>
      <c r="S583" s="292"/>
      <c r="T583" s="1121">
        <v>35</v>
      </c>
      <c r="U583" s="1121"/>
      <c r="V583" s="1121"/>
      <c r="W583" s="1121">
        <v>1.4</v>
      </c>
      <c r="X583" s="1121"/>
      <c r="Y583" s="1121"/>
      <c r="Z583" s="1121"/>
      <c r="AA583" s="1121"/>
      <c r="AB583" s="1121"/>
      <c r="AC583" s="1121" t="s">
        <v>2963</v>
      </c>
      <c r="AD583" s="1121"/>
      <c r="AE583" s="1121"/>
      <c r="AF583" s="1121">
        <v>6000</v>
      </c>
      <c r="AG583" s="288">
        <v>25338.47</v>
      </c>
      <c r="AH583" s="1121">
        <v>2581</v>
      </c>
      <c r="AI583" s="289">
        <v>600</v>
      </c>
      <c r="AJ583" s="1121"/>
      <c r="AK583" s="1121"/>
      <c r="AL583" s="1121"/>
      <c r="AM583" s="1121" t="s">
        <v>1228</v>
      </c>
      <c r="AN583" s="315">
        <v>5.5</v>
      </c>
      <c r="AO583" s="315"/>
      <c r="AP583" s="315"/>
      <c r="AQ583" s="315"/>
      <c r="AR583" s="315"/>
      <c r="AS583" s="315"/>
      <c r="AT583" s="315">
        <f>+ab($T$583,$T$581,$T$585,$G$582,$G$584,-1*$F$583,1200)</f>
        <v>8.0746807006581616</v>
      </c>
      <c r="AU583" s="315"/>
      <c r="AV583" s="315"/>
      <c r="AW583" s="1121" t="s">
        <v>2630</v>
      </c>
      <c r="AX583" s="1121" t="s">
        <v>1639</v>
      </c>
      <c r="AY583" s="315">
        <v>3</v>
      </c>
      <c r="AZ583" s="315"/>
      <c r="BA583" s="315"/>
      <c r="BB583" s="306"/>
    </row>
    <row r="584" spans="1:59" ht="14.25">
      <c r="A584" s="340"/>
      <c r="B584" s="287"/>
      <c r="C584" s="288"/>
      <c r="D584" s="1121"/>
      <c r="E584" s="1121"/>
      <c r="F584" s="289"/>
      <c r="G584" s="292">
        <v>50</v>
      </c>
      <c r="H584" s="291"/>
      <c r="I584" s="294"/>
      <c r="J584" s="288"/>
      <c r="K584" s="1121"/>
      <c r="L584" s="1121"/>
      <c r="M584" s="1121"/>
      <c r="N584" s="291"/>
      <c r="O584" s="291"/>
      <c r="P584" s="1121"/>
      <c r="Q584" s="1121"/>
      <c r="R584" s="292"/>
      <c r="S584" s="292">
        <v>49.860000000000582</v>
      </c>
      <c r="T584" s="1121"/>
      <c r="U584" s="1121"/>
      <c r="V584" s="1121"/>
      <c r="W584" s="1121"/>
      <c r="X584" s="1121"/>
      <c r="Y584" s="1121"/>
      <c r="Z584" s="1121"/>
      <c r="AA584" s="1121"/>
      <c r="AB584" s="1121"/>
      <c r="AC584" s="1121"/>
      <c r="AD584" s="1121"/>
      <c r="AE584" s="1121"/>
      <c r="AF584" s="1121"/>
      <c r="AG584" s="288"/>
      <c r="AH584" s="1121" t="s">
        <v>695</v>
      </c>
      <c r="AI584" s="289" t="s">
        <v>695</v>
      </c>
      <c r="AJ584" s="1121"/>
      <c r="AK584" s="1121"/>
      <c r="AL584" s="1121"/>
      <c r="AM584" s="1121"/>
      <c r="AN584" s="315"/>
      <c r="AO584" s="315"/>
      <c r="AP584" s="315"/>
      <c r="AQ584" s="315">
        <f>+FL_1($T$585,$T$583,$G$584,1200,9.28,-1*$F$585)</f>
        <v>0.38477011200000011</v>
      </c>
      <c r="AR584" s="315"/>
      <c r="AS584" s="315"/>
      <c r="AT584" s="315"/>
      <c r="AU584" s="315"/>
      <c r="AV584" s="315"/>
      <c r="AW584" s="1121"/>
      <c r="AX584" s="1121"/>
      <c r="AY584" s="315"/>
      <c r="AZ584" s="315"/>
      <c r="BA584" s="315"/>
      <c r="BB584" s="306"/>
    </row>
    <row r="585" spans="1:59" ht="14.25">
      <c r="A585" s="340"/>
      <c r="B585" s="287" t="s">
        <v>1744</v>
      </c>
      <c r="C585" s="288">
        <f>+$C$583+$G$584</f>
        <v>25389.000000000004</v>
      </c>
      <c r="D585" s="1121"/>
      <c r="E585" s="1121"/>
      <c r="F585" s="289">
        <v>0</v>
      </c>
      <c r="G585" s="292"/>
      <c r="H585" s="291"/>
      <c r="I585" s="294"/>
      <c r="J585" s="383"/>
      <c r="K585" s="1121"/>
      <c r="L585" s="1121" t="s">
        <v>230</v>
      </c>
      <c r="M585" s="1121" t="s">
        <v>2671</v>
      </c>
      <c r="N585" s="291" t="s">
        <v>144</v>
      </c>
      <c r="O585" s="1121"/>
      <c r="P585" s="1121"/>
      <c r="Q585" s="1121">
        <v>15</v>
      </c>
      <c r="R585" s="292">
        <v>13590.83</v>
      </c>
      <c r="S585" s="292"/>
      <c r="T585" s="1121">
        <v>-25</v>
      </c>
      <c r="U585" s="1121"/>
      <c r="V585" s="1121"/>
      <c r="W585" s="1121">
        <v>1.4</v>
      </c>
      <c r="X585" s="1121"/>
      <c r="Y585" s="1121"/>
      <c r="Z585" s="1121"/>
      <c r="AA585" s="1121"/>
      <c r="AB585" s="1121"/>
      <c r="AC585" s="1121" t="s">
        <v>1704</v>
      </c>
      <c r="AD585" s="1121"/>
      <c r="AE585" s="1121"/>
      <c r="AF585" s="1121">
        <v>6000</v>
      </c>
      <c r="AG585" s="288">
        <v>25388.33</v>
      </c>
      <c r="AH585" s="1121">
        <v>2575</v>
      </c>
      <c r="AI585" s="289">
        <v>641</v>
      </c>
      <c r="AJ585" s="1121"/>
      <c r="AK585" s="1121"/>
      <c r="AL585" s="1121"/>
      <c r="AM585" s="1121" t="s">
        <v>1228</v>
      </c>
      <c r="AN585" s="315">
        <v>5.5</v>
      </c>
      <c r="AO585" s="315"/>
      <c r="AP585" s="315"/>
      <c r="AQ585" s="315"/>
      <c r="AR585" s="315"/>
      <c r="AS585" s="315"/>
      <c r="AT585" s="315">
        <f>+ab($T$585,$T$583,$T$587,$G$584,$G$586,-1*$F$585,1200)</f>
        <v>-16.933936545423173</v>
      </c>
      <c r="AU585" s="315"/>
      <c r="AV585" s="315"/>
      <c r="AW585" s="1121" t="s">
        <v>2631</v>
      </c>
      <c r="AX585" s="1121" t="s">
        <v>1639</v>
      </c>
      <c r="AY585" s="315">
        <v>2.5</v>
      </c>
      <c r="AZ585" s="315"/>
      <c r="BA585" s="315"/>
      <c r="BB585" s="306"/>
    </row>
    <row r="586" spans="1:59" ht="14.25">
      <c r="A586" s="340"/>
      <c r="B586" s="287"/>
      <c r="C586" s="288"/>
      <c r="D586" s="1121"/>
      <c r="E586" s="1121"/>
      <c r="F586" s="289"/>
      <c r="G586" s="292">
        <v>50</v>
      </c>
      <c r="H586" s="291"/>
      <c r="I586" s="294"/>
      <c r="J586" s="383"/>
      <c r="K586" s="1121"/>
      <c r="L586" s="1121"/>
      <c r="M586" s="1121"/>
      <c r="N586" s="291"/>
      <c r="O586" s="1121"/>
      <c r="P586" s="1121"/>
      <c r="Q586" s="1121"/>
      <c r="R586" s="292"/>
      <c r="S586" s="292">
        <v>50.319999999999709</v>
      </c>
      <c r="T586" s="1121"/>
      <c r="U586" s="1121"/>
      <c r="V586" s="1121"/>
      <c r="W586" s="1121"/>
      <c r="X586" s="1121"/>
      <c r="Y586" s="1121"/>
      <c r="Z586" s="1121"/>
      <c r="AA586" s="1121"/>
      <c r="AB586" s="1121"/>
      <c r="AC586" s="1121"/>
      <c r="AD586" s="1121"/>
      <c r="AE586" s="1121"/>
      <c r="AF586" s="1121"/>
      <c r="AG586" s="288"/>
      <c r="AH586" s="1121" t="s">
        <v>695</v>
      </c>
      <c r="AI586" s="289" t="s">
        <v>695</v>
      </c>
      <c r="AJ586" s="1121"/>
      <c r="AK586" s="1121"/>
      <c r="AL586" s="1121"/>
      <c r="AM586" s="1121"/>
      <c r="AN586" s="315"/>
      <c r="AO586" s="315"/>
      <c r="AP586" s="315"/>
      <c r="AQ586" s="315">
        <f>+FL_2($T$587,$T$585,$G$586,1200,9.28,-1*$F$587)</f>
        <v>-0.45340168462472852</v>
      </c>
      <c r="AR586" s="315"/>
      <c r="AS586" s="315"/>
      <c r="AT586" s="315"/>
      <c r="AU586" s="315"/>
      <c r="AV586" s="315"/>
      <c r="AW586" s="1121"/>
      <c r="AX586" s="1121"/>
      <c r="AY586" s="315"/>
      <c r="AZ586" s="315"/>
      <c r="BA586" s="315"/>
      <c r="BB586" s="306"/>
    </row>
    <row r="587" spans="1:59" ht="14.25">
      <c r="A587" s="340"/>
      <c r="B587" s="287" t="s">
        <v>1745</v>
      </c>
      <c r="C587" s="288">
        <f>+$C$585+$G$586</f>
        <v>25439.000000000004</v>
      </c>
      <c r="D587" s="1121"/>
      <c r="E587" s="1121"/>
      <c r="F587" s="289">
        <f>380000/(C587-25361)</f>
        <v>4871.7948717946447</v>
      </c>
      <c r="G587" s="292"/>
      <c r="H587" s="291"/>
      <c r="I587" s="294"/>
      <c r="J587" s="383"/>
      <c r="K587" s="1121"/>
      <c r="L587" s="1121" t="s">
        <v>230</v>
      </c>
      <c r="M587" s="1121" t="s">
        <v>2671</v>
      </c>
      <c r="N587" s="291" t="s">
        <v>144</v>
      </c>
      <c r="O587" s="1121"/>
      <c r="P587" s="1121"/>
      <c r="Q587" s="1121">
        <v>40</v>
      </c>
      <c r="R587" s="292">
        <v>4849.8999999999996</v>
      </c>
      <c r="S587" s="292"/>
      <c r="T587" s="1121">
        <v>-30</v>
      </c>
      <c r="U587" s="1121"/>
      <c r="V587" s="1121"/>
      <c r="W587" s="1121">
        <v>1.4</v>
      </c>
      <c r="X587" s="1121"/>
      <c r="Y587" s="1121"/>
      <c r="Z587" s="1121"/>
      <c r="AA587" s="1121"/>
      <c r="AB587" s="1121"/>
      <c r="AC587" s="1121" t="s">
        <v>1702</v>
      </c>
      <c r="AD587" s="1121"/>
      <c r="AE587" s="1121"/>
      <c r="AF587" s="1121">
        <v>6000</v>
      </c>
      <c r="AG587" s="288">
        <v>25438.65</v>
      </c>
      <c r="AH587" s="1121">
        <v>2549</v>
      </c>
      <c r="AI587" s="289">
        <v>628</v>
      </c>
      <c r="AJ587" s="1121"/>
      <c r="AK587" s="1121"/>
      <c r="AL587" s="1121"/>
      <c r="AM587" s="1121" t="s">
        <v>1228</v>
      </c>
      <c r="AN587" s="315">
        <v>5.5</v>
      </c>
      <c r="AO587" s="315"/>
      <c r="AP587" s="315"/>
      <c r="AQ587" s="315"/>
      <c r="AR587" s="315"/>
      <c r="AS587" s="315"/>
      <c r="AT587" s="315">
        <f>+ab($T$587,$T$585,$T$589,$G$586,$G$588,-1*$F$587,1200)</f>
        <v>-16.560118618099757</v>
      </c>
      <c r="AU587" s="315"/>
      <c r="AV587" s="315"/>
      <c r="AW587" s="1121" t="s">
        <v>2630</v>
      </c>
      <c r="AX587" s="1121" t="s">
        <v>1639</v>
      </c>
      <c r="AY587" s="315">
        <v>3</v>
      </c>
      <c r="AZ587" s="315"/>
      <c r="BA587" s="315"/>
      <c r="BB587" s="306"/>
    </row>
    <row r="588" spans="1:59" ht="14.25">
      <c r="A588" s="340"/>
      <c r="B588" s="287"/>
      <c r="C588" s="288"/>
      <c r="D588" s="1121"/>
      <c r="E588" s="1121"/>
      <c r="F588" s="289"/>
      <c r="G588" s="292">
        <v>50</v>
      </c>
      <c r="H588" s="291"/>
      <c r="I588" s="291"/>
      <c r="J588" s="288"/>
      <c r="K588" s="1121"/>
      <c r="L588" s="1121"/>
      <c r="M588" s="1121"/>
      <c r="N588" s="291"/>
      <c r="O588" s="1121"/>
      <c r="P588" s="1121"/>
      <c r="Q588" s="1121"/>
      <c r="R588" s="292"/>
      <c r="S588" s="292">
        <v>49.809999999997672</v>
      </c>
      <c r="T588" s="1121"/>
      <c r="U588" s="1121"/>
      <c r="V588" s="1121"/>
      <c r="W588" s="1121"/>
      <c r="X588" s="1121"/>
      <c r="Y588" s="1121"/>
      <c r="Z588" s="1121"/>
      <c r="AA588" s="1121"/>
      <c r="AB588" s="1121"/>
      <c r="AC588" s="1121"/>
      <c r="AD588" s="1121"/>
      <c r="AE588" s="1121"/>
      <c r="AF588" s="1121"/>
      <c r="AG588" s="288"/>
      <c r="AH588" s="1121" t="s">
        <v>695</v>
      </c>
      <c r="AI588" s="289" t="s">
        <v>695</v>
      </c>
      <c r="AJ588" s="1121"/>
      <c r="AK588" s="1121"/>
      <c r="AL588" s="1121"/>
      <c r="AM588" s="1121"/>
      <c r="AN588" s="315"/>
      <c r="AO588" s="315"/>
      <c r="AP588" s="315"/>
      <c r="AQ588" s="315">
        <f>+FL_2($T$589,$T$587,$G$588,1200,9.28,-1*$F$589)</f>
        <v>-0.43640164254444846</v>
      </c>
      <c r="AR588" s="315"/>
      <c r="AS588" s="315"/>
      <c r="AT588" s="315"/>
      <c r="AU588" s="315"/>
      <c r="AV588" s="315"/>
      <c r="AW588" s="1121"/>
      <c r="AX588" s="1121"/>
      <c r="AY588" s="315"/>
      <c r="AZ588" s="315"/>
      <c r="BA588" s="315"/>
      <c r="BB588" s="306"/>
    </row>
    <row r="589" spans="1:59" ht="14.25">
      <c r="A589" s="340"/>
      <c r="B589" s="287" t="s">
        <v>1746</v>
      </c>
      <c r="C589" s="288">
        <f>+$C$587+$G$588</f>
        <v>25489.000000000004</v>
      </c>
      <c r="D589" s="1121"/>
      <c r="E589" s="1121"/>
      <c r="F589" s="289">
        <f>380000/(C589-25361)</f>
        <v>2968.7499999999154</v>
      </c>
      <c r="G589" s="292"/>
      <c r="H589" s="291"/>
      <c r="I589" s="291"/>
      <c r="J589" s="288"/>
      <c r="K589" s="1121"/>
      <c r="L589" s="1121" t="s">
        <v>230</v>
      </c>
      <c r="M589" s="1121" t="s">
        <v>2671</v>
      </c>
      <c r="N589" s="291" t="s">
        <v>144</v>
      </c>
      <c r="O589" s="1121"/>
      <c r="P589" s="1121"/>
      <c r="Q589" s="1121">
        <v>66</v>
      </c>
      <c r="R589" s="292">
        <v>2963.34</v>
      </c>
      <c r="S589" s="292"/>
      <c r="T589" s="1121">
        <v>-30</v>
      </c>
      <c r="U589" s="1121"/>
      <c r="V589" s="1121"/>
      <c r="W589" s="1121">
        <v>1.4</v>
      </c>
      <c r="X589" s="1121"/>
      <c r="Y589" s="1121"/>
      <c r="Z589" s="1121"/>
      <c r="AA589" s="1121"/>
      <c r="AB589" s="1121"/>
      <c r="AC589" s="1121" t="s">
        <v>1704</v>
      </c>
      <c r="AD589" s="1121"/>
      <c r="AE589" s="1121"/>
      <c r="AF589" s="1121">
        <v>6000</v>
      </c>
      <c r="AG589" s="288">
        <v>25488.46</v>
      </c>
      <c r="AH589" s="1121">
        <v>2556</v>
      </c>
      <c r="AI589" s="289">
        <v>664</v>
      </c>
      <c r="AJ589" s="1121"/>
      <c r="AK589" s="1121"/>
      <c r="AL589" s="1121"/>
      <c r="AM589" s="1121" t="s">
        <v>1228</v>
      </c>
      <c r="AN589" s="315">
        <v>5.5</v>
      </c>
      <c r="AO589" s="315"/>
      <c r="AP589" s="315"/>
      <c r="AQ589" s="315"/>
      <c r="AR589" s="315"/>
      <c r="AS589" s="315"/>
      <c r="AT589" s="315">
        <f>+ab($T$589,$T$587,$T$591,$G$588,$G$590,-1*$F$589,1200)</f>
        <v>-11.031843857264798</v>
      </c>
      <c r="AU589" s="315"/>
      <c r="AV589" s="315"/>
      <c r="AW589" s="1121" t="s">
        <v>2630</v>
      </c>
      <c r="AX589" s="1121" t="s">
        <v>1639</v>
      </c>
      <c r="AY589" s="315">
        <v>3</v>
      </c>
      <c r="AZ589" s="315"/>
      <c r="BA589" s="315"/>
      <c r="BB589" s="306"/>
    </row>
    <row r="590" spans="1:59" ht="14.25">
      <c r="A590" s="340"/>
      <c r="B590" s="287"/>
      <c r="C590" s="288"/>
      <c r="D590" s="1121"/>
      <c r="E590" s="1121"/>
      <c r="F590" s="289"/>
      <c r="G590" s="292">
        <v>52</v>
      </c>
      <c r="H590" s="291"/>
      <c r="I590" s="294"/>
      <c r="J590" s="288"/>
      <c r="K590" s="1121"/>
      <c r="L590" s="1121"/>
      <c r="M590" s="1121"/>
      <c r="N590" s="291"/>
      <c r="O590" s="1121"/>
      <c r="P590" s="1121"/>
      <c r="Q590" s="1121"/>
      <c r="R590" s="292"/>
      <c r="S590" s="292">
        <v>52.080000000001746</v>
      </c>
      <c r="T590" s="1121"/>
      <c r="U590" s="1121"/>
      <c r="V590" s="1121"/>
      <c r="W590" s="1121"/>
      <c r="X590" s="1121"/>
      <c r="Y590" s="1121"/>
      <c r="Z590" s="1121"/>
      <c r="AA590" s="1121"/>
      <c r="AB590" s="1121"/>
      <c r="AC590" s="1121"/>
      <c r="AD590" s="1121"/>
      <c r="AE590" s="1121"/>
      <c r="AF590" s="1121"/>
      <c r="AG590" s="288"/>
      <c r="AH590" s="1121" t="s">
        <v>695</v>
      </c>
      <c r="AI590" s="289" t="s">
        <v>695</v>
      </c>
      <c r="AJ590" s="1121"/>
      <c r="AK590" s="1121"/>
      <c r="AL590" s="1121"/>
      <c r="AM590" s="1121"/>
      <c r="AN590" s="315"/>
      <c r="AO590" s="315"/>
      <c r="AP590" s="315"/>
      <c r="AQ590" s="315">
        <f>+FL_2($T$591,$T$589,$G$590,1200,9.28,-1*$F$591)</f>
        <v>-0.40127533190971854</v>
      </c>
      <c r="AR590" s="315"/>
      <c r="AS590" s="315"/>
      <c r="AT590" s="315"/>
      <c r="AU590" s="315"/>
      <c r="AV590" s="315"/>
      <c r="AW590" s="1121"/>
      <c r="AX590" s="1121"/>
      <c r="AY590" s="315"/>
      <c r="AZ590" s="315"/>
      <c r="BA590" s="315"/>
      <c r="BB590" s="306"/>
    </row>
    <row r="591" spans="1:59" ht="14.25">
      <c r="A591" s="340"/>
      <c r="B591" s="287" t="s">
        <v>1747</v>
      </c>
      <c r="C591" s="288">
        <f>+$C$589+$G$590</f>
        <v>25541.000000000004</v>
      </c>
      <c r="D591" s="1121"/>
      <c r="E591" s="1121"/>
      <c r="F591" s="289">
        <f>380000/(C591-25361)</f>
        <v>2111.1111111110686</v>
      </c>
      <c r="G591" s="292"/>
      <c r="H591" s="291"/>
      <c r="I591" s="291"/>
      <c r="J591" s="288"/>
      <c r="K591" s="1121"/>
      <c r="L591" s="1121" t="s">
        <v>231</v>
      </c>
      <c r="M591" s="1121" t="s">
        <v>2672</v>
      </c>
      <c r="N591" s="291" t="s">
        <v>144</v>
      </c>
      <c r="O591" s="1121"/>
      <c r="P591" s="1121"/>
      <c r="Q591" s="1121">
        <v>95</v>
      </c>
      <c r="R591" s="292">
        <v>2106.5700000000002</v>
      </c>
      <c r="S591" s="292"/>
      <c r="T591" s="1121">
        <v>-30</v>
      </c>
      <c r="U591" s="1121"/>
      <c r="V591" s="1121"/>
      <c r="W591" s="1121">
        <v>1.4</v>
      </c>
      <c r="X591" s="1121"/>
      <c r="Y591" s="1121"/>
      <c r="Z591" s="1121"/>
      <c r="AA591" s="1121"/>
      <c r="AB591" s="1121"/>
      <c r="AC591" s="1121" t="s">
        <v>2963</v>
      </c>
      <c r="AD591" s="1121"/>
      <c r="AE591" s="1121"/>
      <c r="AF591" s="1121">
        <v>6000</v>
      </c>
      <c r="AG591" s="288">
        <v>25540.54</v>
      </c>
      <c r="AH591" s="1121">
        <v>2560</v>
      </c>
      <c r="AI591" s="289">
        <v>734</v>
      </c>
      <c r="AJ591" s="1121"/>
      <c r="AK591" s="1121"/>
      <c r="AL591" s="1121"/>
      <c r="AM591" s="1121" t="s">
        <v>1228</v>
      </c>
      <c r="AN591" s="315">
        <v>5.5</v>
      </c>
      <c r="AO591" s="315"/>
      <c r="AP591" s="315"/>
      <c r="AQ591" s="315"/>
      <c r="AR591" s="315"/>
      <c r="AS591" s="315"/>
      <c r="AT591" s="315">
        <f>+ab($T$591,$T$589,$T$593,$G$590,$G$592,-1*$F$591,1200)</f>
        <v>-7.7430296169101265</v>
      </c>
      <c r="AU591" s="315"/>
      <c r="AV591" s="315"/>
      <c r="AW591" s="1121" t="s">
        <v>2634</v>
      </c>
      <c r="AX591" s="1121" t="s">
        <v>1639</v>
      </c>
      <c r="AY591" s="315">
        <v>3.2</v>
      </c>
      <c r="AZ591" s="315"/>
      <c r="BA591" s="315"/>
      <c r="BB591" s="306"/>
    </row>
    <row r="592" spans="1:59" ht="14.25">
      <c r="A592" s="340"/>
      <c r="B592" s="287"/>
      <c r="C592" s="288"/>
      <c r="D592" s="1121"/>
      <c r="E592" s="1121"/>
      <c r="F592" s="289"/>
      <c r="G592" s="292">
        <v>52</v>
      </c>
      <c r="H592" s="291"/>
      <c r="I592" s="385"/>
      <c r="J592" s="288"/>
      <c r="K592" s="1121"/>
      <c r="L592" s="1121"/>
      <c r="M592" s="1121"/>
      <c r="N592" s="291"/>
      <c r="O592" s="1121"/>
      <c r="P592" s="1121"/>
      <c r="Q592" s="1121"/>
      <c r="R592" s="292"/>
      <c r="S592" s="292">
        <v>52.040000000000873</v>
      </c>
      <c r="T592" s="1121"/>
      <c r="U592" s="1121"/>
      <c r="V592" s="1121"/>
      <c r="W592" s="1121"/>
      <c r="X592" s="1121"/>
      <c r="Y592" s="1121"/>
      <c r="Z592" s="1121"/>
      <c r="AA592" s="1121"/>
      <c r="AB592" s="1121"/>
      <c r="AC592" s="1121"/>
      <c r="AD592" s="1121"/>
      <c r="AE592" s="1121"/>
      <c r="AF592" s="1121"/>
      <c r="AG592" s="288"/>
      <c r="AH592" s="1121" t="s">
        <v>695</v>
      </c>
      <c r="AI592" s="289" t="s">
        <v>695</v>
      </c>
      <c r="AJ592" s="1121"/>
      <c r="AK592" s="1121"/>
      <c r="AL592" s="1121"/>
      <c r="AM592" s="1121"/>
      <c r="AN592" s="315"/>
      <c r="AO592" s="315"/>
      <c r="AP592" s="315"/>
      <c r="AQ592" s="315">
        <f>+FL_2($T$593,$T$591,$G$592,1200,9.28,-1*$F$593)</f>
        <v>-0.39237952581325708</v>
      </c>
      <c r="AR592" s="315"/>
      <c r="AS592" s="315"/>
      <c r="AT592" s="315"/>
      <c r="AU592" s="315"/>
      <c r="AV592" s="315"/>
      <c r="AW592" s="1121"/>
      <c r="AX592" s="1121"/>
      <c r="AY592" s="315"/>
      <c r="AZ592" s="315"/>
      <c r="BA592" s="315"/>
      <c r="BB592" s="306"/>
    </row>
    <row r="593" spans="1:54" ht="14.25">
      <c r="A593" s="340"/>
      <c r="B593" s="287" t="s">
        <v>1748</v>
      </c>
      <c r="C593" s="288">
        <f>+$C$591+$G$592</f>
        <v>25593.000000000004</v>
      </c>
      <c r="D593" s="1121"/>
      <c r="E593" s="1121">
        <v>100</v>
      </c>
      <c r="F593" s="289">
        <v>2000</v>
      </c>
      <c r="G593" s="292"/>
      <c r="H593" s="1121"/>
      <c r="I593" s="294"/>
      <c r="J593" s="288"/>
      <c r="K593" s="1121"/>
      <c r="L593" s="1121" t="s">
        <v>231</v>
      </c>
      <c r="M593" s="1121" t="s">
        <v>2672</v>
      </c>
      <c r="N593" s="291" t="s">
        <v>144</v>
      </c>
      <c r="O593" s="1121"/>
      <c r="P593" s="1121"/>
      <c r="Q593" s="1121">
        <v>100</v>
      </c>
      <c r="R593" s="292">
        <v>2000</v>
      </c>
      <c r="S593" s="292"/>
      <c r="T593" s="1121">
        <v>-30</v>
      </c>
      <c r="U593" s="1121"/>
      <c r="V593" s="1121"/>
      <c r="W593" s="1121">
        <v>1.4</v>
      </c>
      <c r="X593" s="1121"/>
      <c r="Y593" s="1121"/>
      <c r="Z593" s="1121"/>
      <c r="AA593" s="1121"/>
      <c r="AB593" s="1121"/>
      <c r="AC593" s="1121" t="s">
        <v>2963</v>
      </c>
      <c r="AD593" s="1121"/>
      <c r="AE593" s="1121"/>
      <c r="AF593" s="1121">
        <v>6000</v>
      </c>
      <c r="AG593" s="288">
        <v>25592.58</v>
      </c>
      <c r="AH593" s="1121">
        <v>2579</v>
      </c>
      <c r="AI593" s="289">
        <v>690</v>
      </c>
      <c r="AJ593" s="1121"/>
      <c r="AK593" s="1121"/>
      <c r="AL593" s="1121"/>
      <c r="AM593" s="1121" t="s">
        <v>1228</v>
      </c>
      <c r="AN593" s="315">
        <v>5.5</v>
      </c>
      <c r="AO593" s="315"/>
      <c r="AP593" s="315"/>
      <c r="AQ593" s="315"/>
      <c r="AR593" s="315"/>
      <c r="AS593" s="315"/>
      <c r="AT593" s="315">
        <f>+ab($T$593,$T$591,$T$595,$G$592,$G$594,-1*$F$593,1200)</f>
        <v>-8.1110245242549741</v>
      </c>
      <c r="AU593" s="315"/>
      <c r="AV593" s="315"/>
      <c r="AW593" s="1121" t="s">
        <v>2634</v>
      </c>
      <c r="AX593" s="1121" t="s">
        <v>1639</v>
      </c>
      <c r="AY593" s="315">
        <v>3.2</v>
      </c>
      <c r="AZ593" s="315"/>
      <c r="BA593" s="315"/>
      <c r="BB593" s="306"/>
    </row>
    <row r="594" spans="1:54" ht="14.25">
      <c r="A594" s="340"/>
      <c r="B594" s="287"/>
      <c r="C594" s="288"/>
      <c r="D594" s="1121"/>
      <c r="E594" s="1121"/>
      <c r="F594" s="289"/>
      <c r="G594" s="292">
        <v>42</v>
      </c>
      <c r="H594" s="1121"/>
      <c r="I594" s="289"/>
      <c r="J594" s="288"/>
      <c r="K594" s="1121"/>
      <c r="L594" s="1121"/>
      <c r="M594" s="1121"/>
      <c r="N594" s="291"/>
      <c r="O594" s="1121"/>
      <c r="P594" s="1121"/>
      <c r="Q594" s="1121"/>
      <c r="R594" s="292"/>
      <c r="S594" s="292">
        <v>42.109999999996944</v>
      </c>
      <c r="T594" s="1121"/>
      <c r="U594" s="1121"/>
      <c r="V594" s="1121"/>
      <c r="W594" s="1121"/>
      <c r="X594" s="1121"/>
      <c r="Y594" s="1121"/>
      <c r="Z594" s="1121"/>
      <c r="AA594" s="1121"/>
      <c r="AB594" s="1121"/>
      <c r="AC594" s="1121"/>
      <c r="AD594" s="1121"/>
      <c r="AE594" s="1121"/>
      <c r="AF594" s="1121"/>
      <c r="AG594" s="288"/>
      <c r="AH594" s="1121" t="s">
        <v>695</v>
      </c>
      <c r="AI594" s="289" t="s">
        <v>695</v>
      </c>
      <c r="AJ594" s="1121"/>
      <c r="AK594" s="1121"/>
      <c r="AL594" s="1121"/>
      <c r="AM594" s="1121"/>
      <c r="AN594" s="315"/>
      <c r="AO594" s="315"/>
      <c r="AP594" s="315"/>
      <c r="AQ594" s="315">
        <f>+FL_2($T$595,$T$593,$G$594,1200,9.28,-1*$F$595)</f>
        <v>-0.36026696106674855</v>
      </c>
      <c r="AR594" s="315"/>
      <c r="AS594" s="315"/>
      <c r="AT594" s="315"/>
      <c r="AU594" s="315"/>
      <c r="AV594" s="315"/>
      <c r="AW594" s="1121"/>
      <c r="AX594" s="1121"/>
      <c r="AY594" s="315"/>
      <c r="AZ594" s="315"/>
      <c r="BA594" s="315"/>
      <c r="BB594" s="306"/>
    </row>
    <row r="595" spans="1:54" ht="14.25">
      <c r="A595" s="340"/>
      <c r="B595" s="287" t="s">
        <v>1749</v>
      </c>
      <c r="C595" s="288">
        <f>+$C$593+$G$594</f>
        <v>25635.000000000004</v>
      </c>
      <c r="D595" s="1121"/>
      <c r="E595" s="1121">
        <v>100</v>
      </c>
      <c r="F595" s="289">
        <v>2000</v>
      </c>
      <c r="G595" s="292"/>
      <c r="H595" s="1121"/>
      <c r="I595" s="291"/>
      <c r="J595" s="288"/>
      <c r="K595" s="1121"/>
      <c r="L595" s="1121" t="s">
        <v>231</v>
      </c>
      <c r="M595" s="1121" t="s">
        <v>2672</v>
      </c>
      <c r="N595" s="291" t="s">
        <v>144</v>
      </c>
      <c r="O595" s="1121"/>
      <c r="P595" s="1121"/>
      <c r="Q595" s="1121">
        <v>100</v>
      </c>
      <c r="R595" s="292">
        <v>2000</v>
      </c>
      <c r="S595" s="292"/>
      <c r="T595" s="1121">
        <v>-30</v>
      </c>
      <c r="U595" s="1121"/>
      <c r="V595" s="1121"/>
      <c r="W595" s="1121">
        <v>1.4</v>
      </c>
      <c r="X595" s="1121"/>
      <c r="Y595" s="1121"/>
      <c r="Z595" s="1121"/>
      <c r="AA595" s="1121"/>
      <c r="AB595" s="1121"/>
      <c r="AC595" s="1121" t="s">
        <v>2963</v>
      </c>
      <c r="AD595" s="1121"/>
      <c r="AE595" s="1121"/>
      <c r="AF595" s="1121">
        <v>6000</v>
      </c>
      <c r="AG595" s="288">
        <v>25634.69</v>
      </c>
      <c r="AH595" s="1121">
        <v>2573</v>
      </c>
      <c r="AI595" s="289">
        <v>701</v>
      </c>
      <c r="AJ595" s="1121"/>
      <c r="AK595" s="1121"/>
      <c r="AL595" s="1121"/>
      <c r="AM595" s="1121" t="s">
        <v>1228</v>
      </c>
      <c r="AN595" s="315">
        <v>5.5</v>
      </c>
      <c r="AO595" s="315"/>
      <c r="AP595" s="315"/>
      <c r="AQ595" s="315"/>
      <c r="AR595" s="315"/>
      <c r="AS595" s="315"/>
      <c r="AT595" s="315">
        <f>+ab($T$595,$T$593,$T$597,$G$594,$G$596,-1*$F$595,1200)</f>
        <v>-9.0614338484185808</v>
      </c>
      <c r="AU595" s="315"/>
      <c r="AV595" s="315"/>
      <c r="AW595" s="1121" t="s">
        <v>2634</v>
      </c>
      <c r="AX595" s="1121" t="s">
        <v>1639</v>
      </c>
      <c r="AY595" s="315">
        <v>3.2</v>
      </c>
      <c r="AZ595" s="315"/>
      <c r="BA595" s="315"/>
      <c r="BB595" s="306"/>
    </row>
    <row r="596" spans="1:54" ht="14.25">
      <c r="A596" s="340"/>
      <c r="B596" s="334"/>
      <c r="C596" s="288"/>
      <c r="D596" s="1121"/>
      <c r="E596" s="1121"/>
      <c r="F596" s="289"/>
      <c r="G596" s="292">
        <v>42</v>
      </c>
      <c r="H596" s="291"/>
      <c r="I596" s="294"/>
      <c r="J596" s="383">
        <f>C597-7.5</f>
        <v>25669.500000000004</v>
      </c>
      <c r="K596" s="1121" t="s">
        <v>658</v>
      </c>
      <c r="L596" s="1121"/>
      <c r="M596" s="1121"/>
      <c r="N596" s="291"/>
      <c r="O596" s="291"/>
      <c r="P596" s="291"/>
      <c r="Q596" s="1121"/>
      <c r="R596" s="292"/>
      <c r="S596" s="292">
        <v>41.82</v>
      </c>
      <c r="T596" s="1121"/>
      <c r="U596" s="1121"/>
      <c r="V596" s="1121"/>
      <c r="W596" s="1121"/>
      <c r="X596" s="1121"/>
      <c r="Y596" s="1121"/>
      <c r="Z596" s="1121"/>
      <c r="AA596" s="1121"/>
      <c r="AB596" s="1121"/>
      <c r="AC596" s="1121"/>
      <c r="AD596" s="1121"/>
      <c r="AE596" s="1121"/>
      <c r="AF596" s="1121"/>
      <c r="AG596" s="288"/>
      <c r="AH596" s="1121" t="s">
        <v>695</v>
      </c>
      <c r="AI596" s="289" t="s">
        <v>695</v>
      </c>
      <c r="AJ596" s="1121"/>
      <c r="AK596" s="1121"/>
      <c r="AL596" s="1121"/>
      <c r="AM596" s="1121"/>
      <c r="AN596" s="315"/>
      <c r="AO596" s="315"/>
      <c r="AP596" s="315"/>
      <c r="AQ596" s="315">
        <f>+FL_2($T$597,$T$595,$G$596,1200,9.28,-1*$F$597)</f>
        <v>-0.36026696106674855</v>
      </c>
      <c r="AR596" s="315"/>
      <c r="AS596" s="315"/>
      <c r="AT596" s="315"/>
      <c r="AU596" s="315"/>
      <c r="AV596" s="315"/>
      <c r="AW596" s="1121" t="s">
        <v>2634</v>
      </c>
      <c r="AX596" s="1121" t="s">
        <v>1639</v>
      </c>
      <c r="AY596" s="315"/>
      <c r="AZ596" s="315">
        <v>2.1</v>
      </c>
      <c r="BA596" s="315"/>
      <c r="BB596" s="306"/>
    </row>
    <row r="597" spans="1:54" ht="14.25">
      <c r="A597" s="340"/>
      <c r="B597" s="287" t="s">
        <v>1750</v>
      </c>
      <c r="C597" s="288">
        <f>+$C$595+$G$596</f>
        <v>25677.000000000004</v>
      </c>
      <c r="D597" s="1121"/>
      <c r="E597" s="1121">
        <v>100</v>
      </c>
      <c r="F597" s="289">
        <v>2000</v>
      </c>
      <c r="G597" s="292"/>
      <c r="H597" s="1121" t="s">
        <v>954</v>
      </c>
      <c r="I597" s="291"/>
      <c r="J597" s="288"/>
      <c r="K597" s="1121"/>
      <c r="L597" s="1121" t="s">
        <v>231</v>
      </c>
      <c r="M597" s="1121" t="s">
        <v>2672</v>
      </c>
      <c r="N597" s="291" t="s">
        <v>144</v>
      </c>
      <c r="O597" s="1121"/>
      <c r="P597" s="1121"/>
      <c r="Q597" s="1121">
        <v>99</v>
      </c>
      <c r="R597" s="292">
        <v>2000</v>
      </c>
      <c r="S597" s="292"/>
      <c r="T597" s="1121">
        <v>-30</v>
      </c>
      <c r="U597" s="1121"/>
      <c r="V597" s="1121"/>
      <c r="W597" s="1121">
        <v>1.4</v>
      </c>
      <c r="X597" s="1121"/>
      <c r="Y597" s="1121"/>
      <c r="Z597" s="1121"/>
      <c r="AA597" s="1121"/>
      <c r="AB597" s="1121"/>
      <c r="AC597" s="1121" t="s">
        <v>1704</v>
      </c>
      <c r="AD597" s="1121"/>
      <c r="AE597" s="1121"/>
      <c r="AF597" s="1121">
        <v>6000</v>
      </c>
      <c r="AG597" s="288">
        <v>25676.51</v>
      </c>
      <c r="AH597" s="1121">
        <v>2192</v>
      </c>
      <c r="AI597" s="289">
        <v>700</v>
      </c>
      <c r="AJ597" s="1121"/>
      <c r="AK597" s="1121"/>
      <c r="AL597" s="1121"/>
      <c r="AM597" s="1121" t="s">
        <v>1228</v>
      </c>
      <c r="AN597" s="315">
        <v>5.5</v>
      </c>
      <c r="AO597" s="315"/>
      <c r="AP597" s="315"/>
      <c r="AQ597" s="315"/>
      <c r="AR597" s="315"/>
      <c r="AS597" s="315"/>
      <c r="AT597" s="315">
        <f>+ab($T$597,$T$595,$T$599,$G$596,$G$598,-1*$F$597,1200)</f>
        <v>-8.956567001986361</v>
      </c>
      <c r="AU597" s="315"/>
      <c r="AV597" s="315"/>
      <c r="AW597" s="1121" t="s">
        <v>2634</v>
      </c>
      <c r="AX597" s="1121" t="s">
        <v>1639</v>
      </c>
      <c r="AY597" s="315">
        <v>3.2</v>
      </c>
      <c r="AZ597" s="365"/>
      <c r="BA597" s="365"/>
      <c r="BB597" s="306"/>
    </row>
    <row r="598" spans="1:54" ht="14.25">
      <c r="A598" s="340"/>
      <c r="B598" s="334"/>
      <c r="C598" s="288"/>
      <c r="D598" s="1121"/>
      <c r="E598" s="1121"/>
      <c r="F598" s="289"/>
      <c r="G598" s="292">
        <v>43</v>
      </c>
      <c r="H598" s="291"/>
      <c r="I598" s="291">
        <f>SUM(G566:G598)</f>
        <v>694</v>
      </c>
      <c r="J598" s="383"/>
      <c r="K598" s="1121"/>
      <c r="L598" s="1121"/>
      <c r="M598" s="1121"/>
      <c r="N598" s="291"/>
      <c r="O598" s="291"/>
      <c r="P598" s="291"/>
      <c r="Q598" s="1121"/>
      <c r="R598" s="292"/>
      <c r="S598" s="292">
        <v>42.66</v>
      </c>
      <c r="T598" s="1121"/>
      <c r="U598" s="1121"/>
      <c r="V598" s="1121"/>
      <c r="W598" s="1121"/>
      <c r="X598" s="1121"/>
      <c r="Y598" s="1121"/>
      <c r="Z598" s="1121"/>
      <c r="AA598" s="1121"/>
      <c r="AB598" s="1121"/>
      <c r="AC598" s="1121"/>
      <c r="AD598" s="1121"/>
      <c r="AE598" s="1121"/>
      <c r="AF598" s="1121"/>
      <c r="AG598" s="288"/>
      <c r="AH598" s="1121" t="s">
        <v>695</v>
      </c>
      <c r="AI598" s="289" t="s">
        <v>695</v>
      </c>
      <c r="AJ598" s="1121"/>
      <c r="AK598" s="1121"/>
      <c r="AL598" s="1121"/>
      <c r="AM598" s="1121"/>
      <c r="AN598" s="315"/>
      <c r="AO598" s="315"/>
      <c r="AP598" s="315"/>
      <c r="AQ598" s="315">
        <f>+FL_2($T$599,$T$597,$G$598,1200,9.28,-1*$F$599)</f>
        <v>-0.36317082780098914</v>
      </c>
      <c r="AR598" s="315"/>
      <c r="AS598" s="315"/>
      <c r="AT598" s="315"/>
      <c r="AU598" s="315"/>
      <c r="AV598" s="315"/>
      <c r="AW598" s="1121"/>
      <c r="AX598" s="1121"/>
      <c r="AY598" s="315"/>
      <c r="AZ598" s="315"/>
      <c r="BA598" s="315"/>
      <c r="BB598" s="306"/>
    </row>
    <row r="599" spans="1:54" ht="14.25">
      <c r="A599" s="340"/>
      <c r="B599" s="287" t="s">
        <v>1751</v>
      </c>
      <c r="C599" s="288">
        <f>+$C$597+$G$598</f>
        <v>25720.000000000004</v>
      </c>
      <c r="D599" s="1121"/>
      <c r="E599" s="1121">
        <v>100</v>
      </c>
      <c r="F599" s="289">
        <v>2000</v>
      </c>
      <c r="G599" s="292"/>
      <c r="H599" s="1121" t="s">
        <v>955</v>
      </c>
      <c r="I599" s="291"/>
      <c r="J599" s="288"/>
      <c r="K599" s="1121"/>
      <c r="L599" s="1121" t="s">
        <v>231</v>
      </c>
      <c r="M599" s="1121" t="s">
        <v>2672</v>
      </c>
      <c r="N599" s="291" t="s">
        <v>144</v>
      </c>
      <c r="O599" s="1121"/>
      <c r="P599" s="1121"/>
      <c r="Q599" s="1121">
        <v>101</v>
      </c>
      <c r="R599" s="292">
        <v>2000</v>
      </c>
      <c r="S599" s="292"/>
      <c r="T599" s="1121">
        <v>-30</v>
      </c>
      <c r="U599" s="1121"/>
      <c r="V599" s="1121"/>
      <c r="W599" s="1121">
        <v>1.4</v>
      </c>
      <c r="X599" s="1121"/>
      <c r="Y599" s="1121"/>
      <c r="Z599" s="1121"/>
      <c r="AA599" s="1121"/>
      <c r="AB599" s="1121"/>
      <c r="AC599" s="1121" t="s">
        <v>1700</v>
      </c>
      <c r="AD599" s="1121"/>
      <c r="AE599" s="1121"/>
      <c r="AF599" s="1121">
        <v>6000</v>
      </c>
      <c r="AG599" s="288">
        <v>25719.17</v>
      </c>
      <c r="AH599" s="1121">
        <v>2363</v>
      </c>
      <c r="AI599" s="289">
        <v>903</v>
      </c>
      <c r="AJ599" s="1121"/>
      <c r="AK599" s="1121"/>
      <c r="AL599" s="1121"/>
      <c r="AM599" s="1121" t="s">
        <v>1228</v>
      </c>
      <c r="AN599" s="315">
        <v>5.5</v>
      </c>
      <c r="AO599" s="315"/>
      <c r="AP599" s="315"/>
      <c r="AQ599" s="315"/>
      <c r="AR599" s="315"/>
      <c r="AS599" s="315"/>
      <c r="AT599" s="315">
        <f>+ab($T$599,$T$597,$T$601,$G$598,$G$600,-1*$F$599,1200)</f>
        <v>-8.2760580845219849</v>
      </c>
      <c r="AU599" s="365"/>
      <c r="AV599" s="365"/>
      <c r="AW599" s="399" t="s">
        <v>2634</v>
      </c>
      <c r="AX599" s="399" t="s">
        <v>1639</v>
      </c>
      <c r="AY599" s="365">
        <v>3.2</v>
      </c>
      <c r="AZ599" s="365"/>
      <c r="BA599" s="365"/>
      <c r="BB599" s="306"/>
    </row>
    <row r="600" spans="1:54" ht="14.25">
      <c r="A600" s="392" t="s">
        <v>1752</v>
      </c>
      <c r="B600" s="393"/>
      <c r="C600" s="389"/>
      <c r="D600" s="390"/>
      <c r="E600" s="390"/>
      <c r="F600" s="394"/>
      <c r="G600" s="395">
        <v>49.1</v>
      </c>
      <c r="H600" s="387"/>
      <c r="I600" s="387">
        <f>SUM(G600:G622)</f>
        <v>615.4</v>
      </c>
      <c r="J600" s="396"/>
      <c r="K600" s="390"/>
      <c r="L600" s="390"/>
      <c r="M600" s="390"/>
      <c r="N600" s="387"/>
      <c r="O600" s="387"/>
      <c r="P600" s="387"/>
      <c r="Q600" s="390"/>
      <c r="R600" s="395"/>
      <c r="S600" s="395">
        <v>49.57</v>
      </c>
      <c r="T600" s="390"/>
      <c r="U600" s="390"/>
      <c r="V600" s="390"/>
      <c r="W600" s="390"/>
      <c r="X600" s="390"/>
      <c r="Y600" s="390"/>
      <c r="Z600" s="390"/>
      <c r="AA600" s="390"/>
      <c r="AB600" s="390"/>
      <c r="AC600" s="390"/>
      <c r="AD600" s="390"/>
      <c r="AE600" s="390"/>
      <c r="AF600" s="390"/>
      <c r="AG600" s="389"/>
      <c r="AH600" s="390" t="s">
        <v>695</v>
      </c>
      <c r="AI600" s="394" t="s">
        <v>695</v>
      </c>
      <c r="AJ600" s="390"/>
      <c r="AK600" s="390"/>
      <c r="AL600" s="390"/>
      <c r="AM600" s="390"/>
      <c r="AN600" s="381"/>
      <c r="AO600" s="381"/>
      <c r="AP600" s="381"/>
      <c r="AQ600" s="381">
        <f>+FL_2($T$601,$T$599,$G$600,1200,9.28,-1*$F$601)</f>
        <v>-0.38236366545308587</v>
      </c>
      <c r="AR600" s="381"/>
      <c r="AS600" s="381"/>
      <c r="AT600" s="381"/>
      <c r="AU600" s="381"/>
      <c r="AV600" s="381"/>
      <c r="AW600" s="390"/>
      <c r="AX600" s="390"/>
      <c r="AY600" s="390"/>
      <c r="AZ600" s="390"/>
      <c r="BA600" s="390"/>
      <c r="BB600" s="306"/>
    </row>
    <row r="601" spans="1:54" ht="14.25">
      <c r="A601" s="341"/>
      <c r="B601" s="393" t="s">
        <v>1753</v>
      </c>
      <c r="C601" s="389">
        <f>+$C$599+$G$600</f>
        <v>25769.100000000002</v>
      </c>
      <c r="D601" s="390"/>
      <c r="E601" s="390">
        <v>100</v>
      </c>
      <c r="F601" s="394">
        <v>2000</v>
      </c>
      <c r="G601" s="395"/>
      <c r="H601" s="387" t="s">
        <v>954</v>
      </c>
      <c r="I601" s="387"/>
      <c r="J601" s="396"/>
      <c r="K601" s="390"/>
      <c r="L601" s="390" t="s">
        <v>2542</v>
      </c>
      <c r="M601" s="390" t="s">
        <v>2545</v>
      </c>
      <c r="N601" s="387" t="s">
        <v>144</v>
      </c>
      <c r="O601" s="387"/>
      <c r="P601" s="387"/>
      <c r="Q601" s="390">
        <v>88</v>
      </c>
      <c r="R601" s="395">
        <v>2000</v>
      </c>
      <c r="S601" s="395"/>
      <c r="T601" s="390">
        <v>-30</v>
      </c>
      <c r="U601" s="390"/>
      <c r="V601" s="390"/>
      <c r="W601" s="390">
        <v>1.4</v>
      </c>
      <c r="X601" s="390"/>
      <c r="Y601" s="390"/>
      <c r="Z601" s="390"/>
      <c r="AA601" s="390"/>
      <c r="AB601" s="390"/>
      <c r="AC601" s="390" t="s">
        <v>2963</v>
      </c>
      <c r="AD601" s="390"/>
      <c r="AE601" s="390"/>
      <c r="AF601" s="390">
        <v>5200</v>
      </c>
      <c r="AG601" s="389">
        <v>25768.74</v>
      </c>
      <c r="AH601" s="390">
        <v>3107</v>
      </c>
      <c r="AI601" s="394">
        <v>-180</v>
      </c>
      <c r="AJ601" s="390"/>
      <c r="AK601" s="390"/>
      <c r="AL601" s="390"/>
      <c r="AM601" s="390" t="s">
        <v>1228</v>
      </c>
      <c r="AN601" s="381">
        <v>5.5</v>
      </c>
      <c r="AO601" s="381"/>
      <c r="AP601" s="381"/>
      <c r="AQ601" s="381"/>
      <c r="AR601" s="381"/>
      <c r="AS601" s="381"/>
      <c r="AT601" s="381">
        <f>+ab($T$601,$T$599,$T$603,$G$600,$G$602,-1*$F$601,1200)</f>
        <v>-8.1110245242549741</v>
      </c>
      <c r="AU601" s="381"/>
      <c r="AV601" s="381"/>
      <c r="AW601" s="390" t="s">
        <v>699</v>
      </c>
      <c r="AX601" s="390" t="s">
        <v>699</v>
      </c>
      <c r="AY601" s="390" t="s">
        <v>699</v>
      </c>
      <c r="AZ601" s="390" t="s">
        <v>699</v>
      </c>
      <c r="BA601" s="390"/>
      <c r="BB601" s="306"/>
    </row>
    <row r="602" spans="1:54" ht="14.25">
      <c r="A602" s="341"/>
      <c r="B602" s="393"/>
      <c r="C602" s="389"/>
      <c r="D602" s="390"/>
      <c r="E602" s="390"/>
      <c r="F602" s="394"/>
      <c r="G602" s="395">
        <v>44.9</v>
      </c>
      <c r="H602" s="387"/>
      <c r="I602" s="387"/>
      <c r="J602" s="396"/>
      <c r="K602" s="390"/>
      <c r="L602" s="390"/>
      <c r="M602" s="390"/>
      <c r="N602" s="387"/>
      <c r="O602" s="387"/>
      <c r="P602" s="387"/>
      <c r="Q602" s="390"/>
      <c r="R602" s="395"/>
      <c r="S602" s="395">
        <v>45.03</v>
      </c>
      <c r="T602" s="390"/>
      <c r="U602" s="390"/>
      <c r="V602" s="390"/>
      <c r="W602" s="390"/>
      <c r="X602" s="390"/>
      <c r="Y602" s="390"/>
      <c r="Z602" s="390"/>
      <c r="AA602" s="390"/>
      <c r="AB602" s="390"/>
      <c r="AC602" s="390"/>
      <c r="AD602" s="390"/>
      <c r="AE602" s="390"/>
      <c r="AF602" s="390"/>
      <c r="AG602" s="389"/>
      <c r="AH602" s="390" t="s">
        <v>695</v>
      </c>
      <c r="AI602" s="394" t="s">
        <v>695</v>
      </c>
      <c r="AJ602" s="390"/>
      <c r="AK602" s="390"/>
      <c r="AL602" s="390"/>
      <c r="AM602" s="390"/>
      <c r="AN602" s="381"/>
      <c r="AO602" s="381"/>
      <c r="AP602" s="381"/>
      <c r="AQ602" s="381">
        <f>+FL_2($T$603,$T$601,$G$602,1200,11.33,-1*$F$603)</f>
        <v>-0.41192658591883569</v>
      </c>
      <c r="AR602" s="381"/>
      <c r="AS602" s="381"/>
      <c r="AT602" s="381"/>
      <c r="AU602" s="381"/>
      <c r="AV602" s="381"/>
      <c r="AW602" s="390"/>
      <c r="AX602" s="390"/>
      <c r="AY602" s="390"/>
      <c r="AZ602" s="390"/>
      <c r="BA602" s="390"/>
      <c r="BB602" s="306"/>
    </row>
    <row r="603" spans="1:54" ht="14.25">
      <c r="A603" s="341"/>
      <c r="B603" s="393" t="s">
        <v>1754</v>
      </c>
      <c r="C603" s="389">
        <f>+$C$601+$G$602</f>
        <v>25814.000000000004</v>
      </c>
      <c r="D603" s="390"/>
      <c r="E603" s="390">
        <v>100</v>
      </c>
      <c r="F603" s="394">
        <v>2000</v>
      </c>
      <c r="G603" s="395"/>
      <c r="H603" s="387"/>
      <c r="I603" s="387"/>
      <c r="J603" s="396"/>
      <c r="K603" s="390"/>
      <c r="L603" s="390" t="s">
        <v>1066</v>
      </c>
      <c r="M603" s="390" t="s">
        <v>2544</v>
      </c>
      <c r="N603" s="387" t="s">
        <v>144</v>
      </c>
      <c r="O603" s="387"/>
      <c r="P603" s="387"/>
      <c r="Q603" s="390">
        <v>101</v>
      </c>
      <c r="R603" s="395">
        <v>2000</v>
      </c>
      <c r="S603" s="395"/>
      <c r="T603" s="390">
        <v>-30</v>
      </c>
      <c r="U603" s="390"/>
      <c r="V603" s="390"/>
      <c r="W603" s="390">
        <v>1.4</v>
      </c>
      <c r="X603" s="390"/>
      <c r="Y603" s="390"/>
      <c r="Z603" s="390"/>
      <c r="AA603" s="390"/>
      <c r="AB603" s="390"/>
      <c r="AC603" s="390" t="s">
        <v>2963</v>
      </c>
      <c r="AD603" s="390"/>
      <c r="AE603" s="390"/>
      <c r="AF603" s="390">
        <v>5200</v>
      </c>
      <c r="AG603" s="389">
        <v>25813.77</v>
      </c>
      <c r="AH603" s="390">
        <v>3108</v>
      </c>
      <c r="AI603" s="394">
        <v>-102</v>
      </c>
      <c r="AJ603" s="390"/>
      <c r="AK603" s="390"/>
      <c r="AL603" s="390"/>
      <c r="AM603" s="390" t="s">
        <v>1228</v>
      </c>
      <c r="AN603" s="381">
        <v>5.5</v>
      </c>
      <c r="AO603" s="381"/>
      <c r="AP603" s="381"/>
      <c r="AQ603" s="381"/>
      <c r="AR603" s="381"/>
      <c r="AS603" s="381"/>
      <c r="AT603" s="381">
        <f>+ab($T$603,$T$601,$T$605,$G$602,$G$604,-1*$F$603,1200)</f>
        <v>-7.3857487713868863</v>
      </c>
      <c r="AU603" s="381"/>
      <c r="AV603" s="381"/>
      <c r="AW603" s="390" t="s">
        <v>699</v>
      </c>
      <c r="AX603" s="390" t="s">
        <v>699</v>
      </c>
      <c r="AY603" s="390" t="s">
        <v>699</v>
      </c>
      <c r="AZ603" s="390" t="s">
        <v>699</v>
      </c>
      <c r="BA603" s="390"/>
      <c r="BB603" s="306"/>
    </row>
    <row r="604" spans="1:54" ht="14.25">
      <c r="A604" s="341"/>
      <c r="B604" s="393"/>
      <c r="C604" s="389"/>
      <c r="D604" s="390"/>
      <c r="E604" s="390"/>
      <c r="F604" s="394"/>
      <c r="G604" s="395">
        <v>54.8</v>
      </c>
      <c r="H604" s="387"/>
      <c r="I604" s="387"/>
      <c r="J604" s="396"/>
      <c r="K604" s="390"/>
      <c r="L604" s="390"/>
      <c r="M604" s="390"/>
      <c r="N604" s="387"/>
      <c r="O604" s="387"/>
      <c r="P604" s="387"/>
      <c r="Q604" s="390"/>
      <c r="R604" s="395"/>
      <c r="S604" s="395">
        <v>54.83</v>
      </c>
      <c r="T604" s="390"/>
      <c r="U604" s="390"/>
      <c r="V604" s="390"/>
      <c r="W604" s="390"/>
      <c r="X604" s="390"/>
      <c r="Y604" s="390"/>
      <c r="Z604" s="390"/>
      <c r="AA604" s="390"/>
      <c r="AB604" s="390"/>
      <c r="AC604" s="390"/>
      <c r="AD604" s="390"/>
      <c r="AE604" s="390"/>
      <c r="AF604" s="390"/>
      <c r="AG604" s="389"/>
      <c r="AH604" s="390" t="s">
        <v>695</v>
      </c>
      <c r="AI604" s="394" t="s">
        <v>695</v>
      </c>
      <c r="AJ604" s="390"/>
      <c r="AK604" s="390"/>
      <c r="AL604" s="390"/>
      <c r="AM604" s="390"/>
      <c r="AN604" s="381"/>
      <c r="AO604" s="381"/>
      <c r="AP604" s="381"/>
      <c r="AQ604" s="381">
        <f>+FL_2($T$605,$T$603,$G$604,1200,11.88,-1*$F$605)</f>
        <v>-0.45977695157222043</v>
      </c>
      <c r="AR604" s="381"/>
      <c r="AS604" s="381"/>
      <c r="AT604" s="381"/>
      <c r="AU604" s="381"/>
      <c r="AV604" s="381"/>
      <c r="AW604" s="390"/>
      <c r="AX604" s="390"/>
      <c r="AY604" s="390"/>
      <c r="AZ604" s="390"/>
      <c r="BA604" s="390"/>
      <c r="BB604" s="306"/>
    </row>
    <row r="605" spans="1:54" ht="14.25">
      <c r="A605" s="341"/>
      <c r="B605" s="393" t="s">
        <v>1755</v>
      </c>
      <c r="C605" s="389">
        <f>+$C$603+$G$604</f>
        <v>25868.800000000003</v>
      </c>
      <c r="D605" s="390"/>
      <c r="E605" s="390">
        <v>100</v>
      </c>
      <c r="F605" s="394">
        <v>2000</v>
      </c>
      <c r="G605" s="395"/>
      <c r="H605" s="387"/>
      <c r="I605" s="387"/>
      <c r="J605" s="396"/>
      <c r="K605" s="390"/>
      <c r="L605" s="390" t="s">
        <v>1068</v>
      </c>
      <c r="M605" s="390" t="s">
        <v>2545</v>
      </c>
      <c r="N605" s="387" t="s">
        <v>144</v>
      </c>
      <c r="O605" s="387"/>
      <c r="P605" s="387"/>
      <c r="Q605" s="390">
        <v>102</v>
      </c>
      <c r="R605" s="395">
        <v>2000</v>
      </c>
      <c r="S605" s="395"/>
      <c r="T605" s="390">
        <v>-25</v>
      </c>
      <c r="U605" s="390"/>
      <c r="V605" s="390"/>
      <c r="W605" s="390">
        <v>1.4</v>
      </c>
      <c r="X605" s="390"/>
      <c r="Y605" s="390"/>
      <c r="Z605" s="390"/>
      <c r="AA605" s="390"/>
      <c r="AB605" s="390"/>
      <c r="AC605" s="390" t="s">
        <v>2963</v>
      </c>
      <c r="AD605" s="390"/>
      <c r="AE605" s="390"/>
      <c r="AF605" s="390">
        <v>5200</v>
      </c>
      <c r="AG605" s="389">
        <v>25868.6</v>
      </c>
      <c r="AH605" s="390">
        <v>3060</v>
      </c>
      <c r="AI605" s="394">
        <v>-170</v>
      </c>
      <c r="AJ605" s="390"/>
      <c r="AK605" s="390"/>
      <c r="AL605" s="390"/>
      <c r="AM605" s="390" t="s">
        <v>1228</v>
      </c>
      <c r="AN605" s="381">
        <v>5.5</v>
      </c>
      <c r="AO605" s="381"/>
      <c r="AP605" s="381"/>
      <c r="AQ605" s="381"/>
      <c r="AR605" s="381"/>
      <c r="AS605" s="381"/>
      <c r="AT605" s="381">
        <f>+ab($T$605,$T$603,$T$607,$G$604,$G$606,-1*$F$605,1200)</f>
        <v>-7.2063826710045671</v>
      </c>
      <c r="AU605" s="381"/>
      <c r="AV605" s="381"/>
      <c r="AW605" s="390" t="s">
        <v>699</v>
      </c>
      <c r="AX605" s="390" t="s">
        <v>699</v>
      </c>
      <c r="AY605" s="390" t="s">
        <v>699</v>
      </c>
      <c r="AZ605" s="390" t="s">
        <v>699</v>
      </c>
      <c r="BA605" s="390"/>
      <c r="BB605" s="306"/>
    </row>
    <row r="606" spans="1:54" ht="14.25">
      <c r="A606" s="341"/>
      <c r="B606" s="393"/>
      <c r="C606" s="389"/>
      <c r="D606" s="390"/>
      <c r="E606" s="390"/>
      <c r="F606" s="394"/>
      <c r="G606" s="395">
        <v>54.8</v>
      </c>
      <c r="H606" s="387"/>
      <c r="I606" s="387"/>
      <c r="J606" s="396"/>
      <c r="K606" s="390"/>
      <c r="L606" s="390"/>
      <c r="M606" s="390"/>
      <c r="N606" s="387"/>
      <c r="O606" s="387"/>
      <c r="P606" s="387"/>
      <c r="Q606" s="390"/>
      <c r="R606" s="395"/>
      <c r="S606" s="395">
        <v>55.15</v>
      </c>
      <c r="T606" s="390"/>
      <c r="U606" s="390"/>
      <c r="V606" s="390"/>
      <c r="W606" s="390"/>
      <c r="X606" s="390"/>
      <c r="Y606" s="390"/>
      <c r="Z606" s="390"/>
      <c r="AA606" s="390"/>
      <c r="AB606" s="390"/>
      <c r="AC606" s="390"/>
      <c r="AD606" s="390"/>
      <c r="AE606" s="390"/>
      <c r="AF606" s="390"/>
      <c r="AG606" s="389"/>
      <c r="AH606" s="390" t="s">
        <v>695</v>
      </c>
      <c r="AI606" s="394" t="s">
        <v>695</v>
      </c>
      <c r="AJ606" s="390"/>
      <c r="AK606" s="390"/>
      <c r="AL606" s="390"/>
      <c r="AM606" s="390"/>
      <c r="AN606" s="381"/>
      <c r="AO606" s="381"/>
      <c r="AP606" s="381"/>
      <c r="AQ606" s="381">
        <f>+FL_2($T$607,$T$605,$G$606,1200,12.35,-1*$F$607)</f>
        <v>-0.44862977562272988</v>
      </c>
      <c r="AR606" s="381"/>
      <c r="AS606" s="381"/>
      <c r="AT606" s="381"/>
      <c r="AU606" s="381"/>
      <c r="AV606" s="381"/>
      <c r="AW606" s="390"/>
      <c r="AX606" s="390"/>
      <c r="AY606" s="390"/>
      <c r="AZ606" s="390"/>
      <c r="BA606" s="390"/>
      <c r="BB606" s="306"/>
    </row>
    <row r="607" spans="1:54" ht="14.25">
      <c r="A607" s="341"/>
      <c r="B607" s="393" t="s">
        <v>1756</v>
      </c>
      <c r="C607" s="389">
        <f>+$C$605+$G$606</f>
        <v>25923.600000000002</v>
      </c>
      <c r="D607" s="390"/>
      <c r="E607" s="390">
        <v>100</v>
      </c>
      <c r="F607" s="394">
        <v>2000</v>
      </c>
      <c r="G607" s="395"/>
      <c r="H607" s="387"/>
      <c r="I607" s="387"/>
      <c r="J607" s="396"/>
      <c r="K607" s="390"/>
      <c r="L607" s="390" t="s">
        <v>1068</v>
      </c>
      <c r="M607" s="390" t="s">
        <v>2544</v>
      </c>
      <c r="N607" s="387" t="s">
        <v>144</v>
      </c>
      <c r="O607" s="387"/>
      <c r="P607" s="387"/>
      <c r="Q607" s="390">
        <v>102</v>
      </c>
      <c r="R607" s="395">
        <v>2000</v>
      </c>
      <c r="S607" s="395"/>
      <c r="T607" s="390">
        <v>-25</v>
      </c>
      <c r="U607" s="390"/>
      <c r="V607" s="390"/>
      <c r="W607" s="390">
        <v>1.4</v>
      </c>
      <c r="X607" s="390"/>
      <c r="Y607" s="390"/>
      <c r="Z607" s="390"/>
      <c r="AA607" s="390"/>
      <c r="AB607" s="390"/>
      <c r="AC607" s="390" t="s">
        <v>2963</v>
      </c>
      <c r="AD607" s="390"/>
      <c r="AE607" s="390"/>
      <c r="AF607" s="390">
        <v>5200</v>
      </c>
      <c r="AG607" s="389">
        <v>25923.75</v>
      </c>
      <c r="AH607" s="390">
        <v>3047</v>
      </c>
      <c r="AI607" s="394">
        <v>-405</v>
      </c>
      <c r="AJ607" s="390"/>
      <c r="AK607" s="390"/>
      <c r="AL607" s="390"/>
      <c r="AM607" s="390" t="s">
        <v>1228</v>
      </c>
      <c r="AN607" s="381">
        <v>5.5</v>
      </c>
      <c r="AO607" s="381"/>
      <c r="AP607" s="381"/>
      <c r="AQ607" s="381"/>
      <c r="AR607" s="381"/>
      <c r="AS607" s="381"/>
      <c r="AT607" s="381">
        <f>+ab($T$607,$T$605,$T$609,$G$606,$G$608,-1*$F$607,1200)</f>
        <v>-6.9688127527259809</v>
      </c>
      <c r="AU607" s="381"/>
      <c r="AV607" s="381"/>
      <c r="AW607" s="390" t="s">
        <v>699</v>
      </c>
      <c r="AX607" s="390" t="s">
        <v>699</v>
      </c>
      <c r="AY607" s="390" t="s">
        <v>699</v>
      </c>
      <c r="AZ607" s="390" t="s">
        <v>699</v>
      </c>
      <c r="BA607" s="390"/>
      <c r="BB607" s="306"/>
    </row>
    <row r="608" spans="1:54" ht="14.25">
      <c r="A608" s="341"/>
      <c r="B608" s="393"/>
      <c r="C608" s="389"/>
      <c r="D608" s="390"/>
      <c r="E608" s="390"/>
      <c r="F608" s="394"/>
      <c r="G608" s="395">
        <v>54.8</v>
      </c>
      <c r="H608" s="387"/>
      <c r="I608" s="387"/>
      <c r="J608" s="396"/>
      <c r="K608" s="390"/>
      <c r="L608" s="390"/>
      <c r="M608" s="390"/>
      <c r="N608" s="387"/>
      <c r="O608" s="387"/>
      <c r="P608" s="387"/>
      <c r="Q608" s="390"/>
      <c r="R608" s="395"/>
      <c r="S608" s="395">
        <v>54.77</v>
      </c>
      <c r="T608" s="390"/>
      <c r="U608" s="390"/>
      <c r="V608" s="390"/>
      <c r="W608" s="390"/>
      <c r="X608" s="390"/>
      <c r="Y608" s="390"/>
      <c r="Z608" s="390"/>
      <c r="AA608" s="390"/>
      <c r="AB608" s="390"/>
      <c r="AC608" s="390"/>
      <c r="AD608" s="390"/>
      <c r="AE608" s="390"/>
      <c r="AF608" s="390"/>
      <c r="AG608" s="389"/>
      <c r="AH608" s="390" t="s">
        <v>695</v>
      </c>
      <c r="AI608" s="394" t="s">
        <v>695</v>
      </c>
      <c r="AJ608" s="390"/>
      <c r="AK608" s="390"/>
      <c r="AL608" s="390"/>
      <c r="AM608" s="390"/>
      <c r="AN608" s="381"/>
      <c r="AO608" s="381"/>
      <c r="AP608" s="381"/>
      <c r="AQ608" s="381">
        <f>+FL_2($T$609,$T$607,$S$608,1200,12.53,-1*$R$609)</f>
        <v>-0.45403689681188353</v>
      </c>
      <c r="AR608" s="381"/>
      <c r="AS608" s="381"/>
      <c r="AT608" s="381"/>
      <c r="AU608" s="381"/>
      <c r="AV608" s="381"/>
      <c r="AW608" s="390"/>
      <c r="AX608" s="390"/>
      <c r="AY608" s="390"/>
      <c r="AZ608" s="390"/>
      <c r="BA608" s="390"/>
      <c r="BB608" s="306"/>
    </row>
    <row r="609" spans="1:54" ht="14.25">
      <c r="A609" s="341"/>
      <c r="B609" s="393" t="s">
        <v>1757</v>
      </c>
      <c r="C609" s="389">
        <f>+$C$607+$G$608</f>
        <v>25978.400000000001</v>
      </c>
      <c r="D609" s="390"/>
      <c r="E609" s="390">
        <v>100</v>
      </c>
      <c r="F609" s="394">
        <v>2000</v>
      </c>
      <c r="G609" s="395"/>
      <c r="H609" s="387"/>
      <c r="I609" s="387"/>
      <c r="J609" s="396"/>
      <c r="K609" s="390"/>
      <c r="L609" s="390" t="s">
        <v>1068</v>
      </c>
      <c r="M609" s="390" t="s">
        <v>2544</v>
      </c>
      <c r="N609" s="387" t="s">
        <v>144</v>
      </c>
      <c r="O609" s="387"/>
      <c r="P609" s="387"/>
      <c r="Q609" s="390">
        <v>101</v>
      </c>
      <c r="R609" s="395">
        <v>2000</v>
      </c>
      <c r="S609" s="395"/>
      <c r="T609" s="390">
        <v>-25</v>
      </c>
      <c r="U609" s="390"/>
      <c r="V609" s="390"/>
      <c r="W609" s="390">
        <v>1.4</v>
      </c>
      <c r="X609" s="390"/>
      <c r="Y609" s="390"/>
      <c r="Z609" s="390"/>
      <c r="AA609" s="390"/>
      <c r="AB609" s="390"/>
      <c r="AC609" s="390" t="s">
        <v>2963</v>
      </c>
      <c r="AD609" s="390"/>
      <c r="AE609" s="390"/>
      <c r="AF609" s="390">
        <v>5200</v>
      </c>
      <c r="AG609" s="389">
        <v>25978.52</v>
      </c>
      <c r="AH609" s="390">
        <v>3047</v>
      </c>
      <c r="AI609" s="394">
        <v>-380</v>
      </c>
      <c r="AJ609" s="390"/>
      <c r="AK609" s="390"/>
      <c r="AL609" s="390"/>
      <c r="AM609" s="390" t="s">
        <v>1228</v>
      </c>
      <c r="AN609" s="381">
        <v>5.5</v>
      </c>
      <c r="AO609" s="381"/>
      <c r="AP609" s="381"/>
      <c r="AQ609" s="381"/>
      <c r="AR609" s="381"/>
      <c r="AS609" s="381"/>
      <c r="AT609" s="381">
        <f>+ab($T$609,$T$607,$T$611,$G$608,$G$610,-1*$F$609,1200)</f>
        <v>-7.8547068086652123</v>
      </c>
      <c r="AU609" s="381"/>
      <c r="AV609" s="381"/>
      <c r="AW609" s="390" t="s">
        <v>699</v>
      </c>
      <c r="AX609" s="390" t="s">
        <v>699</v>
      </c>
      <c r="AY609" s="390" t="s">
        <v>699</v>
      </c>
      <c r="AZ609" s="390" t="s">
        <v>699</v>
      </c>
      <c r="BA609" s="390"/>
      <c r="BB609" s="306"/>
    </row>
    <row r="610" spans="1:54" ht="14.25">
      <c r="A610" s="341"/>
      <c r="B610" s="393"/>
      <c r="C610" s="389"/>
      <c r="D610" s="390"/>
      <c r="E610" s="390"/>
      <c r="F610" s="394"/>
      <c r="G610" s="395">
        <v>46.6</v>
      </c>
      <c r="H610" s="387"/>
      <c r="I610" s="387"/>
      <c r="J610" s="396"/>
      <c r="K610" s="390"/>
      <c r="L610" s="390"/>
      <c r="M610" s="390"/>
      <c r="N610" s="387"/>
      <c r="O610" s="387"/>
      <c r="P610" s="387"/>
      <c r="Q610" s="390"/>
      <c r="R610" s="395"/>
      <c r="S610" s="395">
        <v>46.94</v>
      </c>
      <c r="T610" s="390"/>
      <c r="U610" s="390"/>
      <c r="V610" s="390"/>
      <c r="W610" s="390"/>
      <c r="X610" s="390"/>
      <c r="Y610" s="390"/>
      <c r="Z610" s="390"/>
      <c r="AA610" s="390"/>
      <c r="AB610" s="390"/>
      <c r="AC610" s="390"/>
      <c r="AD610" s="390"/>
      <c r="AE610" s="390"/>
      <c r="AF610" s="390"/>
      <c r="AG610" s="389"/>
      <c r="AH610" s="390" t="s">
        <v>695</v>
      </c>
      <c r="AI610" s="394" t="s">
        <v>695</v>
      </c>
      <c r="AJ610" s="390"/>
      <c r="AK610" s="390"/>
      <c r="AL610" s="390"/>
      <c r="AM610" s="390"/>
      <c r="AN610" s="381"/>
      <c r="AO610" s="381"/>
      <c r="AP610" s="381"/>
      <c r="AQ610" s="381">
        <f>+FL_2($T$611,$T$609,$S$610,1200,12.7,-1*$R$611)</f>
        <v>-0.42978782338620913</v>
      </c>
      <c r="AR610" s="381"/>
      <c r="AS610" s="381"/>
      <c r="AT610" s="381"/>
      <c r="AU610" s="381"/>
      <c r="AV610" s="381"/>
      <c r="AW610" s="390"/>
      <c r="AX610" s="390"/>
      <c r="AY610" s="390"/>
      <c r="AZ610" s="390"/>
      <c r="BA610" s="390"/>
      <c r="BB610" s="306"/>
    </row>
    <row r="611" spans="1:54" ht="14.25">
      <c r="A611" s="341"/>
      <c r="B611" s="393" t="s">
        <v>1758</v>
      </c>
      <c r="C611" s="389">
        <f>+$C$609+$G$610</f>
        <v>26025</v>
      </c>
      <c r="D611" s="390"/>
      <c r="E611" s="390">
        <v>100</v>
      </c>
      <c r="F611" s="394">
        <v>2000</v>
      </c>
      <c r="G611" s="395"/>
      <c r="H611" s="387"/>
      <c r="I611" s="387"/>
      <c r="J611" s="396"/>
      <c r="K611" s="390"/>
      <c r="L611" s="390" t="s">
        <v>1066</v>
      </c>
      <c r="M611" s="390" t="s">
        <v>2544</v>
      </c>
      <c r="N611" s="387" t="s">
        <v>144</v>
      </c>
      <c r="O611" s="387"/>
      <c r="P611" s="387"/>
      <c r="Q611" s="390">
        <v>103</v>
      </c>
      <c r="R611" s="395">
        <v>2000</v>
      </c>
      <c r="S611" s="395"/>
      <c r="T611" s="390">
        <v>-30</v>
      </c>
      <c r="U611" s="390"/>
      <c r="V611" s="390"/>
      <c r="W611" s="390">
        <v>1.4</v>
      </c>
      <c r="X611" s="390"/>
      <c r="Y611" s="390"/>
      <c r="Z611" s="390"/>
      <c r="AA611" s="390"/>
      <c r="AB611" s="390"/>
      <c r="AC611" s="390" t="s">
        <v>2963</v>
      </c>
      <c r="AD611" s="390"/>
      <c r="AE611" s="390"/>
      <c r="AF611" s="390">
        <v>5200</v>
      </c>
      <c r="AG611" s="389">
        <v>26025.46</v>
      </c>
      <c r="AH611" s="390">
        <v>3087</v>
      </c>
      <c r="AI611" s="394">
        <v>-120</v>
      </c>
      <c r="AJ611" s="390"/>
      <c r="AK611" s="390"/>
      <c r="AL611" s="390"/>
      <c r="AM611" s="390" t="s">
        <v>1228</v>
      </c>
      <c r="AN611" s="381">
        <v>5.5</v>
      </c>
      <c r="AO611" s="381"/>
      <c r="AP611" s="381"/>
      <c r="AQ611" s="381"/>
      <c r="AR611" s="381"/>
      <c r="AS611" s="381"/>
      <c r="AT611" s="381">
        <f>+ab($T$611,$T$609,$T$613,$G$610,$G$612,-1*$F$611,1200)</f>
        <v>-7.6050020119161115</v>
      </c>
      <c r="AU611" s="381"/>
      <c r="AV611" s="381"/>
      <c r="AW611" s="390" t="s">
        <v>699</v>
      </c>
      <c r="AX611" s="390" t="s">
        <v>699</v>
      </c>
      <c r="AY611" s="390" t="s">
        <v>699</v>
      </c>
      <c r="AZ611" s="390" t="s">
        <v>699</v>
      </c>
      <c r="BA611" s="390"/>
      <c r="BB611" s="306"/>
    </row>
    <row r="612" spans="1:54" ht="14.25">
      <c r="A612" s="341"/>
      <c r="B612" s="393"/>
      <c r="C612" s="389"/>
      <c r="D612" s="390"/>
      <c r="E612" s="390"/>
      <c r="F612" s="394"/>
      <c r="G612" s="395">
        <v>45</v>
      </c>
      <c r="H612" s="387"/>
      <c r="I612" s="387"/>
      <c r="J612" s="396"/>
      <c r="K612" s="390"/>
      <c r="L612" s="390"/>
      <c r="M612" s="390"/>
      <c r="N612" s="387"/>
      <c r="O612" s="387"/>
      <c r="P612" s="387"/>
      <c r="Q612" s="390"/>
      <c r="R612" s="395"/>
      <c r="S612" s="395">
        <v>45.19</v>
      </c>
      <c r="T612" s="390"/>
      <c r="U612" s="390"/>
      <c r="V612" s="390"/>
      <c r="W612" s="390"/>
      <c r="X612" s="390"/>
      <c r="Y612" s="390"/>
      <c r="Z612" s="390"/>
      <c r="AA612" s="390"/>
      <c r="AB612" s="390"/>
      <c r="AC612" s="390"/>
      <c r="AD612" s="390"/>
      <c r="AE612" s="390"/>
      <c r="AF612" s="390"/>
      <c r="AG612" s="389"/>
      <c r="AH612" s="390" t="s">
        <v>695</v>
      </c>
      <c r="AI612" s="394" t="s">
        <v>695</v>
      </c>
      <c r="AJ612" s="390"/>
      <c r="AK612" s="390"/>
      <c r="AL612" s="390"/>
      <c r="AM612" s="390"/>
      <c r="AN612" s="381"/>
      <c r="AO612" s="381"/>
      <c r="AP612" s="381"/>
      <c r="AQ612" s="381">
        <f>+FL_2($T$613,$T$611,$S$612,1200,12.86,-1*$R$613)</f>
        <v>-0.42199436490764153</v>
      </c>
      <c r="AR612" s="381"/>
      <c r="AS612" s="381"/>
      <c r="AT612" s="381"/>
      <c r="AU612" s="381"/>
      <c r="AV612" s="381"/>
      <c r="AW612" s="390"/>
      <c r="AX612" s="390"/>
      <c r="AY612" s="390"/>
      <c r="AZ612" s="390"/>
      <c r="BA612" s="390"/>
      <c r="BB612" s="306"/>
    </row>
    <row r="613" spans="1:54" ht="14.25">
      <c r="A613" s="341"/>
      <c r="B613" s="393" t="s">
        <v>1759</v>
      </c>
      <c r="C613" s="389">
        <f>+$C$611+$G$612</f>
        <v>26070</v>
      </c>
      <c r="D613" s="390"/>
      <c r="E613" s="390">
        <v>100</v>
      </c>
      <c r="F613" s="394">
        <v>2000</v>
      </c>
      <c r="G613" s="395"/>
      <c r="H613" s="387"/>
      <c r="I613" s="387"/>
      <c r="J613" s="396"/>
      <c r="K613" s="390"/>
      <c r="L613" s="390" t="s">
        <v>1068</v>
      </c>
      <c r="M613" s="390" t="s">
        <v>2544</v>
      </c>
      <c r="N613" s="387" t="s">
        <v>144</v>
      </c>
      <c r="O613" s="387"/>
      <c r="P613" s="387"/>
      <c r="Q613" s="390">
        <v>99</v>
      </c>
      <c r="R613" s="395">
        <v>2000</v>
      </c>
      <c r="S613" s="395"/>
      <c r="T613" s="390">
        <v>-25</v>
      </c>
      <c r="U613" s="390"/>
      <c r="V613" s="390"/>
      <c r="W613" s="390">
        <v>1.4</v>
      </c>
      <c r="X613" s="390"/>
      <c r="Y613" s="390"/>
      <c r="Z613" s="390"/>
      <c r="AA613" s="390"/>
      <c r="AB613" s="390"/>
      <c r="AC613" s="390" t="s">
        <v>2963</v>
      </c>
      <c r="AD613" s="390"/>
      <c r="AE613" s="390"/>
      <c r="AF613" s="390">
        <v>5200</v>
      </c>
      <c r="AG613" s="389">
        <v>26070.65</v>
      </c>
      <c r="AH613" s="390">
        <v>3024</v>
      </c>
      <c r="AI613" s="394">
        <v>-414</v>
      </c>
      <c r="AJ613" s="390"/>
      <c r="AK613" s="390"/>
      <c r="AL613" s="390"/>
      <c r="AM613" s="390" t="s">
        <v>1228</v>
      </c>
      <c r="AN613" s="381">
        <v>5.5</v>
      </c>
      <c r="AO613" s="381"/>
      <c r="AP613" s="381"/>
      <c r="AQ613" s="381"/>
      <c r="AR613" s="381"/>
      <c r="AS613" s="381"/>
      <c r="AT613" s="381">
        <f>+ab($T$613,$T$611,$T$615,$G$612,$G$614,-1*$F$613,1200)</f>
        <v>-7.9972221072495033</v>
      </c>
      <c r="AU613" s="381"/>
      <c r="AV613" s="381"/>
      <c r="AW613" s="390" t="s">
        <v>699</v>
      </c>
      <c r="AX613" s="390" t="s">
        <v>699</v>
      </c>
      <c r="AY613" s="390" t="s">
        <v>699</v>
      </c>
      <c r="AZ613" s="390" t="s">
        <v>699</v>
      </c>
      <c r="BA613" s="390"/>
      <c r="BB613" s="306"/>
    </row>
    <row r="614" spans="1:54" ht="14.25">
      <c r="A614" s="341"/>
      <c r="B614" s="393"/>
      <c r="C614" s="389"/>
      <c r="D614" s="390"/>
      <c r="E614" s="390"/>
      <c r="F614" s="394"/>
      <c r="G614" s="395">
        <v>54.8</v>
      </c>
      <c r="H614" s="387"/>
      <c r="I614" s="387"/>
      <c r="J614" s="396"/>
      <c r="K614" s="390"/>
      <c r="L614" s="390"/>
      <c r="M614" s="390"/>
      <c r="N614" s="387"/>
      <c r="O614" s="387"/>
      <c r="P614" s="387"/>
      <c r="Q614" s="390"/>
      <c r="R614" s="395"/>
      <c r="S614" s="395">
        <v>54.96</v>
      </c>
      <c r="T614" s="390"/>
      <c r="U614" s="390"/>
      <c r="V614" s="390"/>
      <c r="W614" s="390"/>
      <c r="X614" s="390"/>
      <c r="Y614" s="390"/>
      <c r="Z614" s="390"/>
      <c r="AA614" s="390"/>
      <c r="AB614" s="390"/>
      <c r="AC614" s="390"/>
      <c r="AD614" s="390"/>
      <c r="AE614" s="390"/>
      <c r="AF614" s="390"/>
      <c r="AG614" s="389"/>
      <c r="AH614" s="390" t="s">
        <v>695</v>
      </c>
      <c r="AI614" s="394" t="s">
        <v>695</v>
      </c>
      <c r="AJ614" s="390"/>
      <c r="AK614" s="390"/>
      <c r="AL614" s="390"/>
      <c r="AM614" s="390"/>
      <c r="AN614" s="381"/>
      <c r="AO614" s="381"/>
      <c r="AP614" s="381"/>
      <c r="AQ614" s="381">
        <f>+FL_2($T$615,$T$613,$S$614,1200,13.02,-1*$R$615)</f>
        <v>-0.47087258096934048</v>
      </c>
      <c r="AR614" s="381"/>
      <c r="AS614" s="381"/>
      <c r="AT614" s="381"/>
      <c r="AU614" s="381"/>
      <c r="AV614" s="381"/>
      <c r="AW614" s="390"/>
      <c r="AX614" s="390"/>
      <c r="AY614" s="390"/>
      <c r="AZ614" s="390"/>
      <c r="BA614" s="390"/>
      <c r="BB614" s="306"/>
    </row>
    <row r="615" spans="1:54" ht="14.25">
      <c r="A615" s="341"/>
      <c r="B615" s="393" t="s">
        <v>1760</v>
      </c>
      <c r="C615" s="389">
        <f>+$C$613+$G$614</f>
        <v>26124.799999999999</v>
      </c>
      <c r="D615" s="390"/>
      <c r="E615" s="390">
        <v>100</v>
      </c>
      <c r="F615" s="394">
        <v>2000</v>
      </c>
      <c r="G615" s="395"/>
      <c r="H615" s="387"/>
      <c r="I615" s="387"/>
      <c r="J615" s="396"/>
      <c r="K615" s="390"/>
      <c r="L615" s="390" t="s">
        <v>1068</v>
      </c>
      <c r="M615" s="390" t="s">
        <v>2544</v>
      </c>
      <c r="N615" s="387" t="s">
        <v>144</v>
      </c>
      <c r="O615" s="387"/>
      <c r="P615" s="387"/>
      <c r="Q615" s="390">
        <v>105</v>
      </c>
      <c r="R615" s="395">
        <v>2000</v>
      </c>
      <c r="S615" s="395"/>
      <c r="T615" s="390">
        <v>-25</v>
      </c>
      <c r="U615" s="390"/>
      <c r="V615" s="390"/>
      <c r="W615" s="390">
        <v>1.4</v>
      </c>
      <c r="X615" s="390"/>
      <c r="Y615" s="390"/>
      <c r="Z615" s="390"/>
      <c r="AA615" s="390"/>
      <c r="AB615" s="390"/>
      <c r="AC615" s="390" t="s">
        <v>2963</v>
      </c>
      <c r="AD615" s="390"/>
      <c r="AE615" s="390"/>
      <c r="AF615" s="390">
        <v>5200</v>
      </c>
      <c r="AG615" s="389">
        <v>26125.61</v>
      </c>
      <c r="AH615" s="390">
        <v>3015</v>
      </c>
      <c r="AI615" s="394">
        <v>-473</v>
      </c>
      <c r="AJ615" s="390"/>
      <c r="AK615" s="390"/>
      <c r="AL615" s="390"/>
      <c r="AM615" s="390" t="s">
        <v>1228</v>
      </c>
      <c r="AN615" s="381">
        <v>5.5</v>
      </c>
      <c r="AO615" s="381"/>
      <c r="AP615" s="381"/>
      <c r="AQ615" s="381"/>
      <c r="AR615" s="381"/>
      <c r="AS615" s="381"/>
      <c r="AT615" s="381">
        <f>+ab($T$615,$T$613,$T$617,$G$614,$G$616,-1*$F$615,1200)</f>
        <v>-6.9688127527259809</v>
      </c>
      <c r="AU615" s="381"/>
      <c r="AV615" s="381"/>
      <c r="AW615" s="390" t="s">
        <v>699</v>
      </c>
      <c r="AX615" s="390" t="s">
        <v>699</v>
      </c>
      <c r="AY615" s="390" t="s">
        <v>699</v>
      </c>
      <c r="AZ615" s="390" t="s">
        <v>699</v>
      </c>
      <c r="BA615" s="390"/>
      <c r="BB615" s="306"/>
    </row>
    <row r="616" spans="1:54" ht="14.25">
      <c r="A616" s="341"/>
      <c r="B616" s="393"/>
      <c r="C616" s="389"/>
      <c r="D616" s="390"/>
      <c r="E616" s="390"/>
      <c r="F616" s="394"/>
      <c r="G616" s="395">
        <v>54.8</v>
      </c>
      <c r="H616" s="387"/>
      <c r="I616" s="387"/>
      <c r="J616" s="396"/>
      <c r="K616" s="390"/>
      <c r="L616" s="390"/>
      <c r="M616" s="390"/>
      <c r="N616" s="387"/>
      <c r="O616" s="387"/>
      <c r="P616" s="387"/>
      <c r="Q616" s="390"/>
      <c r="R616" s="395"/>
      <c r="S616" s="395">
        <v>54.39</v>
      </c>
      <c r="T616" s="390"/>
      <c r="U616" s="390"/>
      <c r="V616" s="390"/>
      <c r="W616" s="390"/>
      <c r="X616" s="390"/>
      <c r="Y616" s="390"/>
      <c r="Z616" s="390"/>
      <c r="AA616" s="390"/>
      <c r="AB616" s="390"/>
      <c r="AC616" s="390"/>
      <c r="AD616" s="390"/>
      <c r="AE616" s="390"/>
      <c r="AF616" s="390"/>
      <c r="AG616" s="389"/>
      <c r="AH616" s="390" t="s">
        <v>695</v>
      </c>
      <c r="AI616" s="394" t="s">
        <v>695</v>
      </c>
      <c r="AJ616" s="390"/>
      <c r="AK616" s="390"/>
      <c r="AL616" s="390"/>
      <c r="AM616" s="390"/>
      <c r="AN616" s="381"/>
      <c r="AO616" s="381"/>
      <c r="AP616" s="381"/>
      <c r="AQ616" s="381">
        <f>+FL_2($T$617,$T$615,$G$616,1200,13.09,-1*$F$617)</f>
        <v>-0.47177820895606315</v>
      </c>
      <c r="AR616" s="381"/>
      <c r="AS616" s="381"/>
      <c r="AT616" s="381"/>
      <c r="AU616" s="381"/>
      <c r="AV616" s="381"/>
      <c r="AW616" s="390"/>
      <c r="AX616" s="390"/>
      <c r="AY616" s="390"/>
      <c r="AZ616" s="390"/>
      <c r="BA616" s="390"/>
      <c r="BB616" s="306"/>
    </row>
    <row r="617" spans="1:54" ht="14.25">
      <c r="A617" s="341"/>
      <c r="B617" s="393" t="s">
        <v>1761</v>
      </c>
      <c r="C617" s="389">
        <f>+$C$615+$G$616</f>
        <v>26179.599999999999</v>
      </c>
      <c r="D617" s="390"/>
      <c r="E617" s="390">
        <v>100</v>
      </c>
      <c r="F617" s="394">
        <v>2000</v>
      </c>
      <c r="G617" s="395"/>
      <c r="H617" s="387" t="s">
        <v>138</v>
      </c>
      <c r="I617" s="387" t="s">
        <v>2718</v>
      </c>
      <c r="J617" s="396"/>
      <c r="K617" s="390"/>
      <c r="L617" s="390" t="s">
        <v>2599</v>
      </c>
      <c r="M617" s="390" t="s">
        <v>2545</v>
      </c>
      <c r="N617" s="387" t="s">
        <v>144</v>
      </c>
      <c r="O617" s="387"/>
      <c r="P617" s="387"/>
      <c r="Q617" s="390">
        <v>103</v>
      </c>
      <c r="R617" s="395">
        <v>2000</v>
      </c>
      <c r="S617" s="395"/>
      <c r="T617" s="390">
        <v>-25</v>
      </c>
      <c r="U617" s="390"/>
      <c r="V617" s="390"/>
      <c r="W617" s="390">
        <v>1.4</v>
      </c>
      <c r="X617" s="390"/>
      <c r="Y617" s="390"/>
      <c r="Z617" s="390"/>
      <c r="AA617" s="390"/>
      <c r="AB617" s="390"/>
      <c r="AC617" s="390" t="s">
        <v>2963</v>
      </c>
      <c r="AD617" s="390"/>
      <c r="AE617" s="390"/>
      <c r="AF617" s="390">
        <v>5200</v>
      </c>
      <c r="AG617" s="389">
        <v>26180</v>
      </c>
      <c r="AH617" s="390">
        <v>3018</v>
      </c>
      <c r="AI617" s="394">
        <v>-180</v>
      </c>
      <c r="AJ617" s="390"/>
      <c r="AK617" s="390"/>
      <c r="AL617" s="390"/>
      <c r="AM617" s="390" t="s">
        <v>1228</v>
      </c>
      <c r="AN617" s="381">
        <v>5.5</v>
      </c>
      <c r="AO617" s="381"/>
      <c r="AP617" s="381"/>
      <c r="AQ617" s="381"/>
      <c r="AR617" s="381"/>
      <c r="AS617" s="381"/>
      <c r="AT617" s="381">
        <f>+ab($T$617,$T$615,$T$619,$G$616,$G$618,-1*$F$617,1200)</f>
        <v>-6.1636038945307297</v>
      </c>
      <c r="AU617" s="381"/>
      <c r="AV617" s="381"/>
      <c r="AW617" s="390" t="s">
        <v>699</v>
      </c>
      <c r="AX617" s="390" t="s">
        <v>699</v>
      </c>
      <c r="AY617" s="390" t="s">
        <v>699</v>
      </c>
      <c r="AZ617" s="390" t="s">
        <v>699</v>
      </c>
      <c r="BA617" s="390"/>
      <c r="BB617" s="306"/>
    </row>
    <row r="618" spans="1:54" ht="14.25">
      <c r="A618" s="341"/>
      <c r="B618" s="393"/>
      <c r="C618" s="389"/>
      <c r="D618" s="390"/>
      <c r="E618" s="390"/>
      <c r="F618" s="394"/>
      <c r="G618" s="395">
        <v>54.6</v>
      </c>
      <c r="H618" s="387"/>
      <c r="I618" s="387"/>
      <c r="J618" s="396"/>
      <c r="K618" s="390"/>
      <c r="L618" s="390"/>
      <c r="M618" s="390"/>
      <c r="N618" s="387"/>
      <c r="O618" s="387"/>
      <c r="P618" s="387"/>
      <c r="Q618" s="390"/>
      <c r="R618" s="395"/>
      <c r="S618" s="395">
        <v>55.5</v>
      </c>
      <c r="T618" s="390"/>
      <c r="U618" s="390"/>
      <c r="V618" s="390"/>
      <c r="W618" s="390"/>
      <c r="X618" s="390"/>
      <c r="Y618" s="390"/>
      <c r="Z618" s="390"/>
      <c r="AA618" s="390"/>
      <c r="AB618" s="390"/>
      <c r="AC618" s="390"/>
      <c r="AD618" s="390"/>
      <c r="AE618" s="390"/>
      <c r="AF618" s="390"/>
      <c r="AG618" s="389"/>
      <c r="AH618" s="390" t="s">
        <v>695</v>
      </c>
      <c r="AI618" s="394" t="s">
        <v>695</v>
      </c>
      <c r="AJ618" s="390"/>
      <c r="AK618" s="390"/>
      <c r="AL618" s="390"/>
      <c r="AM618" s="390"/>
      <c r="AN618" s="381"/>
      <c r="AO618" s="381"/>
      <c r="AP618" s="381"/>
      <c r="AQ618" s="381">
        <f>+FL_2($U$619,$T$617,$S$618,1200,13.24,-1*$R$619)</f>
        <v>-0.48229292104143917</v>
      </c>
      <c r="AR618" s="381"/>
      <c r="AS618" s="381"/>
      <c r="AT618" s="381"/>
      <c r="AU618" s="381"/>
      <c r="AV618" s="381"/>
      <c r="AW618" s="390"/>
      <c r="AX618" s="390"/>
      <c r="AY618" s="390"/>
      <c r="AZ618" s="390"/>
      <c r="BA618" s="390"/>
      <c r="BB618" s="306"/>
    </row>
    <row r="619" spans="1:54" ht="14.25">
      <c r="A619" s="341"/>
      <c r="B619" s="393" t="s">
        <v>1762</v>
      </c>
      <c r="C619" s="389">
        <f>+$C$617+$G$618</f>
        <v>26234.199999999997</v>
      </c>
      <c r="D619" s="390"/>
      <c r="E619" s="390">
        <v>100</v>
      </c>
      <c r="F619" s="394">
        <v>2000</v>
      </c>
      <c r="G619" s="395"/>
      <c r="H619" s="387" t="s">
        <v>651</v>
      </c>
      <c r="I619" s="387"/>
      <c r="J619" s="396"/>
      <c r="K619" s="390"/>
      <c r="L619" s="390" t="s">
        <v>1072</v>
      </c>
      <c r="M619" s="390" t="s">
        <v>2546</v>
      </c>
      <c r="N619" s="387" t="s">
        <v>140</v>
      </c>
      <c r="O619" s="387" t="s">
        <v>144</v>
      </c>
      <c r="P619" s="387"/>
      <c r="Q619" s="390">
        <v>104</v>
      </c>
      <c r="R619" s="395">
        <v>2000</v>
      </c>
      <c r="S619" s="395"/>
      <c r="T619" s="390">
        <v>-5</v>
      </c>
      <c r="U619" s="390">
        <v>-25</v>
      </c>
      <c r="V619" s="390"/>
      <c r="W619" s="390">
        <v>1.4</v>
      </c>
      <c r="X619" s="390">
        <v>2.2999999999999998</v>
      </c>
      <c r="Y619" s="390"/>
      <c r="Z619" s="390">
        <v>0.5</v>
      </c>
      <c r="AA619" s="390"/>
      <c r="AB619" s="390"/>
      <c r="AC619" s="390"/>
      <c r="AD619" s="390" t="s">
        <v>2963</v>
      </c>
      <c r="AE619" s="390"/>
      <c r="AF619" s="390">
        <v>5200</v>
      </c>
      <c r="AG619" s="389">
        <v>26235.5</v>
      </c>
      <c r="AH619" s="390">
        <v>3020</v>
      </c>
      <c r="AI619" s="394">
        <v>-172</v>
      </c>
      <c r="AJ619" s="390"/>
      <c r="AK619" s="390"/>
      <c r="AL619" s="390"/>
      <c r="AM619" s="390" t="s">
        <v>1228</v>
      </c>
      <c r="AN619" s="381">
        <v>5.5</v>
      </c>
      <c r="AO619" s="381"/>
      <c r="AP619" s="381"/>
      <c r="AQ619" s="381"/>
      <c r="AR619" s="381"/>
      <c r="AS619" s="381"/>
      <c r="AT619" s="381">
        <f>+ab($U$619,$T$617,$U$621,$G$618,$G$620,-1*$F$619,1200)</f>
        <v>-7.2198680329718226</v>
      </c>
      <c r="AU619" s="381"/>
      <c r="AV619" s="381"/>
      <c r="AW619" s="390" t="s">
        <v>699</v>
      </c>
      <c r="AX619" s="390" t="s">
        <v>699</v>
      </c>
      <c r="AY619" s="390" t="s">
        <v>699</v>
      </c>
      <c r="AZ619" s="390" t="s">
        <v>699</v>
      </c>
      <c r="BA619" s="390"/>
      <c r="BB619" s="306"/>
    </row>
    <row r="620" spans="1:54" ht="14.25">
      <c r="A620" s="341"/>
      <c r="B620" s="393"/>
      <c r="C620" s="389"/>
      <c r="D620" s="390"/>
      <c r="E620" s="390"/>
      <c r="F620" s="394"/>
      <c r="G620" s="395">
        <v>54.8</v>
      </c>
      <c r="H620" s="387"/>
      <c r="I620" s="387"/>
      <c r="J620" s="396"/>
      <c r="K620" s="390"/>
      <c r="L620" s="390"/>
      <c r="M620" s="390"/>
      <c r="N620" s="387"/>
      <c r="O620" s="387"/>
      <c r="P620" s="387"/>
      <c r="Q620" s="390"/>
      <c r="R620" s="395"/>
      <c r="S620" s="395">
        <v>54.95</v>
      </c>
      <c r="T620" s="390"/>
      <c r="U620" s="390"/>
      <c r="V620" s="390"/>
      <c r="W620" s="390"/>
      <c r="X620" s="390"/>
      <c r="Y620" s="390"/>
      <c r="Z620" s="390"/>
      <c r="AA620" s="390"/>
      <c r="AB620" s="390"/>
      <c r="AC620" s="390"/>
      <c r="AD620" s="390"/>
      <c r="AE620" s="390"/>
      <c r="AF620" s="390"/>
      <c r="AG620" s="389"/>
      <c r="AH620" s="390" t="s">
        <v>695</v>
      </c>
      <c r="AI620" s="394" t="s">
        <v>695</v>
      </c>
      <c r="AJ620" s="390"/>
      <c r="AK620" s="390"/>
      <c r="AL620" s="390"/>
      <c r="AM620" s="390"/>
      <c r="AN620" s="381"/>
      <c r="AO620" s="381"/>
      <c r="AP620" s="381"/>
      <c r="AQ620" s="381">
        <f>+FL_1($T$621,$U$619,$S$620,1200,13.24,-1*$R$621)</f>
        <v>0.43249122821187302</v>
      </c>
      <c r="AR620" s="381"/>
      <c r="AS620" s="381"/>
      <c r="AT620" s="381"/>
      <c r="AU620" s="381"/>
      <c r="AV620" s="381"/>
      <c r="AW620" s="390"/>
      <c r="AX620" s="390"/>
      <c r="AY620" s="390"/>
      <c r="AZ620" s="390"/>
      <c r="BA620" s="390"/>
      <c r="BB620" s="306"/>
    </row>
    <row r="621" spans="1:54" ht="14.25">
      <c r="A621" s="341"/>
      <c r="B621" s="393" t="s">
        <v>1763</v>
      </c>
      <c r="C621" s="389">
        <f>+$C$619+$G$620</f>
        <v>26288.999999999996</v>
      </c>
      <c r="D621" s="390"/>
      <c r="E621" s="390">
        <v>100</v>
      </c>
      <c r="F621" s="394">
        <v>2000</v>
      </c>
      <c r="G621" s="395"/>
      <c r="H621" s="387" t="s">
        <v>651</v>
      </c>
      <c r="I621" s="387"/>
      <c r="J621" s="396"/>
      <c r="K621" s="390"/>
      <c r="L621" s="390" t="s">
        <v>1072</v>
      </c>
      <c r="M621" s="390" t="s">
        <v>2545</v>
      </c>
      <c r="N621" s="387" t="s">
        <v>144</v>
      </c>
      <c r="O621" s="387" t="s">
        <v>140</v>
      </c>
      <c r="P621" s="387"/>
      <c r="Q621" s="390">
        <v>95</v>
      </c>
      <c r="R621" s="395">
        <v>2000</v>
      </c>
      <c r="S621" s="395"/>
      <c r="T621" s="390">
        <v>-10</v>
      </c>
      <c r="U621" s="390">
        <v>-30</v>
      </c>
      <c r="V621" s="390"/>
      <c r="W621" s="390">
        <v>1.4</v>
      </c>
      <c r="X621" s="390">
        <v>2.2999999999999998</v>
      </c>
      <c r="Y621" s="390"/>
      <c r="Z621" s="390"/>
      <c r="AA621" s="390">
        <v>0.5</v>
      </c>
      <c r="AB621" s="390"/>
      <c r="AC621" s="390" t="s">
        <v>1704</v>
      </c>
      <c r="AD621" s="390"/>
      <c r="AE621" s="390"/>
      <c r="AF621" s="390">
        <v>5200</v>
      </c>
      <c r="AG621" s="389">
        <v>26290.45</v>
      </c>
      <c r="AH621" s="390">
        <v>3020</v>
      </c>
      <c r="AI621" s="394">
        <v>-162</v>
      </c>
      <c r="AJ621" s="390"/>
      <c r="AK621" s="390"/>
      <c r="AL621" s="390"/>
      <c r="AM621" s="390" t="s">
        <v>1228</v>
      </c>
      <c r="AN621" s="381">
        <v>5.5</v>
      </c>
      <c r="AO621" s="381"/>
      <c r="AP621" s="381"/>
      <c r="AQ621" s="381"/>
      <c r="AR621" s="381"/>
      <c r="AS621" s="381"/>
      <c r="AT621" s="381">
        <f>+ab($T$621,$T$619,$T$623,$G$620,$G$622,-1*$F$621,1200)</f>
        <v>-8.2921638208860546</v>
      </c>
      <c r="AU621" s="381"/>
      <c r="AV621" s="381"/>
      <c r="AW621" s="390" t="s">
        <v>699</v>
      </c>
      <c r="AX621" s="390" t="s">
        <v>699</v>
      </c>
      <c r="AY621" s="390" t="s">
        <v>699</v>
      </c>
      <c r="AZ621" s="390" t="s">
        <v>699</v>
      </c>
      <c r="BA621" s="390"/>
      <c r="BB621" s="306"/>
    </row>
    <row r="622" spans="1:54" ht="14.25">
      <c r="A622" s="341"/>
      <c r="B622" s="393"/>
      <c r="C622" s="389"/>
      <c r="D622" s="390"/>
      <c r="E622" s="390"/>
      <c r="F622" s="394"/>
      <c r="G622" s="395">
        <v>46.4</v>
      </c>
      <c r="H622" s="387"/>
      <c r="I622" s="387"/>
      <c r="J622" s="396"/>
      <c r="K622" s="390"/>
      <c r="L622" s="390"/>
      <c r="M622" s="390"/>
      <c r="N622" s="387"/>
      <c r="O622" s="387"/>
      <c r="P622" s="387"/>
      <c r="Q622" s="390"/>
      <c r="R622" s="395"/>
      <c r="S622" s="395">
        <v>44.55</v>
      </c>
      <c r="T622" s="390"/>
      <c r="U622" s="390"/>
      <c r="V622" s="390"/>
      <c r="W622" s="390"/>
      <c r="X622" s="390"/>
      <c r="Y622" s="390"/>
      <c r="Z622" s="390"/>
      <c r="AA622" s="390"/>
      <c r="AB622" s="390"/>
      <c r="AC622" s="390"/>
      <c r="AD622" s="390"/>
      <c r="AE622" s="390"/>
      <c r="AF622" s="390"/>
      <c r="AG622" s="389"/>
      <c r="AH622" s="390" t="s">
        <v>695</v>
      </c>
      <c r="AI622" s="394" t="s">
        <v>695</v>
      </c>
      <c r="AJ622" s="390"/>
      <c r="AK622" s="390"/>
      <c r="AL622" s="390"/>
      <c r="AM622" s="390"/>
      <c r="AN622" s="381"/>
      <c r="AO622" s="381"/>
      <c r="AP622" s="381"/>
      <c r="AQ622" s="381">
        <f>+FL_1($T$623,$T$621,$S$622,1200,13.24,-1*$R$623)</f>
        <v>0.22630657558929845</v>
      </c>
      <c r="AR622" s="381"/>
      <c r="AS622" s="381"/>
      <c r="AT622" s="381"/>
      <c r="AU622" s="381"/>
      <c r="AV622" s="381"/>
      <c r="AW622" s="390"/>
      <c r="AX622" s="390"/>
      <c r="AY622" s="390"/>
      <c r="AZ622" s="390"/>
      <c r="BA622" s="390"/>
      <c r="BB622" s="306"/>
    </row>
    <row r="623" spans="1:54" ht="14.25">
      <c r="A623" s="341"/>
      <c r="B623" s="393" t="s">
        <v>1764</v>
      </c>
      <c r="C623" s="389">
        <f>+$C$621+$G$622</f>
        <v>26335.399999999998</v>
      </c>
      <c r="D623" s="390"/>
      <c r="E623" s="390">
        <v>100</v>
      </c>
      <c r="F623" s="394">
        <v>2000</v>
      </c>
      <c r="G623" s="395"/>
      <c r="H623" s="387" t="s">
        <v>138</v>
      </c>
      <c r="I623" s="387" t="s">
        <v>656</v>
      </c>
      <c r="J623" s="396"/>
      <c r="K623" s="390"/>
      <c r="L623" s="390" t="s">
        <v>2599</v>
      </c>
      <c r="M623" s="390" t="s">
        <v>2545</v>
      </c>
      <c r="N623" s="387" t="s">
        <v>144</v>
      </c>
      <c r="O623" s="387"/>
      <c r="P623" s="387"/>
      <c r="Q623" s="390">
        <v>97</v>
      </c>
      <c r="R623" s="395">
        <v>2000</v>
      </c>
      <c r="S623" s="395"/>
      <c r="T623" s="390">
        <v>-25</v>
      </c>
      <c r="U623" s="390"/>
      <c r="V623" s="390"/>
      <c r="W623" s="390">
        <v>1.4</v>
      </c>
      <c r="X623" s="390"/>
      <c r="Y623" s="390"/>
      <c r="Z623" s="390"/>
      <c r="AA623" s="390"/>
      <c r="AB623" s="390"/>
      <c r="AC623" s="390" t="s">
        <v>2963</v>
      </c>
      <c r="AD623" s="390"/>
      <c r="AE623" s="390"/>
      <c r="AF623" s="390">
        <v>5200</v>
      </c>
      <c r="AG623" s="389">
        <v>26335</v>
      </c>
      <c r="AH623" s="390">
        <v>2708</v>
      </c>
      <c r="AI623" s="394">
        <v>-190</v>
      </c>
      <c r="AJ623" s="390"/>
      <c r="AK623" s="390"/>
      <c r="AL623" s="390"/>
      <c r="AM623" s="390" t="s">
        <v>1228</v>
      </c>
      <c r="AN623" s="381">
        <v>5.5</v>
      </c>
      <c r="AO623" s="381"/>
      <c r="AP623" s="381"/>
      <c r="AQ623" s="381"/>
      <c r="AR623" s="381"/>
      <c r="AS623" s="381"/>
      <c r="AT623" s="381">
        <f>+ab($T$623,$T$621,$T$625,$G$622,$G$624,-1*$F$623,1200)</f>
        <v>-7.0153554389469104</v>
      </c>
      <c r="AU623" s="381"/>
      <c r="AV623" s="381"/>
      <c r="AW623" s="390" t="s">
        <v>699</v>
      </c>
      <c r="AX623" s="390" t="s">
        <v>699</v>
      </c>
      <c r="AY623" s="390" t="s">
        <v>699</v>
      </c>
      <c r="AZ623" s="390" t="s">
        <v>699</v>
      </c>
      <c r="BA623" s="390"/>
      <c r="BB623" s="306"/>
    </row>
    <row r="624" spans="1:54" ht="14.25">
      <c r="A624" s="341"/>
      <c r="B624" s="393"/>
      <c r="C624" s="389"/>
      <c r="D624" s="390"/>
      <c r="E624" s="390"/>
      <c r="F624" s="394"/>
      <c r="G624" s="395">
        <v>45.1</v>
      </c>
      <c r="H624" s="387"/>
      <c r="I624" s="387"/>
      <c r="J624" s="396"/>
      <c r="K624" s="390"/>
      <c r="L624" s="390"/>
      <c r="M624" s="390"/>
      <c r="N624" s="387"/>
      <c r="O624" s="387"/>
      <c r="P624" s="387"/>
      <c r="Q624" s="390"/>
      <c r="R624" s="395"/>
      <c r="S624" s="395">
        <v>47.55</v>
      </c>
      <c r="T624" s="390"/>
      <c r="U624" s="390"/>
      <c r="V624" s="390"/>
      <c r="W624" s="390"/>
      <c r="X624" s="390"/>
      <c r="Y624" s="390"/>
      <c r="Z624" s="390"/>
      <c r="AA624" s="390"/>
      <c r="AB624" s="390"/>
      <c r="AC624" s="390"/>
      <c r="AD624" s="390"/>
      <c r="AE624" s="390"/>
      <c r="AF624" s="390"/>
      <c r="AG624" s="389"/>
      <c r="AH624" s="390" t="s">
        <v>695</v>
      </c>
      <c r="AI624" s="394" t="s">
        <v>695</v>
      </c>
      <c r="AJ624" s="390"/>
      <c r="AK624" s="390"/>
      <c r="AL624" s="390"/>
      <c r="AM624" s="390"/>
      <c r="AN624" s="381"/>
      <c r="AO624" s="381"/>
      <c r="AP624" s="381"/>
      <c r="AQ624" s="381">
        <f>+FL_2($T$625,$T$623,$S$624,1200,13.24,-1*$R$625)</f>
        <v>-0.39642866093270013</v>
      </c>
      <c r="AR624" s="381"/>
      <c r="AS624" s="381"/>
      <c r="AT624" s="381"/>
      <c r="AU624" s="381"/>
      <c r="AV624" s="381"/>
      <c r="AW624" s="390"/>
      <c r="AX624" s="390"/>
      <c r="AY624" s="390"/>
      <c r="AZ624" s="390"/>
      <c r="BA624" s="390"/>
      <c r="BB624" s="306"/>
    </row>
    <row r="625" spans="1:56" ht="14.25">
      <c r="A625" s="341"/>
      <c r="B625" s="393" t="s">
        <v>1765</v>
      </c>
      <c r="C625" s="389">
        <f>+$C$623+$G$624</f>
        <v>26380.499999999996</v>
      </c>
      <c r="D625" s="390"/>
      <c r="E625" s="390">
        <v>100</v>
      </c>
      <c r="F625" s="394">
        <v>2000</v>
      </c>
      <c r="G625" s="395"/>
      <c r="H625" s="387"/>
      <c r="I625" s="387"/>
      <c r="J625" s="396"/>
      <c r="K625" s="390"/>
      <c r="L625" s="390" t="s">
        <v>1068</v>
      </c>
      <c r="M625" s="390" t="s">
        <v>2544</v>
      </c>
      <c r="N625" s="387" t="s">
        <v>144</v>
      </c>
      <c r="O625" s="387"/>
      <c r="P625" s="387"/>
      <c r="Q625" s="390">
        <v>98</v>
      </c>
      <c r="R625" s="395">
        <v>2000</v>
      </c>
      <c r="S625" s="395"/>
      <c r="T625" s="390">
        <v>-20</v>
      </c>
      <c r="U625" s="390"/>
      <c r="V625" s="390"/>
      <c r="W625" s="390">
        <v>1.4</v>
      </c>
      <c r="X625" s="390"/>
      <c r="Y625" s="390"/>
      <c r="Z625" s="390"/>
      <c r="AA625" s="390"/>
      <c r="AB625" s="390"/>
      <c r="AC625" s="390" t="s">
        <v>2963</v>
      </c>
      <c r="AD625" s="390"/>
      <c r="AE625" s="390"/>
      <c r="AF625" s="390">
        <v>5200</v>
      </c>
      <c r="AG625" s="389">
        <v>26382.55</v>
      </c>
      <c r="AH625" s="390">
        <v>2753</v>
      </c>
      <c r="AI625" s="394">
        <v>-428</v>
      </c>
      <c r="AJ625" s="390"/>
      <c r="AK625" s="390"/>
      <c r="AL625" s="390"/>
      <c r="AM625" s="390" t="s">
        <v>1228</v>
      </c>
      <c r="AN625" s="381">
        <v>5.5</v>
      </c>
      <c r="AO625" s="381"/>
      <c r="AP625" s="381"/>
      <c r="AQ625" s="381"/>
      <c r="AR625" s="381"/>
      <c r="AS625" s="381"/>
      <c r="AT625" s="381">
        <f>+ab($T$625,$T$623,$T$627,$G$624,$G$626,-1*$F$625,1200)</f>
        <v>-7.7047580272911196</v>
      </c>
      <c r="AU625" s="381"/>
      <c r="AV625" s="381"/>
      <c r="AW625" s="390" t="s">
        <v>699</v>
      </c>
      <c r="AX625" s="390" t="s">
        <v>699</v>
      </c>
      <c r="AY625" s="390" t="s">
        <v>699</v>
      </c>
      <c r="AZ625" s="390" t="s">
        <v>699</v>
      </c>
      <c r="BA625" s="390"/>
      <c r="BB625" s="306"/>
    </row>
    <row r="626" spans="1:56" ht="14.25">
      <c r="A626" s="341"/>
      <c r="B626" s="393"/>
      <c r="C626" s="389"/>
      <c r="D626" s="390"/>
      <c r="E626" s="390"/>
      <c r="F626" s="394"/>
      <c r="G626" s="395">
        <v>54.7</v>
      </c>
      <c r="H626" s="387"/>
      <c r="I626" s="387"/>
      <c r="J626" s="396"/>
      <c r="K626" s="390"/>
      <c r="L626" s="390"/>
      <c r="M626" s="390"/>
      <c r="N626" s="387"/>
      <c r="O626" s="387"/>
      <c r="P626" s="387"/>
      <c r="Q626" s="390"/>
      <c r="R626" s="395"/>
      <c r="S626" s="395">
        <v>54.97</v>
      </c>
      <c r="T626" s="390"/>
      <c r="U626" s="390"/>
      <c r="V626" s="390"/>
      <c r="W626" s="390"/>
      <c r="X626" s="390"/>
      <c r="Y626" s="390"/>
      <c r="Z626" s="390"/>
      <c r="AA626" s="390"/>
      <c r="AB626" s="390"/>
      <c r="AC626" s="390"/>
      <c r="AD626" s="390"/>
      <c r="AE626" s="390"/>
      <c r="AF626" s="390"/>
      <c r="AG626" s="389"/>
      <c r="AH626" s="390" t="s">
        <v>695</v>
      </c>
      <c r="AI626" s="394" t="s">
        <v>695</v>
      </c>
      <c r="AJ626" s="390"/>
      <c r="AK626" s="390"/>
      <c r="AL626" s="390"/>
      <c r="AM626" s="390"/>
      <c r="AN626" s="381"/>
      <c r="AO626" s="381"/>
      <c r="AP626" s="381"/>
      <c r="AQ626" s="381">
        <f>+FL_2($T$627,$T$625,$S$626,1200,13.16,-1*$R$627)</f>
        <v>-0.44505877166820162</v>
      </c>
      <c r="AR626" s="381"/>
      <c r="AS626" s="381"/>
      <c r="AT626" s="381"/>
      <c r="AU626" s="381"/>
      <c r="AV626" s="381"/>
      <c r="AW626" s="390"/>
      <c r="AX626" s="390"/>
      <c r="AY626" s="390"/>
      <c r="AZ626" s="390"/>
      <c r="BA626" s="390"/>
      <c r="BB626" s="306"/>
    </row>
    <row r="627" spans="1:56" ht="14.25">
      <c r="A627" s="341"/>
      <c r="B627" s="393" t="s">
        <v>1766</v>
      </c>
      <c r="C627" s="389">
        <f>+$C$625+$G$626</f>
        <v>26435.199999999997</v>
      </c>
      <c r="D627" s="390"/>
      <c r="E627" s="390"/>
      <c r="F627" s="394">
        <f>380000/(26580-C627)</f>
        <v>2624.3093922651406</v>
      </c>
      <c r="G627" s="395"/>
      <c r="H627" s="387"/>
      <c r="I627" s="387"/>
      <c r="J627" s="396"/>
      <c r="K627" s="390"/>
      <c r="L627" s="390" t="s">
        <v>1068</v>
      </c>
      <c r="M627" s="390" t="s">
        <v>2544</v>
      </c>
      <c r="N627" s="387" t="s">
        <v>144</v>
      </c>
      <c r="O627" s="387"/>
      <c r="P627" s="387"/>
      <c r="Q627" s="390">
        <v>75</v>
      </c>
      <c r="R627" s="395">
        <v>2609.56</v>
      </c>
      <c r="S627" s="395"/>
      <c r="T627" s="390">
        <v>-15</v>
      </c>
      <c r="U627" s="390"/>
      <c r="V627" s="390"/>
      <c r="W627" s="390">
        <v>1.4</v>
      </c>
      <c r="X627" s="390"/>
      <c r="Y627" s="390"/>
      <c r="Z627" s="390"/>
      <c r="AA627" s="390"/>
      <c r="AB627" s="390"/>
      <c r="AC627" s="390" t="s">
        <v>1704</v>
      </c>
      <c r="AD627" s="390"/>
      <c r="AE627" s="390"/>
      <c r="AF627" s="390">
        <v>5200</v>
      </c>
      <c r="AG627" s="389">
        <v>26437.52</v>
      </c>
      <c r="AH627" s="390">
        <v>3067</v>
      </c>
      <c r="AI627" s="394">
        <v>-446</v>
      </c>
      <c r="AJ627" s="390"/>
      <c r="AK627" s="390"/>
      <c r="AL627" s="390"/>
      <c r="AM627" s="390" t="s">
        <v>1228</v>
      </c>
      <c r="AN627" s="381">
        <v>5.5</v>
      </c>
      <c r="AO627" s="381"/>
      <c r="AP627" s="381"/>
      <c r="AQ627" s="381"/>
      <c r="AR627" s="381"/>
      <c r="AS627" s="381"/>
      <c r="AT627" s="381">
        <f>+ab($T$627,$T$625,$T$629,$G$626,$G$628,-1*$F$627,1200)</f>
        <v>-9.5394382430962974</v>
      </c>
      <c r="AU627" s="381"/>
      <c r="AV627" s="381"/>
      <c r="AW627" s="390" t="s">
        <v>699</v>
      </c>
      <c r="AX627" s="390" t="s">
        <v>699</v>
      </c>
      <c r="AY627" s="390" t="s">
        <v>699</v>
      </c>
      <c r="AZ627" s="390" t="s">
        <v>699</v>
      </c>
      <c r="BA627" s="390"/>
      <c r="BB627" s="306"/>
    </row>
    <row r="628" spans="1:56" ht="14.25">
      <c r="A628" s="341"/>
      <c r="B628" s="393"/>
      <c r="C628" s="389"/>
      <c r="D628" s="390"/>
      <c r="E628" s="390"/>
      <c r="F628" s="394"/>
      <c r="G628" s="395">
        <v>54.7</v>
      </c>
      <c r="H628" s="387"/>
      <c r="I628" s="387"/>
      <c r="J628" s="396"/>
      <c r="K628" s="390"/>
      <c r="L628" s="390"/>
      <c r="M628" s="390"/>
      <c r="N628" s="387"/>
      <c r="O628" s="387"/>
      <c r="P628" s="387"/>
      <c r="Q628" s="390"/>
      <c r="R628" s="395"/>
      <c r="S628" s="395">
        <v>54.99</v>
      </c>
      <c r="T628" s="390"/>
      <c r="U628" s="390"/>
      <c r="V628" s="390"/>
      <c r="W628" s="390"/>
      <c r="X628" s="390"/>
      <c r="Y628" s="390"/>
      <c r="Z628" s="390"/>
      <c r="AA628" s="390"/>
      <c r="AB628" s="390"/>
      <c r="AC628" s="390"/>
      <c r="AD628" s="390"/>
      <c r="AE628" s="390"/>
      <c r="AF628" s="390"/>
      <c r="AG628" s="389"/>
      <c r="AH628" s="390" t="s">
        <v>695</v>
      </c>
      <c r="AI628" s="394" t="s">
        <v>695</v>
      </c>
      <c r="AJ628" s="390"/>
      <c r="AK628" s="390"/>
      <c r="AL628" s="390"/>
      <c r="AM628" s="390"/>
      <c r="AN628" s="381"/>
      <c r="AO628" s="381"/>
      <c r="AP628" s="381"/>
      <c r="AQ628" s="381">
        <f>+FL_2($T$629,$T$627,$S$628,1200,13.16,-1*$R$629)</f>
        <v>-0.47445517287702899</v>
      </c>
      <c r="AR628" s="381"/>
      <c r="AS628" s="381"/>
      <c r="AT628" s="381"/>
      <c r="AU628" s="381"/>
      <c r="AV628" s="381"/>
      <c r="AW628" s="390"/>
      <c r="AX628" s="390"/>
      <c r="AY628" s="390"/>
      <c r="AZ628" s="390"/>
      <c r="BA628" s="390"/>
      <c r="BB628" s="306"/>
      <c r="BC628" s="307"/>
      <c r="BD628" s="307"/>
    </row>
    <row r="629" spans="1:56" ht="14.25">
      <c r="A629" s="341"/>
      <c r="B629" s="393" t="s">
        <v>1767</v>
      </c>
      <c r="C629" s="389">
        <f>+$C$627+$G$628</f>
        <v>26489.899999999998</v>
      </c>
      <c r="D629" s="390"/>
      <c r="E629" s="390"/>
      <c r="F629" s="394">
        <f>380000/(26580-C629)</f>
        <v>4217.5360710320847</v>
      </c>
      <c r="G629" s="395"/>
      <c r="H629" s="387"/>
      <c r="I629" s="387"/>
      <c r="J629" s="396"/>
      <c r="K629" s="390"/>
      <c r="L629" s="390" t="s">
        <v>1066</v>
      </c>
      <c r="M629" s="390" t="s">
        <v>2544</v>
      </c>
      <c r="N629" s="387" t="s">
        <v>144</v>
      </c>
      <c r="O629" s="387"/>
      <c r="P629" s="387"/>
      <c r="Q629" s="390">
        <v>49</v>
      </c>
      <c r="R629" s="395">
        <v>4196.59</v>
      </c>
      <c r="S629" s="395"/>
      <c r="T629" s="390">
        <v>-15</v>
      </c>
      <c r="U629" s="390"/>
      <c r="V629" s="390"/>
      <c r="W629" s="390">
        <v>1.4</v>
      </c>
      <c r="X629" s="390"/>
      <c r="Y629" s="390"/>
      <c r="Z629" s="390"/>
      <c r="AA629" s="390"/>
      <c r="AB629" s="390"/>
      <c r="AC629" s="390" t="s">
        <v>1704</v>
      </c>
      <c r="AD629" s="390"/>
      <c r="AE629" s="390"/>
      <c r="AF629" s="390">
        <v>5200</v>
      </c>
      <c r="AG629" s="389">
        <v>26492.51</v>
      </c>
      <c r="AH629" s="390">
        <v>3023</v>
      </c>
      <c r="AI629" s="394">
        <v>-204</v>
      </c>
      <c r="AJ629" s="390"/>
      <c r="AK629" s="390"/>
      <c r="AL629" s="390"/>
      <c r="AM629" s="390" t="s">
        <v>1228</v>
      </c>
      <c r="AN629" s="381">
        <v>5.5</v>
      </c>
      <c r="AO629" s="381"/>
      <c r="AP629" s="381"/>
      <c r="AQ629" s="381"/>
      <c r="AR629" s="381"/>
      <c r="AS629" s="381"/>
      <c r="AT629" s="381">
        <f>+ab($T$629,$T$627,$T$631,$G$628,$G$630,-1*$F$629,1200)</f>
        <v>-9.8102704396416609</v>
      </c>
      <c r="AU629" s="381"/>
      <c r="AV629" s="381"/>
      <c r="AW629" s="390" t="s">
        <v>699</v>
      </c>
      <c r="AX629" s="390" t="s">
        <v>699</v>
      </c>
      <c r="AY629" s="390" t="s">
        <v>699</v>
      </c>
      <c r="AZ629" s="390" t="s">
        <v>699</v>
      </c>
      <c r="BA629" s="390"/>
      <c r="BB629" s="306"/>
    </row>
    <row r="630" spans="1:56" ht="14.25">
      <c r="A630" s="341"/>
      <c r="B630" s="393"/>
      <c r="C630" s="389"/>
      <c r="D630" s="390"/>
      <c r="E630" s="390"/>
      <c r="F630" s="394"/>
      <c r="G630" s="395">
        <v>55</v>
      </c>
      <c r="H630" s="387"/>
      <c r="I630" s="387"/>
      <c r="J630" s="396"/>
      <c r="K630" s="390"/>
      <c r="L630" s="390"/>
      <c r="M630" s="390"/>
      <c r="N630" s="387"/>
      <c r="O630" s="387"/>
      <c r="P630" s="387"/>
      <c r="Q630" s="390"/>
      <c r="R630" s="395"/>
      <c r="S630" s="395">
        <v>54.96</v>
      </c>
      <c r="T630" s="390"/>
      <c r="U630" s="390"/>
      <c r="V630" s="390"/>
      <c r="W630" s="390"/>
      <c r="X630" s="390"/>
      <c r="Y630" s="390"/>
      <c r="Z630" s="390"/>
      <c r="AA630" s="390"/>
      <c r="AB630" s="390"/>
      <c r="AC630" s="390"/>
      <c r="AD630" s="390"/>
      <c r="AE630" s="390"/>
      <c r="AF630" s="390"/>
      <c r="AG630" s="389"/>
      <c r="AH630" s="390" t="s">
        <v>695</v>
      </c>
      <c r="AI630" s="394" t="s">
        <v>695</v>
      </c>
      <c r="AJ630" s="390"/>
      <c r="AK630" s="390"/>
      <c r="AL630" s="390"/>
      <c r="AM630" s="390"/>
      <c r="AN630" s="381"/>
      <c r="AO630" s="381"/>
      <c r="AP630" s="381"/>
      <c r="AQ630" s="381">
        <f>+FL_1($T$631,$T$629,$S$630,1200,13.09,-1*$R$631)</f>
        <v>0.4892780060253335</v>
      </c>
      <c r="AR630" s="381"/>
      <c r="AS630" s="381"/>
      <c r="AT630" s="381"/>
      <c r="AU630" s="381"/>
      <c r="AV630" s="381"/>
      <c r="AW630" s="390"/>
      <c r="AX630" s="390"/>
      <c r="AY630" s="390"/>
      <c r="AZ630" s="390"/>
      <c r="BA630" s="390"/>
      <c r="BB630" s="306"/>
    </row>
    <row r="631" spans="1:56" ht="14.25">
      <c r="A631" s="341"/>
      <c r="B631" s="393" t="s">
        <v>1768</v>
      </c>
      <c r="C631" s="389">
        <f>+$C$629+$G$630</f>
        <v>26544.899999999998</v>
      </c>
      <c r="D631" s="390"/>
      <c r="E631" s="390"/>
      <c r="F631" s="394">
        <v>0</v>
      </c>
      <c r="G631" s="395"/>
      <c r="H631" s="387"/>
      <c r="I631" s="387"/>
      <c r="J631" s="396"/>
      <c r="K631" s="390"/>
      <c r="L631" s="390" t="s">
        <v>1070</v>
      </c>
      <c r="M631" s="390" t="s">
        <v>2544</v>
      </c>
      <c r="N631" s="387" t="s">
        <v>145</v>
      </c>
      <c r="O631" s="387"/>
      <c r="P631" s="387"/>
      <c r="Q631" s="390">
        <v>19</v>
      </c>
      <c r="R631" s="395">
        <v>10700.96</v>
      </c>
      <c r="S631" s="395"/>
      <c r="T631" s="390">
        <v>20</v>
      </c>
      <c r="U631" s="390"/>
      <c r="V631" s="390"/>
      <c r="W631" s="390">
        <v>1.4</v>
      </c>
      <c r="X631" s="390"/>
      <c r="Y631" s="390"/>
      <c r="Z631" s="390"/>
      <c r="AA631" s="390"/>
      <c r="AB631" s="390"/>
      <c r="AC631" s="390" t="s">
        <v>1704</v>
      </c>
      <c r="AD631" s="390"/>
      <c r="AE631" s="390"/>
      <c r="AF631" s="390">
        <v>5200</v>
      </c>
      <c r="AG631" s="389">
        <v>26547.47</v>
      </c>
      <c r="AH631" s="390">
        <v>3050</v>
      </c>
      <c r="AI631" s="394">
        <v>-144</v>
      </c>
      <c r="AJ631" s="390"/>
      <c r="AK631" s="390"/>
      <c r="AL631" s="390"/>
      <c r="AM631" s="390" t="s">
        <v>1228</v>
      </c>
      <c r="AN631" s="381">
        <v>5.5</v>
      </c>
      <c r="AO631" s="381"/>
      <c r="AP631" s="381"/>
      <c r="AQ631" s="381"/>
      <c r="AR631" s="381"/>
      <c r="AS631" s="381"/>
      <c r="AT631" s="381">
        <f>+ab($T$631,$T$629,$T$633,$G$630,$G$632,-1*$F$631,1200)</f>
        <v>11.591960360493745</v>
      </c>
      <c r="AU631" s="381"/>
      <c r="AV631" s="381"/>
      <c r="AW631" s="390" t="s">
        <v>699</v>
      </c>
      <c r="AX631" s="390" t="s">
        <v>699</v>
      </c>
      <c r="AY631" s="390" t="s">
        <v>699</v>
      </c>
      <c r="AZ631" s="390" t="s">
        <v>699</v>
      </c>
      <c r="BA631" s="390"/>
      <c r="BB631" s="306"/>
    </row>
    <row r="632" spans="1:56" ht="14.25">
      <c r="A632" s="341"/>
      <c r="B632" s="393"/>
      <c r="C632" s="389"/>
      <c r="D632" s="390"/>
      <c r="E632" s="390"/>
      <c r="F632" s="394"/>
      <c r="G632" s="395">
        <v>55.2</v>
      </c>
      <c r="H632" s="387"/>
      <c r="I632" s="387"/>
      <c r="J632" s="396"/>
      <c r="K632" s="390"/>
      <c r="L632" s="390"/>
      <c r="M632" s="390"/>
      <c r="N632" s="387"/>
      <c r="O632" s="387"/>
      <c r="P632" s="387"/>
      <c r="Q632" s="390"/>
      <c r="R632" s="395"/>
      <c r="S632" s="395">
        <v>54.96</v>
      </c>
      <c r="T632" s="390"/>
      <c r="U632" s="390"/>
      <c r="V632" s="390"/>
      <c r="W632" s="390"/>
      <c r="X632" s="390"/>
      <c r="Y632" s="390"/>
      <c r="Z632" s="390"/>
      <c r="AA632" s="390"/>
      <c r="AB632" s="390"/>
      <c r="AC632" s="390"/>
      <c r="AD632" s="390"/>
      <c r="AE632" s="390"/>
      <c r="AF632" s="390"/>
      <c r="AG632" s="389"/>
      <c r="AH632" s="390" t="s">
        <v>695</v>
      </c>
      <c r="AI632" s="394" t="s">
        <v>695</v>
      </c>
      <c r="AJ632" s="390"/>
      <c r="AK632" s="390"/>
      <c r="AL632" s="390"/>
      <c r="AM632" s="390"/>
      <c r="AN632" s="381"/>
      <c r="AO632" s="381"/>
      <c r="AP632" s="381"/>
      <c r="AQ632" s="381">
        <f>+FL_1($T$633,$T$631,$S$632,1200,13.09,-1*$R$633)</f>
        <v>0.38277486590520388</v>
      </c>
      <c r="AR632" s="381"/>
      <c r="AS632" s="381"/>
      <c r="AT632" s="381"/>
      <c r="AU632" s="381"/>
      <c r="AV632" s="381"/>
      <c r="AW632" s="390"/>
      <c r="AX632" s="390"/>
      <c r="AY632" s="390"/>
      <c r="AZ632" s="390"/>
      <c r="BA632" s="390"/>
      <c r="BB632" s="306"/>
    </row>
    <row r="633" spans="1:56" ht="14.25">
      <c r="A633" s="341"/>
      <c r="B633" s="393" t="s">
        <v>1769</v>
      </c>
      <c r="C633" s="389">
        <v>26603</v>
      </c>
      <c r="D633" s="390" t="s">
        <v>2014</v>
      </c>
      <c r="E633" s="390"/>
      <c r="F633" s="394">
        <v>0</v>
      </c>
      <c r="G633" s="395"/>
      <c r="H633" s="387" t="s">
        <v>954</v>
      </c>
      <c r="I633" s="387"/>
      <c r="J633" s="396"/>
      <c r="K633" s="390"/>
      <c r="L633" s="390" t="s">
        <v>2542</v>
      </c>
      <c r="M633" s="390" t="s">
        <v>2545</v>
      </c>
      <c r="N633" s="387" t="s">
        <v>144</v>
      </c>
      <c r="O633" s="387"/>
      <c r="P633" s="387"/>
      <c r="Q633" s="390">
        <v>0</v>
      </c>
      <c r="R633" s="394">
        <v>0</v>
      </c>
      <c r="S633" s="395"/>
      <c r="T633" s="390">
        <v>-35</v>
      </c>
      <c r="U633" s="390"/>
      <c r="V633" s="390"/>
      <c r="W633" s="390">
        <v>1.4</v>
      </c>
      <c r="X633" s="390"/>
      <c r="Y633" s="390"/>
      <c r="Z633" s="390"/>
      <c r="AA633" s="390"/>
      <c r="AB633" s="390"/>
      <c r="AC633" s="390" t="s">
        <v>2963</v>
      </c>
      <c r="AD633" s="390"/>
      <c r="AE633" s="390"/>
      <c r="AF633" s="390">
        <v>5200</v>
      </c>
      <c r="AG633" s="389">
        <v>26602.43</v>
      </c>
      <c r="AH633" s="390">
        <v>3133</v>
      </c>
      <c r="AI633" s="394">
        <v>-232</v>
      </c>
      <c r="AJ633" s="390"/>
      <c r="AK633" s="390"/>
      <c r="AL633" s="390"/>
      <c r="AM633" s="390" t="s">
        <v>1228</v>
      </c>
      <c r="AN633" s="381">
        <v>5.5</v>
      </c>
      <c r="AO633" s="381"/>
      <c r="AP633" s="381"/>
      <c r="AQ633" s="381"/>
      <c r="AR633" s="381"/>
      <c r="AS633" s="381"/>
      <c r="AT633" s="381">
        <f>+ab($T$633,$T$631,$T$635,$G$632,$G$634,-1*$F$633,1200)</f>
        <v>-7.6444750047521568</v>
      </c>
      <c r="AU633" s="381"/>
      <c r="AV633" s="381"/>
      <c r="AW633" s="390" t="s">
        <v>699</v>
      </c>
      <c r="AX633" s="390" t="s">
        <v>699</v>
      </c>
      <c r="AY633" s="390" t="s">
        <v>699</v>
      </c>
      <c r="AZ633" s="390" t="s">
        <v>699</v>
      </c>
      <c r="BA633" s="390"/>
      <c r="BB633" s="306"/>
    </row>
    <row r="634" spans="1:56" ht="14.25">
      <c r="A634" s="341"/>
      <c r="B634" s="393"/>
      <c r="C634" s="389"/>
      <c r="D634" s="390"/>
      <c r="E634" s="390"/>
      <c r="F634" s="394"/>
      <c r="G634" s="395">
        <v>46.7</v>
      </c>
      <c r="H634" s="387"/>
      <c r="I634" s="387">
        <f>SUM(G618:G634)</f>
        <v>467.2</v>
      </c>
      <c r="J634" s="396"/>
      <c r="K634" s="390"/>
      <c r="L634" s="390"/>
      <c r="M634" s="390"/>
      <c r="N634" s="387"/>
      <c r="O634" s="387"/>
      <c r="P634" s="387"/>
      <c r="Q634" s="390"/>
      <c r="R634" s="395"/>
      <c r="S634" s="395">
        <v>46.98</v>
      </c>
      <c r="T634" s="390"/>
      <c r="U634" s="390"/>
      <c r="V634" s="390"/>
      <c r="W634" s="390"/>
      <c r="X634" s="390"/>
      <c r="Y634" s="390"/>
      <c r="Z634" s="390"/>
      <c r="AA634" s="390"/>
      <c r="AB634" s="390"/>
      <c r="AC634" s="390"/>
      <c r="AD634" s="390"/>
      <c r="AE634" s="390"/>
      <c r="AF634" s="390"/>
      <c r="AG634" s="389"/>
      <c r="AH634" s="390" t="s">
        <v>695</v>
      </c>
      <c r="AI634" s="394" t="s">
        <v>695</v>
      </c>
      <c r="AJ634" s="390"/>
      <c r="AK634" s="390"/>
      <c r="AL634" s="390"/>
      <c r="AM634" s="390"/>
      <c r="AN634" s="381"/>
      <c r="AO634" s="381"/>
      <c r="AP634" s="381"/>
      <c r="AQ634" s="381">
        <f>+FL_2($T$635,$T$633,$S$634,1200,13.16,-1*$R$635)</f>
        <v>-0.4037792014559386</v>
      </c>
      <c r="AR634" s="381"/>
      <c r="AS634" s="381"/>
      <c r="AT634" s="381"/>
      <c r="AU634" s="381"/>
      <c r="AV634" s="381"/>
      <c r="AW634" s="390"/>
      <c r="AX634" s="390"/>
      <c r="AY634" s="390"/>
      <c r="AZ634" s="390"/>
      <c r="BA634" s="390"/>
      <c r="BB634" s="306"/>
    </row>
    <row r="635" spans="1:56" ht="14.25">
      <c r="A635" s="341"/>
      <c r="B635" s="393" t="s">
        <v>1770</v>
      </c>
      <c r="C635" s="389">
        <f>+$C$633+$G$634</f>
        <v>26649.7</v>
      </c>
      <c r="D635" s="390"/>
      <c r="E635" s="390"/>
      <c r="F635" s="394">
        <v>0</v>
      </c>
      <c r="G635" s="395"/>
      <c r="H635" s="387" t="s">
        <v>955</v>
      </c>
      <c r="I635" s="387"/>
      <c r="J635" s="396"/>
      <c r="K635" s="390"/>
      <c r="L635" s="390" t="s">
        <v>1070</v>
      </c>
      <c r="M635" s="390" t="s">
        <v>2544</v>
      </c>
      <c r="N635" s="387" t="s">
        <v>145</v>
      </c>
      <c r="O635" s="387"/>
      <c r="P635" s="387"/>
      <c r="Q635" s="390">
        <v>0</v>
      </c>
      <c r="R635" s="394">
        <v>0</v>
      </c>
      <c r="S635" s="395"/>
      <c r="T635" s="390">
        <v>35</v>
      </c>
      <c r="U635" s="390"/>
      <c r="V635" s="390"/>
      <c r="W635" s="390">
        <v>1.4</v>
      </c>
      <c r="X635" s="390"/>
      <c r="Y635" s="390"/>
      <c r="Z635" s="390"/>
      <c r="AA635" s="390"/>
      <c r="AB635" s="390"/>
      <c r="AC635" s="390" t="s">
        <v>2963</v>
      </c>
      <c r="AD635" s="390"/>
      <c r="AE635" s="390"/>
      <c r="AF635" s="390">
        <v>5200</v>
      </c>
      <c r="AG635" s="389">
        <v>26649.41</v>
      </c>
      <c r="AH635" s="390">
        <v>3194</v>
      </c>
      <c r="AI635" s="394">
        <v>-175</v>
      </c>
      <c r="AJ635" s="390"/>
      <c r="AK635" s="390"/>
      <c r="AL635" s="390"/>
      <c r="AM635" s="390" t="s">
        <v>1228</v>
      </c>
      <c r="AN635" s="381">
        <v>5.5</v>
      </c>
      <c r="AO635" s="381"/>
      <c r="AP635" s="381"/>
      <c r="AQ635" s="381"/>
      <c r="AR635" s="381"/>
      <c r="AS635" s="381"/>
      <c r="AT635" s="381">
        <f>+ab($T$635,$T$633,$T$637,$G$634,$G$636,-1*$F$635,1200)</f>
        <v>6.2783253643441697</v>
      </c>
      <c r="AU635" s="381"/>
      <c r="AV635" s="381"/>
      <c r="AW635" s="390" t="s">
        <v>699</v>
      </c>
      <c r="AX635" s="390" t="s">
        <v>699</v>
      </c>
      <c r="AY635" s="390" t="s">
        <v>699</v>
      </c>
      <c r="AZ635" s="390" t="s">
        <v>699</v>
      </c>
      <c r="BA635" s="390"/>
      <c r="BB635" s="306"/>
    </row>
    <row r="636" spans="1:56" ht="14.25">
      <c r="A636" s="341"/>
      <c r="B636" s="393"/>
      <c r="C636" s="389"/>
      <c r="D636" s="390"/>
      <c r="E636" s="390"/>
      <c r="F636" s="394"/>
      <c r="G636" s="395">
        <v>45.3</v>
      </c>
      <c r="H636" s="387"/>
      <c r="I636" s="387">
        <f>SUM(G636:G652)</f>
        <v>480.3</v>
      </c>
      <c r="J636" s="396"/>
      <c r="K636" s="390"/>
      <c r="L636" s="390"/>
      <c r="M636" s="390"/>
      <c r="N636" s="387"/>
      <c r="O636" s="387"/>
      <c r="P636" s="387"/>
      <c r="Q636" s="390"/>
      <c r="R636" s="395"/>
      <c r="S636" s="395">
        <v>45.22</v>
      </c>
      <c r="T636" s="390"/>
      <c r="U636" s="390"/>
      <c r="V636" s="390"/>
      <c r="W636" s="390"/>
      <c r="X636" s="390"/>
      <c r="Y636" s="390"/>
      <c r="Z636" s="390"/>
      <c r="AA636" s="390"/>
      <c r="AB636" s="390"/>
      <c r="AC636" s="390"/>
      <c r="AD636" s="390"/>
      <c r="AE636" s="390"/>
      <c r="AF636" s="390"/>
      <c r="AG636" s="389"/>
      <c r="AH636" s="390" t="s">
        <v>695</v>
      </c>
      <c r="AI636" s="394" t="s">
        <v>695</v>
      </c>
      <c r="AJ636" s="390"/>
      <c r="AK636" s="390"/>
      <c r="AL636" s="390"/>
      <c r="AM636" s="390"/>
      <c r="AN636" s="381"/>
      <c r="AO636" s="381"/>
      <c r="AP636" s="381"/>
      <c r="AQ636" s="381">
        <f>+FL_2($T$637,$T$635,$S$636,1200,13.16,-1*$R$637)</f>
        <v>-0.38956685689318882</v>
      </c>
      <c r="AR636" s="381"/>
      <c r="AS636" s="381"/>
      <c r="AT636" s="381"/>
      <c r="AU636" s="381"/>
      <c r="AV636" s="381"/>
      <c r="AW636" s="390"/>
      <c r="AX636" s="390"/>
      <c r="AY636" s="390"/>
      <c r="AZ636" s="390"/>
      <c r="BA636" s="390"/>
      <c r="BB636" s="306"/>
    </row>
    <row r="637" spans="1:56" ht="14.25">
      <c r="A637" s="341"/>
      <c r="B637" s="393" t="s">
        <v>1771</v>
      </c>
      <c r="C637" s="389">
        <f>+$C$635+$G$636</f>
        <v>26695</v>
      </c>
      <c r="D637" s="390"/>
      <c r="E637" s="390"/>
      <c r="F637" s="394">
        <v>0</v>
      </c>
      <c r="G637" s="395"/>
      <c r="H637" s="387" t="s">
        <v>954</v>
      </c>
      <c r="I637" s="387"/>
      <c r="J637" s="396"/>
      <c r="K637" s="390"/>
      <c r="L637" s="390" t="s">
        <v>2542</v>
      </c>
      <c r="M637" s="390" t="s">
        <v>2545</v>
      </c>
      <c r="N637" s="387" t="s">
        <v>144</v>
      </c>
      <c r="O637" s="387"/>
      <c r="P637" s="387"/>
      <c r="Q637" s="390">
        <v>0</v>
      </c>
      <c r="R637" s="394">
        <v>0</v>
      </c>
      <c r="S637" s="395"/>
      <c r="T637" s="390">
        <v>-35</v>
      </c>
      <c r="U637" s="390"/>
      <c r="V637" s="390"/>
      <c r="W637" s="390">
        <v>1.4</v>
      </c>
      <c r="X637" s="390"/>
      <c r="Y637" s="390"/>
      <c r="Z637" s="390"/>
      <c r="AA637" s="390"/>
      <c r="AB637" s="390"/>
      <c r="AC637" s="390" t="s">
        <v>2963</v>
      </c>
      <c r="AD637" s="390"/>
      <c r="AE637" s="390"/>
      <c r="AF637" s="390">
        <v>5200</v>
      </c>
      <c r="AG637" s="389">
        <v>26694.63</v>
      </c>
      <c r="AH637" s="390">
        <v>3145</v>
      </c>
      <c r="AI637" s="394">
        <v>-221</v>
      </c>
      <c r="AJ637" s="390"/>
      <c r="AK637" s="390"/>
      <c r="AL637" s="390"/>
      <c r="AM637" s="390" t="s">
        <v>1228</v>
      </c>
      <c r="AN637" s="381">
        <v>5.5</v>
      </c>
      <c r="AO637" s="381"/>
      <c r="AP637" s="381"/>
      <c r="AQ637" s="381"/>
      <c r="AR637" s="381"/>
      <c r="AS637" s="381"/>
      <c r="AT637" s="381">
        <f>+ab($T$637,$T$635,$T$639,$G$636,$G$638,-1*$F$637,1200)</f>
        <v>-6.7777980600367291</v>
      </c>
      <c r="AU637" s="381"/>
      <c r="AV637" s="381"/>
      <c r="AW637" s="390" t="s">
        <v>699</v>
      </c>
      <c r="AX637" s="390" t="s">
        <v>699</v>
      </c>
      <c r="AY637" s="390" t="s">
        <v>699</v>
      </c>
      <c r="AZ637" s="390" t="s">
        <v>699</v>
      </c>
      <c r="BA637" s="390"/>
      <c r="BB637" s="306"/>
    </row>
    <row r="638" spans="1:56" ht="14.25">
      <c r="A638" s="341"/>
      <c r="B638" s="393"/>
      <c r="C638" s="389"/>
      <c r="D638" s="390"/>
      <c r="E638" s="390"/>
      <c r="F638" s="394"/>
      <c r="G638" s="395">
        <v>55</v>
      </c>
      <c r="H638" s="387"/>
      <c r="I638" s="387"/>
      <c r="J638" s="396"/>
      <c r="K638" s="390"/>
      <c r="L638" s="390"/>
      <c r="M638" s="390"/>
      <c r="N638" s="387"/>
      <c r="O638" s="387"/>
      <c r="P638" s="387"/>
      <c r="Q638" s="390"/>
      <c r="R638" s="395"/>
      <c r="S638" s="395">
        <v>54.91</v>
      </c>
      <c r="T638" s="390"/>
      <c r="U638" s="390"/>
      <c r="V638" s="390"/>
      <c r="W638" s="390"/>
      <c r="X638" s="390"/>
      <c r="Y638" s="390"/>
      <c r="Z638" s="390"/>
      <c r="AA638" s="390"/>
      <c r="AB638" s="390"/>
      <c r="AC638" s="390"/>
      <c r="AD638" s="390"/>
      <c r="AE638" s="390"/>
      <c r="AF638" s="390"/>
      <c r="AG638" s="389"/>
      <c r="AH638" s="390" t="s">
        <v>695</v>
      </c>
      <c r="AI638" s="394" t="s">
        <v>695</v>
      </c>
      <c r="AJ638" s="390"/>
      <c r="AK638" s="390"/>
      <c r="AL638" s="390"/>
      <c r="AM638" s="390"/>
      <c r="AN638" s="381"/>
      <c r="AO638" s="381"/>
      <c r="AP638" s="381"/>
      <c r="AQ638" s="381">
        <f>+FL_2($T$639,$T$637,$S$638,1200,13.16,-1*$R$639)</f>
        <v>-0.48741600905105326</v>
      </c>
      <c r="AR638" s="381"/>
      <c r="AS638" s="381"/>
      <c r="AT638" s="381"/>
      <c r="AU638" s="381"/>
      <c r="AV638" s="381"/>
      <c r="AW638" s="390"/>
      <c r="AX638" s="390"/>
      <c r="AY638" s="390"/>
      <c r="AZ638" s="390"/>
      <c r="BA638" s="390"/>
      <c r="BB638" s="306"/>
    </row>
    <row r="639" spans="1:56" ht="14.25">
      <c r="A639" s="341"/>
      <c r="B639" s="393" t="s">
        <v>1772</v>
      </c>
      <c r="C639" s="389">
        <f>+$C$637+$G$638</f>
        <v>26750</v>
      </c>
      <c r="D639" s="390"/>
      <c r="E639" s="390"/>
      <c r="F639" s="394">
        <v>0</v>
      </c>
      <c r="G639" s="395"/>
      <c r="H639" s="387"/>
      <c r="I639" s="387"/>
      <c r="J639" s="396"/>
      <c r="K639" s="390"/>
      <c r="L639" s="390" t="s">
        <v>1070</v>
      </c>
      <c r="M639" s="390" t="s">
        <v>2544</v>
      </c>
      <c r="N639" s="387" t="s">
        <v>145</v>
      </c>
      <c r="O639" s="387"/>
      <c r="P639" s="387"/>
      <c r="Q639" s="390">
        <v>0</v>
      </c>
      <c r="R639" s="394">
        <v>0</v>
      </c>
      <c r="S639" s="395"/>
      <c r="T639" s="390">
        <v>35</v>
      </c>
      <c r="U639" s="390"/>
      <c r="V639" s="390"/>
      <c r="W639" s="390">
        <v>1.4</v>
      </c>
      <c r="X639" s="390"/>
      <c r="Y639" s="390"/>
      <c r="Z639" s="390"/>
      <c r="AA639" s="390"/>
      <c r="AB639" s="390"/>
      <c r="AC639" s="390" t="s">
        <v>2963</v>
      </c>
      <c r="AD639" s="390"/>
      <c r="AE639" s="390"/>
      <c r="AF639" s="390">
        <v>5200</v>
      </c>
      <c r="AG639" s="389">
        <v>26749.54</v>
      </c>
      <c r="AH639" s="390">
        <v>3187</v>
      </c>
      <c r="AI639" s="394">
        <v>-211</v>
      </c>
      <c r="AJ639" s="390"/>
      <c r="AK639" s="390"/>
      <c r="AL639" s="390"/>
      <c r="AM639" s="390" t="s">
        <v>1228</v>
      </c>
      <c r="AN639" s="381">
        <v>5.5</v>
      </c>
      <c r="AO639" s="381"/>
      <c r="AP639" s="381"/>
      <c r="AQ639" s="381"/>
      <c r="AR639" s="381"/>
      <c r="AS639" s="381"/>
      <c r="AT639" s="381">
        <f>+ab($T$639,$T$637,$T$641,$G$638,$G$640,-1*$F$639,1200)</f>
        <v>7.4955682572493121</v>
      </c>
      <c r="AU639" s="381"/>
      <c r="AV639" s="381"/>
      <c r="AW639" s="390" t="s">
        <v>699</v>
      </c>
      <c r="AX639" s="390" t="s">
        <v>699</v>
      </c>
      <c r="AY639" s="390" t="s">
        <v>699</v>
      </c>
      <c r="AZ639" s="390" t="s">
        <v>699</v>
      </c>
      <c r="BA639" s="390"/>
      <c r="BB639" s="306"/>
    </row>
    <row r="640" spans="1:56" ht="14.25">
      <c r="A640" s="341"/>
      <c r="B640" s="393"/>
      <c r="C640" s="389"/>
      <c r="D640" s="390"/>
      <c r="E640" s="390"/>
      <c r="F640" s="394"/>
      <c r="G640" s="395">
        <v>55</v>
      </c>
      <c r="H640" s="387"/>
      <c r="I640" s="387"/>
      <c r="J640" s="396"/>
      <c r="K640" s="390"/>
      <c r="L640" s="390"/>
      <c r="M640" s="390"/>
      <c r="N640" s="387"/>
      <c r="O640" s="387"/>
      <c r="P640" s="387"/>
      <c r="Q640" s="390"/>
      <c r="R640" s="395"/>
      <c r="S640" s="395">
        <v>54.98</v>
      </c>
      <c r="T640" s="390"/>
      <c r="U640" s="390"/>
      <c r="V640" s="390"/>
      <c r="W640" s="390"/>
      <c r="X640" s="390"/>
      <c r="Y640" s="390"/>
      <c r="Z640" s="390"/>
      <c r="AA640" s="390"/>
      <c r="AB640" s="390"/>
      <c r="AC640" s="390"/>
      <c r="AD640" s="390"/>
      <c r="AE640" s="390"/>
      <c r="AF640" s="390"/>
      <c r="AG640" s="389"/>
      <c r="AH640" s="390" t="s">
        <v>695</v>
      </c>
      <c r="AI640" s="394" t="s">
        <v>695</v>
      </c>
      <c r="AJ640" s="390"/>
      <c r="AK640" s="390"/>
      <c r="AL640" s="390"/>
      <c r="AM640" s="390"/>
      <c r="AN640" s="381"/>
      <c r="AO640" s="381"/>
      <c r="AP640" s="381"/>
      <c r="AQ640" s="381">
        <f>+FL_1($T$641,$T$639,$S$640,1200,13.09,-1*$R$641)</f>
        <v>0.48647303595840896</v>
      </c>
      <c r="AR640" s="381"/>
      <c r="AS640" s="381"/>
      <c r="AT640" s="381"/>
      <c r="AU640" s="381"/>
      <c r="AV640" s="381"/>
      <c r="AW640" s="390"/>
      <c r="AX640" s="390"/>
      <c r="AY640" s="390"/>
      <c r="AZ640" s="390"/>
      <c r="BA640" s="390"/>
      <c r="BB640" s="306"/>
    </row>
    <row r="641" spans="1:54" ht="14.25">
      <c r="A641" s="341"/>
      <c r="B641" s="393" t="s">
        <v>1773</v>
      </c>
      <c r="C641" s="389">
        <f>+$C$639+$G$640</f>
        <v>26805</v>
      </c>
      <c r="D641" s="390"/>
      <c r="E641" s="390"/>
      <c r="F641" s="394">
        <v>0</v>
      </c>
      <c r="G641" s="395"/>
      <c r="H641" s="387"/>
      <c r="I641" s="387"/>
      <c r="J641" s="396"/>
      <c r="K641" s="390"/>
      <c r="L641" s="390" t="s">
        <v>1070</v>
      </c>
      <c r="M641" s="390" t="s">
        <v>2544</v>
      </c>
      <c r="N641" s="387" t="s">
        <v>144</v>
      </c>
      <c r="O641" s="387"/>
      <c r="P641" s="387"/>
      <c r="Q641" s="390">
        <v>0</v>
      </c>
      <c r="R641" s="394">
        <v>0</v>
      </c>
      <c r="S641" s="395"/>
      <c r="T641" s="390">
        <v>-35</v>
      </c>
      <c r="U641" s="390"/>
      <c r="V641" s="390"/>
      <c r="W641" s="390">
        <v>1.4</v>
      </c>
      <c r="X641" s="390"/>
      <c r="Y641" s="390"/>
      <c r="Z641" s="390"/>
      <c r="AA641" s="390"/>
      <c r="AB641" s="390"/>
      <c r="AC641" s="390" t="s">
        <v>2963</v>
      </c>
      <c r="AD641" s="390"/>
      <c r="AE641" s="390"/>
      <c r="AF641" s="390">
        <v>5200</v>
      </c>
      <c r="AG641" s="389">
        <v>26804.52</v>
      </c>
      <c r="AH641" s="390">
        <v>3065</v>
      </c>
      <c r="AI641" s="394">
        <v>-204</v>
      </c>
      <c r="AJ641" s="390"/>
      <c r="AK641" s="390"/>
      <c r="AL641" s="390"/>
      <c r="AM641" s="390" t="s">
        <v>1228</v>
      </c>
      <c r="AN641" s="381">
        <v>5.5</v>
      </c>
      <c r="AO641" s="381"/>
      <c r="AP641" s="381"/>
      <c r="AQ641" s="381"/>
      <c r="AR641" s="381"/>
      <c r="AS641" s="381"/>
      <c r="AT641" s="381">
        <f>+ab($T$641,$T$639,$T$643,$G$640,$G$642,-1*$F$641,1200)</f>
        <v>-7.495600280563588</v>
      </c>
      <c r="AU641" s="381"/>
      <c r="AV641" s="381"/>
      <c r="AW641" s="390" t="s">
        <v>699</v>
      </c>
      <c r="AX641" s="390" t="s">
        <v>699</v>
      </c>
      <c r="AY641" s="390" t="s">
        <v>699</v>
      </c>
      <c r="AZ641" s="390" t="s">
        <v>699</v>
      </c>
      <c r="BA641" s="390"/>
      <c r="BB641" s="306"/>
    </row>
    <row r="642" spans="1:54" ht="14.25">
      <c r="A642" s="341"/>
      <c r="B642" s="393"/>
      <c r="C642" s="389"/>
      <c r="D642" s="390"/>
      <c r="E642" s="390"/>
      <c r="F642" s="394"/>
      <c r="G642" s="395">
        <v>55</v>
      </c>
      <c r="H642" s="387"/>
      <c r="I642" s="387"/>
      <c r="J642" s="396"/>
      <c r="K642" s="390"/>
      <c r="L642" s="390"/>
      <c r="M642" s="390"/>
      <c r="N642" s="387"/>
      <c r="O642" s="387"/>
      <c r="P642" s="387"/>
      <c r="Q642" s="390"/>
      <c r="R642" s="395"/>
      <c r="S642" s="395">
        <v>55</v>
      </c>
      <c r="T642" s="390"/>
      <c r="U642" s="390"/>
      <c r="V642" s="390"/>
      <c r="W642" s="390"/>
      <c r="X642" s="390"/>
      <c r="Y642" s="390"/>
      <c r="Z642" s="390"/>
      <c r="AA642" s="390"/>
      <c r="AB642" s="390"/>
      <c r="AC642" s="390"/>
      <c r="AD642" s="390"/>
      <c r="AE642" s="390"/>
      <c r="AF642" s="390"/>
      <c r="AG642" s="389"/>
      <c r="AH642" s="390" t="s">
        <v>695</v>
      </c>
      <c r="AI642" s="394" t="s">
        <v>695</v>
      </c>
      <c r="AJ642" s="390"/>
      <c r="AK642" s="390"/>
      <c r="AL642" s="390"/>
      <c r="AM642" s="390"/>
      <c r="AN642" s="381"/>
      <c r="AO642" s="381"/>
      <c r="AP642" s="381"/>
      <c r="AQ642" s="381">
        <f>+FL_2($T$643,$T$641,$S$642,1200,12.78,-1*$R$643)</f>
        <v>-0.47875170284090918</v>
      </c>
      <c r="AR642" s="381"/>
      <c r="AS642" s="381"/>
      <c r="AT642" s="381"/>
      <c r="AU642" s="381"/>
      <c r="AV642" s="381"/>
      <c r="AW642" s="390"/>
      <c r="AX642" s="390"/>
      <c r="AY642" s="390"/>
      <c r="AZ642" s="390"/>
      <c r="BA642" s="390"/>
      <c r="BB642" s="306"/>
    </row>
    <row r="643" spans="1:54" ht="14.25">
      <c r="A643" s="341"/>
      <c r="B643" s="393" t="s">
        <v>1774</v>
      </c>
      <c r="C643" s="389">
        <f>+$C$641+$G$642</f>
        <v>26860</v>
      </c>
      <c r="D643" s="390"/>
      <c r="E643" s="390"/>
      <c r="F643" s="394">
        <v>0</v>
      </c>
      <c r="G643" s="395"/>
      <c r="H643" s="387"/>
      <c r="I643" s="387"/>
      <c r="J643" s="396"/>
      <c r="K643" s="390"/>
      <c r="L643" s="390" t="s">
        <v>1070</v>
      </c>
      <c r="M643" s="390" t="s">
        <v>2544</v>
      </c>
      <c r="N643" s="387" t="s">
        <v>145</v>
      </c>
      <c r="O643" s="387"/>
      <c r="P643" s="387"/>
      <c r="Q643" s="390">
        <v>0</v>
      </c>
      <c r="R643" s="394">
        <v>0</v>
      </c>
      <c r="S643" s="395"/>
      <c r="T643" s="390">
        <v>35</v>
      </c>
      <c r="U643" s="390"/>
      <c r="V643" s="390"/>
      <c r="W643" s="390">
        <v>1.4</v>
      </c>
      <c r="X643" s="390"/>
      <c r="Y643" s="390"/>
      <c r="Z643" s="390"/>
      <c r="AA643" s="390"/>
      <c r="AB643" s="390"/>
      <c r="AC643" s="390" t="s">
        <v>2963</v>
      </c>
      <c r="AD643" s="390"/>
      <c r="AE643" s="390"/>
      <c r="AF643" s="390">
        <v>5200</v>
      </c>
      <c r="AG643" s="389">
        <v>26859.52</v>
      </c>
      <c r="AH643" s="390">
        <v>3142</v>
      </c>
      <c r="AI643" s="394">
        <v>-222</v>
      </c>
      <c r="AJ643" s="390"/>
      <c r="AK643" s="390"/>
      <c r="AL643" s="390"/>
      <c r="AM643" s="390" t="s">
        <v>1228</v>
      </c>
      <c r="AN643" s="381">
        <v>5.5</v>
      </c>
      <c r="AO643" s="381"/>
      <c r="AP643" s="381"/>
      <c r="AQ643" s="381"/>
      <c r="AR643" s="381"/>
      <c r="AS643" s="381"/>
      <c r="AT643" s="381">
        <f>+ab($T$643,$T$641,$T$645,$G$642,$G$644,-1*$F$643,1200)</f>
        <v>7.4955682572493121</v>
      </c>
      <c r="AU643" s="381"/>
      <c r="AV643" s="381"/>
      <c r="AW643" s="390" t="s">
        <v>699</v>
      </c>
      <c r="AX643" s="390" t="s">
        <v>699</v>
      </c>
      <c r="AY643" s="390" t="s">
        <v>699</v>
      </c>
      <c r="AZ643" s="390" t="s">
        <v>699</v>
      </c>
      <c r="BA643" s="390"/>
      <c r="BB643" s="306"/>
    </row>
    <row r="644" spans="1:54" ht="14.25">
      <c r="A644" s="341"/>
      <c r="B644" s="393"/>
      <c r="C644" s="389"/>
      <c r="D644" s="390"/>
      <c r="E644" s="390"/>
      <c r="F644" s="394"/>
      <c r="G644" s="395">
        <v>55</v>
      </c>
      <c r="H644" s="387"/>
      <c r="I644" s="387"/>
      <c r="J644" s="396"/>
      <c r="K644" s="390"/>
      <c r="L644" s="390"/>
      <c r="M644" s="390"/>
      <c r="N644" s="387"/>
      <c r="O644" s="387"/>
      <c r="P644" s="387"/>
      <c r="Q644" s="390"/>
      <c r="R644" s="395"/>
      <c r="S644" s="395">
        <v>54.99</v>
      </c>
      <c r="T644" s="390"/>
      <c r="U644" s="390"/>
      <c r="V644" s="390"/>
      <c r="W644" s="390"/>
      <c r="X644" s="390"/>
      <c r="Y644" s="390"/>
      <c r="Z644" s="390"/>
      <c r="AA644" s="390"/>
      <c r="AB644" s="390"/>
      <c r="AC644" s="390"/>
      <c r="AD644" s="390"/>
      <c r="AE644" s="390"/>
      <c r="AF644" s="390"/>
      <c r="AG644" s="389"/>
      <c r="AH644" s="390" t="s">
        <v>695</v>
      </c>
      <c r="AI644" s="394" t="s">
        <v>695</v>
      </c>
      <c r="AJ644" s="390"/>
      <c r="AK644" s="390"/>
      <c r="AL644" s="390"/>
      <c r="AM644" s="390"/>
      <c r="AN644" s="381"/>
      <c r="AO644" s="381"/>
      <c r="AP644" s="381"/>
      <c r="AQ644" s="381">
        <f>+FL_1($T$645,$T$643,$S$644,1200,12.08,-1*$R$645)</f>
        <v>0.46099206011456628</v>
      </c>
      <c r="AR644" s="381"/>
      <c r="AS644" s="381"/>
      <c r="AT644" s="381"/>
      <c r="AU644" s="381"/>
      <c r="AV644" s="381"/>
      <c r="AW644" s="390"/>
      <c r="AX644" s="390"/>
      <c r="AY644" s="390"/>
      <c r="AZ644" s="390"/>
      <c r="BA644" s="390"/>
      <c r="BB644" s="306"/>
    </row>
    <row r="645" spans="1:54" ht="14.25">
      <c r="A645" s="341"/>
      <c r="B645" s="393" t="s">
        <v>1775</v>
      </c>
      <c r="C645" s="389">
        <f>+$C$643+$G$644</f>
        <v>26915</v>
      </c>
      <c r="D645" s="390"/>
      <c r="E645" s="390"/>
      <c r="F645" s="394">
        <v>0</v>
      </c>
      <c r="G645" s="395"/>
      <c r="H645" s="387"/>
      <c r="I645" s="387"/>
      <c r="J645" s="396"/>
      <c r="K645" s="390"/>
      <c r="L645" s="390" t="s">
        <v>1070</v>
      </c>
      <c r="M645" s="390" t="s">
        <v>2544</v>
      </c>
      <c r="N645" s="387" t="s">
        <v>144</v>
      </c>
      <c r="O645" s="387"/>
      <c r="P645" s="387"/>
      <c r="Q645" s="390">
        <v>0</v>
      </c>
      <c r="R645" s="394">
        <v>0</v>
      </c>
      <c r="S645" s="395"/>
      <c r="T645" s="390">
        <v>-35</v>
      </c>
      <c r="U645" s="390"/>
      <c r="V645" s="390"/>
      <c r="W645" s="390">
        <v>1.4</v>
      </c>
      <c r="X645" s="390"/>
      <c r="Y645" s="390"/>
      <c r="Z645" s="390"/>
      <c r="AA645" s="390"/>
      <c r="AB645" s="390"/>
      <c r="AC645" s="390" t="s">
        <v>1704</v>
      </c>
      <c r="AD645" s="390"/>
      <c r="AE645" s="390"/>
      <c r="AF645" s="390">
        <v>5200</v>
      </c>
      <c r="AG645" s="389">
        <v>26914.51</v>
      </c>
      <c r="AH645" s="390">
        <v>3171</v>
      </c>
      <c r="AI645" s="394">
        <v>-202</v>
      </c>
      <c r="AJ645" s="390"/>
      <c r="AK645" s="390"/>
      <c r="AL645" s="390"/>
      <c r="AM645" s="390" t="s">
        <v>1228</v>
      </c>
      <c r="AN645" s="381">
        <v>5.5</v>
      </c>
      <c r="AO645" s="381"/>
      <c r="AP645" s="381"/>
      <c r="AQ645" s="381"/>
      <c r="AR645" s="381"/>
      <c r="AS645" s="381"/>
      <c r="AT645" s="381">
        <f>+ab($T$645,$T$643,$T$647,$S$644,$S$646,-1*$R$645,1200)</f>
        <v>-6.7926579944149053</v>
      </c>
      <c r="AU645" s="381"/>
      <c r="AV645" s="381"/>
      <c r="AW645" s="390" t="s">
        <v>699</v>
      </c>
      <c r="AX645" s="390" t="s">
        <v>699</v>
      </c>
      <c r="AY645" s="390" t="s">
        <v>699</v>
      </c>
      <c r="AZ645" s="390" t="s">
        <v>699</v>
      </c>
      <c r="BA645" s="390"/>
      <c r="BB645" s="306"/>
    </row>
    <row r="646" spans="1:54" ht="14.25">
      <c r="A646" s="341"/>
      <c r="B646" s="393"/>
      <c r="C646" s="389"/>
      <c r="D646" s="390"/>
      <c r="E646" s="390"/>
      <c r="F646" s="394"/>
      <c r="G646" s="395">
        <v>45</v>
      </c>
      <c r="H646" s="387"/>
      <c r="I646" s="387"/>
      <c r="J646" s="396"/>
      <c r="K646" s="390"/>
      <c r="L646" s="390"/>
      <c r="M646" s="390"/>
      <c r="N646" s="387"/>
      <c r="O646" s="387"/>
      <c r="P646" s="387"/>
      <c r="Q646" s="390"/>
      <c r="R646" s="395"/>
      <c r="S646" s="395">
        <v>45.49</v>
      </c>
      <c r="T646" s="390"/>
      <c r="U646" s="390"/>
      <c r="V646" s="390"/>
      <c r="W646" s="390"/>
      <c r="X646" s="390"/>
      <c r="Y646" s="390"/>
      <c r="Z646" s="390"/>
      <c r="AA646" s="390"/>
      <c r="AB646" s="390"/>
      <c r="AC646" s="390"/>
      <c r="AD646" s="390"/>
      <c r="AE646" s="390"/>
      <c r="AF646" s="390"/>
      <c r="AG646" s="389"/>
      <c r="AH646" s="390" t="s">
        <v>695</v>
      </c>
      <c r="AI646" s="394" t="s">
        <v>695</v>
      </c>
      <c r="AJ646" s="390"/>
      <c r="AK646" s="390"/>
      <c r="AL646" s="390"/>
      <c r="AM646" s="390"/>
      <c r="AN646" s="381"/>
      <c r="AO646" s="381"/>
      <c r="AP646" s="381"/>
      <c r="AQ646" s="381">
        <f>+FL_1($T$647,$T$645,$S$646,1200,11.45,-1*$R$647)</f>
        <v>0.37089425454651204</v>
      </c>
      <c r="AR646" s="381"/>
      <c r="AS646" s="381"/>
      <c r="AT646" s="381"/>
      <c r="AU646" s="381"/>
      <c r="AV646" s="381"/>
      <c r="AW646" s="390"/>
      <c r="AX646" s="390"/>
      <c r="AY646" s="390"/>
      <c r="AZ646" s="390"/>
      <c r="BA646" s="390"/>
      <c r="BB646" s="306"/>
    </row>
    <row r="647" spans="1:54" ht="14.25">
      <c r="A647" s="341"/>
      <c r="B647" s="393" t="s">
        <v>1776</v>
      </c>
      <c r="C647" s="389">
        <f>+$C$645+$G$646</f>
        <v>26960</v>
      </c>
      <c r="D647" s="390"/>
      <c r="E647" s="390"/>
      <c r="F647" s="394">
        <v>0</v>
      </c>
      <c r="G647" s="395"/>
      <c r="H647" s="387" t="s">
        <v>138</v>
      </c>
      <c r="I647" s="387" t="s">
        <v>656</v>
      </c>
      <c r="J647" s="396"/>
      <c r="K647" s="390"/>
      <c r="L647" s="390" t="s">
        <v>2599</v>
      </c>
      <c r="M647" s="390" t="s">
        <v>2545</v>
      </c>
      <c r="N647" s="387" t="s">
        <v>145</v>
      </c>
      <c r="O647" s="387"/>
      <c r="P647" s="387"/>
      <c r="Q647" s="390">
        <v>0</v>
      </c>
      <c r="R647" s="394">
        <v>0</v>
      </c>
      <c r="S647" s="395"/>
      <c r="T647" s="390">
        <v>35</v>
      </c>
      <c r="U647" s="390"/>
      <c r="V647" s="390"/>
      <c r="W647" s="390">
        <v>1.4</v>
      </c>
      <c r="X647" s="390"/>
      <c r="Y647" s="390"/>
      <c r="Z647" s="390"/>
      <c r="AA647" s="390"/>
      <c r="AB647" s="390"/>
      <c r="AC647" s="390" t="s">
        <v>2963</v>
      </c>
      <c r="AD647" s="390"/>
      <c r="AE647" s="390"/>
      <c r="AF647" s="390">
        <v>5200</v>
      </c>
      <c r="AG647" s="389">
        <v>26960</v>
      </c>
      <c r="AH647" s="390">
        <v>3728</v>
      </c>
      <c r="AI647" s="394">
        <v>-200</v>
      </c>
      <c r="AJ647" s="390"/>
      <c r="AK647" s="390"/>
      <c r="AL647" s="390"/>
      <c r="AM647" s="390" t="s">
        <v>1228</v>
      </c>
      <c r="AN647" s="381">
        <v>5.5</v>
      </c>
      <c r="AO647" s="381"/>
      <c r="AP647" s="381"/>
      <c r="AQ647" s="381"/>
      <c r="AR647" s="381"/>
      <c r="AS647" s="381"/>
      <c r="AT647" s="381">
        <f>+ab($T$647,$T$645,$T$649,$S$646,$S$648,-1*$R$647,1200)</f>
        <v>9.9758165644904064</v>
      </c>
      <c r="AU647" s="381"/>
      <c r="AV647" s="381"/>
      <c r="AW647" s="390" t="s">
        <v>699</v>
      </c>
      <c r="AX647" s="390" t="s">
        <v>699</v>
      </c>
      <c r="AY647" s="390" t="s">
        <v>699</v>
      </c>
      <c r="AZ647" s="390" t="s">
        <v>699</v>
      </c>
      <c r="BA647" s="390"/>
      <c r="BB647" s="306"/>
    </row>
    <row r="648" spans="1:54" ht="14.25">
      <c r="A648" s="392" t="s">
        <v>1777</v>
      </c>
      <c r="B648" s="393"/>
      <c r="C648" s="389"/>
      <c r="D648" s="390"/>
      <c r="E648" s="390"/>
      <c r="F648" s="394"/>
      <c r="G648" s="395">
        <v>55</v>
      </c>
      <c r="H648" s="387"/>
      <c r="I648" s="387"/>
      <c r="J648" s="396"/>
      <c r="K648" s="390"/>
      <c r="L648" s="390"/>
      <c r="M648" s="390"/>
      <c r="N648" s="387"/>
      <c r="O648" s="387"/>
      <c r="P648" s="387"/>
      <c r="Q648" s="390"/>
      <c r="R648" s="395"/>
      <c r="S648" s="395">
        <v>54.75</v>
      </c>
      <c r="T648" s="390"/>
      <c r="U648" s="390"/>
      <c r="V648" s="390"/>
      <c r="W648" s="390"/>
      <c r="X648" s="390"/>
      <c r="Y648" s="390"/>
      <c r="Z648" s="390"/>
      <c r="AA648" s="390"/>
      <c r="AB648" s="390"/>
      <c r="AC648" s="390"/>
      <c r="AD648" s="390"/>
      <c r="AE648" s="390"/>
      <c r="AF648" s="390"/>
      <c r="AG648" s="389"/>
      <c r="AH648" s="390" t="s">
        <v>695</v>
      </c>
      <c r="AI648" s="394" t="s">
        <v>695</v>
      </c>
      <c r="AJ648" s="390"/>
      <c r="AK648" s="390"/>
      <c r="AL648" s="390"/>
      <c r="AM648" s="390"/>
      <c r="AN648" s="381"/>
      <c r="AO648" s="381"/>
      <c r="AP648" s="381"/>
      <c r="AQ648" s="381">
        <f>+FL_1($U$649,$T$647,$S$648,1200,11.33,-1*$R$649)</f>
        <v>0.45341622910958901</v>
      </c>
      <c r="AR648" s="381"/>
      <c r="AS648" s="381"/>
      <c r="AT648" s="381"/>
      <c r="AU648" s="381"/>
      <c r="AV648" s="381"/>
      <c r="AW648" s="390"/>
      <c r="AX648" s="390"/>
      <c r="AY648" s="390"/>
      <c r="AZ648" s="390"/>
      <c r="BA648" s="390"/>
      <c r="BB648" s="306"/>
    </row>
    <row r="649" spans="1:54" ht="14.25">
      <c r="A649" s="400" t="s">
        <v>3006</v>
      </c>
      <c r="B649" s="401" t="s">
        <v>1778</v>
      </c>
      <c r="C649" s="402">
        <f>+$C$647+$G$648</f>
        <v>27015</v>
      </c>
      <c r="D649" s="399"/>
      <c r="E649" s="399"/>
      <c r="F649" s="403">
        <v>0</v>
      </c>
      <c r="G649" s="404"/>
      <c r="H649" s="403" t="s">
        <v>651</v>
      </c>
      <c r="I649" s="403"/>
      <c r="J649" s="402"/>
      <c r="K649" s="403"/>
      <c r="L649" s="399" t="s">
        <v>231</v>
      </c>
      <c r="M649" s="399" t="s">
        <v>2672</v>
      </c>
      <c r="N649" s="405" t="s">
        <v>140</v>
      </c>
      <c r="O649" s="405" t="s">
        <v>144</v>
      </c>
      <c r="P649" s="405"/>
      <c r="Q649" s="399">
        <v>0</v>
      </c>
      <c r="R649" s="403">
        <v>0</v>
      </c>
      <c r="S649" s="404"/>
      <c r="T649" s="399">
        <v>15</v>
      </c>
      <c r="U649" s="399">
        <v>-30</v>
      </c>
      <c r="V649" s="399"/>
      <c r="W649" s="399">
        <v>1.4</v>
      </c>
      <c r="X649" s="399">
        <v>2.2999999999999998</v>
      </c>
      <c r="Y649" s="399"/>
      <c r="Z649" s="399">
        <v>0.6</v>
      </c>
      <c r="AA649" s="399"/>
      <c r="AB649" s="399"/>
      <c r="AC649" s="399"/>
      <c r="AD649" s="399" t="s">
        <v>1704</v>
      </c>
      <c r="AE649" s="399"/>
      <c r="AF649" s="399">
        <v>6000</v>
      </c>
      <c r="AG649" s="402">
        <v>27014.75</v>
      </c>
      <c r="AH649" s="399">
        <v>2332</v>
      </c>
      <c r="AI649" s="403">
        <v>628</v>
      </c>
      <c r="AJ649" s="399" t="s">
        <v>1603</v>
      </c>
      <c r="AK649" s="399"/>
      <c r="AL649" s="399"/>
      <c r="AM649" s="399" t="s">
        <v>1228</v>
      </c>
      <c r="AN649" s="365">
        <v>5.5</v>
      </c>
      <c r="AO649" s="365"/>
      <c r="AP649" s="365"/>
      <c r="AQ649" s="365"/>
      <c r="AR649" s="365"/>
      <c r="AS649" s="365"/>
      <c r="AT649" s="365">
        <f>+ab($U$649,$T$647,$U$651,$S$648,$S$650,-1*$R$649,1200)</f>
        <v>-13.143107721647377</v>
      </c>
      <c r="AU649" s="365"/>
      <c r="AV649" s="365"/>
      <c r="AW649" s="399" t="s">
        <v>2634</v>
      </c>
      <c r="AX649" s="399" t="s">
        <v>1639</v>
      </c>
      <c r="AY649" s="399">
        <v>3.4</v>
      </c>
      <c r="AZ649" s="399"/>
      <c r="BA649" s="399"/>
      <c r="BB649" s="306"/>
    </row>
    <row r="650" spans="1:54" ht="14.25">
      <c r="A650" s="400"/>
      <c r="B650" s="334"/>
      <c r="C650" s="288"/>
      <c r="D650" s="1121"/>
      <c r="E650" s="1121"/>
      <c r="F650" s="289"/>
      <c r="G650" s="292">
        <v>60</v>
      </c>
      <c r="H650" s="289"/>
      <c r="I650" s="291"/>
      <c r="J650" s="288"/>
      <c r="K650" s="289"/>
      <c r="L650" s="1121"/>
      <c r="M650" s="1121"/>
      <c r="N650" s="291"/>
      <c r="O650" s="291"/>
      <c r="P650" s="291"/>
      <c r="Q650" s="1121"/>
      <c r="R650" s="292"/>
      <c r="S650" s="404">
        <v>60.7</v>
      </c>
      <c r="T650" s="1121"/>
      <c r="U650" s="1121"/>
      <c r="V650" s="1121"/>
      <c r="W650" s="1121"/>
      <c r="X650" s="1121"/>
      <c r="Y650" s="1121"/>
      <c r="Z650" s="1121"/>
      <c r="AA650" s="1121"/>
      <c r="AB650" s="1121"/>
      <c r="AC650" s="1121"/>
      <c r="AD650" s="1121"/>
      <c r="AE650" s="1121"/>
      <c r="AF650" s="1121"/>
      <c r="AG650" s="288"/>
      <c r="AH650" s="1121" t="s">
        <v>695</v>
      </c>
      <c r="AI650" s="289" t="s">
        <v>695</v>
      </c>
      <c r="AJ650" s="399" t="s">
        <v>1593</v>
      </c>
      <c r="AK650" s="1121"/>
      <c r="AL650" s="1121"/>
      <c r="AM650" s="1121"/>
      <c r="AN650" s="315"/>
      <c r="AO650" s="315"/>
      <c r="AP650" s="315"/>
      <c r="AQ650" s="315">
        <f>+FL_1($T$651,$U$649,$S$650,1200,9.28,-1*$R$651)</f>
        <v>0.41933991306534868</v>
      </c>
      <c r="AR650" s="315"/>
      <c r="AS650" s="315"/>
      <c r="AT650" s="315"/>
      <c r="AU650" s="315"/>
      <c r="AV650" s="315"/>
      <c r="AW650" s="1121"/>
      <c r="AX650" s="1121"/>
      <c r="AY650" s="1121"/>
      <c r="AZ650" s="1121"/>
      <c r="BA650" s="1121"/>
      <c r="BB650" s="306"/>
    </row>
    <row r="651" spans="1:54" ht="14.25">
      <c r="A651" s="400"/>
      <c r="B651" s="401" t="s">
        <v>1779</v>
      </c>
      <c r="C651" s="402">
        <f>+$C$649+$G$650</f>
        <v>27075</v>
      </c>
      <c r="D651" s="399"/>
      <c r="E651" s="399"/>
      <c r="F651" s="403">
        <v>0</v>
      </c>
      <c r="G651" s="404"/>
      <c r="H651" s="403" t="s">
        <v>651</v>
      </c>
      <c r="I651" s="405"/>
      <c r="J651" s="402"/>
      <c r="K651" s="403"/>
      <c r="L651" s="399" t="s">
        <v>231</v>
      </c>
      <c r="M651" s="399" t="s">
        <v>2028</v>
      </c>
      <c r="N651" s="405" t="s">
        <v>145</v>
      </c>
      <c r="O651" s="405" t="s">
        <v>140</v>
      </c>
      <c r="P651" s="405"/>
      <c r="Q651" s="399">
        <v>0</v>
      </c>
      <c r="R651" s="403">
        <v>0</v>
      </c>
      <c r="S651" s="404"/>
      <c r="T651" s="399">
        <v>30</v>
      </c>
      <c r="U651" s="399">
        <v>-15</v>
      </c>
      <c r="V651" s="399"/>
      <c r="W651" s="399">
        <v>1.4</v>
      </c>
      <c r="X651" s="399">
        <v>2.2999999999999998</v>
      </c>
      <c r="Y651" s="399"/>
      <c r="Z651" s="399"/>
      <c r="AA651" s="399">
        <v>0.6</v>
      </c>
      <c r="AB651" s="399"/>
      <c r="AC651" s="399" t="s">
        <v>1704</v>
      </c>
      <c r="AD651" s="399"/>
      <c r="AE651" s="399"/>
      <c r="AF651" s="399">
        <v>6000</v>
      </c>
      <c r="AG651" s="402">
        <v>27075.45</v>
      </c>
      <c r="AH651" s="399">
        <v>2868</v>
      </c>
      <c r="AI651" s="403">
        <v>495</v>
      </c>
      <c r="AJ651" s="399"/>
      <c r="AK651" s="399"/>
      <c r="AL651" s="399"/>
      <c r="AM651" s="399" t="s">
        <v>1228</v>
      </c>
      <c r="AN651" s="365">
        <v>5.44</v>
      </c>
      <c r="AO651" s="365"/>
      <c r="AP651" s="365"/>
      <c r="AQ651" s="365"/>
      <c r="AR651" s="365"/>
      <c r="AS651" s="365"/>
      <c r="AT651" s="365">
        <f>+ab($T$651,$T$649,$T$653,$S$650,$S$652,-1*$R$651,1200)</f>
        <v>13.104615829898346</v>
      </c>
      <c r="AU651" s="365"/>
      <c r="AV651" s="365"/>
      <c r="AW651" s="399" t="s">
        <v>699</v>
      </c>
      <c r="AX651" s="399" t="s">
        <v>699</v>
      </c>
      <c r="AY651" s="399" t="s">
        <v>699</v>
      </c>
      <c r="AZ651" s="399" t="s">
        <v>699</v>
      </c>
      <c r="BA651" s="399"/>
      <c r="BB651" s="306"/>
    </row>
    <row r="652" spans="1:54" ht="14.25">
      <c r="A652" s="400"/>
      <c r="B652" s="334"/>
      <c r="C652" s="288"/>
      <c r="D652" s="1121"/>
      <c r="E652" s="1121"/>
      <c r="F652" s="289"/>
      <c r="G652" s="292">
        <v>55</v>
      </c>
      <c r="H652" s="291"/>
      <c r="I652" s="291"/>
      <c r="J652" s="383"/>
      <c r="K652" s="1121"/>
      <c r="L652" s="1121"/>
      <c r="M652" s="1121"/>
      <c r="N652" s="291"/>
      <c r="O652" s="291"/>
      <c r="P652" s="291"/>
      <c r="Q652" s="1121"/>
      <c r="R652" s="292"/>
      <c r="S652" s="404">
        <v>54.55</v>
      </c>
      <c r="T652" s="1121"/>
      <c r="U652" s="1121"/>
      <c r="V652" s="1121"/>
      <c r="W652" s="1121"/>
      <c r="X652" s="1121"/>
      <c r="Y652" s="1121"/>
      <c r="Z652" s="1121"/>
      <c r="AA652" s="1121"/>
      <c r="AB652" s="1121"/>
      <c r="AC652" s="1121"/>
      <c r="AD652" s="1121"/>
      <c r="AE652" s="1121"/>
      <c r="AF652" s="1121"/>
      <c r="AG652" s="288"/>
      <c r="AH652" s="1121" t="s">
        <v>695</v>
      </c>
      <c r="AI652" s="289" t="s">
        <v>695</v>
      </c>
      <c r="AJ652" s="399"/>
      <c r="AK652" s="1121"/>
      <c r="AL652" s="1121"/>
      <c r="AM652" s="1121"/>
      <c r="AN652" s="315"/>
      <c r="AO652" s="315"/>
      <c r="AP652" s="315"/>
      <c r="AQ652" s="315">
        <f>+FL_1($T$653,$T$651,$S$652,1200,9.28,-1*$R$653)</f>
        <v>0.35445077192056207</v>
      </c>
      <c r="AR652" s="315"/>
      <c r="AS652" s="315"/>
      <c r="AT652" s="315"/>
      <c r="AU652" s="315"/>
      <c r="AV652" s="315"/>
      <c r="AW652" s="399"/>
      <c r="AX652" s="399"/>
      <c r="AY652" s="399"/>
      <c r="AZ652" s="399"/>
      <c r="BA652" s="399"/>
      <c r="BB652" s="306"/>
    </row>
    <row r="653" spans="1:54" ht="14.25">
      <c r="A653" s="400"/>
      <c r="B653" s="401" t="s">
        <v>1780</v>
      </c>
      <c r="C653" s="402">
        <f>+$C$651+$G$652</f>
        <v>27130</v>
      </c>
      <c r="D653" s="399"/>
      <c r="E653" s="399"/>
      <c r="F653" s="403">
        <v>0</v>
      </c>
      <c r="G653" s="404"/>
      <c r="H653" s="403" t="s">
        <v>651</v>
      </c>
      <c r="I653" s="405"/>
      <c r="K653" s="403" t="s">
        <v>653</v>
      </c>
      <c r="L653" s="399" t="s">
        <v>2030</v>
      </c>
      <c r="M653" s="399"/>
      <c r="N653" s="405" t="s">
        <v>144</v>
      </c>
      <c r="O653" s="405" t="s">
        <v>140</v>
      </c>
      <c r="P653" s="405"/>
      <c r="Q653" s="399">
        <v>0</v>
      </c>
      <c r="R653" s="403">
        <v>0</v>
      </c>
      <c r="S653" s="404"/>
      <c r="T653" s="399">
        <v>-35</v>
      </c>
      <c r="U653" s="399">
        <v>-75</v>
      </c>
      <c r="V653" s="399"/>
      <c r="W653" s="399">
        <v>1.4</v>
      </c>
      <c r="X653" s="399">
        <v>2.2999999999999998</v>
      </c>
      <c r="Y653" s="399"/>
      <c r="Z653" s="399"/>
      <c r="AA653" s="399">
        <v>0.7</v>
      </c>
      <c r="AB653" s="399"/>
      <c r="AC653" s="399" t="s">
        <v>2963</v>
      </c>
      <c r="AD653" s="399"/>
      <c r="AE653" s="399"/>
      <c r="AF653" s="399">
        <v>6000</v>
      </c>
      <c r="AG653" s="402">
        <v>27130</v>
      </c>
      <c r="AH653" s="399">
        <v>3522</v>
      </c>
      <c r="AI653" s="403">
        <v>600</v>
      </c>
      <c r="AJ653" s="399"/>
      <c r="AK653" s="399"/>
      <c r="AL653" s="399"/>
      <c r="AM653" s="399" t="s">
        <v>1228</v>
      </c>
      <c r="AN653" s="365">
        <v>5.31</v>
      </c>
      <c r="AO653" s="365"/>
      <c r="AP653" s="365"/>
      <c r="AQ653" s="365"/>
      <c r="AR653" s="365"/>
      <c r="AS653" s="365"/>
      <c r="AT653" s="365">
        <f>+ab($T$653,$T$651,$T$656,$G$652,$G$655,-1*$F$653,1200)</f>
        <v>-7.267468828405538</v>
      </c>
      <c r="AU653" s="365"/>
      <c r="AV653" s="365"/>
      <c r="AW653" s="399" t="s">
        <v>699</v>
      </c>
      <c r="AX653" s="399" t="s">
        <v>699</v>
      </c>
      <c r="AY653" s="399" t="s">
        <v>699</v>
      </c>
      <c r="AZ653" s="399" t="s">
        <v>699</v>
      </c>
      <c r="BA653" s="399"/>
      <c r="BB653" s="306"/>
    </row>
    <row r="654" spans="1:54" ht="14.25">
      <c r="A654" s="378"/>
      <c r="B654" s="406" t="s">
        <v>2745</v>
      </c>
      <c r="C654" s="377"/>
      <c r="D654" s="374"/>
      <c r="E654" s="374"/>
      <c r="F654" s="407"/>
      <c r="G654" s="408"/>
      <c r="H654" s="376"/>
      <c r="I654" s="376" t="s">
        <v>1226</v>
      </c>
      <c r="J654" s="409"/>
      <c r="K654" s="374" t="s">
        <v>1060</v>
      </c>
      <c r="L654" s="374"/>
      <c r="M654" s="374"/>
      <c r="N654" s="376"/>
      <c r="O654" s="376"/>
      <c r="P654" s="376"/>
      <c r="Q654" s="374"/>
      <c r="R654" s="408"/>
      <c r="S654" s="408">
        <v>45</v>
      </c>
      <c r="T654" s="374"/>
      <c r="U654" s="374"/>
      <c r="V654" s="374"/>
      <c r="W654" s="374"/>
      <c r="X654" s="374"/>
      <c r="Y654" s="374"/>
      <c r="Z654" s="374"/>
      <c r="AA654" s="374"/>
      <c r="AB654" s="374"/>
      <c r="AC654" s="374"/>
      <c r="AD654" s="374"/>
      <c r="AE654" s="374"/>
      <c r="AF654" s="374"/>
      <c r="AG654" s="377"/>
      <c r="AH654" s="374" t="s">
        <v>695</v>
      </c>
      <c r="AI654" s="407" t="s">
        <v>695</v>
      </c>
      <c r="AJ654" s="374"/>
      <c r="AK654" s="374"/>
      <c r="AL654" s="374"/>
      <c r="AM654" s="374"/>
      <c r="AN654" s="379"/>
      <c r="AO654" s="379"/>
      <c r="AP654" s="379"/>
      <c r="AQ654" s="379">
        <f>+FL_1($T$656,$T$653,$G$655,1200,9.28,-1*$F$656)</f>
        <v>0.30564782755555553</v>
      </c>
      <c r="AR654" s="379"/>
      <c r="AS654" s="379"/>
      <c r="AT654" s="379"/>
      <c r="AU654" s="379"/>
      <c r="AV654" s="379"/>
      <c r="AW654" s="374"/>
      <c r="AX654" s="374"/>
      <c r="AY654" s="374"/>
      <c r="AZ654" s="374"/>
      <c r="BA654" s="374"/>
      <c r="BB654" s="306"/>
    </row>
    <row r="655" spans="1:54" ht="14.25">
      <c r="A655" s="378"/>
      <c r="B655" s="406"/>
      <c r="C655" s="377" t="s">
        <v>2746</v>
      </c>
      <c r="D655" s="374"/>
      <c r="E655" s="374"/>
      <c r="F655" s="407"/>
      <c r="G655" s="408">
        <v>45</v>
      </c>
      <c r="H655" s="376" t="s">
        <v>138</v>
      </c>
      <c r="I655" s="376" t="s">
        <v>2846</v>
      </c>
      <c r="J655" s="409">
        <f>C656-5</f>
        <v>27170</v>
      </c>
      <c r="K655" s="374" t="s">
        <v>1055</v>
      </c>
      <c r="L655" s="374"/>
      <c r="M655" s="374"/>
      <c r="N655" s="376"/>
      <c r="O655" s="376"/>
      <c r="P655" s="376"/>
      <c r="Q655" s="979"/>
      <c r="R655" s="408"/>
      <c r="S655" s="370"/>
      <c r="T655" s="374"/>
      <c r="U655" s="374"/>
      <c r="V655" s="374"/>
      <c r="W655" s="374"/>
      <c r="X655" s="374"/>
      <c r="Y655" s="374"/>
      <c r="Z655" s="374"/>
      <c r="AA655" s="374"/>
      <c r="AB655" s="374"/>
      <c r="AC655" s="374"/>
      <c r="AD655" s="374"/>
      <c r="AE655" s="374"/>
      <c r="AF655" s="374"/>
      <c r="AG655" s="377"/>
      <c r="AH655" s="374" t="s">
        <v>695</v>
      </c>
      <c r="AI655" s="407" t="s">
        <v>695</v>
      </c>
      <c r="AJ655" s="374"/>
      <c r="AK655" s="374"/>
      <c r="AL655" s="374"/>
      <c r="AM655" s="374"/>
      <c r="AN655" s="379"/>
      <c r="AO655" s="379"/>
      <c r="AP655" s="379"/>
      <c r="AQ655" s="379"/>
      <c r="AR655" s="379"/>
      <c r="AS655" s="379"/>
      <c r="AT655" s="379"/>
      <c r="AU655" s="379"/>
      <c r="AV655" s="379"/>
      <c r="AW655" s="374"/>
      <c r="AX655" s="374"/>
      <c r="AY655" s="374"/>
      <c r="AZ655" s="374"/>
      <c r="BA655" s="374"/>
      <c r="BB655" s="306"/>
    </row>
    <row r="656" spans="1:54" ht="14.25">
      <c r="A656" s="378" t="s">
        <v>1781</v>
      </c>
      <c r="B656" s="406" t="s">
        <v>1782</v>
      </c>
      <c r="C656" s="377">
        <f>+$C$653+$G$655</f>
        <v>27175</v>
      </c>
      <c r="D656" s="374"/>
      <c r="E656" s="374"/>
      <c r="F656" s="407">
        <v>0</v>
      </c>
      <c r="G656" s="408"/>
      <c r="H656" s="376"/>
      <c r="I656" s="376"/>
      <c r="J656" s="409"/>
      <c r="K656" s="374"/>
      <c r="L656" s="374" t="s">
        <v>239</v>
      </c>
      <c r="M656" s="374"/>
      <c r="N656" s="376" t="s">
        <v>674</v>
      </c>
      <c r="O656" s="376"/>
      <c r="P656" s="376"/>
      <c r="Q656" s="979">
        <v>0</v>
      </c>
      <c r="R656" s="978">
        <v>0</v>
      </c>
      <c r="S656" s="370"/>
      <c r="T656" s="374">
        <v>30</v>
      </c>
      <c r="U656" s="374"/>
      <c r="V656" s="374"/>
      <c r="W656" s="374">
        <v>1.1000000000000001</v>
      </c>
      <c r="X656" s="374"/>
      <c r="Y656" s="374"/>
      <c r="Z656" s="374"/>
      <c r="AA656" s="374"/>
      <c r="AB656" s="374"/>
      <c r="AC656" s="374" t="s">
        <v>2963</v>
      </c>
      <c r="AD656" s="374"/>
      <c r="AE656" s="374"/>
      <c r="AF656" s="374">
        <v>100</v>
      </c>
      <c r="AG656" s="377">
        <v>27175.516</v>
      </c>
      <c r="AH656" s="374">
        <v>1547</v>
      </c>
      <c r="AI656" s="407">
        <v>-5154</v>
      </c>
      <c r="AJ656" s="374"/>
      <c r="AK656" s="374"/>
      <c r="AL656" s="374"/>
      <c r="AM656" s="374" t="s">
        <v>2021</v>
      </c>
      <c r="AN656" s="379">
        <v>5.25</v>
      </c>
      <c r="AO656" s="379"/>
      <c r="AP656" s="379"/>
      <c r="AQ656" s="379"/>
      <c r="AR656" s="379"/>
      <c r="AS656" s="379"/>
      <c r="AT656" s="379">
        <f>+ab($T$656,$T$653,$T$658,$G$655,$G$657,-1*$F$656,1200)</f>
        <v>7.2180038777890072</v>
      </c>
      <c r="AU656" s="379"/>
      <c r="AV656" s="379"/>
      <c r="AW656" s="374" t="s">
        <v>699</v>
      </c>
      <c r="AX656" s="374" t="s">
        <v>699</v>
      </c>
      <c r="AY656" s="374" t="s">
        <v>699</v>
      </c>
      <c r="AZ656" s="374" t="s">
        <v>699</v>
      </c>
      <c r="BA656" s="374"/>
      <c r="BB656" s="306"/>
    </row>
    <row r="657" spans="1:54" ht="14.25">
      <c r="A657" s="378"/>
      <c r="B657" s="406"/>
      <c r="C657" s="377"/>
      <c r="D657" s="374"/>
      <c r="E657" s="374"/>
      <c r="F657" s="407"/>
      <c r="G657" s="408">
        <v>50</v>
      </c>
      <c r="H657" s="376"/>
      <c r="I657" s="376"/>
      <c r="J657" s="409"/>
      <c r="K657" s="374"/>
      <c r="L657" s="374"/>
      <c r="M657" s="374"/>
      <c r="N657" s="376"/>
      <c r="O657" s="376"/>
      <c r="P657" s="376"/>
      <c r="Q657" s="979"/>
      <c r="R657" s="454"/>
      <c r="S657" s="370">
        <f>+AG658-AG656</f>
        <v>50.09400000000096</v>
      </c>
      <c r="T657" s="374"/>
      <c r="U657" s="374"/>
      <c r="V657" s="374"/>
      <c r="W657" s="374"/>
      <c r="X657" s="374"/>
      <c r="Y657" s="374"/>
      <c r="Z657" s="374"/>
      <c r="AA657" s="374"/>
      <c r="AB657" s="374"/>
      <c r="AC657" s="374"/>
      <c r="AD657" s="374"/>
      <c r="AE657" s="374"/>
      <c r="AF657" s="374"/>
      <c r="AG657" s="377"/>
      <c r="AH657" s="374" t="s">
        <v>695</v>
      </c>
      <c r="AI657" s="407" t="s">
        <v>695</v>
      </c>
      <c r="AJ657" s="374"/>
      <c r="AK657" s="374"/>
      <c r="AL657" s="374"/>
      <c r="AM657" s="374"/>
      <c r="AN657" s="379"/>
      <c r="AO657" s="379"/>
      <c r="AP657" s="379"/>
      <c r="AQ657" s="379">
        <f>+FL_2($T$658,$T$656,$G$657,1200,9.28,-1*$F$658)</f>
        <v>-0.33477011200000001</v>
      </c>
      <c r="AR657" s="379"/>
      <c r="AS657" s="379"/>
      <c r="AT657" s="379"/>
      <c r="AU657" s="379"/>
      <c r="AV657" s="379"/>
      <c r="AW657" s="374"/>
      <c r="AX657" s="374"/>
      <c r="AY657" s="374"/>
      <c r="AZ657" s="374"/>
      <c r="BA657" s="374"/>
      <c r="BB657" s="306"/>
    </row>
    <row r="658" spans="1:54" ht="14.25">
      <c r="A658" s="378" t="s">
        <v>1781</v>
      </c>
      <c r="B658" s="406" t="s">
        <v>1783</v>
      </c>
      <c r="C658" s="377">
        <f>+$C$656+$G$657</f>
        <v>27225</v>
      </c>
      <c r="D658" s="374"/>
      <c r="E658" s="374"/>
      <c r="F658" s="407">
        <v>0</v>
      </c>
      <c r="G658" s="408"/>
      <c r="H658" s="376"/>
      <c r="I658" s="375"/>
      <c r="J658" s="409"/>
      <c r="K658" s="374"/>
      <c r="L658" s="374" t="s">
        <v>239</v>
      </c>
      <c r="M658" s="374"/>
      <c r="N658" s="376" t="s">
        <v>673</v>
      </c>
      <c r="O658" s="376"/>
      <c r="P658" s="376"/>
      <c r="Q658" s="979">
        <v>0</v>
      </c>
      <c r="R658" s="978">
        <v>0</v>
      </c>
      <c r="S658" s="408"/>
      <c r="T658" s="374">
        <v>-30</v>
      </c>
      <c r="U658" s="374"/>
      <c r="V658" s="374"/>
      <c r="W658" s="374">
        <v>1.1000000000000001</v>
      </c>
      <c r="X658" s="374"/>
      <c r="Y658" s="374"/>
      <c r="Z658" s="374"/>
      <c r="AA658" s="374"/>
      <c r="AB658" s="374"/>
      <c r="AC658" s="374" t="s">
        <v>2972</v>
      </c>
      <c r="AD658" s="374"/>
      <c r="AE658" s="374"/>
      <c r="AF658" s="374">
        <v>100</v>
      </c>
      <c r="AG658" s="377">
        <v>27225.61</v>
      </c>
      <c r="AH658" s="374">
        <v>1487</v>
      </c>
      <c r="AI658" s="407">
        <v>-5231</v>
      </c>
      <c r="AJ658" s="374"/>
      <c r="AK658" s="374"/>
      <c r="AL658" s="374"/>
      <c r="AM658" s="374" t="s">
        <v>2021</v>
      </c>
      <c r="AN658" s="379">
        <v>5.25</v>
      </c>
      <c r="AO658" s="379"/>
      <c r="AP658" s="379"/>
      <c r="AQ658" s="379"/>
      <c r="AR658" s="379"/>
      <c r="AS658" s="379"/>
      <c r="AT658" s="379">
        <f>+ab($T$658,$T$656,$T$660,$G$657,$G$659,-1*$F$658,1200)</f>
        <v>-7.9442410717051439</v>
      </c>
      <c r="AU658" s="379"/>
      <c r="AV658" s="379"/>
      <c r="AW658" s="374" t="s">
        <v>699</v>
      </c>
      <c r="AX658" s="374" t="s">
        <v>699</v>
      </c>
      <c r="AY658" s="374" t="s">
        <v>699</v>
      </c>
      <c r="AZ658" s="374" t="s">
        <v>699</v>
      </c>
      <c r="BA658" s="374"/>
      <c r="BB658" s="306"/>
    </row>
    <row r="659" spans="1:54" ht="14.25">
      <c r="A659" s="378"/>
      <c r="B659" s="406"/>
      <c r="C659" s="377"/>
      <c r="D659" s="374"/>
      <c r="E659" s="374"/>
      <c r="F659" s="407"/>
      <c r="G659" s="408">
        <v>50</v>
      </c>
      <c r="H659" s="376"/>
      <c r="I659" s="376"/>
      <c r="J659" s="409"/>
      <c r="K659" s="374"/>
      <c r="L659" s="374"/>
      <c r="M659" s="374"/>
      <c r="N659" s="376"/>
      <c r="O659" s="376"/>
      <c r="P659" s="376"/>
      <c r="Q659" s="979"/>
      <c r="R659" s="454"/>
      <c r="S659" s="370">
        <f>+AG660-AG658</f>
        <v>50.009999999998399</v>
      </c>
      <c r="T659" s="374"/>
      <c r="U659" s="374"/>
      <c r="V659" s="374"/>
      <c r="W659" s="374"/>
      <c r="X659" s="374"/>
      <c r="Y659" s="374"/>
      <c r="Z659" s="374"/>
      <c r="AA659" s="374"/>
      <c r="AB659" s="374"/>
      <c r="AC659" s="374"/>
      <c r="AD659" s="374"/>
      <c r="AE659" s="374"/>
      <c r="AF659" s="374"/>
      <c r="AG659" s="377"/>
      <c r="AH659" s="374" t="s">
        <v>695</v>
      </c>
      <c r="AI659" s="407" t="s">
        <v>695</v>
      </c>
      <c r="AJ659" s="374"/>
      <c r="AK659" s="374"/>
      <c r="AL659" s="374"/>
      <c r="AM659" s="374"/>
      <c r="AN659" s="379"/>
      <c r="AO659" s="379"/>
      <c r="AP659" s="379"/>
      <c r="AQ659" s="379">
        <f>+FL_1($T$660,$T$658,$S$659,1200,9.28,-1*$R$660)</f>
        <v>0.33482956077903464</v>
      </c>
      <c r="AR659" s="379"/>
      <c r="AS659" s="379"/>
      <c r="AT659" s="379"/>
      <c r="AU659" s="379"/>
      <c r="AV659" s="379"/>
      <c r="AW659" s="374"/>
      <c r="AX659" s="374"/>
      <c r="AY659" s="374"/>
      <c r="AZ659" s="374"/>
      <c r="BA659" s="374"/>
      <c r="BB659" s="306"/>
    </row>
    <row r="660" spans="1:54" ht="14.25">
      <c r="A660" s="378" t="s">
        <v>1781</v>
      </c>
      <c r="B660" s="406" t="s">
        <v>1784</v>
      </c>
      <c r="C660" s="377">
        <f>+$C$658+$G$659</f>
        <v>27275</v>
      </c>
      <c r="D660" s="374"/>
      <c r="E660" s="374"/>
      <c r="F660" s="407">
        <v>0</v>
      </c>
      <c r="G660" s="408"/>
      <c r="H660" s="376"/>
      <c r="I660" s="376"/>
      <c r="J660" s="409"/>
      <c r="K660" s="374"/>
      <c r="L660" s="374" t="s">
        <v>239</v>
      </c>
      <c r="M660" s="374"/>
      <c r="N660" s="376" t="s">
        <v>674</v>
      </c>
      <c r="O660" s="376"/>
      <c r="P660" s="376"/>
      <c r="Q660" s="979">
        <v>0</v>
      </c>
      <c r="R660" s="978">
        <v>0</v>
      </c>
      <c r="S660" s="408"/>
      <c r="T660" s="374">
        <v>30</v>
      </c>
      <c r="U660" s="374"/>
      <c r="V660" s="374"/>
      <c r="W660" s="374">
        <v>1.1000000000000001</v>
      </c>
      <c r="X660" s="374"/>
      <c r="Y660" s="374"/>
      <c r="Z660" s="374"/>
      <c r="AA660" s="374"/>
      <c r="AB660" s="374"/>
      <c r="AC660" s="374" t="s">
        <v>2963</v>
      </c>
      <c r="AD660" s="374"/>
      <c r="AE660" s="374"/>
      <c r="AF660" s="374">
        <v>100</v>
      </c>
      <c r="AG660" s="377">
        <v>27275.62</v>
      </c>
      <c r="AH660" s="374">
        <v>1484</v>
      </c>
      <c r="AI660" s="407">
        <v>-5237</v>
      </c>
      <c r="AJ660" s="374"/>
      <c r="AK660" s="374"/>
      <c r="AL660" s="374"/>
      <c r="AM660" s="374" t="s">
        <v>2021</v>
      </c>
      <c r="AN660" s="379">
        <v>5.25</v>
      </c>
      <c r="AO660" s="379"/>
      <c r="AP660" s="379"/>
      <c r="AQ660" s="379"/>
      <c r="AR660" s="379"/>
      <c r="AS660" s="379"/>
      <c r="AT660" s="379">
        <f>+ab($T$660,$T$658,$T$662,$G$659,$G$661,-1*$F$660,1200)</f>
        <v>7.9442083933778509</v>
      </c>
      <c r="AU660" s="379"/>
      <c r="AV660" s="379"/>
      <c r="AW660" s="374" t="s">
        <v>699</v>
      </c>
      <c r="AX660" s="374" t="s">
        <v>699</v>
      </c>
      <c r="AY660" s="374" t="s">
        <v>699</v>
      </c>
      <c r="AZ660" s="374" t="s">
        <v>699</v>
      </c>
      <c r="BA660" s="374"/>
      <c r="BB660" s="306"/>
    </row>
    <row r="661" spans="1:54" ht="14.25">
      <c r="A661" s="378"/>
      <c r="B661" s="406"/>
      <c r="C661" s="377"/>
      <c r="D661" s="374"/>
      <c r="E661" s="374"/>
      <c r="F661" s="407"/>
      <c r="G661" s="408">
        <v>50</v>
      </c>
      <c r="H661" s="376"/>
      <c r="I661" s="375"/>
      <c r="J661" s="409"/>
      <c r="K661" s="374"/>
      <c r="L661" s="374"/>
      <c r="M661" s="374"/>
      <c r="N661" s="376"/>
      <c r="O661" s="376"/>
      <c r="P661" s="376"/>
      <c r="Q661" s="979"/>
      <c r="R661" s="454"/>
      <c r="S661" s="370">
        <f>+AG662-AG660</f>
        <v>48.11200000000099</v>
      </c>
      <c r="T661" s="374"/>
      <c r="U661" s="374"/>
      <c r="V661" s="374"/>
      <c r="W661" s="374"/>
      <c r="X661" s="374"/>
      <c r="Y661" s="374"/>
      <c r="Z661" s="374"/>
      <c r="AA661" s="374"/>
      <c r="AB661" s="374"/>
      <c r="AC661" s="374"/>
      <c r="AD661" s="374"/>
      <c r="AE661" s="374"/>
      <c r="AF661" s="374"/>
      <c r="AG661" s="377"/>
      <c r="AH661" s="374" t="s">
        <v>695</v>
      </c>
      <c r="AI661" s="407" t="s">
        <v>695</v>
      </c>
      <c r="AJ661" s="374"/>
      <c r="AK661" s="374"/>
      <c r="AL661" s="374"/>
      <c r="AM661" s="374"/>
      <c r="AN661" s="379"/>
      <c r="AO661" s="379"/>
      <c r="AP661" s="379"/>
      <c r="AQ661" s="379">
        <f>+FL_2($T$662,$T$660,$S$661,1200,9.28,-1*$R$662)</f>
        <v>-0.32431448044243938</v>
      </c>
      <c r="AR661" s="379"/>
      <c r="AS661" s="379"/>
      <c r="AT661" s="379"/>
      <c r="AU661" s="379"/>
      <c r="AV661" s="379"/>
      <c r="AW661" s="374"/>
      <c r="AX661" s="374"/>
      <c r="AY661" s="374"/>
      <c r="AZ661" s="374"/>
      <c r="BA661" s="374"/>
      <c r="BB661" s="306"/>
    </row>
    <row r="662" spans="1:54" ht="14.25">
      <c r="A662" s="378" t="s">
        <v>1781</v>
      </c>
      <c r="B662" s="406" t="s">
        <v>1785</v>
      </c>
      <c r="C662" s="377">
        <f>+$C$660+$G$661</f>
        <v>27325</v>
      </c>
      <c r="D662" s="374"/>
      <c r="E662" s="374"/>
      <c r="F662" s="407">
        <v>0</v>
      </c>
      <c r="G662" s="408"/>
      <c r="H662" s="376"/>
      <c r="I662" s="376"/>
      <c r="J662" s="409"/>
      <c r="K662" s="374"/>
      <c r="L662" s="374" t="s">
        <v>239</v>
      </c>
      <c r="M662" s="374"/>
      <c r="N662" s="376" t="s">
        <v>673</v>
      </c>
      <c r="O662" s="376"/>
      <c r="P662" s="376"/>
      <c r="Q662" s="979">
        <v>0</v>
      </c>
      <c r="R662" s="978">
        <v>0</v>
      </c>
      <c r="S662" s="370"/>
      <c r="T662" s="368">
        <v>-30</v>
      </c>
      <c r="U662" s="368"/>
      <c r="V662" s="368"/>
      <c r="W662" s="368">
        <v>1.1000000000000001</v>
      </c>
      <c r="X662" s="368"/>
      <c r="Y662" s="368"/>
      <c r="Z662" s="368"/>
      <c r="AA662" s="368"/>
      <c r="AB662" s="368"/>
      <c r="AC662" s="368" t="s">
        <v>2972</v>
      </c>
      <c r="AD662" s="368"/>
      <c r="AE662" s="368"/>
      <c r="AF662" s="374">
        <v>100</v>
      </c>
      <c r="AG662" s="377">
        <v>27323.732</v>
      </c>
      <c r="AH662" s="979">
        <v>1580</v>
      </c>
      <c r="AI662" s="978">
        <v>-5240</v>
      </c>
      <c r="AJ662" s="374"/>
      <c r="AK662" s="374"/>
      <c r="AL662" s="374"/>
      <c r="AM662" s="374" t="s">
        <v>2021</v>
      </c>
      <c r="AN662" s="379">
        <v>5.25</v>
      </c>
      <c r="AO662" s="379"/>
      <c r="AP662" s="379"/>
      <c r="AQ662" s="379"/>
      <c r="AR662" s="379"/>
      <c r="AS662" s="379"/>
      <c r="AT662" s="379">
        <f>+ab($T$662,$T$660,$T$664,$G$661,$G$663,-1*$F$662,1200)</f>
        <v>-7.9442410717051439</v>
      </c>
      <c r="AU662" s="379"/>
      <c r="AV662" s="379"/>
      <c r="AW662" s="374" t="s">
        <v>699</v>
      </c>
      <c r="AX662" s="374" t="s">
        <v>699</v>
      </c>
      <c r="AY662" s="374" t="s">
        <v>699</v>
      </c>
      <c r="AZ662" s="374" t="s">
        <v>699</v>
      </c>
      <c r="BA662" s="374"/>
      <c r="BB662" s="306"/>
    </row>
    <row r="663" spans="1:54" ht="14.25">
      <c r="A663" s="378"/>
      <c r="B663" s="406"/>
      <c r="C663" s="377"/>
      <c r="D663" s="374"/>
      <c r="E663" s="374"/>
      <c r="F663" s="407"/>
      <c r="G663" s="408">
        <v>50</v>
      </c>
      <c r="H663" s="376"/>
      <c r="I663" s="375"/>
      <c r="J663" s="409"/>
      <c r="K663" s="374"/>
      <c r="L663" s="374"/>
      <c r="M663" s="374"/>
      <c r="N663" s="376"/>
      <c r="O663" s="376"/>
      <c r="P663" s="376"/>
      <c r="Q663" s="979"/>
      <c r="R663" s="454"/>
      <c r="S663" s="370">
        <f>+AG664-AG662</f>
        <v>50.057000000000698</v>
      </c>
      <c r="T663" s="368"/>
      <c r="U663" s="368"/>
      <c r="V663" s="368"/>
      <c r="W663" s="368"/>
      <c r="X663" s="368"/>
      <c r="Y663" s="368"/>
      <c r="Z663" s="368"/>
      <c r="AA663" s="368"/>
      <c r="AB663" s="368"/>
      <c r="AC663" s="368"/>
      <c r="AD663" s="368"/>
      <c r="AE663" s="368"/>
      <c r="AF663" s="374"/>
      <c r="AG663" s="377"/>
      <c r="AH663" s="979" t="s">
        <v>695</v>
      </c>
      <c r="AI663" s="978" t="s">
        <v>695</v>
      </c>
      <c r="AJ663" s="374"/>
      <c r="AK663" s="374"/>
      <c r="AL663" s="374"/>
      <c r="AM663" s="374"/>
      <c r="AN663" s="379"/>
      <c r="AO663" s="379"/>
      <c r="AP663" s="379"/>
      <c r="AQ663" s="379">
        <f>+FL_1($T$664,$T$662,$S$663,1200,9.28,-1*$R$664)</f>
        <v>0.33510951514698462</v>
      </c>
      <c r="AR663" s="379"/>
      <c r="AS663" s="379"/>
      <c r="AT663" s="379"/>
      <c r="AU663" s="379"/>
      <c r="AV663" s="379"/>
      <c r="AW663" s="374"/>
      <c r="AX663" s="374"/>
      <c r="AY663" s="374"/>
      <c r="AZ663" s="374"/>
      <c r="BA663" s="374"/>
      <c r="BB663" s="306"/>
    </row>
    <row r="664" spans="1:54" ht="14.25">
      <c r="A664" s="378" t="s">
        <v>1781</v>
      </c>
      <c r="B664" s="406" t="s">
        <v>1786</v>
      </c>
      <c r="C664" s="377">
        <f>+$C$662+$G$663</f>
        <v>27375</v>
      </c>
      <c r="D664" s="374"/>
      <c r="E664" s="374"/>
      <c r="F664" s="407">
        <v>0</v>
      </c>
      <c r="G664" s="408"/>
      <c r="H664" s="376" t="s">
        <v>1059</v>
      </c>
      <c r="I664" s="376"/>
      <c r="J664" s="409"/>
      <c r="K664" s="374"/>
      <c r="L664" s="374" t="s">
        <v>239</v>
      </c>
      <c r="M664" s="374"/>
      <c r="N664" s="376" t="s">
        <v>674</v>
      </c>
      <c r="O664" s="376"/>
      <c r="P664" s="376"/>
      <c r="Q664" s="979">
        <v>0</v>
      </c>
      <c r="R664" s="978">
        <v>0</v>
      </c>
      <c r="S664" s="370"/>
      <c r="T664" s="368">
        <v>30</v>
      </c>
      <c r="U664" s="368"/>
      <c r="V664" s="368"/>
      <c r="W664" s="368">
        <v>1.1000000000000001</v>
      </c>
      <c r="X664" s="368"/>
      <c r="Y664" s="368"/>
      <c r="Z664" s="368"/>
      <c r="AA664" s="368"/>
      <c r="AB664" s="368"/>
      <c r="AC664" s="368" t="s">
        <v>2963</v>
      </c>
      <c r="AD664" s="368"/>
      <c r="AE664" s="368"/>
      <c r="AF664" s="374">
        <v>100</v>
      </c>
      <c r="AG664" s="377">
        <v>27373.789000000001</v>
      </c>
      <c r="AH664" s="979">
        <v>1526</v>
      </c>
      <c r="AI664" s="978">
        <v>-5260</v>
      </c>
      <c r="AJ664" s="374"/>
      <c r="AK664" s="374"/>
      <c r="AL664" s="374"/>
      <c r="AM664" s="374" t="s">
        <v>2021</v>
      </c>
      <c r="AN664" s="379">
        <v>5.25</v>
      </c>
      <c r="AO664" s="379"/>
      <c r="AP664" s="379"/>
      <c r="AQ664" s="379"/>
      <c r="AR664" s="379"/>
      <c r="AS664" s="379"/>
      <c r="AT664" s="379">
        <f>+ab($T$664,$T$662,$T$666,$G$663,$G$665,-1*$F$664,1200)</f>
        <v>7.9442083933778509</v>
      </c>
      <c r="AU664" s="379"/>
      <c r="AV664" s="379"/>
      <c r="AW664" s="374" t="s">
        <v>699</v>
      </c>
      <c r="AX664" s="374" t="s">
        <v>699</v>
      </c>
      <c r="AY664" s="374" t="s">
        <v>699</v>
      </c>
      <c r="AZ664" s="374" t="s">
        <v>699</v>
      </c>
      <c r="BA664" s="374"/>
      <c r="BB664" s="306"/>
    </row>
    <row r="665" spans="1:54" ht="14.25">
      <c r="A665" s="378"/>
      <c r="B665" s="406"/>
      <c r="C665" s="377"/>
      <c r="D665" s="374"/>
      <c r="E665" s="374"/>
      <c r="F665" s="407"/>
      <c r="G665" s="408">
        <v>50</v>
      </c>
      <c r="H665" s="376"/>
      <c r="I665" s="376">
        <f>SUM(G648:G665)</f>
        <v>465</v>
      </c>
      <c r="J665" s="409">
        <f>C664+10</f>
        <v>27385</v>
      </c>
      <c r="K665" s="374" t="s">
        <v>1060</v>
      </c>
      <c r="L665" s="374"/>
      <c r="M665" s="374"/>
      <c r="N665" s="376"/>
      <c r="O665" s="376"/>
      <c r="P665" s="376"/>
      <c r="Q665" s="979"/>
      <c r="R665" s="454"/>
      <c r="S665" s="370">
        <f>+AG666-AG664</f>
        <v>49.998999999999796</v>
      </c>
      <c r="T665" s="368"/>
      <c r="U665" s="368"/>
      <c r="V665" s="368"/>
      <c r="W665" s="368"/>
      <c r="X665" s="368"/>
      <c r="Y665" s="368"/>
      <c r="Z665" s="368"/>
      <c r="AA665" s="368"/>
      <c r="AB665" s="368"/>
      <c r="AC665" s="368"/>
      <c r="AD665" s="368"/>
      <c r="AE665" s="368"/>
      <c r="AF665" s="374"/>
      <c r="AG665" s="377"/>
      <c r="AH665" s="979" t="s">
        <v>695</v>
      </c>
      <c r="AI665" s="978" t="s">
        <v>695</v>
      </c>
      <c r="AJ665" s="374"/>
      <c r="AK665" s="374"/>
      <c r="AL665" s="374"/>
      <c r="AM665" s="374"/>
      <c r="AN665" s="379"/>
      <c r="AO665" s="379"/>
      <c r="AP665" s="379"/>
      <c r="AQ665" s="379">
        <f>+FL_2($T$666,$T$664,$S$665,1200,9.28,-1*$R$666)</f>
        <v>-0.33476417115449386</v>
      </c>
      <c r="AR665" s="379"/>
      <c r="AS665" s="379"/>
      <c r="AT665" s="379"/>
      <c r="AU665" s="379"/>
      <c r="AV665" s="379"/>
      <c r="AW665" s="374"/>
      <c r="AX665" s="374"/>
      <c r="AY665" s="374"/>
      <c r="AZ665" s="374"/>
      <c r="BA665" s="374"/>
      <c r="BB665" s="306"/>
    </row>
    <row r="666" spans="1:54" ht="14.25">
      <c r="A666" s="378" t="s">
        <v>1781</v>
      </c>
      <c r="B666" s="406" t="s">
        <v>1787</v>
      </c>
      <c r="C666" s="377">
        <f>+$C$664+$G$665</f>
        <v>27425</v>
      </c>
      <c r="D666" s="374"/>
      <c r="E666" s="374"/>
      <c r="F666" s="407">
        <v>0</v>
      </c>
      <c r="G666" s="408"/>
      <c r="H666" s="376" t="s">
        <v>956</v>
      </c>
      <c r="I666" s="376"/>
      <c r="J666" s="409"/>
      <c r="K666" s="374"/>
      <c r="L666" s="374" t="s">
        <v>239</v>
      </c>
      <c r="M666" s="374"/>
      <c r="N666" s="376" t="s">
        <v>673</v>
      </c>
      <c r="O666" s="376"/>
      <c r="P666" s="376"/>
      <c r="Q666" s="979">
        <v>0</v>
      </c>
      <c r="R666" s="978">
        <v>0</v>
      </c>
      <c r="S666" s="370"/>
      <c r="T666" s="368">
        <v>-30</v>
      </c>
      <c r="U666" s="368"/>
      <c r="V666" s="368"/>
      <c r="W666" s="368">
        <v>1.1000000000000001</v>
      </c>
      <c r="X666" s="368"/>
      <c r="Y666" s="368"/>
      <c r="Z666" s="368"/>
      <c r="AA666" s="368"/>
      <c r="AB666" s="368"/>
      <c r="AC666" s="368" t="s">
        <v>2972</v>
      </c>
      <c r="AD666" s="368"/>
      <c r="AE666" s="368"/>
      <c r="AF666" s="374">
        <v>100</v>
      </c>
      <c r="AG666" s="377">
        <v>27423.788</v>
      </c>
      <c r="AH666" s="979">
        <v>1492</v>
      </c>
      <c r="AI666" s="978">
        <v>-5242</v>
      </c>
      <c r="AJ666" s="374"/>
      <c r="AK666" s="374"/>
      <c r="AL666" s="374"/>
      <c r="AM666" s="374" t="s">
        <v>2021</v>
      </c>
      <c r="AN666" s="379">
        <v>5.25</v>
      </c>
      <c r="AO666" s="379"/>
      <c r="AP666" s="379"/>
      <c r="AQ666" s="379"/>
      <c r="AR666" s="379"/>
      <c r="AS666" s="379"/>
      <c r="AT666" s="379">
        <f>+ab($T$666,$T$664,$T$668,$G$665,$G$667,-1*$F$666,1200)</f>
        <v>-7.9442410717051439</v>
      </c>
      <c r="AU666" s="379"/>
      <c r="AV666" s="379"/>
      <c r="AW666" s="374" t="s">
        <v>699</v>
      </c>
      <c r="AX666" s="374" t="s">
        <v>699</v>
      </c>
      <c r="AY666" s="374" t="s">
        <v>699</v>
      </c>
      <c r="AZ666" s="374" t="s">
        <v>699</v>
      </c>
      <c r="BA666" s="374"/>
      <c r="BB666" s="306"/>
    </row>
    <row r="667" spans="1:54" ht="14.25">
      <c r="A667" s="378"/>
      <c r="B667" s="406"/>
      <c r="C667" s="377"/>
      <c r="D667" s="374"/>
      <c r="E667" s="374"/>
      <c r="F667" s="407"/>
      <c r="G667" s="408">
        <v>50</v>
      </c>
      <c r="H667" s="376"/>
      <c r="I667" s="376">
        <f>SUM(G667:G683)</f>
        <v>450</v>
      </c>
      <c r="J667" s="409">
        <f>C668-10</f>
        <v>27465</v>
      </c>
      <c r="K667" s="374" t="s">
        <v>1060</v>
      </c>
      <c r="L667" s="374"/>
      <c r="M667" s="374"/>
      <c r="N667" s="376"/>
      <c r="O667" s="376"/>
      <c r="P667" s="376"/>
      <c r="Q667" s="979"/>
      <c r="R667" s="454"/>
      <c r="S667" s="370">
        <f>+AG668-AG666</f>
        <v>50.099999999998545</v>
      </c>
      <c r="T667" s="368"/>
      <c r="U667" s="368"/>
      <c r="V667" s="368"/>
      <c r="W667" s="368"/>
      <c r="X667" s="368"/>
      <c r="Y667" s="368"/>
      <c r="Z667" s="368"/>
      <c r="AA667" s="368"/>
      <c r="AB667" s="368"/>
      <c r="AC667" s="368"/>
      <c r="AD667" s="368"/>
      <c r="AE667" s="368"/>
      <c r="AF667" s="374"/>
      <c r="AG667" s="377"/>
      <c r="AH667" s="979" t="s">
        <v>695</v>
      </c>
      <c r="AI667" s="978" t="s">
        <v>695</v>
      </c>
      <c r="AJ667" s="374"/>
      <c r="AK667" s="374"/>
      <c r="AL667" s="374"/>
      <c r="AM667" s="374"/>
      <c r="AN667" s="379"/>
      <c r="AO667" s="379"/>
      <c r="AP667" s="379"/>
      <c r="AQ667" s="379">
        <f>+FL_1($T$668,$T$666,$G$667,1200,9.28,-1*$F$668)</f>
        <v>0.33477011200000001</v>
      </c>
      <c r="AR667" s="379"/>
      <c r="AS667" s="379"/>
      <c r="AT667" s="379"/>
      <c r="AU667" s="379"/>
      <c r="AV667" s="379"/>
      <c r="AW667" s="374"/>
      <c r="AX667" s="374"/>
      <c r="AY667" s="374"/>
      <c r="AZ667" s="374"/>
      <c r="BA667" s="374"/>
      <c r="BB667" s="306"/>
    </row>
    <row r="668" spans="1:54" ht="14.25">
      <c r="A668" s="378" t="s">
        <v>1781</v>
      </c>
      <c r="B668" s="406" t="s">
        <v>1788</v>
      </c>
      <c r="C668" s="377">
        <f>+$C$666+$G$667</f>
        <v>27475</v>
      </c>
      <c r="D668" s="374"/>
      <c r="E668" s="374"/>
      <c r="F668" s="407">
        <v>0</v>
      </c>
      <c r="G668" s="408"/>
      <c r="H668" s="376" t="s">
        <v>1059</v>
      </c>
      <c r="I668" s="376"/>
      <c r="J668" s="409"/>
      <c r="K668" s="374"/>
      <c r="L668" s="374" t="s">
        <v>239</v>
      </c>
      <c r="M668" s="374"/>
      <c r="N668" s="376" t="s">
        <v>674</v>
      </c>
      <c r="O668" s="376"/>
      <c r="P668" s="376"/>
      <c r="Q668" s="979">
        <v>0</v>
      </c>
      <c r="R668" s="978">
        <v>0</v>
      </c>
      <c r="S668" s="370"/>
      <c r="T668" s="368">
        <v>30</v>
      </c>
      <c r="U668" s="368"/>
      <c r="V668" s="368"/>
      <c r="W668" s="368">
        <v>1.1000000000000001</v>
      </c>
      <c r="X668" s="368"/>
      <c r="Y668" s="368"/>
      <c r="Z668" s="368"/>
      <c r="AA668" s="368"/>
      <c r="AB668" s="368"/>
      <c r="AC668" s="368" t="s">
        <v>2963</v>
      </c>
      <c r="AD668" s="368"/>
      <c r="AE668" s="368"/>
      <c r="AF668" s="374">
        <v>100</v>
      </c>
      <c r="AG668" s="377">
        <v>27473.887999999999</v>
      </c>
      <c r="AH668" s="979">
        <v>1468</v>
      </c>
      <c r="AI668" s="978">
        <v>-5235</v>
      </c>
      <c r="AJ668" s="374"/>
      <c r="AK668" s="374"/>
      <c r="AL668" s="374"/>
      <c r="AM668" s="374" t="s">
        <v>2021</v>
      </c>
      <c r="AN668" s="379">
        <v>5.25</v>
      </c>
      <c r="AO668" s="379"/>
      <c r="AP668" s="379"/>
      <c r="AQ668" s="379"/>
      <c r="AR668" s="379"/>
      <c r="AS668" s="379"/>
      <c r="AT668" s="379">
        <f>+ab($T$668,$T$666,$T$670,$G$667,$G$669,-1*$F$668,1200)</f>
        <v>7.9442083933778509</v>
      </c>
      <c r="AU668" s="379"/>
      <c r="AV668" s="379"/>
      <c r="AW668" s="374" t="s">
        <v>699</v>
      </c>
      <c r="AX668" s="374" t="s">
        <v>699</v>
      </c>
      <c r="AY668" s="374" t="s">
        <v>699</v>
      </c>
      <c r="AZ668" s="374" t="s">
        <v>699</v>
      </c>
      <c r="BA668" s="374"/>
      <c r="BB668" s="306"/>
    </row>
    <row r="669" spans="1:54" ht="14.25">
      <c r="A669" s="378"/>
      <c r="B669" s="406"/>
      <c r="C669" s="377"/>
      <c r="D669" s="374"/>
      <c r="E669" s="374"/>
      <c r="F669" s="407"/>
      <c r="G669" s="408">
        <v>50</v>
      </c>
      <c r="H669" s="376"/>
      <c r="I669" s="376"/>
      <c r="J669" s="409"/>
      <c r="K669" s="374"/>
      <c r="L669" s="374"/>
      <c r="M669" s="374"/>
      <c r="N669" s="376"/>
      <c r="O669" s="376"/>
      <c r="P669" s="376"/>
      <c r="Q669" s="979"/>
      <c r="R669" s="454"/>
      <c r="S669" s="370">
        <f>+AG670-AG668</f>
        <v>50.099000000001979</v>
      </c>
      <c r="T669" s="368"/>
      <c r="U669" s="368"/>
      <c r="V669" s="368"/>
      <c r="W669" s="368"/>
      <c r="X669" s="368"/>
      <c r="Y669" s="368"/>
      <c r="Z669" s="368"/>
      <c r="AA669" s="368"/>
      <c r="AB669" s="368"/>
      <c r="AC669" s="368"/>
      <c r="AD669" s="368"/>
      <c r="AE669" s="368"/>
      <c r="AF669" s="374"/>
      <c r="AG669" s="377"/>
      <c r="AH669" s="979" t="s">
        <v>695</v>
      </c>
      <c r="AI669" s="978" t="s">
        <v>695</v>
      </c>
      <c r="AJ669" s="374"/>
      <c r="AK669" s="374"/>
      <c r="AL669" s="374"/>
      <c r="AM669" s="374"/>
      <c r="AN669" s="379"/>
      <c r="AO669" s="379"/>
      <c r="AP669" s="379"/>
      <c r="AQ669" s="379">
        <f>+FL_2($T$670,$T$668,$G$669,1200,9.28,-1*$F$670)</f>
        <v>-0.33477011200000001</v>
      </c>
      <c r="AR669" s="379"/>
      <c r="AS669" s="379"/>
      <c r="AT669" s="379"/>
      <c r="AU669" s="379"/>
      <c r="AV669" s="379"/>
      <c r="AW669" s="374"/>
      <c r="AX669" s="374"/>
      <c r="AY669" s="374"/>
      <c r="AZ669" s="374"/>
      <c r="BA669" s="374"/>
      <c r="BB669" s="306"/>
    </row>
    <row r="670" spans="1:54" ht="14.25">
      <c r="A670" s="378" t="s">
        <v>1781</v>
      </c>
      <c r="B670" s="406" t="s">
        <v>1789</v>
      </c>
      <c r="C670" s="377">
        <f>+$C$668+$G$669</f>
        <v>27525</v>
      </c>
      <c r="D670" s="374"/>
      <c r="E670" s="374"/>
      <c r="F670" s="407">
        <v>0</v>
      </c>
      <c r="G670" s="408"/>
      <c r="H670" s="376"/>
      <c r="I670" s="376"/>
      <c r="J670" s="409"/>
      <c r="K670" s="374"/>
      <c r="L670" s="374" t="s">
        <v>239</v>
      </c>
      <c r="M670" s="374"/>
      <c r="N670" s="376" t="s">
        <v>673</v>
      </c>
      <c r="O670" s="376"/>
      <c r="P670" s="376"/>
      <c r="Q670" s="979">
        <v>0</v>
      </c>
      <c r="R670" s="978">
        <v>0</v>
      </c>
      <c r="S670" s="370"/>
      <c r="T670" s="368">
        <v>-30</v>
      </c>
      <c r="U670" s="368"/>
      <c r="V670" s="368"/>
      <c r="W670" s="368">
        <v>1.1000000000000001</v>
      </c>
      <c r="X670" s="368"/>
      <c r="Y670" s="368"/>
      <c r="Z670" s="368"/>
      <c r="AA670" s="368"/>
      <c r="AB670" s="368"/>
      <c r="AC670" s="368" t="s">
        <v>2972</v>
      </c>
      <c r="AD670" s="368"/>
      <c r="AE670" s="368"/>
      <c r="AF670" s="374">
        <v>100</v>
      </c>
      <c r="AG670" s="377">
        <v>27523.987000000001</v>
      </c>
      <c r="AH670" s="979">
        <v>1517</v>
      </c>
      <c r="AI670" s="978">
        <v>-5171</v>
      </c>
      <c r="AJ670" s="374"/>
      <c r="AK670" s="374"/>
      <c r="AL670" s="374"/>
      <c r="AM670" s="374" t="s">
        <v>2021</v>
      </c>
      <c r="AN670" s="379">
        <v>5.25</v>
      </c>
      <c r="AO670" s="379"/>
      <c r="AP670" s="379"/>
      <c r="AQ670" s="379"/>
      <c r="AR670" s="379"/>
      <c r="AS670" s="379"/>
      <c r="AT670" s="379">
        <f>+ab($T$670,$T$668,$T$672,$G$669,$G$671,-1*$F$670,1200)</f>
        <v>-7.9442410717051439</v>
      </c>
      <c r="AU670" s="379"/>
      <c r="AV670" s="379"/>
      <c r="AW670" s="374" t="s">
        <v>699</v>
      </c>
      <c r="AX670" s="374" t="s">
        <v>699</v>
      </c>
      <c r="AY670" s="374" t="s">
        <v>699</v>
      </c>
      <c r="AZ670" s="374" t="s">
        <v>699</v>
      </c>
      <c r="BA670" s="374"/>
      <c r="BB670" s="306"/>
    </row>
    <row r="671" spans="1:54" ht="14.25">
      <c r="A671" s="378"/>
      <c r="B671" s="406"/>
      <c r="C671" s="377"/>
      <c r="D671" s="374"/>
      <c r="E671" s="374"/>
      <c r="F671" s="407"/>
      <c r="G671" s="408">
        <v>50</v>
      </c>
      <c r="H671" s="376"/>
      <c r="I671" s="376"/>
      <c r="J671" s="409"/>
      <c r="K671" s="374"/>
      <c r="L671" s="374"/>
      <c r="M671" s="374"/>
      <c r="N671" s="376"/>
      <c r="O671" s="376"/>
      <c r="P671" s="376"/>
      <c r="Q671" s="979"/>
      <c r="R671" s="454"/>
      <c r="S671" s="370">
        <f>+AG672-AG670</f>
        <v>50.010999999998603</v>
      </c>
      <c r="T671" s="368"/>
      <c r="U671" s="368"/>
      <c r="V671" s="368"/>
      <c r="W671" s="368"/>
      <c r="X671" s="368"/>
      <c r="Y671" s="368"/>
      <c r="Z671" s="368"/>
      <c r="AA671" s="368"/>
      <c r="AB671" s="368"/>
      <c r="AC671" s="368"/>
      <c r="AD671" s="368"/>
      <c r="AE671" s="368"/>
      <c r="AF671" s="374"/>
      <c r="AG671" s="377"/>
      <c r="AH671" s="979" t="s">
        <v>695</v>
      </c>
      <c r="AI671" s="978" t="s">
        <v>695</v>
      </c>
      <c r="AJ671" s="374"/>
      <c r="AK671" s="374"/>
      <c r="AL671" s="374"/>
      <c r="AM671" s="374"/>
      <c r="AN671" s="379"/>
      <c r="AO671" s="379"/>
      <c r="AP671" s="379"/>
      <c r="AQ671" s="379">
        <f>+FL_1($T$672,$T$670,$G$671,1200,9.28,-1*$F$672)</f>
        <v>0.33477011200000001</v>
      </c>
      <c r="AR671" s="379"/>
      <c r="AS671" s="379"/>
      <c r="AT671" s="379"/>
      <c r="AU671" s="379"/>
      <c r="AV671" s="379"/>
      <c r="AW671" s="374"/>
      <c r="AX671" s="374"/>
      <c r="AY671" s="374"/>
      <c r="AZ671" s="374"/>
      <c r="BA671" s="374"/>
      <c r="BB671" s="306"/>
    </row>
    <row r="672" spans="1:54" ht="14.25">
      <c r="A672" s="378" t="s">
        <v>1781</v>
      </c>
      <c r="B672" s="406" t="s">
        <v>1790</v>
      </c>
      <c r="C672" s="377">
        <f>+$C$670+$G$671</f>
        <v>27575</v>
      </c>
      <c r="D672" s="374"/>
      <c r="E672" s="374"/>
      <c r="F672" s="407">
        <v>0</v>
      </c>
      <c r="G672" s="408"/>
      <c r="H672" s="376"/>
      <c r="I672" s="375"/>
      <c r="J672" s="409"/>
      <c r="K672" s="374"/>
      <c r="L672" s="374" t="s">
        <v>239</v>
      </c>
      <c r="M672" s="374"/>
      <c r="N672" s="376" t="s">
        <v>674</v>
      </c>
      <c r="O672" s="376"/>
      <c r="P672" s="376"/>
      <c r="Q672" s="979">
        <v>0</v>
      </c>
      <c r="R672" s="978">
        <v>0</v>
      </c>
      <c r="S672" s="370"/>
      <c r="T672" s="368">
        <v>30</v>
      </c>
      <c r="U672" s="368"/>
      <c r="V672" s="368"/>
      <c r="W672" s="368">
        <v>1.1000000000000001</v>
      </c>
      <c r="X672" s="368"/>
      <c r="Y672" s="368"/>
      <c r="Z672" s="368"/>
      <c r="AA672" s="368"/>
      <c r="AB672" s="368"/>
      <c r="AC672" s="368" t="s">
        <v>2963</v>
      </c>
      <c r="AD672" s="368"/>
      <c r="AE672" s="368"/>
      <c r="AF672" s="374">
        <v>100</v>
      </c>
      <c r="AG672" s="377">
        <v>27573.998</v>
      </c>
      <c r="AH672" s="979">
        <v>1543</v>
      </c>
      <c r="AI672" s="978">
        <v>-5226</v>
      </c>
      <c r="AJ672" s="374"/>
      <c r="AK672" s="374"/>
      <c r="AL672" s="374"/>
      <c r="AM672" s="374" t="s">
        <v>2021</v>
      </c>
      <c r="AN672" s="379">
        <v>5.25</v>
      </c>
      <c r="AO672" s="379"/>
      <c r="AP672" s="379"/>
      <c r="AQ672" s="379"/>
      <c r="AR672" s="379"/>
      <c r="AS672" s="379"/>
      <c r="AT672" s="379">
        <f>+ab($T$672,$T$670,$T$674,$G$671,$G$673,-1*$F$672,1200)</f>
        <v>7.9442083933778509</v>
      </c>
      <c r="AU672" s="379"/>
      <c r="AV672" s="379"/>
      <c r="AW672" s="374" t="s">
        <v>699</v>
      </c>
      <c r="AX672" s="374" t="s">
        <v>699</v>
      </c>
      <c r="AY672" s="374" t="s">
        <v>699</v>
      </c>
      <c r="AZ672" s="374" t="s">
        <v>699</v>
      </c>
      <c r="BA672" s="374"/>
      <c r="BB672" s="306"/>
    </row>
    <row r="673" spans="1:54" ht="14.25">
      <c r="A673" s="378"/>
      <c r="B673" s="406"/>
      <c r="C673" s="377"/>
      <c r="D673" s="374"/>
      <c r="E673" s="374"/>
      <c r="F673" s="407"/>
      <c r="G673" s="408">
        <v>50</v>
      </c>
      <c r="H673" s="376"/>
      <c r="I673" s="376"/>
      <c r="J673" s="409"/>
      <c r="K673" s="374"/>
      <c r="L673" s="374"/>
      <c r="M673" s="374"/>
      <c r="N673" s="376"/>
      <c r="O673" s="376"/>
      <c r="P673" s="376"/>
      <c r="Q673" s="979"/>
      <c r="R673" s="454"/>
      <c r="S673" s="370">
        <f>+AG674-AG672</f>
        <v>52.043000000001484</v>
      </c>
      <c r="T673" s="368"/>
      <c r="U673" s="368"/>
      <c r="V673" s="368"/>
      <c r="W673" s="368"/>
      <c r="X673" s="368"/>
      <c r="Y673" s="368"/>
      <c r="Z673" s="368"/>
      <c r="AA673" s="368"/>
      <c r="AB673" s="368"/>
      <c r="AC673" s="368"/>
      <c r="AD673" s="368"/>
      <c r="AE673" s="368"/>
      <c r="AF673" s="374"/>
      <c r="AG673" s="377"/>
      <c r="AH673" s="979" t="s">
        <v>695</v>
      </c>
      <c r="AI673" s="978" t="s">
        <v>695</v>
      </c>
      <c r="AJ673" s="374"/>
      <c r="AK673" s="374"/>
      <c r="AL673" s="374"/>
      <c r="AM673" s="374"/>
      <c r="AN673" s="379"/>
      <c r="AO673" s="379"/>
      <c r="AP673" s="379"/>
      <c r="AQ673" s="379">
        <f>+FL_2($T$674,$T$672,$G$673,1200,9.28,-1*$F$674)</f>
        <v>-0.33477011200000001</v>
      </c>
      <c r="AR673" s="379"/>
      <c r="AS673" s="379"/>
      <c r="AT673" s="379"/>
      <c r="AU673" s="379"/>
      <c r="AV673" s="379"/>
      <c r="AW673" s="374"/>
      <c r="AX673" s="374"/>
      <c r="AY673" s="374"/>
      <c r="AZ673" s="374"/>
      <c r="BA673" s="374"/>
      <c r="BB673" s="306"/>
    </row>
    <row r="674" spans="1:54" ht="14.25">
      <c r="A674" s="378" t="s">
        <v>1781</v>
      </c>
      <c r="B674" s="406" t="s">
        <v>1791</v>
      </c>
      <c r="C674" s="377">
        <f>+$C$672+$G$673</f>
        <v>27625</v>
      </c>
      <c r="D674" s="374"/>
      <c r="E674" s="374"/>
      <c r="F674" s="407">
        <v>0</v>
      </c>
      <c r="G674" s="408"/>
      <c r="H674" s="376"/>
      <c r="I674" s="376"/>
      <c r="J674" s="409"/>
      <c r="K674" s="374"/>
      <c r="L674" s="374" t="s">
        <v>239</v>
      </c>
      <c r="M674" s="374"/>
      <c r="N674" s="376" t="s">
        <v>673</v>
      </c>
      <c r="O674" s="376"/>
      <c r="P674" s="376"/>
      <c r="Q674" s="979">
        <v>0</v>
      </c>
      <c r="R674" s="978">
        <v>0</v>
      </c>
      <c r="S674" s="370"/>
      <c r="T674" s="368">
        <v>-30</v>
      </c>
      <c r="U674" s="368"/>
      <c r="V674" s="368"/>
      <c r="W674" s="368">
        <v>1.1000000000000001</v>
      </c>
      <c r="X674" s="368"/>
      <c r="Y674" s="368"/>
      <c r="Z674" s="368"/>
      <c r="AA674" s="368"/>
      <c r="AB674" s="368"/>
      <c r="AC674" s="368" t="s">
        <v>2972</v>
      </c>
      <c r="AD674" s="368"/>
      <c r="AE674" s="368"/>
      <c r="AF674" s="374">
        <v>100</v>
      </c>
      <c r="AG674" s="377">
        <v>27626.041000000001</v>
      </c>
      <c r="AH674" s="979">
        <v>1610</v>
      </c>
      <c r="AI674" s="978">
        <v>-5224</v>
      </c>
      <c r="AJ674" s="374"/>
      <c r="AK674" s="374"/>
      <c r="AL674" s="374"/>
      <c r="AM674" s="374" t="s">
        <v>2021</v>
      </c>
      <c r="AN674" s="379">
        <v>5.25</v>
      </c>
      <c r="AO674" s="379"/>
      <c r="AP674" s="379"/>
      <c r="AQ674" s="379"/>
      <c r="AR674" s="379"/>
      <c r="AS674" s="379"/>
      <c r="AT674" s="379">
        <f>+ab($T$674,$T$672,$T$676,$G$673,$G$675,-1*$F$674,1200)</f>
        <v>-7.9442410717051439</v>
      </c>
      <c r="AU674" s="379"/>
      <c r="AV674" s="379"/>
      <c r="AW674" s="374" t="s">
        <v>699</v>
      </c>
      <c r="AX674" s="374" t="s">
        <v>699</v>
      </c>
      <c r="AY674" s="374" t="s">
        <v>699</v>
      </c>
      <c r="AZ674" s="374" t="s">
        <v>699</v>
      </c>
      <c r="BA674" s="374"/>
      <c r="BB674" s="306"/>
    </row>
    <row r="675" spans="1:54" ht="14.25">
      <c r="A675" s="378"/>
      <c r="B675" s="406"/>
      <c r="C675" s="377"/>
      <c r="D675" s="374"/>
      <c r="E675" s="374"/>
      <c r="F675" s="407"/>
      <c r="G675" s="408">
        <v>50</v>
      </c>
      <c r="H675" s="376"/>
      <c r="I675" s="376"/>
      <c r="J675" s="409"/>
      <c r="K675" s="374"/>
      <c r="L675" s="374"/>
      <c r="M675" s="374"/>
      <c r="N675" s="376"/>
      <c r="O675" s="376"/>
      <c r="P675" s="376"/>
      <c r="Q675" s="979"/>
      <c r="R675" s="454"/>
      <c r="S675" s="370">
        <f>+AG676-AG674</f>
        <v>48.136999999998807</v>
      </c>
      <c r="T675" s="368"/>
      <c r="U675" s="368"/>
      <c r="V675" s="368"/>
      <c r="W675" s="368"/>
      <c r="X675" s="368"/>
      <c r="Y675" s="368"/>
      <c r="Z675" s="368"/>
      <c r="AA675" s="368"/>
      <c r="AB675" s="368"/>
      <c r="AC675" s="368"/>
      <c r="AD675" s="368"/>
      <c r="AE675" s="368"/>
      <c r="AF675" s="374"/>
      <c r="AG675" s="377"/>
      <c r="AH675" s="979" t="s">
        <v>695</v>
      </c>
      <c r="AI675" s="978" t="s">
        <v>695</v>
      </c>
      <c r="AJ675" s="374"/>
      <c r="AK675" s="374"/>
      <c r="AL675" s="374"/>
      <c r="AM675" s="374"/>
      <c r="AN675" s="379"/>
      <c r="AO675" s="379"/>
      <c r="AP675" s="379"/>
      <c r="AQ675" s="379">
        <f>+FL_2($T$676,$T$674,$G$675,1200,9.28,-1*$F$676)</f>
        <v>-0.33477011200000012</v>
      </c>
      <c r="AR675" s="379"/>
      <c r="AS675" s="379"/>
      <c r="AT675" s="379"/>
      <c r="AU675" s="379"/>
      <c r="AV675" s="379"/>
      <c r="AW675" s="374"/>
      <c r="AX675" s="374"/>
      <c r="AY675" s="374"/>
      <c r="AZ675" s="374"/>
      <c r="BA675" s="374"/>
      <c r="BB675" s="306"/>
    </row>
    <row r="676" spans="1:54" ht="14.25">
      <c r="A676" s="378" t="s">
        <v>1781</v>
      </c>
      <c r="B676" s="406" t="s">
        <v>1792</v>
      </c>
      <c r="C676" s="377">
        <f>+$C$674+$G$675</f>
        <v>27675</v>
      </c>
      <c r="D676" s="374"/>
      <c r="E676" s="374"/>
      <c r="F676" s="407">
        <v>0</v>
      </c>
      <c r="G676" s="408"/>
      <c r="H676" s="376"/>
      <c r="I676" s="376"/>
      <c r="J676" s="409"/>
      <c r="K676" s="374"/>
      <c r="L676" s="374" t="s">
        <v>239</v>
      </c>
      <c r="M676" s="374"/>
      <c r="N676" s="376" t="s">
        <v>674</v>
      </c>
      <c r="O676" s="376"/>
      <c r="P676" s="376"/>
      <c r="Q676" s="979">
        <v>0</v>
      </c>
      <c r="R676" s="978">
        <v>0</v>
      </c>
      <c r="S676" s="370"/>
      <c r="T676" s="368">
        <v>30</v>
      </c>
      <c r="U676" s="368"/>
      <c r="V676" s="368"/>
      <c r="W676" s="368">
        <v>1.1000000000000001</v>
      </c>
      <c r="X676" s="368"/>
      <c r="Y676" s="368"/>
      <c r="Z676" s="368"/>
      <c r="AA676" s="368"/>
      <c r="AB676" s="368"/>
      <c r="AC676" s="368" t="s">
        <v>2963</v>
      </c>
      <c r="AD676" s="368"/>
      <c r="AE676" s="368"/>
      <c r="AF676" s="374">
        <v>100</v>
      </c>
      <c r="AG676" s="377">
        <v>27674.178</v>
      </c>
      <c r="AH676" s="979">
        <v>1541</v>
      </c>
      <c r="AI676" s="978">
        <v>-5191</v>
      </c>
      <c r="AJ676" s="374"/>
      <c r="AK676" s="374"/>
      <c r="AL676" s="374"/>
      <c r="AM676" s="374" t="s">
        <v>2021</v>
      </c>
      <c r="AN676" s="379">
        <v>5.25</v>
      </c>
      <c r="AO676" s="379"/>
      <c r="AP676" s="379"/>
      <c r="AQ676" s="379"/>
      <c r="AR676" s="379"/>
      <c r="AS676" s="379"/>
      <c r="AT676" s="379">
        <f>+ab($T$676,$T$674,$T$678,$G$675,$G$677,-1*$F$676,1200)</f>
        <v>7.9442083933778509</v>
      </c>
      <c r="AU676" s="379"/>
      <c r="AV676" s="379"/>
      <c r="AW676" s="374" t="s">
        <v>699</v>
      </c>
      <c r="AX676" s="374" t="s">
        <v>699</v>
      </c>
      <c r="AY676" s="374" t="s">
        <v>699</v>
      </c>
      <c r="AZ676" s="374" t="s">
        <v>699</v>
      </c>
      <c r="BA676" s="374"/>
      <c r="BB676" s="306"/>
    </row>
    <row r="677" spans="1:54" ht="14.25">
      <c r="A677" s="378"/>
      <c r="B677" s="406"/>
      <c r="C677" s="377"/>
      <c r="D677" s="374"/>
      <c r="E677" s="374"/>
      <c r="F677" s="407"/>
      <c r="G677" s="408">
        <v>50</v>
      </c>
      <c r="H677" s="376"/>
      <c r="I677" s="376"/>
      <c r="J677" s="409"/>
      <c r="K677" s="374"/>
      <c r="L677" s="374"/>
      <c r="M677" s="374"/>
      <c r="N677" s="376"/>
      <c r="O677" s="376"/>
      <c r="P677" s="376"/>
      <c r="Q677" s="979"/>
      <c r="R677" s="454"/>
      <c r="S677" s="370">
        <f>+AG678-AG676</f>
        <v>50.007000000001426</v>
      </c>
      <c r="T677" s="368"/>
      <c r="U677" s="368"/>
      <c r="V677" s="368"/>
      <c r="W677" s="368"/>
      <c r="X677" s="368"/>
      <c r="Y677" s="368"/>
      <c r="Z677" s="368"/>
      <c r="AA677" s="368"/>
      <c r="AB677" s="368"/>
      <c r="AC677" s="368"/>
      <c r="AD677" s="368"/>
      <c r="AE677" s="368"/>
      <c r="AF677" s="374"/>
      <c r="AG677" s="377"/>
      <c r="AH677" s="979" t="s">
        <v>695</v>
      </c>
      <c r="AI677" s="978" t="s">
        <v>695</v>
      </c>
      <c r="AJ677" s="374"/>
      <c r="AK677" s="374"/>
      <c r="AL677" s="374"/>
      <c r="AM677" s="374"/>
      <c r="AN677" s="379"/>
      <c r="AO677" s="379"/>
      <c r="AP677" s="379"/>
      <c r="AQ677" s="379">
        <f>+FL_1($T$678,$T$676,$G$677,1200,9.28,-1*$F$678)</f>
        <v>0.33477011200000012</v>
      </c>
      <c r="AR677" s="379"/>
      <c r="AS677" s="379"/>
      <c r="AT677" s="379"/>
      <c r="AU677" s="379"/>
      <c r="AV677" s="379"/>
      <c r="AW677" s="374"/>
      <c r="AX677" s="374"/>
      <c r="AY677" s="374"/>
      <c r="AZ677" s="374"/>
      <c r="BA677" s="374"/>
      <c r="BB677" s="306"/>
    </row>
    <row r="678" spans="1:54" ht="14.25">
      <c r="A678" s="378" t="s">
        <v>1781</v>
      </c>
      <c r="B678" s="406" t="s">
        <v>1793</v>
      </c>
      <c r="C678" s="377">
        <f>+$C$676+$G$677</f>
        <v>27725</v>
      </c>
      <c r="D678" s="374"/>
      <c r="E678" s="374"/>
      <c r="F678" s="407">
        <v>0</v>
      </c>
      <c r="G678" s="408"/>
      <c r="H678" s="376" t="s">
        <v>138</v>
      </c>
      <c r="I678" s="376" t="s">
        <v>912</v>
      </c>
      <c r="J678" s="409"/>
      <c r="K678" s="374"/>
      <c r="L678" s="374" t="s">
        <v>239</v>
      </c>
      <c r="M678" s="374"/>
      <c r="N678" s="376" t="s">
        <v>673</v>
      </c>
      <c r="O678" s="376"/>
      <c r="P678" s="376"/>
      <c r="Q678" s="979">
        <v>0</v>
      </c>
      <c r="R678" s="978">
        <v>0</v>
      </c>
      <c r="S678" s="370"/>
      <c r="T678" s="368">
        <v>-30</v>
      </c>
      <c r="U678" s="368"/>
      <c r="V678" s="368"/>
      <c r="W678" s="368">
        <v>1.1000000000000001</v>
      </c>
      <c r="X678" s="368"/>
      <c r="Y678" s="368"/>
      <c r="Z678" s="368"/>
      <c r="AA678" s="368"/>
      <c r="AB678" s="368"/>
      <c r="AC678" s="368" t="s">
        <v>1700</v>
      </c>
      <c r="AD678" s="368"/>
      <c r="AE678" s="368"/>
      <c r="AF678" s="374">
        <v>100</v>
      </c>
      <c r="AG678" s="377">
        <v>27724.185000000001</v>
      </c>
      <c r="AH678" s="979">
        <v>1506</v>
      </c>
      <c r="AI678" s="978">
        <v>-5207</v>
      </c>
      <c r="AJ678" s="374"/>
      <c r="AK678" s="374"/>
      <c r="AL678" s="374"/>
      <c r="AM678" s="374" t="s">
        <v>2021</v>
      </c>
      <c r="AN678" s="379">
        <v>5.25</v>
      </c>
      <c r="AO678" s="379"/>
      <c r="AP678" s="379"/>
      <c r="AQ678" s="379"/>
      <c r="AR678" s="379"/>
      <c r="AS678" s="379"/>
      <c r="AT678" s="379">
        <f>+ab($T$678,$T$676,$T$680,$G$677,$G$679,-1*$F$678,1200)</f>
        <v>-8.2849467556123688</v>
      </c>
      <c r="AU678" s="379"/>
      <c r="AV678" s="379"/>
      <c r="AW678" s="374" t="s">
        <v>699</v>
      </c>
      <c r="AX678" s="374" t="s">
        <v>699</v>
      </c>
      <c r="AY678" s="374" t="s">
        <v>699</v>
      </c>
      <c r="AZ678" s="374" t="s">
        <v>699</v>
      </c>
      <c r="BA678" s="374"/>
      <c r="BB678" s="306"/>
    </row>
    <row r="679" spans="1:54" ht="14.25">
      <c r="A679" s="378"/>
      <c r="B679" s="406"/>
      <c r="C679" s="377"/>
      <c r="D679" s="374"/>
      <c r="E679" s="374"/>
      <c r="F679" s="407"/>
      <c r="G679" s="408">
        <v>50</v>
      </c>
      <c r="H679" s="376"/>
      <c r="I679" s="376"/>
      <c r="J679" s="409">
        <f>C678+10</f>
        <v>27735</v>
      </c>
      <c r="K679" s="374" t="s">
        <v>1055</v>
      </c>
      <c r="L679" s="374"/>
      <c r="M679" s="374"/>
      <c r="N679" s="376"/>
      <c r="O679" s="376"/>
      <c r="P679" s="376"/>
      <c r="Q679" s="979"/>
      <c r="R679" s="454"/>
      <c r="S679" s="370">
        <f>+AG680-AG678</f>
        <v>50.056999999997061</v>
      </c>
      <c r="T679" s="368"/>
      <c r="U679" s="368"/>
      <c r="V679" s="368"/>
      <c r="W679" s="368"/>
      <c r="X679" s="368"/>
      <c r="Y679" s="368"/>
      <c r="Z679" s="368"/>
      <c r="AA679" s="368"/>
      <c r="AB679" s="368"/>
      <c r="AC679" s="368"/>
      <c r="AD679" s="368"/>
      <c r="AE679" s="368"/>
      <c r="AF679" s="374"/>
      <c r="AG679" s="377"/>
      <c r="AH679" s="979" t="s">
        <v>695</v>
      </c>
      <c r="AI679" s="978" t="s">
        <v>695</v>
      </c>
      <c r="AJ679" s="374"/>
      <c r="AK679" s="374"/>
      <c r="AL679" s="374"/>
      <c r="AM679" s="374"/>
      <c r="AN679" s="379"/>
      <c r="AO679" s="379"/>
      <c r="AP679" s="379"/>
      <c r="AQ679" s="379">
        <f>+FL_2($U$680,$T$678,$G$679,1200,9.28,-1*$F$680)</f>
        <v>-0.39834769999999992</v>
      </c>
      <c r="AR679" s="379"/>
      <c r="AS679" s="379"/>
      <c r="AT679" s="379"/>
      <c r="AU679" s="379"/>
      <c r="AV679" s="379"/>
      <c r="AW679" s="374"/>
      <c r="AX679" s="374"/>
      <c r="AY679" s="374"/>
      <c r="AZ679" s="374"/>
      <c r="BA679" s="374"/>
      <c r="BB679" s="306"/>
    </row>
    <row r="680" spans="1:54" ht="14.25">
      <c r="A680" s="378" t="s">
        <v>1781</v>
      </c>
      <c r="B680" s="406" t="s">
        <v>1794</v>
      </c>
      <c r="C680" s="377">
        <f>+$C$678+$G$679</f>
        <v>27775</v>
      </c>
      <c r="D680" s="374"/>
      <c r="E680" s="374"/>
      <c r="F680" s="407">
        <v>0</v>
      </c>
      <c r="G680" s="408"/>
      <c r="H680" s="376" t="s">
        <v>651</v>
      </c>
      <c r="I680" s="376"/>
      <c r="J680" s="409"/>
      <c r="K680" s="374"/>
      <c r="L680" s="374" t="s">
        <v>458</v>
      </c>
      <c r="M680" s="374"/>
      <c r="N680" s="376" t="s">
        <v>675</v>
      </c>
      <c r="O680" s="376" t="s">
        <v>674</v>
      </c>
      <c r="P680" s="376"/>
      <c r="Q680" s="979">
        <v>0</v>
      </c>
      <c r="R680" s="978">
        <v>0</v>
      </c>
      <c r="S680" s="370"/>
      <c r="T680" s="368">
        <v>25</v>
      </c>
      <c r="U680" s="368">
        <v>5</v>
      </c>
      <c r="V680" s="368"/>
      <c r="W680" s="368">
        <v>1.1000000000000001</v>
      </c>
      <c r="X680" s="368">
        <v>1.2</v>
      </c>
      <c r="Y680" s="368"/>
      <c r="Z680" s="368">
        <v>0.45</v>
      </c>
      <c r="AA680" s="368"/>
      <c r="AB680" s="368"/>
      <c r="AC680" s="368"/>
      <c r="AD680" s="368" t="s">
        <v>1704</v>
      </c>
      <c r="AE680" s="368"/>
      <c r="AF680" s="374">
        <v>100</v>
      </c>
      <c r="AG680" s="377">
        <v>27774.241999999998</v>
      </c>
      <c r="AH680" s="979">
        <v>1445</v>
      </c>
      <c r="AI680" s="978">
        <v>-5261</v>
      </c>
      <c r="AJ680" s="374"/>
      <c r="AK680" s="374"/>
      <c r="AL680" s="374"/>
      <c r="AM680" s="374" t="s">
        <v>2021</v>
      </c>
      <c r="AN680" s="379">
        <v>5.25</v>
      </c>
      <c r="AO680" s="379"/>
      <c r="AP680" s="379"/>
      <c r="AQ680" s="379"/>
      <c r="AR680" s="379"/>
      <c r="AS680" s="379"/>
      <c r="AT680" s="379">
        <f>+ab($U$680,$T$678,$U$682,$G$679,$G$681,-1*$F$680,1200)</f>
        <v>14.446766725215634</v>
      </c>
      <c r="AU680" s="379"/>
      <c r="AV680" s="379"/>
      <c r="AW680" s="374" t="s">
        <v>699</v>
      </c>
      <c r="AX680" s="374" t="s">
        <v>699</v>
      </c>
      <c r="AY680" s="374" t="s">
        <v>699</v>
      </c>
      <c r="AZ680" s="374" t="s">
        <v>699</v>
      </c>
      <c r="BA680" s="374"/>
      <c r="BB680" s="306"/>
    </row>
    <row r="681" spans="1:54" ht="14.25">
      <c r="A681" s="378"/>
      <c r="B681" s="406"/>
      <c r="C681" s="377"/>
      <c r="D681" s="374"/>
      <c r="E681" s="374"/>
      <c r="F681" s="407"/>
      <c r="G681" s="408">
        <v>50</v>
      </c>
      <c r="H681" s="376"/>
      <c r="I681" s="376"/>
      <c r="J681" s="409"/>
      <c r="K681" s="374"/>
      <c r="L681" s="374"/>
      <c r="M681" s="374"/>
      <c r="N681" s="376"/>
      <c r="O681" s="376"/>
      <c r="P681" s="376"/>
      <c r="Q681" s="979">
        <v>0</v>
      </c>
      <c r="R681" s="978">
        <v>0</v>
      </c>
      <c r="S681" s="370">
        <f>+AG682-AG680</f>
        <v>50.136000000002241</v>
      </c>
      <c r="T681" s="368"/>
      <c r="U681" s="368"/>
      <c r="V681" s="368"/>
      <c r="W681" s="368"/>
      <c r="X681" s="368"/>
      <c r="Y681" s="368"/>
      <c r="Z681" s="368"/>
      <c r="AA681" s="368"/>
      <c r="AB681" s="368"/>
      <c r="AC681" s="368"/>
      <c r="AD681" s="368"/>
      <c r="AE681" s="368"/>
      <c r="AF681" s="374">
        <v>100</v>
      </c>
      <c r="AG681" s="377">
        <f>AG680+2.031</f>
        <v>27776.272999999997</v>
      </c>
      <c r="AH681" s="979">
        <v>1514</v>
      </c>
      <c r="AI681" s="978">
        <v>-5252</v>
      </c>
      <c r="AJ681" s="374"/>
      <c r="AK681" s="374"/>
      <c r="AL681" s="374"/>
      <c r="AM681" s="374"/>
      <c r="AN681" s="379"/>
      <c r="AO681" s="379"/>
      <c r="AP681" s="379"/>
      <c r="AQ681" s="379">
        <f>+FL_2($T$682,$U$680,$G$681,1200,9.28,-1*$F$682)</f>
        <v>-0.24425286799999996</v>
      </c>
      <c r="AR681" s="379"/>
      <c r="AS681" s="379"/>
      <c r="AT681" s="379"/>
      <c r="AU681" s="379"/>
      <c r="AV681" s="379"/>
      <c r="AW681" s="374"/>
      <c r="AX681" s="374"/>
      <c r="AY681" s="374"/>
      <c r="AZ681" s="374"/>
      <c r="BA681" s="374"/>
      <c r="BB681" s="306"/>
    </row>
    <row r="682" spans="1:54" ht="14.25">
      <c r="A682" s="378" t="s">
        <v>1781</v>
      </c>
      <c r="B682" s="406" t="s">
        <v>1795</v>
      </c>
      <c r="C682" s="377">
        <f>+$C$680+$G$681</f>
        <v>27825</v>
      </c>
      <c r="D682" s="374"/>
      <c r="E682" s="374"/>
      <c r="F682" s="407">
        <v>0</v>
      </c>
      <c r="G682" s="408"/>
      <c r="H682" s="376" t="s">
        <v>651</v>
      </c>
      <c r="I682" s="376"/>
      <c r="J682" s="409"/>
      <c r="K682" s="374"/>
      <c r="L682" s="374" t="s">
        <v>458</v>
      </c>
      <c r="M682" s="374"/>
      <c r="N682" s="376" t="s">
        <v>673</v>
      </c>
      <c r="O682" s="376" t="s">
        <v>675</v>
      </c>
      <c r="P682" s="376"/>
      <c r="Q682" s="979">
        <v>0</v>
      </c>
      <c r="R682" s="978">
        <v>0</v>
      </c>
      <c r="S682" s="370"/>
      <c r="T682" s="368">
        <v>-5</v>
      </c>
      <c r="U682" s="368">
        <v>-25</v>
      </c>
      <c r="V682" s="368"/>
      <c r="W682" s="368">
        <v>1.1000000000000001</v>
      </c>
      <c r="X682" s="368">
        <v>1.2</v>
      </c>
      <c r="Y682" s="368"/>
      <c r="Z682" s="368"/>
      <c r="AA682" s="368">
        <v>0.45</v>
      </c>
      <c r="AB682" s="368"/>
      <c r="AC682" s="368" t="s">
        <v>1700</v>
      </c>
      <c r="AD682" s="368"/>
      <c r="AE682" s="368"/>
      <c r="AF682" s="374">
        <v>100</v>
      </c>
      <c r="AG682" s="377">
        <v>27824.378000000001</v>
      </c>
      <c r="AH682" s="979">
        <v>1526</v>
      </c>
      <c r="AI682" s="978">
        <v>-5204</v>
      </c>
      <c r="AJ682" s="374"/>
      <c r="AK682" s="374"/>
      <c r="AL682" s="374"/>
      <c r="AM682" s="374" t="s">
        <v>2021</v>
      </c>
      <c r="AN682" s="379">
        <v>5.25</v>
      </c>
      <c r="AO682" s="379"/>
      <c r="AP682" s="379"/>
      <c r="AQ682" s="379"/>
      <c r="AR682" s="379"/>
      <c r="AS682" s="379"/>
      <c r="AT682" s="379">
        <f>+ab($T$682,$T$680,$T$684,$G$681,$G$683,-1*$F$682,1200)</f>
        <v>-14.446873203935258</v>
      </c>
      <c r="AU682" s="379"/>
      <c r="AV682" s="379"/>
      <c r="AW682" s="374" t="s">
        <v>699</v>
      </c>
      <c r="AX682" s="374" t="s">
        <v>699</v>
      </c>
      <c r="AY682" s="374" t="s">
        <v>699</v>
      </c>
      <c r="AZ682" s="374" t="s">
        <v>699</v>
      </c>
      <c r="BA682" s="374"/>
      <c r="BB682" s="306"/>
    </row>
    <row r="683" spans="1:54" ht="14.25">
      <c r="A683" s="378"/>
      <c r="B683" s="406"/>
      <c r="C683" s="377"/>
      <c r="D683" s="374"/>
      <c r="E683" s="374"/>
      <c r="F683" s="407"/>
      <c r="G683" s="408">
        <v>50</v>
      </c>
      <c r="H683" s="376"/>
      <c r="I683" s="376"/>
      <c r="J683" s="409">
        <f>C684-10</f>
        <v>27865</v>
      </c>
      <c r="K683" s="374" t="s">
        <v>1055</v>
      </c>
      <c r="L683" s="374"/>
      <c r="M683" s="374"/>
      <c r="N683" s="376"/>
      <c r="O683" s="376"/>
      <c r="P683" s="376"/>
      <c r="Q683" s="979">
        <v>0</v>
      </c>
      <c r="R683" s="978">
        <v>0</v>
      </c>
      <c r="S683" s="370">
        <f>+AG684-AG682</f>
        <v>50.028999999998632</v>
      </c>
      <c r="T683" s="368"/>
      <c r="U683" s="368"/>
      <c r="V683" s="368"/>
      <c r="W683" s="368"/>
      <c r="X683" s="368"/>
      <c r="Y683" s="368"/>
      <c r="Z683" s="368"/>
      <c r="AA683" s="368"/>
      <c r="AB683" s="368"/>
      <c r="AC683" s="368"/>
      <c r="AD683" s="368"/>
      <c r="AE683" s="368"/>
      <c r="AF683" s="374">
        <v>100</v>
      </c>
      <c r="AG683" s="377">
        <f>AG682+1.96</f>
        <v>27826.338</v>
      </c>
      <c r="AH683" s="979">
        <v>1483</v>
      </c>
      <c r="AI683" s="978">
        <v>-5222</v>
      </c>
      <c r="AJ683" s="374"/>
      <c r="AK683" s="374"/>
      <c r="AL683" s="374"/>
      <c r="AM683" s="374"/>
      <c r="AN683" s="379"/>
      <c r="AO683" s="379"/>
      <c r="AP683" s="379"/>
      <c r="AQ683" s="379">
        <f>+FL_1($T$684,$T$682,$G$683,1200,9.28,-1*$F$684)</f>
        <v>0.39834769999999997</v>
      </c>
      <c r="AR683" s="379"/>
      <c r="AS683" s="379"/>
      <c r="AT683" s="379"/>
      <c r="AU683" s="379"/>
      <c r="AV683" s="379"/>
      <c r="AW683" s="374"/>
      <c r="AX683" s="374"/>
      <c r="AY683" s="374"/>
      <c r="AZ683" s="374"/>
      <c r="BA683" s="374"/>
      <c r="BB683" s="306"/>
    </row>
    <row r="684" spans="1:54" ht="14.25">
      <c r="A684" s="378" t="s">
        <v>1781</v>
      </c>
      <c r="B684" s="406" t="s">
        <v>1796</v>
      </c>
      <c r="C684" s="377">
        <f>+$C$682+$G$683</f>
        <v>27875</v>
      </c>
      <c r="D684" s="374"/>
      <c r="E684" s="374"/>
      <c r="F684" s="407">
        <v>0</v>
      </c>
      <c r="G684" s="408"/>
      <c r="H684" s="376" t="s">
        <v>138</v>
      </c>
      <c r="I684" s="375" t="s">
        <v>912</v>
      </c>
      <c r="J684" s="409"/>
      <c r="K684" s="374"/>
      <c r="L684" s="374" t="s">
        <v>239</v>
      </c>
      <c r="M684" s="374"/>
      <c r="N684" s="376" t="s">
        <v>674</v>
      </c>
      <c r="O684" s="376"/>
      <c r="P684" s="376"/>
      <c r="Q684" s="979">
        <v>0</v>
      </c>
      <c r="R684" s="978">
        <v>0</v>
      </c>
      <c r="S684" s="370"/>
      <c r="T684" s="368">
        <v>30</v>
      </c>
      <c r="U684" s="368"/>
      <c r="V684" s="368"/>
      <c r="W684" s="368">
        <v>1.1000000000000001</v>
      </c>
      <c r="X684" s="368"/>
      <c r="Y684" s="368"/>
      <c r="Z684" s="368"/>
      <c r="AA684" s="368"/>
      <c r="AB684" s="368"/>
      <c r="AC684" s="368" t="s">
        <v>1704</v>
      </c>
      <c r="AD684" s="368"/>
      <c r="AE684" s="368"/>
      <c r="AF684" s="374">
        <v>100</v>
      </c>
      <c r="AG684" s="377">
        <v>27874.406999999999</v>
      </c>
      <c r="AH684" s="979">
        <v>1505</v>
      </c>
      <c r="AI684" s="978">
        <v>-5235</v>
      </c>
      <c r="AJ684" s="374"/>
      <c r="AK684" s="374"/>
      <c r="AL684" s="374"/>
      <c r="AM684" s="374" t="s">
        <v>2021</v>
      </c>
      <c r="AN684" s="379">
        <v>5.25</v>
      </c>
      <c r="AO684" s="379"/>
      <c r="AP684" s="379"/>
      <c r="AQ684" s="379"/>
      <c r="AR684" s="379"/>
      <c r="AS684" s="379"/>
      <c r="AT684" s="379">
        <f>+ab($T$684,$T$682,$T$686,$G$683,$G$685,-1*$F$684,1200)</f>
        <v>9.9968917440918084</v>
      </c>
      <c r="AU684" s="379"/>
      <c r="AV684" s="379"/>
      <c r="AW684" s="374" t="s">
        <v>699</v>
      </c>
      <c r="AX684" s="374" t="s">
        <v>699</v>
      </c>
      <c r="AY684" s="374" t="s">
        <v>699</v>
      </c>
      <c r="AZ684" s="374" t="s">
        <v>699</v>
      </c>
      <c r="BA684" s="374"/>
      <c r="BB684" s="306"/>
    </row>
    <row r="685" spans="1:54" ht="14.25">
      <c r="A685" s="378"/>
      <c r="B685" s="410"/>
      <c r="C685" s="377"/>
      <c r="D685" s="374"/>
      <c r="E685" s="374"/>
      <c r="F685" s="407"/>
      <c r="G685" s="408">
        <v>50</v>
      </c>
      <c r="H685" s="376"/>
      <c r="I685" s="376"/>
      <c r="J685" s="409"/>
      <c r="K685" s="374"/>
      <c r="L685" s="374"/>
      <c r="M685" s="374"/>
      <c r="N685" s="376"/>
      <c r="O685" s="376"/>
      <c r="P685" s="376"/>
      <c r="Q685" s="979"/>
      <c r="R685" s="454"/>
      <c r="S685" s="370">
        <f>+AG686-AG684</f>
        <v>51.923000000002503</v>
      </c>
      <c r="T685" s="368"/>
      <c r="U685" s="368"/>
      <c r="V685" s="368"/>
      <c r="W685" s="368"/>
      <c r="X685" s="368"/>
      <c r="Y685" s="368"/>
      <c r="Z685" s="368"/>
      <c r="AA685" s="368"/>
      <c r="AB685" s="368"/>
      <c r="AC685" s="368"/>
      <c r="AD685" s="368"/>
      <c r="AE685" s="368"/>
      <c r="AF685" s="374"/>
      <c r="AG685" s="377"/>
      <c r="AH685" s="979" t="s">
        <v>695</v>
      </c>
      <c r="AI685" s="978" t="s">
        <v>695</v>
      </c>
      <c r="AJ685" s="374"/>
      <c r="AK685" s="374"/>
      <c r="AL685" s="374"/>
      <c r="AM685" s="374"/>
      <c r="AN685" s="379"/>
      <c r="AO685" s="379"/>
      <c r="AP685" s="379"/>
      <c r="AQ685" s="379">
        <f>+FL_2($T$686,$T$684,$G$685,1200,9.28,-1*$F$686)</f>
        <v>-0.33477011200000001</v>
      </c>
      <c r="AR685" s="379"/>
      <c r="AS685" s="379"/>
      <c r="AT685" s="379"/>
      <c r="AU685" s="379"/>
      <c r="AV685" s="379"/>
      <c r="AW685" s="374"/>
      <c r="AX685" s="374"/>
      <c r="AY685" s="374"/>
      <c r="AZ685" s="374"/>
      <c r="BA685" s="374"/>
      <c r="BB685" s="306"/>
    </row>
    <row r="686" spans="1:54" ht="14.25">
      <c r="A686" s="378" t="s">
        <v>1781</v>
      </c>
      <c r="B686" s="410" t="s">
        <v>1797</v>
      </c>
      <c r="C686" s="377">
        <f>+$C$684+$G$685</f>
        <v>27925</v>
      </c>
      <c r="D686" s="374"/>
      <c r="E686" s="374"/>
      <c r="F686" s="407">
        <v>0</v>
      </c>
      <c r="G686" s="408"/>
      <c r="H686" s="376"/>
      <c r="I686" s="375"/>
      <c r="J686" s="409"/>
      <c r="K686" s="374"/>
      <c r="L686" s="374" t="s">
        <v>239</v>
      </c>
      <c r="M686" s="374"/>
      <c r="N686" s="376" t="s">
        <v>673</v>
      </c>
      <c r="O686" s="376"/>
      <c r="P686" s="376"/>
      <c r="Q686" s="979">
        <v>0</v>
      </c>
      <c r="R686" s="978">
        <v>0</v>
      </c>
      <c r="S686" s="370"/>
      <c r="T686" s="368">
        <v>-30</v>
      </c>
      <c r="U686" s="368"/>
      <c r="V686" s="368"/>
      <c r="W686" s="368">
        <v>1.1000000000000001</v>
      </c>
      <c r="X686" s="368"/>
      <c r="Y686" s="368"/>
      <c r="Z686" s="368"/>
      <c r="AA686" s="368"/>
      <c r="AB686" s="368"/>
      <c r="AC686" s="368" t="s">
        <v>2972</v>
      </c>
      <c r="AD686" s="368"/>
      <c r="AE686" s="368"/>
      <c r="AF686" s="374">
        <v>100</v>
      </c>
      <c r="AG686" s="377">
        <v>27926.33</v>
      </c>
      <c r="AH686" s="979">
        <v>1529</v>
      </c>
      <c r="AI686" s="978">
        <v>-5204</v>
      </c>
      <c r="AJ686" s="374"/>
      <c r="AK686" s="374"/>
      <c r="AL686" s="374"/>
      <c r="AM686" s="374" t="s">
        <v>2021</v>
      </c>
      <c r="AN686" s="379">
        <v>5.25</v>
      </c>
      <c r="AO686" s="379"/>
      <c r="AP686" s="379"/>
      <c r="AQ686" s="379"/>
      <c r="AR686" s="379"/>
      <c r="AS686" s="379"/>
      <c r="AT686" s="379">
        <f>+ab($T$686,$T$684,$T$688,$G$685,$G$687,-1*$F$686,1200)</f>
        <v>-7.9442410717051439</v>
      </c>
      <c r="AU686" s="379"/>
      <c r="AV686" s="379"/>
      <c r="AW686" s="374" t="s">
        <v>699</v>
      </c>
      <c r="AX686" s="374" t="s">
        <v>699</v>
      </c>
      <c r="AY686" s="374" t="s">
        <v>699</v>
      </c>
      <c r="AZ686" s="374" t="s">
        <v>699</v>
      </c>
      <c r="BA686" s="374"/>
      <c r="BB686" s="306"/>
    </row>
    <row r="687" spans="1:54" ht="14.25">
      <c r="A687" s="378"/>
      <c r="B687" s="410"/>
      <c r="C687" s="377"/>
      <c r="D687" s="374"/>
      <c r="E687" s="374"/>
      <c r="F687" s="407"/>
      <c r="G687" s="408">
        <v>50</v>
      </c>
      <c r="H687" s="376"/>
      <c r="I687" s="376"/>
      <c r="J687" s="409"/>
      <c r="K687" s="374"/>
      <c r="L687" s="374"/>
      <c r="M687" s="374"/>
      <c r="N687" s="376"/>
      <c r="O687" s="376"/>
      <c r="P687" s="376"/>
      <c r="Q687" s="979"/>
      <c r="R687" s="454"/>
      <c r="S687" s="370">
        <f>+AG688-AG686</f>
        <v>48.261999999998807</v>
      </c>
      <c r="T687" s="368"/>
      <c r="U687" s="368"/>
      <c r="V687" s="368"/>
      <c r="W687" s="368"/>
      <c r="X687" s="368"/>
      <c r="Y687" s="368"/>
      <c r="Z687" s="368"/>
      <c r="AA687" s="368"/>
      <c r="AB687" s="368"/>
      <c r="AC687" s="368"/>
      <c r="AD687" s="368"/>
      <c r="AE687" s="368"/>
      <c r="AF687" s="374"/>
      <c r="AG687" s="377"/>
      <c r="AH687" s="979" t="s">
        <v>695</v>
      </c>
      <c r="AI687" s="978" t="s">
        <v>695</v>
      </c>
      <c r="AJ687" s="374"/>
      <c r="AK687" s="374"/>
      <c r="AL687" s="374"/>
      <c r="AM687" s="374"/>
      <c r="AN687" s="379"/>
      <c r="AO687" s="379"/>
      <c r="AP687" s="379"/>
      <c r="AQ687" s="379">
        <f>+FL_1($T$688,$T$686,$G$687,1200,9.28,-1*$F$688)</f>
        <v>0.33477011200000001</v>
      </c>
      <c r="AR687" s="379"/>
      <c r="AS687" s="379"/>
      <c r="AT687" s="379"/>
      <c r="AU687" s="379"/>
      <c r="AV687" s="379"/>
      <c r="AW687" s="374"/>
      <c r="AX687" s="374"/>
      <c r="AY687" s="374"/>
      <c r="AZ687" s="374"/>
      <c r="BA687" s="374"/>
      <c r="BB687" s="306"/>
    </row>
    <row r="688" spans="1:54" ht="14.25">
      <c r="A688" s="378" t="s">
        <v>1781</v>
      </c>
      <c r="B688" s="410" t="s">
        <v>1798</v>
      </c>
      <c r="C688" s="377">
        <f>+$C$686+$G$687</f>
        <v>27975</v>
      </c>
      <c r="D688" s="374"/>
      <c r="E688" s="374"/>
      <c r="F688" s="407">
        <v>0</v>
      </c>
      <c r="G688" s="408"/>
      <c r="H688" s="376"/>
      <c r="I688" s="375"/>
      <c r="J688" s="409"/>
      <c r="K688" s="374"/>
      <c r="L688" s="374" t="s">
        <v>239</v>
      </c>
      <c r="M688" s="374"/>
      <c r="N688" s="376" t="s">
        <v>674</v>
      </c>
      <c r="O688" s="376"/>
      <c r="P688" s="376"/>
      <c r="Q688" s="979">
        <v>0</v>
      </c>
      <c r="R688" s="978">
        <v>0</v>
      </c>
      <c r="S688" s="370"/>
      <c r="T688" s="368">
        <v>30</v>
      </c>
      <c r="U688" s="368"/>
      <c r="V688" s="368"/>
      <c r="W688" s="368">
        <v>1.1000000000000001</v>
      </c>
      <c r="X688" s="368"/>
      <c r="Y688" s="368"/>
      <c r="Z688" s="368"/>
      <c r="AA688" s="368"/>
      <c r="AB688" s="368"/>
      <c r="AC688" s="368" t="s">
        <v>2963</v>
      </c>
      <c r="AD688" s="368"/>
      <c r="AE688" s="368"/>
      <c r="AF688" s="374">
        <v>100</v>
      </c>
      <c r="AG688" s="377">
        <v>27974.592000000001</v>
      </c>
      <c r="AH688" s="979">
        <v>1460</v>
      </c>
      <c r="AI688" s="978">
        <v>-5257</v>
      </c>
      <c r="AJ688" s="374"/>
      <c r="AK688" s="374"/>
      <c r="AL688" s="374"/>
      <c r="AM688" s="374" t="s">
        <v>2021</v>
      </c>
      <c r="AN688" s="379">
        <v>5.25</v>
      </c>
      <c r="AO688" s="379"/>
      <c r="AP688" s="379"/>
      <c r="AQ688" s="379"/>
      <c r="AR688" s="379"/>
      <c r="AS688" s="379"/>
      <c r="AT688" s="379">
        <f>+ab($T$688,$T$686,$T$690,$G$687,$G$689,-1*$F$688,1200)</f>
        <v>7.9442083933778509</v>
      </c>
      <c r="AU688" s="379"/>
      <c r="AV688" s="379"/>
      <c r="AW688" s="374" t="s">
        <v>699</v>
      </c>
      <c r="AX688" s="374" t="s">
        <v>699</v>
      </c>
      <c r="AY688" s="374" t="s">
        <v>699</v>
      </c>
      <c r="AZ688" s="374" t="s">
        <v>699</v>
      </c>
      <c r="BA688" s="374"/>
      <c r="BB688" s="306"/>
    </row>
    <row r="689" spans="1:54" ht="14.25">
      <c r="A689" s="378"/>
      <c r="B689" s="410"/>
      <c r="C689" s="377"/>
      <c r="D689" s="374"/>
      <c r="E689" s="374"/>
      <c r="F689" s="407"/>
      <c r="G689" s="408">
        <v>50</v>
      </c>
      <c r="H689" s="376"/>
      <c r="I689" s="376"/>
      <c r="J689" s="409"/>
      <c r="K689" s="374"/>
      <c r="L689" s="374"/>
      <c r="M689" s="374"/>
      <c r="N689" s="376"/>
      <c r="O689" s="376"/>
      <c r="P689" s="376"/>
      <c r="Q689" s="979"/>
      <c r="R689" s="454"/>
      <c r="S689" s="370">
        <f>+AG690-AG688</f>
        <v>50.006999999997788</v>
      </c>
      <c r="T689" s="368"/>
      <c r="U689" s="368"/>
      <c r="V689" s="368"/>
      <c r="W689" s="368"/>
      <c r="X689" s="368"/>
      <c r="Y689" s="368"/>
      <c r="Z689" s="368"/>
      <c r="AA689" s="368"/>
      <c r="AB689" s="368"/>
      <c r="AC689" s="368"/>
      <c r="AD689" s="368"/>
      <c r="AE689" s="368"/>
      <c r="AF689" s="374"/>
      <c r="AG689" s="377"/>
      <c r="AH689" s="979" t="s">
        <v>695</v>
      </c>
      <c r="AI689" s="978" t="s">
        <v>695</v>
      </c>
      <c r="AJ689" s="374"/>
      <c r="AK689" s="374"/>
      <c r="AL689" s="374"/>
      <c r="AM689" s="374"/>
      <c r="AN689" s="379"/>
      <c r="AO689" s="379"/>
      <c r="AP689" s="379"/>
      <c r="AQ689" s="379">
        <f>+FL_2($T$690,$T$688,$G$689,1200,9.28,-1*$F$690)</f>
        <v>-0.33477011200000001</v>
      </c>
      <c r="AR689" s="379"/>
      <c r="AS689" s="379"/>
      <c r="AT689" s="379"/>
      <c r="AU689" s="379"/>
      <c r="AV689" s="379"/>
      <c r="AW689" s="374"/>
      <c r="AX689" s="374"/>
      <c r="AY689" s="374"/>
      <c r="AZ689" s="374"/>
      <c r="BA689" s="374"/>
      <c r="BB689" s="306"/>
    </row>
    <row r="690" spans="1:54" ht="14.25">
      <c r="A690" s="378" t="s">
        <v>1781</v>
      </c>
      <c r="B690" s="410" t="s">
        <v>1799</v>
      </c>
      <c r="C690" s="377">
        <f>+$C$688+$G$689</f>
        <v>28025</v>
      </c>
      <c r="D690" s="374"/>
      <c r="E690" s="374"/>
      <c r="F690" s="407">
        <v>0</v>
      </c>
      <c r="G690" s="408"/>
      <c r="H690" s="376"/>
      <c r="I690" s="375"/>
      <c r="J690" s="409"/>
      <c r="K690" s="374"/>
      <c r="L690" s="374" t="s">
        <v>239</v>
      </c>
      <c r="M690" s="374"/>
      <c r="N690" s="376" t="s">
        <v>673</v>
      </c>
      <c r="O690" s="376"/>
      <c r="P690" s="376"/>
      <c r="Q690" s="979">
        <v>0</v>
      </c>
      <c r="R690" s="978">
        <v>0</v>
      </c>
      <c r="S690" s="370"/>
      <c r="T690" s="368">
        <v>-30</v>
      </c>
      <c r="U690" s="368"/>
      <c r="V690" s="368"/>
      <c r="W690" s="368">
        <v>1.1000000000000001</v>
      </c>
      <c r="X690" s="368"/>
      <c r="Y690" s="368"/>
      <c r="Z690" s="368"/>
      <c r="AA690" s="368"/>
      <c r="AB690" s="368"/>
      <c r="AC690" s="368" t="s">
        <v>2972</v>
      </c>
      <c r="AD690" s="368"/>
      <c r="AE690" s="368"/>
      <c r="AF690" s="374">
        <v>100</v>
      </c>
      <c r="AG690" s="377">
        <v>28024.598999999998</v>
      </c>
      <c r="AH690" s="979">
        <v>1414</v>
      </c>
      <c r="AI690" s="978">
        <v>-5248</v>
      </c>
      <c r="AJ690" s="374"/>
      <c r="AK690" s="374"/>
      <c r="AL690" s="374"/>
      <c r="AM690" s="374" t="s">
        <v>2021</v>
      </c>
      <c r="AN690" s="379">
        <v>5.25</v>
      </c>
      <c r="AO690" s="379"/>
      <c r="AP690" s="379"/>
      <c r="AQ690" s="379"/>
      <c r="AR690" s="379"/>
      <c r="AS690" s="379"/>
      <c r="AT690" s="379">
        <f>+ab($T$690,$T$688,$T$692,$G$689,$G$691,-1*$F$690,1200)</f>
        <v>-7.9442410717051439</v>
      </c>
      <c r="AU690" s="379"/>
      <c r="AV690" s="379"/>
      <c r="AW690" s="374" t="s">
        <v>699</v>
      </c>
      <c r="AX690" s="374" t="s">
        <v>699</v>
      </c>
      <c r="AY690" s="374" t="s">
        <v>699</v>
      </c>
      <c r="AZ690" s="374" t="s">
        <v>699</v>
      </c>
      <c r="BA690" s="374"/>
      <c r="BB690" s="306"/>
    </row>
    <row r="691" spans="1:54" ht="14.25">
      <c r="A691" s="378"/>
      <c r="B691" s="410"/>
      <c r="C691" s="377"/>
      <c r="D691" s="374"/>
      <c r="E691" s="374"/>
      <c r="F691" s="407"/>
      <c r="G691" s="408">
        <v>50</v>
      </c>
      <c r="H691" s="376"/>
      <c r="I691" s="376"/>
      <c r="J691" s="409"/>
      <c r="K691" s="374"/>
      <c r="L691" s="374"/>
      <c r="M691" s="374"/>
      <c r="N691" s="376"/>
      <c r="O691" s="376"/>
      <c r="P691" s="376"/>
      <c r="Q691" s="979"/>
      <c r="R691" s="454"/>
      <c r="S691" s="370">
        <f>+AG692-AG690</f>
        <v>50.038000000000466</v>
      </c>
      <c r="T691" s="368"/>
      <c r="U691" s="368"/>
      <c r="V691" s="368"/>
      <c r="W691" s="368"/>
      <c r="X691" s="368"/>
      <c r="Y691" s="368"/>
      <c r="Z691" s="368"/>
      <c r="AA691" s="368"/>
      <c r="AB691" s="368"/>
      <c r="AC691" s="368"/>
      <c r="AD691" s="368"/>
      <c r="AE691" s="368"/>
      <c r="AF691" s="374"/>
      <c r="AG691" s="377"/>
      <c r="AH691" s="979" t="s">
        <v>695</v>
      </c>
      <c r="AI691" s="978" t="s">
        <v>695</v>
      </c>
      <c r="AJ691" s="374"/>
      <c r="AK691" s="374"/>
      <c r="AL691" s="374"/>
      <c r="AM691" s="374"/>
      <c r="AN691" s="379"/>
      <c r="AO691" s="379"/>
      <c r="AP691" s="379"/>
      <c r="AQ691" s="379">
        <f>+FL_1($T$692,$T$690,$G$691,1200,9.28,-1*$F$692)</f>
        <v>0.33477011200000001</v>
      </c>
      <c r="AR691" s="379"/>
      <c r="AS691" s="379"/>
      <c r="AT691" s="379"/>
      <c r="AU691" s="379"/>
      <c r="AV691" s="379"/>
      <c r="AW691" s="374"/>
      <c r="AX691" s="374"/>
      <c r="AY691" s="374"/>
      <c r="AZ691" s="374"/>
      <c r="BA691" s="374"/>
      <c r="BB691" s="306"/>
    </row>
    <row r="692" spans="1:54" ht="14.25">
      <c r="A692" s="378" t="s">
        <v>1781</v>
      </c>
      <c r="B692" s="410" t="s">
        <v>1800</v>
      </c>
      <c r="C692" s="377">
        <f>+$C$690+$G$691</f>
        <v>28075</v>
      </c>
      <c r="D692" s="374"/>
      <c r="E692" s="374"/>
      <c r="F692" s="407">
        <v>0</v>
      </c>
      <c r="G692" s="408"/>
      <c r="H692" s="376"/>
      <c r="I692" s="376"/>
      <c r="J692" s="409"/>
      <c r="K692" s="374"/>
      <c r="L692" s="374" t="s">
        <v>239</v>
      </c>
      <c r="M692" s="374"/>
      <c r="N692" s="376" t="s">
        <v>674</v>
      </c>
      <c r="O692" s="376"/>
      <c r="P692" s="376"/>
      <c r="Q692" s="979">
        <v>0</v>
      </c>
      <c r="R692" s="978">
        <v>0</v>
      </c>
      <c r="S692" s="370"/>
      <c r="T692" s="368">
        <v>30</v>
      </c>
      <c r="U692" s="368"/>
      <c r="V692" s="368"/>
      <c r="W692" s="368">
        <v>1.1000000000000001</v>
      </c>
      <c r="X692" s="368"/>
      <c r="Y692" s="368"/>
      <c r="Z692" s="368"/>
      <c r="AA692" s="368"/>
      <c r="AB692" s="368"/>
      <c r="AC692" s="368" t="s">
        <v>2963</v>
      </c>
      <c r="AD692" s="368"/>
      <c r="AE692" s="368"/>
      <c r="AF692" s="374">
        <v>100</v>
      </c>
      <c r="AG692" s="377">
        <v>28074.636999999999</v>
      </c>
      <c r="AH692" s="979">
        <v>1466</v>
      </c>
      <c r="AI692" s="978">
        <v>-5254</v>
      </c>
      <c r="AJ692" s="374"/>
      <c r="AK692" s="374"/>
      <c r="AL692" s="374"/>
      <c r="AM692" s="374" t="s">
        <v>2021</v>
      </c>
      <c r="AN692" s="379">
        <v>5.25</v>
      </c>
      <c r="AO692" s="379"/>
      <c r="AP692" s="379"/>
      <c r="AQ692" s="379"/>
      <c r="AR692" s="379"/>
      <c r="AS692" s="379"/>
      <c r="AT692" s="379">
        <f>+ab($T$692,$T$690,$T$694,$G$691,$G$693,-1*$F$692,1200)</f>
        <v>7.9442083933778509</v>
      </c>
      <c r="AU692" s="379"/>
      <c r="AV692" s="379"/>
      <c r="AW692" s="374" t="s">
        <v>699</v>
      </c>
      <c r="AX692" s="374" t="s">
        <v>699</v>
      </c>
      <c r="AY692" s="374" t="s">
        <v>699</v>
      </c>
      <c r="AZ692" s="374" t="s">
        <v>699</v>
      </c>
      <c r="BA692" s="374"/>
      <c r="BB692" s="306"/>
    </row>
    <row r="693" spans="1:54" ht="14.25">
      <c r="A693" s="378"/>
      <c r="B693" s="410"/>
      <c r="C693" s="377"/>
      <c r="D693" s="374"/>
      <c r="E693" s="374"/>
      <c r="F693" s="407"/>
      <c r="G693" s="408">
        <v>50</v>
      </c>
      <c r="H693" s="376"/>
      <c r="I693" s="375"/>
      <c r="J693" s="409"/>
      <c r="K693" s="374"/>
      <c r="L693" s="374"/>
      <c r="M693" s="374"/>
      <c r="N693" s="376"/>
      <c r="O693" s="376"/>
      <c r="P693" s="376"/>
      <c r="Q693" s="979"/>
      <c r="R693" s="454"/>
      <c r="S693" s="370">
        <f>+AG694-AG692</f>
        <v>50.125</v>
      </c>
      <c r="T693" s="368"/>
      <c r="U693" s="368"/>
      <c r="V693" s="368"/>
      <c r="W693" s="368"/>
      <c r="X693" s="368"/>
      <c r="Y693" s="368"/>
      <c r="Z693" s="368"/>
      <c r="AA693" s="368"/>
      <c r="AB693" s="368"/>
      <c r="AC693" s="368"/>
      <c r="AD693" s="368"/>
      <c r="AE693" s="368"/>
      <c r="AF693" s="374"/>
      <c r="AG693" s="377"/>
      <c r="AH693" s="979" t="s">
        <v>695</v>
      </c>
      <c r="AI693" s="978" t="s">
        <v>695</v>
      </c>
      <c r="AJ693" s="374"/>
      <c r="AK693" s="374"/>
      <c r="AL693" s="374"/>
      <c r="AM693" s="374"/>
      <c r="AN693" s="379"/>
      <c r="AO693" s="379"/>
      <c r="AP693" s="379"/>
      <c r="AQ693" s="379">
        <f>+FL_2($T$694,$T$692,$G$693,1200,9.28,-1*$F$694)</f>
        <v>-0.33477011200000001</v>
      </c>
      <c r="AR693" s="379"/>
      <c r="AS693" s="379"/>
      <c r="AT693" s="379"/>
      <c r="AU693" s="379"/>
      <c r="AV693" s="379"/>
      <c r="AW693" s="374"/>
      <c r="AX693" s="374"/>
      <c r="AY693" s="374"/>
      <c r="AZ693" s="374"/>
      <c r="BA693" s="374"/>
      <c r="BB693" s="306"/>
    </row>
    <row r="694" spans="1:54" ht="14.25">
      <c r="A694" s="378" t="s">
        <v>1781</v>
      </c>
      <c r="B694" s="410" t="s">
        <v>1801</v>
      </c>
      <c r="C694" s="377">
        <f>+$C$692+$G$693</f>
        <v>28125</v>
      </c>
      <c r="D694" s="374"/>
      <c r="E694" s="374"/>
      <c r="F694" s="407">
        <v>0</v>
      </c>
      <c r="G694" s="408"/>
      <c r="H694" s="376"/>
      <c r="I694" s="376"/>
      <c r="J694" s="409"/>
      <c r="K694" s="374"/>
      <c r="L694" s="374" t="s">
        <v>239</v>
      </c>
      <c r="M694" s="374"/>
      <c r="N694" s="376" t="s">
        <v>673</v>
      </c>
      <c r="O694" s="376"/>
      <c r="P694" s="376"/>
      <c r="Q694" s="979">
        <v>0</v>
      </c>
      <c r="R694" s="978">
        <v>0</v>
      </c>
      <c r="S694" s="370"/>
      <c r="T694" s="368">
        <v>-30</v>
      </c>
      <c r="U694" s="368"/>
      <c r="V694" s="368"/>
      <c r="W694" s="368">
        <v>1.1000000000000001</v>
      </c>
      <c r="X694" s="368"/>
      <c r="Y694" s="368"/>
      <c r="Z694" s="368"/>
      <c r="AA694" s="368"/>
      <c r="AB694" s="368"/>
      <c r="AC694" s="368" t="s">
        <v>2972</v>
      </c>
      <c r="AD694" s="368"/>
      <c r="AE694" s="368"/>
      <c r="AF694" s="374">
        <v>100</v>
      </c>
      <c r="AG694" s="377">
        <v>28124.761999999999</v>
      </c>
      <c r="AH694" s="979">
        <v>1485</v>
      </c>
      <c r="AI694" s="978">
        <v>-5244</v>
      </c>
      <c r="AJ694" s="374"/>
      <c r="AK694" s="374"/>
      <c r="AL694" s="374"/>
      <c r="AM694" s="374" t="s">
        <v>2021</v>
      </c>
      <c r="AN694" s="379">
        <v>5.25</v>
      </c>
      <c r="AO694" s="379"/>
      <c r="AP694" s="379"/>
      <c r="AQ694" s="379"/>
      <c r="AR694" s="379"/>
      <c r="AS694" s="379"/>
      <c r="AT694" s="379">
        <f>+ab($T$694,$T$692,$T$696,$G$693,$G$695,-1*$F$694,1200)</f>
        <v>-7.9442410717051439</v>
      </c>
      <c r="AU694" s="379"/>
      <c r="AV694" s="379"/>
      <c r="AW694" s="374" t="s">
        <v>699</v>
      </c>
      <c r="AX694" s="374" t="s">
        <v>699</v>
      </c>
      <c r="AY694" s="374" t="s">
        <v>699</v>
      </c>
      <c r="AZ694" s="374" t="s">
        <v>699</v>
      </c>
      <c r="BA694" s="374"/>
      <c r="BB694" s="306"/>
    </row>
    <row r="695" spans="1:54" ht="14.25">
      <c r="A695" s="378"/>
      <c r="B695" s="410"/>
      <c r="C695" s="377"/>
      <c r="D695" s="374"/>
      <c r="E695" s="374"/>
      <c r="F695" s="407"/>
      <c r="G695" s="408">
        <v>50</v>
      </c>
      <c r="H695" s="376"/>
      <c r="I695" s="375"/>
      <c r="J695" s="409"/>
      <c r="K695" s="374"/>
      <c r="L695" s="374"/>
      <c r="M695" s="374"/>
      <c r="N695" s="376"/>
      <c r="O695" s="376"/>
      <c r="P695" s="376"/>
      <c r="Q695" s="979"/>
      <c r="R695" s="454"/>
      <c r="S695" s="370">
        <f>+AG696-AG694</f>
        <v>49.985000000000582</v>
      </c>
      <c r="T695" s="368"/>
      <c r="U695" s="368"/>
      <c r="V695" s="368"/>
      <c r="W695" s="368"/>
      <c r="X695" s="368"/>
      <c r="Y695" s="368"/>
      <c r="Z695" s="368"/>
      <c r="AA695" s="368"/>
      <c r="AB695" s="368"/>
      <c r="AC695" s="368"/>
      <c r="AD695" s="368"/>
      <c r="AE695" s="368"/>
      <c r="AF695" s="374"/>
      <c r="AG695" s="377"/>
      <c r="AH695" s="979" t="s">
        <v>695</v>
      </c>
      <c r="AI695" s="978" t="s">
        <v>695</v>
      </c>
      <c r="AJ695" s="374"/>
      <c r="AK695" s="374"/>
      <c r="AL695" s="374"/>
      <c r="AM695" s="374"/>
      <c r="AN695" s="379"/>
      <c r="AO695" s="379"/>
      <c r="AP695" s="379"/>
      <c r="AQ695" s="379">
        <f>+FL_1($T$696,$T$694,$G$695,1200,9.28,-1*$F$696)</f>
        <v>0.33477011200000001</v>
      </c>
      <c r="AR695" s="379"/>
      <c r="AS695" s="379"/>
      <c r="AT695" s="379"/>
      <c r="AU695" s="379"/>
      <c r="AV695" s="379"/>
      <c r="AW695" s="374"/>
      <c r="AX695" s="374"/>
      <c r="AY695" s="374"/>
      <c r="AZ695" s="374"/>
      <c r="BA695" s="374"/>
      <c r="BB695" s="306"/>
    </row>
    <row r="696" spans="1:54" ht="14.25">
      <c r="A696" s="378" t="s">
        <v>1781</v>
      </c>
      <c r="B696" s="410" t="s">
        <v>1802</v>
      </c>
      <c r="C696" s="377">
        <f>+$C$694+$G$695</f>
        <v>28175</v>
      </c>
      <c r="D696" s="374"/>
      <c r="E696" s="374"/>
      <c r="F696" s="407">
        <v>0</v>
      </c>
      <c r="G696" s="408"/>
      <c r="H696" s="376" t="s">
        <v>1059</v>
      </c>
      <c r="I696" s="376"/>
      <c r="J696" s="409"/>
      <c r="K696" s="374"/>
      <c r="L696" s="374" t="s">
        <v>239</v>
      </c>
      <c r="M696" s="374"/>
      <c r="N696" s="376" t="s">
        <v>674</v>
      </c>
      <c r="O696" s="376"/>
      <c r="P696" s="376"/>
      <c r="Q696" s="979">
        <v>0</v>
      </c>
      <c r="R696" s="978">
        <v>0</v>
      </c>
      <c r="S696" s="370"/>
      <c r="T696" s="368">
        <v>30</v>
      </c>
      <c r="U696" s="368"/>
      <c r="V696" s="368"/>
      <c r="W696" s="368">
        <v>1.1000000000000001</v>
      </c>
      <c r="X696" s="368"/>
      <c r="Y696" s="368"/>
      <c r="Z696" s="368"/>
      <c r="AA696" s="368"/>
      <c r="AB696" s="368"/>
      <c r="AC696" s="368" t="s">
        <v>2963</v>
      </c>
      <c r="AD696" s="368"/>
      <c r="AE696" s="368"/>
      <c r="AF696" s="374">
        <v>100</v>
      </c>
      <c r="AG696" s="377">
        <v>28174.746999999999</v>
      </c>
      <c r="AH696" s="979">
        <v>1470</v>
      </c>
      <c r="AI696" s="978">
        <v>-5260</v>
      </c>
      <c r="AJ696" s="374"/>
      <c r="AK696" s="374"/>
      <c r="AL696" s="374"/>
      <c r="AM696" s="374" t="s">
        <v>2021</v>
      </c>
      <c r="AN696" s="379">
        <v>5.25</v>
      </c>
      <c r="AO696" s="379"/>
      <c r="AP696" s="379"/>
      <c r="AQ696" s="379"/>
      <c r="AR696" s="379"/>
      <c r="AS696" s="379"/>
      <c r="AT696" s="379">
        <f>+ab($T$696,$T$694,$T$698,$G$695,$G$697,-1*$F$696,1200)</f>
        <v>7.9442083933778509</v>
      </c>
      <c r="AU696" s="379"/>
      <c r="AV696" s="379"/>
      <c r="AW696" s="374" t="s">
        <v>699</v>
      </c>
      <c r="AX696" s="374" t="s">
        <v>699</v>
      </c>
      <c r="AY696" s="374" t="s">
        <v>699</v>
      </c>
      <c r="AZ696" s="374" t="s">
        <v>699</v>
      </c>
      <c r="BA696" s="374"/>
      <c r="BB696" s="306"/>
    </row>
    <row r="697" spans="1:54" ht="14.25">
      <c r="A697" s="378"/>
      <c r="B697" s="410"/>
      <c r="C697" s="377"/>
      <c r="D697" s="374"/>
      <c r="E697" s="374"/>
      <c r="F697" s="407"/>
      <c r="G697" s="408">
        <v>50</v>
      </c>
      <c r="H697" s="376"/>
      <c r="I697" s="375">
        <f>SUM(G679:G697)</f>
        <v>500</v>
      </c>
      <c r="J697" s="409">
        <f>C696+10</f>
        <v>28185</v>
      </c>
      <c r="K697" s="374" t="s">
        <v>1060</v>
      </c>
      <c r="L697" s="374"/>
      <c r="M697" s="374"/>
      <c r="N697" s="376"/>
      <c r="O697" s="376"/>
      <c r="P697" s="376"/>
      <c r="Q697" s="979"/>
      <c r="R697" s="454"/>
      <c r="S697" s="370">
        <f>+AG698-AG696</f>
        <v>50.222000000001572</v>
      </c>
      <c r="T697" s="368"/>
      <c r="U697" s="368"/>
      <c r="V697" s="368"/>
      <c r="W697" s="368"/>
      <c r="X697" s="368"/>
      <c r="Y697" s="368"/>
      <c r="Z697" s="368"/>
      <c r="AA697" s="368"/>
      <c r="AB697" s="368"/>
      <c r="AC697" s="368"/>
      <c r="AD697" s="368"/>
      <c r="AE697" s="368"/>
      <c r="AF697" s="374"/>
      <c r="AG697" s="377"/>
      <c r="AH697" s="979" t="s">
        <v>695</v>
      </c>
      <c r="AI697" s="978" t="s">
        <v>695</v>
      </c>
      <c r="AJ697" s="374"/>
      <c r="AK697" s="374"/>
      <c r="AL697" s="374"/>
      <c r="AM697" s="374"/>
      <c r="AN697" s="379"/>
      <c r="AO697" s="379"/>
      <c r="AP697" s="379"/>
      <c r="AQ697" s="379">
        <f>+FL_2($T$698,$T$696,$G$697,1200,9.28,-1*$F$698)</f>
        <v>-0.33477011200000001</v>
      </c>
      <c r="AR697" s="379"/>
      <c r="AS697" s="379"/>
      <c r="AT697" s="379"/>
      <c r="AU697" s="379"/>
      <c r="AV697" s="379"/>
      <c r="AW697" s="374"/>
      <c r="AX697" s="374"/>
      <c r="AY697" s="374"/>
      <c r="AZ697" s="374"/>
      <c r="BA697" s="374"/>
      <c r="BB697" s="306"/>
    </row>
    <row r="698" spans="1:54" ht="14.25">
      <c r="A698" s="378" t="s">
        <v>1781</v>
      </c>
      <c r="B698" s="410" t="s">
        <v>1803</v>
      </c>
      <c r="C698" s="377">
        <f>+$C$696+$G$697</f>
        <v>28225</v>
      </c>
      <c r="D698" s="374"/>
      <c r="E698" s="374"/>
      <c r="F698" s="407">
        <v>0</v>
      </c>
      <c r="G698" s="408"/>
      <c r="H698" s="376" t="s">
        <v>956</v>
      </c>
      <c r="I698" s="376"/>
      <c r="J698" s="409"/>
      <c r="K698" s="374"/>
      <c r="L698" s="374" t="s">
        <v>239</v>
      </c>
      <c r="M698" s="374"/>
      <c r="N698" s="376" t="s">
        <v>673</v>
      </c>
      <c r="O698" s="376"/>
      <c r="P698" s="376"/>
      <c r="Q698" s="979">
        <v>0</v>
      </c>
      <c r="R698" s="978">
        <v>0</v>
      </c>
      <c r="S698" s="370"/>
      <c r="T698" s="368">
        <v>-30</v>
      </c>
      <c r="U698" s="368"/>
      <c r="V698" s="368"/>
      <c r="W698" s="368">
        <v>1.1000000000000001</v>
      </c>
      <c r="X698" s="368"/>
      <c r="Y698" s="368"/>
      <c r="Z698" s="368"/>
      <c r="AA698" s="368"/>
      <c r="AB698" s="368"/>
      <c r="AC698" s="368" t="s">
        <v>2963</v>
      </c>
      <c r="AD698" s="368"/>
      <c r="AE698" s="368"/>
      <c r="AF698" s="374">
        <v>100</v>
      </c>
      <c r="AG698" s="377">
        <v>28224.969000000001</v>
      </c>
      <c r="AH698" s="979">
        <v>1534</v>
      </c>
      <c r="AI698" s="978">
        <v>-5270</v>
      </c>
      <c r="AJ698" s="374"/>
      <c r="AK698" s="374"/>
      <c r="AL698" s="374"/>
      <c r="AM698" s="374" t="s">
        <v>2021</v>
      </c>
      <c r="AN698" s="379">
        <v>5.25</v>
      </c>
      <c r="AO698" s="379"/>
      <c r="AP698" s="379"/>
      <c r="AQ698" s="379"/>
      <c r="AR698" s="379"/>
      <c r="AS698" s="379"/>
      <c r="AT698" s="379">
        <f>+ab($T$698,$T$696,$T$700,$G$697,$G$699,-1*$F$698,1200)</f>
        <v>-7.9442410717051439</v>
      </c>
      <c r="AU698" s="379"/>
      <c r="AV698" s="379"/>
      <c r="AW698" s="374" t="s">
        <v>699</v>
      </c>
      <c r="AX698" s="374" t="s">
        <v>699</v>
      </c>
      <c r="AY698" s="374" t="s">
        <v>699</v>
      </c>
      <c r="AZ698" s="374" t="s">
        <v>699</v>
      </c>
      <c r="BA698" s="374"/>
      <c r="BB698" s="306"/>
    </row>
    <row r="699" spans="1:54" ht="14.25">
      <c r="A699" s="378"/>
      <c r="B699" s="410"/>
      <c r="C699" s="377"/>
      <c r="D699" s="374"/>
      <c r="E699" s="374"/>
      <c r="F699" s="407"/>
      <c r="G699" s="408">
        <v>50</v>
      </c>
      <c r="H699" s="376"/>
      <c r="I699" s="375">
        <f>SUM(G699:G715)</f>
        <v>450</v>
      </c>
      <c r="J699" s="409">
        <f>C700-10</f>
        <v>28265</v>
      </c>
      <c r="K699" s="374" t="s">
        <v>1060</v>
      </c>
      <c r="L699" s="374"/>
      <c r="M699" s="374"/>
      <c r="N699" s="376"/>
      <c r="O699" s="376"/>
      <c r="P699" s="376"/>
      <c r="Q699" s="979"/>
      <c r="R699" s="454"/>
      <c r="S699" s="370">
        <f>+AG700-AG698</f>
        <v>50.059999999997672</v>
      </c>
      <c r="T699" s="368"/>
      <c r="U699" s="368"/>
      <c r="V699" s="368"/>
      <c r="W699" s="368"/>
      <c r="X699" s="368"/>
      <c r="Y699" s="368"/>
      <c r="Z699" s="368"/>
      <c r="AA699" s="368"/>
      <c r="AB699" s="368"/>
      <c r="AC699" s="368"/>
      <c r="AD699" s="368"/>
      <c r="AE699" s="368"/>
      <c r="AF699" s="374"/>
      <c r="AG699" s="377"/>
      <c r="AH699" s="979" t="s">
        <v>695</v>
      </c>
      <c r="AI699" s="978" t="s">
        <v>695</v>
      </c>
      <c r="AJ699" s="374"/>
      <c r="AK699" s="374"/>
      <c r="AL699" s="374"/>
      <c r="AM699" s="374"/>
      <c r="AN699" s="379"/>
      <c r="AO699" s="379"/>
      <c r="AP699" s="379"/>
      <c r="AQ699" s="379">
        <f>+FL_1($T$700,$T$698,$G$699,1200,9.28,-1*$F$700)</f>
        <v>0.33477011200000001</v>
      </c>
      <c r="AR699" s="379"/>
      <c r="AS699" s="379"/>
      <c r="AT699" s="379"/>
      <c r="AU699" s="379"/>
      <c r="AV699" s="379"/>
      <c r="AW699" s="374"/>
      <c r="AX699" s="374"/>
      <c r="AY699" s="374"/>
      <c r="AZ699" s="374"/>
      <c r="BA699" s="374"/>
      <c r="BB699" s="306"/>
    </row>
    <row r="700" spans="1:54" ht="14.25">
      <c r="A700" s="378" t="s">
        <v>1781</v>
      </c>
      <c r="B700" s="410" t="s">
        <v>1804</v>
      </c>
      <c r="C700" s="377">
        <f>+$C$698+$G$699</f>
        <v>28275</v>
      </c>
      <c r="D700" s="374"/>
      <c r="E700" s="374"/>
      <c r="F700" s="407">
        <v>0</v>
      </c>
      <c r="G700" s="408"/>
      <c r="H700" s="376" t="s">
        <v>1059</v>
      </c>
      <c r="I700" s="376"/>
      <c r="J700" s="409"/>
      <c r="K700" s="374"/>
      <c r="L700" s="374" t="s">
        <v>239</v>
      </c>
      <c r="M700" s="374"/>
      <c r="N700" s="376" t="s">
        <v>674</v>
      </c>
      <c r="O700" s="376"/>
      <c r="P700" s="376"/>
      <c r="Q700" s="979">
        <v>0</v>
      </c>
      <c r="R700" s="978">
        <v>0</v>
      </c>
      <c r="S700" s="370"/>
      <c r="T700" s="368">
        <v>30</v>
      </c>
      <c r="U700" s="368"/>
      <c r="V700" s="368"/>
      <c r="W700" s="368">
        <v>1.1000000000000001</v>
      </c>
      <c r="X700" s="368"/>
      <c r="Y700" s="368"/>
      <c r="Z700" s="368"/>
      <c r="AA700" s="368"/>
      <c r="AB700" s="368"/>
      <c r="AC700" s="368" t="s">
        <v>2963</v>
      </c>
      <c r="AD700" s="368"/>
      <c r="AE700" s="368"/>
      <c r="AF700" s="374">
        <v>100</v>
      </c>
      <c r="AG700" s="377">
        <v>28275.028999999999</v>
      </c>
      <c r="AH700" s="979">
        <v>1493</v>
      </c>
      <c r="AI700" s="978">
        <v>-5246</v>
      </c>
      <c r="AJ700" s="374"/>
      <c r="AK700" s="374"/>
      <c r="AL700" s="374"/>
      <c r="AM700" s="374" t="s">
        <v>2021</v>
      </c>
      <c r="AN700" s="379">
        <v>5.25</v>
      </c>
      <c r="AO700" s="379"/>
      <c r="AP700" s="379"/>
      <c r="AQ700" s="379"/>
      <c r="AR700" s="379"/>
      <c r="AS700" s="379"/>
      <c r="AT700" s="379">
        <f>+ab($T$700,$T$698,$T$702,$G$699,$G$701,-1*$F$700,1200)</f>
        <v>7.9442083933778509</v>
      </c>
      <c r="AU700" s="379"/>
      <c r="AV700" s="379"/>
      <c r="AW700" s="374" t="s">
        <v>699</v>
      </c>
      <c r="AX700" s="374" t="s">
        <v>699</v>
      </c>
      <c r="AY700" s="374" t="s">
        <v>699</v>
      </c>
      <c r="AZ700" s="374" t="s">
        <v>699</v>
      </c>
      <c r="BA700" s="374"/>
      <c r="BB700" s="306"/>
    </row>
    <row r="701" spans="1:54" ht="14.25">
      <c r="A701" s="378"/>
      <c r="B701" s="410"/>
      <c r="C701" s="377"/>
      <c r="D701" s="374"/>
      <c r="E701" s="374"/>
      <c r="F701" s="407"/>
      <c r="G701" s="408">
        <v>50</v>
      </c>
      <c r="H701" s="376"/>
      <c r="I701" s="376"/>
      <c r="J701" s="409"/>
      <c r="K701" s="374"/>
      <c r="L701" s="374"/>
      <c r="M701" s="374"/>
      <c r="N701" s="376"/>
      <c r="O701" s="376"/>
      <c r="P701" s="376"/>
      <c r="Q701" s="979"/>
      <c r="R701" s="454"/>
      <c r="S701" s="370">
        <f>+AG702-AG700</f>
        <v>49.991000000001804</v>
      </c>
      <c r="T701" s="368"/>
      <c r="U701" s="368"/>
      <c r="V701" s="368"/>
      <c r="W701" s="368"/>
      <c r="X701" s="368"/>
      <c r="Y701" s="368"/>
      <c r="Z701" s="368"/>
      <c r="AA701" s="368"/>
      <c r="AB701" s="368"/>
      <c r="AC701" s="368"/>
      <c r="AD701" s="368"/>
      <c r="AE701" s="368"/>
      <c r="AF701" s="374"/>
      <c r="AG701" s="377"/>
      <c r="AH701" s="979" t="s">
        <v>695</v>
      </c>
      <c r="AI701" s="978" t="s">
        <v>695</v>
      </c>
      <c r="AJ701" s="374"/>
      <c r="AK701" s="374"/>
      <c r="AL701" s="374"/>
      <c r="AM701" s="374"/>
      <c r="AN701" s="379"/>
      <c r="AO701" s="379"/>
      <c r="AP701" s="379"/>
      <c r="AQ701" s="379">
        <f>+FL_2($T$702,$T$700,$G$701,1200,9.28,-1*$F$702)</f>
        <v>-0.33477011200000001</v>
      </c>
      <c r="AR701" s="379"/>
      <c r="AS701" s="379"/>
      <c r="AT701" s="379"/>
      <c r="AU701" s="379"/>
      <c r="AV701" s="379"/>
      <c r="AW701" s="374"/>
      <c r="AX701" s="374"/>
      <c r="AY701" s="374"/>
      <c r="AZ701" s="374"/>
      <c r="BA701" s="374"/>
      <c r="BB701" s="306"/>
    </row>
    <row r="702" spans="1:54" ht="14.25">
      <c r="A702" s="378" t="s">
        <v>1781</v>
      </c>
      <c r="B702" s="410" t="s">
        <v>1805</v>
      </c>
      <c r="C702" s="377">
        <f>+$C$700+$G$701</f>
        <v>28325</v>
      </c>
      <c r="D702" s="374"/>
      <c r="E702" s="374"/>
      <c r="F702" s="407">
        <v>0</v>
      </c>
      <c r="G702" s="408"/>
      <c r="H702" s="376"/>
      <c r="I702" s="376"/>
      <c r="J702" s="409"/>
      <c r="K702" s="374"/>
      <c r="L702" s="374" t="s">
        <v>239</v>
      </c>
      <c r="M702" s="374"/>
      <c r="N702" s="376" t="s">
        <v>673</v>
      </c>
      <c r="O702" s="376"/>
      <c r="P702" s="376"/>
      <c r="Q702" s="979">
        <v>0</v>
      </c>
      <c r="R702" s="978">
        <v>0</v>
      </c>
      <c r="S702" s="370"/>
      <c r="T702" s="368">
        <v>-30</v>
      </c>
      <c r="U702" s="368"/>
      <c r="V702" s="368"/>
      <c r="W702" s="368">
        <v>1.1000000000000001</v>
      </c>
      <c r="X702" s="368"/>
      <c r="Y702" s="368"/>
      <c r="Z702" s="368"/>
      <c r="AA702" s="368"/>
      <c r="AB702" s="368"/>
      <c r="AC702" s="368" t="s">
        <v>2972</v>
      </c>
      <c r="AD702" s="368"/>
      <c r="AE702" s="368"/>
      <c r="AF702" s="374">
        <v>100</v>
      </c>
      <c r="AG702" s="377">
        <v>28325.02</v>
      </c>
      <c r="AH702" s="979">
        <v>1481</v>
      </c>
      <c r="AI702" s="978">
        <v>-5262</v>
      </c>
      <c r="AJ702" s="374"/>
      <c r="AK702" s="374"/>
      <c r="AL702" s="374"/>
      <c r="AM702" s="374" t="s">
        <v>2021</v>
      </c>
      <c r="AN702" s="379">
        <v>5.25</v>
      </c>
      <c r="AO702" s="379"/>
      <c r="AP702" s="379"/>
      <c r="AQ702" s="379"/>
      <c r="AR702" s="379"/>
      <c r="AS702" s="379"/>
      <c r="AT702" s="379">
        <f>+ab($T$702,$T$700,$T$704,$G$701,$G$703,-1*$F$702,1200)</f>
        <v>-7.9442410717051439</v>
      </c>
      <c r="AU702" s="379"/>
      <c r="AV702" s="379"/>
      <c r="AW702" s="374" t="s">
        <v>699</v>
      </c>
      <c r="AX702" s="374" t="s">
        <v>699</v>
      </c>
      <c r="AY702" s="374" t="s">
        <v>699</v>
      </c>
      <c r="AZ702" s="374" t="s">
        <v>699</v>
      </c>
      <c r="BA702" s="374"/>
      <c r="BB702" s="306"/>
    </row>
    <row r="703" spans="1:54" ht="14.25">
      <c r="A703" s="378"/>
      <c r="B703" s="410"/>
      <c r="C703" s="377"/>
      <c r="D703" s="374"/>
      <c r="E703" s="374"/>
      <c r="F703" s="407"/>
      <c r="G703" s="408">
        <v>50</v>
      </c>
      <c r="H703" s="376"/>
      <c r="I703" s="376"/>
      <c r="J703" s="409"/>
      <c r="K703" s="374"/>
      <c r="L703" s="374"/>
      <c r="M703" s="374"/>
      <c r="N703" s="376"/>
      <c r="O703" s="376"/>
      <c r="P703" s="376"/>
      <c r="Q703" s="979"/>
      <c r="R703" s="454"/>
      <c r="S703" s="370">
        <f>+AG704-AG702</f>
        <v>49.980999999999767</v>
      </c>
      <c r="T703" s="368"/>
      <c r="U703" s="368"/>
      <c r="V703" s="368"/>
      <c r="W703" s="368"/>
      <c r="X703" s="368"/>
      <c r="Y703" s="368"/>
      <c r="Z703" s="368"/>
      <c r="AA703" s="368"/>
      <c r="AB703" s="368"/>
      <c r="AC703" s="368"/>
      <c r="AD703" s="368"/>
      <c r="AE703" s="368"/>
      <c r="AF703" s="374"/>
      <c r="AG703" s="377"/>
      <c r="AH703" s="979" t="s">
        <v>695</v>
      </c>
      <c r="AI703" s="978" t="s">
        <v>695</v>
      </c>
      <c r="AJ703" s="374"/>
      <c r="AK703" s="374"/>
      <c r="AL703" s="374"/>
      <c r="AM703" s="374"/>
      <c r="AN703" s="379"/>
      <c r="AO703" s="379"/>
      <c r="AP703" s="379"/>
      <c r="AQ703" s="379">
        <f>+FL_1($T$704,$T$702,$G$703,1200,9.28,-1*$F$704)</f>
        <v>0.33477011200000001</v>
      </c>
      <c r="AR703" s="379"/>
      <c r="AS703" s="379"/>
      <c r="AT703" s="379"/>
      <c r="AU703" s="379"/>
      <c r="AV703" s="379"/>
      <c r="AW703" s="374"/>
      <c r="AX703" s="374"/>
      <c r="AY703" s="374"/>
      <c r="AZ703" s="374"/>
      <c r="BA703" s="374"/>
      <c r="BB703" s="306"/>
    </row>
    <row r="704" spans="1:54" ht="14.25">
      <c r="A704" s="378" t="s">
        <v>1781</v>
      </c>
      <c r="B704" s="410" t="s">
        <v>1806</v>
      </c>
      <c r="C704" s="377">
        <f>+$C$702+$G$703</f>
        <v>28375</v>
      </c>
      <c r="D704" s="374"/>
      <c r="E704" s="374"/>
      <c r="F704" s="407">
        <v>0</v>
      </c>
      <c r="G704" s="408"/>
      <c r="H704" s="376"/>
      <c r="I704" s="376"/>
      <c r="J704" s="409"/>
      <c r="K704" s="374"/>
      <c r="L704" s="374" t="s">
        <v>239</v>
      </c>
      <c r="M704" s="374"/>
      <c r="N704" s="376" t="s">
        <v>674</v>
      </c>
      <c r="O704" s="376"/>
      <c r="P704" s="376"/>
      <c r="Q704" s="979">
        <v>0</v>
      </c>
      <c r="R704" s="978">
        <v>0</v>
      </c>
      <c r="S704" s="370"/>
      <c r="T704" s="368">
        <v>30</v>
      </c>
      <c r="U704" s="368"/>
      <c r="V704" s="368"/>
      <c r="W704" s="368">
        <v>1.1000000000000001</v>
      </c>
      <c r="X704" s="368"/>
      <c r="Y704" s="368"/>
      <c r="Z704" s="368"/>
      <c r="AA704" s="368"/>
      <c r="AB704" s="368"/>
      <c r="AC704" s="368" t="s">
        <v>2963</v>
      </c>
      <c r="AD704" s="368"/>
      <c r="AE704" s="368"/>
      <c r="AF704" s="374">
        <v>100</v>
      </c>
      <c r="AG704" s="377">
        <v>28375.001</v>
      </c>
      <c r="AH704" s="979">
        <v>1478</v>
      </c>
      <c r="AI704" s="978">
        <v>-5244</v>
      </c>
      <c r="AJ704" s="374"/>
      <c r="AK704" s="374"/>
      <c r="AL704" s="374"/>
      <c r="AM704" s="374" t="s">
        <v>2021</v>
      </c>
      <c r="AN704" s="379">
        <v>5.25</v>
      </c>
      <c r="AO704" s="379"/>
      <c r="AP704" s="379"/>
      <c r="AQ704" s="379"/>
      <c r="AR704" s="379"/>
      <c r="AS704" s="379"/>
      <c r="AT704" s="379">
        <f>+ab($T$704,$T$702,$T$706,$G$703,$G$705,-1*$F$704,1200)</f>
        <v>7.9442083933778509</v>
      </c>
      <c r="AU704" s="379"/>
      <c r="AV704" s="379"/>
      <c r="AW704" s="374" t="s">
        <v>699</v>
      </c>
      <c r="AX704" s="374" t="s">
        <v>699</v>
      </c>
      <c r="AY704" s="374" t="s">
        <v>699</v>
      </c>
      <c r="AZ704" s="374" t="s">
        <v>699</v>
      </c>
      <c r="BA704" s="374"/>
      <c r="BB704" s="306"/>
    </row>
    <row r="705" spans="1:54" ht="14.25">
      <c r="A705" s="378"/>
      <c r="B705" s="410"/>
      <c r="C705" s="377"/>
      <c r="D705" s="374"/>
      <c r="E705" s="374"/>
      <c r="F705" s="407"/>
      <c r="G705" s="408">
        <v>50</v>
      </c>
      <c r="H705" s="376"/>
      <c r="I705" s="376"/>
      <c r="J705" s="409"/>
      <c r="K705" s="374"/>
      <c r="L705" s="374"/>
      <c r="M705" s="374"/>
      <c r="N705" s="376"/>
      <c r="O705" s="376"/>
      <c r="P705" s="376"/>
      <c r="Q705" s="979"/>
      <c r="R705" s="454"/>
      <c r="S705" s="370">
        <f>+AG706-AG704</f>
        <v>50.085999999999331</v>
      </c>
      <c r="T705" s="368"/>
      <c r="U705" s="368"/>
      <c r="V705" s="368"/>
      <c r="W705" s="368"/>
      <c r="X705" s="368"/>
      <c r="Y705" s="368"/>
      <c r="Z705" s="368"/>
      <c r="AA705" s="368"/>
      <c r="AB705" s="368"/>
      <c r="AC705" s="368"/>
      <c r="AD705" s="368"/>
      <c r="AE705" s="368"/>
      <c r="AF705" s="374"/>
      <c r="AG705" s="377"/>
      <c r="AH705" s="979" t="s">
        <v>695</v>
      </c>
      <c r="AI705" s="978" t="s">
        <v>695</v>
      </c>
      <c r="AJ705" s="374"/>
      <c r="AK705" s="374"/>
      <c r="AL705" s="374"/>
      <c r="AM705" s="374"/>
      <c r="AN705" s="379"/>
      <c r="AO705" s="379"/>
      <c r="AP705" s="379"/>
      <c r="AQ705" s="379">
        <f>+FL_2($T$706,$T$704,$G$705,1200,9.28,-1*$F$706)</f>
        <v>-0.33477011200000001</v>
      </c>
      <c r="AR705" s="379"/>
      <c r="AS705" s="379"/>
      <c r="AT705" s="379"/>
      <c r="AU705" s="379"/>
      <c r="AV705" s="379"/>
      <c r="AW705" s="374"/>
      <c r="AX705" s="374"/>
      <c r="AY705" s="374"/>
      <c r="AZ705" s="374"/>
      <c r="BA705" s="374"/>
      <c r="BB705" s="306"/>
    </row>
    <row r="706" spans="1:54" ht="14.25">
      <c r="A706" s="378" t="s">
        <v>1781</v>
      </c>
      <c r="B706" s="410" t="s">
        <v>1807</v>
      </c>
      <c r="C706" s="377">
        <f>+$C$704+$G$705</f>
        <v>28425</v>
      </c>
      <c r="D706" s="374"/>
      <c r="E706" s="374"/>
      <c r="F706" s="407">
        <v>0</v>
      </c>
      <c r="G706" s="408"/>
      <c r="H706" s="376"/>
      <c r="I706" s="376"/>
      <c r="J706" s="409"/>
      <c r="K706" s="374"/>
      <c r="L706" s="374" t="s">
        <v>239</v>
      </c>
      <c r="M706" s="374"/>
      <c r="N706" s="376" t="s">
        <v>673</v>
      </c>
      <c r="O706" s="376"/>
      <c r="P706" s="376"/>
      <c r="Q706" s="979">
        <v>0</v>
      </c>
      <c r="R706" s="978">
        <v>0</v>
      </c>
      <c r="S706" s="370"/>
      <c r="T706" s="368">
        <v>-30</v>
      </c>
      <c r="U706" s="368"/>
      <c r="V706" s="368"/>
      <c r="W706" s="368">
        <v>1.1000000000000001</v>
      </c>
      <c r="X706" s="368"/>
      <c r="Y706" s="368"/>
      <c r="Z706" s="368"/>
      <c r="AA706" s="368"/>
      <c r="AB706" s="368"/>
      <c r="AC706" s="368" t="s">
        <v>2972</v>
      </c>
      <c r="AD706" s="368"/>
      <c r="AE706" s="368"/>
      <c r="AF706" s="374">
        <v>100</v>
      </c>
      <c r="AG706" s="377">
        <v>28425.087</v>
      </c>
      <c r="AH706" s="979">
        <v>1476</v>
      </c>
      <c r="AI706" s="978">
        <v>-5267</v>
      </c>
      <c r="AJ706" s="374"/>
      <c r="AK706" s="374"/>
      <c r="AL706" s="374"/>
      <c r="AM706" s="374" t="s">
        <v>2021</v>
      </c>
      <c r="AN706" s="379">
        <v>5.25</v>
      </c>
      <c r="AO706" s="379"/>
      <c r="AP706" s="379"/>
      <c r="AQ706" s="379"/>
      <c r="AR706" s="379"/>
      <c r="AS706" s="379"/>
      <c r="AT706" s="379">
        <f>+ab($T$706,$T$704,$T$708,$G$705,$G$707,-1*$F$706,1200)</f>
        <v>-7.9442410717051439</v>
      </c>
      <c r="AU706" s="379"/>
      <c r="AV706" s="379"/>
      <c r="AW706" s="374" t="s">
        <v>699</v>
      </c>
      <c r="AX706" s="374" t="s">
        <v>699</v>
      </c>
      <c r="AY706" s="374" t="s">
        <v>699</v>
      </c>
      <c r="AZ706" s="374" t="s">
        <v>699</v>
      </c>
      <c r="BA706" s="374"/>
      <c r="BB706" s="306"/>
    </row>
    <row r="707" spans="1:54" ht="14.25">
      <c r="A707" s="378"/>
      <c r="B707" s="410"/>
      <c r="C707" s="377"/>
      <c r="D707" s="374"/>
      <c r="E707" s="374"/>
      <c r="F707" s="407"/>
      <c r="G707" s="408">
        <v>50</v>
      </c>
      <c r="H707" s="376"/>
      <c r="I707" s="376"/>
      <c r="J707" s="409"/>
      <c r="K707" s="374"/>
      <c r="L707" s="374"/>
      <c r="M707" s="374"/>
      <c r="N707" s="376"/>
      <c r="O707" s="376"/>
      <c r="P707" s="376"/>
      <c r="Q707" s="979"/>
      <c r="R707" s="454"/>
      <c r="S707" s="370">
        <f>+AG708-AG706</f>
        <v>50.092000000000553</v>
      </c>
      <c r="T707" s="368"/>
      <c r="U707" s="368"/>
      <c r="V707" s="368"/>
      <c r="W707" s="368"/>
      <c r="X707" s="368"/>
      <c r="Y707" s="368"/>
      <c r="Z707" s="368"/>
      <c r="AA707" s="368"/>
      <c r="AB707" s="368"/>
      <c r="AC707" s="368"/>
      <c r="AD707" s="368"/>
      <c r="AE707" s="368"/>
      <c r="AF707" s="374"/>
      <c r="AG707" s="377"/>
      <c r="AH707" s="979" t="s">
        <v>695</v>
      </c>
      <c r="AI707" s="978" t="s">
        <v>695</v>
      </c>
      <c r="AJ707" s="374"/>
      <c r="AK707" s="374"/>
      <c r="AL707" s="374"/>
      <c r="AM707" s="374"/>
      <c r="AN707" s="379"/>
      <c r="AO707" s="379"/>
      <c r="AP707" s="379"/>
      <c r="AQ707" s="379">
        <f>+FL_2($T$708,$T$706,$G$707,1200,9.28,-1*$F$708)</f>
        <v>-0.33477011200000012</v>
      </c>
      <c r="AR707" s="379"/>
      <c r="AS707" s="379"/>
      <c r="AT707" s="379"/>
      <c r="AU707" s="379"/>
      <c r="AV707" s="379"/>
      <c r="AW707" s="374"/>
      <c r="AX707" s="374"/>
      <c r="AY707" s="374"/>
      <c r="AZ707" s="374"/>
      <c r="BA707" s="374"/>
      <c r="BB707" s="306"/>
    </row>
    <row r="708" spans="1:54" ht="14.25">
      <c r="A708" s="378" t="s">
        <v>1781</v>
      </c>
      <c r="B708" s="410" t="s">
        <v>1808</v>
      </c>
      <c r="C708" s="377">
        <f>+$C$706+$G$707</f>
        <v>28475</v>
      </c>
      <c r="D708" s="374"/>
      <c r="E708" s="374"/>
      <c r="F708" s="407">
        <v>0</v>
      </c>
      <c r="G708" s="408"/>
      <c r="H708" s="376"/>
      <c r="I708" s="376"/>
      <c r="J708" s="409"/>
      <c r="K708" s="374"/>
      <c r="L708" s="374" t="s">
        <v>239</v>
      </c>
      <c r="M708" s="374"/>
      <c r="N708" s="376" t="s">
        <v>674</v>
      </c>
      <c r="O708" s="376"/>
      <c r="P708" s="376"/>
      <c r="Q708" s="979">
        <v>0</v>
      </c>
      <c r="R708" s="978">
        <v>0</v>
      </c>
      <c r="S708" s="370"/>
      <c r="T708" s="368">
        <v>30</v>
      </c>
      <c r="U708" s="368"/>
      <c r="V708" s="368"/>
      <c r="W708" s="368">
        <v>1.1000000000000001</v>
      </c>
      <c r="X708" s="368"/>
      <c r="Y708" s="368"/>
      <c r="Z708" s="368"/>
      <c r="AA708" s="368"/>
      <c r="AB708" s="368"/>
      <c r="AC708" s="368" t="s">
        <v>2963</v>
      </c>
      <c r="AD708" s="368"/>
      <c r="AE708" s="368"/>
      <c r="AF708" s="374">
        <v>100</v>
      </c>
      <c r="AG708" s="377">
        <v>28475.179</v>
      </c>
      <c r="AH708" s="979">
        <v>1491</v>
      </c>
      <c r="AI708" s="978">
        <v>-5227</v>
      </c>
      <c r="AJ708" s="374"/>
      <c r="AK708" s="374"/>
      <c r="AL708" s="374"/>
      <c r="AM708" s="374" t="s">
        <v>2021</v>
      </c>
      <c r="AN708" s="379">
        <v>5.25</v>
      </c>
      <c r="AO708" s="379"/>
      <c r="AP708" s="379"/>
      <c r="AQ708" s="379"/>
      <c r="AR708" s="379"/>
      <c r="AS708" s="379"/>
      <c r="AT708" s="379">
        <f>+ab($T$708,$T$706,$T$710,$G$707,$G$709,-1*$F$708,1200)</f>
        <v>7.9442083933778509</v>
      </c>
      <c r="AU708" s="379"/>
      <c r="AV708" s="379"/>
      <c r="AW708" s="374" t="s">
        <v>699</v>
      </c>
      <c r="AX708" s="374" t="s">
        <v>699</v>
      </c>
      <c r="AY708" s="374" t="s">
        <v>699</v>
      </c>
      <c r="AZ708" s="374" t="s">
        <v>699</v>
      </c>
      <c r="BA708" s="374"/>
      <c r="BB708" s="306"/>
    </row>
    <row r="709" spans="1:54" ht="14.25">
      <c r="A709" s="378"/>
      <c r="B709" s="410"/>
      <c r="C709" s="377"/>
      <c r="D709" s="374"/>
      <c r="E709" s="374"/>
      <c r="F709" s="407"/>
      <c r="G709" s="408">
        <v>50</v>
      </c>
      <c r="H709" s="376"/>
      <c r="I709" s="376"/>
      <c r="J709" s="409"/>
      <c r="K709" s="374"/>
      <c r="L709" s="374"/>
      <c r="M709" s="374"/>
      <c r="N709" s="376"/>
      <c r="O709" s="376"/>
      <c r="P709" s="376"/>
      <c r="Q709" s="979"/>
      <c r="R709" s="454"/>
      <c r="S709" s="370">
        <f>+AG710-AG708</f>
        <v>50.036000000000058</v>
      </c>
      <c r="T709" s="368"/>
      <c r="U709" s="368"/>
      <c r="V709" s="368"/>
      <c r="W709" s="368"/>
      <c r="X709" s="368"/>
      <c r="Y709" s="368"/>
      <c r="Z709" s="368"/>
      <c r="AA709" s="368"/>
      <c r="AB709" s="368"/>
      <c r="AC709" s="368"/>
      <c r="AD709" s="368"/>
      <c r="AE709" s="368"/>
      <c r="AF709" s="374"/>
      <c r="AG709" s="377"/>
      <c r="AH709" s="979" t="s">
        <v>695</v>
      </c>
      <c r="AI709" s="978" t="s">
        <v>695</v>
      </c>
      <c r="AJ709" s="374"/>
      <c r="AK709" s="374"/>
      <c r="AL709" s="374"/>
      <c r="AM709" s="374"/>
      <c r="AN709" s="379"/>
      <c r="AO709" s="379"/>
      <c r="AP709" s="379"/>
      <c r="AQ709" s="379">
        <f>+FL_1($T$710,$T$708,$G$709,1200,9.28,-1*$F$710)</f>
        <v>0.31983151710716523</v>
      </c>
      <c r="AR709" s="379"/>
      <c r="AS709" s="379"/>
      <c r="AT709" s="379"/>
      <c r="AU709" s="379"/>
      <c r="AV709" s="379"/>
      <c r="AW709" s="374"/>
      <c r="AX709" s="374"/>
      <c r="AY709" s="374"/>
      <c r="AZ709" s="374"/>
      <c r="BA709" s="374"/>
      <c r="BB709" s="306"/>
    </row>
    <row r="710" spans="1:54" ht="14.25">
      <c r="A710" s="378" t="s">
        <v>1781</v>
      </c>
      <c r="B710" s="410" t="s">
        <v>1809</v>
      </c>
      <c r="C710" s="377">
        <f>+$C$708+$G$709</f>
        <v>28525</v>
      </c>
      <c r="D710" s="374"/>
      <c r="E710" s="374"/>
      <c r="F710" s="407">
        <f>-380000/(C710-28493)</f>
        <v>-11875</v>
      </c>
      <c r="G710" s="408"/>
      <c r="H710" s="376" t="s">
        <v>138</v>
      </c>
      <c r="I710" s="376" t="s">
        <v>912</v>
      </c>
      <c r="J710" s="409"/>
      <c r="K710" s="374"/>
      <c r="L710" s="374" t="s">
        <v>239</v>
      </c>
      <c r="M710" s="374"/>
      <c r="N710" s="376" t="s">
        <v>673</v>
      </c>
      <c r="O710" s="376"/>
      <c r="P710" s="376"/>
      <c r="Q710" s="979">
        <v>12</v>
      </c>
      <c r="R710" s="454">
        <v>-16164.322357299368</v>
      </c>
      <c r="S710" s="370"/>
      <c r="T710" s="368">
        <v>-30</v>
      </c>
      <c r="U710" s="368"/>
      <c r="V710" s="368"/>
      <c r="W710" s="368">
        <v>1.1000000000000001</v>
      </c>
      <c r="X710" s="368"/>
      <c r="Y710" s="368"/>
      <c r="Z710" s="368"/>
      <c r="AA710" s="368"/>
      <c r="AB710" s="368"/>
      <c r="AC710" s="368" t="s">
        <v>1700</v>
      </c>
      <c r="AD710" s="368"/>
      <c r="AE710" s="368"/>
      <c r="AF710" s="374">
        <v>100</v>
      </c>
      <c r="AG710" s="377">
        <v>28525.215</v>
      </c>
      <c r="AH710" s="979">
        <v>1490</v>
      </c>
      <c r="AI710" s="978">
        <v>-5214</v>
      </c>
      <c r="AJ710" s="374"/>
      <c r="AK710" s="374"/>
      <c r="AL710" s="374"/>
      <c r="AM710" s="374" t="s">
        <v>2021</v>
      </c>
      <c r="AN710" s="379">
        <v>5.25</v>
      </c>
      <c r="AO710" s="379"/>
      <c r="AP710" s="379"/>
      <c r="AQ710" s="379"/>
      <c r="AR710" s="379"/>
      <c r="AS710" s="379"/>
      <c r="AT710" s="379">
        <f>+ab($T$710,$T$708,$T$712,$G$709,$G$711,-1*$F$710,1200)</f>
        <v>-10.106631129362871</v>
      </c>
      <c r="AU710" s="379"/>
      <c r="AV710" s="379"/>
      <c r="AW710" s="374" t="s">
        <v>699</v>
      </c>
      <c r="AX710" s="374" t="s">
        <v>699</v>
      </c>
      <c r="AY710" s="374" t="s">
        <v>699</v>
      </c>
      <c r="AZ710" s="374" t="s">
        <v>699</v>
      </c>
      <c r="BA710" s="374"/>
      <c r="BB710" s="306"/>
    </row>
    <row r="711" spans="1:54" ht="14.25">
      <c r="A711" s="378"/>
      <c r="B711" s="410"/>
      <c r="C711" s="377"/>
      <c r="D711" s="374"/>
      <c r="E711" s="374"/>
      <c r="F711" s="407"/>
      <c r="G711" s="408">
        <v>50</v>
      </c>
      <c r="H711" s="376"/>
      <c r="I711" s="376"/>
      <c r="J711" s="409">
        <f>C710+10</f>
        <v>28535</v>
      </c>
      <c r="K711" s="374" t="s">
        <v>1055</v>
      </c>
      <c r="L711" s="374"/>
      <c r="M711" s="374"/>
      <c r="N711" s="376"/>
      <c r="O711" s="376"/>
      <c r="P711" s="376"/>
      <c r="Q711" s="979"/>
      <c r="R711" s="454"/>
      <c r="S711" s="370">
        <f>+AG712-AG710</f>
        <v>48.102999999999156</v>
      </c>
      <c r="T711" s="368"/>
      <c r="U711" s="368"/>
      <c r="V711" s="368"/>
      <c r="W711" s="368"/>
      <c r="X711" s="368"/>
      <c r="Y711" s="368"/>
      <c r="Z711" s="368"/>
      <c r="AA711" s="368"/>
      <c r="AB711" s="368"/>
      <c r="AC711" s="368"/>
      <c r="AD711" s="368"/>
      <c r="AE711" s="368"/>
      <c r="AF711" s="374"/>
      <c r="AG711" s="377"/>
      <c r="AH711" s="979" t="s">
        <v>695</v>
      </c>
      <c r="AI711" s="978" t="s">
        <v>695</v>
      </c>
      <c r="AJ711" s="374"/>
      <c r="AK711" s="374"/>
      <c r="AL711" s="374"/>
      <c r="AM711" s="374"/>
      <c r="AN711" s="379"/>
      <c r="AO711" s="379"/>
      <c r="AP711" s="379"/>
      <c r="AQ711" s="379">
        <f>+FL_2($U$712,$T$710,$G$711,1200,9.28,-1*$F$712)</f>
        <v>-0.45887070955493597</v>
      </c>
      <c r="AR711" s="379"/>
      <c r="AS711" s="379"/>
      <c r="AT711" s="379"/>
      <c r="AU711" s="379"/>
      <c r="AV711" s="379"/>
      <c r="AW711" s="374"/>
      <c r="AX711" s="374"/>
      <c r="AY711" s="374"/>
      <c r="AZ711" s="374"/>
      <c r="BA711" s="374"/>
      <c r="BB711" s="306"/>
    </row>
    <row r="712" spans="1:54" ht="14.25">
      <c r="A712" s="378" t="s">
        <v>1781</v>
      </c>
      <c r="B712" s="410" t="s">
        <v>1810</v>
      </c>
      <c r="C712" s="377">
        <f>+$C$710+$G$711</f>
        <v>28575</v>
      </c>
      <c r="D712" s="374"/>
      <c r="E712" s="374"/>
      <c r="F712" s="407">
        <f>-380000/(C712-28493)</f>
        <v>-4634.1463414634145</v>
      </c>
      <c r="G712" s="408"/>
      <c r="H712" s="376" t="s">
        <v>651</v>
      </c>
      <c r="I712" s="376"/>
      <c r="J712" s="409"/>
      <c r="K712" s="374"/>
      <c r="L712" s="374" t="s">
        <v>458</v>
      </c>
      <c r="M712" s="374"/>
      <c r="N712" s="376" t="s">
        <v>675</v>
      </c>
      <c r="O712" s="376" t="s">
        <v>674</v>
      </c>
      <c r="P712" s="376"/>
      <c r="Q712" s="979">
        <v>30</v>
      </c>
      <c r="R712" s="454">
        <v>-6169.8186637189519</v>
      </c>
      <c r="S712" s="370"/>
      <c r="T712" s="368">
        <v>25</v>
      </c>
      <c r="U712" s="368">
        <v>5</v>
      </c>
      <c r="V712" s="368"/>
      <c r="W712" s="368">
        <v>1.1000000000000001</v>
      </c>
      <c r="X712" s="368">
        <v>1.2</v>
      </c>
      <c r="Y712" s="368"/>
      <c r="Z712" s="368">
        <v>0.45</v>
      </c>
      <c r="AA712" s="368"/>
      <c r="AB712" s="368"/>
      <c r="AC712" s="368"/>
      <c r="AD712" s="368" t="s">
        <v>1704</v>
      </c>
      <c r="AE712" s="368"/>
      <c r="AF712" s="374">
        <v>100</v>
      </c>
      <c r="AG712" s="377">
        <v>28573.317999999999</v>
      </c>
      <c r="AH712" s="979">
        <v>1490</v>
      </c>
      <c r="AI712" s="978">
        <v>-5186</v>
      </c>
      <c r="AJ712" s="374"/>
      <c r="AK712" s="374"/>
      <c r="AL712" s="374"/>
      <c r="AM712" s="374" t="s">
        <v>2021</v>
      </c>
      <c r="AN712" s="379">
        <v>5.25</v>
      </c>
      <c r="AO712" s="379"/>
      <c r="AP712" s="379"/>
      <c r="AQ712" s="379"/>
      <c r="AR712" s="379"/>
      <c r="AS712" s="379"/>
      <c r="AT712" s="379">
        <f>+ab($U$712,$T$710,$U$714,$G$711,$G$713,-1*$F$712,1200)</f>
        <v>10.662064812794855</v>
      </c>
      <c r="AU712" s="379"/>
      <c r="AV712" s="379"/>
      <c r="AW712" s="374" t="s">
        <v>699</v>
      </c>
      <c r="AX712" s="374" t="s">
        <v>699</v>
      </c>
      <c r="AY712" s="374" t="s">
        <v>699</v>
      </c>
      <c r="AZ712" s="374" t="s">
        <v>699</v>
      </c>
      <c r="BA712" s="374"/>
      <c r="BB712" s="306"/>
    </row>
    <row r="713" spans="1:54" ht="14.25">
      <c r="A713" s="378"/>
      <c r="B713" s="410"/>
      <c r="C713" s="377"/>
      <c r="D713" s="374"/>
      <c r="E713" s="374"/>
      <c r="F713" s="407"/>
      <c r="G713" s="408">
        <v>50</v>
      </c>
      <c r="H713" s="376"/>
      <c r="I713" s="376"/>
      <c r="J713" s="409"/>
      <c r="K713" s="374"/>
      <c r="L713" s="374"/>
      <c r="M713" s="374"/>
      <c r="N713" s="376"/>
      <c r="O713" s="376"/>
      <c r="P713" s="376"/>
      <c r="Q713" s="979">
        <v>31</v>
      </c>
      <c r="R713" s="454">
        <v>-5981.5264421100319</v>
      </c>
      <c r="S713" s="370">
        <f>+AG714-AG712</f>
        <v>50.010000000002037</v>
      </c>
      <c r="T713" s="368"/>
      <c r="U713" s="368"/>
      <c r="V713" s="368"/>
      <c r="W713" s="368"/>
      <c r="X713" s="368"/>
      <c r="Y713" s="368"/>
      <c r="Z713" s="368"/>
      <c r="AA713" s="368"/>
      <c r="AB713" s="368"/>
      <c r="AC713" s="368"/>
      <c r="AD713" s="368"/>
      <c r="AE713" s="368"/>
      <c r="AF713" s="374">
        <v>100</v>
      </c>
      <c r="AG713" s="377">
        <f>AG712+2.449</f>
        <v>28575.767</v>
      </c>
      <c r="AH713" s="979">
        <v>1489</v>
      </c>
      <c r="AI713" s="978">
        <v>-5176</v>
      </c>
      <c r="AJ713" s="374"/>
      <c r="AK713" s="374"/>
      <c r="AL713" s="374"/>
      <c r="AM713" s="374"/>
      <c r="AN713" s="379"/>
      <c r="AO713" s="379"/>
      <c r="AP713" s="379"/>
      <c r="AQ713" s="379">
        <f>+FL_1($T$714,$U$712,$G$713,1200,9.28,-1*$F$714)</f>
        <v>0.30189341470741043</v>
      </c>
      <c r="AR713" s="379"/>
      <c r="AS713" s="379"/>
      <c r="AT713" s="379"/>
      <c r="AU713" s="379"/>
      <c r="AV713" s="379"/>
      <c r="AW713" s="374"/>
      <c r="AX713" s="374"/>
      <c r="AY713" s="374"/>
      <c r="AZ713" s="374"/>
      <c r="BA713" s="374"/>
      <c r="BB713" s="306"/>
    </row>
    <row r="714" spans="1:54" ht="14.25">
      <c r="A714" s="378" t="s">
        <v>1781</v>
      </c>
      <c r="B714" s="410" t="s">
        <v>1811</v>
      </c>
      <c r="C714" s="377">
        <f>+$C$712+$G$713</f>
        <v>28625</v>
      </c>
      <c r="D714" s="374"/>
      <c r="E714" s="374"/>
      <c r="F714" s="407">
        <f>-380000/(C714-28493)</f>
        <v>-2878.787878787879</v>
      </c>
      <c r="G714" s="408"/>
      <c r="H714" s="376" t="s">
        <v>651</v>
      </c>
      <c r="I714" s="376"/>
      <c r="J714" s="409"/>
      <c r="K714" s="374"/>
      <c r="L714" s="374" t="s">
        <v>458</v>
      </c>
      <c r="M714" s="374"/>
      <c r="N714" s="376" t="s">
        <v>674</v>
      </c>
      <c r="O714" s="376" t="s">
        <v>675</v>
      </c>
      <c r="P714" s="376"/>
      <c r="Q714" s="979">
        <v>49</v>
      </c>
      <c r="R714" s="454">
        <v>-3755.6299480470443</v>
      </c>
      <c r="S714" s="370"/>
      <c r="T714" s="368">
        <v>25</v>
      </c>
      <c r="U714" s="368">
        <v>5</v>
      </c>
      <c r="V714" s="368"/>
      <c r="W714" s="368">
        <v>1.1000000000000001</v>
      </c>
      <c r="X714" s="368">
        <v>1.2</v>
      </c>
      <c r="Y714" s="368"/>
      <c r="Z714" s="368"/>
      <c r="AA714" s="368">
        <v>0.45</v>
      </c>
      <c r="AB714" s="368"/>
      <c r="AC714" s="368" t="s">
        <v>1704</v>
      </c>
      <c r="AD714" s="368"/>
      <c r="AE714" s="368"/>
      <c r="AF714" s="374">
        <v>100</v>
      </c>
      <c r="AG714" s="377">
        <v>28623.328000000001</v>
      </c>
      <c r="AH714" s="979">
        <v>1473</v>
      </c>
      <c r="AI714" s="978">
        <v>-5192</v>
      </c>
      <c r="AJ714" s="374"/>
      <c r="AK714" s="374"/>
      <c r="AL714" s="374"/>
      <c r="AM714" s="374" t="s">
        <v>2021</v>
      </c>
      <c r="AN714" s="379">
        <v>5.25</v>
      </c>
      <c r="AO714" s="379"/>
      <c r="AP714" s="379"/>
      <c r="AQ714" s="379"/>
      <c r="AR714" s="379"/>
      <c r="AS714" s="379"/>
      <c r="AT714" s="379">
        <f>+ab($T$714,$T$712,$T$716,$G$713,$G$715,-1*$F$714,1200)</f>
        <v>11.563734127681556</v>
      </c>
      <c r="AU714" s="379"/>
      <c r="AV714" s="379"/>
      <c r="AW714" s="374" t="s">
        <v>699</v>
      </c>
      <c r="AX714" s="374" t="s">
        <v>699</v>
      </c>
      <c r="AY714" s="374" t="s">
        <v>699</v>
      </c>
      <c r="AZ714" s="374" t="s">
        <v>699</v>
      </c>
      <c r="BA714" s="374"/>
      <c r="BB714" s="306"/>
    </row>
    <row r="715" spans="1:54" ht="14.25">
      <c r="A715" s="378"/>
      <c r="B715" s="410"/>
      <c r="C715" s="377"/>
      <c r="D715" s="374"/>
      <c r="E715" s="374"/>
      <c r="F715" s="407"/>
      <c r="G715" s="408">
        <v>50</v>
      </c>
      <c r="H715" s="376"/>
      <c r="I715" s="376"/>
      <c r="J715" s="409">
        <f>C716-10</f>
        <v>28665</v>
      </c>
      <c r="K715" s="374" t="s">
        <v>1055</v>
      </c>
      <c r="L715" s="374"/>
      <c r="M715" s="374"/>
      <c r="N715" s="376"/>
      <c r="O715" s="376"/>
      <c r="P715" s="376"/>
      <c r="Q715" s="979">
        <v>50</v>
      </c>
      <c r="R715" s="454">
        <v>-3697.3667976151933</v>
      </c>
      <c r="S715" s="370">
        <f>+AG716-AG714</f>
        <v>52.078999999997905</v>
      </c>
      <c r="T715" s="368"/>
      <c r="U715" s="368"/>
      <c r="V715" s="368"/>
      <c r="W715" s="368"/>
      <c r="X715" s="368"/>
      <c r="Y715" s="368"/>
      <c r="Z715" s="368"/>
      <c r="AA715" s="368"/>
      <c r="AB715" s="368"/>
      <c r="AC715" s="368"/>
      <c r="AD715" s="368"/>
      <c r="AE715" s="368"/>
      <c r="AF715" s="374">
        <v>100</v>
      </c>
      <c r="AG715" s="377">
        <f>AG714+2.014</f>
        <v>28625.342000000001</v>
      </c>
      <c r="AH715" s="979">
        <v>1502</v>
      </c>
      <c r="AI715" s="978">
        <v>-5195</v>
      </c>
      <c r="AJ715" s="374"/>
      <c r="AK715" s="374"/>
      <c r="AL715" s="374"/>
      <c r="AM715" s="374"/>
      <c r="AN715" s="379"/>
      <c r="AO715" s="379"/>
      <c r="AP715" s="379"/>
      <c r="AQ715" s="379">
        <f>+FL_1($T$716,$T$714,$G$715,1200,9.28,-1*$F$716)</f>
        <v>0.36224008953315867</v>
      </c>
      <c r="AR715" s="379"/>
      <c r="AS715" s="379"/>
      <c r="AT715" s="379"/>
      <c r="AU715" s="379"/>
      <c r="AV715" s="379"/>
      <c r="AW715" s="374"/>
      <c r="AX715" s="374"/>
      <c r="AY715" s="374"/>
      <c r="AZ715" s="374"/>
      <c r="BA715" s="374"/>
      <c r="BB715" s="306"/>
    </row>
    <row r="716" spans="1:54" ht="14.25">
      <c r="A716" s="378" t="s">
        <v>1781</v>
      </c>
      <c r="B716" s="410" t="s">
        <v>1812</v>
      </c>
      <c r="C716" s="377">
        <f>+$C$714+$G$715</f>
        <v>28675</v>
      </c>
      <c r="D716" s="374"/>
      <c r="E716" s="374">
        <v>90</v>
      </c>
      <c r="F716" s="407">
        <v>-2000</v>
      </c>
      <c r="G716" s="408"/>
      <c r="H716" s="376" t="s">
        <v>138</v>
      </c>
      <c r="I716" s="376" t="s">
        <v>912</v>
      </c>
      <c r="J716" s="409"/>
      <c r="K716" s="374"/>
      <c r="L716" s="374" t="s">
        <v>239</v>
      </c>
      <c r="M716" s="374"/>
      <c r="N716" s="376" t="s">
        <v>674</v>
      </c>
      <c r="O716" s="376"/>
      <c r="P716" s="376"/>
      <c r="Q716" s="979">
        <v>68</v>
      </c>
      <c r="R716" s="454">
        <v>-2668.3393041187146</v>
      </c>
      <c r="S716" s="370"/>
      <c r="T716" s="368">
        <v>30</v>
      </c>
      <c r="U716" s="368"/>
      <c r="V716" s="368"/>
      <c r="W716" s="368">
        <v>1.1000000000000001</v>
      </c>
      <c r="X716" s="368"/>
      <c r="Y716" s="368"/>
      <c r="Z716" s="368"/>
      <c r="AA716" s="368"/>
      <c r="AB716" s="368"/>
      <c r="AC716" s="368" t="s">
        <v>1704</v>
      </c>
      <c r="AD716" s="368"/>
      <c r="AE716" s="368"/>
      <c r="AF716" s="374">
        <v>100</v>
      </c>
      <c r="AG716" s="377">
        <v>28675.406999999999</v>
      </c>
      <c r="AH716" s="979">
        <v>1489</v>
      </c>
      <c r="AI716" s="978">
        <v>-5205</v>
      </c>
      <c r="AJ716" s="374"/>
      <c r="AK716" s="374"/>
      <c r="AL716" s="374"/>
      <c r="AM716" s="374" t="s">
        <v>2021</v>
      </c>
      <c r="AN716" s="379">
        <v>5.25</v>
      </c>
      <c r="AO716" s="379"/>
      <c r="AP716" s="379"/>
      <c r="AQ716" s="379"/>
      <c r="AR716" s="379"/>
      <c r="AS716" s="379"/>
      <c r="AT716" s="379">
        <f>+ab($T$716,$T$714,$T$718,$G$715,$G$717,-1*$F$716,1200)</f>
        <v>7.3400671642256485</v>
      </c>
      <c r="AU716" s="379"/>
      <c r="AV716" s="379"/>
      <c r="AW716" s="374" t="s">
        <v>699</v>
      </c>
      <c r="AX716" s="374" t="s">
        <v>699</v>
      </c>
      <c r="AY716" s="374" t="s">
        <v>699</v>
      </c>
      <c r="AZ716" s="374" t="s">
        <v>699</v>
      </c>
      <c r="BA716" s="374"/>
      <c r="BB716" s="306"/>
    </row>
    <row r="717" spans="1:54" ht="14.25">
      <c r="A717" s="378"/>
      <c r="B717" s="410"/>
      <c r="C717" s="377"/>
      <c r="D717" s="374"/>
      <c r="E717" s="374"/>
      <c r="F717" s="407"/>
      <c r="G717" s="408">
        <v>50</v>
      </c>
      <c r="H717" s="376"/>
      <c r="I717" s="376"/>
      <c r="J717" s="409"/>
      <c r="K717" s="374"/>
      <c r="L717" s="374"/>
      <c r="M717" s="374"/>
      <c r="N717" s="376"/>
      <c r="O717" s="376"/>
      <c r="P717" s="376"/>
      <c r="Q717" s="979"/>
      <c r="R717" s="454"/>
      <c r="S717" s="370">
        <f>+AG718-AG716</f>
        <v>50.083000000002357</v>
      </c>
      <c r="T717" s="368"/>
      <c r="U717" s="368"/>
      <c r="V717" s="368"/>
      <c r="W717" s="368"/>
      <c r="X717" s="368"/>
      <c r="Y717" s="368"/>
      <c r="Z717" s="368"/>
      <c r="AA717" s="368"/>
      <c r="AB717" s="368"/>
      <c r="AC717" s="368"/>
      <c r="AD717" s="368"/>
      <c r="AE717" s="368"/>
      <c r="AF717" s="374"/>
      <c r="AG717" s="377"/>
      <c r="AH717" s="979" t="s">
        <v>695</v>
      </c>
      <c r="AI717" s="978" t="s">
        <v>695</v>
      </c>
      <c r="AJ717" s="374"/>
      <c r="AK717" s="374"/>
      <c r="AL717" s="374"/>
      <c r="AM717" s="374"/>
      <c r="AN717" s="379"/>
      <c r="AO717" s="379"/>
      <c r="AP717" s="379"/>
      <c r="AQ717" s="379">
        <f>+FL_1($T$718,$T$716,$G$717,1200,9.28,-1*$F$718)</f>
        <v>0.38541056267414808</v>
      </c>
      <c r="AR717" s="379"/>
      <c r="AS717" s="379"/>
      <c r="AT717" s="379"/>
      <c r="AU717" s="379"/>
      <c r="AV717" s="379"/>
      <c r="AW717" s="374"/>
      <c r="AX717" s="374"/>
      <c r="AY717" s="374"/>
      <c r="AZ717" s="374"/>
      <c r="BA717" s="374"/>
      <c r="BB717" s="306"/>
    </row>
    <row r="718" spans="1:54" ht="14.25">
      <c r="A718" s="378" t="s">
        <v>1781</v>
      </c>
      <c r="B718" s="410" t="s">
        <v>1813</v>
      </c>
      <c r="C718" s="377">
        <f>+$C$716+$G$717</f>
        <v>28725</v>
      </c>
      <c r="D718" s="374"/>
      <c r="E718" s="374">
        <v>90</v>
      </c>
      <c r="F718" s="407">
        <v>-2000</v>
      </c>
      <c r="G718" s="408"/>
      <c r="H718" s="376"/>
      <c r="I718" s="375"/>
      <c r="J718" s="409"/>
      <c r="K718" s="374"/>
      <c r="L718" s="374" t="s">
        <v>239</v>
      </c>
      <c r="M718" s="374"/>
      <c r="N718" s="376" t="s">
        <v>674</v>
      </c>
      <c r="O718" s="376"/>
      <c r="P718" s="376"/>
      <c r="Q718" s="979">
        <v>87</v>
      </c>
      <c r="R718" s="454">
        <v>-2087.226822629028</v>
      </c>
      <c r="S718" s="370"/>
      <c r="T718" s="368">
        <v>30</v>
      </c>
      <c r="U718" s="368"/>
      <c r="V718" s="368"/>
      <c r="W718" s="368">
        <v>1.1000000000000001</v>
      </c>
      <c r="X718" s="368"/>
      <c r="Y718" s="368"/>
      <c r="Z718" s="368"/>
      <c r="AA718" s="368"/>
      <c r="AB718" s="368"/>
      <c r="AC718" s="368" t="s">
        <v>2963</v>
      </c>
      <c r="AD718" s="368"/>
      <c r="AE718" s="368"/>
      <c r="AF718" s="374">
        <v>100</v>
      </c>
      <c r="AG718" s="377">
        <v>28725.49</v>
      </c>
      <c r="AH718" s="979">
        <v>1461</v>
      </c>
      <c r="AI718" s="978">
        <v>-5256</v>
      </c>
      <c r="AJ718" s="374"/>
      <c r="AK718" s="374"/>
      <c r="AL718" s="374"/>
      <c r="AM718" s="374" t="s">
        <v>2021</v>
      </c>
      <c r="AN718" s="379">
        <v>5.25</v>
      </c>
      <c r="AO718" s="379"/>
      <c r="AP718" s="379"/>
      <c r="AQ718" s="379"/>
      <c r="AR718" s="379"/>
      <c r="AS718" s="379"/>
      <c r="AT718" s="379">
        <f>+ab($T$718,$T$716,$T$720,$G$717,$G$719,-1*$F$718,1200)</f>
        <v>7.6302760504335234</v>
      </c>
      <c r="AU718" s="379"/>
      <c r="AV718" s="379"/>
      <c r="AW718" s="374" t="s">
        <v>699</v>
      </c>
      <c r="AX718" s="374" t="s">
        <v>699</v>
      </c>
      <c r="AY718" s="374" t="s">
        <v>699</v>
      </c>
      <c r="AZ718" s="374" t="s">
        <v>699</v>
      </c>
      <c r="BA718" s="374"/>
      <c r="BB718" s="306"/>
    </row>
    <row r="719" spans="1:54" ht="14.25">
      <c r="A719" s="378"/>
      <c r="B719" s="410"/>
      <c r="C719" s="377"/>
      <c r="D719" s="374"/>
      <c r="E719" s="374"/>
      <c r="F719" s="407"/>
      <c r="G719" s="408">
        <v>50</v>
      </c>
      <c r="H719" s="376"/>
      <c r="I719" s="376"/>
      <c r="J719" s="409"/>
      <c r="K719" s="374"/>
      <c r="L719" s="374"/>
      <c r="M719" s="374"/>
      <c r="N719" s="376"/>
      <c r="O719" s="376"/>
      <c r="P719" s="376"/>
      <c r="Q719" s="979"/>
      <c r="R719" s="454"/>
      <c r="S719" s="370">
        <f>+AG720-AG718</f>
        <v>50.055999999996857</v>
      </c>
      <c r="T719" s="368"/>
      <c r="U719" s="368"/>
      <c r="V719" s="368"/>
      <c r="W719" s="368"/>
      <c r="X719" s="368"/>
      <c r="Y719" s="368"/>
      <c r="Z719" s="368"/>
      <c r="AA719" s="368"/>
      <c r="AB719" s="368"/>
      <c r="AC719" s="368"/>
      <c r="AD719" s="368"/>
      <c r="AE719" s="368"/>
      <c r="AF719" s="374"/>
      <c r="AG719" s="377"/>
      <c r="AH719" s="979" t="s">
        <v>695</v>
      </c>
      <c r="AI719" s="978" t="s">
        <v>695</v>
      </c>
      <c r="AJ719" s="374"/>
      <c r="AK719" s="374"/>
      <c r="AL719" s="374"/>
      <c r="AM719" s="374"/>
      <c r="AN719" s="379"/>
      <c r="AO719" s="379"/>
      <c r="AP719" s="379"/>
      <c r="AQ719" s="379">
        <f>+FL_1($T$720,$T$718,$G$719,1200,9.28,-1*$F$720)</f>
        <v>0.38541056267414808</v>
      </c>
      <c r="AR719" s="379"/>
      <c r="AS719" s="379"/>
      <c r="AT719" s="379"/>
      <c r="AU719" s="379"/>
      <c r="AV719" s="379"/>
      <c r="AW719" s="374"/>
      <c r="AX719" s="374"/>
      <c r="AY719" s="374"/>
      <c r="AZ719" s="374"/>
      <c r="BA719" s="374"/>
      <c r="BB719" s="306"/>
    </row>
    <row r="720" spans="1:54" ht="14.25">
      <c r="A720" s="378" t="s">
        <v>1781</v>
      </c>
      <c r="B720" s="410" t="s">
        <v>1814</v>
      </c>
      <c r="C720" s="377">
        <f>+$C$718+$G$719</f>
        <v>28775</v>
      </c>
      <c r="D720" s="374"/>
      <c r="E720" s="374">
        <v>90</v>
      </c>
      <c r="F720" s="407">
        <v>-2000</v>
      </c>
      <c r="G720" s="408"/>
      <c r="H720" s="376"/>
      <c r="I720" s="375"/>
      <c r="J720" s="409"/>
      <c r="K720" s="374"/>
      <c r="L720" s="374" t="s">
        <v>239</v>
      </c>
      <c r="M720" s="374"/>
      <c r="N720" s="376" t="s">
        <v>674</v>
      </c>
      <c r="O720" s="376"/>
      <c r="P720" s="376"/>
      <c r="Q720" s="979">
        <v>90</v>
      </c>
      <c r="R720" s="454">
        <v>-2000</v>
      </c>
      <c r="S720" s="370"/>
      <c r="T720" s="368">
        <v>30</v>
      </c>
      <c r="U720" s="368"/>
      <c r="V720" s="368"/>
      <c r="W720" s="368">
        <v>1.1000000000000001</v>
      </c>
      <c r="X720" s="368"/>
      <c r="Y720" s="368"/>
      <c r="Z720" s="368"/>
      <c r="AA720" s="368"/>
      <c r="AB720" s="368"/>
      <c r="AC720" s="368" t="s">
        <v>2963</v>
      </c>
      <c r="AD720" s="368"/>
      <c r="AE720" s="368"/>
      <c r="AF720" s="374">
        <v>100</v>
      </c>
      <c r="AG720" s="377">
        <v>28775.545999999998</v>
      </c>
      <c r="AH720" s="979">
        <v>1403</v>
      </c>
      <c r="AI720" s="978">
        <v>-5255</v>
      </c>
      <c r="AJ720" s="374"/>
      <c r="AK720" s="374"/>
      <c r="AL720" s="374"/>
      <c r="AM720" s="374" t="s">
        <v>2021</v>
      </c>
      <c r="AN720" s="379">
        <v>5.25</v>
      </c>
      <c r="AO720" s="379"/>
      <c r="AP720" s="379"/>
      <c r="AQ720" s="379"/>
      <c r="AR720" s="379"/>
      <c r="AS720" s="379"/>
      <c r="AT720" s="379">
        <f>+ab($T$720,$T$718,$T$722,$G$719,$G$721,-1*$F$720,1200)</f>
        <v>7.6302760504335234</v>
      </c>
      <c r="AU720" s="379"/>
      <c r="AV720" s="379"/>
      <c r="AW720" s="374" t="s">
        <v>699</v>
      </c>
      <c r="AX720" s="374" t="s">
        <v>699</v>
      </c>
      <c r="AY720" s="374" t="s">
        <v>699</v>
      </c>
      <c r="AZ720" s="374" t="s">
        <v>699</v>
      </c>
      <c r="BA720" s="374"/>
      <c r="BB720" s="306"/>
    </row>
    <row r="721" spans="1:54" ht="14.25">
      <c r="A721" s="378"/>
      <c r="B721" s="410"/>
      <c r="C721" s="377"/>
      <c r="D721" s="374"/>
      <c r="E721" s="374"/>
      <c r="F721" s="407"/>
      <c r="G721" s="408">
        <v>50</v>
      </c>
      <c r="H721" s="376"/>
      <c r="I721" s="376"/>
      <c r="J721" s="409"/>
      <c r="K721" s="374"/>
      <c r="L721" s="374"/>
      <c r="M721" s="374"/>
      <c r="N721" s="376"/>
      <c r="O721" s="376"/>
      <c r="P721" s="376"/>
      <c r="Q721" s="979"/>
      <c r="R721" s="454"/>
      <c r="S721" s="370">
        <f>+AG722-AG720</f>
        <v>49.997000000003027</v>
      </c>
      <c r="T721" s="368"/>
      <c r="U721" s="368"/>
      <c r="V721" s="368"/>
      <c r="W721" s="368"/>
      <c r="X721" s="368"/>
      <c r="Y721" s="368"/>
      <c r="Z721" s="368"/>
      <c r="AA721" s="368"/>
      <c r="AB721" s="368"/>
      <c r="AC721" s="368"/>
      <c r="AD721" s="368"/>
      <c r="AE721" s="368"/>
      <c r="AF721" s="374"/>
      <c r="AG721" s="377"/>
      <c r="AH721" s="979" t="s">
        <v>695</v>
      </c>
      <c r="AI721" s="978" t="s">
        <v>695</v>
      </c>
      <c r="AJ721" s="374"/>
      <c r="AK721" s="374"/>
      <c r="AL721" s="374"/>
      <c r="AM721" s="374"/>
      <c r="AN721" s="379"/>
      <c r="AO721" s="379"/>
      <c r="AP721" s="379"/>
      <c r="AQ721" s="379">
        <f>+FL_1($T$722,$T$720,$G$721,1200,9.28,-1*$F$722)</f>
        <v>0.38541056267414808</v>
      </c>
      <c r="AR721" s="379"/>
      <c r="AS721" s="379"/>
      <c r="AT721" s="379"/>
      <c r="AU721" s="379"/>
      <c r="AV721" s="379"/>
      <c r="AW721" s="374"/>
      <c r="AX721" s="374"/>
      <c r="AY721" s="374"/>
      <c r="AZ721" s="374"/>
      <c r="BA721" s="374"/>
      <c r="BB721" s="306"/>
    </row>
    <row r="722" spans="1:54" ht="14.25">
      <c r="A722" s="378" t="s">
        <v>1781</v>
      </c>
      <c r="B722" s="410" t="s">
        <v>1815</v>
      </c>
      <c r="C722" s="377">
        <f>+$C$720+$G$721</f>
        <v>28825</v>
      </c>
      <c r="D722" s="374"/>
      <c r="E722" s="374">
        <v>90</v>
      </c>
      <c r="F722" s="407">
        <v>-2000</v>
      </c>
      <c r="G722" s="408"/>
      <c r="H722" s="376"/>
      <c r="I722" s="375"/>
      <c r="J722" s="409"/>
      <c r="K722" s="374"/>
      <c r="L722" s="374" t="s">
        <v>239</v>
      </c>
      <c r="M722" s="374"/>
      <c r="N722" s="376" t="s">
        <v>674</v>
      </c>
      <c r="O722" s="376"/>
      <c r="P722" s="376"/>
      <c r="Q722" s="979">
        <v>90</v>
      </c>
      <c r="R722" s="454">
        <v>-2000</v>
      </c>
      <c r="S722" s="370"/>
      <c r="T722" s="368">
        <v>30</v>
      </c>
      <c r="U722" s="368"/>
      <c r="V722" s="368"/>
      <c r="W722" s="368">
        <v>1.1000000000000001</v>
      </c>
      <c r="X722" s="368"/>
      <c r="Y722" s="368"/>
      <c r="Z722" s="368"/>
      <c r="AA722" s="368"/>
      <c r="AB722" s="368"/>
      <c r="AC722" s="368" t="s">
        <v>2963</v>
      </c>
      <c r="AD722" s="368"/>
      <c r="AE722" s="368"/>
      <c r="AF722" s="374">
        <v>100</v>
      </c>
      <c r="AG722" s="377">
        <v>28825.543000000001</v>
      </c>
      <c r="AH722" s="979">
        <v>1511</v>
      </c>
      <c r="AI722" s="978">
        <v>-5227</v>
      </c>
      <c r="AJ722" s="374"/>
      <c r="AK722" s="374"/>
      <c r="AL722" s="374"/>
      <c r="AM722" s="374" t="s">
        <v>2021</v>
      </c>
      <c r="AN722" s="379">
        <v>5.25</v>
      </c>
      <c r="AO722" s="379"/>
      <c r="AP722" s="379"/>
      <c r="AQ722" s="379"/>
      <c r="AR722" s="379"/>
      <c r="AS722" s="379"/>
      <c r="AT722" s="379">
        <f>+ab($T$722,$T$720,$T$724,$G$721,$G$723,-1*$F$722,1200)</f>
        <v>7.6302760504335234</v>
      </c>
      <c r="AU722" s="379"/>
      <c r="AV722" s="379"/>
      <c r="AW722" s="374" t="s">
        <v>699</v>
      </c>
      <c r="AX722" s="374" t="s">
        <v>699</v>
      </c>
      <c r="AY722" s="374" t="s">
        <v>699</v>
      </c>
      <c r="AZ722" s="374" t="s">
        <v>699</v>
      </c>
      <c r="BA722" s="374"/>
      <c r="BB722" s="306"/>
    </row>
    <row r="723" spans="1:54" ht="14.25">
      <c r="A723" s="378"/>
      <c r="B723" s="410"/>
      <c r="C723" s="377"/>
      <c r="D723" s="374"/>
      <c r="E723" s="374"/>
      <c r="F723" s="407"/>
      <c r="G723" s="408">
        <v>50</v>
      </c>
      <c r="H723" s="376"/>
      <c r="I723" s="376"/>
      <c r="J723" s="409"/>
      <c r="K723" s="374"/>
      <c r="L723" s="374"/>
      <c r="M723" s="374"/>
      <c r="N723" s="376"/>
      <c r="O723" s="376"/>
      <c r="P723" s="376"/>
      <c r="Q723" s="979"/>
      <c r="R723" s="454"/>
      <c r="S723" s="370">
        <f>+AG724-AG722</f>
        <v>50.156999999999243</v>
      </c>
      <c r="T723" s="371"/>
      <c r="U723" s="371"/>
      <c r="V723" s="371"/>
      <c r="W723" s="368"/>
      <c r="X723" s="371"/>
      <c r="Y723" s="371"/>
      <c r="Z723" s="371"/>
      <c r="AA723" s="371"/>
      <c r="AB723" s="371"/>
      <c r="AC723" s="371"/>
      <c r="AD723" s="371"/>
      <c r="AE723" s="371"/>
      <c r="AF723" s="374"/>
      <c r="AG723" s="377"/>
      <c r="AH723" s="979" t="s">
        <v>695</v>
      </c>
      <c r="AI723" s="978" t="s">
        <v>695</v>
      </c>
      <c r="AJ723" s="376"/>
      <c r="AK723" s="376"/>
      <c r="AL723" s="376"/>
      <c r="AM723" s="376"/>
      <c r="AN723" s="379"/>
      <c r="AO723" s="411"/>
      <c r="AP723" s="411"/>
      <c r="AQ723" s="411">
        <f>+FL_1($T$724,$T$722,$G$723,1200,9.28,-1*$F$724)</f>
        <v>0.38541056267414808</v>
      </c>
      <c r="AR723" s="411"/>
      <c r="AS723" s="411"/>
      <c r="AT723" s="411"/>
      <c r="AU723" s="411"/>
      <c r="AV723" s="411"/>
      <c r="AW723" s="376"/>
      <c r="AX723" s="376"/>
      <c r="AY723" s="376"/>
      <c r="AZ723" s="376"/>
      <c r="BA723" s="376"/>
      <c r="BB723" s="306"/>
    </row>
    <row r="724" spans="1:54" ht="14.25">
      <c r="A724" s="378" t="s">
        <v>1781</v>
      </c>
      <c r="B724" s="410" t="s">
        <v>1816</v>
      </c>
      <c r="C724" s="377">
        <f>+$C$722+$G$723</f>
        <v>28875</v>
      </c>
      <c r="D724" s="374"/>
      <c r="E724" s="374">
        <v>90</v>
      </c>
      <c r="F724" s="407">
        <v>-2000</v>
      </c>
      <c r="G724" s="408"/>
      <c r="H724" s="376"/>
      <c r="I724" s="376"/>
      <c r="J724" s="409"/>
      <c r="K724" s="374"/>
      <c r="L724" s="374" t="s">
        <v>239</v>
      </c>
      <c r="M724" s="374"/>
      <c r="N724" s="376" t="s">
        <v>674</v>
      </c>
      <c r="O724" s="376"/>
      <c r="P724" s="376"/>
      <c r="Q724" s="979">
        <v>90</v>
      </c>
      <c r="R724" s="454">
        <v>-2000</v>
      </c>
      <c r="S724" s="370"/>
      <c r="T724" s="371">
        <v>30</v>
      </c>
      <c r="U724" s="371"/>
      <c r="V724" s="371"/>
      <c r="W724" s="368">
        <v>1.1000000000000001</v>
      </c>
      <c r="X724" s="371"/>
      <c r="Y724" s="371"/>
      <c r="Z724" s="371"/>
      <c r="AA724" s="371"/>
      <c r="AB724" s="371"/>
      <c r="AC724" s="371" t="s">
        <v>2963</v>
      </c>
      <c r="AD724" s="371"/>
      <c r="AE724" s="371"/>
      <c r="AF724" s="374">
        <v>100</v>
      </c>
      <c r="AG724" s="377">
        <v>28875.7</v>
      </c>
      <c r="AH724" s="979">
        <v>1439</v>
      </c>
      <c r="AI724" s="978">
        <v>-5258</v>
      </c>
      <c r="AJ724" s="376"/>
      <c r="AK724" s="376"/>
      <c r="AL724" s="376"/>
      <c r="AM724" s="376" t="s">
        <v>2021</v>
      </c>
      <c r="AN724" s="379">
        <v>5.25</v>
      </c>
      <c r="AO724" s="411"/>
      <c r="AP724" s="411"/>
      <c r="AQ724" s="411"/>
      <c r="AR724" s="411"/>
      <c r="AS724" s="411"/>
      <c r="AT724" s="411">
        <f>+ab($T$724,$T$722,$T$726,$G$723,$G$725,-1*$F$724,1200)</f>
        <v>7.6302760504335234</v>
      </c>
      <c r="AU724" s="411"/>
      <c r="AV724" s="411"/>
      <c r="AW724" s="376" t="s">
        <v>699</v>
      </c>
      <c r="AX724" s="376" t="s">
        <v>699</v>
      </c>
      <c r="AY724" s="376" t="s">
        <v>699</v>
      </c>
      <c r="AZ724" s="376" t="s">
        <v>699</v>
      </c>
      <c r="BA724" s="376"/>
      <c r="BB724" s="306"/>
    </row>
    <row r="725" spans="1:54" ht="14.25">
      <c r="A725" s="378"/>
      <c r="B725" s="406"/>
      <c r="C725" s="377"/>
      <c r="D725" s="374"/>
      <c r="E725" s="374"/>
      <c r="F725" s="407"/>
      <c r="G725" s="408">
        <v>50</v>
      </c>
      <c r="H725" s="376"/>
      <c r="I725" s="375"/>
      <c r="J725" s="409"/>
      <c r="K725" s="374"/>
      <c r="L725" s="374"/>
      <c r="M725" s="374"/>
      <c r="N725" s="376"/>
      <c r="O725" s="376"/>
      <c r="P725" s="376"/>
      <c r="Q725" s="979"/>
      <c r="R725" s="454"/>
      <c r="S725" s="370">
        <f>+AG726-AG724</f>
        <v>49.988999999997759</v>
      </c>
      <c r="T725" s="371"/>
      <c r="U725" s="371"/>
      <c r="V725" s="371"/>
      <c r="W725" s="368"/>
      <c r="X725" s="371"/>
      <c r="Y725" s="371"/>
      <c r="Z725" s="371"/>
      <c r="AA725" s="371"/>
      <c r="AB725" s="371"/>
      <c r="AC725" s="371"/>
      <c r="AD725" s="371"/>
      <c r="AE725" s="371"/>
      <c r="AF725" s="374"/>
      <c r="AG725" s="377"/>
      <c r="AH725" s="979" t="s">
        <v>695</v>
      </c>
      <c r="AI725" s="978" t="s">
        <v>695</v>
      </c>
      <c r="AJ725" s="376"/>
      <c r="AK725" s="376"/>
      <c r="AL725" s="376"/>
      <c r="AM725" s="376"/>
      <c r="AN725" s="379"/>
      <c r="AO725" s="411"/>
      <c r="AP725" s="411"/>
      <c r="AQ725" s="411">
        <f>+FL_1($T$726,$T$724,$G$725,1200,9.28,-1*$F$726)</f>
        <v>0.38541056267414808</v>
      </c>
      <c r="AR725" s="411"/>
      <c r="AS725" s="411"/>
      <c r="AT725" s="411"/>
      <c r="AU725" s="411"/>
      <c r="AV725" s="411"/>
      <c r="AW725" s="376"/>
      <c r="AX725" s="376"/>
      <c r="AY725" s="376"/>
      <c r="AZ725" s="376"/>
      <c r="BA725" s="376"/>
      <c r="BB725" s="306"/>
    </row>
    <row r="726" spans="1:54" ht="14.25">
      <c r="A726" s="378" t="s">
        <v>1781</v>
      </c>
      <c r="B726" s="406" t="s">
        <v>1817</v>
      </c>
      <c r="C726" s="377">
        <f>+$C$724+$G$725</f>
        <v>28925</v>
      </c>
      <c r="D726" s="374"/>
      <c r="E726" s="374">
        <v>90</v>
      </c>
      <c r="F726" s="407">
        <v>-2000</v>
      </c>
      <c r="G726" s="408"/>
      <c r="H726" s="376"/>
      <c r="I726" s="376"/>
      <c r="J726" s="409"/>
      <c r="K726" s="374"/>
      <c r="L726" s="374" t="s">
        <v>239</v>
      </c>
      <c r="M726" s="374"/>
      <c r="N726" s="376" t="s">
        <v>674</v>
      </c>
      <c r="O726" s="376"/>
      <c r="P726" s="376"/>
      <c r="Q726" s="979">
        <v>90</v>
      </c>
      <c r="R726" s="454">
        <v>-2000</v>
      </c>
      <c r="S726" s="370"/>
      <c r="T726" s="371">
        <v>30</v>
      </c>
      <c r="U726" s="371"/>
      <c r="V726" s="371"/>
      <c r="W726" s="368">
        <v>1.1000000000000001</v>
      </c>
      <c r="X726" s="371"/>
      <c r="Y726" s="371"/>
      <c r="Z726" s="371"/>
      <c r="AA726" s="371"/>
      <c r="AB726" s="371"/>
      <c r="AC726" s="371" t="s">
        <v>2963</v>
      </c>
      <c r="AD726" s="371"/>
      <c r="AE726" s="371"/>
      <c r="AF726" s="374">
        <v>100</v>
      </c>
      <c r="AG726" s="377">
        <v>28925.688999999998</v>
      </c>
      <c r="AH726" s="979">
        <v>1482</v>
      </c>
      <c r="AI726" s="978">
        <v>-5229</v>
      </c>
      <c r="AJ726" s="376"/>
      <c r="AK726" s="376"/>
      <c r="AL726" s="376"/>
      <c r="AM726" s="376" t="s">
        <v>2021</v>
      </c>
      <c r="AN726" s="379">
        <v>5.25</v>
      </c>
      <c r="AO726" s="411"/>
      <c r="AP726" s="411"/>
      <c r="AQ726" s="411"/>
      <c r="AR726" s="411"/>
      <c r="AS726" s="411"/>
      <c r="AT726" s="411">
        <f>+ab($T$726,$T$724,$T$728,$G$725,$G$727,-1*$F$726,1200)</f>
        <v>7.6302760504335234</v>
      </c>
      <c r="AU726" s="411"/>
      <c r="AV726" s="411"/>
      <c r="AW726" s="376" t="s">
        <v>699</v>
      </c>
      <c r="AX726" s="376" t="s">
        <v>699</v>
      </c>
      <c r="AY726" s="376" t="s">
        <v>699</v>
      </c>
      <c r="AZ726" s="376" t="s">
        <v>699</v>
      </c>
      <c r="BA726" s="376"/>
      <c r="BB726" s="306"/>
    </row>
    <row r="727" spans="1:54" ht="14.25">
      <c r="A727" s="378"/>
      <c r="B727" s="406"/>
      <c r="C727" s="377"/>
      <c r="D727" s="374"/>
      <c r="E727" s="374"/>
      <c r="F727" s="407"/>
      <c r="G727" s="408">
        <v>50</v>
      </c>
      <c r="H727" s="376"/>
      <c r="I727" s="375"/>
      <c r="J727" s="409"/>
      <c r="K727" s="374"/>
      <c r="L727" s="374"/>
      <c r="M727" s="374"/>
      <c r="N727" s="376"/>
      <c r="O727" s="376"/>
      <c r="P727" s="376"/>
      <c r="Q727" s="979"/>
      <c r="R727" s="454"/>
      <c r="S727" s="370">
        <f>+AG728-AG726</f>
        <v>50.07300000000032</v>
      </c>
      <c r="T727" s="371"/>
      <c r="U727" s="371"/>
      <c r="V727" s="371"/>
      <c r="W727" s="368"/>
      <c r="X727" s="371"/>
      <c r="Y727" s="371"/>
      <c r="Z727" s="371"/>
      <c r="AA727" s="371"/>
      <c r="AB727" s="371"/>
      <c r="AC727" s="371"/>
      <c r="AD727" s="371"/>
      <c r="AE727" s="371"/>
      <c r="AF727" s="374"/>
      <c r="AG727" s="377"/>
      <c r="AH727" s="979" t="s">
        <v>695</v>
      </c>
      <c r="AI727" s="978" t="s">
        <v>695</v>
      </c>
      <c r="AJ727" s="376"/>
      <c r="AK727" s="376"/>
      <c r="AL727" s="376"/>
      <c r="AM727" s="376"/>
      <c r="AN727" s="379"/>
      <c r="AO727" s="411"/>
      <c r="AP727" s="411"/>
      <c r="AQ727" s="411">
        <f>+FL_1($T$728,$T$726,$G$727,1200,9.28,-1*$F$728)</f>
        <v>0.38541056267414808</v>
      </c>
      <c r="AR727" s="411"/>
      <c r="AS727" s="411"/>
      <c r="AT727" s="411"/>
      <c r="AU727" s="411"/>
      <c r="AV727" s="411"/>
      <c r="AW727" s="376"/>
      <c r="AX727" s="376"/>
      <c r="AY727" s="376"/>
      <c r="AZ727" s="376"/>
      <c r="BA727" s="376"/>
      <c r="BB727" s="306"/>
    </row>
    <row r="728" spans="1:54" ht="14.25">
      <c r="A728" s="378" t="s">
        <v>1781</v>
      </c>
      <c r="B728" s="406" t="s">
        <v>1818</v>
      </c>
      <c r="C728" s="377">
        <f>+$C$726+$G$727</f>
        <v>28975</v>
      </c>
      <c r="D728" s="374"/>
      <c r="E728" s="374">
        <v>90</v>
      </c>
      <c r="F728" s="407">
        <v>-2000</v>
      </c>
      <c r="G728" s="408"/>
      <c r="H728" s="376" t="s">
        <v>1059</v>
      </c>
      <c r="I728" s="376"/>
      <c r="J728" s="409"/>
      <c r="K728" s="374"/>
      <c r="L728" s="374" t="s">
        <v>239</v>
      </c>
      <c r="M728" s="374"/>
      <c r="N728" s="376" t="s">
        <v>674</v>
      </c>
      <c r="O728" s="376"/>
      <c r="P728" s="376"/>
      <c r="Q728" s="979">
        <v>90</v>
      </c>
      <c r="R728" s="454">
        <v>-2000</v>
      </c>
      <c r="S728" s="370"/>
      <c r="T728" s="368">
        <v>30</v>
      </c>
      <c r="U728" s="368"/>
      <c r="V728" s="368"/>
      <c r="W728" s="368">
        <v>1.1000000000000001</v>
      </c>
      <c r="X728" s="368"/>
      <c r="Y728" s="368"/>
      <c r="Z728" s="368"/>
      <c r="AA728" s="368"/>
      <c r="AB728" s="368"/>
      <c r="AC728" s="368" t="s">
        <v>2963</v>
      </c>
      <c r="AD728" s="368"/>
      <c r="AE728" s="368"/>
      <c r="AF728" s="374">
        <v>100</v>
      </c>
      <c r="AG728" s="377">
        <v>28975.761999999999</v>
      </c>
      <c r="AH728" s="979">
        <v>1477</v>
      </c>
      <c r="AI728" s="978">
        <v>-5272</v>
      </c>
      <c r="AJ728" s="374"/>
      <c r="AK728" s="374"/>
      <c r="AL728" s="374"/>
      <c r="AM728" s="374" t="s">
        <v>2021</v>
      </c>
      <c r="AN728" s="379">
        <v>5.25</v>
      </c>
      <c r="AO728" s="379"/>
      <c r="AP728" s="379"/>
      <c r="AQ728" s="379"/>
      <c r="AR728" s="379"/>
      <c r="AS728" s="379"/>
      <c r="AT728" s="379">
        <f>+ab($T$728,$T$726,$T$730,$G$727,$G$729,-1*$F$728,1200)</f>
        <v>7.6302760504335234</v>
      </c>
      <c r="AU728" s="379"/>
      <c r="AV728" s="379"/>
      <c r="AW728" s="374" t="s">
        <v>699</v>
      </c>
      <c r="AX728" s="374" t="s">
        <v>699</v>
      </c>
      <c r="AY728" s="374" t="s">
        <v>699</v>
      </c>
      <c r="AZ728" s="374" t="s">
        <v>699</v>
      </c>
      <c r="BA728" s="374"/>
      <c r="BB728" s="306"/>
    </row>
    <row r="729" spans="1:54" ht="14.25">
      <c r="A729" s="378"/>
      <c r="B729" s="406"/>
      <c r="C729" s="377"/>
      <c r="D729" s="374"/>
      <c r="E729" s="374"/>
      <c r="F729" s="407"/>
      <c r="G729" s="408">
        <v>50</v>
      </c>
      <c r="H729" s="376"/>
      <c r="I729" s="375">
        <f>SUM(G711:G729)</f>
        <v>500</v>
      </c>
      <c r="J729" s="409">
        <f>C728+10</f>
        <v>28985</v>
      </c>
      <c r="K729" s="374" t="s">
        <v>1060</v>
      </c>
      <c r="L729" s="374"/>
      <c r="M729" s="374"/>
      <c r="N729" s="376"/>
      <c r="O729" s="376"/>
      <c r="P729" s="376"/>
      <c r="Q729" s="979"/>
      <c r="R729" s="454"/>
      <c r="S729" s="370">
        <f>+AG730-AG728</f>
        <v>48.106999999999971</v>
      </c>
      <c r="T729" s="368"/>
      <c r="U729" s="368"/>
      <c r="V729" s="368"/>
      <c r="W729" s="368"/>
      <c r="X729" s="368"/>
      <c r="Y729" s="368"/>
      <c r="Z729" s="368"/>
      <c r="AA729" s="368"/>
      <c r="AB729" s="368"/>
      <c r="AC729" s="368"/>
      <c r="AD729" s="368"/>
      <c r="AE729" s="368"/>
      <c r="AF729" s="374"/>
      <c r="AG729" s="377"/>
      <c r="AH729" s="979" t="s">
        <v>695</v>
      </c>
      <c r="AI729" s="978" t="s">
        <v>695</v>
      </c>
      <c r="AJ729" s="374"/>
      <c r="AK729" s="374"/>
      <c r="AL729" s="374"/>
      <c r="AM729" s="374"/>
      <c r="AN729" s="379"/>
      <c r="AO729" s="379"/>
      <c r="AP729" s="379"/>
      <c r="AQ729" s="379">
        <f>+FL_1($T$730,$T$728,$G$729,1200,9.28,-1*$F$730)</f>
        <v>0.38541056267414808</v>
      </c>
      <c r="AR729" s="379"/>
      <c r="AS729" s="379"/>
      <c r="AT729" s="379"/>
      <c r="AU729" s="379"/>
      <c r="AV729" s="379"/>
      <c r="AW729" s="374"/>
      <c r="AX729" s="374"/>
      <c r="AY729" s="374"/>
      <c r="AZ729" s="374"/>
      <c r="BA729" s="374"/>
      <c r="BB729" s="306"/>
    </row>
    <row r="730" spans="1:54" ht="14.25">
      <c r="A730" s="378" t="s">
        <v>1781</v>
      </c>
      <c r="B730" s="406" t="s">
        <v>1819</v>
      </c>
      <c r="C730" s="377">
        <f>+$C$728+$G$729</f>
        <v>29025</v>
      </c>
      <c r="D730" s="374"/>
      <c r="E730" s="374">
        <v>90</v>
      </c>
      <c r="F730" s="407">
        <v>-2000</v>
      </c>
      <c r="G730" s="408"/>
      <c r="H730" s="376" t="s">
        <v>956</v>
      </c>
      <c r="I730" s="376"/>
      <c r="J730" s="409"/>
      <c r="K730" s="374"/>
      <c r="L730" s="374" t="s">
        <v>239</v>
      </c>
      <c r="M730" s="374"/>
      <c r="N730" s="376" t="s">
        <v>674</v>
      </c>
      <c r="O730" s="376"/>
      <c r="P730" s="376"/>
      <c r="Q730" s="979">
        <v>90</v>
      </c>
      <c r="R730" s="454">
        <v>-2000</v>
      </c>
      <c r="S730" s="370"/>
      <c r="T730" s="368">
        <v>30</v>
      </c>
      <c r="U730" s="368"/>
      <c r="V730" s="368"/>
      <c r="W730" s="368">
        <v>1.1000000000000001</v>
      </c>
      <c r="X730" s="368"/>
      <c r="Y730" s="368"/>
      <c r="Z730" s="368"/>
      <c r="AA730" s="368"/>
      <c r="AB730" s="368"/>
      <c r="AC730" s="368" t="s">
        <v>2963</v>
      </c>
      <c r="AD730" s="368"/>
      <c r="AE730" s="368"/>
      <c r="AF730" s="374">
        <v>100</v>
      </c>
      <c r="AG730" s="377">
        <v>29023.868999999999</v>
      </c>
      <c r="AH730" s="979">
        <v>1502</v>
      </c>
      <c r="AI730" s="978">
        <v>-5247</v>
      </c>
      <c r="AJ730" s="374"/>
      <c r="AK730" s="374"/>
      <c r="AL730" s="374"/>
      <c r="AM730" s="374" t="s">
        <v>2021</v>
      </c>
      <c r="AN730" s="379">
        <v>5.25</v>
      </c>
      <c r="AO730" s="379"/>
      <c r="AP730" s="379"/>
      <c r="AQ730" s="379"/>
      <c r="AR730" s="379"/>
      <c r="AS730" s="379"/>
      <c r="AT730" s="379">
        <f>+ab($T$730,$T$728,$T$732,$G$729,$G$731,-1*$F$730,1200)</f>
        <v>7.6302760504335234</v>
      </c>
      <c r="AU730" s="379"/>
      <c r="AV730" s="379"/>
      <c r="AW730" s="374" t="s">
        <v>699</v>
      </c>
      <c r="AX730" s="374" t="s">
        <v>699</v>
      </c>
      <c r="AY730" s="374" t="s">
        <v>699</v>
      </c>
      <c r="AZ730" s="374" t="s">
        <v>699</v>
      </c>
      <c r="BA730" s="374"/>
      <c r="BB730" s="306"/>
    </row>
    <row r="731" spans="1:54" ht="14.25">
      <c r="A731" s="378"/>
      <c r="B731" s="406"/>
      <c r="C731" s="377"/>
      <c r="D731" s="374"/>
      <c r="E731" s="374"/>
      <c r="F731" s="407"/>
      <c r="G731" s="408">
        <v>50</v>
      </c>
      <c r="H731" s="376"/>
      <c r="I731" s="375">
        <f>SUM(G731:G749)</f>
        <v>500</v>
      </c>
      <c r="J731" s="409">
        <f>C732-10</f>
        <v>29065</v>
      </c>
      <c r="K731" s="374" t="s">
        <v>1060</v>
      </c>
      <c r="L731" s="374"/>
      <c r="M731" s="374"/>
      <c r="N731" s="376"/>
      <c r="O731" s="376"/>
      <c r="P731" s="376"/>
      <c r="Q731" s="979"/>
      <c r="R731" s="454"/>
      <c r="S731" s="370">
        <f>+AG732-AG730</f>
        <v>50.175999999999476</v>
      </c>
      <c r="T731" s="368"/>
      <c r="U731" s="368"/>
      <c r="V731" s="368"/>
      <c r="W731" s="368"/>
      <c r="X731" s="368"/>
      <c r="Y731" s="368"/>
      <c r="Z731" s="368"/>
      <c r="AA731" s="368"/>
      <c r="AB731" s="368"/>
      <c r="AC731" s="368"/>
      <c r="AD731" s="368"/>
      <c r="AE731" s="368"/>
      <c r="AF731" s="374"/>
      <c r="AG731" s="377"/>
      <c r="AH731" s="979" t="s">
        <v>695</v>
      </c>
      <c r="AI731" s="978" t="s">
        <v>695</v>
      </c>
      <c r="AJ731" s="374"/>
      <c r="AK731" s="374"/>
      <c r="AL731" s="374"/>
      <c r="AM731" s="374"/>
      <c r="AN731" s="379"/>
      <c r="AO731" s="379"/>
      <c r="AP731" s="379"/>
      <c r="AQ731" s="379">
        <f>+FL_1($T$732,$T$730,$G$731,1200,9.28,-1*$F$732)</f>
        <v>0.38541056267414808</v>
      </c>
      <c r="AR731" s="379"/>
      <c r="AS731" s="379"/>
      <c r="AT731" s="379"/>
      <c r="AU731" s="379"/>
      <c r="AV731" s="379"/>
      <c r="AW731" s="374"/>
      <c r="AX731" s="374"/>
      <c r="AY731" s="374"/>
      <c r="AZ731" s="374"/>
      <c r="BA731" s="374"/>
      <c r="BB731" s="306"/>
    </row>
    <row r="732" spans="1:54" ht="14.25">
      <c r="A732" s="378" t="s">
        <v>1781</v>
      </c>
      <c r="B732" s="406" t="s">
        <v>1820</v>
      </c>
      <c r="C732" s="377">
        <f>+$C$730+$G$731</f>
        <v>29075</v>
      </c>
      <c r="D732" s="374"/>
      <c r="E732" s="374">
        <v>90</v>
      </c>
      <c r="F732" s="407">
        <v>-2000</v>
      </c>
      <c r="G732" s="408"/>
      <c r="H732" s="376" t="s">
        <v>1059</v>
      </c>
      <c r="I732" s="376"/>
      <c r="J732" s="409"/>
      <c r="K732" s="374"/>
      <c r="L732" s="374" t="s">
        <v>239</v>
      </c>
      <c r="M732" s="374"/>
      <c r="N732" s="376" t="s">
        <v>674</v>
      </c>
      <c r="O732" s="376"/>
      <c r="P732" s="376"/>
      <c r="Q732" s="979">
        <v>90</v>
      </c>
      <c r="R732" s="454">
        <v>-2000</v>
      </c>
      <c r="S732" s="370"/>
      <c r="T732" s="368">
        <v>30</v>
      </c>
      <c r="U732" s="368"/>
      <c r="V732" s="368"/>
      <c r="W732" s="368">
        <v>1.1000000000000001</v>
      </c>
      <c r="X732" s="368"/>
      <c r="Y732" s="368"/>
      <c r="Z732" s="368"/>
      <c r="AA732" s="368"/>
      <c r="AB732" s="368"/>
      <c r="AC732" s="368" t="s">
        <v>2963</v>
      </c>
      <c r="AD732" s="368"/>
      <c r="AE732" s="368"/>
      <c r="AF732" s="374">
        <v>100</v>
      </c>
      <c r="AG732" s="377">
        <v>29074.044999999998</v>
      </c>
      <c r="AH732" s="979">
        <v>1469</v>
      </c>
      <c r="AI732" s="978">
        <v>-5214</v>
      </c>
      <c r="AJ732" s="374"/>
      <c r="AK732" s="374"/>
      <c r="AL732" s="374"/>
      <c r="AM732" s="374" t="s">
        <v>2021</v>
      </c>
      <c r="AN732" s="379">
        <v>5.25</v>
      </c>
      <c r="AO732" s="379"/>
      <c r="AP732" s="379"/>
      <c r="AQ732" s="379"/>
      <c r="AR732" s="379"/>
      <c r="AS732" s="379"/>
      <c r="AT732" s="379">
        <f>+ab($T$732,$T$730,$T$734,$G$731,$G$733,-1*$F$732,1200)</f>
        <v>7.6302760504335234</v>
      </c>
      <c r="AU732" s="379"/>
      <c r="AV732" s="379"/>
      <c r="AW732" s="374" t="s">
        <v>699</v>
      </c>
      <c r="AX732" s="374" t="s">
        <v>699</v>
      </c>
      <c r="AY732" s="374" t="s">
        <v>699</v>
      </c>
      <c r="AZ732" s="374" t="s">
        <v>699</v>
      </c>
      <c r="BA732" s="374"/>
      <c r="BB732" s="306"/>
    </row>
    <row r="733" spans="1:54" ht="14.25">
      <c r="A733" s="378"/>
      <c r="B733" s="406"/>
      <c r="C733" s="377"/>
      <c r="D733" s="374"/>
      <c r="E733" s="374"/>
      <c r="F733" s="407"/>
      <c r="G733" s="408">
        <v>50</v>
      </c>
      <c r="H733" s="376"/>
      <c r="I733" s="375"/>
      <c r="J733" s="409"/>
      <c r="K733" s="374"/>
      <c r="L733" s="374"/>
      <c r="M733" s="374"/>
      <c r="N733" s="376"/>
      <c r="O733" s="376"/>
      <c r="P733" s="376"/>
      <c r="Q733" s="979"/>
      <c r="R733" s="454"/>
      <c r="S733" s="370">
        <f>+AG734-AG732</f>
        <v>50.015000000003056</v>
      </c>
      <c r="T733" s="368"/>
      <c r="U733" s="368"/>
      <c r="V733" s="368"/>
      <c r="W733" s="368"/>
      <c r="X733" s="368"/>
      <c r="Y733" s="368"/>
      <c r="Z733" s="368"/>
      <c r="AA733" s="368"/>
      <c r="AB733" s="368"/>
      <c r="AC733" s="368"/>
      <c r="AD733" s="368"/>
      <c r="AE733" s="368"/>
      <c r="AF733" s="374"/>
      <c r="AG733" s="377"/>
      <c r="AH733" s="979" t="s">
        <v>695</v>
      </c>
      <c r="AI733" s="978" t="s">
        <v>695</v>
      </c>
      <c r="AJ733" s="374"/>
      <c r="AK733" s="374"/>
      <c r="AL733" s="374"/>
      <c r="AM733" s="374"/>
      <c r="AN733" s="379"/>
      <c r="AO733" s="379"/>
      <c r="AP733" s="379"/>
      <c r="AQ733" s="379">
        <f>+FL_1($T$734,$T$732,$G$733,1200,9.28,-1*$F$734)</f>
        <v>0.38541056267414808</v>
      </c>
      <c r="AR733" s="379"/>
      <c r="AS733" s="379"/>
      <c r="AT733" s="379"/>
      <c r="AU733" s="379"/>
      <c r="AV733" s="379"/>
      <c r="AW733" s="374"/>
      <c r="AX733" s="374"/>
      <c r="AY733" s="374"/>
      <c r="AZ733" s="374"/>
      <c r="BA733" s="374"/>
      <c r="BB733" s="306"/>
    </row>
    <row r="734" spans="1:54" ht="14.25">
      <c r="A734" s="378" t="s">
        <v>1781</v>
      </c>
      <c r="B734" s="406" t="s">
        <v>1821</v>
      </c>
      <c r="C734" s="377">
        <f>+$C$732+$G$733</f>
        <v>29125</v>
      </c>
      <c r="D734" s="374"/>
      <c r="E734" s="374">
        <v>90</v>
      </c>
      <c r="F734" s="407">
        <v>-2000</v>
      </c>
      <c r="G734" s="408"/>
      <c r="H734" s="376"/>
      <c r="I734" s="376"/>
      <c r="J734" s="409"/>
      <c r="K734" s="374"/>
      <c r="L734" s="374" t="s">
        <v>239</v>
      </c>
      <c r="M734" s="374"/>
      <c r="N734" s="376" t="s">
        <v>674</v>
      </c>
      <c r="O734" s="376"/>
      <c r="P734" s="376"/>
      <c r="Q734" s="979">
        <v>90</v>
      </c>
      <c r="R734" s="454">
        <v>-2000</v>
      </c>
      <c r="S734" s="370"/>
      <c r="T734" s="368">
        <v>30</v>
      </c>
      <c r="U734" s="368"/>
      <c r="V734" s="368"/>
      <c r="W734" s="368">
        <v>1.1000000000000001</v>
      </c>
      <c r="X734" s="368"/>
      <c r="Y734" s="368"/>
      <c r="Z734" s="368"/>
      <c r="AA734" s="368"/>
      <c r="AB734" s="368"/>
      <c r="AC734" s="368" t="s">
        <v>2963</v>
      </c>
      <c r="AD734" s="368"/>
      <c r="AE734" s="368"/>
      <c r="AF734" s="374">
        <v>100</v>
      </c>
      <c r="AG734" s="377">
        <v>29124.06</v>
      </c>
      <c r="AH734" s="979">
        <v>1415</v>
      </c>
      <c r="AI734" s="978">
        <v>-5228</v>
      </c>
      <c r="AJ734" s="374"/>
      <c r="AK734" s="374"/>
      <c r="AL734" s="374"/>
      <c r="AM734" s="374" t="s">
        <v>2021</v>
      </c>
      <c r="AN734" s="379">
        <v>5.25</v>
      </c>
      <c r="AO734" s="379"/>
      <c r="AP734" s="379"/>
      <c r="AQ734" s="379"/>
      <c r="AR734" s="379"/>
      <c r="AS734" s="379"/>
      <c r="AT734" s="379">
        <f>+ab($T$734,$T$732,$T$736,$G$733,$G$735,-1*$F$734,1200)</f>
        <v>7.6302760504335234</v>
      </c>
      <c r="AU734" s="379"/>
      <c r="AV734" s="379"/>
      <c r="AW734" s="374" t="s">
        <v>699</v>
      </c>
      <c r="AX734" s="374" t="s">
        <v>699</v>
      </c>
      <c r="AY734" s="374" t="s">
        <v>699</v>
      </c>
      <c r="AZ734" s="374" t="s">
        <v>699</v>
      </c>
      <c r="BA734" s="374"/>
      <c r="BB734" s="306"/>
    </row>
    <row r="735" spans="1:54" ht="14.25">
      <c r="A735" s="378"/>
      <c r="B735" s="406"/>
      <c r="C735" s="377"/>
      <c r="D735" s="374"/>
      <c r="E735" s="374"/>
      <c r="F735" s="407"/>
      <c r="G735" s="408">
        <v>50</v>
      </c>
      <c r="H735" s="376"/>
      <c r="I735" s="376"/>
      <c r="J735" s="409"/>
      <c r="K735" s="374"/>
      <c r="L735" s="374"/>
      <c r="M735" s="374"/>
      <c r="N735" s="376"/>
      <c r="O735" s="376"/>
      <c r="P735" s="376"/>
      <c r="Q735" s="979"/>
      <c r="R735" s="454"/>
      <c r="S735" s="370">
        <f>+AG736-AG734</f>
        <v>49.990999999998166</v>
      </c>
      <c r="T735" s="368"/>
      <c r="U735" s="368"/>
      <c r="V735" s="368"/>
      <c r="W735" s="368"/>
      <c r="X735" s="368"/>
      <c r="Y735" s="368"/>
      <c r="Z735" s="368"/>
      <c r="AA735" s="368"/>
      <c r="AB735" s="368"/>
      <c r="AC735" s="368"/>
      <c r="AD735" s="368"/>
      <c r="AE735" s="368"/>
      <c r="AF735" s="374"/>
      <c r="AG735" s="377"/>
      <c r="AH735" s="979" t="s">
        <v>695</v>
      </c>
      <c r="AI735" s="978" t="s">
        <v>695</v>
      </c>
      <c r="AJ735" s="374"/>
      <c r="AK735" s="374"/>
      <c r="AL735" s="374"/>
      <c r="AM735" s="374"/>
      <c r="AN735" s="379"/>
      <c r="AO735" s="379"/>
      <c r="AP735" s="379"/>
      <c r="AQ735" s="379">
        <f>+FL_1($T$736,$T$734,$G$735,1200,9.28,-1*$F$736)</f>
        <v>0.38541056267414808</v>
      </c>
      <c r="AR735" s="379"/>
      <c r="AS735" s="379"/>
      <c r="AT735" s="379"/>
      <c r="AU735" s="379"/>
      <c r="AV735" s="379"/>
      <c r="AW735" s="374"/>
      <c r="AX735" s="374"/>
      <c r="AY735" s="374"/>
      <c r="AZ735" s="374"/>
      <c r="BA735" s="374"/>
      <c r="BB735" s="306"/>
    </row>
    <row r="736" spans="1:54" ht="14.25">
      <c r="A736" s="378" t="s">
        <v>1781</v>
      </c>
      <c r="B736" s="406" t="s">
        <v>1822</v>
      </c>
      <c r="C736" s="377">
        <f>+$C$734+$G$735</f>
        <v>29175</v>
      </c>
      <c r="D736" s="374"/>
      <c r="E736" s="374">
        <v>90</v>
      </c>
      <c r="F736" s="407">
        <v>-2000</v>
      </c>
      <c r="G736" s="408"/>
      <c r="H736" s="376"/>
      <c r="I736" s="376"/>
      <c r="J736" s="409"/>
      <c r="K736" s="374"/>
      <c r="L736" s="374" t="s">
        <v>239</v>
      </c>
      <c r="M736" s="374"/>
      <c r="N736" s="376" t="s">
        <v>674</v>
      </c>
      <c r="O736" s="376"/>
      <c r="P736" s="376"/>
      <c r="Q736" s="979">
        <v>90</v>
      </c>
      <c r="R736" s="454">
        <v>-2000</v>
      </c>
      <c r="S736" s="370"/>
      <c r="T736" s="368">
        <v>30</v>
      </c>
      <c r="U736" s="368"/>
      <c r="V736" s="368"/>
      <c r="W736" s="368">
        <v>1.1000000000000001</v>
      </c>
      <c r="X736" s="368"/>
      <c r="Y736" s="368"/>
      <c r="Z736" s="368"/>
      <c r="AA736" s="368"/>
      <c r="AB736" s="368"/>
      <c r="AC736" s="368" t="s">
        <v>2963</v>
      </c>
      <c r="AD736" s="368"/>
      <c r="AE736" s="368"/>
      <c r="AF736" s="374">
        <v>100</v>
      </c>
      <c r="AG736" s="377">
        <v>29174.050999999999</v>
      </c>
      <c r="AH736" s="979">
        <v>1468</v>
      </c>
      <c r="AI736" s="978">
        <v>-5223</v>
      </c>
      <c r="AJ736" s="374"/>
      <c r="AK736" s="374"/>
      <c r="AL736" s="374"/>
      <c r="AM736" s="374" t="s">
        <v>2021</v>
      </c>
      <c r="AN736" s="379">
        <v>5.25</v>
      </c>
      <c r="AO736" s="379"/>
      <c r="AP736" s="379"/>
      <c r="AQ736" s="379"/>
      <c r="AR736" s="379"/>
      <c r="AS736" s="379"/>
      <c r="AT736" s="379">
        <f>+ab($T$736,$T$734,$T$738,$G$735,$G$737,-1*$F$736,1200)</f>
        <v>7.6302760504335234</v>
      </c>
      <c r="AU736" s="379"/>
      <c r="AV736" s="379"/>
      <c r="AW736" s="374" t="s">
        <v>699</v>
      </c>
      <c r="AX736" s="374" t="s">
        <v>699</v>
      </c>
      <c r="AY736" s="374" t="s">
        <v>699</v>
      </c>
      <c r="AZ736" s="374" t="s">
        <v>699</v>
      </c>
      <c r="BA736" s="374"/>
      <c r="BB736" s="306"/>
    </row>
    <row r="737" spans="1:54" ht="14.25">
      <c r="A737" s="378"/>
      <c r="B737" s="406"/>
      <c r="C737" s="377"/>
      <c r="D737" s="374"/>
      <c r="E737" s="374"/>
      <c r="F737" s="407"/>
      <c r="G737" s="408">
        <v>50</v>
      </c>
      <c r="H737" s="376"/>
      <c r="I737" s="376"/>
      <c r="J737" s="409"/>
      <c r="K737" s="374"/>
      <c r="L737" s="374"/>
      <c r="M737" s="374"/>
      <c r="N737" s="376"/>
      <c r="O737" s="376"/>
      <c r="P737" s="376"/>
      <c r="Q737" s="979"/>
      <c r="R737" s="454"/>
      <c r="S737" s="370">
        <f>+AG738-AG736</f>
        <v>50.106999999999971</v>
      </c>
      <c r="T737" s="368"/>
      <c r="U737" s="368"/>
      <c r="V737" s="368"/>
      <c r="W737" s="368"/>
      <c r="X737" s="368"/>
      <c r="Y737" s="368"/>
      <c r="Z737" s="368"/>
      <c r="AA737" s="368"/>
      <c r="AB737" s="368"/>
      <c r="AC737" s="368"/>
      <c r="AD737" s="368"/>
      <c r="AE737" s="368"/>
      <c r="AF737" s="374"/>
      <c r="AG737" s="377"/>
      <c r="AH737" s="979" t="s">
        <v>695</v>
      </c>
      <c r="AI737" s="978" t="s">
        <v>695</v>
      </c>
      <c r="AJ737" s="374"/>
      <c r="AK737" s="374"/>
      <c r="AL737" s="374"/>
      <c r="AM737" s="374"/>
      <c r="AN737" s="379"/>
      <c r="AO737" s="379"/>
      <c r="AP737" s="379"/>
      <c r="AQ737" s="379">
        <f>+FL_1($T$738,$T$736,$G$737,1200,9.28,-1*$F$738)</f>
        <v>0.38541056267414808</v>
      </c>
      <c r="AR737" s="379"/>
      <c r="AS737" s="379"/>
      <c r="AT737" s="379"/>
      <c r="AU737" s="379"/>
      <c r="AV737" s="379"/>
      <c r="AW737" s="374"/>
      <c r="AX737" s="374"/>
      <c r="AY737" s="374"/>
      <c r="AZ737" s="374"/>
      <c r="BA737" s="374"/>
      <c r="BB737" s="306"/>
    </row>
    <row r="738" spans="1:54" ht="14.25">
      <c r="A738" s="378" t="s">
        <v>1781</v>
      </c>
      <c r="B738" s="406" t="s">
        <v>1823</v>
      </c>
      <c r="C738" s="377">
        <f>+$C$736+$G$737</f>
        <v>29225</v>
      </c>
      <c r="D738" s="374"/>
      <c r="E738" s="374">
        <v>90</v>
      </c>
      <c r="F738" s="407">
        <v>-2000</v>
      </c>
      <c r="G738" s="408"/>
      <c r="H738" s="376"/>
      <c r="I738" s="376"/>
      <c r="J738" s="409"/>
      <c r="K738" s="374"/>
      <c r="L738" s="374" t="s">
        <v>239</v>
      </c>
      <c r="M738" s="374"/>
      <c r="N738" s="376" t="s">
        <v>674</v>
      </c>
      <c r="O738" s="376"/>
      <c r="P738" s="376"/>
      <c r="Q738" s="979">
        <v>90</v>
      </c>
      <c r="R738" s="454">
        <v>-2000</v>
      </c>
      <c r="S738" s="370"/>
      <c r="T738" s="368">
        <v>30</v>
      </c>
      <c r="U738" s="368"/>
      <c r="V738" s="368"/>
      <c r="W738" s="368">
        <v>1.1000000000000001</v>
      </c>
      <c r="X738" s="368"/>
      <c r="Y738" s="368"/>
      <c r="Z738" s="368"/>
      <c r="AA738" s="368"/>
      <c r="AB738" s="368"/>
      <c r="AC738" s="368" t="s">
        <v>2963</v>
      </c>
      <c r="AD738" s="368"/>
      <c r="AE738" s="368"/>
      <c r="AF738" s="374">
        <v>100</v>
      </c>
      <c r="AG738" s="377">
        <v>29224.157999999999</v>
      </c>
      <c r="AH738" s="979">
        <v>1471</v>
      </c>
      <c r="AI738" s="978">
        <v>-5181</v>
      </c>
      <c r="AJ738" s="374"/>
      <c r="AK738" s="374"/>
      <c r="AL738" s="374"/>
      <c r="AM738" s="374" t="s">
        <v>2021</v>
      </c>
      <c r="AN738" s="379">
        <v>5.25</v>
      </c>
      <c r="AO738" s="379"/>
      <c r="AP738" s="379"/>
      <c r="AQ738" s="379"/>
      <c r="AR738" s="379"/>
      <c r="AS738" s="379"/>
      <c r="AT738" s="379">
        <f>+ab($T$738,$T$736,$T$740,$G$737,$G$739,-1*$F$738,1200)</f>
        <v>7.6302760504335234</v>
      </c>
      <c r="AU738" s="379"/>
      <c r="AV738" s="379"/>
      <c r="AW738" s="374" t="s">
        <v>699</v>
      </c>
      <c r="AX738" s="374" t="s">
        <v>699</v>
      </c>
      <c r="AY738" s="374" t="s">
        <v>699</v>
      </c>
      <c r="AZ738" s="374" t="s">
        <v>699</v>
      </c>
      <c r="BA738" s="374"/>
      <c r="BB738" s="306"/>
    </row>
    <row r="739" spans="1:54" ht="14.25">
      <c r="A739" s="378"/>
      <c r="B739" s="406"/>
      <c r="C739" s="377"/>
      <c r="D739" s="374"/>
      <c r="E739" s="374"/>
      <c r="F739" s="407"/>
      <c r="G739" s="408">
        <v>50</v>
      </c>
      <c r="H739" s="376"/>
      <c r="I739" s="376"/>
      <c r="J739" s="409"/>
      <c r="K739" s="374"/>
      <c r="L739" s="374"/>
      <c r="M739" s="374"/>
      <c r="N739" s="376"/>
      <c r="O739" s="376"/>
      <c r="P739" s="376"/>
      <c r="Q739" s="979"/>
      <c r="R739" s="454"/>
      <c r="S739" s="370">
        <f>+AG740-AG738</f>
        <v>50.02900000000227</v>
      </c>
      <c r="T739" s="368"/>
      <c r="U739" s="368"/>
      <c r="V739" s="368"/>
      <c r="W739" s="368"/>
      <c r="X739" s="368"/>
      <c r="Y739" s="368"/>
      <c r="Z739" s="368"/>
      <c r="AA739" s="368"/>
      <c r="AB739" s="368"/>
      <c r="AC739" s="368"/>
      <c r="AD739" s="368"/>
      <c r="AE739" s="368"/>
      <c r="AF739" s="374"/>
      <c r="AG739" s="377"/>
      <c r="AH739" s="979" t="s">
        <v>695</v>
      </c>
      <c r="AI739" s="978" t="s">
        <v>695</v>
      </c>
      <c r="AJ739" s="374"/>
      <c r="AK739" s="374"/>
      <c r="AL739" s="374"/>
      <c r="AM739" s="374"/>
      <c r="AN739" s="379"/>
      <c r="AO739" s="379"/>
      <c r="AP739" s="379"/>
      <c r="AQ739" s="379">
        <f>+FL_1($T$740,$T$738,$G$739,1200,9.28,-1*$F$740)</f>
        <v>0.38541056267414808</v>
      </c>
      <c r="AR739" s="379"/>
      <c r="AS739" s="379"/>
      <c r="AT739" s="379"/>
      <c r="AU739" s="379"/>
      <c r="AV739" s="379"/>
      <c r="AW739" s="374"/>
      <c r="AX739" s="374"/>
      <c r="AY739" s="374"/>
      <c r="AZ739" s="374"/>
      <c r="BA739" s="374"/>
      <c r="BB739" s="306"/>
    </row>
    <row r="740" spans="1:54" ht="14.25">
      <c r="A740" s="378" t="s">
        <v>1781</v>
      </c>
      <c r="B740" s="406" t="s">
        <v>1824</v>
      </c>
      <c r="C740" s="377">
        <f>+$C$738+$G$739</f>
        <v>29275</v>
      </c>
      <c r="D740" s="374"/>
      <c r="E740" s="374">
        <v>90</v>
      </c>
      <c r="F740" s="407">
        <v>-2000</v>
      </c>
      <c r="G740" s="408"/>
      <c r="H740" s="376"/>
      <c r="I740" s="376"/>
      <c r="J740" s="409"/>
      <c r="K740" s="374"/>
      <c r="L740" s="374" t="s">
        <v>239</v>
      </c>
      <c r="M740" s="374"/>
      <c r="N740" s="376" t="s">
        <v>674</v>
      </c>
      <c r="O740" s="376"/>
      <c r="P740" s="376"/>
      <c r="Q740" s="979">
        <v>90</v>
      </c>
      <c r="R740" s="454">
        <v>-2000</v>
      </c>
      <c r="S740" s="370"/>
      <c r="T740" s="368">
        <v>30</v>
      </c>
      <c r="U740" s="368"/>
      <c r="V740" s="368"/>
      <c r="W740" s="368">
        <v>1.1000000000000001</v>
      </c>
      <c r="X740" s="368"/>
      <c r="Y740" s="368"/>
      <c r="Z740" s="368"/>
      <c r="AA740" s="368"/>
      <c r="AB740" s="368"/>
      <c r="AC740" s="368" t="s">
        <v>2963</v>
      </c>
      <c r="AD740" s="368"/>
      <c r="AE740" s="368"/>
      <c r="AF740" s="374">
        <v>100</v>
      </c>
      <c r="AG740" s="377">
        <v>29274.187000000002</v>
      </c>
      <c r="AH740" s="979">
        <v>1472</v>
      </c>
      <c r="AI740" s="978">
        <v>-5200</v>
      </c>
      <c r="AJ740" s="374"/>
      <c r="AK740" s="374"/>
      <c r="AL740" s="374"/>
      <c r="AM740" s="374" t="s">
        <v>2021</v>
      </c>
      <c r="AN740" s="379">
        <v>5.25</v>
      </c>
      <c r="AO740" s="379"/>
      <c r="AP740" s="379"/>
      <c r="AQ740" s="379"/>
      <c r="AR740" s="379"/>
      <c r="AS740" s="379"/>
      <c r="AT740" s="379">
        <f>+ab($T$740,$T$738,$T$742,$G$739,$G$741,-1*$F$740,1200)</f>
        <v>7.6302760504335234</v>
      </c>
      <c r="AU740" s="379"/>
      <c r="AV740" s="379"/>
      <c r="AW740" s="374" t="s">
        <v>699</v>
      </c>
      <c r="AX740" s="374" t="s">
        <v>699</v>
      </c>
      <c r="AY740" s="374" t="s">
        <v>699</v>
      </c>
      <c r="AZ740" s="374" t="s">
        <v>699</v>
      </c>
      <c r="BA740" s="374"/>
      <c r="BB740" s="306"/>
    </row>
    <row r="741" spans="1:54" ht="14.25">
      <c r="A741" s="378"/>
      <c r="B741" s="406"/>
      <c r="C741" s="377"/>
      <c r="D741" s="374"/>
      <c r="E741" s="374"/>
      <c r="F741" s="407"/>
      <c r="G741" s="408">
        <v>50</v>
      </c>
      <c r="H741" s="376"/>
      <c r="I741" s="376"/>
      <c r="J741" s="409"/>
      <c r="K741" s="374"/>
      <c r="L741" s="374"/>
      <c r="M741" s="374"/>
      <c r="N741" s="376"/>
      <c r="O741" s="376"/>
      <c r="P741" s="376"/>
      <c r="Q741" s="979"/>
      <c r="R741" s="454"/>
      <c r="S741" s="370">
        <f>+AG742-AG740</f>
        <v>50.034999999999854</v>
      </c>
      <c r="T741" s="368"/>
      <c r="U741" s="368"/>
      <c r="V741" s="368"/>
      <c r="W741" s="368"/>
      <c r="X741" s="368"/>
      <c r="Y741" s="368"/>
      <c r="Z741" s="368"/>
      <c r="AA741" s="368"/>
      <c r="AB741" s="368"/>
      <c r="AC741" s="368"/>
      <c r="AD741" s="368"/>
      <c r="AE741" s="368"/>
      <c r="AF741" s="374"/>
      <c r="AG741" s="377"/>
      <c r="AH741" s="979" t="s">
        <v>695</v>
      </c>
      <c r="AI741" s="978" t="s">
        <v>695</v>
      </c>
      <c r="AJ741" s="374"/>
      <c r="AK741" s="374"/>
      <c r="AL741" s="374"/>
      <c r="AM741" s="374"/>
      <c r="AN741" s="379"/>
      <c r="AO741" s="379"/>
      <c r="AP741" s="379"/>
      <c r="AQ741" s="379">
        <f>+FL_1($T$742,$T$740,$G$741,1200,9.28,-1*$F$742)</f>
        <v>0.38541056267414808</v>
      </c>
      <c r="AR741" s="379"/>
      <c r="AS741" s="379"/>
      <c r="AT741" s="379"/>
      <c r="AU741" s="379"/>
      <c r="AV741" s="379"/>
      <c r="AW741" s="374"/>
      <c r="AX741" s="374"/>
      <c r="AY741" s="374"/>
      <c r="AZ741" s="374"/>
      <c r="BA741" s="374"/>
      <c r="BB741" s="306"/>
    </row>
    <row r="742" spans="1:54" ht="14.25">
      <c r="A742" s="378" t="s">
        <v>1781</v>
      </c>
      <c r="B742" s="406" t="s">
        <v>1825</v>
      </c>
      <c r="C742" s="377">
        <f>+$C$740+$G$741</f>
        <v>29325</v>
      </c>
      <c r="D742" s="374"/>
      <c r="E742" s="374">
        <v>90</v>
      </c>
      <c r="F742" s="407">
        <v>-2000</v>
      </c>
      <c r="G742" s="408"/>
      <c r="H742" s="376"/>
      <c r="I742" s="376"/>
      <c r="J742" s="409"/>
      <c r="K742" s="374"/>
      <c r="L742" s="374" t="s">
        <v>239</v>
      </c>
      <c r="M742" s="374"/>
      <c r="N742" s="376" t="s">
        <v>674</v>
      </c>
      <c r="O742" s="376"/>
      <c r="P742" s="376"/>
      <c r="Q742" s="979">
        <v>90</v>
      </c>
      <c r="R742" s="454">
        <v>-2000</v>
      </c>
      <c r="S742" s="370"/>
      <c r="T742" s="368">
        <v>30</v>
      </c>
      <c r="U742" s="368"/>
      <c r="V742" s="368"/>
      <c r="W742" s="368">
        <v>1.1000000000000001</v>
      </c>
      <c r="X742" s="368"/>
      <c r="Y742" s="368"/>
      <c r="Z742" s="368"/>
      <c r="AA742" s="368"/>
      <c r="AB742" s="368"/>
      <c r="AC742" s="368" t="s">
        <v>2963</v>
      </c>
      <c r="AD742" s="368"/>
      <c r="AE742" s="368"/>
      <c r="AF742" s="374">
        <v>100</v>
      </c>
      <c r="AG742" s="377">
        <v>29324.222000000002</v>
      </c>
      <c r="AH742" s="979">
        <v>1541</v>
      </c>
      <c r="AI742" s="978">
        <v>-5213</v>
      </c>
      <c r="AJ742" s="374"/>
      <c r="AK742" s="374"/>
      <c r="AL742" s="374"/>
      <c r="AM742" s="374" t="s">
        <v>2021</v>
      </c>
      <c r="AN742" s="379">
        <v>5.25</v>
      </c>
      <c r="AO742" s="379"/>
      <c r="AP742" s="379"/>
      <c r="AQ742" s="379"/>
      <c r="AR742" s="379"/>
      <c r="AS742" s="379"/>
      <c r="AT742" s="379">
        <f>+ab($T$742,$T$740,$T$744,$G$741,$G$743,-1*$F$742,1200)</f>
        <v>7.6302760504335234</v>
      </c>
      <c r="AU742" s="379"/>
      <c r="AV742" s="379"/>
      <c r="AW742" s="374" t="s">
        <v>699</v>
      </c>
      <c r="AX742" s="374" t="s">
        <v>699</v>
      </c>
      <c r="AY742" s="374" t="s">
        <v>699</v>
      </c>
      <c r="AZ742" s="374" t="s">
        <v>699</v>
      </c>
      <c r="BA742" s="374"/>
      <c r="BB742" s="306"/>
    </row>
    <row r="743" spans="1:54" ht="14.25">
      <c r="A743" s="378"/>
      <c r="B743" s="406"/>
      <c r="C743" s="377"/>
      <c r="D743" s="374"/>
      <c r="E743" s="374"/>
      <c r="F743" s="407"/>
      <c r="G743" s="408">
        <v>50</v>
      </c>
      <c r="H743" s="376"/>
      <c r="I743" s="376"/>
      <c r="J743" s="409"/>
      <c r="K743" s="374"/>
      <c r="L743" s="374"/>
      <c r="M743" s="374"/>
      <c r="N743" s="376"/>
      <c r="O743" s="376"/>
      <c r="P743" s="376"/>
      <c r="Q743" s="979"/>
      <c r="R743" s="454"/>
      <c r="S743" s="370">
        <f>+AG744-AG742</f>
        <v>50.070999999999913</v>
      </c>
      <c r="T743" s="368"/>
      <c r="U743" s="368"/>
      <c r="V743" s="368"/>
      <c r="W743" s="368"/>
      <c r="X743" s="368"/>
      <c r="Y743" s="368"/>
      <c r="Z743" s="368"/>
      <c r="AA743" s="368"/>
      <c r="AB743" s="368"/>
      <c r="AC743" s="368"/>
      <c r="AD743" s="368"/>
      <c r="AE743" s="368"/>
      <c r="AF743" s="374"/>
      <c r="AG743" s="377"/>
      <c r="AH743" s="979" t="s">
        <v>695</v>
      </c>
      <c r="AI743" s="978" t="s">
        <v>695</v>
      </c>
      <c r="AJ743" s="374"/>
      <c r="AK743" s="374"/>
      <c r="AL743" s="374"/>
      <c r="AM743" s="374"/>
      <c r="AN743" s="379"/>
      <c r="AO743" s="379"/>
      <c r="AP743" s="379"/>
      <c r="AQ743" s="379">
        <f>+FL_1($T$744,$T$742,$G$743,1200,9.28,-1*$F$744)</f>
        <v>0.38541056267414808</v>
      </c>
      <c r="AR743" s="379"/>
      <c r="AS743" s="379"/>
      <c r="AT743" s="379"/>
      <c r="AU743" s="379"/>
      <c r="AV743" s="379"/>
      <c r="AW743" s="374"/>
      <c r="AX743" s="374"/>
      <c r="AY743" s="374"/>
      <c r="AZ743" s="374"/>
      <c r="BA743" s="374"/>
      <c r="BB743" s="306"/>
    </row>
    <row r="744" spans="1:54" ht="14.25">
      <c r="A744" s="378" t="s">
        <v>1781</v>
      </c>
      <c r="B744" s="406" t="s">
        <v>1826</v>
      </c>
      <c r="C744" s="377">
        <f>+$C$742+$G$743</f>
        <v>29375</v>
      </c>
      <c r="D744" s="374"/>
      <c r="E744" s="374">
        <v>90</v>
      </c>
      <c r="F744" s="407">
        <v>-2000</v>
      </c>
      <c r="G744" s="408"/>
      <c r="H744" s="376" t="s">
        <v>138</v>
      </c>
      <c r="I744" s="376" t="s">
        <v>912</v>
      </c>
      <c r="J744" s="409"/>
      <c r="K744" s="374"/>
      <c r="L744" s="374" t="s">
        <v>239</v>
      </c>
      <c r="M744" s="374"/>
      <c r="N744" s="376" t="s">
        <v>674</v>
      </c>
      <c r="O744" s="376"/>
      <c r="P744" s="376"/>
      <c r="Q744" s="979">
        <v>90</v>
      </c>
      <c r="R744" s="454">
        <v>-2000</v>
      </c>
      <c r="S744" s="370"/>
      <c r="T744" s="368">
        <v>30</v>
      </c>
      <c r="U744" s="368"/>
      <c r="V744" s="368"/>
      <c r="W744" s="368">
        <v>1.1000000000000001</v>
      </c>
      <c r="X744" s="368"/>
      <c r="Y744" s="368"/>
      <c r="Z744" s="368"/>
      <c r="AA744" s="368"/>
      <c r="AB744" s="368"/>
      <c r="AC744" s="368" t="s">
        <v>2963</v>
      </c>
      <c r="AD744" s="368"/>
      <c r="AE744" s="368"/>
      <c r="AF744" s="374">
        <v>100</v>
      </c>
      <c r="AG744" s="377">
        <v>29374.293000000001</v>
      </c>
      <c r="AH744" s="979">
        <v>1473</v>
      </c>
      <c r="AI744" s="978">
        <v>-5232</v>
      </c>
      <c r="AJ744" s="374"/>
      <c r="AK744" s="374"/>
      <c r="AL744" s="374"/>
      <c r="AM744" s="374" t="s">
        <v>2021</v>
      </c>
      <c r="AN744" s="379">
        <v>5.25</v>
      </c>
      <c r="AO744" s="379"/>
      <c r="AP744" s="379"/>
      <c r="AQ744" s="379"/>
      <c r="AR744" s="379"/>
      <c r="AS744" s="379"/>
      <c r="AT744" s="379">
        <f>+ab($T$744,$T$742,$T$746,$G$743,$G$745,-1*$F$744,1200)</f>
        <v>7.3400671642256485</v>
      </c>
      <c r="AU744" s="379"/>
      <c r="AV744" s="379"/>
      <c r="AW744" s="374" t="s">
        <v>699</v>
      </c>
      <c r="AX744" s="374" t="s">
        <v>699</v>
      </c>
      <c r="AY744" s="374" t="s">
        <v>699</v>
      </c>
      <c r="AZ744" s="374" t="s">
        <v>699</v>
      </c>
      <c r="BA744" s="374"/>
      <c r="BB744" s="306"/>
    </row>
    <row r="745" spans="1:54" ht="14.25">
      <c r="A745" s="378"/>
      <c r="B745" s="406"/>
      <c r="C745" s="377"/>
      <c r="D745" s="374"/>
      <c r="E745" s="374"/>
      <c r="F745" s="407"/>
      <c r="G745" s="408">
        <v>50</v>
      </c>
      <c r="H745" s="376"/>
      <c r="I745" s="376"/>
      <c r="J745" s="409">
        <f>C744+10</f>
        <v>29385</v>
      </c>
      <c r="K745" s="374" t="s">
        <v>1055</v>
      </c>
      <c r="L745" s="374"/>
      <c r="M745" s="374"/>
      <c r="N745" s="376"/>
      <c r="O745" s="376"/>
      <c r="P745" s="376"/>
      <c r="Q745" s="979"/>
      <c r="R745" s="454"/>
      <c r="S745" s="370">
        <f>+AG746-AG744</f>
        <v>50.083999999998923</v>
      </c>
      <c r="T745" s="368"/>
      <c r="U745" s="368"/>
      <c r="V745" s="368"/>
      <c r="W745" s="368"/>
      <c r="X745" s="368"/>
      <c r="Y745" s="368"/>
      <c r="Z745" s="368"/>
      <c r="AA745" s="368"/>
      <c r="AB745" s="368"/>
      <c r="AC745" s="368"/>
      <c r="AD745" s="368"/>
      <c r="AE745" s="368"/>
      <c r="AF745" s="374"/>
      <c r="AG745" s="377"/>
      <c r="AH745" s="979" t="s">
        <v>695</v>
      </c>
      <c r="AI745" s="978" t="s">
        <v>695</v>
      </c>
      <c r="AJ745" s="374"/>
      <c r="AK745" s="374"/>
      <c r="AL745" s="374"/>
      <c r="AM745" s="374"/>
      <c r="AN745" s="379"/>
      <c r="AO745" s="379"/>
      <c r="AP745" s="379"/>
      <c r="AQ745" s="379">
        <f>+FL_1($U$746,$T$744,$G$745,1200,9.28,-1*$F$746)</f>
        <v>0.30614705457322</v>
      </c>
      <c r="AR745" s="379"/>
      <c r="AS745" s="379"/>
      <c r="AT745" s="379"/>
      <c r="AU745" s="379"/>
      <c r="AV745" s="379"/>
      <c r="AW745" s="374"/>
      <c r="AX745" s="374"/>
      <c r="AY745" s="374"/>
      <c r="AZ745" s="374"/>
      <c r="BA745" s="374"/>
      <c r="BB745" s="306"/>
    </row>
    <row r="746" spans="1:54" ht="14.25">
      <c r="A746" s="378" t="s">
        <v>1781</v>
      </c>
      <c r="B746" s="406" t="s">
        <v>1827</v>
      </c>
      <c r="C746" s="377">
        <f>+$C$744+$G$745</f>
        <v>29425</v>
      </c>
      <c r="D746" s="374"/>
      <c r="E746" s="374">
        <v>90</v>
      </c>
      <c r="F746" s="407">
        <v>-2000</v>
      </c>
      <c r="G746" s="408"/>
      <c r="H746" s="376" t="s">
        <v>651</v>
      </c>
      <c r="I746" s="376"/>
      <c r="J746" s="409"/>
      <c r="K746" s="374"/>
      <c r="L746" s="374" t="s">
        <v>458</v>
      </c>
      <c r="M746" s="374"/>
      <c r="N746" s="376" t="s">
        <v>675</v>
      </c>
      <c r="O746" s="376" t="s">
        <v>674</v>
      </c>
      <c r="P746" s="376"/>
      <c r="Q746" s="979">
        <v>90</v>
      </c>
      <c r="R746" s="454">
        <v>-2000</v>
      </c>
      <c r="S746" s="370"/>
      <c r="T746" s="368">
        <v>25</v>
      </c>
      <c r="U746" s="368">
        <v>5</v>
      </c>
      <c r="V746" s="368"/>
      <c r="W746" s="368">
        <v>1.1000000000000001</v>
      </c>
      <c r="X746" s="368">
        <v>1.2</v>
      </c>
      <c r="Y746" s="368"/>
      <c r="Z746" s="368">
        <v>0.45</v>
      </c>
      <c r="AA746" s="368"/>
      <c r="AB746" s="368"/>
      <c r="AC746" s="368"/>
      <c r="AD746" s="368" t="s">
        <v>1704</v>
      </c>
      <c r="AE746" s="368"/>
      <c r="AF746" s="374">
        <v>100</v>
      </c>
      <c r="AG746" s="377">
        <v>29424.377</v>
      </c>
      <c r="AH746" s="979">
        <v>1455</v>
      </c>
      <c r="AI746" s="978">
        <v>-5217</v>
      </c>
      <c r="AJ746" s="374"/>
      <c r="AK746" s="374"/>
      <c r="AL746" s="374"/>
      <c r="AM746" s="374" t="s">
        <v>2021</v>
      </c>
      <c r="AN746" s="379">
        <v>5.25</v>
      </c>
      <c r="AO746" s="379"/>
      <c r="AP746" s="379"/>
      <c r="AQ746" s="379"/>
      <c r="AR746" s="379"/>
      <c r="AS746" s="379"/>
      <c r="AT746" s="379">
        <f>+ab($U$746,$T$744,$U$748,$G$745,$G$747,-1*$F$746,1200)</f>
        <v>9.5064275396827416</v>
      </c>
      <c r="AU746" s="379"/>
      <c r="AV746" s="379"/>
      <c r="AW746" s="374" t="s">
        <v>699</v>
      </c>
      <c r="AX746" s="374" t="s">
        <v>699</v>
      </c>
      <c r="AY746" s="374" t="s">
        <v>699</v>
      </c>
      <c r="AZ746" s="374" t="s">
        <v>699</v>
      </c>
      <c r="BA746" s="374"/>
      <c r="BB746" s="306"/>
    </row>
    <row r="747" spans="1:54" ht="14.25">
      <c r="A747" s="378"/>
      <c r="B747" s="406"/>
      <c r="C747" s="377"/>
      <c r="D747" s="374"/>
      <c r="E747" s="374"/>
      <c r="F747" s="407"/>
      <c r="G747" s="408">
        <v>50</v>
      </c>
      <c r="H747" s="376"/>
      <c r="I747" s="376"/>
      <c r="J747" s="409"/>
      <c r="K747" s="374"/>
      <c r="L747" s="374"/>
      <c r="M747" s="374"/>
      <c r="N747" s="376"/>
      <c r="O747" s="376"/>
      <c r="P747" s="376"/>
      <c r="Q747" s="979">
        <v>90</v>
      </c>
      <c r="R747" s="454">
        <v>-2000</v>
      </c>
      <c r="S747" s="370">
        <f>+AG748-AG746</f>
        <v>50.055000000000291</v>
      </c>
      <c r="T747" s="368"/>
      <c r="U747" s="368"/>
      <c r="V747" s="368"/>
      <c r="W747" s="368"/>
      <c r="X747" s="368"/>
      <c r="Y747" s="368"/>
      <c r="Z747" s="368"/>
      <c r="AA747" s="368"/>
      <c r="AB747" s="368"/>
      <c r="AC747" s="368"/>
      <c r="AD747" s="368"/>
      <c r="AE747" s="368"/>
      <c r="AF747" s="374">
        <v>100</v>
      </c>
      <c r="AG747" s="377">
        <f>AG746+1.988</f>
        <v>29426.365000000002</v>
      </c>
      <c r="AH747" s="979">
        <v>1477</v>
      </c>
      <c r="AI747" s="978">
        <v>-5222</v>
      </c>
      <c r="AJ747" s="374"/>
      <c r="AK747" s="374"/>
      <c r="AL747" s="374"/>
      <c r="AM747" s="374"/>
      <c r="AN747" s="379"/>
      <c r="AO747" s="379"/>
      <c r="AP747" s="379"/>
      <c r="AQ747" s="379">
        <f>+FL_1($T$748,$U$746,$G$747,1200,9.28,-1*$F$748)</f>
        <v>0.26468231937221137</v>
      </c>
      <c r="AR747" s="379"/>
      <c r="AS747" s="379"/>
      <c r="AT747" s="379"/>
      <c r="AU747" s="379"/>
      <c r="AV747" s="379"/>
      <c r="AW747" s="374"/>
      <c r="AX747" s="374"/>
      <c r="AY747" s="374"/>
      <c r="AZ747" s="374"/>
      <c r="BA747" s="374"/>
      <c r="BB747" s="306"/>
    </row>
    <row r="748" spans="1:54" ht="14.25">
      <c r="A748" s="378" t="s">
        <v>1781</v>
      </c>
      <c r="B748" s="406" t="s">
        <v>1828</v>
      </c>
      <c r="C748" s="377">
        <f>+$C$746+$G$747</f>
        <v>29475</v>
      </c>
      <c r="D748" s="374"/>
      <c r="E748" s="374">
        <v>90</v>
      </c>
      <c r="F748" s="407">
        <v>-2000</v>
      </c>
      <c r="G748" s="408"/>
      <c r="H748" s="376" t="s">
        <v>651</v>
      </c>
      <c r="I748" s="376"/>
      <c r="J748" s="409"/>
      <c r="K748" s="374"/>
      <c r="L748" s="374" t="s">
        <v>458</v>
      </c>
      <c r="M748" s="374"/>
      <c r="N748" s="376" t="s">
        <v>674</v>
      </c>
      <c r="O748" s="376" t="s">
        <v>675</v>
      </c>
      <c r="P748" s="376"/>
      <c r="Q748" s="979">
        <v>90</v>
      </c>
      <c r="R748" s="454">
        <v>-2000</v>
      </c>
      <c r="S748" s="370"/>
      <c r="T748" s="368">
        <v>25</v>
      </c>
      <c r="U748" s="368">
        <v>5</v>
      </c>
      <c r="V748" s="368"/>
      <c r="W748" s="368">
        <v>1.1000000000000001</v>
      </c>
      <c r="X748" s="368">
        <v>1.2</v>
      </c>
      <c r="Y748" s="368"/>
      <c r="Z748" s="368"/>
      <c r="AA748" s="368">
        <v>0.45</v>
      </c>
      <c r="AB748" s="368"/>
      <c r="AC748" s="368" t="s">
        <v>2963</v>
      </c>
      <c r="AD748" s="368"/>
      <c r="AE748" s="368"/>
      <c r="AF748" s="374">
        <v>100</v>
      </c>
      <c r="AG748" s="377">
        <v>29474.432000000001</v>
      </c>
      <c r="AH748" s="979">
        <v>1450</v>
      </c>
      <c r="AI748" s="978">
        <v>-5213</v>
      </c>
      <c r="AJ748" s="374"/>
      <c r="AK748" s="374"/>
      <c r="AL748" s="374"/>
      <c r="AM748" s="374" t="s">
        <v>2021</v>
      </c>
      <c r="AN748" s="379">
        <v>5.25</v>
      </c>
      <c r="AO748" s="379"/>
      <c r="AP748" s="379"/>
      <c r="AQ748" s="379"/>
      <c r="AR748" s="379"/>
      <c r="AS748" s="379"/>
      <c r="AT748" s="379">
        <f>+ab($T$748,$T$746,$T$750,$G$747,$G$749,-1*$F$748,1200)</f>
        <v>7.9442247325081086</v>
      </c>
      <c r="AU748" s="379"/>
      <c r="AV748" s="379"/>
      <c r="AW748" s="374" t="s">
        <v>699</v>
      </c>
      <c r="AX748" s="374" t="s">
        <v>699</v>
      </c>
      <c r="AY748" s="374" t="s">
        <v>699</v>
      </c>
      <c r="AZ748" s="374" t="s">
        <v>699</v>
      </c>
      <c r="BA748" s="374"/>
      <c r="BB748" s="306"/>
    </row>
    <row r="749" spans="1:54" ht="14.25">
      <c r="A749" s="378"/>
      <c r="B749" s="406"/>
      <c r="C749" s="377"/>
      <c r="D749" s="374"/>
      <c r="E749" s="374"/>
      <c r="F749" s="407"/>
      <c r="G749" s="408">
        <v>50</v>
      </c>
      <c r="H749" s="376"/>
      <c r="I749" s="376"/>
      <c r="J749" s="409">
        <f>C750-10</f>
        <v>29515</v>
      </c>
      <c r="K749" s="374" t="s">
        <v>1055</v>
      </c>
      <c r="L749" s="374"/>
      <c r="M749" s="374"/>
      <c r="N749" s="376"/>
      <c r="O749" s="376"/>
      <c r="P749" s="376"/>
      <c r="Q749" s="979">
        <v>90</v>
      </c>
      <c r="R749" s="454">
        <v>-2000</v>
      </c>
      <c r="S749" s="370">
        <f>+AG750-AG748</f>
        <v>50.36200000000099</v>
      </c>
      <c r="T749" s="368"/>
      <c r="U749" s="368"/>
      <c r="V749" s="368"/>
      <c r="W749" s="368"/>
      <c r="X749" s="368"/>
      <c r="Y749" s="368"/>
      <c r="Z749" s="368"/>
      <c r="AA749" s="368"/>
      <c r="AB749" s="368"/>
      <c r="AC749" s="368"/>
      <c r="AD749" s="368"/>
      <c r="AE749" s="368"/>
      <c r="AF749" s="374">
        <v>100</v>
      </c>
      <c r="AG749" s="377">
        <f>AG748+1.978</f>
        <v>29476.41</v>
      </c>
      <c r="AH749" s="979">
        <v>1494</v>
      </c>
      <c r="AI749" s="978">
        <v>-5194</v>
      </c>
      <c r="AJ749" s="374"/>
      <c r="AK749" s="374"/>
      <c r="AL749" s="374"/>
      <c r="AM749" s="374"/>
      <c r="AN749" s="379"/>
      <c r="AO749" s="379"/>
      <c r="AP749" s="379"/>
      <c r="AQ749" s="379">
        <f>+FL_1($T$750,$T$748,$G$749,1200,9.28,-1*$F$750)</f>
        <v>0.36224008953315867</v>
      </c>
      <c r="AR749" s="379"/>
      <c r="AS749" s="379"/>
      <c r="AT749" s="379"/>
      <c r="AU749" s="379"/>
      <c r="AV749" s="379"/>
      <c r="AW749" s="374"/>
      <c r="AX749" s="374"/>
      <c r="AY749" s="374"/>
      <c r="AZ749" s="374"/>
      <c r="BA749" s="374"/>
      <c r="BB749" s="306"/>
    </row>
    <row r="750" spans="1:54" ht="14.25">
      <c r="A750" s="378" t="s">
        <v>1781</v>
      </c>
      <c r="B750" s="406" t="s">
        <v>1829</v>
      </c>
      <c r="C750" s="377">
        <f>+$C$748+$G$749</f>
        <v>29525</v>
      </c>
      <c r="D750" s="374"/>
      <c r="E750" s="374">
        <v>90</v>
      </c>
      <c r="F750" s="407">
        <v>-2000</v>
      </c>
      <c r="G750" s="408"/>
      <c r="H750" s="376" t="s">
        <v>138</v>
      </c>
      <c r="I750" s="376" t="s">
        <v>912</v>
      </c>
      <c r="J750" s="409"/>
      <c r="K750" s="374"/>
      <c r="L750" s="374" t="s">
        <v>239</v>
      </c>
      <c r="M750" s="374"/>
      <c r="N750" s="376" t="s">
        <v>674</v>
      </c>
      <c r="O750" s="376"/>
      <c r="P750" s="376"/>
      <c r="Q750" s="979">
        <v>90</v>
      </c>
      <c r="R750" s="454">
        <v>-2000</v>
      </c>
      <c r="S750" s="370"/>
      <c r="T750" s="368">
        <v>30</v>
      </c>
      <c r="U750" s="368"/>
      <c r="V750" s="368"/>
      <c r="W750" s="368">
        <v>1.1000000000000001</v>
      </c>
      <c r="X750" s="368"/>
      <c r="Y750" s="368"/>
      <c r="Z750" s="368"/>
      <c r="AA750" s="368"/>
      <c r="AB750" s="368"/>
      <c r="AC750" s="368" t="s">
        <v>2963</v>
      </c>
      <c r="AD750" s="368"/>
      <c r="AE750" s="368"/>
      <c r="AF750" s="374">
        <v>100</v>
      </c>
      <c r="AG750" s="377">
        <v>29524.794000000002</v>
      </c>
      <c r="AH750" s="979">
        <v>1461</v>
      </c>
      <c r="AI750" s="978">
        <v>-5213</v>
      </c>
      <c r="AJ750" s="374"/>
      <c r="AK750" s="374"/>
      <c r="AL750" s="374"/>
      <c r="AM750" s="374" t="s">
        <v>2021</v>
      </c>
      <c r="AN750" s="379">
        <v>5.25</v>
      </c>
      <c r="AO750" s="379"/>
      <c r="AP750" s="379"/>
      <c r="AQ750" s="379"/>
      <c r="AR750" s="379"/>
      <c r="AS750" s="379"/>
      <c r="AT750" s="379">
        <f>+ab($T$750,$T$748,$T$752,$G$749,$G$751,-1*$F$750,1200)</f>
        <v>7.3400671642256485</v>
      </c>
      <c r="AU750" s="379"/>
      <c r="AV750" s="379"/>
      <c r="AW750" s="374" t="s">
        <v>699</v>
      </c>
      <c r="AX750" s="374" t="s">
        <v>699</v>
      </c>
      <c r="AY750" s="374" t="s">
        <v>699</v>
      </c>
      <c r="AZ750" s="374" t="s">
        <v>699</v>
      </c>
      <c r="BA750" s="374"/>
      <c r="BB750" s="306"/>
    </row>
    <row r="751" spans="1:54" ht="14.25">
      <c r="A751" s="378"/>
      <c r="B751" s="406"/>
      <c r="C751" s="377"/>
      <c r="D751" s="374"/>
      <c r="E751" s="374"/>
      <c r="F751" s="407"/>
      <c r="G751" s="408">
        <v>50</v>
      </c>
      <c r="H751" s="376"/>
      <c r="I751" s="376"/>
      <c r="J751" s="409"/>
      <c r="K751" s="374"/>
      <c r="L751" s="374"/>
      <c r="M751" s="374"/>
      <c r="N751" s="376"/>
      <c r="O751" s="376"/>
      <c r="P751" s="376"/>
      <c r="Q751" s="979"/>
      <c r="R751" s="454"/>
      <c r="S751" s="370">
        <f>+AG752-AG750</f>
        <v>50.210999999999331</v>
      </c>
      <c r="T751" s="368"/>
      <c r="U751" s="368"/>
      <c r="V751" s="368"/>
      <c r="W751" s="368"/>
      <c r="X751" s="368"/>
      <c r="Y751" s="368"/>
      <c r="Z751" s="368"/>
      <c r="AA751" s="368"/>
      <c r="AB751" s="368"/>
      <c r="AC751" s="368"/>
      <c r="AD751" s="368"/>
      <c r="AE751" s="368"/>
      <c r="AF751" s="374"/>
      <c r="AG751" s="377"/>
      <c r="AH751" s="979" t="s">
        <v>695</v>
      </c>
      <c r="AI751" s="978" t="s">
        <v>695</v>
      </c>
      <c r="AJ751" s="374"/>
      <c r="AK751" s="374"/>
      <c r="AL751" s="374"/>
      <c r="AM751" s="374"/>
      <c r="AN751" s="379"/>
      <c r="AO751" s="379"/>
      <c r="AP751" s="379"/>
      <c r="AQ751" s="379">
        <f>+FL_1($T$752,$T$750,$G$751,1200,9.28,-1*$F$752)</f>
        <v>0.38541056267414808</v>
      </c>
      <c r="AR751" s="379"/>
      <c r="AS751" s="379"/>
      <c r="AT751" s="379"/>
      <c r="AU751" s="379"/>
      <c r="AV751" s="379"/>
      <c r="AW751" s="374"/>
      <c r="AX751" s="374"/>
      <c r="AY751" s="374"/>
      <c r="AZ751" s="374"/>
      <c r="BA751" s="374"/>
      <c r="BB751" s="306"/>
    </row>
    <row r="752" spans="1:54" ht="14.25">
      <c r="A752" s="378" t="s">
        <v>1781</v>
      </c>
      <c r="B752" s="406" t="s">
        <v>1830</v>
      </c>
      <c r="C752" s="377">
        <f>+$C$750+$G$751</f>
        <v>29575</v>
      </c>
      <c r="D752" s="374"/>
      <c r="E752" s="374">
        <v>90</v>
      </c>
      <c r="F752" s="407">
        <v>-2000</v>
      </c>
      <c r="G752" s="408"/>
      <c r="H752" s="376"/>
      <c r="I752" s="375"/>
      <c r="J752" s="409"/>
      <c r="K752" s="374"/>
      <c r="L752" s="374" t="s">
        <v>239</v>
      </c>
      <c r="M752" s="374"/>
      <c r="N752" s="376" t="s">
        <v>674</v>
      </c>
      <c r="O752" s="376"/>
      <c r="P752" s="376"/>
      <c r="Q752" s="979">
        <v>90</v>
      </c>
      <c r="R752" s="454">
        <v>-2000</v>
      </c>
      <c r="S752" s="370"/>
      <c r="T752" s="368">
        <v>30</v>
      </c>
      <c r="U752" s="368"/>
      <c r="V752" s="368"/>
      <c r="W752" s="368">
        <v>1.1000000000000001</v>
      </c>
      <c r="X752" s="368"/>
      <c r="Y752" s="368"/>
      <c r="Z752" s="368"/>
      <c r="AA752" s="368"/>
      <c r="AB752" s="368"/>
      <c r="AC752" s="368" t="s">
        <v>2963</v>
      </c>
      <c r="AD752" s="368"/>
      <c r="AE752" s="368"/>
      <c r="AF752" s="374">
        <v>100</v>
      </c>
      <c r="AG752" s="377">
        <v>29575.005000000001</v>
      </c>
      <c r="AH752" s="979">
        <v>1464</v>
      </c>
      <c r="AI752" s="978">
        <v>-5233</v>
      </c>
      <c r="AJ752" s="374"/>
      <c r="AK752" s="374"/>
      <c r="AL752" s="374"/>
      <c r="AM752" s="374" t="s">
        <v>2021</v>
      </c>
      <c r="AN752" s="379">
        <v>5.25</v>
      </c>
      <c r="AO752" s="379"/>
      <c r="AP752" s="379"/>
      <c r="AQ752" s="379"/>
      <c r="AR752" s="379"/>
      <c r="AS752" s="379"/>
      <c r="AT752" s="379">
        <f>+ab($T$752,$T$750,$T$754,$G$751,$G$753,-1*$F$752,1200)</f>
        <v>7.6302760504335234</v>
      </c>
      <c r="AU752" s="379"/>
      <c r="AV752" s="379"/>
      <c r="AW752" s="374" t="s">
        <v>699</v>
      </c>
      <c r="AX752" s="374" t="s">
        <v>699</v>
      </c>
      <c r="AY752" s="374" t="s">
        <v>699</v>
      </c>
      <c r="AZ752" s="374" t="s">
        <v>699</v>
      </c>
      <c r="BA752" s="374"/>
      <c r="BB752" s="306"/>
    </row>
    <row r="753" spans="1:54" ht="14.25">
      <c r="A753" s="378"/>
      <c r="B753" s="406"/>
      <c r="C753" s="377"/>
      <c r="D753" s="374"/>
      <c r="E753" s="374"/>
      <c r="F753" s="407"/>
      <c r="G753" s="408">
        <v>50</v>
      </c>
      <c r="H753" s="376"/>
      <c r="I753" s="376"/>
      <c r="J753" s="409"/>
      <c r="K753" s="374"/>
      <c r="L753" s="374"/>
      <c r="M753" s="374"/>
      <c r="N753" s="376"/>
      <c r="O753" s="376"/>
      <c r="P753" s="376"/>
      <c r="Q753" s="979"/>
      <c r="R753" s="454"/>
      <c r="S753" s="370">
        <f>+AG754-AG752</f>
        <v>49.855999999999767</v>
      </c>
      <c r="T753" s="368"/>
      <c r="U753" s="368"/>
      <c r="V753" s="368"/>
      <c r="W753" s="368"/>
      <c r="X753" s="368"/>
      <c r="Y753" s="368"/>
      <c r="Z753" s="368"/>
      <c r="AA753" s="368"/>
      <c r="AB753" s="368"/>
      <c r="AC753" s="368"/>
      <c r="AD753" s="368"/>
      <c r="AE753" s="368"/>
      <c r="AF753" s="374"/>
      <c r="AG753" s="377"/>
      <c r="AH753" s="979" t="s">
        <v>695</v>
      </c>
      <c r="AI753" s="978" t="s">
        <v>695</v>
      </c>
      <c r="AJ753" s="374"/>
      <c r="AK753" s="374"/>
      <c r="AL753" s="374"/>
      <c r="AM753" s="374"/>
      <c r="AN753" s="379"/>
      <c r="AO753" s="379"/>
      <c r="AP753" s="379"/>
      <c r="AQ753" s="379">
        <f>+FL_1($T$754,$T$752,$G$753,1200,9.28,-1*$F$754)</f>
        <v>0.36567110281172666</v>
      </c>
      <c r="AR753" s="379"/>
      <c r="AS753" s="379"/>
      <c r="AT753" s="379"/>
      <c r="AU753" s="379"/>
      <c r="AV753" s="379"/>
      <c r="AW753" s="374"/>
      <c r="AX753" s="374"/>
      <c r="AY753" s="374"/>
      <c r="AZ753" s="374"/>
      <c r="BA753" s="374"/>
      <c r="BB753" s="306"/>
    </row>
    <row r="754" spans="1:54" ht="14.25">
      <c r="A754" s="378" t="s">
        <v>1781</v>
      </c>
      <c r="B754" s="406" t="s">
        <v>1831</v>
      </c>
      <c r="C754" s="377">
        <f>+$C$752+$G$753</f>
        <v>29625</v>
      </c>
      <c r="D754" s="374"/>
      <c r="E754" s="374"/>
      <c r="F754" s="407">
        <f>-380000/(29839-C754)</f>
        <v>-1775.7009345794393</v>
      </c>
      <c r="G754" s="408"/>
      <c r="H754" s="376"/>
      <c r="I754" s="375"/>
      <c r="J754" s="409"/>
      <c r="K754" s="374"/>
      <c r="L754" s="374" t="s">
        <v>239</v>
      </c>
      <c r="M754" s="374"/>
      <c r="N754" s="376" t="s">
        <v>674</v>
      </c>
      <c r="O754" s="376"/>
      <c r="P754" s="376"/>
      <c r="Q754" s="979">
        <v>81</v>
      </c>
      <c r="R754" s="454">
        <v>-2209.1391823416116</v>
      </c>
      <c r="S754" s="370"/>
      <c r="T754" s="368">
        <v>30</v>
      </c>
      <c r="U754" s="368"/>
      <c r="V754" s="368"/>
      <c r="W754" s="368">
        <v>1.1000000000000001</v>
      </c>
      <c r="X754" s="368"/>
      <c r="Y754" s="368"/>
      <c r="Z754" s="368"/>
      <c r="AA754" s="368"/>
      <c r="AB754" s="368"/>
      <c r="AC754" s="368" t="s">
        <v>1704</v>
      </c>
      <c r="AD754" s="368"/>
      <c r="AE754" s="368"/>
      <c r="AF754" s="374">
        <v>100</v>
      </c>
      <c r="AG754" s="377">
        <v>29624.861000000001</v>
      </c>
      <c r="AH754" s="979">
        <v>1489</v>
      </c>
      <c r="AI754" s="978">
        <v>-5216</v>
      </c>
      <c r="AJ754" s="374"/>
      <c r="AK754" s="374"/>
      <c r="AL754" s="374"/>
      <c r="AM754" s="374" t="s">
        <v>2021</v>
      </c>
      <c r="AN754" s="379">
        <v>5.25</v>
      </c>
      <c r="AO754" s="379"/>
      <c r="AP754" s="379"/>
      <c r="AQ754" s="379"/>
      <c r="AR754" s="379"/>
      <c r="AS754" s="379"/>
      <c r="AT754" s="379">
        <f>+ab($T$754,$T$752,$T$756,$G$753,$G$755,-1*$F$754,1200)</f>
        <v>6.7830124471283586</v>
      </c>
      <c r="AU754" s="379"/>
      <c r="AV754" s="379"/>
      <c r="AW754" s="374" t="s">
        <v>699</v>
      </c>
      <c r="AX754" s="374" t="s">
        <v>699</v>
      </c>
      <c r="AY754" s="374" t="s">
        <v>699</v>
      </c>
      <c r="AZ754" s="374" t="s">
        <v>699</v>
      </c>
      <c r="BA754" s="374"/>
      <c r="BB754" s="306"/>
    </row>
    <row r="755" spans="1:54" ht="14.25">
      <c r="A755" s="378"/>
      <c r="B755" s="406"/>
      <c r="C755" s="377"/>
      <c r="D755" s="374"/>
      <c r="E755" s="374"/>
      <c r="F755" s="407"/>
      <c r="G755" s="408">
        <v>50</v>
      </c>
      <c r="H755" s="376"/>
      <c r="I755" s="376"/>
      <c r="J755" s="409"/>
      <c r="K755" s="374"/>
      <c r="L755" s="374"/>
      <c r="M755" s="374"/>
      <c r="N755" s="376"/>
      <c r="O755" s="376"/>
      <c r="P755" s="376"/>
      <c r="Q755" s="979"/>
      <c r="R755" s="454"/>
      <c r="S755" s="370">
        <f>+AG756-AG754</f>
        <v>50.056000000000495</v>
      </c>
      <c r="T755" s="368"/>
      <c r="U755" s="368"/>
      <c r="V755" s="368"/>
      <c r="W755" s="368"/>
      <c r="X755" s="368"/>
      <c r="Y755" s="368"/>
      <c r="Z755" s="368"/>
      <c r="AA755" s="368"/>
      <c r="AB755" s="368"/>
      <c r="AC755" s="368"/>
      <c r="AD755" s="368"/>
      <c r="AE755" s="368"/>
      <c r="AF755" s="374"/>
      <c r="AG755" s="377"/>
      <c r="AH755" s="979" t="s">
        <v>695</v>
      </c>
      <c r="AI755" s="978" t="s">
        <v>695</v>
      </c>
      <c r="AJ755" s="374"/>
      <c r="AK755" s="374"/>
      <c r="AL755" s="374"/>
      <c r="AM755" s="374"/>
      <c r="AN755" s="379"/>
      <c r="AO755" s="379"/>
      <c r="AP755" s="379"/>
      <c r="AQ755" s="379">
        <f>+FL_1($T$756,$T$754,$G$755,1200,9.28,-1*$F$756)</f>
        <v>0.40679432028506801</v>
      </c>
      <c r="AR755" s="379"/>
      <c r="AS755" s="379"/>
      <c r="AT755" s="379"/>
      <c r="AU755" s="379"/>
      <c r="AV755" s="379"/>
      <c r="AW755" s="374"/>
      <c r="AX755" s="374"/>
      <c r="AY755" s="374"/>
      <c r="AZ755" s="374"/>
      <c r="BA755" s="374"/>
      <c r="BB755" s="306"/>
    </row>
    <row r="756" spans="1:54" ht="14.25">
      <c r="A756" s="378" t="s">
        <v>1781</v>
      </c>
      <c r="B756" s="406" t="s">
        <v>1832</v>
      </c>
      <c r="C756" s="377">
        <f>+$C$754+$G$755</f>
        <v>29675</v>
      </c>
      <c r="D756" s="374"/>
      <c r="E756" s="374"/>
      <c r="F756" s="407">
        <f>-380000/(29839-C756)</f>
        <v>-2317.0731707317073</v>
      </c>
      <c r="G756" s="408"/>
      <c r="H756" s="376"/>
      <c r="I756" s="376"/>
      <c r="J756" s="409"/>
      <c r="K756" s="374"/>
      <c r="L756" s="374" t="s">
        <v>239</v>
      </c>
      <c r="M756" s="374"/>
      <c r="N756" s="376" t="s">
        <v>674</v>
      </c>
      <c r="O756" s="376"/>
      <c r="P756" s="376"/>
      <c r="Q756" s="979">
        <v>62</v>
      </c>
      <c r="R756" s="454">
        <v>-2870.415866238528</v>
      </c>
      <c r="S756" s="370"/>
      <c r="T756" s="368">
        <v>30</v>
      </c>
      <c r="U756" s="368"/>
      <c r="V756" s="368"/>
      <c r="W756" s="368">
        <v>1.1000000000000001</v>
      </c>
      <c r="X756" s="368"/>
      <c r="Y756" s="368"/>
      <c r="Z756" s="368"/>
      <c r="AA756" s="368"/>
      <c r="AB756" s="368"/>
      <c r="AC756" s="368" t="s">
        <v>1704</v>
      </c>
      <c r="AD756" s="368"/>
      <c r="AE756" s="368"/>
      <c r="AF756" s="374">
        <v>100</v>
      </c>
      <c r="AG756" s="377">
        <v>29674.917000000001</v>
      </c>
      <c r="AH756" s="979">
        <v>1485</v>
      </c>
      <c r="AI756" s="978">
        <v>-5233</v>
      </c>
      <c r="AJ756" s="374"/>
      <c r="AK756" s="374"/>
      <c r="AL756" s="374"/>
      <c r="AM756" s="374" t="s">
        <v>2021</v>
      </c>
      <c r="AN756" s="379">
        <v>5.25</v>
      </c>
      <c r="AO756" s="379"/>
      <c r="AP756" s="379"/>
      <c r="AQ756" s="379"/>
      <c r="AR756" s="379"/>
      <c r="AS756" s="379"/>
      <c r="AT756" s="379">
        <f>+ab($T$756,$T$754,$T$758,$G$755,$G$757,-1*$F$756,1200)</f>
        <v>8.084226672640785</v>
      </c>
      <c r="AU756" s="379"/>
      <c r="AV756" s="379"/>
      <c r="AW756" s="374" t="s">
        <v>699</v>
      </c>
      <c r="AX756" s="374" t="s">
        <v>699</v>
      </c>
      <c r="AY756" s="374" t="s">
        <v>699</v>
      </c>
      <c r="AZ756" s="374" t="s">
        <v>699</v>
      </c>
      <c r="BA756" s="374"/>
      <c r="BB756" s="306"/>
    </row>
    <row r="757" spans="1:54" ht="14.25">
      <c r="A757" s="378"/>
      <c r="B757" s="406"/>
      <c r="C757" s="377"/>
      <c r="D757" s="374"/>
      <c r="E757" s="374"/>
      <c r="F757" s="407"/>
      <c r="G757" s="408">
        <v>50</v>
      </c>
      <c r="H757" s="376"/>
      <c r="I757" s="376"/>
      <c r="J757" s="409"/>
      <c r="K757" s="374"/>
      <c r="L757" s="374"/>
      <c r="M757" s="374"/>
      <c r="N757" s="376"/>
      <c r="O757" s="376"/>
      <c r="P757" s="376"/>
      <c r="Q757" s="979"/>
      <c r="R757" s="454"/>
      <c r="S757" s="370">
        <f>+AG758-AG756</f>
        <v>50.131999999997788</v>
      </c>
      <c r="T757" s="368"/>
      <c r="U757" s="368"/>
      <c r="V757" s="368"/>
      <c r="W757" s="368"/>
      <c r="X757" s="368"/>
      <c r="Y757" s="368"/>
      <c r="Z757" s="368"/>
      <c r="AA757" s="368"/>
      <c r="AB757" s="368"/>
      <c r="AC757" s="368"/>
      <c r="AD757" s="368"/>
      <c r="AE757" s="368"/>
      <c r="AF757" s="374"/>
      <c r="AG757" s="377"/>
      <c r="AH757" s="979" t="s">
        <v>695</v>
      </c>
      <c r="AI757" s="978" t="s">
        <v>695</v>
      </c>
      <c r="AJ757" s="374"/>
      <c r="AK757" s="374"/>
      <c r="AL757" s="374"/>
      <c r="AM757" s="374"/>
      <c r="AN757" s="379"/>
      <c r="AO757" s="379"/>
      <c r="AP757" s="379"/>
      <c r="AQ757" s="379">
        <f>+FL_1($T$758,$T$756,$G$757,1200,9.28,-1*$F$758)</f>
        <v>0.40214076967827861</v>
      </c>
      <c r="AR757" s="379"/>
      <c r="AS757" s="379"/>
      <c r="AT757" s="379"/>
      <c r="AU757" s="379"/>
      <c r="AV757" s="379"/>
      <c r="AW757" s="374"/>
      <c r="AX757" s="374"/>
      <c r="AY757" s="374"/>
      <c r="AZ757" s="374"/>
      <c r="BA757" s="374"/>
      <c r="BB757" s="306"/>
    </row>
    <row r="758" spans="1:54" ht="14.25">
      <c r="A758" s="378" t="s">
        <v>1781</v>
      </c>
      <c r="B758" s="406" t="s">
        <v>1833</v>
      </c>
      <c r="C758" s="377">
        <f>+$C$756+$G$757</f>
        <v>29725</v>
      </c>
      <c r="D758" s="374"/>
      <c r="E758" s="374"/>
      <c r="F758" s="407">
        <f>-380000/(29839-C758)</f>
        <v>-3333.3333333333335</v>
      </c>
      <c r="G758" s="408"/>
      <c r="H758" s="376"/>
      <c r="I758" s="376"/>
      <c r="J758" s="409"/>
      <c r="K758" s="374"/>
      <c r="L758" s="374" t="s">
        <v>239</v>
      </c>
      <c r="M758" s="374"/>
      <c r="N758" s="376" t="s">
        <v>674</v>
      </c>
      <c r="O758" s="376"/>
      <c r="P758" s="376"/>
      <c r="Q758" s="979">
        <v>43</v>
      </c>
      <c r="R758" s="454">
        <v>-4099.371876574618</v>
      </c>
      <c r="S758" s="370"/>
      <c r="T758" s="368">
        <v>20</v>
      </c>
      <c r="U758" s="368"/>
      <c r="V758" s="368"/>
      <c r="W758" s="368">
        <v>1.1000000000000001</v>
      </c>
      <c r="X758" s="368"/>
      <c r="Y758" s="368"/>
      <c r="Z758" s="368"/>
      <c r="AA758" s="368"/>
      <c r="AB758" s="368"/>
      <c r="AC758" s="368" t="s">
        <v>1704</v>
      </c>
      <c r="AD758" s="368"/>
      <c r="AE758" s="368"/>
      <c r="AF758" s="374">
        <v>100</v>
      </c>
      <c r="AG758" s="377">
        <v>29725.048999999999</v>
      </c>
      <c r="AH758" s="979">
        <v>1494</v>
      </c>
      <c r="AI758" s="978">
        <v>-5234</v>
      </c>
      <c r="AJ758" s="374"/>
      <c r="AK758" s="374"/>
      <c r="AL758" s="374"/>
      <c r="AM758" s="374" t="s">
        <v>2021</v>
      </c>
      <c r="AN758" s="379">
        <v>5.25</v>
      </c>
      <c r="AO758" s="379"/>
      <c r="AP758" s="379"/>
      <c r="AQ758" s="379"/>
      <c r="AR758" s="379"/>
      <c r="AS758" s="379"/>
      <c r="AT758" s="379">
        <f>+ab($T$758,$T$756,$T$760,$G$757,$G$759,-1*$F$758,1200)</f>
        <v>8.2849289948695528</v>
      </c>
      <c r="AU758" s="379"/>
      <c r="AV758" s="379"/>
      <c r="AW758" s="374" t="s">
        <v>699</v>
      </c>
      <c r="AX758" s="374" t="s">
        <v>699</v>
      </c>
      <c r="AY758" s="374" t="s">
        <v>699</v>
      </c>
      <c r="AZ758" s="374" t="s">
        <v>699</v>
      </c>
      <c r="BA758" s="374"/>
      <c r="BB758" s="306"/>
    </row>
    <row r="759" spans="1:54" ht="14.25">
      <c r="A759" s="378"/>
      <c r="B759" s="406"/>
      <c r="C759" s="377"/>
      <c r="D759" s="374"/>
      <c r="E759" s="374"/>
      <c r="F759" s="407"/>
      <c r="G759" s="408">
        <v>50</v>
      </c>
      <c r="H759" s="376"/>
      <c r="I759" s="375"/>
      <c r="J759" s="409"/>
      <c r="K759" s="374"/>
      <c r="L759" s="374"/>
      <c r="M759" s="374"/>
      <c r="N759" s="376"/>
      <c r="O759" s="376"/>
      <c r="P759" s="376"/>
      <c r="Q759" s="979"/>
      <c r="R759" s="454"/>
      <c r="S759" s="370">
        <f>+AG760-AG758</f>
        <v>50.019000000000233</v>
      </c>
      <c r="T759" s="368"/>
      <c r="U759" s="368"/>
      <c r="V759" s="368"/>
      <c r="W759" s="368"/>
      <c r="X759" s="368"/>
      <c r="Y759" s="368"/>
      <c r="Z759" s="368"/>
      <c r="AA759" s="368"/>
      <c r="AB759" s="368"/>
      <c r="AC759" s="368"/>
      <c r="AD759" s="368"/>
      <c r="AE759" s="368"/>
      <c r="AF759" s="374"/>
      <c r="AG759" s="377"/>
      <c r="AH759" s="979" t="s">
        <v>695</v>
      </c>
      <c r="AI759" s="978" t="s">
        <v>695</v>
      </c>
      <c r="AJ759" s="374"/>
      <c r="AK759" s="374"/>
      <c r="AL759" s="374"/>
      <c r="AM759" s="374"/>
      <c r="AN759" s="379"/>
      <c r="AO759" s="379"/>
      <c r="AP759" s="379"/>
      <c r="AQ759" s="379">
        <f>+FL_2($T$760,$T$758,$G$759,1200,9.28,-1*$F$760)</f>
        <v>-0.39739080060784465</v>
      </c>
      <c r="AR759" s="379"/>
      <c r="AS759" s="379"/>
      <c r="AT759" s="379"/>
      <c r="AU759" s="379"/>
      <c r="AV759" s="379"/>
      <c r="AW759" s="374"/>
      <c r="AX759" s="374"/>
      <c r="AY759" s="374"/>
      <c r="AZ759" s="374"/>
      <c r="BA759" s="374"/>
      <c r="BB759" s="306"/>
    </row>
    <row r="760" spans="1:54" ht="14.25">
      <c r="A760" s="378" t="s">
        <v>1781</v>
      </c>
      <c r="B760" s="406" t="s">
        <v>1834</v>
      </c>
      <c r="C760" s="377">
        <f>+$C$758+$G$759</f>
        <v>29775</v>
      </c>
      <c r="D760" s="374"/>
      <c r="E760" s="374"/>
      <c r="F760" s="407">
        <f>-380000/(29839-C760)</f>
        <v>-5937.5</v>
      </c>
      <c r="G760" s="408"/>
      <c r="H760" s="376"/>
      <c r="I760" s="376"/>
      <c r="J760" s="409"/>
      <c r="K760" s="374"/>
      <c r="L760" s="374" t="s">
        <v>239</v>
      </c>
      <c r="M760" s="374"/>
      <c r="N760" s="376" t="s">
        <v>673</v>
      </c>
      <c r="O760" s="376"/>
      <c r="P760" s="376"/>
      <c r="Q760" s="979">
        <v>24</v>
      </c>
      <c r="R760" s="454">
        <v>-7156.4818761927363</v>
      </c>
      <c r="S760" s="370"/>
      <c r="T760" s="368">
        <v>-30</v>
      </c>
      <c r="U760" s="368"/>
      <c r="V760" s="368"/>
      <c r="W760" s="368">
        <v>1.1000000000000001</v>
      </c>
      <c r="X760" s="368"/>
      <c r="Y760" s="368"/>
      <c r="Z760" s="368"/>
      <c r="AA760" s="368"/>
      <c r="AB760" s="368"/>
      <c r="AC760" s="368" t="s">
        <v>1700</v>
      </c>
      <c r="AD760" s="368"/>
      <c r="AE760" s="368"/>
      <c r="AF760" s="374">
        <v>100</v>
      </c>
      <c r="AG760" s="377">
        <v>29775.067999999999</v>
      </c>
      <c r="AH760" s="979">
        <v>1437</v>
      </c>
      <c r="AI760" s="978">
        <v>-5224</v>
      </c>
      <c r="AJ760" s="374"/>
      <c r="AK760" s="374"/>
      <c r="AL760" s="374"/>
      <c r="AM760" s="374" t="s">
        <v>2021</v>
      </c>
      <c r="AN760" s="379">
        <v>5.25</v>
      </c>
      <c r="AO760" s="379"/>
      <c r="AP760" s="379"/>
      <c r="AQ760" s="379"/>
      <c r="AR760" s="379"/>
      <c r="AS760" s="379"/>
      <c r="AT760" s="379">
        <f>+ab($T$760,$T$758,$T$762,$G$759,$G$761,-1*$F$760,1200)</f>
        <v>-13.855097948844014</v>
      </c>
      <c r="AU760" s="379"/>
      <c r="AV760" s="379"/>
      <c r="AW760" s="374" t="s">
        <v>699</v>
      </c>
      <c r="AX760" s="374" t="s">
        <v>699</v>
      </c>
      <c r="AY760" s="374" t="s">
        <v>699</v>
      </c>
      <c r="AZ760" s="374" t="s">
        <v>699</v>
      </c>
      <c r="BA760" s="374"/>
      <c r="BB760" s="306"/>
    </row>
    <row r="761" spans="1:54" ht="14.25">
      <c r="A761" s="378"/>
      <c r="B761" s="406"/>
      <c r="C761" s="377"/>
      <c r="D761" s="374"/>
      <c r="E761" s="374"/>
      <c r="F761" s="407"/>
      <c r="G761" s="408">
        <v>50</v>
      </c>
      <c r="H761" s="376"/>
      <c r="I761" s="375"/>
      <c r="J761" s="409"/>
      <c r="K761" s="374"/>
      <c r="L761" s="374"/>
      <c r="M761" s="374"/>
      <c r="N761" s="376"/>
      <c r="O761" s="376"/>
      <c r="P761" s="376"/>
      <c r="Q761" s="979"/>
      <c r="R761" s="454"/>
      <c r="S761" s="370">
        <f>+AG762-AG760</f>
        <v>49.916000000001077</v>
      </c>
      <c r="T761" s="368"/>
      <c r="U761" s="368"/>
      <c r="V761" s="368"/>
      <c r="W761" s="368"/>
      <c r="X761" s="368"/>
      <c r="Y761" s="368"/>
      <c r="Z761" s="368"/>
      <c r="AA761" s="368"/>
      <c r="AB761" s="368"/>
      <c r="AC761" s="368"/>
      <c r="AD761" s="368"/>
      <c r="AE761" s="368"/>
      <c r="AF761" s="374"/>
      <c r="AG761" s="377"/>
      <c r="AH761" s="979" t="s">
        <v>695</v>
      </c>
      <c r="AI761" s="978" t="s">
        <v>695</v>
      </c>
      <c r="AJ761" s="374"/>
      <c r="AK761" s="374"/>
      <c r="AL761" s="374"/>
      <c r="AM761" s="374"/>
      <c r="AN761" s="379"/>
      <c r="AO761" s="379"/>
      <c r="AP761" s="379"/>
      <c r="AQ761" s="379">
        <f>+FL_1($T$762,$T$760,$G$761,1200,9.28,-1*$F$762)</f>
        <v>0.33477011200000001</v>
      </c>
      <c r="AR761" s="379"/>
      <c r="AS761" s="379"/>
      <c r="AT761" s="379"/>
      <c r="AU761" s="379"/>
      <c r="AV761" s="379"/>
      <c r="AW761" s="374"/>
      <c r="AX761" s="374"/>
      <c r="AY761" s="374"/>
      <c r="AZ761" s="374"/>
      <c r="BA761" s="374"/>
      <c r="BB761" s="306"/>
    </row>
    <row r="762" spans="1:54" ht="14.25">
      <c r="A762" s="378" t="s">
        <v>1781</v>
      </c>
      <c r="B762" s="406" t="s">
        <v>1835</v>
      </c>
      <c r="C762" s="377">
        <f>+$C$760+$G$761</f>
        <v>29825</v>
      </c>
      <c r="D762" s="374"/>
      <c r="E762" s="374"/>
      <c r="F762" s="407">
        <v>0</v>
      </c>
      <c r="G762" s="408"/>
      <c r="H762" s="376" t="s">
        <v>1059</v>
      </c>
      <c r="I762" s="376"/>
      <c r="J762" s="409"/>
      <c r="K762" s="374"/>
      <c r="L762" s="374" t="s">
        <v>239</v>
      </c>
      <c r="M762" s="374"/>
      <c r="N762" s="376" t="s">
        <v>674</v>
      </c>
      <c r="O762" s="376"/>
      <c r="P762" s="376"/>
      <c r="Q762" s="979">
        <v>6</v>
      </c>
      <c r="R762" s="454">
        <v>-27978.523688507048</v>
      </c>
      <c r="S762" s="370"/>
      <c r="T762" s="368">
        <v>30</v>
      </c>
      <c r="U762" s="368"/>
      <c r="V762" s="368"/>
      <c r="W762" s="368">
        <v>1.1000000000000001</v>
      </c>
      <c r="X762" s="368"/>
      <c r="Y762" s="368"/>
      <c r="Z762" s="368"/>
      <c r="AA762" s="368"/>
      <c r="AB762" s="368"/>
      <c r="AC762" s="368" t="s">
        <v>2963</v>
      </c>
      <c r="AD762" s="368"/>
      <c r="AE762" s="368"/>
      <c r="AF762" s="374">
        <v>100</v>
      </c>
      <c r="AG762" s="377">
        <v>29824.984</v>
      </c>
      <c r="AH762" s="979">
        <v>1474</v>
      </c>
      <c r="AI762" s="978">
        <v>-5208</v>
      </c>
      <c r="AJ762" s="374"/>
      <c r="AK762" s="374"/>
      <c r="AL762" s="374"/>
      <c r="AM762" s="374" t="s">
        <v>2021</v>
      </c>
      <c r="AN762" s="379">
        <v>5.25</v>
      </c>
      <c r="AO762" s="379"/>
      <c r="AP762" s="379"/>
      <c r="AQ762" s="379"/>
      <c r="AR762" s="379"/>
      <c r="AS762" s="379"/>
      <c r="AT762" s="379">
        <f>+ab($T$762,$T$760,$T$764,$G$761,$G$763,-1*$F$762,1200)</f>
        <v>7.9442083933778509</v>
      </c>
      <c r="AU762" s="379"/>
      <c r="AV762" s="379"/>
      <c r="AW762" s="374" t="s">
        <v>699</v>
      </c>
      <c r="AX762" s="374" t="s">
        <v>699</v>
      </c>
      <c r="AY762" s="374" t="s">
        <v>699</v>
      </c>
      <c r="AZ762" s="374" t="s">
        <v>699</v>
      </c>
      <c r="BA762" s="374"/>
      <c r="BB762" s="306"/>
    </row>
    <row r="763" spans="1:54" ht="14.25">
      <c r="A763" s="378"/>
      <c r="B763" s="406"/>
      <c r="C763" s="377"/>
      <c r="D763" s="374"/>
      <c r="E763" s="374"/>
      <c r="F763" s="407"/>
      <c r="G763" s="408">
        <v>50</v>
      </c>
      <c r="H763" s="376"/>
      <c r="I763" s="375">
        <f>SUM(G745:G763)</f>
        <v>500</v>
      </c>
      <c r="J763" s="409">
        <f>C762+10</f>
        <v>29835</v>
      </c>
      <c r="K763" s="374" t="s">
        <v>1060</v>
      </c>
      <c r="L763" s="374"/>
      <c r="M763" s="374"/>
      <c r="N763" s="376"/>
      <c r="O763" s="376"/>
      <c r="P763" s="376"/>
      <c r="Q763" s="979"/>
      <c r="R763" s="454"/>
      <c r="S763" s="370">
        <f>+AG764-AG762</f>
        <v>49.966000000000349</v>
      </c>
      <c r="T763" s="368"/>
      <c r="U763" s="368"/>
      <c r="V763" s="368"/>
      <c r="W763" s="368"/>
      <c r="X763" s="368"/>
      <c r="Y763" s="368"/>
      <c r="Z763" s="368"/>
      <c r="AA763" s="368"/>
      <c r="AB763" s="368"/>
      <c r="AC763" s="368"/>
      <c r="AD763" s="368"/>
      <c r="AE763" s="368"/>
      <c r="AF763" s="374"/>
      <c r="AG763" s="377"/>
      <c r="AH763" s="979" t="s">
        <v>695</v>
      </c>
      <c r="AI763" s="978" t="s">
        <v>695</v>
      </c>
      <c r="AJ763" s="374"/>
      <c r="AK763" s="374"/>
      <c r="AL763" s="374"/>
      <c r="AM763" s="374"/>
      <c r="AN763" s="379"/>
      <c r="AO763" s="379"/>
      <c r="AP763" s="379"/>
      <c r="AQ763" s="379">
        <f>+FL_2($T$764,$T$762,$G$763,1200,9.28,-1*$F$764)</f>
        <v>-0.33477011200000001</v>
      </c>
      <c r="AR763" s="379"/>
      <c r="AS763" s="379"/>
      <c r="AT763" s="379"/>
      <c r="AU763" s="379"/>
      <c r="AV763" s="379"/>
      <c r="AW763" s="374"/>
      <c r="AX763" s="374"/>
      <c r="AY763" s="374"/>
      <c r="AZ763" s="374"/>
      <c r="BA763" s="374"/>
      <c r="BB763" s="306"/>
    </row>
    <row r="764" spans="1:54" ht="14.25">
      <c r="A764" s="378" t="s">
        <v>1781</v>
      </c>
      <c r="B764" s="406" t="s">
        <v>1836</v>
      </c>
      <c r="C764" s="377">
        <f>+$C$762+$G$763</f>
        <v>29875</v>
      </c>
      <c r="D764" s="374"/>
      <c r="E764" s="374"/>
      <c r="F764" s="407">
        <v>0</v>
      </c>
      <c r="G764" s="408"/>
      <c r="H764" s="374" t="s">
        <v>956</v>
      </c>
      <c r="I764" s="407"/>
      <c r="J764" s="409"/>
      <c r="K764" s="374"/>
      <c r="L764" s="374" t="s">
        <v>239</v>
      </c>
      <c r="M764" s="374"/>
      <c r="N764" s="376" t="s">
        <v>673</v>
      </c>
      <c r="O764" s="376"/>
      <c r="P764" s="376"/>
      <c r="Q764" s="979">
        <v>0</v>
      </c>
      <c r="R764" s="978">
        <v>0</v>
      </c>
      <c r="S764" s="370"/>
      <c r="T764" s="368">
        <v>-30</v>
      </c>
      <c r="U764" s="368"/>
      <c r="V764" s="368"/>
      <c r="W764" s="368">
        <v>1.1000000000000001</v>
      </c>
      <c r="X764" s="368"/>
      <c r="Y764" s="368"/>
      <c r="Z764" s="368"/>
      <c r="AA764" s="368"/>
      <c r="AB764" s="368"/>
      <c r="AC764" s="368" t="s">
        <v>2965</v>
      </c>
      <c r="AD764" s="368"/>
      <c r="AE764" s="368"/>
      <c r="AF764" s="374">
        <v>100</v>
      </c>
      <c r="AG764" s="377">
        <v>29874.95</v>
      </c>
      <c r="AH764" s="979">
        <v>1530</v>
      </c>
      <c r="AI764" s="978">
        <v>-5175</v>
      </c>
      <c r="AJ764" s="374"/>
      <c r="AK764" s="374"/>
      <c r="AL764" s="374"/>
      <c r="AM764" s="374" t="s">
        <v>2021</v>
      </c>
      <c r="AN764" s="379">
        <v>5.25</v>
      </c>
      <c r="AO764" s="379"/>
      <c r="AP764" s="379"/>
      <c r="AQ764" s="379"/>
      <c r="AR764" s="379"/>
      <c r="AS764" s="379"/>
      <c r="AT764" s="379">
        <f>+ab($T$764,$T$762,$T$766,$G$763,$G$765,-1*$F$764,1200)</f>
        <v>-7.9442410717051439</v>
      </c>
      <c r="AU764" s="379"/>
      <c r="AV764" s="379"/>
      <c r="AW764" s="374" t="s">
        <v>699</v>
      </c>
      <c r="AX764" s="374" t="s">
        <v>699</v>
      </c>
      <c r="AY764" s="374" t="s">
        <v>699</v>
      </c>
      <c r="AZ764" s="374" t="s">
        <v>699</v>
      </c>
      <c r="BA764" s="374"/>
      <c r="BB764" s="306"/>
    </row>
    <row r="765" spans="1:54" ht="14.25">
      <c r="A765" s="378"/>
      <c r="B765" s="406"/>
      <c r="C765" s="377"/>
      <c r="D765" s="374"/>
      <c r="E765" s="374"/>
      <c r="F765" s="407"/>
      <c r="G765" s="408">
        <v>50</v>
      </c>
      <c r="H765" s="374"/>
      <c r="I765" s="407">
        <f>SUM(G765:G783)</f>
        <v>500</v>
      </c>
      <c r="J765" s="409">
        <f>C766-10</f>
        <v>29915</v>
      </c>
      <c r="K765" s="374" t="s">
        <v>1060</v>
      </c>
      <c r="L765" s="374"/>
      <c r="M765" s="374"/>
      <c r="N765" s="376"/>
      <c r="O765" s="376"/>
      <c r="P765" s="376"/>
      <c r="Q765" s="979"/>
      <c r="R765" s="454"/>
      <c r="S765" s="370">
        <f>+AG766-AG764</f>
        <v>50.067999999999302</v>
      </c>
      <c r="T765" s="368"/>
      <c r="U765" s="368"/>
      <c r="V765" s="368"/>
      <c r="W765" s="368"/>
      <c r="X765" s="368"/>
      <c r="Y765" s="368"/>
      <c r="Z765" s="368"/>
      <c r="AA765" s="368"/>
      <c r="AB765" s="368"/>
      <c r="AC765" s="368"/>
      <c r="AD765" s="368"/>
      <c r="AE765" s="368"/>
      <c r="AF765" s="374"/>
      <c r="AG765" s="377"/>
      <c r="AH765" s="979" t="s">
        <v>695</v>
      </c>
      <c r="AI765" s="978" t="s">
        <v>695</v>
      </c>
      <c r="AJ765" s="374"/>
      <c r="AK765" s="374"/>
      <c r="AL765" s="374"/>
      <c r="AM765" s="374"/>
      <c r="AN765" s="379"/>
      <c r="AO765" s="379"/>
      <c r="AP765" s="379"/>
      <c r="AQ765" s="379">
        <f>+FL_1($T$766,$T$764,$G$765,1200,9.28,-1*$F$766)</f>
        <v>0.33477011200000001</v>
      </c>
      <c r="AR765" s="379"/>
      <c r="AS765" s="379"/>
      <c r="AT765" s="379"/>
      <c r="AU765" s="379"/>
      <c r="AV765" s="379"/>
      <c r="AW765" s="374"/>
      <c r="AX765" s="374"/>
      <c r="AY765" s="374"/>
      <c r="AZ765" s="374"/>
      <c r="BA765" s="374"/>
      <c r="BB765" s="306"/>
    </row>
    <row r="766" spans="1:54" ht="14.25">
      <c r="A766" s="378" t="s">
        <v>1781</v>
      </c>
      <c r="B766" s="406" t="s">
        <v>1837</v>
      </c>
      <c r="C766" s="377">
        <f>+$C$764+$G$765</f>
        <v>29925</v>
      </c>
      <c r="D766" s="374"/>
      <c r="E766" s="374"/>
      <c r="F766" s="407">
        <v>0</v>
      </c>
      <c r="G766" s="408"/>
      <c r="H766" s="376" t="s">
        <v>1059</v>
      </c>
      <c r="I766" s="376"/>
      <c r="J766" s="409"/>
      <c r="K766" s="374"/>
      <c r="L766" s="374" t="s">
        <v>239</v>
      </c>
      <c r="M766" s="374"/>
      <c r="N766" s="376" t="s">
        <v>674</v>
      </c>
      <c r="O766" s="376"/>
      <c r="P766" s="376"/>
      <c r="Q766" s="979">
        <v>0</v>
      </c>
      <c r="R766" s="978">
        <v>0</v>
      </c>
      <c r="S766" s="370"/>
      <c r="T766" s="368">
        <v>30</v>
      </c>
      <c r="U766" s="368"/>
      <c r="V766" s="368"/>
      <c r="W766" s="368">
        <v>1.1000000000000001</v>
      </c>
      <c r="X766" s="368"/>
      <c r="Y766" s="368"/>
      <c r="Z766" s="368"/>
      <c r="AA766" s="368"/>
      <c r="AB766" s="368"/>
      <c r="AC766" s="368" t="s">
        <v>2963</v>
      </c>
      <c r="AD766" s="368"/>
      <c r="AE766" s="368"/>
      <c r="AF766" s="374">
        <v>100</v>
      </c>
      <c r="AG766" s="377">
        <v>29925.018</v>
      </c>
      <c r="AH766" s="979">
        <v>1507</v>
      </c>
      <c r="AI766" s="978">
        <v>-5197</v>
      </c>
      <c r="AJ766" s="374"/>
      <c r="AK766" s="374"/>
      <c r="AL766" s="374"/>
      <c r="AM766" s="374" t="s">
        <v>2021</v>
      </c>
      <c r="AN766" s="379">
        <v>5.25</v>
      </c>
      <c r="AO766" s="379"/>
      <c r="AP766" s="379"/>
      <c r="AQ766" s="379"/>
      <c r="AR766" s="379"/>
      <c r="AS766" s="379"/>
      <c r="AT766" s="379">
        <f>+ab($T$766,$T$764,$T$768,$G$765,$G$767,-1*$F$766,1200)</f>
        <v>7.9442083933778509</v>
      </c>
      <c r="AU766" s="379"/>
      <c r="AV766" s="379"/>
      <c r="AW766" s="374" t="s">
        <v>699</v>
      </c>
      <c r="AX766" s="374" t="s">
        <v>699</v>
      </c>
      <c r="AY766" s="374" t="s">
        <v>699</v>
      </c>
      <c r="AZ766" s="374" t="s">
        <v>699</v>
      </c>
      <c r="BA766" s="374"/>
      <c r="BB766" s="306"/>
    </row>
    <row r="767" spans="1:54" ht="14.25">
      <c r="A767" s="378"/>
      <c r="B767" s="406"/>
      <c r="C767" s="377"/>
      <c r="D767" s="374"/>
      <c r="E767" s="374"/>
      <c r="F767" s="407"/>
      <c r="G767" s="408">
        <v>50</v>
      </c>
      <c r="H767" s="376"/>
      <c r="I767" s="375"/>
      <c r="J767" s="409"/>
      <c r="K767" s="374"/>
      <c r="L767" s="374"/>
      <c r="M767" s="374"/>
      <c r="N767" s="376"/>
      <c r="O767" s="376"/>
      <c r="P767" s="376"/>
      <c r="Q767" s="979"/>
      <c r="R767" s="454"/>
      <c r="S767" s="370">
        <f>+AG768-AG766</f>
        <v>49.97899999999936</v>
      </c>
      <c r="T767" s="368"/>
      <c r="U767" s="368"/>
      <c r="V767" s="368"/>
      <c r="W767" s="368"/>
      <c r="X767" s="368"/>
      <c r="Y767" s="368"/>
      <c r="Z767" s="368"/>
      <c r="AA767" s="368"/>
      <c r="AB767" s="368"/>
      <c r="AC767" s="368"/>
      <c r="AD767" s="368"/>
      <c r="AE767" s="368"/>
      <c r="AF767" s="374"/>
      <c r="AG767" s="377"/>
      <c r="AH767" s="979" t="s">
        <v>695</v>
      </c>
      <c r="AI767" s="978" t="s">
        <v>695</v>
      </c>
      <c r="AJ767" s="374"/>
      <c r="AK767" s="374"/>
      <c r="AL767" s="374"/>
      <c r="AM767" s="374"/>
      <c r="AN767" s="379"/>
      <c r="AO767" s="379"/>
      <c r="AP767" s="379"/>
      <c r="AQ767" s="379">
        <f>+FL_2($T$768,$T$766,$G$767,1200,9.28,-1*$F$768)</f>
        <v>-0.33477011200000001</v>
      </c>
      <c r="AR767" s="379"/>
      <c r="AS767" s="379"/>
      <c r="AT767" s="379"/>
      <c r="AU767" s="379"/>
      <c r="AV767" s="379"/>
      <c r="AW767" s="374"/>
      <c r="AX767" s="374"/>
      <c r="AY767" s="374"/>
      <c r="AZ767" s="374"/>
      <c r="BA767" s="374"/>
      <c r="BB767" s="306"/>
    </row>
    <row r="768" spans="1:54" ht="14.25">
      <c r="A768" s="378" t="s">
        <v>1781</v>
      </c>
      <c r="B768" s="406" t="s">
        <v>1838</v>
      </c>
      <c r="C768" s="377">
        <f>+$C$766+$G$767</f>
        <v>29975</v>
      </c>
      <c r="D768" s="374"/>
      <c r="E768" s="374"/>
      <c r="F768" s="407">
        <v>0</v>
      </c>
      <c r="G768" s="408"/>
      <c r="H768" s="376"/>
      <c r="I768" s="376"/>
      <c r="J768" s="409"/>
      <c r="K768" s="374"/>
      <c r="L768" s="374" t="s">
        <v>239</v>
      </c>
      <c r="M768" s="374"/>
      <c r="N768" s="376" t="s">
        <v>673</v>
      </c>
      <c r="O768" s="376"/>
      <c r="P768" s="376"/>
      <c r="Q768" s="979">
        <v>0</v>
      </c>
      <c r="R768" s="978">
        <v>0</v>
      </c>
      <c r="S768" s="370"/>
      <c r="T768" s="368">
        <v>-30</v>
      </c>
      <c r="U768" s="368"/>
      <c r="V768" s="368"/>
      <c r="W768" s="368">
        <v>1.1000000000000001</v>
      </c>
      <c r="X768" s="368"/>
      <c r="Y768" s="368"/>
      <c r="Z768" s="368"/>
      <c r="AA768" s="368"/>
      <c r="AB768" s="368"/>
      <c r="AC768" s="368" t="s">
        <v>2965</v>
      </c>
      <c r="AD768" s="368"/>
      <c r="AE768" s="368"/>
      <c r="AF768" s="374">
        <v>100</v>
      </c>
      <c r="AG768" s="377">
        <v>29974.996999999999</v>
      </c>
      <c r="AH768" s="979">
        <v>1486</v>
      </c>
      <c r="AI768" s="978">
        <v>-5227</v>
      </c>
      <c r="AJ768" s="374"/>
      <c r="AK768" s="374"/>
      <c r="AL768" s="374"/>
      <c r="AM768" s="374" t="s">
        <v>2021</v>
      </c>
      <c r="AN768" s="379">
        <v>5.25</v>
      </c>
      <c r="AO768" s="379"/>
      <c r="AP768" s="379"/>
      <c r="AQ768" s="379"/>
      <c r="AR768" s="379"/>
      <c r="AS768" s="379"/>
      <c r="AT768" s="379">
        <f>+ab($T$768,$T$766,$T$770,$G$767,$G$769,-1*$F$768,1200)</f>
        <v>-7.9442410717051439</v>
      </c>
      <c r="AU768" s="379"/>
      <c r="AV768" s="379"/>
      <c r="AW768" s="374" t="s">
        <v>699</v>
      </c>
      <c r="AX768" s="374" t="s">
        <v>699</v>
      </c>
      <c r="AY768" s="374" t="s">
        <v>699</v>
      </c>
      <c r="AZ768" s="374" t="s">
        <v>699</v>
      </c>
      <c r="BA768" s="374"/>
      <c r="BB768" s="306"/>
    </row>
    <row r="769" spans="1:54" ht="14.25">
      <c r="A769" s="378"/>
      <c r="B769" s="406"/>
      <c r="C769" s="377"/>
      <c r="D769" s="374"/>
      <c r="E769" s="374"/>
      <c r="F769" s="407"/>
      <c r="G769" s="408">
        <v>50</v>
      </c>
      <c r="H769" s="376"/>
      <c r="I769" s="376"/>
      <c r="J769" s="409"/>
      <c r="K769" s="374"/>
      <c r="L769" s="374"/>
      <c r="M769" s="374"/>
      <c r="N769" s="376"/>
      <c r="O769" s="376"/>
      <c r="P769" s="376"/>
      <c r="Q769" s="979"/>
      <c r="R769" s="454"/>
      <c r="S769" s="370">
        <f>+AG770-AG768</f>
        <v>50.211999999999534</v>
      </c>
      <c r="T769" s="368"/>
      <c r="U769" s="368"/>
      <c r="V769" s="368"/>
      <c r="W769" s="368"/>
      <c r="X769" s="368"/>
      <c r="Y769" s="368"/>
      <c r="Z769" s="368"/>
      <c r="AA769" s="368"/>
      <c r="AB769" s="368"/>
      <c r="AC769" s="368"/>
      <c r="AD769" s="368"/>
      <c r="AE769" s="368"/>
      <c r="AF769" s="374"/>
      <c r="AG769" s="377"/>
      <c r="AH769" s="979" t="s">
        <v>695</v>
      </c>
      <c r="AI769" s="978" t="s">
        <v>695</v>
      </c>
      <c r="AJ769" s="374"/>
      <c r="AK769" s="374"/>
      <c r="AL769" s="374"/>
      <c r="AM769" s="374"/>
      <c r="AN769" s="379"/>
      <c r="AO769" s="379"/>
      <c r="AP769" s="379"/>
      <c r="AQ769" s="379">
        <f>+FL_1($T$770,$T$768,$G$769,1200,9.28,-1*$F$770)</f>
        <v>0.33477011200000001</v>
      </c>
      <c r="AR769" s="379"/>
      <c r="AS769" s="379"/>
      <c r="AT769" s="379"/>
      <c r="AU769" s="379"/>
      <c r="AV769" s="379"/>
      <c r="AW769" s="374"/>
      <c r="AX769" s="374"/>
      <c r="AY769" s="374"/>
      <c r="AZ769" s="374"/>
      <c r="BA769" s="374"/>
      <c r="BB769" s="306"/>
    </row>
    <row r="770" spans="1:54" ht="14.25">
      <c r="A770" s="378" t="s">
        <v>1781</v>
      </c>
      <c r="B770" s="406" t="s">
        <v>1839</v>
      </c>
      <c r="C770" s="377">
        <f>+$C$768+$G$769</f>
        <v>30025</v>
      </c>
      <c r="D770" s="374"/>
      <c r="E770" s="374"/>
      <c r="F770" s="407">
        <v>0</v>
      </c>
      <c r="G770" s="408"/>
      <c r="H770" s="376"/>
      <c r="I770" s="376"/>
      <c r="J770" s="409"/>
      <c r="K770" s="374"/>
      <c r="L770" s="374" t="s">
        <v>239</v>
      </c>
      <c r="M770" s="374"/>
      <c r="N770" s="376" t="s">
        <v>674</v>
      </c>
      <c r="O770" s="376"/>
      <c r="P770" s="376"/>
      <c r="Q770" s="979">
        <v>0</v>
      </c>
      <c r="R770" s="978">
        <v>0</v>
      </c>
      <c r="S770" s="370"/>
      <c r="T770" s="368">
        <v>30</v>
      </c>
      <c r="U770" s="368"/>
      <c r="V770" s="368"/>
      <c r="W770" s="368">
        <v>1.1000000000000001</v>
      </c>
      <c r="X770" s="368"/>
      <c r="Y770" s="368"/>
      <c r="Z770" s="368"/>
      <c r="AA770" s="368"/>
      <c r="AB770" s="368"/>
      <c r="AC770" s="368" t="s">
        <v>2963</v>
      </c>
      <c r="AD770" s="368"/>
      <c r="AE770" s="368"/>
      <c r="AF770" s="374">
        <v>100</v>
      </c>
      <c r="AG770" s="377">
        <v>30025.208999999999</v>
      </c>
      <c r="AH770" s="979">
        <v>1481</v>
      </c>
      <c r="AI770" s="978">
        <v>-5195</v>
      </c>
      <c r="AJ770" s="374"/>
      <c r="AK770" s="374"/>
      <c r="AL770" s="374"/>
      <c r="AM770" s="374" t="s">
        <v>2021</v>
      </c>
      <c r="AN770" s="379">
        <v>5.25</v>
      </c>
      <c r="AO770" s="379"/>
      <c r="AP770" s="379"/>
      <c r="AQ770" s="379"/>
      <c r="AR770" s="379"/>
      <c r="AS770" s="379"/>
      <c r="AT770" s="379">
        <f>+ab($T$770,$T$768,$T$772,$G$769,$G$771,-1*$F$770,1200)</f>
        <v>7.9442083933778509</v>
      </c>
      <c r="AU770" s="379"/>
      <c r="AV770" s="379"/>
      <c r="AW770" s="374" t="s">
        <v>699</v>
      </c>
      <c r="AX770" s="374" t="s">
        <v>699</v>
      </c>
      <c r="AY770" s="374" t="s">
        <v>699</v>
      </c>
      <c r="AZ770" s="374" t="s">
        <v>699</v>
      </c>
      <c r="BA770" s="374"/>
      <c r="BB770" s="306"/>
    </row>
    <row r="771" spans="1:54" ht="14.25">
      <c r="A771" s="378"/>
      <c r="B771" s="406"/>
      <c r="C771" s="377"/>
      <c r="D771" s="374"/>
      <c r="E771" s="374"/>
      <c r="F771" s="407"/>
      <c r="G771" s="408">
        <v>50</v>
      </c>
      <c r="H771" s="376"/>
      <c r="I771" s="376"/>
      <c r="J771" s="409"/>
      <c r="K771" s="374"/>
      <c r="L771" s="374"/>
      <c r="M771" s="374"/>
      <c r="N771" s="376"/>
      <c r="O771" s="376"/>
      <c r="P771" s="376"/>
      <c r="Q771" s="979"/>
      <c r="R771" s="454"/>
      <c r="S771" s="370">
        <f>+AG772-AG770</f>
        <v>49.929000000000087</v>
      </c>
      <c r="T771" s="368"/>
      <c r="U771" s="368"/>
      <c r="V771" s="368"/>
      <c r="W771" s="368"/>
      <c r="X771" s="368"/>
      <c r="Y771" s="368"/>
      <c r="Z771" s="368"/>
      <c r="AA771" s="368"/>
      <c r="AB771" s="368"/>
      <c r="AC771" s="368"/>
      <c r="AD771" s="368"/>
      <c r="AE771" s="368"/>
      <c r="AF771" s="374"/>
      <c r="AG771" s="377"/>
      <c r="AH771" s="979" t="s">
        <v>695</v>
      </c>
      <c r="AI771" s="978" t="s">
        <v>695</v>
      </c>
      <c r="AJ771" s="374"/>
      <c r="AK771" s="374"/>
      <c r="AL771" s="374"/>
      <c r="AM771" s="374"/>
      <c r="AN771" s="379"/>
      <c r="AO771" s="379"/>
      <c r="AP771" s="379"/>
      <c r="AQ771" s="379">
        <f>+FL_2($T$772,$T$770,$G$771,1200,9.28,-1*$F$772)</f>
        <v>-0.33477011200000001</v>
      </c>
      <c r="AR771" s="379"/>
      <c r="AS771" s="379"/>
      <c r="AT771" s="379"/>
      <c r="AU771" s="379"/>
      <c r="AV771" s="379"/>
      <c r="AW771" s="374"/>
      <c r="AX771" s="374"/>
      <c r="AY771" s="374"/>
      <c r="AZ771" s="374"/>
      <c r="BA771" s="374"/>
      <c r="BB771" s="306"/>
    </row>
    <row r="772" spans="1:54" ht="14.25">
      <c r="A772" s="378" t="s">
        <v>1781</v>
      </c>
      <c r="B772" s="406" t="s">
        <v>1840</v>
      </c>
      <c r="C772" s="377">
        <f>+$C$770+$G$771</f>
        <v>30075</v>
      </c>
      <c r="D772" s="374"/>
      <c r="E772" s="374"/>
      <c r="F772" s="407">
        <v>0</v>
      </c>
      <c r="G772" s="408"/>
      <c r="H772" s="376"/>
      <c r="I772" s="376"/>
      <c r="J772" s="409"/>
      <c r="K772" s="374"/>
      <c r="L772" s="374" t="s">
        <v>239</v>
      </c>
      <c r="M772" s="374"/>
      <c r="N772" s="376" t="s">
        <v>673</v>
      </c>
      <c r="O772" s="376"/>
      <c r="P772" s="376"/>
      <c r="Q772" s="979">
        <v>0</v>
      </c>
      <c r="R772" s="978">
        <v>0</v>
      </c>
      <c r="S772" s="370"/>
      <c r="T772" s="368">
        <v>-30</v>
      </c>
      <c r="U772" s="368"/>
      <c r="V772" s="368"/>
      <c r="W772" s="368">
        <v>1.1000000000000001</v>
      </c>
      <c r="X772" s="368"/>
      <c r="Y772" s="368"/>
      <c r="Z772" s="368"/>
      <c r="AA772" s="368"/>
      <c r="AB772" s="368"/>
      <c r="AC772" s="368" t="s">
        <v>2965</v>
      </c>
      <c r="AD772" s="368"/>
      <c r="AE772" s="368"/>
      <c r="AF772" s="374">
        <v>100</v>
      </c>
      <c r="AG772" s="377">
        <v>30075.137999999999</v>
      </c>
      <c r="AH772" s="979">
        <v>1461</v>
      </c>
      <c r="AI772" s="978">
        <v>-5207</v>
      </c>
      <c r="AJ772" s="374"/>
      <c r="AK772" s="374"/>
      <c r="AL772" s="374"/>
      <c r="AM772" s="374" t="s">
        <v>2021</v>
      </c>
      <c r="AN772" s="379">
        <v>5.25</v>
      </c>
      <c r="AO772" s="379"/>
      <c r="AP772" s="379"/>
      <c r="AQ772" s="379"/>
      <c r="AR772" s="379"/>
      <c r="AS772" s="379"/>
      <c r="AT772" s="379">
        <f>+ab($T$772,$T$770,$T$774,$G$771,$G$773,-1*$F$772,1200)</f>
        <v>-7.9442410717051439</v>
      </c>
      <c r="AU772" s="379"/>
      <c r="AV772" s="379"/>
      <c r="AW772" s="374" t="s">
        <v>699</v>
      </c>
      <c r="AX772" s="374" t="s">
        <v>699</v>
      </c>
      <c r="AY772" s="374" t="s">
        <v>699</v>
      </c>
      <c r="AZ772" s="374" t="s">
        <v>699</v>
      </c>
      <c r="BA772" s="374"/>
      <c r="BB772" s="306"/>
    </row>
    <row r="773" spans="1:54" ht="14.25">
      <c r="A773" s="378"/>
      <c r="B773" s="406"/>
      <c r="C773" s="377"/>
      <c r="D773" s="374"/>
      <c r="E773" s="374"/>
      <c r="F773" s="407"/>
      <c r="G773" s="408">
        <v>50</v>
      </c>
      <c r="H773" s="376"/>
      <c r="I773" s="376"/>
      <c r="J773" s="409"/>
      <c r="K773" s="374"/>
      <c r="L773" s="374"/>
      <c r="M773" s="374"/>
      <c r="N773" s="376"/>
      <c r="O773" s="376"/>
      <c r="P773" s="376"/>
      <c r="Q773" s="979"/>
      <c r="R773" s="454"/>
      <c r="S773" s="370">
        <f>+AG774-AG772</f>
        <v>50.115000000001601</v>
      </c>
      <c r="T773" s="368"/>
      <c r="U773" s="368"/>
      <c r="V773" s="368"/>
      <c r="W773" s="368"/>
      <c r="X773" s="368"/>
      <c r="Y773" s="368"/>
      <c r="Z773" s="368"/>
      <c r="AA773" s="368"/>
      <c r="AB773" s="368"/>
      <c r="AC773" s="368"/>
      <c r="AD773" s="368"/>
      <c r="AE773" s="368"/>
      <c r="AF773" s="374"/>
      <c r="AG773" s="377"/>
      <c r="AH773" s="979" t="s">
        <v>695</v>
      </c>
      <c r="AI773" s="978" t="s">
        <v>695</v>
      </c>
      <c r="AJ773" s="374"/>
      <c r="AK773" s="374"/>
      <c r="AL773" s="374"/>
      <c r="AM773" s="374"/>
      <c r="AN773" s="379"/>
      <c r="AO773" s="379"/>
      <c r="AP773" s="379"/>
      <c r="AQ773" s="379">
        <f>+FL_1($T$774,$T$772,$G$773,1200,9.28,-1*$F$774)</f>
        <v>0.33477011200000001</v>
      </c>
      <c r="AR773" s="379"/>
      <c r="AS773" s="379"/>
      <c r="AT773" s="379"/>
      <c r="AU773" s="379"/>
      <c r="AV773" s="379"/>
      <c r="AW773" s="374"/>
      <c r="AX773" s="374"/>
      <c r="AY773" s="374"/>
      <c r="AZ773" s="374"/>
      <c r="BA773" s="374"/>
      <c r="BB773" s="306"/>
    </row>
    <row r="774" spans="1:54" ht="14.25">
      <c r="A774" s="378" t="s">
        <v>1781</v>
      </c>
      <c r="B774" s="406" t="s">
        <v>1841</v>
      </c>
      <c r="C774" s="377">
        <f>+$C$772+$G$773</f>
        <v>30125</v>
      </c>
      <c r="D774" s="374"/>
      <c r="E774" s="374"/>
      <c r="F774" s="407">
        <v>0</v>
      </c>
      <c r="G774" s="408"/>
      <c r="H774" s="376"/>
      <c r="I774" s="376"/>
      <c r="J774" s="409"/>
      <c r="K774" s="374"/>
      <c r="L774" s="374" t="s">
        <v>239</v>
      </c>
      <c r="M774" s="374"/>
      <c r="N774" s="376" t="s">
        <v>674</v>
      </c>
      <c r="O774" s="376"/>
      <c r="P774" s="376"/>
      <c r="Q774" s="979">
        <v>0</v>
      </c>
      <c r="R774" s="978">
        <v>0</v>
      </c>
      <c r="S774" s="370"/>
      <c r="T774" s="368">
        <v>30</v>
      </c>
      <c r="U774" s="368"/>
      <c r="V774" s="368"/>
      <c r="W774" s="368">
        <v>1.1000000000000001</v>
      </c>
      <c r="X774" s="368"/>
      <c r="Y774" s="368"/>
      <c r="Z774" s="368"/>
      <c r="AA774" s="368"/>
      <c r="AB774" s="368"/>
      <c r="AC774" s="368" t="s">
        <v>2963</v>
      </c>
      <c r="AD774" s="368"/>
      <c r="AE774" s="368"/>
      <c r="AF774" s="374">
        <v>100</v>
      </c>
      <c r="AG774" s="377">
        <v>30125.253000000001</v>
      </c>
      <c r="AH774" s="979">
        <v>1477</v>
      </c>
      <c r="AI774" s="978">
        <v>-5211</v>
      </c>
      <c r="AJ774" s="374"/>
      <c r="AK774" s="374"/>
      <c r="AL774" s="374"/>
      <c r="AM774" s="374" t="s">
        <v>2021</v>
      </c>
      <c r="AN774" s="379">
        <v>5.25</v>
      </c>
      <c r="AO774" s="379"/>
      <c r="AP774" s="379"/>
      <c r="AQ774" s="379"/>
      <c r="AR774" s="379"/>
      <c r="AS774" s="379"/>
      <c r="AT774" s="379">
        <f>+ab($T$774,$T$772,$T$776,$G$773,$G$775,-1*$F$774,1200)</f>
        <v>7.9442083933778509</v>
      </c>
      <c r="AU774" s="379"/>
      <c r="AV774" s="379"/>
      <c r="AW774" s="374" t="s">
        <v>699</v>
      </c>
      <c r="AX774" s="374" t="s">
        <v>699</v>
      </c>
      <c r="AY774" s="374" t="s">
        <v>699</v>
      </c>
      <c r="AZ774" s="374" t="s">
        <v>699</v>
      </c>
      <c r="BA774" s="374"/>
      <c r="BB774" s="306"/>
    </row>
    <row r="775" spans="1:54" ht="14.25">
      <c r="A775" s="378"/>
      <c r="B775" s="406"/>
      <c r="C775" s="377"/>
      <c r="D775" s="374"/>
      <c r="E775" s="374"/>
      <c r="F775" s="407"/>
      <c r="G775" s="408">
        <v>50</v>
      </c>
      <c r="H775" s="376"/>
      <c r="I775" s="376"/>
      <c r="J775" s="409"/>
      <c r="K775" s="374"/>
      <c r="L775" s="374"/>
      <c r="M775" s="374"/>
      <c r="N775" s="376"/>
      <c r="O775" s="376"/>
      <c r="P775" s="376"/>
      <c r="Q775" s="979"/>
      <c r="R775" s="454"/>
      <c r="S775" s="370">
        <f>+AG776-AG774</f>
        <v>50.063999999998487</v>
      </c>
      <c r="T775" s="368"/>
      <c r="U775" s="368"/>
      <c r="V775" s="368"/>
      <c r="W775" s="368"/>
      <c r="X775" s="368"/>
      <c r="Y775" s="368"/>
      <c r="Z775" s="368"/>
      <c r="AA775" s="368"/>
      <c r="AB775" s="368"/>
      <c r="AC775" s="368"/>
      <c r="AD775" s="368"/>
      <c r="AE775" s="368"/>
      <c r="AF775" s="374"/>
      <c r="AG775" s="377"/>
      <c r="AH775" s="979" t="s">
        <v>695</v>
      </c>
      <c r="AI775" s="978" t="s">
        <v>695</v>
      </c>
      <c r="AJ775" s="374"/>
      <c r="AK775" s="374"/>
      <c r="AL775" s="374"/>
      <c r="AM775" s="374"/>
      <c r="AN775" s="379"/>
      <c r="AO775" s="379"/>
      <c r="AP775" s="379"/>
      <c r="AQ775" s="379">
        <f>+FL_2($T$776,$T$774,$G$775,1200,9.28,-1*$F$776)</f>
        <v>-0.33477011200000001</v>
      </c>
      <c r="AR775" s="379"/>
      <c r="AS775" s="379"/>
      <c r="AT775" s="379"/>
      <c r="AU775" s="379"/>
      <c r="AV775" s="379"/>
      <c r="AW775" s="374"/>
      <c r="AX775" s="374"/>
      <c r="AY775" s="374"/>
      <c r="AZ775" s="374"/>
      <c r="BA775" s="374"/>
      <c r="BB775" s="306"/>
    </row>
    <row r="776" spans="1:54" ht="14.25">
      <c r="A776" s="378" t="s">
        <v>1781</v>
      </c>
      <c r="B776" s="406" t="s">
        <v>1842</v>
      </c>
      <c r="C776" s="377">
        <f>+$C$774+$G$775</f>
        <v>30175</v>
      </c>
      <c r="D776" s="374"/>
      <c r="E776" s="374"/>
      <c r="F776" s="407">
        <v>0</v>
      </c>
      <c r="G776" s="408"/>
      <c r="H776" s="376"/>
      <c r="I776" s="376"/>
      <c r="J776" s="409"/>
      <c r="K776" s="374"/>
      <c r="L776" s="374" t="s">
        <v>239</v>
      </c>
      <c r="M776" s="374"/>
      <c r="N776" s="376" t="s">
        <v>673</v>
      </c>
      <c r="O776" s="376"/>
      <c r="P776" s="376"/>
      <c r="Q776" s="979">
        <v>0</v>
      </c>
      <c r="R776" s="978">
        <v>0</v>
      </c>
      <c r="S776" s="370"/>
      <c r="T776" s="368">
        <v>-30</v>
      </c>
      <c r="U776" s="368"/>
      <c r="V776" s="368"/>
      <c r="W776" s="368">
        <v>1.1000000000000001</v>
      </c>
      <c r="X776" s="368"/>
      <c r="Y776" s="368"/>
      <c r="Z776" s="368"/>
      <c r="AA776" s="368"/>
      <c r="AB776" s="368"/>
      <c r="AC776" s="368" t="s">
        <v>2965</v>
      </c>
      <c r="AD776" s="368"/>
      <c r="AE776" s="368"/>
      <c r="AF776" s="374">
        <v>100</v>
      </c>
      <c r="AG776" s="377">
        <v>30175.316999999999</v>
      </c>
      <c r="AH776" s="979">
        <v>1483</v>
      </c>
      <c r="AI776" s="978">
        <v>-5225</v>
      </c>
      <c r="AJ776" s="374"/>
      <c r="AK776" s="374"/>
      <c r="AL776" s="374"/>
      <c r="AM776" s="374" t="s">
        <v>2021</v>
      </c>
      <c r="AN776" s="379">
        <v>5.25</v>
      </c>
      <c r="AO776" s="379"/>
      <c r="AP776" s="379"/>
      <c r="AQ776" s="379"/>
      <c r="AR776" s="379"/>
      <c r="AS776" s="379"/>
      <c r="AT776" s="379">
        <f>+ab($T$776,$T$774,$T$778,$G$775,$G$777,-1*$F$776,1200)</f>
        <v>-7.9442410717051439</v>
      </c>
      <c r="AU776" s="379"/>
      <c r="AV776" s="379"/>
      <c r="AW776" s="374" t="s">
        <v>699</v>
      </c>
      <c r="AX776" s="374" t="s">
        <v>699</v>
      </c>
      <c r="AY776" s="374" t="s">
        <v>699</v>
      </c>
      <c r="AZ776" s="374" t="s">
        <v>699</v>
      </c>
      <c r="BA776" s="374"/>
      <c r="BB776" s="306"/>
    </row>
    <row r="777" spans="1:54" ht="14.25">
      <c r="A777" s="378"/>
      <c r="B777" s="406"/>
      <c r="C777" s="377"/>
      <c r="D777" s="374"/>
      <c r="E777" s="374"/>
      <c r="F777" s="407"/>
      <c r="G777" s="408">
        <v>50</v>
      </c>
      <c r="H777" s="376"/>
      <c r="I777" s="376"/>
      <c r="J777" s="409"/>
      <c r="K777" s="374"/>
      <c r="L777" s="374"/>
      <c r="M777" s="374"/>
      <c r="N777" s="376"/>
      <c r="O777" s="376"/>
      <c r="P777" s="376"/>
      <c r="Q777" s="979"/>
      <c r="R777" s="454"/>
      <c r="S777" s="370">
        <f>+AG778-AG776</f>
        <v>50.088999999999942</v>
      </c>
      <c r="T777" s="368"/>
      <c r="U777" s="368"/>
      <c r="V777" s="368"/>
      <c r="W777" s="368"/>
      <c r="X777" s="368"/>
      <c r="Y777" s="368"/>
      <c r="Z777" s="368"/>
      <c r="AA777" s="368"/>
      <c r="AB777" s="368"/>
      <c r="AC777" s="368"/>
      <c r="AD777" s="368"/>
      <c r="AE777" s="368"/>
      <c r="AF777" s="374"/>
      <c r="AG777" s="377"/>
      <c r="AH777" s="979" t="s">
        <v>695</v>
      </c>
      <c r="AI777" s="978" t="s">
        <v>695</v>
      </c>
      <c r="AJ777" s="374"/>
      <c r="AK777" s="374"/>
      <c r="AL777" s="374"/>
      <c r="AM777" s="374"/>
      <c r="AN777" s="379"/>
      <c r="AO777" s="379"/>
      <c r="AP777" s="379"/>
      <c r="AQ777" s="379">
        <f>+FL_1($T$778,$T$776,$G$777,1200,9.28,-1*$F$778)</f>
        <v>0.33477011200000001</v>
      </c>
      <c r="AR777" s="379"/>
      <c r="AS777" s="379"/>
      <c r="AT777" s="379"/>
      <c r="AU777" s="379"/>
      <c r="AV777" s="379"/>
      <c r="AW777" s="374"/>
      <c r="AX777" s="374"/>
      <c r="AY777" s="374"/>
      <c r="AZ777" s="374"/>
      <c r="BA777" s="374"/>
      <c r="BB777" s="306"/>
    </row>
    <row r="778" spans="1:54" ht="14.25">
      <c r="A778" s="378" t="s">
        <v>1781</v>
      </c>
      <c r="B778" s="406" t="s">
        <v>1843</v>
      </c>
      <c r="C778" s="377">
        <f>+$C$776+$G$777</f>
        <v>30225</v>
      </c>
      <c r="D778" s="374"/>
      <c r="E778" s="374"/>
      <c r="F778" s="407">
        <v>0</v>
      </c>
      <c r="G778" s="408"/>
      <c r="H778" s="376" t="s">
        <v>138</v>
      </c>
      <c r="I778" s="376" t="s">
        <v>912</v>
      </c>
      <c r="J778" s="409"/>
      <c r="K778" s="374"/>
      <c r="L778" s="374" t="s">
        <v>239</v>
      </c>
      <c r="M778" s="374"/>
      <c r="N778" s="376" t="s">
        <v>674</v>
      </c>
      <c r="O778" s="376"/>
      <c r="P778" s="376"/>
      <c r="Q778" s="979">
        <v>0</v>
      </c>
      <c r="R778" s="978">
        <v>0</v>
      </c>
      <c r="S778" s="370"/>
      <c r="T778" s="368">
        <v>30</v>
      </c>
      <c r="U778" s="368"/>
      <c r="V778" s="368"/>
      <c r="W778" s="368">
        <v>1.1000000000000001</v>
      </c>
      <c r="X778" s="368"/>
      <c r="Y778" s="368"/>
      <c r="Z778" s="368"/>
      <c r="AA778" s="368"/>
      <c r="AB778" s="368"/>
      <c r="AC778" s="368" t="s">
        <v>1704</v>
      </c>
      <c r="AD778" s="368"/>
      <c r="AE778" s="368"/>
      <c r="AF778" s="374">
        <v>100</v>
      </c>
      <c r="AG778" s="377">
        <v>30225.405999999999</v>
      </c>
      <c r="AH778" s="979">
        <v>1463</v>
      </c>
      <c r="AI778" s="978">
        <v>-5234</v>
      </c>
      <c r="AJ778" s="374"/>
      <c r="AK778" s="374"/>
      <c r="AL778" s="374"/>
      <c r="AM778" s="374" t="s">
        <v>2021</v>
      </c>
      <c r="AN778" s="379">
        <v>5.25</v>
      </c>
      <c r="AO778" s="379"/>
      <c r="AP778" s="379"/>
      <c r="AQ778" s="379"/>
      <c r="AR778" s="379"/>
      <c r="AS778" s="379"/>
      <c r="AT778" s="379">
        <f>+ab($T$778,$T$776,$T$780,$G$777,$G$779,-1*$F$778,1200)</f>
        <v>9.9968917440918084</v>
      </c>
      <c r="AU778" s="379"/>
      <c r="AV778" s="379"/>
      <c r="AW778" s="374" t="s">
        <v>699</v>
      </c>
      <c r="AX778" s="374" t="s">
        <v>699</v>
      </c>
      <c r="AY778" s="374" t="s">
        <v>699</v>
      </c>
      <c r="AZ778" s="374" t="s">
        <v>699</v>
      </c>
      <c r="BA778" s="374"/>
      <c r="BB778" s="306"/>
    </row>
    <row r="779" spans="1:54" ht="14.25">
      <c r="A779" s="378"/>
      <c r="B779" s="406"/>
      <c r="C779" s="377"/>
      <c r="D779" s="374"/>
      <c r="E779" s="374"/>
      <c r="F779" s="407"/>
      <c r="G779" s="408">
        <v>50</v>
      </c>
      <c r="H779" s="376"/>
      <c r="I779" s="376"/>
      <c r="J779" s="409">
        <f>C778+10</f>
        <v>30235</v>
      </c>
      <c r="K779" s="374" t="s">
        <v>1055</v>
      </c>
      <c r="L779" s="374"/>
      <c r="M779" s="374"/>
      <c r="N779" s="376"/>
      <c r="O779" s="376"/>
      <c r="P779" s="376"/>
      <c r="Q779" s="979"/>
      <c r="R779" s="454"/>
      <c r="S779" s="370">
        <f>+AG780-AG778</f>
        <v>48.067999999999302</v>
      </c>
      <c r="T779" s="368"/>
      <c r="U779" s="368"/>
      <c r="V779" s="368"/>
      <c r="W779" s="368"/>
      <c r="X779" s="368"/>
      <c r="Y779" s="368"/>
      <c r="Z779" s="368"/>
      <c r="AA779" s="368"/>
      <c r="AB779" s="368"/>
      <c r="AC779" s="368"/>
      <c r="AD779" s="368"/>
      <c r="AE779" s="368"/>
      <c r="AF779" s="374"/>
      <c r="AG779" s="377"/>
      <c r="AH779" s="979" t="s">
        <v>695</v>
      </c>
      <c r="AI779" s="978" t="s">
        <v>695</v>
      </c>
      <c r="AJ779" s="374"/>
      <c r="AK779" s="374"/>
      <c r="AL779" s="374"/>
      <c r="AM779" s="374"/>
      <c r="AN779" s="379"/>
      <c r="AO779" s="379"/>
      <c r="AP779" s="379"/>
      <c r="AQ779" s="379">
        <f>+FL_2($U$780,$T$778,$G$779,1200,9.28,-1*$F$780)</f>
        <v>-0.29489941866666664</v>
      </c>
      <c r="AR779" s="379"/>
      <c r="AS779" s="379"/>
      <c r="AT779" s="379"/>
      <c r="AU779" s="379"/>
      <c r="AV779" s="379"/>
      <c r="AW779" s="374"/>
      <c r="AX779" s="374"/>
      <c r="AY779" s="374"/>
      <c r="AZ779" s="374"/>
      <c r="BA779" s="374"/>
      <c r="BB779" s="306"/>
    </row>
    <row r="780" spans="1:54" ht="14.25">
      <c r="A780" s="378" t="s">
        <v>1781</v>
      </c>
      <c r="B780" s="406" t="s">
        <v>1844</v>
      </c>
      <c r="C780" s="377">
        <f>+$C$778+$G$779</f>
        <v>30275</v>
      </c>
      <c r="D780" s="374"/>
      <c r="E780" s="374"/>
      <c r="F780" s="407">
        <v>0</v>
      </c>
      <c r="G780" s="408"/>
      <c r="H780" s="376" t="s">
        <v>651</v>
      </c>
      <c r="I780" s="376"/>
      <c r="J780" s="409"/>
      <c r="K780" s="374"/>
      <c r="L780" s="374" t="s">
        <v>458</v>
      </c>
      <c r="M780" s="374"/>
      <c r="N780" s="376" t="s">
        <v>675</v>
      </c>
      <c r="O780" s="376" t="s">
        <v>673</v>
      </c>
      <c r="P780" s="376"/>
      <c r="Q780" s="979">
        <v>0</v>
      </c>
      <c r="R780" s="978">
        <v>0</v>
      </c>
      <c r="S780" s="370"/>
      <c r="T780" s="368">
        <v>-5</v>
      </c>
      <c r="U780" s="368">
        <v>-25</v>
      </c>
      <c r="V780" s="368"/>
      <c r="W780" s="368">
        <v>1.1000000000000001</v>
      </c>
      <c r="X780" s="368">
        <v>1.2</v>
      </c>
      <c r="Y780" s="368"/>
      <c r="Z780" s="368">
        <v>0.45</v>
      </c>
      <c r="AA780" s="368"/>
      <c r="AB780" s="368"/>
      <c r="AC780" s="368"/>
      <c r="AD780" s="368" t="s">
        <v>1702</v>
      </c>
      <c r="AE780" s="368"/>
      <c r="AF780" s="374">
        <v>100</v>
      </c>
      <c r="AG780" s="377">
        <v>30273.473999999998</v>
      </c>
      <c r="AH780" s="979">
        <v>1451</v>
      </c>
      <c r="AI780" s="978">
        <v>-5240</v>
      </c>
      <c r="AJ780" s="374"/>
      <c r="AK780" s="374"/>
      <c r="AL780" s="374"/>
      <c r="AM780" s="374" t="s">
        <v>2021</v>
      </c>
      <c r="AN780" s="379">
        <v>5.25</v>
      </c>
      <c r="AO780" s="379"/>
      <c r="AP780" s="379"/>
      <c r="AQ780" s="379"/>
      <c r="AR780" s="379"/>
      <c r="AS780" s="379"/>
      <c r="AT780" s="379">
        <f>+ab($U$780,$T$778,$U$782,$G$779,$G$781,-1*$F$780,1200)</f>
        <v>-11.145107873316856</v>
      </c>
      <c r="AU780" s="379"/>
      <c r="AV780" s="379"/>
      <c r="AW780" s="374" t="s">
        <v>699</v>
      </c>
      <c r="AX780" s="374" t="s">
        <v>699</v>
      </c>
      <c r="AY780" s="374" t="s">
        <v>699</v>
      </c>
      <c r="AZ780" s="374" t="s">
        <v>699</v>
      </c>
      <c r="BA780" s="374"/>
      <c r="BB780" s="306"/>
    </row>
    <row r="781" spans="1:54" ht="14.25">
      <c r="A781" s="378"/>
      <c r="B781" s="406"/>
      <c r="C781" s="377"/>
      <c r="D781" s="374"/>
      <c r="E781" s="374"/>
      <c r="F781" s="407"/>
      <c r="G781" s="408">
        <v>50</v>
      </c>
      <c r="H781" s="376"/>
      <c r="I781" s="376"/>
      <c r="J781" s="409"/>
      <c r="K781" s="374"/>
      <c r="L781" s="374"/>
      <c r="M781" s="374"/>
      <c r="N781" s="376"/>
      <c r="O781" s="376"/>
      <c r="P781" s="376"/>
      <c r="Q781" s="979">
        <v>0</v>
      </c>
      <c r="R781" s="978">
        <v>0</v>
      </c>
      <c r="S781" s="370">
        <f>+AG782-AG780</f>
        <v>50.100000000002183</v>
      </c>
      <c r="T781" s="368"/>
      <c r="U781" s="368"/>
      <c r="V781" s="368"/>
      <c r="W781" s="368"/>
      <c r="X781" s="368"/>
      <c r="Y781" s="368"/>
      <c r="Z781" s="368"/>
      <c r="AA781" s="368"/>
      <c r="AB781" s="368"/>
      <c r="AC781" s="368"/>
      <c r="AD781" s="368"/>
      <c r="AE781" s="368"/>
      <c r="AF781" s="374">
        <v>100</v>
      </c>
      <c r="AG781" s="377">
        <f>AG780+1.982</f>
        <v>30275.455999999998</v>
      </c>
      <c r="AH781" s="979">
        <v>1491</v>
      </c>
      <c r="AI781" s="978">
        <v>-5244</v>
      </c>
      <c r="AJ781" s="374"/>
      <c r="AK781" s="374"/>
      <c r="AL781" s="374"/>
      <c r="AM781" s="374"/>
      <c r="AN781" s="379"/>
      <c r="AO781" s="379"/>
      <c r="AP781" s="379"/>
      <c r="AQ781" s="379">
        <f>+FL_1($T$782,$U$780,$G$781,1200,9.28,-1*$F$782)</f>
        <v>0.30632183866666668</v>
      </c>
      <c r="AR781" s="379"/>
      <c r="AS781" s="379"/>
      <c r="AT781" s="379"/>
      <c r="AU781" s="379"/>
      <c r="AV781" s="379"/>
      <c r="AW781" s="374"/>
      <c r="AX781" s="374"/>
      <c r="AY781" s="374"/>
      <c r="AZ781" s="374"/>
      <c r="BA781" s="374"/>
      <c r="BB781" s="306"/>
    </row>
    <row r="782" spans="1:54" ht="14.25">
      <c r="A782" s="378" t="s">
        <v>1781</v>
      </c>
      <c r="B782" s="406" t="s">
        <v>1845</v>
      </c>
      <c r="C782" s="377">
        <f>+$C$780+$G$781</f>
        <v>30325</v>
      </c>
      <c r="D782" s="374"/>
      <c r="E782" s="374"/>
      <c r="F782" s="407">
        <v>0</v>
      </c>
      <c r="G782" s="408"/>
      <c r="H782" s="376" t="s">
        <v>651</v>
      </c>
      <c r="I782" s="376"/>
      <c r="J782" s="409"/>
      <c r="K782" s="374"/>
      <c r="L782" s="374" t="s">
        <v>458</v>
      </c>
      <c r="M782" s="374"/>
      <c r="N782" s="376" t="s">
        <v>674</v>
      </c>
      <c r="O782" s="376" t="s">
        <v>675</v>
      </c>
      <c r="P782" s="376"/>
      <c r="Q782" s="979">
        <v>0</v>
      </c>
      <c r="R782" s="978">
        <v>0</v>
      </c>
      <c r="S782" s="370"/>
      <c r="T782" s="368">
        <v>25</v>
      </c>
      <c r="U782" s="368">
        <v>5</v>
      </c>
      <c r="V782" s="368"/>
      <c r="W782" s="368">
        <v>1.1000000000000001</v>
      </c>
      <c r="X782" s="368">
        <v>1.2</v>
      </c>
      <c r="Y782" s="368"/>
      <c r="Z782" s="368"/>
      <c r="AA782" s="368">
        <v>0.45</v>
      </c>
      <c r="AB782" s="368"/>
      <c r="AC782" s="368" t="s">
        <v>1704</v>
      </c>
      <c r="AD782" s="368"/>
      <c r="AE782" s="368"/>
      <c r="AF782" s="374">
        <v>100</v>
      </c>
      <c r="AG782" s="377">
        <v>30323.574000000001</v>
      </c>
      <c r="AH782" s="979">
        <v>1458</v>
      </c>
      <c r="AI782" s="978">
        <v>-5213</v>
      </c>
      <c r="AJ782" s="374"/>
      <c r="AK782" s="374"/>
      <c r="AL782" s="374"/>
      <c r="AM782" s="374" t="s">
        <v>2021</v>
      </c>
      <c r="AN782" s="379">
        <v>5.25</v>
      </c>
      <c r="AO782" s="379"/>
      <c r="AP782" s="379"/>
      <c r="AQ782" s="379"/>
      <c r="AR782" s="379"/>
      <c r="AS782" s="379"/>
      <c r="AT782" s="379">
        <f>+ab($T$782,$T$780,$T$784,$G$781,$G$783,-1*$F$782,1200)</f>
        <v>11.14504395531122</v>
      </c>
      <c r="AU782" s="379"/>
      <c r="AV782" s="379"/>
      <c r="AW782" s="374" t="s">
        <v>699</v>
      </c>
      <c r="AX782" s="374" t="s">
        <v>699</v>
      </c>
      <c r="AY782" s="374" t="s">
        <v>699</v>
      </c>
      <c r="AZ782" s="374" t="s">
        <v>699</v>
      </c>
      <c r="BA782" s="374"/>
      <c r="BB782" s="306"/>
    </row>
    <row r="783" spans="1:54" ht="14.25">
      <c r="A783" s="378"/>
      <c r="B783" s="406"/>
      <c r="C783" s="377"/>
      <c r="D783" s="374"/>
      <c r="E783" s="374"/>
      <c r="F783" s="407"/>
      <c r="G783" s="408">
        <v>50</v>
      </c>
      <c r="H783" s="374"/>
      <c r="I783" s="407"/>
      <c r="J783" s="409">
        <f>C784-10</f>
        <v>30365</v>
      </c>
      <c r="K783" s="374" t="s">
        <v>1055</v>
      </c>
      <c r="L783" s="374"/>
      <c r="M783" s="374"/>
      <c r="N783" s="376"/>
      <c r="O783" s="376"/>
      <c r="P783" s="376"/>
      <c r="Q783" s="979">
        <v>0</v>
      </c>
      <c r="R783" s="978">
        <v>0</v>
      </c>
      <c r="S783" s="370">
        <f>+AG784-AG782</f>
        <v>52.007999999997992</v>
      </c>
      <c r="T783" s="368"/>
      <c r="U783" s="368"/>
      <c r="V783" s="368"/>
      <c r="W783" s="368"/>
      <c r="X783" s="368"/>
      <c r="Y783" s="368"/>
      <c r="Z783" s="368"/>
      <c r="AA783" s="368"/>
      <c r="AB783" s="368"/>
      <c r="AC783" s="368"/>
      <c r="AD783" s="368"/>
      <c r="AE783" s="368"/>
      <c r="AF783" s="374">
        <v>100</v>
      </c>
      <c r="AG783" s="377">
        <f>AG782+1.96</f>
        <v>30325.534</v>
      </c>
      <c r="AH783" s="979">
        <v>1470</v>
      </c>
      <c r="AI783" s="978">
        <v>-5217</v>
      </c>
      <c r="AJ783" s="374"/>
      <c r="AK783" s="374"/>
      <c r="AL783" s="374"/>
      <c r="AM783" s="374"/>
      <c r="AN783" s="379"/>
      <c r="AO783" s="379"/>
      <c r="AP783" s="379"/>
      <c r="AQ783" s="379">
        <f>+FL_2($T$784,$T$782,$G$783,1200,9.28,-1*$F$784)</f>
        <v>-0.34489941866666662</v>
      </c>
      <c r="AR783" s="379"/>
      <c r="AS783" s="379"/>
      <c r="AT783" s="379"/>
      <c r="AU783" s="379"/>
      <c r="AV783" s="379"/>
      <c r="AW783" s="374"/>
      <c r="AX783" s="374"/>
      <c r="AY783" s="374"/>
      <c r="AZ783" s="374"/>
      <c r="BA783" s="374"/>
      <c r="BB783" s="306"/>
    </row>
    <row r="784" spans="1:54" ht="14.25">
      <c r="A784" s="378" t="s">
        <v>1781</v>
      </c>
      <c r="B784" s="406" t="s">
        <v>1846</v>
      </c>
      <c r="C784" s="377">
        <f>+$C$782+$G$783</f>
        <v>30375</v>
      </c>
      <c r="D784" s="374"/>
      <c r="E784" s="374"/>
      <c r="F784" s="407">
        <v>0</v>
      </c>
      <c r="G784" s="408"/>
      <c r="H784" s="376" t="s">
        <v>138</v>
      </c>
      <c r="I784" s="376" t="s">
        <v>912</v>
      </c>
      <c r="J784" s="409"/>
      <c r="K784" s="374"/>
      <c r="L784" s="374" t="s">
        <v>239</v>
      </c>
      <c r="M784" s="374"/>
      <c r="N784" s="376" t="s">
        <v>673</v>
      </c>
      <c r="O784" s="376"/>
      <c r="P784" s="376"/>
      <c r="Q784" s="979">
        <v>0</v>
      </c>
      <c r="R784" s="978">
        <v>0</v>
      </c>
      <c r="S784" s="370"/>
      <c r="T784" s="368">
        <v>-30</v>
      </c>
      <c r="U784" s="368"/>
      <c r="V784" s="368"/>
      <c r="W784" s="368">
        <v>1.1000000000000001</v>
      </c>
      <c r="X784" s="368"/>
      <c r="Y784" s="368"/>
      <c r="Z784" s="368"/>
      <c r="AA784" s="368"/>
      <c r="AB784" s="368"/>
      <c r="AC784" s="368" t="s">
        <v>1700</v>
      </c>
      <c r="AD784" s="368"/>
      <c r="AE784" s="368"/>
      <c r="AF784" s="374">
        <v>100</v>
      </c>
      <c r="AG784" s="377">
        <v>30375.581999999999</v>
      </c>
      <c r="AH784" s="979">
        <v>1453</v>
      </c>
      <c r="AI784" s="978">
        <v>-5238</v>
      </c>
      <c r="AJ784" s="374"/>
      <c r="AK784" s="374"/>
      <c r="AL784" s="374"/>
      <c r="AM784" s="374" t="s">
        <v>2021</v>
      </c>
      <c r="AN784" s="379">
        <v>5.25</v>
      </c>
      <c r="AO784" s="379"/>
      <c r="AP784" s="379"/>
      <c r="AQ784" s="379"/>
      <c r="AR784" s="379"/>
      <c r="AS784" s="379"/>
      <c r="AT784" s="379">
        <f>+ab($T$784,$T$782,$T$786,$G$783,$G$785,-1*$F$784,1200)</f>
        <v>-8.2849467556123688</v>
      </c>
      <c r="AU784" s="379"/>
      <c r="AV784" s="379"/>
      <c r="AW784" s="374" t="s">
        <v>699</v>
      </c>
      <c r="AX784" s="374" t="s">
        <v>699</v>
      </c>
      <c r="AY784" s="374" t="s">
        <v>699</v>
      </c>
      <c r="AZ784" s="374" t="s">
        <v>699</v>
      </c>
      <c r="BA784" s="374"/>
      <c r="BB784" s="306"/>
    </row>
    <row r="785" spans="1:54" ht="14.25">
      <c r="A785" s="378"/>
      <c r="B785" s="406"/>
      <c r="C785" s="377"/>
      <c r="D785" s="374"/>
      <c r="E785" s="374"/>
      <c r="F785" s="407"/>
      <c r="G785" s="408">
        <v>50</v>
      </c>
      <c r="H785" s="376"/>
      <c r="I785" s="375"/>
      <c r="J785" s="409"/>
      <c r="K785" s="374"/>
      <c r="L785" s="374"/>
      <c r="M785" s="374"/>
      <c r="N785" s="376"/>
      <c r="O785" s="376"/>
      <c r="P785" s="376"/>
      <c r="Q785" s="979"/>
      <c r="R785" s="454"/>
      <c r="S785" s="370">
        <f>+AG786-AG784</f>
        <v>50.078000000001339</v>
      </c>
      <c r="T785" s="368"/>
      <c r="U785" s="368"/>
      <c r="V785" s="368"/>
      <c r="W785" s="368"/>
      <c r="X785" s="368"/>
      <c r="Y785" s="368"/>
      <c r="Z785" s="368"/>
      <c r="AA785" s="368"/>
      <c r="AB785" s="368"/>
      <c r="AC785" s="368"/>
      <c r="AD785" s="368"/>
      <c r="AE785" s="368"/>
      <c r="AF785" s="374"/>
      <c r="AG785" s="377"/>
      <c r="AH785" s="979" t="s">
        <v>695</v>
      </c>
      <c r="AI785" s="978" t="s">
        <v>695</v>
      </c>
      <c r="AJ785" s="374"/>
      <c r="AK785" s="374"/>
      <c r="AL785" s="374"/>
      <c r="AM785" s="374"/>
      <c r="AN785" s="379"/>
      <c r="AO785" s="379"/>
      <c r="AP785" s="379"/>
      <c r="AQ785" s="379">
        <f>+FL_1($T$786,$T$784,$G$785,1200,9.28,-1*$F$786)</f>
        <v>0.33477011200000001</v>
      </c>
      <c r="AR785" s="379"/>
      <c r="AS785" s="379"/>
      <c r="AT785" s="379"/>
      <c r="AU785" s="379"/>
      <c r="AV785" s="379"/>
      <c r="AW785" s="374"/>
      <c r="AX785" s="374"/>
      <c r="AY785" s="374"/>
      <c r="AZ785" s="374"/>
      <c r="BA785" s="374"/>
      <c r="BB785" s="306"/>
    </row>
    <row r="786" spans="1:54" ht="14.25">
      <c r="A786" s="378" t="s">
        <v>1781</v>
      </c>
      <c r="B786" s="406" t="s">
        <v>1847</v>
      </c>
      <c r="C786" s="377">
        <f>+$C$784+$G$785</f>
        <v>30425</v>
      </c>
      <c r="D786" s="374"/>
      <c r="E786" s="374"/>
      <c r="F786" s="407">
        <v>0</v>
      </c>
      <c r="G786" s="408"/>
      <c r="H786" s="376"/>
      <c r="I786" s="376"/>
      <c r="J786" s="409"/>
      <c r="K786" s="374"/>
      <c r="L786" s="374" t="s">
        <v>239</v>
      </c>
      <c r="M786" s="374"/>
      <c r="N786" s="376" t="s">
        <v>674</v>
      </c>
      <c r="O786" s="376"/>
      <c r="P786" s="376"/>
      <c r="Q786" s="979">
        <v>0</v>
      </c>
      <c r="R786" s="978">
        <v>0</v>
      </c>
      <c r="S786" s="370"/>
      <c r="T786" s="368">
        <v>30</v>
      </c>
      <c r="U786" s="368"/>
      <c r="V786" s="368"/>
      <c r="W786" s="368">
        <v>1.1000000000000001</v>
      </c>
      <c r="X786" s="368"/>
      <c r="Y786" s="368"/>
      <c r="Z786" s="368"/>
      <c r="AA786" s="368"/>
      <c r="AB786" s="368"/>
      <c r="AC786" s="368" t="s">
        <v>2963</v>
      </c>
      <c r="AD786" s="368"/>
      <c r="AE786" s="368"/>
      <c r="AF786" s="374">
        <v>100</v>
      </c>
      <c r="AG786" s="377">
        <v>30425.66</v>
      </c>
      <c r="AH786" s="979">
        <v>1435</v>
      </c>
      <c r="AI786" s="978">
        <v>-5219</v>
      </c>
      <c r="AJ786" s="374"/>
      <c r="AK786" s="374"/>
      <c r="AL786" s="374"/>
      <c r="AM786" s="374" t="s">
        <v>2021</v>
      </c>
      <c r="AN786" s="379">
        <v>5.25</v>
      </c>
      <c r="AO786" s="379"/>
      <c r="AP786" s="379"/>
      <c r="AQ786" s="379"/>
      <c r="AR786" s="379"/>
      <c r="AS786" s="379"/>
      <c r="AT786" s="379">
        <f>+ab($T$786,$T$784,$T$788,$G$785,$G$787,-1*$F$786,1200)</f>
        <v>7.9442083933778509</v>
      </c>
      <c r="AU786" s="379"/>
      <c r="AV786" s="379"/>
      <c r="AW786" s="374" t="s">
        <v>699</v>
      </c>
      <c r="AX786" s="374" t="s">
        <v>699</v>
      </c>
      <c r="AY786" s="374" t="s">
        <v>699</v>
      </c>
      <c r="AZ786" s="374" t="s">
        <v>699</v>
      </c>
      <c r="BA786" s="374"/>
      <c r="BB786" s="306"/>
    </row>
    <row r="787" spans="1:54" ht="14.25">
      <c r="A787" s="378"/>
      <c r="B787" s="406"/>
      <c r="C787" s="377"/>
      <c r="D787" s="374"/>
      <c r="E787" s="374"/>
      <c r="F787" s="407"/>
      <c r="G787" s="408">
        <v>50</v>
      </c>
      <c r="H787" s="376"/>
      <c r="I787" s="375"/>
      <c r="J787" s="409"/>
      <c r="K787" s="374"/>
      <c r="L787" s="374"/>
      <c r="M787" s="374"/>
      <c r="N787" s="376"/>
      <c r="O787" s="376"/>
      <c r="P787" s="376"/>
      <c r="Q787" s="979"/>
      <c r="R787" s="454"/>
      <c r="S787" s="370">
        <f>+AG788-AG786</f>
        <v>50.080000000001746</v>
      </c>
      <c r="T787" s="368"/>
      <c r="U787" s="368"/>
      <c r="V787" s="368"/>
      <c r="W787" s="368"/>
      <c r="X787" s="368"/>
      <c r="Y787" s="368"/>
      <c r="Z787" s="368"/>
      <c r="AA787" s="368"/>
      <c r="AB787" s="368"/>
      <c r="AC787" s="368"/>
      <c r="AD787" s="368"/>
      <c r="AE787" s="368"/>
      <c r="AF787" s="374"/>
      <c r="AG787" s="377"/>
      <c r="AH787" s="979" t="s">
        <v>695</v>
      </c>
      <c r="AI787" s="978" t="s">
        <v>695</v>
      </c>
      <c r="AJ787" s="374"/>
      <c r="AK787" s="374"/>
      <c r="AL787" s="374"/>
      <c r="AM787" s="374"/>
      <c r="AN787" s="379"/>
      <c r="AO787" s="379"/>
      <c r="AP787" s="379"/>
      <c r="AQ787" s="379">
        <f>+FL_2($T$788,$T$786,$G$787,1200,9.28,-1*$F$788)</f>
        <v>-0.33477011200000001</v>
      </c>
      <c r="AR787" s="379"/>
      <c r="AS787" s="379"/>
      <c r="AT787" s="379"/>
      <c r="AU787" s="379"/>
      <c r="AV787" s="379"/>
      <c r="AW787" s="374"/>
      <c r="AX787" s="374"/>
      <c r="AY787" s="374"/>
      <c r="AZ787" s="374"/>
      <c r="BA787" s="374"/>
      <c r="BB787" s="306"/>
    </row>
    <row r="788" spans="1:54" ht="14.25">
      <c r="A788" s="378" t="s">
        <v>1781</v>
      </c>
      <c r="B788" s="406" t="s">
        <v>1848</v>
      </c>
      <c r="C788" s="377">
        <f>+$C$786+$G$787</f>
        <v>30475</v>
      </c>
      <c r="D788" s="374"/>
      <c r="E788" s="374"/>
      <c r="F788" s="407">
        <v>0</v>
      </c>
      <c r="G788" s="408"/>
      <c r="H788" s="376"/>
      <c r="I788" s="376"/>
      <c r="J788" s="409"/>
      <c r="K788" s="374"/>
      <c r="L788" s="374" t="s">
        <v>239</v>
      </c>
      <c r="M788" s="374"/>
      <c r="N788" s="376" t="s">
        <v>673</v>
      </c>
      <c r="O788" s="376"/>
      <c r="P788" s="376"/>
      <c r="Q788" s="979">
        <v>0</v>
      </c>
      <c r="R788" s="978">
        <v>0</v>
      </c>
      <c r="S788" s="370"/>
      <c r="T788" s="368">
        <v>-30</v>
      </c>
      <c r="U788" s="368"/>
      <c r="V788" s="368"/>
      <c r="W788" s="368">
        <v>1.1000000000000001</v>
      </c>
      <c r="X788" s="368"/>
      <c r="Y788" s="368"/>
      <c r="Z788" s="368"/>
      <c r="AA788" s="368"/>
      <c r="AB788" s="368"/>
      <c r="AC788" s="368" t="s">
        <v>2972</v>
      </c>
      <c r="AD788" s="368"/>
      <c r="AE788" s="368"/>
      <c r="AF788" s="374">
        <v>100</v>
      </c>
      <c r="AG788" s="377">
        <v>30475.74</v>
      </c>
      <c r="AH788" s="979">
        <v>1462</v>
      </c>
      <c r="AI788" s="978">
        <v>-5255</v>
      </c>
      <c r="AJ788" s="374"/>
      <c r="AK788" s="374"/>
      <c r="AL788" s="374"/>
      <c r="AM788" s="374" t="s">
        <v>2021</v>
      </c>
      <c r="AN788" s="379">
        <v>5.25</v>
      </c>
      <c r="AO788" s="379"/>
      <c r="AP788" s="379"/>
      <c r="AQ788" s="379"/>
      <c r="AR788" s="379"/>
      <c r="AS788" s="379"/>
      <c r="AT788" s="379">
        <f>+ab($T$788,$T$786,$T$790,$G$787,$G$789,-1*$F$788,1200)</f>
        <v>-7.9442410717051439</v>
      </c>
      <c r="AU788" s="379"/>
      <c r="AV788" s="379"/>
      <c r="AW788" s="374" t="s">
        <v>699</v>
      </c>
      <c r="AX788" s="374" t="s">
        <v>699</v>
      </c>
      <c r="AY788" s="374" t="s">
        <v>699</v>
      </c>
      <c r="AZ788" s="374" t="s">
        <v>699</v>
      </c>
      <c r="BA788" s="374"/>
      <c r="BB788" s="306"/>
    </row>
    <row r="789" spans="1:54" ht="14.25">
      <c r="A789" s="378"/>
      <c r="B789" s="406"/>
      <c r="C789" s="377"/>
      <c r="D789" s="374"/>
      <c r="E789" s="374"/>
      <c r="F789" s="407"/>
      <c r="G789" s="408">
        <v>50</v>
      </c>
      <c r="H789" s="376"/>
      <c r="I789" s="375"/>
      <c r="J789" s="409"/>
      <c r="K789" s="374"/>
      <c r="L789" s="374"/>
      <c r="M789" s="374"/>
      <c r="N789" s="376"/>
      <c r="O789" s="376"/>
      <c r="P789" s="376"/>
      <c r="Q789" s="979"/>
      <c r="R789" s="454"/>
      <c r="S789" s="370">
        <f>+AG790-AG788</f>
        <v>50.121999999999389</v>
      </c>
      <c r="T789" s="368"/>
      <c r="U789" s="368"/>
      <c r="V789" s="368"/>
      <c r="W789" s="368"/>
      <c r="X789" s="368"/>
      <c r="Y789" s="368"/>
      <c r="Z789" s="368"/>
      <c r="AA789" s="368"/>
      <c r="AB789" s="368"/>
      <c r="AC789" s="368"/>
      <c r="AD789" s="368"/>
      <c r="AE789" s="368"/>
      <c r="AF789" s="374"/>
      <c r="AG789" s="377"/>
      <c r="AH789" s="979" t="s">
        <v>695</v>
      </c>
      <c r="AI789" s="978" t="s">
        <v>695</v>
      </c>
      <c r="AJ789" s="374"/>
      <c r="AK789" s="374"/>
      <c r="AL789" s="374"/>
      <c r="AM789" s="374"/>
      <c r="AN789" s="379"/>
      <c r="AO789" s="379"/>
      <c r="AP789" s="379"/>
      <c r="AQ789" s="379">
        <f>+FL_1($T$790,$T$788,$G$789,1200,9.28,-1*$F$790)</f>
        <v>0.33477011200000001</v>
      </c>
      <c r="AR789" s="379"/>
      <c r="AS789" s="379"/>
      <c r="AT789" s="379"/>
      <c r="AU789" s="379"/>
      <c r="AV789" s="379"/>
      <c r="AW789" s="374"/>
      <c r="AX789" s="374"/>
      <c r="AY789" s="374"/>
      <c r="AZ789" s="374"/>
      <c r="BA789" s="374"/>
      <c r="BB789" s="306"/>
    </row>
    <row r="790" spans="1:54" ht="14.25">
      <c r="A790" s="378" t="s">
        <v>1781</v>
      </c>
      <c r="B790" s="406" t="s">
        <v>1849</v>
      </c>
      <c r="C790" s="377">
        <f>+$C$788+$G$789</f>
        <v>30525</v>
      </c>
      <c r="D790" s="374"/>
      <c r="E790" s="374"/>
      <c r="F790" s="407">
        <v>0</v>
      </c>
      <c r="G790" s="408"/>
      <c r="H790" s="376" t="s">
        <v>1059</v>
      </c>
      <c r="I790" s="375"/>
      <c r="J790" s="409"/>
      <c r="K790" s="374"/>
      <c r="L790" s="374" t="s">
        <v>239</v>
      </c>
      <c r="M790" s="374"/>
      <c r="N790" s="376" t="s">
        <v>674</v>
      </c>
      <c r="O790" s="376"/>
      <c r="P790" s="376"/>
      <c r="Q790" s="979">
        <v>0</v>
      </c>
      <c r="R790" s="978">
        <v>0</v>
      </c>
      <c r="S790" s="370"/>
      <c r="T790" s="368">
        <v>30</v>
      </c>
      <c r="U790" s="368"/>
      <c r="V790" s="368"/>
      <c r="W790" s="368">
        <v>1.1000000000000001</v>
      </c>
      <c r="X790" s="368"/>
      <c r="Y790" s="368"/>
      <c r="Z790" s="368"/>
      <c r="AA790" s="368"/>
      <c r="AB790" s="368"/>
      <c r="AC790" s="368" t="s">
        <v>2963</v>
      </c>
      <c r="AD790" s="368"/>
      <c r="AE790" s="368"/>
      <c r="AF790" s="374">
        <v>100</v>
      </c>
      <c r="AG790" s="377">
        <v>30525.862000000001</v>
      </c>
      <c r="AH790" s="979">
        <v>1475</v>
      </c>
      <c r="AI790" s="978">
        <v>-5239</v>
      </c>
      <c r="AJ790" s="374"/>
      <c r="AK790" s="374"/>
      <c r="AL790" s="374"/>
      <c r="AM790" s="374" t="s">
        <v>2021</v>
      </c>
      <c r="AN790" s="379">
        <v>5.25</v>
      </c>
      <c r="AO790" s="379"/>
      <c r="AP790" s="379"/>
      <c r="AQ790" s="379"/>
      <c r="AR790" s="379"/>
      <c r="AS790" s="379"/>
      <c r="AT790" s="379">
        <f>+ab($T$790,$T$788,$T$792,$G$789,$G$791,-1*$F$790,1200)</f>
        <v>7.9442083933778509</v>
      </c>
      <c r="AU790" s="379"/>
      <c r="AV790" s="379"/>
      <c r="AW790" s="374" t="s">
        <v>699</v>
      </c>
      <c r="AX790" s="374" t="s">
        <v>699</v>
      </c>
      <c r="AY790" s="374" t="s">
        <v>699</v>
      </c>
      <c r="AZ790" s="374" t="s">
        <v>699</v>
      </c>
      <c r="BA790" s="374"/>
      <c r="BB790" s="306"/>
    </row>
    <row r="791" spans="1:54" ht="14.25">
      <c r="A791" s="378"/>
      <c r="B791" s="406"/>
      <c r="C791" s="377"/>
      <c r="D791" s="374"/>
      <c r="E791" s="374"/>
      <c r="F791" s="407"/>
      <c r="G791" s="408">
        <v>50</v>
      </c>
      <c r="H791" s="376"/>
      <c r="I791" s="376">
        <f>SUM(G779:G791)</f>
        <v>350</v>
      </c>
      <c r="J791" s="409">
        <f>C790+10</f>
        <v>30535</v>
      </c>
      <c r="K791" s="374" t="s">
        <v>1060</v>
      </c>
      <c r="L791" s="374"/>
      <c r="M791" s="374"/>
      <c r="N791" s="376"/>
      <c r="O791" s="376"/>
      <c r="P791" s="376"/>
      <c r="Q791" s="979"/>
      <c r="R791" s="454"/>
      <c r="S791" s="370">
        <f>+AG792-AG790</f>
        <v>50.062999999998283</v>
      </c>
      <c r="T791" s="368"/>
      <c r="U791" s="368"/>
      <c r="V791" s="368"/>
      <c r="W791" s="368"/>
      <c r="X791" s="368"/>
      <c r="Y791" s="368"/>
      <c r="Z791" s="368"/>
      <c r="AA791" s="368"/>
      <c r="AB791" s="368"/>
      <c r="AC791" s="368"/>
      <c r="AD791" s="368"/>
      <c r="AE791" s="368"/>
      <c r="AF791" s="374"/>
      <c r="AG791" s="377"/>
      <c r="AH791" s="979" t="s">
        <v>695</v>
      </c>
      <c r="AI791" s="978" t="s">
        <v>695</v>
      </c>
      <c r="AJ791" s="374"/>
      <c r="AK791" s="374"/>
      <c r="AL791" s="374"/>
      <c r="AM791" s="374"/>
      <c r="AN791" s="379"/>
      <c r="AO791" s="379"/>
      <c r="AP791" s="379"/>
      <c r="AQ791" s="379">
        <f>+FL_2($T$792,$T$790,$G$791,1200,9.28,-1*$F$792)</f>
        <v>-0.33477011200000001</v>
      </c>
      <c r="AR791" s="379"/>
      <c r="AS791" s="379"/>
      <c r="AT791" s="379"/>
      <c r="AU791" s="379"/>
      <c r="AV791" s="379"/>
      <c r="AW791" s="374"/>
      <c r="AX791" s="374"/>
      <c r="AY791" s="374"/>
      <c r="AZ791" s="374"/>
      <c r="BA791" s="374"/>
      <c r="BB791" s="306"/>
    </row>
    <row r="792" spans="1:54" ht="14.25">
      <c r="A792" s="378" t="s">
        <v>1781</v>
      </c>
      <c r="B792" s="406" t="s">
        <v>1850</v>
      </c>
      <c r="C792" s="377">
        <f>+$C$790+$G$791</f>
        <v>30575</v>
      </c>
      <c r="D792" s="374"/>
      <c r="E792" s="374"/>
      <c r="F792" s="407">
        <v>0</v>
      </c>
      <c r="G792" s="408"/>
      <c r="H792" s="376" t="s">
        <v>956</v>
      </c>
      <c r="I792" s="376"/>
      <c r="J792" s="409"/>
      <c r="K792" s="374"/>
      <c r="L792" s="374" t="s">
        <v>239</v>
      </c>
      <c r="M792" s="374"/>
      <c r="N792" s="376" t="s">
        <v>673</v>
      </c>
      <c r="O792" s="376"/>
      <c r="P792" s="376"/>
      <c r="Q792" s="979">
        <v>0</v>
      </c>
      <c r="R792" s="978">
        <v>0</v>
      </c>
      <c r="S792" s="370"/>
      <c r="T792" s="368">
        <v>-30</v>
      </c>
      <c r="U792" s="368"/>
      <c r="V792" s="368"/>
      <c r="W792" s="368">
        <v>1.1000000000000001</v>
      </c>
      <c r="X792" s="368"/>
      <c r="Y792" s="368"/>
      <c r="Z792" s="368"/>
      <c r="AA792" s="368"/>
      <c r="AB792" s="368"/>
      <c r="AC792" s="368" t="s">
        <v>2972</v>
      </c>
      <c r="AD792" s="368"/>
      <c r="AE792" s="368"/>
      <c r="AF792" s="374">
        <v>100</v>
      </c>
      <c r="AG792" s="377">
        <v>30575.924999999999</v>
      </c>
      <c r="AH792" s="979">
        <v>1504</v>
      </c>
      <c r="AI792" s="978">
        <v>-5251</v>
      </c>
      <c r="AJ792" s="374"/>
      <c r="AK792" s="374"/>
      <c r="AL792" s="374"/>
      <c r="AM792" s="374" t="s">
        <v>2021</v>
      </c>
      <c r="AN792" s="379">
        <v>5.25</v>
      </c>
      <c r="AO792" s="379"/>
      <c r="AP792" s="379"/>
      <c r="AQ792" s="379"/>
      <c r="AR792" s="379"/>
      <c r="AS792" s="379"/>
      <c r="AT792" s="379">
        <f>+ab($T$792,$T$790,$T$794,$G$791,$G$793,-1*$F$792,1200)</f>
        <v>-7.9442410717051439</v>
      </c>
      <c r="AU792" s="379"/>
      <c r="AV792" s="379"/>
      <c r="AW792" s="374" t="s">
        <v>699</v>
      </c>
      <c r="AX792" s="374" t="s">
        <v>699</v>
      </c>
      <c r="AY792" s="374" t="s">
        <v>699</v>
      </c>
      <c r="AZ792" s="374" t="s">
        <v>699</v>
      </c>
      <c r="BA792" s="374"/>
      <c r="BB792" s="306"/>
    </row>
    <row r="793" spans="1:54" ht="14.25">
      <c r="A793" s="378"/>
      <c r="B793" s="406"/>
      <c r="C793" s="377"/>
      <c r="D793" s="374"/>
      <c r="E793" s="374"/>
      <c r="F793" s="407"/>
      <c r="G793" s="408">
        <v>50</v>
      </c>
      <c r="H793" s="376"/>
      <c r="I793" s="376">
        <f>SUM(G793:G809)</f>
        <v>325</v>
      </c>
      <c r="J793" s="409">
        <f>C794-10</f>
        <v>30615</v>
      </c>
      <c r="K793" s="374" t="s">
        <v>1060</v>
      </c>
      <c r="L793" s="374"/>
      <c r="M793" s="374"/>
      <c r="N793" s="376"/>
      <c r="O793" s="376"/>
      <c r="P793" s="376"/>
      <c r="Q793" s="374"/>
      <c r="R793" s="408"/>
      <c r="S793" s="370">
        <f>+AG794-AG792</f>
        <v>48.365000000001601</v>
      </c>
      <c r="T793" s="374"/>
      <c r="U793" s="374"/>
      <c r="V793" s="374"/>
      <c r="W793" s="374"/>
      <c r="X793" s="374"/>
      <c r="Y793" s="374"/>
      <c r="Z793" s="374"/>
      <c r="AA793" s="374"/>
      <c r="AB793" s="374"/>
      <c r="AC793" s="374"/>
      <c r="AD793" s="374"/>
      <c r="AE793" s="374"/>
      <c r="AF793" s="374"/>
      <c r="AG793" s="377"/>
      <c r="AH793" s="374" t="s">
        <v>695</v>
      </c>
      <c r="AI793" s="407" t="s">
        <v>695</v>
      </c>
      <c r="AJ793" s="374"/>
      <c r="AK793" s="374"/>
      <c r="AL793" s="374"/>
      <c r="AM793" s="374"/>
      <c r="AN793" s="379"/>
      <c r="AO793" s="379"/>
      <c r="AP793" s="379"/>
      <c r="AQ793" s="379">
        <f>+FL_2($T$794,$T$792,$G$793,1200,9.28,-1*$F$794)</f>
        <v>-0.33477011200000012</v>
      </c>
      <c r="AR793" s="379"/>
      <c r="AS793" s="379"/>
      <c r="AT793" s="379"/>
      <c r="AU793" s="379"/>
      <c r="AV793" s="379"/>
      <c r="AW793" s="374"/>
      <c r="AX793" s="374"/>
      <c r="AY793" s="374"/>
      <c r="AZ793" s="374"/>
      <c r="BA793" s="374"/>
      <c r="BB793" s="306"/>
    </row>
    <row r="794" spans="1:54" ht="14.25">
      <c r="A794" s="378" t="s">
        <v>1781</v>
      </c>
      <c r="B794" s="406" t="s">
        <v>1851</v>
      </c>
      <c r="C794" s="377">
        <f>+$C$792+$G$793</f>
        <v>30625</v>
      </c>
      <c r="D794" s="374"/>
      <c r="E794" s="374"/>
      <c r="F794" s="407">
        <v>0</v>
      </c>
      <c r="G794" s="408"/>
      <c r="H794" s="376" t="s">
        <v>1059</v>
      </c>
      <c r="I794" s="375"/>
      <c r="J794" s="409"/>
      <c r="K794" s="374"/>
      <c r="L794" s="374" t="s">
        <v>239</v>
      </c>
      <c r="M794" s="374"/>
      <c r="N794" s="376" t="s">
        <v>674</v>
      </c>
      <c r="O794" s="376"/>
      <c r="P794" s="376"/>
      <c r="Q794" s="374">
        <v>0</v>
      </c>
      <c r="R794" s="407">
        <v>0</v>
      </c>
      <c r="S794" s="408"/>
      <c r="T794" s="374">
        <v>30</v>
      </c>
      <c r="U794" s="374"/>
      <c r="V794" s="374"/>
      <c r="W794" s="374">
        <v>1.1000000000000001</v>
      </c>
      <c r="X794" s="374"/>
      <c r="Y794" s="374"/>
      <c r="Z794" s="374"/>
      <c r="AA794" s="374"/>
      <c r="AB794" s="374"/>
      <c r="AC794" s="374" t="s">
        <v>2963</v>
      </c>
      <c r="AD794" s="374"/>
      <c r="AE794" s="374"/>
      <c r="AF794" s="374">
        <v>100</v>
      </c>
      <c r="AG794" s="377">
        <v>30624.29</v>
      </c>
      <c r="AH794" s="374">
        <v>1511</v>
      </c>
      <c r="AI794" s="407">
        <v>-5244</v>
      </c>
      <c r="AJ794" s="374"/>
      <c r="AK794" s="374"/>
      <c r="AL794" s="374"/>
      <c r="AM794" s="374" t="s">
        <v>2021</v>
      </c>
      <c r="AN794" s="379">
        <v>5.3</v>
      </c>
      <c r="AO794" s="379"/>
      <c r="AP794" s="379"/>
      <c r="AQ794" s="379"/>
      <c r="AR794" s="379"/>
      <c r="AS794" s="379"/>
      <c r="AT794" s="379">
        <f>+ab($T$794,$T$792,$T$796,$G$793,$G$795,-1*$F$794,1200)</f>
        <v>8.2849112342023563</v>
      </c>
      <c r="AU794" s="379"/>
      <c r="AV794" s="379"/>
      <c r="AW794" s="374" t="s">
        <v>699</v>
      </c>
      <c r="AX794" s="374" t="s">
        <v>699</v>
      </c>
      <c r="AY794" s="374" t="s">
        <v>699</v>
      </c>
      <c r="AZ794" s="374" t="s">
        <v>699</v>
      </c>
      <c r="BA794" s="374"/>
      <c r="BB794" s="306"/>
    </row>
    <row r="795" spans="1:54" ht="14.25">
      <c r="A795" s="378"/>
      <c r="B795" s="412"/>
      <c r="C795" s="377"/>
      <c r="D795" s="374"/>
      <c r="E795" s="374"/>
      <c r="F795" s="407"/>
      <c r="G795" s="408">
        <v>50</v>
      </c>
      <c r="H795" s="376"/>
      <c r="I795" s="375" t="s">
        <v>1226</v>
      </c>
      <c r="J795" s="409"/>
      <c r="K795" s="374"/>
      <c r="L795" s="374"/>
      <c r="M795" s="374"/>
      <c r="N795" s="376"/>
      <c r="O795" s="376"/>
      <c r="P795" s="376"/>
      <c r="Q795" s="374"/>
      <c r="R795" s="408"/>
      <c r="S795" s="370">
        <f>+AG796-AG794</f>
        <v>49.979999999999563</v>
      </c>
      <c r="T795" s="374"/>
      <c r="U795" s="374"/>
      <c r="V795" s="374"/>
      <c r="W795" s="374"/>
      <c r="X795" s="374"/>
      <c r="Y795" s="374"/>
      <c r="Z795" s="374"/>
      <c r="AA795" s="374"/>
      <c r="AB795" s="374"/>
      <c r="AC795" s="374"/>
      <c r="AD795" s="374"/>
      <c r="AE795" s="374"/>
      <c r="AF795" s="374"/>
      <c r="AG795" s="377"/>
      <c r="AH795" s="374" t="s">
        <v>695</v>
      </c>
      <c r="AI795" s="407" t="s">
        <v>695</v>
      </c>
      <c r="AJ795" s="374"/>
      <c r="AK795" s="374"/>
      <c r="AL795" s="374"/>
      <c r="AM795" s="374"/>
      <c r="AN795" s="379"/>
      <c r="AO795" s="379"/>
      <c r="AP795" s="379"/>
      <c r="AQ795" s="379">
        <f>+FL_1($T$796,$T$794,$G$795,1200,9.28,-1*$F$796)</f>
        <v>0.34489941866666668</v>
      </c>
      <c r="AR795" s="379"/>
      <c r="AS795" s="379"/>
      <c r="AT795" s="379"/>
      <c r="AU795" s="379"/>
      <c r="AV795" s="379"/>
      <c r="AW795" s="374"/>
      <c r="AX795" s="374"/>
      <c r="AY795" s="374"/>
      <c r="AZ795" s="374"/>
      <c r="BA795" s="374"/>
      <c r="BB795" s="306"/>
    </row>
    <row r="796" spans="1:54" ht="14.25">
      <c r="A796" s="378" t="s">
        <v>1781</v>
      </c>
      <c r="B796" s="412" t="s">
        <v>1852</v>
      </c>
      <c r="C796" s="377">
        <f>+$C$794+$G$795</f>
        <v>30675</v>
      </c>
      <c r="D796" s="374"/>
      <c r="E796" s="374"/>
      <c r="F796" s="407">
        <v>0</v>
      </c>
      <c r="G796" s="408"/>
      <c r="H796" s="376" t="s">
        <v>138</v>
      </c>
      <c r="I796" s="375" t="s">
        <v>912</v>
      </c>
      <c r="J796" s="409">
        <f>C796+10</f>
        <v>30685</v>
      </c>
      <c r="K796" s="374" t="s">
        <v>1055</v>
      </c>
      <c r="L796" s="374" t="s">
        <v>239</v>
      </c>
      <c r="M796" s="374"/>
      <c r="N796" s="376" t="s">
        <v>673</v>
      </c>
      <c r="O796" s="376"/>
      <c r="P796" s="376"/>
      <c r="Q796" s="374">
        <v>0</v>
      </c>
      <c r="R796" s="407">
        <v>0</v>
      </c>
      <c r="S796" s="408"/>
      <c r="T796" s="374">
        <v>-25</v>
      </c>
      <c r="U796" s="374"/>
      <c r="V796" s="374"/>
      <c r="W796" s="374">
        <v>1.1000000000000001</v>
      </c>
      <c r="X796" s="374"/>
      <c r="Y796" s="374"/>
      <c r="Z796" s="374"/>
      <c r="AA796" s="374"/>
      <c r="AB796" s="374"/>
      <c r="AC796" s="374" t="s">
        <v>1700</v>
      </c>
      <c r="AD796" s="374"/>
      <c r="AE796" s="374"/>
      <c r="AF796" s="374">
        <v>100</v>
      </c>
      <c r="AG796" s="377">
        <v>30674.27</v>
      </c>
      <c r="AH796" s="374">
        <v>1316</v>
      </c>
      <c r="AI796" s="407">
        <v>-5342</v>
      </c>
      <c r="AJ796" s="976" t="s">
        <v>1593</v>
      </c>
      <c r="AK796" s="374"/>
      <c r="AL796" s="374"/>
      <c r="AM796" s="374" t="s">
        <v>2021</v>
      </c>
      <c r="AN796" s="379">
        <v>5.38</v>
      </c>
      <c r="AO796" s="379"/>
      <c r="AP796" s="379"/>
      <c r="AQ796" s="379"/>
      <c r="AR796" s="379"/>
      <c r="AS796" s="379"/>
      <c r="AT796" s="379">
        <f>+ab($T$796,$T$794,$U$798,$G$795,$G$797,-1*$F$796,1200)</f>
        <v>-12.869973016044138</v>
      </c>
      <c r="AU796" s="379"/>
      <c r="AV796" s="379"/>
      <c r="AW796" s="374" t="s">
        <v>699</v>
      </c>
      <c r="AX796" s="374" t="s">
        <v>699</v>
      </c>
      <c r="AY796" s="374" t="s">
        <v>699</v>
      </c>
      <c r="AZ796" s="374" t="s">
        <v>699</v>
      </c>
      <c r="BA796" s="374"/>
      <c r="BB796" s="306"/>
    </row>
    <row r="797" spans="1:54" ht="14.25">
      <c r="A797" s="378" t="s">
        <v>1853</v>
      </c>
      <c r="B797" s="412"/>
      <c r="C797" s="377"/>
      <c r="D797" s="374"/>
      <c r="E797" s="374"/>
      <c r="F797" s="407"/>
      <c r="G797" s="408">
        <v>41</v>
      </c>
      <c r="H797" s="376"/>
      <c r="I797" s="375" t="s">
        <v>1226</v>
      </c>
      <c r="J797" s="409"/>
      <c r="K797" s="374" t="s">
        <v>1060</v>
      </c>
      <c r="L797" s="374"/>
      <c r="M797" s="374"/>
      <c r="N797" s="376"/>
      <c r="O797" s="376"/>
      <c r="P797" s="376"/>
      <c r="Q797" s="374"/>
      <c r="R797" s="408"/>
      <c r="S797" s="408">
        <f>+AG798-AG796</f>
        <v>41.729999999999563</v>
      </c>
      <c r="T797" s="374"/>
      <c r="U797" s="374"/>
      <c r="V797" s="374"/>
      <c r="W797" s="374"/>
      <c r="X797" s="374"/>
      <c r="Y797" s="374"/>
      <c r="Z797" s="374"/>
      <c r="AA797" s="374"/>
      <c r="AB797" s="374"/>
      <c r="AC797" s="374"/>
      <c r="AD797" s="374"/>
      <c r="AE797" s="374"/>
      <c r="AF797" s="374"/>
      <c r="AG797" s="377"/>
      <c r="AH797" s="374" t="s">
        <v>695</v>
      </c>
      <c r="AI797" s="407" t="s">
        <v>695</v>
      </c>
      <c r="AJ797" s="976" t="s">
        <v>1603</v>
      </c>
      <c r="AK797" s="374"/>
      <c r="AL797" s="374"/>
      <c r="AM797" s="374"/>
      <c r="AN797" s="379"/>
      <c r="AO797" s="379"/>
      <c r="AP797" s="379"/>
      <c r="AQ797" s="379">
        <f>+FL_2($U$798,$T$796,$G$797,1200,9.28,-1*$F$798)</f>
        <v>-0.34615069004878052</v>
      </c>
      <c r="AR797" s="379"/>
      <c r="AS797" s="379"/>
      <c r="AT797" s="379"/>
      <c r="AU797" s="379"/>
      <c r="AV797" s="379"/>
      <c r="AW797" s="374"/>
      <c r="AX797" s="374"/>
      <c r="AY797" s="374"/>
      <c r="AZ797" s="374"/>
      <c r="BA797" s="374"/>
      <c r="BB797" s="306"/>
    </row>
    <row r="798" spans="1:54" ht="14.25">
      <c r="A798" s="318" t="s">
        <v>3283</v>
      </c>
      <c r="B798" s="413" t="s">
        <v>1854</v>
      </c>
      <c r="C798" s="320">
        <f>+$C$796+$G$797</f>
        <v>30716</v>
      </c>
      <c r="D798" s="976"/>
      <c r="E798" s="976"/>
      <c r="F798" s="326">
        <v>0</v>
      </c>
      <c r="G798" s="327"/>
      <c r="H798" s="337" t="s">
        <v>651</v>
      </c>
      <c r="I798" s="319" t="s">
        <v>2016</v>
      </c>
      <c r="J798" s="414"/>
      <c r="K798" s="374" t="s">
        <v>1060</v>
      </c>
      <c r="L798" s="976" t="s">
        <v>2957</v>
      </c>
      <c r="M798" s="976" t="s">
        <v>2029</v>
      </c>
      <c r="N798" s="337" t="s">
        <v>140</v>
      </c>
      <c r="O798" s="337" t="s">
        <v>144</v>
      </c>
      <c r="P798" s="337"/>
      <c r="Q798" s="976">
        <v>0</v>
      </c>
      <c r="R798" s="326">
        <v>0</v>
      </c>
      <c r="S798" s="327"/>
      <c r="T798" s="976">
        <v>-55</v>
      </c>
      <c r="U798" s="976">
        <v>-10</v>
      </c>
      <c r="V798" s="976"/>
      <c r="W798" s="976">
        <v>2.2999999999999998</v>
      </c>
      <c r="X798" s="976">
        <v>1.4</v>
      </c>
      <c r="Y798" s="976"/>
      <c r="Z798" s="976">
        <v>0.45</v>
      </c>
      <c r="AA798" s="976"/>
      <c r="AB798" s="976"/>
      <c r="AC798" s="976"/>
      <c r="AD798" s="976" t="s">
        <v>2963</v>
      </c>
      <c r="AE798" s="976"/>
      <c r="AF798" s="976">
        <v>4300</v>
      </c>
      <c r="AG798" s="320">
        <v>30716</v>
      </c>
      <c r="AH798" s="976">
        <v>3342</v>
      </c>
      <c r="AI798" s="326">
        <v>-1141</v>
      </c>
      <c r="AJ798" s="976" t="s">
        <v>3008</v>
      </c>
      <c r="AK798" s="976"/>
      <c r="AL798" s="976"/>
      <c r="AM798" s="976" t="s">
        <v>1228</v>
      </c>
      <c r="AN798" s="321">
        <v>5.46</v>
      </c>
      <c r="AO798" s="321"/>
      <c r="AP798" s="321"/>
      <c r="AQ798" s="321"/>
      <c r="AR798" s="321"/>
      <c r="AS798" s="321"/>
      <c r="AT798" s="321">
        <f>+ab($U$798,$T$796,$U$802,$G$797,$G$799,-1*$F$798,1200)</f>
        <v>-15.822940999677307</v>
      </c>
      <c r="AU798" s="321"/>
      <c r="AV798" s="321"/>
      <c r="AW798" s="976" t="s">
        <v>699</v>
      </c>
      <c r="AX798" s="976" t="s">
        <v>699</v>
      </c>
      <c r="AY798" s="976" t="s">
        <v>699</v>
      </c>
      <c r="AZ798" s="976" t="s">
        <v>699</v>
      </c>
      <c r="BA798" s="976"/>
      <c r="BB798" s="306"/>
    </row>
    <row r="799" spans="1:54" ht="14.25">
      <c r="A799" s="318" t="s">
        <v>3281</v>
      </c>
      <c r="B799" s="413" t="s">
        <v>3280</v>
      </c>
      <c r="C799" s="320" t="s">
        <v>2955</v>
      </c>
      <c r="D799" s="976"/>
      <c r="E799" s="976"/>
      <c r="F799" s="326"/>
      <c r="G799" s="327">
        <v>42</v>
      </c>
      <c r="H799" s="337"/>
      <c r="I799" s="319"/>
      <c r="J799" s="414"/>
      <c r="K799" s="976"/>
      <c r="L799" s="976" t="s">
        <v>2957</v>
      </c>
      <c r="M799" s="976" t="s">
        <v>2029</v>
      </c>
      <c r="N799" s="337"/>
      <c r="O799" s="337"/>
      <c r="P799" s="337"/>
      <c r="Q799" s="976"/>
      <c r="R799" s="327"/>
      <c r="S799" s="327"/>
      <c r="T799" s="976"/>
      <c r="U799" s="976"/>
      <c r="V799" s="976"/>
      <c r="W799" s="976"/>
      <c r="X799" s="976"/>
      <c r="Y799" s="976"/>
      <c r="Z799" s="976"/>
      <c r="AA799" s="976"/>
      <c r="AB799" s="976"/>
      <c r="AC799" s="976"/>
      <c r="AD799" s="976"/>
      <c r="AE799" s="976"/>
      <c r="AF799" s="976">
        <v>4300</v>
      </c>
      <c r="AG799" s="320">
        <v>30719</v>
      </c>
      <c r="AH799" s="976">
        <v>3342</v>
      </c>
      <c r="AI799" s="326">
        <v>-1141</v>
      </c>
      <c r="AJ799" s="976" t="s">
        <v>2018</v>
      </c>
      <c r="AK799" s="976"/>
      <c r="AL799" s="976"/>
      <c r="AM799" s="976"/>
      <c r="AN799" s="321"/>
      <c r="AO799" s="321"/>
      <c r="AP799" s="321"/>
      <c r="AQ799" s="321">
        <f>+FL_1($T$802,$U$798,$G$799+5,1200,9.28,-1*$F$800)</f>
        <v>0.22524425531914893</v>
      </c>
      <c r="AR799" s="321"/>
      <c r="AS799" s="321"/>
      <c r="AT799" s="321"/>
      <c r="AU799" s="321"/>
      <c r="AV799" s="321"/>
      <c r="AW799" s="976"/>
      <c r="AX799" s="976"/>
      <c r="AY799" s="976"/>
      <c r="AZ799" s="976"/>
      <c r="BA799" s="976"/>
      <c r="BB799" s="306"/>
    </row>
    <row r="800" spans="1:54" ht="14.25">
      <c r="A800" s="318" t="s">
        <v>3279</v>
      </c>
      <c r="B800" s="413" t="s">
        <v>1855</v>
      </c>
      <c r="C800" s="320">
        <f>+$C$798+$G$799</f>
        <v>30758</v>
      </c>
      <c r="D800" s="976"/>
      <c r="E800" s="976"/>
      <c r="F800" s="326">
        <v>0</v>
      </c>
      <c r="G800" s="327"/>
      <c r="H800" s="337"/>
      <c r="I800" s="319"/>
      <c r="J800" s="414"/>
      <c r="K800" s="976"/>
      <c r="L800" s="976" t="s">
        <v>230</v>
      </c>
      <c r="M800" s="976" t="s">
        <v>2031</v>
      </c>
      <c r="N800" s="337"/>
      <c r="O800" s="337"/>
      <c r="P800" s="337"/>
      <c r="Q800" s="976"/>
      <c r="R800" s="327"/>
      <c r="S800" s="327">
        <f>+AG802-AG798</f>
        <v>46.988000000001193</v>
      </c>
      <c r="T800" s="976"/>
      <c r="U800" s="976"/>
      <c r="V800" s="976"/>
      <c r="W800" s="976"/>
      <c r="X800" s="976"/>
      <c r="Y800" s="976"/>
      <c r="Z800" s="976"/>
      <c r="AA800" s="976"/>
      <c r="AB800" s="976"/>
      <c r="AC800" s="976"/>
      <c r="AD800" s="976"/>
      <c r="AE800" s="976"/>
      <c r="AF800" s="976"/>
      <c r="AG800" s="320"/>
      <c r="AH800" s="976" t="s">
        <v>695</v>
      </c>
      <c r="AI800" s="326" t="s">
        <v>695</v>
      </c>
      <c r="AJ800" s="976" t="s">
        <v>967</v>
      </c>
      <c r="AK800" s="976"/>
      <c r="AL800" s="976"/>
      <c r="AM800" s="976" t="s">
        <v>1228</v>
      </c>
      <c r="AN800" s="321"/>
      <c r="AO800" s="321"/>
      <c r="AP800" s="321"/>
      <c r="AQ800" s="321"/>
      <c r="AR800" s="321"/>
      <c r="AS800" s="321"/>
      <c r="AT800" s="321"/>
      <c r="AU800" s="321"/>
      <c r="AV800" s="321"/>
      <c r="AW800" s="976" t="s">
        <v>699</v>
      </c>
      <c r="AX800" s="976" t="s">
        <v>699</v>
      </c>
      <c r="AY800" s="976" t="s">
        <v>699</v>
      </c>
      <c r="AZ800" s="976" t="s">
        <v>699</v>
      </c>
      <c r="BA800" s="976"/>
      <c r="BB800" s="306"/>
    </row>
    <row r="801" spans="1:54" ht="14.25">
      <c r="A801" s="318"/>
      <c r="B801" s="413"/>
      <c r="C801" s="320"/>
      <c r="D801" s="976"/>
      <c r="E801" s="976"/>
      <c r="F801" s="326"/>
      <c r="G801" s="327">
        <v>5</v>
      </c>
      <c r="H801" s="337"/>
      <c r="I801" s="319"/>
      <c r="J801" s="414"/>
      <c r="K801" s="976"/>
      <c r="L801" s="976"/>
      <c r="M801" s="976"/>
      <c r="N801" s="337"/>
      <c r="O801" s="337"/>
      <c r="P801" s="337"/>
      <c r="Q801" s="976"/>
      <c r="R801" s="327"/>
      <c r="S801" s="327"/>
      <c r="T801" s="976"/>
      <c r="U801" s="976"/>
      <c r="V801" s="976"/>
      <c r="W801" s="976"/>
      <c r="X801" s="976"/>
      <c r="Y801" s="976"/>
      <c r="Z801" s="976"/>
      <c r="AA801" s="976"/>
      <c r="AB801" s="976"/>
      <c r="AC801" s="976"/>
      <c r="AD801" s="976"/>
      <c r="AE801" s="976"/>
      <c r="AF801" s="976"/>
      <c r="AG801" s="320"/>
      <c r="AH801" s="976" t="s">
        <v>695</v>
      </c>
      <c r="AI801" s="326" t="s">
        <v>695</v>
      </c>
      <c r="AJ801" s="976" t="s">
        <v>1590</v>
      </c>
      <c r="AK801" s="976"/>
      <c r="AL801" s="976"/>
      <c r="AM801" s="976"/>
      <c r="AN801" s="321"/>
      <c r="AO801" s="321"/>
      <c r="AP801" s="321"/>
      <c r="AQ801" s="321"/>
      <c r="AR801" s="321"/>
      <c r="AS801" s="321"/>
      <c r="AT801" s="321"/>
      <c r="AU801" s="321"/>
      <c r="AV801" s="321"/>
      <c r="AW801" s="976"/>
      <c r="AX801" s="976"/>
      <c r="AY801" s="976"/>
      <c r="AZ801" s="976"/>
      <c r="BA801" s="976"/>
      <c r="BB801" s="306"/>
    </row>
    <row r="802" spans="1:54" ht="14.25">
      <c r="A802" s="318" t="s">
        <v>3287</v>
      </c>
      <c r="B802" s="413" t="s">
        <v>1857</v>
      </c>
      <c r="C802" s="320">
        <f>+$C$800+$G$801</f>
        <v>30763</v>
      </c>
      <c r="D802" s="976"/>
      <c r="E802" s="976"/>
      <c r="F802" s="326">
        <v>0</v>
      </c>
      <c r="G802" s="327"/>
      <c r="H802" s="337" t="s">
        <v>651</v>
      </c>
      <c r="I802" s="319" t="s">
        <v>2016</v>
      </c>
      <c r="J802" s="414"/>
      <c r="K802" s="976"/>
      <c r="L802" s="976" t="s">
        <v>231</v>
      </c>
      <c r="M802" s="976" t="s">
        <v>2028</v>
      </c>
      <c r="N802" s="337" t="s">
        <v>144</v>
      </c>
      <c r="O802" s="337" t="s">
        <v>140</v>
      </c>
      <c r="P802" s="337"/>
      <c r="Q802" s="976"/>
      <c r="R802" s="327"/>
      <c r="S802" s="327"/>
      <c r="T802" s="976">
        <v>10</v>
      </c>
      <c r="U802" s="976">
        <v>55</v>
      </c>
      <c r="V802" s="976"/>
      <c r="W802" s="976">
        <v>2.2999999999999998</v>
      </c>
      <c r="X802" s="976">
        <v>1.4</v>
      </c>
      <c r="Y802" s="976"/>
      <c r="Z802" s="976"/>
      <c r="AA802" s="976">
        <v>0.45</v>
      </c>
      <c r="AB802" s="976"/>
      <c r="AC802" s="976" t="s">
        <v>2963</v>
      </c>
      <c r="AD802" s="976"/>
      <c r="AE802" s="976"/>
      <c r="AF802" s="976">
        <v>5200</v>
      </c>
      <c r="AG802" s="320">
        <v>30762.988000000001</v>
      </c>
      <c r="AH802" s="976">
        <v>3043</v>
      </c>
      <c r="AI802" s="326">
        <v>-32</v>
      </c>
      <c r="AJ802" s="976" t="s">
        <v>3248</v>
      </c>
      <c r="AK802" s="976"/>
      <c r="AL802" s="976"/>
      <c r="AM802" s="976" t="s">
        <v>1228</v>
      </c>
      <c r="AN802" s="321">
        <v>5.5</v>
      </c>
      <c r="AO802" s="321"/>
      <c r="AP802" s="321"/>
      <c r="AQ802" s="321"/>
      <c r="AR802" s="321"/>
      <c r="AS802" s="321"/>
      <c r="AT802" s="321">
        <f>+ab($T$802,$T$798,$T$804,$G$799,$G$803,-1*$F$802,1200)</f>
        <v>6.5196069991861165</v>
      </c>
      <c r="AU802" s="321"/>
      <c r="AV802" s="321"/>
      <c r="AW802" s="976" t="s">
        <v>699</v>
      </c>
      <c r="AX802" s="976" t="s">
        <v>699</v>
      </c>
      <c r="AY802" s="976" t="s">
        <v>699</v>
      </c>
      <c r="AZ802" s="976" t="s">
        <v>699</v>
      </c>
      <c r="BA802" s="976"/>
      <c r="BB802" s="306"/>
    </row>
    <row r="803" spans="1:54" ht="14.25">
      <c r="A803" s="318" t="s">
        <v>1856</v>
      </c>
      <c r="B803" s="413"/>
      <c r="C803" s="320"/>
      <c r="D803" s="976"/>
      <c r="E803" s="976"/>
      <c r="F803" s="326"/>
      <c r="G803" s="327">
        <v>47</v>
      </c>
      <c r="H803" s="337"/>
      <c r="I803" s="319"/>
      <c r="J803" s="414"/>
      <c r="K803" s="976"/>
      <c r="L803" s="976"/>
      <c r="M803" s="976"/>
      <c r="N803" s="337"/>
      <c r="O803" s="337"/>
      <c r="P803" s="337"/>
      <c r="Q803" s="976"/>
      <c r="R803" s="327"/>
      <c r="S803" s="327">
        <f>+AG804-AG802</f>
        <v>47.002000000000407</v>
      </c>
      <c r="T803" s="976"/>
      <c r="U803" s="976"/>
      <c r="V803" s="976"/>
      <c r="W803" s="976"/>
      <c r="X803" s="976"/>
      <c r="Y803" s="976"/>
      <c r="Z803" s="976"/>
      <c r="AA803" s="976"/>
      <c r="AB803" s="976"/>
      <c r="AC803" s="976"/>
      <c r="AD803" s="976"/>
      <c r="AE803" s="976"/>
      <c r="AF803" s="976"/>
      <c r="AG803" s="320"/>
      <c r="AH803" s="976" t="s">
        <v>695</v>
      </c>
      <c r="AI803" s="326" t="s">
        <v>695</v>
      </c>
      <c r="AJ803" s="976" t="s">
        <v>1593</v>
      </c>
      <c r="AK803" s="976"/>
      <c r="AL803" s="976"/>
      <c r="AM803" s="976"/>
      <c r="AN803" s="321"/>
      <c r="AO803" s="321"/>
      <c r="AP803" s="321"/>
      <c r="AQ803" s="321">
        <f>+FL_2($U$804,$T$802,$G$803,1200,9.28,-1*$F$804)</f>
        <v>-0.22524425531914893</v>
      </c>
      <c r="AR803" s="321"/>
      <c r="AS803" s="321"/>
      <c r="AT803" s="321"/>
      <c r="AU803" s="321"/>
      <c r="AV803" s="321"/>
      <c r="AW803" s="976"/>
      <c r="AX803" s="976"/>
      <c r="AY803" s="976"/>
      <c r="AZ803" s="976"/>
      <c r="BA803" s="976"/>
      <c r="BB803" s="306"/>
    </row>
    <row r="804" spans="1:54" ht="14.25">
      <c r="A804" s="318"/>
      <c r="B804" s="413" t="s">
        <v>1858</v>
      </c>
      <c r="C804" s="320">
        <f>+$C$802+$G$803</f>
        <v>30810</v>
      </c>
      <c r="D804" s="976"/>
      <c r="E804" s="976"/>
      <c r="F804" s="326">
        <v>0</v>
      </c>
      <c r="G804" s="327"/>
      <c r="H804" s="337" t="s">
        <v>651</v>
      </c>
      <c r="I804" s="319"/>
      <c r="J804" s="414"/>
      <c r="K804" s="976"/>
      <c r="L804" s="976" t="s">
        <v>231</v>
      </c>
      <c r="M804" s="976" t="s">
        <v>2028</v>
      </c>
      <c r="N804" s="337" t="s">
        <v>140</v>
      </c>
      <c r="O804" s="337" t="s">
        <v>144</v>
      </c>
      <c r="P804" s="337"/>
      <c r="Q804" s="976">
        <v>16</v>
      </c>
      <c r="R804" s="327">
        <v>-12433</v>
      </c>
      <c r="S804" s="327"/>
      <c r="T804" s="976">
        <v>-55</v>
      </c>
      <c r="U804" s="976">
        <v>-10</v>
      </c>
      <c r="V804" s="976"/>
      <c r="W804" s="976">
        <v>2.2999999999999998</v>
      </c>
      <c r="X804" s="976">
        <v>1.4</v>
      </c>
      <c r="Y804" s="976"/>
      <c r="Z804" s="976">
        <v>0.45</v>
      </c>
      <c r="AA804" s="976"/>
      <c r="AB804" s="976"/>
      <c r="AC804" s="976"/>
      <c r="AD804" s="976" t="s">
        <v>2971</v>
      </c>
      <c r="AE804" s="976"/>
      <c r="AF804" s="976">
        <v>5200</v>
      </c>
      <c r="AG804" s="320">
        <v>30809.99</v>
      </c>
      <c r="AH804" s="976">
        <v>3051</v>
      </c>
      <c r="AI804" s="326">
        <v>-31</v>
      </c>
      <c r="AJ804" s="976" t="s">
        <v>1593</v>
      </c>
      <c r="AK804" s="976"/>
      <c r="AL804" s="976"/>
      <c r="AM804" s="976" t="s">
        <v>1228</v>
      </c>
      <c r="AN804" s="321">
        <v>5.5</v>
      </c>
      <c r="AO804" s="321"/>
      <c r="AP804" s="321"/>
      <c r="AQ804" s="321"/>
      <c r="AR804" s="321"/>
      <c r="AS804" s="321"/>
      <c r="AT804" s="321">
        <f>+ab($U$804,$U$802,$U$808,$G$803,$G$807,-1*$F$804,1200)</f>
        <v>-6.5196266282936826</v>
      </c>
      <c r="AU804" s="321"/>
      <c r="AV804" s="321"/>
      <c r="AW804" s="976" t="s">
        <v>699</v>
      </c>
      <c r="AX804" s="976" t="s">
        <v>699</v>
      </c>
      <c r="AY804" s="976" t="s">
        <v>699</v>
      </c>
      <c r="AZ804" s="976" t="s">
        <v>699</v>
      </c>
      <c r="BA804" s="976"/>
      <c r="BB804" s="306"/>
    </row>
    <row r="805" spans="1:54" ht="14.25">
      <c r="A805" s="318"/>
      <c r="B805" s="413"/>
      <c r="C805" s="320"/>
      <c r="D805" s="976"/>
      <c r="E805" s="976"/>
      <c r="F805" s="326"/>
      <c r="G805" s="327">
        <v>5</v>
      </c>
      <c r="H805" s="337"/>
      <c r="I805" s="326"/>
      <c r="J805" s="320"/>
      <c r="K805" s="976"/>
      <c r="L805" s="976"/>
      <c r="M805" s="976"/>
      <c r="N805" s="337"/>
      <c r="O805" s="337"/>
      <c r="P805" s="337"/>
      <c r="Q805" s="976"/>
      <c r="R805" s="327"/>
      <c r="S805" s="327"/>
      <c r="T805" s="976"/>
      <c r="U805" s="976"/>
      <c r="V805" s="976"/>
      <c r="W805" s="976"/>
      <c r="X805" s="976"/>
      <c r="Y805" s="976"/>
      <c r="Z805" s="976"/>
      <c r="AA805" s="976"/>
      <c r="AB805" s="976"/>
      <c r="AC805" s="976"/>
      <c r="AD805" s="976"/>
      <c r="AE805" s="976"/>
      <c r="AF805" s="976"/>
      <c r="AG805" s="320"/>
      <c r="AH805" s="976" t="s">
        <v>695</v>
      </c>
      <c r="AI805" s="326" t="s">
        <v>695</v>
      </c>
      <c r="AJ805" s="976" t="s">
        <v>967</v>
      </c>
      <c r="AK805" s="976"/>
      <c r="AL805" s="976"/>
      <c r="AM805" s="976"/>
      <c r="AN805" s="321"/>
      <c r="AO805" s="321"/>
      <c r="AP805" s="321"/>
      <c r="AQ805" s="321">
        <f>+FL_1($T$808,$U$804,$G$805+42,1200,9.28,-1*$F$806)</f>
        <v>0.22524425531914893</v>
      </c>
      <c r="AR805" s="321"/>
      <c r="AS805" s="321"/>
      <c r="AT805" s="321"/>
      <c r="AU805" s="321"/>
      <c r="AV805" s="321"/>
      <c r="AW805" s="976"/>
      <c r="AX805" s="976"/>
      <c r="AY805" s="976"/>
      <c r="AZ805" s="976"/>
      <c r="BA805" s="976"/>
      <c r="BB805" s="306"/>
    </row>
    <row r="806" spans="1:54" ht="14.25">
      <c r="A806" s="318" t="s">
        <v>3289</v>
      </c>
      <c r="B806" s="413" t="s">
        <v>1859</v>
      </c>
      <c r="C806" s="320">
        <f>+$C$804+$G$805</f>
        <v>30815</v>
      </c>
      <c r="D806" s="976"/>
      <c r="E806" s="976"/>
      <c r="F806" s="326">
        <v>0</v>
      </c>
      <c r="G806" s="327"/>
      <c r="H806" s="337"/>
      <c r="I806" s="319"/>
      <c r="J806" s="414"/>
      <c r="K806" s="976"/>
      <c r="L806" s="976" t="s">
        <v>230</v>
      </c>
      <c r="M806" s="976" t="s">
        <v>2031</v>
      </c>
      <c r="N806" s="337"/>
      <c r="O806" s="337"/>
      <c r="P806" s="337"/>
      <c r="Q806" s="976">
        <v>10</v>
      </c>
      <c r="R806" s="327">
        <v>-10817</v>
      </c>
      <c r="S806" s="327">
        <f>+AG808-AG804</f>
        <v>46.979999999999563</v>
      </c>
      <c r="T806" s="976"/>
      <c r="U806" s="976"/>
      <c r="V806" s="976"/>
      <c r="W806" s="976"/>
      <c r="X806" s="976"/>
      <c r="Y806" s="976"/>
      <c r="Z806" s="976"/>
      <c r="AA806" s="976"/>
      <c r="AB806" s="976"/>
      <c r="AC806" s="976"/>
      <c r="AD806" s="976"/>
      <c r="AE806" s="976"/>
      <c r="AF806" s="976"/>
      <c r="AG806" s="320"/>
      <c r="AH806" s="976" t="s">
        <v>695</v>
      </c>
      <c r="AI806" s="326" t="s">
        <v>695</v>
      </c>
      <c r="AJ806" s="976" t="s">
        <v>1590</v>
      </c>
      <c r="AK806" s="976"/>
      <c r="AL806" s="976"/>
      <c r="AM806" s="976" t="s">
        <v>1228</v>
      </c>
      <c r="AN806" s="321"/>
      <c r="AO806" s="321"/>
      <c r="AP806" s="321"/>
      <c r="AQ806" s="321"/>
      <c r="AR806" s="321"/>
      <c r="AS806" s="321"/>
      <c r="AT806" s="321"/>
      <c r="AU806" s="321"/>
      <c r="AV806" s="321"/>
      <c r="AW806" s="976" t="s">
        <v>699</v>
      </c>
      <c r="AX806" s="976" t="s">
        <v>699</v>
      </c>
      <c r="AY806" s="976" t="s">
        <v>699</v>
      </c>
      <c r="AZ806" s="976" t="s">
        <v>699</v>
      </c>
      <c r="BA806" s="976"/>
      <c r="BB806" s="306"/>
    </row>
    <row r="807" spans="1:54" ht="14.25">
      <c r="A807" s="318" t="s">
        <v>1860</v>
      </c>
      <c r="B807" s="413"/>
      <c r="C807" s="320"/>
      <c r="D807" s="976"/>
      <c r="E807" s="976"/>
      <c r="F807" s="326"/>
      <c r="G807" s="327">
        <v>42</v>
      </c>
      <c r="H807" s="337"/>
      <c r="I807" s="337"/>
      <c r="J807" s="414"/>
      <c r="K807" s="976"/>
      <c r="L807" s="976"/>
      <c r="M807" s="976"/>
      <c r="N807" s="337"/>
      <c r="O807" s="337"/>
      <c r="P807" s="337"/>
      <c r="Q807" s="976"/>
      <c r="R807" s="327"/>
      <c r="S807" s="327"/>
      <c r="T807" s="976"/>
      <c r="U807" s="976"/>
      <c r="V807" s="976"/>
      <c r="W807" s="976"/>
      <c r="X807" s="976"/>
      <c r="Y807" s="976"/>
      <c r="Z807" s="976"/>
      <c r="AA807" s="976"/>
      <c r="AB807" s="976"/>
      <c r="AC807" s="976"/>
      <c r="AD807" s="976"/>
      <c r="AE807" s="976"/>
      <c r="AF807" s="976"/>
      <c r="AG807" s="320"/>
      <c r="AH807" s="976" t="s">
        <v>695</v>
      </c>
      <c r="AI807" s="326" t="s">
        <v>695</v>
      </c>
      <c r="AJ807" s="976" t="s">
        <v>3248</v>
      </c>
      <c r="AK807" s="976"/>
      <c r="AL807" s="976"/>
      <c r="AM807" s="976"/>
      <c r="AN807" s="321"/>
      <c r="AO807" s="321"/>
      <c r="AP807" s="321"/>
      <c r="AQ807" s="321"/>
      <c r="AR807" s="321"/>
      <c r="AS807" s="321"/>
      <c r="AT807" s="321"/>
      <c r="AU807" s="321"/>
      <c r="AV807" s="321"/>
      <c r="AW807" s="976"/>
      <c r="AX807" s="976"/>
      <c r="AY807" s="976"/>
      <c r="AZ807" s="976"/>
      <c r="BA807" s="976"/>
      <c r="BB807" s="306"/>
    </row>
    <row r="808" spans="1:54" ht="14.25">
      <c r="A808" s="318" t="s">
        <v>3292</v>
      </c>
      <c r="B808" s="413" t="s">
        <v>1861</v>
      </c>
      <c r="C808" s="320">
        <f>+$C$806+$G$807</f>
        <v>30857</v>
      </c>
      <c r="D808" s="976"/>
      <c r="E808" s="976"/>
      <c r="F808" s="326">
        <f>-560000/(C808-30764)</f>
        <v>-6021.5053763440865</v>
      </c>
      <c r="G808" s="327"/>
      <c r="H808" s="337" t="s">
        <v>651</v>
      </c>
      <c r="I808" s="319" t="s">
        <v>2016</v>
      </c>
      <c r="J808" s="414"/>
      <c r="K808" s="976"/>
      <c r="L808" s="976" t="s">
        <v>2957</v>
      </c>
      <c r="M808" s="976" t="s">
        <v>2029</v>
      </c>
      <c r="N808" s="337" t="s">
        <v>144</v>
      </c>
      <c r="O808" s="337" t="s">
        <v>140</v>
      </c>
      <c r="P808" s="337"/>
      <c r="Q808" s="976">
        <v>30</v>
      </c>
      <c r="R808" s="327">
        <v>-4000</v>
      </c>
      <c r="S808" s="327"/>
      <c r="T808" s="976">
        <v>10</v>
      </c>
      <c r="U808" s="976">
        <v>55</v>
      </c>
      <c r="V808" s="976"/>
      <c r="W808" s="976">
        <v>1.7</v>
      </c>
      <c r="X808" s="976">
        <v>1.4</v>
      </c>
      <c r="Y808" s="976"/>
      <c r="Z808" s="976"/>
      <c r="AA808" s="976">
        <v>0.45</v>
      </c>
      <c r="AB808" s="976"/>
      <c r="AC808" s="976" t="s">
        <v>1704</v>
      </c>
      <c r="AD808" s="976"/>
      <c r="AE808" s="976"/>
      <c r="AF808" s="976">
        <v>4100</v>
      </c>
      <c r="AG808" s="320">
        <v>30856.97</v>
      </c>
      <c r="AH808" s="976">
        <v>2972</v>
      </c>
      <c r="AI808" s="326">
        <v>-1030</v>
      </c>
      <c r="AJ808" s="976" t="s">
        <v>3008</v>
      </c>
      <c r="AK808" s="976"/>
      <c r="AL808" s="976"/>
      <c r="AM808" s="976" t="s">
        <v>1228</v>
      </c>
      <c r="AN808" s="321">
        <v>5.46</v>
      </c>
      <c r="AO808" s="321"/>
      <c r="AP808" s="321"/>
      <c r="AQ808" s="321"/>
      <c r="AR808" s="321"/>
      <c r="AS808" s="321"/>
      <c r="AT808" s="321">
        <f>+ab($T$808,$T$804,$T$810,$G$807,$G$809,-1*$F$808,1200)</f>
        <v>9.4100424888926231</v>
      </c>
      <c r="AU808" s="321"/>
      <c r="AV808" s="321"/>
      <c r="AW808" s="976" t="s">
        <v>699</v>
      </c>
      <c r="AX808" s="976" t="s">
        <v>699</v>
      </c>
      <c r="AY808" s="976" t="s">
        <v>699</v>
      </c>
      <c r="AZ808" s="976" t="s">
        <v>699</v>
      </c>
      <c r="BA808" s="976"/>
      <c r="BB808" s="306"/>
    </row>
    <row r="809" spans="1:54" ht="14.25">
      <c r="A809" s="318"/>
      <c r="B809" s="413" t="s">
        <v>2962</v>
      </c>
      <c r="C809" s="320" t="s">
        <v>2956</v>
      </c>
      <c r="D809" s="976"/>
      <c r="E809" s="976"/>
      <c r="F809" s="326"/>
      <c r="G809" s="327">
        <v>43</v>
      </c>
      <c r="H809" s="337"/>
      <c r="I809" s="376" t="s">
        <v>1226</v>
      </c>
      <c r="J809" s="320"/>
      <c r="K809" s="374" t="s">
        <v>1060</v>
      </c>
      <c r="L809" s="976" t="s">
        <v>2957</v>
      </c>
      <c r="M809" s="976" t="s">
        <v>2029</v>
      </c>
      <c r="N809" s="976"/>
      <c r="O809" s="976"/>
      <c r="P809" s="976"/>
      <c r="Q809" s="976"/>
      <c r="R809" s="327"/>
      <c r="S809" s="327">
        <f>+AG810-AG809</f>
        <v>43.080000000001746</v>
      </c>
      <c r="T809" s="976"/>
      <c r="U809" s="976"/>
      <c r="V809" s="976"/>
      <c r="W809" s="976"/>
      <c r="X809" s="976"/>
      <c r="Y809" s="976"/>
      <c r="Z809" s="976"/>
      <c r="AA809" s="976"/>
      <c r="AB809" s="976"/>
      <c r="AC809" s="976"/>
      <c r="AD809" s="976"/>
      <c r="AE809" s="976"/>
      <c r="AF809" s="976">
        <v>4100</v>
      </c>
      <c r="AG809" s="320">
        <v>30859</v>
      </c>
      <c r="AH809" s="976">
        <v>2973</v>
      </c>
      <c r="AI809" s="976">
        <v>-1030</v>
      </c>
      <c r="AJ809" s="976" t="s">
        <v>1603</v>
      </c>
      <c r="AK809" s="976"/>
      <c r="AL809" s="976"/>
      <c r="AM809" s="976"/>
      <c r="AN809" s="321"/>
      <c r="AO809" s="321"/>
      <c r="AP809" s="321"/>
      <c r="AQ809" s="321">
        <f>+FL_1($T$810,$T$808,$G$809,1200,9.28,-1*$F$810)</f>
        <v>0.27770357083814323</v>
      </c>
      <c r="AR809" s="321"/>
      <c r="AS809" s="321"/>
      <c r="AT809" s="321"/>
      <c r="AU809" s="321"/>
      <c r="AV809" s="321"/>
      <c r="AW809" s="976"/>
      <c r="AX809" s="976"/>
      <c r="AY809" s="976"/>
      <c r="AZ809" s="976"/>
      <c r="BA809" s="976"/>
      <c r="BB809" s="306"/>
    </row>
    <row r="810" spans="1:54" ht="14.25">
      <c r="A810" s="378" t="s">
        <v>1862</v>
      </c>
      <c r="B810" s="412" t="s">
        <v>1863</v>
      </c>
      <c r="C810" s="377">
        <f>+$C$808+$G$809</f>
        <v>30900</v>
      </c>
      <c r="D810" s="374"/>
      <c r="E810" s="374"/>
      <c r="F810" s="407">
        <f>-560000/(C810-30764)</f>
        <v>-4117.6470588235297</v>
      </c>
      <c r="G810" s="408"/>
      <c r="H810" s="376" t="s">
        <v>138</v>
      </c>
      <c r="I810" s="375" t="s">
        <v>912</v>
      </c>
      <c r="J810" s="409">
        <f>C810-10</f>
        <v>30890</v>
      </c>
      <c r="K810" s="374" t="s">
        <v>1055</v>
      </c>
      <c r="L810" s="374" t="s">
        <v>239</v>
      </c>
      <c r="M810" s="374"/>
      <c r="N810" s="376" t="s">
        <v>674</v>
      </c>
      <c r="O810" s="376"/>
      <c r="P810" s="376"/>
      <c r="Q810" s="374"/>
      <c r="R810" s="408"/>
      <c r="S810" s="408"/>
      <c r="T810" s="374">
        <v>20</v>
      </c>
      <c r="U810" s="374"/>
      <c r="V810" s="374"/>
      <c r="W810" s="374">
        <v>1.1000000000000001</v>
      </c>
      <c r="X810" s="374"/>
      <c r="Y810" s="374"/>
      <c r="Z810" s="374"/>
      <c r="AA810" s="374"/>
      <c r="AB810" s="374"/>
      <c r="AC810" s="374" t="s">
        <v>1700</v>
      </c>
      <c r="AD810" s="374"/>
      <c r="AE810" s="374"/>
      <c r="AF810" s="374"/>
      <c r="AG810" s="377">
        <v>30902.080000000002</v>
      </c>
      <c r="AH810" s="374"/>
      <c r="AI810" s="374"/>
      <c r="AJ810" s="976" t="s">
        <v>1593</v>
      </c>
      <c r="AK810" s="374"/>
      <c r="AL810" s="374"/>
      <c r="AM810" s="374" t="s">
        <v>2021</v>
      </c>
      <c r="AN810" s="379">
        <v>5.38</v>
      </c>
      <c r="AO810" s="379"/>
      <c r="AP810" s="379"/>
      <c r="AQ810" s="379"/>
      <c r="AR810" s="379"/>
      <c r="AS810" s="379"/>
      <c r="AT810" s="379">
        <f>+ab($T$810,-$T$808,$T$812,$G$809,$G$811,-1*$F$810,1200)</f>
        <v>8.6345520219436018</v>
      </c>
      <c r="AU810" s="379"/>
      <c r="AV810" s="379"/>
      <c r="AW810" s="374" t="s">
        <v>699</v>
      </c>
      <c r="AX810" s="374" t="s">
        <v>699</v>
      </c>
      <c r="AY810" s="374" t="s">
        <v>699</v>
      </c>
      <c r="AZ810" s="374" t="s">
        <v>699</v>
      </c>
      <c r="BA810" s="374"/>
      <c r="BB810" s="306"/>
    </row>
    <row r="811" spans="1:54" ht="14.25">
      <c r="A811" s="378"/>
      <c r="B811" s="412"/>
      <c r="C811" s="377"/>
      <c r="D811" s="374"/>
      <c r="E811" s="374"/>
      <c r="F811" s="407"/>
      <c r="G811" s="408">
        <v>40</v>
      </c>
      <c r="H811" s="376"/>
      <c r="I811" s="376" t="s">
        <v>1226</v>
      </c>
      <c r="J811" s="409"/>
      <c r="K811" s="374" t="s">
        <v>1060</v>
      </c>
      <c r="L811" s="374"/>
      <c r="M811" s="374"/>
      <c r="N811" s="376"/>
      <c r="O811" s="376"/>
      <c r="P811" s="376"/>
      <c r="Q811" s="374"/>
      <c r="R811" s="408"/>
      <c r="S811" s="1021"/>
      <c r="T811" s="374"/>
      <c r="U811" s="374"/>
      <c r="V811" s="374"/>
      <c r="W811" s="374"/>
      <c r="X811" s="374"/>
      <c r="Y811" s="374"/>
      <c r="Z811" s="374"/>
      <c r="AA811" s="374"/>
      <c r="AB811" s="374"/>
      <c r="AC811" s="374"/>
      <c r="AD811" s="374"/>
      <c r="AE811" s="374"/>
      <c r="AF811" s="374"/>
      <c r="AG811" s="377"/>
      <c r="AH811" s="374"/>
      <c r="AI811" s="374"/>
      <c r="AJ811" s="374"/>
      <c r="AK811" s="374"/>
      <c r="AL811" s="374"/>
      <c r="AM811" s="374"/>
      <c r="AN811" s="379"/>
      <c r="AO811" s="379"/>
      <c r="AP811" s="379"/>
      <c r="AQ811" s="379"/>
      <c r="AR811" s="379"/>
      <c r="AS811" s="379"/>
      <c r="AT811" s="379"/>
      <c r="AU811" s="379"/>
      <c r="AV811" s="379"/>
      <c r="AW811" s="374"/>
      <c r="AX811" s="374"/>
      <c r="AY811" s="374"/>
      <c r="AZ811" s="374"/>
      <c r="BA811" s="374"/>
      <c r="BB811" s="306"/>
    </row>
    <row r="812" spans="1:54" ht="14.25">
      <c r="A812" s="415"/>
      <c r="B812" s="416"/>
      <c r="C812" s="417"/>
      <c r="D812" s="418"/>
      <c r="E812" s="418"/>
      <c r="F812" s="419"/>
      <c r="G812" s="420"/>
      <c r="H812" s="421"/>
      <c r="I812" s="421"/>
      <c r="J812" s="422"/>
      <c r="K812" s="418"/>
      <c r="L812" s="418"/>
      <c r="M812" s="418"/>
      <c r="N812" s="421"/>
      <c r="O812" s="421"/>
      <c r="P812" s="421"/>
      <c r="Q812" s="418"/>
      <c r="R812" s="1022"/>
      <c r="S812" s="1022"/>
      <c r="T812" s="418"/>
      <c r="U812" s="418"/>
      <c r="V812" s="418"/>
      <c r="W812" s="418"/>
      <c r="X812" s="418"/>
      <c r="Y812" s="418"/>
      <c r="Z812" s="418"/>
      <c r="AA812" s="418"/>
      <c r="AB812" s="418"/>
      <c r="AC812" s="418"/>
      <c r="AD812" s="418"/>
      <c r="AE812" s="418"/>
      <c r="AF812" s="418"/>
      <c r="AG812" s="418"/>
      <c r="AH812" s="418"/>
      <c r="AI812" s="418"/>
      <c r="AJ812" s="418"/>
      <c r="AK812" s="418"/>
      <c r="AL812" s="418"/>
      <c r="AM812" s="418"/>
      <c r="AN812" s="423"/>
      <c r="AO812" s="423"/>
      <c r="AP812" s="423"/>
      <c r="AQ812" s="423"/>
      <c r="AR812" s="423"/>
      <c r="AS812" s="423"/>
      <c r="AT812" s="423"/>
      <c r="AU812" s="423"/>
      <c r="AV812" s="423"/>
      <c r="AW812" s="418"/>
      <c r="AX812" s="418"/>
      <c r="AY812" s="418"/>
      <c r="AZ812" s="418"/>
      <c r="BA812" s="418"/>
      <c r="BB812" s="306"/>
    </row>
    <row r="813" spans="1:54" ht="14.25">
      <c r="A813" s="421"/>
      <c r="B813" s="421"/>
      <c r="C813" s="421"/>
      <c r="D813" s="421"/>
      <c r="E813" s="421"/>
      <c r="F813" s="421"/>
      <c r="G813" s="421"/>
      <c r="H813" s="421"/>
      <c r="I813" s="421"/>
      <c r="J813" s="422"/>
      <c r="K813" s="418"/>
      <c r="L813" s="418"/>
      <c r="M813" s="418"/>
      <c r="N813" s="418"/>
      <c r="O813" s="421"/>
      <c r="P813" s="421"/>
      <c r="Q813" s="418"/>
      <c r="R813" s="1022"/>
      <c r="S813" s="1022"/>
      <c r="T813" s="418"/>
      <c r="U813" s="418"/>
      <c r="V813" s="418"/>
      <c r="W813" s="418"/>
      <c r="X813" s="418"/>
      <c r="Y813" s="418"/>
      <c r="Z813" s="418"/>
      <c r="AA813" s="418"/>
      <c r="AB813" s="418"/>
      <c r="AC813" s="418"/>
      <c r="AD813" s="418"/>
      <c r="AE813" s="418"/>
      <c r="AF813" s="418"/>
      <c r="AG813" s="418"/>
      <c r="AH813" s="418"/>
      <c r="AI813" s="418"/>
      <c r="AJ813" s="418"/>
      <c r="AK813" s="418"/>
      <c r="AL813" s="418"/>
      <c r="AM813" s="418"/>
      <c r="AN813" s="423"/>
      <c r="AO813" s="423"/>
      <c r="AP813" s="423"/>
      <c r="AQ813" s="423"/>
      <c r="AR813" s="423"/>
      <c r="AS813" s="423"/>
      <c r="AT813" s="423"/>
      <c r="AU813" s="423"/>
      <c r="AV813" s="423"/>
      <c r="AW813" s="418"/>
      <c r="AX813" s="418"/>
      <c r="AY813" s="418"/>
      <c r="AZ813" s="418"/>
      <c r="BA813" s="418"/>
      <c r="BB813" s="306"/>
    </row>
    <row r="814" spans="1:54" ht="14.25">
      <c r="A814" s="421"/>
      <c r="B814" s="421"/>
      <c r="C814" s="421"/>
      <c r="D814" s="421"/>
      <c r="E814" s="421"/>
      <c r="F814" s="421"/>
      <c r="G814" s="421"/>
      <c r="H814" s="421"/>
      <c r="I814" s="425"/>
      <c r="J814" s="422"/>
      <c r="K814" s="418"/>
      <c r="L814" s="418"/>
      <c r="M814" s="418"/>
      <c r="N814" s="421"/>
      <c r="O814" s="421"/>
      <c r="P814" s="421"/>
      <c r="Q814" s="418"/>
      <c r="R814" s="1022"/>
      <c r="S814" s="1022"/>
      <c r="T814" s="418"/>
      <c r="U814" s="418"/>
      <c r="V814" s="418"/>
      <c r="W814" s="418"/>
      <c r="X814" s="418"/>
      <c r="Y814" s="418"/>
      <c r="Z814" s="418"/>
      <c r="AA814" s="418"/>
      <c r="AB814" s="418"/>
      <c r="AC814" s="418"/>
      <c r="AD814" s="418"/>
      <c r="AE814" s="418"/>
      <c r="AF814" s="418"/>
      <c r="AG814" s="418"/>
      <c r="AH814" s="418"/>
      <c r="AI814" s="418"/>
      <c r="AJ814" s="418"/>
      <c r="AK814" s="418"/>
      <c r="AL814" s="418"/>
      <c r="AM814" s="418"/>
      <c r="AN814" s="423"/>
      <c r="AO814" s="423"/>
      <c r="AP814" s="423"/>
      <c r="AQ814" s="423"/>
      <c r="AR814" s="423"/>
      <c r="AS814" s="423"/>
      <c r="AT814" s="423"/>
      <c r="AU814" s="423"/>
      <c r="AV814" s="423"/>
      <c r="AW814" s="418"/>
      <c r="AX814" s="418"/>
      <c r="AY814" s="418"/>
      <c r="AZ814" s="418"/>
      <c r="BA814" s="418"/>
      <c r="BB814" s="306"/>
    </row>
    <row r="815" spans="1:54" ht="14.25">
      <c r="A815" s="421"/>
      <c r="B815" s="421"/>
      <c r="C815" s="421"/>
      <c r="D815" s="421"/>
      <c r="E815" s="421"/>
      <c r="F815" s="421"/>
      <c r="G815" s="421"/>
      <c r="H815" s="421"/>
      <c r="I815" s="425"/>
      <c r="J815" s="422"/>
      <c r="K815" s="418"/>
      <c r="L815" s="418"/>
      <c r="M815" s="418"/>
      <c r="N815" s="421"/>
      <c r="O815" s="421"/>
      <c r="P815" s="421"/>
      <c r="Q815" s="418"/>
      <c r="R815" s="1022"/>
      <c r="S815" s="1022"/>
      <c r="T815" s="418"/>
      <c r="U815" s="418"/>
      <c r="V815" s="418"/>
      <c r="W815" s="418"/>
      <c r="X815" s="418"/>
      <c r="Y815" s="418"/>
      <c r="Z815" s="418"/>
      <c r="AA815" s="418"/>
      <c r="AB815" s="418"/>
      <c r="AC815" s="418"/>
      <c r="AD815" s="418"/>
      <c r="AE815" s="418"/>
      <c r="AF815" s="418"/>
      <c r="AG815" s="418"/>
      <c r="AH815" s="418"/>
      <c r="AI815" s="418"/>
      <c r="AJ815" s="418"/>
      <c r="AK815" s="418"/>
      <c r="AL815" s="418"/>
      <c r="AM815" s="418"/>
      <c r="AN815" s="423"/>
      <c r="AO815" s="423"/>
      <c r="AP815" s="423"/>
      <c r="AQ815" s="423"/>
      <c r="AR815" s="423"/>
      <c r="AS815" s="423"/>
      <c r="AT815" s="423"/>
      <c r="AU815" s="423"/>
      <c r="AV815" s="423"/>
      <c r="AW815" s="418"/>
      <c r="AX815" s="418"/>
      <c r="AY815" s="418"/>
      <c r="AZ815" s="418"/>
      <c r="BA815" s="418"/>
      <c r="BB815" s="306"/>
    </row>
    <row r="816" spans="1:54" ht="14.25">
      <c r="A816" s="421"/>
      <c r="B816" s="421"/>
      <c r="C816" s="421"/>
      <c r="D816" s="421"/>
      <c r="E816" s="421"/>
      <c r="F816" s="421"/>
      <c r="G816" s="421"/>
      <c r="H816" s="421"/>
      <c r="I816" s="425"/>
      <c r="J816" s="422"/>
      <c r="K816" s="418"/>
      <c r="L816" s="418"/>
      <c r="M816" s="418"/>
      <c r="N816" s="421"/>
      <c r="O816" s="421"/>
      <c r="P816" s="421"/>
      <c r="Q816" s="418"/>
      <c r="R816" s="1022"/>
      <c r="S816" s="1022"/>
      <c r="T816" s="418"/>
      <c r="U816" s="418"/>
      <c r="V816" s="418"/>
      <c r="W816" s="418"/>
      <c r="X816" s="418"/>
      <c r="Y816" s="418"/>
      <c r="Z816" s="418"/>
      <c r="AA816" s="418"/>
      <c r="AB816" s="418"/>
      <c r="AC816" s="418"/>
      <c r="AD816" s="418"/>
      <c r="AE816" s="418"/>
      <c r="AF816" s="418"/>
      <c r="AG816" s="418"/>
      <c r="AH816" s="418"/>
      <c r="AI816" s="418"/>
      <c r="AJ816" s="418"/>
      <c r="AK816" s="418"/>
      <c r="AL816" s="418"/>
      <c r="AM816" s="418"/>
      <c r="AN816" s="423"/>
      <c r="AO816" s="423"/>
      <c r="AP816" s="423"/>
      <c r="AQ816" s="423"/>
      <c r="AR816" s="423"/>
      <c r="AS816" s="423"/>
      <c r="AT816" s="423"/>
      <c r="AU816" s="423"/>
      <c r="AV816" s="423"/>
      <c r="AW816" s="418"/>
      <c r="AX816" s="418"/>
      <c r="AY816" s="418"/>
      <c r="AZ816" s="418"/>
      <c r="BA816" s="418"/>
      <c r="BB816" s="306"/>
    </row>
    <row r="817" spans="1:54" ht="15.75" customHeight="1">
      <c r="A817" s="421"/>
      <c r="B817" s="421"/>
      <c r="C817" s="421"/>
      <c r="D817" s="421"/>
      <c r="E817" s="421"/>
      <c r="F817" s="421"/>
      <c r="G817" s="421"/>
      <c r="H817" s="421"/>
      <c r="I817" s="425"/>
      <c r="J817" s="422"/>
      <c r="K817" s="418"/>
      <c r="L817" s="418"/>
      <c r="M817" s="418"/>
      <c r="N817" s="418"/>
      <c r="O817" s="421"/>
      <c r="P817" s="421"/>
      <c r="Q817" s="418"/>
      <c r="R817" s="1022"/>
      <c r="S817" s="1022"/>
      <c r="T817" s="418"/>
      <c r="U817" s="418"/>
      <c r="V817" s="418"/>
      <c r="W817" s="418"/>
      <c r="X817" s="418"/>
      <c r="Y817" s="418"/>
      <c r="Z817" s="418"/>
      <c r="AA817" s="418"/>
      <c r="AB817" s="418"/>
      <c r="AC817" s="418"/>
      <c r="AD817" s="418"/>
      <c r="AE817" s="418"/>
      <c r="AF817" s="418"/>
      <c r="AG817" s="418"/>
      <c r="AH817" s="418"/>
      <c r="AI817" s="418"/>
      <c r="AJ817" s="418"/>
      <c r="AK817" s="418"/>
      <c r="AL817" s="418"/>
      <c r="AM817" s="418"/>
      <c r="AN817" s="423"/>
      <c r="AO817" s="423"/>
      <c r="AP817" s="423"/>
      <c r="AQ817" s="423"/>
      <c r="AR817" s="423"/>
      <c r="AS817" s="423"/>
      <c r="AT817" s="423"/>
      <c r="AU817" s="423"/>
      <c r="AV817" s="423"/>
      <c r="AW817" s="418"/>
      <c r="AX817" s="418"/>
      <c r="AY817" s="418"/>
      <c r="AZ817" s="418"/>
      <c r="BA817" s="418"/>
      <c r="BB817" s="306"/>
    </row>
    <row r="818" spans="1:54" ht="15.75" customHeight="1">
      <c r="A818" s="415"/>
      <c r="B818" s="426"/>
      <c r="C818" s="417"/>
      <c r="D818" s="418"/>
      <c r="E818" s="418"/>
      <c r="F818" s="419"/>
      <c r="G818" s="420"/>
      <c r="H818" s="421"/>
      <c r="I818" s="421"/>
      <c r="J818" s="422"/>
      <c r="K818" s="418"/>
      <c r="L818" s="418"/>
      <c r="M818" s="418"/>
      <c r="N818" s="421"/>
      <c r="O818" s="421"/>
      <c r="P818" s="421"/>
      <c r="Q818" s="418"/>
      <c r="R818" s="1022"/>
      <c r="S818" s="1022"/>
      <c r="T818" s="418"/>
      <c r="U818" s="418"/>
      <c r="V818" s="418"/>
      <c r="W818" s="418"/>
      <c r="X818" s="418"/>
      <c r="Y818" s="418"/>
      <c r="Z818" s="418"/>
      <c r="AA818" s="418"/>
      <c r="AB818" s="418"/>
      <c r="AC818" s="418"/>
      <c r="AD818" s="418"/>
      <c r="AE818" s="418"/>
      <c r="AF818" s="418"/>
      <c r="AG818" s="418"/>
      <c r="AH818" s="418"/>
      <c r="AI818" s="418"/>
      <c r="AJ818" s="418"/>
      <c r="AK818" s="418"/>
      <c r="AL818" s="418"/>
      <c r="AM818" s="418"/>
      <c r="AN818" s="423"/>
      <c r="AO818" s="423"/>
      <c r="AP818" s="423"/>
      <c r="AQ818" s="423"/>
      <c r="AR818" s="423"/>
      <c r="AS818" s="423"/>
      <c r="AT818" s="423"/>
      <c r="AU818" s="423"/>
      <c r="AV818" s="423"/>
      <c r="AW818" s="418"/>
      <c r="AX818" s="418"/>
      <c r="AY818" s="418"/>
      <c r="AZ818" s="418"/>
      <c r="BA818" s="418"/>
      <c r="BB818" s="306"/>
    </row>
    <row r="819" spans="1:54" ht="15.75" customHeight="1">
      <c r="A819" s="415"/>
      <c r="B819" s="416"/>
      <c r="C819" s="417"/>
      <c r="D819" s="418"/>
      <c r="E819" s="418"/>
      <c r="F819" s="419"/>
      <c r="G819" s="420"/>
      <c r="H819" s="421"/>
      <c r="I819" s="425"/>
      <c r="J819" s="422"/>
      <c r="K819" s="418"/>
      <c r="L819" s="418"/>
      <c r="M819" s="418"/>
      <c r="N819" s="421"/>
      <c r="O819" s="421"/>
      <c r="P819" s="421"/>
      <c r="Q819" s="418"/>
      <c r="R819" s="1022"/>
      <c r="S819" s="1022"/>
      <c r="T819" s="418"/>
      <c r="U819" s="418"/>
      <c r="V819" s="418"/>
      <c r="W819" s="418"/>
      <c r="X819" s="418"/>
      <c r="Y819" s="418"/>
      <c r="Z819" s="418"/>
      <c r="AA819" s="418"/>
      <c r="AB819" s="418"/>
      <c r="AC819" s="418"/>
      <c r="AD819" s="418"/>
      <c r="AE819" s="418"/>
      <c r="AF819" s="418"/>
      <c r="AG819" s="418"/>
      <c r="AH819" s="418"/>
      <c r="AI819" s="418"/>
      <c r="AJ819" s="418"/>
      <c r="AK819" s="418"/>
      <c r="AL819" s="418"/>
      <c r="AM819" s="418"/>
      <c r="AN819" s="423"/>
      <c r="AO819" s="423"/>
      <c r="AP819" s="423"/>
      <c r="AQ819" s="423"/>
      <c r="AR819" s="423"/>
      <c r="AS819" s="423"/>
      <c r="AT819" s="423"/>
      <c r="AU819" s="423"/>
      <c r="AV819" s="423"/>
      <c r="AW819" s="418"/>
      <c r="AX819" s="418"/>
      <c r="AY819" s="418"/>
      <c r="AZ819" s="418"/>
      <c r="BA819" s="418"/>
      <c r="BB819" s="306"/>
    </row>
    <row r="820" spans="1:54" ht="15.75" customHeight="1">
      <c r="A820" s="415"/>
      <c r="B820" s="426"/>
      <c r="C820" s="417"/>
      <c r="D820" s="418"/>
      <c r="E820" s="418"/>
      <c r="F820" s="419"/>
      <c r="G820" s="420"/>
      <c r="H820" s="421"/>
      <c r="I820" s="421"/>
      <c r="J820" s="422"/>
      <c r="K820" s="418"/>
      <c r="L820" s="418"/>
      <c r="M820" s="418"/>
      <c r="N820" s="421"/>
      <c r="O820" s="421"/>
      <c r="P820" s="421"/>
      <c r="Q820" s="418"/>
      <c r="R820" s="1022"/>
      <c r="S820" s="1022"/>
      <c r="T820" s="418"/>
      <c r="U820" s="418"/>
      <c r="V820" s="418"/>
      <c r="W820" s="418"/>
      <c r="X820" s="418"/>
      <c r="Y820" s="418"/>
      <c r="Z820" s="418"/>
      <c r="AA820" s="418"/>
      <c r="AB820" s="418"/>
      <c r="AC820" s="418"/>
      <c r="AD820" s="418"/>
      <c r="AE820" s="418"/>
      <c r="AF820" s="418"/>
      <c r="AG820" s="418"/>
      <c r="AH820" s="418"/>
      <c r="AI820" s="418"/>
      <c r="AJ820" s="418"/>
      <c r="AK820" s="418"/>
      <c r="AL820" s="418"/>
      <c r="AM820" s="418"/>
      <c r="AN820" s="423"/>
      <c r="AO820" s="423"/>
      <c r="AP820" s="423"/>
      <c r="AQ820" s="423"/>
      <c r="AR820" s="423"/>
      <c r="AS820" s="423"/>
      <c r="AT820" s="423"/>
      <c r="AU820" s="423"/>
      <c r="AV820" s="423"/>
      <c r="AW820" s="418"/>
      <c r="AX820" s="418"/>
      <c r="AY820" s="418"/>
      <c r="AZ820" s="418"/>
      <c r="BA820" s="418"/>
      <c r="BB820" s="306"/>
    </row>
    <row r="821" spans="1:54" ht="15.75" customHeight="1">
      <c r="A821" s="415"/>
      <c r="B821" s="416"/>
      <c r="C821" s="417"/>
      <c r="D821" s="418"/>
      <c r="E821" s="418"/>
      <c r="F821" s="419"/>
      <c r="G821" s="420"/>
      <c r="H821" s="421"/>
      <c r="I821" s="425"/>
      <c r="J821" s="422"/>
      <c r="K821" s="418"/>
      <c r="L821" s="418"/>
      <c r="M821" s="418"/>
      <c r="N821" s="418"/>
      <c r="O821" s="421"/>
      <c r="P821" s="421"/>
      <c r="Q821" s="418"/>
      <c r="R821" s="1022"/>
      <c r="S821" s="1022"/>
      <c r="T821" s="418"/>
      <c r="U821" s="418"/>
      <c r="V821" s="418"/>
      <c r="W821" s="418"/>
      <c r="X821" s="418"/>
      <c r="Y821" s="418"/>
      <c r="Z821" s="418"/>
      <c r="AA821" s="418"/>
      <c r="AB821" s="418"/>
      <c r="AC821" s="418"/>
      <c r="AD821" s="418"/>
      <c r="AE821" s="418"/>
      <c r="AF821" s="418"/>
      <c r="AG821" s="418"/>
      <c r="AH821" s="418"/>
      <c r="AI821" s="418"/>
      <c r="AJ821" s="418"/>
      <c r="AK821" s="418"/>
      <c r="AL821" s="418"/>
      <c r="AM821" s="418"/>
      <c r="AN821" s="423"/>
      <c r="AO821" s="423"/>
      <c r="AP821" s="423"/>
      <c r="AQ821" s="423"/>
      <c r="AR821" s="423"/>
      <c r="AS821" s="423"/>
      <c r="AT821" s="423"/>
      <c r="AU821" s="423"/>
      <c r="AV821" s="423"/>
      <c r="AW821" s="418"/>
      <c r="AX821" s="418"/>
      <c r="AY821" s="418"/>
      <c r="AZ821" s="418"/>
      <c r="BA821" s="418"/>
      <c r="BB821" s="306"/>
    </row>
    <row r="822" spans="1:54" ht="15.75" customHeight="1">
      <c r="A822" s="415"/>
      <c r="B822" s="426"/>
      <c r="C822" s="417"/>
      <c r="D822" s="418"/>
      <c r="E822" s="418"/>
      <c r="F822" s="419"/>
      <c r="G822" s="420"/>
      <c r="H822" s="421"/>
      <c r="I822" s="421"/>
      <c r="J822" s="422"/>
      <c r="K822" s="418"/>
      <c r="L822" s="418"/>
      <c r="M822" s="418"/>
      <c r="N822" s="421"/>
      <c r="O822" s="421"/>
      <c r="P822" s="421"/>
      <c r="Q822" s="418"/>
      <c r="R822" s="1022"/>
      <c r="S822" s="1022"/>
      <c r="T822" s="418"/>
      <c r="U822" s="418"/>
      <c r="V822" s="418"/>
      <c r="W822" s="418"/>
      <c r="X822" s="418"/>
      <c r="Y822" s="418"/>
      <c r="Z822" s="418"/>
      <c r="AA822" s="418"/>
      <c r="AB822" s="418"/>
      <c r="AC822" s="418"/>
      <c r="AD822" s="418"/>
      <c r="AE822" s="418"/>
      <c r="AF822" s="418"/>
      <c r="AG822" s="418"/>
      <c r="AH822" s="418"/>
      <c r="AI822" s="418"/>
      <c r="AJ822" s="418"/>
      <c r="AK822" s="418"/>
      <c r="AL822" s="418"/>
      <c r="AM822" s="418"/>
      <c r="AN822" s="423"/>
      <c r="AO822" s="423"/>
      <c r="AP822" s="423"/>
      <c r="AQ822" s="423"/>
      <c r="AR822" s="423"/>
      <c r="AS822" s="423"/>
      <c r="AT822" s="423"/>
      <c r="AU822" s="423"/>
      <c r="AV822" s="423"/>
      <c r="AW822" s="418"/>
      <c r="AX822" s="418"/>
      <c r="AY822" s="418"/>
      <c r="AZ822" s="418"/>
      <c r="BA822" s="418"/>
      <c r="BB822" s="306"/>
    </row>
    <row r="823" spans="1:54" ht="15.75" customHeight="1">
      <c r="A823" s="415"/>
      <c r="B823" s="416"/>
      <c r="C823" s="417"/>
      <c r="D823" s="418"/>
      <c r="E823" s="418"/>
      <c r="F823" s="419"/>
      <c r="G823" s="420"/>
      <c r="H823" s="421"/>
      <c r="I823" s="425"/>
      <c r="J823" s="422"/>
      <c r="K823" s="418"/>
      <c r="L823" s="418"/>
      <c r="M823" s="418"/>
      <c r="N823" s="421"/>
      <c r="O823" s="421"/>
      <c r="P823" s="421"/>
      <c r="Q823" s="418"/>
      <c r="R823" s="1022"/>
      <c r="S823" s="1022"/>
      <c r="T823" s="418"/>
      <c r="U823" s="418"/>
      <c r="V823" s="418"/>
      <c r="W823" s="418"/>
      <c r="X823" s="418"/>
      <c r="Y823" s="418"/>
      <c r="Z823" s="418"/>
      <c r="AA823" s="418"/>
      <c r="AB823" s="418"/>
      <c r="AC823" s="418"/>
      <c r="AD823" s="418"/>
      <c r="AE823" s="418"/>
      <c r="AF823" s="418"/>
      <c r="AG823" s="418"/>
      <c r="AH823" s="418"/>
      <c r="AI823" s="418"/>
      <c r="AJ823" s="418"/>
      <c r="AK823" s="418"/>
      <c r="AL823" s="418"/>
      <c r="AM823" s="418"/>
      <c r="AN823" s="423"/>
      <c r="AO823" s="423"/>
      <c r="AP823" s="423"/>
      <c r="AQ823" s="423"/>
      <c r="AR823" s="423"/>
      <c r="AS823" s="423"/>
      <c r="AT823" s="423"/>
      <c r="AU823" s="423"/>
      <c r="AV823" s="423"/>
      <c r="AW823" s="418"/>
      <c r="AX823" s="418"/>
      <c r="AY823" s="418"/>
      <c r="AZ823" s="418"/>
      <c r="BA823" s="418"/>
      <c r="BB823" s="306"/>
    </row>
    <row r="824" spans="1:54" ht="15.75" customHeight="1">
      <c r="A824" s="415"/>
      <c r="B824" s="426"/>
      <c r="C824" s="417"/>
      <c r="D824" s="418"/>
      <c r="E824" s="418"/>
      <c r="F824" s="419"/>
      <c r="G824" s="420"/>
      <c r="H824" s="421"/>
      <c r="I824" s="421"/>
      <c r="J824" s="422"/>
      <c r="K824" s="418"/>
      <c r="L824" s="418"/>
      <c r="M824" s="418"/>
      <c r="N824" s="421"/>
      <c r="O824" s="421"/>
      <c r="P824" s="421"/>
      <c r="Q824" s="418"/>
      <c r="R824" s="1022"/>
      <c r="S824" s="1022"/>
      <c r="T824" s="418"/>
      <c r="U824" s="418"/>
      <c r="V824" s="418"/>
      <c r="W824" s="418"/>
      <c r="X824" s="418"/>
      <c r="Y824" s="418"/>
      <c r="Z824" s="418"/>
      <c r="AA824" s="418"/>
      <c r="AB824" s="418"/>
      <c r="AC824" s="418"/>
      <c r="AD824" s="418"/>
      <c r="AE824" s="418"/>
      <c r="AF824" s="418"/>
      <c r="AG824" s="418"/>
      <c r="AH824" s="418"/>
      <c r="AI824" s="418"/>
      <c r="AJ824" s="418"/>
      <c r="AK824" s="418"/>
      <c r="AL824" s="418"/>
      <c r="AM824" s="418"/>
      <c r="AN824" s="423"/>
      <c r="AO824" s="423"/>
      <c r="AP824" s="423"/>
      <c r="AQ824" s="423"/>
      <c r="AR824" s="423"/>
      <c r="AS824" s="423"/>
      <c r="AT824" s="423"/>
      <c r="AU824" s="423"/>
      <c r="AV824" s="423"/>
      <c r="AW824" s="418"/>
      <c r="AX824" s="418"/>
      <c r="AY824" s="418"/>
      <c r="AZ824" s="418"/>
      <c r="BA824" s="418"/>
      <c r="BB824" s="306"/>
    </row>
    <row r="825" spans="1:54" ht="15.75" customHeight="1">
      <c r="A825" s="415"/>
      <c r="B825" s="416"/>
      <c r="C825" s="417"/>
      <c r="D825" s="418"/>
      <c r="E825" s="418"/>
      <c r="F825" s="419"/>
      <c r="G825" s="420"/>
      <c r="H825" s="421"/>
      <c r="I825" s="425"/>
      <c r="J825" s="422"/>
      <c r="K825" s="418"/>
      <c r="L825" s="418"/>
      <c r="M825" s="418"/>
      <c r="N825" s="418"/>
      <c r="O825" s="421"/>
      <c r="P825" s="421"/>
      <c r="Q825" s="418"/>
      <c r="R825" s="1022"/>
      <c r="S825" s="1022"/>
      <c r="T825" s="418"/>
      <c r="U825" s="418"/>
      <c r="V825" s="418"/>
      <c r="W825" s="418"/>
      <c r="X825" s="418"/>
      <c r="Y825" s="418"/>
      <c r="Z825" s="418"/>
      <c r="AA825" s="418"/>
      <c r="AB825" s="418"/>
      <c r="AC825" s="418"/>
      <c r="AD825" s="418"/>
      <c r="AE825" s="418"/>
      <c r="AF825" s="418"/>
      <c r="AG825" s="418"/>
      <c r="AH825" s="418"/>
      <c r="AI825" s="418"/>
      <c r="AJ825" s="418"/>
      <c r="AK825" s="418"/>
      <c r="AL825" s="418"/>
      <c r="AM825" s="418"/>
      <c r="AN825" s="423"/>
      <c r="AO825" s="423"/>
      <c r="AP825" s="423"/>
      <c r="AQ825" s="423"/>
      <c r="AR825" s="423"/>
      <c r="AS825" s="423"/>
      <c r="AT825" s="423"/>
      <c r="AU825" s="423"/>
      <c r="AV825" s="423"/>
      <c r="AW825" s="418"/>
      <c r="AX825" s="418"/>
      <c r="AY825" s="418"/>
      <c r="AZ825" s="418"/>
      <c r="BA825" s="418"/>
      <c r="BB825" s="306"/>
    </row>
    <row r="826" spans="1:54" ht="15.75" customHeight="1">
      <c r="A826" s="415"/>
      <c r="B826" s="426"/>
      <c r="C826" s="417"/>
      <c r="D826" s="418"/>
      <c r="E826" s="418"/>
      <c r="F826" s="419"/>
      <c r="G826" s="420"/>
      <c r="H826" s="421"/>
      <c r="I826" s="421"/>
      <c r="J826" s="422"/>
      <c r="K826" s="418"/>
      <c r="L826" s="418"/>
      <c r="M826" s="418"/>
      <c r="N826" s="421"/>
      <c r="O826" s="421"/>
      <c r="P826" s="421"/>
      <c r="Q826" s="418"/>
      <c r="R826" s="1022"/>
      <c r="S826" s="1022"/>
      <c r="T826" s="418"/>
      <c r="U826" s="418"/>
      <c r="V826" s="418"/>
      <c r="W826" s="418"/>
      <c r="X826" s="418"/>
      <c r="Y826" s="418"/>
      <c r="Z826" s="418"/>
      <c r="AA826" s="418"/>
      <c r="AB826" s="418"/>
      <c r="AC826" s="418"/>
      <c r="AD826" s="418"/>
      <c r="AE826" s="418"/>
      <c r="AF826" s="418"/>
      <c r="AG826" s="418"/>
      <c r="AH826" s="418"/>
      <c r="AI826" s="418"/>
      <c r="AJ826" s="418"/>
      <c r="AK826" s="418"/>
      <c r="AL826" s="418"/>
      <c r="AM826" s="418"/>
      <c r="AN826" s="423"/>
      <c r="AO826" s="423"/>
      <c r="AP826" s="423"/>
      <c r="AQ826" s="423"/>
      <c r="AR826" s="423"/>
      <c r="AS826" s="423"/>
      <c r="AT826" s="423"/>
      <c r="AU826" s="423"/>
      <c r="AV826" s="423"/>
      <c r="AW826" s="418"/>
      <c r="AX826" s="418"/>
      <c r="AY826" s="418"/>
      <c r="AZ826" s="418"/>
      <c r="BA826" s="418"/>
      <c r="BB826" s="306"/>
    </row>
    <row r="827" spans="1:54" ht="15.75" customHeight="1">
      <c r="A827" s="415"/>
      <c r="B827" s="416"/>
      <c r="C827" s="417"/>
      <c r="D827" s="418"/>
      <c r="E827" s="418"/>
      <c r="F827" s="419"/>
      <c r="G827" s="420"/>
      <c r="H827" s="421"/>
      <c r="I827" s="425"/>
      <c r="J827" s="422"/>
      <c r="K827" s="418"/>
      <c r="L827" s="418"/>
      <c r="M827" s="418"/>
      <c r="N827" s="421"/>
      <c r="O827" s="421"/>
      <c r="P827" s="421"/>
      <c r="Q827" s="418"/>
      <c r="R827" s="1022"/>
      <c r="S827" s="1022"/>
      <c r="T827" s="418"/>
      <c r="U827" s="418"/>
      <c r="V827" s="418"/>
      <c r="W827" s="418"/>
      <c r="X827" s="418"/>
      <c r="Y827" s="418"/>
      <c r="Z827" s="418"/>
      <c r="AA827" s="418"/>
      <c r="AB827" s="418"/>
      <c r="AC827" s="418"/>
      <c r="AD827" s="418"/>
      <c r="AE827" s="418"/>
      <c r="AF827" s="418"/>
      <c r="AG827" s="418"/>
      <c r="AH827" s="418"/>
      <c r="AI827" s="418"/>
      <c r="AJ827" s="418"/>
      <c r="AK827" s="418"/>
      <c r="AL827" s="418"/>
      <c r="AM827" s="418"/>
      <c r="AN827" s="423"/>
      <c r="AO827" s="423"/>
      <c r="AP827" s="423"/>
      <c r="AQ827" s="423"/>
      <c r="AR827" s="423"/>
      <c r="AS827" s="423"/>
      <c r="AT827" s="423"/>
      <c r="AU827" s="423"/>
      <c r="AV827" s="423"/>
      <c r="AW827" s="418"/>
      <c r="AX827" s="418"/>
      <c r="AY827" s="418"/>
      <c r="AZ827" s="418"/>
      <c r="BA827" s="418"/>
      <c r="BB827" s="306"/>
    </row>
    <row r="828" spans="1:54" ht="15.75" customHeight="1">
      <c r="A828" s="415"/>
      <c r="B828" s="416"/>
      <c r="C828" s="417"/>
      <c r="D828" s="418"/>
      <c r="E828" s="418"/>
      <c r="F828" s="419"/>
      <c r="G828" s="420"/>
      <c r="H828" s="421"/>
      <c r="I828" s="421"/>
      <c r="J828" s="422"/>
      <c r="K828" s="418"/>
      <c r="L828" s="418"/>
      <c r="M828" s="418"/>
      <c r="N828" s="421"/>
      <c r="O828" s="421"/>
      <c r="P828" s="421"/>
      <c r="Q828" s="418"/>
      <c r="R828" s="1022"/>
      <c r="S828" s="1022"/>
      <c r="T828" s="418"/>
      <c r="U828" s="418"/>
      <c r="V828" s="418"/>
      <c r="W828" s="418"/>
      <c r="X828" s="418"/>
      <c r="Y828" s="418"/>
      <c r="Z828" s="418"/>
      <c r="AA828" s="418"/>
      <c r="AB828" s="418"/>
      <c r="AC828" s="418"/>
      <c r="AD828" s="418"/>
      <c r="AE828" s="418"/>
      <c r="AF828" s="418"/>
      <c r="AG828" s="418"/>
      <c r="AH828" s="418"/>
      <c r="AI828" s="418"/>
      <c r="AJ828" s="418"/>
      <c r="AK828" s="418"/>
      <c r="AL828" s="418"/>
      <c r="AM828" s="418"/>
      <c r="AN828" s="423"/>
      <c r="AO828" s="423"/>
      <c r="AP828" s="423"/>
      <c r="AQ828" s="423"/>
      <c r="AR828" s="423"/>
      <c r="AS828" s="423"/>
      <c r="AT828" s="423"/>
      <c r="AU828" s="423"/>
      <c r="AV828" s="423"/>
      <c r="AW828" s="418"/>
      <c r="AX828" s="418"/>
      <c r="AY828" s="418"/>
      <c r="AZ828" s="418"/>
      <c r="BA828" s="418"/>
      <c r="BB828" s="306"/>
    </row>
    <row r="829" spans="1:54" ht="15.75" customHeight="1">
      <c r="A829" s="415"/>
      <c r="B829" s="416"/>
      <c r="C829" s="417"/>
      <c r="D829" s="418"/>
      <c r="E829" s="418"/>
      <c r="F829" s="419"/>
      <c r="G829" s="420"/>
      <c r="H829" s="421"/>
      <c r="I829" s="421"/>
      <c r="J829" s="422"/>
      <c r="K829" s="418"/>
      <c r="L829" s="418"/>
      <c r="M829" s="418"/>
      <c r="N829" s="418"/>
      <c r="O829" s="421"/>
      <c r="P829" s="421"/>
      <c r="Q829" s="418"/>
      <c r="R829" s="1022"/>
      <c r="S829" s="1022"/>
      <c r="T829" s="418"/>
      <c r="U829" s="418"/>
      <c r="V829" s="418"/>
      <c r="W829" s="418"/>
      <c r="X829" s="418"/>
      <c r="Y829" s="418"/>
      <c r="Z829" s="418"/>
      <c r="AA829" s="418"/>
      <c r="AB829" s="418"/>
      <c r="AC829" s="418"/>
      <c r="AD829" s="418"/>
      <c r="AE829" s="418"/>
      <c r="AF829" s="418"/>
      <c r="AG829" s="418"/>
      <c r="AH829" s="418"/>
      <c r="AI829" s="418"/>
      <c r="AJ829" s="418"/>
      <c r="AK829" s="418"/>
      <c r="AL829" s="418"/>
      <c r="AM829" s="418"/>
      <c r="AN829" s="423"/>
      <c r="AO829" s="423"/>
      <c r="AP829" s="423"/>
      <c r="AQ829" s="423"/>
      <c r="AR829" s="423"/>
      <c r="AS829" s="423"/>
      <c r="AT829" s="423"/>
      <c r="AU829" s="423"/>
      <c r="AV829" s="423"/>
      <c r="AW829" s="418"/>
      <c r="AX829" s="418"/>
      <c r="AY829" s="418"/>
      <c r="AZ829" s="418"/>
      <c r="BA829" s="418"/>
      <c r="BB829" s="306"/>
    </row>
    <row r="830" spans="1:54" ht="15.75" customHeight="1">
      <c r="A830" s="415"/>
      <c r="B830" s="416"/>
      <c r="C830" s="417"/>
      <c r="D830" s="418"/>
      <c r="E830" s="418"/>
      <c r="F830" s="419"/>
      <c r="G830" s="420"/>
      <c r="H830" s="421"/>
      <c r="I830" s="421"/>
      <c r="J830" s="422"/>
      <c r="K830" s="418"/>
      <c r="L830" s="418"/>
      <c r="M830" s="418"/>
      <c r="N830" s="421"/>
      <c r="O830" s="421"/>
      <c r="P830" s="421"/>
      <c r="Q830" s="418"/>
      <c r="R830" s="1022"/>
      <c r="S830" s="1022"/>
      <c r="T830" s="418"/>
      <c r="U830" s="418"/>
      <c r="V830" s="418"/>
      <c r="W830" s="418"/>
      <c r="X830" s="418"/>
      <c r="Y830" s="418"/>
      <c r="Z830" s="418"/>
      <c r="AA830" s="418"/>
      <c r="AB830" s="418"/>
      <c r="AC830" s="418"/>
      <c r="AD830" s="418"/>
      <c r="AE830" s="418"/>
      <c r="AF830" s="418"/>
      <c r="AG830" s="418"/>
      <c r="AH830" s="418"/>
      <c r="AI830" s="418"/>
      <c r="AJ830" s="418"/>
      <c r="AK830" s="418"/>
      <c r="AL830" s="418"/>
      <c r="AM830" s="418"/>
      <c r="AN830" s="423"/>
      <c r="AO830" s="423"/>
      <c r="AP830" s="423"/>
      <c r="AQ830" s="423"/>
      <c r="AR830" s="423"/>
      <c r="AS830" s="423"/>
      <c r="AT830" s="423"/>
      <c r="AU830" s="423"/>
      <c r="AV830" s="423"/>
      <c r="AW830" s="418"/>
      <c r="AX830" s="418"/>
      <c r="AY830" s="418"/>
      <c r="AZ830" s="418"/>
      <c r="BA830" s="418"/>
      <c r="BB830" s="306"/>
    </row>
    <row r="831" spans="1:54" ht="15.75" customHeight="1">
      <c r="A831" s="415"/>
      <c r="B831" s="416"/>
      <c r="C831" s="417"/>
      <c r="D831" s="418"/>
      <c r="E831" s="418"/>
      <c r="F831" s="419"/>
      <c r="G831" s="420"/>
      <c r="H831" s="421"/>
      <c r="I831" s="421"/>
      <c r="J831" s="422"/>
      <c r="K831" s="418"/>
      <c r="L831" s="418"/>
      <c r="M831" s="418"/>
      <c r="N831" s="421"/>
      <c r="O831" s="421"/>
      <c r="P831" s="421"/>
      <c r="Q831" s="418"/>
      <c r="R831" s="1022"/>
      <c r="S831" s="1022"/>
      <c r="T831" s="418"/>
      <c r="U831" s="418"/>
      <c r="V831" s="418"/>
      <c r="W831" s="418"/>
      <c r="X831" s="418"/>
      <c r="Y831" s="418"/>
      <c r="Z831" s="418"/>
      <c r="AA831" s="418"/>
      <c r="AB831" s="418"/>
      <c r="AC831" s="418"/>
      <c r="AD831" s="418"/>
      <c r="AE831" s="418"/>
      <c r="AF831" s="418"/>
      <c r="AG831" s="418"/>
      <c r="AH831" s="418"/>
      <c r="AI831" s="418"/>
      <c r="AJ831" s="418"/>
      <c r="AK831" s="418"/>
      <c r="AL831" s="418"/>
      <c r="AM831" s="418"/>
      <c r="AN831" s="423"/>
      <c r="AO831" s="423"/>
      <c r="AP831" s="423"/>
      <c r="AQ831" s="423"/>
      <c r="AR831" s="423"/>
      <c r="AS831" s="423"/>
      <c r="AT831" s="423"/>
      <c r="AU831" s="423"/>
      <c r="AV831" s="423"/>
      <c r="AW831" s="418"/>
      <c r="AX831" s="418"/>
      <c r="AY831" s="418"/>
      <c r="AZ831" s="418"/>
      <c r="BA831" s="418"/>
      <c r="BB831" s="306"/>
    </row>
    <row r="832" spans="1:54" ht="15.75" customHeight="1">
      <c r="A832" s="415"/>
      <c r="B832" s="416"/>
      <c r="C832" s="417"/>
      <c r="D832" s="418"/>
      <c r="E832" s="418"/>
      <c r="F832" s="419"/>
      <c r="G832" s="420"/>
      <c r="H832" s="421"/>
      <c r="I832" s="421"/>
      <c r="J832" s="422"/>
      <c r="K832" s="418"/>
      <c r="L832" s="418"/>
      <c r="M832" s="418"/>
      <c r="N832" s="421"/>
      <c r="O832" s="421"/>
      <c r="P832" s="421"/>
      <c r="Q832" s="418"/>
      <c r="R832" s="1022"/>
      <c r="S832" s="1022"/>
      <c r="T832" s="418"/>
      <c r="U832" s="418"/>
      <c r="V832" s="418"/>
      <c r="W832" s="418"/>
      <c r="X832" s="418"/>
      <c r="Y832" s="418"/>
      <c r="Z832" s="418"/>
      <c r="AA832" s="418"/>
      <c r="AB832" s="418"/>
      <c r="AC832" s="418"/>
      <c r="AD832" s="418"/>
      <c r="AE832" s="418"/>
      <c r="AF832" s="418"/>
      <c r="AG832" s="418"/>
      <c r="AH832" s="418"/>
      <c r="AI832" s="418"/>
      <c r="AJ832" s="418"/>
      <c r="AK832" s="418"/>
      <c r="AL832" s="418"/>
      <c r="AM832" s="418"/>
      <c r="AN832" s="423"/>
      <c r="AO832" s="423"/>
      <c r="AP832" s="423"/>
      <c r="AQ832" s="423"/>
      <c r="AR832" s="423"/>
      <c r="AS832" s="423"/>
      <c r="AT832" s="423"/>
      <c r="AU832" s="423"/>
      <c r="AV832" s="423"/>
      <c r="AW832" s="418"/>
      <c r="AX832" s="418"/>
      <c r="AY832" s="418"/>
      <c r="AZ832" s="418"/>
      <c r="BA832" s="418"/>
      <c r="BB832" s="306"/>
    </row>
    <row r="833" spans="1:54" ht="15.75" customHeight="1">
      <c r="A833" s="415"/>
      <c r="B833" s="416"/>
      <c r="C833" s="417"/>
      <c r="D833" s="418"/>
      <c r="E833" s="418"/>
      <c r="F833" s="419"/>
      <c r="G833" s="420"/>
      <c r="H833" s="421"/>
      <c r="I833" s="421"/>
      <c r="J833" s="422"/>
      <c r="K833" s="418"/>
      <c r="L833" s="418"/>
      <c r="M833" s="418"/>
      <c r="N833" s="421"/>
      <c r="O833" s="421"/>
      <c r="P833" s="421"/>
      <c r="Q833" s="418"/>
      <c r="R833" s="1022"/>
      <c r="S833" s="1022"/>
      <c r="T833" s="418"/>
      <c r="U833" s="418"/>
      <c r="V833" s="418"/>
      <c r="W833" s="418"/>
      <c r="X833" s="418"/>
      <c r="Y833" s="418"/>
      <c r="Z833" s="418"/>
      <c r="AA833" s="418"/>
      <c r="AB833" s="418"/>
      <c r="AC833" s="418"/>
      <c r="AD833" s="418"/>
      <c r="AE833" s="418"/>
      <c r="AF833" s="418"/>
      <c r="AG833" s="418"/>
      <c r="AH833" s="418"/>
      <c r="AI833" s="418"/>
      <c r="AJ833" s="418"/>
      <c r="AK833" s="418"/>
      <c r="AL833" s="418"/>
      <c r="AM833" s="418"/>
      <c r="AN833" s="423"/>
      <c r="AO833" s="423"/>
      <c r="AP833" s="423"/>
      <c r="AQ833" s="423"/>
      <c r="AR833" s="423"/>
      <c r="AS833" s="423"/>
      <c r="AT833" s="423"/>
      <c r="AU833" s="423"/>
      <c r="AV833" s="423"/>
      <c r="AW833" s="418"/>
      <c r="AX833" s="418"/>
      <c r="AY833" s="418"/>
      <c r="AZ833" s="418"/>
      <c r="BA833" s="418"/>
      <c r="BB833" s="306"/>
    </row>
    <row r="834" spans="1:54" ht="15.75" customHeight="1">
      <c r="A834" s="415"/>
      <c r="B834" s="416"/>
      <c r="C834" s="417"/>
      <c r="D834" s="418"/>
      <c r="E834" s="418"/>
      <c r="F834" s="419"/>
      <c r="G834" s="420"/>
      <c r="H834" s="421"/>
      <c r="I834" s="421"/>
      <c r="J834" s="422"/>
      <c r="K834" s="418"/>
      <c r="L834" s="418"/>
      <c r="M834" s="418"/>
      <c r="N834" s="421"/>
      <c r="O834" s="421"/>
      <c r="P834" s="421"/>
      <c r="Q834" s="418"/>
      <c r="R834" s="1022"/>
      <c r="S834" s="1022"/>
      <c r="T834" s="418"/>
      <c r="U834" s="418"/>
      <c r="V834" s="418"/>
      <c r="W834" s="418"/>
      <c r="X834" s="418"/>
      <c r="Y834" s="418"/>
      <c r="Z834" s="418"/>
      <c r="AA834" s="418"/>
      <c r="AB834" s="418"/>
      <c r="AC834" s="418"/>
      <c r="AD834" s="418"/>
      <c r="AE834" s="418"/>
      <c r="AF834" s="418"/>
      <c r="AG834" s="418"/>
      <c r="AH834" s="418"/>
      <c r="AI834" s="418"/>
      <c r="AJ834" s="418"/>
      <c r="AK834" s="418"/>
      <c r="AL834" s="418"/>
      <c r="AM834" s="418"/>
      <c r="AN834" s="423"/>
      <c r="AO834" s="423"/>
      <c r="AP834" s="423"/>
      <c r="AQ834" s="423"/>
      <c r="AR834" s="423"/>
      <c r="AS834" s="423"/>
      <c r="AT834" s="423"/>
      <c r="AU834" s="423"/>
      <c r="AV834" s="423"/>
      <c r="AW834" s="418"/>
      <c r="AX834" s="418"/>
      <c r="AY834" s="418"/>
      <c r="AZ834" s="418"/>
      <c r="BA834" s="418"/>
      <c r="BB834" s="306"/>
    </row>
    <row r="835" spans="1:54" ht="15.75" customHeight="1">
      <c r="A835" s="415"/>
      <c r="B835" s="416"/>
      <c r="C835" s="417"/>
      <c r="D835" s="418"/>
      <c r="E835" s="418"/>
      <c r="F835" s="419"/>
      <c r="G835" s="420"/>
      <c r="H835" s="421"/>
      <c r="I835" s="421"/>
      <c r="J835" s="422"/>
      <c r="K835" s="418"/>
      <c r="L835" s="418"/>
      <c r="M835" s="418"/>
      <c r="N835" s="421"/>
      <c r="O835" s="421"/>
      <c r="P835" s="421"/>
      <c r="Q835" s="418"/>
      <c r="R835" s="1022"/>
      <c r="S835" s="1022"/>
      <c r="T835" s="418"/>
      <c r="U835" s="418"/>
      <c r="V835" s="418"/>
      <c r="W835" s="418"/>
      <c r="X835" s="418"/>
      <c r="Y835" s="418"/>
      <c r="Z835" s="418"/>
      <c r="AA835" s="418"/>
      <c r="AB835" s="418"/>
      <c r="AC835" s="418"/>
      <c r="AD835" s="418"/>
      <c r="AE835" s="418"/>
      <c r="AF835" s="418"/>
      <c r="AG835" s="418"/>
      <c r="AH835" s="418"/>
      <c r="AI835" s="418"/>
      <c r="AJ835" s="418"/>
      <c r="AK835" s="418"/>
      <c r="AL835" s="418"/>
      <c r="AM835" s="418"/>
      <c r="AN835" s="423"/>
      <c r="AO835" s="423"/>
      <c r="AP835" s="423"/>
      <c r="AQ835" s="423"/>
      <c r="AR835" s="423"/>
      <c r="AS835" s="423"/>
      <c r="AT835" s="423"/>
      <c r="AU835" s="423"/>
      <c r="AV835" s="423"/>
      <c r="AW835" s="418"/>
      <c r="AX835" s="418"/>
      <c r="AY835" s="418"/>
      <c r="AZ835" s="418"/>
      <c r="BA835" s="418"/>
      <c r="BB835" s="306"/>
    </row>
    <row r="836" spans="1:54" ht="15.75" customHeight="1">
      <c r="A836" s="415"/>
      <c r="B836" s="416"/>
      <c r="C836" s="417"/>
      <c r="D836" s="418"/>
      <c r="E836" s="418"/>
      <c r="F836" s="419"/>
      <c r="G836" s="420"/>
      <c r="H836" s="421"/>
      <c r="I836" s="421"/>
      <c r="J836" s="422"/>
      <c r="K836" s="418"/>
      <c r="L836" s="418"/>
      <c r="M836" s="418"/>
      <c r="N836" s="421"/>
      <c r="O836" s="421"/>
      <c r="P836" s="421"/>
      <c r="Q836" s="418"/>
      <c r="R836" s="1022"/>
      <c r="S836" s="1022"/>
      <c r="T836" s="418"/>
      <c r="U836" s="418"/>
      <c r="V836" s="418"/>
      <c r="W836" s="418"/>
      <c r="X836" s="418"/>
      <c r="Y836" s="418"/>
      <c r="Z836" s="418"/>
      <c r="AA836" s="418"/>
      <c r="AB836" s="418"/>
      <c r="AC836" s="418"/>
      <c r="AD836" s="418"/>
      <c r="AE836" s="418"/>
      <c r="AF836" s="418"/>
      <c r="AG836" s="418"/>
      <c r="AH836" s="418"/>
      <c r="AI836" s="418"/>
      <c r="AJ836" s="418"/>
      <c r="AK836" s="418"/>
      <c r="AL836" s="418"/>
      <c r="AM836" s="418"/>
      <c r="AN836" s="423"/>
      <c r="AO836" s="423"/>
      <c r="AP836" s="423"/>
      <c r="AQ836" s="423"/>
      <c r="AR836" s="423"/>
      <c r="AS836" s="423"/>
      <c r="AT836" s="423"/>
      <c r="AU836" s="423"/>
      <c r="AV836" s="423"/>
      <c r="AW836" s="418"/>
      <c r="AX836" s="418"/>
      <c r="AY836" s="418"/>
      <c r="AZ836" s="418"/>
      <c r="BA836" s="418"/>
      <c r="BB836" s="306"/>
    </row>
    <row r="837" spans="1:54" ht="15.75" customHeight="1">
      <c r="A837" s="415"/>
      <c r="B837" s="416"/>
      <c r="C837" s="417"/>
      <c r="D837" s="418"/>
      <c r="E837" s="418"/>
      <c r="F837" s="419"/>
      <c r="G837" s="420"/>
      <c r="H837" s="421"/>
      <c r="I837" s="421"/>
      <c r="J837" s="422"/>
      <c r="K837" s="418"/>
      <c r="L837" s="418"/>
      <c r="M837" s="418"/>
      <c r="N837" s="421"/>
      <c r="O837" s="421"/>
      <c r="P837" s="421"/>
      <c r="Q837" s="418"/>
      <c r="R837" s="1022"/>
      <c r="S837" s="1022"/>
      <c r="T837" s="418"/>
      <c r="U837" s="418"/>
      <c r="V837" s="418"/>
      <c r="W837" s="418"/>
      <c r="X837" s="418"/>
      <c r="Y837" s="418"/>
      <c r="Z837" s="418"/>
      <c r="AA837" s="418"/>
      <c r="AB837" s="418"/>
      <c r="AC837" s="418"/>
      <c r="AD837" s="418"/>
      <c r="AE837" s="418"/>
      <c r="AF837" s="418"/>
      <c r="AG837" s="418"/>
      <c r="AH837" s="418"/>
      <c r="AI837" s="418"/>
      <c r="AJ837" s="418"/>
      <c r="AK837" s="418"/>
      <c r="AL837" s="418"/>
      <c r="AM837" s="418"/>
      <c r="AN837" s="423"/>
      <c r="AO837" s="423"/>
      <c r="AP837" s="423"/>
      <c r="AQ837" s="423"/>
      <c r="AR837" s="423"/>
      <c r="AS837" s="423"/>
      <c r="AT837" s="423"/>
      <c r="AU837" s="423"/>
      <c r="AV837" s="423"/>
      <c r="AW837" s="418"/>
      <c r="AX837" s="418"/>
      <c r="AY837" s="418"/>
      <c r="AZ837" s="418"/>
      <c r="BA837" s="418"/>
      <c r="BB837" s="306"/>
    </row>
    <row r="838" spans="1:54" ht="15.75" customHeight="1">
      <c r="A838" s="415"/>
      <c r="B838" s="416"/>
      <c r="C838" s="417"/>
      <c r="D838" s="418"/>
      <c r="E838" s="418"/>
      <c r="F838" s="419"/>
      <c r="G838" s="420"/>
      <c r="H838" s="421"/>
      <c r="I838" s="421"/>
      <c r="J838" s="422"/>
      <c r="K838" s="418"/>
      <c r="L838" s="418"/>
      <c r="M838" s="418"/>
      <c r="N838" s="421"/>
      <c r="O838" s="421"/>
      <c r="P838" s="421"/>
      <c r="Q838" s="418"/>
      <c r="R838" s="1022"/>
      <c r="S838" s="1022"/>
      <c r="T838" s="418"/>
      <c r="U838" s="418"/>
      <c r="V838" s="418"/>
      <c r="W838" s="418"/>
      <c r="X838" s="418"/>
      <c r="Y838" s="418"/>
      <c r="Z838" s="418"/>
      <c r="AA838" s="418"/>
      <c r="AB838" s="418"/>
      <c r="AC838" s="418"/>
      <c r="AD838" s="418"/>
      <c r="AE838" s="418"/>
      <c r="AF838" s="418"/>
      <c r="AG838" s="418"/>
      <c r="AH838" s="418"/>
      <c r="AI838" s="418"/>
      <c r="AJ838" s="418"/>
      <c r="AK838" s="418"/>
      <c r="AL838" s="418"/>
      <c r="AM838" s="418"/>
      <c r="AN838" s="423"/>
      <c r="AO838" s="423"/>
      <c r="AP838" s="423"/>
      <c r="AQ838" s="423"/>
      <c r="AR838" s="423"/>
      <c r="AS838" s="423"/>
      <c r="AT838" s="423"/>
      <c r="AU838" s="423"/>
      <c r="AV838" s="423"/>
      <c r="AW838" s="418"/>
      <c r="AX838" s="418"/>
      <c r="AY838" s="418"/>
      <c r="AZ838" s="418"/>
      <c r="BA838" s="418"/>
      <c r="BB838" s="306"/>
    </row>
    <row r="839" spans="1:54" ht="15.75" customHeight="1">
      <c r="A839" s="415"/>
      <c r="B839" s="416"/>
      <c r="C839" s="417"/>
      <c r="D839" s="418"/>
      <c r="E839" s="418"/>
      <c r="F839" s="419"/>
      <c r="G839" s="420"/>
      <c r="H839" s="421"/>
      <c r="I839" s="421"/>
      <c r="J839" s="422"/>
      <c r="K839" s="418"/>
      <c r="L839" s="418"/>
      <c r="M839" s="418"/>
      <c r="N839" s="421"/>
      <c r="O839" s="421"/>
      <c r="P839" s="421"/>
      <c r="Q839" s="418"/>
      <c r="R839" s="1022"/>
      <c r="S839" s="1022"/>
      <c r="T839" s="418"/>
      <c r="U839" s="418"/>
      <c r="V839" s="418"/>
      <c r="W839" s="418"/>
      <c r="X839" s="418"/>
      <c r="Y839" s="418"/>
      <c r="Z839" s="418"/>
      <c r="AA839" s="418"/>
      <c r="AB839" s="418"/>
      <c r="AC839" s="418"/>
      <c r="AD839" s="418"/>
      <c r="AE839" s="418"/>
      <c r="AF839" s="418"/>
      <c r="AG839" s="418"/>
      <c r="AH839" s="418"/>
      <c r="AI839" s="418"/>
      <c r="AJ839" s="418"/>
      <c r="AK839" s="418"/>
      <c r="AL839" s="418"/>
      <c r="AM839" s="418"/>
      <c r="AN839" s="423"/>
      <c r="AO839" s="423"/>
      <c r="AP839" s="423"/>
      <c r="AQ839" s="423"/>
      <c r="AR839" s="423"/>
      <c r="AS839" s="423"/>
      <c r="AT839" s="423"/>
      <c r="AU839" s="423"/>
      <c r="AV839" s="423"/>
      <c r="AW839" s="418"/>
      <c r="AX839" s="418"/>
      <c r="AY839" s="418"/>
      <c r="AZ839" s="418"/>
      <c r="BA839" s="418"/>
      <c r="BB839" s="306"/>
    </row>
    <row r="840" spans="1:54" ht="15.75" customHeight="1">
      <c r="A840" s="415"/>
      <c r="B840" s="416"/>
      <c r="C840" s="417"/>
      <c r="D840" s="418"/>
      <c r="E840" s="418"/>
      <c r="F840" s="419"/>
      <c r="G840" s="420"/>
      <c r="H840" s="421"/>
      <c r="I840" s="421"/>
      <c r="J840" s="422"/>
      <c r="K840" s="418"/>
      <c r="L840" s="418"/>
      <c r="M840" s="418"/>
      <c r="N840" s="421"/>
      <c r="O840" s="421"/>
      <c r="P840" s="421"/>
      <c r="Q840" s="418"/>
      <c r="R840" s="1022"/>
      <c r="S840" s="1022"/>
      <c r="T840" s="418"/>
      <c r="U840" s="418"/>
      <c r="V840" s="418"/>
      <c r="W840" s="418"/>
      <c r="X840" s="418"/>
      <c r="Y840" s="418"/>
      <c r="Z840" s="418"/>
      <c r="AA840" s="418"/>
      <c r="AB840" s="418"/>
      <c r="AC840" s="418"/>
      <c r="AD840" s="418"/>
      <c r="AE840" s="418"/>
      <c r="AF840" s="418"/>
      <c r="AG840" s="418"/>
      <c r="AH840" s="418"/>
      <c r="AI840" s="418"/>
      <c r="AJ840" s="418"/>
      <c r="AK840" s="418"/>
      <c r="AL840" s="418"/>
      <c r="AM840" s="418"/>
      <c r="AN840" s="423"/>
      <c r="AO840" s="423"/>
      <c r="AP840" s="423"/>
      <c r="AQ840" s="423"/>
      <c r="AR840" s="423"/>
      <c r="AS840" s="423"/>
      <c r="AT840" s="423"/>
      <c r="AU840" s="423"/>
      <c r="AV840" s="423"/>
      <c r="AW840" s="418"/>
      <c r="AX840" s="418"/>
      <c r="AY840" s="418"/>
      <c r="AZ840" s="418"/>
      <c r="BA840" s="418"/>
      <c r="BB840" s="306"/>
    </row>
    <row r="841" spans="1:54" ht="15.75" customHeight="1">
      <c r="A841" s="415"/>
      <c r="B841" s="416"/>
      <c r="C841" s="417"/>
      <c r="D841" s="418"/>
      <c r="E841" s="418"/>
      <c r="F841" s="419"/>
      <c r="G841" s="420"/>
      <c r="H841" s="421"/>
      <c r="I841" s="421"/>
      <c r="J841" s="422"/>
      <c r="K841" s="418"/>
      <c r="L841" s="418"/>
      <c r="M841" s="418"/>
      <c r="N841" s="421"/>
      <c r="O841" s="421"/>
      <c r="P841" s="421"/>
      <c r="Q841" s="418"/>
      <c r="R841" s="1022"/>
      <c r="S841" s="1022"/>
      <c r="T841" s="418"/>
      <c r="U841" s="418"/>
      <c r="V841" s="418"/>
      <c r="W841" s="418"/>
      <c r="X841" s="418"/>
      <c r="Y841" s="418"/>
      <c r="Z841" s="418"/>
      <c r="AA841" s="418"/>
      <c r="AB841" s="418"/>
      <c r="AC841" s="418"/>
      <c r="AD841" s="418"/>
      <c r="AE841" s="418"/>
      <c r="AF841" s="418"/>
      <c r="AG841" s="418"/>
      <c r="AH841" s="418"/>
      <c r="AI841" s="418"/>
      <c r="AJ841" s="418"/>
      <c r="AK841" s="418"/>
      <c r="AL841" s="418"/>
      <c r="AM841" s="418"/>
      <c r="AN841" s="423"/>
      <c r="AO841" s="423"/>
      <c r="AP841" s="423"/>
      <c r="AQ841" s="423"/>
      <c r="AR841" s="423"/>
      <c r="AS841" s="423"/>
      <c r="AT841" s="423"/>
      <c r="AU841" s="423"/>
      <c r="AV841" s="423"/>
      <c r="AW841" s="418"/>
      <c r="AX841" s="418"/>
      <c r="AY841" s="418"/>
      <c r="AZ841" s="418"/>
      <c r="BA841" s="418"/>
      <c r="BB841" s="306"/>
    </row>
    <row r="842" spans="1:54" ht="15.75" customHeight="1">
      <c r="A842" s="415"/>
      <c r="B842" s="416"/>
      <c r="C842" s="417"/>
      <c r="D842" s="418"/>
      <c r="E842" s="418"/>
      <c r="F842" s="419"/>
      <c r="G842" s="420"/>
      <c r="H842" s="421"/>
      <c r="I842" s="421"/>
      <c r="J842" s="422"/>
      <c r="K842" s="418"/>
      <c r="L842" s="418"/>
      <c r="M842" s="418"/>
      <c r="N842" s="421"/>
      <c r="O842" s="421"/>
      <c r="P842" s="421"/>
      <c r="Q842" s="418"/>
      <c r="R842" s="1022"/>
      <c r="S842" s="1022"/>
      <c r="T842" s="418"/>
      <c r="U842" s="418"/>
      <c r="V842" s="418"/>
      <c r="W842" s="418"/>
      <c r="X842" s="418"/>
      <c r="Y842" s="418"/>
      <c r="Z842" s="418"/>
      <c r="AA842" s="418"/>
      <c r="AB842" s="418"/>
      <c r="AC842" s="418"/>
      <c r="AD842" s="418"/>
      <c r="AE842" s="418"/>
      <c r="AF842" s="418"/>
      <c r="AG842" s="418"/>
      <c r="AH842" s="418"/>
      <c r="AI842" s="418"/>
      <c r="AJ842" s="418"/>
      <c r="AK842" s="418"/>
      <c r="AL842" s="418"/>
      <c r="AM842" s="418"/>
      <c r="AN842" s="423"/>
      <c r="AO842" s="423"/>
      <c r="AP842" s="423"/>
      <c r="AQ842" s="423"/>
      <c r="AR842" s="423"/>
      <c r="AS842" s="423"/>
      <c r="AT842" s="423"/>
      <c r="AU842" s="423"/>
      <c r="AV842" s="423"/>
      <c r="AW842" s="418"/>
      <c r="AX842" s="418"/>
      <c r="AY842" s="418"/>
      <c r="AZ842" s="418"/>
      <c r="BA842" s="418"/>
      <c r="BB842" s="306"/>
    </row>
    <row r="843" spans="1:54" ht="15.75" customHeight="1">
      <c r="A843" s="415"/>
      <c r="B843" s="416"/>
      <c r="C843" s="417"/>
      <c r="D843" s="418"/>
      <c r="E843" s="418"/>
      <c r="F843" s="419"/>
      <c r="G843" s="420"/>
      <c r="H843" s="421"/>
      <c r="I843" s="425"/>
      <c r="J843" s="422"/>
      <c r="K843" s="418"/>
      <c r="L843" s="418"/>
      <c r="M843" s="418"/>
      <c r="N843" s="421"/>
      <c r="O843" s="421"/>
      <c r="P843" s="421"/>
      <c r="Q843" s="418"/>
      <c r="R843" s="1022"/>
      <c r="S843" s="1022"/>
      <c r="T843" s="418"/>
      <c r="U843" s="418"/>
      <c r="V843" s="418"/>
      <c r="W843" s="418"/>
      <c r="X843" s="418"/>
      <c r="Y843" s="418"/>
      <c r="Z843" s="418"/>
      <c r="AA843" s="418"/>
      <c r="AB843" s="418"/>
      <c r="AC843" s="418"/>
      <c r="AD843" s="418"/>
      <c r="AE843" s="418"/>
      <c r="AF843" s="418"/>
      <c r="AG843" s="418"/>
      <c r="AH843" s="418"/>
      <c r="AI843" s="418"/>
      <c r="AJ843" s="418"/>
      <c r="AK843" s="418"/>
      <c r="AL843" s="418"/>
      <c r="AM843" s="418"/>
      <c r="AN843" s="423"/>
      <c r="AO843" s="423"/>
      <c r="AP843" s="423"/>
      <c r="AQ843" s="423"/>
      <c r="AR843" s="423"/>
      <c r="AS843" s="423"/>
      <c r="AT843" s="423"/>
      <c r="AU843" s="423"/>
      <c r="AV843" s="423"/>
      <c r="AW843" s="418"/>
      <c r="AX843" s="418"/>
      <c r="AY843" s="418"/>
      <c r="AZ843" s="418"/>
      <c r="BA843" s="418"/>
      <c r="BB843" s="306"/>
    </row>
    <row r="844" spans="1:54" ht="15.75" customHeight="1">
      <c r="A844" s="415"/>
      <c r="B844" s="416"/>
      <c r="C844" s="417"/>
      <c r="D844" s="418"/>
      <c r="E844" s="418"/>
      <c r="F844" s="419"/>
      <c r="G844" s="420"/>
      <c r="H844" s="421"/>
      <c r="I844" s="421"/>
      <c r="J844" s="422"/>
      <c r="K844" s="418"/>
      <c r="L844" s="418"/>
      <c r="M844" s="418"/>
      <c r="N844" s="421"/>
      <c r="O844" s="421"/>
      <c r="P844" s="421"/>
      <c r="Q844" s="418"/>
      <c r="R844" s="1022"/>
      <c r="S844" s="1022"/>
      <c r="T844" s="418"/>
      <c r="U844" s="418"/>
      <c r="V844" s="418"/>
      <c r="W844" s="418"/>
      <c r="X844" s="418"/>
      <c r="Y844" s="418"/>
      <c r="Z844" s="418"/>
      <c r="AA844" s="418"/>
      <c r="AB844" s="418"/>
      <c r="AC844" s="418"/>
      <c r="AD844" s="418"/>
      <c r="AE844" s="418"/>
      <c r="AF844" s="418"/>
      <c r="AG844" s="418"/>
      <c r="AH844" s="418"/>
      <c r="AI844" s="418"/>
      <c r="AJ844" s="418"/>
      <c r="AK844" s="418"/>
      <c r="AL844" s="418"/>
      <c r="AM844" s="418"/>
      <c r="AN844" s="423"/>
      <c r="AO844" s="423"/>
      <c r="AP844" s="423"/>
      <c r="AQ844" s="423"/>
      <c r="AR844" s="423"/>
      <c r="AS844" s="423"/>
      <c r="AT844" s="423"/>
      <c r="AU844" s="423"/>
      <c r="AV844" s="423"/>
      <c r="AW844" s="418"/>
      <c r="AX844" s="418"/>
      <c r="AY844" s="418"/>
      <c r="AZ844" s="418"/>
      <c r="BA844" s="418"/>
      <c r="BB844" s="306"/>
    </row>
    <row r="845" spans="1:54" ht="15.75" customHeight="1">
      <c r="A845" s="415"/>
      <c r="B845" s="416"/>
      <c r="C845" s="417"/>
      <c r="D845" s="418"/>
      <c r="E845" s="418"/>
      <c r="F845" s="419"/>
      <c r="G845" s="420"/>
      <c r="H845" s="421"/>
      <c r="I845" s="425"/>
      <c r="J845" s="422"/>
      <c r="K845" s="418"/>
      <c r="L845" s="418"/>
      <c r="M845" s="418"/>
      <c r="N845" s="421"/>
      <c r="O845" s="421"/>
      <c r="P845" s="421"/>
      <c r="Q845" s="418"/>
      <c r="R845" s="1022"/>
      <c r="S845" s="1022"/>
      <c r="T845" s="418"/>
      <c r="U845" s="418"/>
      <c r="V845" s="418"/>
      <c r="W845" s="418"/>
      <c r="X845" s="418"/>
      <c r="Y845" s="418"/>
      <c r="Z845" s="418"/>
      <c r="AA845" s="418"/>
      <c r="AB845" s="418"/>
      <c r="AC845" s="418"/>
      <c r="AD845" s="418"/>
      <c r="AE845" s="418"/>
      <c r="AF845" s="418"/>
      <c r="AG845" s="418"/>
      <c r="AH845" s="418"/>
      <c r="AI845" s="418"/>
      <c r="AJ845" s="418"/>
      <c r="AK845" s="418"/>
      <c r="AL845" s="418"/>
      <c r="AM845" s="418"/>
      <c r="AN845" s="423"/>
      <c r="AO845" s="423"/>
      <c r="AP845" s="423"/>
      <c r="AQ845" s="423"/>
      <c r="AR845" s="423"/>
      <c r="AS845" s="423"/>
      <c r="AT845" s="423"/>
      <c r="AU845" s="423"/>
      <c r="AV845" s="423"/>
      <c r="AW845" s="418"/>
      <c r="AX845" s="418"/>
      <c r="AY845" s="418"/>
      <c r="AZ845" s="418"/>
      <c r="BA845" s="418"/>
      <c r="BB845" s="306"/>
    </row>
    <row r="846" spans="1:54" ht="15.75" customHeight="1">
      <c r="A846" s="415"/>
      <c r="B846" s="416"/>
      <c r="C846" s="417"/>
      <c r="D846" s="418"/>
      <c r="E846" s="418"/>
      <c r="F846" s="419"/>
      <c r="G846" s="420"/>
      <c r="H846" s="421"/>
      <c r="I846" s="421"/>
      <c r="J846" s="422"/>
      <c r="K846" s="418"/>
      <c r="L846" s="418"/>
      <c r="M846" s="418"/>
      <c r="N846" s="421"/>
      <c r="O846" s="421"/>
      <c r="P846" s="421"/>
      <c r="Q846" s="418"/>
      <c r="R846" s="1022"/>
      <c r="S846" s="1022"/>
      <c r="T846" s="418"/>
      <c r="U846" s="418"/>
      <c r="V846" s="418"/>
      <c r="W846" s="418"/>
      <c r="X846" s="418"/>
      <c r="Y846" s="418"/>
      <c r="Z846" s="418"/>
      <c r="AA846" s="418"/>
      <c r="AB846" s="418"/>
      <c r="AC846" s="418"/>
      <c r="AD846" s="418"/>
      <c r="AE846" s="418"/>
      <c r="AF846" s="418"/>
      <c r="AG846" s="418"/>
      <c r="AH846" s="418"/>
      <c r="AI846" s="418"/>
      <c r="AJ846" s="418"/>
      <c r="AK846" s="418"/>
      <c r="AL846" s="418"/>
      <c r="AM846" s="418"/>
      <c r="AN846" s="423"/>
      <c r="AO846" s="423"/>
      <c r="AP846" s="423"/>
      <c r="AQ846" s="423"/>
      <c r="AR846" s="423"/>
      <c r="AS846" s="423"/>
      <c r="AT846" s="423"/>
      <c r="AU846" s="423"/>
      <c r="AV846" s="423"/>
      <c r="AW846" s="418"/>
      <c r="AX846" s="418"/>
      <c r="AY846" s="418"/>
      <c r="AZ846" s="418"/>
      <c r="BA846" s="418"/>
      <c r="BB846" s="306"/>
    </row>
    <row r="847" spans="1:54" ht="15.75" customHeight="1">
      <c r="A847" s="415"/>
      <c r="B847" s="416"/>
      <c r="C847" s="417"/>
      <c r="D847" s="418"/>
      <c r="E847" s="418"/>
      <c r="F847" s="419"/>
      <c r="G847" s="420"/>
      <c r="H847" s="421"/>
      <c r="I847" s="425"/>
      <c r="J847" s="422"/>
      <c r="K847" s="418"/>
      <c r="L847" s="418"/>
      <c r="M847" s="418"/>
      <c r="N847" s="421"/>
      <c r="O847" s="421"/>
      <c r="P847" s="421"/>
      <c r="Q847" s="418"/>
      <c r="R847" s="1022"/>
      <c r="S847" s="1022"/>
      <c r="T847" s="418"/>
      <c r="U847" s="418"/>
      <c r="V847" s="418"/>
      <c r="W847" s="418"/>
      <c r="X847" s="418"/>
      <c r="Y847" s="418"/>
      <c r="Z847" s="418"/>
      <c r="AA847" s="418"/>
      <c r="AB847" s="418"/>
      <c r="AC847" s="418"/>
      <c r="AD847" s="418"/>
      <c r="AE847" s="418"/>
      <c r="AF847" s="418"/>
      <c r="AG847" s="418"/>
      <c r="AH847" s="418"/>
      <c r="AI847" s="418"/>
      <c r="AJ847" s="418"/>
      <c r="AK847" s="418"/>
      <c r="AL847" s="418"/>
      <c r="AM847" s="418"/>
      <c r="AN847" s="423"/>
      <c r="AO847" s="423"/>
      <c r="AP847" s="423"/>
      <c r="AQ847" s="423"/>
      <c r="AR847" s="423"/>
      <c r="AS847" s="423"/>
      <c r="AT847" s="423"/>
      <c r="AU847" s="423"/>
      <c r="AV847" s="423"/>
      <c r="AW847" s="418"/>
      <c r="AX847" s="418"/>
      <c r="AY847" s="418"/>
      <c r="AZ847" s="418"/>
      <c r="BA847" s="418"/>
      <c r="BB847" s="306"/>
    </row>
    <row r="848" spans="1:54" ht="15.75" customHeight="1">
      <c r="A848" s="415"/>
      <c r="B848" s="416"/>
      <c r="C848" s="417"/>
      <c r="D848" s="418"/>
      <c r="E848" s="418"/>
      <c r="F848" s="419"/>
      <c r="G848" s="420"/>
      <c r="H848" s="421"/>
      <c r="I848" s="425"/>
      <c r="J848" s="422"/>
      <c r="K848" s="418"/>
      <c r="L848" s="418"/>
      <c r="M848" s="418"/>
      <c r="N848" s="421"/>
      <c r="O848" s="421"/>
      <c r="P848" s="421"/>
      <c r="Q848" s="418"/>
      <c r="R848" s="1022"/>
      <c r="S848" s="1022"/>
      <c r="T848" s="418"/>
      <c r="U848" s="418"/>
      <c r="V848" s="418"/>
      <c r="W848" s="418"/>
      <c r="X848" s="418"/>
      <c r="Y848" s="418"/>
      <c r="Z848" s="418"/>
      <c r="AA848" s="418"/>
      <c r="AB848" s="418"/>
      <c r="AC848" s="418"/>
      <c r="AD848" s="418"/>
      <c r="AE848" s="418"/>
      <c r="AF848" s="418"/>
      <c r="AG848" s="418"/>
      <c r="AH848" s="418"/>
      <c r="AI848" s="418"/>
      <c r="AJ848" s="418"/>
      <c r="AK848" s="418"/>
      <c r="AL848" s="418"/>
      <c r="AM848" s="418"/>
      <c r="AN848" s="423"/>
      <c r="AO848" s="423"/>
      <c r="AP848" s="423"/>
      <c r="AQ848" s="423"/>
      <c r="AR848" s="423"/>
      <c r="AS848" s="423"/>
      <c r="AT848" s="423"/>
      <c r="AU848" s="423"/>
      <c r="AV848" s="423"/>
      <c r="AW848" s="418"/>
      <c r="AX848" s="418"/>
      <c r="AY848" s="418"/>
      <c r="AZ848" s="418"/>
      <c r="BA848" s="418"/>
      <c r="BB848" s="306"/>
    </row>
    <row r="849" spans="1:60" ht="15.75" customHeight="1">
      <c r="A849" s="415"/>
      <c r="B849" s="416"/>
      <c r="C849" s="417"/>
      <c r="D849" s="418"/>
      <c r="E849" s="418"/>
      <c r="F849" s="419"/>
      <c r="G849" s="420"/>
      <c r="H849" s="421"/>
      <c r="I849" s="425"/>
      <c r="J849" s="422"/>
      <c r="K849" s="418"/>
      <c r="L849" s="418"/>
      <c r="M849" s="418"/>
      <c r="N849" s="421"/>
      <c r="O849" s="421"/>
      <c r="P849" s="421"/>
      <c r="Q849" s="418"/>
      <c r="R849" s="1022"/>
      <c r="S849" s="1022"/>
      <c r="T849" s="418"/>
      <c r="U849" s="418"/>
      <c r="V849" s="418"/>
      <c r="W849" s="418"/>
      <c r="X849" s="418"/>
      <c r="Y849" s="418"/>
      <c r="Z849" s="418"/>
      <c r="AA849" s="418"/>
      <c r="AB849" s="418"/>
      <c r="AC849" s="418"/>
      <c r="AD849" s="418"/>
      <c r="AE849" s="418"/>
      <c r="AF849" s="418"/>
      <c r="AG849" s="418"/>
      <c r="AH849" s="418"/>
      <c r="AI849" s="418"/>
      <c r="AJ849" s="418"/>
      <c r="AK849" s="418"/>
      <c r="AL849" s="418"/>
      <c r="AM849" s="418"/>
      <c r="AN849" s="423"/>
      <c r="AO849" s="423"/>
      <c r="AP849" s="423"/>
      <c r="AQ849" s="423"/>
      <c r="AR849" s="423"/>
      <c r="AS849" s="423"/>
      <c r="AT849" s="423"/>
      <c r="AU849" s="423"/>
      <c r="AV849" s="423"/>
      <c r="AW849" s="418"/>
      <c r="AX849" s="418"/>
      <c r="AY849" s="418"/>
      <c r="AZ849" s="418"/>
      <c r="BA849" s="418"/>
      <c r="BB849" s="306"/>
    </row>
    <row r="850" spans="1:60" ht="15.75" customHeight="1">
      <c r="A850" s="415"/>
      <c r="B850" s="416"/>
      <c r="C850" s="417"/>
      <c r="D850" s="418"/>
      <c r="E850" s="418"/>
      <c r="F850" s="419"/>
      <c r="G850" s="420"/>
      <c r="H850" s="421"/>
      <c r="I850" s="421"/>
      <c r="J850" s="422"/>
      <c r="K850" s="418"/>
      <c r="L850" s="418"/>
      <c r="M850" s="418"/>
      <c r="N850" s="421"/>
      <c r="O850" s="421"/>
      <c r="P850" s="421"/>
      <c r="Q850" s="418"/>
      <c r="R850" s="1022"/>
      <c r="S850" s="1022"/>
      <c r="T850" s="418"/>
      <c r="U850" s="418"/>
      <c r="V850" s="418"/>
      <c r="W850" s="418"/>
      <c r="X850" s="418"/>
      <c r="Y850" s="418"/>
      <c r="Z850" s="418"/>
      <c r="AA850" s="418"/>
      <c r="AB850" s="418"/>
      <c r="AC850" s="418"/>
      <c r="AD850" s="418"/>
      <c r="AE850" s="418"/>
      <c r="AF850" s="418"/>
      <c r="AG850" s="418"/>
      <c r="AH850" s="418"/>
      <c r="AI850" s="418"/>
      <c r="AJ850" s="418"/>
      <c r="AK850" s="418"/>
      <c r="AL850" s="418"/>
      <c r="AM850" s="418"/>
      <c r="AN850" s="423"/>
      <c r="AO850" s="423"/>
      <c r="AP850" s="423"/>
      <c r="AQ850" s="423"/>
      <c r="AR850" s="423"/>
      <c r="AS850" s="423"/>
      <c r="AT850" s="423"/>
      <c r="AU850" s="423"/>
      <c r="AV850" s="423"/>
      <c r="AW850" s="418"/>
      <c r="AX850" s="418"/>
      <c r="AY850" s="418"/>
      <c r="AZ850" s="418"/>
      <c r="BA850" s="418"/>
      <c r="BB850" s="306"/>
    </row>
    <row r="851" spans="1:60" ht="15.75" customHeight="1">
      <c r="A851" s="415"/>
      <c r="B851" s="416"/>
      <c r="C851" s="417"/>
      <c r="D851" s="418"/>
      <c r="E851" s="418"/>
      <c r="F851" s="419"/>
      <c r="G851" s="420"/>
      <c r="H851" s="421"/>
      <c r="I851" s="421"/>
      <c r="J851" s="422"/>
      <c r="K851" s="418"/>
      <c r="L851" s="418"/>
      <c r="M851" s="418"/>
      <c r="N851" s="421"/>
      <c r="O851" s="421"/>
      <c r="P851" s="421"/>
      <c r="Q851" s="418"/>
      <c r="R851" s="1022"/>
      <c r="S851" s="1022"/>
      <c r="T851" s="418"/>
      <c r="U851" s="418"/>
      <c r="V851" s="418"/>
      <c r="W851" s="418"/>
      <c r="X851" s="418"/>
      <c r="Y851" s="418"/>
      <c r="Z851" s="418"/>
      <c r="AA851" s="418"/>
      <c r="AB851" s="418"/>
      <c r="AC851" s="418"/>
      <c r="AD851" s="418"/>
      <c r="AE851" s="418"/>
      <c r="AF851" s="418"/>
      <c r="AG851" s="418"/>
      <c r="AH851" s="418"/>
      <c r="AI851" s="418"/>
      <c r="AJ851" s="418"/>
      <c r="AK851" s="418"/>
      <c r="AL851" s="418"/>
      <c r="AM851" s="418"/>
      <c r="AN851" s="423"/>
      <c r="AO851" s="423"/>
      <c r="AP851" s="423"/>
      <c r="AQ851" s="423"/>
      <c r="AR851" s="423"/>
      <c r="AS851" s="423"/>
      <c r="AT851" s="423"/>
      <c r="AU851" s="423"/>
      <c r="AV851" s="423"/>
      <c r="AW851" s="418"/>
      <c r="AX851" s="418"/>
      <c r="AY851" s="418"/>
      <c r="AZ851" s="418"/>
      <c r="BA851" s="418"/>
      <c r="BB851" s="306"/>
    </row>
    <row r="852" spans="1:60" ht="15.75" customHeight="1">
      <c r="A852" s="415"/>
      <c r="B852" s="416"/>
      <c r="C852" s="417"/>
      <c r="D852" s="418"/>
      <c r="E852" s="418"/>
      <c r="F852" s="419"/>
      <c r="G852" s="420"/>
      <c r="H852" s="421"/>
      <c r="I852" s="421"/>
      <c r="J852" s="422"/>
      <c r="K852" s="418"/>
      <c r="L852" s="418"/>
      <c r="M852" s="418"/>
      <c r="N852" s="421"/>
      <c r="O852" s="421"/>
      <c r="P852" s="421"/>
      <c r="Q852" s="418"/>
      <c r="R852" s="1022"/>
      <c r="S852" s="1022"/>
      <c r="T852" s="418"/>
      <c r="U852" s="418"/>
      <c r="V852" s="418"/>
      <c r="W852" s="418"/>
      <c r="X852" s="418"/>
      <c r="Y852" s="418"/>
      <c r="Z852" s="418"/>
      <c r="AA852" s="418"/>
      <c r="AB852" s="418"/>
      <c r="AC852" s="418"/>
      <c r="AD852" s="418"/>
      <c r="AE852" s="418"/>
      <c r="AF852" s="418"/>
      <c r="AG852" s="418"/>
      <c r="AH852" s="418"/>
      <c r="AI852" s="418"/>
      <c r="AJ852" s="418"/>
      <c r="AK852" s="418"/>
      <c r="AL852" s="418"/>
      <c r="AM852" s="418"/>
      <c r="AN852" s="423"/>
      <c r="AO852" s="423"/>
      <c r="AP852" s="423"/>
      <c r="AQ852" s="423"/>
      <c r="AR852" s="423"/>
      <c r="AS852" s="423"/>
      <c r="AT852" s="423"/>
      <c r="AU852" s="423"/>
      <c r="AV852" s="423"/>
      <c r="AW852" s="418"/>
      <c r="AX852" s="418"/>
      <c r="AY852" s="418"/>
      <c r="AZ852" s="418"/>
      <c r="BA852" s="418"/>
      <c r="BB852" s="306"/>
    </row>
    <row r="853" spans="1:60" ht="15.75" customHeight="1">
      <c r="A853" s="415"/>
      <c r="B853" s="416"/>
      <c r="C853" s="417"/>
      <c r="D853" s="418"/>
      <c r="E853" s="418"/>
      <c r="F853" s="419"/>
      <c r="G853" s="420"/>
      <c r="H853" s="421"/>
      <c r="I853" s="421"/>
      <c r="J853" s="422"/>
      <c r="K853" s="418"/>
      <c r="L853" s="418"/>
      <c r="M853" s="418"/>
      <c r="N853" s="421"/>
      <c r="O853" s="421"/>
      <c r="P853" s="421"/>
      <c r="Q853" s="418"/>
      <c r="R853" s="1022"/>
      <c r="S853" s="1022"/>
      <c r="T853" s="418"/>
      <c r="U853" s="418"/>
      <c r="V853" s="418"/>
      <c r="W853" s="418"/>
      <c r="X853" s="418"/>
      <c r="Y853" s="418"/>
      <c r="Z853" s="418"/>
      <c r="AA853" s="418"/>
      <c r="AB853" s="418"/>
      <c r="AC853" s="418"/>
      <c r="AD853" s="418"/>
      <c r="AE853" s="418"/>
      <c r="AF853" s="418"/>
      <c r="AG853" s="418"/>
      <c r="AH853" s="418"/>
      <c r="AI853" s="418"/>
      <c r="AJ853" s="418"/>
      <c r="AK853" s="418"/>
      <c r="AL853" s="418"/>
      <c r="AM853" s="418"/>
      <c r="AN853" s="423"/>
      <c r="AO853" s="423"/>
      <c r="AP853" s="423"/>
      <c r="AQ853" s="423"/>
      <c r="AR853" s="423"/>
      <c r="AS853" s="423"/>
      <c r="AT853" s="423"/>
      <c r="AU853" s="423"/>
      <c r="AV853" s="423"/>
      <c r="AW853" s="418"/>
      <c r="AX853" s="418"/>
      <c r="AY853" s="418"/>
      <c r="AZ853" s="418"/>
      <c r="BA853" s="418"/>
      <c r="BB853" s="306"/>
    </row>
    <row r="854" spans="1:60" ht="15.75" customHeight="1">
      <c r="A854" s="415"/>
      <c r="B854" s="416"/>
      <c r="C854" s="417"/>
      <c r="D854" s="418"/>
      <c r="E854" s="418"/>
      <c r="F854" s="419"/>
      <c r="G854" s="420"/>
      <c r="H854" s="421"/>
      <c r="I854" s="421"/>
      <c r="J854" s="422"/>
      <c r="K854" s="418"/>
      <c r="L854" s="418"/>
      <c r="M854" s="418"/>
      <c r="N854" s="421"/>
      <c r="O854" s="421"/>
      <c r="P854" s="421"/>
      <c r="Q854" s="418"/>
      <c r="R854" s="1022"/>
      <c r="S854" s="1022"/>
      <c r="T854" s="418"/>
      <c r="U854" s="418"/>
      <c r="V854" s="418"/>
      <c r="W854" s="418"/>
      <c r="X854" s="418"/>
      <c r="Y854" s="418"/>
      <c r="Z854" s="418"/>
      <c r="AA854" s="418"/>
      <c r="AB854" s="418"/>
      <c r="AC854" s="418"/>
      <c r="AD854" s="418"/>
      <c r="AE854" s="418"/>
      <c r="AF854" s="418"/>
      <c r="AG854" s="418"/>
      <c r="AH854" s="418"/>
      <c r="AI854" s="418"/>
      <c r="AJ854" s="418"/>
      <c r="AK854" s="418"/>
      <c r="AL854" s="418"/>
      <c r="AM854" s="418"/>
      <c r="AN854" s="423"/>
      <c r="AO854" s="423"/>
      <c r="AP854" s="423"/>
      <c r="AQ854" s="423"/>
      <c r="AR854" s="423"/>
      <c r="AS854" s="423"/>
      <c r="AT854" s="423"/>
      <c r="AU854" s="423"/>
      <c r="AV854" s="423"/>
      <c r="AW854" s="418"/>
      <c r="AX854" s="418"/>
      <c r="AY854" s="418"/>
      <c r="AZ854" s="418"/>
      <c r="BA854" s="418"/>
      <c r="BB854" s="306"/>
    </row>
    <row r="855" spans="1:60" ht="15.75" customHeight="1">
      <c r="A855" s="415"/>
      <c r="B855" s="416"/>
      <c r="C855" s="417"/>
      <c r="D855" s="418"/>
      <c r="E855" s="418"/>
      <c r="F855" s="419"/>
      <c r="G855" s="420"/>
      <c r="H855" s="421"/>
      <c r="I855" s="421"/>
      <c r="J855" s="422"/>
      <c r="K855" s="418"/>
      <c r="L855" s="418"/>
      <c r="M855" s="418"/>
      <c r="N855" s="421"/>
      <c r="O855" s="421"/>
      <c r="P855" s="421"/>
      <c r="Q855" s="418"/>
      <c r="R855" s="1022"/>
      <c r="S855" s="1022"/>
      <c r="T855" s="418"/>
      <c r="U855" s="418"/>
      <c r="V855" s="418"/>
      <c r="W855" s="418"/>
      <c r="X855" s="418"/>
      <c r="Y855" s="418"/>
      <c r="Z855" s="418"/>
      <c r="AA855" s="418"/>
      <c r="AB855" s="418"/>
      <c r="AC855" s="418"/>
      <c r="AD855" s="418"/>
      <c r="AE855" s="418"/>
      <c r="AF855" s="418"/>
      <c r="AG855" s="418"/>
      <c r="AH855" s="418"/>
      <c r="AI855" s="418"/>
      <c r="AJ855" s="418"/>
      <c r="AK855" s="418"/>
      <c r="AL855" s="418"/>
      <c r="AM855" s="418"/>
      <c r="AN855" s="423"/>
      <c r="AO855" s="423"/>
      <c r="AP855" s="423"/>
      <c r="AQ855" s="423"/>
      <c r="AR855" s="423"/>
      <c r="AS855" s="423"/>
      <c r="AT855" s="423"/>
      <c r="AU855" s="423"/>
      <c r="AV855" s="423"/>
      <c r="AW855" s="418"/>
      <c r="AX855" s="418"/>
      <c r="AY855" s="418"/>
      <c r="AZ855" s="418"/>
      <c r="BA855" s="418"/>
      <c r="BB855" s="306"/>
    </row>
    <row r="856" spans="1:60" ht="15.75" customHeight="1">
      <c r="A856" s="415"/>
      <c r="B856" s="416"/>
      <c r="C856" s="417"/>
      <c r="D856" s="418"/>
      <c r="E856" s="418"/>
      <c r="F856" s="419"/>
      <c r="G856" s="420"/>
      <c r="H856" s="421"/>
      <c r="I856" s="421"/>
      <c r="J856" s="422"/>
      <c r="K856" s="418"/>
      <c r="L856" s="418"/>
      <c r="M856" s="418"/>
      <c r="N856" s="421"/>
      <c r="O856" s="421"/>
      <c r="P856" s="421"/>
      <c r="Q856" s="418"/>
      <c r="R856" s="1022"/>
      <c r="S856" s="1022"/>
      <c r="T856" s="418"/>
      <c r="U856" s="418"/>
      <c r="V856" s="418"/>
      <c r="W856" s="418"/>
      <c r="X856" s="418"/>
      <c r="Y856" s="418"/>
      <c r="Z856" s="418"/>
      <c r="AA856" s="418"/>
      <c r="AB856" s="418"/>
      <c r="AC856" s="418"/>
      <c r="AD856" s="418"/>
      <c r="AE856" s="418"/>
      <c r="AF856" s="418"/>
      <c r="AG856" s="418"/>
      <c r="AH856" s="418"/>
      <c r="AI856" s="418"/>
      <c r="AJ856" s="418"/>
      <c r="AK856" s="418"/>
      <c r="AL856" s="418"/>
      <c r="AM856" s="418"/>
      <c r="AN856" s="423"/>
      <c r="AO856" s="423"/>
      <c r="AP856" s="423"/>
      <c r="AQ856" s="423"/>
      <c r="AR856" s="423"/>
      <c r="AS856" s="423"/>
      <c r="AT856" s="423"/>
      <c r="AU856" s="423"/>
      <c r="AV856" s="423"/>
      <c r="AW856" s="418"/>
      <c r="AX856" s="418"/>
      <c r="AY856" s="418"/>
      <c r="AZ856" s="418"/>
      <c r="BA856" s="418"/>
      <c r="BB856" s="306"/>
    </row>
    <row r="857" spans="1:60" ht="15.75" customHeight="1">
      <c r="A857" s="415"/>
      <c r="B857" s="416"/>
      <c r="C857" s="417"/>
      <c r="D857" s="418"/>
      <c r="E857" s="418"/>
      <c r="F857" s="419"/>
      <c r="G857" s="420"/>
      <c r="H857" s="421"/>
      <c r="I857" s="421"/>
      <c r="J857" s="422"/>
      <c r="K857" s="418"/>
      <c r="L857" s="418"/>
      <c r="M857" s="418"/>
      <c r="N857" s="421"/>
      <c r="O857" s="421"/>
      <c r="P857" s="421"/>
      <c r="Q857" s="418"/>
      <c r="R857" s="1022"/>
      <c r="S857" s="1022"/>
      <c r="T857" s="418"/>
      <c r="U857" s="418"/>
      <c r="V857" s="418"/>
      <c r="W857" s="418"/>
      <c r="X857" s="418"/>
      <c r="Y857" s="418"/>
      <c r="Z857" s="418"/>
      <c r="AA857" s="418"/>
      <c r="AB857" s="418"/>
      <c r="AC857" s="418"/>
      <c r="AD857" s="418"/>
      <c r="AE857" s="418"/>
      <c r="AF857" s="418"/>
      <c r="AG857" s="418"/>
      <c r="AH857" s="418"/>
      <c r="AI857" s="418"/>
      <c r="AJ857" s="418"/>
      <c r="AK857" s="418"/>
      <c r="AL857" s="418"/>
      <c r="AM857" s="418"/>
      <c r="AN857" s="423"/>
      <c r="AO857" s="423"/>
      <c r="AP857" s="423"/>
      <c r="AQ857" s="423"/>
      <c r="AR857" s="423"/>
      <c r="AS857" s="423"/>
      <c r="AT857" s="423"/>
      <c r="AU857" s="423"/>
      <c r="AV857" s="423"/>
      <c r="AW857" s="418"/>
      <c r="AX857" s="418"/>
      <c r="AY857" s="418"/>
      <c r="AZ857" s="418"/>
      <c r="BA857" s="418"/>
      <c r="BB857" s="306"/>
    </row>
    <row r="858" spans="1:60" ht="15.75" customHeight="1">
      <c r="A858" s="415"/>
      <c r="B858" s="417"/>
      <c r="C858" s="417"/>
      <c r="D858" s="418"/>
      <c r="E858" s="418"/>
      <c r="F858" s="419"/>
      <c r="G858" s="420"/>
      <c r="H858" s="421"/>
      <c r="I858" s="425"/>
      <c r="J858" s="422"/>
      <c r="K858" s="418"/>
      <c r="L858" s="418"/>
      <c r="M858" s="418"/>
      <c r="N858" s="421"/>
      <c r="O858" s="421"/>
      <c r="P858" s="421"/>
      <c r="Q858" s="418"/>
      <c r="R858" s="1022"/>
      <c r="S858" s="1022"/>
      <c r="T858" s="418"/>
      <c r="U858" s="418"/>
      <c r="V858" s="418"/>
      <c r="W858" s="418"/>
      <c r="X858" s="418"/>
      <c r="Y858" s="418"/>
      <c r="Z858" s="418"/>
      <c r="AA858" s="418"/>
      <c r="AB858" s="418"/>
      <c r="AC858" s="418"/>
      <c r="AD858" s="418"/>
      <c r="AE858" s="418"/>
      <c r="AF858" s="418"/>
      <c r="AG858" s="418"/>
      <c r="AH858" s="418"/>
      <c r="AI858" s="418"/>
      <c r="AJ858" s="418"/>
      <c r="AK858" s="418"/>
      <c r="AL858" s="418"/>
      <c r="AM858" s="418"/>
      <c r="AN858" s="423"/>
      <c r="AO858" s="423"/>
      <c r="AP858" s="423"/>
      <c r="AQ858" s="423"/>
      <c r="AR858" s="423"/>
      <c r="AS858" s="423"/>
      <c r="AT858" s="423"/>
      <c r="AU858" s="423"/>
      <c r="AV858" s="423"/>
      <c r="AW858" s="418"/>
      <c r="AX858" s="418"/>
      <c r="AY858" s="418"/>
      <c r="AZ858" s="418"/>
      <c r="BA858" s="418"/>
      <c r="BB858" s="306"/>
    </row>
    <row r="859" spans="1:60" ht="15.75" customHeight="1">
      <c r="A859" s="415"/>
      <c r="B859" s="417"/>
      <c r="C859" s="417"/>
      <c r="D859" s="418"/>
      <c r="E859" s="418"/>
      <c r="F859" s="419"/>
      <c r="G859" s="420"/>
      <c r="H859" s="421"/>
      <c r="I859" s="425"/>
      <c r="J859" s="422"/>
      <c r="K859" s="418"/>
      <c r="L859" s="418"/>
      <c r="M859" s="418"/>
      <c r="N859" s="421"/>
      <c r="O859" s="421"/>
      <c r="P859" s="421"/>
      <c r="Q859" s="418"/>
      <c r="R859" s="1022"/>
      <c r="S859" s="1022"/>
      <c r="T859" s="418"/>
      <c r="U859" s="418"/>
      <c r="V859" s="418"/>
      <c r="W859" s="418"/>
      <c r="X859" s="418"/>
      <c r="Y859" s="418"/>
      <c r="Z859" s="418"/>
      <c r="AA859" s="418"/>
      <c r="AB859" s="418"/>
      <c r="AC859" s="418"/>
      <c r="AD859" s="418"/>
      <c r="AE859" s="418"/>
      <c r="AF859" s="418"/>
      <c r="AG859" s="418"/>
      <c r="AH859" s="418"/>
      <c r="AI859" s="418"/>
      <c r="AJ859" s="418"/>
      <c r="AK859" s="418"/>
      <c r="AL859" s="418"/>
      <c r="AM859" s="418"/>
      <c r="AN859" s="423"/>
      <c r="AO859" s="423"/>
      <c r="AP859" s="423"/>
      <c r="AQ859" s="423"/>
      <c r="AR859" s="423"/>
      <c r="AS859" s="423"/>
      <c r="AT859" s="423"/>
      <c r="AU859" s="423"/>
      <c r="AV859" s="423"/>
      <c r="AW859" s="418"/>
      <c r="AX859" s="418"/>
      <c r="AY859" s="418"/>
      <c r="AZ859" s="418"/>
      <c r="BA859" s="418"/>
      <c r="BB859" s="306"/>
    </row>
    <row r="860" spans="1:60" ht="15.75" customHeight="1">
      <c r="A860" s="415"/>
      <c r="B860" s="417"/>
      <c r="C860" s="417"/>
      <c r="D860" s="418"/>
      <c r="E860" s="418"/>
      <c r="F860" s="419"/>
      <c r="G860" s="420"/>
      <c r="H860" s="421"/>
      <c r="I860" s="425"/>
      <c r="J860" s="422"/>
      <c r="K860" s="418"/>
      <c r="L860" s="418"/>
      <c r="M860" s="418"/>
      <c r="N860" s="421"/>
      <c r="O860" s="421"/>
      <c r="P860" s="421"/>
      <c r="Q860" s="418"/>
      <c r="R860" s="1022"/>
      <c r="S860" s="1022"/>
      <c r="T860" s="418"/>
      <c r="U860" s="418"/>
      <c r="V860" s="418"/>
      <c r="W860" s="418"/>
      <c r="X860" s="418"/>
      <c r="Y860" s="418"/>
      <c r="Z860" s="418"/>
      <c r="AA860" s="418"/>
      <c r="AB860" s="418"/>
      <c r="AC860" s="418"/>
      <c r="AD860" s="418"/>
      <c r="AE860" s="418"/>
      <c r="AF860" s="418"/>
      <c r="AG860" s="418"/>
      <c r="AH860" s="418"/>
      <c r="AI860" s="418"/>
      <c r="AJ860" s="418"/>
      <c r="AK860" s="418"/>
      <c r="AL860" s="418"/>
      <c r="AM860" s="418"/>
      <c r="AN860" s="423"/>
      <c r="AO860" s="423"/>
      <c r="AP860" s="423"/>
      <c r="AQ860" s="423"/>
      <c r="AR860" s="423"/>
      <c r="AS860" s="423"/>
      <c r="AT860" s="423"/>
      <c r="AU860" s="423"/>
      <c r="AV860" s="423"/>
      <c r="AW860" s="418"/>
      <c r="AX860" s="418"/>
      <c r="AY860" s="418"/>
      <c r="AZ860" s="418"/>
      <c r="BA860" s="418"/>
      <c r="BB860" s="306"/>
    </row>
    <row r="861" spans="1:60" ht="15.75" customHeight="1">
      <c r="A861" s="415"/>
      <c r="B861" s="417"/>
      <c r="C861" s="417"/>
      <c r="D861" s="418"/>
      <c r="E861" s="418"/>
      <c r="F861" s="419"/>
      <c r="G861" s="420"/>
      <c r="H861" s="421"/>
      <c r="I861" s="425"/>
      <c r="J861" s="422"/>
      <c r="K861" s="418"/>
      <c r="L861" s="418"/>
      <c r="M861" s="418"/>
      <c r="N861" s="418"/>
      <c r="O861" s="421"/>
      <c r="P861" s="421"/>
      <c r="Q861" s="418"/>
      <c r="R861" s="1022"/>
      <c r="S861" s="1022"/>
      <c r="T861" s="418"/>
      <c r="U861" s="418"/>
      <c r="V861" s="418"/>
      <c r="W861" s="418"/>
      <c r="X861" s="418"/>
      <c r="Y861" s="418"/>
      <c r="Z861" s="418"/>
      <c r="AA861" s="418"/>
      <c r="AB861" s="418"/>
      <c r="AC861" s="418"/>
      <c r="AD861" s="418"/>
      <c r="AE861" s="418"/>
      <c r="AF861" s="418"/>
      <c r="AG861" s="418"/>
      <c r="AH861" s="418"/>
      <c r="AI861" s="418"/>
      <c r="AJ861" s="418"/>
      <c r="AK861" s="418"/>
      <c r="AL861" s="418"/>
      <c r="AM861" s="418"/>
      <c r="AN861" s="423"/>
      <c r="AO861" s="423"/>
      <c r="AP861" s="423"/>
      <c r="AQ861" s="423"/>
      <c r="AR861" s="423"/>
      <c r="AS861" s="423"/>
      <c r="AT861" s="423"/>
      <c r="AU861" s="423"/>
      <c r="AV861" s="423"/>
      <c r="AW861" s="418"/>
      <c r="AX861" s="418"/>
      <c r="AY861" s="418"/>
      <c r="AZ861" s="418"/>
      <c r="BA861" s="418"/>
      <c r="BB861" s="306"/>
    </row>
    <row r="862" spans="1:60" ht="15.75" customHeight="1">
      <c r="A862" s="415"/>
      <c r="B862" s="417"/>
      <c r="C862" s="417"/>
      <c r="D862" s="418"/>
      <c r="E862" s="418"/>
      <c r="F862" s="419"/>
      <c r="G862" s="420"/>
      <c r="H862" s="421"/>
      <c r="I862" s="425"/>
      <c r="J862" s="422"/>
      <c r="K862" s="418"/>
      <c r="L862" s="418"/>
      <c r="M862" s="418"/>
      <c r="N862" s="421"/>
      <c r="O862" s="421"/>
      <c r="P862" s="421"/>
      <c r="Q862" s="418"/>
      <c r="R862" s="1022"/>
      <c r="S862" s="1022"/>
      <c r="T862" s="418"/>
      <c r="U862" s="418"/>
      <c r="V862" s="418"/>
      <c r="W862" s="418"/>
      <c r="X862" s="418"/>
      <c r="Y862" s="418"/>
      <c r="Z862" s="418"/>
      <c r="AA862" s="418"/>
      <c r="AB862" s="418"/>
      <c r="AC862" s="418"/>
      <c r="AD862" s="418"/>
      <c r="AE862" s="418"/>
      <c r="AF862" s="418"/>
      <c r="AG862" s="418"/>
      <c r="AH862" s="418"/>
      <c r="AI862" s="418"/>
      <c r="AJ862" s="418"/>
      <c r="AK862" s="418"/>
      <c r="AL862" s="418"/>
      <c r="AM862" s="418"/>
      <c r="AN862" s="423"/>
      <c r="AO862" s="423"/>
      <c r="AP862" s="423"/>
      <c r="AQ862" s="423"/>
      <c r="AR862" s="423"/>
      <c r="AS862" s="423"/>
      <c r="AT862" s="423"/>
      <c r="AU862" s="423"/>
      <c r="AV862" s="423"/>
      <c r="AW862" s="418"/>
      <c r="AX862" s="418"/>
      <c r="AY862" s="418"/>
      <c r="AZ862" s="418"/>
      <c r="BA862" s="418"/>
      <c r="BB862" s="306"/>
      <c r="BH862" s="307"/>
    </row>
    <row r="863" spans="1:60" ht="15.75" customHeight="1">
      <c r="A863" s="415"/>
      <c r="B863" s="417"/>
      <c r="C863" s="417"/>
      <c r="D863" s="418"/>
      <c r="E863" s="418"/>
      <c r="F863" s="419"/>
      <c r="G863" s="420"/>
      <c r="H863" s="421"/>
      <c r="I863" s="425"/>
      <c r="J863" s="422"/>
      <c r="K863" s="418"/>
      <c r="L863" s="418"/>
      <c r="M863" s="418"/>
      <c r="N863" s="421"/>
      <c r="O863" s="421"/>
      <c r="P863" s="421"/>
      <c r="Q863" s="418"/>
      <c r="R863" s="1022"/>
      <c r="S863" s="1022"/>
      <c r="T863" s="418"/>
      <c r="U863" s="418"/>
      <c r="V863" s="418"/>
      <c r="W863" s="418"/>
      <c r="X863" s="418"/>
      <c r="Y863" s="418"/>
      <c r="Z863" s="418"/>
      <c r="AA863" s="418"/>
      <c r="AB863" s="418"/>
      <c r="AC863" s="418"/>
      <c r="AD863" s="418"/>
      <c r="AE863" s="418"/>
      <c r="AF863" s="418"/>
      <c r="AG863" s="418"/>
      <c r="AH863" s="418"/>
      <c r="AI863" s="418"/>
      <c r="AJ863" s="418"/>
      <c r="AK863" s="418"/>
      <c r="AL863" s="418"/>
      <c r="AM863" s="418"/>
      <c r="AN863" s="423"/>
      <c r="AO863" s="423"/>
      <c r="AP863" s="423"/>
      <c r="AQ863" s="423"/>
      <c r="AR863" s="423"/>
      <c r="AS863" s="423"/>
      <c r="AT863" s="423"/>
      <c r="AU863" s="423"/>
      <c r="AV863" s="423"/>
      <c r="AW863" s="418"/>
      <c r="AX863" s="418"/>
      <c r="AY863" s="418"/>
      <c r="AZ863" s="418"/>
      <c r="BA863" s="418"/>
      <c r="BB863" s="306"/>
    </row>
    <row r="864" spans="1:60" ht="15.75" customHeight="1">
      <c r="A864" s="415"/>
      <c r="B864" s="417"/>
      <c r="C864" s="417"/>
      <c r="D864" s="418"/>
      <c r="E864" s="418"/>
      <c r="F864" s="419"/>
      <c r="G864" s="420"/>
      <c r="H864" s="421"/>
      <c r="I864" s="425"/>
      <c r="J864" s="422"/>
      <c r="K864" s="418"/>
      <c r="L864" s="418"/>
      <c r="M864" s="418"/>
      <c r="N864" s="421"/>
      <c r="O864" s="421"/>
      <c r="P864" s="421"/>
      <c r="Q864" s="418"/>
      <c r="R864" s="1022"/>
      <c r="S864" s="1022"/>
      <c r="T864" s="418"/>
      <c r="U864" s="418"/>
      <c r="V864" s="418"/>
      <c r="W864" s="418"/>
      <c r="X864" s="418"/>
      <c r="Y864" s="418"/>
      <c r="Z864" s="418"/>
      <c r="AA864" s="418"/>
      <c r="AB864" s="418"/>
      <c r="AC864" s="418"/>
      <c r="AD864" s="418"/>
      <c r="AE864" s="418"/>
      <c r="AF864" s="418"/>
      <c r="AG864" s="418"/>
      <c r="AH864" s="418"/>
      <c r="AI864" s="418"/>
      <c r="AJ864" s="418"/>
      <c r="AK864" s="418"/>
      <c r="AL864" s="418"/>
      <c r="AM864" s="418"/>
      <c r="AN864" s="423"/>
      <c r="AO864" s="423"/>
      <c r="AP864" s="423"/>
      <c r="AQ864" s="423"/>
      <c r="AR864" s="423"/>
      <c r="AS864" s="423"/>
      <c r="AT864" s="423"/>
      <c r="AU864" s="423"/>
      <c r="AV864" s="423"/>
      <c r="AW864" s="418"/>
      <c r="AX864" s="418"/>
      <c r="AY864" s="418"/>
      <c r="AZ864" s="418"/>
      <c r="BA864" s="418"/>
      <c r="BB864" s="306"/>
    </row>
    <row r="865" spans="1:65" ht="15.75" customHeight="1">
      <c r="A865" s="415"/>
      <c r="B865" s="417"/>
      <c r="C865" s="417"/>
      <c r="D865" s="418"/>
      <c r="E865" s="418"/>
      <c r="F865" s="419"/>
      <c r="G865" s="420"/>
      <c r="H865" s="421"/>
      <c r="I865" s="425"/>
      <c r="J865" s="422"/>
      <c r="K865" s="418"/>
      <c r="L865" s="418"/>
      <c r="M865" s="418"/>
      <c r="N865" s="418"/>
      <c r="O865" s="421"/>
      <c r="P865" s="421"/>
      <c r="Q865" s="418"/>
      <c r="R865" s="1022"/>
      <c r="S865" s="1022"/>
      <c r="T865" s="418"/>
      <c r="U865" s="418"/>
      <c r="V865" s="418"/>
      <c r="W865" s="418"/>
      <c r="X865" s="418"/>
      <c r="Y865" s="418"/>
      <c r="Z865" s="418"/>
      <c r="AA865" s="418"/>
      <c r="AB865" s="418"/>
      <c r="AC865" s="418"/>
      <c r="AD865" s="418"/>
      <c r="AE865" s="418"/>
      <c r="AF865" s="418"/>
      <c r="AG865" s="418"/>
      <c r="AH865" s="418"/>
      <c r="AI865" s="418"/>
      <c r="AJ865" s="418"/>
      <c r="AK865" s="418"/>
      <c r="AL865" s="418"/>
      <c r="AM865" s="418"/>
      <c r="AN865" s="423"/>
      <c r="AO865" s="423"/>
      <c r="AP865" s="423"/>
      <c r="AQ865" s="423"/>
      <c r="AR865" s="423"/>
      <c r="AS865" s="423"/>
      <c r="AT865" s="423"/>
      <c r="AU865" s="423"/>
      <c r="AV865" s="423"/>
      <c r="AW865" s="418"/>
      <c r="AX865" s="418"/>
      <c r="AY865" s="418"/>
      <c r="AZ865" s="418"/>
      <c r="BA865" s="418"/>
      <c r="BB865" s="306"/>
    </row>
    <row r="866" spans="1:65" s="307" customFormat="1" ht="15.75" customHeight="1">
      <c r="A866" s="415"/>
      <c r="B866" s="417"/>
      <c r="C866" s="417"/>
      <c r="D866" s="418"/>
      <c r="E866" s="418"/>
      <c r="F866" s="419"/>
      <c r="G866" s="420"/>
      <c r="H866" s="421"/>
      <c r="I866" s="425"/>
      <c r="J866" s="422"/>
      <c r="K866" s="418"/>
      <c r="L866" s="418"/>
      <c r="M866" s="418"/>
      <c r="N866" s="421"/>
      <c r="O866" s="421"/>
      <c r="P866" s="421"/>
      <c r="Q866" s="418"/>
      <c r="R866" s="1022"/>
      <c r="S866" s="1022"/>
      <c r="T866" s="418"/>
      <c r="U866" s="418"/>
      <c r="V866" s="418"/>
      <c r="W866" s="418"/>
      <c r="X866" s="418"/>
      <c r="Y866" s="418"/>
      <c r="Z866" s="418"/>
      <c r="AA866" s="418"/>
      <c r="AB866" s="418"/>
      <c r="AC866" s="418"/>
      <c r="AD866" s="418"/>
      <c r="AE866" s="418"/>
      <c r="AF866" s="418"/>
      <c r="AG866" s="418"/>
      <c r="AH866" s="418"/>
      <c r="AI866" s="418"/>
      <c r="AJ866" s="418"/>
      <c r="AK866" s="418"/>
      <c r="AL866" s="418"/>
      <c r="AM866" s="418"/>
      <c r="AN866" s="423"/>
      <c r="AO866" s="423"/>
      <c r="AP866" s="423"/>
      <c r="AQ866" s="423"/>
      <c r="AR866" s="423"/>
      <c r="AS866" s="423"/>
      <c r="AT866" s="423"/>
      <c r="AU866" s="423"/>
      <c r="AV866" s="423"/>
      <c r="AW866" s="418"/>
      <c r="AX866" s="418"/>
      <c r="AY866" s="418"/>
      <c r="AZ866" s="418"/>
      <c r="BA866" s="418"/>
      <c r="BB866" s="306"/>
      <c r="BC866" s="1119"/>
      <c r="BD866" s="1119"/>
      <c r="BH866" s="1119"/>
      <c r="BI866" s="1119"/>
      <c r="BJ866" s="1119"/>
      <c r="BK866" s="1119"/>
      <c r="BL866" s="1119"/>
      <c r="BM866" s="1119"/>
    </row>
    <row r="867" spans="1:65" ht="15.75" customHeight="1">
      <c r="A867" s="415"/>
      <c r="B867" s="417"/>
      <c r="C867" s="417"/>
      <c r="D867" s="418"/>
      <c r="E867" s="418"/>
      <c r="F867" s="419"/>
      <c r="G867" s="420"/>
      <c r="H867" s="421"/>
      <c r="I867" s="425"/>
      <c r="J867" s="422"/>
      <c r="K867" s="418"/>
      <c r="L867" s="418"/>
      <c r="M867" s="418"/>
      <c r="N867" s="421"/>
      <c r="O867" s="421"/>
      <c r="P867" s="421"/>
      <c r="Q867" s="418"/>
      <c r="R867" s="1022"/>
      <c r="S867" s="1022"/>
      <c r="T867" s="418"/>
      <c r="U867" s="418"/>
      <c r="V867" s="418"/>
      <c r="W867" s="418"/>
      <c r="X867" s="418"/>
      <c r="Y867" s="418"/>
      <c r="Z867" s="418"/>
      <c r="AA867" s="418"/>
      <c r="AB867" s="418"/>
      <c r="AC867" s="418"/>
      <c r="AD867" s="418"/>
      <c r="AE867" s="418"/>
      <c r="AF867" s="418"/>
      <c r="AG867" s="418"/>
      <c r="AH867" s="418"/>
      <c r="AI867" s="418"/>
      <c r="AJ867" s="418"/>
      <c r="AK867" s="418"/>
      <c r="AL867" s="418"/>
      <c r="AM867" s="418"/>
      <c r="AN867" s="423"/>
      <c r="AO867" s="423"/>
      <c r="AP867" s="423"/>
      <c r="AQ867" s="423"/>
      <c r="AR867" s="423"/>
      <c r="AS867" s="423"/>
      <c r="AT867" s="423"/>
      <c r="AU867" s="423"/>
      <c r="AV867" s="423"/>
      <c r="AW867" s="418"/>
      <c r="AX867" s="418"/>
      <c r="AY867" s="418"/>
      <c r="AZ867" s="418"/>
      <c r="BA867" s="418"/>
      <c r="BB867" s="306"/>
    </row>
    <row r="868" spans="1:65" ht="15.75" customHeight="1">
      <c r="A868" s="415"/>
      <c r="B868" s="417"/>
      <c r="C868" s="417"/>
      <c r="D868" s="418"/>
      <c r="E868" s="418"/>
      <c r="F868" s="419"/>
      <c r="G868" s="420"/>
      <c r="H868" s="421"/>
      <c r="I868" s="425"/>
      <c r="J868" s="422"/>
      <c r="K868" s="418"/>
      <c r="L868" s="418"/>
      <c r="M868" s="418"/>
      <c r="N868" s="421"/>
      <c r="O868" s="421"/>
      <c r="P868" s="421"/>
      <c r="Q868" s="418"/>
      <c r="R868" s="1022"/>
      <c r="S868" s="1022"/>
      <c r="T868" s="418"/>
      <c r="U868" s="418"/>
      <c r="V868" s="418"/>
      <c r="W868" s="418"/>
      <c r="X868" s="418"/>
      <c r="Y868" s="418"/>
      <c r="Z868" s="418"/>
      <c r="AA868" s="418"/>
      <c r="AB868" s="418"/>
      <c r="AC868" s="418"/>
      <c r="AD868" s="418"/>
      <c r="AE868" s="418"/>
      <c r="AF868" s="418"/>
      <c r="AG868" s="418"/>
      <c r="AH868" s="418"/>
      <c r="AI868" s="418"/>
      <c r="AJ868" s="418"/>
      <c r="AK868" s="418"/>
      <c r="AL868" s="418"/>
      <c r="AM868" s="418"/>
      <c r="AN868" s="423"/>
      <c r="AO868" s="423"/>
      <c r="AP868" s="423"/>
      <c r="AQ868" s="423"/>
      <c r="AR868" s="423"/>
      <c r="AS868" s="423"/>
      <c r="AT868" s="423"/>
      <c r="AU868" s="423"/>
      <c r="AV868" s="423"/>
      <c r="AW868" s="418"/>
      <c r="AX868" s="418"/>
      <c r="AY868" s="418"/>
      <c r="AZ868" s="418"/>
      <c r="BA868" s="418"/>
      <c r="BB868" s="306"/>
    </row>
    <row r="869" spans="1:65" ht="15.75" customHeight="1">
      <c r="A869" s="415"/>
      <c r="B869" s="417"/>
      <c r="C869" s="417"/>
      <c r="D869" s="418"/>
      <c r="E869" s="418"/>
      <c r="F869" s="419"/>
      <c r="G869" s="420"/>
      <c r="H869" s="421"/>
      <c r="I869" s="425"/>
      <c r="J869" s="422"/>
      <c r="K869" s="418"/>
      <c r="L869" s="418"/>
      <c r="M869" s="418"/>
      <c r="N869" s="418"/>
      <c r="O869" s="421"/>
      <c r="P869" s="421"/>
      <c r="Q869" s="418"/>
      <c r="R869" s="1022"/>
      <c r="S869" s="1022"/>
      <c r="T869" s="418"/>
      <c r="U869" s="418"/>
      <c r="V869" s="418"/>
      <c r="W869" s="418"/>
      <c r="X869" s="418"/>
      <c r="Y869" s="418"/>
      <c r="Z869" s="418"/>
      <c r="AA869" s="418"/>
      <c r="AB869" s="418"/>
      <c r="AC869" s="418"/>
      <c r="AD869" s="418"/>
      <c r="AE869" s="418"/>
      <c r="AF869" s="418"/>
      <c r="AG869" s="418"/>
      <c r="AH869" s="418"/>
      <c r="AI869" s="418"/>
      <c r="AJ869" s="418"/>
      <c r="AK869" s="418"/>
      <c r="AL869" s="418"/>
      <c r="AM869" s="418"/>
      <c r="AN869" s="423"/>
      <c r="AO869" s="423"/>
      <c r="AP869" s="423"/>
      <c r="AQ869" s="423"/>
      <c r="AR869" s="423"/>
      <c r="AS869" s="423"/>
      <c r="AT869" s="423"/>
      <c r="AU869" s="423"/>
      <c r="AV869" s="423"/>
      <c r="AW869" s="418"/>
      <c r="AX869" s="418"/>
      <c r="AY869" s="418"/>
      <c r="AZ869" s="418"/>
      <c r="BA869" s="418"/>
      <c r="BB869" s="306"/>
    </row>
    <row r="870" spans="1:65" ht="15.75" customHeight="1">
      <c r="A870" s="415"/>
      <c r="B870" s="417"/>
      <c r="C870" s="417"/>
      <c r="D870" s="418"/>
      <c r="E870" s="418"/>
      <c r="F870" s="419"/>
      <c r="G870" s="420"/>
      <c r="H870" s="421"/>
      <c r="I870" s="421"/>
      <c r="J870" s="422"/>
      <c r="K870" s="418"/>
      <c r="L870" s="418"/>
      <c r="M870" s="418"/>
      <c r="N870" s="421"/>
      <c r="O870" s="421"/>
      <c r="P870" s="421"/>
      <c r="Q870" s="418"/>
      <c r="R870" s="1022"/>
      <c r="S870" s="1022"/>
      <c r="T870" s="418"/>
      <c r="U870" s="418"/>
      <c r="V870" s="418"/>
      <c r="W870" s="418"/>
      <c r="X870" s="418"/>
      <c r="Y870" s="418"/>
      <c r="Z870" s="418"/>
      <c r="AA870" s="418"/>
      <c r="AB870" s="418"/>
      <c r="AC870" s="418"/>
      <c r="AD870" s="418"/>
      <c r="AE870" s="418"/>
      <c r="AF870" s="418"/>
      <c r="AG870" s="418"/>
      <c r="AH870" s="418"/>
      <c r="AI870" s="418"/>
      <c r="AJ870" s="418"/>
      <c r="AK870" s="418"/>
      <c r="AL870" s="418"/>
      <c r="AM870" s="418"/>
      <c r="AN870" s="423"/>
      <c r="AO870" s="423"/>
      <c r="AP870" s="423"/>
      <c r="AQ870" s="423"/>
      <c r="AR870" s="423"/>
      <c r="AS870" s="423"/>
      <c r="AT870" s="423"/>
      <c r="AU870" s="423"/>
      <c r="AV870" s="423"/>
      <c r="AW870" s="418"/>
      <c r="AX870" s="418"/>
      <c r="AY870" s="418"/>
      <c r="AZ870" s="418"/>
      <c r="BA870" s="418"/>
      <c r="BB870" s="306"/>
    </row>
    <row r="871" spans="1:65" ht="15.75" customHeight="1">
      <c r="A871" s="415"/>
      <c r="B871" s="417"/>
      <c r="C871" s="417"/>
      <c r="D871" s="418"/>
      <c r="E871" s="418"/>
      <c r="F871" s="419"/>
      <c r="G871" s="420"/>
      <c r="H871" s="421"/>
      <c r="I871" s="421"/>
      <c r="J871" s="422"/>
      <c r="K871" s="418"/>
      <c r="L871" s="418"/>
      <c r="M871" s="418"/>
      <c r="N871" s="421"/>
      <c r="O871" s="421"/>
      <c r="P871" s="421"/>
      <c r="Q871" s="418"/>
      <c r="R871" s="1022"/>
      <c r="S871" s="1022"/>
      <c r="T871" s="418"/>
      <c r="U871" s="418"/>
      <c r="V871" s="418"/>
      <c r="W871" s="418"/>
      <c r="X871" s="418"/>
      <c r="Y871" s="418"/>
      <c r="Z871" s="418"/>
      <c r="AA871" s="418"/>
      <c r="AB871" s="418"/>
      <c r="AC871" s="418"/>
      <c r="AD871" s="418"/>
      <c r="AE871" s="418"/>
      <c r="AF871" s="418"/>
      <c r="AG871" s="418"/>
      <c r="AH871" s="418"/>
      <c r="AI871" s="418"/>
      <c r="AJ871" s="418"/>
      <c r="AK871" s="418"/>
      <c r="AL871" s="418"/>
      <c r="AM871" s="418"/>
      <c r="AN871" s="423"/>
      <c r="AO871" s="423"/>
      <c r="AP871" s="423"/>
      <c r="AQ871" s="423"/>
      <c r="AR871" s="423"/>
      <c r="AS871" s="423"/>
      <c r="AT871" s="423"/>
      <c r="AU871" s="423"/>
      <c r="AV871" s="423"/>
      <c r="AW871" s="418"/>
      <c r="AX871" s="418"/>
      <c r="AY871" s="418"/>
      <c r="AZ871" s="418"/>
      <c r="BA871" s="418"/>
      <c r="BB871" s="306"/>
    </row>
    <row r="872" spans="1:65" ht="15.75" customHeight="1">
      <c r="A872" s="415"/>
      <c r="B872" s="417"/>
      <c r="C872" s="417"/>
      <c r="D872" s="418"/>
      <c r="E872" s="418"/>
      <c r="F872" s="419"/>
      <c r="G872" s="420"/>
      <c r="H872" s="421"/>
      <c r="I872" s="421"/>
      <c r="J872" s="422"/>
      <c r="K872" s="418"/>
      <c r="L872" s="418"/>
      <c r="M872" s="418"/>
      <c r="N872" s="421"/>
      <c r="O872" s="421"/>
      <c r="P872" s="421"/>
      <c r="Q872" s="418"/>
      <c r="R872" s="1022"/>
      <c r="S872" s="1022"/>
      <c r="T872" s="418"/>
      <c r="U872" s="418"/>
      <c r="V872" s="418"/>
      <c r="W872" s="418"/>
      <c r="X872" s="418"/>
      <c r="Y872" s="418"/>
      <c r="Z872" s="418"/>
      <c r="AA872" s="418"/>
      <c r="AB872" s="418"/>
      <c r="AC872" s="418"/>
      <c r="AD872" s="418"/>
      <c r="AE872" s="418"/>
      <c r="AF872" s="418"/>
      <c r="AG872" s="418"/>
      <c r="AH872" s="418"/>
      <c r="AI872" s="418"/>
      <c r="AJ872" s="418"/>
      <c r="AK872" s="418"/>
      <c r="AL872" s="418"/>
      <c r="AM872" s="418"/>
      <c r="AN872" s="423"/>
      <c r="AO872" s="423"/>
      <c r="AP872" s="423"/>
      <c r="AQ872" s="423"/>
      <c r="AR872" s="423"/>
      <c r="AS872" s="423"/>
      <c r="AT872" s="423"/>
      <c r="AU872" s="423"/>
      <c r="AV872" s="423"/>
      <c r="AW872" s="418"/>
      <c r="AX872" s="418"/>
      <c r="AY872" s="418"/>
      <c r="AZ872" s="418"/>
      <c r="BA872" s="418"/>
      <c r="BB872" s="306"/>
    </row>
    <row r="873" spans="1:65" ht="15.75" customHeight="1">
      <c r="A873" s="415"/>
      <c r="B873" s="417"/>
      <c r="C873" s="417"/>
      <c r="D873" s="418"/>
      <c r="E873" s="418"/>
      <c r="F873" s="419"/>
      <c r="G873" s="420"/>
      <c r="H873" s="421"/>
      <c r="I873" s="421"/>
      <c r="J873" s="422"/>
      <c r="K873" s="418"/>
      <c r="L873" s="418"/>
      <c r="M873" s="418"/>
      <c r="N873" s="421"/>
      <c r="O873" s="421"/>
      <c r="P873" s="421"/>
      <c r="Q873" s="418"/>
      <c r="R873" s="1022"/>
      <c r="S873" s="1022"/>
      <c r="T873" s="418"/>
      <c r="U873" s="418"/>
      <c r="V873" s="418"/>
      <c r="W873" s="418"/>
      <c r="X873" s="418"/>
      <c r="Y873" s="418"/>
      <c r="Z873" s="418"/>
      <c r="AA873" s="418"/>
      <c r="AB873" s="418"/>
      <c r="AC873" s="418"/>
      <c r="AD873" s="418"/>
      <c r="AE873" s="418"/>
      <c r="AF873" s="418"/>
      <c r="AG873" s="418"/>
      <c r="AH873" s="418"/>
      <c r="AI873" s="418"/>
      <c r="AJ873" s="418"/>
      <c r="AK873" s="418"/>
      <c r="AL873" s="418"/>
      <c r="AM873" s="418"/>
      <c r="AN873" s="423"/>
      <c r="AO873" s="423"/>
      <c r="AP873" s="423"/>
      <c r="AQ873" s="423"/>
      <c r="AR873" s="423"/>
      <c r="AS873" s="423"/>
      <c r="AT873" s="423"/>
      <c r="AU873" s="423"/>
      <c r="AV873" s="423"/>
      <c r="AW873" s="418"/>
      <c r="AX873" s="418"/>
      <c r="AY873" s="418"/>
      <c r="AZ873" s="418"/>
      <c r="BA873" s="418"/>
      <c r="BB873" s="306"/>
    </row>
    <row r="874" spans="1:65" ht="15.75" customHeight="1">
      <c r="A874" s="415"/>
      <c r="B874" s="417"/>
      <c r="C874" s="417"/>
      <c r="D874" s="418"/>
      <c r="E874" s="418"/>
      <c r="F874" s="419"/>
      <c r="G874" s="420"/>
      <c r="H874" s="421"/>
      <c r="I874" s="421"/>
      <c r="J874" s="422"/>
      <c r="K874" s="418"/>
      <c r="L874" s="418"/>
      <c r="M874" s="418"/>
      <c r="N874" s="421"/>
      <c r="O874" s="421"/>
      <c r="P874" s="421"/>
      <c r="Q874" s="418"/>
      <c r="R874" s="1022"/>
      <c r="S874" s="1022"/>
      <c r="T874" s="418"/>
      <c r="U874" s="418"/>
      <c r="V874" s="418"/>
      <c r="W874" s="418"/>
      <c r="X874" s="418"/>
      <c r="Y874" s="418"/>
      <c r="Z874" s="418"/>
      <c r="AA874" s="418"/>
      <c r="AB874" s="418"/>
      <c r="AC874" s="418"/>
      <c r="AD874" s="418"/>
      <c r="AE874" s="418"/>
      <c r="AF874" s="418"/>
      <c r="AG874" s="418"/>
      <c r="AH874" s="418"/>
      <c r="AI874" s="418"/>
      <c r="AJ874" s="418"/>
      <c r="AK874" s="418"/>
      <c r="AL874" s="418"/>
      <c r="AM874" s="418"/>
      <c r="AN874" s="423"/>
      <c r="AO874" s="423"/>
      <c r="AP874" s="423"/>
      <c r="AQ874" s="423"/>
      <c r="AR874" s="423"/>
      <c r="AS874" s="423"/>
      <c r="AT874" s="423"/>
      <c r="AU874" s="423"/>
      <c r="AV874" s="423"/>
      <c r="AW874" s="418"/>
      <c r="AX874" s="418"/>
      <c r="AY874" s="418"/>
      <c r="AZ874" s="418"/>
      <c r="BA874" s="418"/>
      <c r="BB874" s="306"/>
    </row>
    <row r="875" spans="1:65" ht="15.75" customHeight="1">
      <c r="A875" s="415"/>
      <c r="B875" s="417"/>
      <c r="C875" s="417"/>
      <c r="D875" s="418"/>
      <c r="E875" s="418"/>
      <c r="F875" s="419"/>
      <c r="G875" s="420"/>
      <c r="H875" s="421"/>
      <c r="I875" s="421"/>
      <c r="J875" s="422"/>
      <c r="K875" s="418"/>
      <c r="L875" s="418"/>
      <c r="M875" s="418"/>
      <c r="N875" s="421"/>
      <c r="O875" s="421"/>
      <c r="P875" s="421"/>
      <c r="Q875" s="418"/>
      <c r="R875" s="1022"/>
      <c r="S875" s="1022"/>
      <c r="T875" s="418"/>
      <c r="U875" s="418"/>
      <c r="V875" s="418"/>
      <c r="W875" s="418"/>
      <c r="X875" s="418"/>
      <c r="Y875" s="418"/>
      <c r="Z875" s="418"/>
      <c r="AA875" s="418"/>
      <c r="AB875" s="418"/>
      <c r="AC875" s="418"/>
      <c r="AD875" s="418"/>
      <c r="AE875" s="418"/>
      <c r="AF875" s="418"/>
      <c r="AG875" s="418"/>
      <c r="AH875" s="418"/>
      <c r="AI875" s="418"/>
      <c r="AJ875" s="418"/>
      <c r="AK875" s="418"/>
      <c r="AL875" s="418"/>
      <c r="AM875" s="418"/>
      <c r="AN875" s="423"/>
      <c r="AO875" s="423"/>
      <c r="AP875" s="423"/>
      <c r="AQ875" s="423"/>
      <c r="AR875" s="423"/>
      <c r="AS875" s="423"/>
      <c r="AT875" s="423"/>
      <c r="AU875" s="423"/>
      <c r="AV875" s="423"/>
      <c r="AW875" s="418"/>
      <c r="AX875" s="418"/>
      <c r="AY875" s="418"/>
      <c r="AZ875" s="418"/>
      <c r="BA875" s="418"/>
      <c r="BB875" s="306"/>
    </row>
    <row r="876" spans="1:65" ht="15.75" customHeight="1">
      <c r="A876" s="415"/>
      <c r="B876" s="417"/>
      <c r="C876" s="417"/>
      <c r="D876" s="418"/>
      <c r="E876" s="418"/>
      <c r="F876" s="419"/>
      <c r="G876" s="420"/>
      <c r="H876" s="421"/>
      <c r="I876" s="421"/>
      <c r="J876" s="422"/>
      <c r="K876" s="418"/>
      <c r="L876" s="418"/>
      <c r="M876" s="418"/>
      <c r="N876" s="421"/>
      <c r="O876" s="421"/>
      <c r="P876" s="421"/>
      <c r="Q876" s="418"/>
      <c r="R876" s="1022"/>
      <c r="S876" s="1022"/>
      <c r="T876" s="418"/>
      <c r="U876" s="418"/>
      <c r="V876" s="418"/>
      <c r="W876" s="418"/>
      <c r="X876" s="418"/>
      <c r="Y876" s="418"/>
      <c r="Z876" s="418"/>
      <c r="AA876" s="418"/>
      <c r="AB876" s="418"/>
      <c r="AC876" s="418"/>
      <c r="AD876" s="418"/>
      <c r="AE876" s="418"/>
      <c r="AF876" s="418"/>
      <c r="AG876" s="418"/>
      <c r="AH876" s="418"/>
      <c r="AI876" s="418"/>
      <c r="AJ876" s="418"/>
      <c r="AK876" s="418"/>
      <c r="AL876" s="418"/>
      <c r="AM876" s="418"/>
      <c r="AN876" s="423"/>
      <c r="AO876" s="423"/>
      <c r="AP876" s="423"/>
      <c r="AQ876" s="423"/>
      <c r="AR876" s="423"/>
      <c r="AS876" s="423"/>
      <c r="AT876" s="423"/>
      <c r="AU876" s="423"/>
      <c r="AV876" s="423"/>
      <c r="AW876" s="418"/>
      <c r="AX876" s="418"/>
      <c r="AY876" s="418"/>
      <c r="AZ876" s="418"/>
      <c r="BA876" s="418"/>
      <c r="BB876" s="306"/>
    </row>
    <row r="877" spans="1:65" ht="15.75" customHeight="1">
      <c r="A877" s="415"/>
      <c r="B877" s="417"/>
      <c r="C877" s="417"/>
      <c r="D877" s="418"/>
      <c r="E877" s="418"/>
      <c r="F877" s="419"/>
      <c r="G877" s="420"/>
      <c r="H877" s="421"/>
      <c r="I877" s="425"/>
      <c r="J877" s="422"/>
      <c r="K877" s="418"/>
      <c r="L877" s="418"/>
      <c r="M877" s="418"/>
      <c r="N877" s="421"/>
      <c r="O877" s="421"/>
      <c r="P877" s="421"/>
      <c r="Q877" s="418"/>
      <c r="R877" s="1022"/>
      <c r="S877" s="1022"/>
      <c r="T877" s="418"/>
      <c r="U877" s="418"/>
      <c r="V877" s="418"/>
      <c r="W877" s="418"/>
      <c r="X877" s="418"/>
      <c r="Y877" s="418"/>
      <c r="Z877" s="418"/>
      <c r="AA877" s="418"/>
      <c r="AB877" s="418"/>
      <c r="AC877" s="418"/>
      <c r="AD877" s="418"/>
      <c r="AE877" s="418"/>
      <c r="AF877" s="418"/>
      <c r="AG877" s="418"/>
      <c r="AH877" s="418"/>
      <c r="AI877" s="418"/>
      <c r="AJ877" s="418"/>
      <c r="AK877" s="418"/>
      <c r="AL877" s="418"/>
      <c r="AM877" s="418"/>
      <c r="AN877" s="423"/>
      <c r="AO877" s="423"/>
      <c r="AP877" s="423"/>
      <c r="AQ877" s="423"/>
      <c r="AR877" s="423"/>
      <c r="AS877" s="423"/>
      <c r="AT877" s="423"/>
      <c r="AU877" s="423"/>
      <c r="AV877" s="423"/>
      <c r="AW877" s="418"/>
      <c r="AX877" s="418"/>
      <c r="AY877" s="418"/>
      <c r="AZ877" s="418"/>
      <c r="BA877" s="418"/>
      <c r="BB877" s="306"/>
    </row>
    <row r="878" spans="1:65" ht="15.75" customHeight="1">
      <c r="A878" s="415"/>
      <c r="B878" s="417"/>
      <c r="C878" s="417"/>
      <c r="D878" s="418"/>
      <c r="E878" s="418"/>
      <c r="F878" s="419"/>
      <c r="G878" s="420"/>
      <c r="H878" s="421"/>
      <c r="I878" s="425"/>
      <c r="J878" s="422"/>
      <c r="K878" s="418"/>
      <c r="L878" s="418"/>
      <c r="M878" s="418"/>
      <c r="N878" s="421"/>
      <c r="O878" s="421"/>
      <c r="P878" s="421"/>
      <c r="Q878" s="418"/>
      <c r="R878" s="1022"/>
      <c r="S878" s="1022"/>
      <c r="T878" s="418"/>
      <c r="U878" s="418"/>
      <c r="V878" s="418"/>
      <c r="W878" s="418"/>
      <c r="X878" s="418"/>
      <c r="Y878" s="418"/>
      <c r="Z878" s="418"/>
      <c r="AA878" s="418"/>
      <c r="AB878" s="418"/>
      <c r="AC878" s="418"/>
      <c r="AD878" s="418"/>
      <c r="AE878" s="418"/>
      <c r="AF878" s="418"/>
      <c r="AG878" s="418"/>
      <c r="AH878" s="418"/>
      <c r="AI878" s="418"/>
      <c r="AJ878" s="418"/>
      <c r="AK878" s="418"/>
      <c r="AL878" s="418"/>
      <c r="AM878" s="418"/>
      <c r="AN878" s="423"/>
      <c r="AO878" s="423"/>
      <c r="AP878" s="423"/>
      <c r="AQ878" s="423"/>
      <c r="AR878" s="423"/>
      <c r="AS878" s="423"/>
      <c r="AT878" s="423"/>
      <c r="AU878" s="423"/>
      <c r="AV878" s="423"/>
      <c r="AW878" s="418"/>
      <c r="AX878" s="418"/>
      <c r="AY878" s="418"/>
      <c r="AZ878" s="418"/>
      <c r="BA878" s="418"/>
      <c r="BB878" s="306"/>
    </row>
    <row r="879" spans="1:65" ht="15.75" customHeight="1">
      <c r="A879" s="415"/>
      <c r="B879" s="417"/>
      <c r="C879" s="417"/>
      <c r="D879" s="418"/>
      <c r="E879" s="418"/>
      <c r="F879" s="419"/>
      <c r="G879" s="420"/>
      <c r="H879" s="421"/>
      <c r="I879" s="425"/>
      <c r="J879" s="422"/>
      <c r="K879" s="418"/>
      <c r="L879" s="418"/>
      <c r="M879" s="418"/>
      <c r="N879" s="421"/>
      <c r="O879" s="421"/>
      <c r="P879" s="421"/>
      <c r="Q879" s="418"/>
      <c r="R879" s="1022"/>
      <c r="S879" s="1022"/>
      <c r="T879" s="418"/>
      <c r="U879" s="418"/>
      <c r="V879" s="418"/>
      <c r="W879" s="418"/>
      <c r="X879" s="418"/>
      <c r="Y879" s="418"/>
      <c r="Z879" s="418"/>
      <c r="AA879" s="418"/>
      <c r="AB879" s="418"/>
      <c r="AC879" s="418"/>
      <c r="AD879" s="418"/>
      <c r="AE879" s="418"/>
      <c r="AF879" s="418"/>
      <c r="AG879" s="418"/>
      <c r="AH879" s="418"/>
      <c r="AI879" s="418"/>
      <c r="AJ879" s="418"/>
      <c r="AK879" s="418"/>
      <c r="AL879" s="418"/>
      <c r="AM879" s="418"/>
      <c r="AN879" s="423"/>
      <c r="AO879" s="423"/>
      <c r="AP879" s="423"/>
      <c r="AQ879" s="423"/>
      <c r="AR879" s="423"/>
      <c r="AS879" s="423"/>
      <c r="AT879" s="423"/>
      <c r="AU879" s="423"/>
      <c r="AV879" s="423"/>
      <c r="AW879" s="418"/>
      <c r="AX879" s="418"/>
      <c r="AY879" s="418"/>
      <c r="AZ879" s="418"/>
      <c r="BA879" s="418"/>
      <c r="BB879" s="306"/>
    </row>
    <row r="880" spans="1:65" ht="15.75" customHeight="1">
      <c r="A880" s="415"/>
      <c r="B880" s="417"/>
      <c r="C880" s="417"/>
      <c r="D880" s="418"/>
      <c r="E880" s="418"/>
      <c r="F880" s="419"/>
      <c r="G880" s="420"/>
      <c r="H880" s="421"/>
      <c r="I880" s="421"/>
      <c r="J880" s="422"/>
      <c r="K880" s="418"/>
      <c r="L880" s="418"/>
      <c r="M880" s="418"/>
      <c r="N880" s="421"/>
      <c r="O880" s="421"/>
      <c r="P880" s="421"/>
      <c r="Q880" s="418"/>
      <c r="R880" s="1022"/>
      <c r="S880" s="1022"/>
      <c r="T880" s="418"/>
      <c r="U880" s="418"/>
      <c r="V880" s="418"/>
      <c r="W880" s="418"/>
      <c r="X880" s="418"/>
      <c r="Y880" s="418"/>
      <c r="Z880" s="418"/>
      <c r="AA880" s="418"/>
      <c r="AB880" s="418"/>
      <c r="AC880" s="418"/>
      <c r="AD880" s="418"/>
      <c r="AE880" s="418"/>
      <c r="AF880" s="418"/>
      <c r="AG880" s="418"/>
      <c r="AH880" s="418"/>
      <c r="AI880" s="418"/>
      <c r="AJ880" s="418"/>
      <c r="AK880" s="418"/>
      <c r="AL880" s="418"/>
      <c r="AM880" s="418"/>
      <c r="AN880" s="423"/>
      <c r="AO880" s="423"/>
      <c r="AP880" s="423"/>
      <c r="AQ880" s="423"/>
      <c r="AR880" s="423"/>
      <c r="AS880" s="423"/>
      <c r="AT880" s="423"/>
      <c r="AU880" s="423"/>
      <c r="AV880" s="423"/>
      <c r="AW880" s="418"/>
      <c r="AX880" s="418"/>
      <c r="AY880" s="418"/>
      <c r="AZ880" s="418"/>
      <c r="BA880" s="418"/>
      <c r="BB880" s="306"/>
    </row>
    <row r="881" spans="1:54" ht="15.75" customHeight="1">
      <c r="A881" s="415"/>
      <c r="B881" s="417"/>
      <c r="C881" s="417"/>
      <c r="D881" s="418"/>
      <c r="E881" s="418"/>
      <c r="F881" s="419"/>
      <c r="G881" s="420"/>
      <c r="H881" s="421"/>
      <c r="I881" s="425"/>
      <c r="J881" s="422"/>
      <c r="K881" s="418"/>
      <c r="L881" s="418"/>
      <c r="M881" s="418"/>
      <c r="N881" s="421"/>
      <c r="O881" s="421"/>
      <c r="P881" s="421"/>
      <c r="Q881" s="418"/>
      <c r="R881" s="1022"/>
      <c r="S881" s="1022"/>
      <c r="T881" s="418"/>
      <c r="U881" s="418"/>
      <c r="V881" s="418"/>
      <c r="W881" s="418"/>
      <c r="X881" s="418"/>
      <c r="Y881" s="418"/>
      <c r="Z881" s="418"/>
      <c r="AA881" s="418"/>
      <c r="AB881" s="418"/>
      <c r="AC881" s="418"/>
      <c r="AD881" s="418"/>
      <c r="AE881" s="418"/>
      <c r="AF881" s="418"/>
      <c r="AG881" s="418"/>
      <c r="AH881" s="418"/>
      <c r="AI881" s="418"/>
      <c r="AJ881" s="418"/>
      <c r="AK881" s="418"/>
      <c r="AL881" s="418"/>
      <c r="AM881" s="418"/>
      <c r="AN881" s="423"/>
      <c r="AO881" s="423"/>
      <c r="AP881" s="423"/>
      <c r="AQ881" s="423"/>
      <c r="AR881" s="423"/>
      <c r="AS881" s="423"/>
      <c r="AT881" s="423"/>
      <c r="AU881" s="423"/>
      <c r="AV881" s="423"/>
      <c r="AW881" s="418"/>
      <c r="AX881" s="418"/>
      <c r="AY881" s="418"/>
      <c r="AZ881" s="418"/>
      <c r="BA881" s="418"/>
      <c r="BB881" s="306"/>
    </row>
    <row r="882" spans="1:54" ht="15.75" customHeight="1">
      <c r="A882" s="415"/>
      <c r="B882" s="417"/>
      <c r="C882" s="417"/>
      <c r="D882" s="418"/>
      <c r="E882" s="418"/>
      <c r="F882" s="419"/>
      <c r="G882" s="420"/>
      <c r="H882" s="421"/>
      <c r="I882" s="421"/>
      <c r="J882" s="422"/>
      <c r="K882" s="418"/>
      <c r="L882" s="418"/>
      <c r="M882" s="418"/>
      <c r="N882" s="421"/>
      <c r="O882" s="421"/>
      <c r="P882" s="421"/>
      <c r="Q882" s="418"/>
      <c r="R882" s="1022"/>
      <c r="S882" s="1022"/>
      <c r="T882" s="418"/>
      <c r="U882" s="418"/>
      <c r="V882" s="418"/>
      <c r="W882" s="418"/>
      <c r="X882" s="418"/>
      <c r="Y882" s="418"/>
      <c r="Z882" s="418"/>
      <c r="AA882" s="418"/>
      <c r="AB882" s="418"/>
      <c r="AC882" s="418"/>
      <c r="AD882" s="418"/>
      <c r="AE882" s="418"/>
      <c r="AF882" s="418"/>
      <c r="AG882" s="418"/>
      <c r="AH882" s="418"/>
      <c r="AI882" s="418"/>
      <c r="AJ882" s="418"/>
      <c r="AK882" s="418"/>
      <c r="AL882" s="418"/>
      <c r="AM882" s="418"/>
      <c r="AN882" s="423"/>
      <c r="AO882" s="423"/>
      <c r="AP882" s="423"/>
      <c r="AQ882" s="423"/>
      <c r="AR882" s="423"/>
      <c r="AS882" s="423"/>
      <c r="AT882" s="423"/>
      <c r="AU882" s="423"/>
      <c r="AV882" s="423"/>
      <c r="AW882" s="418"/>
      <c r="AX882" s="418"/>
      <c r="AY882" s="418"/>
      <c r="AZ882" s="418"/>
      <c r="BA882" s="418"/>
      <c r="BB882" s="306"/>
    </row>
    <row r="883" spans="1:54" ht="15.75" customHeight="1">
      <c r="A883" s="415"/>
      <c r="B883" s="417"/>
      <c r="C883" s="417"/>
      <c r="D883" s="418"/>
      <c r="E883" s="418"/>
      <c r="F883" s="419"/>
      <c r="G883" s="420"/>
      <c r="H883" s="421"/>
      <c r="I883" s="425"/>
      <c r="J883" s="422"/>
      <c r="K883" s="418"/>
      <c r="L883" s="418"/>
      <c r="M883" s="418"/>
      <c r="N883" s="421"/>
      <c r="O883" s="421"/>
      <c r="P883" s="421"/>
      <c r="Q883" s="418"/>
      <c r="R883" s="1022"/>
      <c r="S883" s="1022"/>
      <c r="T883" s="418"/>
      <c r="U883" s="418"/>
      <c r="V883" s="418"/>
      <c r="W883" s="418"/>
      <c r="X883" s="418"/>
      <c r="Y883" s="418"/>
      <c r="Z883" s="418"/>
      <c r="AA883" s="418"/>
      <c r="AB883" s="418"/>
      <c r="AC883" s="418"/>
      <c r="AD883" s="418"/>
      <c r="AE883" s="418"/>
      <c r="AF883" s="418"/>
      <c r="AG883" s="418"/>
      <c r="AH883" s="418"/>
      <c r="AI883" s="418"/>
      <c r="AJ883" s="418"/>
      <c r="AK883" s="418"/>
      <c r="AL883" s="418"/>
      <c r="AM883" s="418"/>
      <c r="AN883" s="423"/>
      <c r="AO883" s="423"/>
      <c r="AP883" s="423"/>
      <c r="AQ883" s="423"/>
      <c r="AR883" s="423"/>
      <c r="AS883" s="423"/>
      <c r="AT883" s="423"/>
      <c r="AU883" s="423"/>
      <c r="AV883" s="423"/>
      <c r="AW883" s="418"/>
      <c r="AX883" s="418"/>
      <c r="AY883" s="418"/>
      <c r="AZ883" s="418"/>
      <c r="BA883" s="418"/>
      <c r="BB883" s="306"/>
    </row>
    <row r="884" spans="1:54" ht="15.75" customHeight="1">
      <c r="A884" s="415"/>
      <c r="B884" s="417"/>
      <c r="C884" s="417"/>
      <c r="D884" s="418"/>
      <c r="E884" s="418"/>
      <c r="F884" s="419"/>
      <c r="G884" s="420"/>
      <c r="H884" s="421"/>
      <c r="I884" s="421"/>
      <c r="J884" s="422"/>
      <c r="K884" s="418"/>
      <c r="L884" s="418"/>
      <c r="M884" s="418"/>
      <c r="N884" s="421"/>
      <c r="O884" s="421"/>
      <c r="P884" s="421"/>
      <c r="Q884" s="418"/>
      <c r="R884" s="1022"/>
      <c r="S884" s="1022"/>
      <c r="T884" s="418"/>
      <c r="U884" s="418"/>
      <c r="V884" s="418"/>
      <c r="W884" s="418"/>
      <c r="X884" s="418"/>
      <c r="Y884" s="418"/>
      <c r="Z884" s="418"/>
      <c r="AA884" s="418"/>
      <c r="AB884" s="418"/>
      <c r="AC884" s="418"/>
      <c r="AD884" s="418"/>
      <c r="AE884" s="418"/>
      <c r="AF884" s="418"/>
      <c r="AG884" s="418"/>
      <c r="AH884" s="418"/>
      <c r="AI884" s="418"/>
      <c r="AJ884" s="418"/>
      <c r="AK884" s="418"/>
      <c r="AL884" s="418"/>
      <c r="AM884" s="418"/>
      <c r="AN884" s="423"/>
      <c r="AO884" s="423"/>
      <c r="AP884" s="423"/>
      <c r="AQ884" s="423"/>
      <c r="AR884" s="423"/>
      <c r="AS884" s="423"/>
      <c r="AT884" s="423"/>
      <c r="AU884" s="423"/>
      <c r="AV884" s="423"/>
      <c r="AW884" s="418"/>
      <c r="AX884" s="418"/>
      <c r="AY884" s="418"/>
      <c r="AZ884" s="418"/>
      <c r="BA884" s="418"/>
      <c r="BB884" s="306"/>
    </row>
    <row r="885" spans="1:54" ht="15.75" customHeight="1">
      <c r="A885" s="415"/>
      <c r="B885" s="417"/>
      <c r="C885" s="417"/>
      <c r="D885" s="418"/>
      <c r="E885" s="418"/>
      <c r="F885" s="419"/>
      <c r="G885" s="420"/>
      <c r="H885" s="421"/>
      <c r="I885" s="421"/>
      <c r="J885" s="422"/>
      <c r="K885" s="418"/>
      <c r="L885" s="418"/>
      <c r="M885" s="418"/>
      <c r="N885" s="421"/>
      <c r="O885" s="421"/>
      <c r="P885" s="421"/>
      <c r="Q885" s="418"/>
      <c r="R885" s="1022"/>
      <c r="S885" s="1022"/>
      <c r="T885" s="418"/>
      <c r="U885" s="418"/>
      <c r="V885" s="418"/>
      <c r="W885" s="418"/>
      <c r="X885" s="418"/>
      <c r="Y885" s="418"/>
      <c r="Z885" s="418"/>
      <c r="AA885" s="418"/>
      <c r="AB885" s="418"/>
      <c r="AC885" s="418"/>
      <c r="AD885" s="418"/>
      <c r="AE885" s="418"/>
      <c r="AF885" s="418"/>
      <c r="AG885" s="418"/>
      <c r="AH885" s="418"/>
      <c r="AI885" s="418"/>
      <c r="AJ885" s="418"/>
      <c r="AK885" s="418"/>
      <c r="AL885" s="418"/>
      <c r="AM885" s="418"/>
      <c r="AN885" s="423"/>
      <c r="AO885" s="423"/>
      <c r="AP885" s="423"/>
      <c r="AQ885" s="423"/>
      <c r="AR885" s="423"/>
      <c r="AS885" s="423"/>
      <c r="AT885" s="423"/>
      <c r="AU885" s="423"/>
      <c r="AV885" s="423"/>
      <c r="AW885" s="418"/>
      <c r="AX885" s="418"/>
      <c r="AY885" s="418"/>
      <c r="AZ885" s="418"/>
      <c r="BA885" s="418"/>
      <c r="BB885" s="306"/>
    </row>
    <row r="886" spans="1:54" ht="15.75" customHeight="1">
      <c r="A886" s="415"/>
      <c r="B886" s="417"/>
      <c r="C886" s="417"/>
      <c r="D886" s="418"/>
      <c r="E886" s="418"/>
      <c r="F886" s="419"/>
      <c r="G886" s="420"/>
      <c r="H886" s="421"/>
      <c r="I886" s="421"/>
      <c r="J886" s="422"/>
      <c r="K886" s="418"/>
      <c r="L886" s="418"/>
      <c r="M886" s="418"/>
      <c r="N886" s="421"/>
      <c r="O886" s="421"/>
      <c r="P886" s="421"/>
      <c r="Q886" s="418"/>
      <c r="R886" s="1022"/>
      <c r="S886" s="1022"/>
      <c r="T886" s="418"/>
      <c r="U886" s="418"/>
      <c r="V886" s="418"/>
      <c r="W886" s="418"/>
      <c r="X886" s="418"/>
      <c r="Y886" s="418"/>
      <c r="Z886" s="418"/>
      <c r="AA886" s="418"/>
      <c r="AB886" s="418"/>
      <c r="AC886" s="418"/>
      <c r="AD886" s="418"/>
      <c r="AE886" s="418"/>
      <c r="AF886" s="418"/>
      <c r="AG886" s="418"/>
      <c r="AH886" s="418"/>
      <c r="AI886" s="418"/>
      <c r="AJ886" s="418"/>
      <c r="AK886" s="418"/>
      <c r="AL886" s="418"/>
      <c r="AM886" s="418"/>
      <c r="AN886" s="423"/>
      <c r="AO886" s="423"/>
      <c r="AP886" s="423"/>
      <c r="AQ886" s="423"/>
      <c r="AR886" s="423"/>
      <c r="AS886" s="423"/>
      <c r="AT886" s="423"/>
      <c r="AU886" s="423"/>
      <c r="AV886" s="423"/>
      <c r="AW886" s="418"/>
      <c r="AX886" s="418"/>
      <c r="AY886" s="418"/>
      <c r="AZ886" s="418"/>
      <c r="BA886" s="418"/>
      <c r="BB886" s="306"/>
    </row>
    <row r="887" spans="1:54" ht="15.75" customHeight="1">
      <c r="A887" s="415"/>
      <c r="B887" s="417"/>
      <c r="C887" s="417"/>
      <c r="D887" s="418"/>
      <c r="E887" s="418"/>
      <c r="F887" s="419"/>
      <c r="G887" s="420"/>
      <c r="H887" s="421"/>
      <c r="I887" s="421"/>
      <c r="J887" s="422"/>
      <c r="K887" s="418"/>
      <c r="L887" s="418"/>
      <c r="M887" s="418"/>
      <c r="N887" s="421"/>
      <c r="O887" s="421"/>
      <c r="P887" s="421"/>
      <c r="Q887" s="418"/>
      <c r="R887" s="1022"/>
      <c r="S887" s="1022"/>
      <c r="T887" s="418"/>
      <c r="U887" s="418"/>
      <c r="V887" s="418"/>
      <c r="W887" s="418"/>
      <c r="X887" s="418"/>
      <c r="Y887" s="418"/>
      <c r="Z887" s="418"/>
      <c r="AA887" s="418"/>
      <c r="AB887" s="418"/>
      <c r="AC887" s="418"/>
      <c r="AD887" s="418"/>
      <c r="AE887" s="418"/>
      <c r="AF887" s="418"/>
      <c r="AG887" s="418"/>
      <c r="AH887" s="418"/>
      <c r="AI887" s="418"/>
      <c r="AJ887" s="418"/>
      <c r="AK887" s="418"/>
      <c r="AL887" s="418"/>
      <c r="AM887" s="418"/>
      <c r="AN887" s="423"/>
      <c r="AO887" s="423"/>
      <c r="AP887" s="423"/>
      <c r="AQ887" s="423"/>
      <c r="AR887" s="423"/>
      <c r="AS887" s="423"/>
      <c r="AT887" s="423"/>
      <c r="AU887" s="423"/>
      <c r="AV887" s="423"/>
      <c r="AW887" s="418"/>
      <c r="AX887" s="418"/>
      <c r="AY887" s="418"/>
      <c r="AZ887" s="418"/>
      <c r="BA887" s="418"/>
      <c r="BB887" s="306"/>
    </row>
    <row r="888" spans="1:54" ht="15.75" customHeight="1">
      <c r="A888" s="415"/>
      <c r="B888" s="417"/>
      <c r="C888" s="417"/>
      <c r="D888" s="418"/>
      <c r="E888" s="418"/>
      <c r="F888" s="419"/>
      <c r="G888" s="420"/>
      <c r="H888" s="421"/>
      <c r="I888" s="421"/>
      <c r="J888" s="422"/>
      <c r="K888" s="418"/>
      <c r="L888" s="418"/>
      <c r="M888" s="418"/>
      <c r="N888" s="421"/>
      <c r="O888" s="421"/>
      <c r="P888" s="421"/>
      <c r="Q888" s="418"/>
      <c r="R888" s="1022"/>
      <c r="S888" s="1022"/>
      <c r="T888" s="418"/>
      <c r="U888" s="418"/>
      <c r="V888" s="418"/>
      <c r="W888" s="418"/>
      <c r="X888" s="418"/>
      <c r="Y888" s="418"/>
      <c r="Z888" s="418"/>
      <c r="AA888" s="418"/>
      <c r="AB888" s="418"/>
      <c r="AC888" s="418"/>
      <c r="AD888" s="418"/>
      <c r="AE888" s="418"/>
      <c r="AF888" s="418"/>
      <c r="AG888" s="418"/>
      <c r="AH888" s="418"/>
      <c r="AI888" s="418"/>
      <c r="AJ888" s="418"/>
      <c r="AK888" s="418"/>
      <c r="AL888" s="418"/>
      <c r="AM888" s="418"/>
      <c r="AN888" s="423"/>
      <c r="AO888" s="423"/>
      <c r="AP888" s="423"/>
      <c r="AQ888" s="423"/>
      <c r="AR888" s="423"/>
      <c r="AS888" s="423"/>
      <c r="AT888" s="423"/>
      <c r="AU888" s="423"/>
      <c r="AV888" s="423"/>
      <c r="AW888" s="418"/>
      <c r="AX888" s="418"/>
      <c r="AY888" s="418"/>
      <c r="AZ888" s="418"/>
      <c r="BA888" s="418"/>
      <c r="BB888" s="306"/>
    </row>
    <row r="889" spans="1:54" ht="15.75" customHeight="1">
      <c r="A889" s="415"/>
      <c r="B889" s="417"/>
      <c r="C889" s="417"/>
      <c r="D889" s="418"/>
      <c r="E889" s="418"/>
      <c r="F889" s="419"/>
      <c r="G889" s="420"/>
      <c r="H889" s="421"/>
      <c r="I889" s="421"/>
      <c r="J889" s="422"/>
      <c r="K889" s="418"/>
      <c r="L889" s="418"/>
      <c r="M889" s="418"/>
      <c r="N889" s="421"/>
      <c r="O889" s="421"/>
      <c r="P889" s="421"/>
      <c r="Q889" s="418"/>
      <c r="R889" s="1022"/>
      <c r="S889" s="1022"/>
      <c r="T889" s="418"/>
      <c r="U889" s="418"/>
      <c r="V889" s="418"/>
      <c r="W889" s="418"/>
      <c r="X889" s="418"/>
      <c r="Y889" s="418"/>
      <c r="Z889" s="418"/>
      <c r="AA889" s="418"/>
      <c r="AB889" s="418"/>
      <c r="AC889" s="418"/>
      <c r="AD889" s="418"/>
      <c r="AE889" s="418"/>
      <c r="AF889" s="418"/>
      <c r="AG889" s="418"/>
      <c r="AH889" s="418"/>
      <c r="AI889" s="418"/>
      <c r="AJ889" s="418"/>
      <c r="AK889" s="418"/>
      <c r="AL889" s="418"/>
      <c r="AM889" s="418"/>
      <c r="AN889" s="423"/>
      <c r="AO889" s="423"/>
      <c r="AP889" s="423"/>
      <c r="AQ889" s="423"/>
      <c r="AR889" s="423"/>
      <c r="AS889" s="423"/>
      <c r="AT889" s="423"/>
      <c r="AU889" s="423"/>
      <c r="AV889" s="423"/>
      <c r="AW889" s="418"/>
      <c r="AX889" s="418"/>
      <c r="AY889" s="418"/>
      <c r="AZ889" s="418"/>
      <c r="BA889" s="418"/>
      <c r="BB889" s="306"/>
    </row>
    <row r="890" spans="1:54" ht="15.75" customHeight="1">
      <c r="A890" s="415"/>
      <c r="B890" s="417"/>
      <c r="C890" s="417"/>
      <c r="D890" s="418"/>
      <c r="E890" s="418"/>
      <c r="F890" s="419"/>
      <c r="G890" s="420"/>
      <c r="H890" s="421"/>
      <c r="I890" s="421"/>
      <c r="J890" s="422"/>
      <c r="K890" s="418"/>
      <c r="L890" s="418"/>
      <c r="M890" s="418"/>
      <c r="N890" s="421"/>
      <c r="O890" s="421"/>
      <c r="P890" s="421"/>
      <c r="Q890" s="418"/>
      <c r="R890" s="1022"/>
      <c r="S890" s="1022"/>
      <c r="T890" s="418"/>
      <c r="U890" s="418"/>
      <c r="V890" s="418"/>
      <c r="W890" s="418"/>
      <c r="X890" s="418"/>
      <c r="Y890" s="418"/>
      <c r="Z890" s="418"/>
      <c r="AA890" s="418"/>
      <c r="AB890" s="418"/>
      <c r="AC890" s="418"/>
      <c r="AD890" s="418"/>
      <c r="AE890" s="418"/>
      <c r="AF890" s="418"/>
      <c r="AG890" s="418"/>
      <c r="AH890" s="418"/>
      <c r="AI890" s="418"/>
      <c r="AJ890" s="418"/>
      <c r="AK890" s="418"/>
      <c r="AL890" s="418"/>
      <c r="AM890" s="418"/>
      <c r="AN890" s="423"/>
      <c r="AO890" s="423"/>
      <c r="AP890" s="423"/>
      <c r="AQ890" s="423"/>
      <c r="AR890" s="423"/>
      <c r="AS890" s="423"/>
      <c r="AT890" s="423"/>
      <c r="AU890" s="423"/>
      <c r="AV890" s="423"/>
      <c r="AW890" s="418"/>
      <c r="AX890" s="418"/>
      <c r="AY890" s="418"/>
      <c r="AZ890" s="418"/>
      <c r="BA890" s="418"/>
      <c r="BB890" s="306"/>
    </row>
    <row r="891" spans="1:54" ht="15.75" customHeight="1">
      <c r="A891" s="415"/>
      <c r="B891" s="417"/>
      <c r="C891" s="417"/>
      <c r="D891" s="418"/>
      <c r="E891" s="418"/>
      <c r="F891" s="419"/>
      <c r="G891" s="420"/>
      <c r="H891" s="421"/>
      <c r="I891" s="421"/>
      <c r="J891" s="422"/>
      <c r="K891" s="418"/>
      <c r="L891" s="418"/>
      <c r="M891" s="418"/>
      <c r="N891" s="421"/>
      <c r="O891" s="421"/>
      <c r="P891" s="421"/>
      <c r="Q891" s="418"/>
      <c r="R891" s="1022"/>
      <c r="S891" s="1022"/>
      <c r="T891" s="418"/>
      <c r="U891" s="418"/>
      <c r="V891" s="418"/>
      <c r="W891" s="418"/>
      <c r="X891" s="418"/>
      <c r="Y891" s="418"/>
      <c r="Z891" s="418"/>
      <c r="AA891" s="418"/>
      <c r="AB891" s="418"/>
      <c r="AC891" s="418"/>
      <c r="AD891" s="418"/>
      <c r="AE891" s="418"/>
      <c r="AF891" s="418"/>
      <c r="AG891" s="418"/>
      <c r="AH891" s="418"/>
      <c r="AI891" s="418"/>
      <c r="AJ891" s="418"/>
      <c r="AK891" s="418"/>
      <c r="AL891" s="418"/>
      <c r="AM891" s="418"/>
      <c r="AN891" s="423"/>
      <c r="AO891" s="423"/>
      <c r="AP891" s="423"/>
      <c r="AQ891" s="423"/>
      <c r="AR891" s="423"/>
      <c r="AS891" s="423"/>
      <c r="AT891" s="423"/>
      <c r="AU891" s="423"/>
      <c r="AV891" s="423"/>
      <c r="AW891" s="418"/>
      <c r="AX891" s="418"/>
      <c r="AY891" s="418"/>
      <c r="AZ891" s="418"/>
      <c r="BA891" s="418"/>
      <c r="BB891" s="306"/>
    </row>
    <row r="892" spans="1:54" ht="15.75" customHeight="1">
      <c r="A892" s="415"/>
      <c r="B892" s="417"/>
      <c r="C892" s="417"/>
      <c r="D892" s="418"/>
      <c r="E892" s="418"/>
      <c r="F892" s="419"/>
      <c r="G892" s="420"/>
      <c r="H892" s="421"/>
      <c r="I892" s="421"/>
      <c r="J892" s="422"/>
      <c r="K892" s="418"/>
      <c r="L892" s="418"/>
      <c r="M892" s="418"/>
      <c r="N892" s="421"/>
      <c r="O892" s="421"/>
      <c r="P892" s="421"/>
      <c r="Q892" s="418"/>
      <c r="R892" s="1022"/>
      <c r="S892" s="1022"/>
      <c r="T892" s="418"/>
      <c r="U892" s="418"/>
      <c r="V892" s="418"/>
      <c r="W892" s="418"/>
      <c r="X892" s="418"/>
      <c r="Y892" s="418"/>
      <c r="Z892" s="418"/>
      <c r="AA892" s="418"/>
      <c r="AB892" s="418"/>
      <c r="AC892" s="418"/>
      <c r="AD892" s="418"/>
      <c r="AE892" s="418"/>
      <c r="AF892" s="418"/>
      <c r="AG892" s="418"/>
      <c r="AH892" s="418"/>
      <c r="AI892" s="418"/>
      <c r="AJ892" s="418"/>
      <c r="AK892" s="418"/>
      <c r="AL892" s="418"/>
      <c r="AM892" s="418"/>
      <c r="AN892" s="423"/>
      <c r="AO892" s="423"/>
      <c r="AP892" s="423"/>
      <c r="AQ892" s="423"/>
      <c r="AR892" s="423"/>
      <c r="AS892" s="423"/>
      <c r="AT892" s="423"/>
      <c r="AU892" s="423"/>
      <c r="AV892" s="423"/>
      <c r="AW892" s="418"/>
      <c r="AX892" s="418"/>
      <c r="AY892" s="418"/>
      <c r="AZ892" s="418"/>
      <c r="BA892" s="418"/>
      <c r="BB892" s="306"/>
    </row>
    <row r="893" spans="1:54" ht="15.75" customHeight="1">
      <c r="A893" s="415"/>
      <c r="B893" s="417"/>
      <c r="C893" s="417"/>
      <c r="D893" s="418"/>
      <c r="E893" s="418"/>
      <c r="F893" s="419"/>
      <c r="G893" s="420"/>
      <c r="H893" s="421"/>
      <c r="I893" s="421"/>
      <c r="J893" s="422"/>
      <c r="K893" s="418"/>
      <c r="L893" s="418"/>
      <c r="M893" s="418"/>
      <c r="N893" s="421"/>
      <c r="O893" s="421"/>
      <c r="P893" s="421"/>
      <c r="Q893" s="418"/>
      <c r="R893" s="1022"/>
      <c r="S893" s="1022"/>
      <c r="T893" s="418"/>
      <c r="U893" s="418"/>
      <c r="V893" s="418"/>
      <c r="W893" s="418"/>
      <c r="X893" s="418"/>
      <c r="Y893" s="418"/>
      <c r="Z893" s="418"/>
      <c r="AA893" s="418"/>
      <c r="AB893" s="418"/>
      <c r="AC893" s="418"/>
      <c r="AD893" s="418"/>
      <c r="AE893" s="418"/>
      <c r="AF893" s="418"/>
      <c r="AG893" s="418"/>
      <c r="AH893" s="418"/>
      <c r="AI893" s="418"/>
      <c r="AJ893" s="418"/>
      <c r="AK893" s="418"/>
      <c r="AL893" s="418"/>
      <c r="AM893" s="418"/>
      <c r="AN893" s="423"/>
      <c r="AO893" s="423"/>
      <c r="AP893" s="423"/>
      <c r="AQ893" s="423"/>
      <c r="AR893" s="423"/>
      <c r="AS893" s="423"/>
      <c r="AT893" s="423"/>
      <c r="AU893" s="423"/>
      <c r="AV893" s="423"/>
      <c r="AW893" s="418"/>
      <c r="AX893" s="418"/>
      <c r="AY893" s="418"/>
      <c r="AZ893" s="418"/>
      <c r="BA893" s="418"/>
      <c r="BB893" s="306"/>
    </row>
    <row r="894" spans="1:54" ht="15.75" customHeight="1">
      <c r="A894" s="415"/>
      <c r="B894" s="417"/>
      <c r="C894" s="417"/>
      <c r="D894" s="418"/>
      <c r="E894" s="418"/>
      <c r="F894" s="419"/>
      <c r="G894" s="420"/>
      <c r="H894" s="421"/>
      <c r="I894" s="421"/>
      <c r="J894" s="422"/>
      <c r="K894" s="418"/>
      <c r="L894" s="418"/>
      <c r="M894" s="418"/>
      <c r="N894" s="421"/>
      <c r="O894" s="421"/>
      <c r="P894" s="421"/>
      <c r="Q894" s="418"/>
      <c r="R894" s="1022"/>
      <c r="S894" s="1022"/>
      <c r="T894" s="418"/>
      <c r="U894" s="418"/>
      <c r="V894" s="418"/>
      <c r="W894" s="418"/>
      <c r="X894" s="418"/>
      <c r="Y894" s="418"/>
      <c r="Z894" s="418"/>
      <c r="AA894" s="418"/>
      <c r="AB894" s="418"/>
      <c r="AC894" s="418"/>
      <c r="AD894" s="418"/>
      <c r="AE894" s="418"/>
      <c r="AF894" s="418"/>
      <c r="AG894" s="418"/>
      <c r="AH894" s="418"/>
      <c r="AI894" s="418"/>
      <c r="AJ894" s="418"/>
      <c r="AK894" s="418"/>
      <c r="AL894" s="418"/>
      <c r="AM894" s="418"/>
      <c r="AN894" s="423"/>
      <c r="AO894" s="423"/>
      <c r="AP894" s="423"/>
      <c r="AQ894" s="423"/>
      <c r="AR894" s="423"/>
      <c r="AS894" s="423"/>
      <c r="AT894" s="423"/>
      <c r="AU894" s="423"/>
      <c r="AV894" s="423"/>
      <c r="AW894" s="418"/>
      <c r="AX894" s="418"/>
      <c r="AY894" s="418"/>
      <c r="AZ894" s="418"/>
      <c r="BA894" s="418"/>
      <c r="BB894" s="306"/>
    </row>
    <row r="895" spans="1:54" ht="15.75" customHeight="1">
      <c r="A895" s="415"/>
      <c r="B895" s="416"/>
      <c r="C895" s="417"/>
      <c r="D895" s="418"/>
      <c r="E895" s="418"/>
      <c r="F895" s="419"/>
      <c r="G895" s="420"/>
      <c r="H895" s="421"/>
      <c r="I895" s="421"/>
      <c r="J895" s="422"/>
      <c r="K895" s="418"/>
      <c r="L895" s="418"/>
      <c r="M895" s="418"/>
      <c r="N895" s="421"/>
      <c r="O895" s="421"/>
      <c r="P895" s="421"/>
      <c r="Q895" s="418"/>
      <c r="R895" s="1022"/>
      <c r="S895" s="1022"/>
      <c r="T895" s="418"/>
      <c r="U895" s="418"/>
      <c r="V895" s="418"/>
      <c r="W895" s="418"/>
      <c r="X895" s="418"/>
      <c r="Y895" s="418"/>
      <c r="Z895" s="418"/>
      <c r="AA895" s="418"/>
      <c r="AB895" s="418"/>
      <c r="AC895" s="418"/>
      <c r="AD895" s="418"/>
      <c r="AE895" s="418"/>
      <c r="AF895" s="418"/>
      <c r="AG895" s="418"/>
      <c r="AH895" s="418"/>
      <c r="AI895" s="418"/>
      <c r="AJ895" s="418"/>
      <c r="AK895" s="418"/>
      <c r="AL895" s="418"/>
      <c r="AM895" s="418"/>
      <c r="AN895" s="423"/>
      <c r="AO895" s="423"/>
      <c r="AP895" s="423"/>
      <c r="AQ895" s="423"/>
      <c r="AR895" s="423"/>
      <c r="AS895" s="423"/>
      <c r="AT895" s="423"/>
      <c r="AU895" s="423"/>
      <c r="AV895" s="423"/>
      <c r="AW895" s="418"/>
      <c r="AX895" s="418"/>
      <c r="AY895" s="418"/>
      <c r="AZ895" s="418"/>
      <c r="BA895" s="418"/>
      <c r="BB895" s="306"/>
    </row>
    <row r="896" spans="1:54" ht="15.75" customHeight="1">
      <c r="A896" s="415"/>
      <c r="B896" s="416"/>
      <c r="C896" s="417"/>
      <c r="D896" s="418"/>
      <c r="E896" s="418"/>
      <c r="F896" s="419"/>
      <c r="G896" s="420"/>
      <c r="H896" s="421"/>
      <c r="I896" s="421"/>
      <c r="J896" s="422"/>
      <c r="K896" s="418"/>
      <c r="L896" s="418"/>
      <c r="M896" s="418"/>
      <c r="N896" s="421"/>
      <c r="O896" s="421"/>
      <c r="P896" s="421"/>
      <c r="Q896" s="418"/>
      <c r="R896" s="1022"/>
      <c r="S896" s="1022"/>
      <c r="T896" s="418"/>
      <c r="U896" s="418"/>
      <c r="V896" s="418"/>
      <c r="W896" s="418"/>
      <c r="X896" s="418"/>
      <c r="Y896" s="418"/>
      <c r="Z896" s="418"/>
      <c r="AA896" s="418"/>
      <c r="AB896" s="418"/>
      <c r="AC896" s="418"/>
      <c r="AD896" s="418"/>
      <c r="AE896" s="418"/>
      <c r="AF896" s="418"/>
      <c r="AG896" s="418"/>
      <c r="AH896" s="418"/>
      <c r="AI896" s="418"/>
      <c r="AJ896" s="418"/>
      <c r="AK896" s="418"/>
      <c r="AL896" s="418"/>
      <c r="AM896" s="418"/>
      <c r="AN896" s="423"/>
      <c r="AO896" s="423"/>
      <c r="AP896" s="423"/>
      <c r="AQ896" s="423"/>
      <c r="AR896" s="423"/>
      <c r="AS896" s="423"/>
      <c r="AT896" s="423"/>
      <c r="AU896" s="423"/>
      <c r="AV896" s="423"/>
      <c r="AW896" s="418"/>
      <c r="AX896" s="418"/>
      <c r="AY896" s="418"/>
      <c r="AZ896" s="418"/>
      <c r="BA896" s="418"/>
      <c r="BB896" s="306"/>
    </row>
    <row r="897" spans="1:54" ht="15.75" customHeight="1">
      <c r="A897" s="415"/>
      <c r="B897" s="416"/>
      <c r="C897" s="417"/>
      <c r="D897" s="418"/>
      <c r="E897" s="418"/>
      <c r="F897" s="419"/>
      <c r="G897" s="420"/>
      <c r="H897" s="421"/>
      <c r="I897" s="421"/>
      <c r="J897" s="422"/>
      <c r="K897" s="418"/>
      <c r="L897" s="418"/>
      <c r="M897" s="418"/>
      <c r="N897" s="421"/>
      <c r="O897" s="421"/>
      <c r="P897" s="421"/>
      <c r="Q897" s="418"/>
      <c r="R897" s="1022"/>
      <c r="S897" s="1022"/>
      <c r="T897" s="418"/>
      <c r="U897" s="418"/>
      <c r="V897" s="418"/>
      <c r="W897" s="418"/>
      <c r="X897" s="418"/>
      <c r="Y897" s="418"/>
      <c r="Z897" s="418"/>
      <c r="AA897" s="418"/>
      <c r="AB897" s="418"/>
      <c r="AC897" s="418"/>
      <c r="AD897" s="418"/>
      <c r="AE897" s="418"/>
      <c r="AF897" s="418"/>
      <c r="AG897" s="418"/>
      <c r="AH897" s="418"/>
      <c r="AI897" s="418"/>
      <c r="AJ897" s="418"/>
      <c r="AK897" s="418"/>
      <c r="AL897" s="418"/>
      <c r="AM897" s="418"/>
      <c r="AN897" s="423"/>
      <c r="AO897" s="423"/>
      <c r="AP897" s="423"/>
      <c r="AQ897" s="423"/>
      <c r="AR897" s="423"/>
      <c r="AS897" s="423"/>
      <c r="AT897" s="423"/>
      <c r="AU897" s="423"/>
      <c r="AV897" s="423"/>
      <c r="AW897" s="418"/>
      <c r="AX897" s="418"/>
      <c r="AY897" s="418"/>
      <c r="AZ897" s="418"/>
      <c r="BA897" s="418"/>
      <c r="BB897" s="306"/>
    </row>
    <row r="898" spans="1:54" ht="15.75" customHeight="1">
      <c r="A898" s="415"/>
      <c r="B898" s="416"/>
      <c r="C898" s="417"/>
      <c r="D898" s="418"/>
      <c r="E898" s="418"/>
      <c r="F898" s="419"/>
      <c r="G898" s="420"/>
      <c r="H898" s="421"/>
      <c r="I898" s="421"/>
      <c r="J898" s="422"/>
      <c r="K898" s="418"/>
      <c r="L898" s="418"/>
      <c r="M898" s="418"/>
      <c r="N898" s="421"/>
      <c r="O898" s="421"/>
      <c r="P898" s="421"/>
      <c r="Q898" s="418"/>
      <c r="R898" s="1022"/>
      <c r="S898" s="1022"/>
      <c r="T898" s="418"/>
      <c r="U898" s="418"/>
      <c r="V898" s="418"/>
      <c r="W898" s="418"/>
      <c r="X898" s="418"/>
      <c r="Y898" s="418"/>
      <c r="Z898" s="418"/>
      <c r="AA898" s="418"/>
      <c r="AB898" s="418"/>
      <c r="AC898" s="418"/>
      <c r="AD898" s="418"/>
      <c r="AE898" s="418"/>
      <c r="AF898" s="418"/>
      <c r="AG898" s="418"/>
      <c r="AH898" s="418"/>
      <c r="AI898" s="418"/>
      <c r="AJ898" s="418"/>
      <c r="AK898" s="418"/>
      <c r="AL898" s="418"/>
      <c r="AM898" s="418"/>
      <c r="AN898" s="423"/>
      <c r="AO898" s="423"/>
      <c r="AP898" s="423"/>
      <c r="AQ898" s="423"/>
      <c r="AR898" s="423"/>
      <c r="AS898" s="423"/>
      <c r="AT898" s="423"/>
      <c r="AU898" s="423"/>
      <c r="AV898" s="423"/>
      <c r="AW898" s="418"/>
      <c r="AX898" s="418"/>
      <c r="AY898" s="418"/>
      <c r="AZ898" s="418"/>
      <c r="BA898" s="418"/>
      <c r="BB898" s="306"/>
    </row>
    <row r="899" spans="1:54" ht="15.75" customHeight="1">
      <c r="A899" s="415"/>
      <c r="B899" s="416"/>
      <c r="C899" s="417"/>
      <c r="D899" s="418"/>
      <c r="E899" s="418"/>
      <c r="F899" s="419"/>
      <c r="G899" s="420"/>
      <c r="H899" s="421"/>
      <c r="I899" s="421"/>
      <c r="J899" s="422"/>
      <c r="K899" s="418"/>
      <c r="L899" s="418"/>
      <c r="M899" s="418"/>
      <c r="N899" s="421"/>
      <c r="O899" s="421"/>
      <c r="P899" s="421"/>
      <c r="Q899" s="418"/>
      <c r="R899" s="1022"/>
      <c r="S899" s="1022"/>
      <c r="T899" s="418"/>
      <c r="U899" s="418"/>
      <c r="V899" s="418"/>
      <c r="W899" s="418"/>
      <c r="X899" s="418"/>
      <c r="Y899" s="418"/>
      <c r="Z899" s="418"/>
      <c r="AA899" s="418"/>
      <c r="AB899" s="418"/>
      <c r="AC899" s="418"/>
      <c r="AD899" s="418"/>
      <c r="AE899" s="418"/>
      <c r="AF899" s="418"/>
      <c r="AG899" s="418"/>
      <c r="AH899" s="418"/>
      <c r="AI899" s="418"/>
      <c r="AJ899" s="418"/>
      <c r="AK899" s="418"/>
      <c r="AL899" s="418"/>
      <c r="AM899" s="418"/>
      <c r="AN899" s="423"/>
      <c r="AO899" s="423"/>
      <c r="AP899" s="423"/>
      <c r="AQ899" s="423"/>
      <c r="AR899" s="423"/>
      <c r="AS899" s="423"/>
      <c r="AT899" s="423"/>
      <c r="AU899" s="423"/>
      <c r="AV899" s="423"/>
      <c r="AW899" s="418"/>
      <c r="AX899" s="418"/>
      <c r="AY899" s="418"/>
      <c r="AZ899" s="418"/>
      <c r="BA899" s="418"/>
      <c r="BB899" s="306"/>
    </row>
    <row r="900" spans="1:54" ht="15.75" customHeight="1">
      <c r="A900" s="415"/>
      <c r="B900" s="416"/>
      <c r="C900" s="417"/>
      <c r="D900" s="418"/>
      <c r="E900" s="418"/>
      <c r="F900" s="419"/>
      <c r="G900" s="420"/>
      <c r="H900" s="421"/>
      <c r="I900" s="421"/>
      <c r="J900" s="422"/>
      <c r="K900" s="418"/>
      <c r="L900" s="418"/>
      <c r="M900" s="418"/>
      <c r="N900" s="421"/>
      <c r="O900" s="421"/>
      <c r="P900" s="421"/>
      <c r="Q900" s="418"/>
      <c r="R900" s="1022"/>
      <c r="S900" s="1022"/>
      <c r="T900" s="418"/>
      <c r="U900" s="418"/>
      <c r="V900" s="418"/>
      <c r="W900" s="418"/>
      <c r="X900" s="418"/>
      <c r="Y900" s="418"/>
      <c r="Z900" s="418"/>
      <c r="AA900" s="418"/>
      <c r="AB900" s="418"/>
      <c r="AC900" s="418"/>
      <c r="AD900" s="418"/>
      <c r="AE900" s="418"/>
      <c r="AF900" s="418"/>
      <c r="AG900" s="418"/>
      <c r="AH900" s="418"/>
      <c r="AI900" s="418"/>
      <c r="AJ900" s="418"/>
      <c r="AK900" s="418"/>
      <c r="AL900" s="418"/>
      <c r="AM900" s="418"/>
      <c r="AN900" s="423"/>
      <c r="AO900" s="423"/>
      <c r="AP900" s="423"/>
      <c r="AQ900" s="423"/>
      <c r="AR900" s="423"/>
      <c r="AS900" s="423"/>
      <c r="AT900" s="423"/>
      <c r="AU900" s="423"/>
      <c r="AV900" s="423"/>
      <c r="AW900" s="418"/>
      <c r="AX900" s="418"/>
      <c r="AY900" s="418"/>
      <c r="AZ900" s="418"/>
      <c r="BA900" s="418"/>
      <c r="BB900" s="306"/>
    </row>
    <row r="901" spans="1:54" ht="15.75" customHeight="1">
      <c r="A901" s="415"/>
      <c r="B901" s="416"/>
      <c r="C901" s="417"/>
      <c r="D901" s="418"/>
      <c r="E901" s="418"/>
      <c r="F901" s="419"/>
      <c r="G901" s="420"/>
      <c r="H901" s="421"/>
      <c r="I901" s="421"/>
      <c r="J901" s="422"/>
      <c r="K901" s="418"/>
      <c r="L901" s="418"/>
      <c r="M901" s="418"/>
      <c r="N901" s="421"/>
      <c r="O901" s="421"/>
      <c r="P901" s="421"/>
      <c r="Q901" s="418"/>
      <c r="R901" s="1022"/>
      <c r="S901" s="1022"/>
      <c r="T901" s="418"/>
      <c r="U901" s="418"/>
      <c r="V901" s="418"/>
      <c r="W901" s="418"/>
      <c r="X901" s="418"/>
      <c r="Y901" s="418"/>
      <c r="Z901" s="418"/>
      <c r="AA901" s="418"/>
      <c r="AB901" s="418"/>
      <c r="AC901" s="418"/>
      <c r="AD901" s="418"/>
      <c r="AE901" s="418"/>
      <c r="AF901" s="418"/>
      <c r="AG901" s="418"/>
      <c r="AH901" s="418"/>
      <c r="AI901" s="418"/>
      <c r="AJ901" s="418"/>
      <c r="AK901" s="418"/>
      <c r="AL901" s="418"/>
      <c r="AM901" s="418"/>
      <c r="AN901" s="423"/>
      <c r="AO901" s="423"/>
      <c r="AP901" s="423"/>
      <c r="AQ901" s="423"/>
      <c r="AR901" s="423"/>
      <c r="AS901" s="423"/>
      <c r="AT901" s="423"/>
      <c r="AU901" s="423"/>
      <c r="AV901" s="423"/>
      <c r="AW901" s="418"/>
      <c r="AX901" s="418"/>
      <c r="AY901" s="418"/>
      <c r="AZ901" s="418"/>
      <c r="BA901" s="418"/>
      <c r="BB901" s="306"/>
    </row>
    <row r="902" spans="1:54" ht="15.75" customHeight="1">
      <c r="A902" s="415"/>
      <c r="B902" s="416"/>
      <c r="C902" s="417"/>
      <c r="D902" s="418"/>
      <c r="E902" s="418"/>
      <c r="F902" s="419"/>
      <c r="G902" s="420"/>
      <c r="H902" s="421"/>
      <c r="I902" s="425"/>
      <c r="J902" s="422"/>
      <c r="K902" s="418"/>
      <c r="L902" s="418"/>
      <c r="M902" s="418"/>
      <c r="N902" s="421"/>
      <c r="O902" s="421"/>
      <c r="P902" s="421"/>
      <c r="Q902" s="418"/>
      <c r="R902" s="1022"/>
      <c r="S902" s="1022"/>
      <c r="T902" s="418"/>
      <c r="U902" s="418"/>
      <c r="V902" s="418"/>
      <c r="W902" s="418"/>
      <c r="X902" s="418"/>
      <c r="Y902" s="418"/>
      <c r="Z902" s="418"/>
      <c r="AA902" s="418"/>
      <c r="AB902" s="418"/>
      <c r="AC902" s="418"/>
      <c r="AD902" s="418"/>
      <c r="AE902" s="418"/>
      <c r="AF902" s="418"/>
      <c r="AG902" s="418"/>
      <c r="AH902" s="418"/>
      <c r="AI902" s="418"/>
      <c r="AJ902" s="418"/>
      <c r="AK902" s="418"/>
      <c r="AL902" s="418"/>
      <c r="AM902" s="418"/>
      <c r="AN902" s="423"/>
      <c r="AO902" s="423"/>
      <c r="AP902" s="423"/>
      <c r="AQ902" s="423"/>
      <c r="AR902" s="423"/>
      <c r="AS902" s="423"/>
      <c r="AT902" s="423"/>
      <c r="AU902" s="423"/>
      <c r="AV902" s="423"/>
      <c r="AW902" s="418"/>
      <c r="AX902" s="418"/>
      <c r="AY902" s="418"/>
      <c r="AZ902" s="418"/>
      <c r="BA902" s="418"/>
      <c r="BB902" s="306"/>
    </row>
    <row r="903" spans="1:54" ht="15.75" customHeight="1">
      <c r="A903" s="415"/>
      <c r="B903" s="416"/>
      <c r="C903" s="417"/>
      <c r="D903" s="418"/>
      <c r="E903" s="418"/>
      <c r="F903" s="419"/>
      <c r="G903" s="420"/>
      <c r="H903" s="421"/>
      <c r="I903" s="421"/>
      <c r="J903" s="422"/>
      <c r="K903" s="418"/>
      <c r="L903" s="418"/>
      <c r="M903" s="418"/>
      <c r="N903" s="421"/>
      <c r="O903" s="421"/>
      <c r="P903" s="421"/>
      <c r="Q903" s="418"/>
      <c r="R903" s="1022"/>
      <c r="S903" s="1022"/>
      <c r="T903" s="418"/>
      <c r="U903" s="418"/>
      <c r="V903" s="418"/>
      <c r="W903" s="418"/>
      <c r="X903" s="418"/>
      <c r="Y903" s="418"/>
      <c r="Z903" s="418"/>
      <c r="AA903" s="418"/>
      <c r="AB903" s="418"/>
      <c r="AC903" s="418"/>
      <c r="AD903" s="418"/>
      <c r="AE903" s="418"/>
      <c r="AF903" s="418"/>
      <c r="AG903" s="418"/>
      <c r="AH903" s="418"/>
      <c r="AI903" s="418"/>
      <c r="AJ903" s="418"/>
      <c r="AK903" s="418"/>
      <c r="AL903" s="418"/>
      <c r="AM903" s="418"/>
      <c r="AN903" s="423"/>
      <c r="AO903" s="423"/>
      <c r="AP903" s="423"/>
      <c r="AQ903" s="423"/>
      <c r="AR903" s="423"/>
      <c r="AS903" s="423"/>
      <c r="AT903" s="423"/>
      <c r="AU903" s="423"/>
      <c r="AV903" s="423"/>
      <c r="AW903" s="418"/>
      <c r="AX903" s="418"/>
      <c r="AY903" s="418"/>
      <c r="AZ903" s="418"/>
      <c r="BA903" s="418"/>
      <c r="BB903" s="306"/>
    </row>
    <row r="904" spans="1:54" ht="15.75" customHeight="1">
      <c r="A904" s="415"/>
      <c r="B904" s="416"/>
      <c r="C904" s="417"/>
      <c r="D904" s="418"/>
      <c r="E904" s="418"/>
      <c r="F904" s="419"/>
      <c r="G904" s="420"/>
      <c r="H904" s="421"/>
      <c r="I904" s="425"/>
      <c r="J904" s="422"/>
      <c r="K904" s="418"/>
      <c r="L904" s="418"/>
      <c r="M904" s="418"/>
      <c r="N904" s="421"/>
      <c r="O904" s="421"/>
      <c r="P904" s="421"/>
      <c r="Q904" s="418"/>
      <c r="R904" s="1022"/>
      <c r="S904" s="1022"/>
      <c r="T904" s="418"/>
      <c r="U904" s="418"/>
      <c r="V904" s="418"/>
      <c r="W904" s="418"/>
      <c r="X904" s="418"/>
      <c r="Y904" s="418"/>
      <c r="Z904" s="418"/>
      <c r="AA904" s="418"/>
      <c r="AB904" s="418"/>
      <c r="AC904" s="418"/>
      <c r="AD904" s="418"/>
      <c r="AE904" s="418"/>
      <c r="AF904" s="418"/>
      <c r="AG904" s="418"/>
      <c r="AH904" s="418"/>
      <c r="AI904" s="418"/>
      <c r="AJ904" s="418"/>
      <c r="AK904" s="418"/>
      <c r="AL904" s="418"/>
      <c r="AM904" s="418"/>
      <c r="AN904" s="423"/>
      <c r="AO904" s="423"/>
      <c r="AP904" s="423"/>
      <c r="AQ904" s="423"/>
      <c r="AR904" s="423"/>
      <c r="AS904" s="423"/>
      <c r="AT904" s="423"/>
      <c r="AU904" s="423"/>
      <c r="AV904" s="423"/>
      <c r="AW904" s="418"/>
      <c r="AX904" s="418"/>
      <c r="AY904" s="418"/>
      <c r="AZ904" s="418"/>
      <c r="BA904" s="418"/>
      <c r="BB904" s="306"/>
    </row>
    <row r="905" spans="1:54" ht="15.75" customHeight="1">
      <c r="A905" s="415"/>
      <c r="B905" s="416"/>
      <c r="C905" s="417"/>
      <c r="D905" s="418"/>
      <c r="E905" s="418"/>
      <c r="F905" s="419"/>
      <c r="G905" s="420"/>
      <c r="H905" s="421"/>
      <c r="I905" s="421"/>
      <c r="J905" s="422"/>
      <c r="K905" s="418"/>
      <c r="L905" s="418"/>
      <c r="M905" s="418"/>
      <c r="N905" s="421"/>
      <c r="O905" s="421"/>
      <c r="P905" s="421"/>
      <c r="Q905" s="418"/>
      <c r="R905" s="1022"/>
      <c r="S905" s="1022"/>
      <c r="T905" s="418"/>
      <c r="U905" s="418"/>
      <c r="V905" s="418"/>
      <c r="W905" s="418"/>
      <c r="X905" s="418"/>
      <c r="Y905" s="418"/>
      <c r="Z905" s="418"/>
      <c r="AA905" s="418"/>
      <c r="AB905" s="418"/>
      <c r="AC905" s="418"/>
      <c r="AD905" s="418"/>
      <c r="AE905" s="418"/>
      <c r="AF905" s="418"/>
      <c r="AG905" s="418"/>
      <c r="AH905" s="418"/>
      <c r="AI905" s="418"/>
      <c r="AJ905" s="418"/>
      <c r="AK905" s="418"/>
      <c r="AL905" s="418"/>
      <c r="AM905" s="418"/>
      <c r="AN905" s="423"/>
      <c r="AO905" s="423"/>
      <c r="AP905" s="423"/>
      <c r="AQ905" s="423"/>
      <c r="AR905" s="423"/>
      <c r="AS905" s="423"/>
      <c r="AT905" s="423"/>
      <c r="AU905" s="423"/>
      <c r="AV905" s="423"/>
      <c r="AW905" s="418"/>
      <c r="AX905" s="418"/>
      <c r="AY905" s="418"/>
      <c r="AZ905" s="418"/>
      <c r="BA905" s="418"/>
      <c r="BB905" s="306"/>
    </row>
    <row r="906" spans="1:54" ht="15.75" customHeight="1">
      <c r="A906" s="415"/>
      <c r="B906" s="416"/>
      <c r="C906" s="417"/>
      <c r="D906" s="418"/>
      <c r="E906" s="418"/>
      <c r="F906" s="419"/>
      <c r="G906" s="420"/>
      <c r="H906" s="421"/>
      <c r="I906" s="425"/>
      <c r="J906" s="422"/>
      <c r="K906" s="418"/>
      <c r="L906" s="418"/>
      <c r="M906" s="418"/>
      <c r="N906" s="421"/>
      <c r="O906" s="421"/>
      <c r="P906" s="421"/>
      <c r="Q906" s="418"/>
      <c r="R906" s="1022"/>
      <c r="S906" s="1022"/>
      <c r="T906" s="418"/>
      <c r="U906" s="418"/>
      <c r="V906" s="418"/>
      <c r="W906" s="418"/>
      <c r="X906" s="418"/>
      <c r="Y906" s="418"/>
      <c r="Z906" s="418"/>
      <c r="AA906" s="418"/>
      <c r="AB906" s="418"/>
      <c r="AC906" s="418"/>
      <c r="AD906" s="418"/>
      <c r="AE906" s="418"/>
      <c r="AF906" s="418"/>
      <c r="AG906" s="418"/>
      <c r="AH906" s="418"/>
      <c r="AI906" s="418"/>
      <c r="AJ906" s="418"/>
      <c r="AK906" s="418"/>
      <c r="AL906" s="418"/>
      <c r="AM906" s="418"/>
      <c r="AN906" s="423"/>
      <c r="AO906" s="423"/>
      <c r="AP906" s="423"/>
      <c r="AQ906" s="423"/>
      <c r="AR906" s="423"/>
      <c r="AS906" s="423"/>
      <c r="AT906" s="423"/>
      <c r="AU906" s="423"/>
      <c r="AV906" s="423"/>
      <c r="AW906" s="418"/>
      <c r="AX906" s="418"/>
      <c r="AY906" s="418"/>
      <c r="AZ906" s="418"/>
      <c r="BA906" s="418"/>
      <c r="BB906" s="306"/>
    </row>
    <row r="907" spans="1:54" ht="15.75" customHeight="1">
      <c r="A907" s="415"/>
      <c r="B907" s="416"/>
      <c r="C907" s="417"/>
      <c r="D907" s="418"/>
      <c r="E907" s="418"/>
      <c r="F907" s="419"/>
      <c r="G907" s="420"/>
      <c r="H907" s="421"/>
      <c r="I907" s="421"/>
      <c r="J907" s="422"/>
      <c r="K907" s="418"/>
      <c r="L907" s="418"/>
      <c r="M907" s="418"/>
      <c r="N907" s="421"/>
      <c r="O907" s="421"/>
      <c r="P907" s="421"/>
      <c r="Q907" s="418"/>
      <c r="R907" s="1022"/>
      <c r="S907" s="1022"/>
      <c r="T907" s="418"/>
      <c r="U907" s="418"/>
      <c r="V907" s="418"/>
      <c r="W907" s="418"/>
      <c r="X907" s="418"/>
      <c r="Y907" s="418"/>
      <c r="Z907" s="418"/>
      <c r="AA907" s="418"/>
      <c r="AB907" s="418"/>
      <c r="AC907" s="418"/>
      <c r="AD907" s="418"/>
      <c r="AE907" s="418"/>
      <c r="AF907" s="418"/>
      <c r="AG907" s="418"/>
      <c r="AH907" s="418"/>
      <c r="AI907" s="418"/>
      <c r="AJ907" s="418"/>
      <c r="AK907" s="418"/>
      <c r="AL907" s="418"/>
      <c r="AM907" s="418"/>
      <c r="AN907" s="423"/>
      <c r="AO907" s="423"/>
      <c r="AP907" s="423"/>
      <c r="AQ907" s="423"/>
      <c r="AR907" s="423"/>
      <c r="AS907" s="423"/>
      <c r="AT907" s="423"/>
      <c r="AU907" s="423"/>
      <c r="AV907" s="423"/>
      <c r="AW907" s="418"/>
      <c r="AX907" s="418"/>
      <c r="AY907" s="418"/>
      <c r="AZ907" s="418"/>
      <c r="BA907" s="418"/>
      <c r="BB907" s="306"/>
    </row>
    <row r="908" spans="1:54" ht="15.75" customHeight="1">
      <c r="A908" s="415"/>
      <c r="B908" s="416"/>
      <c r="C908" s="417"/>
      <c r="D908" s="418"/>
      <c r="E908" s="418"/>
      <c r="F908" s="419"/>
      <c r="G908" s="420"/>
      <c r="H908" s="421"/>
      <c r="I908" s="421"/>
      <c r="J908" s="422"/>
      <c r="K908" s="418"/>
      <c r="L908" s="418"/>
      <c r="M908" s="418"/>
      <c r="N908" s="421"/>
      <c r="O908" s="421"/>
      <c r="P908" s="421"/>
      <c r="Q908" s="418"/>
      <c r="R908" s="1022"/>
      <c r="S908" s="1022"/>
      <c r="T908" s="418"/>
      <c r="U908" s="418"/>
      <c r="V908" s="418"/>
      <c r="W908" s="418"/>
      <c r="X908" s="418"/>
      <c r="Y908" s="418"/>
      <c r="Z908" s="418"/>
      <c r="AA908" s="418"/>
      <c r="AB908" s="418"/>
      <c r="AC908" s="418"/>
      <c r="AD908" s="418"/>
      <c r="AE908" s="418"/>
      <c r="AF908" s="418"/>
      <c r="AG908" s="418"/>
      <c r="AH908" s="418"/>
      <c r="AI908" s="418"/>
      <c r="AJ908" s="418"/>
      <c r="AK908" s="418"/>
      <c r="AL908" s="418"/>
      <c r="AM908" s="418"/>
      <c r="AN908" s="423"/>
      <c r="AO908" s="423"/>
      <c r="AP908" s="423"/>
      <c r="AQ908" s="423"/>
      <c r="AR908" s="423"/>
      <c r="AS908" s="423"/>
      <c r="AT908" s="423"/>
      <c r="AU908" s="423"/>
      <c r="AV908" s="423"/>
      <c r="AW908" s="418"/>
      <c r="AX908" s="418"/>
      <c r="AY908" s="418"/>
      <c r="AZ908" s="418"/>
      <c r="BA908" s="418"/>
      <c r="BB908" s="306"/>
    </row>
    <row r="909" spans="1:54" ht="15.75" customHeight="1">
      <c r="A909" s="415"/>
      <c r="B909" s="416"/>
      <c r="C909" s="417"/>
      <c r="D909" s="418"/>
      <c r="E909" s="418"/>
      <c r="F909" s="419"/>
      <c r="G909" s="420"/>
      <c r="H909" s="421"/>
      <c r="I909" s="425"/>
      <c r="J909" s="422"/>
      <c r="K909" s="418"/>
      <c r="L909" s="418"/>
      <c r="M909" s="418"/>
      <c r="N909" s="421"/>
      <c r="O909" s="421"/>
      <c r="P909" s="421"/>
      <c r="Q909" s="418"/>
      <c r="R909" s="1022"/>
      <c r="S909" s="1022"/>
      <c r="T909" s="418"/>
      <c r="U909" s="418"/>
      <c r="V909" s="418"/>
      <c r="W909" s="418"/>
      <c r="X909" s="418"/>
      <c r="Y909" s="418"/>
      <c r="Z909" s="418"/>
      <c r="AA909" s="418"/>
      <c r="AB909" s="418"/>
      <c r="AC909" s="418"/>
      <c r="AD909" s="418"/>
      <c r="AE909" s="418"/>
      <c r="AF909" s="418"/>
      <c r="AG909" s="418"/>
      <c r="AH909" s="418"/>
      <c r="AI909" s="418"/>
      <c r="AJ909" s="418"/>
      <c r="AK909" s="418"/>
      <c r="AL909" s="418"/>
      <c r="AM909" s="418"/>
      <c r="AN909" s="423"/>
      <c r="AO909" s="423"/>
      <c r="AP909" s="423"/>
      <c r="AQ909" s="423"/>
      <c r="AR909" s="423"/>
      <c r="AS909" s="423"/>
      <c r="AT909" s="423"/>
      <c r="AU909" s="423"/>
      <c r="AV909" s="423"/>
      <c r="AW909" s="418"/>
      <c r="AX909" s="418"/>
      <c r="AY909" s="418"/>
      <c r="AZ909" s="418"/>
      <c r="BA909" s="418"/>
      <c r="BB909" s="306"/>
    </row>
    <row r="910" spans="1:54" ht="15.75" customHeight="1">
      <c r="A910" s="415"/>
      <c r="B910" s="416"/>
      <c r="C910" s="417"/>
      <c r="D910" s="418"/>
      <c r="E910" s="418"/>
      <c r="F910" s="419"/>
      <c r="G910" s="420"/>
      <c r="H910" s="421"/>
      <c r="I910" s="421"/>
      <c r="J910" s="422"/>
      <c r="K910" s="418"/>
      <c r="L910" s="418"/>
      <c r="M910" s="418"/>
      <c r="N910" s="421"/>
      <c r="O910" s="421"/>
      <c r="P910" s="421"/>
      <c r="Q910" s="418"/>
      <c r="R910" s="1022"/>
      <c r="S910" s="1022"/>
      <c r="T910" s="418"/>
      <c r="U910" s="418"/>
      <c r="V910" s="418"/>
      <c r="W910" s="418"/>
      <c r="X910" s="418"/>
      <c r="Y910" s="418"/>
      <c r="Z910" s="418"/>
      <c r="AA910" s="418"/>
      <c r="AB910" s="418"/>
      <c r="AC910" s="418"/>
      <c r="AD910" s="418"/>
      <c r="AE910" s="418"/>
      <c r="AF910" s="418"/>
      <c r="AG910" s="418"/>
      <c r="AH910" s="418"/>
      <c r="AI910" s="418"/>
      <c r="AJ910" s="418"/>
      <c r="AK910" s="418"/>
      <c r="AL910" s="418"/>
      <c r="AM910" s="418"/>
      <c r="AN910" s="423"/>
      <c r="AO910" s="423"/>
      <c r="AP910" s="423"/>
      <c r="AQ910" s="423"/>
      <c r="AR910" s="423"/>
      <c r="AS910" s="423"/>
      <c r="AT910" s="423"/>
      <c r="AU910" s="423"/>
      <c r="AV910" s="423"/>
      <c r="AW910" s="418"/>
      <c r="AX910" s="418"/>
      <c r="AY910" s="418"/>
      <c r="AZ910" s="418"/>
      <c r="BA910" s="418"/>
      <c r="BB910" s="306"/>
    </row>
    <row r="911" spans="1:54" ht="15.75" customHeight="1">
      <c r="A911" s="415"/>
      <c r="B911" s="416"/>
      <c r="C911" s="417"/>
      <c r="D911" s="418"/>
      <c r="E911" s="418"/>
      <c r="F911" s="419"/>
      <c r="G911" s="420"/>
      <c r="H911" s="421"/>
      <c r="I911" s="425"/>
      <c r="J911" s="422"/>
      <c r="K911" s="418"/>
      <c r="L911" s="418"/>
      <c r="M911" s="418"/>
      <c r="N911" s="421"/>
      <c r="O911" s="421"/>
      <c r="P911" s="421"/>
      <c r="Q911" s="418"/>
      <c r="R911" s="1022"/>
      <c r="S911" s="1022"/>
      <c r="T911" s="418"/>
      <c r="U911" s="418"/>
      <c r="V911" s="418"/>
      <c r="W911" s="418"/>
      <c r="X911" s="418"/>
      <c r="Y911" s="418"/>
      <c r="Z911" s="418"/>
      <c r="AA911" s="418"/>
      <c r="AB911" s="418"/>
      <c r="AC911" s="418"/>
      <c r="AD911" s="418"/>
      <c r="AE911" s="418"/>
      <c r="AF911" s="418"/>
      <c r="AG911" s="418"/>
      <c r="AH911" s="418"/>
      <c r="AI911" s="418"/>
      <c r="AJ911" s="418"/>
      <c r="AK911" s="418"/>
      <c r="AL911" s="418"/>
      <c r="AM911" s="418"/>
      <c r="AN911" s="423"/>
      <c r="AO911" s="423"/>
      <c r="AP911" s="423"/>
      <c r="AQ911" s="423"/>
      <c r="AR911" s="423"/>
      <c r="AS911" s="423"/>
      <c r="AT911" s="423"/>
      <c r="AU911" s="423"/>
      <c r="AV911" s="423"/>
      <c r="AW911" s="418"/>
      <c r="AX911" s="418"/>
      <c r="AY911" s="418"/>
      <c r="AZ911" s="418"/>
      <c r="BA911" s="418"/>
      <c r="BB911" s="306"/>
    </row>
    <row r="912" spans="1:54" ht="15.75" customHeight="1">
      <c r="A912" s="415"/>
      <c r="B912" s="416"/>
      <c r="C912" s="417"/>
      <c r="D912" s="418"/>
      <c r="E912" s="418"/>
      <c r="F912" s="419"/>
      <c r="G912" s="420"/>
      <c r="H912" s="421"/>
      <c r="I912" s="421"/>
      <c r="J912" s="422"/>
      <c r="K912" s="418"/>
      <c r="L912" s="418"/>
      <c r="M912" s="418"/>
      <c r="N912" s="421"/>
      <c r="O912" s="421"/>
      <c r="P912" s="421"/>
      <c r="Q912" s="418"/>
      <c r="R912" s="1022"/>
      <c r="S912" s="1022"/>
      <c r="T912" s="418"/>
      <c r="U912" s="418"/>
      <c r="V912" s="418"/>
      <c r="W912" s="418"/>
      <c r="X912" s="418"/>
      <c r="Y912" s="418"/>
      <c r="Z912" s="418"/>
      <c r="AA912" s="418"/>
      <c r="AB912" s="418"/>
      <c r="AC912" s="418"/>
      <c r="AD912" s="418"/>
      <c r="AE912" s="418"/>
      <c r="AF912" s="418"/>
      <c r="AG912" s="418"/>
      <c r="AH912" s="418"/>
      <c r="AI912" s="418"/>
      <c r="AJ912" s="418"/>
      <c r="AK912" s="418"/>
      <c r="AL912" s="418"/>
      <c r="AM912" s="418"/>
      <c r="AN912" s="423"/>
      <c r="AO912" s="423"/>
      <c r="AP912" s="423"/>
      <c r="AQ912" s="423"/>
      <c r="AR912" s="423"/>
      <c r="AS912" s="423"/>
      <c r="AT912" s="423"/>
      <c r="AU912" s="423"/>
      <c r="AV912" s="423"/>
      <c r="AW912" s="418"/>
      <c r="AX912" s="418"/>
      <c r="AY912" s="418"/>
      <c r="AZ912" s="418"/>
      <c r="BA912" s="418"/>
      <c r="BB912" s="306"/>
    </row>
    <row r="913" spans="1:54" ht="15.75" customHeight="1">
      <c r="A913" s="415"/>
      <c r="B913" s="416"/>
      <c r="C913" s="417"/>
      <c r="D913" s="418"/>
      <c r="E913" s="418"/>
      <c r="F913" s="419"/>
      <c r="G913" s="420"/>
      <c r="H913" s="421"/>
      <c r="I913" s="425"/>
      <c r="J913" s="422"/>
      <c r="K913" s="418"/>
      <c r="L913" s="418"/>
      <c r="M913" s="418"/>
      <c r="N913" s="421"/>
      <c r="O913" s="421"/>
      <c r="P913" s="421"/>
      <c r="Q913" s="418"/>
      <c r="R913" s="1022"/>
      <c r="S913" s="1022"/>
      <c r="T913" s="418"/>
      <c r="U913" s="418"/>
      <c r="V913" s="418"/>
      <c r="W913" s="418"/>
      <c r="X913" s="418"/>
      <c r="Y913" s="418"/>
      <c r="Z913" s="418"/>
      <c r="AA913" s="418"/>
      <c r="AB913" s="418"/>
      <c r="AC913" s="418"/>
      <c r="AD913" s="418"/>
      <c r="AE913" s="418"/>
      <c r="AF913" s="418"/>
      <c r="AG913" s="418"/>
      <c r="AH913" s="418"/>
      <c r="AI913" s="418"/>
      <c r="AJ913" s="418"/>
      <c r="AK913" s="418"/>
      <c r="AL913" s="418"/>
      <c r="AM913" s="418"/>
      <c r="AN913" s="423"/>
      <c r="AO913" s="423"/>
      <c r="AP913" s="423"/>
      <c r="AQ913" s="423"/>
      <c r="AR913" s="423"/>
      <c r="AS913" s="423"/>
      <c r="AT913" s="423"/>
      <c r="AU913" s="423"/>
      <c r="AV913" s="423"/>
      <c r="AW913" s="418"/>
      <c r="AX913" s="418"/>
      <c r="AY913" s="418"/>
      <c r="AZ913" s="418"/>
      <c r="BA913" s="418"/>
      <c r="BB913" s="306"/>
    </row>
    <row r="914" spans="1:54" ht="15.75" customHeight="1">
      <c r="A914" s="415"/>
      <c r="B914" s="416"/>
      <c r="C914" s="417"/>
      <c r="D914" s="418"/>
      <c r="E914" s="418"/>
      <c r="F914" s="419"/>
      <c r="G914" s="420"/>
      <c r="H914" s="421"/>
      <c r="I914" s="421"/>
      <c r="J914" s="422"/>
      <c r="K914" s="418"/>
      <c r="L914" s="418"/>
      <c r="M914" s="418"/>
      <c r="N914" s="421"/>
      <c r="O914" s="421"/>
      <c r="P914" s="421"/>
      <c r="Q914" s="418"/>
      <c r="R914" s="1022"/>
      <c r="S914" s="1022"/>
      <c r="T914" s="418"/>
      <c r="U914" s="418"/>
      <c r="V914" s="418"/>
      <c r="W914" s="418"/>
      <c r="X914" s="418"/>
      <c r="Y914" s="418"/>
      <c r="Z914" s="418"/>
      <c r="AA914" s="418"/>
      <c r="AB914" s="418"/>
      <c r="AC914" s="418"/>
      <c r="AD914" s="418"/>
      <c r="AE914" s="418"/>
      <c r="AF914" s="418"/>
      <c r="AG914" s="418"/>
      <c r="AH914" s="418"/>
      <c r="AI914" s="418"/>
      <c r="AJ914" s="418"/>
      <c r="AK914" s="418"/>
      <c r="AL914" s="418"/>
      <c r="AM914" s="418"/>
      <c r="AN914" s="423"/>
      <c r="AO914" s="423"/>
      <c r="AP914" s="423"/>
      <c r="AQ914" s="423"/>
      <c r="AR914" s="423"/>
      <c r="AS914" s="423"/>
      <c r="AT914" s="423"/>
      <c r="AU914" s="423"/>
      <c r="AV914" s="423"/>
      <c r="AW914" s="418"/>
      <c r="AX914" s="418"/>
      <c r="AY914" s="418"/>
      <c r="AZ914" s="418"/>
      <c r="BA914" s="418"/>
      <c r="BB914" s="306"/>
    </row>
    <row r="915" spans="1:54" ht="15.75" customHeight="1">
      <c r="A915" s="415"/>
      <c r="B915" s="416"/>
      <c r="C915" s="417"/>
      <c r="D915" s="418"/>
      <c r="E915" s="418"/>
      <c r="F915" s="419"/>
      <c r="G915" s="420"/>
      <c r="H915" s="421"/>
      <c r="I915" s="425"/>
      <c r="J915" s="422"/>
      <c r="K915" s="418"/>
      <c r="L915" s="418"/>
      <c r="M915" s="418"/>
      <c r="N915" s="421"/>
      <c r="O915" s="421"/>
      <c r="P915" s="421"/>
      <c r="Q915" s="418"/>
      <c r="R915" s="1022"/>
      <c r="S915" s="1022"/>
      <c r="T915" s="418"/>
      <c r="U915" s="418"/>
      <c r="V915" s="418"/>
      <c r="W915" s="418"/>
      <c r="X915" s="418"/>
      <c r="Y915" s="418"/>
      <c r="Z915" s="418"/>
      <c r="AA915" s="418"/>
      <c r="AB915" s="418"/>
      <c r="AC915" s="418"/>
      <c r="AD915" s="418"/>
      <c r="AE915" s="418"/>
      <c r="AF915" s="418"/>
      <c r="AG915" s="418"/>
      <c r="AH915" s="418"/>
      <c r="AI915" s="418"/>
      <c r="AJ915" s="418"/>
      <c r="AK915" s="418"/>
      <c r="AL915" s="418"/>
      <c r="AM915" s="418"/>
      <c r="AN915" s="423"/>
      <c r="AO915" s="423"/>
      <c r="AP915" s="423"/>
      <c r="AQ915" s="423"/>
      <c r="AR915" s="423"/>
      <c r="AS915" s="423"/>
      <c r="AT915" s="423"/>
      <c r="AU915" s="423"/>
      <c r="AV915" s="423"/>
      <c r="AW915" s="418"/>
      <c r="AX915" s="418"/>
      <c r="AY915" s="418"/>
      <c r="AZ915" s="418"/>
      <c r="BA915" s="418"/>
      <c r="BB915" s="306"/>
    </row>
    <row r="916" spans="1:54" ht="15.75" customHeight="1">
      <c r="A916" s="415"/>
      <c r="B916" s="416"/>
      <c r="C916" s="417"/>
      <c r="D916" s="418"/>
      <c r="E916" s="418"/>
      <c r="F916" s="419"/>
      <c r="G916" s="420"/>
      <c r="H916" s="421"/>
      <c r="I916" s="421"/>
      <c r="J916" s="422"/>
      <c r="K916" s="418"/>
      <c r="L916" s="418"/>
      <c r="M916" s="418"/>
      <c r="N916" s="421"/>
      <c r="O916" s="421"/>
      <c r="P916" s="421"/>
      <c r="Q916" s="418"/>
      <c r="R916" s="1022"/>
      <c r="S916" s="1022"/>
      <c r="T916" s="418"/>
      <c r="U916" s="418"/>
      <c r="V916" s="418"/>
      <c r="W916" s="418"/>
      <c r="X916" s="418"/>
      <c r="Y916" s="418"/>
      <c r="Z916" s="418"/>
      <c r="AA916" s="418"/>
      <c r="AB916" s="418"/>
      <c r="AC916" s="418"/>
      <c r="AD916" s="418"/>
      <c r="AE916" s="418"/>
      <c r="AF916" s="418"/>
      <c r="AG916" s="418"/>
      <c r="AH916" s="418"/>
      <c r="AI916" s="418"/>
      <c r="AJ916" s="418"/>
      <c r="AK916" s="418"/>
      <c r="AL916" s="418"/>
      <c r="AM916" s="418"/>
      <c r="AN916" s="423"/>
      <c r="AO916" s="423"/>
      <c r="AP916" s="423"/>
      <c r="AQ916" s="423"/>
      <c r="AR916" s="423"/>
      <c r="AS916" s="423"/>
      <c r="AT916" s="423"/>
      <c r="AU916" s="423"/>
      <c r="AV916" s="423"/>
      <c r="AW916" s="418"/>
      <c r="AX916" s="418"/>
      <c r="AY916" s="418"/>
      <c r="AZ916" s="418"/>
      <c r="BA916" s="418"/>
      <c r="BB916" s="306"/>
    </row>
    <row r="917" spans="1:54" ht="15.75" customHeight="1">
      <c r="A917" s="415"/>
      <c r="B917" s="416"/>
      <c r="C917" s="417"/>
      <c r="D917" s="418"/>
      <c r="E917" s="418"/>
      <c r="F917" s="419"/>
      <c r="G917" s="420"/>
      <c r="H917" s="421"/>
      <c r="I917" s="425"/>
      <c r="J917" s="422"/>
      <c r="K917" s="418"/>
      <c r="L917" s="418"/>
      <c r="M917" s="418"/>
      <c r="N917" s="421"/>
      <c r="O917" s="421"/>
      <c r="P917" s="421"/>
      <c r="Q917" s="418"/>
      <c r="R917" s="1022"/>
      <c r="S917" s="1022"/>
      <c r="T917" s="418"/>
      <c r="U917" s="418"/>
      <c r="V917" s="418"/>
      <c r="W917" s="418"/>
      <c r="X917" s="418"/>
      <c r="Y917" s="418"/>
      <c r="Z917" s="418"/>
      <c r="AA917" s="418"/>
      <c r="AB917" s="418"/>
      <c r="AC917" s="418"/>
      <c r="AD917" s="418"/>
      <c r="AE917" s="418"/>
      <c r="AF917" s="418"/>
      <c r="AG917" s="418"/>
      <c r="AH917" s="418"/>
      <c r="AI917" s="418"/>
      <c r="AJ917" s="418"/>
      <c r="AK917" s="418"/>
      <c r="AL917" s="418"/>
      <c r="AM917" s="418"/>
      <c r="AN917" s="423"/>
      <c r="AO917" s="423"/>
      <c r="AP917" s="423"/>
      <c r="AQ917" s="423"/>
      <c r="AR917" s="423"/>
      <c r="AS917" s="423"/>
      <c r="AT917" s="423"/>
      <c r="AU917" s="423"/>
      <c r="AV917" s="423"/>
      <c r="AW917" s="418"/>
      <c r="AX917" s="418"/>
      <c r="AY917" s="418"/>
      <c r="AZ917" s="418"/>
      <c r="BA917" s="418"/>
      <c r="BB917" s="306"/>
    </row>
    <row r="918" spans="1:54" ht="15.75" customHeight="1">
      <c r="A918" s="415"/>
      <c r="B918" s="416"/>
      <c r="C918" s="417"/>
      <c r="D918" s="418"/>
      <c r="E918" s="418"/>
      <c r="F918" s="419"/>
      <c r="G918" s="420"/>
      <c r="H918" s="421"/>
      <c r="I918" s="421"/>
      <c r="J918" s="422"/>
      <c r="K918" s="418"/>
      <c r="L918" s="418"/>
      <c r="M918" s="418"/>
      <c r="N918" s="421"/>
      <c r="O918" s="421"/>
      <c r="P918" s="421"/>
      <c r="Q918" s="418"/>
      <c r="R918" s="1022"/>
      <c r="S918" s="1022"/>
      <c r="T918" s="418"/>
      <c r="U918" s="418"/>
      <c r="V918" s="418"/>
      <c r="W918" s="418"/>
      <c r="X918" s="418"/>
      <c r="Y918" s="418"/>
      <c r="Z918" s="418"/>
      <c r="AA918" s="418"/>
      <c r="AB918" s="418"/>
      <c r="AC918" s="418"/>
      <c r="AD918" s="418"/>
      <c r="AE918" s="418"/>
      <c r="AF918" s="418"/>
      <c r="AG918" s="418"/>
      <c r="AH918" s="418"/>
      <c r="AI918" s="418"/>
      <c r="AJ918" s="418"/>
      <c r="AK918" s="418"/>
      <c r="AL918" s="418"/>
      <c r="AM918" s="418"/>
      <c r="AN918" s="423"/>
      <c r="AO918" s="423"/>
      <c r="AP918" s="423"/>
      <c r="AQ918" s="423"/>
      <c r="AR918" s="423"/>
      <c r="AS918" s="423"/>
      <c r="AT918" s="423"/>
      <c r="AU918" s="423"/>
      <c r="AV918" s="423"/>
      <c r="AW918" s="418"/>
      <c r="AX918" s="418"/>
      <c r="AY918" s="418"/>
      <c r="AZ918" s="418"/>
      <c r="BA918" s="418"/>
      <c r="BB918" s="306"/>
    </row>
    <row r="919" spans="1:54" ht="15.75" customHeight="1">
      <c r="A919" s="415"/>
      <c r="B919" s="416"/>
      <c r="C919" s="417"/>
      <c r="D919" s="418"/>
      <c r="E919" s="418"/>
      <c r="F919" s="419"/>
      <c r="G919" s="420"/>
      <c r="H919" s="421"/>
      <c r="I919" s="421"/>
      <c r="J919" s="422"/>
      <c r="K919" s="418"/>
      <c r="L919" s="418"/>
      <c r="M919" s="418"/>
      <c r="N919" s="421"/>
      <c r="O919" s="421"/>
      <c r="P919" s="421"/>
      <c r="Q919" s="418"/>
      <c r="R919" s="1022"/>
      <c r="S919" s="1022"/>
      <c r="T919" s="418"/>
      <c r="U919" s="418"/>
      <c r="V919" s="418"/>
      <c r="W919" s="418"/>
      <c r="X919" s="418"/>
      <c r="Y919" s="418"/>
      <c r="Z919" s="418"/>
      <c r="AA919" s="418"/>
      <c r="AB919" s="418"/>
      <c r="AC919" s="418"/>
      <c r="AD919" s="418"/>
      <c r="AE919" s="418"/>
      <c r="AF919" s="418"/>
      <c r="AG919" s="418"/>
      <c r="AH919" s="418"/>
      <c r="AI919" s="418"/>
      <c r="AJ919" s="418"/>
      <c r="AK919" s="418"/>
      <c r="AL919" s="418"/>
      <c r="AM919" s="418"/>
      <c r="AN919" s="423"/>
      <c r="AO919" s="423"/>
      <c r="AP919" s="423"/>
      <c r="AQ919" s="423"/>
      <c r="AR919" s="423"/>
      <c r="AS919" s="423"/>
      <c r="AT919" s="423"/>
      <c r="AU919" s="423"/>
      <c r="AV919" s="423"/>
      <c r="AW919" s="418"/>
      <c r="AX919" s="418"/>
      <c r="AY919" s="418"/>
      <c r="AZ919" s="418"/>
      <c r="BA919" s="418"/>
      <c r="BB919" s="306"/>
    </row>
    <row r="920" spans="1:54" ht="15.75" customHeight="1">
      <c r="A920" s="415"/>
      <c r="B920" s="416"/>
      <c r="C920" s="417"/>
      <c r="D920" s="418"/>
      <c r="E920" s="418"/>
      <c r="F920" s="419"/>
      <c r="G920" s="420"/>
      <c r="H920" s="421"/>
      <c r="I920" s="421"/>
      <c r="J920" s="422"/>
      <c r="K920" s="418"/>
      <c r="L920" s="418"/>
      <c r="M920" s="418"/>
      <c r="N920" s="421"/>
      <c r="O920" s="421"/>
      <c r="P920" s="421"/>
      <c r="Q920" s="418"/>
      <c r="R920" s="1022"/>
      <c r="S920" s="1022"/>
      <c r="T920" s="418"/>
      <c r="U920" s="418"/>
      <c r="V920" s="418"/>
      <c r="W920" s="418"/>
      <c r="X920" s="418"/>
      <c r="Y920" s="418"/>
      <c r="Z920" s="418"/>
      <c r="AA920" s="418"/>
      <c r="AB920" s="418"/>
      <c r="AC920" s="418"/>
      <c r="AD920" s="418"/>
      <c r="AE920" s="418"/>
      <c r="AF920" s="418"/>
      <c r="AG920" s="418"/>
      <c r="AH920" s="418"/>
      <c r="AI920" s="418"/>
      <c r="AJ920" s="418"/>
      <c r="AK920" s="418"/>
      <c r="AL920" s="418"/>
      <c r="AM920" s="418"/>
      <c r="AN920" s="423"/>
      <c r="AO920" s="423"/>
      <c r="AP920" s="423"/>
      <c r="AQ920" s="423"/>
      <c r="AR920" s="423"/>
      <c r="AS920" s="423"/>
      <c r="AT920" s="423"/>
      <c r="AU920" s="423"/>
      <c r="AV920" s="423"/>
      <c r="AW920" s="418"/>
      <c r="AX920" s="418"/>
      <c r="AY920" s="418"/>
      <c r="AZ920" s="418"/>
      <c r="BA920" s="418"/>
      <c r="BB920" s="306"/>
    </row>
    <row r="921" spans="1:54" ht="15.75" customHeight="1">
      <c r="A921" s="415"/>
      <c r="B921" s="416"/>
      <c r="C921" s="417"/>
      <c r="D921" s="418"/>
      <c r="E921" s="418"/>
      <c r="F921" s="419"/>
      <c r="G921" s="420"/>
      <c r="H921" s="421"/>
      <c r="I921" s="421"/>
      <c r="J921" s="422"/>
      <c r="K921" s="418"/>
      <c r="L921" s="418"/>
      <c r="M921" s="418"/>
      <c r="N921" s="421"/>
      <c r="O921" s="421"/>
      <c r="P921" s="421"/>
      <c r="Q921" s="418"/>
      <c r="R921" s="1022"/>
      <c r="S921" s="1022"/>
      <c r="T921" s="418"/>
      <c r="U921" s="418"/>
      <c r="V921" s="418"/>
      <c r="W921" s="418"/>
      <c r="X921" s="418"/>
      <c r="Y921" s="418"/>
      <c r="Z921" s="418"/>
      <c r="AA921" s="418"/>
      <c r="AB921" s="418"/>
      <c r="AC921" s="418"/>
      <c r="AD921" s="418"/>
      <c r="AE921" s="418"/>
      <c r="AF921" s="418"/>
      <c r="AG921" s="418"/>
      <c r="AH921" s="418"/>
      <c r="AI921" s="418"/>
      <c r="AJ921" s="418"/>
      <c r="AK921" s="418"/>
      <c r="AL921" s="418"/>
      <c r="AM921" s="418"/>
      <c r="AN921" s="423"/>
      <c r="AO921" s="423"/>
      <c r="AP921" s="423"/>
      <c r="AQ921" s="423"/>
      <c r="AR921" s="423"/>
      <c r="AS921" s="423"/>
      <c r="AT921" s="423"/>
      <c r="AU921" s="423"/>
      <c r="AV921" s="423"/>
      <c r="AW921" s="418"/>
      <c r="AX921" s="418"/>
      <c r="AY921" s="418"/>
      <c r="AZ921" s="418"/>
      <c r="BA921" s="418"/>
      <c r="BB921" s="306"/>
    </row>
    <row r="922" spans="1:54" ht="15.75" customHeight="1">
      <c r="A922" s="415"/>
      <c r="B922" s="416"/>
      <c r="C922" s="417"/>
      <c r="D922" s="418"/>
      <c r="E922" s="418"/>
      <c r="F922" s="419"/>
      <c r="G922" s="420"/>
      <c r="H922" s="421"/>
      <c r="I922" s="421"/>
      <c r="J922" s="422"/>
      <c r="K922" s="418"/>
      <c r="L922" s="418"/>
      <c r="M922" s="418"/>
      <c r="N922" s="421"/>
      <c r="O922" s="421"/>
      <c r="P922" s="421"/>
      <c r="Q922" s="418"/>
      <c r="R922" s="1022"/>
      <c r="S922" s="1022"/>
      <c r="T922" s="418"/>
      <c r="U922" s="418"/>
      <c r="V922" s="418"/>
      <c r="W922" s="418"/>
      <c r="X922" s="418"/>
      <c r="Y922" s="418"/>
      <c r="Z922" s="418"/>
      <c r="AA922" s="418"/>
      <c r="AB922" s="418"/>
      <c r="AC922" s="418"/>
      <c r="AD922" s="418"/>
      <c r="AE922" s="418"/>
      <c r="AF922" s="418"/>
      <c r="AG922" s="418"/>
      <c r="AH922" s="418"/>
      <c r="AI922" s="418"/>
      <c r="AJ922" s="418"/>
      <c r="AK922" s="418"/>
      <c r="AL922" s="418"/>
      <c r="AM922" s="418"/>
      <c r="AN922" s="423"/>
      <c r="AO922" s="423"/>
      <c r="AP922" s="423"/>
      <c r="AQ922" s="423"/>
      <c r="AR922" s="423"/>
      <c r="AS922" s="423"/>
      <c r="AT922" s="423"/>
      <c r="AU922" s="423"/>
      <c r="AV922" s="423"/>
      <c r="AW922" s="418"/>
      <c r="AX922" s="418"/>
      <c r="AY922" s="418"/>
      <c r="AZ922" s="418"/>
      <c r="BA922" s="418"/>
      <c r="BB922" s="306"/>
    </row>
    <row r="923" spans="1:54" ht="15.75" customHeight="1">
      <c r="A923" s="415"/>
      <c r="B923" s="416"/>
      <c r="C923" s="417"/>
      <c r="D923" s="418"/>
      <c r="E923" s="418"/>
      <c r="F923" s="419"/>
      <c r="G923" s="420"/>
      <c r="H923" s="421"/>
      <c r="I923" s="421"/>
      <c r="J923" s="422"/>
      <c r="K923" s="418"/>
      <c r="L923" s="418"/>
      <c r="M923" s="418"/>
      <c r="N923" s="421"/>
      <c r="O923" s="421"/>
      <c r="P923" s="421"/>
      <c r="Q923" s="418"/>
      <c r="R923" s="1022"/>
      <c r="S923" s="1022"/>
      <c r="T923" s="418"/>
      <c r="U923" s="418"/>
      <c r="V923" s="418"/>
      <c r="W923" s="418"/>
      <c r="X923" s="418"/>
      <c r="Y923" s="418"/>
      <c r="Z923" s="418"/>
      <c r="AA923" s="418"/>
      <c r="AB923" s="418"/>
      <c r="AC923" s="418"/>
      <c r="AD923" s="418"/>
      <c r="AE923" s="418"/>
      <c r="AF923" s="418"/>
      <c r="AG923" s="418"/>
      <c r="AH923" s="418"/>
      <c r="AI923" s="418"/>
      <c r="AJ923" s="418"/>
      <c r="AK923" s="418"/>
      <c r="AL923" s="418"/>
      <c r="AM923" s="418"/>
      <c r="AN923" s="423"/>
      <c r="AO923" s="423"/>
      <c r="AP923" s="423"/>
      <c r="AQ923" s="423"/>
      <c r="AR923" s="423"/>
      <c r="AS923" s="423"/>
      <c r="AT923" s="423"/>
      <c r="AU923" s="423"/>
      <c r="AV923" s="423"/>
      <c r="AW923" s="418"/>
      <c r="AX923" s="418"/>
      <c r="AY923" s="418"/>
      <c r="AZ923" s="418"/>
      <c r="BA923" s="418"/>
      <c r="BB923" s="306"/>
    </row>
    <row r="924" spans="1:54" ht="15.75" customHeight="1">
      <c r="A924" s="415"/>
      <c r="B924" s="416"/>
      <c r="C924" s="417"/>
      <c r="D924" s="418"/>
      <c r="E924" s="418"/>
      <c r="F924" s="419"/>
      <c r="G924" s="420"/>
      <c r="H924" s="421"/>
      <c r="I924" s="421"/>
      <c r="J924" s="422"/>
      <c r="K924" s="418"/>
      <c r="L924" s="418"/>
      <c r="M924" s="418"/>
      <c r="N924" s="421"/>
      <c r="O924" s="421"/>
      <c r="P924" s="421"/>
      <c r="Q924" s="418"/>
      <c r="R924" s="1022"/>
      <c r="S924" s="1022"/>
      <c r="T924" s="418"/>
      <c r="U924" s="418"/>
      <c r="V924" s="418"/>
      <c r="W924" s="418"/>
      <c r="X924" s="418"/>
      <c r="Y924" s="418"/>
      <c r="Z924" s="418"/>
      <c r="AA924" s="418"/>
      <c r="AB924" s="418"/>
      <c r="AC924" s="418"/>
      <c r="AD924" s="418"/>
      <c r="AE924" s="418"/>
      <c r="AF924" s="418"/>
      <c r="AG924" s="418"/>
      <c r="AH924" s="418"/>
      <c r="AI924" s="418"/>
      <c r="AJ924" s="418"/>
      <c r="AK924" s="418"/>
      <c r="AL924" s="418"/>
      <c r="AM924" s="418"/>
      <c r="AN924" s="423"/>
      <c r="AO924" s="423"/>
      <c r="AP924" s="423"/>
      <c r="AQ924" s="423"/>
      <c r="AR924" s="423"/>
      <c r="AS924" s="423"/>
      <c r="AT924" s="423"/>
      <c r="AU924" s="423"/>
      <c r="AV924" s="423"/>
      <c r="AW924" s="418"/>
      <c r="AX924" s="418"/>
      <c r="AY924" s="418"/>
      <c r="AZ924" s="418"/>
      <c r="BA924" s="418"/>
      <c r="BB924" s="306"/>
    </row>
    <row r="925" spans="1:54" ht="15.75" customHeight="1">
      <c r="A925" s="415"/>
      <c r="B925" s="416"/>
      <c r="C925" s="417"/>
      <c r="D925" s="418"/>
      <c r="E925" s="418"/>
      <c r="F925" s="419"/>
      <c r="G925" s="420"/>
      <c r="H925" s="421"/>
      <c r="I925" s="421"/>
      <c r="J925" s="422"/>
      <c r="K925" s="418"/>
      <c r="L925" s="418"/>
      <c r="M925" s="418"/>
      <c r="N925" s="421"/>
      <c r="O925" s="421"/>
      <c r="P925" s="421"/>
      <c r="Q925" s="418"/>
      <c r="R925" s="1022"/>
      <c r="S925" s="1022"/>
      <c r="T925" s="418"/>
      <c r="U925" s="418"/>
      <c r="V925" s="418"/>
      <c r="W925" s="418"/>
      <c r="X925" s="418"/>
      <c r="Y925" s="418"/>
      <c r="Z925" s="418"/>
      <c r="AA925" s="418"/>
      <c r="AB925" s="418"/>
      <c r="AC925" s="418"/>
      <c r="AD925" s="418"/>
      <c r="AE925" s="418"/>
      <c r="AF925" s="418"/>
      <c r="AG925" s="418"/>
      <c r="AH925" s="418"/>
      <c r="AI925" s="418"/>
      <c r="AJ925" s="418"/>
      <c r="AK925" s="418"/>
      <c r="AL925" s="418"/>
      <c r="AM925" s="418"/>
      <c r="AN925" s="423"/>
      <c r="AO925" s="423"/>
      <c r="AP925" s="423"/>
      <c r="AQ925" s="423"/>
      <c r="AR925" s="423"/>
      <c r="AS925" s="423"/>
      <c r="AT925" s="423"/>
      <c r="AU925" s="423"/>
      <c r="AV925" s="423"/>
      <c r="AW925" s="418"/>
      <c r="AX925" s="418"/>
      <c r="AY925" s="418"/>
      <c r="AZ925" s="418"/>
      <c r="BA925" s="418"/>
      <c r="BB925" s="306"/>
    </row>
    <row r="926" spans="1:54" ht="15.75" customHeight="1">
      <c r="A926" s="415"/>
      <c r="B926" s="416"/>
      <c r="C926" s="417"/>
      <c r="D926" s="418"/>
      <c r="E926" s="418"/>
      <c r="F926" s="419"/>
      <c r="G926" s="420"/>
      <c r="H926" s="421"/>
      <c r="I926" s="421"/>
      <c r="J926" s="422"/>
      <c r="K926" s="418"/>
      <c r="L926" s="418"/>
      <c r="M926" s="418"/>
      <c r="N926" s="421"/>
      <c r="O926" s="421"/>
      <c r="P926" s="421"/>
      <c r="Q926" s="418"/>
      <c r="R926" s="1022"/>
      <c r="S926" s="1022"/>
      <c r="T926" s="418"/>
      <c r="U926" s="418"/>
      <c r="V926" s="418"/>
      <c r="W926" s="418"/>
      <c r="X926" s="418"/>
      <c r="Y926" s="418"/>
      <c r="Z926" s="418"/>
      <c r="AA926" s="418"/>
      <c r="AB926" s="418"/>
      <c r="AC926" s="418"/>
      <c r="AD926" s="418"/>
      <c r="AE926" s="418"/>
      <c r="AF926" s="418"/>
      <c r="AG926" s="418"/>
      <c r="AH926" s="418"/>
      <c r="AI926" s="418"/>
      <c r="AJ926" s="418"/>
      <c r="AK926" s="418"/>
      <c r="AL926" s="418"/>
      <c r="AM926" s="418"/>
      <c r="AN926" s="423"/>
      <c r="AO926" s="423"/>
      <c r="AP926" s="423"/>
      <c r="AQ926" s="423"/>
      <c r="AR926" s="423"/>
      <c r="AS926" s="423"/>
      <c r="AT926" s="423"/>
      <c r="AU926" s="423"/>
      <c r="AV926" s="423"/>
      <c r="AW926" s="418"/>
      <c r="AX926" s="418"/>
      <c r="AY926" s="418"/>
      <c r="AZ926" s="418"/>
      <c r="BA926" s="418"/>
      <c r="BB926" s="306"/>
    </row>
    <row r="927" spans="1:54" ht="15.75" customHeight="1">
      <c r="A927" s="415"/>
      <c r="B927" s="416"/>
      <c r="C927" s="417"/>
      <c r="D927" s="418"/>
      <c r="E927" s="418"/>
      <c r="F927" s="419"/>
      <c r="G927" s="420"/>
      <c r="H927" s="421"/>
      <c r="I927" s="421"/>
      <c r="J927" s="422"/>
      <c r="K927" s="418"/>
      <c r="L927" s="418"/>
      <c r="M927" s="418"/>
      <c r="N927" s="421"/>
      <c r="O927" s="421"/>
      <c r="P927" s="421"/>
      <c r="Q927" s="418"/>
      <c r="R927" s="1022"/>
      <c r="S927" s="1022"/>
      <c r="T927" s="418"/>
      <c r="U927" s="418"/>
      <c r="V927" s="418"/>
      <c r="W927" s="418"/>
      <c r="X927" s="418"/>
      <c r="Y927" s="418"/>
      <c r="Z927" s="418"/>
      <c r="AA927" s="418"/>
      <c r="AB927" s="418"/>
      <c r="AC927" s="418"/>
      <c r="AD927" s="418"/>
      <c r="AE927" s="418"/>
      <c r="AF927" s="418"/>
      <c r="AG927" s="418"/>
      <c r="AH927" s="418"/>
      <c r="AI927" s="418"/>
      <c r="AJ927" s="418"/>
      <c r="AK927" s="418"/>
      <c r="AL927" s="418"/>
      <c r="AM927" s="418"/>
      <c r="AN927" s="423"/>
      <c r="AO927" s="423"/>
      <c r="AP927" s="423"/>
      <c r="AQ927" s="423"/>
      <c r="AR927" s="423"/>
      <c r="AS927" s="423"/>
      <c r="AT927" s="423"/>
      <c r="AU927" s="423"/>
      <c r="AV927" s="423"/>
      <c r="AW927" s="418"/>
      <c r="AX927" s="418"/>
      <c r="AY927" s="418"/>
      <c r="AZ927" s="418"/>
      <c r="BA927" s="418"/>
      <c r="BB927" s="306"/>
    </row>
    <row r="928" spans="1:54" ht="15.75" customHeight="1">
      <c r="A928" s="415"/>
      <c r="B928" s="416"/>
      <c r="C928" s="417"/>
      <c r="D928" s="418"/>
      <c r="E928" s="418"/>
      <c r="F928" s="419"/>
      <c r="G928" s="420"/>
      <c r="H928" s="421"/>
      <c r="I928" s="421"/>
      <c r="J928" s="422"/>
      <c r="K928" s="418"/>
      <c r="L928" s="418"/>
      <c r="M928" s="418"/>
      <c r="N928" s="421"/>
      <c r="O928" s="421"/>
      <c r="P928" s="421"/>
      <c r="Q928" s="418"/>
      <c r="R928" s="1022"/>
      <c r="S928" s="1022"/>
      <c r="T928" s="418"/>
      <c r="U928" s="418"/>
      <c r="V928" s="418"/>
      <c r="W928" s="418"/>
      <c r="X928" s="418"/>
      <c r="Y928" s="418"/>
      <c r="Z928" s="418"/>
      <c r="AA928" s="418"/>
      <c r="AB928" s="418"/>
      <c r="AC928" s="418"/>
      <c r="AD928" s="418"/>
      <c r="AE928" s="418"/>
      <c r="AF928" s="418"/>
      <c r="AG928" s="418"/>
      <c r="AH928" s="418"/>
      <c r="AI928" s="418"/>
      <c r="AJ928" s="418"/>
      <c r="AK928" s="418"/>
      <c r="AL928" s="418"/>
      <c r="AM928" s="418"/>
      <c r="AN928" s="423"/>
      <c r="AO928" s="423"/>
      <c r="AP928" s="423"/>
      <c r="AQ928" s="423"/>
      <c r="AR928" s="423"/>
      <c r="AS928" s="423"/>
      <c r="AT928" s="423"/>
      <c r="AU928" s="423"/>
      <c r="AV928" s="423"/>
      <c r="AW928" s="418"/>
      <c r="AX928" s="418"/>
      <c r="AY928" s="418"/>
      <c r="AZ928" s="418"/>
      <c r="BA928" s="418"/>
      <c r="BB928" s="306"/>
    </row>
    <row r="929" spans="1:54" ht="15.75" customHeight="1">
      <c r="A929" s="415"/>
      <c r="B929" s="416"/>
      <c r="C929" s="417"/>
      <c r="D929" s="418"/>
      <c r="E929" s="418"/>
      <c r="F929" s="419"/>
      <c r="G929" s="420"/>
      <c r="H929" s="421"/>
      <c r="I929" s="421"/>
      <c r="J929" s="422"/>
      <c r="K929" s="418"/>
      <c r="L929" s="418"/>
      <c r="M929" s="418"/>
      <c r="N929" s="421"/>
      <c r="O929" s="421"/>
      <c r="P929" s="421"/>
      <c r="Q929" s="418"/>
      <c r="R929" s="1022"/>
      <c r="S929" s="1022"/>
      <c r="T929" s="418"/>
      <c r="U929" s="418"/>
      <c r="V929" s="418"/>
      <c r="W929" s="418"/>
      <c r="X929" s="418"/>
      <c r="Y929" s="418"/>
      <c r="Z929" s="418"/>
      <c r="AA929" s="418"/>
      <c r="AB929" s="418"/>
      <c r="AC929" s="418"/>
      <c r="AD929" s="418"/>
      <c r="AE929" s="418"/>
      <c r="AF929" s="418"/>
      <c r="AG929" s="418"/>
      <c r="AH929" s="418"/>
      <c r="AI929" s="418"/>
      <c r="AJ929" s="418"/>
      <c r="AK929" s="418"/>
      <c r="AL929" s="418"/>
      <c r="AM929" s="418"/>
      <c r="AN929" s="423"/>
      <c r="AO929" s="423"/>
      <c r="AP929" s="423"/>
      <c r="AQ929" s="423"/>
      <c r="AR929" s="423"/>
      <c r="AS929" s="423"/>
      <c r="AT929" s="423"/>
      <c r="AU929" s="423"/>
      <c r="AV929" s="423"/>
      <c r="AW929" s="418"/>
      <c r="AX929" s="418"/>
      <c r="AY929" s="418"/>
      <c r="AZ929" s="418"/>
      <c r="BA929" s="418"/>
      <c r="BB929" s="306"/>
    </row>
    <row r="930" spans="1:54" ht="15.75" customHeight="1">
      <c r="A930" s="415"/>
      <c r="B930" s="416"/>
      <c r="C930" s="417"/>
      <c r="D930" s="418"/>
      <c r="E930" s="418"/>
      <c r="F930" s="419"/>
      <c r="G930" s="420"/>
      <c r="H930" s="421"/>
      <c r="I930" s="421"/>
      <c r="J930" s="422"/>
      <c r="K930" s="418"/>
      <c r="L930" s="418"/>
      <c r="M930" s="418"/>
      <c r="N930" s="421"/>
      <c r="O930" s="421"/>
      <c r="P930" s="421"/>
      <c r="Q930" s="418"/>
      <c r="R930" s="1022"/>
      <c r="S930" s="1022"/>
      <c r="T930" s="418"/>
      <c r="U930" s="418"/>
      <c r="V930" s="418"/>
      <c r="W930" s="418"/>
      <c r="X930" s="418"/>
      <c r="Y930" s="418"/>
      <c r="Z930" s="418"/>
      <c r="AA930" s="418"/>
      <c r="AB930" s="418"/>
      <c r="AC930" s="418"/>
      <c r="AD930" s="418"/>
      <c r="AE930" s="418"/>
      <c r="AF930" s="418"/>
      <c r="AG930" s="418"/>
      <c r="AH930" s="418"/>
      <c r="AI930" s="418"/>
      <c r="AJ930" s="418"/>
      <c r="AK930" s="418"/>
      <c r="AL930" s="418"/>
      <c r="AM930" s="418"/>
      <c r="AN930" s="423"/>
      <c r="AO930" s="423"/>
      <c r="AP930" s="423"/>
      <c r="AQ930" s="423"/>
      <c r="AR930" s="423"/>
      <c r="AS930" s="423"/>
      <c r="AT930" s="423"/>
      <c r="AU930" s="423"/>
      <c r="AV930" s="423"/>
      <c r="AW930" s="418"/>
      <c r="AX930" s="418"/>
      <c r="AY930" s="418"/>
      <c r="AZ930" s="418"/>
      <c r="BA930" s="418"/>
      <c r="BB930" s="306"/>
    </row>
    <row r="931" spans="1:54" ht="15.75" customHeight="1">
      <c r="A931" s="415"/>
      <c r="B931" s="416"/>
      <c r="C931" s="417"/>
      <c r="D931" s="418"/>
      <c r="E931" s="418"/>
      <c r="F931" s="419"/>
      <c r="G931" s="420"/>
      <c r="H931" s="421"/>
      <c r="I931" s="421"/>
      <c r="J931" s="422"/>
      <c r="K931" s="418"/>
      <c r="L931" s="418"/>
      <c r="M931" s="418"/>
      <c r="N931" s="421"/>
      <c r="O931" s="421"/>
      <c r="P931" s="421"/>
      <c r="Q931" s="418"/>
      <c r="R931" s="1022"/>
      <c r="S931" s="1022"/>
      <c r="T931" s="418"/>
      <c r="U931" s="418"/>
      <c r="V931" s="418"/>
      <c r="W931" s="418"/>
      <c r="X931" s="418"/>
      <c r="Y931" s="418"/>
      <c r="Z931" s="418"/>
      <c r="AA931" s="418"/>
      <c r="AB931" s="418"/>
      <c r="AC931" s="418"/>
      <c r="AD931" s="418"/>
      <c r="AE931" s="418"/>
      <c r="AF931" s="418"/>
      <c r="AG931" s="418"/>
      <c r="AH931" s="418"/>
      <c r="AI931" s="418"/>
      <c r="AJ931" s="418"/>
      <c r="AK931" s="418"/>
      <c r="AL931" s="418"/>
      <c r="AM931" s="418"/>
      <c r="AN931" s="423"/>
      <c r="AO931" s="423"/>
      <c r="AP931" s="423"/>
      <c r="AQ931" s="423"/>
      <c r="AR931" s="423"/>
      <c r="AS931" s="423"/>
      <c r="AT931" s="423"/>
      <c r="AU931" s="423"/>
      <c r="AV931" s="423"/>
      <c r="AW931" s="418"/>
      <c r="AX931" s="418"/>
      <c r="AY931" s="418"/>
      <c r="AZ931" s="418"/>
      <c r="BA931" s="418"/>
      <c r="BB931" s="306"/>
    </row>
    <row r="932" spans="1:54" ht="15.75" customHeight="1">
      <c r="A932" s="415"/>
      <c r="B932" s="416"/>
      <c r="C932" s="417"/>
      <c r="D932" s="418"/>
      <c r="E932" s="418"/>
      <c r="F932" s="419"/>
      <c r="G932" s="420"/>
      <c r="H932" s="421"/>
      <c r="I932" s="421"/>
      <c r="J932" s="422"/>
      <c r="K932" s="418"/>
      <c r="L932" s="418"/>
      <c r="M932" s="418"/>
      <c r="N932" s="421"/>
      <c r="O932" s="421"/>
      <c r="P932" s="421"/>
      <c r="Q932" s="418"/>
      <c r="R932" s="1022"/>
      <c r="S932" s="1022"/>
      <c r="T932" s="418"/>
      <c r="U932" s="418"/>
      <c r="V932" s="418"/>
      <c r="W932" s="418"/>
      <c r="X932" s="418"/>
      <c r="Y932" s="418"/>
      <c r="Z932" s="418"/>
      <c r="AA932" s="418"/>
      <c r="AB932" s="418"/>
      <c r="AC932" s="418"/>
      <c r="AD932" s="418"/>
      <c r="AE932" s="418"/>
      <c r="AF932" s="418"/>
      <c r="AG932" s="418"/>
      <c r="AH932" s="418"/>
      <c r="AI932" s="418"/>
      <c r="AJ932" s="418"/>
      <c r="AK932" s="418"/>
      <c r="AL932" s="418"/>
      <c r="AM932" s="418"/>
      <c r="AN932" s="423"/>
      <c r="AO932" s="423"/>
      <c r="AP932" s="423"/>
      <c r="AQ932" s="423"/>
      <c r="AR932" s="423"/>
      <c r="AS932" s="423"/>
      <c r="AT932" s="423"/>
      <c r="AU932" s="423"/>
      <c r="AV932" s="423"/>
      <c r="AW932" s="418"/>
      <c r="AX932" s="418"/>
      <c r="AY932" s="418"/>
      <c r="AZ932" s="418"/>
      <c r="BA932" s="418"/>
      <c r="BB932" s="306"/>
    </row>
    <row r="933" spans="1:54" ht="15.75" customHeight="1">
      <c r="A933" s="415"/>
      <c r="B933" s="416"/>
      <c r="C933" s="417"/>
      <c r="D933" s="418"/>
      <c r="E933" s="418"/>
      <c r="F933" s="419"/>
      <c r="G933" s="420"/>
      <c r="H933" s="421"/>
      <c r="I933" s="421"/>
      <c r="J933" s="422"/>
      <c r="K933" s="418"/>
      <c r="L933" s="418"/>
      <c r="M933" s="418"/>
      <c r="N933" s="421"/>
      <c r="O933" s="421"/>
      <c r="P933" s="421"/>
      <c r="Q933" s="418"/>
      <c r="R933" s="1022"/>
      <c r="S933" s="1022"/>
      <c r="T933" s="418"/>
      <c r="U933" s="418"/>
      <c r="V933" s="418"/>
      <c r="W933" s="418"/>
      <c r="X933" s="418"/>
      <c r="Y933" s="418"/>
      <c r="Z933" s="418"/>
      <c r="AA933" s="418"/>
      <c r="AB933" s="418"/>
      <c r="AC933" s="418"/>
      <c r="AD933" s="418"/>
      <c r="AE933" s="418"/>
      <c r="AF933" s="418"/>
      <c r="AG933" s="418"/>
      <c r="AH933" s="418"/>
      <c r="AI933" s="418"/>
      <c r="AJ933" s="418"/>
      <c r="AK933" s="418"/>
      <c r="AL933" s="418"/>
      <c r="AM933" s="418"/>
      <c r="AN933" s="423"/>
      <c r="AO933" s="423"/>
      <c r="AP933" s="423"/>
      <c r="AQ933" s="423"/>
      <c r="AR933" s="423"/>
      <c r="AS933" s="423"/>
      <c r="AT933" s="423"/>
      <c r="AU933" s="423"/>
      <c r="AV933" s="423"/>
      <c r="AW933" s="418"/>
      <c r="AX933" s="418"/>
      <c r="AY933" s="418"/>
      <c r="AZ933" s="418"/>
      <c r="BA933" s="418"/>
      <c r="BB933" s="306"/>
    </row>
    <row r="934" spans="1:54" ht="15.75" customHeight="1">
      <c r="A934" s="415"/>
      <c r="B934" s="416"/>
      <c r="C934" s="417"/>
      <c r="D934" s="418"/>
      <c r="E934" s="418"/>
      <c r="F934" s="419"/>
      <c r="G934" s="420"/>
      <c r="H934" s="421"/>
      <c r="I934" s="421"/>
      <c r="J934" s="422"/>
      <c r="K934" s="418"/>
      <c r="L934" s="418"/>
      <c r="M934" s="418"/>
      <c r="N934" s="421"/>
      <c r="O934" s="421"/>
      <c r="P934" s="421"/>
      <c r="Q934" s="418"/>
      <c r="R934" s="1022"/>
      <c r="S934" s="1022"/>
      <c r="T934" s="418"/>
      <c r="U934" s="418"/>
      <c r="V934" s="418"/>
      <c r="W934" s="418"/>
      <c r="X934" s="418"/>
      <c r="Y934" s="418"/>
      <c r="Z934" s="418"/>
      <c r="AA934" s="418"/>
      <c r="AB934" s="418"/>
      <c r="AC934" s="418"/>
      <c r="AD934" s="418"/>
      <c r="AE934" s="418"/>
      <c r="AF934" s="418"/>
      <c r="AG934" s="418"/>
      <c r="AH934" s="418"/>
      <c r="AI934" s="418"/>
      <c r="AJ934" s="418"/>
      <c r="AK934" s="418"/>
      <c r="AL934" s="418"/>
      <c r="AM934" s="418"/>
      <c r="AN934" s="423"/>
      <c r="AO934" s="423"/>
      <c r="AP934" s="423"/>
      <c r="AQ934" s="423"/>
      <c r="AR934" s="423"/>
      <c r="AS934" s="423"/>
      <c r="AT934" s="423"/>
      <c r="AU934" s="423"/>
      <c r="AV934" s="423"/>
      <c r="AW934" s="418"/>
      <c r="AX934" s="418"/>
      <c r="AY934" s="418"/>
      <c r="AZ934" s="418"/>
      <c r="BA934" s="418"/>
      <c r="BB934" s="306"/>
    </row>
    <row r="935" spans="1:54" ht="15.75" customHeight="1">
      <c r="A935" s="415"/>
      <c r="B935" s="416"/>
      <c r="C935" s="417"/>
      <c r="D935" s="418"/>
      <c r="E935" s="418"/>
      <c r="F935" s="419"/>
      <c r="G935" s="420"/>
      <c r="H935" s="421"/>
      <c r="I935" s="421"/>
      <c r="J935" s="422"/>
      <c r="K935" s="418"/>
      <c r="L935" s="418"/>
      <c r="M935" s="418"/>
      <c r="N935" s="421"/>
      <c r="O935" s="421"/>
      <c r="P935" s="421"/>
      <c r="Q935" s="418"/>
      <c r="R935" s="1022"/>
      <c r="S935" s="1022"/>
      <c r="T935" s="418"/>
      <c r="U935" s="418"/>
      <c r="V935" s="418"/>
      <c r="W935" s="418"/>
      <c r="X935" s="418"/>
      <c r="Y935" s="418"/>
      <c r="Z935" s="418"/>
      <c r="AA935" s="418"/>
      <c r="AB935" s="418"/>
      <c r="AC935" s="418"/>
      <c r="AD935" s="418"/>
      <c r="AE935" s="418"/>
      <c r="AF935" s="418"/>
      <c r="AG935" s="418"/>
      <c r="AH935" s="418"/>
      <c r="AI935" s="418"/>
      <c r="AJ935" s="418"/>
      <c r="AK935" s="418"/>
      <c r="AL935" s="418"/>
      <c r="AM935" s="418"/>
      <c r="AN935" s="423"/>
      <c r="AO935" s="423"/>
      <c r="AP935" s="423"/>
      <c r="AQ935" s="423"/>
      <c r="AR935" s="423"/>
      <c r="AS935" s="423"/>
      <c r="AT935" s="423"/>
      <c r="AU935" s="423"/>
      <c r="AV935" s="423"/>
      <c r="AW935" s="418"/>
      <c r="AX935" s="418"/>
      <c r="AY935" s="418"/>
      <c r="AZ935" s="418"/>
      <c r="BA935" s="418"/>
      <c r="BB935" s="306"/>
    </row>
    <row r="936" spans="1:54" ht="15.75" customHeight="1">
      <c r="A936" s="415"/>
      <c r="B936" s="416"/>
      <c r="C936" s="417"/>
      <c r="D936" s="418"/>
      <c r="E936" s="418"/>
      <c r="F936" s="419"/>
      <c r="G936" s="420"/>
      <c r="H936" s="421"/>
      <c r="I936" s="425"/>
      <c r="J936" s="422"/>
      <c r="K936" s="418"/>
      <c r="L936" s="418"/>
      <c r="M936" s="418"/>
      <c r="N936" s="421"/>
      <c r="O936" s="421"/>
      <c r="P936" s="421"/>
      <c r="Q936" s="418"/>
      <c r="R936" s="1022"/>
      <c r="S936" s="1022"/>
      <c r="T936" s="418"/>
      <c r="U936" s="418"/>
      <c r="V936" s="418"/>
      <c r="W936" s="418"/>
      <c r="X936" s="418"/>
      <c r="Y936" s="418"/>
      <c r="Z936" s="418"/>
      <c r="AA936" s="418"/>
      <c r="AB936" s="418"/>
      <c r="AC936" s="418"/>
      <c r="AD936" s="418"/>
      <c r="AE936" s="418"/>
      <c r="AF936" s="418"/>
      <c r="AG936" s="418"/>
      <c r="AH936" s="418"/>
      <c r="AI936" s="418"/>
      <c r="AJ936" s="418"/>
      <c r="AK936" s="418"/>
      <c r="AL936" s="418"/>
      <c r="AM936" s="418"/>
      <c r="AN936" s="423"/>
      <c r="AO936" s="423"/>
      <c r="AP936" s="423"/>
      <c r="AQ936" s="423"/>
      <c r="AR936" s="423"/>
      <c r="AS936" s="423"/>
      <c r="AT936" s="423"/>
      <c r="AU936" s="423"/>
      <c r="AV936" s="423"/>
      <c r="AW936" s="418"/>
      <c r="AX936" s="418"/>
      <c r="AY936" s="418"/>
      <c r="AZ936" s="418"/>
      <c r="BA936" s="418"/>
      <c r="BB936" s="306"/>
    </row>
    <row r="937" spans="1:54" ht="15.75" customHeight="1">
      <c r="A937" s="415"/>
      <c r="B937" s="416"/>
      <c r="C937" s="417"/>
      <c r="D937" s="418"/>
      <c r="E937" s="418"/>
      <c r="F937" s="419"/>
      <c r="G937" s="420"/>
      <c r="H937" s="421"/>
      <c r="I937" s="421"/>
      <c r="J937" s="422"/>
      <c r="K937" s="418"/>
      <c r="L937" s="418"/>
      <c r="M937" s="418"/>
      <c r="N937" s="421"/>
      <c r="O937" s="421"/>
      <c r="P937" s="421"/>
      <c r="Q937" s="418"/>
      <c r="R937" s="1022"/>
      <c r="S937" s="1022"/>
      <c r="T937" s="418"/>
      <c r="U937" s="418"/>
      <c r="V937" s="418"/>
      <c r="W937" s="418"/>
      <c r="X937" s="418"/>
      <c r="Y937" s="418"/>
      <c r="Z937" s="418"/>
      <c r="AA937" s="418"/>
      <c r="AB937" s="418"/>
      <c r="AC937" s="418"/>
      <c r="AD937" s="418"/>
      <c r="AE937" s="418"/>
      <c r="AF937" s="418"/>
      <c r="AG937" s="418"/>
      <c r="AH937" s="418"/>
      <c r="AI937" s="418"/>
      <c r="AJ937" s="418"/>
      <c r="AK937" s="418"/>
      <c r="AL937" s="418"/>
      <c r="AM937" s="418"/>
      <c r="AN937" s="423"/>
      <c r="AO937" s="423"/>
      <c r="AP937" s="423"/>
      <c r="AQ937" s="423"/>
      <c r="AR937" s="423"/>
      <c r="AS937" s="423"/>
      <c r="AT937" s="423"/>
      <c r="AU937" s="423"/>
      <c r="AV937" s="423"/>
      <c r="AW937" s="418"/>
      <c r="AX937" s="418"/>
      <c r="AY937" s="418"/>
      <c r="AZ937" s="418"/>
      <c r="BA937" s="418"/>
      <c r="BB937" s="306"/>
    </row>
    <row r="938" spans="1:54" ht="15.75" customHeight="1">
      <c r="A938" s="415"/>
      <c r="B938" s="416"/>
      <c r="C938" s="417"/>
      <c r="D938" s="418"/>
      <c r="E938" s="418"/>
      <c r="F938" s="419"/>
      <c r="G938" s="420"/>
      <c r="H938" s="421"/>
      <c r="I938" s="425"/>
      <c r="J938" s="422"/>
      <c r="K938" s="418"/>
      <c r="L938" s="418"/>
      <c r="M938" s="418"/>
      <c r="N938" s="421"/>
      <c r="O938" s="421"/>
      <c r="P938" s="421"/>
      <c r="Q938" s="418"/>
      <c r="R938" s="1022"/>
      <c r="S938" s="1022"/>
      <c r="T938" s="418"/>
      <c r="U938" s="418"/>
      <c r="V938" s="418"/>
      <c r="W938" s="418"/>
      <c r="X938" s="418"/>
      <c r="Y938" s="418"/>
      <c r="Z938" s="418"/>
      <c r="AA938" s="418"/>
      <c r="AB938" s="418"/>
      <c r="AC938" s="418"/>
      <c r="AD938" s="418"/>
      <c r="AE938" s="418"/>
      <c r="AF938" s="418"/>
      <c r="AG938" s="418"/>
      <c r="AH938" s="418"/>
      <c r="AI938" s="418"/>
      <c r="AJ938" s="418"/>
      <c r="AK938" s="418"/>
      <c r="AL938" s="418"/>
      <c r="AM938" s="418"/>
      <c r="AN938" s="423"/>
      <c r="AO938" s="423"/>
      <c r="AP938" s="423"/>
      <c r="AQ938" s="423"/>
      <c r="AR938" s="423"/>
      <c r="AS938" s="423"/>
      <c r="AT938" s="423"/>
      <c r="AU938" s="423"/>
      <c r="AV938" s="423"/>
      <c r="AW938" s="418"/>
      <c r="AX938" s="418"/>
      <c r="AY938" s="418"/>
      <c r="AZ938" s="418"/>
      <c r="BA938" s="418"/>
      <c r="BB938" s="306"/>
    </row>
    <row r="939" spans="1:54" ht="15.75" customHeight="1">
      <c r="A939" s="415"/>
      <c r="B939" s="416"/>
      <c r="C939" s="417"/>
      <c r="D939" s="418"/>
      <c r="E939" s="418"/>
      <c r="F939" s="419"/>
      <c r="G939" s="420"/>
      <c r="H939" s="421"/>
      <c r="I939" s="421"/>
      <c r="J939" s="422"/>
      <c r="K939" s="418"/>
      <c r="L939" s="418"/>
      <c r="M939" s="418"/>
      <c r="N939" s="421"/>
      <c r="O939" s="421"/>
      <c r="P939" s="421"/>
      <c r="Q939" s="418"/>
      <c r="R939" s="1022"/>
      <c r="S939" s="1022"/>
      <c r="T939" s="418"/>
      <c r="U939" s="418"/>
      <c r="V939" s="418"/>
      <c r="W939" s="418"/>
      <c r="X939" s="418"/>
      <c r="Y939" s="418"/>
      <c r="Z939" s="418"/>
      <c r="AA939" s="418"/>
      <c r="AB939" s="418"/>
      <c r="AC939" s="418"/>
      <c r="AD939" s="418"/>
      <c r="AE939" s="418"/>
      <c r="AF939" s="418"/>
      <c r="AG939" s="418"/>
      <c r="AH939" s="418"/>
      <c r="AI939" s="418"/>
      <c r="AJ939" s="418"/>
      <c r="AK939" s="418"/>
      <c r="AL939" s="418"/>
      <c r="AM939" s="418"/>
      <c r="AN939" s="423"/>
      <c r="AO939" s="423"/>
      <c r="AP939" s="423"/>
      <c r="AQ939" s="423"/>
      <c r="AR939" s="423"/>
      <c r="AS939" s="423"/>
      <c r="AT939" s="423"/>
      <c r="AU939" s="423"/>
      <c r="AV939" s="423"/>
      <c r="AW939" s="418"/>
      <c r="AX939" s="418"/>
      <c r="AY939" s="418"/>
      <c r="AZ939" s="418"/>
      <c r="BA939" s="418"/>
      <c r="BB939" s="306"/>
    </row>
    <row r="940" spans="1:54" ht="15.75" customHeight="1">
      <c r="A940" s="415"/>
      <c r="B940" s="416"/>
      <c r="C940" s="417"/>
      <c r="D940" s="418"/>
      <c r="E940" s="418"/>
      <c r="F940" s="419"/>
      <c r="G940" s="420"/>
      <c r="H940" s="421"/>
      <c r="I940" s="425"/>
      <c r="J940" s="422"/>
      <c r="K940" s="418"/>
      <c r="L940" s="418"/>
      <c r="M940" s="418"/>
      <c r="N940" s="421"/>
      <c r="O940" s="421"/>
      <c r="P940" s="421"/>
      <c r="Q940" s="418"/>
      <c r="R940" s="1022"/>
      <c r="S940" s="1022"/>
      <c r="T940" s="418"/>
      <c r="U940" s="418"/>
      <c r="V940" s="418"/>
      <c r="W940" s="418"/>
      <c r="X940" s="418"/>
      <c r="Y940" s="418"/>
      <c r="Z940" s="418"/>
      <c r="AA940" s="418"/>
      <c r="AB940" s="418"/>
      <c r="AC940" s="418"/>
      <c r="AD940" s="418"/>
      <c r="AE940" s="418"/>
      <c r="AF940" s="418"/>
      <c r="AG940" s="418"/>
      <c r="AH940" s="418"/>
      <c r="AI940" s="418"/>
      <c r="AJ940" s="418"/>
      <c r="AK940" s="418"/>
      <c r="AL940" s="418"/>
      <c r="AM940" s="418"/>
      <c r="AN940" s="423"/>
      <c r="AO940" s="423"/>
      <c r="AP940" s="423"/>
      <c r="AQ940" s="423"/>
      <c r="AR940" s="423"/>
      <c r="AS940" s="423"/>
      <c r="AT940" s="423"/>
      <c r="AU940" s="423"/>
      <c r="AV940" s="423"/>
      <c r="AW940" s="418"/>
      <c r="AX940" s="418"/>
      <c r="AY940" s="418"/>
      <c r="AZ940" s="418"/>
      <c r="BA940" s="418"/>
      <c r="BB940" s="306"/>
    </row>
    <row r="941" spans="1:54" ht="15.75" customHeight="1">
      <c r="A941" s="415"/>
      <c r="B941" s="416"/>
      <c r="C941" s="417"/>
      <c r="D941" s="418"/>
      <c r="E941" s="418"/>
      <c r="F941" s="419"/>
      <c r="G941" s="420"/>
      <c r="H941" s="421"/>
      <c r="I941" s="421"/>
      <c r="J941" s="422"/>
      <c r="K941" s="418"/>
      <c r="L941" s="418"/>
      <c r="M941" s="418"/>
      <c r="N941" s="421"/>
      <c r="O941" s="421"/>
      <c r="P941" s="421"/>
      <c r="Q941" s="418"/>
      <c r="R941" s="1022"/>
      <c r="S941" s="1022"/>
      <c r="T941" s="418"/>
      <c r="U941" s="418"/>
      <c r="V941" s="418"/>
      <c r="W941" s="418"/>
      <c r="X941" s="418"/>
      <c r="Y941" s="418"/>
      <c r="Z941" s="418"/>
      <c r="AA941" s="418"/>
      <c r="AB941" s="418"/>
      <c r="AC941" s="418"/>
      <c r="AD941" s="418"/>
      <c r="AE941" s="418"/>
      <c r="AF941" s="418"/>
      <c r="AG941" s="418"/>
      <c r="AH941" s="418"/>
      <c r="AI941" s="418"/>
      <c r="AJ941" s="418"/>
      <c r="AK941" s="418"/>
      <c r="AL941" s="418"/>
      <c r="AM941" s="418"/>
      <c r="AN941" s="423"/>
      <c r="AO941" s="423"/>
      <c r="AP941" s="423"/>
      <c r="AQ941" s="423"/>
      <c r="AR941" s="423"/>
      <c r="AS941" s="423"/>
      <c r="AT941" s="423"/>
      <c r="AU941" s="423"/>
      <c r="AV941" s="423"/>
      <c r="AW941" s="418"/>
      <c r="AX941" s="418"/>
      <c r="AY941" s="418"/>
      <c r="AZ941" s="418"/>
      <c r="BA941" s="418"/>
      <c r="BB941" s="306"/>
    </row>
    <row r="942" spans="1:54" ht="15.75" customHeight="1">
      <c r="A942" s="415"/>
      <c r="B942" s="416"/>
      <c r="C942" s="417"/>
      <c r="D942" s="418"/>
      <c r="E942" s="418"/>
      <c r="F942" s="419"/>
      <c r="G942" s="420"/>
      <c r="H942" s="421"/>
      <c r="I942" s="421"/>
      <c r="J942" s="422"/>
      <c r="K942" s="418"/>
      <c r="L942" s="418"/>
      <c r="M942" s="418"/>
      <c r="N942" s="421"/>
      <c r="O942" s="421"/>
      <c r="P942" s="421"/>
      <c r="Q942" s="418"/>
      <c r="R942" s="1022"/>
      <c r="S942" s="1022"/>
      <c r="T942" s="418"/>
      <c r="U942" s="418"/>
      <c r="V942" s="418"/>
      <c r="W942" s="418"/>
      <c r="X942" s="418"/>
      <c r="Y942" s="418"/>
      <c r="Z942" s="418"/>
      <c r="AA942" s="418"/>
      <c r="AB942" s="418"/>
      <c r="AC942" s="418"/>
      <c r="AD942" s="418"/>
      <c r="AE942" s="418"/>
      <c r="AF942" s="418"/>
      <c r="AG942" s="418"/>
      <c r="AH942" s="418"/>
      <c r="AI942" s="418"/>
      <c r="AJ942" s="418"/>
      <c r="AK942" s="418"/>
      <c r="AL942" s="418"/>
      <c r="AM942" s="418"/>
      <c r="AN942" s="423"/>
      <c r="AO942" s="423"/>
      <c r="AP942" s="423"/>
      <c r="AQ942" s="423"/>
      <c r="AR942" s="423"/>
      <c r="AS942" s="423"/>
      <c r="AT942" s="423"/>
      <c r="AU942" s="423"/>
      <c r="AV942" s="423"/>
      <c r="AW942" s="418"/>
      <c r="AX942" s="418"/>
      <c r="AY942" s="418"/>
      <c r="AZ942" s="418"/>
      <c r="BA942" s="418"/>
      <c r="BB942" s="306"/>
    </row>
    <row r="943" spans="1:54" ht="15.75" customHeight="1">
      <c r="A943" s="415"/>
      <c r="B943" s="416"/>
      <c r="C943" s="417"/>
      <c r="D943" s="418"/>
      <c r="E943" s="418"/>
      <c r="F943" s="419"/>
      <c r="G943" s="420"/>
      <c r="H943" s="421"/>
      <c r="I943" s="425"/>
      <c r="J943" s="422"/>
      <c r="K943" s="418"/>
      <c r="L943" s="418"/>
      <c r="M943" s="418"/>
      <c r="N943" s="421"/>
      <c r="O943" s="421"/>
      <c r="P943" s="421"/>
      <c r="Q943" s="418"/>
      <c r="R943" s="1022"/>
      <c r="S943" s="1022"/>
      <c r="T943" s="418"/>
      <c r="U943" s="418"/>
      <c r="V943" s="418"/>
      <c r="W943" s="418"/>
      <c r="X943" s="418"/>
      <c r="Y943" s="418"/>
      <c r="Z943" s="418"/>
      <c r="AA943" s="418"/>
      <c r="AB943" s="418"/>
      <c r="AC943" s="418"/>
      <c r="AD943" s="418"/>
      <c r="AE943" s="418"/>
      <c r="AF943" s="418"/>
      <c r="AG943" s="418"/>
      <c r="AH943" s="418"/>
      <c r="AI943" s="418"/>
      <c r="AJ943" s="418"/>
      <c r="AK943" s="418"/>
      <c r="AL943" s="418"/>
      <c r="AM943" s="418"/>
      <c r="AN943" s="423"/>
      <c r="AO943" s="423"/>
      <c r="AP943" s="423"/>
      <c r="AQ943" s="423"/>
      <c r="AR943" s="423"/>
      <c r="AS943" s="423"/>
      <c r="AT943" s="423"/>
      <c r="AU943" s="423"/>
      <c r="AV943" s="423"/>
      <c r="AW943" s="418"/>
      <c r="AX943" s="418"/>
      <c r="AY943" s="418"/>
      <c r="AZ943" s="418"/>
      <c r="BA943" s="418"/>
      <c r="BB943" s="306"/>
    </row>
    <row r="944" spans="1:54" ht="15.75" customHeight="1">
      <c r="A944" s="415"/>
      <c r="B944" s="416"/>
      <c r="C944" s="417"/>
      <c r="D944" s="418"/>
      <c r="E944" s="418"/>
      <c r="F944" s="419"/>
      <c r="G944" s="420"/>
      <c r="H944" s="421"/>
      <c r="I944" s="421"/>
      <c r="J944" s="422"/>
      <c r="K944" s="418"/>
      <c r="L944" s="418"/>
      <c r="M944" s="418"/>
      <c r="N944" s="421"/>
      <c r="O944" s="421"/>
      <c r="P944" s="421"/>
      <c r="Q944" s="418"/>
      <c r="R944" s="1022"/>
      <c r="S944" s="1022"/>
      <c r="T944" s="418"/>
      <c r="U944" s="418"/>
      <c r="V944" s="418"/>
      <c r="W944" s="418"/>
      <c r="X944" s="418"/>
      <c r="Y944" s="418"/>
      <c r="Z944" s="418"/>
      <c r="AA944" s="418"/>
      <c r="AB944" s="418"/>
      <c r="AC944" s="418"/>
      <c r="AD944" s="418"/>
      <c r="AE944" s="418"/>
      <c r="AF944" s="418"/>
      <c r="AG944" s="418"/>
      <c r="AH944" s="418"/>
      <c r="AI944" s="418"/>
      <c r="AJ944" s="418"/>
      <c r="AK944" s="418"/>
      <c r="AL944" s="418"/>
      <c r="AM944" s="418"/>
      <c r="AN944" s="423"/>
      <c r="AO944" s="423"/>
      <c r="AP944" s="423"/>
      <c r="AQ944" s="423"/>
      <c r="AR944" s="423"/>
      <c r="AS944" s="423"/>
      <c r="AT944" s="423"/>
      <c r="AU944" s="423"/>
      <c r="AV944" s="423"/>
      <c r="AW944" s="418"/>
      <c r="AX944" s="418"/>
      <c r="AY944" s="418"/>
      <c r="AZ944" s="418"/>
      <c r="BA944" s="418"/>
      <c r="BB944" s="306"/>
    </row>
    <row r="945" spans="1:54" ht="15.75" customHeight="1">
      <c r="A945" s="415"/>
      <c r="B945" s="416"/>
      <c r="C945" s="417"/>
      <c r="D945" s="418"/>
      <c r="E945" s="418"/>
      <c r="F945" s="419"/>
      <c r="G945" s="420"/>
      <c r="H945" s="421"/>
      <c r="I945" s="425"/>
      <c r="J945" s="422"/>
      <c r="K945" s="418"/>
      <c r="L945" s="418"/>
      <c r="M945" s="418"/>
      <c r="N945" s="421"/>
      <c r="O945" s="421"/>
      <c r="P945" s="421"/>
      <c r="Q945" s="418"/>
      <c r="R945" s="1022"/>
      <c r="S945" s="1022"/>
      <c r="T945" s="418"/>
      <c r="U945" s="418"/>
      <c r="V945" s="418"/>
      <c r="W945" s="418"/>
      <c r="X945" s="418"/>
      <c r="Y945" s="418"/>
      <c r="Z945" s="418"/>
      <c r="AA945" s="418"/>
      <c r="AB945" s="418"/>
      <c r="AC945" s="418"/>
      <c r="AD945" s="418"/>
      <c r="AE945" s="418"/>
      <c r="AF945" s="418"/>
      <c r="AG945" s="418"/>
      <c r="AH945" s="418"/>
      <c r="AI945" s="418"/>
      <c r="AJ945" s="418"/>
      <c r="AK945" s="418"/>
      <c r="AL945" s="418"/>
      <c r="AM945" s="418"/>
      <c r="AN945" s="423"/>
      <c r="AO945" s="423"/>
      <c r="AP945" s="423"/>
      <c r="AQ945" s="423"/>
      <c r="AR945" s="423"/>
      <c r="AS945" s="423"/>
      <c r="AT945" s="423"/>
      <c r="AU945" s="423"/>
      <c r="AV945" s="423"/>
      <c r="AW945" s="418"/>
      <c r="AX945" s="418"/>
      <c r="AY945" s="418"/>
      <c r="AZ945" s="418"/>
      <c r="BA945" s="418"/>
      <c r="BB945" s="306"/>
    </row>
    <row r="946" spans="1:54" ht="15.75" customHeight="1">
      <c r="A946" s="415"/>
      <c r="B946" s="416"/>
      <c r="C946" s="417"/>
      <c r="D946" s="418"/>
      <c r="E946" s="418"/>
      <c r="F946" s="419"/>
      <c r="G946" s="420"/>
      <c r="H946" s="421"/>
      <c r="I946" s="421"/>
      <c r="J946" s="422"/>
      <c r="K946" s="418"/>
      <c r="L946" s="418"/>
      <c r="M946" s="418"/>
      <c r="N946" s="421"/>
      <c r="O946" s="421"/>
      <c r="P946" s="421"/>
      <c r="Q946" s="418"/>
      <c r="R946" s="1022"/>
      <c r="S946" s="1022"/>
      <c r="T946" s="418"/>
      <c r="U946" s="418"/>
      <c r="V946" s="418"/>
      <c r="W946" s="418"/>
      <c r="X946" s="418"/>
      <c r="Y946" s="418"/>
      <c r="Z946" s="418"/>
      <c r="AA946" s="418"/>
      <c r="AB946" s="418"/>
      <c r="AC946" s="418"/>
      <c r="AD946" s="418"/>
      <c r="AE946" s="418"/>
      <c r="AF946" s="418"/>
      <c r="AG946" s="418"/>
      <c r="AH946" s="418"/>
      <c r="AI946" s="418"/>
      <c r="AJ946" s="418"/>
      <c r="AK946" s="418"/>
      <c r="AL946" s="418"/>
      <c r="AM946" s="418"/>
      <c r="AN946" s="423"/>
      <c r="AO946" s="423"/>
      <c r="AP946" s="423"/>
      <c r="AQ946" s="423"/>
      <c r="AR946" s="423"/>
      <c r="AS946" s="423"/>
      <c r="AT946" s="423"/>
      <c r="AU946" s="423"/>
      <c r="AV946" s="423"/>
      <c r="AW946" s="418"/>
      <c r="AX946" s="418"/>
      <c r="AY946" s="418"/>
      <c r="AZ946" s="418"/>
      <c r="BA946" s="418"/>
      <c r="BB946" s="306"/>
    </row>
    <row r="947" spans="1:54" ht="15.75" customHeight="1">
      <c r="A947" s="415"/>
      <c r="B947" s="416"/>
      <c r="C947" s="417"/>
      <c r="D947" s="418"/>
      <c r="E947" s="418"/>
      <c r="F947" s="419"/>
      <c r="G947" s="420"/>
      <c r="H947" s="421"/>
      <c r="I947" s="425"/>
      <c r="J947" s="422"/>
      <c r="K947" s="418"/>
      <c r="L947" s="418"/>
      <c r="M947" s="418"/>
      <c r="N947" s="421"/>
      <c r="O947" s="421"/>
      <c r="P947" s="421"/>
      <c r="Q947" s="418"/>
      <c r="R947" s="1022"/>
      <c r="S947" s="1022"/>
      <c r="T947" s="418"/>
      <c r="U947" s="418"/>
      <c r="V947" s="418"/>
      <c r="W947" s="418"/>
      <c r="X947" s="418"/>
      <c r="Y947" s="418"/>
      <c r="Z947" s="418"/>
      <c r="AA947" s="418"/>
      <c r="AB947" s="418"/>
      <c r="AC947" s="418"/>
      <c r="AD947" s="418"/>
      <c r="AE947" s="418"/>
      <c r="AF947" s="418"/>
      <c r="AG947" s="418"/>
      <c r="AH947" s="418"/>
      <c r="AI947" s="418"/>
      <c r="AJ947" s="418"/>
      <c r="AK947" s="418"/>
      <c r="AL947" s="418"/>
      <c r="AM947" s="418"/>
      <c r="AN947" s="423"/>
      <c r="AO947" s="423"/>
      <c r="AP947" s="423"/>
      <c r="AQ947" s="423"/>
      <c r="AR947" s="423"/>
      <c r="AS947" s="423"/>
      <c r="AT947" s="423"/>
      <c r="AU947" s="423"/>
      <c r="AV947" s="423"/>
      <c r="AW947" s="418"/>
      <c r="AX947" s="418"/>
      <c r="AY947" s="418"/>
      <c r="AZ947" s="418"/>
      <c r="BA947" s="418"/>
      <c r="BB947" s="306"/>
    </row>
    <row r="948" spans="1:54" ht="15.75" customHeight="1">
      <c r="A948" s="415"/>
      <c r="B948" s="416"/>
      <c r="C948" s="417"/>
      <c r="D948" s="418"/>
      <c r="E948" s="418"/>
      <c r="F948" s="419"/>
      <c r="G948" s="420"/>
      <c r="H948" s="421"/>
      <c r="I948" s="421"/>
      <c r="J948" s="427"/>
      <c r="K948" s="418"/>
      <c r="L948" s="418"/>
      <c r="M948" s="418"/>
      <c r="N948" s="421"/>
      <c r="O948" s="421"/>
      <c r="P948" s="421"/>
      <c r="Q948" s="418"/>
      <c r="R948" s="1022"/>
      <c r="S948" s="1022"/>
      <c r="T948" s="418"/>
      <c r="U948" s="418"/>
      <c r="V948" s="418"/>
      <c r="W948" s="418"/>
      <c r="X948" s="418"/>
      <c r="Y948" s="418"/>
      <c r="Z948" s="418"/>
      <c r="AA948" s="418"/>
      <c r="AB948" s="418"/>
      <c r="AC948" s="418"/>
      <c r="AD948" s="418"/>
      <c r="AE948" s="418"/>
      <c r="AF948" s="418"/>
      <c r="AG948" s="418"/>
      <c r="AH948" s="418"/>
      <c r="AI948" s="418"/>
      <c r="AJ948" s="418"/>
      <c r="AK948" s="418"/>
      <c r="AL948" s="418"/>
      <c r="AM948" s="418"/>
      <c r="AN948" s="423"/>
      <c r="AO948" s="423"/>
      <c r="AP948" s="423"/>
      <c r="AQ948" s="423"/>
      <c r="AR948" s="423"/>
      <c r="AS948" s="423"/>
      <c r="AT948" s="423"/>
      <c r="AU948" s="423"/>
      <c r="AV948" s="423"/>
      <c r="AW948" s="418"/>
      <c r="AX948" s="418"/>
      <c r="AY948" s="418"/>
      <c r="AZ948" s="418"/>
      <c r="BA948" s="418"/>
      <c r="BB948" s="306"/>
    </row>
    <row r="949" spans="1:54" ht="15.75" customHeight="1">
      <c r="A949" s="415"/>
      <c r="B949" s="416"/>
      <c r="C949" s="417"/>
      <c r="D949" s="418"/>
      <c r="E949" s="418"/>
      <c r="F949" s="419"/>
      <c r="G949" s="420"/>
      <c r="H949" s="421"/>
      <c r="I949" s="425"/>
      <c r="J949" s="422"/>
      <c r="K949" s="418"/>
      <c r="L949" s="418"/>
      <c r="M949" s="418"/>
      <c r="N949" s="421"/>
      <c r="O949" s="421"/>
      <c r="P949" s="421"/>
      <c r="Q949" s="418"/>
      <c r="R949" s="1022"/>
      <c r="S949" s="1022"/>
      <c r="T949" s="418"/>
      <c r="U949" s="418"/>
      <c r="V949" s="418"/>
      <c r="W949" s="418"/>
      <c r="X949" s="418"/>
      <c r="Y949" s="418"/>
      <c r="Z949" s="418"/>
      <c r="AA949" s="418"/>
      <c r="AB949" s="418"/>
      <c r="AC949" s="418"/>
      <c r="AD949" s="418"/>
      <c r="AE949" s="418"/>
      <c r="AF949" s="418"/>
      <c r="AG949" s="418"/>
      <c r="AH949" s="418"/>
      <c r="AI949" s="418"/>
      <c r="AJ949" s="418"/>
      <c r="AK949" s="418"/>
      <c r="AL949" s="418"/>
      <c r="AM949" s="418"/>
      <c r="AN949" s="423"/>
      <c r="AO949" s="423"/>
      <c r="AP949" s="423"/>
      <c r="AQ949" s="423"/>
      <c r="AR949" s="423"/>
      <c r="AS949" s="423"/>
      <c r="AT949" s="423"/>
      <c r="AU949" s="423"/>
      <c r="AV949" s="423"/>
      <c r="AW949" s="418"/>
      <c r="AX949" s="418"/>
      <c r="AY949" s="418"/>
      <c r="AZ949" s="418"/>
      <c r="BA949" s="418"/>
      <c r="BB949" s="306"/>
    </row>
    <row r="950" spans="1:54" ht="15.75" customHeight="1">
      <c r="A950" s="415"/>
      <c r="B950" s="416"/>
      <c r="C950" s="417"/>
      <c r="D950" s="418"/>
      <c r="E950" s="418"/>
      <c r="F950" s="419"/>
      <c r="G950" s="420"/>
      <c r="H950" s="421"/>
      <c r="I950" s="421"/>
      <c r="J950" s="422"/>
      <c r="K950" s="418"/>
      <c r="L950" s="418"/>
      <c r="M950" s="418"/>
      <c r="N950" s="421"/>
      <c r="O950" s="421"/>
      <c r="P950" s="421"/>
      <c r="Q950" s="418"/>
      <c r="R950" s="1022"/>
      <c r="S950" s="1022"/>
      <c r="T950" s="418"/>
      <c r="U950" s="418"/>
      <c r="V950" s="418"/>
      <c r="W950" s="418"/>
      <c r="X950" s="418"/>
      <c r="Y950" s="418"/>
      <c r="Z950" s="418"/>
      <c r="AA950" s="418"/>
      <c r="AB950" s="418"/>
      <c r="AC950" s="418"/>
      <c r="AD950" s="418"/>
      <c r="AE950" s="418"/>
      <c r="AF950" s="418"/>
      <c r="AG950" s="418"/>
      <c r="AH950" s="418"/>
      <c r="AI950" s="418"/>
      <c r="AJ950" s="418"/>
      <c r="AK950" s="418"/>
      <c r="AL950" s="418"/>
      <c r="AM950" s="418"/>
      <c r="AN950" s="423"/>
      <c r="AO950" s="423"/>
      <c r="AP950" s="423"/>
      <c r="AQ950" s="423"/>
      <c r="AR950" s="423"/>
      <c r="AS950" s="423"/>
      <c r="AT950" s="423"/>
      <c r="AU950" s="423"/>
      <c r="AV950" s="423"/>
      <c r="AW950" s="418"/>
      <c r="AX950" s="418"/>
      <c r="AY950" s="418"/>
      <c r="AZ950" s="418"/>
      <c r="BA950" s="418"/>
      <c r="BB950" s="306"/>
    </row>
    <row r="951" spans="1:54" ht="15.75" customHeight="1">
      <c r="A951" s="415"/>
      <c r="B951" s="416"/>
      <c r="C951" s="417"/>
      <c r="D951" s="418"/>
      <c r="E951" s="418"/>
      <c r="F951" s="419"/>
      <c r="G951" s="420"/>
      <c r="H951" s="421"/>
      <c r="I951" s="425"/>
      <c r="J951" s="422"/>
      <c r="K951" s="418"/>
      <c r="L951" s="418"/>
      <c r="M951" s="418"/>
      <c r="N951" s="421"/>
      <c r="O951" s="421"/>
      <c r="P951" s="421"/>
      <c r="Q951" s="418"/>
      <c r="R951" s="1022"/>
      <c r="S951" s="1022"/>
      <c r="T951" s="418"/>
      <c r="U951" s="418"/>
      <c r="V951" s="418"/>
      <c r="W951" s="418"/>
      <c r="X951" s="418"/>
      <c r="Y951" s="418"/>
      <c r="Z951" s="418"/>
      <c r="AA951" s="418"/>
      <c r="AB951" s="418"/>
      <c r="AC951" s="418"/>
      <c r="AD951" s="418"/>
      <c r="AE951" s="418"/>
      <c r="AF951" s="418"/>
      <c r="AG951" s="418"/>
      <c r="AH951" s="418"/>
      <c r="AI951" s="418"/>
      <c r="AJ951" s="418"/>
      <c r="AK951" s="418"/>
      <c r="AL951" s="418"/>
      <c r="AM951" s="418"/>
      <c r="AN951" s="423"/>
      <c r="AO951" s="423"/>
      <c r="AP951" s="423"/>
      <c r="AQ951" s="423"/>
      <c r="AR951" s="423"/>
      <c r="AS951" s="423"/>
      <c r="AT951" s="423"/>
      <c r="AU951" s="423"/>
      <c r="AV951" s="423"/>
      <c r="AW951" s="418"/>
      <c r="AX951" s="418"/>
      <c r="AY951" s="418"/>
      <c r="AZ951" s="418"/>
      <c r="BA951" s="418"/>
      <c r="BB951" s="306"/>
    </row>
    <row r="952" spans="1:54" ht="15.75" customHeight="1">
      <c r="A952" s="415"/>
      <c r="B952" s="416"/>
      <c r="C952" s="417"/>
      <c r="D952" s="418"/>
      <c r="E952" s="418"/>
      <c r="F952" s="419"/>
      <c r="G952" s="420"/>
      <c r="H952" s="421"/>
      <c r="I952" s="421"/>
      <c r="J952" s="422"/>
      <c r="K952" s="418"/>
      <c r="L952" s="418"/>
      <c r="M952" s="418"/>
      <c r="N952" s="421"/>
      <c r="O952" s="421"/>
      <c r="P952" s="421"/>
      <c r="Q952" s="418"/>
      <c r="R952" s="1022"/>
      <c r="S952" s="1022"/>
      <c r="T952" s="418"/>
      <c r="U952" s="418"/>
      <c r="V952" s="418"/>
      <c r="W952" s="418"/>
      <c r="X952" s="418"/>
      <c r="Y952" s="418"/>
      <c r="Z952" s="418"/>
      <c r="AA952" s="418"/>
      <c r="AB952" s="418"/>
      <c r="AC952" s="418"/>
      <c r="AD952" s="418"/>
      <c r="AE952" s="418"/>
      <c r="AF952" s="418"/>
      <c r="AG952" s="418"/>
      <c r="AH952" s="418"/>
      <c r="AI952" s="418"/>
      <c r="AJ952" s="418"/>
      <c r="AK952" s="418"/>
      <c r="AL952" s="418"/>
      <c r="AM952" s="418"/>
      <c r="AN952" s="423"/>
      <c r="AO952" s="423"/>
      <c r="AP952" s="423"/>
      <c r="AQ952" s="423"/>
      <c r="AR952" s="423"/>
      <c r="AS952" s="423"/>
      <c r="AT952" s="423"/>
      <c r="AU952" s="423"/>
      <c r="AV952" s="423"/>
      <c r="AW952" s="418"/>
      <c r="AX952" s="418"/>
      <c r="AY952" s="418"/>
      <c r="AZ952" s="418"/>
      <c r="BA952" s="418"/>
      <c r="BB952" s="306"/>
    </row>
    <row r="953" spans="1:54" ht="15.75" customHeight="1">
      <c r="A953" s="415"/>
      <c r="B953" s="416"/>
      <c r="C953" s="417"/>
      <c r="D953" s="418"/>
      <c r="E953" s="418"/>
      <c r="F953" s="419"/>
      <c r="G953" s="420"/>
      <c r="H953" s="421"/>
      <c r="I953" s="421"/>
      <c r="J953" s="422"/>
      <c r="K953" s="418"/>
      <c r="L953" s="418"/>
      <c r="M953" s="418"/>
      <c r="N953" s="421"/>
      <c r="O953" s="421"/>
      <c r="P953" s="421"/>
      <c r="Q953" s="418"/>
      <c r="R953" s="1022"/>
      <c r="S953" s="1022"/>
      <c r="T953" s="418"/>
      <c r="U953" s="418"/>
      <c r="V953" s="418"/>
      <c r="W953" s="418"/>
      <c r="X953" s="418"/>
      <c r="Y953" s="418"/>
      <c r="Z953" s="418"/>
      <c r="AA953" s="418"/>
      <c r="AB953" s="418"/>
      <c r="AC953" s="418"/>
      <c r="AD953" s="418"/>
      <c r="AE953" s="418"/>
      <c r="AF953" s="418"/>
      <c r="AG953" s="418"/>
      <c r="AH953" s="418"/>
      <c r="AI953" s="418"/>
      <c r="AJ953" s="418"/>
      <c r="AK953" s="418"/>
      <c r="AL953" s="418"/>
      <c r="AM953" s="418"/>
      <c r="AN953" s="423"/>
      <c r="AO953" s="423"/>
      <c r="AP953" s="423"/>
      <c r="AQ953" s="423"/>
      <c r="AR953" s="423"/>
      <c r="AS953" s="423"/>
      <c r="AT953" s="423"/>
      <c r="AU953" s="423"/>
      <c r="AV953" s="423"/>
      <c r="AW953" s="418"/>
      <c r="AX953" s="418"/>
      <c r="AY953" s="418"/>
      <c r="AZ953" s="418"/>
      <c r="BA953" s="418"/>
      <c r="BB953" s="306"/>
    </row>
    <row r="954" spans="1:54" ht="15.75" customHeight="1">
      <c r="A954" s="415"/>
      <c r="B954" s="416"/>
      <c r="C954" s="417"/>
      <c r="D954" s="418"/>
      <c r="E954" s="418"/>
      <c r="F954" s="419"/>
      <c r="G954" s="420"/>
      <c r="H954" s="421"/>
      <c r="I954" s="421"/>
      <c r="J954" s="422"/>
      <c r="K954" s="418"/>
      <c r="L954" s="418"/>
      <c r="M954" s="418"/>
      <c r="N954" s="421"/>
      <c r="O954" s="421"/>
      <c r="P954" s="421"/>
      <c r="Q954" s="418"/>
      <c r="R954" s="1022"/>
      <c r="S954" s="1022"/>
      <c r="T954" s="418"/>
      <c r="U954" s="418"/>
      <c r="V954" s="418"/>
      <c r="W954" s="418"/>
      <c r="X954" s="418"/>
      <c r="Y954" s="418"/>
      <c r="Z954" s="418"/>
      <c r="AA954" s="418"/>
      <c r="AB954" s="418"/>
      <c r="AC954" s="418"/>
      <c r="AD954" s="418"/>
      <c r="AE954" s="418"/>
      <c r="AF954" s="418"/>
      <c r="AG954" s="418"/>
      <c r="AH954" s="418"/>
      <c r="AI954" s="418"/>
      <c r="AJ954" s="418"/>
      <c r="AK954" s="418"/>
      <c r="AL954" s="418"/>
      <c r="AM954" s="418"/>
      <c r="AN954" s="423"/>
      <c r="AO954" s="423"/>
      <c r="AP954" s="423"/>
      <c r="AQ954" s="423"/>
      <c r="AR954" s="423"/>
      <c r="AS954" s="423"/>
      <c r="AT954" s="423"/>
      <c r="AU954" s="423"/>
      <c r="AV954" s="423"/>
      <c r="AW954" s="418"/>
      <c r="AX954" s="418"/>
      <c r="AY954" s="418"/>
      <c r="AZ954" s="418"/>
      <c r="BA954" s="418"/>
      <c r="BB954" s="306"/>
    </row>
    <row r="955" spans="1:54" ht="15.75" customHeight="1">
      <c r="A955" s="415"/>
      <c r="B955" s="416"/>
      <c r="C955" s="417"/>
      <c r="D955" s="418"/>
      <c r="E955" s="418"/>
      <c r="F955" s="419"/>
      <c r="G955" s="420"/>
      <c r="H955" s="421"/>
      <c r="I955" s="421"/>
      <c r="J955" s="422"/>
      <c r="K955" s="418"/>
      <c r="L955" s="418"/>
      <c r="M955" s="418"/>
      <c r="N955" s="421"/>
      <c r="O955" s="421"/>
      <c r="P955" s="421"/>
      <c r="Q955" s="418"/>
      <c r="R955" s="1022"/>
      <c r="S955" s="1022"/>
      <c r="T955" s="418"/>
      <c r="U955" s="418"/>
      <c r="V955" s="418"/>
      <c r="W955" s="418"/>
      <c r="X955" s="418"/>
      <c r="Y955" s="418"/>
      <c r="Z955" s="418"/>
      <c r="AA955" s="418"/>
      <c r="AB955" s="418"/>
      <c r="AC955" s="418"/>
      <c r="AD955" s="418"/>
      <c r="AE955" s="418"/>
      <c r="AF955" s="418"/>
      <c r="AG955" s="418"/>
      <c r="AH955" s="418"/>
      <c r="AI955" s="418"/>
      <c r="AJ955" s="418"/>
      <c r="AK955" s="418"/>
      <c r="AL955" s="418"/>
      <c r="AM955" s="418"/>
      <c r="AN955" s="423"/>
      <c r="AO955" s="423"/>
      <c r="AP955" s="423"/>
      <c r="AQ955" s="423"/>
      <c r="AR955" s="423"/>
      <c r="AS955" s="423"/>
      <c r="AT955" s="423"/>
      <c r="AU955" s="423"/>
      <c r="AV955" s="423"/>
      <c r="AW955" s="418"/>
      <c r="AX955" s="418"/>
      <c r="AY955" s="418"/>
      <c r="AZ955" s="418"/>
      <c r="BA955" s="418"/>
      <c r="BB955" s="306"/>
    </row>
    <row r="956" spans="1:54" ht="15.75" customHeight="1">
      <c r="A956" s="415"/>
      <c r="B956" s="416"/>
      <c r="C956" s="417"/>
      <c r="D956" s="418"/>
      <c r="E956" s="418"/>
      <c r="F956" s="419"/>
      <c r="G956" s="420"/>
      <c r="H956" s="421"/>
      <c r="I956" s="421"/>
      <c r="J956" s="422"/>
      <c r="K956" s="418"/>
      <c r="L956" s="418"/>
      <c r="M956" s="418"/>
      <c r="N956" s="421"/>
      <c r="O956" s="421"/>
      <c r="P956" s="421"/>
      <c r="Q956" s="418"/>
      <c r="R956" s="1022"/>
      <c r="S956" s="1022"/>
      <c r="T956" s="418"/>
      <c r="U956" s="418"/>
      <c r="V956" s="418"/>
      <c r="W956" s="418"/>
      <c r="X956" s="418"/>
      <c r="Y956" s="418"/>
      <c r="Z956" s="418"/>
      <c r="AA956" s="418"/>
      <c r="AB956" s="418"/>
      <c r="AC956" s="418"/>
      <c r="AD956" s="418"/>
      <c r="AE956" s="418"/>
      <c r="AF956" s="418"/>
      <c r="AG956" s="418"/>
      <c r="AH956" s="418"/>
      <c r="AI956" s="418"/>
      <c r="AJ956" s="418"/>
      <c r="AK956" s="418"/>
      <c r="AL956" s="418"/>
      <c r="AM956" s="418"/>
      <c r="AN956" s="423"/>
      <c r="AO956" s="423"/>
      <c r="AP956" s="423"/>
      <c r="AQ956" s="423"/>
      <c r="AR956" s="423"/>
      <c r="AS956" s="423"/>
      <c r="AT956" s="423"/>
      <c r="AU956" s="423"/>
      <c r="AV956" s="423"/>
      <c r="AW956" s="418"/>
      <c r="AX956" s="418"/>
      <c r="AY956" s="418"/>
      <c r="AZ956" s="418"/>
      <c r="BA956" s="418"/>
      <c r="BB956" s="306"/>
    </row>
    <row r="957" spans="1:54" ht="15.75" customHeight="1">
      <c r="A957" s="415"/>
      <c r="B957" s="416"/>
      <c r="C957" s="417"/>
      <c r="D957" s="418"/>
      <c r="E957" s="418"/>
      <c r="F957" s="419"/>
      <c r="G957" s="420"/>
      <c r="H957" s="421"/>
      <c r="I957" s="421"/>
      <c r="J957" s="422"/>
      <c r="K957" s="418"/>
      <c r="L957" s="418"/>
      <c r="M957" s="418"/>
      <c r="N957" s="421"/>
      <c r="O957" s="421"/>
      <c r="P957" s="421"/>
      <c r="Q957" s="418"/>
      <c r="R957" s="1022"/>
      <c r="S957" s="1022"/>
      <c r="T957" s="418"/>
      <c r="U957" s="418"/>
      <c r="V957" s="418"/>
      <c r="W957" s="418"/>
      <c r="X957" s="418"/>
      <c r="Y957" s="418"/>
      <c r="Z957" s="418"/>
      <c r="AA957" s="418"/>
      <c r="AB957" s="418"/>
      <c r="AC957" s="418"/>
      <c r="AD957" s="418"/>
      <c r="AE957" s="418"/>
      <c r="AF957" s="418"/>
      <c r="AG957" s="418"/>
      <c r="AH957" s="418"/>
      <c r="AI957" s="418"/>
      <c r="AJ957" s="418"/>
      <c r="AK957" s="418"/>
      <c r="AL957" s="418"/>
      <c r="AM957" s="418"/>
      <c r="AN957" s="423"/>
      <c r="AO957" s="423"/>
      <c r="AP957" s="423"/>
      <c r="AQ957" s="423"/>
      <c r="AR957" s="423"/>
      <c r="AS957" s="423"/>
      <c r="AT957" s="423"/>
      <c r="AU957" s="423"/>
      <c r="AV957" s="423"/>
      <c r="AW957" s="418"/>
      <c r="AX957" s="418"/>
      <c r="AY957" s="418"/>
      <c r="AZ957" s="418"/>
      <c r="BA957" s="418"/>
      <c r="BB957" s="306"/>
    </row>
    <row r="958" spans="1:54" ht="15.75" customHeight="1">
      <c r="A958" s="415"/>
      <c r="B958" s="416"/>
      <c r="C958" s="417"/>
      <c r="D958" s="418"/>
      <c r="E958" s="418"/>
      <c r="F958" s="419"/>
      <c r="G958" s="420"/>
      <c r="H958" s="421"/>
      <c r="I958" s="421"/>
      <c r="J958" s="422"/>
      <c r="K958" s="418"/>
      <c r="L958" s="418"/>
      <c r="M958" s="418"/>
      <c r="N958" s="421"/>
      <c r="O958" s="421"/>
      <c r="P958" s="421"/>
      <c r="Q958" s="418"/>
      <c r="R958" s="1022"/>
      <c r="S958" s="1022"/>
      <c r="T958" s="418"/>
      <c r="U958" s="418"/>
      <c r="V958" s="418"/>
      <c r="W958" s="418"/>
      <c r="X958" s="418"/>
      <c r="Y958" s="418"/>
      <c r="Z958" s="418"/>
      <c r="AA958" s="418"/>
      <c r="AB958" s="418"/>
      <c r="AC958" s="418"/>
      <c r="AD958" s="418"/>
      <c r="AE958" s="418"/>
      <c r="AF958" s="418"/>
      <c r="AG958" s="418"/>
      <c r="AH958" s="418"/>
      <c r="AI958" s="418"/>
      <c r="AJ958" s="418"/>
      <c r="AK958" s="418"/>
      <c r="AL958" s="418"/>
      <c r="AM958" s="418"/>
      <c r="AN958" s="423"/>
      <c r="AO958" s="423"/>
      <c r="AP958" s="423"/>
      <c r="AQ958" s="423"/>
      <c r="AR958" s="423"/>
      <c r="AS958" s="423"/>
      <c r="AT958" s="423"/>
      <c r="AU958" s="423"/>
      <c r="AV958" s="423"/>
      <c r="AW958" s="418"/>
      <c r="AX958" s="418"/>
      <c r="AY958" s="418"/>
      <c r="AZ958" s="418"/>
      <c r="BA958" s="418"/>
      <c r="BB958" s="306"/>
    </row>
    <row r="959" spans="1:54" ht="15.75" customHeight="1">
      <c r="A959" s="415"/>
      <c r="B959" s="416"/>
      <c r="C959" s="417"/>
      <c r="D959" s="418"/>
      <c r="E959" s="418"/>
      <c r="F959" s="419"/>
      <c r="G959" s="420"/>
      <c r="H959" s="421"/>
      <c r="I959" s="421"/>
      <c r="J959" s="422"/>
      <c r="K959" s="418"/>
      <c r="L959" s="418"/>
      <c r="M959" s="418"/>
      <c r="N959" s="421"/>
      <c r="O959" s="421"/>
      <c r="P959" s="421"/>
      <c r="Q959" s="418"/>
      <c r="R959" s="1022"/>
      <c r="S959" s="1022"/>
      <c r="T959" s="418"/>
      <c r="U959" s="418"/>
      <c r="V959" s="418"/>
      <c r="W959" s="418"/>
      <c r="X959" s="418"/>
      <c r="Y959" s="418"/>
      <c r="Z959" s="418"/>
      <c r="AA959" s="418"/>
      <c r="AB959" s="418"/>
      <c r="AC959" s="418"/>
      <c r="AD959" s="418"/>
      <c r="AE959" s="418"/>
      <c r="AF959" s="418"/>
      <c r="AG959" s="418"/>
      <c r="AH959" s="418"/>
      <c r="AI959" s="418"/>
      <c r="AJ959" s="418"/>
      <c r="AK959" s="418"/>
      <c r="AL959" s="418"/>
      <c r="AM959" s="418"/>
      <c r="AN959" s="423"/>
      <c r="AO959" s="423"/>
      <c r="AP959" s="423"/>
      <c r="AQ959" s="423"/>
      <c r="AR959" s="423"/>
      <c r="AS959" s="423"/>
      <c r="AT959" s="423"/>
      <c r="AU959" s="423"/>
      <c r="AV959" s="423"/>
      <c r="AW959" s="418"/>
      <c r="AX959" s="418"/>
      <c r="AY959" s="418"/>
      <c r="AZ959" s="418"/>
      <c r="BA959" s="418"/>
      <c r="BB959" s="306"/>
    </row>
    <row r="960" spans="1:54" ht="15.75" customHeight="1">
      <c r="A960" s="415"/>
      <c r="B960" s="416"/>
      <c r="C960" s="417"/>
      <c r="D960" s="418"/>
      <c r="E960" s="418"/>
      <c r="F960" s="419"/>
      <c r="G960" s="420"/>
      <c r="H960" s="421"/>
      <c r="I960" s="421"/>
      <c r="J960" s="422"/>
      <c r="K960" s="418"/>
      <c r="L960" s="418"/>
      <c r="M960" s="418"/>
      <c r="N960" s="421"/>
      <c r="O960" s="421"/>
      <c r="P960" s="421"/>
      <c r="Q960" s="418"/>
      <c r="R960" s="1022"/>
      <c r="S960" s="1022"/>
      <c r="T960" s="418"/>
      <c r="U960" s="418"/>
      <c r="V960" s="418"/>
      <c r="W960" s="418"/>
      <c r="X960" s="418"/>
      <c r="Y960" s="418"/>
      <c r="Z960" s="418"/>
      <c r="AA960" s="418"/>
      <c r="AB960" s="418"/>
      <c r="AC960" s="418"/>
      <c r="AD960" s="418"/>
      <c r="AE960" s="418"/>
      <c r="AF960" s="418"/>
      <c r="AG960" s="418"/>
      <c r="AH960" s="418"/>
      <c r="AI960" s="418"/>
      <c r="AJ960" s="418"/>
      <c r="AK960" s="418"/>
      <c r="AL960" s="418"/>
      <c r="AM960" s="418"/>
      <c r="AN960" s="423"/>
      <c r="AO960" s="423"/>
      <c r="AP960" s="423"/>
      <c r="AQ960" s="423"/>
      <c r="AR960" s="423"/>
      <c r="AS960" s="423"/>
      <c r="AT960" s="423"/>
      <c r="AU960" s="423"/>
      <c r="AV960" s="423"/>
      <c r="AW960" s="418"/>
      <c r="AX960" s="418"/>
      <c r="AY960" s="418"/>
      <c r="AZ960" s="418"/>
      <c r="BA960" s="418"/>
      <c r="BB960" s="306"/>
    </row>
    <row r="961" spans="1:65" ht="15.75" customHeight="1">
      <c r="A961" s="415"/>
      <c r="B961" s="416"/>
      <c r="C961" s="417"/>
      <c r="D961" s="418"/>
      <c r="E961" s="418"/>
      <c r="F961" s="419"/>
      <c r="G961" s="420"/>
      <c r="H961" s="421"/>
      <c r="I961" s="421"/>
      <c r="J961" s="422"/>
      <c r="K961" s="418"/>
      <c r="L961" s="418"/>
      <c r="M961" s="418"/>
      <c r="N961" s="421"/>
      <c r="O961" s="421"/>
      <c r="P961" s="418"/>
      <c r="Q961" s="418"/>
      <c r="R961" s="1022"/>
      <c r="S961" s="1022"/>
      <c r="T961" s="418"/>
      <c r="U961" s="418"/>
      <c r="V961" s="418"/>
      <c r="W961" s="418"/>
      <c r="X961" s="418"/>
      <c r="Y961" s="418"/>
      <c r="Z961" s="418"/>
      <c r="AA961" s="418"/>
      <c r="AB961" s="418"/>
      <c r="AC961" s="418"/>
      <c r="AD961" s="418"/>
      <c r="AE961" s="418"/>
      <c r="AF961" s="418"/>
      <c r="AG961" s="418"/>
      <c r="AH961" s="418"/>
      <c r="AI961" s="418"/>
      <c r="AJ961" s="418"/>
      <c r="AK961" s="418"/>
      <c r="AL961" s="418"/>
      <c r="AM961" s="418"/>
      <c r="AN961" s="423"/>
      <c r="AO961" s="423"/>
      <c r="AP961" s="423"/>
      <c r="AQ961" s="423"/>
      <c r="AR961" s="423"/>
      <c r="AS961" s="423"/>
      <c r="AT961" s="423"/>
      <c r="AU961" s="423"/>
      <c r="AV961" s="423"/>
      <c r="AW961" s="418"/>
      <c r="AX961" s="418"/>
      <c r="AY961" s="418"/>
      <c r="AZ961" s="418"/>
      <c r="BA961" s="418"/>
      <c r="BB961" s="306"/>
    </row>
    <row r="962" spans="1:65" ht="15.75" customHeight="1">
      <c r="A962" s="415"/>
      <c r="B962" s="416"/>
      <c r="C962" s="417"/>
      <c r="D962" s="418"/>
      <c r="E962" s="418"/>
      <c r="F962" s="419"/>
      <c r="G962" s="420"/>
      <c r="H962" s="421"/>
      <c r="I962" s="421"/>
      <c r="J962" s="422"/>
      <c r="K962" s="418"/>
      <c r="L962" s="418"/>
      <c r="M962" s="418"/>
      <c r="N962" s="421"/>
      <c r="O962" s="421"/>
      <c r="P962" s="421"/>
      <c r="Q962" s="418"/>
      <c r="R962" s="1022"/>
      <c r="S962" s="1022"/>
      <c r="T962" s="418"/>
      <c r="U962" s="418"/>
      <c r="V962" s="418"/>
      <c r="W962" s="418"/>
      <c r="X962" s="418"/>
      <c r="Y962" s="418"/>
      <c r="Z962" s="418"/>
      <c r="AA962" s="418"/>
      <c r="AB962" s="418"/>
      <c r="AC962" s="418"/>
      <c r="AD962" s="418"/>
      <c r="AE962" s="418"/>
      <c r="AF962" s="418"/>
      <c r="AG962" s="418"/>
      <c r="AH962" s="418"/>
      <c r="AI962" s="418"/>
      <c r="AJ962" s="418"/>
      <c r="AK962" s="418"/>
      <c r="AL962" s="418"/>
      <c r="AM962" s="418"/>
      <c r="AN962" s="423"/>
      <c r="AO962" s="423"/>
      <c r="AP962" s="423"/>
      <c r="AQ962" s="423"/>
      <c r="AR962" s="423"/>
      <c r="AS962" s="423"/>
      <c r="AT962" s="423"/>
      <c r="AU962" s="423"/>
      <c r="AV962" s="423"/>
      <c r="AW962" s="418"/>
      <c r="AX962" s="418"/>
      <c r="AY962" s="418"/>
      <c r="AZ962" s="418"/>
      <c r="BA962" s="418"/>
      <c r="BB962" s="306"/>
    </row>
    <row r="963" spans="1:65" ht="15.75" customHeight="1">
      <c r="A963" s="415"/>
      <c r="B963" s="416"/>
      <c r="C963" s="417"/>
      <c r="D963" s="418"/>
      <c r="E963" s="418"/>
      <c r="F963" s="419"/>
      <c r="G963" s="420"/>
      <c r="H963" s="421"/>
      <c r="I963" s="421"/>
      <c r="J963" s="422"/>
      <c r="K963" s="418"/>
      <c r="L963" s="418"/>
      <c r="M963" s="418"/>
      <c r="N963" s="421"/>
      <c r="O963" s="421"/>
      <c r="P963" s="421"/>
      <c r="Q963" s="418"/>
      <c r="R963" s="1022"/>
      <c r="S963" s="1022"/>
      <c r="T963" s="418"/>
      <c r="U963" s="418"/>
      <c r="V963" s="418"/>
      <c r="W963" s="418"/>
      <c r="X963" s="418"/>
      <c r="Y963" s="418"/>
      <c r="Z963" s="418"/>
      <c r="AA963" s="418"/>
      <c r="AB963" s="418"/>
      <c r="AC963" s="418"/>
      <c r="AD963" s="418"/>
      <c r="AE963" s="418"/>
      <c r="AF963" s="418"/>
      <c r="AG963" s="418"/>
      <c r="AH963" s="418"/>
      <c r="AI963" s="418"/>
      <c r="AJ963" s="418"/>
      <c r="AK963" s="418"/>
      <c r="AL963" s="418"/>
      <c r="AM963" s="418"/>
      <c r="AN963" s="423"/>
      <c r="AO963" s="423"/>
      <c r="AP963" s="423"/>
      <c r="AQ963" s="423"/>
      <c r="AR963" s="423"/>
      <c r="AS963" s="423"/>
      <c r="AT963" s="423"/>
      <c r="AU963" s="423"/>
      <c r="AV963" s="423"/>
      <c r="AW963" s="418"/>
      <c r="AX963" s="418"/>
      <c r="AY963" s="418"/>
      <c r="AZ963" s="418"/>
      <c r="BA963" s="418"/>
      <c r="BB963" s="306"/>
    </row>
    <row r="964" spans="1:65" ht="15.75" customHeight="1">
      <c r="A964" s="415"/>
      <c r="B964" s="416"/>
      <c r="C964" s="417"/>
      <c r="D964" s="418"/>
      <c r="E964" s="418"/>
      <c r="F964" s="419"/>
      <c r="G964" s="420"/>
      <c r="H964" s="421"/>
      <c r="I964" s="421"/>
      <c r="J964" s="422"/>
      <c r="K964" s="418"/>
      <c r="L964" s="418"/>
      <c r="M964" s="418"/>
      <c r="N964" s="421"/>
      <c r="O964" s="421"/>
      <c r="P964" s="421"/>
      <c r="Q964" s="418"/>
      <c r="R964" s="1022"/>
      <c r="S964" s="1022"/>
      <c r="T964" s="418"/>
      <c r="U964" s="418"/>
      <c r="V964" s="418"/>
      <c r="W964" s="418"/>
      <c r="X964" s="418"/>
      <c r="Y964" s="418"/>
      <c r="Z964" s="418"/>
      <c r="AA964" s="418"/>
      <c r="AB964" s="418"/>
      <c r="AC964" s="418"/>
      <c r="AD964" s="418"/>
      <c r="AE964" s="418"/>
      <c r="AF964" s="418"/>
      <c r="AG964" s="418"/>
      <c r="AH964" s="418"/>
      <c r="AI964" s="418"/>
      <c r="AJ964" s="418"/>
      <c r="AK964" s="418"/>
      <c r="AL964" s="418"/>
      <c r="AM964" s="418"/>
      <c r="AN964" s="423"/>
      <c r="AO964" s="423"/>
      <c r="AP964" s="423"/>
      <c r="AQ964" s="423"/>
      <c r="AR964" s="423"/>
      <c r="AS964" s="423"/>
      <c r="AT964" s="423"/>
      <c r="AU964" s="423"/>
      <c r="AV964" s="423"/>
      <c r="AW964" s="418"/>
      <c r="AX964" s="418"/>
      <c r="AY964" s="418"/>
      <c r="AZ964" s="418"/>
      <c r="BA964" s="418"/>
      <c r="BB964" s="306"/>
    </row>
    <row r="965" spans="1:65" ht="15.75" customHeight="1">
      <c r="A965" s="415"/>
      <c r="B965" s="416"/>
      <c r="C965" s="417"/>
      <c r="D965" s="418"/>
      <c r="E965" s="418"/>
      <c r="F965" s="419"/>
      <c r="G965" s="420"/>
      <c r="H965" s="421"/>
      <c r="I965" s="421"/>
      <c r="J965" s="422"/>
      <c r="K965" s="418"/>
      <c r="L965" s="418"/>
      <c r="M965" s="418"/>
      <c r="N965" s="421"/>
      <c r="O965" s="421"/>
      <c r="P965" s="421"/>
      <c r="Q965" s="418"/>
      <c r="R965" s="1022"/>
      <c r="S965" s="1022"/>
      <c r="T965" s="418"/>
      <c r="U965" s="418"/>
      <c r="V965" s="418"/>
      <c r="W965" s="418"/>
      <c r="X965" s="418"/>
      <c r="Y965" s="418"/>
      <c r="Z965" s="418"/>
      <c r="AA965" s="418"/>
      <c r="AB965" s="418"/>
      <c r="AC965" s="418"/>
      <c r="AD965" s="418"/>
      <c r="AE965" s="418"/>
      <c r="AF965" s="418"/>
      <c r="AG965" s="418"/>
      <c r="AH965" s="418"/>
      <c r="AI965" s="418"/>
      <c r="AJ965" s="418"/>
      <c r="AK965" s="418"/>
      <c r="AL965" s="418"/>
      <c r="AM965" s="418"/>
      <c r="AN965" s="423"/>
      <c r="AO965" s="423"/>
      <c r="AP965" s="423"/>
      <c r="AQ965" s="423"/>
      <c r="AR965" s="423"/>
      <c r="AS965" s="423"/>
      <c r="AT965" s="423"/>
      <c r="AU965" s="423"/>
      <c r="AV965" s="423"/>
      <c r="AW965" s="418"/>
      <c r="AX965" s="418"/>
      <c r="AY965" s="418"/>
      <c r="AZ965" s="418"/>
      <c r="BA965" s="418"/>
      <c r="BB965" s="306"/>
      <c r="BI965" s="307"/>
      <c r="BJ965" s="307"/>
      <c r="BK965" s="307"/>
      <c r="BL965" s="307"/>
      <c r="BM965" s="307"/>
    </row>
    <row r="966" spans="1:65" ht="15.75" customHeight="1">
      <c r="A966" s="415"/>
      <c r="B966" s="416"/>
      <c r="C966" s="417"/>
      <c r="D966" s="418"/>
      <c r="E966" s="418"/>
      <c r="F966" s="419"/>
      <c r="G966" s="420"/>
      <c r="H966" s="421"/>
      <c r="I966" s="421"/>
      <c r="J966" s="422"/>
      <c r="K966" s="418"/>
      <c r="L966" s="418"/>
      <c r="M966" s="418"/>
      <c r="N966" s="421"/>
      <c r="O966" s="421"/>
      <c r="P966" s="421"/>
      <c r="Q966" s="418"/>
      <c r="R966" s="1022"/>
      <c r="S966" s="1022"/>
      <c r="T966" s="418"/>
      <c r="U966" s="418"/>
      <c r="V966" s="418"/>
      <c r="W966" s="418"/>
      <c r="X966" s="418"/>
      <c r="Y966" s="418"/>
      <c r="Z966" s="418"/>
      <c r="AA966" s="418"/>
      <c r="AB966" s="418"/>
      <c r="AC966" s="418"/>
      <c r="AD966" s="418"/>
      <c r="AE966" s="418"/>
      <c r="AF966" s="418"/>
      <c r="AG966" s="418"/>
      <c r="AH966" s="418"/>
      <c r="AI966" s="418"/>
      <c r="AJ966" s="418"/>
      <c r="AK966" s="418"/>
      <c r="AL966" s="418"/>
      <c r="AM966" s="418"/>
      <c r="AN966" s="423"/>
      <c r="AO966" s="423"/>
      <c r="AP966" s="423"/>
      <c r="AQ966" s="423"/>
      <c r="AR966" s="423"/>
      <c r="AS966" s="423"/>
      <c r="AT966" s="423"/>
      <c r="AU966" s="423"/>
      <c r="AV966" s="423"/>
      <c r="AW966" s="418"/>
      <c r="AX966" s="418"/>
      <c r="AY966" s="418"/>
      <c r="AZ966" s="418"/>
      <c r="BA966" s="418"/>
      <c r="BB966" s="306"/>
      <c r="BI966" s="307"/>
      <c r="BJ966" s="307"/>
      <c r="BK966" s="307"/>
      <c r="BL966" s="307"/>
      <c r="BM966" s="307"/>
    </row>
    <row r="967" spans="1:65" ht="15.75" customHeight="1">
      <c r="A967" s="415"/>
      <c r="B967" s="416"/>
      <c r="C967" s="417"/>
      <c r="D967" s="418"/>
      <c r="E967" s="418"/>
      <c r="F967" s="419"/>
      <c r="G967" s="420"/>
      <c r="H967" s="421"/>
      <c r="I967" s="421"/>
      <c r="J967" s="422"/>
      <c r="K967" s="418"/>
      <c r="L967" s="418"/>
      <c r="M967" s="418"/>
      <c r="N967" s="421"/>
      <c r="O967" s="421"/>
      <c r="P967" s="421"/>
      <c r="Q967" s="418"/>
      <c r="R967" s="1022"/>
      <c r="S967" s="1022"/>
      <c r="T967" s="418"/>
      <c r="U967" s="418"/>
      <c r="V967" s="418"/>
      <c r="W967" s="418"/>
      <c r="X967" s="418"/>
      <c r="Y967" s="418"/>
      <c r="Z967" s="418"/>
      <c r="AA967" s="418"/>
      <c r="AB967" s="418"/>
      <c r="AC967" s="418"/>
      <c r="AD967" s="418"/>
      <c r="AE967" s="418"/>
      <c r="AF967" s="418"/>
      <c r="AG967" s="418"/>
      <c r="AH967" s="418"/>
      <c r="AI967" s="418"/>
      <c r="AJ967" s="418"/>
      <c r="AK967" s="418"/>
      <c r="AL967" s="418"/>
      <c r="AM967" s="418"/>
      <c r="AN967" s="423"/>
      <c r="AO967" s="423"/>
      <c r="AP967" s="423"/>
      <c r="AQ967" s="423"/>
      <c r="AR967" s="423"/>
      <c r="AS967" s="423"/>
      <c r="AT967" s="423"/>
      <c r="AU967" s="423"/>
      <c r="AV967" s="423"/>
      <c r="AW967" s="418"/>
      <c r="AX967" s="418"/>
      <c r="AY967" s="418"/>
      <c r="AZ967" s="418"/>
      <c r="BA967" s="418"/>
      <c r="BB967" s="306"/>
      <c r="BI967" s="307"/>
      <c r="BJ967" s="307"/>
      <c r="BK967" s="307"/>
      <c r="BL967" s="307"/>
      <c r="BM967" s="307"/>
    </row>
    <row r="968" spans="1:65" ht="15.75" customHeight="1">
      <c r="A968" s="415"/>
      <c r="B968" s="416"/>
      <c r="C968" s="417"/>
      <c r="D968" s="418"/>
      <c r="E968" s="418"/>
      <c r="F968" s="419"/>
      <c r="G968" s="420"/>
      <c r="H968" s="421"/>
      <c r="I968" s="421"/>
      <c r="J968" s="422"/>
      <c r="K968" s="418"/>
      <c r="L968" s="418"/>
      <c r="M968" s="418"/>
      <c r="N968" s="421"/>
      <c r="O968" s="421"/>
      <c r="P968" s="421"/>
      <c r="Q968" s="418"/>
      <c r="R968" s="1022"/>
      <c r="S968" s="1022"/>
      <c r="T968" s="418"/>
      <c r="U968" s="418"/>
      <c r="V968" s="418"/>
      <c r="W968" s="418"/>
      <c r="X968" s="418"/>
      <c r="Y968" s="418"/>
      <c r="Z968" s="418"/>
      <c r="AA968" s="418"/>
      <c r="AB968" s="418"/>
      <c r="AC968" s="418"/>
      <c r="AD968" s="418"/>
      <c r="AE968" s="418"/>
      <c r="AF968" s="418"/>
      <c r="AG968" s="418"/>
      <c r="AH968" s="418"/>
      <c r="AI968" s="418"/>
      <c r="AJ968" s="418"/>
      <c r="AK968" s="418"/>
      <c r="AL968" s="418"/>
      <c r="AM968" s="418"/>
      <c r="AN968" s="423"/>
      <c r="AO968" s="423"/>
      <c r="AP968" s="423"/>
      <c r="AQ968" s="423"/>
      <c r="AR968" s="423"/>
      <c r="AS968" s="423"/>
      <c r="AT968" s="423"/>
      <c r="AU968" s="423"/>
      <c r="AV968" s="423"/>
      <c r="AW968" s="418"/>
      <c r="AX968" s="418"/>
      <c r="AY968" s="418"/>
      <c r="AZ968" s="418"/>
      <c r="BA968" s="418"/>
      <c r="BB968" s="306"/>
      <c r="BI968" s="307"/>
      <c r="BJ968" s="307"/>
      <c r="BK968" s="307"/>
      <c r="BL968" s="307"/>
      <c r="BM968" s="307"/>
    </row>
    <row r="969" spans="1:65" ht="15.75" customHeight="1">
      <c r="A969" s="415"/>
      <c r="B969" s="416"/>
      <c r="C969" s="417"/>
      <c r="D969" s="418"/>
      <c r="E969" s="418"/>
      <c r="F969" s="419"/>
      <c r="G969" s="420"/>
      <c r="H969" s="421"/>
      <c r="I969" s="421"/>
      <c r="J969" s="422"/>
      <c r="K969" s="418"/>
      <c r="L969" s="418"/>
      <c r="M969" s="418"/>
      <c r="N969" s="421"/>
      <c r="O969" s="421"/>
      <c r="P969" s="421"/>
      <c r="Q969" s="418"/>
      <c r="R969" s="1022"/>
      <c r="S969" s="1022"/>
      <c r="T969" s="418"/>
      <c r="U969" s="418"/>
      <c r="V969" s="418"/>
      <c r="W969" s="418"/>
      <c r="X969" s="418"/>
      <c r="Y969" s="418"/>
      <c r="Z969" s="418"/>
      <c r="AA969" s="418"/>
      <c r="AB969" s="418"/>
      <c r="AC969" s="418"/>
      <c r="AD969" s="418"/>
      <c r="AE969" s="418"/>
      <c r="AF969" s="418"/>
      <c r="AG969" s="418"/>
      <c r="AH969" s="418"/>
      <c r="AI969" s="418"/>
      <c r="AJ969" s="418"/>
      <c r="AK969" s="418"/>
      <c r="AL969" s="418"/>
      <c r="AM969" s="418"/>
      <c r="AN969" s="423"/>
      <c r="AO969" s="423"/>
      <c r="AP969" s="423"/>
      <c r="AQ969" s="423"/>
      <c r="AR969" s="423"/>
      <c r="AS969" s="423"/>
      <c r="AT969" s="423"/>
      <c r="AU969" s="423"/>
      <c r="AV969" s="423"/>
      <c r="AW969" s="418"/>
      <c r="AX969" s="418"/>
      <c r="AY969" s="418"/>
      <c r="AZ969" s="418"/>
      <c r="BA969" s="418"/>
      <c r="BB969" s="306"/>
      <c r="BI969" s="307"/>
      <c r="BJ969" s="307"/>
      <c r="BK969" s="307"/>
      <c r="BL969" s="307"/>
      <c r="BM969" s="307"/>
    </row>
    <row r="970" spans="1:65" ht="15.75" customHeight="1">
      <c r="A970" s="415"/>
      <c r="B970" s="416"/>
      <c r="C970" s="417"/>
      <c r="D970" s="418"/>
      <c r="E970" s="418"/>
      <c r="F970" s="419"/>
      <c r="G970" s="420"/>
      <c r="H970" s="421"/>
      <c r="I970" s="425"/>
      <c r="J970" s="422"/>
      <c r="K970" s="418"/>
      <c r="L970" s="418"/>
      <c r="M970" s="418"/>
      <c r="N970" s="421"/>
      <c r="O970" s="421"/>
      <c r="P970" s="421"/>
      <c r="Q970" s="418"/>
      <c r="R970" s="1022"/>
      <c r="S970" s="1022"/>
      <c r="T970" s="418"/>
      <c r="U970" s="418"/>
      <c r="V970" s="418"/>
      <c r="W970" s="418"/>
      <c r="X970" s="418"/>
      <c r="Y970" s="418"/>
      <c r="Z970" s="418"/>
      <c r="AA970" s="418"/>
      <c r="AB970" s="418"/>
      <c r="AC970" s="418"/>
      <c r="AD970" s="418"/>
      <c r="AE970" s="418"/>
      <c r="AF970" s="418"/>
      <c r="AG970" s="418"/>
      <c r="AH970" s="418"/>
      <c r="AI970" s="418"/>
      <c r="AJ970" s="418"/>
      <c r="AK970" s="418"/>
      <c r="AL970" s="418"/>
      <c r="AM970" s="418"/>
      <c r="AN970" s="423"/>
      <c r="AO970" s="423"/>
      <c r="AP970" s="423"/>
      <c r="AQ970" s="423"/>
      <c r="AR970" s="423"/>
      <c r="AS970" s="423"/>
      <c r="AT970" s="423"/>
      <c r="AU970" s="423"/>
      <c r="AV970" s="423"/>
      <c r="AW970" s="418"/>
      <c r="AX970" s="418"/>
      <c r="AY970" s="418"/>
      <c r="AZ970" s="418"/>
      <c r="BA970" s="418"/>
      <c r="BB970" s="306"/>
      <c r="BI970" s="307"/>
      <c r="BJ970" s="307"/>
      <c r="BK970" s="307"/>
      <c r="BL970" s="307"/>
      <c r="BM970" s="307"/>
    </row>
    <row r="971" spans="1:65" ht="15.75" customHeight="1">
      <c r="A971" s="415"/>
      <c r="B971" s="416"/>
      <c r="C971" s="417"/>
      <c r="D971" s="418"/>
      <c r="E971" s="418"/>
      <c r="F971" s="419"/>
      <c r="G971" s="420"/>
      <c r="H971" s="421"/>
      <c r="I971" s="421"/>
      <c r="J971" s="422"/>
      <c r="K971" s="418"/>
      <c r="L971" s="418"/>
      <c r="M971" s="418"/>
      <c r="N971" s="421"/>
      <c r="O971" s="421"/>
      <c r="P971" s="421"/>
      <c r="Q971" s="418"/>
      <c r="R971" s="1022"/>
      <c r="S971" s="1022"/>
      <c r="T971" s="418"/>
      <c r="U971" s="418"/>
      <c r="V971" s="418"/>
      <c r="W971" s="418"/>
      <c r="X971" s="418"/>
      <c r="Y971" s="418"/>
      <c r="Z971" s="418"/>
      <c r="AA971" s="418"/>
      <c r="AB971" s="418"/>
      <c r="AC971" s="418"/>
      <c r="AD971" s="418"/>
      <c r="AE971" s="418"/>
      <c r="AF971" s="418"/>
      <c r="AG971" s="418"/>
      <c r="AH971" s="418"/>
      <c r="AI971" s="418"/>
      <c r="AJ971" s="418"/>
      <c r="AK971" s="418"/>
      <c r="AL971" s="418"/>
      <c r="AM971" s="418"/>
      <c r="AN971" s="423"/>
      <c r="AO971" s="423"/>
      <c r="AP971" s="423"/>
      <c r="AQ971" s="423"/>
      <c r="AR971" s="423"/>
      <c r="AS971" s="423"/>
      <c r="AT971" s="423"/>
      <c r="AU971" s="423"/>
      <c r="AV971" s="423"/>
      <c r="AW971" s="418"/>
      <c r="AX971" s="418"/>
      <c r="AY971" s="418"/>
      <c r="AZ971" s="418"/>
      <c r="BA971" s="418"/>
      <c r="BB971" s="306"/>
      <c r="BI971" s="307"/>
      <c r="BJ971" s="307"/>
      <c r="BK971" s="307"/>
      <c r="BL971" s="307"/>
      <c r="BM971" s="307"/>
    </row>
    <row r="972" spans="1:65" ht="15.75" customHeight="1">
      <c r="A972" s="415"/>
      <c r="B972" s="416"/>
      <c r="C972" s="417"/>
      <c r="D972" s="418"/>
      <c r="E972" s="418"/>
      <c r="F972" s="419"/>
      <c r="G972" s="420"/>
      <c r="H972" s="421"/>
      <c r="I972" s="421"/>
      <c r="J972" s="422"/>
      <c r="K972" s="418"/>
      <c r="L972" s="418"/>
      <c r="M972" s="418"/>
      <c r="N972" s="421"/>
      <c r="O972" s="421"/>
      <c r="P972" s="421"/>
      <c r="Q972" s="418"/>
      <c r="R972" s="1022"/>
      <c r="S972" s="1022"/>
      <c r="T972" s="418"/>
      <c r="U972" s="418"/>
      <c r="V972" s="418"/>
      <c r="W972" s="418"/>
      <c r="X972" s="418"/>
      <c r="Y972" s="418"/>
      <c r="Z972" s="418"/>
      <c r="AA972" s="418"/>
      <c r="AB972" s="418"/>
      <c r="AC972" s="418"/>
      <c r="AD972" s="418"/>
      <c r="AE972" s="418"/>
      <c r="AF972" s="418"/>
      <c r="AG972" s="418"/>
      <c r="AH972" s="418"/>
      <c r="AI972" s="418"/>
      <c r="AJ972" s="418"/>
      <c r="AK972" s="418"/>
      <c r="AL972" s="418"/>
      <c r="AM972" s="418"/>
      <c r="AN972" s="423"/>
      <c r="AO972" s="423"/>
      <c r="AP972" s="423"/>
      <c r="AQ972" s="423"/>
      <c r="AR972" s="423"/>
      <c r="AS972" s="423"/>
      <c r="AT972" s="423"/>
      <c r="AU972" s="423"/>
      <c r="AV972" s="423"/>
      <c r="AW972" s="418"/>
      <c r="AX972" s="418"/>
      <c r="AY972" s="418"/>
      <c r="AZ972" s="418"/>
      <c r="BA972" s="418"/>
      <c r="BB972" s="306"/>
      <c r="BI972" s="307"/>
      <c r="BJ972" s="307"/>
      <c r="BK972" s="307"/>
      <c r="BL972" s="307"/>
      <c r="BM972" s="307"/>
    </row>
    <row r="973" spans="1:65" ht="15.75" customHeight="1">
      <c r="A973" s="415"/>
      <c r="B973" s="416"/>
      <c r="C973" s="417"/>
      <c r="D973" s="418"/>
      <c r="E973" s="418"/>
      <c r="F973" s="419"/>
      <c r="G973" s="420"/>
      <c r="H973" s="421"/>
      <c r="I973" s="425"/>
      <c r="J973" s="422"/>
      <c r="K973" s="418"/>
      <c r="L973" s="418"/>
      <c r="M973" s="418"/>
      <c r="N973" s="421"/>
      <c r="O973" s="421"/>
      <c r="P973" s="421"/>
      <c r="Q973" s="418"/>
      <c r="R973" s="1022"/>
      <c r="S973" s="1022"/>
      <c r="T973" s="418"/>
      <c r="U973" s="418"/>
      <c r="V973" s="418"/>
      <c r="W973" s="418"/>
      <c r="X973" s="418"/>
      <c r="Y973" s="418"/>
      <c r="Z973" s="418"/>
      <c r="AA973" s="418"/>
      <c r="AB973" s="418"/>
      <c r="AC973" s="418"/>
      <c r="AD973" s="418"/>
      <c r="AE973" s="418"/>
      <c r="AF973" s="418"/>
      <c r="AG973" s="418"/>
      <c r="AH973" s="418"/>
      <c r="AI973" s="418"/>
      <c r="AJ973" s="418"/>
      <c r="AK973" s="418"/>
      <c r="AL973" s="418"/>
      <c r="AM973" s="418"/>
      <c r="AN973" s="423"/>
      <c r="AO973" s="423"/>
      <c r="AP973" s="423"/>
      <c r="AQ973" s="423"/>
      <c r="AR973" s="423"/>
      <c r="AS973" s="423"/>
      <c r="AT973" s="423"/>
      <c r="AU973" s="423"/>
      <c r="AV973" s="423"/>
      <c r="AW973" s="418"/>
      <c r="AX973" s="418"/>
      <c r="AY973" s="418"/>
      <c r="AZ973" s="418"/>
      <c r="BA973" s="418"/>
      <c r="BB973" s="306"/>
      <c r="BC973" s="307"/>
      <c r="BD973" s="307"/>
      <c r="BI973" s="307"/>
      <c r="BJ973" s="307"/>
      <c r="BK973" s="307"/>
      <c r="BL973" s="307"/>
      <c r="BM973" s="307"/>
    </row>
    <row r="974" spans="1:65" ht="15.75" customHeight="1">
      <c r="A974" s="415"/>
      <c r="B974" s="416"/>
      <c r="C974" s="417"/>
      <c r="D974" s="418"/>
      <c r="E974" s="418"/>
      <c r="F974" s="419"/>
      <c r="G974" s="420"/>
      <c r="H974" s="421"/>
      <c r="I974" s="421"/>
      <c r="J974" s="422"/>
      <c r="K974" s="418"/>
      <c r="L974" s="418"/>
      <c r="M974" s="418"/>
      <c r="N974" s="421"/>
      <c r="O974" s="421"/>
      <c r="P974" s="421"/>
      <c r="Q974" s="418"/>
      <c r="R974" s="1022"/>
      <c r="S974" s="1022"/>
      <c r="T974" s="418"/>
      <c r="U974" s="418"/>
      <c r="V974" s="418"/>
      <c r="W974" s="418"/>
      <c r="X974" s="418"/>
      <c r="Y974" s="418"/>
      <c r="Z974" s="418"/>
      <c r="AA974" s="418"/>
      <c r="AB974" s="418"/>
      <c r="AC974" s="418"/>
      <c r="AD974" s="418"/>
      <c r="AE974" s="418"/>
      <c r="AF974" s="418"/>
      <c r="AG974" s="418"/>
      <c r="AH974" s="418"/>
      <c r="AI974" s="418"/>
      <c r="AJ974" s="418"/>
      <c r="AK974" s="418"/>
      <c r="AL974" s="418"/>
      <c r="AM974" s="418"/>
      <c r="AN974" s="423"/>
      <c r="AO974" s="423"/>
      <c r="AP974" s="423"/>
      <c r="AQ974" s="423"/>
      <c r="AR974" s="423"/>
      <c r="AS974" s="423"/>
      <c r="AT974" s="423"/>
      <c r="AU974" s="423"/>
      <c r="AV974" s="423"/>
      <c r="AW974" s="418"/>
      <c r="AX974" s="418"/>
      <c r="AY974" s="418"/>
      <c r="AZ974" s="418"/>
      <c r="BA974" s="418"/>
      <c r="BB974" s="306"/>
      <c r="BC974" s="307"/>
      <c r="BD974" s="307"/>
      <c r="BI974" s="307"/>
      <c r="BJ974" s="307"/>
      <c r="BK974" s="307"/>
      <c r="BL974" s="307"/>
      <c r="BM974" s="307"/>
    </row>
    <row r="975" spans="1:65" ht="15.75" customHeight="1">
      <c r="A975" s="415"/>
      <c r="B975" s="416"/>
      <c r="C975" s="417"/>
      <c r="D975" s="418"/>
      <c r="E975" s="418"/>
      <c r="F975" s="419"/>
      <c r="G975" s="420"/>
      <c r="H975" s="421"/>
      <c r="I975" s="425"/>
      <c r="J975" s="422"/>
      <c r="K975" s="418"/>
      <c r="L975" s="418"/>
      <c r="M975" s="418"/>
      <c r="N975" s="421"/>
      <c r="O975" s="421"/>
      <c r="P975" s="421"/>
      <c r="Q975" s="418"/>
      <c r="R975" s="1022"/>
      <c r="S975" s="1022"/>
      <c r="T975" s="418"/>
      <c r="U975" s="418"/>
      <c r="V975" s="418"/>
      <c r="W975" s="418"/>
      <c r="X975" s="418"/>
      <c r="Y975" s="418"/>
      <c r="Z975" s="418"/>
      <c r="AA975" s="418"/>
      <c r="AB975" s="418"/>
      <c r="AC975" s="418"/>
      <c r="AD975" s="418"/>
      <c r="AE975" s="418"/>
      <c r="AF975" s="418"/>
      <c r="AG975" s="418"/>
      <c r="AH975" s="418"/>
      <c r="AI975" s="418"/>
      <c r="AJ975" s="418"/>
      <c r="AK975" s="418"/>
      <c r="AL975" s="418"/>
      <c r="AM975" s="418"/>
      <c r="AN975" s="423"/>
      <c r="AO975" s="423"/>
      <c r="AP975" s="423"/>
      <c r="AQ975" s="423"/>
      <c r="AR975" s="423"/>
      <c r="AS975" s="423"/>
      <c r="AT975" s="423"/>
      <c r="AU975" s="423"/>
      <c r="AV975" s="423"/>
      <c r="AW975" s="418"/>
      <c r="AX975" s="418"/>
      <c r="AY975" s="418"/>
      <c r="AZ975" s="418"/>
      <c r="BA975" s="418"/>
      <c r="BB975" s="306"/>
      <c r="BC975" s="307"/>
      <c r="BD975" s="307"/>
      <c r="BI975" s="307"/>
      <c r="BJ975" s="307"/>
      <c r="BK975" s="307"/>
      <c r="BL975" s="307"/>
      <c r="BM975" s="307"/>
    </row>
    <row r="976" spans="1:65" ht="15.75" customHeight="1">
      <c r="A976" s="415"/>
      <c r="B976" s="416"/>
      <c r="C976" s="417"/>
      <c r="D976" s="418"/>
      <c r="E976" s="418"/>
      <c r="F976" s="419"/>
      <c r="G976" s="420"/>
      <c r="H976" s="421"/>
      <c r="I976" s="421"/>
      <c r="J976" s="422"/>
      <c r="K976" s="418"/>
      <c r="L976" s="418"/>
      <c r="M976" s="418"/>
      <c r="N976" s="421"/>
      <c r="O976" s="421"/>
      <c r="P976" s="421"/>
      <c r="Q976" s="418"/>
      <c r="R976" s="1022"/>
      <c r="S976" s="1022"/>
      <c r="T976" s="418"/>
      <c r="U976" s="418"/>
      <c r="V976" s="418"/>
      <c r="W976" s="418"/>
      <c r="X976" s="418"/>
      <c r="Y976" s="418"/>
      <c r="Z976" s="418"/>
      <c r="AA976" s="418"/>
      <c r="AB976" s="418"/>
      <c r="AC976" s="418"/>
      <c r="AD976" s="418"/>
      <c r="AE976" s="418"/>
      <c r="AF976" s="418"/>
      <c r="AG976" s="418"/>
      <c r="AH976" s="418"/>
      <c r="AI976" s="418"/>
      <c r="AJ976" s="418"/>
      <c r="AK976" s="418"/>
      <c r="AL976" s="418"/>
      <c r="AM976" s="418"/>
      <c r="AN976" s="423"/>
      <c r="AO976" s="423"/>
      <c r="AP976" s="423"/>
      <c r="AQ976" s="423"/>
      <c r="AR976" s="423"/>
      <c r="AS976" s="423"/>
      <c r="AT976" s="423"/>
      <c r="AU976" s="423"/>
      <c r="AV976" s="423"/>
      <c r="AW976" s="418"/>
      <c r="AX976" s="418"/>
      <c r="AY976" s="418"/>
      <c r="AZ976" s="418"/>
      <c r="BA976" s="418"/>
      <c r="BB976" s="306"/>
      <c r="BC976" s="307"/>
      <c r="BD976" s="307"/>
      <c r="BI976" s="307"/>
      <c r="BJ976" s="307"/>
      <c r="BK976" s="307"/>
      <c r="BL976" s="307"/>
      <c r="BM976" s="307"/>
    </row>
    <row r="977" spans="1:65" ht="15.75" customHeight="1">
      <c r="A977" s="415"/>
      <c r="B977" s="416"/>
      <c r="C977" s="417"/>
      <c r="D977" s="418"/>
      <c r="E977" s="418"/>
      <c r="F977" s="419"/>
      <c r="G977" s="420"/>
      <c r="H977" s="421"/>
      <c r="I977" s="421"/>
      <c r="J977" s="422"/>
      <c r="K977" s="418"/>
      <c r="L977" s="418"/>
      <c r="M977" s="418"/>
      <c r="N977" s="421"/>
      <c r="O977" s="421"/>
      <c r="P977" s="421"/>
      <c r="Q977" s="418"/>
      <c r="R977" s="1022"/>
      <c r="S977" s="1022"/>
      <c r="T977" s="418"/>
      <c r="U977" s="418"/>
      <c r="V977" s="418"/>
      <c r="W977" s="418"/>
      <c r="X977" s="418"/>
      <c r="Y977" s="418"/>
      <c r="Z977" s="418"/>
      <c r="AA977" s="418"/>
      <c r="AB977" s="418"/>
      <c r="AC977" s="418"/>
      <c r="AD977" s="418"/>
      <c r="AE977" s="418"/>
      <c r="AF977" s="418"/>
      <c r="AG977" s="418"/>
      <c r="AH977" s="418"/>
      <c r="AI977" s="418"/>
      <c r="AJ977" s="418"/>
      <c r="AK977" s="418"/>
      <c r="AL977" s="418"/>
      <c r="AM977" s="418"/>
      <c r="AN977" s="423"/>
      <c r="AO977" s="423"/>
      <c r="AP977" s="423"/>
      <c r="AQ977" s="423"/>
      <c r="AR977" s="423"/>
      <c r="AS977" s="423"/>
      <c r="AT977" s="423"/>
      <c r="AU977" s="423"/>
      <c r="AV977" s="423"/>
      <c r="AW977" s="418"/>
      <c r="AX977" s="418"/>
      <c r="AY977" s="418"/>
      <c r="AZ977" s="418"/>
      <c r="BA977" s="418"/>
      <c r="BB977" s="306"/>
      <c r="BC977" s="307"/>
      <c r="BD977" s="307"/>
      <c r="BI977" s="307"/>
      <c r="BJ977" s="307"/>
      <c r="BK977" s="307"/>
      <c r="BL977" s="307"/>
      <c r="BM977" s="307"/>
    </row>
    <row r="978" spans="1:65" ht="15.75" customHeight="1">
      <c r="A978" s="415"/>
      <c r="B978" s="416"/>
      <c r="C978" s="417"/>
      <c r="D978" s="418"/>
      <c r="E978" s="418"/>
      <c r="F978" s="419"/>
      <c r="G978" s="420"/>
      <c r="H978" s="421"/>
      <c r="I978" s="421"/>
      <c r="J978" s="422"/>
      <c r="K978" s="418"/>
      <c r="L978" s="418"/>
      <c r="M978" s="418"/>
      <c r="N978" s="421"/>
      <c r="O978" s="421"/>
      <c r="P978" s="421"/>
      <c r="Q978" s="418"/>
      <c r="R978" s="1022"/>
      <c r="S978" s="1022"/>
      <c r="T978" s="418"/>
      <c r="U978" s="418"/>
      <c r="V978" s="418"/>
      <c r="W978" s="418"/>
      <c r="X978" s="418"/>
      <c r="Y978" s="418"/>
      <c r="Z978" s="418"/>
      <c r="AA978" s="418"/>
      <c r="AB978" s="418"/>
      <c r="AC978" s="418"/>
      <c r="AD978" s="418"/>
      <c r="AE978" s="418"/>
      <c r="AF978" s="418"/>
      <c r="AG978" s="418"/>
      <c r="AH978" s="418"/>
      <c r="AI978" s="418"/>
      <c r="AJ978" s="418"/>
      <c r="AK978" s="418"/>
      <c r="AL978" s="418"/>
      <c r="AM978" s="418"/>
      <c r="AN978" s="423"/>
      <c r="AO978" s="423"/>
      <c r="AP978" s="423"/>
      <c r="AQ978" s="423"/>
      <c r="AR978" s="423"/>
      <c r="AS978" s="423"/>
      <c r="AT978" s="423"/>
      <c r="AU978" s="423"/>
      <c r="AV978" s="423"/>
      <c r="AW978" s="418"/>
      <c r="AX978" s="418"/>
      <c r="AY978" s="418"/>
      <c r="AZ978" s="418"/>
      <c r="BA978" s="418"/>
      <c r="BB978" s="306"/>
      <c r="BC978" s="307"/>
      <c r="BD978" s="307"/>
      <c r="BI978" s="307"/>
      <c r="BJ978" s="307"/>
      <c r="BK978" s="307"/>
      <c r="BL978" s="307"/>
      <c r="BM978" s="307"/>
    </row>
    <row r="979" spans="1:65" ht="15.75" customHeight="1">
      <c r="A979" s="415"/>
      <c r="B979" s="416"/>
      <c r="C979" s="417"/>
      <c r="D979" s="418"/>
      <c r="E979" s="418"/>
      <c r="F979" s="419"/>
      <c r="G979" s="420"/>
      <c r="H979" s="421"/>
      <c r="I979" s="421"/>
      <c r="J979" s="422"/>
      <c r="K979" s="418"/>
      <c r="L979" s="418"/>
      <c r="M979" s="418"/>
      <c r="N979" s="421"/>
      <c r="O979" s="421"/>
      <c r="P979" s="421"/>
      <c r="Q979" s="418"/>
      <c r="R979" s="1022"/>
      <c r="S979" s="1022"/>
      <c r="T979" s="418"/>
      <c r="U979" s="418"/>
      <c r="V979" s="418"/>
      <c r="W979" s="418"/>
      <c r="X979" s="418"/>
      <c r="Y979" s="418"/>
      <c r="Z979" s="418"/>
      <c r="AA979" s="418"/>
      <c r="AB979" s="418"/>
      <c r="AC979" s="418"/>
      <c r="AD979" s="418"/>
      <c r="AE979" s="418"/>
      <c r="AF979" s="418"/>
      <c r="AG979" s="418"/>
      <c r="AH979" s="418"/>
      <c r="AI979" s="418"/>
      <c r="AJ979" s="418"/>
      <c r="AK979" s="418"/>
      <c r="AL979" s="418"/>
      <c r="AM979" s="418"/>
      <c r="AN979" s="423"/>
      <c r="AO979" s="423"/>
      <c r="AP979" s="423"/>
      <c r="AQ979" s="423"/>
      <c r="AR979" s="423"/>
      <c r="AS979" s="423"/>
      <c r="AT979" s="423"/>
      <c r="AU979" s="423"/>
      <c r="AV979" s="423"/>
      <c r="AW979" s="418"/>
      <c r="AX979" s="418"/>
      <c r="AY979" s="418"/>
      <c r="AZ979" s="418"/>
      <c r="BA979" s="418"/>
      <c r="BB979" s="306"/>
      <c r="BC979" s="307"/>
      <c r="BD979" s="307"/>
      <c r="BI979" s="307"/>
      <c r="BJ979" s="307"/>
      <c r="BK979" s="307"/>
      <c r="BL979" s="307"/>
      <c r="BM979" s="307"/>
    </row>
    <row r="980" spans="1:65" ht="15.75" customHeight="1">
      <c r="A980" s="415"/>
      <c r="B980" s="416"/>
      <c r="C980" s="417"/>
      <c r="D980" s="418"/>
      <c r="E980" s="418"/>
      <c r="F980" s="419"/>
      <c r="G980" s="420"/>
      <c r="H980" s="421"/>
      <c r="I980" s="421"/>
      <c r="J980" s="422"/>
      <c r="K980" s="418"/>
      <c r="L980" s="418"/>
      <c r="M980" s="418"/>
      <c r="N980" s="421"/>
      <c r="O980" s="421"/>
      <c r="P980" s="421"/>
      <c r="Q980" s="418"/>
      <c r="R980" s="1022"/>
      <c r="S980" s="1022"/>
      <c r="T980" s="418"/>
      <c r="U980" s="418"/>
      <c r="V980" s="418"/>
      <c r="W980" s="418"/>
      <c r="X980" s="418"/>
      <c r="Y980" s="418"/>
      <c r="Z980" s="418"/>
      <c r="AA980" s="418"/>
      <c r="AB980" s="418"/>
      <c r="AC980" s="418"/>
      <c r="AD980" s="418"/>
      <c r="AE980" s="418"/>
      <c r="AF980" s="418"/>
      <c r="AG980" s="418"/>
      <c r="AH980" s="418"/>
      <c r="AI980" s="418"/>
      <c r="AJ980" s="418"/>
      <c r="AK980" s="418"/>
      <c r="AL980" s="418"/>
      <c r="AM980" s="418"/>
      <c r="AN980" s="423"/>
      <c r="AO980" s="423"/>
      <c r="AP980" s="423"/>
      <c r="AQ980" s="423"/>
      <c r="AR980" s="423"/>
      <c r="AS980" s="423"/>
      <c r="AT980" s="423"/>
      <c r="AU980" s="423"/>
      <c r="AV980" s="423"/>
      <c r="AW980" s="418"/>
      <c r="AX980" s="418"/>
      <c r="AY980" s="418"/>
      <c r="AZ980" s="418"/>
      <c r="BA980" s="418"/>
      <c r="BB980" s="306"/>
      <c r="BC980" s="307"/>
      <c r="BD980" s="307"/>
      <c r="BI980" s="307"/>
      <c r="BJ980" s="307"/>
      <c r="BK980" s="307"/>
      <c r="BL980" s="307"/>
      <c r="BM980" s="307"/>
    </row>
    <row r="981" spans="1:65" ht="15.75" customHeight="1">
      <c r="A981" s="415"/>
      <c r="B981" s="416"/>
      <c r="C981" s="417"/>
      <c r="D981" s="418"/>
      <c r="E981" s="418"/>
      <c r="F981" s="419"/>
      <c r="G981" s="420"/>
      <c r="H981" s="421"/>
      <c r="I981" s="425"/>
      <c r="J981" s="422"/>
      <c r="K981" s="418"/>
      <c r="L981" s="418"/>
      <c r="M981" s="418"/>
      <c r="N981" s="421"/>
      <c r="O981" s="421"/>
      <c r="P981" s="421"/>
      <c r="Q981" s="418"/>
      <c r="R981" s="1022"/>
      <c r="S981" s="1022"/>
      <c r="T981" s="418"/>
      <c r="U981" s="418"/>
      <c r="V981" s="418"/>
      <c r="W981" s="418"/>
      <c r="X981" s="418"/>
      <c r="Y981" s="418"/>
      <c r="Z981" s="418"/>
      <c r="AA981" s="418"/>
      <c r="AB981" s="418"/>
      <c r="AC981" s="418"/>
      <c r="AD981" s="418"/>
      <c r="AE981" s="418"/>
      <c r="AF981" s="418"/>
      <c r="AG981" s="418"/>
      <c r="AH981" s="418"/>
      <c r="AI981" s="418"/>
      <c r="AJ981" s="418"/>
      <c r="AK981" s="418"/>
      <c r="AL981" s="418"/>
      <c r="AM981" s="418"/>
      <c r="AN981" s="423"/>
      <c r="AO981" s="423"/>
      <c r="AP981" s="423"/>
      <c r="AQ981" s="423"/>
      <c r="AR981" s="423"/>
      <c r="AS981" s="423"/>
      <c r="AT981" s="423"/>
      <c r="AU981" s="423"/>
      <c r="AV981" s="423"/>
      <c r="AW981" s="418"/>
      <c r="AX981" s="418"/>
      <c r="AY981" s="418"/>
      <c r="AZ981" s="418"/>
      <c r="BA981" s="418"/>
      <c r="BB981" s="306"/>
      <c r="BC981" s="307"/>
      <c r="BD981" s="307"/>
      <c r="BI981" s="307"/>
      <c r="BJ981" s="307"/>
      <c r="BK981" s="307"/>
      <c r="BL981" s="307"/>
      <c r="BM981" s="307"/>
    </row>
    <row r="982" spans="1:65" ht="15.75" customHeight="1">
      <c r="A982" s="415"/>
      <c r="B982" s="416"/>
      <c r="C982" s="417"/>
      <c r="D982" s="418"/>
      <c r="E982" s="418"/>
      <c r="F982" s="419"/>
      <c r="G982" s="420"/>
      <c r="H982" s="421"/>
      <c r="I982" s="421"/>
      <c r="J982" s="422"/>
      <c r="K982" s="418"/>
      <c r="L982" s="418"/>
      <c r="M982" s="418"/>
      <c r="N982" s="421"/>
      <c r="O982" s="421"/>
      <c r="P982" s="421"/>
      <c r="Q982" s="418"/>
      <c r="R982" s="1022"/>
      <c r="S982" s="1022"/>
      <c r="T982" s="418"/>
      <c r="U982" s="418"/>
      <c r="V982" s="418"/>
      <c r="W982" s="418"/>
      <c r="X982" s="418"/>
      <c r="Y982" s="418"/>
      <c r="Z982" s="418"/>
      <c r="AA982" s="418"/>
      <c r="AB982" s="418"/>
      <c r="AC982" s="418"/>
      <c r="AD982" s="418"/>
      <c r="AE982" s="418"/>
      <c r="AF982" s="418"/>
      <c r="AG982" s="418"/>
      <c r="AH982" s="418"/>
      <c r="AI982" s="418"/>
      <c r="AJ982" s="418"/>
      <c r="AK982" s="418"/>
      <c r="AL982" s="418"/>
      <c r="AM982" s="418"/>
      <c r="AN982" s="423"/>
      <c r="AO982" s="423"/>
      <c r="AP982" s="423"/>
      <c r="AQ982" s="423"/>
      <c r="AR982" s="423"/>
      <c r="AS982" s="423"/>
      <c r="AT982" s="423"/>
      <c r="AU982" s="423"/>
      <c r="AV982" s="423"/>
      <c r="AW982" s="418"/>
      <c r="AX982" s="418"/>
      <c r="AY982" s="418"/>
      <c r="AZ982" s="418"/>
      <c r="BA982" s="418"/>
      <c r="BB982" s="306"/>
      <c r="BC982" s="307"/>
      <c r="BD982" s="307"/>
      <c r="BI982" s="307"/>
      <c r="BJ982" s="307"/>
      <c r="BK982" s="307"/>
      <c r="BL982" s="307"/>
      <c r="BM982" s="307"/>
    </row>
    <row r="983" spans="1:65" ht="15.75" customHeight="1">
      <c r="A983" s="415"/>
      <c r="B983" s="416"/>
      <c r="C983" s="417"/>
      <c r="D983" s="418"/>
      <c r="E983" s="418"/>
      <c r="F983" s="419"/>
      <c r="G983" s="420"/>
      <c r="H983" s="421"/>
      <c r="I983" s="421"/>
      <c r="J983" s="422"/>
      <c r="K983" s="418"/>
      <c r="L983" s="418"/>
      <c r="M983" s="418"/>
      <c r="N983" s="421"/>
      <c r="O983" s="421"/>
      <c r="P983" s="421"/>
      <c r="Q983" s="418"/>
      <c r="R983" s="1022"/>
      <c r="S983" s="1022"/>
      <c r="T983" s="418"/>
      <c r="U983" s="418"/>
      <c r="V983" s="418"/>
      <c r="W983" s="418"/>
      <c r="X983" s="418"/>
      <c r="Y983" s="418"/>
      <c r="Z983" s="418"/>
      <c r="AA983" s="418"/>
      <c r="AB983" s="418"/>
      <c r="AC983" s="418"/>
      <c r="AD983" s="418"/>
      <c r="AE983" s="418"/>
      <c r="AF983" s="418"/>
      <c r="AG983" s="418"/>
      <c r="AH983" s="418"/>
      <c r="AI983" s="418"/>
      <c r="AJ983" s="418"/>
      <c r="AK983" s="418"/>
      <c r="AL983" s="418"/>
      <c r="AM983" s="418"/>
      <c r="AN983" s="423"/>
      <c r="AO983" s="423"/>
      <c r="AP983" s="423"/>
      <c r="AQ983" s="423"/>
      <c r="AR983" s="423"/>
      <c r="AS983" s="423"/>
      <c r="AT983" s="423"/>
      <c r="AU983" s="423"/>
      <c r="AV983" s="423"/>
      <c r="AW983" s="418"/>
      <c r="AX983" s="418"/>
      <c r="AY983" s="418"/>
      <c r="AZ983" s="418"/>
      <c r="BA983" s="418"/>
      <c r="BB983" s="306"/>
      <c r="BC983" s="307"/>
      <c r="BD983" s="307"/>
      <c r="BI983" s="307"/>
      <c r="BJ983" s="307"/>
      <c r="BK983" s="307"/>
      <c r="BL983" s="307"/>
      <c r="BM983" s="307"/>
    </row>
    <row r="984" spans="1:65" ht="15.75" customHeight="1">
      <c r="A984" s="415"/>
      <c r="B984" s="416"/>
      <c r="C984" s="417"/>
      <c r="D984" s="418"/>
      <c r="E984" s="418"/>
      <c r="F984" s="419"/>
      <c r="G984" s="420"/>
      <c r="H984" s="421"/>
      <c r="I984" s="421"/>
      <c r="J984" s="422"/>
      <c r="K984" s="418"/>
      <c r="L984" s="418"/>
      <c r="M984" s="418"/>
      <c r="N984" s="421"/>
      <c r="O984" s="421"/>
      <c r="P984" s="421"/>
      <c r="Q984" s="418"/>
      <c r="R984" s="1022"/>
      <c r="S984" s="1022"/>
      <c r="T984" s="418"/>
      <c r="U984" s="418"/>
      <c r="V984" s="418"/>
      <c r="W984" s="418"/>
      <c r="X984" s="418"/>
      <c r="Y984" s="418"/>
      <c r="Z984" s="418"/>
      <c r="AA984" s="418"/>
      <c r="AB984" s="418"/>
      <c r="AC984" s="418"/>
      <c r="AD984" s="418"/>
      <c r="AE984" s="418"/>
      <c r="AF984" s="418"/>
      <c r="AG984" s="418"/>
      <c r="AH984" s="418"/>
      <c r="AI984" s="418"/>
      <c r="AJ984" s="418"/>
      <c r="AK984" s="418"/>
      <c r="AL984" s="418"/>
      <c r="AM984" s="418"/>
      <c r="AN984" s="423"/>
      <c r="AO984" s="423"/>
      <c r="AP984" s="423"/>
      <c r="AQ984" s="423"/>
      <c r="AR984" s="423"/>
      <c r="AS984" s="423"/>
      <c r="AT984" s="423"/>
      <c r="AU984" s="423"/>
      <c r="AV984" s="423"/>
      <c r="AW984" s="418"/>
      <c r="AX984" s="418"/>
      <c r="AY984" s="418"/>
      <c r="AZ984" s="418"/>
      <c r="BA984" s="418"/>
      <c r="BB984" s="306"/>
      <c r="BC984" s="307"/>
      <c r="BD984" s="307"/>
      <c r="BI984" s="307"/>
      <c r="BJ984" s="307"/>
      <c r="BK984" s="307"/>
      <c r="BL984" s="307"/>
      <c r="BM984" s="307"/>
    </row>
    <row r="985" spans="1:65" ht="15.75" customHeight="1">
      <c r="A985" s="415"/>
      <c r="B985" s="416"/>
      <c r="C985" s="417"/>
      <c r="D985" s="418"/>
      <c r="E985" s="418"/>
      <c r="F985" s="419"/>
      <c r="G985" s="420"/>
      <c r="H985" s="421"/>
      <c r="I985" s="421"/>
      <c r="J985" s="422"/>
      <c r="K985" s="418"/>
      <c r="L985" s="418"/>
      <c r="M985" s="418"/>
      <c r="N985" s="421"/>
      <c r="O985" s="421"/>
      <c r="P985" s="421"/>
      <c r="Q985" s="418"/>
      <c r="R985" s="1022"/>
      <c r="S985" s="1022"/>
      <c r="T985" s="418"/>
      <c r="U985" s="418"/>
      <c r="V985" s="418"/>
      <c r="W985" s="418"/>
      <c r="X985" s="418"/>
      <c r="Y985" s="418"/>
      <c r="Z985" s="418"/>
      <c r="AA985" s="418"/>
      <c r="AB985" s="418"/>
      <c r="AC985" s="418"/>
      <c r="AD985" s="418"/>
      <c r="AE985" s="418"/>
      <c r="AF985" s="418"/>
      <c r="AG985" s="418"/>
      <c r="AH985" s="418"/>
      <c r="AI985" s="418"/>
      <c r="AJ985" s="418"/>
      <c r="AK985" s="418"/>
      <c r="AL985" s="418"/>
      <c r="AM985" s="418"/>
      <c r="AN985" s="423"/>
      <c r="AO985" s="423"/>
      <c r="AP985" s="423"/>
      <c r="AQ985" s="423"/>
      <c r="AR985" s="423"/>
      <c r="AS985" s="423"/>
      <c r="AT985" s="423"/>
      <c r="AU985" s="423"/>
      <c r="AV985" s="423"/>
      <c r="AW985" s="418"/>
      <c r="AX985" s="418"/>
      <c r="AY985" s="418"/>
      <c r="AZ985" s="418"/>
      <c r="BA985" s="418"/>
      <c r="BB985" s="306"/>
      <c r="BC985" s="307"/>
      <c r="BD985" s="307"/>
      <c r="BI985" s="307"/>
      <c r="BJ985" s="307"/>
      <c r="BK985" s="307"/>
      <c r="BL985" s="307"/>
      <c r="BM985" s="307"/>
    </row>
    <row r="986" spans="1:65" ht="15.75" customHeight="1">
      <c r="A986" s="415"/>
      <c r="B986" s="416"/>
      <c r="C986" s="417"/>
      <c r="D986" s="418"/>
      <c r="E986" s="418"/>
      <c r="F986" s="419"/>
      <c r="G986" s="420"/>
      <c r="H986" s="421"/>
      <c r="I986" s="421"/>
      <c r="J986" s="422"/>
      <c r="K986" s="418"/>
      <c r="L986" s="418"/>
      <c r="M986" s="418"/>
      <c r="N986" s="421"/>
      <c r="O986" s="421"/>
      <c r="P986" s="421"/>
      <c r="Q986" s="418"/>
      <c r="R986" s="1022"/>
      <c r="S986" s="1022"/>
      <c r="T986" s="418"/>
      <c r="U986" s="418"/>
      <c r="V986" s="418"/>
      <c r="W986" s="418"/>
      <c r="X986" s="418"/>
      <c r="Y986" s="418"/>
      <c r="Z986" s="418"/>
      <c r="AA986" s="418"/>
      <c r="AB986" s="418"/>
      <c r="AC986" s="418"/>
      <c r="AD986" s="418"/>
      <c r="AE986" s="418"/>
      <c r="AF986" s="418"/>
      <c r="AG986" s="418"/>
      <c r="AH986" s="418"/>
      <c r="AI986" s="418"/>
      <c r="AJ986" s="418"/>
      <c r="AK986" s="418"/>
      <c r="AL986" s="418"/>
      <c r="AM986" s="418"/>
      <c r="AN986" s="423"/>
      <c r="AO986" s="423"/>
      <c r="AP986" s="423"/>
      <c r="AQ986" s="423"/>
      <c r="AR986" s="423"/>
      <c r="AS986" s="423"/>
      <c r="AT986" s="423"/>
      <c r="AU986" s="423"/>
      <c r="AV986" s="423"/>
      <c r="AW986" s="418"/>
      <c r="AX986" s="418"/>
      <c r="AY986" s="418"/>
      <c r="AZ986" s="418"/>
      <c r="BA986" s="418"/>
      <c r="BB986" s="306"/>
      <c r="BC986" s="307"/>
      <c r="BD986" s="307"/>
      <c r="BI986" s="307"/>
      <c r="BJ986" s="307"/>
      <c r="BK986" s="307"/>
      <c r="BL986" s="307"/>
      <c r="BM986" s="307"/>
    </row>
    <row r="987" spans="1:65" ht="15.75" customHeight="1">
      <c r="A987" s="415"/>
      <c r="B987" s="416"/>
      <c r="C987" s="417"/>
      <c r="D987" s="418"/>
      <c r="E987" s="418"/>
      <c r="F987" s="419"/>
      <c r="G987" s="420"/>
      <c r="H987" s="421"/>
      <c r="I987" s="421"/>
      <c r="J987" s="422"/>
      <c r="K987" s="418"/>
      <c r="L987" s="418"/>
      <c r="M987" s="418"/>
      <c r="N987" s="421"/>
      <c r="O987" s="421"/>
      <c r="P987" s="421"/>
      <c r="Q987" s="418"/>
      <c r="R987" s="1022"/>
      <c r="S987" s="1022"/>
      <c r="T987" s="418"/>
      <c r="U987" s="418"/>
      <c r="V987" s="418"/>
      <c r="W987" s="418"/>
      <c r="X987" s="418"/>
      <c r="Y987" s="418"/>
      <c r="Z987" s="418"/>
      <c r="AA987" s="418"/>
      <c r="AB987" s="418"/>
      <c r="AC987" s="418"/>
      <c r="AD987" s="418"/>
      <c r="AE987" s="418"/>
      <c r="AF987" s="418"/>
      <c r="AG987" s="418"/>
      <c r="AH987" s="418"/>
      <c r="AI987" s="418"/>
      <c r="AJ987" s="418"/>
      <c r="AK987" s="418"/>
      <c r="AL987" s="418"/>
      <c r="AM987" s="418"/>
      <c r="AN987" s="423"/>
      <c r="AO987" s="423"/>
      <c r="AP987" s="423"/>
      <c r="AQ987" s="423"/>
      <c r="AR987" s="423"/>
      <c r="AS987" s="423"/>
      <c r="AT987" s="423"/>
      <c r="AU987" s="423"/>
      <c r="AV987" s="423"/>
      <c r="AW987" s="418"/>
      <c r="AX987" s="418"/>
      <c r="AY987" s="418"/>
      <c r="AZ987" s="418"/>
      <c r="BA987" s="418"/>
      <c r="BB987" s="306"/>
      <c r="BC987" s="307"/>
      <c r="BD987" s="307"/>
      <c r="BI987" s="307"/>
      <c r="BJ987" s="307"/>
      <c r="BK987" s="307"/>
      <c r="BL987" s="307"/>
      <c r="BM987" s="307"/>
    </row>
    <row r="988" spans="1:65" ht="15.75" customHeight="1">
      <c r="A988" s="415"/>
      <c r="B988" s="416"/>
      <c r="C988" s="417"/>
      <c r="D988" s="418"/>
      <c r="E988" s="418"/>
      <c r="F988" s="419"/>
      <c r="G988" s="420"/>
      <c r="H988" s="421"/>
      <c r="I988" s="421"/>
      <c r="J988" s="422"/>
      <c r="K988" s="418"/>
      <c r="L988" s="418"/>
      <c r="M988" s="418"/>
      <c r="N988" s="421"/>
      <c r="O988" s="421"/>
      <c r="P988" s="421"/>
      <c r="Q988" s="418"/>
      <c r="R988" s="1022"/>
      <c r="S988" s="1022"/>
      <c r="T988" s="418"/>
      <c r="U988" s="418"/>
      <c r="V988" s="418"/>
      <c r="W988" s="418"/>
      <c r="X988" s="418"/>
      <c r="Y988" s="418"/>
      <c r="Z988" s="418"/>
      <c r="AA988" s="418"/>
      <c r="AB988" s="418"/>
      <c r="AC988" s="418"/>
      <c r="AD988" s="418"/>
      <c r="AE988" s="418"/>
      <c r="AF988" s="418"/>
      <c r="AG988" s="418"/>
      <c r="AH988" s="418"/>
      <c r="AI988" s="418"/>
      <c r="AJ988" s="418"/>
      <c r="AK988" s="418"/>
      <c r="AL988" s="418"/>
      <c r="AM988" s="418"/>
      <c r="AN988" s="423"/>
      <c r="AO988" s="423"/>
      <c r="AP988" s="423"/>
      <c r="AQ988" s="423"/>
      <c r="AR988" s="423"/>
      <c r="AS988" s="423"/>
      <c r="AT988" s="423"/>
      <c r="AU988" s="423"/>
      <c r="AV988" s="423"/>
      <c r="AW988" s="418"/>
      <c r="AX988" s="418"/>
      <c r="AY988" s="418"/>
      <c r="AZ988" s="418"/>
      <c r="BA988" s="418"/>
      <c r="BB988" s="306"/>
      <c r="BC988" s="307"/>
      <c r="BD988" s="307"/>
      <c r="BI988" s="307"/>
      <c r="BJ988" s="307"/>
      <c r="BK988" s="307"/>
      <c r="BL988" s="307"/>
      <c r="BM988" s="307"/>
    </row>
    <row r="989" spans="1:65" ht="15.75" customHeight="1">
      <c r="A989" s="415"/>
      <c r="B989" s="416"/>
      <c r="C989" s="417"/>
      <c r="D989" s="418"/>
      <c r="E989" s="418"/>
      <c r="F989" s="419"/>
      <c r="G989" s="420"/>
      <c r="H989" s="421"/>
      <c r="I989" s="421"/>
      <c r="J989" s="422"/>
      <c r="K989" s="418"/>
      <c r="L989" s="418"/>
      <c r="M989" s="418"/>
      <c r="N989" s="421"/>
      <c r="O989" s="421"/>
      <c r="P989" s="421"/>
      <c r="Q989" s="418"/>
      <c r="R989" s="1022"/>
      <c r="S989" s="1022"/>
      <c r="T989" s="418"/>
      <c r="U989" s="418"/>
      <c r="V989" s="418"/>
      <c r="W989" s="418"/>
      <c r="X989" s="418"/>
      <c r="Y989" s="418"/>
      <c r="Z989" s="418"/>
      <c r="AA989" s="418"/>
      <c r="AB989" s="418"/>
      <c r="AC989" s="418"/>
      <c r="AD989" s="418"/>
      <c r="AE989" s="418"/>
      <c r="AF989" s="418"/>
      <c r="AG989" s="418"/>
      <c r="AH989" s="418"/>
      <c r="AI989" s="418"/>
      <c r="AJ989" s="418"/>
      <c r="AK989" s="418"/>
      <c r="AL989" s="418"/>
      <c r="AM989" s="418"/>
      <c r="AN989" s="423"/>
      <c r="AO989" s="423"/>
      <c r="AP989" s="423"/>
      <c r="AQ989" s="423"/>
      <c r="AR989" s="423"/>
      <c r="AS989" s="423"/>
      <c r="AT989" s="423"/>
      <c r="AU989" s="423"/>
      <c r="AV989" s="423"/>
      <c r="AW989" s="418"/>
      <c r="AX989" s="418"/>
      <c r="AY989" s="418"/>
      <c r="AZ989" s="418"/>
      <c r="BA989" s="418"/>
      <c r="BB989" s="306"/>
      <c r="BC989" s="307"/>
      <c r="BD989" s="307"/>
      <c r="BI989" s="307"/>
      <c r="BJ989" s="307"/>
      <c r="BK989" s="307"/>
      <c r="BL989" s="307"/>
      <c r="BM989" s="307"/>
    </row>
    <row r="990" spans="1:65" ht="15.75" customHeight="1">
      <c r="A990" s="415"/>
      <c r="B990" s="416"/>
      <c r="C990" s="417"/>
      <c r="D990" s="418"/>
      <c r="E990" s="418"/>
      <c r="F990" s="419"/>
      <c r="G990" s="420"/>
      <c r="H990" s="421"/>
      <c r="I990" s="421"/>
      <c r="J990" s="422"/>
      <c r="K990" s="418"/>
      <c r="L990" s="418"/>
      <c r="M990" s="418"/>
      <c r="N990" s="421"/>
      <c r="O990" s="421"/>
      <c r="P990" s="421"/>
      <c r="Q990" s="418"/>
      <c r="R990" s="1022"/>
      <c r="S990" s="1022"/>
      <c r="T990" s="418"/>
      <c r="U990" s="418"/>
      <c r="V990" s="418"/>
      <c r="W990" s="418"/>
      <c r="X990" s="418"/>
      <c r="Y990" s="418"/>
      <c r="Z990" s="418"/>
      <c r="AA990" s="418"/>
      <c r="AB990" s="418"/>
      <c r="AC990" s="418"/>
      <c r="AD990" s="418"/>
      <c r="AE990" s="418"/>
      <c r="AF990" s="418"/>
      <c r="AG990" s="418"/>
      <c r="AH990" s="418"/>
      <c r="AI990" s="418"/>
      <c r="AJ990" s="418"/>
      <c r="AK990" s="418"/>
      <c r="AL990" s="418"/>
      <c r="AM990" s="418"/>
      <c r="AN990" s="423"/>
      <c r="AO990" s="423"/>
      <c r="AP990" s="423"/>
      <c r="AQ990" s="423"/>
      <c r="AR990" s="423"/>
      <c r="AS990" s="423"/>
      <c r="AT990" s="423"/>
      <c r="AU990" s="423"/>
      <c r="AV990" s="423"/>
      <c r="AW990" s="418"/>
      <c r="AX990" s="418"/>
      <c r="AY990" s="418"/>
      <c r="AZ990" s="418"/>
      <c r="BA990" s="418"/>
      <c r="BB990" s="306"/>
      <c r="BC990" s="307"/>
      <c r="BD990" s="307"/>
      <c r="BI990" s="307"/>
      <c r="BJ990" s="307"/>
      <c r="BK990" s="307"/>
      <c r="BL990" s="307"/>
      <c r="BM990" s="307"/>
    </row>
    <row r="991" spans="1:65" ht="15.75" customHeight="1">
      <c r="A991" s="415"/>
      <c r="B991" s="416"/>
      <c r="C991" s="417"/>
      <c r="D991" s="418"/>
      <c r="E991" s="418"/>
      <c r="F991" s="419"/>
      <c r="G991" s="420"/>
      <c r="H991" s="421"/>
      <c r="I991" s="421"/>
      <c r="J991" s="422"/>
      <c r="K991" s="418"/>
      <c r="L991" s="418"/>
      <c r="M991" s="418"/>
      <c r="N991" s="421"/>
      <c r="O991" s="418"/>
      <c r="P991" s="421"/>
      <c r="Q991" s="418"/>
      <c r="R991" s="1022"/>
      <c r="S991" s="1022"/>
      <c r="T991" s="418"/>
      <c r="U991" s="418"/>
      <c r="V991" s="418"/>
      <c r="W991" s="418"/>
      <c r="X991" s="418"/>
      <c r="Y991" s="418"/>
      <c r="Z991" s="418"/>
      <c r="AA991" s="418"/>
      <c r="AB991" s="418"/>
      <c r="AC991" s="418"/>
      <c r="AD991" s="418"/>
      <c r="AE991" s="418"/>
      <c r="AF991" s="418"/>
      <c r="AG991" s="418"/>
      <c r="AH991" s="418"/>
      <c r="AI991" s="418"/>
      <c r="AJ991" s="418"/>
      <c r="AK991" s="418"/>
      <c r="AL991" s="418"/>
      <c r="AM991" s="418"/>
      <c r="AN991" s="423"/>
      <c r="AO991" s="423"/>
      <c r="AP991" s="423"/>
      <c r="AQ991" s="423"/>
      <c r="AR991" s="423"/>
      <c r="AS991" s="423"/>
      <c r="AT991" s="423"/>
      <c r="AU991" s="423"/>
      <c r="AV991" s="423"/>
      <c r="AW991" s="418"/>
      <c r="AX991" s="418"/>
      <c r="AY991" s="418"/>
      <c r="AZ991" s="418"/>
      <c r="BA991" s="418"/>
      <c r="BB991" s="306"/>
      <c r="BC991" s="307"/>
      <c r="BD991" s="307"/>
      <c r="BI991" s="307"/>
      <c r="BJ991" s="307"/>
      <c r="BK991" s="307"/>
      <c r="BL991" s="307"/>
      <c r="BM991" s="307"/>
    </row>
    <row r="992" spans="1:65" ht="15.75" customHeight="1">
      <c r="A992" s="415"/>
      <c r="B992" s="416"/>
      <c r="C992" s="417"/>
      <c r="D992" s="418"/>
      <c r="E992" s="418"/>
      <c r="F992" s="419"/>
      <c r="G992" s="420"/>
      <c r="H992" s="421"/>
      <c r="I992" s="421"/>
      <c r="J992" s="422"/>
      <c r="K992" s="418"/>
      <c r="L992" s="418"/>
      <c r="M992" s="418"/>
      <c r="N992" s="421"/>
      <c r="O992" s="418"/>
      <c r="P992" s="421"/>
      <c r="Q992" s="418"/>
      <c r="R992" s="1022"/>
      <c r="S992" s="1022"/>
      <c r="T992" s="418"/>
      <c r="U992" s="418"/>
      <c r="V992" s="418"/>
      <c r="W992" s="418"/>
      <c r="X992" s="418"/>
      <c r="Y992" s="418"/>
      <c r="Z992" s="418"/>
      <c r="AA992" s="418"/>
      <c r="AB992" s="418"/>
      <c r="AC992" s="418"/>
      <c r="AD992" s="418"/>
      <c r="AE992" s="418"/>
      <c r="AF992" s="418"/>
      <c r="AG992" s="418"/>
      <c r="AH992" s="418"/>
      <c r="AI992" s="418"/>
      <c r="AJ992" s="418"/>
      <c r="AK992" s="418"/>
      <c r="AL992" s="418"/>
      <c r="AM992" s="418"/>
      <c r="AN992" s="423"/>
      <c r="AO992" s="423"/>
      <c r="AP992" s="423"/>
      <c r="AQ992" s="423"/>
      <c r="AR992" s="423"/>
      <c r="AS992" s="423"/>
      <c r="AT992" s="423"/>
      <c r="AU992" s="423"/>
      <c r="AV992" s="423"/>
      <c r="AW992" s="418"/>
      <c r="AX992" s="418"/>
      <c r="AY992" s="418"/>
      <c r="AZ992" s="418"/>
      <c r="BA992" s="418"/>
      <c r="BB992" s="306"/>
      <c r="BC992" s="307"/>
      <c r="BD992" s="307"/>
      <c r="BI992" s="307"/>
      <c r="BJ992" s="307"/>
      <c r="BK992" s="307"/>
      <c r="BL992" s="307"/>
      <c r="BM992" s="307"/>
    </row>
    <row r="993" spans="1:65" ht="15.75" customHeight="1">
      <c r="A993" s="415"/>
      <c r="B993" s="416"/>
      <c r="C993" s="417"/>
      <c r="D993" s="418"/>
      <c r="E993" s="418"/>
      <c r="F993" s="419"/>
      <c r="G993" s="420"/>
      <c r="H993" s="421"/>
      <c r="I993" s="421"/>
      <c r="J993" s="422"/>
      <c r="K993" s="418"/>
      <c r="L993" s="418"/>
      <c r="M993" s="418"/>
      <c r="N993" s="421"/>
      <c r="O993" s="421"/>
      <c r="P993" s="421"/>
      <c r="Q993" s="418"/>
      <c r="R993" s="1022"/>
      <c r="S993" s="1022"/>
      <c r="T993" s="418"/>
      <c r="U993" s="418"/>
      <c r="V993" s="418"/>
      <c r="W993" s="418"/>
      <c r="X993" s="418"/>
      <c r="Y993" s="418"/>
      <c r="Z993" s="418"/>
      <c r="AA993" s="418"/>
      <c r="AB993" s="418"/>
      <c r="AC993" s="418"/>
      <c r="AD993" s="418"/>
      <c r="AE993" s="418"/>
      <c r="AF993" s="418"/>
      <c r="AG993" s="418"/>
      <c r="AH993" s="418"/>
      <c r="AI993" s="418"/>
      <c r="AJ993" s="418"/>
      <c r="AK993" s="418"/>
      <c r="AL993" s="418"/>
      <c r="AM993" s="418"/>
      <c r="AN993" s="423"/>
      <c r="AO993" s="423"/>
      <c r="AP993" s="423"/>
      <c r="AQ993" s="423"/>
      <c r="AR993" s="423"/>
      <c r="AS993" s="423"/>
      <c r="AT993" s="423"/>
      <c r="AU993" s="423"/>
      <c r="AV993" s="423"/>
      <c r="AW993" s="418"/>
      <c r="AX993" s="418"/>
      <c r="AY993" s="418"/>
      <c r="AZ993" s="418"/>
      <c r="BA993" s="418"/>
      <c r="BB993" s="306"/>
      <c r="BC993" s="307"/>
      <c r="BD993" s="307"/>
      <c r="BI993" s="307"/>
      <c r="BJ993" s="307"/>
      <c r="BK993" s="307"/>
      <c r="BL993" s="307"/>
      <c r="BM993" s="307"/>
    </row>
    <row r="994" spans="1:65" ht="15.75" customHeight="1">
      <c r="A994" s="415"/>
      <c r="B994" s="416"/>
      <c r="C994" s="417"/>
      <c r="D994" s="418"/>
      <c r="E994" s="418"/>
      <c r="F994" s="419"/>
      <c r="G994" s="420"/>
      <c r="H994" s="421"/>
      <c r="I994" s="421"/>
      <c r="J994" s="422"/>
      <c r="K994" s="418"/>
      <c r="L994" s="418"/>
      <c r="M994" s="418"/>
      <c r="N994" s="421"/>
      <c r="O994" s="421"/>
      <c r="P994" s="421"/>
      <c r="Q994" s="418"/>
      <c r="R994" s="1022"/>
      <c r="S994" s="1022"/>
      <c r="T994" s="418"/>
      <c r="U994" s="418"/>
      <c r="V994" s="418"/>
      <c r="W994" s="418"/>
      <c r="X994" s="418"/>
      <c r="Y994" s="418"/>
      <c r="Z994" s="418"/>
      <c r="AA994" s="418"/>
      <c r="AB994" s="418"/>
      <c r="AC994" s="418"/>
      <c r="AD994" s="418"/>
      <c r="AE994" s="418"/>
      <c r="AF994" s="418"/>
      <c r="AG994" s="418"/>
      <c r="AH994" s="418"/>
      <c r="AI994" s="418"/>
      <c r="AJ994" s="418"/>
      <c r="AK994" s="418"/>
      <c r="AL994" s="418"/>
      <c r="AM994" s="418"/>
      <c r="AN994" s="423"/>
      <c r="AO994" s="423"/>
      <c r="AP994" s="423"/>
      <c r="AQ994" s="423"/>
      <c r="AR994" s="423"/>
      <c r="AS994" s="423"/>
      <c r="AT994" s="423"/>
      <c r="AU994" s="423"/>
      <c r="AV994" s="423"/>
      <c r="AW994" s="418"/>
      <c r="AX994" s="418"/>
      <c r="AY994" s="418"/>
      <c r="AZ994" s="418"/>
      <c r="BA994" s="418"/>
      <c r="BB994" s="306"/>
      <c r="BC994" s="307"/>
      <c r="BD994" s="307"/>
      <c r="BI994" s="307"/>
      <c r="BJ994" s="307"/>
      <c r="BK994" s="307"/>
      <c r="BL994" s="307"/>
      <c r="BM994" s="307"/>
    </row>
    <row r="995" spans="1:65" ht="15.75" customHeight="1">
      <c r="A995" s="415"/>
      <c r="B995" s="416"/>
      <c r="C995" s="417"/>
      <c r="D995" s="418"/>
      <c r="E995" s="418"/>
      <c r="F995" s="419"/>
      <c r="G995" s="420"/>
      <c r="H995" s="421"/>
      <c r="I995" s="421"/>
      <c r="J995" s="422"/>
      <c r="K995" s="418"/>
      <c r="L995" s="418"/>
      <c r="M995" s="418"/>
      <c r="N995" s="421"/>
      <c r="O995" s="421"/>
      <c r="P995" s="421"/>
      <c r="Q995" s="418"/>
      <c r="R995" s="1022"/>
      <c r="S995" s="1022"/>
      <c r="T995" s="418"/>
      <c r="U995" s="418"/>
      <c r="V995" s="418"/>
      <c r="W995" s="418"/>
      <c r="X995" s="418"/>
      <c r="Y995" s="418"/>
      <c r="Z995" s="418"/>
      <c r="AA995" s="418"/>
      <c r="AB995" s="418"/>
      <c r="AC995" s="418"/>
      <c r="AD995" s="418"/>
      <c r="AE995" s="418"/>
      <c r="AF995" s="418"/>
      <c r="AG995" s="418"/>
      <c r="AH995" s="418"/>
      <c r="AI995" s="418"/>
      <c r="AJ995" s="418"/>
      <c r="AK995" s="418"/>
      <c r="AL995" s="418"/>
      <c r="AM995" s="418"/>
      <c r="AN995" s="423"/>
      <c r="AO995" s="423"/>
      <c r="AP995" s="423"/>
      <c r="AQ995" s="423"/>
      <c r="AR995" s="423"/>
      <c r="AS995" s="423"/>
      <c r="AT995" s="423"/>
      <c r="AU995" s="423"/>
      <c r="AV995" s="423"/>
      <c r="AW995" s="418"/>
      <c r="AX995" s="418"/>
      <c r="AY995" s="418"/>
      <c r="AZ995" s="418"/>
      <c r="BA995" s="418"/>
      <c r="BB995" s="306"/>
      <c r="BC995" s="307"/>
      <c r="BD995" s="307"/>
      <c r="BI995" s="307"/>
      <c r="BJ995" s="307"/>
      <c r="BK995" s="307"/>
      <c r="BL995" s="307"/>
      <c r="BM995" s="307"/>
    </row>
    <row r="996" spans="1:65" ht="15.75" customHeight="1">
      <c r="A996" s="415"/>
      <c r="B996" s="416"/>
      <c r="C996" s="417"/>
      <c r="D996" s="418"/>
      <c r="E996" s="418"/>
      <c r="F996" s="419"/>
      <c r="G996" s="420"/>
      <c r="H996" s="421"/>
      <c r="I996" s="421"/>
      <c r="J996" s="422"/>
      <c r="K996" s="418"/>
      <c r="L996" s="418"/>
      <c r="M996" s="418"/>
      <c r="N996" s="421"/>
      <c r="O996" s="421"/>
      <c r="P996" s="421"/>
      <c r="Q996" s="418"/>
      <c r="R996" s="1022"/>
      <c r="S996" s="1022"/>
      <c r="T996" s="418"/>
      <c r="U996" s="418"/>
      <c r="V996" s="418"/>
      <c r="W996" s="418"/>
      <c r="X996" s="418"/>
      <c r="Y996" s="418"/>
      <c r="Z996" s="418"/>
      <c r="AA996" s="418"/>
      <c r="AB996" s="418"/>
      <c r="AC996" s="418"/>
      <c r="AD996" s="418"/>
      <c r="AE996" s="418"/>
      <c r="AF996" s="418"/>
      <c r="AG996" s="418"/>
      <c r="AH996" s="418"/>
      <c r="AI996" s="418"/>
      <c r="AJ996" s="418"/>
      <c r="AK996" s="418"/>
      <c r="AL996" s="418"/>
      <c r="AM996" s="418"/>
      <c r="AN996" s="423"/>
      <c r="AO996" s="423"/>
      <c r="AP996" s="423"/>
      <c r="AQ996" s="423"/>
      <c r="AR996" s="423"/>
      <c r="AS996" s="423"/>
      <c r="AT996" s="423"/>
      <c r="AU996" s="423"/>
      <c r="AV996" s="423"/>
      <c r="AW996" s="418"/>
      <c r="AX996" s="418"/>
      <c r="AY996" s="418"/>
      <c r="AZ996" s="418"/>
      <c r="BA996" s="418"/>
      <c r="BB996" s="306"/>
      <c r="BC996" s="307"/>
      <c r="BD996" s="307"/>
      <c r="BI996" s="307"/>
      <c r="BJ996" s="307"/>
      <c r="BK996" s="307"/>
      <c r="BL996" s="307"/>
      <c r="BM996" s="307"/>
    </row>
    <row r="997" spans="1:65" ht="15.75" customHeight="1">
      <c r="A997" s="415"/>
      <c r="B997" s="416"/>
      <c r="C997" s="417"/>
      <c r="D997" s="418"/>
      <c r="E997" s="418"/>
      <c r="F997" s="419"/>
      <c r="G997" s="420"/>
      <c r="H997" s="421"/>
      <c r="I997" s="421"/>
      <c r="J997" s="422"/>
      <c r="K997" s="418"/>
      <c r="L997" s="418"/>
      <c r="M997" s="418"/>
      <c r="N997" s="421"/>
      <c r="O997" s="421"/>
      <c r="P997" s="421"/>
      <c r="Q997" s="418"/>
      <c r="R997" s="1022"/>
      <c r="S997" s="1022"/>
      <c r="T997" s="418"/>
      <c r="U997" s="418"/>
      <c r="V997" s="418"/>
      <c r="W997" s="418"/>
      <c r="X997" s="418"/>
      <c r="Y997" s="418"/>
      <c r="Z997" s="418"/>
      <c r="AA997" s="418"/>
      <c r="AB997" s="418"/>
      <c r="AC997" s="418"/>
      <c r="AD997" s="418"/>
      <c r="AE997" s="418"/>
      <c r="AF997" s="418"/>
      <c r="AG997" s="418"/>
      <c r="AH997" s="418"/>
      <c r="AI997" s="418"/>
      <c r="AJ997" s="418"/>
      <c r="AK997" s="418"/>
      <c r="AL997" s="418"/>
      <c r="AM997" s="418"/>
      <c r="AN997" s="423"/>
      <c r="AO997" s="423"/>
      <c r="AP997" s="423"/>
      <c r="AQ997" s="423"/>
      <c r="AR997" s="423"/>
      <c r="AS997" s="423"/>
      <c r="AT997" s="423"/>
      <c r="AU997" s="423"/>
      <c r="AV997" s="423"/>
      <c r="AW997" s="418"/>
      <c r="AX997" s="418"/>
      <c r="AY997" s="418"/>
      <c r="AZ997" s="418"/>
      <c r="BA997" s="418"/>
      <c r="BB997" s="306"/>
      <c r="BC997" s="307"/>
      <c r="BD997" s="307"/>
      <c r="BI997" s="307"/>
      <c r="BJ997" s="307"/>
      <c r="BK997" s="307"/>
      <c r="BL997" s="307"/>
      <c r="BM997" s="307"/>
    </row>
    <row r="998" spans="1:65" ht="15.75" customHeight="1">
      <c r="A998" s="415"/>
      <c r="B998" s="416"/>
      <c r="C998" s="417"/>
      <c r="D998" s="418"/>
      <c r="E998" s="418"/>
      <c r="F998" s="419"/>
      <c r="G998" s="420"/>
      <c r="H998" s="421"/>
      <c r="I998" s="421"/>
      <c r="J998" s="422"/>
      <c r="K998" s="418"/>
      <c r="L998" s="418"/>
      <c r="M998" s="418"/>
      <c r="N998" s="421"/>
      <c r="O998" s="421"/>
      <c r="P998" s="421"/>
      <c r="Q998" s="418"/>
      <c r="R998" s="1022"/>
      <c r="S998" s="1022"/>
      <c r="T998" s="418"/>
      <c r="U998" s="418"/>
      <c r="V998" s="418"/>
      <c r="W998" s="418"/>
      <c r="X998" s="418"/>
      <c r="Y998" s="418"/>
      <c r="Z998" s="418"/>
      <c r="AA998" s="418"/>
      <c r="AB998" s="418"/>
      <c r="AC998" s="418"/>
      <c r="AD998" s="418"/>
      <c r="AE998" s="418"/>
      <c r="AF998" s="418"/>
      <c r="AG998" s="418"/>
      <c r="AH998" s="418"/>
      <c r="AI998" s="418"/>
      <c r="AJ998" s="418"/>
      <c r="AK998" s="418"/>
      <c r="AL998" s="418"/>
      <c r="AM998" s="418"/>
      <c r="AN998" s="423"/>
      <c r="AO998" s="423"/>
      <c r="AP998" s="423"/>
      <c r="AQ998" s="423"/>
      <c r="AR998" s="423"/>
      <c r="AS998" s="423"/>
      <c r="AT998" s="423"/>
      <c r="AU998" s="423"/>
      <c r="AV998" s="423"/>
      <c r="AW998" s="418"/>
      <c r="AX998" s="418"/>
      <c r="AY998" s="418"/>
      <c r="AZ998" s="418"/>
      <c r="BA998" s="418"/>
      <c r="BB998" s="306"/>
      <c r="BC998" s="307"/>
      <c r="BD998" s="307"/>
      <c r="BI998" s="307"/>
      <c r="BJ998" s="307"/>
      <c r="BK998" s="307"/>
      <c r="BL998" s="307"/>
      <c r="BM998" s="307"/>
    </row>
    <row r="999" spans="1:65" ht="15.75" customHeight="1">
      <c r="A999" s="415"/>
      <c r="B999" s="416"/>
      <c r="C999" s="417"/>
      <c r="D999" s="418"/>
      <c r="E999" s="418"/>
      <c r="F999" s="419"/>
      <c r="G999" s="420"/>
      <c r="H999" s="421"/>
      <c r="I999" s="421"/>
      <c r="J999" s="422"/>
      <c r="K999" s="418"/>
      <c r="L999" s="418"/>
      <c r="M999" s="418"/>
      <c r="N999" s="421"/>
      <c r="O999" s="421"/>
      <c r="P999" s="421"/>
      <c r="Q999" s="418"/>
      <c r="R999" s="1022"/>
      <c r="S999" s="1022"/>
      <c r="T999" s="418"/>
      <c r="U999" s="418"/>
      <c r="V999" s="418"/>
      <c r="W999" s="418"/>
      <c r="X999" s="418"/>
      <c r="Y999" s="418"/>
      <c r="Z999" s="418"/>
      <c r="AA999" s="418"/>
      <c r="AB999" s="418"/>
      <c r="AC999" s="418"/>
      <c r="AD999" s="418"/>
      <c r="AE999" s="418"/>
      <c r="AF999" s="418"/>
      <c r="AG999" s="418"/>
      <c r="AH999" s="418"/>
      <c r="AI999" s="418"/>
      <c r="AJ999" s="418"/>
      <c r="AK999" s="418"/>
      <c r="AL999" s="418"/>
      <c r="AM999" s="418"/>
      <c r="AN999" s="423"/>
      <c r="AO999" s="423"/>
      <c r="AP999" s="423"/>
      <c r="AQ999" s="423"/>
      <c r="AR999" s="423"/>
      <c r="AS999" s="423"/>
      <c r="AT999" s="423"/>
      <c r="AU999" s="423"/>
      <c r="AV999" s="423"/>
      <c r="AW999" s="418"/>
      <c r="AX999" s="418"/>
      <c r="AY999" s="418"/>
      <c r="AZ999" s="418"/>
      <c r="BA999" s="418"/>
      <c r="BB999" s="306"/>
      <c r="BC999" s="307"/>
      <c r="BD999" s="307"/>
      <c r="BI999" s="307"/>
      <c r="BJ999" s="307"/>
      <c r="BK999" s="307"/>
      <c r="BL999" s="307"/>
      <c r="BM999" s="307"/>
    </row>
    <row r="1000" spans="1:65" ht="15.75" customHeight="1">
      <c r="A1000" s="415"/>
      <c r="B1000" s="416"/>
      <c r="C1000" s="417"/>
      <c r="D1000" s="418"/>
      <c r="E1000" s="418"/>
      <c r="F1000" s="419"/>
      <c r="G1000" s="420"/>
      <c r="H1000" s="421"/>
      <c r="I1000" s="421"/>
      <c r="J1000" s="422"/>
      <c r="K1000" s="418"/>
      <c r="L1000" s="418"/>
      <c r="M1000" s="418"/>
      <c r="N1000" s="421"/>
      <c r="O1000" s="421"/>
      <c r="P1000" s="421"/>
      <c r="Q1000" s="418"/>
      <c r="R1000" s="1022"/>
      <c r="S1000" s="1022"/>
      <c r="T1000" s="418"/>
      <c r="U1000" s="418"/>
      <c r="V1000" s="418"/>
      <c r="W1000" s="418"/>
      <c r="X1000" s="418"/>
      <c r="Y1000" s="418"/>
      <c r="Z1000" s="418"/>
      <c r="AA1000" s="418"/>
      <c r="AB1000" s="418"/>
      <c r="AC1000" s="418"/>
      <c r="AD1000" s="418"/>
      <c r="AE1000" s="418"/>
      <c r="AF1000" s="418"/>
      <c r="AG1000" s="418"/>
      <c r="AH1000" s="418"/>
      <c r="AI1000" s="418"/>
      <c r="AJ1000" s="418"/>
      <c r="AK1000" s="418"/>
      <c r="AL1000" s="418"/>
      <c r="AM1000" s="418"/>
      <c r="AN1000" s="423"/>
      <c r="AO1000" s="423"/>
      <c r="AP1000" s="423"/>
      <c r="AQ1000" s="423"/>
      <c r="AR1000" s="423"/>
      <c r="AS1000" s="423"/>
      <c r="AT1000" s="423"/>
      <c r="AU1000" s="423"/>
      <c r="AV1000" s="423"/>
      <c r="AW1000" s="418"/>
      <c r="AX1000" s="418"/>
      <c r="AY1000" s="418"/>
      <c r="AZ1000" s="418"/>
      <c r="BA1000" s="418"/>
      <c r="BB1000" s="306"/>
      <c r="BC1000" s="307"/>
      <c r="BD1000" s="307"/>
      <c r="BI1000" s="307"/>
      <c r="BJ1000" s="307"/>
      <c r="BK1000" s="307"/>
      <c r="BL1000" s="307"/>
      <c r="BM1000" s="307"/>
    </row>
    <row r="1001" spans="1:65" ht="15.75" customHeight="1">
      <c r="A1001" s="415"/>
      <c r="B1001" s="416"/>
      <c r="C1001" s="417"/>
      <c r="D1001" s="418"/>
      <c r="E1001" s="418"/>
      <c r="F1001" s="419"/>
      <c r="G1001" s="420"/>
      <c r="H1001" s="421"/>
      <c r="I1001" s="421"/>
      <c r="J1001" s="422"/>
      <c r="K1001" s="418"/>
      <c r="L1001" s="418"/>
      <c r="M1001" s="418"/>
      <c r="N1001" s="421"/>
      <c r="O1001" s="421"/>
      <c r="P1001" s="421"/>
      <c r="Q1001" s="418"/>
      <c r="R1001" s="1022"/>
      <c r="S1001" s="1022"/>
      <c r="T1001" s="418"/>
      <c r="U1001" s="418"/>
      <c r="V1001" s="418"/>
      <c r="W1001" s="418"/>
      <c r="X1001" s="418"/>
      <c r="Y1001" s="418"/>
      <c r="Z1001" s="418"/>
      <c r="AA1001" s="418"/>
      <c r="AB1001" s="418"/>
      <c r="AC1001" s="418"/>
      <c r="AD1001" s="418"/>
      <c r="AE1001" s="418"/>
      <c r="AF1001" s="418"/>
      <c r="AG1001" s="418"/>
      <c r="AH1001" s="418"/>
      <c r="AI1001" s="418"/>
      <c r="AJ1001" s="418"/>
      <c r="AK1001" s="418"/>
      <c r="AL1001" s="418"/>
      <c r="AM1001" s="418"/>
      <c r="AN1001" s="423"/>
      <c r="AO1001" s="423"/>
      <c r="AP1001" s="423"/>
      <c r="AQ1001" s="423"/>
      <c r="AR1001" s="423"/>
      <c r="AS1001" s="423"/>
      <c r="AT1001" s="423"/>
      <c r="AU1001" s="423"/>
      <c r="AV1001" s="423"/>
      <c r="AW1001" s="418"/>
      <c r="AX1001" s="418"/>
      <c r="AY1001" s="418"/>
      <c r="AZ1001" s="418"/>
      <c r="BA1001" s="418"/>
      <c r="BB1001" s="306"/>
      <c r="BC1001" s="307"/>
      <c r="BD1001" s="307"/>
      <c r="BI1001" s="307"/>
      <c r="BJ1001" s="307"/>
      <c r="BK1001" s="307"/>
      <c r="BL1001" s="307"/>
      <c r="BM1001" s="307"/>
    </row>
    <row r="1002" spans="1:65" ht="15.75" customHeight="1">
      <c r="A1002" s="415"/>
      <c r="B1002" s="416"/>
      <c r="C1002" s="417"/>
      <c r="D1002" s="418"/>
      <c r="E1002" s="418"/>
      <c r="F1002" s="419"/>
      <c r="G1002" s="420"/>
      <c r="H1002" s="421"/>
      <c r="I1002" s="421"/>
      <c r="J1002" s="422"/>
      <c r="K1002" s="418"/>
      <c r="L1002" s="418"/>
      <c r="M1002" s="418"/>
      <c r="N1002" s="421"/>
      <c r="O1002" s="421"/>
      <c r="P1002" s="421"/>
      <c r="Q1002" s="418"/>
      <c r="R1002" s="1022"/>
      <c r="S1002" s="1022"/>
      <c r="T1002" s="418"/>
      <c r="U1002" s="418"/>
      <c r="V1002" s="418"/>
      <c r="W1002" s="418"/>
      <c r="X1002" s="418"/>
      <c r="Y1002" s="418"/>
      <c r="Z1002" s="418"/>
      <c r="AA1002" s="418"/>
      <c r="AB1002" s="418"/>
      <c r="AC1002" s="418"/>
      <c r="AD1002" s="418"/>
      <c r="AE1002" s="418"/>
      <c r="AF1002" s="418"/>
      <c r="AG1002" s="418"/>
      <c r="AH1002" s="418"/>
      <c r="AI1002" s="418"/>
      <c r="AJ1002" s="418"/>
      <c r="AK1002" s="418"/>
      <c r="AL1002" s="418"/>
      <c r="AM1002" s="418"/>
      <c r="AN1002" s="423"/>
      <c r="AO1002" s="423"/>
      <c r="AP1002" s="423"/>
      <c r="AQ1002" s="423"/>
      <c r="AR1002" s="423"/>
      <c r="AS1002" s="423"/>
      <c r="AT1002" s="423"/>
      <c r="AU1002" s="423"/>
      <c r="AV1002" s="423"/>
      <c r="AW1002" s="418"/>
      <c r="AX1002" s="418"/>
      <c r="AY1002" s="418"/>
      <c r="AZ1002" s="418"/>
      <c r="BA1002" s="418"/>
      <c r="BB1002" s="306"/>
      <c r="BC1002" s="307"/>
      <c r="BD1002" s="307"/>
      <c r="BI1002" s="307"/>
      <c r="BJ1002" s="307"/>
      <c r="BK1002" s="307"/>
      <c r="BL1002" s="307"/>
      <c r="BM1002" s="307"/>
    </row>
    <row r="1003" spans="1:65" ht="15.75" customHeight="1">
      <c r="A1003" s="415"/>
      <c r="B1003" s="416"/>
      <c r="C1003" s="417"/>
      <c r="D1003" s="418"/>
      <c r="E1003" s="418"/>
      <c r="F1003" s="419"/>
      <c r="G1003" s="420"/>
      <c r="H1003" s="421"/>
      <c r="I1003" s="425"/>
      <c r="J1003" s="422"/>
      <c r="K1003" s="418"/>
      <c r="L1003" s="418"/>
      <c r="M1003" s="418"/>
      <c r="N1003" s="421"/>
      <c r="O1003" s="421"/>
      <c r="P1003" s="421"/>
      <c r="Q1003" s="418"/>
      <c r="R1003" s="1022"/>
      <c r="S1003" s="1022"/>
      <c r="T1003" s="418"/>
      <c r="U1003" s="418"/>
      <c r="V1003" s="418"/>
      <c r="W1003" s="418"/>
      <c r="X1003" s="418"/>
      <c r="Y1003" s="418"/>
      <c r="Z1003" s="418"/>
      <c r="AA1003" s="418"/>
      <c r="AB1003" s="418"/>
      <c r="AC1003" s="418"/>
      <c r="AD1003" s="418"/>
      <c r="AE1003" s="418"/>
      <c r="AF1003" s="418"/>
      <c r="AG1003" s="418"/>
      <c r="AH1003" s="418"/>
      <c r="AI1003" s="418"/>
      <c r="AJ1003" s="418"/>
      <c r="AK1003" s="418"/>
      <c r="AL1003" s="418"/>
      <c r="AM1003" s="418"/>
      <c r="AN1003" s="423"/>
      <c r="AO1003" s="423"/>
      <c r="AP1003" s="423"/>
      <c r="AQ1003" s="423"/>
      <c r="AR1003" s="423"/>
      <c r="AS1003" s="423"/>
      <c r="AT1003" s="423"/>
      <c r="AU1003" s="423"/>
      <c r="AV1003" s="423"/>
      <c r="AW1003" s="418"/>
      <c r="AX1003" s="418"/>
      <c r="AY1003" s="418"/>
      <c r="AZ1003" s="418"/>
      <c r="BA1003" s="418"/>
      <c r="BB1003" s="306"/>
      <c r="BC1003" s="307"/>
      <c r="BD1003" s="307"/>
      <c r="BI1003" s="307"/>
      <c r="BJ1003" s="307"/>
      <c r="BK1003" s="307"/>
      <c r="BL1003" s="307"/>
      <c r="BM1003" s="307"/>
    </row>
    <row r="1004" spans="1:65" ht="15.75" customHeight="1">
      <c r="A1004" s="415"/>
      <c r="B1004" s="416"/>
      <c r="C1004" s="417"/>
      <c r="D1004" s="418"/>
      <c r="E1004" s="418"/>
      <c r="F1004" s="419"/>
      <c r="G1004" s="420"/>
      <c r="H1004" s="421"/>
      <c r="I1004" s="421"/>
      <c r="J1004" s="422"/>
      <c r="K1004" s="418"/>
      <c r="L1004" s="418"/>
      <c r="M1004" s="418"/>
      <c r="N1004" s="421"/>
      <c r="O1004" s="421"/>
      <c r="P1004" s="421"/>
      <c r="Q1004" s="418"/>
      <c r="R1004" s="1022"/>
      <c r="S1004" s="1022"/>
      <c r="T1004" s="418"/>
      <c r="U1004" s="418"/>
      <c r="V1004" s="418"/>
      <c r="W1004" s="418"/>
      <c r="X1004" s="418"/>
      <c r="Y1004" s="418"/>
      <c r="Z1004" s="418"/>
      <c r="AA1004" s="418"/>
      <c r="AB1004" s="418"/>
      <c r="AC1004" s="418"/>
      <c r="AD1004" s="418"/>
      <c r="AE1004" s="418"/>
      <c r="AF1004" s="418"/>
      <c r="AG1004" s="418"/>
      <c r="AH1004" s="418"/>
      <c r="AI1004" s="418"/>
      <c r="AJ1004" s="418"/>
      <c r="AK1004" s="418"/>
      <c r="AL1004" s="418"/>
      <c r="AM1004" s="418"/>
      <c r="AN1004" s="423"/>
      <c r="AO1004" s="423"/>
      <c r="AP1004" s="423"/>
      <c r="AQ1004" s="423"/>
      <c r="AR1004" s="423"/>
      <c r="AS1004" s="423"/>
      <c r="AT1004" s="423"/>
      <c r="AU1004" s="423"/>
      <c r="AV1004" s="423"/>
      <c r="AW1004" s="418"/>
      <c r="AX1004" s="418"/>
      <c r="AY1004" s="418"/>
      <c r="AZ1004" s="418"/>
      <c r="BA1004" s="418"/>
      <c r="BB1004" s="306"/>
      <c r="BC1004" s="307"/>
      <c r="BD1004" s="307"/>
      <c r="BI1004" s="307"/>
      <c r="BJ1004" s="307"/>
      <c r="BK1004" s="307"/>
      <c r="BL1004" s="307"/>
      <c r="BM1004" s="307"/>
    </row>
    <row r="1005" spans="1:65" ht="15.75" customHeight="1">
      <c r="A1005" s="415"/>
      <c r="B1005" s="416"/>
      <c r="C1005" s="417"/>
      <c r="D1005" s="418"/>
      <c r="E1005" s="418"/>
      <c r="F1005" s="419"/>
      <c r="G1005" s="420"/>
      <c r="H1005" s="421"/>
      <c r="I1005" s="425"/>
      <c r="J1005" s="422"/>
      <c r="K1005" s="418"/>
      <c r="L1005" s="418"/>
      <c r="M1005" s="418"/>
      <c r="N1005" s="421"/>
      <c r="O1005" s="421"/>
      <c r="P1005" s="421"/>
      <c r="Q1005" s="418"/>
      <c r="R1005" s="1022"/>
      <c r="S1005" s="1022"/>
      <c r="T1005" s="418"/>
      <c r="U1005" s="418"/>
      <c r="V1005" s="418"/>
      <c r="W1005" s="418"/>
      <c r="X1005" s="418"/>
      <c r="Y1005" s="418"/>
      <c r="Z1005" s="418"/>
      <c r="AA1005" s="418"/>
      <c r="AB1005" s="418"/>
      <c r="AC1005" s="418"/>
      <c r="AD1005" s="418"/>
      <c r="AE1005" s="418"/>
      <c r="AF1005" s="418"/>
      <c r="AG1005" s="418"/>
      <c r="AH1005" s="418"/>
      <c r="AI1005" s="418"/>
      <c r="AJ1005" s="418"/>
      <c r="AK1005" s="418"/>
      <c r="AL1005" s="418"/>
      <c r="AM1005" s="418"/>
      <c r="AN1005" s="423"/>
      <c r="AO1005" s="423"/>
      <c r="AP1005" s="423"/>
      <c r="AQ1005" s="423"/>
      <c r="AR1005" s="423"/>
      <c r="AS1005" s="423"/>
      <c r="AT1005" s="423"/>
      <c r="AU1005" s="423"/>
      <c r="AV1005" s="423"/>
      <c r="AW1005" s="418"/>
      <c r="AX1005" s="418"/>
      <c r="AY1005" s="418"/>
      <c r="AZ1005" s="418"/>
      <c r="BA1005" s="418"/>
      <c r="BB1005" s="306"/>
      <c r="BC1005" s="307"/>
      <c r="BD1005" s="307"/>
      <c r="BI1005" s="307"/>
      <c r="BJ1005" s="307"/>
      <c r="BK1005" s="307"/>
      <c r="BL1005" s="307"/>
      <c r="BM1005" s="307"/>
    </row>
    <row r="1006" spans="1:65" ht="15.75" customHeight="1">
      <c r="A1006" s="415"/>
      <c r="B1006" s="416"/>
      <c r="C1006" s="417"/>
      <c r="D1006" s="418"/>
      <c r="E1006" s="418"/>
      <c r="F1006" s="419"/>
      <c r="G1006" s="420"/>
      <c r="H1006" s="421"/>
      <c r="I1006" s="421"/>
      <c r="J1006" s="422"/>
      <c r="K1006" s="418"/>
      <c r="L1006" s="418"/>
      <c r="M1006" s="418"/>
      <c r="N1006" s="421"/>
      <c r="O1006" s="421"/>
      <c r="P1006" s="421"/>
      <c r="Q1006" s="418"/>
      <c r="R1006" s="1022"/>
      <c r="S1006" s="1022"/>
      <c r="T1006" s="418"/>
      <c r="U1006" s="418"/>
      <c r="V1006" s="418"/>
      <c r="W1006" s="418"/>
      <c r="X1006" s="418"/>
      <c r="Y1006" s="418"/>
      <c r="Z1006" s="418"/>
      <c r="AA1006" s="418"/>
      <c r="AB1006" s="418"/>
      <c r="AC1006" s="418"/>
      <c r="AD1006" s="418"/>
      <c r="AE1006" s="418"/>
      <c r="AF1006" s="418"/>
      <c r="AG1006" s="418"/>
      <c r="AH1006" s="418"/>
      <c r="AI1006" s="418"/>
      <c r="AJ1006" s="418"/>
      <c r="AK1006" s="418"/>
      <c r="AL1006" s="418"/>
      <c r="AM1006" s="418"/>
      <c r="AN1006" s="423"/>
      <c r="AO1006" s="423"/>
      <c r="AP1006" s="423"/>
      <c r="AQ1006" s="423"/>
      <c r="AR1006" s="423"/>
      <c r="AS1006" s="423"/>
      <c r="AT1006" s="423"/>
      <c r="AU1006" s="423"/>
      <c r="AV1006" s="423"/>
      <c r="AW1006" s="418"/>
      <c r="AX1006" s="418"/>
      <c r="AY1006" s="418"/>
      <c r="AZ1006" s="418"/>
      <c r="BA1006" s="418"/>
      <c r="BB1006" s="306"/>
      <c r="BC1006" s="307"/>
      <c r="BD1006" s="307"/>
      <c r="BI1006" s="307"/>
      <c r="BJ1006" s="307"/>
      <c r="BK1006" s="307"/>
      <c r="BL1006" s="307"/>
      <c r="BM1006" s="307"/>
    </row>
    <row r="1007" spans="1:65" ht="15.75" customHeight="1">
      <c r="A1007" s="415"/>
      <c r="B1007" s="416"/>
      <c r="C1007" s="417"/>
      <c r="D1007" s="418"/>
      <c r="E1007" s="418"/>
      <c r="F1007" s="419"/>
      <c r="G1007" s="420"/>
      <c r="H1007" s="421"/>
      <c r="I1007" s="421"/>
      <c r="J1007" s="422"/>
      <c r="K1007" s="418"/>
      <c r="L1007" s="418"/>
      <c r="M1007" s="418"/>
      <c r="N1007" s="421"/>
      <c r="O1007" s="421"/>
      <c r="P1007" s="421"/>
      <c r="Q1007" s="418"/>
      <c r="R1007" s="1022"/>
      <c r="S1007" s="1022"/>
      <c r="T1007" s="418"/>
      <c r="U1007" s="418"/>
      <c r="V1007" s="418"/>
      <c r="W1007" s="418"/>
      <c r="X1007" s="418"/>
      <c r="Y1007" s="418"/>
      <c r="Z1007" s="418"/>
      <c r="AA1007" s="418"/>
      <c r="AB1007" s="418"/>
      <c r="AC1007" s="418"/>
      <c r="AD1007" s="418"/>
      <c r="AE1007" s="418"/>
      <c r="AF1007" s="418"/>
      <c r="AG1007" s="418"/>
      <c r="AH1007" s="418"/>
      <c r="AI1007" s="418"/>
      <c r="AJ1007" s="418"/>
      <c r="AK1007" s="418"/>
      <c r="AL1007" s="418"/>
      <c r="AM1007" s="418"/>
      <c r="AN1007" s="423"/>
      <c r="AO1007" s="423"/>
      <c r="AP1007" s="423"/>
      <c r="AQ1007" s="423"/>
      <c r="AR1007" s="423"/>
      <c r="AS1007" s="423"/>
      <c r="AT1007" s="423"/>
      <c r="AU1007" s="423"/>
      <c r="AV1007" s="423"/>
      <c r="AW1007" s="418"/>
      <c r="AX1007" s="418"/>
      <c r="AY1007" s="418"/>
      <c r="AZ1007" s="418"/>
      <c r="BA1007" s="418"/>
      <c r="BB1007" s="306"/>
      <c r="BC1007" s="307"/>
      <c r="BD1007" s="307"/>
    </row>
    <row r="1008" spans="1:65" ht="15.75" customHeight="1">
      <c r="A1008" s="415"/>
      <c r="B1008" s="416"/>
      <c r="C1008" s="417"/>
      <c r="D1008" s="418"/>
      <c r="E1008" s="418"/>
      <c r="F1008" s="419"/>
      <c r="G1008" s="420"/>
      <c r="H1008" s="421"/>
      <c r="I1008" s="425"/>
      <c r="J1008" s="422"/>
      <c r="K1008" s="418"/>
      <c r="L1008" s="418"/>
      <c r="M1008" s="418"/>
      <c r="N1008" s="421"/>
      <c r="O1008" s="421"/>
      <c r="P1008" s="421"/>
      <c r="Q1008" s="418"/>
      <c r="R1008" s="1022"/>
      <c r="S1008" s="1022"/>
      <c r="T1008" s="418"/>
      <c r="U1008" s="418"/>
      <c r="V1008" s="418"/>
      <c r="W1008" s="418"/>
      <c r="X1008" s="418"/>
      <c r="Y1008" s="418"/>
      <c r="Z1008" s="418"/>
      <c r="AA1008" s="418"/>
      <c r="AB1008" s="418"/>
      <c r="AC1008" s="418"/>
      <c r="AD1008" s="418"/>
      <c r="AE1008" s="418"/>
      <c r="AF1008" s="418"/>
      <c r="AG1008" s="418"/>
      <c r="AH1008" s="418"/>
      <c r="AI1008" s="418"/>
      <c r="AJ1008" s="418"/>
      <c r="AK1008" s="418"/>
      <c r="AL1008" s="418"/>
      <c r="AM1008" s="418"/>
      <c r="AN1008" s="423"/>
      <c r="AO1008" s="423"/>
      <c r="AP1008" s="423"/>
      <c r="AQ1008" s="423"/>
      <c r="AR1008" s="423"/>
      <c r="AS1008" s="423"/>
      <c r="AT1008" s="423"/>
      <c r="AU1008" s="423"/>
      <c r="AV1008" s="423"/>
      <c r="AW1008" s="418"/>
      <c r="AX1008" s="418"/>
      <c r="AY1008" s="418"/>
      <c r="AZ1008" s="418"/>
      <c r="BA1008" s="418"/>
      <c r="BB1008" s="306"/>
      <c r="BC1008" s="307"/>
      <c r="BD1008" s="307"/>
    </row>
    <row r="1009" spans="1:56" ht="15.75" customHeight="1">
      <c r="A1009" s="415"/>
      <c r="B1009" s="416"/>
      <c r="C1009" s="417"/>
      <c r="D1009" s="418"/>
      <c r="E1009" s="418"/>
      <c r="F1009" s="419"/>
      <c r="G1009" s="420"/>
      <c r="H1009" s="421"/>
      <c r="I1009" s="421"/>
      <c r="J1009" s="422"/>
      <c r="K1009" s="418"/>
      <c r="L1009" s="418"/>
      <c r="M1009" s="418"/>
      <c r="N1009" s="421"/>
      <c r="O1009" s="421"/>
      <c r="P1009" s="421"/>
      <c r="Q1009" s="418"/>
      <c r="R1009" s="1022"/>
      <c r="S1009" s="1022"/>
      <c r="T1009" s="418"/>
      <c r="U1009" s="418"/>
      <c r="V1009" s="418"/>
      <c r="W1009" s="418"/>
      <c r="X1009" s="418"/>
      <c r="Y1009" s="418"/>
      <c r="Z1009" s="418"/>
      <c r="AA1009" s="418"/>
      <c r="AB1009" s="418"/>
      <c r="AC1009" s="418"/>
      <c r="AD1009" s="418"/>
      <c r="AE1009" s="418"/>
      <c r="AF1009" s="418"/>
      <c r="AG1009" s="418"/>
      <c r="AH1009" s="418"/>
      <c r="AI1009" s="418"/>
      <c r="AJ1009" s="418"/>
      <c r="AK1009" s="418"/>
      <c r="AL1009" s="418"/>
      <c r="AM1009" s="418"/>
      <c r="AN1009" s="423"/>
      <c r="AO1009" s="423"/>
      <c r="AP1009" s="423"/>
      <c r="AQ1009" s="423"/>
      <c r="AR1009" s="423"/>
      <c r="AS1009" s="423"/>
      <c r="AT1009" s="423"/>
      <c r="AU1009" s="423"/>
      <c r="AV1009" s="423"/>
      <c r="AW1009" s="418"/>
      <c r="AX1009" s="418"/>
      <c r="AY1009" s="418"/>
      <c r="AZ1009" s="418"/>
      <c r="BA1009" s="418"/>
      <c r="BB1009" s="306"/>
      <c r="BC1009" s="307"/>
      <c r="BD1009" s="307"/>
    </row>
    <row r="1010" spans="1:56" ht="15.75" customHeight="1">
      <c r="A1010" s="415"/>
      <c r="B1010" s="416"/>
      <c r="C1010" s="417"/>
      <c r="D1010" s="418"/>
      <c r="E1010" s="418"/>
      <c r="F1010" s="419"/>
      <c r="G1010" s="420"/>
      <c r="H1010" s="421"/>
      <c r="I1010" s="425"/>
      <c r="J1010" s="422"/>
      <c r="K1010" s="418"/>
      <c r="L1010" s="418"/>
      <c r="M1010" s="418"/>
      <c r="N1010" s="421"/>
      <c r="O1010" s="421"/>
      <c r="P1010" s="421"/>
      <c r="Q1010" s="418"/>
      <c r="R1010" s="1022"/>
      <c r="S1010" s="1022"/>
      <c r="T1010" s="418"/>
      <c r="U1010" s="418"/>
      <c r="V1010" s="418"/>
      <c r="W1010" s="418"/>
      <c r="X1010" s="418"/>
      <c r="Y1010" s="418"/>
      <c r="Z1010" s="418"/>
      <c r="AA1010" s="418"/>
      <c r="AB1010" s="418"/>
      <c r="AC1010" s="418"/>
      <c r="AD1010" s="418"/>
      <c r="AE1010" s="418"/>
      <c r="AF1010" s="418"/>
      <c r="AG1010" s="418"/>
      <c r="AH1010" s="418"/>
      <c r="AI1010" s="418"/>
      <c r="AJ1010" s="418"/>
      <c r="AK1010" s="418"/>
      <c r="AL1010" s="418"/>
      <c r="AM1010" s="418"/>
      <c r="AN1010" s="423"/>
      <c r="AO1010" s="423"/>
      <c r="AP1010" s="423"/>
      <c r="AQ1010" s="423"/>
      <c r="AR1010" s="423"/>
      <c r="AS1010" s="423"/>
      <c r="AT1010" s="423"/>
      <c r="AU1010" s="423"/>
      <c r="AV1010" s="423"/>
      <c r="AW1010" s="418"/>
      <c r="AX1010" s="418"/>
      <c r="AY1010" s="418"/>
      <c r="AZ1010" s="418"/>
      <c r="BA1010" s="418"/>
      <c r="BB1010" s="306"/>
      <c r="BC1010" s="307"/>
      <c r="BD1010" s="307"/>
    </row>
    <row r="1011" spans="1:56" ht="15.75" customHeight="1">
      <c r="A1011" s="415"/>
      <c r="B1011" s="416"/>
      <c r="C1011" s="417"/>
      <c r="D1011" s="418"/>
      <c r="E1011" s="418"/>
      <c r="F1011" s="419"/>
      <c r="G1011" s="420"/>
      <c r="H1011" s="421"/>
      <c r="I1011" s="421"/>
      <c r="J1011" s="422"/>
      <c r="K1011" s="418"/>
      <c r="L1011" s="418"/>
      <c r="M1011" s="418"/>
      <c r="N1011" s="421"/>
      <c r="O1011" s="421"/>
      <c r="P1011" s="421"/>
      <c r="Q1011" s="418"/>
      <c r="R1011" s="1022"/>
      <c r="S1011" s="1022"/>
      <c r="T1011" s="418"/>
      <c r="U1011" s="418"/>
      <c r="V1011" s="418"/>
      <c r="W1011" s="418"/>
      <c r="X1011" s="418"/>
      <c r="Y1011" s="418"/>
      <c r="Z1011" s="418"/>
      <c r="AA1011" s="418"/>
      <c r="AB1011" s="418"/>
      <c r="AC1011" s="418"/>
      <c r="AD1011" s="418"/>
      <c r="AE1011" s="418"/>
      <c r="AF1011" s="418"/>
      <c r="AG1011" s="418"/>
      <c r="AH1011" s="418"/>
      <c r="AI1011" s="418"/>
      <c r="AJ1011" s="418"/>
      <c r="AK1011" s="418"/>
      <c r="AL1011" s="418"/>
      <c r="AM1011" s="418"/>
      <c r="AN1011" s="423"/>
      <c r="AO1011" s="423"/>
      <c r="AP1011" s="423"/>
      <c r="AQ1011" s="423"/>
      <c r="AR1011" s="423"/>
      <c r="AS1011" s="423"/>
      <c r="AT1011" s="423"/>
      <c r="AU1011" s="423"/>
      <c r="AV1011" s="423"/>
      <c r="AW1011" s="418"/>
      <c r="AX1011" s="418"/>
      <c r="AY1011" s="418"/>
      <c r="AZ1011" s="418"/>
      <c r="BA1011" s="418"/>
      <c r="BB1011" s="306"/>
      <c r="BC1011" s="307"/>
      <c r="BD1011" s="307"/>
    </row>
    <row r="1012" spans="1:56" ht="15.75" customHeight="1">
      <c r="A1012" s="415"/>
      <c r="B1012" s="416"/>
      <c r="C1012" s="417"/>
      <c r="D1012" s="418"/>
      <c r="E1012" s="418"/>
      <c r="F1012" s="419"/>
      <c r="G1012" s="420"/>
      <c r="H1012" s="421"/>
      <c r="I1012" s="421"/>
      <c r="J1012" s="422"/>
      <c r="K1012" s="418"/>
      <c r="L1012" s="418"/>
      <c r="M1012" s="418"/>
      <c r="N1012" s="421"/>
      <c r="O1012" s="421"/>
      <c r="P1012" s="421"/>
      <c r="Q1012" s="418"/>
      <c r="R1012" s="1022"/>
      <c r="S1012" s="1022"/>
      <c r="T1012" s="418"/>
      <c r="U1012" s="418"/>
      <c r="V1012" s="418"/>
      <c r="W1012" s="418"/>
      <c r="X1012" s="418"/>
      <c r="Y1012" s="418"/>
      <c r="Z1012" s="418"/>
      <c r="AA1012" s="418"/>
      <c r="AB1012" s="418"/>
      <c r="AC1012" s="418"/>
      <c r="AD1012" s="418"/>
      <c r="AE1012" s="418"/>
      <c r="AF1012" s="418"/>
      <c r="AG1012" s="418"/>
      <c r="AH1012" s="418"/>
      <c r="AI1012" s="418"/>
      <c r="AJ1012" s="418"/>
      <c r="AK1012" s="418"/>
      <c r="AL1012" s="418"/>
      <c r="AM1012" s="418"/>
      <c r="AN1012" s="423"/>
      <c r="AO1012" s="423"/>
      <c r="AP1012" s="423"/>
      <c r="AQ1012" s="423"/>
      <c r="AR1012" s="423"/>
      <c r="AS1012" s="423"/>
      <c r="AT1012" s="423"/>
      <c r="AU1012" s="423"/>
      <c r="AV1012" s="423"/>
      <c r="AW1012" s="418"/>
      <c r="AX1012" s="418"/>
      <c r="AY1012" s="418"/>
      <c r="AZ1012" s="418"/>
      <c r="BA1012" s="418"/>
      <c r="BB1012" s="306"/>
      <c r="BC1012" s="307"/>
      <c r="BD1012" s="307"/>
    </row>
    <row r="1013" spans="1:56" ht="15.75" customHeight="1">
      <c r="A1013" s="415"/>
      <c r="B1013" s="416"/>
      <c r="C1013" s="417"/>
      <c r="D1013" s="418"/>
      <c r="E1013" s="418"/>
      <c r="F1013" s="419"/>
      <c r="G1013" s="420"/>
      <c r="H1013" s="421"/>
      <c r="I1013" s="425"/>
      <c r="J1013" s="422"/>
      <c r="K1013" s="418"/>
      <c r="L1013" s="418"/>
      <c r="M1013" s="418"/>
      <c r="N1013" s="421"/>
      <c r="O1013" s="421"/>
      <c r="P1013" s="421"/>
      <c r="Q1013" s="418"/>
      <c r="R1013" s="1022"/>
      <c r="S1013" s="1022"/>
      <c r="T1013" s="418"/>
      <c r="U1013" s="418"/>
      <c r="V1013" s="418"/>
      <c r="W1013" s="418"/>
      <c r="X1013" s="418"/>
      <c r="Y1013" s="418"/>
      <c r="Z1013" s="418"/>
      <c r="AA1013" s="418"/>
      <c r="AB1013" s="418"/>
      <c r="AC1013" s="418"/>
      <c r="AD1013" s="418"/>
      <c r="AE1013" s="418"/>
      <c r="AF1013" s="418"/>
      <c r="AG1013" s="418"/>
      <c r="AH1013" s="418"/>
      <c r="AI1013" s="418"/>
      <c r="AJ1013" s="418"/>
      <c r="AK1013" s="418"/>
      <c r="AL1013" s="418"/>
      <c r="AM1013" s="418"/>
      <c r="AN1013" s="423"/>
      <c r="AO1013" s="423"/>
      <c r="AP1013" s="423"/>
      <c r="AQ1013" s="423"/>
      <c r="AR1013" s="423"/>
      <c r="AS1013" s="423"/>
      <c r="AT1013" s="423"/>
      <c r="AU1013" s="423"/>
      <c r="AV1013" s="423"/>
      <c r="AW1013" s="418"/>
      <c r="AX1013" s="418"/>
      <c r="AY1013" s="418"/>
      <c r="AZ1013" s="418"/>
      <c r="BA1013" s="418"/>
      <c r="BB1013" s="306"/>
      <c r="BC1013" s="307"/>
      <c r="BD1013" s="307"/>
    </row>
    <row r="1014" spans="1:56" ht="15.75" customHeight="1">
      <c r="A1014" s="415"/>
      <c r="B1014" s="416"/>
      <c r="C1014" s="417"/>
      <c r="D1014" s="418"/>
      <c r="E1014" s="418"/>
      <c r="F1014" s="419"/>
      <c r="G1014" s="420"/>
      <c r="H1014" s="421"/>
      <c r="I1014" s="421"/>
      <c r="J1014" s="422"/>
      <c r="K1014" s="418"/>
      <c r="L1014" s="418"/>
      <c r="M1014" s="418"/>
      <c r="N1014" s="421"/>
      <c r="O1014" s="421"/>
      <c r="P1014" s="421"/>
      <c r="Q1014" s="418"/>
      <c r="R1014" s="1022"/>
      <c r="S1014" s="1022"/>
      <c r="T1014" s="418"/>
      <c r="U1014" s="418"/>
      <c r="V1014" s="418"/>
      <c r="W1014" s="418"/>
      <c r="X1014" s="418"/>
      <c r="Y1014" s="418"/>
      <c r="Z1014" s="418"/>
      <c r="AA1014" s="418"/>
      <c r="AB1014" s="418"/>
      <c r="AC1014" s="418"/>
      <c r="AD1014" s="418"/>
      <c r="AE1014" s="418"/>
      <c r="AF1014" s="418"/>
      <c r="AG1014" s="418"/>
      <c r="AH1014" s="418"/>
      <c r="AI1014" s="418"/>
      <c r="AJ1014" s="418"/>
      <c r="AK1014" s="418"/>
      <c r="AL1014" s="418"/>
      <c r="AM1014" s="418"/>
      <c r="AN1014" s="423"/>
      <c r="AO1014" s="423"/>
      <c r="AP1014" s="423"/>
      <c r="AQ1014" s="423"/>
      <c r="AR1014" s="423"/>
      <c r="AS1014" s="423"/>
      <c r="AT1014" s="423"/>
      <c r="AU1014" s="423"/>
      <c r="AV1014" s="423"/>
      <c r="AW1014" s="418"/>
      <c r="AX1014" s="418"/>
      <c r="AY1014" s="418"/>
      <c r="AZ1014" s="418"/>
      <c r="BA1014" s="418"/>
      <c r="BB1014" s="306"/>
      <c r="BC1014" s="307"/>
      <c r="BD1014" s="307"/>
    </row>
    <row r="1015" spans="1:56" ht="15.75" customHeight="1">
      <c r="A1015" s="415"/>
      <c r="B1015" s="416"/>
      <c r="C1015" s="417"/>
      <c r="D1015" s="418"/>
      <c r="E1015" s="418"/>
      <c r="F1015" s="419"/>
      <c r="G1015" s="420"/>
      <c r="H1015" s="421"/>
      <c r="I1015" s="425"/>
      <c r="J1015" s="422"/>
      <c r="K1015" s="418"/>
      <c r="L1015" s="418"/>
      <c r="M1015" s="418"/>
      <c r="N1015" s="421"/>
      <c r="O1015" s="421"/>
      <c r="P1015" s="421"/>
      <c r="Q1015" s="418"/>
      <c r="R1015" s="1022"/>
      <c r="S1015" s="1022"/>
      <c r="T1015" s="418"/>
      <c r="U1015" s="418"/>
      <c r="V1015" s="418"/>
      <c r="W1015" s="418"/>
      <c r="X1015" s="418"/>
      <c r="Y1015" s="418"/>
      <c r="Z1015" s="418"/>
      <c r="AA1015" s="418"/>
      <c r="AB1015" s="418"/>
      <c r="AC1015" s="418"/>
      <c r="AD1015" s="418"/>
      <c r="AE1015" s="418"/>
      <c r="AF1015" s="418"/>
      <c r="AG1015" s="418"/>
      <c r="AH1015" s="418"/>
      <c r="AI1015" s="418"/>
      <c r="AJ1015" s="418"/>
      <c r="AK1015" s="418"/>
      <c r="AL1015" s="418"/>
      <c r="AM1015" s="418"/>
      <c r="AN1015" s="423"/>
      <c r="AO1015" s="423"/>
      <c r="AP1015" s="423"/>
      <c r="AQ1015" s="423"/>
      <c r="AR1015" s="423"/>
      <c r="AS1015" s="423"/>
      <c r="AT1015" s="423"/>
      <c r="AU1015" s="423"/>
      <c r="AV1015" s="423"/>
      <c r="AW1015" s="418"/>
      <c r="AX1015" s="418"/>
      <c r="AY1015" s="418"/>
      <c r="AZ1015" s="418"/>
      <c r="BA1015" s="418"/>
      <c r="BB1015" s="306"/>
    </row>
    <row r="1016" spans="1:56" ht="15.75" customHeight="1">
      <c r="A1016" s="415"/>
      <c r="B1016" s="416"/>
      <c r="C1016" s="417"/>
      <c r="D1016" s="418"/>
      <c r="E1016" s="418"/>
      <c r="F1016" s="419"/>
      <c r="G1016" s="420"/>
      <c r="H1016" s="418"/>
      <c r="I1016" s="419"/>
      <c r="J1016" s="422"/>
      <c r="K1016" s="418"/>
      <c r="L1016" s="418"/>
      <c r="M1016" s="418"/>
      <c r="N1016" s="421"/>
      <c r="O1016" s="421"/>
      <c r="P1016" s="421"/>
      <c r="Q1016" s="418"/>
      <c r="R1016" s="1022"/>
      <c r="S1016" s="1022"/>
      <c r="T1016" s="418"/>
      <c r="U1016" s="418"/>
      <c r="V1016" s="418"/>
      <c r="W1016" s="418"/>
      <c r="X1016" s="418"/>
      <c r="Y1016" s="418"/>
      <c r="Z1016" s="418"/>
      <c r="AA1016" s="418"/>
      <c r="AB1016" s="418"/>
      <c r="AC1016" s="418"/>
      <c r="AD1016" s="418"/>
      <c r="AE1016" s="418"/>
      <c r="AF1016" s="418"/>
      <c r="AG1016" s="418"/>
      <c r="AH1016" s="418"/>
      <c r="AI1016" s="418"/>
      <c r="AJ1016" s="418"/>
      <c r="AK1016" s="418"/>
      <c r="AL1016" s="418"/>
      <c r="AM1016" s="418"/>
      <c r="AN1016" s="423"/>
      <c r="AO1016" s="423"/>
      <c r="AP1016" s="423"/>
      <c r="AQ1016" s="423"/>
      <c r="AR1016" s="423"/>
      <c r="AS1016" s="423"/>
      <c r="AT1016" s="423"/>
      <c r="AU1016" s="423"/>
      <c r="AV1016" s="423"/>
      <c r="AW1016" s="418"/>
      <c r="AX1016" s="418"/>
      <c r="AY1016" s="418"/>
      <c r="AZ1016" s="418"/>
      <c r="BA1016" s="418"/>
      <c r="BB1016" s="306"/>
    </row>
    <row r="1017" spans="1:56" ht="15.75" customHeight="1">
      <c r="A1017" s="415"/>
      <c r="B1017" s="416"/>
      <c r="C1017" s="417"/>
      <c r="D1017" s="418"/>
      <c r="E1017" s="418"/>
      <c r="F1017" s="419"/>
      <c r="G1017" s="420"/>
      <c r="H1017" s="418"/>
      <c r="I1017" s="419"/>
      <c r="J1017" s="422"/>
      <c r="K1017" s="418"/>
      <c r="L1017" s="418"/>
      <c r="M1017" s="418"/>
      <c r="N1017" s="421"/>
      <c r="O1017" s="421"/>
      <c r="P1017" s="421"/>
      <c r="Q1017" s="418"/>
      <c r="R1017" s="1022"/>
      <c r="S1017" s="1022"/>
      <c r="T1017" s="418"/>
      <c r="U1017" s="418"/>
      <c r="V1017" s="418"/>
      <c r="W1017" s="418"/>
      <c r="X1017" s="418"/>
      <c r="Y1017" s="418"/>
      <c r="Z1017" s="418"/>
      <c r="AA1017" s="418"/>
      <c r="AB1017" s="418"/>
      <c r="AC1017" s="418"/>
      <c r="AD1017" s="418"/>
      <c r="AE1017" s="418"/>
      <c r="AF1017" s="418"/>
      <c r="AG1017" s="418"/>
      <c r="AH1017" s="418"/>
      <c r="AI1017" s="418"/>
      <c r="AJ1017" s="418"/>
      <c r="AK1017" s="418"/>
      <c r="AL1017" s="418"/>
      <c r="AM1017" s="418"/>
      <c r="AN1017" s="423"/>
      <c r="AO1017" s="423"/>
      <c r="AP1017" s="423"/>
      <c r="AQ1017" s="423"/>
      <c r="AR1017" s="423"/>
      <c r="AS1017" s="423"/>
      <c r="AT1017" s="423"/>
      <c r="AU1017" s="423"/>
      <c r="AV1017" s="423"/>
      <c r="AW1017" s="418"/>
      <c r="AX1017" s="418"/>
      <c r="AY1017" s="418"/>
      <c r="AZ1017" s="418"/>
      <c r="BA1017" s="418"/>
      <c r="BB1017" s="306"/>
    </row>
    <row r="1018" spans="1:56" ht="15.75" customHeight="1">
      <c r="A1018" s="415"/>
      <c r="B1018" s="416"/>
      <c r="C1018" s="417"/>
      <c r="D1018" s="418"/>
      <c r="E1018" s="418"/>
      <c r="F1018" s="419"/>
      <c r="G1018" s="420"/>
      <c r="H1018" s="421"/>
      <c r="I1018" s="421"/>
      <c r="J1018" s="422"/>
      <c r="K1018" s="418"/>
      <c r="L1018" s="418"/>
      <c r="M1018" s="418"/>
      <c r="N1018" s="421"/>
      <c r="O1018" s="421"/>
      <c r="P1018" s="421"/>
      <c r="Q1018" s="418"/>
      <c r="R1018" s="1022"/>
      <c r="S1018" s="1022"/>
      <c r="T1018" s="418"/>
      <c r="U1018" s="418"/>
      <c r="V1018" s="418"/>
      <c r="W1018" s="418"/>
      <c r="X1018" s="418"/>
      <c r="Y1018" s="418"/>
      <c r="Z1018" s="418"/>
      <c r="AA1018" s="418"/>
      <c r="AB1018" s="418"/>
      <c r="AC1018" s="418"/>
      <c r="AD1018" s="418"/>
      <c r="AE1018" s="418"/>
      <c r="AF1018" s="418"/>
      <c r="AG1018" s="418"/>
      <c r="AH1018" s="418"/>
      <c r="AI1018" s="418"/>
      <c r="AJ1018" s="418"/>
      <c r="AK1018" s="418"/>
      <c r="AL1018" s="418"/>
      <c r="AM1018" s="418"/>
      <c r="AN1018" s="423"/>
      <c r="AO1018" s="423"/>
      <c r="AP1018" s="423"/>
      <c r="AQ1018" s="423"/>
      <c r="AR1018" s="423"/>
      <c r="AS1018" s="423"/>
      <c r="AT1018" s="423"/>
      <c r="AU1018" s="423"/>
      <c r="AV1018" s="423"/>
      <c r="AW1018" s="418"/>
      <c r="AX1018" s="418"/>
      <c r="AY1018" s="418"/>
      <c r="AZ1018" s="418"/>
      <c r="BA1018" s="418"/>
      <c r="BB1018" s="306"/>
    </row>
    <row r="1019" spans="1:56" ht="15.75" customHeight="1">
      <c r="A1019" s="415"/>
      <c r="B1019" s="416"/>
      <c r="C1019" s="417"/>
      <c r="D1019" s="418"/>
      <c r="E1019" s="418"/>
      <c r="F1019" s="419"/>
      <c r="G1019" s="420"/>
      <c r="H1019" s="421"/>
      <c r="I1019" s="421"/>
      <c r="J1019" s="422"/>
      <c r="K1019" s="418"/>
      <c r="L1019" s="418"/>
      <c r="M1019" s="418"/>
      <c r="N1019" s="421"/>
      <c r="O1019" s="421"/>
      <c r="P1019" s="421"/>
      <c r="Q1019" s="418"/>
      <c r="R1019" s="1022"/>
      <c r="S1019" s="1022"/>
      <c r="T1019" s="418"/>
      <c r="U1019" s="418"/>
      <c r="V1019" s="418"/>
      <c r="W1019" s="418"/>
      <c r="X1019" s="418"/>
      <c r="Y1019" s="418"/>
      <c r="Z1019" s="418"/>
      <c r="AA1019" s="418"/>
      <c r="AB1019" s="418"/>
      <c r="AC1019" s="418"/>
      <c r="AD1019" s="418"/>
      <c r="AE1019" s="418"/>
      <c r="AF1019" s="418"/>
      <c r="AG1019" s="418"/>
      <c r="AH1019" s="418"/>
      <c r="AI1019" s="418"/>
      <c r="AJ1019" s="418"/>
      <c r="AK1019" s="418"/>
      <c r="AL1019" s="418"/>
      <c r="AM1019" s="418"/>
      <c r="AN1019" s="423"/>
      <c r="AO1019" s="423"/>
      <c r="AP1019" s="423"/>
      <c r="AQ1019" s="423"/>
      <c r="AR1019" s="423"/>
      <c r="AS1019" s="423"/>
      <c r="AT1019" s="423"/>
      <c r="AU1019" s="423"/>
      <c r="AV1019" s="423"/>
      <c r="AW1019" s="418"/>
      <c r="AX1019" s="418"/>
      <c r="AY1019" s="418"/>
      <c r="AZ1019" s="418"/>
      <c r="BA1019" s="418"/>
      <c r="BB1019" s="306"/>
    </row>
    <row r="1020" spans="1:56" ht="15.75" customHeight="1">
      <c r="A1020" s="415"/>
      <c r="B1020" s="416"/>
      <c r="C1020" s="417"/>
      <c r="D1020" s="418"/>
      <c r="E1020" s="418"/>
      <c r="F1020" s="419"/>
      <c r="G1020" s="420"/>
      <c r="H1020" s="421"/>
      <c r="I1020" s="421"/>
      <c r="J1020" s="422"/>
      <c r="K1020" s="418"/>
      <c r="L1020" s="418"/>
      <c r="M1020" s="418"/>
      <c r="N1020" s="421"/>
      <c r="O1020" s="421"/>
      <c r="P1020" s="421"/>
      <c r="Q1020" s="418"/>
      <c r="R1020" s="1022"/>
      <c r="S1020" s="1022"/>
      <c r="T1020" s="418"/>
      <c r="U1020" s="418"/>
      <c r="V1020" s="418"/>
      <c r="W1020" s="418"/>
      <c r="X1020" s="418"/>
      <c r="Y1020" s="418"/>
      <c r="Z1020" s="418"/>
      <c r="AA1020" s="418"/>
      <c r="AB1020" s="418"/>
      <c r="AC1020" s="418"/>
      <c r="AD1020" s="418"/>
      <c r="AE1020" s="418"/>
      <c r="AF1020" s="418"/>
      <c r="AG1020" s="418"/>
      <c r="AH1020" s="418"/>
      <c r="AI1020" s="418"/>
      <c r="AJ1020" s="418"/>
      <c r="AK1020" s="418"/>
      <c r="AL1020" s="418"/>
      <c r="AM1020" s="418"/>
      <c r="AN1020" s="423"/>
      <c r="AO1020" s="423"/>
      <c r="AP1020" s="423"/>
      <c r="AQ1020" s="423"/>
      <c r="AR1020" s="423"/>
      <c r="AS1020" s="423"/>
      <c r="AT1020" s="423"/>
      <c r="AU1020" s="423"/>
      <c r="AV1020" s="423"/>
      <c r="AW1020" s="418"/>
      <c r="AX1020" s="418"/>
      <c r="AY1020" s="418"/>
      <c r="AZ1020" s="418"/>
      <c r="BA1020" s="418"/>
      <c r="BB1020" s="306"/>
    </row>
    <row r="1021" spans="1:56" ht="15.75" customHeight="1">
      <c r="A1021" s="415"/>
      <c r="B1021" s="416"/>
      <c r="C1021" s="417"/>
      <c r="D1021" s="418"/>
      <c r="E1021" s="418"/>
      <c r="F1021" s="419"/>
      <c r="G1021" s="420"/>
      <c r="H1021" s="421"/>
      <c r="I1021" s="421"/>
      <c r="J1021" s="422"/>
      <c r="K1021" s="418"/>
      <c r="L1021" s="418"/>
      <c r="M1021" s="418"/>
      <c r="N1021" s="421"/>
      <c r="O1021" s="421"/>
      <c r="P1021" s="421"/>
      <c r="Q1021" s="418"/>
      <c r="R1021" s="1022"/>
      <c r="S1021" s="1022"/>
      <c r="T1021" s="418"/>
      <c r="U1021" s="418"/>
      <c r="V1021" s="418"/>
      <c r="W1021" s="418"/>
      <c r="X1021" s="418"/>
      <c r="Y1021" s="418"/>
      <c r="Z1021" s="418"/>
      <c r="AA1021" s="418"/>
      <c r="AB1021" s="418"/>
      <c r="AC1021" s="418"/>
      <c r="AD1021" s="418"/>
      <c r="AE1021" s="418"/>
      <c r="AF1021" s="418"/>
      <c r="AG1021" s="418"/>
      <c r="AH1021" s="418"/>
      <c r="AI1021" s="418"/>
      <c r="AJ1021" s="418"/>
      <c r="AK1021" s="418"/>
      <c r="AL1021" s="418"/>
      <c r="AM1021" s="418"/>
      <c r="AN1021" s="423"/>
      <c r="AO1021" s="423"/>
      <c r="AP1021" s="423"/>
      <c r="AQ1021" s="423"/>
      <c r="AR1021" s="423"/>
      <c r="AS1021" s="423"/>
      <c r="AT1021" s="423"/>
      <c r="AU1021" s="423"/>
      <c r="AV1021" s="423"/>
      <c r="AW1021" s="418"/>
      <c r="AX1021" s="418"/>
      <c r="AY1021" s="418"/>
      <c r="AZ1021" s="418"/>
      <c r="BA1021" s="418"/>
      <c r="BB1021" s="306"/>
    </row>
    <row r="1022" spans="1:56" ht="15.75" customHeight="1">
      <c r="A1022" s="415"/>
      <c r="B1022" s="416"/>
      <c r="C1022" s="417"/>
      <c r="D1022" s="418"/>
      <c r="E1022" s="418"/>
      <c r="F1022" s="419"/>
      <c r="G1022" s="420"/>
      <c r="H1022" s="421"/>
      <c r="I1022" s="421"/>
      <c r="J1022" s="422"/>
      <c r="K1022" s="418"/>
      <c r="L1022" s="418"/>
      <c r="M1022" s="418"/>
      <c r="N1022" s="421"/>
      <c r="O1022" s="421"/>
      <c r="P1022" s="421"/>
      <c r="Q1022" s="418"/>
      <c r="R1022" s="1022"/>
      <c r="S1022" s="1022"/>
      <c r="T1022" s="418"/>
      <c r="U1022" s="418"/>
      <c r="V1022" s="418"/>
      <c r="W1022" s="418"/>
      <c r="X1022" s="418"/>
      <c r="Y1022" s="418"/>
      <c r="Z1022" s="418"/>
      <c r="AA1022" s="418"/>
      <c r="AB1022" s="418"/>
      <c r="AC1022" s="418"/>
      <c r="AD1022" s="418"/>
      <c r="AE1022" s="418"/>
      <c r="AF1022" s="418"/>
      <c r="AG1022" s="418"/>
      <c r="AH1022" s="418"/>
      <c r="AI1022" s="418"/>
      <c r="AJ1022" s="418"/>
      <c r="AK1022" s="418"/>
      <c r="AL1022" s="418"/>
      <c r="AM1022" s="418"/>
      <c r="AN1022" s="423"/>
      <c r="AO1022" s="423"/>
      <c r="AP1022" s="423"/>
      <c r="AQ1022" s="423"/>
      <c r="AR1022" s="423"/>
      <c r="AS1022" s="423"/>
      <c r="AT1022" s="423"/>
      <c r="AU1022" s="423"/>
      <c r="AV1022" s="423"/>
      <c r="AW1022" s="418"/>
      <c r="AX1022" s="418"/>
      <c r="AY1022" s="418"/>
      <c r="AZ1022" s="418"/>
      <c r="BA1022" s="418"/>
      <c r="BB1022" s="306"/>
    </row>
    <row r="1023" spans="1:56" ht="15.75" customHeight="1">
      <c r="A1023" s="415"/>
      <c r="B1023" s="416"/>
      <c r="C1023" s="417"/>
      <c r="D1023" s="418"/>
      <c r="E1023" s="418"/>
      <c r="F1023" s="419"/>
      <c r="G1023" s="420"/>
      <c r="H1023" s="421"/>
      <c r="I1023" s="421"/>
      <c r="J1023" s="422"/>
      <c r="K1023" s="418"/>
      <c r="L1023" s="418"/>
      <c r="M1023" s="418"/>
      <c r="N1023" s="421"/>
      <c r="O1023" s="421"/>
      <c r="P1023" s="421"/>
      <c r="Q1023" s="418"/>
      <c r="R1023" s="1022"/>
      <c r="S1023" s="1022"/>
      <c r="T1023" s="418"/>
      <c r="U1023" s="418"/>
      <c r="V1023" s="418"/>
      <c r="W1023" s="418"/>
      <c r="X1023" s="418"/>
      <c r="Y1023" s="418"/>
      <c r="Z1023" s="418"/>
      <c r="AA1023" s="418"/>
      <c r="AB1023" s="418"/>
      <c r="AC1023" s="418"/>
      <c r="AD1023" s="418"/>
      <c r="AE1023" s="418"/>
      <c r="AF1023" s="418"/>
      <c r="AG1023" s="418"/>
      <c r="AH1023" s="418"/>
      <c r="AI1023" s="418"/>
      <c r="AJ1023" s="418"/>
      <c r="AK1023" s="418"/>
      <c r="AL1023" s="418"/>
      <c r="AM1023" s="418"/>
      <c r="AN1023" s="423"/>
      <c r="AO1023" s="423"/>
      <c r="AP1023" s="423"/>
      <c r="AQ1023" s="423"/>
      <c r="AR1023" s="423"/>
      <c r="AS1023" s="423"/>
      <c r="AT1023" s="423"/>
      <c r="AU1023" s="423"/>
      <c r="AV1023" s="423"/>
      <c r="AW1023" s="418"/>
      <c r="AX1023" s="418"/>
      <c r="AY1023" s="418"/>
      <c r="AZ1023" s="418"/>
      <c r="BA1023" s="418"/>
      <c r="BB1023" s="306"/>
    </row>
    <row r="1024" spans="1:56" ht="15.75" customHeight="1">
      <c r="A1024" s="415"/>
      <c r="B1024" s="416"/>
      <c r="C1024" s="417"/>
      <c r="D1024" s="418"/>
      <c r="E1024" s="418"/>
      <c r="F1024" s="419"/>
      <c r="G1024" s="420"/>
      <c r="H1024" s="421"/>
      <c r="I1024" s="421"/>
      <c r="J1024" s="422"/>
      <c r="K1024" s="418"/>
      <c r="L1024" s="418"/>
      <c r="M1024" s="418"/>
      <c r="N1024" s="421"/>
      <c r="O1024" s="421"/>
      <c r="P1024" s="421"/>
      <c r="Q1024" s="418"/>
      <c r="R1024" s="1022"/>
      <c r="S1024" s="1022"/>
      <c r="T1024" s="418"/>
      <c r="U1024" s="418"/>
      <c r="V1024" s="418"/>
      <c r="W1024" s="418"/>
      <c r="X1024" s="418"/>
      <c r="Y1024" s="418"/>
      <c r="Z1024" s="418"/>
      <c r="AA1024" s="418"/>
      <c r="AB1024" s="418"/>
      <c r="AC1024" s="418"/>
      <c r="AD1024" s="418"/>
      <c r="AE1024" s="418"/>
      <c r="AF1024" s="418"/>
      <c r="AG1024" s="418"/>
      <c r="AH1024" s="418"/>
      <c r="AI1024" s="418"/>
      <c r="AJ1024" s="418"/>
      <c r="AK1024" s="418"/>
      <c r="AL1024" s="418"/>
      <c r="AM1024" s="418"/>
      <c r="AN1024" s="423"/>
      <c r="AO1024" s="423"/>
      <c r="AP1024" s="423"/>
      <c r="AQ1024" s="423"/>
      <c r="AR1024" s="423"/>
      <c r="AS1024" s="423"/>
      <c r="AT1024" s="423"/>
      <c r="AU1024" s="423"/>
      <c r="AV1024" s="423"/>
      <c r="AW1024" s="418"/>
      <c r="AX1024" s="418"/>
      <c r="AY1024" s="418"/>
      <c r="AZ1024" s="418"/>
      <c r="BA1024" s="418"/>
      <c r="BB1024" s="306"/>
    </row>
    <row r="1025" spans="1:54" ht="15.75" customHeight="1">
      <c r="A1025" s="415"/>
      <c r="B1025" s="416"/>
      <c r="C1025" s="417"/>
      <c r="D1025" s="418"/>
      <c r="E1025" s="418"/>
      <c r="F1025" s="419"/>
      <c r="G1025" s="420"/>
      <c r="H1025" s="421"/>
      <c r="I1025" s="421"/>
      <c r="J1025" s="422"/>
      <c r="K1025" s="418"/>
      <c r="L1025" s="418"/>
      <c r="M1025" s="418"/>
      <c r="N1025" s="421"/>
      <c r="O1025" s="418"/>
      <c r="P1025" s="421"/>
      <c r="Q1025" s="418"/>
      <c r="R1025" s="1022"/>
      <c r="S1025" s="1022"/>
      <c r="T1025" s="418"/>
      <c r="U1025" s="418"/>
      <c r="V1025" s="418"/>
      <c r="W1025" s="418"/>
      <c r="X1025" s="418"/>
      <c r="Y1025" s="418"/>
      <c r="Z1025" s="418"/>
      <c r="AA1025" s="418"/>
      <c r="AB1025" s="418"/>
      <c r="AC1025" s="418"/>
      <c r="AD1025" s="418"/>
      <c r="AE1025" s="418"/>
      <c r="AF1025" s="418"/>
      <c r="AG1025" s="418"/>
      <c r="AH1025" s="418"/>
      <c r="AI1025" s="418"/>
      <c r="AJ1025" s="418"/>
      <c r="AK1025" s="418"/>
      <c r="AL1025" s="418"/>
      <c r="AM1025" s="418"/>
      <c r="AN1025" s="423"/>
      <c r="AO1025" s="423"/>
      <c r="AP1025" s="423"/>
      <c r="AQ1025" s="423"/>
      <c r="AR1025" s="423"/>
      <c r="AS1025" s="423"/>
      <c r="AT1025" s="423"/>
      <c r="AU1025" s="423"/>
      <c r="AV1025" s="423"/>
      <c r="AW1025" s="418"/>
      <c r="AX1025" s="418"/>
      <c r="AY1025" s="418"/>
      <c r="AZ1025" s="418"/>
      <c r="BA1025" s="418"/>
      <c r="BB1025" s="306"/>
    </row>
    <row r="1026" spans="1:54" ht="15.75" customHeight="1">
      <c r="A1026" s="415"/>
      <c r="B1026" s="416"/>
      <c r="C1026" s="417"/>
      <c r="D1026" s="418"/>
      <c r="E1026" s="418"/>
      <c r="F1026" s="419"/>
      <c r="G1026" s="420"/>
      <c r="H1026" s="421"/>
      <c r="I1026" s="421"/>
      <c r="J1026" s="422"/>
      <c r="K1026" s="418"/>
      <c r="L1026" s="418"/>
      <c r="M1026" s="418"/>
      <c r="N1026" s="421"/>
      <c r="O1026" s="418"/>
      <c r="P1026" s="421"/>
      <c r="Q1026" s="418"/>
      <c r="R1026" s="1022"/>
      <c r="S1026" s="1022"/>
      <c r="T1026" s="418"/>
      <c r="U1026" s="418"/>
      <c r="V1026" s="418"/>
      <c r="W1026" s="418"/>
      <c r="X1026" s="418"/>
      <c r="Y1026" s="418"/>
      <c r="Z1026" s="418"/>
      <c r="AA1026" s="418"/>
      <c r="AB1026" s="418"/>
      <c r="AC1026" s="418"/>
      <c r="AD1026" s="418"/>
      <c r="AE1026" s="418"/>
      <c r="AF1026" s="418"/>
      <c r="AG1026" s="418"/>
      <c r="AH1026" s="418"/>
      <c r="AI1026" s="418"/>
      <c r="AJ1026" s="418"/>
      <c r="AK1026" s="418"/>
      <c r="AL1026" s="418"/>
      <c r="AM1026" s="418"/>
      <c r="AN1026" s="423"/>
      <c r="AO1026" s="423"/>
      <c r="AP1026" s="423"/>
      <c r="AQ1026" s="423"/>
      <c r="AR1026" s="423"/>
      <c r="AS1026" s="423"/>
      <c r="AT1026" s="423"/>
      <c r="AU1026" s="423"/>
      <c r="AV1026" s="423"/>
      <c r="AW1026" s="418"/>
      <c r="AX1026" s="418"/>
      <c r="AY1026" s="418"/>
      <c r="AZ1026" s="418"/>
      <c r="BA1026" s="418"/>
      <c r="BB1026" s="306"/>
    </row>
    <row r="1027" spans="1:54" ht="15.75" customHeight="1">
      <c r="A1027" s="415"/>
      <c r="B1027" s="416"/>
      <c r="C1027" s="417"/>
      <c r="D1027" s="418"/>
      <c r="E1027" s="418"/>
      <c r="F1027" s="419"/>
      <c r="G1027" s="420"/>
      <c r="H1027" s="421"/>
      <c r="I1027" s="421"/>
      <c r="J1027" s="422"/>
      <c r="K1027" s="418"/>
      <c r="L1027" s="418"/>
      <c r="M1027" s="418"/>
      <c r="N1027" s="421"/>
      <c r="O1027" s="421"/>
      <c r="P1027" s="421"/>
      <c r="Q1027" s="418"/>
      <c r="R1027" s="1022"/>
      <c r="S1027" s="1022"/>
      <c r="T1027" s="418"/>
      <c r="U1027" s="418"/>
      <c r="V1027" s="418"/>
      <c r="W1027" s="418"/>
      <c r="X1027" s="418"/>
      <c r="Y1027" s="418"/>
      <c r="Z1027" s="418"/>
      <c r="AA1027" s="418"/>
      <c r="AB1027" s="418"/>
      <c r="AC1027" s="418"/>
      <c r="AD1027" s="418"/>
      <c r="AE1027" s="418"/>
      <c r="AF1027" s="418"/>
      <c r="AG1027" s="418"/>
      <c r="AH1027" s="418"/>
      <c r="AI1027" s="418"/>
      <c r="AJ1027" s="418"/>
      <c r="AK1027" s="418"/>
      <c r="AL1027" s="418"/>
      <c r="AM1027" s="418"/>
      <c r="AN1027" s="423"/>
      <c r="AO1027" s="423"/>
      <c r="AP1027" s="423"/>
      <c r="AQ1027" s="423"/>
      <c r="AR1027" s="423"/>
      <c r="AS1027" s="423"/>
      <c r="AT1027" s="423"/>
      <c r="AU1027" s="423"/>
      <c r="AV1027" s="423"/>
      <c r="AW1027" s="418"/>
      <c r="AX1027" s="418"/>
      <c r="AY1027" s="418"/>
      <c r="AZ1027" s="418"/>
      <c r="BA1027" s="418"/>
      <c r="BB1027" s="306"/>
    </row>
    <row r="1028" spans="1:54" ht="15.75" customHeight="1">
      <c r="A1028" s="415"/>
      <c r="B1028" s="416"/>
      <c r="C1028" s="417"/>
      <c r="D1028" s="418"/>
      <c r="E1028" s="418"/>
      <c r="F1028" s="419"/>
      <c r="G1028" s="420"/>
      <c r="H1028" s="421"/>
      <c r="I1028" s="421"/>
      <c r="J1028" s="422"/>
      <c r="K1028" s="418"/>
      <c r="L1028" s="418"/>
      <c r="M1028" s="418"/>
      <c r="N1028" s="421"/>
      <c r="O1028" s="421"/>
      <c r="P1028" s="421"/>
      <c r="Q1028" s="418"/>
      <c r="R1028" s="1022"/>
      <c r="S1028" s="1022"/>
      <c r="T1028" s="418"/>
      <c r="U1028" s="418"/>
      <c r="V1028" s="418"/>
      <c r="W1028" s="418"/>
      <c r="X1028" s="418"/>
      <c r="Y1028" s="418"/>
      <c r="Z1028" s="418"/>
      <c r="AA1028" s="418"/>
      <c r="AB1028" s="418"/>
      <c r="AC1028" s="418"/>
      <c r="AD1028" s="418"/>
      <c r="AE1028" s="418"/>
      <c r="AF1028" s="418"/>
      <c r="AG1028" s="418"/>
      <c r="AH1028" s="418"/>
      <c r="AI1028" s="418"/>
      <c r="AJ1028" s="418"/>
      <c r="AK1028" s="418"/>
      <c r="AL1028" s="418"/>
      <c r="AM1028" s="418"/>
      <c r="AN1028" s="423"/>
      <c r="AO1028" s="423"/>
      <c r="AP1028" s="423"/>
      <c r="AQ1028" s="423"/>
      <c r="AR1028" s="423"/>
      <c r="AS1028" s="423"/>
      <c r="AT1028" s="423"/>
      <c r="AU1028" s="423"/>
      <c r="AV1028" s="423"/>
      <c r="AW1028" s="418"/>
      <c r="AX1028" s="418"/>
      <c r="AY1028" s="418"/>
      <c r="AZ1028" s="418"/>
      <c r="BA1028" s="418"/>
      <c r="BB1028" s="306"/>
    </row>
    <row r="1029" spans="1:54" ht="15.75" customHeight="1">
      <c r="A1029" s="415"/>
      <c r="B1029" s="416"/>
      <c r="C1029" s="417"/>
      <c r="D1029" s="418"/>
      <c r="E1029" s="418"/>
      <c r="F1029" s="419"/>
      <c r="G1029" s="420"/>
      <c r="H1029" s="421"/>
      <c r="I1029" s="421"/>
      <c r="J1029" s="422"/>
      <c r="K1029" s="418"/>
      <c r="L1029" s="418"/>
      <c r="M1029" s="418"/>
      <c r="N1029" s="421"/>
      <c r="O1029" s="421"/>
      <c r="P1029" s="421"/>
      <c r="Q1029" s="418"/>
      <c r="R1029" s="1022"/>
      <c r="S1029" s="1022"/>
      <c r="T1029" s="418"/>
      <c r="U1029" s="418"/>
      <c r="V1029" s="418"/>
      <c r="W1029" s="418"/>
      <c r="X1029" s="418"/>
      <c r="Y1029" s="418"/>
      <c r="Z1029" s="418"/>
      <c r="AA1029" s="418"/>
      <c r="AB1029" s="418"/>
      <c r="AC1029" s="418"/>
      <c r="AD1029" s="418"/>
      <c r="AE1029" s="418"/>
      <c r="AF1029" s="418"/>
      <c r="AG1029" s="418"/>
      <c r="AH1029" s="418"/>
      <c r="AI1029" s="418"/>
      <c r="AJ1029" s="418"/>
      <c r="AK1029" s="418"/>
      <c r="AL1029" s="418"/>
      <c r="AM1029" s="418"/>
      <c r="AN1029" s="423"/>
      <c r="AO1029" s="423"/>
      <c r="AP1029" s="423"/>
      <c r="AQ1029" s="423"/>
      <c r="AR1029" s="423"/>
      <c r="AS1029" s="423"/>
      <c r="AT1029" s="423"/>
      <c r="AU1029" s="423"/>
      <c r="AV1029" s="423"/>
      <c r="AW1029" s="418"/>
      <c r="AX1029" s="418"/>
      <c r="AY1029" s="418"/>
      <c r="AZ1029" s="418"/>
      <c r="BA1029" s="418"/>
      <c r="BB1029" s="306"/>
    </row>
    <row r="1030" spans="1:54" ht="15.75" customHeight="1">
      <c r="A1030" s="415"/>
      <c r="B1030" s="416"/>
      <c r="C1030" s="417"/>
      <c r="D1030" s="418"/>
      <c r="E1030" s="418"/>
      <c r="F1030" s="419"/>
      <c r="G1030" s="420"/>
      <c r="H1030" s="421"/>
      <c r="I1030" s="421"/>
      <c r="J1030" s="422"/>
      <c r="K1030" s="418"/>
      <c r="L1030" s="418"/>
      <c r="M1030" s="418"/>
      <c r="N1030" s="421"/>
      <c r="O1030" s="421"/>
      <c r="P1030" s="421"/>
      <c r="Q1030" s="418"/>
      <c r="R1030" s="1022"/>
      <c r="S1030" s="1022"/>
      <c r="T1030" s="418"/>
      <c r="U1030" s="418"/>
      <c r="V1030" s="418"/>
      <c r="W1030" s="418"/>
      <c r="X1030" s="418"/>
      <c r="Y1030" s="418"/>
      <c r="Z1030" s="418"/>
      <c r="AA1030" s="418"/>
      <c r="AB1030" s="418"/>
      <c r="AC1030" s="418"/>
      <c r="AD1030" s="418"/>
      <c r="AE1030" s="418"/>
      <c r="AF1030" s="418"/>
      <c r="AG1030" s="418"/>
      <c r="AH1030" s="418"/>
      <c r="AI1030" s="418"/>
      <c r="AJ1030" s="418"/>
      <c r="AK1030" s="418"/>
      <c r="AL1030" s="418"/>
      <c r="AM1030" s="418"/>
      <c r="AN1030" s="423"/>
      <c r="AO1030" s="423"/>
      <c r="AP1030" s="423"/>
      <c r="AQ1030" s="423"/>
      <c r="AR1030" s="423"/>
      <c r="AS1030" s="423"/>
      <c r="AT1030" s="423"/>
      <c r="AU1030" s="423"/>
      <c r="AV1030" s="423"/>
      <c r="AW1030" s="419"/>
      <c r="AX1030" s="419"/>
      <c r="AY1030" s="419"/>
      <c r="AZ1030" s="419"/>
      <c r="BA1030" s="419"/>
      <c r="BB1030" s="306"/>
    </row>
    <row r="1031" spans="1:54" ht="15.75" customHeight="1">
      <c r="A1031" s="415"/>
      <c r="B1031" s="416"/>
      <c r="C1031" s="417"/>
      <c r="D1031" s="418"/>
      <c r="E1031" s="418"/>
      <c r="F1031" s="419"/>
      <c r="G1031" s="420"/>
      <c r="H1031" s="421"/>
      <c r="I1031" s="421"/>
      <c r="J1031" s="422"/>
      <c r="K1031" s="418"/>
      <c r="L1031" s="418"/>
      <c r="M1031" s="418"/>
      <c r="N1031" s="421"/>
      <c r="O1031" s="421"/>
      <c r="P1031" s="421"/>
      <c r="Q1031" s="418"/>
      <c r="R1031" s="1022"/>
      <c r="S1031" s="1022"/>
      <c r="T1031" s="418"/>
      <c r="U1031" s="418"/>
      <c r="V1031" s="418"/>
      <c r="W1031" s="418"/>
      <c r="X1031" s="418"/>
      <c r="Y1031" s="418"/>
      <c r="Z1031" s="418"/>
      <c r="AA1031" s="418"/>
      <c r="AB1031" s="418"/>
      <c r="AC1031" s="418"/>
      <c r="AD1031" s="418"/>
      <c r="AE1031" s="418"/>
      <c r="AF1031" s="418"/>
      <c r="AG1031" s="418"/>
      <c r="AH1031" s="418"/>
      <c r="AI1031" s="418"/>
      <c r="AJ1031" s="418"/>
      <c r="AK1031" s="418"/>
      <c r="AL1031" s="418"/>
      <c r="AM1031" s="418"/>
      <c r="AN1031" s="423"/>
      <c r="AO1031" s="423"/>
      <c r="AP1031" s="423"/>
      <c r="AQ1031" s="423"/>
      <c r="AR1031" s="423"/>
      <c r="AS1031" s="423"/>
      <c r="AT1031" s="423"/>
      <c r="AU1031" s="423"/>
      <c r="AV1031" s="423"/>
      <c r="AW1031" s="419"/>
      <c r="AX1031" s="419"/>
      <c r="AY1031" s="419"/>
      <c r="AZ1031" s="419"/>
      <c r="BA1031" s="419"/>
      <c r="BB1031" s="306"/>
    </row>
    <row r="1032" spans="1:54" ht="15.75" customHeight="1">
      <c r="A1032" s="415"/>
      <c r="B1032" s="416"/>
      <c r="C1032" s="417"/>
      <c r="D1032" s="418"/>
      <c r="E1032" s="418"/>
      <c r="F1032" s="419"/>
      <c r="G1032" s="420"/>
      <c r="H1032" s="421"/>
      <c r="I1032" s="421"/>
      <c r="J1032" s="422"/>
      <c r="K1032" s="418"/>
      <c r="L1032" s="418"/>
      <c r="M1032" s="418"/>
      <c r="N1032" s="421"/>
      <c r="O1032" s="421"/>
      <c r="P1032" s="421"/>
      <c r="Q1032" s="418"/>
      <c r="R1032" s="1022"/>
      <c r="S1032" s="1022"/>
      <c r="T1032" s="418"/>
      <c r="U1032" s="418"/>
      <c r="V1032" s="418"/>
      <c r="W1032" s="418"/>
      <c r="X1032" s="418"/>
      <c r="Y1032" s="418"/>
      <c r="Z1032" s="418"/>
      <c r="AA1032" s="418"/>
      <c r="AB1032" s="418"/>
      <c r="AC1032" s="418"/>
      <c r="AD1032" s="418"/>
      <c r="AE1032" s="418"/>
      <c r="AF1032" s="418"/>
      <c r="AG1032" s="418"/>
      <c r="AH1032" s="418"/>
      <c r="AI1032" s="418"/>
      <c r="AJ1032" s="418"/>
      <c r="AK1032" s="418"/>
      <c r="AL1032" s="419"/>
      <c r="AM1032" s="418"/>
      <c r="AN1032" s="423"/>
      <c r="AO1032" s="423"/>
      <c r="AP1032" s="423"/>
      <c r="AQ1032" s="423"/>
      <c r="AR1032" s="423"/>
      <c r="AS1032" s="423"/>
      <c r="AT1032" s="423"/>
      <c r="AU1032" s="423"/>
      <c r="AV1032" s="423"/>
      <c r="AW1032" s="419"/>
      <c r="AX1032" s="419"/>
      <c r="AY1032" s="419"/>
      <c r="AZ1032" s="419"/>
      <c r="BA1032" s="419"/>
      <c r="BB1032" s="306"/>
    </row>
    <row r="1033" spans="1:54" ht="15.75" customHeight="1">
      <c r="A1033" s="415"/>
      <c r="B1033" s="416"/>
      <c r="C1033" s="417"/>
      <c r="D1033" s="418"/>
      <c r="E1033" s="418"/>
      <c r="F1033" s="419"/>
      <c r="G1033" s="420"/>
      <c r="H1033" s="421"/>
      <c r="I1033" s="421"/>
      <c r="J1033" s="422"/>
      <c r="K1033" s="418"/>
      <c r="L1033" s="418"/>
      <c r="M1033" s="418"/>
      <c r="N1033" s="421"/>
      <c r="O1033" s="421"/>
      <c r="P1033" s="421"/>
      <c r="Q1033" s="418"/>
      <c r="R1033" s="1022"/>
      <c r="S1033" s="1022"/>
      <c r="T1033" s="418"/>
      <c r="U1033" s="418"/>
      <c r="V1033" s="418"/>
      <c r="W1033" s="418"/>
      <c r="X1033" s="418"/>
      <c r="Y1033" s="418"/>
      <c r="Z1033" s="418"/>
      <c r="AA1033" s="418"/>
      <c r="AB1033" s="418"/>
      <c r="AC1033" s="418"/>
      <c r="AD1033" s="418"/>
      <c r="AE1033" s="418"/>
      <c r="AF1033" s="418"/>
      <c r="AG1033" s="418"/>
      <c r="AH1033" s="418"/>
      <c r="AI1033" s="418"/>
      <c r="AJ1033" s="418"/>
      <c r="AK1033" s="418"/>
      <c r="AL1033" s="419"/>
      <c r="AM1033" s="418"/>
      <c r="AN1033" s="423"/>
      <c r="AO1033" s="423"/>
      <c r="AP1033" s="423"/>
      <c r="AQ1033" s="423"/>
      <c r="AR1033" s="423"/>
      <c r="AS1033" s="423"/>
      <c r="AT1033" s="423"/>
      <c r="AU1033" s="423"/>
      <c r="AV1033" s="423"/>
      <c r="AW1033" s="419"/>
      <c r="AX1033" s="419"/>
      <c r="AY1033" s="419"/>
      <c r="AZ1033" s="419"/>
      <c r="BA1033" s="419"/>
      <c r="BB1033" s="306"/>
    </row>
    <row r="1034" spans="1:54" ht="15.75" customHeight="1">
      <c r="A1034" s="415"/>
      <c r="B1034" s="416"/>
      <c r="C1034" s="417"/>
      <c r="D1034" s="418"/>
      <c r="E1034" s="418"/>
      <c r="F1034" s="419"/>
      <c r="G1034" s="420"/>
      <c r="H1034" s="421"/>
      <c r="I1034" s="425"/>
      <c r="J1034" s="422"/>
      <c r="K1034" s="418"/>
      <c r="L1034" s="418"/>
      <c r="M1034" s="418"/>
      <c r="N1034" s="421"/>
      <c r="O1034" s="421"/>
      <c r="P1034" s="421"/>
      <c r="Q1034" s="418"/>
      <c r="R1034" s="1022"/>
      <c r="S1034" s="1022"/>
      <c r="T1034" s="418"/>
      <c r="U1034" s="418"/>
      <c r="V1034" s="418"/>
      <c r="W1034" s="418"/>
      <c r="X1034" s="418"/>
      <c r="Y1034" s="418"/>
      <c r="Z1034" s="418"/>
      <c r="AA1034" s="418"/>
      <c r="AB1034" s="418"/>
      <c r="AC1034" s="418"/>
      <c r="AD1034" s="418"/>
      <c r="AE1034" s="418"/>
      <c r="AF1034" s="418"/>
      <c r="AG1034" s="418"/>
      <c r="AH1034" s="418"/>
      <c r="AI1034" s="418"/>
      <c r="AJ1034" s="418"/>
      <c r="AK1034" s="418"/>
      <c r="AL1034" s="419"/>
      <c r="AM1034" s="418"/>
      <c r="AN1034" s="423"/>
      <c r="AO1034" s="423"/>
      <c r="AP1034" s="423"/>
      <c r="AQ1034" s="423"/>
      <c r="AR1034" s="423"/>
      <c r="AS1034" s="423"/>
      <c r="AT1034" s="423"/>
      <c r="AU1034" s="423"/>
      <c r="AV1034" s="423"/>
      <c r="AW1034" s="419"/>
      <c r="AX1034" s="419"/>
      <c r="AY1034" s="419"/>
      <c r="AZ1034" s="419"/>
      <c r="BA1034" s="419"/>
      <c r="BB1034" s="306"/>
    </row>
    <row r="1035" spans="1:54" ht="15.75" customHeight="1">
      <c r="A1035" s="415"/>
      <c r="B1035" s="416"/>
      <c r="C1035" s="417"/>
      <c r="D1035" s="418"/>
      <c r="E1035" s="418"/>
      <c r="F1035" s="419"/>
      <c r="G1035" s="420"/>
      <c r="H1035" s="421"/>
      <c r="I1035" s="421"/>
      <c r="J1035" s="422"/>
      <c r="K1035" s="418"/>
      <c r="L1035" s="418"/>
      <c r="M1035" s="418"/>
      <c r="N1035" s="421"/>
      <c r="O1035" s="421"/>
      <c r="P1035" s="421"/>
      <c r="Q1035" s="418"/>
      <c r="R1035" s="1022"/>
      <c r="S1035" s="1022"/>
      <c r="T1035" s="418"/>
      <c r="U1035" s="418"/>
      <c r="V1035" s="418"/>
      <c r="W1035" s="418"/>
      <c r="X1035" s="418"/>
      <c r="Y1035" s="418"/>
      <c r="Z1035" s="418"/>
      <c r="AA1035" s="418"/>
      <c r="AB1035" s="418"/>
      <c r="AC1035" s="418"/>
      <c r="AD1035" s="418"/>
      <c r="AE1035" s="418"/>
      <c r="AF1035" s="418"/>
      <c r="AG1035" s="418"/>
      <c r="AH1035" s="418"/>
      <c r="AI1035" s="418"/>
      <c r="AJ1035" s="418"/>
      <c r="AK1035" s="418"/>
      <c r="AL1035" s="419"/>
      <c r="AM1035" s="418"/>
      <c r="AN1035" s="423"/>
      <c r="AO1035" s="423"/>
      <c r="AP1035" s="423"/>
      <c r="AQ1035" s="423"/>
      <c r="AR1035" s="423"/>
      <c r="AS1035" s="423"/>
      <c r="AT1035" s="423"/>
      <c r="AU1035" s="423"/>
      <c r="AV1035" s="423"/>
      <c r="AW1035" s="419"/>
      <c r="AX1035" s="419"/>
      <c r="AY1035" s="419"/>
      <c r="AZ1035" s="419"/>
      <c r="BA1035" s="419"/>
      <c r="BB1035" s="306"/>
    </row>
    <row r="1036" spans="1:54" ht="15.75" customHeight="1">
      <c r="A1036" s="415"/>
      <c r="B1036" s="416"/>
      <c r="C1036" s="417"/>
      <c r="D1036" s="418"/>
      <c r="E1036" s="418"/>
      <c r="F1036" s="419"/>
      <c r="G1036" s="420"/>
      <c r="H1036" s="421"/>
      <c r="I1036" s="421"/>
      <c r="J1036" s="422"/>
      <c r="K1036" s="418"/>
      <c r="L1036" s="418"/>
      <c r="M1036" s="418"/>
      <c r="N1036" s="421"/>
      <c r="O1036" s="421"/>
      <c r="P1036" s="421"/>
      <c r="Q1036" s="418"/>
      <c r="R1036" s="1022"/>
      <c r="S1036" s="1022"/>
      <c r="T1036" s="418"/>
      <c r="U1036" s="418"/>
      <c r="V1036" s="418"/>
      <c r="W1036" s="418"/>
      <c r="X1036" s="418"/>
      <c r="Y1036" s="418"/>
      <c r="Z1036" s="418"/>
      <c r="AA1036" s="418"/>
      <c r="AB1036" s="418"/>
      <c r="AC1036" s="418"/>
      <c r="AD1036" s="418"/>
      <c r="AE1036" s="418"/>
      <c r="AF1036" s="418"/>
      <c r="AG1036" s="418"/>
      <c r="AH1036" s="418"/>
      <c r="AI1036" s="418"/>
      <c r="AJ1036" s="418"/>
      <c r="AK1036" s="418"/>
      <c r="AL1036" s="419"/>
      <c r="AM1036" s="418"/>
      <c r="AN1036" s="423"/>
      <c r="AO1036" s="423"/>
      <c r="AP1036" s="423"/>
      <c r="AQ1036" s="423"/>
      <c r="AR1036" s="423"/>
      <c r="AS1036" s="423"/>
      <c r="AT1036" s="423"/>
      <c r="AU1036" s="423"/>
      <c r="AV1036" s="423"/>
      <c r="AW1036" s="419"/>
      <c r="AX1036" s="419"/>
      <c r="AY1036" s="419"/>
      <c r="AZ1036" s="419"/>
      <c r="BA1036" s="419"/>
      <c r="BB1036" s="306"/>
    </row>
    <row r="1037" spans="1:54" ht="15.75" customHeight="1">
      <c r="A1037" s="415"/>
      <c r="B1037" s="416"/>
      <c r="C1037" s="417"/>
      <c r="D1037" s="418"/>
      <c r="E1037" s="418"/>
      <c r="F1037" s="419"/>
      <c r="G1037" s="420"/>
      <c r="H1037" s="421"/>
      <c r="I1037" s="425"/>
      <c r="J1037" s="422"/>
      <c r="K1037" s="418"/>
      <c r="L1037" s="418"/>
      <c r="M1037" s="418"/>
      <c r="N1037" s="421"/>
      <c r="O1037" s="421"/>
      <c r="P1037" s="421"/>
      <c r="Q1037" s="418"/>
      <c r="R1037" s="1022"/>
      <c r="S1037" s="1022"/>
      <c r="T1037" s="418"/>
      <c r="U1037" s="418"/>
      <c r="V1037" s="418"/>
      <c r="W1037" s="418"/>
      <c r="X1037" s="418"/>
      <c r="Y1037" s="418"/>
      <c r="Z1037" s="418"/>
      <c r="AA1037" s="418"/>
      <c r="AB1037" s="418"/>
      <c r="AC1037" s="418"/>
      <c r="AD1037" s="418"/>
      <c r="AE1037" s="418"/>
      <c r="AF1037" s="418"/>
      <c r="AG1037" s="418"/>
      <c r="AH1037" s="418"/>
      <c r="AI1037" s="418"/>
      <c r="AJ1037" s="418"/>
      <c r="AK1037" s="418"/>
      <c r="AL1037" s="419"/>
      <c r="AM1037" s="418"/>
      <c r="AN1037" s="423"/>
      <c r="AO1037" s="423"/>
      <c r="AP1037" s="423"/>
      <c r="AQ1037" s="423"/>
      <c r="AR1037" s="423"/>
      <c r="AS1037" s="423"/>
      <c r="AT1037" s="423"/>
      <c r="AU1037" s="423"/>
      <c r="AV1037" s="423"/>
      <c r="AW1037" s="419"/>
      <c r="AX1037" s="419"/>
      <c r="AY1037" s="419"/>
      <c r="AZ1037" s="419"/>
      <c r="BA1037" s="419"/>
      <c r="BB1037" s="306"/>
    </row>
    <row r="1038" spans="1:54" ht="15.75" customHeight="1">
      <c r="A1038" s="415"/>
      <c r="B1038" s="416"/>
      <c r="C1038" s="417"/>
      <c r="D1038" s="418"/>
      <c r="E1038" s="418"/>
      <c r="F1038" s="419"/>
      <c r="G1038" s="420"/>
      <c r="H1038" s="421"/>
      <c r="I1038" s="421"/>
      <c r="J1038" s="422"/>
      <c r="K1038" s="418"/>
      <c r="L1038" s="418"/>
      <c r="M1038" s="418"/>
      <c r="N1038" s="421"/>
      <c r="O1038" s="421"/>
      <c r="P1038" s="421"/>
      <c r="Q1038" s="418"/>
      <c r="R1038" s="1022"/>
      <c r="S1038" s="1022"/>
      <c r="T1038" s="418"/>
      <c r="U1038" s="418"/>
      <c r="V1038" s="418"/>
      <c r="W1038" s="418"/>
      <c r="X1038" s="418"/>
      <c r="Y1038" s="418"/>
      <c r="Z1038" s="418"/>
      <c r="AA1038" s="418"/>
      <c r="AB1038" s="418"/>
      <c r="AC1038" s="418"/>
      <c r="AD1038" s="418"/>
      <c r="AE1038" s="418"/>
      <c r="AF1038" s="418"/>
      <c r="AG1038" s="418"/>
      <c r="AH1038" s="418"/>
      <c r="AI1038" s="418"/>
      <c r="AJ1038" s="418"/>
      <c r="AK1038" s="418"/>
      <c r="AL1038" s="419"/>
      <c r="AM1038" s="418"/>
      <c r="AN1038" s="423"/>
      <c r="AO1038" s="423"/>
      <c r="AP1038" s="423"/>
      <c r="AQ1038" s="423"/>
      <c r="AR1038" s="423"/>
      <c r="AS1038" s="423"/>
      <c r="AT1038" s="423"/>
      <c r="AU1038" s="423"/>
      <c r="AV1038" s="423"/>
      <c r="AW1038" s="419"/>
      <c r="AX1038" s="419"/>
      <c r="AY1038" s="419"/>
      <c r="AZ1038" s="419"/>
      <c r="BA1038" s="419"/>
      <c r="BB1038" s="306"/>
    </row>
    <row r="1039" spans="1:54" ht="15.75" customHeight="1">
      <c r="A1039" s="415"/>
      <c r="B1039" s="416"/>
      <c r="C1039" s="417"/>
      <c r="D1039" s="418"/>
      <c r="E1039" s="418"/>
      <c r="F1039" s="419"/>
      <c r="G1039" s="420"/>
      <c r="H1039" s="421"/>
      <c r="I1039" s="425"/>
      <c r="J1039" s="422"/>
      <c r="K1039" s="418"/>
      <c r="L1039" s="418"/>
      <c r="M1039" s="418"/>
      <c r="N1039" s="421"/>
      <c r="O1039" s="421"/>
      <c r="P1039" s="421"/>
      <c r="Q1039" s="418"/>
      <c r="R1039" s="1022"/>
      <c r="S1039" s="1022"/>
      <c r="T1039" s="418"/>
      <c r="U1039" s="418"/>
      <c r="V1039" s="418"/>
      <c r="W1039" s="418"/>
      <c r="X1039" s="418"/>
      <c r="Y1039" s="418"/>
      <c r="Z1039" s="418"/>
      <c r="AA1039" s="418"/>
      <c r="AB1039" s="418"/>
      <c r="AC1039" s="418"/>
      <c r="AD1039" s="418"/>
      <c r="AE1039" s="418"/>
      <c r="AF1039" s="418"/>
      <c r="AG1039" s="418"/>
      <c r="AH1039" s="418"/>
      <c r="AI1039" s="418"/>
      <c r="AJ1039" s="418"/>
      <c r="AK1039" s="418"/>
      <c r="AL1039" s="419"/>
      <c r="AM1039" s="418"/>
      <c r="AN1039" s="423"/>
      <c r="AO1039" s="423"/>
      <c r="AP1039" s="423"/>
      <c r="AQ1039" s="423"/>
      <c r="AR1039" s="423"/>
      <c r="AS1039" s="423"/>
      <c r="AT1039" s="423"/>
      <c r="AU1039" s="423"/>
      <c r="AV1039" s="423"/>
      <c r="AW1039" s="419"/>
      <c r="AX1039" s="419"/>
      <c r="AY1039" s="419"/>
      <c r="AZ1039" s="419"/>
      <c r="BA1039" s="419"/>
      <c r="BB1039" s="306"/>
    </row>
    <row r="1040" spans="1:54" ht="15.75" customHeight="1">
      <c r="A1040" s="415"/>
      <c r="B1040" s="416"/>
      <c r="C1040" s="417"/>
      <c r="D1040" s="418"/>
      <c r="E1040" s="418"/>
      <c r="F1040" s="419"/>
      <c r="G1040" s="420"/>
      <c r="H1040" s="421"/>
      <c r="I1040" s="421"/>
      <c r="J1040" s="422"/>
      <c r="K1040" s="418"/>
      <c r="L1040" s="418"/>
      <c r="M1040" s="418"/>
      <c r="N1040" s="421"/>
      <c r="O1040" s="421"/>
      <c r="P1040" s="421"/>
      <c r="Q1040" s="418"/>
      <c r="R1040" s="1022"/>
      <c r="S1040" s="1022"/>
      <c r="T1040" s="418"/>
      <c r="U1040" s="418"/>
      <c r="V1040" s="418"/>
      <c r="W1040" s="418"/>
      <c r="X1040" s="418"/>
      <c r="Y1040" s="418"/>
      <c r="Z1040" s="418"/>
      <c r="AA1040" s="418"/>
      <c r="AB1040" s="418"/>
      <c r="AC1040" s="418"/>
      <c r="AD1040" s="418"/>
      <c r="AE1040" s="418"/>
      <c r="AF1040" s="418"/>
      <c r="AG1040" s="418"/>
      <c r="AH1040" s="418"/>
      <c r="AI1040" s="418"/>
      <c r="AJ1040" s="418"/>
      <c r="AK1040" s="418"/>
      <c r="AL1040" s="419"/>
      <c r="AM1040" s="418"/>
      <c r="AN1040" s="423"/>
      <c r="AO1040" s="423"/>
      <c r="AP1040" s="423"/>
      <c r="AQ1040" s="423"/>
      <c r="AR1040" s="423"/>
      <c r="AS1040" s="423"/>
      <c r="AT1040" s="423"/>
      <c r="AU1040" s="423"/>
      <c r="AV1040" s="423"/>
      <c r="AW1040" s="419"/>
      <c r="AX1040" s="419"/>
      <c r="AY1040" s="419"/>
      <c r="AZ1040" s="419"/>
      <c r="BA1040" s="419"/>
      <c r="BB1040" s="306"/>
    </row>
    <row r="1041" spans="1:54" ht="15.75" customHeight="1">
      <c r="A1041" s="415"/>
      <c r="B1041" s="416"/>
      <c r="C1041" s="417"/>
      <c r="D1041" s="418"/>
      <c r="E1041" s="418"/>
      <c r="F1041" s="419"/>
      <c r="G1041" s="420"/>
      <c r="H1041" s="421"/>
      <c r="I1041" s="421"/>
      <c r="J1041" s="422"/>
      <c r="K1041" s="418"/>
      <c r="L1041" s="418"/>
      <c r="M1041" s="418"/>
      <c r="N1041" s="421"/>
      <c r="O1041" s="421"/>
      <c r="P1041" s="421"/>
      <c r="Q1041" s="418"/>
      <c r="R1041" s="1022"/>
      <c r="S1041" s="1022"/>
      <c r="T1041" s="418"/>
      <c r="U1041" s="418"/>
      <c r="V1041" s="418"/>
      <c r="W1041" s="418"/>
      <c r="X1041" s="418"/>
      <c r="Y1041" s="418"/>
      <c r="Z1041" s="418"/>
      <c r="AA1041" s="418"/>
      <c r="AB1041" s="418"/>
      <c r="AC1041" s="418"/>
      <c r="AD1041" s="418"/>
      <c r="AE1041" s="418"/>
      <c r="AF1041" s="418"/>
      <c r="AG1041" s="418"/>
      <c r="AH1041" s="418"/>
      <c r="AI1041" s="418"/>
      <c r="AJ1041" s="418"/>
      <c r="AK1041" s="418"/>
      <c r="AL1041" s="419"/>
      <c r="AM1041" s="418"/>
      <c r="AN1041" s="423"/>
      <c r="AO1041" s="423"/>
      <c r="AP1041" s="423"/>
      <c r="AQ1041" s="423"/>
      <c r="AR1041" s="423"/>
      <c r="AS1041" s="423"/>
      <c r="AT1041" s="423"/>
      <c r="AU1041" s="423"/>
      <c r="AV1041" s="423"/>
      <c r="AW1041" s="419"/>
      <c r="AX1041" s="419"/>
      <c r="AY1041" s="419"/>
      <c r="AZ1041" s="419"/>
      <c r="BA1041" s="419"/>
      <c r="BB1041" s="306"/>
    </row>
    <row r="1042" spans="1:54" ht="15.75" customHeight="1">
      <c r="A1042" s="415"/>
      <c r="B1042" s="416"/>
      <c r="C1042" s="417"/>
      <c r="D1042" s="418"/>
      <c r="E1042" s="418"/>
      <c r="F1042" s="419"/>
      <c r="G1042" s="420"/>
      <c r="H1042" s="421"/>
      <c r="I1042" s="421"/>
      <c r="J1042" s="422"/>
      <c r="K1042" s="418"/>
      <c r="L1042" s="418"/>
      <c r="M1042" s="418"/>
      <c r="N1042" s="421"/>
      <c r="O1042" s="421"/>
      <c r="P1042" s="421"/>
      <c r="Q1042" s="418"/>
      <c r="R1042" s="1022"/>
      <c r="S1042" s="1022"/>
      <c r="T1042" s="418"/>
      <c r="U1042" s="418"/>
      <c r="V1042" s="418"/>
      <c r="W1042" s="418"/>
      <c r="X1042" s="418"/>
      <c r="Y1042" s="418"/>
      <c r="Z1042" s="418"/>
      <c r="AA1042" s="418"/>
      <c r="AB1042" s="418"/>
      <c r="AC1042" s="418"/>
      <c r="AD1042" s="418"/>
      <c r="AE1042" s="418"/>
      <c r="AF1042" s="418"/>
      <c r="AG1042" s="418"/>
      <c r="AH1042" s="418"/>
      <c r="AI1042" s="418"/>
      <c r="AJ1042" s="418"/>
      <c r="AK1042" s="418"/>
      <c r="AL1042" s="419"/>
      <c r="AM1042" s="418"/>
      <c r="AN1042" s="423"/>
      <c r="AO1042" s="423"/>
      <c r="AP1042" s="423"/>
      <c r="AQ1042" s="423"/>
      <c r="AR1042" s="423"/>
      <c r="AS1042" s="423"/>
      <c r="AT1042" s="423"/>
      <c r="AU1042" s="423"/>
      <c r="AV1042" s="423"/>
      <c r="AW1042" s="419"/>
      <c r="AX1042" s="419"/>
      <c r="AY1042" s="419"/>
      <c r="AZ1042" s="419"/>
      <c r="BA1042" s="419"/>
      <c r="BB1042" s="306"/>
    </row>
    <row r="1043" spans="1:54" ht="15.75" customHeight="1">
      <c r="A1043" s="415"/>
      <c r="B1043" s="416"/>
      <c r="C1043" s="417"/>
      <c r="D1043" s="418"/>
      <c r="E1043" s="418"/>
      <c r="F1043" s="419"/>
      <c r="G1043" s="420"/>
      <c r="H1043" s="421"/>
      <c r="I1043" s="421"/>
      <c r="J1043" s="422"/>
      <c r="K1043" s="418"/>
      <c r="L1043" s="418"/>
      <c r="M1043" s="418"/>
      <c r="N1043" s="421"/>
      <c r="O1043" s="421"/>
      <c r="P1043" s="421"/>
      <c r="Q1043" s="418"/>
      <c r="R1043" s="1022"/>
      <c r="S1043" s="1022"/>
      <c r="T1043" s="418"/>
      <c r="U1043" s="418"/>
      <c r="V1043" s="418"/>
      <c r="W1043" s="418"/>
      <c r="X1043" s="418"/>
      <c r="Y1043" s="418"/>
      <c r="Z1043" s="418"/>
      <c r="AA1043" s="418"/>
      <c r="AB1043" s="418"/>
      <c r="AC1043" s="418"/>
      <c r="AD1043" s="418"/>
      <c r="AE1043" s="418"/>
      <c r="AF1043" s="418"/>
      <c r="AG1043" s="418"/>
      <c r="AH1043" s="418"/>
      <c r="AI1043" s="418"/>
      <c r="AJ1043" s="418"/>
      <c r="AK1043" s="418"/>
      <c r="AL1043" s="419"/>
      <c r="AM1043" s="418"/>
      <c r="AN1043" s="423"/>
      <c r="AO1043" s="423"/>
      <c r="AP1043" s="423"/>
      <c r="AQ1043" s="423"/>
      <c r="AR1043" s="423"/>
      <c r="AS1043" s="423"/>
      <c r="AT1043" s="423"/>
      <c r="AU1043" s="423"/>
      <c r="AV1043" s="423"/>
      <c r="AW1043" s="418"/>
      <c r="AX1043" s="418"/>
      <c r="AY1043" s="418"/>
      <c r="AZ1043" s="418"/>
      <c r="BA1043" s="418"/>
      <c r="BB1043" s="306"/>
    </row>
    <row r="1044" spans="1:54" ht="15.75" customHeight="1">
      <c r="A1044" s="415"/>
      <c r="B1044" s="416"/>
      <c r="C1044" s="417"/>
      <c r="D1044" s="418"/>
      <c r="E1044" s="418"/>
      <c r="F1044" s="419"/>
      <c r="G1044" s="420"/>
      <c r="H1044" s="421"/>
      <c r="I1044" s="421"/>
      <c r="J1044" s="422"/>
      <c r="K1044" s="418"/>
      <c r="L1044" s="418"/>
      <c r="M1044" s="418"/>
      <c r="N1044" s="421"/>
      <c r="O1044" s="421"/>
      <c r="P1044" s="421"/>
      <c r="Q1044" s="418"/>
      <c r="R1044" s="1022"/>
      <c r="S1044" s="1022"/>
      <c r="T1044" s="418"/>
      <c r="U1044" s="418"/>
      <c r="V1044" s="418"/>
      <c r="W1044" s="418"/>
      <c r="X1044" s="418"/>
      <c r="Y1044" s="418"/>
      <c r="Z1044" s="418"/>
      <c r="AA1044" s="418"/>
      <c r="AB1044" s="418"/>
      <c r="AC1044" s="418"/>
      <c r="AD1044" s="418"/>
      <c r="AE1044" s="418"/>
      <c r="AF1044" s="418"/>
      <c r="AG1044" s="418"/>
      <c r="AH1044" s="418"/>
      <c r="AI1044" s="418"/>
      <c r="AJ1044" s="418"/>
      <c r="AK1044" s="418"/>
      <c r="AL1044" s="419"/>
      <c r="AM1044" s="418"/>
      <c r="AN1044" s="423"/>
      <c r="AO1044" s="423"/>
      <c r="AP1044" s="423"/>
      <c r="AQ1044" s="423"/>
      <c r="AR1044" s="423"/>
      <c r="AS1044" s="423"/>
      <c r="AT1044" s="423"/>
      <c r="AU1044" s="423"/>
      <c r="AV1044" s="423"/>
      <c r="AW1044" s="418"/>
      <c r="AX1044" s="418"/>
      <c r="AY1044" s="418"/>
      <c r="AZ1044" s="418"/>
      <c r="BA1044" s="418"/>
      <c r="BB1044" s="306"/>
    </row>
    <row r="1045" spans="1:54" ht="15.75" customHeight="1">
      <c r="A1045" s="415"/>
      <c r="B1045" s="416"/>
      <c r="C1045" s="417"/>
      <c r="D1045" s="418"/>
      <c r="E1045" s="418"/>
      <c r="F1045" s="419"/>
      <c r="G1045" s="420"/>
      <c r="H1045" s="421"/>
      <c r="I1045" s="425"/>
      <c r="J1045" s="422"/>
      <c r="K1045" s="418"/>
      <c r="L1045" s="418"/>
      <c r="M1045" s="418"/>
      <c r="N1045" s="421"/>
      <c r="O1045" s="421"/>
      <c r="P1045" s="421"/>
      <c r="Q1045" s="418"/>
      <c r="R1045" s="1022"/>
      <c r="S1045" s="1022"/>
      <c r="T1045" s="418"/>
      <c r="U1045" s="418"/>
      <c r="V1045" s="418"/>
      <c r="W1045" s="418"/>
      <c r="X1045" s="418"/>
      <c r="Y1045" s="418"/>
      <c r="Z1045" s="418"/>
      <c r="AA1045" s="418"/>
      <c r="AB1045" s="418"/>
      <c r="AC1045" s="418"/>
      <c r="AD1045" s="418"/>
      <c r="AE1045" s="418"/>
      <c r="AF1045" s="418"/>
      <c r="AG1045" s="418"/>
      <c r="AH1045" s="418"/>
      <c r="AI1045" s="418"/>
      <c r="AJ1045" s="418"/>
      <c r="AK1045" s="418"/>
      <c r="AL1045" s="418"/>
      <c r="AM1045" s="418"/>
      <c r="AN1045" s="423"/>
      <c r="AO1045" s="423"/>
      <c r="AP1045" s="423"/>
      <c r="AQ1045" s="423"/>
      <c r="AR1045" s="423"/>
      <c r="AS1045" s="423"/>
      <c r="AT1045" s="423"/>
      <c r="AU1045" s="423"/>
      <c r="AV1045" s="423"/>
      <c r="AW1045" s="418"/>
      <c r="AX1045" s="418"/>
      <c r="AY1045" s="418"/>
      <c r="AZ1045" s="418"/>
      <c r="BA1045" s="418"/>
      <c r="BB1045" s="306"/>
    </row>
    <row r="1046" spans="1:54" ht="15.75" customHeight="1">
      <c r="A1046" s="415"/>
      <c r="B1046" s="416"/>
      <c r="C1046" s="417"/>
      <c r="D1046" s="418"/>
      <c r="E1046" s="418"/>
      <c r="F1046" s="419"/>
      <c r="G1046" s="420"/>
      <c r="H1046" s="421"/>
      <c r="I1046" s="421"/>
      <c r="J1046" s="422"/>
      <c r="K1046" s="418"/>
      <c r="L1046" s="418"/>
      <c r="M1046" s="418"/>
      <c r="N1046" s="421"/>
      <c r="O1046" s="421"/>
      <c r="P1046" s="421"/>
      <c r="Q1046" s="418"/>
      <c r="R1046" s="1022"/>
      <c r="S1046" s="1022"/>
      <c r="T1046" s="418"/>
      <c r="U1046" s="418"/>
      <c r="V1046" s="418"/>
      <c r="W1046" s="418"/>
      <c r="X1046" s="418"/>
      <c r="Y1046" s="418"/>
      <c r="Z1046" s="418"/>
      <c r="AA1046" s="418"/>
      <c r="AB1046" s="418"/>
      <c r="AC1046" s="418"/>
      <c r="AD1046" s="418"/>
      <c r="AE1046" s="418"/>
      <c r="AF1046" s="418"/>
      <c r="AG1046" s="418"/>
      <c r="AH1046" s="418"/>
      <c r="AI1046" s="418"/>
      <c r="AJ1046" s="418"/>
      <c r="AK1046" s="418"/>
      <c r="AL1046" s="418"/>
      <c r="AM1046" s="418"/>
      <c r="AN1046" s="423"/>
      <c r="AO1046" s="423"/>
      <c r="AP1046" s="423"/>
      <c r="AQ1046" s="423"/>
      <c r="AR1046" s="423"/>
      <c r="AS1046" s="423"/>
      <c r="AT1046" s="423"/>
      <c r="AU1046" s="423"/>
      <c r="AV1046" s="423"/>
      <c r="AW1046" s="418"/>
      <c r="AX1046" s="418"/>
      <c r="AY1046" s="418"/>
      <c r="AZ1046" s="418"/>
      <c r="BA1046" s="418"/>
      <c r="BB1046" s="306"/>
    </row>
    <row r="1047" spans="1:54" ht="15.75" customHeight="1">
      <c r="A1047" s="415"/>
      <c r="B1047" s="416"/>
      <c r="C1047" s="417"/>
      <c r="D1047" s="418"/>
      <c r="E1047" s="418"/>
      <c r="F1047" s="419"/>
      <c r="G1047" s="420"/>
      <c r="H1047" s="421"/>
      <c r="I1047" s="425"/>
      <c r="J1047" s="422"/>
      <c r="K1047" s="418"/>
      <c r="L1047" s="418"/>
      <c r="M1047" s="418"/>
      <c r="N1047" s="421"/>
      <c r="O1047" s="421"/>
      <c r="P1047" s="421"/>
      <c r="Q1047" s="418"/>
      <c r="R1047" s="1022"/>
      <c r="S1047" s="1022"/>
      <c r="T1047" s="418"/>
      <c r="U1047" s="418"/>
      <c r="V1047" s="418"/>
      <c r="W1047" s="418"/>
      <c r="X1047" s="418"/>
      <c r="Y1047" s="418"/>
      <c r="Z1047" s="418"/>
      <c r="AA1047" s="418"/>
      <c r="AB1047" s="418"/>
      <c r="AC1047" s="418"/>
      <c r="AD1047" s="418"/>
      <c r="AE1047" s="418"/>
      <c r="AF1047" s="418"/>
      <c r="AG1047" s="418"/>
      <c r="AH1047" s="418"/>
      <c r="AI1047" s="418"/>
      <c r="AJ1047" s="418"/>
      <c r="AK1047" s="418"/>
      <c r="AL1047" s="418"/>
      <c r="AM1047" s="418"/>
      <c r="AN1047" s="423"/>
      <c r="AO1047" s="423"/>
      <c r="AP1047" s="423"/>
      <c r="AQ1047" s="423"/>
      <c r="AR1047" s="423"/>
      <c r="AS1047" s="423"/>
      <c r="AT1047" s="423"/>
      <c r="AU1047" s="423"/>
      <c r="AV1047" s="423"/>
      <c r="AW1047" s="418"/>
      <c r="AX1047" s="418"/>
      <c r="AY1047" s="418"/>
      <c r="AZ1047" s="418"/>
      <c r="BA1047" s="418"/>
      <c r="BB1047" s="306"/>
    </row>
    <row r="1048" spans="1:54" ht="15.75" customHeight="1">
      <c r="A1048" s="415"/>
      <c r="B1048" s="416"/>
      <c r="C1048" s="417"/>
      <c r="D1048" s="418"/>
      <c r="E1048" s="418"/>
      <c r="F1048" s="419"/>
      <c r="G1048" s="420"/>
      <c r="H1048" s="421"/>
      <c r="I1048" s="421"/>
      <c r="J1048" s="422"/>
      <c r="K1048" s="418"/>
      <c r="L1048" s="418"/>
      <c r="M1048" s="418"/>
      <c r="N1048" s="421"/>
      <c r="O1048" s="421"/>
      <c r="P1048" s="421"/>
      <c r="Q1048" s="418"/>
      <c r="R1048" s="1022"/>
      <c r="S1048" s="1022"/>
      <c r="T1048" s="418"/>
      <c r="U1048" s="418"/>
      <c r="V1048" s="418"/>
      <c r="W1048" s="418"/>
      <c r="X1048" s="418"/>
      <c r="Y1048" s="418"/>
      <c r="Z1048" s="418"/>
      <c r="AA1048" s="418"/>
      <c r="AB1048" s="418"/>
      <c r="AC1048" s="418"/>
      <c r="AD1048" s="418"/>
      <c r="AE1048" s="418"/>
      <c r="AF1048" s="418"/>
      <c r="AG1048" s="418"/>
      <c r="AH1048" s="418"/>
      <c r="AI1048" s="418"/>
      <c r="AJ1048" s="418"/>
      <c r="AK1048" s="418"/>
      <c r="AL1048" s="418"/>
      <c r="AM1048" s="418"/>
      <c r="AN1048" s="423"/>
      <c r="AO1048" s="423"/>
      <c r="AP1048" s="423"/>
      <c r="AQ1048" s="423"/>
      <c r="AR1048" s="423"/>
      <c r="AS1048" s="423"/>
      <c r="AT1048" s="423"/>
      <c r="AU1048" s="423"/>
      <c r="AV1048" s="423"/>
      <c r="AW1048" s="419"/>
      <c r="AX1048" s="419"/>
      <c r="AY1048" s="419"/>
      <c r="AZ1048" s="419"/>
      <c r="BA1048" s="419"/>
      <c r="BB1048" s="306"/>
    </row>
    <row r="1049" spans="1:54" ht="15.75" customHeight="1">
      <c r="A1049" s="415"/>
      <c r="B1049" s="416"/>
      <c r="C1049" s="417"/>
      <c r="D1049" s="418"/>
      <c r="E1049" s="418"/>
      <c r="F1049" s="419"/>
      <c r="G1049" s="420"/>
      <c r="H1049" s="421"/>
      <c r="I1049" s="425"/>
      <c r="J1049" s="422"/>
      <c r="K1049" s="418"/>
      <c r="L1049" s="418"/>
      <c r="M1049" s="418"/>
      <c r="N1049" s="421"/>
      <c r="O1049" s="421"/>
      <c r="P1049" s="421"/>
      <c r="Q1049" s="418"/>
      <c r="R1049" s="1022"/>
      <c r="S1049" s="1022"/>
      <c r="T1049" s="418"/>
      <c r="U1049" s="418"/>
      <c r="V1049" s="418"/>
      <c r="W1049" s="418"/>
      <c r="X1049" s="418"/>
      <c r="Y1049" s="418"/>
      <c r="Z1049" s="418"/>
      <c r="AA1049" s="418"/>
      <c r="AB1049" s="418"/>
      <c r="AC1049" s="418"/>
      <c r="AD1049" s="418"/>
      <c r="AE1049" s="418"/>
      <c r="AF1049" s="418"/>
      <c r="AG1049" s="418"/>
      <c r="AH1049" s="418"/>
      <c r="AI1049" s="418"/>
      <c r="AJ1049" s="418"/>
      <c r="AK1049" s="418"/>
      <c r="AL1049" s="418"/>
      <c r="AM1049" s="418"/>
      <c r="AN1049" s="423"/>
      <c r="AO1049" s="423"/>
      <c r="AP1049" s="423"/>
      <c r="AQ1049" s="423"/>
      <c r="AR1049" s="423"/>
      <c r="AS1049" s="423"/>
      <c r="AT1049" s="423"/>
      <c r="AU1049" s="423"/>
      <c r="AV1049" s="423"/>
      <c r="AW1049" s="419"/>
      <c r="AX1049" s="419"/>
      <c r="AY1049" s="419"/>
      <c r="AZ1049" s="419"/>
      <c r="BA1049" s="419"/>
      <c r="BB1049" s="306"/>
    </row>
    <row r="1050" spans="1:54" ht="15.75" customHeight="1">
      <c r="A1050" s="415"/>
      <c r="B1050" s="416"/>
      <c r="C1050" s="417"/>
      <c r="D1050" s="418"/>
      <c r="E1050" s="418"/>
      <c r="F1050" s="419"/>
      <c r="G1050" s="420"/>
      <c r="H1050" s="421"/>
      <c r="I1050" s="421"/>
      <c r="J1050" s="422"/>
      <c r="K1050" s="418"/>
      <c r="L1050" s="418"/>
      <c r="M1050" s="418"/>
      <c r="N1050" s="421"/>
      <c r="O1050" s="421"/>
      <c r="P1050" s="421"/>
      <c r="Q1050" s="418"/>
      <c r="R1050" s="1022"/>
      <c r="S1050" s="1022"/>
      <c r="T1050" s="418"/>
      <c r="U1050" s="418"/>
      <c r="V1050" s="418"/>
      <c r="W1050" s="418"/>
      <c r="X1050" s="418"/>
      <c r="Y1050" s="418"/>
      <c r="Z1050" s="418"/>
      <c r="AA1050" s="418"/>
      <c r="AB1050" s="418"/>
      <c r="AC1050" s="418"/>
      <c r="AD1050" s="418"/>
      <c r="AE1050" s="418"/>
      <c r="AF1050" s="418"/>
      <c r="AG1050" s="418"/>
      <c r="AH1050" s="418"/>
      <c r="AI1050" s="418"/>
      <c r="AJ1050" s="418"/>
      <c r="AK1050" s="418"/>
      <c r="AL1050" s="419"/>
      <c r="AM1050" s="418"/>
      <c r="AN1050" s="423"/>
      <c r="AO1050" s="423"/>
      <c r="AP1050" s="423"/>
      <c r="AQ1050" s="423"/>
      <c r="AR1050" s="423"/>
      <c r="AS1050" s="423"/>
      <c r="AT1050" s="423"/>
      <c r="AU1050" s="423"/>
      <c r="AV1050" s="423"/>
      <c r="AW1050" s="419"/>
      <c r="AX1050" s="419"/>
      <c r="AY1050" s="419"/>
      <c r="AZ1050" s="419"/>
      <c r="BA1050" s="419"/>
      <c r="BB1050" s="306"/>
    </row>
    <row r="1051" spans="1:54" ht="15.75" customHeight="1">
      <c r="A1051" s="415"/>
      <c r="B1051" s="416"/>
      <c r="C1051" s="417"/>
      <c r="D1051" s="418"/>
      <c r="E1051" s="418"/>
      <c r="F1051" s="419"/>
      <c r="G1051" s="420"/>
      <c r="H1051" s="421"/>
      <c r="I1051" s="421"/>
      <c r="J1051" s="422"/>
      <c r="K1051" s="418"/>
      <c r="L1051" s="418"/>
      <c r="M1051" s="418"/>
      <c r="N1051" s="421"/>
      <c r="O1051" s="421"/>
      <c r="P1051" s="421"/>
      <c r="Q1051" s="418"/>
      <c r="R1051" s="1022"/>
      <c r="S1051" s="1022"/>
      <c r="T1051" s="418"/>
      <c r="U1051" s="418"/>
      <c r="V1051" s="418"/>
      <c r="W1051" s="418"/>
      <c r="X1051" s="418"/>
      <c r="Y1051" s="418"/>
      <c r="Z1051" s="418"/>
      <c r="AA1051" s="418"/>
      <c r="AB1051" s="418"/>
      <c r="AC1051" s="418"/>
      <c r="AD1051" s="418"/>
      <c r="AE1051" s="418"/>
      <c r="AF1051" s="418"/>
      <c r="AG1051" s="418"/>
      <c r="AH1051" s="418"/>
      <c r="AI1051" s="418"/>
      <c r="AJ1051" s="418"/>
      <c r="AK1051" s="418"/>
      <c r="AL1051" s="419"/>
      <c r="AM1051" s="418"/>
      <c r="AN1051" s="423"/>
      <c r="AO1051" s="423"/>
      <c r="AP1051" s="423"/>
      <c r="AQ1051" s="423"/>
      <c r="AR1051" s="423"/>
      <c r="AS1051" s="423"/>
      <c r="AT1051" s="423"/>
      <c r="AU1051" s="423"/>
      <c r="AV1051" s="423"/>
      <c r="AW1051" s="419"/>
      <c r="AX1051" s="419"/>
      <c r="AY1051" s="419"/>
      <c r="AZ1051" s="419"/>
      <c r="BA1051" s="419"/>
      <c r="BB1051" s="306"/>
    </row>
    <row r="1052" spans="1:54" ht="15.75" customHeight="1">
      <c r="A1052" s="415"/>
      <c r="B1052" s="416"/>
      <c r="C1052" s="417"/>
      <c r="D1052" s="418"/>
      <c r="E1052" s="418"/>
      <c r="F1052" s="419"/>
      <c r="G1052" s="420"/>
      <c r="H1052" s="421"/>
      <c r="I1052" s="421"/>
      <c r="J1052" s="422"/>
      <c r="K1052" s="418"/>
      <c r="L1052" s="418"/>
      <c r="M1052" s="418"/>
      <c r="N1052" s="421"/>
      <c r="O1052" s="421"/>
      <c r="P1052" s="421"/>
      <c r="Q1052" s="418"/>
      <c r="R1052" s="1022"/>
      <c r="S1052" s="1022"/>
      <c r="T1052" s="418"/>
      <c r="U1052" s="418"/>
      <c r="V1052" s="418"/>
      <c r="W1052" s="418"/>
      <c r="X1052" s="418"/>
      <c r="Y1052" s="418"/>
      <c r="Z1052" s="418"/>
      <c r="AA1052" s="418"/>
      <c r="AB1052" s="418"/>
      <c r="AC1052" s="418"/>
      <c r="AD1052" s="418"/>
      <c r="AE1052" s="418"/>
      <c r="AF1052" s="418"/>
      <c r="AG1052" s="418"/>
      <c r="AH1052" s="418"/>
      <c r="AI1052" s="418"/>
      <c r="AJ1052" s="418"/>
      <c r="AK1052" s="418"/>
      <c r="AL1052" s="419"/>
      <c r="AM1052" s="418"/>
      <c r="AN1052" s="423"/>
      <c r="AO1052" s="423"/>
      <c r="AP1052" s="423"/>
      <c r="AQ1052" s="423"/>
      <c r="AR1052" s="423"/>
      <c r="AS1052" s="423"/>
      <c r="AT1052" s="423"/>
      <c r="AU1052" s="423"/>
      <c r="AV1052" s="423"/>
      <c r="AW1052" s="419"/>
      <c r="AX1052" s="419"/>
      <c r="AY1052" s="419"/>
      <c r="AZ1052" s="419"/>
      <c r="BA1052" s="419"/>
      <c r="BB1052" s="306"/>
    </row>
    <row r="1053" spans="1:54" ht="15.75" customHeight="1">
      <c r="A1053" s="415"/>
      <c r="B1053" s="416"/>
      <c r="C1053" s="417"/>
      <c r="D1053" s="418"/>
      <c r="E1053" s="418"/>
      <c r="F1053" s="419"/>
      <c r="G1053" s="420"/>
      <c r="H1053" s="421"/>
      <c r="I1053" s="421"/>
      <c r="J1053" s="422"/>
      <c r="K1053" s="418"/>
      <c r="L1053" s="418"/>
      <c r="M1053" s="418"/>
      <c r="N1053" s="421"/>
      <c r="O1053" s="421"/>
      <c r="P1053" s="421"/>
      <c r="Q1053" s="418"/>
      <c r="R1053" s="1022"/>
      <c r="S1053" s="1022"/>
      <c r="T1053" s="418"/>
      <c r="U1053" s="418"/>
      <c r="V1053" s="418"/>
      <c r="W1053" s="418"/>
      <c r="X1053" s="418"/>
      <c r="Y1053" s="418"/>
      <c r="Z1053" s="418"/>
      <c r="AA1053" s="418"/>
      <c r="AB1053" s="418"/>
      <c r="AC1053" s="418"/>
      <c r="AD1053" s="418"/>
      <c r="AE1053" s="418"/>
      <c r="AF1053" s="418"/>
      <c r="AG1053" s="418"/>
      <c r="AH1053" s="418"/>
      <c r="AI1053" s="418"/>
      <c r="AJ1053" s="418"/>
      <c r="AK1053" s="418"/>
      <c r="AL1053" s="419"/>
      <c r="AM1053" s="418"/>
      <c r="AN1053" s="423"/>
      <c r="AO1053" s="423"/>
      <c r="AP1053" s="423"/>
      <c r="AQ1053" s="423"/>
      <c r="AR1053" s="423"/>
      <c r="AS1053" s="423"/>
      <c r="AT1053" s="423"/>
      <c r="AU1053" s="423"/>
      <c r="AV1053" s="423"/>
      <c r="AW1053" s="418"/>
      <c r="AX1053" s="418"/>
      <c r="AY1053" s="418"/>
      <c r="AZ1053" s="418"/>
      <c r="BA1053" s="418"/>
      <c r="BB1053" s="306"/>
    </row>
    <row r="1054" spans="1:54" ht="15.75" customHeight="1">
      <c r="A1054" s="415"/>
      <c r="B1054" s="416"/>
      <c r="C1054" s="417"/>
      <c r="D1054" s="418"/>
      <c r="E1054" s="418"/>
      <c r="F1054" s="419"/>
      <c r="G1054" s="420"/>
      <c r="H1054" s="421"/>
      <c r="I1054" s="421"/>
      <c r="J1054" s="422"/>
      <c r="K1054" s="418"/>
      <c r="L1054" s="418"/>
      <c r="M1054" s="418"/>
      <c r="N1054" s="421"/>
      <c r="O1054" s="421"/>
      <c r="P1054" s="421"/>
      <c r="Q1054" s="418"/>
      <c r="R1054" s="1022"/>
      <c r="S1054" s="1022"/>
      <c r="T1054" s="418"/>
      <c r="U1054" s="418"/>
      <c r="V1054" s="418"/>
      <c r="W1054" s="418"/>
      <c r="X1054" s="418"/>
      <c r="Y1054" s="418"/>
      <c r="Z1054" s="418"/>
      <c r="AA1054" s="418"/>
      <c r="AB1054" s="418"/>
      <c r="AC1054" s="418"/>
      <c r="AD1054" s="418"/>
      <c r="AE1054" s="418"/>
      <c r="AF1054" s="418"/>
      <c r="AG1054" s="418"/>
      <c r="AH1054" s="418"/>
      <c r="AI1054" s="418"/>
      <c r="AJ1054" s="418"/>
      <c r="AK1054" s="418"/>
      <c r="AL1054" s="419"/>
      <c r="AM1054" s="418"/>
      <c r="AN1054" s="423"/>
      <c r="AO1054" s="423"/>
      <c r="AP1054" s="423"/>
      <c r="AQ1054" s="423"/>
      <c r="AR1054" s="423"/>
      <c r="AS1054" s="423"/>
      <c r="AT1054" s="423"/>
      <c r="AU1054" s="423"/>
      <c r="AV1054" s="423"/>
      <c r="AW1054" s="418"/>
      <c r="AX1054" s="418"/>
      <c r="AY1054" s="418"/>
      <c r="AZ1054" s="418"/>
      <c r="BA1054" s="418"/>
      <c r="BB1054" s="306"/>
    </row>
    <row r="1055" spans="1:54" ht="15.75" customHeight="1">
      <c r="A1055" s="415"/>
      <c r="B1055" s="416"/>
      <c r="C1055" s="417"/>
      <c r="D1055" s="418"/>
      <c r="E1055" s="418"/>
      <c r="F1055" s="419"/>
      <c r="G1055" s="420"/>
      <c r="H1055" s="421"/>
      <c r="I1055" s="421"/>
      <c r="J1055" s="422"/>
      <c r="K1055" s="418"/>
      <c r="L1055" s="418"/>
      <c r="M1055" s="418"/>
      <c r="N1055" s="421"/>
      <c r="O1055" s="421"/>
      <c r="P1055" s="421"/>
      <c r="Q1055" s="418"/>
      <c r="R1055" s="1022"/>
      <c r="S1055" s="1022"/>
      <c r="T1055" s="418"/>
      <c r="U1055" s="418"/>
      <c r="V1055" s="418"/>
      <c r="W1055" s="418"/>
      <c r="X1055" s="418"/>
      <c r="Y1055" s="418"/>
      <c r="Z1055" s="418"/>
      <c r="AA1055" s="418"/>
      <c r="AB1055" s="418"/>
      <c r="AC1055" s="418"/>
      <c r="AD1055" s="418"/>
      <c r="AE1055" s="418"/>
      <c r="AF1055" s="418"/>
      <c r="AG1055" s="418"/>
      <c r="AH1055" s="418"/>
      <c r="AI1055" s="418"/>
      <c r="AJ1055" s="418"/>
      <c r="AK1055" s="418"/>
      <c r="AL1055" s="418"/>
      <c r="AM1055" s="418"/>
      <c r="AN1055" s="423"/>
      <c r="AO1055" s="423"/>
      <c r="AP1055" s="423"/>
      <c r="AQ1055" s="423"/>
      <c r="AR1055" s="423"/>
      <c r="AS1055" s="423"/>
      <c r="AT1055" s="423"/>
      <c r="AU1055" s="423"/>
      <c r="AV1055" s="423"/>
      <c r="AW1055" s="418"/>
      <c r="AX1055" s="418"/>
      <c r="AY1055" s="418"/>
      <c r="AZ1055" s="418"/>
      <c r="BA1055" s="418"/>
      <c r="BB1055" s="306"/>
    </row>
    <row r="1056" spans="1:54" ht="15.75" customHeight="1">
      <c r="A1056" s="415"/>
      <c r="B1056" s="416"/>
      <c r="C1056" s="417"/>
      <c r="D1056" s="418"/>
      <c r="E1056" s="418"/>
      <c r="F1056" s="419"/>
      <c r="G1056" s="420"/>
      <c r="H1056" s="421"/>
      <c r="I1056" s="421"/>
      <c r="J1056" s="422"/>
      <c r="K1056" s="418"/>
      <c r="L1056" s="418"/>
      <c r="M1056" s="418"/>
      <c r="N1056" s="421"/>
      <c r="O1056" s="421"/>
      <c r="P1056" s="421"/>
      <c r="Q1056" s="418"/>
      <c r="R1056" s="1022"/>
      <c r="S1056" s="1022"/>
      <c r="T1056" s="418"/>
      <c r="U1056" s="418"/>
      <c r="V1056" s="418"/>
      <c r="W1056" s="418"/>
      <c r="X1056" s="418"/>
      <c r="Y1056" s="418"/>
      <c r="Z1056" s="418"/>
      <c r="AA1056" s="418"/>
      <c r="AB1056" s="418"/>
      <c r="AC1056" s="418"/>
      <c r="AD1056" s="418"/>
      <c r="AE1056" s="418"/>
      <c r="AF1056" s="418"/>
      <c r="AG1056" s="418"/>
      <c r="AH1056" s="418"/>
      <c r="AI1056" s="418"/>
      <c r="AJ1056" s="418"/>
      <c r="AK1056" s="418"/>
      <c r="AL1056" s="418"/>
      <c r="AM1056" s="418"/>
      <c r="AN1056" s="423"/>
      <c r="AO1056" s="423"/>
      <c r="AP1056" s="423"/>
      <c r="AQ1056" s="423"/>
      <c r="AR1056" s="423"/>
      <c r="AS1056" s="423"/>
      <c r="AT1056" s="423"/>
      <c r="AU1056" s="423"/>
      <c r="AV1056" s="423"/>
      <c r="AW1056" s="419"/>
      <c r="AX1056" s="419"/>
      <c r="AY1056" s="419"/>
      <c r="AZ1056" s="419"/>
      <c r="BA1056" s="419"/>
      <c r="BB1056" s="306"/>
    </row>
    <row r="1057" spans="1:54" ht="15.75" customHeight="1">
      <c r="A1057" s="415"/>
      <c r="B1057" s="416"/>
      <c r="C1057" s="417"/>
      <c r="D1057" s="418"/>
      <c r="E1057" s="418"/>
      <c r="F1057" s="419"/>
      <c r="G1057" s="420"/>
      <c r="H1057" s="421"/>
      <c r="I1057" s="421"/>
      <c r="J1057" s="422"/>
      <c r="K1057" s="418"/>
      <c r="L1057" s="418"/>
      <c r="M1057" s="418"/>
      <c r="N1057" s="421"/>
      <c r="O1057" s="418"/>
      <c r="P1057" s="421"/>
      <c r="Q1057" s="418"/>
      <c r="R1057" s="1022"/>
      <c r="S1057" s="1022"/>
      <c r="T1057" s="418"/>
      <c r="U1057" s="418"/>
      <c r="V1057" s="418"/>
      <c r="W1057" s="418"/>
      <c r="X1057" s="418"/>
      <c r="Y1057" s="418"/>
      <c r="Z1057" s="418"/>
      <c r="AA1057" s="418"/>
      <c r="AB1057" s="418"/>
      <c r="AC1057" s="418"/>
      <c r="AD1057" s="418"/>
      <c r="AE1057" s="418"/>
      <c r="AF1057" s="418"/>
      <c r="AG1057" s="418"/>
      <c r="AH1057" s="418"/>
      <c r="AI1057" s="418"/>
      <c r="AJ1057" s="418"/>
      <c r="AK1057" s="418"/>
      <c r="AL1057" s="418"/>
      <c r="AM1057" s="418"/>
      <c r="AN1057" s="423"/>
      <c r="AO1057" s="423"/>
      <c r="AP1057" s="423"/>
      <c r="AQ1057" s="423"/>
      <c r="AR1057" s="423"/>
      <c r="AS1057" s="423"/>
      <c r="AT1057" s="423"/>
      <c r="AU1057" s="423"/>
      <c r="AV1057" s="423"/>
      <c r="AW1057" s="419"/>
      <c r="AX1057" s="419"/>
      <c r="AY1057" s="419"/>
      <c r="AZ1057" s="419"/>
      <c r="BA1057" s="419"/>
      <c r="BB1057" s="306"/>
    </row>
    <row r="1058" spans="1:54" ht="15.75" customHeight="1">
      <c r="A1058" s="415"/>
      <c r="B1058" s="416"/>
      <c r="C1058" s="417"/>
      <c r="D1058" s="418"/>
      <c r="E1058" s="418"/>
      <c r="F1058" s="419"/>
      <c r="G1058" s="420"/>
      <c r="H1058" s="421"/>
      <c r="I1058" s="421"/>
      <c r="J1058" s="422"/>
      <c r="K1058" s="418"/>
      <c r="L1058" s="418"/>
      <c r="M1058" s="418"/>
      <c r="N1058" s="421"/>
      <c r="O1058" s="421"/>
      <c r="P1058" s="421"/>
      <c r="Q1058" s="418"/>
      <c r="R1058" s="1022"/>
      <c r="S1058" s="1022"/>
      <c r="T1058" s="418"/>
      <c r="U1058" s="418"/>
      <c r="V1058" s="418"/>
      <c r="W1058" s="418"/>
      <c r="X1058" s="418"/>
      <c r="Y1058" s="418"/>
      <c r="Z1058" s="418"/>
      <c r="AA1058" s="418"/>
      <c r="AB1058" s="418"/>
      <c r="AC1058" s="418"/>
      <c r="AD1058" s="418"/>
      <c r="AE1058" s="418"/>
      <c r="AF1058" s="418"/>
      <c r="AG1058" s="418"/>
      <c r="AH1058" s="418"/>
      <c r="AI1058" s="418"/>
      <c r="AJ1058" s="418"/>
      <c r="AK1058" s="418"/>
      <c r="AL1058" s="419"/>
      <c r="AM1058" s="418"/>
      <c r="AN1058" s="423"/>
      <c r="AO1058" s="423"/>
      <c r="AP1058" s="423"/>
      <c r="AQ1058" s="423"/>
      <c r="AR1058" s="423"/>
      <c r="AS1058" s="423"/>
      <c r="AT1058" s="423"/>
      <c r="AU1058" s="423"/>
      <c r="AV1058" s="423"/>
      <c r="AW1058" s="419"/>
      <c r="AX1058" s="419"/>
      <c r="AY1058" s="419"/>
      <c r="AZ1058" s="419"/>
      <c r="BA1058" s="419"/>
      <c r="BB1058" s="306"/>
    </row>
    <row r="1059" spans="1:54" ht="15.75" customHeight="1">
      <c r="A1059" s="415"/>
      <c r="B1059" s="416"/>
      <c r="C1059" s="417"/>
      <c r="D1059" s="418"/>
      <c r="E1059" s="418"/>
      <c r="F1059" s="419"/>
      <c r="G1059" s="420"/>
      <c r="H1059" s="421"/>
      <c r="I1059" s="421"/>
      <c r="J1059" s="422"/>
      <c r="K1059" s="418"/>
      <c r="L1059" s="418"/>
      <c r="M1059" s="418"/>
      <c r="N1059" s="421"/>
      <c r="O1059" s="421"/>
      <c r="P1059" s="421"/>
      <c r="Q1059" s="418"/>
      <c r="R1059" s="1022"/>
      <c r="S1059" s="1022"/>
      <c r="T1059" s="418"/>
      <c r="U1059" s="418"/>
      <c r="V1059" s="418"/>
      <c r="W1059" s="418"/>
      <c r="X1059" s="418"/>
      <c r="Y1059" s="418"/>
      <c r="Z1059" s="418"/>
      <c r="AA1059" s="418"/>
      <c r="AB1059" s="418"/>
      <c r="AC1059" s="418"/>
      <c r="AD1059" s="418"/>
      <c r="AE1059" s="418"/>
      <c r="AF1059" s="418"/>
      <c r="AG1059" s="418"/>
      <c r="AH1059" s="418"/>
      <c r="AI1059" s="418"/>
      <c r="AJ1059" s="418"/>
      <c r="AK1059" s="418"/>
      <c r="AL1059" s="419"/>
      <c r="AM1059" s="418"/>
      <c r="AN1059" s="423"/>
      <c r="AO1059" s="423"/>
      <c r="AP1059" s="423"/>
      <c r="AQ1059" s="423"/>
      <c r="AR1059" s="423"/>
      <c r="AS1059" s="423"/>
      <c r="AT1059" s="423"/>
      <c r="AU1059" s="423"/>
      <c r="AV1059" s="423"/>
      <c r="AW1059" s="419"/>
      <c r="AX1059" s="419"/>
      <c r="AY1059" s="419"/>
      <c r="AZ1059" s="419"/>
      <c r="BA1059" s="419"/>
      <c r="BB1059" s="306"/>
    </row>
    <row r="1060" spans="1:54" ht="15.75" customHeight="1">
      <c r="A1060" s="415"/>
      <c r="B1060" s="416"/>
      <c r="C1060" s="417"/>
      <c r="D1060" s="418"/>
      <c r="E1060" s="418"/>
      <c r="F1060" s="419"/>
      <c r="G1060" s="420"/>
      <c r="H1060" s="421"/>
      <c r="I1060" s="421"/>
      <c r="J1060" s="422"/>
      <c r="K1060" s="418"/>
      <c r="L1060" s="418"/>
      <c r="M1060" s="418"/>
      <c r="N1060" s="421"/>
      <c r="O1060" s="421"/>
      <c r="P1060" s="421"/>
      <c r="Q1060" s="418"/>
      <c r="R1060" s="1022"/>
      <c r="S1060" s="1022"/>
      <c r="T1060" s="418"/>
      <c r="U1060" s="418"/>
      <c r="V1060" s="418"/>
      <c r="W1060" s="418"/>
      <c r="X1060" s="418"/>
      <c r="Y1060" s="418"/>
      <c r="Z1060" s="418"/>
      <c r="AA1060" s="418"/>
      <c r="AB1060" s="418"/>
      <c r="AC1060" s="418"/>
      <c r="AD1060" s="418"/>
      <c r="AE1060" s="418"/>
      <c r="AF1060" s="418"/>
      <c r="AG1060" s="418"/>
      <c r="AH1060" s="418"/>
      <c r="AI1060" s="418"/>
      <c r="AJ1060" s="418"/>
      <c r="AK1060" s="418"/>
      <c r="AL1060" s="419"/>
      <c r="AM1060" s="418"/>
      <c r="AN1060" s="423"/>
      <c r="AO1060" s="423"/>
      <c r="AP1060" s="423"/>
      <c r="AQ1060" s="423"/>
      <c r="AR1060" s="423"/>
      <c r="AS1060" s="423"/>
      <c r="AT1060" s="423"/>
      <c r="AU1060" s="423"/>
      <c r="AV1060" s="423"/>
      <c r="AW1060" s="419"/>
      <c r="AX1060" s="419"/>
      <c r="AY1060" s="419"/>
      <c r="AZ1060" s="419"/>
      <c r="BA1060" s="419"/>
      <c r="BB1060" s="306"/>
    </row>
    <row r="1061" spans="1:54" ht="15.75" customHeight="1">
      <c r="A1061" s="415"/>
      <c r="B1061" s="416"/>
      <c r="C1061" s="417"/>
      <c r="D1061" s="418"/>
      <c r="E1061" s="418"/>
      <c r="F1061" s="419"/>
      <c r="G1061" s="420"/>
      <c r="H1061" s="421"/>
      <c r="I1061" s="421"/>
      <c r="J1061" s="422"/>
      <c r="K1061" s="418"/>
      <c r="L1061" s="418"/>
      <c r="M1061" s="418"/>
      <c r="N1061" s="421"/>
      <c r="O1061" s="421"/>
      <c r="P1061" s="421"/>
      <c r="Q1061" s="418"/>
      <c r="R1061" s="1022"/>
      <c r="S1061" s="1022"/>
      <c r="T1061" s="418"/>
      <c r="U1061" s="418"/>
      <c r="V1061" s="418"/>
      <c r="W1061" s="418"/>
      <c r="X1061" s="418"/>
      <c r="Y1061" s="418"/>
      <c r="Z1061" s="418"/>
      <c r="AA1061" s="418"/>
      <c r="AB1061" s="418"/>
      <c r="AC1061" s="418"/>
      <c r="AD1061" s="418"/>
      <c r="AE1061" s="418"/>
      <c r="AF1061" s="418"/>
      <c r="AG1061" s="418"/>
      <c r="AH1061" s="418"/>
      <c r="AI1061" s="418"/>
      <c r="AJ1061" s="418"/>
      <c r="AK1061" s="418"/>
      <c r="AL1061" s="419"/>
      <c r="AM1061" s="418"/>
      <c r="AN1061" s="423"/>
      <c r="AO1061" s="423"/>
      <c r="AP1061" s="423"/>
      <c r="AQ1061" s="423"/>
      <c r="AR1061" s="423"/>
      <c r="AS1061" s="423"/>
      <c r="AT1061" s="423"/>
      <c r="AU1061" s="423"/>
      <c r="AV1061" s="423"/>
      <c r="AW1061" s="419"/>
      <c r="AX1061" s="419"/>
      <c r="AY1061" s="419"/>
      <c r="AZ1061" s="419"/>
      <c r="BA1061" s="419"/>
      <c r="BB1061" s="306"/>
    </row>
    <row r="1062" spans="1:54" ht="15.75" customHeight="1">
      <c r="A1062" s="415"/>
      <c r="B1062" s="416"/>
      <c r="C1062" s="417"/>
      <c r="D1062" s="418"/>
      <c r="E1062" s="418"/>
      <c r="F1062" s="419"/>
      <c r="G1062" s="420"/>
      <c r="H1062" s="421"/>
      <c r="I1062" s="421"/>
      <c r="J1062" s="422"/>
      <c r="K1062" s="418"/>
      <c r="L1062" s="418"/>
      <c r="M1062" s="418"/>
      <c r="N1062" s="421"/>
      <c r="O1062" s="421"/>
      <c r="P1062" s="421"/>
      <c r="Q1062" s="418"/>
      <c r="R1062" s="1022"/>
      <c r="S1062" s="1022"/>
      <c r="T1062" s="418"/>
      <c r="U1062" s="418"/>
      <c r="V1062" s="418"/>
      <c r="W1062" s="418"/>
      <c r="X1062" s="418"/>
      <c r="Y1062" s="418"/>
      <c r="Z1062" s="418"/>
      <c r="AA1062" s="418"/>
      <c r="AB1062" s="418"/>
      <c r="AC1062" s="418"/>
      <c r="AD1062" s="418"/>
      <c r="AE1062" s="418"/>
      <c r="AF1062" s="418"/>
      <c r="AG1062" s="418"/>
      <c r="AH1062" s="418"/>
      <c r="AI1062" s="418"/>
      <c r="AJ1062" s="418"/>
      <c r="AK1062" s="418"/>
      <c r="AL1062" s="419"/>
      <c r="AM1062" s="418"/>
      <c r="AN1062" s="423"/>
      <c r="AO1062" s="423"/>
      <c r="AP1062" s="423"/>
      <c r="AQ1062" s="423"/>
      <c r="AR1062" s="423"/>
      <c r="AS1062" s="423"/>
      <c r="AT1062" s="423"/>
      <c r="AU1062" s="423"/>
      <c r="AV1062" s="423"/>
      <c r="AW1062" s="419"/>
      <c r="AX1062" s="419"/>
      <c r="AY1062" s="419"/>
      <c r="AZ1062" s="419"/>
      <c r="BA1062" s="419"/>
      <c r="BB1062" s="306"/>
    </row>
    <row r="1063" spans="1:54" ht="15.75" customHeight="1">
      <c r="A1063" s="415"/>
      <c r="B1063" s="416"/>
      <c r="C1063" s="417"/>
      <c r="D1063" s="418"/>
      <c r="E1063" s="418"/>
      <c r="F1063" s="419"/>
      <c r="G1063" s="420"/>
      <c r="H1063" s="421"/>
      <c r="I1063" s="421"/>
      <c r="J1063" s="422"/>
      <c r="K1063" s="418"/>
      <c r="L1063" s="418"/>
      <c r="M1063" s="418"/>
      <c r="N1063" s="421"/>
      <c r="O1063" s="421"/>
      <c r="P1063" s="421"/>
      <c r="Q1063" s="418"/>
      <c r="R1063" s="1022"/>
      <c r="S1063" s="1022"/>
      <c r="T1063" s="418"/>
      <c r="U1063" s="418"/>
      <c r="V1063" s="418"/>
      <c r="W1063" s="418"/>
      <c r="X1063" s="418"/>
      <c r="Y1063" s="418"/>
      <c r="Z1063" s="418"/>
      <c r="AA1063" s="418"/>
      <c r="AB1063" s="418"/>
      <c r="AC1063" s="418"/>
      <c r="AD1063" s="418"/>
      <c r="AE1063" s="418"/>
      <c r="AF1063" s="418"/>
      <c r="AG1063" s="418"/>
      <c r="AH1063" s="418"/>
      <c r="AI1063" s="418"/>
      <c r="AJ1063" s="418"/>
      <c r="AK1063" s="418"/>
      <c r="AL1063" s="419"/>
      <c r="AM1063" s="418"/>
      <c r="AN1063" s="423"/>
      <c r="AO1063" s="423"/>
      <c r="AP1063" s="423"/>
      <c r="AQ1063" s="423"/>
      <c r="AR1063" s="423"/>
      <c r="AS1063" s="423"/>
      <c r="AT1063" s="423"/>
      <c r="AU1063" s="423"/>
      <c r="AV1063" s="423"/>
      <c r="AW1063" s="418"/>
      <c r="AX1063" s="418"/>
      <c r="AY1063" s="418"/>
      <c r="AZ1063" s="418"/>
      <c r="BA1063" s="418"/>
      <c r="BB1063" s="306"/>
    </row>
    <row r="1064" spans="1:54" ht="15.75" customHeight="1">
      <c r="A1064" s="415"/>
      <c r="B1064" s="416"/>
      <c r="C1064" s="417"/>
      <c r="D1064" s="418"/>
      <c r="E1064" s="418"/>
      <c r="F1064" s="419"/>
      <c r="G1064" s="420"/>
      <c r="H1064" s="421"/>
      <c r="I1064" s="421"/>
      <c r="J1064" s="422"/>
      <c r="K1064" s="418"/>
      <c r="L1064" s="418"/>
      <c r="M1064" s="418"/>
      <c r="N1064" s="421"/>
      <c r="O1064" s="421"/>
      <c r="P1064" s="421"/>
      <c r="Q1064" s="418"/>
      <c r="R1064" s="1022"/>
      <c r="S1064" s="1022"/>
      <c r="T1064" s="418"/>
      <c r="U1064" s="418"/>
      <c r="V1064" s="418"/>
      <c r="W1064" s="418"/>
      <c r="X1064" s="418"/>
      <c r="Y1064" s="418"/>
      <c r="Z1064" s="418"/>
      <c r="AA1064" s="418"/>
      <c r="AB1064" s="418"/>
      <c r="AC1064" s="418"/>
      <c r="AD1064" s="418"/>
      <c r="AE1064" s="418"/>
      <c r="AF1064" s="418"/>
      <c r="AG1064" s="418"/>
      <c r="AH1064" s="418"/>
      <c r="AI1064" s="418"/>
      <c r="AJ1064" s="418"/>
      <c r="AK1064" s="418"/>
      <c r="AL1064" s="419"/>
      <c r="AM1064" s="418"/>
      <c r="AN1064" s="423"/>
      <c r="AO1064" s="423"/>
      <c r="AP1064" s="423"/>
      <c r="AQ1064" s="423"/>
      <c r="AR1064" s="423"/>
      <c r="AS1064" s="423"/>
      <c r="AT1064" s="423"/>
      <c r="AU1064" s="423"/>
      <c r="AV1064" s="423"/>
      <c r="AW1064" s="418"/>
      <c r="AX1064" s="418"/>
      <c r="AY1064" s="418"/>
      <c r="AZ1064" s="418"/>
      <c r="BA1064" s="418"/>
      <c r="BB1064" s="306"/>
    </row>
    <row r="1065" spans="1:54" ht="15.75" customHeight="1">
      <c r="A1065" s="415"/>
      <c r="B1065" s="416"/>
      <c r="C1065" s="417"/>
      <c r="D1065" s="418"/>
      <c r="E1065" s="418"/>
      <c r="F1065" s="419"/>
      <c r="G1065" s="420"/>
      <c r="H1065" s="421"/>
      <c r="I1065" s="421"/>
      <c r="J1065" s="422"/>
      <c r="K1065" s="418"/>
      <c r="L1065" s="418"/>
      <c r="M1065" s="418"/>
      <c r="N1065" s="421"/>
      <c r="O1065" s="421"/>
      <c r="P1065" s="421"/>
      <c r="Q1065" s="418"/>
      <c r="R1065" s="1022"/>
      <c r="S1065" s="1022"/>
      <c r="T1065" s="418"/>
      <c r="U1065" s="418"/>
      <c r="V1065" s="418"/>
      <c r="W1065" s="418"/>
      <c r="X1065" s="418"/>
      <c r="Y1065" s="418"/>
      <c r="Z1065" s="418"/>
      <c r="AA1065" s="418"/>
      <c r="AB1065" s="418"/>
      <c r="AC1065" s="418"/>
      <c r="AD1065" s="418"/>
      <c r="AE1065" s="418"/>
      <c r="AF1065" s="418"/>
      <c r="AG1065" s="418"/>
      <c r="AH1065" s="418"/>
      <c r="AI1065" s="418"/>
      <c r="AJ1065" s="418"/>
      <c r="AK1065" s="418"/>
      <c r="AL1065" s="418"/>
      <c r="AM1065" s="418"/>
      <c r="AN1065" s="423"/>
      <c r="AO1065" s="423"/>
      <c r="AP1065" s="423"/>
      <c r="AQ1065" s="423"/>
      <c r="AR1065" s="423"/>
      <c r="AS1065" s="423"/>
      <c r="AT1065" s="423"/>
      <c r="AU1065" s="423"/>
      <c r="AV1065" s="423"/>
      <c r="AW1065" s="418"/>
      <c r="AX1065" s="418"/>
      <c r="AY1065" s="418"/>
      <c r="AZ1065" s="418"/>
      <c r="BA1065" s="418"/>
      <c r="BB1065" s="306"/>
    </row>
    <row r="1066" spans="1:54" ht="15.75" customHeight="1">
      <c r="A1066" s="415"/>
      <c r="B1066" s="416"/>
      <c r="C1066" s="417"/>
      <c r="D1066" s="418"/>
      <c r="E1066" s="418"/>
      <c r="F1066" s="419"/>
      <c r="G1066" s="420"/>
      <c r="H1066" s="421"/>
      <c r="I1066" s="421"/>
      <c r="J1066" s="422"/>
      <c r="K1066" s="418"/>
      <c r="L1066" s="418"/>
      <c r="M1066" s="418"/>
      <c r="N1066" s="421"/>
      <c r="O1066" s="421"/>
      <c r="P1066" s="421"/>
      <c r="Q1066" s="418"/>
      <c r="R1066" s="1022"/>
      <c r="S1066" s="1022"/>
      <c r="T1066" s="418"/>
      <c r="U1066" s="418"/>
      <c r="V1066" s="418"/>
      <c r="W1066" s="418"/>
      <c r="X1066" s="418"/>
      <c r="Y1066" s="418"/>
      <c r="Z1066" s="418"/>
      <c r="AA1066" s="418"/>
      <c r="AB1066" s="418"/>
      <c r="AC1066" s="418"/>
      <c r="AD1066" s="418"/>
      <c r="AE1066" s="418"/>
      <c r="AF1066" s="418"/>
      <c r="AG1066" s="418"/>
      <c r="AH1066" s="418"/>
      <c r="AI1066" s="418"/>
      <c r="AJ1066" s="418"/>
      <c r="AK1066" s="418"/>
      <c r="AL1066" s="418"/>
      <c r="AM1066" s="418"/>
      <c r="AN1066" s="423"/>
      <c r="AO1066" s="423"/>
      <c r="AP1066" s="423"/>
      <c r="AQ1066" s="423"/>
      <c r="AR1066" s="423"/>
      <c r="AS1066" s="423"/>
      <c r="AT1066" s="423"/>
      <c r="AU1066" s="423"/>
      <c r="AV1066" s="423"/>
      <c r="AW1066" s="418"/>
      <c r="AX1066" s="418"/>
      <c r="AY1066" s="418"/>
      <c r="AZ1066" s="418"/>
      <c r="BA1066" s="418"/>
      <c r="BB1066" s="306"/>
    </row>
    <row r="1067" spans="1:54" ht="15.75" customHeight="1">
      <c r="A1067" s="415"/>
      <c r="B1067" s="416"/>
      <c r="C1067" s="417"/>
      <c r="D1067" s="418"/>
      <c r="E1067" s="418"/>
      <c r="F1067" s="419"/>
      <c r="G1067" s="420"/>
      <c r="H1067" s="421"/>
      <c r="I1067" s="421"/>
      <c r="J1067" s="422"/>
      <c r="K1067" s="418"/>
      <c r="L1067" s="418"/>
      <c r="M1067" s="418"/>
      <c r="N1067" s="421"/>
      <c r="O1067" s="421"/>
      <c r="P1067" s="421"/>
      <c r="Q1067" s="418"/>
      <c r="R1067" s="1022"/>
      <c r="S1067" s="1022"/>
      <c r="T1067" s="418"/>
      <c r="U1067" s="418"/>
      <c r="V1067" s="418"/>
      <c r="W1067" s="418"/>
      <c r="X1067" s="418"/>
      <c r="Y1067" s="418"/>
      <c r="Z1067" s="418"/>
      <c r="AA1067" s="418"/>
      <c r="AB1067" s="418"/>
      <c r="AC1067" s="418"/>
      <c r="AD1067" s="418"/>
      <c r="AE1067" s="418"/>
      <c r="AF1067" s="418"/>
      <c r="AG1067" s="418"/>
      <c r="AH1067" s="418"/>
      <c r="AI1067" s="418"/>
      <c r="AJ1067" s="418"/>
      <c r="AK1067" s="418"/>
      <c r="AL1067" s="418"/>
      <c r="AM1067" s="418"/>
      <c r="AN1067" s="423"/>
      <c r="AO1067" s="423"/>
      <c r="AP1067" s="423"/>
      <c r="AQ1067" s="423"/>
      <c r="AR1067" s="423"/>
      <c r="AS1067" s="423"/>
      <c r="AT1067" s="423"/>
      <c r="AU1067" s="423"/>
      <c r="AV1067" s="423"/>
      <c r="AW1067" s="418"/>
      <c r="AX1067" s="418"/>
      <c r="AY1067" s="418"/>
      <c r="AZ1067" s="418"/>
      <c r="BA1067" s="418"/>
      <c r="BB1067" s="306"/>
    </row>
    <row r="1068" spans="1:54" ht="15.75" customHeight="1">
      <c r="A1068" s="415"/>
      <c r="B1068" s="416"/>
      <c r="C1068" s="417"/>
      <c r="D1068" s="418"/>
      <c r="E1068" s="418"/>
      <c r="F1068" s="419"/>
      <c r="G1068" s="420"/>
      <c r="H1068" s="421"/>
      <c r="I1068" s="425"/>
      <c r="J1068" s="422"/>
      <c r="K1068" s="418"/>
      <c r="L1068" s="418"/>
      <c r="M1068" s="418"/>
      <c r="N1068" s="421"/>
      <c r="O1068" s="421"/>
      <c r="P1068" s="421"/>
      <c r="Q1068" s="418"/>
      <c r="R1068" s="1022"/>
      <c r="S1068" s="1022"/>
      <c r="T1068" s="418"/>
      <c r="U1068" s="418"/>
      <c r="V1068" s="418"/>
      <c r="W1068" s="418"/>
      <c r="X1068" s="418"/>
      <c r="Y1068" s="418"/>
      <c r="Z1068" s="418"/>
      <c r="AA1068" s="418"/>
      <c r="AB1068" s="418"/>
      <c r="AC1068" s="418"/>
      <c r="AD1068" s="418"/>
      <c r="AE1068" s="418"/>
      <c r="AF1068" s="418"/>
      <c r="AG1068" s="418"/>
      <c r="AH1068" s="418"/>
      <c r="AI1068" s="418"/>
      <c r="AJ1068" s="418"/>
      <c r="AK1068" s="418"/>
      <c r="AL1068" s="418"/>
      <c r="AM1068" s="418"/>
      <c r="AN1068" s="423"/>
      <c r="AO1068" s="423"/>
      <c r="AP1068" s="423"/>
      <c r="AQ1068" s="423"/>
      <c r="AR1068" s="423"/>
      <c r="AS1068" s="423"/>
      <c r="AT1068" s="423"/>
      <c r="AU1068" s="423"/>
      <c r="AV1068" s="423"/>
      <c r="AW1068" s="418"/>
      <c r="AX1068" s="418"/>
      <c r="AY1068" s="418"/>
      <c r="AZ1068" s="418"/>
      <c r="BA1068" s="418"/>
      <c r="BB1068" s="306"/>
    </row>
    <row r="1069" spans="1:54" ht="15.75" customHeight="1">
      <c r="A1069" s="415"/>
      <c r="B1069" s="416"/>
      <c r="C1069" s="417"/>
      <c r="D1069" s="418"/>
      <c r="E1069" s="418"/>
      <c r="F1069" s="419"/>
      <c r="G1069" s="420"/>
      <c r="H1069" s="421"/>
      <c r="I1069" s="421"/>
      <c r="J1069" s="422"/>
      <c r="K1069" s="418"/>
      <c r="L1069" s="418"/>
      <c r="M1069" s="418"/>
      <c r="N1069" s="421"/>
      <c r="O1069" s="421"/>
      <c r="P1069" s="421"/>
      <c r="Q1069" s="418"/>
      <c r="R1069" s="1022"/>
      <c r="S1069" s="1022"/>
      <c r="T1069" s="418"/>
      <c r="U1069" s="418"/>
      <c r="V1069" s="418"/>
      <c r="W1069" s="418"/>
      <c r="X1069" s="418"/>
      <c r="Y1069" s="418"/>
      <c r="Z1069" s="418"/>
      <c r="AA1069" s="418"/>
      <c r="AB1069" s="418"/>
      <c r="AC1069" s="418"/>
      <c r="AD1069" s="418"/>
      <c r="AE1069" s="418"/>
      <c r="AF1069" s="418"/>
      <c r="AG1069" s="418"/>
      <c r="AH1069" s="418"/>
      <c r="AI1069" s="418"/>
      <c r="AJ1069" s="418"/>
      <c r="AK1069" s="418"/>
      <c r="AL1069" s="418"/>
      <c r="AM1069" s="418"/>
      <c r="AN1069" s="423"/>
      <c r="AO1069" s="423"/>
      <c r="AP1069" s="423"/>
      <c r="AQ1069" s="423"/>
      <c r="AR1069" s="423"/>
      <c r="AS1069" s="423"/>
      <c r="AT1069" s="423"/>
      <c r="AU1069" s="423"/>
      <c r="AV1069" s="423"/>
      <c r="AW1069" s="418"/>
      <c r="AX1069" s="418"/>
      <c r="AY1069" s="418"/>
      <c r="AZ1069" s="418"/>
      <c r="BA1069" s="418"/>
      <c r="BB1069" s="306"/>
    </row>
    <row r="1070" spans="1:54" ht="15.75" customHeight="1">
      <c r="A1070" s="415"/>
      <c r="B1070" s="416"/>
      <c r="C1070" s="417"/>
      <c r="D1070" s="418"/>
      <c r="E1070" s="418"/>
      <c r="F1070" s="419"/>
      <c r="G1070" s="420"/>
      <c r="H1070" s="421"/>
      <c r="I1070" s="421"/>
      <c r="J1070" s="422"/>
      <c r="K1070" s="418"/>
      <c r="L1070" s="418"/>
      <c r="M1070" s="418"/>
      <c r="N1070" s="421"/>
      <c r="O1070" s="421"/>
      <c r="P1070" s="421"/>
      <c r="Q1070" s="418"/>
      <c r="R1070" s="1022"/>
      <c r="S1070" s="1022"/>
      <c r="T1070" s="418"/>
      <c r="U1070" s="418"/>
      <c r="V1070" s="418"/>
      <c r="W1070" s="418"/>
      <c r="X1070" s="418"/>
      <c r="Y1070" s="418"/>
      <c r="Z1070" s="418"/>
      <c r="AA1070" s="418"/>
      <c r="AB1070" s="418"/>
      <c r="AC1070" s="418"/>
      <c r="AD1070" s="418"/>
      <c r="AE1070" s="418"/>
      <c r="AF1070" s="418"/>
      <c r="AG1070" s="418"/>
      <c r="AH1070" s="418"/>
      <c r="AI1070" s="418"/>
      <c r="AJ1070" s="418"/>
      <c r="AK1070" s="418"/>
      <c r="AL1070" s="418"/>
      <c r="AM1070" s="418"/>
      <c r="AN1070" s="423"/>
      <c r="AO1070" s="423"/>
      <c r="AP1070" s="423"/>
      <c r="AQ1070" s="423"/>
      <c r="AR1070" s="423"/>
      <c r="AS1070" s="423"/>
      <c r="AT1070" s="423"/>
      <c r="AU1070" s="423"/>
      <c r="AV1070" s="423"/>
      <c r="AW1070" s="418"/>
      <c r="AX1070" s="418"/>
      <c r="AY1070" s="418"/>
      <c r="AZ1070" s="418"/>
      <c r="BA1070" s="418"/>
      <c r="BB1070" s="306"/>
    </row>
    <row r="1071" spans="1:54" ht="15.75" customHeight="1">
      <c r="A1071" s="415"/>
      <c r="B1071" s="416"/>
      <c r="C1071" s="417"/>
      <c r="D1071" s="418"/>
      <c r="E1071" s="418"/>
      <c r="F1071" s="419"/>
      <c r="G1071" s="420"/>
      <c r="H1071" s="421"/>
      <c r="I1071" s="425"/>
      <c r="J1071" s="422"/>
      <c r="K1071" s="418"/>
      <c r="L1071" s="418"/>
      <c r="M1071" s="418"/>
      <c r="N1071" s="421"/>
      <c r="O1071" s="421"/>
      <c r="P1071" s="421"/>
      <c r="Q1071" s="418"/>
      <c r="R1071" s="1022"/>
      <c r="S1071" s="1022"/>
      <c r="T1071" s="418"/>
      <c r="U1071" s="418"/>
      <c r="V1071" s="418"/>
      <c r="W1071" s="418"/>
      <c r="X1071" s="418"/>
      <c r="Y1071" s="418"/>
      <c r="Z1071" s="418"/>
      <c r="AA1071" s="418"/>
      <c r="AB1071" s="418"/>
      <c r="AC1071" s="418"/>
      <c r="AD1071" s="418"/>
      <c r="AE1071" s="418"/>
      <c r="AF1071" s="418"/>
      <c r="AG1071" s="418"/>
      <c r="AH1071" s="418"/>
      <c r="AI1071" s="418"/>
      <c r="AJ1071" s="418"/>
      <c r="AK1071" s="418"/>
      <c r="AL1071" s="418"/>
      <c r="AM1071" s="418"/>
      <c r="AN1071" s="423"/>
      <c r="AO1071" s="423"/>
      <c r="AP1071" s="423"/>
      <c r="AQ1071" s="423"/>
      <c r="AR1071" s="423"/>
      <c r="AS1071" s="423"/>
      <c r="AT1071" s="423"/>
      <c r="AU1071" s="423"/>
      <c r="AV1071" s="423"/>
      <c r="AW1071" s="418"/>
      <c r="AX1071" s="418"/>
      <c r="AY1071" s="418"/>
      <c r="AZ1071" s="418"/>
      <c r="BA1071" s="418"/>
      <c r="BB1071" s="306"/>
    </row>
    <row r="1072" spans="1:54" ht="15.75" customHeight="1">
      <c r="A1072" s="415"/>
      <c r="B1072" s="416"/>
      <c r="C1072" s="417"/>
      <c r="D1072" s="418"/>
      <c r="E1072" s="418"/>
      <c r="F1072" s="419"/>
      <c r="G1072" s="420"/>
      <c r="H1072" s="421"/>
      <c r="I1072" s="421"/>
      <c r="J1072" s="422"/>
      <c r="K1072" s="418"/>
      <c r="L1072" s="418"/>
      <c r="M1072" s="418"/>
      <c r="N1072" s="421"/>
      <c r="O1072" s="421"/>
      <c r="P1072" s="421"/>
      <c r="Q1072" s="418"/>
      <c r="R1072" s="1022"/>
      <c r="S1072" s="1022"/>
      <c r="T1072" s="418"/>
      <c r="U1072" s="418"/>
      <c r="V1072" s="418"/>
      <c r="W1072" s="418"/>
      <c r="X1072" s="418"/>
      <c r="Y1072" s="418"/>
      <c r="Z1072" s="418"/>
      <c r="AA1072" s="418"/>
      <c r="AB1072" s="418"/>
      <c r="AC1072" s="418"/>
      <c r="AD1072" s="418"/>
      <c r="AE1072" s="418"/>
      <c r="AF1072" s="418"/>
      <c r="AG1072" s="418"/>
      <c r="AH1072" s="418"/>
      <c r="AI1072" s="418"/>
      <c r="AJ1072" s="418"/>
      <c r="AK1072" s="418"/>
      <c r="AL1072" s="418"/>
      <c r="AM1072" s="418"/>
      <c r="AN1072" s="423"/>
      <c r="AO1072" s="423"/>
      <c r="AP1072" s="423"/>
      <c r="AQ1072" s="423"/>
      <c r="AR1072" s="423"/>
      <c r="AS1072" s="423"/>
      <c r="AT1072" s="423"/>
      <c r="AU1072" s="423"/>
      <c r="AV1072" s="423"/>
      <c r="AW1072" s="418"/>
      <c r="AX1072" s="418"/>
      <c r="AY1072" s="418"/>
      <c r="AZ1072" s="418"/>
      <c r="BA1072" s="418"/>
      <c r="BB1072" s="306"/>
    </row>
    <row r="1073" spans="1:54" ht="15.75" customHeight="1">
      <c r="A1073" s="415"/>
      <c r="B1073" s="416"/>
      <c r="C1073" s="417"/>
      <c r="D1073" s="418"/>
      <c r="E1073" s="418"/>
      <c r="F1073" s="419"/>
      <c r="G1073" s="420"/>
      <c r="H1073" s="421"/>
      <c r="I1073" s="425"/>
      <c r="J1073" s="422"/>
      <c r="K1073" s="418"/>
      <c r="L1073" s="418"/>
      <c r="M1073" s="418"/>
      <c r="N1073" s="421"/>
      <c r="O1073" s="421"/>
      <c r="P1073" s="421"/>
      <c r="Q1073" s="418"/>
      <c r="R1073" s="1022"/>
      <c r="S1073" s="1022"/>
      <c r="T1073" s="418"/>
      <c r="U1073" s="418"/>
      <c r="V1073" s="418"/>
      <c r="W1073" s="418"/>
      <c r="X1073" s="418"/>
      <c r="Y1073" s="418"/>
      <c r="Z1073" s="418"/>
      <c r="AA1073" s="418"/>
      <c r="AB1073" s="418"/>
      <c r="AC1073" s="418"/>
      <c r="AD1073" s="418"/>
      <c r="AE1073" s="418"/>
      <c r="AF1073" s="418"/>
      <c r="AG1073" s="418"/>
      <c r="AH1073" s="418"/>
      <c r="AI1073" s="418"/>
      <c r="AJ1073" s="418"/>
      <c r="AK1073" s="418"/>
      <c r="AL1073" s="418"/>
      <c r="AM1073" s="418"/>
      <c r="AN1073" s="423"/>
      <c r="AO1073" s="423"/>
      <c r="AP1073" s="423"/>
      <c r="AQ1073" s="423"/>
      <c r="AR1073" s="423"/>
      <c r="AS1073" s="423"/>
      <c r="AT1073" s="423"/>
      <c r="AU1073" s="423"/>
      <c r="AV1073" s="423"/>
      <c r="AW1073" s="418"/>
      <c r="AX1073" s="418"/>
      <c r="AY1073" s="418"/>
      <c r="AZ1073" s="418"/>
      <c r="BA1073" s="418"/>
      <c r="BB1073" s="306"/>
    </row>
    <row r="1074" spans="1:54" ht="15.75" customHeight="1">
      <c r="A1074" s="415"/>
      <c r="B1074" s="416"/>
      <c r="C1074" s="417"/>
      <c r="D1074" s="418"/>
      <c r="E1074" s="418"/>
      <c r="F1074" s="419"/>
      <c r="G1074" s="420"/>
      <c r="H1074" s="421"/>
      <c r="I1074" s="421"/>
      <c r="J1074" s="422"/>
      <c r="K1074" s="418"/>
      <c r="L1074" s="418"/>
      <c r="M1074" s="418"/>
      <c r="N1074" s="421"/>
      <c r="O1074" s="421"/>
      <c r="P1074" s="421"/>
      <c r="Q1074" s="418"/>
      <c r="R1074" s="1022"/>
      <c r="S1074" s="1022"/>
      <c r="T1074" s="418"/>
      <c r="U1074" s="418"/>
      <c r="V1074" s="418"/>
      <c r="W1074" s="418"/>
      <c r="X1074" s="418"/>
      <c r="Y1074" s="418"/>
      <c r="Z1074" s="418"/>
      <c r="AA1074" s="418"/>
      <c r="AB1074" s="418"/>
      <c r="AC1074" s="418"/>
      <c r="AD1074" s="418"/>
      <c r="AE1074" s="418"/>
      <c r="AF1074" s="418"/>
      <c r="AG1074" s="418"/>
      <c r="AH1074" s="418"/>
      <c r="AI1074" s="418"/>
      <c r="AJ1074" s="418"/>
      <c r="AK1074" s="418"/>
      <c r="AL1074" s="418"/>
      <c r="AM1074" s="418"/>
      <c r="AN1074" s="423"/>
      <c r="AO1074" s="423"/>
      <c r="AP1074" s="423"/>
      <c r="AQ1074" s="423"/>
      <c r="AR1074" s="423"/>
      <c r="AS1074" s="423"/>
      <c r="AT1074" s="423"/>
      <c r="AU1074" s="423"/>
      <c r="AV1074" s="423"/>
      <c r="AW1074" s="418"/>
      <c r="AX1074" s="418"/>
      <c r="AY1074" s="418"/>
      <c r="AZ1074" s="418"/>
      <c r="BA1074" s="418"/>
      <c r="BB1074" s="306"/>
    </row>
    <row r="1075" spans="1:54" ht="15.75" customHeight="1">
      <c r="A1075" s="415"/>
      <c r="B1075" s="416"/>
      <c r="C1075" s="417"/>
      <c r="D1075" s="418"/>
      <c r="E1075" s="418"/>
      <c r="F1075" s="419"/>
      <c r="G1075" s="420"/>
      <c r="H1075" s="421"/>
      <c r="I1075" s="421"/>
      <c r="J1075" s="422"/>
      <c r="K1075" s="418"/>
      <c r="L1075" s="418"/>
      <c r="M1075" s="418"/>
      <c r="N1075" s="421"/>
      <c r="O1075" s="421"/>
      <c r="P1075" s="421"/>
      <c r="Q1075" s="418"/>
      <c r="R1075" s="1022"/>
      <c r="S1075" s="1022"/>
      <c r="T1075" s="418"/>
      <c r="U1075" s="418"/>
      <c r="V1075" s="418"/>
      <c r="W1075" s="418"/>
      <c r="X1075" s="418"/>
      <c r="Y1075" s="418"/>
      <c r="Z1075" s="418"/>
      <c r="AA1075" s="418"/>
      <c r="AB1075" s="418"/>
      <c r="AC1075" s="418"/>
      <c r="AD1075" s="418"/>
      <c r="AE1075" s="418"/>
      <c r="AF1075" s="418"/>
      <c r="AG1075" s="418"/>
      <c r="AH1075" s="418"/>
      <c r="AI1075" s="418"/>
      <c r="AJ1075" s="418"/>
      <c r="AK1075" s="418"/>
      <c r="AL1075" s="418"/>
      <c r="AM1075" s="418"/>
      <c r="AN1075" s="423"/>
      <c r="AO1075" s="423"/>
      <c r="AP1075" s="423"/>
      <c r="AQ1075" s="423"/>
      <c r="AR1075" s="423"/>
      <c r="AS1075" s="423"/>
      <c r="AT1075" s="423"/>
      <c r="AU1075" s="423"/>
      <c r="AV1075" s="423"/>
      <c r="AW1075" s="418"/>
      <c r="AX1075" s="418"/>
      <c r="AY1075" s="418"/>
      <c r="AZ1075" s="418"/>
      <c r="BA1075" s="418"/>
      <c r="BB1075" s="306"/>
    </row>
    <row r="1076" spans="1:54" ht="15.75" customHeight="1">
      <c r="A1076" s="415"/>
      <c r="B1076" s="416"/>
      <c r="C1076" s="417"/>
      <c r="D1076" s="418"/>
      <c r="E1076" s="418"/>
      <c r="F1076" s="419"/>
      <c r="G1076" s="420"/>
      <c r="H1076" s="421"/>
      <c r="I1076" s="421"/>
      <c r="J1076" s="422"/>
      <c r="K1076" s="418"/>
      <c r="L1076" s="418"/>
      <c r="M1076" s="418"/>
      <c r="N1076" s="421"/>
      <c r="O1076" s="421"/>
      <c r="P1076" s="421"/>
      <c r="Q1076" s="418"/>
      <c r="R1076" s="1022"/>
      <c r="S1076" s="1022"/>
      <c r="T1076" s="418"/>
      <c r="U1076" s="418"/>
      <c r="V1076" s="418"/>
      <c r="W1076" s="418"/>
      <c r="X1076" s="418"/>
      <c r="Y1076" s="418"/>
      <c r="Z1076" s="418"/>
      <c r="AA1076" s="418"/>
      <c r="AB1076" s="418"/>
      <c r="AC1076" s="418"/>
      <c r="AD1076" s="418"/>
      <c r="AE1076" s="418"/>
      <c r="AF1076" s="418"/>
      <c r="AG1076" s="418"/>
      <c r="AH1076" s="418"/>
      <c r="AI1076" s="418"/>
      <c r="AJ1076" s="418"/>
      <c r="AK1076" s="418"/>
      <c r="AL1076" s="418"/>
      <c r="AM1076" s="418"/>
      <c r="AN1076" s="423"/>
      <c r="AO1076" s="423"/>
      <c r="AP1076" s="423"/>
      <c r="AQ1076" s="423"/>
      <c r="AR1076" s="423"/>
      <c r="AS1076" s="423"/>
      <c r="AT1076" s="423"/>
      <c r="AU1076" s="423"/>
      <c r="AV1076" s="423"/>
      <c r="AW1076" s="418"/>
      <c r="AX1076" s="418"/>
      <c r="AY1076" s="418"/>
      <c r="AZ1076" s="418"/>
      <c r="BA1076" s="418"/>
      <c r="BB1076" s="306"/>
    </row>
    <row r="1077" spans="1:54" ht="15.75" customHeight="1">
      <c r="A1077" s="415"/>
      <c r="B1077" s="416"/>
      <c r="C1077" s="417"/>
      <c r="D1077" s="418"/>
      <c r="E1077" s="418"/>
      <c r="F1077" s="419"/>
      <c r="G1077" s="420"/>
      <c r="H1077" s="421"/>
      <c r="I1077" s="421"/>
      <c r="J1077" s="422"/>
      <c r="K1077" s="418"/>
      <c r="L1077" s="418"/>
      <c r="M1077" s="418"/>
      <c r="N1077" s="421"/>
      <c r="O1077" s="421"/>
      <c r="P1077" s="421"/>
      <c r="Q1077" s="418"/>
      <c r="R1077" s="1022"/>
      <c r="S1077" s="1022"/>
      <c r="T1077" s="418"/>
      <c r="U1077" s="418"/>
      <c r="V1077" s="418"/>
      <c r="W1077" s="418"/>
      <c r="X1077" s="418"/>
      <c r="Y1077" s="418"/>
      <c r="Z1077" s="418"/>
      <c r="AA1077" s="418"/>
      <c r="AB1077" s="418"/>
      <c r="AC1077" s="418"/>
      <c r="AD1077" s="418"/>
      <c r="AE1077" s="418"/>
      <c r="AF1077" s="418"/>
      <c r="AG1077" s="418"/>
      <c r="AH1077" s="418"/>
      <c r="AI1077" s="418"/>
      <c r="AJ1077" s="418"/>
      <c r="AK1077" s="418"/>
      <c r="AL1077" s="418"/>
      <c r="AM1077" s="418"/>
      <c r="AN1077" s="423"/>
      <c r="AO1077" s="423"/>
      <c r="AP1077" s="423"/>
      <c r="AQ1077" s="423"/>
      <c r="AR1077" s="423"/>
      <c r="AS1077" s="423"/>
      <c r="AT1077" s="423"/>
      <c r="AU1077" s="423"/>
      <c r="AV1077" s="423"/>
      <c r="AW1077" s="418"/>
      <c r="AX1077" s="418"/>
      <c r="AY1077" s="418"/>
      <c r="AZ1077" s="418"/>
      <c r="BA1077" s="418"/>
      <c r="BB1077" s="306"/>
    </row>
    <row r="1078" spans="1:54" ht="15.75" customHeight="1">
      <c r="A1078" s="415"/>
      <c r="B1078" s="416"/>
      <c r="C1078" s="417"/>
      <c r="D1078" s="418"/>
      <c r="E1078" s="418"/>
      <c r="F1078" s="419"/>
      <c r="G1078" s="420"/>
      <c r="H1078" s="421"/>
      <c r="I1078" s="421"/>
      <c r="J1078" s="422"/>
      <c r="K1078" s="418"/>
      <c r="L1078" s="418"/>
      <c r="M1078" s="418"/>
      <c r="N1078" s="421"/>
      <c r="O1078" s="421"/>
      <c r="P1078" s="421"/>
      <c r="Q1078" s="418"/>
      <c r="R1078" s="1022"/>
      <c r="S1078" s="1022"/>
      <c r="T1078" s="418"/>
      <c r="U1078" s="418"/>
      <c r="V1078" s="418"/>
      <c r="W1078" s="418"/>
      <c r="X1078" s="418"/>
      <c r="Y1078" s="418"/>
      <c r="Z1078" s="418"/>
      <c r="AA1078" s="418"/>
      <c r="AB1078" s="418"/>
      <c r="AC1078" s="418"/>
      <c r="AD1078" s="418"/>
      <c r="AE1078" s="418"/>
      <c r="AF1078" s="418"/>
      <c r="AG1078" s="418"/>
      <c r="AH1078" s="418"/>
      <c r="AI1078" s="418"/>
      <c r="AJ1078" s="418"/>
      <c r="AK1078" s="418"/>
      <c r="AL1078" s="418"/>
      <c r="AM1078" s="418"/>
      <c r="AN1078" s="423"/>
      <c r="AO1078" s="423"/>
      <c r="AP1078" s="423"/>
      <c r="AQ1078" s="423"/>
      <c r="AR1078" s="423"/>
      <c r="AS1078" s="423"/>
      <c r="AT1078" s="423"/>
      <c r="AU1078" s="423"/>
      <c r="AV1078" s="423"/>
      <c r="AW1078" s="418"/>
      <c r="AX1078" s="418"/>
      <c r="AY1078" s="418"/>
      <c r="AZ1078" s="418"/>
      <c r="BA1078" s="418"/>
      <c r="BB1078" s="306"/>
    </row>
    <row r="1079" spans="1:54" ht="15.75" customHeight="1">
      <c r="A1079" s="415"/>
      <c r="B1079" s="416"/>
      <c r="C1079" s="417"/>
      <c r="D1079" s="418"/>
      <c r="E1079" s="418"/>
      <c r="F1079" s="419"/>
      <c r="G1079" s="420"/>
      <c r="H1079" s="421"/>
      <c r="I1079" s="425"/>
      <c r="J1079" s="422"/>
      <c r="K1079" s="418"/>
      <c r="L1079" s="418"/>
      <c r="M1079" s="418"/>
      <c r="N1079" s="421"/>
      <c r="O1079" s="421"/>
      <c r="P1079" s="421"/>
      <c r="Q1079" s="418"/>
      <c r="R1079" s="1022"/>
      <c r="S1079" s="1022"/>
      <c r="T1079" s="418"/>
      <c r="U1079" s="418"/>
      <c r="V1079" s="418"/>
      <c r="W1079" s="418"/>
      <c r="X1079" s="418"/>
      <c r="Y1079" s="418"/>
      <c r="Z1079" s="418"/>
      <c r="AA1079" s="418"/>
      <c r="AB1079" s="418"/>
      <c r="AC1079" s="418"/>
      <c r="AD1079" s="418"/>
      <c r="AE1079" s="418"/>
      <c r="AF1079" s="418"/>
      <c r="AG1079" s="418"/>
      <c r="AH1079" s="418"/>
      <c r="AI1079" s="418"/>
      <c r="AJ1079" s="418"/>
      <c r="AK1079" s="418"/>
      <c r="AL1079" s="418"/>
      <c r="AM1079" s="418"/>
      <c r="AN1079" s="423"/>
      <c r="AO1079" s="423"/>
      <c r="AP1079" s="423"/>
      <c r="AQ1079" s="423"/>
      <c r="AR1079" s="423"/>
      <c r="AS1079" s="423"/>
      <c r="AT1079" s="423"/>
      <c r="AU1079" s="423"/>
      <c r="AV1079" s="423"/>
      <c r="AW1079" s="418"/>
      <c r="AX1079" s="418"/>
      <c r="AY1079" s="418"/>
      <c r="AZ1079" s="418"/>
      <c r="BA1079" s="418"/>
      <c r="BB1079" s="306"/>
    </row>
    <row r="1080" spans="1:54" ht="15.75" customHeight="1">
      <c r="A1080" s="415"/>
      <c r="B1080" s="416"/>
      <c r="C1080" s="417"/>
      <c r="D1080" s="418"/>
      <c r="E1080" s="418"/>
      <c r="F1080" s="419"/>
      <c r="G1080" s="420"/>
      <c r="H1080" s="421"/>
      <c r="I1080" s="421"/>
      <c r="J1080" s="422"/>
      <c r="K1080" s="418"/>
      <c r="L1080" s="418"/>
      <c r="M1080" s="418"/>
      <c r="N1080" s="421"/>
      <c r="O1080" s="421"/>
      <c r="P1080" s="421"/>
      <c r="Q1080" s="418"/>
      <c r="R1080" s="1022"/>
      <c r="S1080" s="1022"/>
      <c r="T1080" s="418"/>
      <c r="U1080" s="418"/>
      <c r="V1080" s="418"/>
      <c r="W1080" s="418"/>
      <c r="X1080" s="418"/>
      <c r="Y1080" s="418"/>
      <c r="Z1080" s="418"/>
      <c r="AA1080" s="418"/>
      <c r="AB1080" s="418"/>
      <c r="AC1080" s="418"/>
      <c r="AD1080" s="418"/>
      <c r="AE1080" s="418"/>
      <c r="AF1080" s="418"/>
      <c r="AG1080" s="418"/>
      <c r="AH1080" s="418"/>
      <c r="AI1080" s="418"/>
      <c r="AJ1080" s="418"/>
      <c r="AK1080" s="418"/>
      <c r="AL1080" s="418"/>
      <c r="AM1080" s="418"/>
      <c r="AN1080" s="423"/>
      <c r="AO1080" s="423"/>
      <c r="AP1080" s="423"/>
      <c r="AQ1080" s="423"/>
      <c r="AR1080" s="423"/>
      <c r="AS1080" s="423"/>
      <c r="AT1080" s="423"/>
      <c r="AU1080" s="423"/>
      <c r="AV1080" s="423"/>
      <c r="AW1080" s="418"/>
      <c r="AX1080" s="418"/>
      <c r="AY1080" s="418"/>
      <c r="AZ1080" s="418"/>
      <c r="BA1080" s="418"/>
      <c r="BB1080" s="306"/>
    </row>
    <row r="1081" spans="1:54" ht="15.75" customHeight="1">
      <c r="A1081" s="415"/>
      <c r="B1081" s="416"/>
      <c r="C1081" s="417"/>
      <c r="D1081" s="418"/>
      <c r="E1081" s="418"/>
      <c r="F1081" s="419"/>
      <c r="G1081" s="420"/>
      <c r="H1081" s="421"/>
      <c r="I1081" s="425"/>
      <c r="J1081" s="422"/>
      <c r="K1081" s="418"/>
      <c r="L1081" s="418"/>
      <c r="M1081" s="418"/>
      <c r="N1081" s="421"/>
      <c r="O1081" s="421"/>
      <c r="P1081" s="421"/>
      <c r="Q1081" s="418"/>
      <c r="R1081" s="1022"/>
      <c r="S1081" s="1022"/>
      <c r="T1081" s="418"/>
      <c r="U1081" s="418"/>
      <c r="V1081" s="418"/>
      <c r="W1081" s="418"/>
      <c r="X1081" s="418"/>
      <c r="Y1081" s="418"/>
      <c r="Z1081" s="418"/>
      <c r="AA1081" s="418"/>
      <c r="AB1081" s="418"/>
      <c r="AC1081" s="418"/>
      <c r="AD1081" s="418"/>
      <c r="AE1081" s="418"/>
      <c r="AF1081" s="418"/>
      <c r="AG1081" s="418"/>
      <c r="AH1081" s="418"/>
      <c r="AI1081" s="418"/>
      <c r="AJ1081" s="418"/>
      <c r="AK1081" s="418"/>
      <c r="AL1081" s="418"/>
      <c r="AM1081" s="418"/>
      <c r="AN1081" s="423"/>
      <c r="AO1081" s="423"/>
      <c r="AP1081" s="423"/>
      <c r="AQ1081" s="423"/>
      <c r="AR1081" s="423"/>
      <c r="AS1081" s="423"/>
      <c r="AT1081" s="423"/>
      <c r="AU1081" s="423"/>
      <c r="AV1081" s="423"/>
      <c r="AW1081" s="418"/>
      <c r="AX1081" s="418"/>
      <c r="AY1081" s="418"/>
      <c r="AZ1081" s="418"/>
      <c r="BA1081" s="418"/>
      <c r="BB1081" s="306"/>
    </row>
    <row r="1082" spans="1:54" ht="15.75" customHeight="1">
      <c r="A1082" s="415"/>
      <c r="B1082" s="416"/>
      <c r="C1082" s="417"/>
      <c r="D1082" s="418"/>
      <c r="E1082" s="418"/>
      <c r="F1082" s="419"/>
      <c r="G1082" s="420"/>
      <c r="H1082" s="421"/>
      <c r="I1082" s="421"/>
      <c r="J1082" s="422"/>
      <c r="K1082" s="418"/>
      <c r="L1082" s="418"/>
      <c r="M1082" s="418"/>
      <c r="N1082" s="421"/>
      <c r="O1082" s="421"/>
      <c r="P1082" s="421"/>
      <c r="Q1082" s="418"/>
      <c r="R1082" s="1022"/>
      <c r="S1082" s="1022"/>
      <c r="T1082" s="418"/>
      <c r="U1082" s="418"/>
      <c r="V1082" s="418"/>
      <c r="W1082" s="418"/>
      <c r="X1082" s="418"/>
      <c r="Y1082" s="418"/>
      <c r="Z1082" s="418"/>
      <c r="AA1082" s="418"/>
      <c r="AB1082" s="418"/>
      <c r="AC1082" s="418"/>
      <c r="AD1082" s="418"/>
      <c r="AE1082" s="418"/>
      <c r="AF1082" s="418"/>
      <c r="AG1082" s="418"/>
      <c r="AH1082" s="418"/>
      <c r="AI1082" s="418"/>
      <c r="AJ1082" s="418"/>
      <c r="AK1082" s="418"/>
      <c r="AL1082" s="418"/>
      <c r="AM1082" s="418"/>
      <c r="AN1082" s="423"/>
      <c r="AO1082" s="423"/>
      <c r="AP1082" s="423"/>
      <c r="AQ1082" s="423"/>
      <c r="AR1082" s="423"/>
      <c r="AS1082" s="423"/>
      <c r="AT1082" s="423"/>
      <c r="AU1082" s="423"/>
      <c r="AV1082" s="423"/>
      <c r="AW1082" s="418"/>
      <c r="AX1082" s="418"/>
      <c r="AY1082" s="418"/>
      <c r="AZ1082" s="418"/>
      <c r="BA1082" s="418"/>
      <c r="BB1082" s="306"/>
    </row>
    <row r="1083" spans="1:54" ht="15.75" customHeight="1">
      <c r="A1083" s="415"/>
      <c r="B1083" s="416"/>
      <c r="C1083" s="417"/>
      <c r="D1083" s="418"/>
      <c r="E1083" s="418"/>
      <c r="F1083" s="419"/>
      <c r="G1083" s="420"/>
      <c r="H1083" s="421"/>
      <c r="I1083" s="425"/>
      <c r="J1083" s="422"/>
      <c r="K1083" s="418"/>
      <c r="L1083" s="418"/>
      <c r="M1083" s="418"/>
      <c r="N1083" s="421"/>
      <c r="O1083" s="421"/>
      <c r="P1083" s="421"/>
      <c r="Q1083" s="418"/>
      <c r="R1083" s="1022"/>
      <c r="S1083" s="1022"/>
      <c r="T1083" s="418"/>
      <c r="U1083" s="418"/>
      <c r="V1083" s="418"/>
      <c r="W1083" s="418"/>
      <c r="X1083" s="418"/>
      <c r="Y1083" s="418"/>
      <c r="Z1083" s="418"/>
      <c r="AA1083" s="418"/>
      <c r="AB1083" s="418"/>
      <c r="AC1083" s="418"/>
      <c r="AD1083" s="418"/>
      <c r="AE1083" s="418"/>
      <c r="AF1083" s="418"/>
      <c r="AG1083" s="418"/>
      <c r="AH1083" s="418"/>
      <c r="AI1083" s="418"/>
      <c r="AJ1083" s="418"/>
      <c r="AK1083" s="418"/>
      <c r="AL1083" s="418"/>
      <c r="AM1083" s="418"/>
      <c r="AN1083" s="423"/>
      <c r="AO1083" s="423"/>
      <c r="AP1083" s="423"/>
      <c r="AQ1083" s="423"/>
      <c r="AR1083" s="423"/>
      <c r="AS1083" s="423"/>
      <c r="AT1083" s="423"/>
      <c r="AU1083" s="423"/>
      <c r="AV1083" s="423"/>
      <c r="AW1083" s="418"/>
      <c r="AX1083" s="418"/>
      <c r="AY1083" s="418"/>
      <c r="AZ1083" s="418"/>
      <c r="BA1083" s="418"/>
      <c r="BB1083" s="306"/>
    </row>
    <row r="1084" spans="1:54" ht="15.75" customHeight="1">
      <c r="A1084" s="415"/>
      <c r="B1084" s="416"/>
      <c r="C1084" s="417"/>
      <c r="D1084" s="418"/>
      <c r="E1084" s="418"/>
      <c r="F1084" s="419"/>
      <c r="G1084" s="420"/>
      <c r="H1084" s="421"/>
      <c r="I1084" s="421"/>
      <c r="J1084" s="422"/>
      <c r="K1084" s="418"/>
      <c r="L1084" s="418"/>
      <c r="M1084" s="418"/>
      <c r="N1084" s="421"/>
      <c r="O1084" s="421"/>
      <c r="P1084" s="421"/>
      <c r="Q1084" s="418"/>
      <c r="R1084" s="1022"/>
      <c r="S1084" s="1022"/>
      <c r="T1084" s="418"/>
      <c r="U1084" s="418"/>
      <c r="V1084" s="418"/>
      <c r="W1084" s="418"/>
      <c r="X1084" s="418"/>
      <c r="Y1084" s="418"/>
      <c r="Z1084" s="418"/>
      <c r="AA1084" s="418"/>
      <c r="AB1084" s="418"/>
      <c r="AC1084" s="418"/>
      <c r="AD1084" s="418"/>
      <c r="AE1084" s="418"/>
      <c r="AF1084" s="418"/>
      <c r="AG1084" s="418"/>
      <c r="AH1084" s="418"/>
      <c r="AI1084" s="418"/>
      <c r="AJ1084" s="418"/>
      <c r="AK1084" s="418"/>
      <c r="AL1084" s="418"/>
      <c r="AM1084" s="418"/>
      <c r="AN1084" s="423"/>
      <c r="AO1084" s="423"/>
      <c r="AP1084" s="423"/>
      <c r="AQ1084" s="423"/>
      <c r="AR1084" s="423"/>
      <c r="AS1084" s="423"/>
      <c r="AT1084" s="423"/>
      <c r="AU1084" s="423"/>
      <c r="AV1084" s="423"/>
      <c r="AW1084" s="418"/>
      <c r="AX1084" s="418"/>
      <c r="AY1084" s="418"/>
      <c r="AZ1084" s="418"/>
      <c r="BA1084" s="418"/>
      <c r="BB1084" s="306"/>
    </row>
    <row r="1085" spans="1:54" ht="15.75" customHeight="1">
      <c r="A1085" s="415"/>
      <c r="B1085" s="416"/>
      <c r="C1085" s="417"/>
      <c r="D1085" s="418"/>
      <c r="E1085" s="418"/>
      <c r="F1085" s="419"/>
      <c r="G1085" s="420"/>
      <c r="H1085" s="421"/>
      <c r="I1085" s="421"/>
      <c r="J1085" s="422"/>
      <c r="K1085" s="418"/>
      <c r="L1085" s="418"/>
      <c r="M1085" s="418"/>
      <c r="N1085" s="421"/>
      <c r="O1085" s="421"/>
      <c r="P1085" s="421"/>
      <c r="Q1085" s="418"/>
      <c r="R1085" s="1022"/>
      <c r="S1085" s="1022"/>
      <c r="T1085" s="418"/>
      <c r="U1085" s="418"/>
      <c r="V1085" s="418"/>
      <c r="W1085" s="418"/>
      <c r="X1085" s="418"/>
      <c r="Y1085" s="418"/>
      <c r="Z1085" s="418"/>
      <c r="AA1085" s="418"/>
      <c r="AB1085" s="418"/>
      <c r="AC1085" s="418"/>
      <c r="AD1085" s="418"/>
      <c r="AE1085" s="418"/>
      <c r="AF1085" s="418"/>
      <c r="AG1085" s="418"/>
      <c r="AH1085" s="418"/>
      <c r="AI1085" s="418"/>
      <c r="AJ1085" s="418"/>
      <c r="AK1085" s="418"/>
      <c r="AL1085" s="418"/>
      <c r="AM1085" s="418"/>
      <c r="AN1085" s="423"/>
      <c r="AO1085" s="423"/>
      <c r="AP1085" s="423"/>
      <c r="AQ1085" s="423"/>
      <c r="AR1085" s="423"/>
      <c r="AS1085" s="423"/>
      <c r="AT1085" s="423"/>
      <c r="AU1085" s="423"/>
      <c r="AV1085" s="423"/>
      <c r="AW1085" s="418"/>
      <c r="AX1085" s="418"/>
      <c r="AY1085" s="418"/>
      <c r="AZ1085" s="418"/>
      <c r="BA1085" s="418"/>
      <c r="BB1085" s="306"/>
    </row>
    <row r="1086" spans="1:54" ht="15.75" customHeight="1">
      <c r="A1086" s="415"/>
      <c r="B1086" s="416"/>
      <c r="C1086" s="417"/>
      <c r="D1086" s="418"/>
      <c r="E1086" s="418"/>
      <c r="F1086" s="419"/>
      <c r="G1086" s="420"/>
      <c r="H1086" s="421"/>
      <c r="I1086" s="421"/>
      <c r="J1086" s="422"/>
      <c r="K1086" s="418"/>
      <c r="L1086" s="418"/>
      <c r="M1086" s="418"/>
      <c r="N1086" s="421"/>
      <c r="O1086" s="421"/>
      <c r="P1086" s="421"/>
      <c r="Q1086" s="418"/>
      <c r="R1086" s="1022"/>
      <c r="S1086" s="1022"/>
      <c r="T1086" s="418"/>
      <c r="U1086" s="418"/>
      <c r="V1086" s="418"/>
      <c r="W1086" s="418"/>
      <c r="X1086" s="418"/>
      <c r="Y1086" s="418"/>
      <c r="Z1086" s="418"/>
      <c r="AA1086" s="418"/>
      <c r="AB1086" s="418"/>
      <c r="AC1086" s="418"/>
      <c r="AD1086" s="418"/>
      <c r="AE1086" s="418"/>
      <c r="AF1086" s="418"/>
      <c r="AG1086" s="418"/>
      <c r="AH1086" s="418"/>
      <c r="AI1086" s="418"/>
      <c r="AJ1086" s="418"/>
      <c r="AK1086" s="418"/>
      <c r="AL1086" s="418"/>
      <c r="AM1086" s="418"/>
      <c r="AN1086" s="423"/>
      <c r="AO1086" s="423"/>
      <c r="AP1086" s="423"/>
      <c r="AQ1086" s="423"/>
      <c r="AR1086" s="423"/>
      <c r="AS1086" s="423"/>
      <c r="AT1086" s="423"/>
      <c r="AU1086" s="423"/>
      <c r="AV1086" s="423"/>
      <c r="AW1086" s="418"/>
      <c r="AX1086" s="418"/>
      <c r="AY1086" s="418"/>
      <c r="AZ1086" s="418"/>
      <c r="BA1086" s="418"/>
      <c r="BB1086" s="306"/>
    </row>
    <row r="1087" spans="1:54" ht="15.75" customHeight="1">
      <c r="A1087" s="415"/>
      <c r="B1087" s="416"/>
      <c r="C1087" s="417"/>
      <c r="D1087" s="418"/>
      <c r="E1087" s="418"/>
      <c r="F1087" s="419"/>
      <c r="G1087" s="420"/>
      <c r="H1087" s="421"/>
      <c r="I1087" s="421"/>
      <c r="J1087" s="422"/>
      <c r="K1087" s="418"/>
      <c r="L1087" s="418"/>
      <c r="M1087" s="418"/>
      <c r="N1087" s="421"/>
      <c r="O1087" s="421"/>
      <c r="P1087" s="421"/>
      <c r="Q1087" s="418"/>
      <c r="R1087" s="1022"/>
      <c r="S1087" s="1022"/>
      <c r="T1087" s="418"/>
      <c r="U1087" s="418"/>
      <c r="V1087" s="418"/>
      <c r="W1087" s="418"/>
      <c r="X1087" s="418"/>
      <c r="Y1087" s="418"/>
      <c r="Z1087" s="418"/>
      <c r="AA1087" s="418"/>
      <c r="AB1087" s="418"/>
      <c r="AC1087" s="418"/>
      <c r="AD1087" s="418"/>
      <c r="AE1087" s="418"/>
      <c r="AF1087" s="418"/>
      <c r="AG1087" s="418"/>
      <c r="AH1087" s="418"/>
      <c r="AI1087" s="418"/>
      <c r="AJ1087" s="418"/>
      <c r="AK1087" s="418"/>
      <c r="AL1087" s="418"/>
      <c r="AM1087" s="418"/>
      <c r="AN1087" s="423"/>
      <c r="AO1087" s="423"/>
      <c r="AP1087" s="423"/>
      <c r="AQ1087" s="423"/>
      <c r="AR1087" s="423"/>
      <c r="AS1087" s="423"/>
      <c r="AT1087" s="423"/>
      <c r="AU1087" s="423"/>
      <c r="AV1087" s="423"/>
      <c r="AW1087" s="418"/>
      <c r="AX1087" s="418"/>
      <c r="AY1087" s="418"/>
      <c r="AZ1087" s="418"/>
      <c r="BA1087" s="418"/>
      <c r="BB1087" s="306"/>
    </row>
    <row r="1088" spans="1:54" ht="15.75" customHeight="1">
      <c r="A1088" s="415"/>
      <c r="B1088" s="416"/>
      <c r="C1088" s="417"/>
      <c r="D1088" s="418"/>
      <c r="E1088" s="418"/>
      <c r="F1088" s="419"/>
      <c r="G1088" s="420"/>
      <c r="H1088" s="421"/>
      <c r="I1088" s="421"/>
      <c r="J1088" s="422"/>
      <c r="K1088" s="418"/>
      <c r="L1088" s="418"/>
      <c r="M1088" s="418"/>
      <c r="N1088" s="421"/>
      <c r="O1088" s="421"/>
      <c r="P1088" s="421"/>
      <c r="Q1088" s="418"/>
      <c r="R1088" s="1022"/>
      <c r="S1088" s="1022"/>
      <c r="T1088" s="418"/>
      <c r="U1088" s="418"/>
      <c r="V1088" s="418"/>
      <c r="W1088" s="418"/>
      <c r="X1088" s="418"/>
      <c r="Y1088" s="418"/>
      <c r="Z1088" s="418"/>
      <c r="AA1088" s="418"/>
      <c r="AB1088" s="418"/>
      <c r="AC1088" s="418"/>
      <c r="AD1088" s="418"/>
      <c r="AE1088" s="418"/>
      <c r="AF1088" s="418"/>
      <c r="AG1088" s="418"/>
      <c r="AH1088" s="418"/>
      <c r="AI1088" s="418"/>
      <c r="AJ1088" s="418"/>
      <c r="AK1088" s="418"/>
      <c r="AL1088" s="418"/>
      <c r="AM1088" s="418"/>
      <c r="AN1088" s="423"/>
      <c r="AO1088" s="423"/>
      <c r="AP1088" s="423"/>
      <c r="AQ1088" s="423"/>
      <c r="AR1088" s="423"/>
      <c r="AS1088" s="423"/>
      <c r="AT1088" s="423"/>
      <c r="AU1088" s="423"/>
      <c r="AV1088" s="423"/>
      <c r="AW1088" s="418"/>
      <c r="AX1088" s="418"/>
      <c r="AY1088" s="418"/>
      <c r="AZ1088" s="418"/>
      <c r="BA1088" s="418"/>
      <c r="BB1088" s="306"/>
    </row>
    <row r="1089" spans="1:54" ht="15.75" customHeight="1">
      <c r="A1089" s="415"/>
      <c r="B1089" s="416"/>
      <c r="C1089" s="417"/>
      <c r="D1089" s="418"/>
      <c r="E1089" s="418"/>
      <c r="F1089" s="419"/>
      <c r="G1089" s="420"/>
      <c r="H1089" s="421"/>
      <c r="I1089" s="421"/>
      <c r="J1089" s="422"/>
      <c r="K1089" s="418"/>
      <c r="L1089" s="418"/>
      <c r="M1089" s="418"/>
      <c r="N1089" s="421"/>
      <c r="O1089" s="421"/>
      <c r="P1089" s="421"/>
      <c r="Q1089" s="418"/>
      <c r="R1089" s="1022"/>
      <c r="S1089" s="1022"/>
      <c r="T1089" s="418"/>
      <c r="U1089" s="418"/>
      <c r="V1089" s="418"/>
      <c r="W1089" s="418"/>
      <c r="X1089" s="418"/>
      <c r="Y1089" s="418"/>
      <c r="Z1089" s="418"/>
      <c r="AA1089" s="418"/>
      <c r="AB1089" s="418"/>
      <c r="AC1089" s="418"/>
      <c r="AD1089" s="418"/>
      <c r="AE1089" s="418"/>
      <c r="AF1089" s="418"/>
      <c r="AG1089" s="418"/>
      <c r="AH1089" s="418"/>
      <c r="AI1089" s="418"/>
      <c r="AJ1089" s="418"/>
      <c r="AK1089" s="418"/>
      <c r="AL1089" s="418"/>
      <c r="AM1089" s="418"/>
      <c r="AN1089" s="423"/>
      <c r="AO1089" s="423"/>
      <c r="AP1089" s="423"/>
      <c r="AQ1089" s="423"/>
      <c r="AR1089" s="423"/>
      <c r="AS1089" s="423"/>
      <c r="AT1089" s="423"/>
      <c r="AU1089" s="423"/>
      <c r="AV1089" s="423"/>
      <c r="AW1089" s="418"/>
      <c r="AX1089" s="418"/>
      <c r="AY1089" s="418"/>
      <c r="AZ1089" s="418"/>
      <c r="BA1089" s="418"/>
      <c r="BB1089" s="306"/>
    </row>
    <row r="1090" spans="1:54" ht="15.75" customHeight="1">
      <c r="A1090" s="415"/>
      <c r="B1090" s="416"/>
      <c r="C1090" s="417"/>
      <c r="D1090" s="418"/>
      <c r="E1090" s="418"/>
      <c r="F1090" s="419"/>
      <c r="G1090" s="420"/>
      <c r="H1090" s="421"/>
      <c r="I1090" s="421"/>
      <c r="J1090" s="422"/>
      <c r="K1090" s="418"/>
      <c r="L1090" s="418"/>
      <c r="M1090" s="418"/>
      <c r="N1090" s="421"/>
      <c r="O1090" s="421"/>
      <c r="P1090" s="421"/>
      <c r="Q1090" s="418"/>
      <c r="R1090" s="1022"/>
      <c r="S1090" s="1022"/>
      <c r="T1090" s="418"/>
      <c r="U1090" s="418"/>
      <c r="V1090" s="418"/>
      <c r="W1090" s="418"/>
      <c r="X1090" s="418"/>
      <c r="Y1090" s="418"/>
      <c r="Z1090" s="418"/>
      <c r="AA1090" s="418"/>
      <c r="AB1090" s="418"/>
      <c r="AC1090" s="418"/>
      <c r="AD1090" s="418"/>
      <c r="AE1090" s="418"/>
      <c r="AF1090" s="418"/>
      <c r="AG1090" s="418"/>
      <c r="AH1090" s="418"/>
      <c r="AI1090" s="418"/>
      <c r="AJ1090" s="418"/>
      <c r="AK1090" s="418"/>
      <c r="AL1090" s="418"/>
      <c r="AM1090" s="418"/>
      <c r="AN1090" s="423"/>
      <c r="AO1090" s="423"/>
      <c r="AP1090" s="423"/>
      <c r="AQ1090" s="423"/>
      <c r="AR1090" s="423"/>
      <c r="AS1090" s="423"/>
      <c r="AT1090" s="423"/>
      <c r="AU1090" s="423"/>
      <c r="AV1090" s="423"/>
      <c r="AW1090" s="418"/>
      <c r="AX1090" s="418"/>
      <c r="AY1090" s="418"/>
      <c r="AZ1090" s="418"/>
      <c r="BA1090" s="418"/>
      <c r="BB1090" s="306"/>
    </row>
    <row r="1091" spans="1:54" ht="15.75" customHeight="1">
      <c r="A1091" s="415"/>
      <c r="B1091" s="416"/>
      <c r="C1091" s="417"/>
      <c r="D1091" s="418"/>
      <c r="E1091" s="418"/>
      <c r="F1091" s="419"/>
      <c r="G1091" s="420"/>
      <c r="H1091" s="421"/>
      <c r="I1091" s="421"/>
      <c r="J1091" s="422"/>
      <c r="K1091" s="418"/>
      <c r="L1091" s="418"/>
      <c r="M1091" s="418"/>
      <c r="N1091" s="421"/>
      <c r="O1091" s="421"/>
      <c r="P1091" s="421"/>
      <c r="Q1091" s="418"/>
      <c r="R1091" s="1022"/>
      <c r="S1091" s="1022"/>
      <c r="T1091" s="418"/>
      <c r="U1091" s="418"/>
      <c r="V1091" s="418"/>
      <c r="W1091" s="418"/>
      <c r="X1091" s="418"/>
      <c r="Y1091" s="418"/>
      <c r="Z1091" s="418"/>
      <c r="AA1091" s="418"/>
      <c r="AB1091" s="418"/>
      <c r="AC1091" s="418"/>
      <c r="AD1091" s="418"/>
      <c r="AE1091" s="418"/>
      <c r="AF1091" s="418"/>
      <c r="AG1091" s="418"/>
      <c r="AH1091" s="418"/>
      <c r="AI1091" s="418"/>
      <c r="AJ1091" s="418"/>
      <c r="AK1091" s="418"/>
      <c r="AL1091" s="418"/>
      <c r="AM1091" s="418"/>
      <c r="AN1091" s="423"/>
      <c r="AO1091" s="423"/>
      <c r="AP1091" s="423"/>
      <c r="AQ1091" s="423"/>
      <c r="AR1091" s="423"/>
      <c r="AS1091" s="423"/>
      <c r="AT1091" s="423"/>
      <c r="AU1091" s="423"/>
      <c r="AV1091" s="423"/>
      <c r="AW1091" s="418"/>
      <c r="AX1091" s="418"/>
      <c r="AY1091" s="418"/>
      <c r="AZ1091" s="418"/>
      <c r="BA1091" s="418"/>
      <c r="BB1091" s="306"/>
    </row>
    <row r="1092" spans="1:54" ht="15.75" customHeight="1">
      <c r="A1092" s="415"/>
      <c r="B1092" s="416"/>
      <c r="C1092" s="417"/>
      <c r="D1092" s="418"/>
      <c r="E1092" s="418"/>
      <c r="F1092" s="419"/>
      <c r="G1092" s="420"/>
      <c r="H1092" s="421"/>
      <c r="I1092" s="421"/>
      <c r="J1092" s="422"/>
      <c r="K1092" s="418"/>
      <c r="L1092" s="418"/>
      <c r="M1092" s="418"/>
      <c r="N1092" s="421"/>
      <c r="O1092" s="421"/>
      <c r="P1092" s="421"/>
      <c r="Q1092" s="418"/>
      <c r="R1092" s="1022"/>
      <c r="S1092" s="1022"/>
      <c r="T1092" s="418"/>
      <c r="U1092" s="418"/>
      <c r="V1092" s="418"/>
      <c r="W1092" s="418"/>
      <c r="X1092" s="418"/>
      <c r="Y1092" s="418"/>
      <c r="Z1092" s="418"/>
      <c r="AA1092" s="418"/>
      <c r="AB1092" s="418"/>
      <c r="AC1092" s="418"/>
      <c r="AD1092" s="418"/>
      <c r="AE1092" s="418"/>
      <c r="AF1092" s="418"/>
      <c r="AG1092" s="418"/>
      <c r="AH1092" s="418"/>
      <c r="AI1092" s="418"/>
      <c r="AJ1092" s="418"/>
      <c r="AK1092" s="418"/>
      <c r="AL1092" s="418"/>
      <c r="AM1092" s="418"/>
      <c r="AN1092" s="423"/>
      <c r="AO1092" s="423"/>
      <c r="AP1092" s="423"/>
      <c r="AQ1092" s="423"/>
      <c r="AR1092" s="423"/>
      <c r="AS1092" s="423"/>
      <c r="AT1092" s="423"/>
      <c r="AU1092" s="423"/>
      <c r="AV1092" s="423"/>
      <c r="AW1092" s="418"/>
      <c r="AX1092" s="418"/>
      <c r="AY1092" s="418"/>
      <c r="AZ1092" s="418"/>
      <c r="BA1092" s="418"/>
      <c r="BB1092" s="306"/>
    </row>
    <row r="1093" spans="1:54" ht="15.75" customHeight="1">
      <c r="A1093" s="415"/>
      <c r="B1093" s="416"/>
      <c r="C1093" s="417"/>
      <c r="D1093" s="418"/>
      <c r="E1093" s="418"/>
      <c r="F1093" s="419"/>
      <c r="G1093" s="420"/>
      <c r="H1093" s="421"/>
      <c r="I1093" s="421"/>
      <c r="J1093" s="422"/>
      <c r="K1093" s="418"/>
      <c r="L1093" s="418"/>
      <c r="M1093" s="418"/>
      <c r="N1093" s="421"/>
      <c r="O1093" s="421"/>
      <c r="P1093" s="421"/>
      <c r="Q1093" s="418"/>
      <c r="R1093" s="1022"/>
      <c r="S1093" s="1022"/>
      <c r="T1093" s="418"/>
      <c r="U1093" s="418"/>
      <c r="V1093" s="418"/>
      <c r="W1093" s="418"/>
      <c r="X1093" s="418"/>
      <c r="Y1093" s="418"/>
      <c r="Z1093" s="418"/>
      <c r="AA1093" s="418"/>
      <c r="AB1093" s="418"/>
      <c r="AC1093" s="418"/>
      <c r="AD1093" s="418"/>
      <c r="AE1093" s="418"/>
      <c r="AF1093" s="418"/>
      <c r="AG1093" s="418"/>
      <c r="AH1093" s="418"/>
      <c r="AI1093" s="418"/>
      <c r="AJ1093" s="418"/>
      <c r="AK1093" s="418"/>
      <c r="AL1093" s="418"/>
      <c r="AM1093" s="418"/>
      <c r="AN1093" s="423"/>
      <c r="AO1093" s="423"/>
      <c r="AP1093" s="423"/>
      <c r="AQ1093" s="423"/>
      <c r="AR1093" s="423"/>
      <c r="AS1093" s="423"/>
      <c r="AT1093" s="423"/>
      <c r="AU1093" s="423"/>
      <c r="AV1093" s="423"/>
      <c r="AW1093" s="418"/>
      <c r="AX1093" s="418"/>
      <c r="AY1093" s="418"/>
      <c r="AZ1093" s="418"/>
      <c r="BA1093" s="418"/>
      <c r="BB1093" s="306"/>
    </row>
    <row r="1094" spans="1:54" ht="15.75" customHeight="1">
      <c r="A1094" s="415"/>
      <c r="B1094" s="416"/>
      <c r="C1094" s="417"/>
      <c r="D1094" s="418"/>
      <c r="E1094" s="418"/>
      <c r="F1094" s="419"/>
      <c r="G1094" s="420"/>
      <c r="H1094" s="421"/>
      <c r="I1094" s="421"/>
      <c r="J1094" s="422"/>
      <c r="K1094" s="418"/>
      <c r="L1094" s="418"/>
      <c r="M1094" s="418"/>
      <c r="N1094" s="421"/>
      <c r="O1094" s="421"/>
      <c r="P1094" s="421"/>
      <c r="Q1094" s="418"/>
      <c r="R1094" s="1022"/>
      <c r="S1094" s="1022"/>
      <c r="T1094" s="418"/>
      <c r="U1094" s="418"/>
      <c r="V1094" s="418"/>
      <c r="W1094" s="418"/>
      <c r="X1094" s="418"/>
      <c r="Y1094" s="418"/>
      <c r="Z1094" s="418"/>
      <c r="AA1094" s="418"/>
      <c r="AB1094" s="418"/>
      <c r="AC1094" s="418"/>
      <c r="AD1094" s="418"/>
      <c r="AE1094" s="418"/>
      <c r="AF1094" s="418"/>
      <c r="AG1094" s="418"/>
      <c r="AH1094" s="418"/>
      <c r="AI1094" s="418"/>
      <c r="AJ1094" s="418"/>
      <c r="AK1094" s="418"/>
      <c r="AL1094" s="418"/>
      <c r="AM1094" s="418"/>
      <c r="AN1094" s="423"/>
      <c r="AO1094" s="423"/>
      <c r="AP1094" s="423"/>
      <c r="AQ1094" s="423"/>
      <c r="AR1094" s="423"/>
      <c r="AS1094" s="423"/>
      <c r="AT1094" s="423"/>
      <c r="AU1094" s="423"/>
      <c r="AV1094" s="423"/>
      <c r="AW1094" s="418"/>
      <c r="AX1094" s="418"/>
      <c r="AY1094" s="418"/>
      <c r="AZ1094" s="418"/>
      <c r="BA1094" s="418"/>
      <c r="BB1094" s="306"/>
    </row>
    <row r="1095" spans="1:54" ht="15.75" customHeight="1">
      <c r="A1095" s="415"/>
      <c r="B1095" s="416"/>
      <c r="C1095" s="417"/>
      <c r="D1095" s="418"/>
      <c r="E1095" s="418"/>
      <c r="F1095" s="419"/>
      <c r="G1095" s="420"/>
      <c r="H1095" s="421"/>
      <c r="I1095" s="421"/>
      <c r="J1095" s="422"/>
      <c r="K1095" s="418"/>
      <c r="L1095" s="418"/>
      <c r="M1095" s="418"/>
      <c r="N1095" s="421"/>
      <c r="O1095" s="421"/>
      <c r="P1095" s="421"/>
      <c r="Q1095" s="418"/>
      <c r="R1095" s="1022"/>
      <c r="S1095" s="1022"/>
      <c r="T1095" s="418"/>
      <c r="U1095" s="418"/>
      <c r="V1095" s="418"/>
      <c r="W1095" s="418"/>
      <c r="X1095" s="418"/>
      <c r="Y1095" s="418"/>
      <c r="Z1095" s="418"/>
      <c r="AA1095" s="418"/>
      <c r="AB1095" s="418"/>
      <c r="AC1095" s="418"/>
      <c r="AD1095" s="418"/>
      <c r="AE1095" s="418"/>
      <c r="AF1095" s="418"/>
      <c r="AG1095" s="418"/>
      <c r="AH1095" s="418"/>
      <c r="AI1095" s="418"/>
      <c r="AJ1095" s="418"/>
      <c r="AK1095" s="418"/>
      <c r="AL1095" s="418"/>
      <c r="AM1095" s="418"/>
      <c r="AN1095" s="423"/>
      <c r="AO1095" s="423"/>
      <c r="AP1095" s="423"/>
      <c r="AQ1095" s="423"/>
      <c r="AR1095" s="423"/>
      <c r="AS1095" s="423"/>
      <c r="AT1095" s="423"/>
      <c r="AU1095" s="423"/>
      <c r="AV1095" s="423"/>
      <c r="AW1095" s="418"/>
      <c r="AX1095" s="418"/>
      <c r="AY1095" s="418"/>
      <c r="AZ1095" s="418"/>
      <c r="BA1095" s="418"/>
      <c r="BB1095" s="306"/>
    </row>
    <row r="1096" spans="1:54" ht="15.75" customHeight="1">
      <c r="A1096" s="415"/>
      <c r="B1096" s="416"/>
      <c r="C1096" s="417"/>
      <c r="D1096" s="418"/>
      <c r="E1096" s="418"/>
      <c r="F1096" s="419"/>
      <c r="G1096" s="420"/>
      <c r="H1096" s="421"/>
      <c r="I1096" s="421"/>
      <c r="J1096" s="422"/>
      <c r="K1096" s="418"/>
      <c r="L1096" s="418"/>
      <c r="M1096" s="418"/>
      <c r="N1096" s="421"/>
      <c r="O1096" s="421"/>
      <c r="P1096" s="421"/>
      <c r="Q1096" s="418"/>
      <c r="R1096" s="1022"/>
      <c r="S1096" s="1022"/>
      <c r="T1096" s="418"/>
      <c r="U1096" s="418"/>
      <c r="V1096" s="418"/>
      <c r="W1096" s="418"/>
      <c r="X1096" s="418"/>
      <c r="Y1096" s="418"/>
      <c r="Z1096" s="418"/>
      <c r="AA1096" s="418"/>
      <c r="AB1096" s="418"/>
      <c r="AC1096" s="418"/>
      <c r="AD1096" s="418"/>
      <c r="AE1096" s="418"/>
      <c r="AF1096" s="418"/>
      <c r="AG1096" s="418"/>
      <c r="AH1096" s="418"/>
      <c r="AI1096" s="418"/>
      <c r="AJ1096" s="418"/>
      <c r="AK1096" s="418"/>
      <c r="AL1096" s="418"/>
      <c r="AM1096" s="418"/>
      <c r="AN1096" s="423"/>
      <c r="AO1096" s="423"/>
      <c r="AP1096" s="423"/>
      <c r="AQ1096" s="423"/>
      <c r="AR1096" s="423"/>
      <c r="AS1096" s="423"/>
      <c r="AT1096" s="423"/>
      <c r="AU1096" s="423"/>
      <c r="AV1096" s="423"/>
      <c r="AW1096" s="418"/>
      <c r="AX1096" s="418"/>
      <c r="AY1096" s="418"/>
      <c r="AZ1096" s="418"/>
      <c r="BA1096" s="418"/>
      <c r="BB1096" s="306"/>
    </row>
    <row r="1097" spans="1:54" ht="15.75" customHeight="1">
      <c r="A1097" s="415"/>
      <c r="B1097" s="416"/>
      <c r="C1097" s="417"/>
      <c r="D1097" s="418"/>
      <c r="E1097" s="418"/>
      <c r="F1097" s="419"/>
      <c r="G1097" s="420"/>
      <c r="H1097" s="421"/>
      <c r="I1097" s="421"/>
      <c r="J1097" s="422"/>
      <c r="K1097" s="418"/>
      <c r="L1097" s="418"/>
      <c r="M1097" s="418"/>
      <c r="N1097" s="421"/>
      <c r="O1097" s="421"/>
      <c r="P1097" s="421"/>
      <c r="Q1097" s="418"/>
      <c r="R1097" s="1022"/>
      <c r="S1097" s="1022"/>
      <c r="T1097" s="418"/>
      <c r="U1097" s="418"/>
      <c r="V1097" s="418"/>
      <c r="W1097" s="418"/>
      <c r="X1097" s="418"/>
      <c r="Y1097" s="418"/>
      <c r="Z1097" s="418"/>
      <c r="AA1097" s="418"/>
      <c r="AB1097" s="418"/>
      <c r="AC1097" s="418"/>
      <c r="AD1097" s="418"/>
      <c r="AE1097" s="418"/>
      <c r="AF1097" s="418"/>
      <c r="AG1097" s="418"/>
      <c r="AH1097" s="418"/>
      <c r="AI1097" s="418"/>
      <c r="AJ1097" s="418"/>
      <c r="AK1097" s="418"/>
      <c r="AL1097" s="418"/>
      <c r="AM1097" s="418"/>
      <c r="AN1097" s="423"/>
      <c r="AO1097" s="423"/>
      <c r="AP1097" s="423"/>
      <c r="AQ1097" s="423"/>
      <c r="AR1097" s="423"/>
      <c r="AS1097" s="423"/>
      <c r="AT1097" s="423"/>
      <c r="AU1097" s="423"/>
      <c r="AV1097" s="423"/>
      <c r="AW1097" s="418"/>
      <c r="AX1097" s="418"/>
      <c r="AY1097" s="418"/>
      <c r="AZ1097" s="418"/>
      <c r="BA1097" s="418"/>
      <c r="BB1097" s="306"/>
    </row>
    <row r="1098" spans="1:54" ht="15.75" customHeight="1">
      <c r="A1098" s="415"/>
      <c r="B1098" s="416"/>
      <c r="C1098" s="417"/>
      <c r="D1098" s="418"/>
      <c r="E1098" s="418"/>
      <c r="F1098" s="419"/>
      <c r="G1098" s="420"/>
      <c r="H1098" s="421"/>
      <c r="I1098" s="421"/>
      <c r="J1098" s="422"/>
      <c r="K1098" s="418"/>
      <c r="L1098" s="418"/>
      <c r="M1098" s="418"/>
      <c r="N1098" s="421"/>
      <c r="O1098" s="421"/>
      <c r="P1098" s="421"/>
      <c r="Q1098" s="418"/>
      <c r="R1098" s="1022"/>
      <c r="S1098" s="1022"/>
      <c r="T1098" s="418"/>
      <c r="U1098" s="418"/>
      <c r="V1098" s="418"/>
      <c r="W1098" s="418"/>
      <c r="X1098" s="418"/>
      <c r="Y1098" s="418"/>
      <c r="Z1098" s="418"/>
      <c r="AA1098" s="418"/>
      <c r="AB1098" s="418"/>
      <c r="AC1098" s="418"/>
      <c r="AD1098" s="418"/>
      <c r="AE1098" s="418"/>
      <c r="AF1098" s="418"/>
      <c r="AG1098" s="418"/>
      <c r="AH1098" s="418"/>
      <c r="AI1098" s="418"/>
      <c r="AJ1098" s="418"/>
      <c r="AK1098" s="418"/>
      <c r="AL1098" s="418"/>
      <c r="AM1098" s="418"/>
      <c r="AN1098" s="423"/>
      <c r="AO1098" s="423"/>
      <c r="AP1098" s="423"/>
      <c r="AQ1098" s="423"/>
      <c r="AR1098" s="423"/>
      <c r="AS1098" s="423"/>
      <c r="AT1098" s="423"/>
      <c r="AU1098" s="423"/>
      <c r="AV1098" s="423"/>
      <c r="AW1098" s="418"/>
      <c r="AX1098" s="418"/>
      <c r="AY1098" s="418"/>
      <c r="AZ1098" s="418"/>
      <c r="BA1098" s="418"/>
      <c r="BB1098" s="306"/>
    </row>
    <row r="1099" spans="1:54" ht="15.75" customHeight="1">
      <c r="A1099" s="415"/>
      <c r="B1099" s="416"/>
      <c r="C1099" s="417"/>
      <c r="D1099" s="418"/>
      <c r="E1099" s="418"/>
      <c r="F1099" s="419"/>
      <c r="G1099" s="420"/>
      <c r="H1099" s="421"/>
      <c r="I1099" s="421"/>
      <c r="J1099" s="422"/>
      <c r="K1099" s="418"/>
      <c r="L1099" s="418"/>
      <c r="M1099" s="418"/>
      <c r="N1099" s="421"/>
      <c r="O1099" s="421"/>
      <c r="P1099" s="421"/>
      <c r="Q1099" s="418"/>
      <c r="R1099" s="1022"/>
      <c r="S1099" s="1022"/>
      <c r="T1099" s="418"/>
      <c r="U1099" s="418"/>
      <c r="V1099" s="418"/>
      <c r="W1099" s="418"/>
      <c r="X1099" s="418"/>
      <c r="Y1099" s="418"/>
      <c r="Z1099" s="418"/>
      <c r="AA1099" s="418"/>
      <c r="AB1099" s="418"/>
      <c r="AC1099" s="418"/>
      <c r="AD1099" s="418"/>
      <c r="AE1099" s="418"/>
      <c r="AF1099" s="418"/>
      <c r="AG1099" s="418"/>
      <c r="AH1099" s="418"/>
      <c r="AI1099" s="418"/>
      <c r="AJ1099" s="418"/>
      <c r="AK1099" s="418"/>
      <c r="AL1099" s="418"/>
      <c r="AM1099" s="418"/>
      <c r="AN1099" s="423"/>
      <c r="AO1099" s="423"/>
      <c r="AP1099" s="423"/>
      <c r="AQ1099" s="423"/>
      <c r="AR1099" s="423"/>
      <c r="AS1099" s="423"/>
      <c r="AT1099" s="423"/>
      <c r="AU1099" s="423"/>
      <c r="AV1099" s="423"/>
      <c r="AW1099" s="418"/>
      <c r="AX1099" s="418"/>
      <c r="AY1099" s="418"/>
      <c r="AZ1099" s="418"/>
      <c r="BA1099" s="418"/>
      <c r="BB1099" s="306"/>
    </row>
    <row r="1100" spans="1:54" ht="15.75" customHeight="1">
      <c r="A1100" s="415"/>
      <c r="B1100" s="416"/>
      <c r="C1100" s="417"/>
      <c r="D1100" s="418"/>
      <c r="E1100" s="418"/>
      <c r="F1100" s="419"/>
      <c r="G1100" s="420"/>
      <c r="H1100" s="421"/>
      <c r="I1100" s="421"/>
      <c r="J1100" s="422"/>
      <c r="K1100" s="418"/>
      <c r="L1100" s="418"/>
      <c r="M1100" s="418"/>
      <c r="N1100" s="421"/>
      <c r="O1100" s="421"/>
      <c r="P1100" s="421"/>
      <c r="Q1100" s="418"/>
      <c r="R1100" s="1022"/>
      <c r="S1100" s="1022"/>
      <c r="T1100" s="418"/>
      <c r="U1100" s="418"/>
      <c r="V1100" s="418"/>
      <c r="W1100" s="418"/>
      <c r="X1100" s="418"/>
      <c r="Y1100" s="418"/>
      <c r="Z1100" s="418"/>
      <c r="AA1100" s="418"/>
      <c r="AB1100" s="418"/>
      <c r="AC1100" s="418"/>
      <c r="AD1100" s="418"/>
      <c r="AE1100" s="418"/>
      <c r="AF1100" s="418"/>
      <c r="AG1100" s="418"/>
      <c r="AH1100" s="418"/>
      <c r="AI1100" s="418"/>
      <c r="AJ1100" s="418"/>
      <c r="AK1100" s="418"/>
      <c r="AL1100" s="418"/>
      <c r="AM1100" s="418"/>
      <c r="AN1100" s="423"/>
      <c r="AO1100" s="423"/>
      <c r="AP1100" s="423"/>
      <c r="AQ1100" s="423"/>
      <c r="AR1100" s="423"/>
      <c r="AS1100" s="423"/>
      <c r="AT1100" s="423"/>
      <c r="AU1100" s="423"/>
      <c r="AV1100" s="423"/>
      <c r="AW1100" s="418"/>
      <c r="AX1100" s="418"/>
      <c r="AY1100" s="418"/>
      <c r="AZ1100" s="418"/>
      <c r="BA1100" s="418"/>
      <c r="BB1100" s="306"/>
    </row>
    <row r="1101" spans="1:54" ht="15.75" customHeight="1">
      <c r="A1101" s="415"/>
      <c r="B1101" s="416"/>
      <c r="C1101" s="417"/>
      <c r="D1101" s="418"/>
      <c r="E1101" s="418"/>
      <c r="F1101" s="419"/>
      <c r="G1101" s="420"/>
      <c r="H1101" s="421"/>
      <c r="I1101" s="421"/>
      <c r="J1101" s="422"/>
      <c r="K1101" s="418"/>
      <c r="L1101" s="418"/>
      <c r="M1101" s="418"/>
      <c r="N1101" s="421"/>
      <c r="O1101" s="421"/>
      <c r="P1101" s="421"/>
      <c r="Q1101" s="418"/>
      <c r="R1101" s="1022"/>
      <c r="S1101" s="1022"/>
      <c r="T1101" s="418"/>
      <c r="U1101" s="418"/>
      <c r="V1101" s="418"/>
      <c r="W1101" s="418"/>
      <c r="X1101" s="418"/>
      <c r="Y1101" s="418"/>
      <c r="Z1101" s="418"/>
      <c r="AA1101" s="418"/>
      <c r="AB1101" s="418"/>
      <c r="AC1101" s="418"/>
      <c r="AD1101" s="418"/>
      <c r="AE1101" s="418"/>
      <c r="AF1101" s="418"/>
      <c r="AG1101" s="418"/>
      <c r="AH1101" s="418"/>
      <c r="AI1101" s="418"/>
      <c r="AJ1101" s="418"/>
      <c r="AK1101" s="418"/>
      <c r="AL1101" s="418"/>
      <c r="AM1101" s="418"/>
      <c r="AN1101" s="423"/>
      <c r="AO1101" s="423"/>
      <c r="AP1101" s="423"/>
      <c r="AQ1101" s="423"/>
      <c r="AR1101" s="423"/>
      <c r="AS1101" s="423"/>
      <c r="AT1101" s="423"/>
      <c r="AU1101" s="423"/>
      <c r="AV1101" s="423"/>
      <c r="AW1101" s="418"/>
      <c r="AX1101" s="418"/>
      <c r="AY1101" s="418"/>
      <c r="AZ1101" s="418"/>
      <c r="BA1101" s="418"/>
      <c r="BB1101" s="306"/>
    </row>
    <row r="1102" spans="1:54" ht="15.75" customHeight="1">
      <c r="A1102" s="415"/>
      <c r="B1102" s="416"/>
      <c r="C1102" s="417"/>
      <c r="D1102" s="418"/>
      <c r="E1102" s="418"/>
      <c r="F1102" s="419"/>
      <c r="G1102" s="420"/>
      <c r="H1102" s="421"/>
      <c r="I1102" s="425"/>
      <c r="J1102" s="422"/>
      <c r="K1102" s="418"/>
      <c r="L1102" s="418"/>
      <c r="M1102" s="418"/>
      <c r="N1102" s="421"/>
      <c r="O1102" s="421"/>
      <c r="P1102" s="421"/>
      <c r="Q1102" s="418"/>
      <c r="R1102" s="1022"/>
      <c r="S1102" s="1022"/>
      <c r="T1102" s="418"/>
      <c r="U1102" s="418"/>
      <c r="V1102" s="418"/>
      <c r="W1102" s="418"/>
      <c r="X1102" s="418"/>
      <c r="Y1102" s="418"/>
      <c r="Z1102" s="418"/>
      <c r="AA1102" s="418"/>
      <c r="AB1102" s="418"/>
      <c r="AC1102" s="418"/>
      <c r="AD1102" s="418"/>
      <c r="AE1102" s="418"/>
      <c r="AF1102" s="418"/>
      <c r="AG1102" s="418"/>
      <c r="AH1102" s="418"/>
      <c r="AI1102" s="418"/>
      <c r="AJ1102" s="418"/>
      <c r="AK1102" s="418"/>
      <c r="AL1102" s="418"/>
      <c r="AM1102" s="418"/>
      <c r="AN1102" s="423"/>
      <c r="AO1102" s="423"/>
      <c r="AP1102" s="423"/>
      <c r="AQ1102" s="423"/>
      <c r="AR1102" s="423"/>
      <c r="AS1102" s="423"/>
      <c r="AT1102" s="423"/>
      <c r="AU1102" s="423"/>
      <c r="AV1102" s="423"/>
      <c r="AW1102" s="418"/>
      <c r="AX1102" s="418"/>
      <c r="AY1102" s="418"/>
      <c r="AZ1102" s="418"/>
      <c r="BA1102" s="418"/>
      <c r="BB1102" s="306"/>
    </row>
    <row r="1103" spans="1:54" ht="15.75" customHeight="1">
      <c r="A1103" s="415"/>
      <c r="B1103" s="416"/>
      <c r="C1103" s="417"/>
      <c r="D1103" s="418"/>
      <c r="E1103" s="418"/>
      <c r="F1103" s="419"/>
      <c r="G1103" s="420"/>
      <c r="H1103" s="421"/>
      <c r="I1103" s="421"/>
      <c r="J1103" s="422"/>
      <c r="K1103" s="418"/>
      <c r="L1103" s="418"/>
      <c r="M1103" s="418"/>
      <c r="N1103" s="421"/>
      <c r="O1103" s="421"/>
      <c r="P1103" s="421"/>
      <c r="Q1103" s="418"/>
      <c r="R1103" s="1022"/>
      <c r="S1103" s="1022"/>
      <c r="T1103" s="418"/>
      <c r="U1103" s="418"/>
      <c r="V1103" s="418"/>
      <c r="W1103" s="418"/>
      <c r="X1103" s="418"/>
      <c r="Y1103" s="418"/>
      <c r="Z1103" s="418"/>
      <c r="AA1103" s="418"/>
      <c r="AB1103" s="418"/>
      <c r="AC1103" s="418"/>
      <c r="AD1103" s="418"/>
      <c r="AE1103" s="418"/>
      <c r="AF1103" s="418"/>
      <c r="AG1103" s="418"/>
      <c r="AH1103" s="418"/>
      <c r="AI1103" s="418"/>
      <c r="AJ1103" s="418"/>
      <c r="AK1103" s="418"/>
      <c r="AL1103" s="418"/>
      <c r="AM1103" s="418"/>
      <c r="AN1103" s="423"/>
      <c r="AO1103" s="423"/>
      <c r="AP1103" s="423"/>
      <c r="AQ1103" s="423"/>
      <c r="AR1103" s="423"/>
      <c r="AS1103" s="423"/>
      <c r="AT1103" s="423"/>
      <c r="AU1103" s="423"/>
      <c r="AV1103" s="423"/>
      <c r="AW1103" s="418"/>
      <c r="AX1103" s="418"/>
      <c r="AY1103" s="418"/>
      <c r="AZ1103" s="418"/>
      <c r="BA1103" s="418"/>
      <c r="BB1103" s="306"/>
    </row>
    <row r="1104" spans="1:54" ht="15.75" customHeight="1">
      <c r="A1104" s="415"/>
      <c r="B1104" s="416"/>
      <c r="C1104" s="417"/>
      <c r="D1104" s="418"/>
      <c r="E1104" s="418"/>
      <c r="F1104" s="419"/>
      <c r="G1104" s="420"/>
      <c r="H1104" s="421"/>
      <c r="I1104" s="421"/>
      <c r="J1104" s="422"/>
      <c r="K1104" s="418"/>
      <c r="L1104" s="418"/>
      <c r="M1104" s="418"/>
      <c r="N1104" s="421"/>
      <c r="O1104" s="421"/>
      <c r="P1104" s="421"/>
      <c r="Q1104" s="418"/>
      <c r="R1104" s="1022"/>
      <c r="S1104" s="1022"/>
      <c r="T1104" s="418"/>
      <c r="U1104" s="418"/>
      <c r="V1104" s="418"/>
      <c r="W1104" s="418"/>
      <c r="X1104" s="418"/>
      <c r="Y1104" s="418"/>
      <c r="Z1104" s="418"/>
      <c r="AA1104" s="418"/>
      <c r="AB1104" s="418"/>
      <c r="AC1104" s="418"/>
      <c r="AD1104" s="418"/>
      <c r="AE1104" s="418"/>
      <c r="AF1104" s="418"/>
      <c r="AG1104" s="418"/>
      <c r="AH1104" s="418"/>
      <c r="AI1104" s="418"/>
      <c r="AJ1104" s="418"/>
      <c r="AK1104" s="418"/>
      <c r="AL1104" s="418"/>
      <c r="AM1104" s="418"/>
      <c r="AN1104" s="423"/>
      <c r="AO1104" s="423"/>
      <c r="AP1104" s="423"/>
      <c r="AQ1104" s="423"/>
      <c r="AR1104" s="423"/>
      <c r="AS1104" s="423"/>
      <c r="AT1104" s="423"/>
      <c r="AU1104" s="423"/>
      <c r="AV1104" s="423"/>
      <c r="AW1104" s="418"/>
      <c r="AX1104" s="418"/>
      <c r="AY1104" s="418"/>
      <c r="AZ1104" s="418"/>
      <c r="BA1104" s="418"/>
      <c r="BB1104" s="306"/>
    </row>
    <row r="1105" spans="1:54" ht="15.75" customHeight="1">
      <c r="A1105" s="415"/>
      <c r="B1105" s="416"/>
      <c r="C1105" s="417"/>
      <c r="D1105" s="418"/>
      <c r="E1105" s="418"/>
      <c r="F1105" s="419"/>
      <c r="G1105" s="420"/>
      <c r="H1105" s="421"/>
      <c r="I1105" s="425"/>
      <c r="J1105" s="422"/>
      <c r="K1105" s="418"/>
      <c r="L1105" s="418"/>
      <c r="M1105" s="418"/>
      <c r="N1105" s="421"/>
      <c r="O1105" s="421"/>
      <c r="P1105" s="421"/>
      <c r="Q1105" s="418"/>
      <c r="R1105" s="1022"/>
      <c r="S1105" s="1022"/>
      <c r="T1105" s="418"/>
      <c r="U1105" s="418"/>
      <c r="V1105" s="418"/>
      <c r="W1105" s="418"/>
      <c r="X1105" s="418"/>
      <c r="Y1105" s="418"/>
      <c r="Z1105" s="418"/>
      <c r="AA1105" s="418"/>
      <c r="AB1105" s="418"/>
      <c r="AC1105" s="418"/>
      <c r="AD1105" s="418"/>
      <c r="AE1105" s="418"/>
      <c r="AF1105" s="418"/>
      <c r="AG1105" s="418"/>
      <c r="AH1105" s="418"/>
      <c r="AI1105" s="418"/>
      <c r="AJ1105" s="418"/>
      <c r="AK1105" s="418"/>
      <c r="AL1105" s="418"/>
      <c r="AM1105" s="418"/>
      <c r="AN1105" s="423"/>
      <c r="AO1105" s="423"/>
      <c r="AP1105" s="423"/>
      <c r="AQ1105" s="423"/>
      <c r="AR1105" s="423"/>
      <c r="AS1105" s="423"/>
      <c r="AT1105" s="423"/>
      <c r="AU1105" s="423"/>
      <c r="AV1105" s="423"/>
      <c r="AW1105" s="418"/>
      <c r="AX1105" s="418"/>
      <c r="AY1105" s="418"/>
      <c r="AZ1105" s="418"/>
      <c r="BA1105" s="418"/>
      <c r="BB1105" s="306"/>
    </row>
    <row r="1106" spans="1:54" ht="15.75" customHeight="1">
      <c r="A1106" s="415"/>
      <c r="B1106" s="416"/>
      <c r="C1106" s="417"/>
      <c r="D1106" s="418"/>
      <c r="E1106" s="418"/>
      <c r="F1106" s="419"/>
      <c r="G1106" s="420"/>
      <c r="H1106" s="421"/>
      <c r="I1106" s="421"/>
      <c r="J1106" s="422"/>
      <c r="K1106" s="418"/>
      <c r="L1106" s="418"/>
      <c r="M1106" s="418"/>
      <c r="N1106" s="421"/>
      <c r="O1106" s="421"/>
      <c r="P1106" s="421"/>
      <c r="Q1106" s="418"/>
      <c r="R1106" s="1022"/>
      <c r="S1106" s="1022"/>
      <c r="T1106" s="418"/>
      <c r="U1106" s="418"/>
      <c r="V1106" s="418"/>
      <c r="W1106" s="418"/>
      <c r="X1106" s="418"/>
      <c r="Y1106" s="418"/>
      <c r="Z1106" s="418"/>
      <c r="AA1106" s="418"/>
      <c r="AB1106" s="418"/>
      <c r="AC1106" s="418"/>
      <c r="AD1106" s="418"/>
      <c r="AE1106" s="418"/>
      <c r="AF1106" s="418"/>
      <c r="AG1106" s="418"/>
      <c r="AH1106" s="418"/>
      <c r="AI1106" s="418"/>
      <c r="AJ1106" s="418"/>
      <c r="AK1106" s="418"/>
      <c r="AL1106" s="418"/>
      <c r="AM1106" s="418"/>
      <c r="AN1106" s="423"/>
      <c r="AO1106" s="423"/>
      <c r="AP1106" s="423"/>
      <c r="AQ1106" s="423"/>
      <c r="AR1106" s="423"/>
      <c r="AS1106" s="423"/>
      <c r="AT1106" s="423"/>
      <c r="AU1106" s="423"/>
      <c r="AV1106" s="423"/>
      <c r="AW1106" s="418"/>
      <c r="AX1106" s="418"/>
      <c r="AY1106" s="418"/>
      <c r="AZ1106" s="418"/>
      <c r="BA1106" s="418"/>
      <c r="BB1106" s="306"/>
    </row>
    <row r="1107" spans="1:54" ht="15.75" customHeight="1">
      <c r="A1107" s="415"/>
      <c r="B1107" s="416"/>
      <c r="C1107" s="417"/>
      <c r="D1107" s="418"/>
      <c r="E1107" s="418"/>
      <c r="F1107" s="419"/>
      <c r="G1107" s="420"/>
      <c r="H1107" s="421"/>
      <c r="I1107" s="425"/>
      <c r="J1107" s="422"/>
      <c r="K1107" s="418"/>
      <c r="L1107" s="418"/>
      <c r="M1107" s="418"/>
      <c r="N1107" s="421"/>
      <c r="O1107" s="421"/>
      <c r="P1107" s="421"/>
      <c r="Q1107" s="418"/>
      <c r="R1107" s="1022"/>
      <c r="S1107" s="1022"/>
      <c r="T1107" s="418"/>
      <c r="U1107" s="418"/>
      <c r="V1107" s="418"/>
      <c r="W1107" s="418"/>
      <c r="X1107" s="418"/>
      <c r="Y1107" s="418"/>
      <c r="Z1107" s="418"/>
      <c r="AA1107" s="418"/>
      <c r="AB1107" s="418"/>
      <c r="AC1107" s="418"/>
      <c r="AD1107" s="418"/>
      <c r="AE1107" s="418"/>
      <c r="AF1107" s="418"/>
      <c r="AG1107" s="418"/>
      <c r="AH1107" s="418"/>
      <c r="AI1107" s="418"/>
      <c r="AJ1107" s="418"/>
      <c r="AK1107" s="418"/>
      <c r="AL1107" s="418"/>
      <c r="AM1107" s="418"/>
      <c r="AN1107" s="423"/>
      <c r="AO1107" s="423"/>
      <c r="AP1107" s="423"/>
      <c r="AQ1107" s="423"/>
      <c r="AR1107" s="423"/>
      <c r="AS1107" s="423"/>
      <c r="AT1107" s="423"/>
      <c r="AU1107" s="423"/>
      <c r="AV1107" s="423"/>
      <c r="AW1107" s="418"/>
      <c r="AX1107" s="418"/>
      <c r="AY1107" s="418"/>
      <c r="AZ1107" s="418"/>
      <c r="BA1107" s="418"/>
      <c r="BB1107" s="306"/>
    </row>
    <row r="1108" spans="1:54" ht="15.75" customHeight="1">
      <c r="A1108" s="415"/>
      <c r="B1108" s="416"/>
      <c r="C1108" s="417"/>
      <c r="D1108" s="418"/>
      <c r="E1108" s="418"/>
      <c r="F1108" s="419"/>
      <c r="G1108" s="420"/>
      <c r="H1108" s="421"/>
      <c r="I1108" s="421"/>
      <c r="J1108" s="422"/>
      <c r="K1108" s="418"/>
      <c r="L1108" s="418"/>
      <c r="M1108" s="418"/>
      <c r="N1108" s="421"/>
      <c r="O1108" s="421"/>
      <c r="P1108" s="421"/>
      <c r="Q1108" s="418"/>
      <c r="R1108" s="1022"/>
      <c r="S1108" s="1022"/>
      <c r="T1108" s="418"/>
      <c r="U1108" s="418"/>
      <c r="V1108" s="418"/>
      <c r="W1108" s="418"/>
      <c r="X1108" s="418"/>
      <c r="Y1108" s="418"/>
      <c r="Z1108" s="418"/>
      <c r="AA1108" s="418"/>
      <c r="AB1108" s="418"/>
      <c r="AC1108" s="418"/>
      <c r="AD1108" s="418"/>
      <c r="AE1108" s="418"/>
      <c r="AF1108" s="418"/>
      <c r="AG1108" s="418"/>
      <c r="AH1108" s="418"/>
      <c r="AI1108" s="418"/>
      <c r="AJ1108" s="418"/>
      <c r="AK1108" s="418"/>
      <c r="AL1108" s="418"/>
      <c r="AM1108" s="418"/>
      <c r="AN1108" s="423"/>
      <c r="AO1108" s="423"/>
      <c r="AP1108" s="423"/>
      <c r="AQ1108" s="423"/>
      <c r="AR1108" s="423"/>
      <c r="AS1108" s="423"/>
      <c r="AT1108" s="423"/>
      <c r="AU1108" s="423"/>
      <c r="AV1108" s="423"/>
      <c r="AW1108" s="418"/>
      <c r="AX1108" s="418"/>
      <c r="AY1108" s="418"/>
      <c r="AZ1108" s="418"/>
      <c r="BA1108" s="418"/>
      <c r="BB1108" s="306"/>
    </row>
    <row r="1109" spans="1:54" ht="15.75" customHeight="1">
      <c r="A1109" s="415"/>
      <c r="B1109" s="416"/>
      <c r="C1109" s="417"/>
      <c r="D1109" s="418"/>
      <c r="E1109" s="418"/>
      <c r="F1109" s="419"/>
      <c r="G1109" s="420"/>
      <c r="H1109" s="421"/>
      <c r="I1109" s="421"/>
      <c r="J1109" s="422"/>
      <c r="K1109" s="418"/>
      <c r="L1109" s="418"/>
      <c r="M1109" s="418"/>
      <c r="N1109" s="421"/>
      <c r="O1109" s="421"/>
      <c r="P1109" s="421"/>
      <c r="Q1109" s="418"/>
      <c r="R1109" s="1022"/>
      <c r="S1109" s="1022"/>
      <c r="T1109" s="418"/>
      <c r="U1109" s="418"/>
      <c r="V1109" s="418"/>
      <c r="W1109" s="418"/>
      <c r="X1109" s="418"/>
      <c r="Y1109" s="418"/>
      <c r="Z1109" s="418"/>
      <c r="AA1109" s="418"/>
      <c r="AB1109" s="418"/>
      <c r="AC1109" s="418"/>
      <c r="AD1109" s="418"/>
      <c r="AE1109" s="418"/>
      <c r="AF1109" s="418"/>
      <c r="AG1109" s="418"/>
      <c r="AH1109" s="418"/>
      <c r="AI1109" s="418"/>
      <c r="AJ1109" s="418"/>
      <c r="AK1109" s="418"/>
      <c r="AL1109" s="418"/>
      <c r="AM1109" s="418"/>
      <c r="AN1109" s="423"/>
      <c r="AO1109" s="423"/>
      <c r="AP1109" s="423"/>
      <c r="AQ1109" s="423"/>
      <c r="AR1109" s="423"/>
      <c r="AS1109" s="423"/>
      <c r="AT1109" s="423"/>
      <c r="AU1109" s="423"/>
      <c r="AV1109" s="423"/>
      <c r="AW1109" s="418"/>
      <c r="AX1109" s="418"/>
      <c r="AY1109" s="418"/>
      <c r="AZ1109" s="418"/>
      <c r="BA1109" s="418"/>
      <c r="BB1109" s="306"/>
    </row>
    <row r="1110" spans="1:54" ht="15.75" customHeight="1">
      <c r="A1110" s="415"/>
      <c r="B1110" s="416"/>
      <c r="C1110" s="417"/>
      <c r="D1110" s="418"/>
      <c r="E1110" s="418"/>
      <c r="F1110" s="419"/>
      <c r="G1110" s="420"/>
      <c r="H1110" s="421"/>
      <c r="I1110" s="421"/>
      <c r="J1110" s="422"/>
      <c r="K1110" s="418"/>
      <c r="L1110" s="418"/>
      <c r="M1110" s="418"/>
      <c r="N1110" s="421"/>
      <c r="O1110" s="421"/>
      <c r="P1110" s="421"/>
      <c r="Q1110" s="418"/>
      <c r="R1110" s="1022"/>
      <c r="S1110" s="1022"/>
      <c r="T1110" s="418"/>
      <c r="U1110" s="418"/>
      <c r="V1110" s="418"/>
      <c r="W1110" s="418"/>
      <c r="X1110" s="418"/>
      <c r="Y1110" s="418"/>
      <c r="Z1110" s="418"/>
      <c r="AA1110" s="418"/>
      <c r="AB1110" s="418"/>
      <c r="AC1110" s="418"/>
      <c r="AD1110" s="418"/>
      <c r="AE1110" s="418"/>
      <c r="AF1110" s="418"/>
      <c r="AG1110" s="418"/>
      <c r="AH1110" s="418"/>
      <c r="AI1110" s="418"/>
      <c r="AJ1110" s="418"/>
      <c r="AK1110" s="418"/>
      <c r="AL1110" s="418"/>
      <c r="AM1110" s="418"/>
      <c r="AN1110" s="423"/>
      <c r="AO1110" s="423"/>
      <c r="AP1110" s="423"/>
      <c r="AQ1110" s="423"/>
      <c r="AR1110" s="423"/>
      <c r="AS1110" s="423"/>
      <c r="AT1110" s="423"/>
      <c r="AU1110" s="423"/>
      <c r="AV1110" s="423"/>
      <c r="AW1110" s="418"/>
      <c r="AX1110" s="418"/>
      <c r="AY1110" s="418"/>
      <c r="AZ1110" s="418"/>
      <c r="BA1110" s="418"/>
      <c r="BB1110" s="306"/>
    </row>
    <row r="1111" spans="1:54" ht="15.75" customHeight="1">
      <c r="A1111" s="415"/>
      <c r="B1111" s="416"/>
      <c r="C1111" s="417"/>
      <c r="D1111" s="418"/>
      <c r="E1111" s="418"/>
      <c r="F1111" s="419"/>
      <c r="G1111" s="420"/>
      <c r="H1111" s="421"/>
      <c r="I1111" s="421"/>
      <c r="J1111" s="422"/>
      <c r="K1111" s="418"/>
      <c r="L1111" s="418"/>
      <c r="M1111" s="418"/>
      <c r="N1111" s="421"/>
      <c r="O1111" s="421"/>
      <c r="P1111" s="421"/>
      <c r="Q1111" s="418"/>
      <c r="R1111" s="1022"/>
      <c r="S1111" s="1022"/>
      <c r="T1111" s="418"/>
      <c r="U1111" s="418"/>
      <c r="V1111" s="418"/>
      <c r="W1111" s="418"/>
      <c r="X1111" s="418"/>
      <c r="Y1111" s="418"/>
      <c r="Z1111" s="418"/>
      <c r="AA1111" s="418"/>
      <c r="AB1111" s="418"/>
      <c r="AC1111" s="418"/>
      <c r="AD1111" s="418"/>
      <c r="AE1111" s="418"/>
      <c r="AF1111" s="418"/>
      <c r="AG1111" s="418"/>
      <c r="AH1111" s="418"/>
      <c r="AI1111" s="418"/>
      <c r="AJ1111" s="418"/>
      <c r="AK1111" s="418"/>
      <c r="AL1111" s="418"/>
      <c r="AM1111" s="418"/>
      <c r="AN1111" s="423"/>
      <c r="AO1111" s="423"/>
      <c r="AP1111" s="423"/>
      <c r="AQ1111" s="423"/>
      <c r="AR1111" s="423"/>
      <c r="AS1111" s="423"/>
      <c r="AT1111" s="423"/>
      <c r="AU1111" s="423"/>
      <c r="AV1111" s="423"/>
      <c r="AW1111" s="418"/>
      <c r="AX1111" s="418"/>
      <c r="AY1111" s="418"/>
      <c r="AZ1111" s="418"/>
      <c r="BA1111" s="418"/>
      <c r="BB1111" s="306"/>
    </row>
    <row r="1112" spans="1:54" ht="15.75" customHeight="1">
      <c r="A1112" s="415"/>
      <c r="B1112" s="416"/>
      <c r="C1112" s="417"/>
      <c r="D1112" s="418"/>
      <c r="E1112" s="418"/>
      <c r="F1112" s="419"/>
      <c r="G1112" s="420"/>
      <c r="H1112" s="421"/>
      <c r="I1112" s="421"/>
      <c r="J1112" s="422"/>
      <c r="K1112" s="418"/>
      <c r="L1112" s="418"/>
      <c r="M1112" s="418"/>
      <c r="N1112" s="421"/>
      <c r="O1112" s="421"/>
      <c r="P1112" s="421"/>
      <c r="Q1112" s="418"/>
      <c r="R1112" s="1022"/>
      <c r="S1112" s="1022"/>
      <c r="T1112" s="418"/>
      <c r="U1112" s="418"/>
      <c r="V1112" s="418"/>
      <c r="W1112" s="418"/>
      <c r="X1112" s="418"/>
      <c r="Y1112" s="418"/>
      <c r="Z1112" s="418"/>
      <c r="AA1112" s="418"/>
      <c r="AB1112" s="418"/>
      <c r="AC1112" s="418"/>
      <c r="AD1112" s="418"/>
      <c r="AE1112" s="418"/>
      <c r="AF1112" s="418"/>
      <c r="AG1112" s="418"/>
      <c r="AH1112" s="418"/>
      <c r="AI1112" s="418"/>
      <c r="AJ1112" s="418"/>
      <c r="AK1112" s="418"/>
      <c r="AL1112" s="418"/>
      <c r="AM1112" s="418"/>
      <c r="AN1112" s="423"/>
      <c r="AO1112" s="423"/>
      <c r="AP1112" s="423"/>
      <c r="AQ1112" s="423"/>
      <c r="AR1112" s="423"/>
      <c r="AS1112" s="423"/>
      <c r="AT1112" s="423"/>
      <c r="AU1112" s="423"/>
      <c r="AV1112" s="423"/>
      <c r="AW1112" s="418"/>
      <c r="AX1112" s="418"/>
      <c r="AY1112" s="418"/>
      <c r="AZ1112" s="418"/>
      <c r="BA1112" s="418"/>
      <c r="BB1112" s="306"/>
    </row>
    <row r="1113" spans="1:54" ht="15.75" customHeight="1">
      <c r="A1113" s="415"/>
      <c r="B1113" s="416"/>
      <c r="C1113" s="417"/>
      <c r="D1113" s="418"/>
      <c r="E1113" s="418"/>
      <c r="F1113" s="419"/>
      <c r="G1113" s="420"/>
      <c r="H1113" s="421"/>
      <c r="I1113" s="425"/>
      <c r="J1113" s="422"/>
      <c r="K1113" s="418"/>
      <c r="L1113" s="418"/>
      <c r="M1113" s="418"/>
      <c r="N1113" s="421"/>
      <c r="O1113" s="421"/>
      <c r="P1113" s="421"/>
      <c r="Q1113" s="418"/>
      <c r="R1113" s="1022"/>
      <c r="S1113" s="1022"/>
      <c r="T1113" s="418"/>
      <c r="U1113" s="418"/>
      <c r="V1113" s="418"/>
      <c r="W1113" s="418"/>
      <c r="X1113" s="418"/>
      <c r="Y1113" s="418"/>
      <c r="Z1113" s="418"/>
      <c r="AA1113" s="418"/>
      <c r="AB1113" s="418"/>
      <c r="AC1113" s="418"/>
      <c r="AD1113" s="418"/>
      <c r="AE1113" s="418"/>
      <c r="AF1113" s="418"/>
      <c r="AG1113" s="418"/>
      <c r="AH1113" s="418"/>
      <c r="AI1113" s="418"/>
      <c r="AJ1113" s="418"/>
      <c r="AK1113" s="418"/>
      <c r="AL1113" s="418"/>
      <c r="AM1113" s="418"/>
      <c r="AN1113" s="423"/>
      <c r="AO1113" s="423"/>
      <c r="AP1113" s="423"/>
      <c r="AQ1113" s="423"/>
      <c r="AR1113" s="423"/>
      <c r="AS1113" s="423"/>
      <c r="AT1113" s="423"/>
      <c r="AU1113" s="423"/>
      <c r="AV1113" s="423"/>
      <c r="AW1113" s="418"/>
      <c r="AX1113" s="418"/>
      <c r="AY1113" s="418"/>
      <c r="AZ1113" s="418"/>
      <c r="BA1113" s="418"/>
      <c r="BB1113" s="306"/>
    </row>
    <row r="1114" spans="1:54" ht="15.75" customHeight="1">
      <c r="A1114" s="415"/>
      <c r="B1114" s="416"/>
      <c r="C1114" s="417"/>
      <c r="D1114" s="418"/>
      <c r="E1114" s="418"/>
      <c r="F1114" s="419"/>
      <c r="G1114" s="420"/>
      <c r="H1114" s="421"/>
      <c r="I1114" s="421"/>
      <c r="J1114" s="422"/>
      <c r="K1114" s="418"/>
      <c r="L1114" s="418"/>
      <c r="M1114" s="418"/>
      <c r="N1114" s="421"/>
      <c r="O1114" s="421"/>
      <c r="P1114" s="421"/>
      <c r="Q1114" s="418"/>
      <c r="R1114" s="1022"/>
      <c r="S1114" s="1022"/>
      <c r="T1114" s="418"/>
      <c r="U1114" s="418"/>
      <c r="V1114" s="418"/>
      <c r="W1114" s="418"/>
      <c r="X1114" s="418"/>
      <c r="Y1114" s="418"/>
      <c r="Z1114" s="418"/>
      <c r="AA1114" s="418"/>
      <c r="AB1114" s="418"/>
      <c r="AC1114" s="418"/>
      <c r="AD1114" s="418"/>
      <c r="AE1114" s="418"/>
      <c r="AF1114" s="418"/>
      <c r="AG1114" s="418"/>
      <c r="AH1114" s="418"/>
      <c r="AI1114" s="418"/>
      <c r="AJ1114" s="418"/>
      <c r="AK1114" s="418"/>
      <c r="AL1114" s="418"/>
      <c r="AM1114" s="418"/>
      <c r="AN1114" s="423"/>
      <c r="AO1114" s="423"/>
      <c r="AP1114" s="423"/>
      <c r="AQ1114" s="423"/>
      <c r="AR1114" s="423"/>
      <c r="AS1114" s="423"/>
      <c r="AT1114" s="423"/>
      <c r="AU1114" s="423"/>
      <c r="AV1114" s="423"/>
      <c r="AW1114" s="418"/>
      <c r="AX1114" s="418"/>
      <c r="AY1114" s="418"/>
      <c r="AZ1114" s="418"/>
      <c r="BA1114" s="418"/>
      <c r="BB1114" s="306"/>
    </row>
    <row r="1115" spans="1:54" ht="15.75" customHeight="1">
      <c r="A1115" s="415"/>
      <c r="B1115" s="416"/>
      <c r="C1115" s="417"/>
      <c r="D1115" s="418"/>
      <c r="E1115" s="418"/>
      <c r="F1115" s="419"/>
      <c r="G1115" s="420"/>
      <c r="H1115" s="421"/>
      <c r="I1115" s="425"/>
      <c r="J1115" s="422"/>
      <c r="K1115" s="418"/>
      <c r="L1115" s="418"/>
      <c r="M1115" s="418"/>
      <c r="N1115" s="421"/>
      <c r="O1115" s="421"/>
      <c r="P1115" s="421"/>
      <c r="Q1115" s="418"/>
      <c r="R1115" s="1022"/>
      <c r="S1115" s="1022"/>
      <c r="T1115" s="418"/>
      <c r="U1115" s="418"/>
      <c r="V1115" s="418"/>
      <c r="W1115" s="418"/>
      <c r="X1115" s="418"/>
      <c r="Y1115" s="418"/>
      <c r="Z1115" s="418"/>
      <c r="AA1115" s="418"/>
      <c r="AB1115" s="418"/>
      <c r="AC1115" s="418"/>
      <c r="AD1115" s="418"/>
      <c r="AE1115" s="418"/>
      <c r="AF1115" s="418"/>
      <c r="AG1115" s="418"/>
      <c r="AH1115" s="418"/>
      <c r="AI1115" s="418"/>
      <c r="AJ1115" s="418"/>
      <c r="AK1115" s="418"/>
      <c r="AL1115" s="418"/>
      <c r="AM1115" s="418"/>
      <c r="AN1115" s="423"/>
      <c r="AO1115" s="423"/>
      <c r="AP1115" s="423"/>
      <c r="AQ1115" s="423"/>
      <c r="AR1115" s="423"/>
      <c r="AS1115" s="423"/>
      <c r="AT1115" s="423"/>
      <c r="AU1115" s="423"/>
      <c r="AV1115" s="423"/>
      <c r="AW1115" s="418"/>
      <c r="AX1115" s="418"/>
      <c r="AY1115" s="418"/>
      <c r="AZ1115" s="418"/>
      <c r="BA1115" s="418"/>
      <c r="BB1115" s="306"/>
    </row>
    <row r="1116" spans="1:54" ht="15.75" customHeight="1">
      <c r="A1116" s="415"/>
      <c r="B1116" s="416"/>
      <c r="C1116" s="417"/>
      <c r="D1116" s="418"/>
      <c r="E1116" s="418"/>
      <c r="F1116" s="419"/>
      <c r="G1116" s="420"/>
      <c r="H1116" s="421"/>
      <c r="I1116" s="421"/>
      <c r="J1116" s="422"/>
      <c r="K1116" s="418"/>
      <c r="L1116" s="418"/>
      <c r="M1116" s="418"/>
      <c r="N1116" s="421"/>
      <c r="O1116" s="421"/>
      <c r="P1116" s="421"/>
      <c r="Q1116" s="418"/>
      <c r="R1116" s="1022"/>
      <c r="S1116" s="1022"/>
      <c r="T1116" s="418"/>
      <c r="U1116" s="418"/>
      <c r="V1116" s="418"/>
      <c r="W1116" s="418"/>
      <c r="X1116" s="418"/>
      <c r="Y1116" s="418"/>
      <c r="Z1116" s="418"/>
      <c r="AA1116" s="418"/>
      <c r="AB1116" s="418"/>
      <c r="AC1116" s="418"/>
      <c r="AD1116" s="418"/>
      <c r="AE1116" s="418"/>
      <c r="AF1116" s="418"/>
      <c r="AG1116" s="418"/>
      <c r="AH1116" s="418"/>
      <c r="AI1116" s="418"/>
      <c r="AJ1116" s="418"/>
      <c r="AK1116" s="418"/>
      <c r="AL1116" s="418"/>
      <c r="AM1116" s="418"/>
      <c r="AN1116" s="423"/>
      <c r="AO1116" s="423"/>
      <c r="AP1116" s="423"/>
      <c r="AQ1116" s="423"/>
      <c r="AR1116" s="423"/>
      <c r="AS1116" s="423"/>
      <c r="AT1116" s="423"/>
      <c r="AU1116" s="423"/>
      <c r="AV1116" s="423"/>
      <c r="AW1116" s="418"/>
      <c r="AX1116" s="418"/>
      <c r="AY1116" s="418"/>
      <c r="AZ1116" s="418"/>
      <c r="BA1116" s="418"/>
      <c r="BB1116" s="306"/>
    </row>
    <row r="1117" spans="1:54" ht="15.75" customHeight="1">
      <c r="A1117" s="415"/>
      <c r="B1117" s="416"/>
      <c r="C1117" s="417"/>
      <c r="D1117" s="418"/>
      <c r="E1117" s="418"/>
      <c r="F1117" s="419"/>
      <c r="G1117" s="420"/>
      <c r="H1117" s="421"/>
      <c r="I1117" s="425"/>
      <c r="J1117" s="422"/>
      <c r="K1117" s="418"/>
      <c r="L1117" s="418"/>
      <c r="M1117" s="418"/>
      <c r="N1117" s="421"/>
      <c r="O1117" s="421"/>
      <c r="P1117" s="421"/>
      <c r="Q1117" s="418"/>
      <c r="R1117" s="1022"/>
      <c r="S1117" s="1022"/>
      <c r="T1117" s="418"/>
      <c r="U1117" s="418"/>
      <c r="V1117" s="418"/>
      <c r="W1117" s="418"/>
      <c r="X1117" s="418"/>
      <c r="Y1117" s="418"/>
      <c r="Z1117" s="418"/>
      <c r="AA1117" s="418"/>
      <c r="AB1117" s="418"/>
      <c r="AC1117" s="418"/>
      <c r="AD1117" s="418"/>
      <c r="AE1117" s="418"/>
      <c r="AF1117" s="418"/>
      <c r="AG1117" s="418"/>
      <c r="AH1117" s="418"/>
      <c r="AI1117" s="418"/>
      <c r="AJ1117" s="418"/>
      <c r="AK1117" s="418"/>
      <c r="AL1117" s="418"/>
      <c r="AM1117" s="418"/>
      <c r="AN1117" s="423"/>
      <c r="AO1117" s="423"/>
      <c r="AP1117" s="423"/>
      <c r="AQ1117" s="423"/>
      <c r="AR1117" s="423"/>
      <c r="AS1117" s="423"/>
      <c r="AT1117" s="423"/>
      <c r="AU1117" s="423"/>
      <c r="AV1117" s="423"/>
      <c r="AW1117" s="418"/>
      <c r="AX1117" s="418"/>
      <c r="AY1117" s="418"/>
      <c r="AZ1117" s="418"/>
      <c r="BA1117" s="418"/>
      <c r="BB1117" s="306"/>
    </row>
    <row r="1118" spans="1:54" ht="15.75" customHeight="1">
      <c r="A1118" s="415"/>
      <c r="B1118" s="416"/>
      <c r="C1118" s="417"/>
      <c r="D1118" s="418"/>
      <c r="E1118" s="418"/>
      <c r="F1118" s="419"/>
      <c r="G1118" s="420"/>
      <c r="H1118" s="421"/>
      <c r="I1118" s="421"/>
      <c r="J1118" s="422"/>
      <c r="K1118" s="418"/>
      <c r="L1118" s="418"/>
      <c r="M1118" s="418"/>
      <c r="N1118" s="421"/>
      <c r="O1118" s="421"/>
      <c r="P1118" s="421"/>
      <c r="Q1118" s="418"/>
      <c r="R1118" s="1022"/>
      <c r="S1118" s="1022"/>
      <c r="T1118" s="418"/>
      <c r="U1118" s="418"/>
      <c r="V1118" s="418"/>
      <c r="W1118" s="418"/>
      <c r="X1118" s="418"/>
      <c r="Y1118" s="418"/>
      <c r="Z1118" s="418"/>
      <c r="AA1118" s="418"/>
      <c r="AB1118" s="418"/>
      <c r="AC1118" s="418"/>
      <c r="AD1118" s="418"/>
      <c r="AE1118" s="418"/>
      <c r="AF1118" s="418"/>
      <c r="AG1118" s="418"/>
      <c r="AH1118" s="418"/>
      <c r="AI1118" s="418"/>
      <c r="AJ1118" s="418"/>
      <c r="AK1118" s="418"/>
      <c r="AL1118" s="418"/>
      <c r="AM1118" s="418"/>
      <c r="AN1118" s="423"/>
      <c r="AO1118" s="423"/>
      <c r="AP1118" s="423"/>
      <c r="AQ1118" s="423"/>
      <c r="AR1118" s="423"/>
      <c r="AS1118" s="423"/>
      <c r="AT1118" s="423"/>
      <c r="AU1118" s="423"/>
      <c r="AV1118" s="423"/>
      <c r="AW1118" s="418"/>
      <c r="AX1118" s="418"/>
      <c r="AY1118" s="418"/>
      <c r="AZ1118" s="418"/>
      <c r="BA1118" s="418"/>
      <c r="BB1118" s="306"/>
    </row>
    <row r="1119" spans="1:54" ht="15.75" customHeight="1">
      <c r="A1119" s="415"/>
      <c r="B1119" s="416"/>
      <c r="C1119" s="417"/>
      <c r="D1119" s="418"/>
      <c r="E1119" s="418"/>
      <c r="F1119" s="419"/>
      <c r="G1119" s="420"/>
      <c r="H1119" s="421"/>
      <c r="I1119" s="421"/>
      <c r="J1119" s="422"/>
      <c r="K1119" s="418"/>
      <c r="L1119" s="418"/>
      <c r="M1119" s="418"/>
      <c r="N1119" s="421"/>
      <c r="O1119" s="421"/>
      <c r="P1119" s="421"/>
      <c r="Q1119" s="418"/>
      <c r="R1119" s="1022"/>
      <c r="S1119" s="1022"/>
      <c r="T1119" s="418"/>
      <c r="U1119" s="418"/>
      <c r="V1119" s="418"/>
      <c r="W1119" s="418"/>
      <c r="X1119" s="418"/>
      <c r="Y1119" s="418"/>
      <c r="Z1119" s="418"/>
      <c r="AA1119" s="418"/>
      <c r="AB1119" s="418"/>
      <c r="AC1119" s="418"/>
      <c r="AD1119" s="418"/>
      <c r="AE1119" s="418"/>
      <c r="AF1119" s="418"/>
      <c r="AG1119" s="418"/>
      <c r="AH1119" s="418"/>
      <c r="AI1119" s="418"/>
      <c r="AJ1119" s="418"/>
      <c r="AK1119" s="418"/>
      <c r="AL1119" s="418"/>
      <c r="AM1119" s="418"/>
      <c r="AN1119" s="423"/>
      <c r="AO1119" s="423"/>
      <c r="AP1119" s="423"/>
      <c r="AQ1119" s="423"/>
      <c r="AR1119" s="423"/>
      <c r="AS1119" s="423"/>
      <c r="AT1119" s="423"/>
      <c r="AU1119" s="423"/>
      <c r="AV1119" s="423"/>
      <c r="AW1119" s="418"/>
      <c r="AX1119" s="418"/>
      <c r="AY1119" s="418"/>
      <c r="AZ1119" s="418"/>
      <c r="BA1119" s="418"/>
      <c r="BB1119" s="306"/>
    </row>
    <row r="1120" spans="1:54" ht="15.75" customHeight="1">
      <c r="A1120" s="415"/>
      <c r="B1120" s="416"/>
      <c r="C1120" s="417"/>
      <c r="D1120" s="418"/>
      <c r="E1120" s="418"/>
      <c r="F1120" s="419"/>
      <c r="G1120" s="420"/>
      <c r="H1120" s="421"/>
      <c r="I1120" s="421"/>
      <c r="J1120" s="422"/>
      <c r="K1120" s="418"/>
      <c r="L1120" s="418"/>
      <c r="M1120" s="418"/>
      <c r="N1120" s="421"/>
      <c r="O1120" s="421"/>
      <c r="P1120" s="421"/>
      <c r="Q1120" s="418"/>
      <c r="R1120" s="1022"/>
      <c r="S1120" s="1022"/>
      <c r="T1120" s="418"/>
      <c r="U1120" s="418"/>
      <c r="V1120" s="418"/>
      <c r="W1120" s="418"/>
      <c r="X1120" s="418"/>
      <c r="Y1120" s="418"/>
      <c r="Z1120" s="418"/>
      <c r="AA1120" s="418"/>
      <c r="AB1120" s="418"/>
      <c r="AC1120" s="418"/>
      <c r="AD1120" s="418"/>
      <c r="AE1120" s="418"/>
      <c r="AF1120" s="418"/>
      <c r="AG1120" s="418"/>
      <c r="AH1120" s="418"/>
      <c r="AI1120" s="418"/>
      <c r="AJ1120" s="418"/>
      <c r="AK1120" s="418"/>
      <c r="AL1120" s="418"/>
      <c r="AM1120" s="418"/>
      <c r="AN1120" s="423"/>
      <c r="AO1120" s="423"/>
      <c r="AP1120" s="423"/>
      <c r="AQ1120" s="423"/>
      <c r="AR1120" s="423"/>
      <c r="AS1120" s="423"/>
      <c r="AT1120" s="423"/>
      <c r="AU1120" s="423"/>
      <c r="AV1120" s="423"/>
      <c r="AW1120" s="418"/>
      <c r="AX1120" s="418"/>
      <c r="AY1120" s="418"/>
      <c r="AZ1120" s="418"/>
      <c r="BA1120" s="418"/>
      <c r="BB1120" s="306"/>
    </row>
    <row r="1121" spans="1:54" ht="15.75" customHeight="1">
      <c r="A1121" s="415"/>
      <c r="B1121" s="416"/>
      <c r="C1121" s="417"/>
      <c r="D1121" s="418"/>
      <c r="E1121" s="418"/>
      <c r="F1121" s="419"/>
      <c r="G1121" s="420"/>
      <c r="H1121" s="421"/>
      <c r="I1121" s="421"/>
      <c r="J1121" s="422"/>
      <c r="K1121" s="418"/>
      <c r="L1121" s="418"/>
      <c r="M1121" s="418"/>
      <c r="N1121" s="421"/>
      <c r="O1121" s="421"/>
      <c r="P1121" s="421"/>
      <c r="Q1121" s="418"/>
      <c r="R1121" s="1022"/>
      <c r="S1121" s="1022"/>
      <c r="T1121" s="418"/>
      <c r="U1121" s="418"/>
      <c r="V1121" s="418"/>
      <c r="W1121" s="418"/>
      <c r="X1121" s="418"/>
      <c r="Y1121" s="418"/>
      <c r="Z1121" s="418"/>
      <c r="AA1121" s="418"/>
      <c r="AB1121" s="418"/>
      <c r="AC1121" s="418"/>
      <c r="AD1121" s="418"/>
      <c r="AE1121" s="418"/>
      <c r="AF1121" s="418"/>
      <c r="AG1121" s="418"/>
      <c r="AH1121" s="418"/>
      <c r="AI1121" s="418"/>
      <c r="AJ1121" s="418"/>
      <c r="AK1121" s="418"/>
      <c r="AL1121" s="418"/>
      <c r="AM1121" s="418"/>
      <c r="AN1121" s="423"/>
      <c r="AO1121" s="423"/>
      <c r="AP1121" s="423"/>
      <c r="AQ1121" s="423"/>
      <c r="AR1121" s="423"/>
      <c r="AS1121" s="423"/>
      <c r="AT1121" s="423"/>
      <c r="AU1121" s="423"/>
      <c r="AV1121" s="423"/>
      <c r="AW1121" s="418"/>
      <c r="AX1121" s="418"/>
      <c r="AY1121" s="418"/>
      <c r="AZ1121" s="418"/>
      <c r="BA1121" s="418"/>
      <c r="BB1121" s="306"/>
    </row>
    <row r="1122" spans="1:54" ht="15.75" customHeight="1">
      <c r="A1122" s="415"/>
      <c r="B1122" s="416"/>
      <c r="C1122" s="417"/>
      <c r="D1122" s="418"/>
      <c r="E1122" s="418"/>
      <c r="F1122" s="419"/>
      <c r="G1122" s="420"/>
      <c r="H1122" s="421"/>
      <c r="I1122" s="421"/>
      <c r="J1122" s="422"/>
      <c r="K1122" s="418"/>
      <c r="L1122" s="418"/>
      <c r="M1122" s="418"/>
      <c r="N1122" s="421"/>
      <c r="O1122" s="421"/>
      <c r="P1122" s="421"/>
      <c r="Q1122" s="418"/>
      <c r="R1122" s="1022"/>
      <c r="S1122" s="1022"/>
      <c r="T1122" s="418"/>
      <c r="U1122" s="418"/>
      <c r="V1122" s="418"/>
      <c r="W1122" s="418"/>
      <c r="X1122" s="418"/>
      <c r="Y1122" s="418"/>
      <c r="Z1122" s="418"/>
      <c r="AA1122" s="418"/>
      <c r="AB1122" s="418"/>
      <c r="AC1122" s="418"/>
      <c r="AD1122" s="418"/>
      <c r="AE1122" s="418"/>
      <c r="AF1122" s="418"/>
      <c r="AG1122" s="418"/>
      <c r="AH1122" s="418"/>
      <c r="AI1122" s="418"/>
      <c r="AJ1122" s="418"/>
      <c r="AK1122" s="418"/>
      <c r="AL1122" s="418"/>
      <c r="AM1122" s="418"/>
      <c r="AN1122" s="423"/>
      <c r="AO1122" s="423"/>
      <c r="AP1122" s="423"/>
      <c r="AQ1122" s="423"/>
      <c r="AR1122" s="423"/>
      <c r="AS1122" s="423"/>
      <c r="AT1122" s="423"/>
      <c r="AU1122" s="423"/>
      <c r="AV1122" s="423"/>
      <c r="AW1122" s="418"/>
      <c r="AX1122" s="418"/>
      <c r="AY1122" s="418"/>
      <c r="AZ1122" s="418"/>
      <c r="BA1122" s="418"/>
      <c r="BB1122" s="306"/>
    </row>
    <row r="1123" spans="1:54" ht="15.75" customHeight="1">
      <c r="A1123" s="415"/>
      <c r="B1123" s="416"/>
      <c r="C1123" s="417"/>
      <c r="D1123" s="418"/>
      <c r="E1123" s="418"/>
      <c r="F1123" s="419"/>
      <c r="G1123" s="420"/>
      <c r="H1123" s="421"/>
      <c r="I1123" s="421"/>
      <c r="J1123" s="422"/>
      <c r="K1123" s="418"/>
      <c r="L1123" s="418"/>
      <c r="M1123" s="418"/>
      <c r="N1123" s="421"/>
      <c r="O1123" s="421"/>
      <c r="P1123" s="421"/>
      <c r="Q1123" s="418"/>
      <c r="R1123" s="1022"/>
      <c r="S1123" s="1022"/>
      <c r="T1123" s="418"/>
      <c r="U1123" s="418"/>
      <c r="V1123" s="418"/>
      <c r="W1123" s="418"/>
      <c r="X1123" s="418"/>
      <c r="Y1123" s="418"/>
      <c r="Z1123" s="418"/>
      <c r="AA1123" s="418"/>
      <c r="AB1123" s="418"/>
      <c r="AC1123" s="418"/>
      <c r="AD1123" s="418"/>
      <c r="AE1123" s="418"/>
      <c r="AF1123" s="418"/>
      <c r="AG1123" s="418"/>
      <c r="AH1123" s="418"/>
      <c r="AI1123" s="418"/>
      <c r="AJ1123" s="418"/>
      <c r="AK1123" s="418"/>
      <c r="AL1123" s="418"/>
      <c r="AM1123" s="418"/>
      <c r="AN1123" s="423"/>
      <c r="AO1123" s="423"/>
      <c r="AP1123" s="423"/>
      <c r="AQ1123" s="423"/>
      <c r="AR1123" s="423"/>
      <c r="AS1123" s="423"/>
      <c r="AT1123" s="423"/>
      <c r="AU1123" s="423"/>
      <c r="AV1123" s="423"/>
      <c r="AW1123" s="418"/>
      <c r="AX1123" s="418"/>
      <c r="AY1123" s="418"/>
      <c r="AZ1123" s="418"/>
      <c r="BA1123" s="418"/>
      <c r="BB1123" s="306"/>
    </row>
    <row r="1124" spans="1:54" ht="15.75" customHeight="1">
      <c r="A1124" s="415"/>
      <c r="B1124" s="416"/>
      <c r="C1124" s="417"/>
      <c r="D1124" s="418"/>
      <c r="E1124" s="418"/>
      <c r="F1124" s="419"/>
      <c r="G1124" s="420"/>
      <c r="H1124" s="421"/>
      <c r="I1124" s="421"/>
      <c r="J1124" s="422"/>
      <c r="K1124" s="418"/>
      <c r="L1124" s="418"/>
      <c r="M1124" s="418"/>
      <c r="N1124" s="421"/>
      <c r="O1124" s="421"/>
      <c r="P1124" s="421"/>
      <c r="Q1124" s="418"/>
      <c r="R1124" s="1022"/>
      <c r="S1124" s="1022"/>
      <c r="T1124" s="418"/>
      <c r="U1124" s="418"/>
      <c r="V1124" s="418"/>
      <c r="W1124" s="418"/>
      <c r="X1124" s="418"/>
      <c r="Y1124" s="418"/>
      <c r="Z1124" s="418"/>
      <c r="AA1124" s="418"/>
      <c r="AB1124" s="418"/>
      <c r="AC1124" s="418"/>
      <c r="AD1124" s="418"/>
      <c r="AE1124" s="418"/>
      <c r="AF1124" s="418"/>
      <c r="AG1124" s="418"/>
      <c r="AH1124" s="418"/>
      <c r="AI1124" s="418"/>
      <c r="AJ1124" s="418"/>
      <c r="AK1124" s="418"/>
      <c r="AL1124" s="418"/>
      <c r="AM1124" s="418"/>
      <c r="AN1124" s="423"/>
      <c r="AO1124" s="423"/>
      <c r="AP1124" s="423"/>
      <c r="AQ1124" s="423"/>
      <c r="AR1124" s="423"/>
      <c r="AS1124" s="423"/>
      <c r="AT1124" s="423"/>
      <c r="AU1124" s="423"/>
      <c r="AV1124" s="423"/>
      <c r="AW1124" s="418"/>
      <c r="AX1124" s="418"/>
      <c r="AY1124" s="418"/>
      <c r="AZ1124" s="418"/>
      <c r="BA1124" s="418"/>
      <c r="BB1124" s="306"/>
    </row>
    <row r="1125" spans="1:54" ht="15.75" customHeight="1">
      <c r="A1125" s="415"/>
      <c r="B1125" s="416"/>
      <c r="C1125" s="417"/>
      <c r="D1125" s="418"/>
      <c r="E1125" s="418"/>
      <c r="F1125" s="419"/>
      <c r="G1125" s="420"/>
      <c r="H1125" s="421"/>
      <c r="I1125" s="421"/>
      <c r="J1125" s="422"/>
      <c r="K1125" s="418"/>
      <c r="L1125" s="418"/>
      <c r="M1125" s="418"/>
      <c r="N1125" s="421"/>
      <c r="O1125" s="421"/>
      <c r="P1125" s="421"/>
      <c r="Q1125" s="418"/>
      <c r="R1125" s="1022"/>
      <c r="S1125" s="1022"/>
      <c r="T1125" s="418"/>
      <c r="U1125" s="418"/>
      <c r="V1125" s="418"/>
      <c r="W1125" s="418"/>
      <c r="X1125" s="418"/>
      <c r="Y1125" s="418"/>
      <c r="Z1125" s="418"/>
      <c r="AA1125" s="418"/>
      <c r="AB1125" s="418"/>
      <c r="AC1125" s="418"/>
      <c r="AD1125" s="418"/>
      <c r="AE1125" s="418"/>
      <c r="AF1125" s="418"/>
      <c r="AG1125" s="418"/>
      <c r="AH1125" s="418"/>
      <c r="AI1125" s="418"/>
      <c r="AJ1125" s="418"/>
      <c r="AK1125" s="418"/>
      <c r="AL1125" s="418"/>
      <c r="AM1125" s="418"/>
      <c r="AN1125" s="423"/>
      <c r="AO1125" s="423"/>
      <c r="AP1125" s="423"/>
      <c r="AQ1125" s="423"/>
      <c r="AR1125" s="423"/>
      <c r="AS1125" s="423"/>
      <c r="AT1125" s="423"/>
      <c r="AU1125" s="423"/>
      <c r="AV1125" s="423"/>
      <c r="AW1125" s="418"/>
      <c r="AX1125" s="418"/>
      <c r="AY1125" s="418"/>
      <c r="AZ1125" s="418"/>
      <c r="BA1125" s="418"/>
      <c r="BB1125" s="306"/>
    </row>
    <row r="1126" spans="1:54" ht="15.75" customHeight="1">
      <c r="A1126" s="415"/>
      <c r="B1126" s="416"/>
      <c r="C1126" s="417"/>
      <c r="D1126" s="418"/>
      <c r="E1126" s="418"/>
      <c r="F1126" s="419"/>
      <c r="G1126" s="420"/>
      <c r="H1126" s="421"/>
      <c r="I1126" s="421"/>
      <c r="J1126" s="422"/>
      <c r="K1126" s="418"/>
      <c r="L1126" s="418"/>
      <c r="M1126" s="418"/>
      <c r="N1126" s="421"/>
      <c r="O1126" s="421"/>
      <c r="P1126" s="421"/>
      <c r="Q1126" s="418"/>
      <c r="R1126" s="1022"/>
      <c r="S1126" s="1022"/>
      <c r="T1126" s="418"/>
      <c r="U1126" s="418"/>
      <c r="V1126" s="418"/>
      <c r="W1126" s="418"/>
      <c r="X1126" s="418"/>
      <c r="Y1126" s="418"/>
      <c r="Z1126" s="418"/>
      <c r="AA1126" s="418"/>
      <c r="AB1126" s="418"/>
      <c r="AC1126" s="418"/>
      <c r="AD1126" s="418"/>
      <c r="AE1126" s="418"/>
      <c r="AF1126" s="418"/>
      <c r="AG1126" s="418"/>
      <c r="AH1126" s="418"/>
      <c r="AI1126" s="418"/>
      <c r="AJ1126" s="418"/>
      <c r="AK1126" s="418"/>
      <c r="AL1126" s="418"/>
      <c r="AM1126" s="418"/>
      <c r="AN1126" s="423"/>
      <c r="AO1126" s="423"/>
      <c r="AP1126" s="423"/>
      <c r="AQ1126" s="423"/>
      <c r="AR1126" s="423"/>
      <c r="AS1126" s="423"/>
      <c r="AT1126" s="423"/>
      <c r="AU1126" s="423"/>
      <c r="AV1126" s="423"/>
      <c r="AW1126" s="418"/>
      <c r="AX1126" s="418"/>
      <c r="AY1126" s="418"/>
      <c r="AZ1126" s="418"/>
      <c r="BA1126" s="418"/>
      <c r="BB1126" s="306"/>
    </row>
    <row r="1127" spans="1:54" ht="15.75" customHeight="1">
      <c r="A1127" s="415"/>
      <c r="B1127" s="416"/>
      <c r="C1127" s="417"/>
      <c r="D1127" s="418"/>
      <c r="E1127" s="418"/>
      <c r="F1127" s="419"/>
      <c r="G1127" s="420"/>
      <c r="H1127" s="421"/>
      <c r="I1127" s="421"/>
      <c r="J1127" s="422"/>
      <c r="K1127" s="418"/>
      <c r="L1127" s="418"/>
      <c r="M1127" s="418"/>
      <c r="N1127" s="421"/>
      <c r="O1127" s="421"/>
      <c r="P1127" s="421"/>
      <c r="Q1127" s="418"/>
      <c r="R1127" s="1022"/>
      <c r="S1127" s="1022"/>
      <c r="T1127" s="418"/>
      <c r="U1127" s="418"/>
      <c r="V1127" s="418"/>
      <c r="W1127" s="418"/>
      <c r="X1127" s="418"/>
      <c r="Y1127" s="418"/>
      <c r="Z1127" s="418"/>
      <c r="AA1127" s="418"/>
      <c r="AB1127" s="418"/>
      <c r="AC1127" s="418"/>
      <c r="AD1127" s="418"/>
      <c r="AE1127" s="418"/>
      <c r="AF1127" s="418"/>
      <c r="AG1127" s="418"/>
      <c r="AH1127" s="418"/>
      <c r="AI1127" s="418"/>
      <c r="AJ1127" s="418"/>
      <c r="AK1127" s="418"/>
      <c r="AL1127" s="418"/>
      <c r="AM1127" s="418"/>
      <c r="AN1127" s="423"/>
      <c r="AO1127" s="423"/>
      <c r="AP1127" s="423"/>
      <c r="AQ1127" s="423"/>
      <c r="AR1127" s="423"/>
      <c r="AS1127" s="423"/>
      <c r="AT1127" s="423"/>
      <c r="AU1127" s="423"/>
      <c r="AV1127" s="423"/>
      <c r="AW1127" s="418"/>
      <c r="AX1127" s="418"/>
      <c r="AY1127" s="418"/>
      <c r="AZ1127" s="418"/>
      <c r="BA1127" s="418"/>
      <c r="BB1127" s="306"/>
    </row>
    <row r="1128" spans="1:54" ht="15.75" customHeight="1">
      <c r="A1128" s="415"/>
      <c r="B1128" s="416"/>
      <c r="C1128" s="417"/>
      <c r="D1128" s="418"/>
      <c r="E1128" s="418"/>
      <c r="F1128" s="419"/>
      <c r="G1128" s="420"/>
      <c r="H1128" s="421"/>
      <c r="I1128" s="421"/>
      <c r="J1128" s="422"/>
      <c r="K1128" s="418"/>
      <c r="L1128" s="418"/>
      <c r="M1128" s="418"/>
      <c r="N1128" s="421"/>
      <c r="O1128" s="421"/>
      <c r="P1128" s="421"/>
      <c r="Q1128" s="418"/>
      <c r="R1128" s="1022"/>
      <c r="S1128" s="1022"/>
      <c r="T1128" s="418"/>
      <c r="U1128" s="418"/>
      <c r="V1128" s="418"/>
      <c r="W1128" s="418"/>
      <c r="X1128" s="418"/>
      <c r="Y1128" s="418"/>
      <c r="Z1128" s="418"/>
      <c r="AA1128" s="418"/>
      <c r="AB1128" s="418"/>
      <c r="AC1128" s="418"/>
      <c r="AD1128" s="418"/>
      <c r="AE1128" s="418"/>
      <c r="AF1128" s="418"/>
      <c r="AG1128" s="418"/>
      <c r="AH1128" s="418"/>
      <c r="AI1128" s="418"/>
      <c r="AJ1128" s="418"/>
      <c r="AK1128" s="418"/>
      <c r="AL1128" s="418"/>
      <c r="AM1128" s="418"/>
      <c r="AN1128" s="423"/>
      <c r="AO1128" s="423"/>
      <c r="AP1128" s="423"/>
      <c r="AQ1128" s="423"/>
      <c r="AR1128" s="423"/>
      <c r="AS1128" s="423"/>
      <c r="AT1128" s="423"/>
      <c r="AU1128" s="423"/>
      <c r="AV1128" s="423"/>
      <c r="AW1128" s="418"/>
      <c r="AX1128" s="418"/>
      <c r="AY1128" s="418"/>
      <c r="AZ1128" s="418"/>
      <c r="BA1128" s="418"/>
      <c r="BB1128" s="306"/>
    </row>
    <row r="1129" spans="1:54" ht="15.75" customHeight="1">
      <c r="A1129" s="415"/>
      <c r="B1129" s="416"/>
      <c r="C1129" s="417"/>
      <c r="D1129" s="418"/>
      <c r="E1129" s="418"/>
      <c r="F1129" s="419"/>
      <c r="G1129" s="420"/>
      <c r="H1129" s="421"/>
      <c r="I1129" s="421"/>
      <c r="J1129" s="422"/>
      <c r="K1129" s="418"/>
      <c r="L1129" s="418"/>
      <c r="M1129" s="418"/>
      <c r="N1129" s="421"/>
      <c r="O1129" s="421"/>
      <c r="P1129" s="421"/>
      <c r="Q1129" s="418"/>
      <c r="R1129" s="1022"/>
      <c r="S1129" s="1022"/>
      <c r="T1129" s="418"/>
      <c r="U1129" s="418"/>
      <c r="V1129" s="418"/>
      <c r="W1129" s="418"/>
      <c r="X1129" s="418"/>
      <c r="Y1129" s="418"/>
      <c r="Z1129" s="418"/>
      <c r="AA1129" s="418"/>
      <c r="AB1129" s="418"/>
      <c r="AC1129" s="418"/>
      <c r="AD1129" s="418"/>
      <c r="AE1129" s="418"/>
      <c r="AF1129" s="418"/>
      <c r="AG1129" s="418"/>
      <c r="AH1129" s="418"/>
      <c r="AI1129" s="418"/>
      <c r="AJ1129" s="418"/>
      <c r="AK1129" s="418"/>
      <c r="AL1129" s="418"/>
      <c r="AM1129" s="418"/>
      <c r="AN1129" s="423"/>
      <c r="AO1129" s="423"/>
      <c r="AP1129" s="423"/>
      <c r="AQ1129" s="423"/>
      <c r="AR1129" s="423"/>
      <c r="AS1129" s="423"/>
      <c r="AT1129" s="423"/>
      <c r="AU1129" s="423"/>
      <c r="AV1129" s="423"/>
      <c r="AW1129" s="418"/>
      <c r="AX1129" s="418"/>
      <c r="AY1129" s="418"/>
      <c r="AZ1129" s="418"/>
      <c r="BA1129" s="418"/>
      <c r="BB1129" s="306"/>
    </row>
    <row r="1130" spans="1:54" ht="15.75" customHeight="1">
      <c r="A1130" s="415"/>
      <c r="B1130" s="416"/>
      <c r="C1130" s="417"/>
      <c r="D1130" s="418"/>
      <c r="E1130" s="418"/>
      <c r="F1130" s="419"/>
      <c r="G1130" s="420"/>
      <c r="H1130" s="421"/>
      <c r="I1130" s="421"/>
      <c r="J1130" s="422"/>
      <c r="K1130" s="418"/>
      <c r="L1130" s="418"/>
      <c r="M1130" s="418"/>
      <c r="N1130" s="421"/>
      <c r="O1130" s="421"/>
      <c r="P1130" s="421"/>
      <c r="Q1130" s="418"/>
      <c r="R1130" s="1022"/>
      <c r="S1130" s="1022"/>
      <c r="T1130" s="418"/>
      <c r="U1130" s="418"/>
      <c r="V1130" s="418"/>
      <c r="W1130" s="418"/>
      <c r="X1130" s="418"/>
      <c r="Y1130" s="418"/>
      <c r="Z1130" s="418"/>
      <c r="AA1130" s="418"/>
      <c r="AB1130" s="418"/>
      <c r="AC1130" s="418"/>
      <c r="AD1130" s="418"/>
      <c r="AE1130" s="418"/>
      <c r="AF1130" s="418"/>
      <c r="AG1130" s="418"/>
      <c r="AH1130" s="418"/>
      <c r="AI1130" s="418"/>
      <c r="AJ1130" s="418"/>
      <c r="AK1130" s="418"/>
      <c r="AL1130" s="418"/>
      <c r="AM1130" s="418"/>
      <c r="AN1130" s="423"/>
      <c r="AO1130" s="423"/>
      <c r="AP1130" s="423"/>
      <c r="AQ1130" s="423"/>
      <c r="AR1130" s="423"/>
      <c r="AS1130" s="423"/>
      <c r="AT1130" s="423"/>
      <c r="AU1130" s="423"/>
      <c r="AV1130" s="423"/>
      <c r="AW1130" s="418"/>
      <c r="AX1130" s="418"/>
      <c r="AY1130" s="418"/>
      <c r="AZ1130" s="418"/>
      <c r="BA1130" s="418"/>
      <c r="BB1130" s="306"/>
    </row>
    <row r="1131" spans="1:54" ht="15.75" customHeight="1">
      <c r="A1131" s="415"/>
      <c r="B1131" s="416"/>
      <c r="C1131" s="417"/>
      <c r="D1131" s="418"/>
      <c r="E1131" s="418"/>
      <c r="F1131" s="419"/>
      <c r="G1131" s="420"/>
      <c r="H1131" s="421"/>
      <c r="I1131" s="421"/>
      <c r="J1131" s="422"/>
      <c r="K1131" s="418"/>
      <c r="L1131" s="418"/>
      <c r="M1131" s="418"/>
      <c r="N1131" s="421"/>
      <c r="O1131" s="421"/>
      <c r="P1131" s="421"/>
      <c r="Q1131" s="418"/>
      <c r="R1131" s="1022"/>
      <c r="S1131" s="1022"/>
      <c r="T1131" s="418"/>
      <c r="U1131" s="418"/>
      <c r="V1131" s="418"/>
      <c r="W1131" s="418"/>
      <c r="X1131" s="418"/>
      <c r="Y1131" s="418"/>
      <c r="Z1131" s="418"/>
      <c r="AA1131" s="418"/>
      <c r="AB1131" s="418"/>
      <c r="AC1131" s="418"/>
      <c r="AD1131" s="418"/>
      <c r="AE1131" s="418"/>
      <c r="AF1131" s="418"/>
      <c r="AG1131" s="418"/>
      <c r="AH1131" s="418"/>
      <c r="AI1131" s="418"/>
      <c r="AJ1131" s="418"/>
      <c r="AK1131" s="418"/>
      <c r="AL1131" s="418"/>
      <c r="AM1131" s="418"/>
      <c r="AN1131" s="423"/>
      <c r="AO1131" s="423"/>
      <c r="AP1131" s="423"/>
      <c r="AQ1131" s="423"/>
      <c r="AR1131" s="423"/>
      <c r="AS1131" s="423"/>
      <c r="AT1131" s="423"/>
      <c r="AU1131" s="423"/>
      <c r="AV1131" s="423"/>
      <c r="AW1131" s="418"/>
      <c r="AX1131" s="418"/>
      <c r="AY1131" s="418"/>
      <c r="AZ1131" s="418"/>
      <c r="BA1131" s="418"/>
      <c r="BB1131" s="306"/>
    </row>
    <row r="1132" spans="1:54" ht="15.75" customHeight="1">
      <c r="A1132" s="415"/>
      <c r="B1132" s="416"/>
      <c r="C1132" s="417"/>
      <c r="D1132" s="418"/>
      <c r="E1132" s="418"/>
      <c r="F1132" s="419"/>
      <c r="G1132" s="420"/>
      <c r="H1132" s="421"/>
      <c r="I1132" s="421"/>
      <c r="J1132" s="422"/>
      <c r="K1132" s="418"/>
      <c r="L1132" s="418"/>
      <c r="M1132" s="418"/>
      <c r="N1132" s="421"/>
      <c r="O1132" s="421"/>
      <c r="P1132" s="421"/>
      <c r="Q1132" s="418"/>
      <c r="R1132" s="1022"/>
      <c r="S1132" s="1022"/>
      <c r="T1132" s="418"/>
      <c r="U1132" s="418"/>
      <c r="V1132" s="418"/>
      <c r="W1132" s="418"/>
      <c r="X1132" s="418"/>
      <c r="Y1132" s="418"/>
      <c r="Z1132" s="418"/>
      <c r="AA1132" s="418"/>
      <c r="AB1132" s="418"/>
      <c r="AC1132" s="418"/>
      <c r="AD1132" s="418"/>
      <c r="AE1132" s="418"/>
      <c r="AF1132" s="418"/>
      <c r="AG1132" s="418"/>
      <c r="AH1132" s="418"/>
      <c r="AI1132" s="418"/>
      <c r="AJ1132" s="418"/>
      <c r="AK1132" s="418"/>
      <c r="AL1132" s="418"/>
      <c r="AM1132" s="418"/>
      <c r="AN1132" s="423"/>
      <c r="AO1132" s="423"/>
      <c r="AP1132" s="423"/>
      <c r="AQ1132" s="423"/>
      <c r="AR1132" s="423"/>
      <c r="AS1132" s="423"/>
      <c r="AT1132" s="423"/>
      <c r="AU1132" s="423"/>
      <c r="AV1132" s="423"/>
      <c r="AW1132" s="418"/>
      <c r="AX1132" s="418"/>
      <c r="AY1132" s="418"/>
      <c r="AZ1132" s="418"/>
      <c r="BA1132" s="418"/>
      <c r="BB1132" s="306"/>
    </row>
    <row r="1133" spans="1:54" ht="15.75" customHeight="1">
      <c r="A1133" s="415"/>
      <c r="B1133" s="416"/>
      <c r="C1133" s="417"/>
      <c r="D1133" s="418"/>
      <c r="E1133" s="418"/>
      <c r="F1133" s="419"/>
      <c r="G1133" s="420"/>
      <c r="H1133" s="421"/>
      <c r="I1133" s="421"/>
      <c r="J1133" s="422"/>
      <c r="K1133" s="418"/>
      <c r="L1133" s="418"/>
      <c r="M1133" s="418"/>
      <c r="N1133" s="421"/>
      <c r="O1133" s="421"/>
      <c r="P1133" s="421"/>
      <c r="Q1133" s="418"/>
      <c r="R1133" s="1022"/>
      <c r="S1133" s="1022"/>
      <c r="T1133" s="418"/>
      <c r="U1133" s="418"/>
      <c r="V1133" s="418"/>
      <c r="W1133" s="418"/>
      <c r="X1133" s="418"/>
      <c r="Y1133" s="418"/>
      <c r="Z1133" s="418"/>
      <c r="AA1133" s="418"/>
      <c r="AB1133" s="418"/>
      <c r="AC1133" s="418"/>
      <c r="AD1133" s="418"/>
      <c r="AE1133" s="418"/>
      <c r="AF1133" s="418"/>
      <c r="AG1133" s="418"/>
      <c r="AH1133" s="418"/>
      <c r="AI1133" s="418"/>
      <c r="AJ1133" s="418"/>
      <c r="AK1133" s="418"/>
      <c r="AL1133" s="418"/>
      <c r="AM1133" s="418"/>
      <c r="AN1133" s="423"/>
      <c r="AO1133" s="423"/>
      <c r="AP1133" s="423"/>
      <c r="AQ1133" s="423"/>
      <c r="AR1133" s="423"/>
      <c r="AS1133" s="423"/>
      <c r="AT1133" s="423"/>
      <c r="AU1133" s="423"/>
      <c r="AV1133" s="423"/>
      <c r="AW1133" s="418"/>
      <c r="AX1133" s="418"/>
      <c r="AY1133" s="418"/>
      <c r="AZ1133" s="418"/>
      <c r="BA1133" s="418"/>
      <c r="BB1133" s="306"/>
    </row>
    <row r="1134" spans="1:54" ht="15.75" customHeight="1">
      <c r="A1134" s="415"/>
      <c r="B1134" s="416"/>
      <c r="C1134" s="417"/>
      <c r="D1134" s="418"/>
      <c r="E1134" s="418"/>
      <c r="F1134" s="419"/>
      <c r="G1134" s="420"/>
      <c r="H1134" s="421"/>
      <c r="I1134" s="421"/>
      <c r="J1134" s="422"/>
      <c r="K1134" s="418"/>
      <c r="L1134" s="418"/>
      <c r="M1134" s="418"/>
      <c r="N1134" s="421"/>
      <c r="O1134" s="421"/>
      <c r="P1134" s="421"/>
      <c r="Q1134" s="418"/>
      <c r="R1134" s="1022"/>
      <c r="S1134" s="1022"/>
      <c r="T1134" s="418"/>
      <c r="U1134" s="418"/>
      <c r="V1134" s="418"/>
      <c r="W1134" s="418"/>
      <c r="X1134" s="418"/>
      <c r="Y1134" s="418"/>
      <c r="Z1134" s="418"/>
      <c r="AA1134" s="418"/>
      <c r="AB1134" s="418"/>
      <c r="AC1134" s="418"/>
      <c r="AD1134" s="418"/>
      <c r="AE1134" s="418"/>
      <c r="AF1134" s="418"/>
      <c r="AG1134" s="418"/>
      <c r="AH1134" s="418"/>
      <c r="AI1134" s="418"/>
      <c r="AJ1134" s="418"/>
      <c r="AK1134" s="418"/>
      <c r="AL1134" s="418"/>
      <c r="AM1134" s="418"/>
      <c r="AN1134" s="423"/>
      <c r="AO1134" s="423"/>
      <c r="AP1134" s="423"/>
      <c r="AQ1134" s="423"/>
      <c r="AR1134" s="423"/>
      <c r="AS1134" s="423"/>
      <c r="AT1134" s="423"/>
      <c r="AU1134" s="423"/>
      <c r="AV1134" s="423"/>
      <c r="AW1134" s="418"/>
      <c r="AX1134" s="418"/>
      <c r="AY1134" s="418"/>
      <c r="AZ1134" s="418"/>
      <c r="BA1134" s="418"/>
      <c r="BB1134" s="306"/>
    </row>
    <row r="1135" spans="1:54" ht="15.75" customHeight="1">
      <c r="A1135" s="415"/>
      <c r="B1135" s="416"/>
      <c r="C1135" s="417"/>
      <c r="D1135" s="418"/>
      <c r="E1135" s="418"/>
      <c r="F1135" s="419"/>
      <c r="G1135" s="420"/>
      <c r="H1135" s="421"/>
      <c r="I1135" s="421"/>
      <c r="J1135" s="422"/>
      <c r="K1135" s="418"/>
      <c r="L1135" s="418"/>
      <c r="M1135" s="418"/>
      <c r="N1135" s="421"/>
      <c r="O1135" s="421"/>
      <c r="P1135" s="421"/>
      <c r="Q1135" s="418"/>
      <c r="R1135" s="1022"/>
      <c r="S1135" s="1022"/>
      <c r="T1135" s="418"/>
      <c r="U1135" s="418"/>
      <c r="V1135" s="418"/>
      <c r="W1135" s="418"/>
      <c r="X1135" s="418"/>
      <c r="Y1135" s="418"/>
      <c r="Z1135" s="418"/>
      <c r="AA1135" s="418"/>
      <c r="AB1135" s="418"/>
      <c r="AC1135" s="418"/>
      <c r="AD1135" s="418"/>
      <c r="AE1135" s="418"/>
      <c r="AF1135" s="418"/>
      <c r="AG1135" s="418"/>
      <c r="AH1135" s="418"/>
      <c r="AI1135" s="418"/>
      <c r="AJ1135" s="418"/>
      <c r="AK1135" s="418"/>
      <c r="AL1135" s="418"/>
      <c r="AM1135" s="418"/>
      <c r="AN1135" s="423"/>
      <c r="AO1135" s="423"/>
      <c r="AP1135" s="423"/>
      <c r="AQ1135" s="423"/>
      <c r="AR1135" s="423"/>
      <c r="AS1135" s="423"/>
      <c r="AT1135" s="423"/>
      <c r="AU1135" s="423"/>
      <c r="AV1135" s="423"/>
      <c r="AW1135" s="418"/>
      <c r="AX1135" s="418"/>
      <c r="AY1135" s="418"/>
      <c r="AZ1135" s="418"/>
      <c r="BA1135" s="418"/>
      <c r="BB1135" s="306"/>
    </row>
    <row r="1136" spans="1:54" ht="15.75" customHeight="1">
      <c r="A1136" s="415"/>
      <c r="B1136" s="416"/>
      <c r="C1136" s="417"/>
      <c r="D1136" s="418"/>
      <c r="E1136" s="418"/>
      <c r="F1136" s="419"/>
      <c r="G1136" s="420"/>
      <c r="H1136" s="421"/>
      <c r="I1136" s="421"/>
      <c r="J1136" s="422"/>
      <c r="K1136" s="418"/>
      <c r="L1136" s="418"/>
      <c r="M1136" s="418"/>
      <c r="N1136" s="421"/>
      <c r="O1136" s="421"/>
      <c r="P1136" s="421"/>
      <c r="Q1136" s="418"/>
      <c r="R1136" s="1022"/>
      <c r="S1136" s="1022"/>
      <c r="T1136" s="418"/>
      <c r="U1136" s="418"/>
      <c r="V1136" s="418"/>
      <c r="W1136" s="418"/>
      <c r="X1136" s="418"/>
      <c r="Y1136" s="418"/>
      <c r="Z1136" s="418"/>
      <c r="AA1136" s="418"/>
      <c r="AB1136" s="418"/>
      <c r="AC1136" s="418"/>
      <c r="AD1136" s="418"/>
      <c r="AE1136" s="418"/>
      <c r="AF1136" s="418"/>
      <c r="AG1136" s="418"/>
      <c r="AH1136" s="418"/>
      <c r="AI1136" s="418"/>
      <c r="AJ1136" s="418"/>
      <c r="AK1136" s="418"/>
      <c r="AL1136" s="418"/>
      <c r="AM1136" s="418"/>
      <c r="AN1136" s="423"/>
      <c r="AO1136" s="423"/>
      <c r="AP1136" s="423"/>
      <c r="AQ1136" s="423"/>
      <c r="AR1136" s="423"/>
      <c r="AS1136" s="423"/>
      <c r="AT1136" s="423"/>
      <c r="AU1136" s="423"/>
      <c r="AV1136" s="423"/>
      <c r="AW1136" s="418"/>
      <c r="AX1136" s="418"/>
      <c r="AY1136" s="418"/>
      <c r="AZ1136" s="418"/>
      <c r="BA1136" s="418"/>
      <c r="BB1136" s="306"/>
    </row>
    <row r="1137" spans="1:54" ht="15.75" customHeight="1">
      <c r="A1137" s="415"/>
      <c r="B1137" s="416"/>
      <c r="C1137" s="417"/>
      <c r="D1137" s="418"/>
      <c r="E1137" s="418"/>
      <c r="F1137" s="419"/>
      <c r="G1137" s="420"/>
      <c r="H1137" s="421"/>
      <c r="I1137" s="425"/>
      <c r="J1137" s="422"/>
      <c r="K1137" s="418"/>
      <c r="L1137" s="418"/>
      <c r="M1137" s="418"/>
      <c r="N1137" s="421"/>
      <c r="O1137" s="421"/>
      <c r="P1137" s="421"/>
      <c r="Q1137" s="418"/>
      <c r="R1137" s="1022"/>
      <c r="S1137" s="1022"/>
      <c r="T1137" s="418"/>
      <c r="U1137" s="418"/>
      <c r="V1137" s="418"/>
      <c r="W1137" s="418"/>
      <c r="X1137" s="418"/>
      <c r="Y1137" s="418"/>
      <c r="Z1137" s="418"/>
      <c r="AA1137" s="418"/>
      <c r="AB1137" s="418"/>
      <c r="AC1137" s="418"/>
      <c r="AD1137" s="418"/>
      <c r="AE1137" s="418"/>
      <c r="AF1137" s="418"/>
      <c r="AG1137" s="418"/>
      <c r="AH1137" s="418"/>
      <c r="AI1137" s="418"/>
      <c r="AJ1137" s="418"/>
      <c r="AK1137" s="418"/>
      <c r="AL1137" s="418"/>
      <c r="AM1137" s="418"/>
      <c r="AN1137" s="423"/>
      <c r="AO1137" s="423"/>
      <c r="AP1137" s="423"/>
      <c r="AQ1137" s="423"/>
      <c r="AR1137" s="423"/>
      <c r="AS1137" s="423"/>
      <c r="AT1137" s="423"/>
      <c r="AU1137" s="423"/>
      <c r="AV1137" s="423"/>
      <c r="AW1137" s="418"/>
      <c r="AX1137" s="418"/>
      <c r="AY1137" s="418"/>
      <c r="AZ1137" s="418"/>
      <c r="BA1137" s="418"/>
      <c r="BB1137" s="306"/>
    </row>
    <row r="1138" spans="1:54" ht="15.75" customHeight="1">
      <c r="A1138" s="415"/>
      <c r="B1138" s="416"/>
      <c r="C1138" s="417"/>
      <c r="D1138" s="418"/>
      <c r="E1138" s="418"/>
      <c r="F1138" s="419"/>
      <c r="G1138" s="420"/>
      <c r="H1138" s="421"/>
      <c r="I1138" s="421"/>
      <c r="J1138" s="422"/>
      <c r="K1138" s="418"/>
      <c r="L1138" s="418"/>
      <c r="M1138" s="418"/>
      <c r="N1138" s="421"/>
      <c r="O1138" s="421"/>
      <c r="P1138" s="421"/>
      <c r="Q1138" s="418"/>
      <c r="R1138" s="1022"/>
      <c r="S1138" s="1022"/>
      <c r="T1138" s="418"/>
      <c r="U1138" s="418"/>
      <c r="V1138" s="418"/>
      <c r="W1138" s="418"/>
      <c r="X1138" s="418"/>
      <c r="Y1138" s="418"/>
      <c r="Z1138" s="418"/>
      <c r="AA1138" s="418"/>
      <c r="AB1138" s="418"/>
      <c r="AC1138" s="418"/>
      <c r="AD1138" s="418"/>
      <c r="AE1138" s="418"/>
      <c r="AF1138" s="418"/>
      <c r="AG1138" s="418"/>
      <c r="AH1138" s="418"/>
      <c r="AI1138" s="418"/>
      <c r="AJ1138" s="418"/>
      <c r="AK1138" s="418"/>
      <c r="AL1138" s="418"/>
      <c r="AM1138" s="418"/>
      <c r="AN1138" s="423"/>
      <c r="AO1138" s="423"/>
      <c r="AP1138" s="423"/>
      <c r="AQ1138" s="423"/>
      <c r="AR1138" s="423"/>
      <c r="AS1138" s="423"/>
      <c r="AT1138" s="423"/>
      <c r="AU1138" s="423"/>
      <c r="AV1138" s="423"/>
      <c r="AW1138" s="418"/>
      <c r="AX1138" s="418"/>
      <c r="AY1138" s="418"/>
      <c r="AZ1138" s="418"/>
      <c r="BA1138" s="418"/>
      <c r="BB1138" s="306"/>
    </row>
    <row r="1139" spans="1:54" ht="15.75" customHeight="1">
      <c r="A1139" s="415"/>
      <c r="B1139" s="416"/>
      <c r="C1139" s="417"/>
      <c r="D1139" s="418"/>
      <c r="E1139" s="418"/>
      <c r="F1139" s="419"/>
      <c r="G1139" s="420"/>
      <c r="H1139" s="421"/>
      <c r="I1139" s="425"/>
      <c r="J1139" s="422"/>
      <c r="K1139" s="418"/>
      <c r="L1139" s="418"/>
      <c r="M1139" s="418"/>
      <c r="N1139" s="421"/>
      <c r="O1139" s="421"/>
      <c r="P1139" s="421"/>
      <c r="Q1139" s="418"/>
      <c r="R1139" s="1022"/>
      <c r="S1139" s="1022"/>
      <c r="T1139" s="418"/>
      <c r="U1139" s="418"/>
      <c r="V1139" s="418"/>
      <c r="W1139" s="418"/>
      <c r="X1139" s="418"/>
      <c r="Y1139" s="418"/>
      <c r="Z1139" s="418"/>
      <c r="AA1139" s="418"/>
      <c r="AB1139" s="418"/>
      <c r="AC1139" s="418"/>
      <c r="AD1139" s="418"/>
      <c r="AE1139" s="418"/>
      <c r="AF1139" s="418"/>
      <c r="AG1139" s="418"/>
      <c r="AH1139" s="418"/>
      <c r="AI1139" s="418"/>
      <c r="AJ1139" s="418"/>
      <c r="AK1139" s="418"/>
      <c r="AL1139" s="418"/>
      <c r="AM1139" s="418"/>
      <c r="AN1139" s="423"/>
      <c r="AO1139" s="423"/>
      <c r="AP1139" s="423"/>
      <c r="AQ1139" s="423"/>
      <c r="AR1139" s="423"/>
      <c r="AS1139" s="423"/>
      <c r="AT1139" s="423"/>
      <c r="AU1139" s="423"/>
      <c r="AV1139" s="423"/>
      <c r="AW1139" s="418"/>
      <c r="AX1139" s="418"/>
      <c r="AY1139" s="418"/>
      <c r="AZ1139" s="418"/>
      <c r="BA1139" s="418"/>
      <c r="BB1139" s="306"/>
    </row>
    <row r="1140" spans="1:54" ht="15.75" customHeight="1">
      <c r="A1140" s="415"/>
      <c r="B1140" s="416"/>
      <c r="C1140" s="417"/>
      <c r="D1140" s="418"/>
      <c r="E1140" s="418"/>
      <c r="F1140" s="419"/>
      <c r="G1140" s="420"/>
      <c r="H1140" s="421"/>
      <c r="I1140" s="421"/>
      <c r="J1140" s="422"/>
      <c r="K1140" s="418"/>
      <c r="L1140" s="418"/>
      <c r="M1140" s="418"/>
      <c r="N1140" s="421"/>
      <c r="O1140" s="421"/>
      <c r="P1140" s="421"/>
      <c r="Q1140" s="418"/>
      <c r="R1140" s="1022"/>
      <c r="S1140" s="1022"/>
      <c r="T1140" s="418"/>
      <c r="U1140" s="418"/>
      <c r="V1140" s="418"/>
      <c r="W1140" s="418"/>
      <c r="X1140" s="418"/>
      <c r="Y1140" s="418"/>
      <c r="Z1140" s="418"/>
      <c r="AA1140" s="418"/>
      <c r="AB1140" s="418"/>
      <c r="AC1140" s="418"/>
      <c r="AD1140" s="418"/>
      <c r="AE1140" s="418"/>
      <c r="AF1140" s="418"/>
      <c r="AG1140" s="418"/>
      <c r="AH1140" s="418"/>
      <c r="AI1140" s="418"/>
      <c r="AJ1140" s="418"/>
      <c r="AK1140" s="418"/>
      <c r="AL1140" s="418"/>
      <c r="AM1140" s="418"/>
      <c r="AN1140" s="423"/>
      <c r="AO1140" s="423"/>
      <c r="AP1140" s="423"/>
      <c r="AQ1140" s="423"/>
      <c r="AR1140" s="423"/>
      <c r="AS1140" s="423"/>
      <c r="AT1140" s="423"/>
      <c r="AU1140" s="423"/>
      <c r="AV1140" s="423"/>
      <c r="AW1140" s="418"/>
      <c r="AX1140" s="418"/>
      <c r="AY1140" s="418"/>
      <c r="AZ1140" s="418"/>
      <c r="BA1140" s="418"/>
      <c r="BB1140" s="306"/>
    </row>
    <row r="1141" spans="1:54" ht="15.75" customHeight="1">
      <c r="A1141" s="415"/>
      <c r="B1141" s="416"/>
      <c r="C1141" s="417"/>
      <c r="D1141" s="418"/>
      <c r="E1141" s="418"/>
      <c r="F1141" s="419"/>
      <c r="G1141" s="420"/>
      <c r="H1141" s="421"/>
      <c r="I1141" s="421"/>
      <c r="J1141" s="422"/>
      <c r="K1141" s="418"/>
      <c r="L1141" s="418"/>
      <c r="M1141" s="418"/>
      <c r="N1141" s="421"/>
      <c r="O1141" s="421"/>
      <c r="P1141" s="421"/>
      <c r="Q1141" s="418"/>
      <c r="R1141" s="1022"/>
      <c r="S1141" s="1022"/>
      <c r="T1141" s="418"/>
      <c r="U1141" s="418"/>
      <c r="V1141" s="418"/>
      <c r="W1141" s="418"/>
      <c r="X1141" s="418"/>
      <c r="Y1141" s="418"/>
      <c r="Z1141" s="418"/>
      <c r="AA1141" s="418"/>
      <c r="AB1141" s="418"/>
      <c r="AC1141" s="418"/>
      <c r="AD1141" s="418"/>
      <c r="AE1141" s="418"/>
      <c r="AF1141" s="418"/>
      <c r="AG1141" s="418"/>
      <c r="AH1141" s="418"/>
      <c r="AI1141" s="418"/>
      <c r="AJ1141" s="418"/>
      <c r="AK1141" s="418"/>
      <c r="AL1141" s="418"/>
      <c r="AM1141" s="418"/>
      <c r="AN1141" s="423"/>
      <c r="AO1141" s="423"/>
      <c r="AP1141" s="423"/>
      <c r="AQ1141" s="423"/>
      <c r="AR1141" s="423"/>
      <c r="AS1141" s="423"/>
      <c r="AT1141" s="423"/>
      <c r="AU1141" s="423"/>
      <c r="AV1141" s="423"/>
      <c r="AW1141" s="418"/>
      <c r="AX1141" s="418"/>
      <c r="AY1141" s="418"/>
      <c r="AZ1141" s="418"/>
      <c r="BA1141" s="418"/>
      <c r="BB1141" s="306"/>
    </row>
    <row r="1142" spans="1:54" ht="15.75" customHeight="1">
      <c r="A1142" s="415"/>
      <c r="B1142" s="416"/>
      <c r="C1142" s="417"/>
      <c r="D1142" s="418"/>
      <c r="E1142" s="418"/>
      <c r="F1142" s="419"/>
      <c r="G1142" s="420"/>
      <c r="H1142" s="421"/>
      <c r="I1142" s="425"/>
      <c r="J1142" s="422"/>
      <c r="K1142" s="418"/>
      <c r="L1142" s="418"/>
      <c r="M1142" s="418"/>
      <c r="N1142" s="421"/>
      <c r="O1142" s="421"/>
      <c r="P1142" s="421"/>
      <c r="Q1142" s="418"/>
      <c r="R1142" s="1022"/>
      <c r="S1142" s="1022"/>
      <c r="T1142" s="418"/>
      <c r="U1142" s="418"/>
      <c r="V1142" s="418"/>
      <c r="W1142" s="418"/>
      <c r="X1142" s="418"/>
      <c r="Y1142" s="418"/>
      <c r="Z1142" s="418"/>
      <c r="AA1142" s="418"/>
      <c r="AB1142" s="418"/>
      <c r="AC1142" s="418"/>
      <c r="AD1142" s="418"/>
      <c r="AE1142" s="418"/>
      <c r="AF1142" s="418"/>
      <c r="AG1142" s="418"/>
      <c r="AH1142" s="418"/>
      <c r="AI1142" s="418"/>
      <c r="AJ1142" s="418"/>
      <c r="AK1142" s="418"/>
      <c r="AL1142" s="418"/>
      <c r="AM1142" s="418"/>
      <c r="AN1142" s="423"/>
      <c r="AO1142" s="423"/>
      <c r="AP1142" s="423"/>
      <c r="AQ1142" s="423"/>
      <c r="AR1142" s="423"/>
      <c r="AS1142" s="423"/>
      <c r="AT1142" s="423"/>
      <c r="AU1142" s="423"/>
      <c r="AV1142" s="423"/>
      <c r="AW1142" s="418"/>
      <c r="AX1142" s="418"/>
      <c r="AY1142" s="418"/>
      <c r="AZ1142" s="418"/>
      <c r="BA1142" s="418"/>
      <c r="BB1142" s="306"/>
    </row>
    <row r="1143" spans="1:54" ht="15.75" customHeight="1">
      <c r="A1143" s="415"/>
      <c r="B1143" s="416"/>
      <c r="C1143" s="417"/>
      <c r="D1143" s="418"/>
      <c r="E1143" s="418"/>
      <c r="F1143" s="419"/>
      <c r="G1143" s="420"/>
      <c r="H1143" s="421"/>
      <c r="I1143" s="421"/>
      <c r="J1143" s="422"/>
      <c r="K1143" s="418"/>
      <c r="L1143" s="418"/>
      <c r="M1143" s="418"/>
      <c r="N1143" s="421"/>
      <c r="O1143" s="421"/>
      <c r="P1143" s="421"/>
      <c r="Q1143" s="418"/>
      <c r="R1143" s="1022"/>
      <c r="S1143" s="1022"/>
      <c r="T1143" s="418"/>
      <c r="U1143" s="418"/>
      <c r="V1143" s="418"/>
      <c r="W1143" s="418"/>
      <c r="X1143" s="418"/>
      <c r="Y1143" s="418"/>
      <c r="Z1143" s="418"/>
      <c r="AA1143" s="418"/>
      <c r="AB1143" s="418"/>
      <c r="AC1143" s="418"/>
      <c r="AD1143" s="418"/>
      <c r="AE1143" s="418"/>
      <c r="AF1143" s="418"/>
      <c r="AG1143" s="418"/>
      <c r="AH1143" s="418"/>
      <c r="AI1143" s="418"/>
      <c r="AJ1143" s="418"/>
      <c r="AK1143" s="418"/>
      <c r="AL1143" s="418"/>
      <c r="AM1143" s="418"/>
      <c r="AN1143" s="423"/>
      <c r="AO1143" s="423"/>
      <c r="AP1143" s="423"/>
      <c r="AQ1143" s="423"/>
      <c r="AR1143" s="423"/>
      <c r="AS1143" s="423"/>
      <c r="AT1143" s="423"/>
      <c r="AU1143" s="423"/>
      <c r="AV1143" s="423"/>
      <c r="AW1143" s="418"/>
      <c r="AX1143" s="418"/>
      <c r="AY1143" s="418"/>
      <c r="AZ1143" s="418"/>
      <c r="BA1143" s="418"/>
      <c r="BB1143" s="306"/>
    </row>
    <row r="1144" spans="1:54" ht="15.75" customHeight="1">
      <c r="A1144" s="415"/>
      <c r="B1144" s="416"/>
      <c r="C1144" s="417"/>
      <c r="D1144" s="418"/>
      <c r="E1144" s="418"/>
      <c r="F1144" s="419"/>
      <c r="G1144" s="420"/>
      <c r="H1144" s="421"/>
      <c r="I1144" s="421"/>
      <c r="J1144" s="422"/>
      <c r="K1144" s="418"/>
      <c r="L1144" s="418"/>
      <c r="M1144" s="418"/>
      <c r="N1144" s="421"/>
      <c r="O1144" s="421"/>
      <c r="P1144" s="421"/>
      <c r="Q1144" s="418"/>
      <c r="R1144" s="1022"/>
      <c r="S1144" s="1022"/>
      <c r="T1144" s="418"/>
      <c r="U1144" s="418"/>
      <c r="V1144" s="418"/>
      <c r="W1144" s="418"/>
      <c r="X1144" s="418"/>
      <c r="Y1144" s="418"/>
      <c r="Z1144" s="418"/>
      <c r="AA1144" s="418"/>
      <c r="AB1144" s="418"/>
      <c r="AC1144" s="418"/>
      <c r="AD1144" s="418"/>
      <c r="AE1144" s="418"/>
      <c r="AF1144" s="418"/>
      <c r="AG1144" s="418"/>
      <c r="AH1144" s="418"/>
      <c r="AI1144" s="418"/>
      <c r="AJ1144" s="418"/>
      <c r="AK1144" s="418"/>
      <c r="AL1144" s="418"/>
      <c r="AM1144" s="418"/>
      <c r="AN1144" s="423"/>
      <c r="AO1144" s="423"/>
      <c r="AP1144" s="423"/>
      <c r="AQ1144" s="423"/>
      <c r="AR1144" s="423"/>
      <c r="AS1144" s="423"/>
      <c r="AT1144" s="423"/>
      <c r="AU1144" s="423"/>
      <c r="AV1144" s="423"/>
      <c r="AW1144" s="418"/>
      <c r="AX1144" s="418"/>
      <c r="AY1144" s="418"/>
      <c r="AZ1144" s="418"/>
      <c r="BA1144" s="418"/>
      <c r="BB1144" s="306"/>
    </row>
    <row r="1145" spans="1:54" ht="15.75" customHeight="1">
      <c r="A1145" s="415"/>
      <c r="B1145" s="416"/>
      <c r="C1145" s="417"/>
      <c r="D1145" s="418"/>
      <c r="E1145" s="418"/>
      <c r="F1145" s="419"/>
      <c r="G1145" s="420"/>
      <c r="H1145" s="421"/>
      <c r="I1145" s="421"/>
      <c r="J1145" s="422"/>
      <c r="K1145" s="418"/>
      <c r="L1145" s="418"/>
      <c r="M1145" s="418"/>
      <c r="N1145" s="421"/>
      <c r="O1145" s="421"/>
      <c r="P1145" s="421"/>
      <c r="Q1145" s="418"/>
      <c r="R1145" s="1022"/>
      <c r="S1145" s="1022"/>
      <c r="T1145" s="418"/>
      <c r="U1145" s="418"/>
      <c r="V1145" s="418"/>
      <c r="W1145" s="418"/>
      <c r="X1145" s="418"/>
      <c r="Y1145" s="418"/>
      <c r="Z1145" s="418"/>
      <c r="AA1145" s="418"/>
      <c r="AB1145" s="418"/>
      <c r="AC1145" s="418"/>
      <c r="AD1145" s="418"/>
      <c r="AE1145" s="418"/>
      <c r="AF1145" s="418"/>
      <c r="AG1145" s="418"/>
      <c r="AH1145" s="418"/>
      <c r="AI1145" s="418"/>
      <c r="AJ1145" s="418"/>
      <c r="AK1145" s="418"/>
      <c r="AL1145" s="418"/>
      <c r="AM1145" s="418"/>
      <c r="AN1145" s="423"/>
      <c r="AO1145" s="423"/>
      <c r="AP1145" s="423"/>
      <c r="AQ1145" s="423"/>
      <c r="AR1145" s="423"/>
      <c r="AS1145" s="423"/>
      <c r="AT1145" s="423"/>
      <c r="AU1145" s="423"/>
      <c r="AV1145" s="423"/>
      <c r="AW1145" s="418"/>
      <c r="AX1145" s="418"/>
      <c r="AY1145" s="418"/>
      <c r="AZ1145" s="418"/>
      <c r="BA1145" s="418"/>
      <c r="BB1145" s="306"/>
    </row>
    <row r="1146" spans="1:54" ht="15.75" customHeight="1">
      <c r="A1146" s="415"/>
      <c r="B1146" s="416"/>
      <c r="C1146" s="417"/>
      <c r="D1146" s="418"/>
      <c r="E1146" s="418"/>
      <c r="F1146" s="419"/>
      <c r="G1146" s="420"/>
      <c r="H1146" s="421"/>
      <c r="I1146" s="421"/>
      <c r="J1146" s="422"/>
      <c r="K1146" s="418"/>
      <c r="L1146" s="418"/>
      <c r="M1146" s="418"/>
      <c r="N1146" s="421"/>
      <c r="O1146" s="421"/>
      <c r="P1146" s="421"/>
      <c r="Q1146" s="418"/>
      <c r="R1146" s="1022"/>
      <c r="S1146" s="1022"/>
      <c r="T1146" s="418"/>
      <c r="U1146" s="418"/>
      <c r="V1146" s="418"/>
      <c r="W1146" s="418"/>
      <c r="X1146" s="418"/>
      <c r="Y1146" s="418"/>
      <c r="Z1146" s="418"/>
      <c r="AA1146" s="418"/>
      <c r="AB1146" s="418"/>
      <c r="AC1146" s="418"/>
      <c r="AD1146" s="418"/>
      <c r="AE1146" s="418"/>
      <c r="AF1146" s="418"/>
      <c r="AG1146" s="418"/>
      <c r="AH1146" s="418"/>
      <c r="AI1146" s="418"/>
      <c r="AJ1146" s="418"/>
      <c r="AK1146" s="418"/>
      <c r="AL1146" s="418"/>
      <c r="AM1146" s="418"/>
      <c r="AN1146" s="423"/>
      <c r="AO1146" s="423"/>
      <c r="AP1146" s="423"/>
      <c r="AQ1146" s="423"/>
      <c r="AR1146" s="423"/>
      <c r="AS1146" s="423"/>
      <c r="AT1146" s="423"/>
      <c r="AU1146" s="423"/>
      <c r="AV1146" s="423"/>
      <c r="AW1146" s="418"/>
      <c r="AX1146" s="418"/>
      <c r="AY1146" s="418"/>
      <c r="AZ1146" s="418"/>
      <c r="BA1146" s="418"/>
      <c r="BB1146" s="306"/>
    </row>
    <row r="1147" spans="1:54" ht="15.75" customHeight="1">
      <c r="A1147" s="415"/>
      <c r="B1147" s="416"/>
      <c r="C1147" s="417"/>
      <c r="D1147" s="418"/>
      <c r="E1147" s="418"/>
      <c r="F1147" s="419"/>
      <c r="G1147" s="420"/>
      <c r="H1147" s="421"/>
      <c r="I1147" s="425"/>
      <c r="J1147" s="422"/>
      <c r="K1147" s="418"/>
      <c r="L1147" s="418"/>
      <c r="M1147" s="418"/>
      <c r="N1147" s="421"/>
      <c r="O1147" s="421"/>
      <c r="P1147" s="421"/>
      <c r="Q1147" s="418"/>
      <c r="R1147" s="1022"/>
      <c r="S1147" s="1022"/>
      <c r="T1147" s="418"/>
      <c r="U1147" s="418"/>
      <c r="V1147" s="418"/>
      <c r="W1147" s="418"/>
      <c r="X1147" s="418"/>
      <c r="Y1147" s="418"/>
      <c r="Z1147" s="418"/>
      <c r="AA1147" s="418"/>
      <c r="AB1147" s="418"/>
      <c r="AC1147" s="418"/>
      <c r="AD1147" s="418"/>
      <c r="AE1147" s="418"/>
      <c r="AF1147" s="418"/>
      <c r="AG1147" s="418"/>
      <c r="AH1147" s="418"/>
      <c r="AI1147" s="418"/>
      <c r="AJ1147" s="418"/>
      <c r="AK1147" s="418"/>
      <c r="AL1147" s="418"/>
      <c r="AM1147" s="418"/>
      <c r="AN1147" s="423"/>
      <c r="AO1147" s="423"/>
      <c r="AP1147" s="423"/>
      <c r="AQ1147" s="423"/>
      <c r="AR1147" s="423"/>
      <c r="AS1147" s="423"/>
      <c r="AT1147" s="423"/>
      <c r="AU1147" s="423"/>
      <c r="AV1147" s="423"/>
      <c r="AW1147" s="418"/>
      <c r="AX1147" s="418"/>
      <c r="AY1147" s="418"/>
      <c r="AZ1147" s="418"/>
      <c r="BA1147" s="418"/>
      <c r="BB1147" s="306"/>
    </row>
    <row r="1148" spans="1:54" ht="15.75" customHeight="1">
      <c r="A1148" s="415"/>
      <c r="B1148" s="416"/>
      <c r="C1148" s="417"/>
      <c r="D1148" s="418"/>
      <c r="E1148" s="418"/>
      <c r="F1148" s="419"/>
      <c r="G1148" s="420"/>
      <c r="H1148" s="421"/>
      <c r="I1148" s="421"/>
      <c r="J1148" s="422"/>
      <c r="K1148" s="418"/>
      <c r="L1148" s="418"/>
      <c r="M1148" s="418"/>
      <c r="N1148" s="421"/>
      <c r="O1148" s="421"/>
      <c r="P1148" s="421"/>
      <c r="Q1148" s="418"/>
      <c r="R1148" s="1022"/>
      <c r="S1148" s="1022"/>
      <c r="T1148" s="418"/>
      <c r="U1148" s="418"/>
      <c r="V1148" s="418"/>
      <c r="W1148" s="418"/>
      <c r="X1148" s="418"/>
      <c r="Y1148" s="418"/>
      <c r="Z1148" s="418"/>
      <c r="AA1148" s="418"/>
      <c r="AB1148" s="418"/>
      <c r="AC1148" s="418"/>
      <c r="AD1148" s="418"/>
      <c r="AE1148" s="418"/>
      <c r="AF1148" s="418"/>
      <c r="AG1148" s="418"/>
      <c r="AH1148" s="418"/>
      <c r="AI1148" s="418"/>
      <c r="AJ1148" s="418"/>
      <c r="AK1148" s="418"/>
      <c r="AL1148" s="418"/>
      <c r="AM1148" s="418"/>
      <c r="AN1148" s="423"/>
      <c r="AO1148" s="423"/>
      <c r="AP1148" s="423"/>
      <c r="AQ1148" s="423"/>
      <c r="AR1148" s="423"/>
      <c r="AS1148" s="423"/>
      <c r="AT1148" s="423"/>
      <c r="AU1148" s="423"/>
      <c r="AV1148" s="423"/>
      <c r="AW1148" s="418"/>
      <c r="AX1148" s="418"/>
      <c r="AY1148" s="418"/>
      <c r="AZ1148" s="418"/>
      <c r="BA1148" s="418"/>
      <c r="BB1148" s="306"/>
    </row>
    <row r="1149" spans="1:54" ht="15.75" customHeight="1">
      <c r="A1149" s="415"/>
      <c r="B1149" s="416"/>
      <c r="C1149" s="417"/>
      <c r="D1149" s="418"/>
      <c r="E1149" s="418"/>
      <c r="F1149" s="419"/>
      <c r="G1149" s="420"/>
      <c r="H1149" s="421"/>
      <c r="I1149" s="425"/>
      <c r="J1149" s="422"/>
      <c r="K1149" s="418"/>
      <c r="L1149" s="418"/>
      <c r="M1149" s="418"/>
      <c r="N1149" s="421"/>
      <c r="O1149" s="421"/>
      <c r="P1149" s="421"/>
      <c r="Q1149" s="418"/>
      <c r="R1149" s="1022"/>
      <c r="S1149" s="1022"/>
      <c r="T1149" s="418"/>
      <c r="U1149" s="418"/>
      <c r="V1149" s="418"/>
      <c r="W1149" s="418"/>
      <c r="X1149" s="418"/>
      <c r="Y1149" s="418"/>
      <c r="Z1149" s="418"/>
      <c r="AA1149" s="418"/>
      <c r="AB1149" s="418"/>
      <c r="AC1149" s="418"/>
      <c r="AD1149" s="418"/>
      <c r="AE1149" s="418"/>
      <c r="AF1149" s="418"/>
      <c r="AG1149" s="418"/>
      <c r="AH1149" s="418"/>
      <c r="AI1149" s="418"/>
      <c r="AJ1149" s="418"/>
      <c r="AK1149" s="418"/>
      <c r="AL1149" s="418"/>
      <c r="AM1149" s="418"/>
      <c r="AN1149" s="423"/>
      <c r="AO1149" s="423"/>
      <c r="AP1149" s="423"/>
      <c r="AQ1149" s="423"/>
      <c r="AR1149" s="423"/>
      <c r="AS1149" s="423"/>
      <c r="AT1149" s="423"/>
      <c r="AU1149" s="423"/>
      <c r="AV1149" s="423"/>
      <c r="AW1149" s="418"/>
      <c r="AX1149" s="418"/>
      <c r="AY1149" s="418"/>
      <c r="AZ1149" s="418"/>
      <c r="BA1149" s="418"/>
      <c r="BB1149" s="306"/>
    </row>
    <row r="1150" spans="1:54" ht="15.75" customHeight="1">
      <c r="A1150" s="415"/>
      <c r="B1150" s="416"/>
      <c r="C1150" s="417"/>
      <c r="D1150" s="418"/>
      <c r="E1150" s="418"/>
      <c r="F1150" s="419"/>
      <c r="G1150" s="420"/>
      <c r="H1150" s="421"/>
      <c r="I1150" s="421"/>
      <c r="J1150" s="422"/>
      <c r="K1150" s="418"/>
      <c r="L1150" s="418"/>
      <c r="M1150" s="418"/>
      <c r="N1150" s="421"/>
      <c r="O1150" s="421"/>
      <c r="P1150" s="421"/>
      <c r="Q1150" s="418"/>
      <c r="R1150" s="1022"/>
      <c r="S1150" s="1022"/>
      <c r="T1150" s="418"/>
      <c r="U1150" s="418"/>
      <c r="V1150" s="418"/>
      <c r="W1150" s="418"/>
      <c r="X1150" s="418"/>
      <c r="Y1150" s="418"/>
      <c r="Z1150" s="418"/>
      <c r="AA1150" s="418"/>
      <c r="AB1150" s="418"/>
      <c r="AC1150" s="418"/>
      <c r="AD1150" s="418"/>
      <c r="AE1150" s="418"/>
      <c r="AF1150" s="418"/>
      <c r="AG1150" s="418"/>
      <c r="AH1150" s="418"/>
      <c r="AI1150" s="418"/>
      <c r="AJ1150" s="418"/>
      <c r="AK1150" s="418"/>
      <c r="AL1150" s="418"/>
      <c r="AM1150" s="418"/>
      <c r="AN1150" s="423"/>
      <c r="AO1150" s="423"/>
      <c r="AP1150" s="423"/>
      <c r="AQ1150" s="423"/>
      <c r="AR1150" s="423"/>
      <c r="AS1150" s="423"/>
      <c r="AT1150" s="423"/>
      <c r="AU1150" s="423"/>
      <c r="AV1150" s="423"/>
      <c r="AW1150" s="418"/>
      <c r="AX1150" s="418"/>
      <c r="AY1150" s="418"/>
      <c r="AZ1150" s="418"/>
      <c r="BA1150" s="418"/>
      <c r="BB1150" s="306"/>
    </row>
    <row r="1151" spans="1:54" ht="15.75" customHeight="1">
      <c r="A1151" s="415"/>
      <c r="B1151" s="416"/>
      <c r="C1151" s="417"/>
      <c r="D1151" s="418"/>
      <c r="E1151" s="418"/>
      <c r="F1151" s="419"/>
      <c r="G1151" s="420"/>
      <c r="H1151" s="421"/>
      <c r="I1151" s="425"/>
      <c r="J1151" s="422"/>
      <c r="K1151" s="418"/>
      <c r="L1151" s="418"/>
      <c r="M1151" s="418"/>
      <c r="N1151" s="421"/>
      <c r="O1151" s="421"/>
      <c r="P1151" s="421"/>
      <c r="Q1151" s="418"/>
      <c r="R1151" s="1022"/>
      <c r="S1151" s="1022"/>
      <c r="T1151" s="418"/>
      <c r="U1151" s="418"/>
      <c r="V1151" s="418"/>
      <c r="W1151" s="418"/>
      <c r="X1151" s="418"/>
      <c r="Y1151" s="418"/>
      <c r="Z1151" s="418"/>
      <c r="AA1151" s="418"/>
      <c r="AB1151" s="418"/>
      <c r="AC1151" s="418"/>
      <c r="AD1151" s="418"/>
      <c r="AE1151" s="418"/>
      <c r="AF1151" s="418"/>
      <c r="AG1151" s="418"/>
      <c r="AH1151" s="418"/>
      <c r="AI1151" s="418"/>
      <c r="AJ1151" s="418"/>
      <c r="AK1151" s="418"/>
      <c r="AL1151" s="418"/>
      <c r="AM1151" s="418"/>
      <c r="AN1151" s="423"/>
      <c r="AO1151" s="423"/>
      <c r="AP1151" s="423"/>
      <c r="AQ1151" s="423"/>
      <c r="AR1151" s="423"/>
      <c r="AS1151" s="423"/>
      <c r="AT1151" s="423"/>
      <c r="AU1151" s="423"/>
      <c r="AV1151" s="423"/>
      <c r="AW1151" s="418"/>
      <c r="AX1151" s="418"/>
      <c r="AY1151" s="418"/>
      <c r="AZ1151" s="418"/>
      <c r="BA1151" s="418"/>
      <c r="BB1151" s="306"/>
    </row>
    <row r="1152" spans="1:54" ht="15.75" customHeight="1">
      <c r="A1152" s="415"/>
      <c r="B1152" s="416"/>
      <c r="C1152" s="417"/>
      <c r="D1152" s="418"/>
      <c r="E1152" s="418"/>
      <c r="F1152" s="419"/>
      <c r="G1152" s="420"/>
      <c r="H1152" s="421"/>
      <c r="I1152" s="421"/>
      <c r="J1152" s="422"/>
      <c r="K1152" s="418"/>
      <c r="L1152" s="418"/>
      <c r="M1152" s="418"/>
      <c r="N1152" s="421"/>
      <c r="O1152" s="421"/>
      <c r="P1152" s="421"/>
      <c r="Q1152" s="418"/>
      <c r="R1152" s="1022"/>
      <c r="S1152" s="1022"/>
      <c r="T1152" s="418"/>
      <c r="U1152" s="418"/>
      <c r="V1152" s="418"/>
      <c r="W1152" s="418"/>
      <c r="X1152" s="418"/>
      <c r="Y1152" s="418"/>
      <c r="Z1152" s="418"/>
      <c r="AA1152" s="418"/>
      <c r="AB1152" s="418"/>
      <c r="AC1152" s="418"/>
      <c r="AD1152" s="418"/>
      <c r="AE1152" s="418"/>
      <c r="AF1152" s="418"/>
      <c r="AG1152" s="418"/>
      <c r="AH1152" s="418"/>
      <c r="AI1152" s="418"/>
      <c r="AJ1152" s="418"/>
      <c r="AK1152" s="418"/>
      <c r="AL1152" s="418"/>
      <c r="AM1152" s="418"/>
      <c r="AN1152" s="423"/>
      <c r="AO1152" s="423"/>
      <c r="AP1152" s="423"/>
      <c r="AQ1152" s="423"/>
      <c r="AR1152" s="423"/>
      <c r="AS1152" s="423"/>
      <c r="AT1152" s="423"/>
      <c r="AU1152" s="423"/>
      <c r="AV1152" s="423"/>
      <c r="AW1152" s="418"/>
      <c r="AX1152" s="418"/>
      <c r="AY1152" s="418"/>
      <c r="AZ1152" s="418"/>
      <c r="BA1152" s="418"/>
      <c r="BB1152" s="306"/>
    </row>
    <row r="1153" spans="1:54" ht="15.75" customHeight="1">
      <c r="A1153" s="415"/>
      <c r="B1153" s="416"/>
      <c r="C1153" s="417"/>
      <c r="D1153" s="418"/>
      <c r="E1153" s="418"/>
      <c r="F1153" s="419"/>
      <c r="G1153" s="420"/>
      <c r="H1153" s="421"/>
      <c r="I1153" s="421"/>
      <c r="J1153" s="422"/>
      <c r="K1153" s="418"/>
      <c r="L1153" s="418"/>
      <c r="M1153" s="418"/>
      <c r="N1153" s="421"/>
      <c r="O1153" s="421"/>
      <c r="P1153" s="421"/>
      <c r="Q1153" s="418"/>
      <c r="R1153" s="1022"/>
      <c r="S1153" s="1022"/>
      <c r="T1153" s="418"/>
      <c r="U1153" s="418"/>
      <c r="V1153" s="418"/>
      <c r="W1153" s="418"/>
      <c r="X1153" s="418"/>
      <c r="Y1153" s="418"/>
      <c r="Z1153" s="418"/>
      <c r="AA1153" s="418"/>
      <c r="AB1153" s="418"/>
      <c r="AC1153" s="418"/>
      <c r="AD1153" s="418"/>
      <c r="AE1153" s="418"/>
      <c r="AF1153" s="418"/>
      <c r="AG1153" s="418"/>
      <c r="AH1153" s="418"/>
      <c r="AI1153" s="418"/>
      <c r="AJ1153" s="418"/>
      <c r="AK1153" s="418"/>
      <c r="AL1153" s="418"/>
      <c r="AM1153" s="418"/>
      <c r="AN1153" s="423"/>
      <c r="AO1153" s="423"/>
      <c r="AP1153" s="423"/>
      <c r="AQ1153" s="423"/>
      <c r="AR1153" s="423"/>
      <c r="AS1153" s="423"/>
      <c r="AT1153" s="423"/>
      <c r="AU1153" s="423"/>
      <c r="AV1153" s="423"/>
      <c r="AW1153" s="418"/>
      <c r="AX1153" s="418"/>
      <c r="AY1153" s="418"/>
      <c r="AZ1153" s="418"/>
      <c r="BA1153" s="418"/>
      <c r="BB1153" s="306"/>
    </row>
    <row r="1154" spans="1:54" ht="15.75" customHeight="1">
      <c r="A1154" s="415"/>
      <c r="B1154" s="416"/>
      <c r="C1154" s="417"/>
      <c r="D1154" s="418"/>
      <c r="E1154" s="418"/>
      <c r="F1154" s="419"/>
      <c r="G1154" s="420"/>
      <c r="H1154" s="421"/>
      <c r="I1154" s="421"/>
      <c r="J1154" s="422"/>
      <c r="K1154" s="418"/>
      <c r="L1154" s="418"/>
      <c r="M1154" s="418"/>
      <c r="N1154" s="421"/>
      <c r="O1154" s="421"/>
      <c r="P1154" s="421"/>
      <c r="Q1154" s="418"/>
      <c r="R1154" s="1022"/>
      <c r="S1154" s="1022"/>
      <c r="T1154" s="418"/>
      <c r="U1154" s="418"/>
      <c r="V1154" s="418"/>
      <c r="W1154" s="418"/>
      <c r="X1154" s="418"/>
      <c r="Y1154" s="418"/>
      <c r="Z1154" s="418"/>
      <c r="AA1154" s="418"/>
      <c r="AB1154" s="418"/>
      <c r="AC1154" s="418"/>
      <c r="AD1154" s="418"/>
      <c r="AE1154" s="418"/>
      <c r="AF1154" s="418"/>
      <c r="AG1154" s="418"/>
      <c r="AH1154" s="418"/>
      <c r="AI1154" s="418"/>
      <c r="AJ1154" s="418"/>
      <c r="AK1154" s="418"/>
      <c r="AL1154" s="418"/>
      <c r="AM1154" s="418"/>
      <c r="AN1154" s="423"/>
      <c r="AO1154" s="423"/>
      <c r="AP1154" s="423"/>
      <c r="AQ1154" s="423"/>
      <c r="AR1154" s="423"/>
      <c r="AS1154" s="423"/>
      <c r="AT1154" s="423"/>
      <c r="AU1154" s="423"/>
      <c r="AV1154" s="423"/>
      <c r="AW1154" s="418"/>
      <c r="AX1154" s="418"/>
      <c r="AY1154" s="418"/>
      <c r="AZ1154" s="418"/>
      <c r="BA1154" s="418"/>
      <c r="BB1154" s="306"/>
    </row>
    <row r="1155" spans="1:54" ht="15.75" customHeight="1">
      <c r="A1155" s="415"/>
      <c r="B1155" s="416"/>
      <c r="C1155" s="417"/>
      <c r="D1155" s="418"/>
      <c r="E1155" s="418"/>
      <c r="F1155" s="419"/>
      <c r="G1155" s="420"/>
      <c r="H1155" s="421"/>
      <c r="I1155" s="421"/>
      <c r="J1155" s="422"/>
      <c r="K1155" s="418"/>
      <c r="L1155" s="418"/>
      <c r="M1155" s="418"/>
      <c r="N1155" s="421"/>
      <c r="O1155" s="421"/>
      <c r="P1155" s="421"/>
      <c r="Q1155" s="418"/>
      <c r="R1155" s="1022"/>
      <c r="S1155" s="1022"/>
      <c r="T1155" s="418"/>
      <c r="U1155" s="418"/>
      <c r="V1155" s="418"/>
      <c r="W1155" s="418"/>
      <c r="X1155" s="418"/>
      <c r="Y1155" s="418"/>
      <c r="Z1155" s="418"/>
      <c r="AA1155" s="418"/>
      <c r="AB1155" s="418"/>
      <c r="AC1155" s="418"/>
      <c r="AD1155" s="418"/>
      <c r="AE1155" s="418"/>
      <c r="AF1155" s="418"/>
      <c r="AG1155" s="418"/>
      <c r="AH1155" s="418"/>
      <c r="AI1155" s="418"/>
      <c r="AJ1155" s="418"/>
      <c r="AK1155" s="418"/>
      <c r="AL1155" s="418"/>
      <c r="AM1155" s="418"/>
      <c r="AN1155" s="423"/>
      <c r="AO1155" s="423"/>
      <c r="AP1155" s="423"/>
      <c r="AQ1155" s="423"/>
      <c r="AR1155" s="423"/>
      <c r="AS1155" s="423"/>
      <c r="AT1155" s="423"/>
      <c r="AU1155" s="423"/>
      <c r="AV1155" s="423"/>
      <c r="AW1155" s="418"/>
      <c r="AX1155" s="418"/>
      <c r="AY1155" s="418"/>
      <c r="AZ1155" s="418"/>
      <c r="BA1155" s="418"/>
      <c r="BB1155" s="306"/>
    </row>
    <row r="1156" spans="1:54" ht="15.75" customHeight="1">
      <c r="A1156" s="415"/>
      <c r="B1156" s="416"/>
      <c r="C1156" s="417"/>
      <c r="D1156" s="418"/>
      <c r="E1156" s="418"/>
      <c r="F1156" s="419"/>
      <c r="G1156" s="420"/>
      <c r="H1156" s="421"/>
      <c r="I1156" s="421"/>
      <c r="J1156" s="422"/>
      <c r="K1156" s="418"/>
      <c r="L1156" s="418"/>
      <c r="M1156" s="418"/>
      <c r="N1156" s="421"/>
      <c r="O1156" s="421"/>
      <c r="P1156" s="421"/>
      <c r="Q1156" s="418"/>
      <c r="R1156" s="1022"/>
      <c r="S1156" s="1022"/>
      <c r="T1156" s="418"/>
      <c r="U1156" s="418"/>
      <c r="V1156" s="418"/>
      <c r="W1156" s="418"/>
      <c r="X1156" s="418"/>
      <c r="Y1156" s="418"/>
      <c r="Z1156" s="418"/>
      <c r="AA1156" s="418"/>
      <c r="AB1156" s="418"/>
      <c r="AC1156" s="418"/>
      <c r="AD1156" s="418"/>
      <c r="AE1156" s="418"/>
      <c r="AF1156" s="418"/>
      <c r="AG1156" s="418"/>
      <c r="AH1156" s="418"/>
      <c r="AI1156" s="418"/>
      <c r="AJ1156" s="418"/>
      <c r="AK1156" s="418"/>
      <c r="AL1156" s="418"/>
      <c r="AM1156" s="418"/>
      <c r="AN1156" s="423"/>
      <c r="AO1156" s="423"/>
      <c r="AP1156" s="423"/>
      <c r="AQ1156" s="423"/>
      <c r="AR1156" s="423"/>
      <c r="AS1156" s="423"/>
      <c r="AT1156" s="423"/>
      <c r="AU1156" s="423"/>
      <c r="AV1156" s="423"/>
      <c r="AW1156" s="418"/>
      <c r="AX1156" s="418"/>
      <c r="AY1156" s="418"/>
      <c r="AZ1156" s="418"/>
      <c r="BA1156" s="418"/>
      <c r="BB1156" s="306"/>
    </row>
    <row r="1157" spans="1:54" ht="15.75" customHeight="1">
      <c r="A1157" s="415"/>
      <c r="B1157" s="416"/>
      <c r="C1157" s="417"/>
      <c r="D1157" s="418"/>
      <c r="E1157" s="418"/>
      <c r="F1157" s="419"/>
      <c r="G1157" s="420"/>
      <c r="H1157" s="421"/>
      <c r="I1157" s="421"/>
      <c r="J1157" s="422"/>
      <c r="K1157" s="418"/>
      <c r="L1157" s="418"/>
      <c r="M1157" s="418"/>
      <c r="N1157" s="421"/>
      <c r="O1157" s="421"/>
      <c r="P1157" s="421"/>
      <c r="Q1157" s="418"/>
      <c r="R1157" s="1022"/>
      <c r="S1157" s="1022"/>
      <c r="T1157" s="418"/>
      <c r="U1157" s="418"/>
      <c r="V1157" s="418"/>
      <c r="W1157" s="418"/>
      <c r="X1157" s="418"/>
      <c r="Y1157" s="418"/>
      <c r="Z1157" s="418"/>
      <c r="AA1157" s="418"/>
      <c r="AB1157" s="418"/>
      <c r="AC1157" s="418"/>
      <c r="AD1157" s="418"/>
      <c r="AE1157" s="418"/>
      <c r="AF1157" s="418"/>
      <c r="AG1157" s="418"/>
      <c r="AH1157" s="418"/>
      <c r="AI1157" s="418"/>
      <c r="AJ1157" s="418"/>
      <c r="AK1157" s="418"/>
      <c r="AL1157" s="418"/>
      <c r="AM1157" s="418"/>
      <c r="AN1157" s="423"/>
      <c r="AO1157" s="423"/>
      <c r="AP1157" s="423"/>
      <c r="AQ1157" s="423"/>
      <c r="AR1157" s="423"/>
      <c r="AS1157" s="423"/>
      <c r="AT1157" s="423"/>
      <c r="AU1157" s="423"/>
      <c r="AV1157" s="423"/>
      <c r="AW1157" s="418"/>
      <c r="AX1157" s="418"/>
      <c r="AY1157" s="418"/>
      <c r="AZ1157" s="418"/>
      <c r="BA1157" s="418"/>
      <c r="BB1157" s="306"/>
    </row>
    <row r="1158" spans="1:54" ht="15.75" customHeight="1">
      <c r="A1158" s="415"/>
      <c r="B1158" s="416"/>
      <c r="C1158" s="417"/>
      <c r="D1158" s="418"/>
      <c r="E1158" s="418"/>
      <c r="F1158" s="419"/>
      <c r="G1158" s="420"/>
      <c r="H1158" s="421"/>
      <c r="I1158" s="421"/>
      <c r="J1158" s="422"/>
      <c r="K1158" s="418"/>
      <c r="L1158" s="418"/>
      <c r="M1158" s="418"/>
      <c r="N1158" s="421"/>
      <c r="O1158" s="421"/>
      <c r="P1158" s="421"/>
      <c r="Q1158" s="418"/>
      <c r="R1158" s="1022"/>
      <c r="S1158" s="1022"/>
      <c r="T1158" s="418"/>
      <c r="U1158" s="418"/>
      <c r="V1158" s="418"/>
      <c r="W1158" s="418"/>
      <c r="X1158" s="418"/>
      <c r="Y1158" s="418"/>
      <c r="Z1158" s="418"/>
      <c r="AA1158" s="418"/>
      <c r="AB1158" s="418"/>
      <c r="AC1158" s="418"/>
      <c r="AD1158" s="418"/>
      <c r="AE1158" s="418"/>
      <c r="AF1158" s="418"/>
      <c r="AG1158" s="418"/>
      <c r="AH1158" s="418"/>
      <c r="AI1158" s="418"/>
      <c r="AJ1158" s="418"/>
      <c r="AK1158" s="418"/>
      <c r="AL1158" s="418"/>
      <c r="AM1158" s="418"/>
      <c r="AN1158" s="423"/>
      <c r="AO1158" s="423"/>
      <c r="AP1158" s="423"/>
      <c r="AQ1158" s="423"/>
      <c r="AR1158" s="423"/>
      <c r="AS1158" s="423"/>
      <c r="AT1158" s="423"/>
      <c r="AU1158" s="423"/>
      <c r="AV1158" s="423"/>
      <c r="AW1158" s="418"/>
      <c r="AX1158" s="418"/>
      <c r="AY1158" s="418"/>
      <c r="AZ1158" s="418"/>
      <c r="BA1158" s="418"/>
      <c r="BB1158" s="306"/>
    </row>
    <row r="1159" spans="1:54" ht="15.75" customHeight="1">
      <c r="A1159" s="415"/>
      <c r="B1159" s="416"/>
      <c r="C1159" s="417"/>
      <c r="D1159" s="418"/>
      <c r="E1159" s="418"/>
      <c r="F1159" s="419"/>
      <c r="G1159" s="420"/>
      <c r="H1159" s="421"/>
      <c r="I1159" s="421"/>
      <c r="J1159" s="422"/>
      <c r="K1159" s="418"/>
      <c r="L1159" s="418"/>
      <c r="M1159" s="418"/>
      <c r="N1159" s="421"/>
      <c r="O1159" s="421"/>
      <c r="P1159" s="421"/>
      <c r="Q1159" s="418"/>
      <c r="R1159" s="1022"/>
      <c r="S1159" s="1022"/>
      <c r="T1159" s="418"/>
      <c r="U1159" s="418"/>
      <c r="V1159" s="418"/>
      <c r="W1159" s="418"/>
      <c r="X1159" s="418"/>
      <c r="Y1159" s="418"/>
      <c r="Z1159" s="418"/>
      <c r="AA1159" s="418"/>
      <c r="AB1159" s="418"/>
      <c r="AC1159" s="418"/>
      <c r="AD1159" s="418"/>
      <c r="AE1159" s="418"/>
      <c r="AF1159" s="418"/>
      <c r="AG1159" s="418"/>
      <c r="AH1159" s="418"/>
      <c r="AI1159" s="418"/>
      <c r="AJ1159" s="418"/>
      <c r="AK1159" s="418"/>
      <c r="AL1159" s="418"/>
      <c r="AM1159" s="418"/>
      <c r="AN1159" s="423"/>
      <c r="AO1159" s="423"/>
      <c r="AP1159" s="423"/>
      <c r="AQ1159" s="423"/>
      <c r="AR1159" s="423"/>
      <c r="AS1159" s="423"/>
      <c r="AT1159" s="423"/>
      <c r="AU1159" s="423"/>
      <c r="AV1159" s="423"/>
      <c r="AW1159" s="418"/>
      <c r="AX1159" s="418"/>
      <c r="AY1159" s="418"/>
      <c r="AZ1159" s="418"/>
      <c r="BA1159" s="418"/>
      <c r="BB1159" s="306"/>
    </row>
    <row r="1160" spans="1:54" ht="15.75" customHeight="1">
      <c r="A1160" s="415"/>
      <c r="B1160" s="416"/>
      <c r="C1160" s="417"/>
      <c r="D1160" s="418"/>
      <c r="E1160" s="418"/>
      <c r="F1160" s="419"/>
      <c r="G1160" s="420"/>
      <c r="H1160" s="421"/>
      <c r="I1160" s="421"/>
      <c r="J1160" s="422"/>
      <c r="K1160" s="418"/>
      <c r="L1160" s="418"/>
      <c r="M1160" s="418"/>
      <c r="N1160" s="421"/>
      <c r="O1160" s="421"/>
      <c r="P1160" s="421"/>
      <c r="Q1160" s="418"/>
      <c r="R1160" s="1022"/>
      <c r="S1160" s="1022"/>
      <c r="T1160" s="418"/>
      <c r="U1160" s="418"/>
      <c r="V1160" s="418"/>
      <c r="W1160" s="418"/>
      <c r="X1160" s="418"/>
      <c r="Y1160" s="418"/>
      <c r="Z1160" s="418"/>
      <c r="AA1160" s="418"/>
      <c r="AB1160" s="418"/>
      <c r="AC1160" s="418"/>
      <c r="AD1160" s="418"/>
      <c r="AE1160" s="418"/>
      <c r="AF1160" s="418"/>
      <c r="AG1160" s="418"/>
      <c r="AH1160" s="418"/>
      <c r="AI1160" s="418"/>
      <c r="AJ1160" s="418"/>
      <c r="AK1160" s="418"/>
      <c r="AL1160" s="418"/>
      <c r="AM1160" s="418"/>
      <c r="AN1160" s="423"/>
      <c r="AO1160" s="423"/>
      <c r="AP1160" s="423"/>
      <c r="AQ1160" s="423"/>
      <c r="AR1160" s="423"/>
      <c r="AS1160" s="423"/>
      <c r="AT1160" s="423"/>
      <c r="AU1160" s="423"/>
      <c r="AV1160" s="423"/>
      <c r="AW1160" s="418"/>
      <c r="AX1160" s="418"/>
      <c r="AY1160" s="418"/>
      <c r="AZ1160" s="418"/>
      <c r="BA1160" s="418"/>
      <c r="BB1160" s="306"/>
    </row>
    <row r="1161" spans="1:54" ht="15.75" customHeight="1">
      <c r="A1161" s="415"/>
      <c r="B1161" s="416"/>
      <c r="C1161" s="417"/>
      <c r="D1161" s="418"/>
      <c r="E1161" s="418"/>
      <c r="F1161" s="419"/>
      <c r="G1161" s="420"/>
      <c r="H1161" s="421"/>
      <c r="I1161" s="421"/>
      <c r="J1161" s="422"/>
      <c r="K1161" s="418"/>
      <c r="L1161" s="418"/>
      <c r="M1161" s="418"/>
      <c r="N1161" s="421"/>
      <c r="O1161" s="421"/>
      <c r="P1161" s="421"/>
      <c r="Q1161" s="418"/>
      <c r="R1161" s="1022"/>
      <c r="S1161" s="1022"/>
      <c r="T1161" s="418"/>
      <c r="U1161" s="418"/>
      <c r="V1161" s="418"/>
      <c r="W1161" s="418"/>
      <c r="X1161" s="418"/>
      <c r="Y1161" s="418"/>
      <c r="Z1161" s="418"/>
      <c r="AA1161" s="418"/>
      <c r="AB1161" s="418"/>
      <c r="AC1161" s="418"/>
      <c r="AD1161" s="418"/>
      <c r="AE1161" s="418"/>
      <c r="AF1161" s="418"/>
      <c r="AG1161" s="418"/>
      <c r="AH1161" s="418"/>
      <c r="AI1161" s="418"/>
      <c r="AJ1161" s="418"/>
      <c r="AK1161" s="418"/>
      <c r="AL1161" s="418"/>
      <c r="AM1161" s="418"/>
      <c r="AN1161" s="423"/>
      <c r="AO1161" s="423"/>
      <c r="AP1161" s="423"/>
      <c r="AQ1161" s="423"/>
      <c r="AR1161" s="423"/>
      <c r="AS1161" s="423"/>
      <c r="AT1161" s="423"/>
      <c r="AU1161" s="423"/>
      <c r="AV1161" s="423"/>
      <c r="AW1161" s="418"/>
      <c r="AX1161" s="418"/>
      <c r="AY1161" s="418"/>
      <c r="AZ1161" s="418"/>
      <c r="BA1161" s="418"/>
      <c r="BB1161" s="306"/>
    </row>
    <row r="1162" spans="1:54" ht="15.75" customHeight="1">
      <c r="A1162" s="415"/>
      <c r="B1162" s="416"/>
      <c r="C1162" s="417"/>
      <c r="D1162" s="418"/>
      <c r="E1162" s="418"/>
      <c r="F1162" s="419"/>
      <c r="G1162" s="420"/>
      <c r="H1162" s="421"/>
      <c r="I1162" s="421"/>
      <c r="J1162" s="422"/>
      <c r="K1162" s="418"/>
      <c r="L1162" s="418"/>
      <c r="M1162" s="418"/>
      <c r="N1162" s="421"/>
      <c r="O1162" s="421"/>
      <c r="P1162" s="421"/>
      <c r="Q1162" s="418"/>
      <c r="R1162" s="1022"/>
      <c r="S1162" s="1022"/>
      <c r="T1162" s="418"/>
      <c r="U1162" s="418"/>
      <c r="V1162" s="418"/>
      <c r="W1162" s="418"/>
      <c r="X1162" s="418"/>
      <c r="Y1162" s="418"/>
      <c r="Z1162" s="418"/>
      <c r="AA1162" s="418"/>
      <c r="AB1162" s="418"/>
      <c r="AC1162" s="418"/>
      <c r="AD1162" s="418"/>
      <c r="AE1162" s="418"/>
      <c r="AF1162" s="418"/>
      <c r="AG1162" s="418"/>
      <c r="AH1162" s="418"/>
      <c r="AI1162" s="418"/>
      <c r="AJ1162" s="418"/>
      <c r="AK1162" s="418"/>
      <c r="AL1162" s="418"/>
      <c r="AM1162" s="418"/>
      <c r="AN1162" s="423"/>
      <c r="AO1162" s="423"/>
      <c r="AP1162" s="423"/>
      <c r="AQ1162" s="423"/>
      <c r="AR1162" s="423"/>
      <c r="AS1162" s="423"/>
      <c r="AT1162" s="423"/>
      <c r="AU1162" s="423"/>
      <c r="AV1162" s="423"/>
      <c r="AW1162" s="418"/>
      <c r="AX1162" s="418"/>
      <c r="AY1162" s="418"/>
      <c r="AZ1162" s="418"/>
      <c r="BA1162" s="418"/>
      <c r="BB1162" s="306"/>
    </row>
    <row r="1163" spans="1:54" ht="15.75" customHeight="1">
      <c r="A1163" s="415"/>
      <c r="B1163" s="416"/>
      <c r="C1163" s="417"/>
      <c r="D1163" s="418"/>
      <c r="E1163" s="418"/>
      <c r="F1163" s="419"/>
      <c r="G1163" s="420"/>
      <c r="H1163" s="421"/>
      <c r="I1163" s="421"/>
      <c r="J1163" s="422"/>
      <c r="K1163" s="418"/>
      <c r="L1163" s="418"/>
      <c r="M1163" s="418"/>
      <c r="N1163" s="421"/>
      <c r="O1163" s="421"/>
      <c r="P1163" s="421"/>
      <c r="Q1163" s="418"/>
      <c r="R1163" s="1022"/>
      <c r="S1163" s="1022"/>
      <c r="T1163" s="418"/>
      <c r="U1163" s="418"/>
      <c r="V1163" s="418"/>
      <c r="W1163" s="418"/>
      <c r="X1163" s="418"/>
      <c r="Y1163" s="418"/>
      <c r="Z1163" s="418"/>
      <c r="AA1163" s="418"/>
      <c r="AB1163" s="418"/>
      <c r="AC1163" s="418"/>
      <c r="AD1163" s="418"/>
      <c r="AE1163" s="418"/>
      <c r="AF1163" s="418"/>
      <c r="AG1163" s="418"/>
      <c r="AH1163" s="418"/>
      <c r="AI1163" s="418"/>
      <c r="AJ1163" s="418"/>
      <c r="AK1163" s="418"/>
      <c r="AL1163" s="418"/>
      <c r="AM1163" s="418"/>
      <c r="AN1163" s="423"/>
      <c r="AO1163" s="423"/>
      <c r="AP1163" s="423"/>
      <c r="AQ1163" s="423"/>
      <c r="AR1163" s="423"/>
      <c r="AS1163" s="423"/>
      <c r="AT1163" s="423"/>
      <c r="AU1163" s="423"/>
      <c r="AV1163" s="423"/>
      <c r="AW1163" s="418"/>
      <c r="AX1163" s="418"/>
      <c r="AY1163" s="418"/>
      <c r="AZ1163" s="418"/>
      <c r="BA1163" s="418"/>
      <c r="BB1163" s="306"/>
    </row>
    <row r="1164" spans="1:54" ht="15.75" customHeight="1">
      <c r="A1164" s="415"/>
      <c r="B1164" s="416"/>
      <c r="C1164" s="417"/>
      <c r="D1164" s="418"/>
      <c r="E1164" s="418"/>
      <c r="F1164" s="419"/>
      <c r="G1164" s="420"/>
      <c r="H1164" s="421"/>
      <c r="I1164" s="421"/>
      <c r="J1164" s="422"/>
      <c r="K1164" s="418"/>
      <c r="L1164" s="418"/>
      <c r="M1164" s="418"/>
      <c r="N1164" s="421"/>
      <c r="O1164" s="421"/>
      <c r="P1164" s="421"/>
      <c r="Q1164" s="418"/>
      <c r="R1164" s="1022"/>
      <c r="S1164" s="1022"/>
      <c r="T1164" s="418"/>
      <c r="U1164" s="418"/>
      <c r="V1164" s="418"/>
      <c r="W1164" s="418"/>
      <c r="X1164" s="418"/>
      <c r="Y1164" s="418"/>
      <c r="Z1164" s="418"/>
      <c r="AA1164" s="418"/>
      <c r="AB1164" s="418"/>
      <c r="AC1164" s="418"/>
      <c r="AD1164" s="418"/>
      <c r="AE1164" s="418"/>
      <c r="AF1164" s="418"/>
      <c r="AG1164" s="418"/>
      <c r="AH1164" s="418"/>
      <c r="AI1164" s="418"/>
      <c r="AJ1164" s="418"/>
      <c r="AK1164" s="418"/>
      <c r="AL1164" s="418"/>
      <c r="AM1164" s="418"/>
      <c r="AN1164" s="423"/>
      <c r="AO1164" s="423"/>
      <c r="AP1164" s="423"/>
      <c r="AQ1164" s="423"/>
      <c r="AR1164" s="423"/>
      <c r="AS1164" s="423"/>
      <c r="AT1164" s="423"/>
      <c r="AU1164" s="423"/>
      <c r="AV1164" s="423"/>
      <c r="AW1164" s="418"/>
      <c r="AX1164" s="418"/>
      <c r="AY1164" s="418"/>
      <c r="AZ1164" s="418"/>
      <c r="BA1164" s="418"/>
      <c r="BB1164" s="306"/>
    </row>
    <row r="1165" spans="1:54" ht="15.75" customHeight="1">
      <c r="A1165" s="415"/>
      <c r="B1165" s="416"/>
      <c r="C1165" s="417"/>
      <c r="D1165" s="418"/>
      <c r="E1165" s="418"/>
      <c r="F1165" s="419"/>
      <c r="G1165" s="420"/>
      <c r="H1165" s="421"/>
      <c r="I1165" s="421"/>
      <c r="J1165" s="422"/>
      <c r="K1165" s="418"/>
      <c r="L1165" s="418"/>
      <c r="M1165" s="418"/>
      <c r="N1165" s="421"/>
      <c r="O1165" s="421"/>
      <c r="P1165" s="421"/>
      <c r="Q1165" s="418"/>
      <c r="R1165" s="1022"/>
      <c r="S1165" s="1022"/>
      <c r="T1165" s="418"/>
      <c r="U1165" s="418"/>
      <c r="V1165" s="418"/>
      <c r="W1165" s="418"/>
      <c r="X1165" s="418"/>
      <c r="Y1165" s="418"/>
      <c r="Z1165" s="418"/>
      <c r="AA1165" s="418"/>
      <c r="AB1165" s="418"/>
      <c r="AC1165" s="418"/>
      <c r="AD1165" s="418"/>
      <c r="AE1165" s="418"/>
      <c r="AF1165" s="418"/>
      <c r="AG1165" s="418"/>
      <c r="AH1165" s="418"/>
      <c r="AI1165" s="418"/>
      <c r="AJ1165" s="418"/>
      <c r="AK1165" s="418"/>
      <c r="AL1165" s="418"/>
      <c r="AM1165" s="418"/>
      <c r="AN1165" s="423"/>
      <c r="AO1165" s="423"/>
      <c r="AP1165" s="423"/>
      <c r="AQ1165" s="423"/>
      <c r="AR1165" s="423"/>
      <c r="AS1165" s="423"/>
      <c r="AT1165" s="423"/>
      <c r="AU1165" s="423"/>
      <c r="AV1165" s="423"/>
      <c r="AW1165" s="418"/>
      <c r="AX1165" s="418"/>
      <c r="AY1165" s="418"/>
      <c r="AZ1165" s="418"/>
      <c r="BA1165" s="418"/>
      <c r="BB1165" s="306"/>
    </row>
    <row r="1166" spans="1:54" ht="15.75" customHeight="1">
      <c r="A1166" s="415"/>
      <c r="B1166" s="416"/>
      <c r="C1166" s="417"/>
      <c r="D1166" s="418"/>
      <c r="E1166" s="418"/>
      <c r="F1166" s="419"/>
      <c r="G1166" s="420"/>
      <c r="H1166" s="421"/>
      <c r="I1166" s="421"/>
      <c r="J1166" s="422"/>
      <c r="K1166" s="418"/>
      <c r="L1166" s="418"/>
      <c r="M1166" s="418"/>
      <c r="N1166" s="421"/>
      <c r="O1166" s="421"/>
      <c r="P1166" s="421"/>
      <c r="Q1166" s="418"/>
      <c r="R1166" s="1022"/>
      <c r="S1166" s="1022"/>
      <c r="T1166" s="418"/>
      <c r="U1166" s="418"/>
      <c r="V1166" s="418"/>
      <c r="W1166" s="418"/>
      <c r="X1166" s="418"/>
      <c r="Y1166" s="418"/>
      <c r="Z1166" s="418"/>
      <c r="AA1166" s="418"/>
      <c r="AB1166" s="418"/>
      <c r="AC1166" s="418"/>
      <c r="AD1166" s="418"/>
      <c r="AE1166" s="418"/>
      <c r="AF1166" s="418"/>
      <c r="AG1166" s="418"/>
      <c r="AH1166" s="418"/>
      <c r="AI1166" s="418"/>
      <c r="AJ1166" s="418"/>
      <c r="AK1166" s="418"/>
      <c r="AL1166" s="418"/>
      <c r="AM1166" s="418"/>
      <c r="AN1166" s="423"/>
      <c r="AO1166" s="423"/>
      <c r="AP1166" s="423"/>
      <c r="AQ1166" s="423"/>
      <c r="AR1166" s="423"/>
      <c r="AS1166" s="423"/>
      <c r="AT1166" s="423"/>
      <c r="AU1166" s="423"/>
      <c r="AV1166" s="423"/>
      <c r="AW1166" s="418"/>
      <c r="AX1166" s="418"/>
      <c r="AY1166" s="418"/>
      <c r="AZ1166" s="418"/>
      <c r="BA1166" s="418"/>
      <c r="BB1166" s="306"/>
    </row>
    <row r="1167" spans="1:54" ht="15.75" customHeight="1">
      <c r="A1167" s="415"/>
      <c r="B1167" s="416"/>
      <c r="C1167" s="417"/>
      <c r="D1167" s="418"/>
      <c r="E1167" s="418"/>
      <c r="F1167" s="419"/>
      <c r="G1167" s="420"/>
      <c r="H1167" s="421"/>
      <c r="I1167" s="421"/>
      <c r="J1167" s="422"/>
      <c r="K1167" s="418"/>
      <c r="L1167" s="418"/>
      <c r="M1167" s="418"/>
      <c r="N1167" s="421"/>
      <c r="O1167" s="421"/>
      <c r="P1167" s="421"/>
      <c r="Q1167" s="418"/>
      <c r="R1167" s="1022"/>
      <c r="S1167" s="1022"/>
      <c r="T1167" s="418"/>
      <c r="U1167" s="418"/>
      <c r="V1167" s="418"/>
      <c r="W1167" s="418"/>
      <c r="X1167" s="418"/>
      <c r="Y1167" s="418"/>
      <c r="Z1167" s="418"/>
      <c r="AA1167" s="418"/>
      <c r="AB1167" s="418"/>
      <c r="AC1167" s="418"/>
      <c r="AD1167" s="418"/>
      <c r="AE1167" s="418"/>
      <c r="AF1167" s="418"/>
      <c r="AG1167" s="418"/>
      <c r="AH1167" s="418"/>
      <c r="AI1167" s="418"/>
      <c r="AJ1167" s="418"/>
      <c r="AK1167" s="418"/>
      <c r="AL1167" s="418"/>
      <c r="AM1167" s="418"/>
      <c r="AN1167" s="423"/>
      <c r="AO1167" s="423"/>
      <c r="AP1167" s="423"/>
      <c r="AQ1167" s="423"/>
      <c r="AR1167" s="423"/>
      <c r="AS1167" s="423"/>
      <c r="AT1167" s="423"/>
      <c r="AU1167" s="423"/>
      <c r="AV1167" s="423"/>
      <c r="AW1167" s="418"/>
      <c r="AX1167" s="418"/>
      <c r="AY1167" s="418"/>
      <c r="AZ1167" s="418"/>
      <c r="BA1167" s="418"/>
      <c r="BB1167" s="306"/>
    </row>
    <row r="1168" spans="1:54" ht="15.75" customHeight="1">
      <c r="A1168" s="415"/>
      <c r="B1168" s="416"/>
      <c r="C1168" s="417"/>
      <c r="D1168" s="418"/>
      <c r="E1168" s="418"/>
      <c r="F1168" s="419"/>
      <c r="G1168" s="420"/>
      <c r="H1168" s="421"/>
      <c r="I1168" s="421"/>
      <c r="J1168" s="422"/>
      <c r="K1168" s="418"/>
      <c r="L1168" s="418"/>
      <c r="M1168" s="418"/>
      <c r="N1168" s="421"/>
      <c r="O1168" s="421"/>
      <c r="P1168" s="421"/>
      <c r="Q1168" s="418"/>
      <c r="R1168" s="1022"/>
      <c r="S1168" s="1022"/>
      <c r="T1168" s="418"/>
      <c r="U1168" s="418"/>
      <c r="V1168" s="418"/>
      <c r="W1168" s="418"/>
      <c r="X1168" s="418"/>
      <c r="Y1168" s="418"/>
      <c r="Z1168" s="418"/>
      <c r="AA1168" s="418"/>
      <c r="AB1168" s="418"/>
      <c r="AC1168" s="418"/>
      <c r="AD1168" s="418"/>
      <c r="AE1168" s="418"/>
      <c r="AF1168" s="418"/>
      <c r="AG1168" s="418"/>
      <c r="AH1168" s="418"/>
      <c r="AI1168" s="418"/>
      <c r="AJ1168" s="418"/>
      <c r="AK1168" s="418"/>
      <c r="AL1168" s="418"/>
      <c r="AM1168" s="418"/>
      <c r="AN1168" s="423"/>
      <c r="AO1168" s="423"/>
      <c r="AP1168" s="423"/>
      <c r="AQ1168" s="423"/>
      <c r="AR1168" s="423"/>
      <c r="AS1168" s="423"/>
      <c r="AT1168" s="423"/>
      <c r="AU1168" s="423"/>
      <c r="AV1168" s="423"/>
      <c r="AW1168" s="418"/>
      <c r="AX1168" s="418"/>
      <c r="AY1168" s="418"/>
      <c r="AZ1168" s="418"/>
      <c r="BA1168" s="418"/>
      <c r="BB1168" s="306"/>
    </row>
    <row r="1169" spans="1:54" ht="15.75" customHeight="1">
      <c r="A1169" s="415"/>
      <c r="B1169" s="416"/>
      <c r="C1169" s="417"/>
      <c r="D1169" s="418"/>
      <c r="E1169" s="418"/>
      <c r="F1169" s="419"/>
      <c r="G1169" s="420"/>
      <c r="H1169" s="421"/>
      <c r="I1169" s="421"/>
      <c r="J1169" s="422"/>
      <c r="K1169" s="418"/>
      <c r="L1169" s="418"/>
      <c r="M1169" s="418"/>
      <c r="N1169" s="421"/>
      <c r="O1169" s="421"/>
      <c r="P1169" s="421"/>
      <c r="Q1169" s="418"/>
      <c r="R1169" s="1022"/>
      <c r="S1169" s="1022"/>
      <c r="T1169" s="418"/>
      <c r="U1169" s="418"/>
      <c r="V1169" s="418"/>
      <c r="W1169" s="418"/>
      <c r="X1169" s="418"/>
      <c r="Y1169" s="418"/>
      <c r="Z1169" s="418"/>
      <c r="AA1169" s="418"/>
      <c r="AB1169" s="418"/>
      <c r="AC1169" s="418"/>
      <c r="AD1169" s="418"/>
      <c r="AE1169" s="418"/>
      <c r="AF1169" s="418"/>
      <c r="AG1169" s="418"/>
      <c r="AH1169" s="418"/>
      <c r="AI1169" s="418"/>
      <c r="AJ1169" s="418"/>
      <c r="AK1169" s="418"/>
      <c r="AL1169" s="418"/>
      <c r="AM1169" s="418"/>
      <c r="AN1169" s="423"/>
      <c r="AO1169" s="423"/>
      <c r="AP1169" s="423"/>
      <c r="AQ1169" s="423"/>
      <c r="AR1169" s="423"/>
      <c r="AS1169" s="423"/>
      <c r="AT1169" s="423"/>
      <c r="AU1169" s="423"/>
      <c r="AV1169" s="423"/>
      <c r="AW1169" s="418"/>
      <c r="AX1169" s="418"/>
      <c r="AY1169" s="418"/>
      <c r="AZ1169" s="418"/>
      <c r="BA1169" s="418"/>
      <c r="BB1169" s="306"/>
    </row>
    <row r="1170" spans="1:54" ht="15.75" customHeight="1">
      <c r="A1170" s="415"/>
      <c r="B1170" s="416"/>
      <c r="C1170" s="417"/>
      <c r="D1170" s="418"/>
      <c r="E1170" s="418"/>
      <c r="F1170" s="419"/>
      <c r="G1170" s="420"/>
      <c r="H1170" s="421"/>
      <c r="I1170" s="421"/>
      <c r="J1170" s="422"/>
      <c r="K1170" s="418"/>
      <c r="L1170" s="418"/>
      <c r="M1170" s="418"/>
      <c r="N1170" s="421"/>
      <c r="O1170" s="421"/>
      <c r="P1170" s="421"/>
      <c r="Q1170" s="418"/>
      <c r="R1170" s="1022"/>
      <c r="S1170" s="1022"/>
      <c r="T1170" s="418"/>
      <c r="U1170" s="418"/>
      <c r="V1170" s="418"/>
      <c r="W1170" s="418"/>
      <c r="X1170" s="418"/>
      <c r="Y1170" s="418"/>
      <c r="Z1170" s="418"/>
      <c r="AA1170" s="418"/>
      <c r="AB1170" s="418"/>
      <c r="AC1170" s="418"/>
      <c r="AD1170" s="418"/>
      <c r="AE1170" s="418"/>
      <c r="AF1170" s="418"/>
      <c r="AG1170" s="418"/>
      <c r="AH1170" s="418"/>
      <c r="AI1170" s="418"/>
      <c r="AJ1170" s="418"/>
      <c r="AK1170" s="418"/>
      <c r="AL1170" s="418"/>
      <c r="AM1170" s="418"/>
      <c r="AN1170" s="423"/>
      <c r="AO1170" s="423"/>
      <c r="AP1170" s="423"/>
      <c r="AQ1170" s="423"/>
      <c r="AR1170" s="423"/>
      <c r="AS1170" s="423"/>
      <c r="AT1170" s="423"/>
      <c r="AU1170" s="423"/>
      <c r="AV1170" s="423"/>
      <c r="AW1170" s="418"/>
      <c r="AX1170" s="418"/>
      <c r="AY1170" s="418"/>
      <c r="AZ1170" s="418"/>
      <c r="BA1170" s="418"/>
      <c r="BB1170" s="306"/>
    </row>
    <row r="1171" spans="1:54" ht="15.75" customHeight="1">
      <c r="A1171" s="415"/>
      <c r="B1171" s="416"/>
      <c r="C1171" s="417"/>
      <c r="D1171" s="418"/>
      <c r="E1171" s="418"/>
      <c r="F1171" s="419"/>
      <c r="G1171" s="420"/>
      <c r="H1171" s="421"/>
      <c r="I1171" s="425"/>
      <c r="J1171" s="422"/>
      <c r="K1171" s="418"/>
      <c r="L1171" s="418"/>
      <c r="M1171" s="418"/>
      <c r="N1171" s="421"/>
      <c r="O1171" s="421"/>
      <c r="P1171" s="421"/>
      <c r="Q1171" s="418"/>
      <c r="R1171" s="1022"/>
      <c r="S1171" s="1022"/>
      <c r="T1171" s="418"/>
      <c r="U1171" s="418"/>
      <c r="V1171" s="418"/>
      <c r="W1171" s="418"/>
      <c r="X1171" s="418"/>
      <c r="Y1171" s="418"/>
      <c r="Z1171" s="418"/>
      <c r="AA1171" s="418"/>
      <c r="AB1171" s="418"/>
      <c r="AC1171" s="418"/>
      <c r="AD1171" s="418"/>
      <c r="AE1171" s="418"/>
      <c r="AF1171" s="418"/>
      <c r="AG1171" s="418"/>
      <c r="AH1171" s="418"/>
      <c r="AI1171" s="418"/>
      <c r="AJ1171" s="418"/>
      <c r="AK1171" s="418"/>
      <c r="AL1171" s="418"/>
      <c r="AM1171" s="418"/>
      <c r="AN1171" s="423"/>
      <c r="AO1171" s="423"/>
      <c r="AP1171" s="423"/>
      <c r="AQ1171" s="423"/>
      <c r="AR1171" s="423"/>
      <c r="AS1171" s="423"/>
      <c r="AT1171" s="423"/>
      <c r="AU1171" s="423"/>
      <c r="AV1171" s="423"/>
      <c r="AW1171" s="418"/>
      <c r="AX1171" s="418"/>
      <c r="AY1171" s="418"/>
      <c r="AZ1171" s="418"/>
      <c r="BA1171" s="418"/>
      <c r="BB1171" s="306"/>
    </row>
    <row r="1172" spans="1:54" ht="15.75" customHeight="1">
      <c r="A1172" s="415"/>
      <c r="B1172" s="416"/>
      <c r="C1172" s="417"/>
      <c r="D1172" s="418"/>
      <c r="E1172" s="418"/>
      <c r="F1172" s="419"/>
      <c r="G1172" s="420"/>
      <c r="H1172" s="421"/>
      <c r="I1172" s="421"/>
      <c r="J1172" s="422"/>
      <c r="K1172" s="418"/>
      <c r="L1172" s="418"/>
      <c r="M1172" s="418"/>
      <c r="N1172" s="421"/>
      <c r="O1172" s="421"/>
      <c r="P1172" s="421"/>
      <c r="Q1172" s="418"/>
      <c r="R1172" s="1022"/>
      <c r="S1172" s="1022"/>
      <c r="T1172" s="418"/>
      <c r="U1172" s="418"/>
      <c r="V1172" s="418"/>
      <c r="W1172" s="418"/>
      <c r="X1172" s="418"/>
      <c r="Y1172" s="418"/>
      <c r="Z1172" s="418"/>
      <c r="AA1172" s="418"/>
      <c r="AB1172" s="418"/>
      <c r="AC1172" s="418"/>
      <c r="AD1172" s="418"/>
      <c r="AE1172" s="418"/>
      <c r="AF1172" s="418"/>
      <c r="AG1172" s="418"/>
      <c r="AH1172" s="418"/>
      <c r="AI1172" s="418"/>
      <c r="AJ1172" s="418"/>
      <c r="AK1172" s="418"/>
      <c r="AL1172" s="418"/>
      <c r="AM1172" s="418"/>
      <c r="AN1172" s="423"/>
      <c r="AO1172" s="423"/>
      <c r="AP1172" s="423"/>
      <c r="AQ1172" s="423"/>
      <c r="AR1172" s="423"/>
      <c r="AS1172" s="423"/>
      <c r="AT1172" s="423"/>
      <c r="AU1172" s="423"/>
      <c r="AV1172" s="423"/>
      <c r="AW1172" s="418"/>
      <c r="AX1172" s="418"/>
      <c r="AY1172" s="418"/>
      <c r="AZ1172" s="418"/>
      <c r="BA1172" s="418"/>
      <c r="BB1172" s="306"/>
    </row>
    <row r="1173" spans="1:54" ht="15.75" customHeight="1">
      <c r="A1173" s="415"/>
      <c r="B1173" s="416"/>
      <c r="C1173" s="417"/>
      <c r="D1173" s="418"/>
      <c r="E1173" s="418"/>
      <c r="F1173" s="419"/>
      <c r="G1173" s="420"/>
      <c r="H1173" s="421"/>
      <c r="I1173" s="425"/>
      <c r="J1173" s="422"/>
      <c r="K1173" s="418"/>
      <c r="L1173" s="418"/>
      <c r="M1173" s="418"/>
      <c r="N1173" s="421"/>
      <c r="O1173" s="421"/>
      <c r="P1173" s="421"/>
      <c r="Q1173" s="418"/>
      <c r="R1173" s="1022"/>
      <c r="S1173" s="1022"/>
      <c r="T1173" s="418"/>
      <c r="U1173" s="418"/>
      <c r="V1173" s="418"/>
      <c r="W1173" s="418"/>
      <c r="X1173" s="418"/>
      <c r="Y1173" s="418"/>
      <c r="Z1173" s="418"/>
      <c r="AA1173" s="418"/>
      <c r="AB1173" s="418"/>
      <c r="AC1173" s="418"/>
      <c r="AD1173" s="418"/>
      <c r="AE1173" s="418"/>
      <c r="AF1173" s="418"/>
      <c r="AG1173" s="418"/>
      <c r="AH1173" s="418"/>
      <c r="AI1173" s="418"/>
      <c r="AJ1173" s="418"/>
      <c r="AK1173" s="418"/>
      <c r="AL1173" s="418"/>
      <c r="AM1173" s="418"/>
      <c r="AN1173" s="423"/>
      <c r="AO1173" s="423"/>
      <c r="AP1173" s="423"/>
      <c r="AQ1173" s="423"/>
      <c r="AR1173" s="423"/>
      <c r="AS1173" s="423"/>
      <c r="AT1173" s="423"/>
      <c r="AU1173" s="423"/>
      <c r="AV1173" s="423"/>
      <c r="AW1173" s="418"/>
      <c r="AX1173" s="418"/>
      <c r="AY1173" s="418"/>
      <c r="AZ1173" s="418"/>
      <c r="BA1173" s="418"/>
      <c r="BB1173" s="306"/>
    </row>
    <row r="1174" spans="1:54" ht="15.75" customHeight="1">
      <c r="A1174" s="415"/>
      <c r="B1174" s="416"/>
      <c r="C1174" s="417"/>
      <c r="D1174" s="418"/>
      <c r="E1174" s="418"/>
      <c r="F1174" s="419"/>
      <c r="G1174" s="420"/>
      <c r="H1174" s="421"/>
      <c r="I1174" s="421"/>
      <c r="J1174" s="422"/>
      <c r="K1174" s="418"/>
      <c r="L1174" s="418"/>
      <c r="M1174" s="418"/>
      <c r="N1174" s="421"/>
      <c r="O1174" s="421"/>
      <c r="P1174" s="421"/>
      <c r="Q1174" s="418"/>
      <c r="R1174" s="1022"/>
      <c r="S1174" s="1022"/>
      <c r="T1174" s="418"/>
      <c r="U1174" s="418"/>
      <c r="V1174" s="418"/>
      <c r="W1174" s="418"/>
      <c r="X1174" s="418"/>
      <c r="Y1174" s="418"/>
      <c r="Z1174" s="418"/>
      <c r="AA1174" s="418"/>
      <c r="AB1174" s="418"/>
      <c r="AC1174" s="418"/>
      <c r="AD1174" s="418"/>
      <c r="AE1174" s="418"/>
      <c r="AF1174" s="418"/>
      <c r="AG1174" s="418"/>
      <c r="AH1174" s="418"/>
      <c r="AI1174" s="418"/>
      <c r="AJ1174" s="418"/>
      <c r="AK1174" s="418"/>
      <c r="AL1174" s="418"/>
      <c r="AM1174" s="418"/>
      <c r="AN1174" s="423"/>
      <c r="AO1174" s="423"/>
      <c r="AP1174" s="423"/>
      <c r="AQ1174" s="423"/>
      <c r="AR1174" s="423"/>
      <c r="AS1174" s="423"/>
      <c r="AT1174" s="423"/>
      <c r="AU1174" s="423"/>
      <c r="AV1174" s="423"/>
      <c r="AW1174" s="418"/>
      <c r="AX1174" s="418"/>
      <c r="AY1174" s="418"/>
      <c r="AZ1174" s="418"/>
      <c r="BA1174" s="418"/>
      <c r="BB1174" s="306"/>
    </row>
    <row r="1175" spans="1:54" ht="15.75" customHeight="1">
      <c r="A1175" s="415"/>
      <c r="B1175" s="416"/>
      <c r="C1175" s="417"/>
      <c r="D1175" s="418"/>
      <c r="E1175" s="418"/>
      <c r="F1175" s="419"/>
      <c r="G1175" s="420"/>
      <c r="H1175" s="421"/>
      <c r="I1175" s="421"/>
      <c r="J1175" s="422"/>
      <c r="K1175" s="418"/>
      <c r="L1175" s="418"/>
      <c r="M1175" s="418"/>
      <c r="N1175" s="421"/>
      <c r="O1175" s="421"/>
      <c r="P1175" s="421"/>
      <c r="Q1175" s="418"/>
      <c r="R1175" s="1022"/>
      <c r="S1175" s="1022"/>
      <c r="T1175" s="418"/>
      <c r="U1175" s="418"/>
      <c r="V1175" s="418"/>
      <c r="W1175" s="418"/>
      <c r="X1175" s="418"/>
      <c r="Y1175" s="418"/>
      <c r="Z1175" s="418"/>
      <c r="AA1175" s="418"/>
      <c r="AB1175" s="418"/>
      <c r="AC1175" s="418"/>
      <c r="AD1175" s="418"/>
      <c r="AE1175" s="418"/>
      <c r="AF1175" s="418"/>
      <c r="AG1175" s="418"/>
      <c r="AH1175" s="418"/>
      <c r="AI1175" s="418"/>
      <c r="AJ1175" s="418"/>
      <c r="AK1175" s="418"/>
      <c r="AL1175" s="418"/>
      <c r="AM1175" s="418"/>
      <c r="AN1175" s="423"/>
      <c r="AO1175" s="423"/>
      <c r="AP1175" s="423"/>
      <c r="AQ1175" s="423"/>
      <c r="AR1175" s="423"/>
      <c r="AS1175" s="423"/>
      <c r="AT1175" s="423"/>
      <c r="AU1175" s="423"/>
      <c r="AV1175" s="423"/>
      <c r="AW1175" s="418"/>
      <c r="AX1175" s="418"/>
      <c r="AY1175" s="418"/>
      <c r="AZ1175" s="418"/>
      <c r="BA1175" s="418"/>
      <c r="BB1175" s="306"/>
    </row>
    <row r="1176" spans="1:54" ht="15.75" customHeight="1">
      <c r="A1176" s="415"/>
      <c r="B1176" s="416"/>
      <c r="C1176" s="417"/>
      <c r="D1176" s="418"/>
      <c r="E1176" s="418"/>
      <c r="F1176" s="419"/>
      <c r="G1176" s="420"/>
      <c r="H1176" s="421"/>
      <c r="I1176" s="425"/>
      <c r="J1176" s="422"/>
      <c r="K1176" s="418"/>
      <c r="L1176" s="418"/>
      <c r="M1176" s="418"/>
      <c r="N1176" s="421"/>
      <c r="O1176" s="421"/>
      <c r="P1176" s="421"/>
      <c r="Q1176" s="418"/>
      <c r="R1176" s="1022"/>
      <c r="S1176" s="1022"/>
      <c r="T1176" s="418"/>
      <c r="U1176" s="418"/>
      <c r="V1176" s="418"/>
      <c r="W1176" s="418"/>
      <c r="X1176" s="418"/>
      <c r="Y1176" s="418"/>
      <c r="Z1176" s="418"/>
      <c r="AA1176" s="418"/>
      <c r="AB1176" s="418"/>
      <c r="AC1176" s="418"/>
      <c r="AD1176" s="418"/>
      <c r="AE1176" s="418"/>
      <c r="AF1176" s="418"/>
      <c r="AG1176" s="418"/>
      <c r="AH1176" s="418"/>
      <c r="AI1176" s="418"/>
      <c r="AJ1176" s="418"/>
      <c r="AK1176" s="418"/>
      <c r="AL1176" s="418"/>
      <c r="AM1176" s="418"/>
      <c r="AN1176" s="423"/>
      <c r="AO1176" s="423"/>
      <c r="AP1176" s="423"/>
      <c r="AQ1176" s="423"/>
      <c r="AR1176" s="423"/>
      <c r="AS1176" s="423"/>
      <c r="AT1176" s="423"/>
      <c r="AU1176" s="423"/>
      <c r="AV1176" s="423"/>
      <c r="AW1176" s="418"/>
      <c r="AX1176" s="418"/>
      <c r="AY1176" s="418"/>
      <c r="AZ1176" s="418"/>
      <c r="BA1176" s="418"/>
      <c r="BB1176" s="306"/>
    </row>
    <row r="1177" spans="1:54" ht="15.75" customHeight="1">
      <c r="A1177" s="415"/>
      <c r="B1177" s="416"/>
      <c r="C1177" s="417"/>
      <c r="D1177" s="418"/>
      <c r="E1177" s="418"/>
      <c r="F1177" s="419"/>
      <c r="G1177" s="420"/>
      <c r="H1177" s="421"/>
      <c r="I1177" s="421"/>
      <c r="J1177" s="422"/>
      <c r="K1177" s="418"/>
      <c r="L1177" s="418"/>
      <c r="M1177" s="418"/>
      <c r="N1177" s="421"/>
      <c r="O1177" s="421"/>
      <c r="P1177" s="421"/>
      <c r="Q1177" s="418"/>
      <c r="R1177" s="1022"/>
      <c r="S1177" s="1022"/>
      <c r="T1177" s="418"/>
      <c r="U1177" s="418"/>
      <c r="V1177" s="418"/>
      <c r="W1177" s="418"/>
      <c r="X1177" s="418"/>
      <c r="Y1177" s="418"/>
      <c r="Z1177" s="418"/>
      <c r="AA1177" s="418"/>
      <c r="AB1177" s="418"/>
      <c r="AC1177" s="418"/>
      <c r="AD1177" s="418"/>
      <c r="AE1177" s="418"/>
      <c r="AF1177" s="418"/>
      <c r="AG1177" s="418"/>
      <c r="AH1177" s="418"/>
      <c r="AI1177" s="418"/>
      <c r="AJ1177" s="418"/>
      <c r="AK1177" s="418"/>
      <c r="AL1177" s="418"/>
      <c r="AM1177" s="418"/>
      <c r="AN1177" s="423"/>
      <c r="AO1177" s="423"/>
      <c r="AP1177" s="423"/>
      <c r="AQ1177" s="423"/>
      <c r="AR1177" s="423"/>
      <c r="AS1177" s="423"/>
      <c r="AT1177" s="423"/>
      <c r="AU1177" s="423"/>
      <c r="AV1177" s="423"/>
      <c r="AW1177" s="418"/>
      <c r="AX1177" s="418"/>
      <c r="AY1177" s="418"/>
      <c r="AZ1177" s="418"/>
      <c r="BA1177" s="418"/>
      <c r="BB1177" s="306"/>
    </row>
    <row r="1178" spans="1:54" ht="15.75" customHeight="1">
      <c r="A1178" s="415"/>
      <c r="B1178" s="416"/>
      <c r="C1178" s="417"/>
      <c r="D1178" s="418"/>
      <c r="E1178" s="418"/>
      <c r="F1178" s="419"/>
      <c r="G1178" s="420"/>
      <c r="H1178" s="421"/>
      <c r="I1178" s="421"/>
      <c r="J1178" s="422"/>
      <c r="K1178" s="418"/>
      <c r="L1178" s="418"/>
      <c r="M1178" s="418"/>
      <c r="N1178" s="421"/>
      <c r="O1178" s="421"/>
      <c r="P1178" s="421"/>
      <c r="Q1178" s="418"/>
      <c r="R1178" s="1022"/>
      <c r="S1178" s="1022"/>
      <c r="T1178" s="418"/>
      <c r="U1178" s="418"/>
      <c r="V1178" s="418"/>
      <c r="W1178" s="418"/>
      <c r="X1178" s="418"/>
      <c r="Y1178" s="418"/>
      <c r="Z1178" s="418"/>
      <c r="AA1178" s="418"/>
      <c r="AB1178" s="418"/>
      <c r="AC1178" s="418"/>
      <c r="AD1178" s="418"/>
      <c r="AE1178" s="418"/>
      <c r="AF1178" s="418"/>
      <c r="AG1178" s="418"/>
      <c r="AH1178" s="418"/>
      <c r="AI1178" s="418"/>
      <c r="AJ1178" s="418"/>
      <c r="AK1178" s="418"/>
      <c r="AL1178" s="418"/>
      <c r="AM1178" s="418"/>
      <c r="AN1178" s="423"/>
      <c r="AO1178" s="423"/>
      <c r="AP1178" s="423"/>
      <c r="AQ1178" s="423"/>
      <c r="AR1178" s="423"/>
      <c r="AS1178" s="423"/>
      <c r="AT1178" s="423"/>
      <c r="AU1178" s="423"/>
      <c r="AV1178" s="423"/>
      <c r="AW1178" s="418"/>
      <c r="AX1178" s="418"/>
      <c r="AY1178" s="418"/>
      <c r="AZ1178" s="418"/>
      <c r="BA1178" s="418"/>
      <c r="BB1178" s="306"/>
    </row>
    <row r="1179" spans="1:54" ht="15.75" customHeight="1">
      <c r="A1179" s="415"/>
      <c r="B1179" s="416"/>
      <c r="C1179" s="417"/>
      <c r="D1179" s="418"/>
      <c r="E1179" s="418"/>
      <c r="F1179" s="419"/>
      <c r="G1179" s="420"/>
      <c r="H1179" s="421"/>
      <c r="I1179" s="421"/>
      <c r="J1179" s="422"/>
      <c r="K1179" s="418"/>
      <c r="L1179" s="418"/>
      <c r="M1179" s="418"/>
      <c r="N1179" s="421"/>
      <c r="O1179" s="421"/>
      <c r="P1179" s="421"/>
      <c r="Q1179" s="418"/>
      <c r="R1179" s="1022"/>
      <c r="S1179" s="1022"/>
      <c r="T1179" s="418"/>
      <c r="U1179" s="418"/>
      <c r="V1179" s="418"/>
      <c r="W1179" s="418"/>
      <c r="X1179" s="418"/>
      <c r="Y1179" s="418"/>
      <c r="Z1179" s="418"/>
      <c r="AA1179" s="418"/>
      <c r="AB1179" s="418"/>
      <c r="AC1179" s="418"/>
      <c r="AD1179" s="418"/>
      <c r="AE1179" s="418"/>
      <c r="AF1179" s="418"/>
      <c r="AG1179" s="418"/>
      <c r="AH1179" s="418"/>
      <c r="AI1179" s="418"/>
      <c r="AJ1179" s="418"/>
      <c r="AK1179" s="418"/>
      <c r="AL1179" s="418"/>
      <c r="AM1179" s="418"/>
      <c r="AN1179" s="423"/>
      <c r="AO1179" s="423"/>
      <c r="AP1179" s="423"/>
      <c r="AQ1179" s="423"/>
      <c r="AR1179" s="423"/>
      <c r="AS1179" s="423"/>
      <c r="AT1179" s="423"/>
      <c r="AU1179" s="423"/>
      <c r="AV1179" s="423"/>
      <c r="AW1179" s="418"/>
      <c r="AX1179" s="418"/>
      <c r="AY1179" s="418"/>
      <c r="AZ1179" s="418"/>
      <c r="BA1179" s="418"/>
      <c r="BB1179" s="306"/>
    </row>
    <row r="1180" spans="1:54" ht="15.75" customHeight="1">
      <c r="A1180" s="415"/>
      <c r="B1180" s="416"/>
      <c r="C1180" s="417"/>
      <c r="D1180" s="418"/>
      <c r="E1180" s="418"/>
      <c r="F1180" s="419"/>
      <c r="G1180" s="420"/>
      <c r="H1180" s="421"/>
      <c r="I1180" s="421"/>
      <c r="J1180" s="422"/>
      <c r="K1180" s="418"/>
      <c r="L1180" s="418"/>
      <c r="M1180" s="418"/>
      <c r="N1180" s="421"/>
      <c r="O1180" s="421"/>
      <c r="P1180" s="421"/>
      <c r="Q1180" s="418"/>
      <c r="R1180" s="1022"/>
      <c r="S1180" s="1022"/>
      <c r="T1180" s="418"/>
      <c r="U1180" s="418"/>
      <c r="V1180" s="418"/>
      <c r="W1180" s="418"/>
      <c r="X1180" s="418"/>
      <c r="Y1180" s="418"/>
      <c r="Z1180" s="418"/>
      <c r="AA1180" s="418"/>
      <c r="AB1180" s="418"/>
      <c r="AC1180" s="418"/>
      <c r="AD1180" s="418"/>
      <c r="AE1180" s="418"/>
      <c r="AF1180" s="418"/>
      <c r="AG1180" s="418"/>
      <c r="AH1180" s="418"/>
      <c r="AI1180" s="418"/>
      <c r="AJ1180" s="418"/>
      <c r="AK1180" s="418"/>
      <c r="AL1180" s="418"/>
      <c r="AM1180" s="418"/>
      <c r="AN1180" s="423"/>
      <c r="AO1180" s="423"/>
      <c r="AP1180" s="423"/>
      <c r="AQ1180" s="423"/>
      <c r="AR1180" s="423"/>
      <c r="AS1180" s="423"/>
      <c r="AT1180" s="423"/>
      <c r="AU1180" s="423"/>
      <c r="AV1180" s="423"/>
      <c r="AW1180" s="418"/>
      <c r="AX1180" s="418"/>
      <c r="AY1180" s="418"/>
      <c r="AZ1180" s="418"/>
      <c r="BA1180" s="418"/>
      <c r="BB1180" s="306"/>
    </row>
    <row r="1181" spans="1:54" ht="15.75" customHeight="1">
      <c r="A1181" s="415"/>
      <c r="B1181" s="416"/>
      <c r="C1181" s="417"/>
      <c r="D1181" s="418"/>
      <c r="E1181" s="418"/>
      <c r="F1181" s="419"/>
      <c r="G1181" s="420"/>
      <c r="H1181" s="421"/>
      <c r="I1181" s="425"/>
      <c r="J1181" s="422"/>
      <c r="K1181" s="418"/>
      <c r="L1181" s="418"/>
      <c r="M1181" s="418"/>
      <c r="N1181" s="421"/>
      <c r="O1181" s="421"/>
      <c r="P1181" s="421"/>
      <c r="Q1181" s="418"/>
      <c r="R1181" s="1022"/>
      <c r="S1181" s="1022"/>
      <c r="T1181" s="418"/>
      <c r="U1181" s="418"/>
      <c r="V1181" s="418"/>
      <c r="W1181" s="418"/>
      <c r="X1181" s="418"/>
      <c r="Y1181" s="418"/>
      <c r="Z1181" s="418"/>
      <c r="AA1181" s="418"/>
      <c r="AB1181" s="418"/>
      <c r="AC1181" s="418"/>
      <c r="AD1181" s="418"/>
      <c r="AE1181" s="418"/>
      <c r="AF1181" s="418"/>
      <c r="AG1181" s="418"/>
      <c r="AH1181" s="418"/>
      <c r="AI1181" s="418"/>
      <c r="AJ1181" s="418"/>
      <c r="AK1181" s="418"/>
      <c r="AL1181" s="418"/>
      <c r="AM1181" s="418"/>
      <c r="AN1181" s="423"/>
      <c r="AO1181" s="423"/>
      <c r="AP1181" s="423"/>
      <c r="AQ1181" s="423"/>
      <c r="AR1181" s="423"/>
      <c r="AS1181" s="423"/>
      <c r="AT1181" s="423"/>
      <c r="AU1181" s="423"/>
      <c r="AV1181" s="423"/>
      <c r="AW1181" s="418"/>
      <c r="AX1181" s="418"/>
      <c r="AY1181" s="418"/>
      <c r="AZ1181" s="418"/>
      <c r="BA1181" s="418"/>
      <c r="BB1181" s="306"/>
    </row>
    <row r="1182" spans="1:54" ht="15.75" customHeight="1">
      <c r="A1182" s="415"/>
      <c r="B1182" s="416"/>
      <c r="C1182" s="417"/>
      <c r="D1182" s="418"/>
      <c r="E1182" s="418"/>
      <c r="F1182" s="419"/>
      <c r="G1182" s="420"/>
      <c r="H1182" s="421"/>
      <c r="I1182" s="421"/>
      <c r="J1182" s="422"/>
      <c r="K1182" s="418"/>
      <c r="L1182" s="418"/>
      <c r="M1182" s="418"/>
      <c r="N1182" s="421"/>
      <c r="O1182" s="421"/>
      <c r="P1182" s="421"/>
      <c r="Q1182" s="418"/>
      <c r="R1182" s="1022"/>
      <c r="S1182" s="1022"/>
      <c r="T1182" s="418"/>
      <c r="U1182" s="418"/>
      <c r="V1182" s="418"/>
      <c r="W1182" s="418"/>
      <c r="X1182" s="418"/>
      <c r="Y1182" s="418"/>
      <c r="Z1182" s="418"/>
      <c r="AA1182" s="418"/>
      <c r="AB1182" s="418"/>
      <c r="AC1182" s="418"/>
      <c r="AD1182" s="418"/>
      <c r="AE1182" s="418"/>
      <c r="AF1182" s="418"/>
      <c r="AG1182" s="418"/>
      <c r="AH1182" s="418"/>
      <c r="AI1182" s="418"/>
      <c r="AJ1182" s="418"/>
      <c r="AK1182" s="418"/>
      <c r="AL1182" s="418"/>
      <c r="AM1182" s="418"/>
      <c r="AN1182" s="423"/>
      <c r="AO1182" s="423"/>
      <c r="AP1182" s="423"/>
      <c r="AQ1182" s="423"/>
      <c r="AR1182" s="423"/>
      <c r="AS1182" s="423"/>
      <c r="AT1182" s="423"/>
      <c r="AU1182" s="423"/>
      <c r="AV1182" s="423"/>
      <c r="AW1182" s="418"/>
      <c r="AX1182" s="418"/>
      <c r="AY1182" s="418"/>
      <c r="AZ1182" s="418"/>
      <c r="BA1182" s="418"/>
      <c r="BB1182" s="306"/>
    </row>
    <row r="1183" spans="1:54" ht="15.75" customHeight="1">
      <c r="A1183" s="415"/>
      <c r="B1183" s="416"/>
      <c r="C1183" s="417"/>
      <c r="D1183" s="418"/>
      <c r="E1183" s="418"/>
      <c r="F1183" s="419"/>
      <c r="G1183" s="420"/>
      <c r="H1183" s="421"/>
      <c r="I1183" s="425"/>
      <c r="J1183" s="422"/>
      <c r="K1183" s="418"/>
      <c r="L1183" s="418"/>
      <c r="M1183" s="418"/>
      <c r="N1183" s="421"/>
      <c r="O1183" s="421"/>
      <c r="P1183" s="421"/>
      <c r="Q1183" s="418"/>
      <c r="R1183" s="1022"/>
      <c r="S1183" s="1022"/>
      <c r="T1183" s="418"/>
      <c r="U1183" s="418"/>
      <c r="V1183" s="418"/>
      <c r="W1183" s="418"/>
      <c r="X1183" s="418"/>
      <c r="Y1183" s="418"/>
      <c r="Z1183" s="418"/>
      <c r="AA1183" s="418"/>
      <c r="AB1183" s="418"/>
      <c r="AC1183" s="418"/>
      <c r="AD1183" s="418"/>
      <c r="AE1183" s="418"/>
      <c r="AF1183" s="418"/>
      <c r="AG1183" s="418"/>
      <c r="AH1183" s="418"/>
      <c r="AI1183" s="418"/>
      <c r="AJ1183" s="418"/>
      <c r="AK1183" s="418"/>
      <c r="AL1183" s="418"/>
      <c r="AM1183" s="418"/>
      <c r="AN1183" s="423"/>
      <c r="AO1183" s="423"/>
      <c r="AP1183" s="423"/>
      <c r="AQ1183" s="423"/>
      <c r="AR1183" s="423"/>
      <c r="AS1183" s="423"/>
      <c r="AT1183" s="423"/>
      <c r="AU1183" s="423"/>
      <c r="AV1183" s="423"/>
      <c r="AW1183" s="418"/>
      <c r="AX1183" s="418"/>
      <c r="AY1183" s="418"/>
      <c r="AZ1183" s="418"/>
      <c r="BA1183" s="418"/>
      <c r="BB1183" s="306"/>
    </row>
    <row r="1184" spans="1:54" ht="15.75" customHeight="1">
      <c r="A1184" s="415"/>
      <c r="B1184" s="416"/>
      <c r="C1184" s="417"/>
      <c r="D1184" s="418"/>
      <c r="E1184" s="418"/>
      <c r="F1184" s="419"/>
      <c r="G1184" s="420"/>
      <c r="H1184" s="421"/>
      <c r="I1184" s="421"/>
      <c r="J1184" s="422"/>
      <c r="K1184" s="418"/>
      <c r="L1184" s="418"/>
      <c r="M1184" s="418"/>
      <c r="N1184" s="421"/>
      <c r="O1184" s="421"/>
      <c r="P1184" s="421"/>
      <c r="Q1184" s="418"/>
      <c r="R1184" s="1022"/>
      <c r="S1184" s="1022"/>
      <c r="T1184" s="418"/>
      <c r="U1184" s="418"/>
      <c r="V1184" s="418"/>
      <c r="W1184" s="418"/>
      <c r="X1184" s="418"/>
      <c r="Y1184" s="418"/>
      <c r="Z1184" s="418"/>
      <c r="AA1184" s="418"/>
      <c r="AB1184" s="418"/>
      <c r="AC1184" s="418"/>
      <c r="AD1184" s="418"/>
      <c r="AE1184" s="418"/>
      <c r="AF1184" s="418"/>
      <c r="AG1184" s="418"/>
      <c r="AH1184" s="418"/>
      <c r="AI1184" s="418"/>
      <c r="AJ1184" s="418"/>
      <c r="AK1184" s="418"/>
      <c r="AL1184" s="418"/>
      <c r="AM1184" s="418"/>
      <c r="AN1184" s="423"/>
      <c r="AO1184" s="423"/>
      <c r="AP1184" s="423"/>
      <c r="AQ1184" s="423"/>
      <c r="AR1184" s="423"/>
      <c r="AS1184" s="423"/>
      <c r="AT1184" s="423"/>
      <c r="AU1184" s="423"/>
      <c r="AV1184" s="423"/>
      <c r="AW1184" s="418"/>
      <c r="AX1184" s="418"/>
      <c r="AY1184" s="418"/>
      <c r="AZ1184" s="418"/>
      <c r="BA1184" s="418"/>
      <c r="BB1184" s="306"/>
    </row>
    <row r="1185" spans="1:54" ht="15.75" customHeight="1">
      <c r="A1185" s="415"/>
      <c r="B1185" s="416"/>
      <c r="C1185" s="417"/>
      <c r="D1185" s="418"/>
      <c r="E1185" s="418"/>
      <c r="F1185" s="419"/>
      <c r="G1185" s="420"/>
      <c r="H1185" s="421"/>
      <c r="I1185" s="425"/>
      <c r="J1185" s="422"/>
      <c r="K1185" s="418"/>
      <c r="L1185" s="418"/>
      <c r="M1185" s="418"/>
      <c r="N1185" s="421"/>
      <c r="O1185" s="421"/>
      <c r="P1185" s="421"/>
      <c r="Q1185" s="418"/>
      <c r="R1185" s="1022"/>
      <c r="S1185" s="1022"/>
      <c r="T1185" s="418"/>
      <c r="U1185" s="418"/>
      <c r="V1185" s="418"/>
      <c r="W1185" s="418"/>
      <c r="X1185" s="418"/>
      <c r="Y1185" s="418"/>
      <c r="Z1185" s="418"/>
      <c r="AA1185" s="418"/>
      <c r="AB1185" s="418"/>
      <c r="AC1185" s="418"/>
      <c r="AD1185" s="418"/>
      <c r="AE1185" s="418"/>
      <c r="AF1185" s="418"/>
      <c r="AG1185" s="418"/>
      <c r="AH1185" s="418"/>
      <c r="AI1185" s="418"/>
      <c r="AJ1185" s="418"/>
      <c r="AK1185" s="418"/>
      <c r="AL1185" s="418"/>
      <c r="AM1185" s="418"/>
      <c r="AN1185" s="423"/>
      <c r="AO1185" s="423"/>
      <c r="AP1185" s="423"/>
      <c r="AQ1185" s="423"/>
      <c r="AR1185" s="423"/>
      <c r="AS1185" s="423"/>
      <c r="AT1185" s="423"/>
      <c r="AU1185" s="423"/>
      <c r="AV1185" s="423"/>
      <c r="AW1185" s="418"/>
      <c r="AX1185" s="418"/>
      <c r="AY1185" s="418"/>
      <c r="AZ1185" s="418"/>
      <c r="BA1185" s="418"/>
      <c r="BB1185" s="306"/>
    </row>
    <row r="1186" spans="1:54" ht="15.75" customHeight="1">
      <c r="A1186" s="415"/>
      <c r="B1186" s="416"/>
      <c r="C1186" s="417"/>
      <c r="D1186" s="418"/>
      <c r="E1186" s="418"/>
      <c r="F1186" s="419"/>
      <c r="G1186" s="420"/>
      <c r="H1186" s="421"/>
      <c r="I1186" s="421"/>
      <c r="J1186" s="422"/>
      <c r="K1186" s="418"/>
      <c r="L1186" s="418"/>
      <c r="M1186" s="418"/>
      <c r="N1186" s="421"/>
      <c r="O1186" s="421"/>
      <c r="P1186" s="421"/>
      <c r="Q1186" s="418"/>
      <c r="R1186" s="1022"/>
      <c r="S1186" s="1022"/>
      <c r="T1186" s="418"/>
      <c r="U1186" s="418"/>
      <c r="V1186" s="418"/>
      <c r="W1186" s="418"/>
      <c r="X1186" s="418"/>
      <c r="Y1186" s="418"/>
      <c r="Z1186" s="418"/>
      <c r="AA1186" s="418"/>
      <c r="AB1186" s="418"/>
      <c r="AC1186" s="418"/>
      <c r="AD1186" s="418"/>
      <c r="AE1186" s="418"/>
      <c r="AF1186" s="418"/>
      <c r="AG1186" s="418"/>
      <c r="AH1186" s="418"/>
      <c r="AI1186" s="418"/>
      <c r="AJ1186" s="418"/>
      <c r="AK1186" s="418"/>
      <c r="AL1186" s="418"/>
      <c r="AM1186" s="418"/>
      <c r="AN1186" s="423"/>
      <c r="AO1186" s="423"/>
      <c r="AP1186" s="423"/>
      <c r="AQ1186" s="423"/>
      <c r="AR1186" s="423"/>
      <c r="AS1186" s="423"/>
      <c r="AT1186" s="423"/>
      <c r="AU1186" s="423"/>
      <c r="AV1186" s="423"/>
      <c r="AW1186" s="418"/>
      <c r="AX1186" s="418"/>
      <c r="AY1186" s="418"/>
      <c r="AZ1186" s="418"/>
      <c r="BA1186" s="418"/>
      <c r="BB1186" s="306"/>
    </row>
    <row r="1187" spans="1:54" ht="15.75" customHeight="1">
      <c r="A1187" s="415"/>
      <c r="B1187" s="416"/>
      <c r="C1187" s="417"/>
      <c r="D1187" s="418"/>
      <c r="E1187" s="418"/>
      <c r="F1187" s="419"/>
      <c r="G1187" s="420"/>
      <c r="H1187" s="421"/>
      <c r="I1187" s="421"/>
      <c r="J1187" s="422"/>
      <c r="K1187" s="418"/>
      <c r="L1187" s="418"/>
      <c r="M1187" s="418"/>
      <c r="N1187" s="421"/>
      <c r="O1187" s="421"/>
      <c r="P1187" s="421"/>
      <c r="Q1187" s="418"/>
      <c r="R1187" s="1022"/>
      <c r="S1187" s="1022"/>
      <c r="T1187" s="418"/>
      <c r="U1187" s="418"/>
      <c r="V1187" s="418"/>
      <c r="W1187" s="418"/>
      <c r="X1187" s="418"/>
      <c r="Y1187" s="418"/>
      <c r="Z1187" s="418"/>
      <c r="AA1187" s="418"/>
      <c r="AB1187" s="418"/>
      <c r="AC1187" s="418"/>
      <c r="AD1187" s="418"/>
      <c r="AE1187" s="418"/>
      <c r="AF1187" s="418"/>
      <c r="AG1187" s="418"/>
      <c r="AH1187" s="418"/>
      <c r="AI1187" s="418"/>
      <c r="AJ1187" s="418"/>
      <c r="AK1187" s="418"/>
      <c r="AL1187" s="418"/>
      <c r="AM1187" s="418"/>
      <c r="AN1187" s="423"/>
      <c r="AO1187" s="423"/>
      <c r="AP1187" s="423"/>
      <c r="AQ1187" s="423"/>
      <c r="AR1187" s="423"/>
      <c r="AS1187" s="423"/>
      <c r="AT1187" s="423"/>
      <c r="AU1187" s="423"/>
      <c r="AV1187" s="423"/>
      <c r="AW1187" s="418"/>
      <c r="AX1187" s="418"/>
      <c r="AY1187" s="418"/>
      <c r="AZ1187" s="418"/>
      <c r="BA1187" s="418"/>
      <c r="BB1187" s="306"/>
    </row>
    <row r="1188" spans="1:54" ht="15.75" customHeight="1">
      <c r="A1188" s="415"/>
      <c r="B1188" s="416"/>
      <c r="C1188" s="417"/>
      <c r="D1188" s="418"/>
      <c r="E1188" s="418"/>
      <c r="F1188" s="419"/>
      <c r="G1188" s="420"/>
      <c r="H1188" s="421"/>
      <c r="I1188" s="421"/>
      <c r="J1188" s="422"/>
      <c r="K1188" s="418"/>
      <c r="L1188" s="418"/>
      <c r="M1188" s="418"/>
      <c r="N1188" s="421"/>
      <c r="O1188" s="421"/>
      <c r="P1188" s="421"/>
      <c r="Q1188" s="418"/>
      <c r="R1188" s="1022"/>
      <c r="S1188" s="1022"/>
      <c r="T1188" s="418"/>
      <c r="U1188" s="418"/>
      <c r="V1188" s="418"/>
      <c r="W1188" s="418"/>
      <c r="X1188" s="418"/>
      <c r="Y1188" s="418"/>
      <c r="Z1188" s="418"/>
      <c r="AA1188" s="418"/>
      <c r="AB1188" s="418"/>
      <c r="AC1188" s="418"/>
      <c r="AD1188" s="418"/>
      <c r="AE1188" s="418"/>
      <c r="AF1188" s="418"/>
      <c r="AG1188" s="418"/>
      <c r="AH1188" s="418"/>
      <c r="AI1188" s="418"/>
      <c r="AJ1188" s="418"/>
      <c r="AK1188" s="418"/>
      <c r="AL1188" s="418"/>
      <c r="AM1188" s="418"/>
      <c r="AN1188" s="423"/>
      <c r="AO1188" s="423"/>
      <c r="AP1188" s="423"/>
      <c r="AQ1188" s="423"/>
      <c r="AR1188" s="423"/>
      <c r="AS1188" s="423"/>
      <c r="AT1188" s="423"/>
      <c r="AU1188" s="423"/>
      <c r="AV1188" s="423"/>
      <c r="AW1188" s="418"/>
      <c r="AX1188" s="418"/>
      <c r="AY1188" s="418"/>
      <c r="AZ1188" s="418"/>
      <c r="BA1188" s="418"/>
      <c r="BB1188" s="306"/>
    </row>
    <row r="1189" spans="1:54" ht="15.75" customHeight="1">
      <c r="A1189" s="415"/>
      <c r="B1189" s="416"/>
      <c r="C1189" s="417"/>
      <c r="D1189" s="418"/>
      <c r="E1189" s="418"/>
      <c r="F1189" s="419"/>
      <c r="G1189" s="420"/>
      <c r="H1189" s="421"/>
      <c r="I1189" s="421"/>
      <c r="J1189" s="422"/>
      <c r="K1189" s="418"/>
      <c r="L1189" s="418"/>
      <c r="M1189" s="418"/>
      <c r="N1189" s="421"/>
      <c r="O1189" s="421"/>
      <c r="P1189" s="421"/>
      <c r="Q1189" s="418"/>
      <c r="R1189" s="1022"/>
      <c r="S1189" s="1022"/>
      <c r="T1189" s="418"/>
      <c r="U1189" s="418"/>
      <c r="V1189" s="418"/>
      <c r="W1189" s="418"/>
      <c r="X1189" s="418"/>
      <c r="Y1189" s="418"/>
      <c r="Z1189" s="418"/>
      <c r="AA1189" s="418"/>
      <c r="AB1189" s="418"/>
      <c r="AC1189" s="418"/>
      <c r="AD1189" s="418"/>
      <c r="AE1189" s="418"/>
      <c r="AF1189" s="418"/>
      <c r="AG1189" s="418"/>
      <c r="AH1189" s="418"/>
      <c r="AI1189" s="418"/>
      <c r="AJ1189" s="418"/>
      <c r="AK1189" s="418"/>
      <c r="AL1189" s="418"/>
      <c r="AM1189" s="418"/>
      <c r="AN1189" s="423"/>
      <c r="AO1189" s="423"/>
      <c r="AP1189" s="423"/>
      <c r="AQ1189" s="423"/>
      <c r="AR1189" s="423"/>
      <c r="AS1189" s="423"/>
      <c r="AT1189" s="423"/>
      <c r="AU1189" s="423"/>
      <c r="AV1189" s="423"/>
      <c r="AW1189" s="418"/>
      <c r="AX1189" s="418"/>
      <c r="AY1189" s="418"/>
      <c r="AZ1189" s="418"/>
      <c r="BA1189" s="418"/>
      <c r="BB1189" s="306"/>
    </row>
    <row r="1190" spans="1:54" ht="15.75" customHeight="1">
      <c r="A1190" s="415"/>
      <c r="B1190" s="416"/>
      <c r="C1190" s="417"/>
      <c r="D1190" s="418"/>
      <c r="E1190" s="418"/>
      <c r="F1190" s="419"/>
      <c r="G1190" s="420"/>
      <c r="H1190" s="421"/>
      <c r="I1190" s="421"/>
      <c r="J1190" s="422"/>
      <c r="K1190" s="418"/>
      <c r="L1190" s="418"/>
      <c r="M1190" s="418"/>
      <c r="N1190" s="421"/>
      <c r="O1190" s="421"/>
      <c r="P1190" s="421"/>
      <c r="Q1190" s="418"/>
      <c r="R1190" s="1022"/>
      <c r="S1190" s="1022"/>
      <c r="T1190" s="418"/>
      <c r="U1190" s="418"/>
      <c r="V1190" s="418"/>
      <c r="W1190" s="418"/>
      <c r="X1190" s="418"/>
      <c r="Y1190" s="418"/>
      <c r="Z1190" s="418"/>
      <c r="AA1190" s="418"/>
      <c r="AB1190" s="418"/>
      <c r="AC1190" s="418"/>
      <c r="AD1190" s="418"/>
      <c r="AE1190" s="418"/>
      <c r="AF1190" s="418"/>
      <c r="AG1190" s="418"/>
      <c r="AH1190" s="418"/>
      <c r="AI1190" s="418"/>
      <c r="AJ1190" s="418"/>
      <c r="AK1190" s="418"/>
      <c r="AL1190" s="418"/>
      <c r="AM1190" s="418"/>
      <c r="AN1190" s="423"/>
      <c r="AO1190" s="423"/>
      <c r="AP1190" s="423"/>
      <c r="AQ1190" s="423"/>
      <c r="AR1190" s="423"/>
      <c r="AS1190" s="423"/>
      <c r="AT1190" s="423"/>
      <c r="AU1190" s="423"/>
      <c r="AV1190" s="423"/>
      <c r="AW1190" s="418"/>
      <c r="AX1190" s="418"/>
      <c r="AY1190" s="418"/>
      <c r="AZ1190" s="418"/>
      <c r="BA1190" s="418"/>
      <c r="BB1190" s="306"/>
    </row>
    <row r="1191" spans="1:54" ht="15.75" customHeight="1">
      <c r="A1191" s="415"/>
      <c r="B1191" s="416"/>
      <c r="C1191" s="417"/>
      <c r="D1191" s="418"/>
      <c r="E1191" s="418"/>
      <c r="F1191" s="419"/>
      <c r="G1191" s="420"/>
      <c r="H1191" s="421"/>
      <c r="I1191" s="421"/>
      <c r="J1191" s="422"/>
      <c r="K1191" s="418"/>
      <c r="L1191" s="418"/>
      <c r="M1191" s="418"/>
      <c r="N1191" s="421"/>
      <c r="O1191" s="421"/>
      <c r="P1191" s="421"/>
      <c r="Q1191" s="418"/>
      <c r="R1191" s="1022"/>
      <c r="S1191" s="1022"/>
      <c r="T1191" s="418"/>
      <c r="U1191" s="418"/>
      <c r="V1191" s="418"/>
      <c r="W1191" s="418"/>
      <c r="X1191" s="418"/>
      <c r="Y1191" s="418"/>
      <c r="Z1191" s="418"/>
      <c r="AA1191" s="418"/>
      <c r="AB1191" s="418"/>
      <c r="AC1191" s="418"/>
      <c r="AD1191" s="418"/>
      <c r="AE1191" s="418"/>
      <c r="AF1191" s="418"/>
      <c r="AG1191" s="418"/>
      <c r="AH1191" s="418"/>
      <c r="AI1191" s="418"/>
      <c r="AJ1191" s="418"/>
      <c r="AK1191" s="418"/>
      <c r="AL1191" s="418"/>
      <c r="AM1191" s="418"/>
      <c r="AN1191" s="423"/>
      <c r="AO1191" s="423"/>
      <c r="AP1191" s="423"/>
      <c r="AQ1191" s="423"/>
      <c r="AR1191" s="423"/>
      <c r="AS1191" s="423"/>
      <c r="AT1191" s="423"/>
      <c r="AU1191" s="423"/>
      <c r="AV1191" s="423"/>
      <c r="AW1191" s="418"/>
      <c r="AX1191" s="418"/>
      <c r="AY1191" s="418"/>
      <c r="AZ1191" s="418"/>
      <c r="BA1191" s="418"/>
      <c r="BB1191" s="306"/>
    </row>
    <row r="1192" spans="1:54" ht="15.75" customHeight="1">
      <c r="A1192" s="415"/>
      <c r="B1192" s="416"/>
      <c r="C1192" s="417"/>
      <c r="D1192" s="418"/>
      <c r="E1192" s="418"/>
      <c r="F1192" s="419"/>
      <c r="G1192" s="420"/>
      <c r="H1192" s="421"/>
      <c r="I1192" s="421"/>
      <c r="J1192" s="422"/>
      <c r="K1192" s="418"/>
      <c r="L1192" s="418"/>
      <c r="M1192" s="418"/>
      <c r="N1192" s="421"/>
      <c r="O1192" s="421"/>
      <c r="P1192" s="421"/>
      <c r="Q1192" s="418"/>
      <c r="R1192" s="1022"/>
      <c r="S1192" s="1022"/>
      <c r="T1192" s="418"/>
      <c r="U1192" s="418"/>
      <c r="V1192" s="418"/>
      <c r="W1192" s="418"/>
      <c r="X1192" s="418"/>
      <c r="Y1192" s="418"/>
      <c r="Z1192" s="418"/>
      <c r="AA1192" s="418"/>
      <c r="AB1192" s="418"/>
      <c r="AC1192" s="418"/>
      <c r="AD1192" s="418"/>
      <c r="AE1192" s="418"/>
      <c r="AF1192" s="418"/>
      <c r="AG1192" s="418"/>
      <c r="AH1192" s="418"/>
      <c r="AI1192" s="418"/>
      <c r="AJ1192" s="418"/>
      <c r="AK1192" s="418"/>
      <c r="AL1192" s="418"/>
      <c r="AM1192" s="418"/>
      <c r="AN1192" s="423"/>
      <c r="AO1192" s="423"/>
      <c r="AP1192" s="423"/>
      <c r="AQ1192" s="423"/>
      <c r="AR1192" s="423"/>
      <c r="AS1192" s="423"/>
      <c r="AT1192" s="423"/>
      <c r="AU1192" s="423"/>
      <c r="AV1192" s="423"/>
      <c r="AW1192" s="418"/>
      <c r="AX1192" s="418"/>
      <c r="AY1192" s="418"/>
      <c r="AZ1192" s="418"/>
      <c r="BA1192" s="418"/>
      <c r="BB1192" s="306"/>
    </row>
    <row r="1193" spans="1:54" ht="15.75" customHeight="1">
      <c r="A1193" s="415"/>
      <c r="B1193" s="416"/>
      <c r="C1193" s="417"/>
      <c r="D1193" s="418"/>
      <c r="E1193" s="418"/>
      <c r="F1193" s="419"/>
      <c r="G1193" s="420"/>
      <c r="H1193" s="421"/>
      <c r="I1193" s="421"/>
      <c r="J1193" s="422"/>
      <c r="K1193" s="418"/>
      <c r="L1193" s="418"/>
      <c r="M1193" s="418"/>
      <c r="N1193" s="421"/>
      <c r="O1193" s="421"/>
      <c r="P1193" s="421"/>
      <c r="Q1193" s="418"/>
      <c r="R1193" s="1022"/>
      <c r="S1193" s="1022"/>
      <c r="T1193" s="418"/>
      <c r="U1193" s="418"/>
      <c r="V1193" s="418"/>
      <c r="W1193" s="418"/>
      <c r="X1193" s="418"/>
      <c r="Y1193" s="418"/>
      <c r="Z1193" s="418"/>
      <c r="AA1193" s="418"/>
      <c r="AB1193" s="418"/>
      <c r="AC1193" s="418"/>
      <c r="AD1193" s="418"/>
      <c r="AE1193" s="418"/>
      <c r="AF1193" s="418"/>
      <c r="AG1193" s="418"/>
      <c r="AH1193" s="418"/>
      <c r="AI1193" s="418"/>
      <c r="AJ1193" s="418"/>
      <c r="AK1193" s="418"/>
      <c r="AL1193" s="418"/>
      <c r="AM1193" s="418"/>
      <c r="AN1193" s="423"/>
      <c r="AO1193" s="423"/>
      <c r="AP1193" s="423"/>
      <c r="AQ1193" s="423"/>
      <c r="AR1193" s="423"/>
      <c r="AS1193" s="423"/>
      <c r="AT1193" s="423"/>
      <c r="AU1193" s="423"/>
      <c r="AV1193" s="423"/>
      <c r="AW1193" s="418"/>
      <c r="AX1193" s="418"/>
      <c r="AY1193" s="418"/>
      <c r="AZ1193" s="418"/>
      <c r="BA1193" s="418"/>
      <c r="BB1193" s="306"/>
    </row>
    <row r="1194" spans="1:54" ht="15.75" customHeight="1">
      <c r="A1194" s="415"/>
      <c r="B1194" s="416"/>
      <c r="C1194" s="417"/>
      <c r="D1194" s="418"/>
      <c r="E1194" s="418"/>
      <c r="F1194" s="419"/>
      <c r="G1194" s="420"/>
      <c r="H1194" s="421"/>
      <c r="I1194" s="421"/>
      <c r="J1194" s="422"/>
      <c r="K1194" s="418"/>
      <c r="L1194" s="418"/>
      <c r="M1194" s="418"/>
      <c r="N1194" s="421"/>
      <c r="O1194" s="421"/>
      <c r="P1194" s="421"/>
      <c r="Q1194" s="418"/>
      <c r="R1194" s="1022"/>
      <c r="S1194" s="1022"/>
      <c r="T1194" s="418"/>
      <c r="U1194" s="418"/>
      <c r="V1194" s="418"/>
      <c r="W1194" s="418"/>
      <c r="X1194" s="418"/>
      <c r="Y1194" s="418"/>
      <c r="Z1194" s="418"/>
      <c r="AA1194" s="418"/>
      <c r="AB1194" s="418"/>
      <c r="AC1194" s="418"/>
      <c r="AD1194" s="418"/>
      <c r="AE1194" s="418"/>
      <c r="AF1194" s="418"/>
      <c r="AG1194" s="418"/>
      <c r="AH1194" s="418"/>
      <c r="AI1194" s="418"/>
      <c r="AJ1194" s="418"/>
      <c r="AK1194" s="418"/>
      <c r="AL1194" s="418"/>
      <c r="AM1194" s="418"/>
      <c r="AN1194" s="423"/>
      <c r="AO1194" s="423"/>
      <c r="AP1194" s="423"/>
      <c r="AQ1194" s="423"/>
      <c r="AR1194" s="423"/>
      <c r="AS1194" s="423"/>
      <c r="AT1194" s="423"/>
      <c r="AU1194" s="423"/>
      <c r="AV1194" s="423"/>
      <c r="AW1194" s="418"/>
      <c r="AX1194" s="418"/>
      <c r="AY1194" s="418"/>
      <c r="AZ1194" s="418"/>
      <c r="BA1194" s="418"/>
      <c r="BB1194" s="306"/>
    </row>
    <row r="1195" spans="1:54" ht="15.75" customHeight="1">
      <c r="A1195" s="415"/>
      <c r="B1195" s="416"/>
      <c r="C1195" s="417"/>
      <c r="D1195" s="418"/>
      <c r="E1195" s="418"/>
      <c r="F1195" s="419"/>
      <c r="G1195" s="420"/>
      <c r="H1195" s="421"/>
      <c r="I1195" s="421"/>
      <c r="J1195" s="422"/>
      <c r="K1195" s="418"/>
      <c r="L1195" s="418"/>
      <c r="M1195" s="418"/>
      <c r="N1195" s="421"/>
      <c r="O1195" s="421"/>
      <c r="P1195" s="421"/>
      <c r="Q1195" s="418"/>
      <c r="R1195" s="1022"/>
      <c r="S1195" s="1022"/>
      <c r="T1195" s="418"/>
      <c r="U1195" s="418"/>
      <c r="V1195" s="418"/>
      <c r="W1195" s="418"/>
      <c r="X1195" s="418"/>
      <c r="Y1195" s="418"/>
      <c r="Z1195" s="418"/>
      <c r="AA1195" s="418"/>
      <c r="AB1195" s="418"/>
      <c r="AC1195" s="418"/>
      <c r="AD1195" s="418"/>
      <c r="AE1195" s="418"/>
      <c r="AF1195" s="418"/>
      <c r="AG1195" s="418"/>
      <c r="AH1195" s="418"/>
      <c r="AI1195" s="418"/>
      <c r="AJ1195" s="418"/>
      <c r="AK1195" s="418"/>
      <c r="AL1195" s="418"/>
      <c r="AM1195" s="418"/>
      <c r="AN1195" s="423"/>
      <c r="AO1195" s="423"/>
      <c r="AP1195" s="423"/>
      <c r="AQ1195" s="423"/>
      <c r="AR1195" s="423"/>
      <c r="AS1195" s="423"/>
      <c r="AT1195" s="423"/>
      <c r="AU1195" s="423"/>
      <c r="AV1195" s="423"/>
      <c r="AW1195" s="418"/>
      <c r="AX1195" s="418"/>
      <c r="AY1195" s="418"/>
      <c r="AZ1195" s="418"/>
      <c r="BA1195" s="418"/>
      <c r="BB1195" s="306"/>
    </row>
    <row r="1196" spans="1:54" ht="15.75" customHeight="1">
      <c r="A1196" s="415"/>
      <c r="B1196" s="416"/>
      <c r="C1196" s="417"/>
      <c r="D1196" s="418"/>
      <c r="E1196" s="418"/>
      <c r="F1196" s="419"/>
      <c r="G1196" s="420"/>
      <c r="H1196" s="421"/>
      <c r="I1196" s="421"/>
      <c r="J1196" s="422"/>
      <c r="K1196" s="418"/>
      <c r="L1196" s="418"/>
      <c r="M1196" s="418"/>
      <c r="N1196" s="421"/>
      <c r="O1196" s="421"/>
      <c r="P1196" s="421"/>
      <c r="Q1196" s="418"/>
      <c r="R1196" s="1022"/>
      <c r="S1196" s="1022"/>
      <c r="T1196" s="418"/>
      <c r="U1196" s="418"/>
      <c r="V1196" s="418"/>
      <c r="W1196" s="418"/>
      <c r="X1196" s="418"/>
      <c r="Y1196" s="418"/>
      <c r="Z1196" s="418"/>
      <c r="AA1196" s="418"/>
      <c r="AB1196" s="418"/>
      <c r="AC1196" s="418"/>
      <c r="AD1196" s="418"/>
      <c r="AE1196" s="418"/>
      <c r="AF1196" s="418"/>
      <c r="AG1196" s="418"/>
      <c r="AH1196" s="418"/>
      <c r="AI1196" s="418"/>
      <c r="AJ1196" s="418"/>
      <c r="AK1196" s="418"/>
      <c r="AL1196" s="418"/>
      <c r="AM1196" s="418"/>
      <c r="AN1196" s="423"/>
      <c r="AO1196" s="423"/>
      <c r="AP1196" s="423"/>
      <c r="AQ1196" s="423"/>
      <c r="AR1196" s="423"/>
      <c r="AS1196" s="423"/>
      <c r="AT1196" s="423"/>
      <c r="AU1196" s="423"/>
      <c r="AV1196" s="423"/>
      <c r="AW1196" s="418"/>
      <c r="AX1196" s="418"/>
      <c r="AY1196" s="418"/>
      <c r="AZ1196" s="418"/>
      <c r="BA1196" s="418"/>
      <c r="BB1196" s="306"/>
    </row>
    <row r="1197" spans="1:54" ht="15.75" customHeight="1">
      <c r="A1197" s="415"/>
      <c r="B1197" s="416"/>
      <c r="C1197" s="417"/>
      <c r="D1197" s="418"/>
      <c r="E1197" s="418"/>
      <c r="F1197" s="419"/>
      <c r="G1197" s="420"/>
      <c r="H1197" s="421"/>
      <c r="I1197" s="421"/>
      <c r="J1197" s="422"/>
      <c r="K1197" s="418"/>
      <c r="L1197" s="418"/>
      <c r="M1197" s="418"/>
      <c r="N1197" s="421"/>
      <c r="O1197" s="421"/>
      <c r="P1197" s="421"/>
      <c r="Q1197" s="418"/>
      <c r="R1197" s="1022"/>
      <c r="S1197" s="1022"/>
      <c r="T1197" s="418"/>
      <c r="U1197" s="418"/>
      <c r="V1197" s="418"/>
      <c r="W1197" s="418"/>
      <c r="X1197" s="418"/>
      <c r="Y1197" s="418"/>
      <c r="Z1197" s="418"/>
      <c r="AA1197" s="418"/>
      <c r="AB1197" s="418"/>
      <c r="AC1197" s="418"/>
      <c r="AD1197" s="418"/>
      <c r="AE1197" s="418"/>
      <c r="AF1197" s="418"/>
      <c r="AG1197" s="418"/>
      <c r="AH1197" s="418"/>
      <c r="AI1197" s="418"/>
      <c r="AJ1197" s="418"/>
      <c r="AK1197" s="418"/>
      <c r="AL1197" s="418"/>
      <c r="AM1197" s="418"/>
      <c r="AN1197" s="423"/>
      <c r="AO1197" s="423"/>
      <c r="AP1197" s="423"/>
      <c r="AQ1197" s="423"/>
      <c r="AR1197" s="423"/>
      <c r="AS1197" s="423"/>
      <c r="AT1197" s="423"/>
      <c r="AU1197" s="423"/>
      <c r="AV1197" s="423"/>
      <c r="AW1197" s="418"/>
      <c r="AX1197" s="418"/>
      <c r="AY1197" s="418"/>
      <c r="AZ1197" s="418"/>
      <c r="BA1197" s="418"/>
      <c r="BB1197" s="306"/>
    </row>
    <row r="1198" spans="1:54" ht="15.75" customHeight="1">
      <c r="A1198" s="415"/>
      <c r="B1198" s="416"/>
      <c r="C1198" s="417"/>
      <c r="D1198" s="418"/>
      <c r="E1198" s="418"/>
      <c r="F1198" s="419"/>
      <c r="G1198" s="420"/>
      <c r="H1198" s="421"/>
      <c r="I1198" s="421"/>
      <c r="J1198" s="422"/>
      <c r="K1198" s="418"/>
      <c r="L1198" s="418"/>
      <c r="M1198" s="418"/>
      <c r="N1198" s="421"/>
      <c r="O1198" s="421"/>
      <c r="P1198" s="421"/>
      <c r="Q1198" s="418"/>
      <c r="R1198" s="1022"/>
      <c r="S1198" s="1022"/>
      <c r="T1198" s="418"/>
      <c r="U1198" s="418"/>
      <c r="V1198" s="418"/>
      <c r="W1198" s="418"/>
      <c r="X1198" s="418"/>
      <c r="Y1198" s="418"/>
      <c r="Z1198" s="418"/>
      <c r="AA1198" s="418"/>
      <c r="AB1198" s="418"/>
      <c r="AC1198" s="418"/>
      <c r="AD1198" s="418"/>
      <c r="AE1198" s="418"/>
      <c r="AF1198" s="418"/>
      <c r="AG1198" s="418"/>
      <c r="AH1198" s="418"/>
      <c r="AI1198" s="418"/>
      <c r="AJ1198" s="418"/>
      <c r="AK1198" s="418"/>
      <c r="AL1198" s="418"/>
      <c r="AM1198" s="418"/>
      <c r="AN1198" s="423"/>
      <c r="AO1198" s="423"/>
      <c r="AP1198" s="423"/>
      <c r="AQ1198" s="423"/>
      <c r="AR1198" s="423"/>
      <c r="AS1198" s="423"/>
      <c r="AT1198" s="423"/>
      <c r="AU1198" s="423"/>
      <c r="AV1198" s="423"/>
      <c r="AW1198" s="418"/>
      <c r="AX1198" s="418"/>
      <c r="AY1198" s="418"/>
      <c r="AZ1198" s="418"/>
      <c r="BA1198" s="418"/>
      <c r="BB1198" s="306"/>
    </row>
    <row r="1199" spans="1:54" ht="15.75" customHeight="1">
      <c r="A1199" s="415"/>
      <c r="B1199" s="416"/>
      <c r="C1199" s="417"/>
      <c r="D1199" s="418"/>
      <c r="E1199" s="418"/>
      <c r="F1199" s="419"/>
      <c r="G1199" s="420"/>
      <c r="H1199" s="421"/>
      <c r="I1199" s="421"/>
      <c r="J1199" s="422"/>
      <c r="K1199" s="418"/>
      <c r="L1199" s="418"/>
      <c r="M1199" s="418"/>
      <c r="N1199" s="421"/>
      <c r="O1199" s="421"/>
      <c r="P1199" s="421"/>
      <c r="Q1199" s="418"/>
      <c r="R1199" s="1022"/>
      <c r="S1199" s="1022"/>
      <c r="T1199" s="418"/>
      <c r="U1199" s="418"/>
      <c r="V1199" s="418"/>
      <c r="W1199" s="418"/>
      <c r="X1199" s="418"/>
      <c r="Y1199" s="418"/>
      <c r="Z1199" s="418"/>
      <c r="AA1199" s="418"/>
      <c r="AB1199" s="418"/>
      <c r="AC1199" s="418"/>
      <c r="AD1199" s="418"/>
      <c r="AE1199" s="418"/>
      <c r="AF1199" s="418"/>
      <c r="AG1199" s="418"/>
      <c r="AH1199" s="418"/>
      <c r="AI1199" s="418"/>
      <c r="AJ1199" s="418"/>
      <c r="AK1199" s="418"/>
      <c r="AL1199" s="418"/>
      <c r="AM1199" s="418"/>
      <c r="AN1199" s="423"/>
      <c r="AO1199" s="423"/>
      <c r="AP1199" s="423"/>
      <c r="AQ1199" s="423"/>
      <c r="AR1199" s="423"/>
      <c r="AS1199" s="423"/>
      <c r="AT1199" s="423"/>
      <c r="AU1199" s="423"/>
      <c r="AV1199" s="423"/>
      <c r="AW1199" s="418"/>
      <c r="AX1199" s="418"/>
      <c r="AY1199" s="418"/>
      <c r="AZ1199" s="418"/>
      <c r="BA1199" s="418"/>
      <c r="BB1199" s="306"/>
    </row>
    <row r="1200" spans="1:54" ht="15.75" customHeight="1">
      <c r="A1200" s="415"/>
      <c r="B1200" s="416"/>
      <c r="C1200" s="417"/>
      <c r="D1200" s="418"/>
      <c r="E1200" s="418"/>
      <c r="F1200" s="419"/>
      <c r="G1200" s="420"/>
      <c r="H1200" s="421"/>
      <c r="I1200" s="421"/>
      <c r="J1200" s="422"/>
      <c r="K1200" s="418"/>
      <c r="L1200" s="418"/>
      <c r="M1200" s="418"/>
      <c r="N1200" s="421"/>
      <c r="O1200" s="421"/>
      <c r="P1200" s="421"/>
      <c r="Q1200" s="418"/>
      <c r="R1200" s="1022"/>
      <c r="S1200" s="1022"/>
      <c r="T1200" s="418"/>
      <c r="U1200" s="418"/>
      <c r="V1200" s="418"/>
      <c r="W1200" s="418"/>
      <c r="X1200" s="418"/>
      <c r="Y1200" s="418"/>
      <c r="Z1200" s="418"/>
      <c r="AA1200" s="418"/>
      <c r="AB1200" s="418"/>
      <c r="AC1200" s="418"/>
      <c r="AD1200" s="418"/>
      <c r="AE1200" s="418"/>
      <c r="AF1200" s="418"/>
      <c r="AG1200" s="418"/>
      <c r="AH1200" s="418"/>
      <c r="AI1200" s="418"/>
      <c r="AJ1200" s="418"/>
      <c r="AK1200" s="418"/>
      <c r="AL1200" s="418"/>
      <c r="AM1200" s="418"/>
      <c r="AN1200" s="423"/>
      <c r="AO1200" s="423"/>
      <c r="AP1200" s="423"/>
      <c r="AQ1200" s="423"/>
      <c r="AR1200" s="423"/>
      <c r="AS1200" s="423"/>
      <c r="AT1200" s="423"/>
      <c r="AU1200" s="423"/>
      <c r="AV1200" s="423"/>
      <c r="AW1200" s="418"/>
      <c r="AX1200" s="418"/>
      <c r="AY1200" s="418"/>
      <c r="AZ1200" s="418"/>
      <c r="BA1200" s="418"/>
      <c r="BB1200" s="306"/>
    </row>
    <row r="1201" spans="1:65" ht="15.75" customHeight="1">
      <c r="A1201" s="415"/>
      <c r="B1201" s="416"/>
      <c r="C1201" s="417"/>
      <c r="D1201" s="418"/>
      <c r="E1201" s="418"/>
      <c r="F1201" s="419"/>
      <c r="G1201" s="420"/>
      <c r="H1201" s="421"/>
      <c r="I1201" s="425"/>
      <c r="J1201" s="422"/>
      <c r="K1201" s="418"/>
      <c r="L1201" s="418"/>
      <c r="M1201" s="418"/>
      <c r="N1201" s="421"/>
      <c r="O1201" s="421"/>
      <c r="P1201" s="421"/>
      <c r="Q1201" s="418"/>
      <c r="R1201" s="1022"/>
      <c r="S1201" s="1022"/>
      <c r="T1201" s="418"/>
      <c r="U1201" s="418"/>
      <c r="V1201" s="418"/>
      <c r="W1201" s="418"/>
      <c r="X1201" s="418"/>
      <c r="Y1201" s="418"/>
      <c r="Z1201" s="418"/>
      <c r="AA1201" s="418"/>
      <c r="AB1201" s="418"/>
      <c r="AC1201" s="418"/>
      <c r="AD1201" s="418"/>
      <c r="AE1201" s="418"/>
      <c r="AF1201" s="418"/>
      <c r="AG1201" s="418"/>
      <c r="AH1201" s="418"/>
      <c r="AI1201" s="418"/>
      <c r="AJ1201" s="418"/>
      <c r="AK1201" s="418"/>
      <c r="AL1201" s="418"/>
      <c r="AM1201" s="418"/>
      <c r="AN1201" s="423"/>
      <c r="AO1201" s="423"/>
      <c r="AP1201" s="423"/>
      <c r="AQ1201" s="423"/>
      <c r="AR1201" s="423"/>
      <c r="AS1201" s="423"/>
      <c r="AT1201" s="423"/>
      <c r="AU1201" s="423"/>
      <c r="AV1201" s="423"/>
      <c r="AW1201" s="418"/>
      <c r="AX1201" s="418"/>
      <c r="AY1201" s="418"/>
      <c r="AZ1201" s="418"/>
      <c r="BA1201" s="418"/>
      <c r="BB1201" s="306"/>
    </row>
    <row r="1202" spans="1:65" ht="15.75" customHeight="1">
      <c r="A1202" s="415"/>
      <c r="B1202" s="416"/>
      <c r="C1202" s="417"/>
      <c r="D1202" s="418"/>
      <c r="E1202" s="418"/>
      <c r="F1202" s="419"/>
      <c r="G1202" s="420"/>
      <c r="H1202" s="421"/>
      <c r="I1202" s="421"/>
      <c r="J1202" s="422"/>
      <c r="K1202" s="418"/>
      <c r="L1202" s="418"/>
      <c r="M1202" s="418"/>
      <c r="N1202" s="421"/>
      <c r="O1202" s="421"/>
      <c r="P1202" s="421"/>
      <c r="Q1202" s="418"/>
      <c r="R1202" s="1022"/>
      <c r="S1202" s="1022"/>
      <c r="T1202" s="418"/>
      <c r="U1202" s="418"/>
      <c r="V1202" s="418"/>
      <c r="W1202" s="418"/>
      <c r="X1202" s="418"/>
      <c r="Y1202" s="418"/>
      <c r="Z1202" s="418"/>
      <c r="AA1202" s="418"/>
      <c r="AB1202" s="418"/>
      <c r="AC1202" s="418"/>
      <c r="AD1202" s="418"/>
      <c r="AE1202" s="418"/>
      <c r="AF1202" s="418"/>
      <c r="AG1202" s="418"/>
      <c r="AH1202" s="418"/>
      <c r="AI1202" s="418"/>
      <c r="AJ1202" s="418"/>
      <c r="AK1202" s="418"/>
      <c r="AL1202" s="418"/>
      <c r="AM1202" s="418"/>
      <c r="AN1202" s="423"/>
      <c r="AO1202" s="423"/>
      <c r="AP1202" s="423"/>
      <c r="AQ1202" s="423"/>
      <c r="AR1202" s="423"/>
      <c r="AS1202" s="423"/>
      <c r="AT1202" s="423"/>
      <c r="AU1202" s="423"/>
      <c r="AV1202" s="423"/>
      <c r="AW1202" s="418"/>
      <c r="AX1202" s="418"/>
      <c r="AY1202" s="418"/>
      <c r="AZ1202" s="418"/>
      <c r="BA1202" s="418"/>
      <c r="BB1202" s="306"/>
    </row>
    <row r="1203" spans="1:65" ht="15.75" customHeight="1">
      <c r="A1203" s="415"/>
      <c r="B1203" s="416"/>
      <c r="C1203" s="417"/>
      <c r="D1203" s="418"/>
      <c r="E1203" s="418"/>
      <c r="F1203" s="419"/>
      <c r="G1203" s="420"/>
      <c r="H1203" s="421"/>
      <c r="I1203" s="425"/>
      <c r="J1203" s="422"/>
      <c r="K1203" s="418"/>
      <c r="L1203" s="418"/>
      <c r="M1203" s="418"/>
      <c r="N1203" s="421"/>
      <c r="O1203" s="421"/>
      <c r="P1203" s="421"/>
      <c r="Q1203" s="418"/>
      <c r="R1203" s="1022"/>
      <c r="S1203" s="1022"/>
      <c r="T1203" s="418"/>
      <c r="U1203" s="418"/>
      <c r="V1203" s="418"/>
      <c r="W1203" s="418"/>
      <c r="X1203" s="418"/>
      <c r="Y1203" s="418"/>
      <c r="Z1203" s="418"/>
      <c r="AA1203" s="418"/>
      <c r="AB1203" s="418"/>
      <c r="AC1203" s="418"/>
      <c r="AD1203" s="418"/>
      <c r="AE1203" s="418"/>
      <c r="AF1203" s="418"/>
      <c r="AG1203" s="418"/>
      <c r="AH1203" s="418"/>
      <c r="AI1203" s="418"/>
      <c r="AJ1203" s="418"/>
      <c r="AK1203" s="418"/>
      <c r="AL1203" s="418"/>
      <c r="AM1203" s="418"/>
      <c r="AN1203" s="423"/>
      <c r="AO1203" s="423"/>
      <c r="AP1203" s="423"/>
      <c r="AQ1203" s="423"/>
      <c r="AR1203" s="423"/>
      <c r="AS1203" s="423"/>
      <c r="AT1203" s="423"/>
      <c r="AU1203" s="423"/>
      <c r="AV1203" s="423"/>
      <c r="AW1203" s="418"/>
      <c r="AX1203" s="418"/>
      <c r="AY1203" s="418"/>
      <c r="AZ1203" s="418"/>
      <c r="BA1203" s="418"/>
      <c r="BB1203" s="306"/>
    </row>
    <row r="1204" spans="1:65" ht="15.75" customHeight="1">
      <c r="A1204" s="415"/>
      <c r="B1204" s="416"/>
      <c r="C1204" s="417"/>
      <c r="D1204" s="418"/>
      <c r="E1204" s="418"/>
      <c r="F1204" s="419"/>
      <c r="G1204" s="420"/>
      <c r="H1204" s="421"/>
      <c r="I1204" s="421"/>
      <c r="J1204" s="422"/>
      <c r="K1204" s="418"/>
      <c r="L1204" s="418"/>
      <c r="M1204" s="418"/>
      <c r="N1204" s="421"/>
      <c r="O1204" s="421"/>
      <c r="P1204" s="421"/>
      <c r="Q1204" s="418"/>
      <c r="R1204" s="1022"/>
      <c r="S1204" s="1022"/>
      <c r="T1204" s="418"/>
      <c r="U1204" s="418"/>
      <c r="V1204" s="418"/>
      <c r="W1204" s="418"/>
      <c r="X1204" s="418"/>
      <c r="Y1204" s="418"/>
      <c r="Z1204" s="418"/>
      <c r="AA1204" s="418"/>
      <c r="AB1204" s="418"/>
      <c r="AC1204" s="418"/>
      <c r="AD1204" s="418"/>
      <c r="AE1204" s="418"/>
      <c r="AF1204" s="418"/>
      <c r="AG1204" s="418"/>
      <c r="AH1204" s="418"/>
      <c r="AI1204" s="418"/>
      <c r="AJ1204" s="418"/>
      <c r="AK1204" s="418"/>
      <c r="AL1204" s="418"/>
      <c r="AM1204" s="418"/>
      <c r="AN1204" s="423"/>
      <c r="AO1204" s="423"/>
      <c r="AP1204" s="423"/>
      <c r="AQ1204" s="423"/>
      <c r="AR1204" s="423"/>
      <c r="AS1204" s="423"/>
      <c r="AT1204" s="423"/>
      <c r="AU1204" s="423"/>
      <c r="AV1204" s="423"/>
      <c r="AW1204" s="418"/>
      <c r="AX1204" s="418"/>
      <c r="AY1204" s="418"/>
      <c r="AZ1204" s="418"/>
      <c r="BA1204" s="418"/>
      <c r="BB1204" s="306"/>
    </row>
    <row r="1205" spans="1:65" ht="15.75" customHeight="1">
      <c r="A1205" s="415"/>
      <c r="B1205" s="416"/>
      <c r="C1205" s="417"/>
      <c r="D1205" s="418"/>
      <c r="E1205" s="418"/>
      <c r="F1205" s="419"/>
      <c r="G1205" s="420"/>
      <c r="H1205" s="421"/>
      <c r="I1205" s="421"/>
      <c r="J1205" s="422"/>
      <c r="K1205" s="418"/>
      <c r="L1205" s="418"/>
      <c r="M1205" s="418"/>
      <c r="N1205" s="421"/>
      <c r="O1205" s="421"/>
      <c r="P1205" s="421"/>
      <c r="Q1205" s="418"/>
      <c r="R1205" s="1022"/>
      <c r="S1205" s="1022"/>
      <c r="T1205" s="418"/>
      <c r="U1205" s="418"/>
      <c r="V1205" s="418"/>
      <c r="W1205" s="418"/>
      <c r="X1205" s="418"/>
      <c r="Y1205" s="418"/>
      <c r="Z1205" s="418"/>
      <c r="AA1205" s="418"/>
      <c r="AB1205" s="418"/>
      <c r="AC1205" s="418"/>
      <c r="AD1205" s="418"/>
      <c r="AE1205" s="418"/>
      <c r="AF1205" s="418"/>
      <c r="AG1205" s="418"/>
      <c r="AH1205" s="418"/>
      <c r="AI1205" s="418"/>
      <c r="AJ1205" s="418"/>
      <c r="AK1205" s="418"/>
      <c r="AL1205" s="418"/>
      <c r="AM1205" s="418"/>
      <c r="AN1205" s="423"/>
      <c r="AO1205" s="423"/>
      <c r="AP1205" s="423"/>
      <c r="AQ1205" s="423"/>
      <c r="AR1205" s="423"/>
      <c r="AS1205" s="423"/>
      <c r="AT1205" s="423"/>
      <c r="AU1205" s="423"/>
      <c r="AV1205" s="423"/>
      <c r="AW1205" s="418"/>
      <c r="AX1205" s="418"/>
      <c r="AY1205" s="418"/>
      <c r="AZ1205" s="418"/>
      <c r="BA1205" s="418"/>
      <c r="BB1205" s="306"/>
    </row>
    <row r="1206" spans="1:65" ht="15.75" customHeight="1">
      <c r="A1206" s="415"/>
      <c r="B1206" s="416"/>
      <c r="C1206" s="417"/>
      <c r="D1206" s="418"/>
      <c r="E1206" s="418"/>
      <c r="F1206" s="419"/>
      <c r="G1206" s="420"/>
      <c r="H1206" s="421"/>
      <c r="I1206" s="425"/>
      <c r="J1206" s="422"/>
      <c r="K1206" s="418"/>
      <c r="L1206" s="418"/>
      <c r="M1206" s="418"/>
      <c r="N1206" s="421"/>
      <c r="O1206" s="421"/>
      <c r="P1206" s="421"/>
      <c r="Q1206" s="418"/>
      <c r="R1206" s="1022"/>
      <c r="S1206" s="1022"/>
      <c r="T1206" s="418"/>
      <c r="U1206" s="418"/>
      <c r="V1206" s="418"/>
      <c r="W1206" s="418"/>
      <c r="X1206" s="418"/>
      <c r="Y1206" s="418"/>
      <c r="Z1206" s="418"/>
      <c r="AA1206" s="418"/>
      <c r="AB1206" s="418"/>
      <c r="AC1206" s="418"/>
      <c r="AD1206" s="418"/>
      <c r="AE1206" s="418"/>
      <c r="AF1206" s="418"/>
      <c r="AG1206" s="418"/>
      <c r="AH1206" s="418"/>
      <c r="AI1206" s="418"/>
      <c r="AJ1206" s="418"/>
      <c r="AK1206" s="418"/>
      <c r="AL1206" s="418"/>
      <c r="AM1206" s="418"/>
      <c r="AN1206" s="423"/>
      <c r="AO1206" s="423"/>
      <c r="AP1206" s="423"/>
      <c r="AQ1206" s="423"/>
      <c r="AR1206" s="423"/>
      <c r="AS1206" s="423"/>
      <c r="AT1206" s="423"/>
      <c r="AU1206" s="423"/>
      <c r="AV1206" s="423"/>
      <c r="AW1206" s="418"/>
      <c r="AX1206" s="418"/>
      <c r="AY1206" s="418"/>
      <c r="AZ1206" s="418"/>
      <c r="BA1206" s="418"/>
      <c r="BB1206" s="306"/>
    </row>
    <row r="1207" spans="1:65" ht="15.75" customHeight="1">
      <c r="A1207" s="415"/>
      <c r="B1207" s="416"/>
      <c r="C1207" s="417"/>
      <c r="D1207" s="418"/>
      <c r="E1207" s="418"/>
      <c r="F1207" s="419"/>
      <c r="G1207" s="420"/>
      <c r="H1207" s="421"/>
      <c r="I1207" s="421"/>
      <c r="J1207" s="422"/>
      <c r="K1207" s="418"/>
      <c r="L1207" s="418"/>
      <c r="M1207" s="418"/>
      <c r="N1207" s="421"/>
      <c r="O1207" s="421"/>
      <c r="P1207" s="421"/>
      <c r="Q1207" s="418"/>
      <c r="R1207" s="1022"/>
      <c r="S1207" s="1022"/>
      <c r="T1207" s="418"/>
      <c r="U1207" s="418"/>
      <c r="V1207" s="418"/>
      <c r="W1207" s="418"/>
      <c r="X1207" s="418"/>
      <c r="Y1207" s="418"/>
      <c r="Z1207" s="418"/>
      <c r="AA1207" s="418"/>
      <c r="AB1207" s="418"/>
      <c r="AC1207" s="418"/>
      <c r="AD1207" s="418"/>
      <c r="AE1207" s="418"/>
      <c r="AF1207" s="418"/>
      <c r="AG1207" s="418"/>
      <c r="AH1207" s="418"/>
      <c r="AI1207" s="418"/>
      <c r="AJ1207" s="418"/>
      <c r="AK1207" s="418"/>
      <c r="AL1207" s="418"/>
      <c r="AM1207" s="418"/>
      <c r="AN1207" s="423"/>
      <c r="AO1207" s="423"/>
      <c r="AP1207" s="423"/>
      <c r="AQ1207" s="423"/>
      <c r="AR1207" s="423"/>
      <c r="AS1207" s="423"/>
      <c r="AT1207" s="423"/>
      <c r="AU1207" s="423"/>
      <c r="AV1207" s="423"/>
      <c r="AW1207" s="418"/>
      <c r="AX1207" s="418"/>
      <c r="AY1207" s="418"/>
      <c r="AZ1207" s="418"/>
      <c r="BA1207" s="418"/>
      <c r="BB1207" s="306"/>
    </row>
    <row r="1208" spans="1:65" ht="15.75" customHeight="1">
      <c r="A1208" s="415"/>
      <c r="B1208" s="416"/>
      <c r="C1208" s="417"/>
      <c r="D1208" s="418"/>
      <c r="E1208" s="418"/>
      <c r="F1208" s="419"/>
      <c r="G1208" s="420"/>
      <c r="H1208" s="421"/>
      <c r="I1208" s="425"/>
      <c r="J1208" s="422"/>
      <c r="K1208" s="418"/>
      <c r="L1208" s="418"/>
      <c r="M1208" s="418"/>
      <c r="N1208" s="421"/>
      <c r="O1208" s="421"/>
      <c r="P1208" s="421"/>
      <c r="Q1208" s="418"/>
      <c r="R1208" s="1022"/>
      <c r="S1208" s="1022"/>
      <c r="T1208" s="418"/>
      <c r="U1208" s="418"/>
      <c r="V1208" s="418"/>
      <c r="W1208" s="418"/>
      <c r="X1208" s="418"/>
      <c r="Y1208" s="418"/>
      <c r="Z1208" s="418"/>
      <c r="AA1208" s="418"/>
      <c r="AB1208" s="418"/>
      <c r="AC1208" s="418"/>
      <c r="AD1208" s="418"/>
      <c r="AE1208" s="418"/>
      <c r="AF1208" s="418"/>
      <c r="AG1208" s="418"/>
      <c r="AH1208" s="418"/>
      <c r="AI1208" s="418"/>
      <c r="AJ1208" s="418"/>
      <c r="AK1208" s="418"/>
      <c r="AL1208" s="418"/>
      <c r="AM1208" s="418"/>
      <c r="AN1208" s="423"/>
      <c r="AO1208" s="423"/>
      <c r="AP1208" s="423"/>
      <c r="AQ1208" s="423"/>
      <c r="AR1208" s="423"/>
      <c r="AS1208" s="423"/>
      <c r="AT1208" s="423"/>
      <c r="AU1208" s="423"/>
      <c r="AV1208" s="423"/>
      <c r="AW1208" s="418"/>
      <c r="AX1208" s="418"/>
      <c r="AY1208" s="418"/>
      <c r="AZ1208" s="418"/>
      <c r="BA1208" s="418"/>
      <c r="BB1208" s="306"/>
    </row>
    <row r="1209" spans="1:65" ht="15.75" customHeight="1">
      <c r="A1209" s="415"/>
      <c r="B1209" s="416"/>
      <c r="C1209" s="417"/>
      <c r="D1209" s="418"/>
      <c r="E1209" s="418"/>
      <c r="F1209" s="419"/>
      <c r="G1209" s="420"/>
      <c r="H1209" s="421"/>
      <c r="I1209" s="421"/>
      <c r="J1209" s="422"/>
      <c r="K1209" s="418"/>
      <c r="L1209" s="418"/>
      <c r="M1209" s="418"/>
      <c r="N1209" s="421"/>
      <c r="O1209" s="421"/>
      <c r="P1209" s="421"/>
      <c r="Q1209" s="418"/>
      <c r="R1209" s="1022"/>
      <c r="S1209" s="1022"/>
      <c r="T1209" s="418"/>
      <c r="U1209" s="418"/>
      <c r="V1209" s="418"/>
      <c r="W1209" s="418"/>
      <c r="X1209" s="418"/>
      <c r="Y1209" s="418"/>
      <c r="Z1209" s="418"/>
      <c r="AA1209" s="418"/>
      <c r="AB1209" s="418"/>
      <c r="AC1209" s="418"/>
      <c r="AD1209" s="418"/>
      <c r="AE1209" s="418"/>
      <c r="AF1209" s="418"/>
      <c r="AG1209" s="418"/>
      <c r="AH1209" s="418"/>
      <c r="AI1209" s="418"/>
      <c r="AJ1209" s="418"/>
      <c r="AK1209" s="418"/>
      <c r="AL1209" s="418"/>
      <c r="AM1209" s="418"/>
      <c r="AN1209" s="423"/>
      <c r="AO1209" s="423"/>
      <c r="AP1209" s="423"/>
      <c r="AQ1209" s="423"/>
      <c r="AR1209" s="423"/>
      <c r="AS1209" s="423"/>
      <c r="AT1209" s="423"/>
      <c r="AU1209" s="423"/>
      <c r="AV1209" s="423"/>
      <c r="AW1209" s="418"/>
      <c r="AX1209" s="418"/>
      <c r="AY1209" s="418"/>
      <c r="AZ1209" s="418"/>
      <c r="BA1209" s="418"/>
      <c r="BB1209" s="306"/>
    </row>
    <row r="1210" spans="1:65" ht="15.75" customHeight="1">
      <c r="A1210" s="415"/>
      <c r="B1210" s="416"/>
      <c r="C1210" s="417"/>
      <c r="D1210" s="418"/>
      <c r="E1210" s="418"/>
      <c r="F1210" s="419"/>
      <c r="G1210" s="420"/>
      <c r="H1210" s="421"/>
      <c r="I1210" s="421"/>
      <c r="J1210" s="422"/>
      <c r="K1210" s="418"/>
      <c r="L1210" s="418"/>
      <c r="M1210" s="418"/>
      <c r="N1210" s="421"/>
      <c r="O1210" s="421"/>
      <c r="P1210" s="421"/>
      <c r="Q1210" s="418"/>
      <c r="R1210" s="1022"/>
      <c r="S1210" s="1022"/>
      <c r="T1210" s="418"/>
      <c r="U1210" s="418"/>
      <c r="V1210" s="418"/>
      <c r="W1210" s="418"/>
      <c r="X1210" s="418"/>
      <c r="Y1210" s="418"/>
      <c r="Z1210" s="418"/>
      <c r="AA1210" s="418"/>
      <c r="AB1210" s="418"/>
      <c r="AC1210" s="418"/>
      <c r="AD1210" s="418"/>
      <c r="AE1210" s="418"/>
      <c r="AF1210" s="418"/>
      <c r="AG1210" s="418"/>
      <c r="AH1210" s="418"/>
      <c r="AI1210" s="418"/>
      <c r="AJ1210" s="418"/>
      <c r="AK1210" s="418"/>
      <c r="AL1210" s="418"/>
      <c r="AM1210" s="418"/>
      <c r="AN1210" s="423"/>
      <c r="AO1210" s="423"/>
      <c r="AP1210" s="423"/>
      <c r="AQ1210" s="423"/>
      <c r="AR1210" s="423"/>
      <c r="AS1210" s="423"/>
      <c r="AT1210" s="423"/>
      <c r="AU1210" s="423"/>
      <c r="AV1210" s="423"/>
      <c r="AW1210" s="418"/>
      <c r="AX1210" s="418"/>
      <c r="AY1210" s="418"/>
      <c r="AZ1210" s="418"/>
      <c r="BA1210" s="418"/>
      <c r="BB1210" s="306"/>
    </row>
    <row r="1211" spans="1:65" ht="15.75" customHeight="1">
      <c r="A1211" s="415"/>
      <c r="B1211" s="416"/>
      <c r="C1211" s="417"/>
      <c r="D1211" s="418"/>
      <c r="E1211" s="418"/>
      <c r="F1211" s="419"/>
      <c r="G1211" s="420"/>
      <c r="H1211" s="421"/>
      <c r="I1211" s="421"/>
      <c r="J1211" s="422"/>
      <c r="K1211" s="418"/>
      <c r="L1211" s="418"/>
      <c r="M1211" s="418"/>
      <c r="N1211" s="421"/>
      <c r="O1211" s="421"/>
      <c r="P1211" s="421"/>
      <c r="Q1211" s="418"/>
      <c r="R1211" s="1022"/>
      <c r="S1211" s="1022"/>
      <c r="T1211" s="418"/>
      <c r="U1211" s="418"/>
      <c r="V1211" s="418"/>
      <c r="W1211" s="418"/>
      <c r="X1211" s="418"/>
      <c r="Y1211" s="418"/>
      <c r="Z1211" s="418"/>
      <c r="AA1211" s="418"/>
      <c r="AB1211" s="418"/>
      <c r="AC1211" s="418"/>
      <c r="AD1211" s="418"/>
      <c r="AE1211" s="418"/>
      <c r="AF1211" s="418"/>
      <c r="AG1211" s="418"/>
      <c r="AH1211" s="418"/>
      <c r="AI1211" s="418"/>
      <c r="AJ1211" s="418"/>
      <c r="AK1211" s="418"/>
      <c r="AL1211" s="418"/>
      <c r="AM1211" s="418"/>
      <c r="AN1211" s="423"/>
      <c r="AO1211" s="423"/>
      <c r="AP1211" s="423"/>
      <c r="AQ1211" s="423"/>
      <c r="AR1211" s="423"/>
      <c r="AS1211" s="423"/>
      <c r="AT1211" s="423"/>
      <c r="AU1211" s="423"/>
      <c r="AV1211" s="423"/>
      <c r="AW1211" s="418"/>
      <c r="AX1211" s="418"/>
      <c r="AY1211" s="418"/>
      <c r="AZ1211" s="418"/>
      <c r="BA1211" s="418"/>
      <c r="BB1211" s="306"/>
    </row>
    <row r="1212" spans="1:65" ht="15.75" customHeight="1">
      <c r="A1212" s="415"/>
      <c r="B1212" s="416"/>
      <c r="C1212" s="417"/>
      <c r="D1212" s="418"/>
      <c r="E1212" s="418"/>
      <c r="F1212" s="419"/>
      <c r="G1212" s="420"/>
      <c r="H1212" s="421"/>
      <c r="I1212" s="421"/>
      <c r="J1212" s="422"/>
      <c r="K1212" s="418"/>
      <c r="L1212" s="418"/>
      <c r="M1212" s="418"/>
      <c r="N1212" s="421"/>
      <c r="O1212" s="421"/>
      <c r="P1212" s="421"/>
      <c r="Q1212" s="418"/>
      <c r="R1212" s="1022"/>
      <c r="S1212" s="1022"/>
      <c r="T1212" s="418"/>
      <c r="U1212" s="418"/>
      <c r="V1212" s="418"/>
      <c r="W1212" s="418"/>
      <c r="X1212" s="418"/>
      <c r="Y1212" s="418"/>
      <c r="Z1212" s="418"/>
      <c r="AA1212" s="418"/>
      <c r="AB1212" s="418"/>
      <c r="AC1212" s="418"/>
      <c r="AD1212" s="418"/>
      <c r="AE1212" s="418"/>
      <c r="AF1212" s="418"/>
      <c r="AG1212" s="418"/>
      <c r="AH1212" s="418"/>
      <c r="AI1212" s="418"/>
      <c r="AJ1212" s="418"/>
      <c r="AK1212" s="418"/>
      <c r="AL1212" s="418"/>
      <c r="AM1212" s="418"/>
      <c r="AN1212" s="423"/>
      <c r="AO1212" s="423"/>
      <c r="AP1212" s="423"/>
      <c r="AQ1212" s="423"/>
      <c r="AR1212" s="423"/>
      <c r="AS1212" s="423"/>
      <c r="AT1212" s="423"/>
      <c r="AU1212" s="423"/>
      <c r="AV1212" s="423"/>
      <c r="AW1212" s="418"/>
      <c r="AX1212" s="418"/>
      <c r="AY1212" s="418"/>
      <c r="AZ1212" s="418"/>
      <c r="BA1212" s="418"/>
      <c r="BB1212" s="306"/>
      <c r="BH1212" s="307"/>
    </row>
    <row r="1213" spans="1:65" ht="15.75" customHeight="1">
      <c r="A1213" s="415"/>
      <c r="B1213" s="416"/>
      <c r="C1213" s="417"/>
      <c r="D1213" s="418"/>
      <c r="E1213" s="418"/>
      <c r="F1213" s="419"/>
      <c r="G1213" s="420"/>
      <c r="H1213" s="421"/>
      <c r="I1213" s="421"/>
      <c r="J1213" s="422"/>
      <c r="K1213" s="418"/>
      <c r="L1213" s="418"/>
      <c r="M1213" s="418"/>
      <c r="N1213" s="421"/>
      <c r="O1213" s="421"/>
      <c r="P1213" s="421"/>
      <c r="Q1213" s="418"/>
      <c r="R1213" s="1022"/>
      <c r="S1213" s="1022"/>
      <c r="T1213" s="418"/>
      <c r="U1213" s="418"/>
      <c r="V1213" s="418"/>
      <c r="W1213" s="418"/>
      <c r="X1213" s="418"/>
      <c r="Y1213" s="418"/>
      <c r="Z1213" s="418"/>
      <c r="AA1213" s="418"/>
      <c r="AB1213" s="418"/>
      <c r="AC1213" s="418"/>
      <c r="AD1213" s="418"/>
      <c r="AE1213" s="418"/>
      <c r="AF1213" s="418"/>
      <c r="AG1213" s="418"/>
      <c r="AH1213" s="418"/>
      <c r="AI1213" s="418"/>
      <c r="AJ1213" s="418"/>
      <c r="AK1213" s="418"/>
      <c r="AL1213" s="418"/>
      <c r="AM1213" s="418"/>
      <c r="AN1213" s="423"/>
      <c r="AO1213" s="423"/>
      <c r="AP1213" s="423"/>
      <c r="AQ1213" s="423"/>
      <c r="AR1213" s="423"/>
      <c r="AS1213" s="423"/>
      <c r="AT1213" s="423"/>
      <c r="AU1213" s="423"/>
      <c r="AV1213" s="423"/>
      <c r="AW1213" s="418"/>
      <c r="AX1213" s="418"/>
      <c r="AY1213" s="418"/>
      <c r="AZ1213" s="418"/>
      <c r="BA1213" s="418"/>
      <c r="BB1213" s="306"/>
      <c r="BH1213" s="307"/>
    </row>
    <row r="1214" spans="1:65" s="307" customFormat="1" ht="15.75" customHeight="1">
      <c r="A1214" s="415"/>
      <c r="B1214" s="416"/>
      <c r="C1214" s="417"/>
      <c r="D1214" s="418"/>
      <c r="E1214" s="418"/>
      <c r="F1214" s="419"/>
      <c r="G1214" s="420"/>
      <c r="H1214" s="421"/>
      <c r="I1214" s="421"/>
      <c r="J1214" s="422"/>
      <c r="K1214" s="418"/>
      <c r="L1214" s="418"/>
      <c r="M1214" s="418"/>
      <c r="N1214" s="421"/>
      <c r="O1214" s="421"/>
      <c r="P1214" s="421"/>
      <c r="Q1214" s="418"/>
      <c r="R1214" s="1022"/>
      <c r="S1214" s="1022"/>
      <c r="T1214" s="418"/>
      <c r="U1214" s="418"/>
      <c r="V1214" s="418"/>
      <c r="W1214" s="418"/>
      <c r="X1214" s="418"/>
      <c r="Y1214" s="418"/>
      <c r="Z1214" s="418"/>
      <c r="AA1214" s="418"/>
      <c r="AB1214" s="418"/>
      <c r="AC1214" s="418"/>
      <c r="AD1214" s="418"/>
      <c r="AE1214" s="418"/>
      <c r="AF1214" s="418"/>
      <c r="AG1214" s="418"/>
      <c r="AH1214" s="418"/>
      <c r="AI1214" s="418"/>
      <c r="AJ1214" s="418"/>
      <c r="AK1214" s="418"/>
      <c r="AL1214" s="418"/>
      <c r="AM1214" s="418"/>
      <c r="AN1214" s="423"/>
      <c r="AO1214" s="423"/>
      <c r="AP1214" s="423"/>
      <c r="AQ1214" s="423"/>
      <c r="AR1214" s="423"/>
      <c r="AS1214" s="423"/>
      <c r="AT1214" s="423"/>
      <c r="AU1214" s="423"/>
      <c r="AV1214" s="423"/>
      <c r="AW1214" s="418"/>
      <c r="AX1214" s="418"/>
      <c r="AY1214" s="418"/>
      <c r="AZ1214" s="418"/>
      <c r="BA1214" s="418"/>
      <c r="BB1214" s="306"/>
      <c r="BC1214" s="1119"/>
      <c r="BD1214" s="1119"/>
      <c r="BI1214" s="1119"/>
      <c r="BJ1214" s="1119"/>
      <c r="BK1214" s="1119"/>
      <c r="BL1214" s="1119"/>
      <c r="BM1214" s="1119"/>
    </row>
    <row r="1215" spans="1:65" s="307" customFormat="1" ht="15.75" customHeight="1">
      <c r="A1215" s="415"/>
      <c r="B1215" s="416"/>
      <c r="C1215" s="417"/>
      <c r="D1215" s="418"/>
      <c r="E1215" s="418"/>
      <c r="F1215" s="419"/>
      <c r="G1215" s="420"/>
      <c r="H1215" s="421"/>
      <c r="I1215" s="421"/>
      <c r="J1215" s="422"/>
      <c r="K1215" s="418"/>
      <c r="L1215" s="418"/>
      <c r="M1215" s="418"/>
      <c r="N1215" s="421"/>
      <c r="O1215" s="421"/>
      <c r="P1215" s="421"/>
      <c r="Q1215" s="418"/>
      <c r="R1215" s="1022"/>
      <c r="S1215" s="1022"/>
      <c r="T1215" s="418"/>
      <c r="U1215" s="418"/>
      <c r="V1215" s="418"/>
      <c r="W1215" s="418"/>
      <c r="X1215" s="418"/>
      <c r="Y1215" s="418"/>
      <c r="Z1215" s="418"/>
      <c r="AA1215" s="418"/>
      <c r="AB1215" s="418"/>
      <c r="AC1215" s="418"/>
      <c r="AD1215" s="418"/>
      <c r="AE1215" s="418"/>
      <c r="AF1215" s="418"/>
      <c r="AG1215" s="418"/>
      <c r="AH1215" s="418"/>
      <c r="AI1215" s="418"/>
      <c r="AJ1215" s="418"/>
      <c r="AK1215" s="418"/>
      <c r="AL1215" s="418"/>
      <c r="AM1215" s="418"/>
      <c r="AN1215" s="423"/>
      <c r="AO1215" s="423"/>
      <c r="AP1215" s="423"/>
      <c r="AQ1215" s="423"/>
      <c r="AR1215" s="423"/>
      <c r="AS1215" s="423"/>
      <c r="AT1215" s="423"/>
      <c r="AU1215" s="423"/>
      <c r="AV1215" s="423"/>
      <c r="AW1215" s="418"/>
      <c r="AX1215" s="418"/>
      <c r="AY1215" s="418"/>
      <c r="AZ1215" s="418"/>
      <c r="BA1215" s="418"/>
      <c r="BB1215" s="306"/>
      <c r="BC1215" s="1119"/>
      <c r="BD1215" s="1119"/>
      <c r="BI1215" s="1119"/>
      <c r="BJ1215" s="1119"/>
      <c r="BK1215" s="1119"/>
      <c r="BL1215" s="1119"/>
      <c r="BM1215" s="1119"/>
    </row>
    <row r="1216" spans="1:65" s="307" customFormat="1" ht="15.75" customHeight="1">
      <c r="A1216" s="415"/>
      <c r="B1216" s="416"/>
      <c r="C1216" s="417"/>
      <c r="D1216" s="418"/>
      <c r="E1216" s="418"/>
      <c r="F1216" s="419"/>
      <c r="G1216" s="420"/>
      <c r="H1216" s="421"/>
      <c r="I1216" s="421"/>
      <c r="J1216" s="422"/>
      <c r="K1216" s="418"/>
      <c r="L1216" s="418"/>
      <c r="M1216" s="418"/>
      <c r="N1216" s="421"/>
      <c r="O1216" s="421"/>
      <c r="P1216" s="421"/>
      <c r="Q1216" s="418"/>
      <c r="R1216" s="1022"/>
      <c r="S1216" s="1022"/>
      <c r="T1216" s="418"/>
      <c r="U1216" s="418"/>
      <c r="V1216" s="418"/>
      <c r="W1216" s="418"/>
      <c r="X1216" s="418"/>
      <c r="Y1216" s="418"/>
      <c r="Z1216" s="418"/>
      <c r="AA1216" s="418"/>
      <c r="AB1216" s="418"/>
      <c r="AC1216" s="418"/>
      <c r="AD1216" s="418"/>
      <c r="AE1216" s="418"/>
      <c r="AF1216" s="418"/>
      <c r="AG1216" s="418"/>
      <c r="AH1216" s="418"/>
      <c r="AI1216" s="418"/>
      <c r="AJ1216" s="418"/>
      <c r="AK1216" s="418"/>
      <c r="AL1216" s="418"/>
      <c r="AM1216" s="418"/>
      <c r="AN1216" s="423"/>
      <c r="AO1216" s="423"/>
      <c r="AP1216" s="423"/>
      <c r="AQ1216" s="423"/>
      <c r="AR1216" s="423"/>
      <c r="AS1216" s="423"/>
      <c r="AT1216" s="423"/>
      <c r="AU1216" s="423"/>
      <c r="AV1216" s="423"/>
      <c r="AW1216" s="418"/>
      <c r="AX1216" s="418"/>
      <c r="AY1216" s="418"/>
      <c r="AZ1216" s="418"/>
      <c r="BA1216" s="418"/>
      <c r="BB1216" s="306"/>
      <c r="BC1216" s="1119"/>
      <c r="BD1216" s="1119"/>
      <c r="BI1216" s="1119"/>
      <c r="BJ1216" s="1119"/>
      <c r="BK1216" s="1119"/>
      <c r="BL1216" s="1119"/>
      <c r="BM1216" s="1119"/>
    </row>
    <row r="1217" spans="1:65" s="307" customFormat="1" ht="15.75" customHeight="1">
      <c r="A1217" s="415"/>
      <c r="B1217" s="416"/>
      <c r="C1217" s="417"/>
      <c r="D1217" s="418"/>
      <c r="E1217" s="418"/>
      <c r="F1217" s="419"/>
      <c r="G1217" s="420"/>
      <c r="H1217" s="421"/>
      <c r="I1217" s="421"/>
      <c r="J1217" s="422"/>
      <c r="K1217" s="418"/>
      <c r="L1217" s="418"/>
      <c r="M1217" s="418"/>
      <c r="N1217" s="421"/>
      <c r="O1217" s="421"/>
      <c r="P1217" s="421"/>
      <c r="Q1217" s="418"/>
      <c r="R1217" s="1022"/>
      <c r="S1217" s="1022"/>
      <c r="T1217" s="418"/>
      <c r="U1217" s="418"/>
      <c r="V1217" s="418"/>
      <c r="W1217" s="418"/>
      <c r="X1217" s="418"/>
      <c r="Y1217" s="418"/>
      <c r="Z1217" s="418"/>
      <c r="AA1217" s="418"/>
      <c r="AB1217" s="418"/>
      <c r="AC1217" s="418"/>
      <c r="AD1217" s="418"/>
      <c r="AE1217" s="418"/>
      <c r="AF1217" s="418"/>
      <c r="AG1217" s="418"/>
      <c r="AH1217" s="418"/>
      <c r="AI1217" s="418"/>
      <c r="AJ1217" s="418"/>
      <c r="AK1217" s="418"/>
      <c r="AL1217" s="418"/>
      <c r="AM1217" s="418"/>
      <c r="AN1217" s="423"/>
      <c r="AO1217" s="423"/>
      <c r="AP1217" s="423"/>
      <c r="AQ1217" s="423"/>
      <c r="AR1217" s="423"/>
      <c r="AS1217" s="423"/>
      <c r="AT1217" s="423"/>
      <c r="AU1217" s="423"/>
      <c r="AV1217" s="423"/>
      <c r="AW1217" s="418"/>
      <c r="AX1217" s="418"/>
      <c r="AY1217" s="418"/>
      <c r="AZ1217" s="418"/>
      <c r="BA1217" s="418"/>
      <c r="BB1217" s="306"/>
      <c r="BC1217" s="1119"/>
      <c r="BD1217" s="1119"/>
      <c r="BI1217" s="1119"/>
      <c r="BJ1217" s="1119"/>
      <c r="BK1217" s="1119"/>
      <c r="BL1217" s="1119"/>
      <c r="BM1217" s="1119"/>
    </row>
    <row r="1218" spans="1:65" s="307" customFormat="1" ht="15.75" customHeight="1">
      <c r="A1218" s="415"/>
      <c r="B1218" s="416"/>
      <c r="C1218" s="417"/>
      <c r="D1218" s="418"/>
      <c r="E1218" s="418"/>
      <c r="F1218" s="419"/>
      <c r="G1218" s="420"/>
      <c r="H1218" s="421"/>
      <c r="I1218" s="421"/>
      <c r="J1218" s="422"/>
      <c r="K1218" s="418"/>
      <c r="L1218" s="418"/>
      <c r="M1218" s="418"/>
      <c r="N1218" s="421"/>
      <c r="O1218" s="421"/>
      <c r="P1218" s="421"/>
      <c r="Q1218" s="418"/>
      <c r="R1218" s="1022"/>
      <c r="S1218" s="1022"/>
      <c r="T1218" s="418"/>
      <c r="U1218" s="418"/>
      <c r="V1218" s="418"/>
      <c r="W1218" s="418"/>
      <c r="X1218" s="418"/>
      <c r="Y1218" s="418"/>
      <c r="Z1218" s="418"/>
      <c r="AA1218" s="418"/>
      <c r="AB1218" s="418"/>
      <c r="AC1218" s="418"/>
      <c r="AD1218" s="418"/>
      <c r="AE1218" s="418"/>
      <c r="AF1218" s="418"/>
      <c r="AG1218" s="418"/>
      <c r="AH1218" s="418"/>
      <c r="AI1218" s="418"/>
      <c r="AJ1218" s="418"/>
      <c r="AK1218" s="418"/>
      <c r="AL1218" s="418"/>
      <c r="AM1218" s="418"/>
      <c r="AN1218" s="423"/>
      <c r="AO1218" s="423"/>
      <c r="AP1218" s="423"/>
      <c r="AQ1218" s="423"/>
      <c r="AR1218" s="423"/>
      <c r="AS1218" s="423"/>
      <c r="AT1218" s="423"/>
      <c r="AU1218" s="423"/>
      <c r="AV1218" s="423"/>
      <c r="AW1218" s="418"/>
      <c r="AX1218" s="418"/>
      <c r="AY1218" s="418"/>
      <c r="AZ1218" s="418"/>
      <c r="BA1218" s="418"/>
      <c r="BB1218" s="306"/>
      <c r="BC1218" s="1119"/>
      <c r="BD1218" s="1119"/>
      <c r="BI1218" s="1119"/>
      <c r="BJ1218" s="1119"/>
      <c r="BK1218" s="1119"/>
      <c r="BL1218" s="1119"/>
      <c r="BM1218" s="1119"/>
    </row>
    <row r="1219" spans="1:65" s="307" customFormat="1" ht="15.75" customHeight="1">
      <c r="A1219" s="415"/>
      <c r="B1219" s="416"/>
      <c r="C1219" s="417"/>
      <c r="D1219" s="418"/>
      <c r="E1219" s="418"/>
      <c r="F1219" s="419"/>
      <c r="G1219" s="420"/>
      <c r="H1219" s="421"/>
      <c r="I1219" s="425"/>
      <c r="J1219" s="422"/>
      <c r="K1219" s="418"/>
      <c r="L1219" s="418"/>
      <c r="M1219" s="418"/>
      <c r="N1219" s="421"/>
      <c r="O1219" s="421"/>
      <c r="P1219" s="421"/>
      <c r="Q1219" s="418"/>
      <c r="R1219" s="1022"/>
      <c r="S1219" s="1022"/>
      <c r="T1219" s="418"/>
      <c r="U1219" s="418"/>
      <c r="V1219" s="418"/>
      <c r="W1219" s="418"/>
      <c r="X1219" s="418"/>
      <c r="Y1219" s="418"/>
      <c r="Z1219" s="418"/>
      <c r="AA1219" s="418"/>
      <c r="AB1219" s="418"/>
      <c r="AC1219" s="418"/>
      <c r="AD1219" s="418"/>
      <c r="AE1219" s="418"/>
      <c r="AF1219" s="418"/>
      <c r="AG1219" s="418"/>
      <c r="AH1219" s="418"/>
      <c r="AI1219" s="418"/>
      <c r="AJ1219" s="418"/>
      <c r="AK1219" s="418"/>
      <c r="AL1219" s="418"/>
      <c r="AM1219" s="418"/>
      <c r="AN1219" s="423"/>
      <c r="AO1219" s="423"/>
      <c r="AP1219" s="423"/>
      <c r="AQ1219" s="423"/>
      <c r="AR1219" s="423"/>
      <c r="AS1219" s="423"/>
      <c r="AT1219" s="423"/>
      <c r="AU1219" s="423"/>
      <c r="AV1219" s="423"/>
      <c r="AW1219" s="418"/>
      <c r="AX1219" s="418"/>
      <c r="AY1219" s="418"/>
      <c r="AZ1219" s="418"/>
      <c r="BA1219" s="418"/>
      <c r="BB1219" s="306"/>
      <c r="BC1219" s="1119"/>
      <c r="BD1219" s="1119"/>
      <c r="BI1219" s="1119"/>
      <c r="BJ1219" s="1119"/>
      <c r="BK1219" s="1119"/>
      <c r="BL1219" s="1119"/>
      <c r="BM1219" s="1119"/>
    </row>
    <row r="1220" spans="1:65" s="307" customFormat="1" ht="15.75" customHeight="1">
      <c r="A1220" s="415"/>
      <c r="B1220" s="416"/>
      <c r="C1220" s="417"/>
      <c r="D1220" s="418"/>
      <c r="E1220" s="418"/>
      <c r="F1220" s="419"/>
      <c r="G1220" s="420"/>
      <c r="H1220" s="421"/>
      <c r="I1220" s="421"/>
      <c r="J1220" s="422"/>
      <c r="K1220" s="418"/>
      <c r="L1220" s="418"/>
      <c r="M1220" s="418"/>
      <c r="N1220" s="421"/>
      <c r="O1220" s="421"/>
      <c r="P1220" s="421"/>
      <c r="Q1220" s="418"/>
      <c r="R1220" s="1022"/>
      <c r="S1220" s="1022"/>
      <c r="T1220" s="418"/>
      <c r="U1220" s="418"/>
      <c r="V1220" s="418"/>
      <c r="W1220" s="418"/>
      <c r="X1220" s="418"/>
      <c r="Y1220" s="418"/>
      <c r="Z1220" s="418"/>
      <c r="AA1220" s="418"/>
      <c r="AB1220" s="418"/>
      <c r="AC1220" s="418"/>
      <c r="AD1220" s="418"/>
      <c r="AE1220" s="418"/>
      <c r="AF1220" s="418"/>
      <c r="AG1220" s="418"/>
      <c r="AH1220" s="418"/>
      <c r="AI1220" s="418"/>
      <c r="AJ1220" s="418"/>
      <c r="AK1220" s="418"/>
      <c r="AL1220" s="418"/>
      <c r="AM1220" s="418"/>
      <c r="AN1220" s="423"/>
      <c r="AO1220" s="423"/>
      <c r="AP1220" s="423"/>
      <c r="AQ1220" s="423"/>
      <c r="AR1220" s="423"/>
      <c r="AS1220" s="423"/>
      <c r="AT1220" s="423"/>
      <c r="AU1220" s="423"/>
      <c r="AV1220" s="423"/>
      <c r="AW1220" s="418"/>
      <c r="AX1220" s="418"/>
      <c r="AY1220" s="418"/>
      <c r="AZ1220" s="418"/>
      <c r="BA1220" s="418"/>
      <c r="BB1220" s="306"/>
      <c r="BC1220" s="1119"/>
      <c r="BD1220" s="1119"/>
      <c r="BI1220" s="1119"/>
      <c r="BJ1220" s="1119"/>
      <c r="BK1220" s="1119"/>
      <c r="BL1220" s="1119"/>
      <c r="BM1220" s="1119"/>
    </row>
    <row r="1221" spans="1:65" s="307" customFormat="1" ht="15.75" customHeight="1">
      <c r="A1221" s="415"/>
      <c r="B1221" s="416"/>
      <c r="C1221" s="417"/>
      <c r="D1221" s="418"/>
      <c r="E1221" s="418"/>
      <c r="F1221" s="419"/>
      <c r="G1221" s="420"/>
      <c r="H1221" s="421"/>
      <c r="I1221" s="421"/>
      <c r="J1221" s="422"/>
      <c r="K1221" s="418"/>
      <c r="L1221" s="418"/>
      <c r="M1221" s="418"/>
      <c r="N1221" s="421"/>
      <c r="O1221" s="421"/>
      <c r="P1221" s="421"/>
      <c r="Q1221" s="418"/>
      <c r="R1221" s="1022"/>
      <c r="S1221" s="1022"/>
      <c r="T1221" s="418"/>
      <c r="U1221" s="418"/>
      <c r="V1221" s="418"/>
      <c r="W1221" s="418"/>
      <c r="X1221" s="418"/>
      <c r="Y1221" s="418"/>
      <c r="Z1221" s="418"/>
      <c r="AA1221" s="418"/>
      <c r="AB1221" s="418"/>
      <c r="AC1221" s="418"/>
      <c r="AD1221" s="418"/>
      <c r="AE1221" s="418"/>
      <c r="AF1221" s="418"/>
      <c r="AG1221" s="418"/>
      <c r="AH1221" s="418"/>
      <c r="AI1221" s="418"/>
      <c r="AJ1221" s="418"/>
      <c r="AK1221" s="418"/>
      <c r="AL1221" s="418"/>
      <c r="AM1221" s="418"/>
      <c r="AN1221" s="423"/>
      <c r="AO1221" s="423"/>
      <c r="AP1221" s="423"/>
      <c r="AQ1221" s="423"/>
      <c r="AR1221" s="423"/>
      <c r="AS1221" s="423"/>
      <c r="AT1221" s="423"/>
      <c r="AU1221" s="423"/>
      <c r="AV1221" s="423"/>
      <c r="AW1221" s="418"/>
      <c r="AX1221" s="418"/>
      <c r="AY1221" s="418"/>
      <c r="AZ1221" s="418"/>
      <c r="BA1221" s="418"/>
      <c r="BB1221" s="306"/>
      <c r="BC1221" s="1119"/>
      <c r="BD1221" s="1119"/>
      <c r="BI1221" s="1119"/>
      <c r="BJ1221" s="1119"/>
      <c r="BK1221" s="1119"/>
      <c r="BL1221" s="1119"/>
      <c r="BM1221" s="1119"/>
    </row>
    <row r="1222" spans="1:65" s="307" customFormat="1" ht="15.75" customHeight="1">
      <c r="A1222" s="415"/>
      <c r="B1222" s="416"/>
      <c r="C1222" s="417"/>
      <c r="D1222" s="418"/>
      <c r="E1222" s="418"/>
      <c r="F1222" s="419"/>
      <c r="G1222" s="420"/>
      <c r="H1222" s="421"/>
      <c r="I1222" s="421"/>
      <c r="J1222" s="422"/>
      <c r="K1222" s="418"/>
      <c r="L1222" s="418"/>
      <c r="M1222" s="418"/>
      <c r="N1222" s="421"/>
      <c r="O1222" s="421"/>
      <c r="P1222" s="421"/>
      <c r="Q1222" s="418"/>
      <c r="R1222" s="1022"/>
      <c r="S1222" s="1022"/>
      <c r="T1222" s="418"/>
      <c r="U1222" s="418"/>
      <c r="V1222" s="418"/>
      <c r="W1222" s="418"/>
      <c r="X1222" s="418"/>
      <c r="Y1222" s="418"/>
      <c r="Z1222" s="418"/>
      <c r="AA1222" s="418"/>
      <c r="AB1222" s="418"/>
      <c r="AC1222" s="418"/>
      <c r="AD1222" s="418"/>
      <c r="AE1222" s="418"/>
      <c r="AF1222" s="418"/>
      <c r="AG1222" s="418"/>
      <c r="AH1222" s="418"/>
      <c r="AI1222" s="418"/>
      <c r="AJ1222" s="418"/>
      <c r="AK1222" s="418"/>
      <c r="AL1222" s="418"/>
      <c r="AM1222" s="418"/>
      <c r="AN1222" s="423"/>
      <c r="AO1222" s="423"/>
      <c r="AP1222" s="423"/>
      <c r="AQ1222" s="423"/>
      <c r="AR1222" s="423"/>
      <c r="AS1222" s="423"/>
      <c r="AT1222" s="423"/>
      <c r="AU1222" s="423"/>
      <c r="AV1222" s="423"/>
      <c r="AW1222" s="418"/>
      <c r="AX1222" s="418"/>
      <c r="AY1222" s="418"/>
      <c r="AZ1222" s="418"/>
      <c r="BA1222" s="418"/>
      <c r="BB1222" s="306"/>
      <c r="BC1222" s="1119"/>
      <c r="BD1222" s="1119"/>
      <c r="BI1222" s="1119"/>
      <c r="BJ1222" s="1119"/>
      <c r="BK1222" s="1119"/>
      <c r="BL1222" s="1119"/>
      <c r="BM1222" s="1119"/>
    </row>
    <row r="1223" spans="1:65" s="307" customFormat="1" ht="15.75" customHeight="1">
      <c r="A1223" s="415"/>
      <c r="B1223" s="416"/>
      <c r="C1223" s="417"/>
      <c r="D1223" s="418"/>
      <c r="E1223" s="418"/>
      <c r="F1223" s="419"/>
      <c r="G1223" s="420"/>
      <c r="H1223" s="421"/>
      <c r="I1223" s="421"/>
      <c r="J1223" s="422"/>
      <c r="K1223" s="418"/>
      <c r="L1223" s="418"/>
      <c r="M1223" s="418"/>
      <c r="N1223" s="421"/>
      <c r="O1223" s="421"/>
      <c r="P1223" s="421"/>
      <c r="Q1223" s="418"/>
      <c r="R1223" s="1022"/>
      <c r="S1223" s="1022"/>
      <c r="T1223" s="418"/>
      <c r="U1223" s="418"/>
      <c r="V1223" s="418"/>
      <c r="W1223" s="418"/>
      <c r="X1223" s="418"/>
      <c r="Y1223" s="418"/>
      <c r="Z1223" s="418"/>
      <c r="AA1223" s="418"/>
      <c r="AB1223" s="418"/>
      <c r="AC1223" s="418"/>
      <c r="AD1223" s="418"/>
      <c r="AE1223" s="418"/>
      <c r="AF1223" s="418"/>
      <c r="AG1223" s="418"/>
      <c r="AH1223" s="418"/>
      <c r="AI1223" s="418"/>
      <c r="AJ1223" s="418"/>
      <c r="AK1223" s="418"/>
      <c r="AL1223" s="418"/>
      <c r="AM1223" s="418"/>
      <c r="AN1223" s="423"/>
      <c r="AO1223" s="423"/>
      <c r="AP1223" s="423"/>
      <c r="AQ1223" s="423"/>
      <c r="AR1223" s="423"/>
      <c r="AS1223" s="423"/>
      <c r="AT1223" s="423"/>
      <c r="AU1223" s="423"/>
      <c r="AV1223" s="423"/>
      <c r="AW1223" s="418"/>
      <c r="AX1223" s="418"/>
      <c r="AY1223" s="418"/>
      <c r="AZ1223" s="418"/>
      <c r="BA1223" s="418"/>
      <c r="BB1223" s="306"/>
      <c r="BC1223" s="1119"/>
      <c r="BD1223" s="1119"/>
      <c r="BI1223" s="1119"/>
      <c r="BJ1223" s="1119"/>
      <c r="BK1223" s="1119"/>
      <c r="BL1223" s="1119"/>
      <c r="BM1223" s="1119"/>
    </row>
    <row r="1224" spans="1:65" s="307" customFormat="1" ht="15.75" customHeight="1">
      <c r="A1224" s="415"/>
      <c r="B1224" s="416"/>
      <c r="C1224" s="417"/>
      <c r="D1224" s="418"/>
      <c r="E1224" s="418"/>
      <c r="F1224" s="419"/>
      <c r="G1224" s="420"/>
      <c r="H1224" s="421"/>
      <c r="I1224" s="421"/>
      <c r="J1224" s="422"/>
      <c r="K1224" s="418"/>
      <c r="L1224" s="418"/>
      <c r="M1224" s="418"/>
      <c r="N1224" s="421"/>
      <c r="O1224" s="421"/>
      <c r="P1224" s="421"/>
      <c r="Q1224" s="418"/>
      <c r="R1224" s="1022"/>
      <c r="S1224" s="1022"/>
      <c r="T1224" s="418"/>
      <c r="U1224" s="418"/>
      <c r="V1224" s="418"/>
      <c r="W1224" s="418"/>
      <c r="X1224" s="418"/>
      <c r="Y1224" s="418"/>
      <c r="Z1224" s="418"/>
      <c r="AA1224" s="418"/>
      <c r="AB1224" s="418"/>
      <c r="AC1224" s="418"/>
      <c r="AD1224" s="418"/>
      <c r="AE1224" s="418"/>
      <c r="AF1224" s="418"/>
      <c r="AG1224" s="418"/>
      <c r="AH1224" s="418"/>
      <c r="AI1224" s="418"/>
      <c r="AJ1224" s="418"/>
      <c r="AK1224" s="418"/>
      <c r="AL1224" s="418"/>
      <c r="AM1224" s="418"/>
      <c r="AN1224" s="423"/>
      <c r="AO1224" s="423"/>
      <c r="AP1224" s="423"/>
      <c r="AQ1224" s="423"/>
      <c r="AR1224" s="423"/>
      <c r="AS1224" s="423"/>
      <c r="AT1224" s="423"/>
      <c r="AU1224" s="423"/>
      <c r="AV1224" s="423"/>
      <c r="AW1224" s="418"/>
      <c r="AX1224" s="418"/>
      <c r="AY1224" s="418"/>
      <c r="AZ1224" s="418"/>
      <c r="BA1224" s="418"/>
      <c r="BB1224" s="306"/>
      <c r="BC1224" s="1119"/>
      <c r="BD1224" s="1119"/>
      <c r="BI1224" s="1119"/>
      <c r="BJ1224" s="1119"/>
      <c r="BK1224" s="1119"/>
      <c r="BL1224" s="1119"/>
      <c r="BM1224" s="1119"/>
    </row>
    <row r="1225" spans="1:65" s="307" customFormat="1" ht="15.75" customHeight="1">
      <c r="A1225" s="415"/>
      <c r="B1225" s="416"/>
      <c r="C1225" s="417"/>
      <c r="D1225" s="418"/>
      <c r="E1225" s="418"/>
      <c r="F1225" s="419"/>
      <c r="G1225" s="420"/>
      <c r="H1225" s="421"/>
      <c r="I1225" s="421"/>
      <c r="J1225" s="422"/>
      <c r="K1225" s="418"/>
      <c r="L1225" s="418"/>
      <c r="M1225" s="418"/>
      <c r="N1225" s="421"/>
      <c r="O1225" s="421"/>
      <c r="P1225" s="421"/>
      <c r="Q1225" s="418"/>
      <c r="R1225" s="1022"/>
      <c r="S1225" s="1022"/>
      <c r="T1225" s="418"/>
      <c r="U1225" s="418"/>
      <c r="V1225" s="418"/>
      <c r="W1225" s="418"/>
      <c r="X1225" s="418"/>
      <c r="Y1225" s="418"/>
      <c r="Z1225" s="418"/>
      <c r="AA1225" s="418"/>
      <c r="AB1225" s="418"/>
      <c r="AC1225" s="418"/>
      <c r="AD1225" s="418"/>
      <c r="AE1225" s="418"/>
      <c r="AF1225" s="418"/>
      <c r="AG1225" s="418"/>
      <c r="AH1225" s="418"/>
      <c r="AI1225" s="418"/>
      <c r="AJ1225" s="418"/>
      <c r="AK1225" s="418"/>
      <c r="AL1225" s="418"/>
      <c r="AM1225" s="418"/>
      <c r="AN1225" s="423"/>
      <c r="AO1225" s="423"/>
      <c r="AP1225" s="423"/>
      <c r="AQ1225" s="423"/>
      <c r="AR1225" s="423"/>
      <c r="AS1225" s="423"/>
      <c r="AT1225" s="423"/>
      <c r="AU1225" s="423"/>
      <c r="AV1225" s="423"/>
      <c r="AW1225" s="418"/>
      <c r="AX1225" s="418"/>
      <c r="AY1225" s="418"/>
      <c r="AZ1225" s="418"/>
      <c r="BA1225" s="418"/>
      <c r="BB1225" s="306"/>
      <c r="BC1225" s="1119"/>
      <c r="BD1225" s="1119"/>
      <c r="BI1225" s="1119"/>
      <c r="BJ1225" s="1119"/>
      <c r="BK1225" s="1119"/>
      <c r="BL1225" s="1119"/>
      <c r="BM1225" s="1119"/>
    </row>
    <row r="1226" spans="1:65" s="307" customFormat="1" ht="15.75" customHeight="1">
      <c r="A1226" s="415"/>
      <c r="B1226" s="416"/>
      <c r="C1226" s="417"/>
      <c r="D1226" s="418"/>
      <c r="E1226" s="418"/>
      <c r="F1226" s="419"/>
      <c r="G1226" s="420"/>
      <c r="H1226" s="421"/>
      <c r="I1226" s="421"/>
      <c r="J1226" s="422"/>
      <c r="K1226" s="418"/>
      <c r="L1226" s="418"/>
      <c r="M1226" s="418"/>
      <c r="N1226" s="421"/>
      <c r="O1226" s="421"/>
      <c r="P1226" s="421"/>
      <c r="Q1226" s="418"/>
      <c r="R1226" s="1022"/>
      <c r="S1226" s="1022"/>
      <c r="T1226" s="418"/>
      <c r="U1226" s="418"/>
      <c r="V1226" s="418"/>
      <c r="W1226" s="418"/>
      <c r="X1226" s="418"/>
      <c r="Y1226" s="418"/>
      <c r="Z1226" s="418"/>
      <c r="AA1226" s="418"/>
      <c r="AB1226" s="418"/>
      <c r="AC1226" s="418"/>
      <c r="AD1226" s="418"/>
      <c r="AE1226" s="418"/>
      <c r="AF1226" s="418"/>
      <c r="AG1226" s="418"/>
      <c r="AH1226" s="418"/>
      <c r="AI1226" s="418"/>
      <c r="AJ1226" s="418"/>
      <c r="AK1226" s="418"/>
      <c r="AL1226" s="418"/>
      <c r="AM1226" s="418"/>
      <c r="AN1226" s="423"/>
      <c r="AO1226" s="423"/>
      <c r="AP1226" s="423"/>
      <c r="AQ1226" s="423"/>
      <c r="AR1226" s="423"/>
      <c r="AS1226" s="423"/>
      <c r="AT1226" s="423"/>
      <c r="AU1226" s="423"/>
      <c r="AV1226" s="423"/>
      <c r="AW1226" s="418"/>
      <c r="AX1226" s="418"/>
      <c r="AY1226" s="418"/>
      <c r="AZ1226" s="418"/>
      <c r="BA1226" s="418"/>
      <c r="BB1226" s="306"/>
      <c r="BC1226" s="1119"/>
      <c r="BD1226" s="1119"/>
      <c r="BI1226" s="1119"/>
      <c r="BJ1226" s="1119"/>
      <c r="BK1226" s="1119"/>
      <c r="BL1226" s="1119"/>
      <c r="BM1226" s="1119"/>
    </row>
    <row r="1227" spans="1:65" s="307" customFormat="1" ht="15.75" customHeight="1">
      <c r="A1227" s="415"/>
      <c r="B1227" s="416"/>
      <c r="C1227" s="417"/>
      <c r="D1227" s="418"/>
      <c r="E1227" s="418"/>
      <c r="F1227" s="419"/>
      <c r="G1227" s="420"/>
      <c r="H1227" s="421"/>
      <c r="I1227" s="421"/>
      <c r="J1227" s="422"/>
      <c r="K1227" s="418"/>
      <c r="L1227" s="418"/>
      <c r="M1227" s="418"/>
      <c r="N1227" s="421"/>
      <c r="O1227" s="421"/>
      <c r="P1227" s="421"/>
      <c r="Q1227" s="418"/>
      <c r="R1227" s="1022"/>
      <c r="S1227" s="1022"/>
      <c r="T1227" s="418"/>
      <c r="U1227" s="418"/>
      <c r="V1227" s="418"/>
      <c r="W1227" s="418"/>
      <c r="X1227" s="418"/>
      <c r="Y1227" s="418"/>
      <c r="Z1227" s="418"/>
      <c r="AA1227" s="418"/>
      <c r="AB1227" s="418"/>
      <c r="AC1227" s="418"/>
      <c r="AD1227" s="418"/>
      <c r="AE1227" s="418"/>
      <c r="AF1227" s="418"/>
      <c r="AG1227" s="418"/>
      <c r="AH1227" s="418"/>
      <c r="AI1227" s="418"/>
      <c r="AJ1227" s="418"/>
      <c r="AK1227" s="418"/>
      <c r="AL1227" s="418"/>
      <c r="AM1227" s="418"/>
      <c r="AN1227" s="423"/>
      <c r="AO1227" s="423"/>
      <c r="AP1227" s="423"/>
      <c r="AQ1227" s="423"/>
      <c r="AR1227" s="423"/>
      <c r="AS1227" s="423"/>
      <c r="AT1227" s="423"/>
      <c r="AU1227" s="423"/>
      <c r="AV1227" s="423"/>
      <c r="AW1227" s="418"/>
      <c r="AX1227" s="418"/>
      <c r="AY1227" s="418"/>
      <c r="AZ1227" s="418"/>
      <c r="BA1227" s="418"/>
      <c r="BB1227" s="306"/>
      <c r="BC1227" s="1119"/>
      <c r="BD1227" s="1119"/>
      <c r="BI1227" s="1119"/>
      <c r="BJ1227" s="1119"/>
      <c r="BK1227" s="1119"/>
      <c r="BL1227" s="1119"/>
      <c r="BM1227" s="1119"/>
    </row>
    <row r="1228" spans="1:65" s="307" customFormat="1" ht="15.75" customHeight="1">
      <c r="A1228" s="415"/>
      <c r="B1228" s="416"/>
      <c r="C1228" s="417"/>
      <c r="D1228" s="418"/>
      <c r="E1228" s="418"/>
      <c r="F1228" s="419"/>
      <c r="G1228" s="420"/>
      <c r="H1228" s="421"/>
      <c r="I1228" s="421"/>
      <c r="J1228" s="422"/>
      <c r="K1228" s="418"/>
      <c r="L1228" s="418"/>
      <c r="M1228" s="418"/>
      <c r="N1228" s="421"/>
      <c r="O1228" s="421"/>
      <c r="P1228" s="421"/>
      <c r="Q1228" s="418"/>
      <c r="R1228" s="1022"/>
      <c r="S1228" s="1022"/>
      <c r="T1228" s="418"/>
      <c r="U1228" s="418"/>
      <c r="V1228" s="418"/>
      <c r="W1228" s="418"/>
      <c r="X1228" s="418"/>
      <c r="Y1228" s="418"/>
      <c r="Z1228" s="418"/>
      <c r="AA1228" s="418"/>
      <c r="AB1228" s="418"/>
      <c r="AC1228" s="418"/>
      <c r="AD1228" s="418"/>
      <c r="AE1228" s="418"/>
      <c r="AF1228" s="418"/>
      <c r="AG1228" s="418"/>
      <c r="AH1228" s="418"/>
      <c r="AI1228" s="418"/>
      <c r="AJ1228" s="418"/>
      <c r="AK1228" s="418"/>
      <c r="AL1228" s="418"/>
      <c r="AM1228" s="418"/>
      <c r="AN1228" s="423"/>
      <c r="AO1228" s="423"/>
      <c r="AP1228" s="423"/>
      <c r="AQ1228" s="423"/>
      <c r="AR1228" s="423"/>
      <c r="AS1228" s="423"/>
      <c r="AT1228" s="423"/>
      <c r="AU1228" s="423"/>
      <c r="AV1228" s="423"/>
      <c r="AW1228" s="418"/>
      <c r="AX1228" s="418"/>
      <c r="AY1228" s="418"/>
      <c r="AZ1228" s="418"/>
      <c r="BA1228" s="418"/>
      <c r="BB1228" s="306"/>
      <c r="BC1228" s="1119"/>
      <c r="BD1228" s="1119"/>
      <c r="BI1228" s="1119"/>
      <c r="BJ1228" s="1119"/>
      <c r="BK1228" s="1119"/>
      <c r="BL1228" s="1119"/>
      <c r="BM1228" s="1119"/>
    </row>
    <row r="1229" spans="1:65" s="307" customFormat="1" ht="15.75" customHeight="1">
      <c r="A1229" s="415"/>
      <c r="B1229" s="416"/>
      <c r="C1229" s="417"/>
      <c r="D1229" s="418"/>
      <c r="E1229" s="418"/>
      <c r="F1229" s="419"/>
      <c r="G1229" s="420"/>
      <c r="H1229" s="421"/>
      <c r="I1229" s="421"/>
      <c r="J1229" s="422"/>
      <c r="K1229" s="418"/>
      <c r="L1229" s="418"/>
      <c r="M1229" s="418"/>
      <c r="N1229" s="421"/>
      <c r="O1229" s="421"/>
      <c r="P1229" s="421"/>
      <c r="Q1229" s="418"/>
      <c r="R1229" s="1022"/>
      <c r="S1229" s="1022"/>
      <c r="T1229" s="418"/>
      <c r="U1229" s="418"/>
      <c r="V1229" s="418"/>
      <c r="W1229" s="418"/>
      <c r="X1229" s="418"/>
      <c r="Y1229" s="418"/>
      <c r="Z1229" s="418"/>
      <c r="AA1229" s="418"/>
      <c r="AB1229" s="418"/>
      <c r="AC1229" s="418"/>
      <c r="AD1229" s="418"/>
      <c r="AE1229" s="418"/>
      <c r="AF1229" s="418"/>
      <c r="AG1229" s="418"/>
      <c r="AH1229" s="418"/>
      <c r="AI1229" s="418"/>
      <c r="AJ1229" s="418"/>
      <c r="AK1229" s="418"/>
      <c r="AL1229" s="418"/>
      <c r="AM1229" s="418"/>
      <c r="AN1229" s="423"/>
      <c r="AO1229" s="423"/>
      <c r="AP1229" s="423"/>
      <c r="AQ1229" s="423"/>
      <c r="AR1229" s="423"/>
      <c r="AS1229" s="423"/>
      <c r="AT1229" s="423"/>
      <c r="AU1229" s="423"/>
      <c r="AV1229" s="423"/>
      <c r="AW1229" s="418"/>
      <c r="AX1229" s="418"/>
      <c r="AY1229" s="418"/>
      <c r="AZ1229" s="418"/>
      <c r="BA1229" s="418"/>
      <c r="BB1229" s="306"/>
      <c r="BC1229" s="1119"/>
      <c r="BD1229" s="1119"/>
      <c r="BI1229" s="1119"/>
      <c r="BJ1229" s="1119"/>
      <c r="BK1229" s="1119"/>
      <c r="BL1229" s="1119"/>
      <c r="BM1229" s="1119"/>
    </row>
    <row r="1230" spans="1:65" s="307" customFormat="1" ht="15.75" customHeight="1">
      <c r="A1230" s="415"/>
      <c r="B1230" s="416"/>
      <c r="C1230" s="417"/>
      <c r="D1230" s="418"/>
      <c r="E1230" s="418"/>
      <c r="F1230" s="419"/>
      <c r="G1230" s="420"/>
      <c r="H1230" s="421"/>
      <c r="I1230" s="421"/>
      <c r="J1230" s="422"/>
      <c r="K1230" s="418"/>
      <c r="L1230" s="418"/>
      <c r="M1230" s="418"/>
      <c r="N1230" s="421"/>
      <c r="O1230" s="421"/>
      <c r="P1230" s="421"/>
      <c r="Q1230" s="418"/>
      <c r="R1230" s="1022"/>
      <c r="S1230" s="1022"/>
      <c r="T1230" s="418"/>
      <c r="U1230" s="418"/>
      <c r="V1230" s="418"/>
      <c r="W1230" s="418"/>
      <c r="X1230" s="418"/>
      <c r="Y1230" s="418"/>
      <c r="Z1230" s="418"/>
      <c r="AA1230" s="418"/>
      <c r="AB1230" s="418"/>
      <c r="AC1230" s="418"/>
      <c r="AD1230" s="418"/>
      <c r="AE1230" s="418"/>
      <c r="AF1230" s="418"/>
      <c r="AG1230" s="418"/>
      <c r="AH1230" s="418"/>
      <c r="AI1230" s="418"/>
      <c r="AJ1230" s="418"/>
      <c r="AK1230" s="418"/>
      <c r="AL1230" s="418"/>
      <c r="AM1230" s="418"/>
      <c r="AN1230" s="423"/>
      <c r="AO1230" s="423"/>
      <c r="AP1230" s="423"/>
      <c r="AQ1230" s="423"/>
      <c r="AR1230" s="423"/>
      <c r="AS1230" s="423"/>
      <c r="AT1230" s="423"/>
      <c r="AU1230" s="423"/>
      <c r="AV1230" s="423"/>
      <c r="AW1230" s="418"/>
      <c r="AX1230" s="418"/>
      <c r="AY1230" s="418"/>
      <c r="AZ1230" s="418"/>
      <c r="BA1230" s="418"/>
      <c r="BB1230" s="306"/>
      <c r="BC1230" s="1119"/>
      <c r="BD1230" s="1119"/>
      <c r="BI1230" s="1119"/>
      <c r="BJ1230" s="1119"/>
      <c r="BK1230" s="1119"/>
      <c r="BL1230" s="1119"/>
      <c r="BM1230" s="1119"/>
    </row>
    <row r="1231" spans="1:65" s="307" customFormat="1" ht="15.75" customHeight="1">
      <c r="A1231" s="415"/>
      <c r="B1231" s="416"/>
      <c r="C1231" s="417"/>
      <c r="D1231" s="418"/>
      <c r="E1231" s="418"/>
      <c r="F1231" s="419"/>
      <c r="G1231" s="420"/>
      <c r="H1231" s="421"/>
      <c r="I1231" s="425"/>
      <c r="J1231" s="422"/>
      <c r="K1231" s="418"/>
      <c r="L1231" s="418"/>
      <c r="M1231" s="418"/>
      <c r="N1231" s="421"/>
      <c r="O1231" s="421"/>
      <c r="P1231" s="421"/>
      <c r="Q1231" s="418"/>
      <c r="R1231" s="1022"/>
      <c r="S1231" s="1022"/>
      <c r="T1231" s="418"/>
      <c r="U1231" s="418"/>
      <c r="V1231" s="418"/>
      <c r="W1231" s="418"/>
      <c r="X1231" s="418"/>
      <c r="Y1231" s="418"/>
      <c r="Z1231" s="418"/>
      <c r="AA1231" s="418"/>
      <c r="AB1231" s="418"/>
      <c r="AC1231" s="418"/>
      <c r="AD1231" s="418"/>
      <c r="AE1231" s="418"/>
      <c r="AF1231" s="418"/>
      <c r="AG1231" s="418"/>
      <c r="AH1231" s="418"/>
      <c r="AI1231" s="418"/>
      <c r="AJ1231" s="418"/>
      <c r="AK1231" s="418"/>
      <c r="AL1231" s="418"/>
      <c r="AM1231" s="418"/>
      <c r="AN1231" s="423"/>
      <c r="AO1231" s="423"/>
      <c r="AP1231" s="423"/>
      <c r="AQ1231" s="423"/>
      <c r="AR1231" s="423"/>
      <c r="AS1231" s="423"/>
      <c r="AT1231" s="423"/>
      <c r="AU1231" s="423"/>
      <c r="AV1231" s="423"/>
      <c r="AW1231" s="418"/>
      <c r="AX1231" s="418"/>
      <c r="AY1231" s="418"/>
      <c r="AZ1231" s="418"/>
      <c r="BA1231" s="418"/>
      <c r="BB1231" s="306"/>
      <c r="BC1231" s="1119"/>
      <c r="BD1231" s="1119"/>
      <c r="BI1231" s="1119"/>
      <c r="BJ1231" s="1119"/>
      <c r="BK1231" s="1119"/>
      <c r="BL1231" s="1119"/>
      <c r="BM1231" s="1119"/>
    </row>
    <row r="1232" spans="1:65" s="307" customFormat="1" ht="15.75" customHeight="1">
      <c r="A1232" s="415"/>
      <c r="B1232" s="416"/>
      <c r="C1232" s="417"/>
      <c r="D1232" s="418"/>
      <c r="E1232" s="418"/>
      <c r="F1232" s="419"/>
      <c r="G1232" s="420"/>
      <c r="H1232" s="421"/>
      <c r="I1232" s="421"/>
      <c r="J1232" s="422"/>
      <c r="K1232" s="418"/>
      <c r="L1232" s="418"/>
      <c r="M1232" s="418"/>
      <c r="N1232" s="421"/>
      <c r="O1232" s="421"/>
      <c r="P1232" s="421"/>
      <c r="Q1232" s="418"/>
      <c r="R1232" s="1022"/>
      <c r="S1232" s="1022"/>
      <c r="T1232" s="418"/>
      <c r="U1232" s="418"/>
      <c r="V1232" s="418"/>
      <c r="W1232" s="418"/>
      <c r="X1232" s="418"/>
      <c r="Y1232" s="418"/>
      <c r="Z1232" s="418"/>
      <c r="AA1232" s="418"/>
      <c r="AB1232" s="418"/>
      <c r="AC1232" s="418"/>
      <c r="AD1232" s="418"/>
      <c r="AE1232" s="418"/>
      <c r="AF1232" s="418"/>
      <c r="AG1232" s="418"/>
      <c r="AH1232" s="418"/>
      <c r="AI1232" s="418"/>
      <c r="AJ1232" s="418"/>
      <c r="AK1232" s="418"/>
      <c r="AL1232" s="418"/>
      <c r="AM1232" s="418"/>
      <c r="AN1232" s="423"/>
      <c r="AO1232" s="423"/>
      <c r="AP1232" s="423"/>
      <c r="AQ1232" s="423"/>
      <c r="AR1232" s="423"/>
      <c r="AS1232" s="423"/>
      <c r="AT1232" s="423"/>
      <c r="AU1232" s="423"/>
      <c r="AV1232" s="423"/>
      <c r="AW1232" s="418"/>
      <c r="AX1232" s="418"/>
      <c r="AY1232" s="418"/>
      <c r="AZ1232" s="418"/>
      <c r="BA1232" s="418"/>
      <c r="BB1232" s="306"/>
      <c r="BC1232" s="1119"/>
      <c r="BD1232" s="1119"/>
      <c r="BI1232" s="1119"/>
      <c r="BJ1232" s="1119"/>
      <c r="BK1232" s="1119"/>
      <c r="BL1232" s="1119"/>
      <c r="BM1232" s="1119"/>
    </row>
    <row r="1233" spans="1:65" s="307" customFormat="1" ht="15.75" customHeight="1">
      <c r="A1233" s="415"/>
      <c r="B1233" s="416"/>
      <c r="C1233" s="417"/>
      <c r="D1233" s="418"/>
      <c r="E1233" s="418"/>
      <c r="F1233" s="419"/>
      <c r="G1233" s="420"/>
      <c r="H1233" s="421"/>
      <c r="I1233" s="425"/>
      <c r="J1233" s="422"/>
      <c r="K1233" s="418"/>
      <c r="L1233" s="418"/>
      <c r="M1233" s="418"/>
      <c r="N1233" s="421"/>
      <c r="O1233" s="421"/>
      <c r="P1233" s="421"/>
      <c r="Q1233" s="418"/>
      <c r="R1233" s="1022"/>
      <c r="S1233" s="1022"/>
      <c r="T1233" s="418"/>
      <c r="U1233" s="418"/>
      <c r="V1233" s="418"/>
      <c r="W1233" s="418"/>
      <c r="X1233" s="418"/>
      <c r="Y1233" s="418"/>
      <c r="Z1233" s="418"/>
      <c r="AA1233" s="418"/>
      <c r="AB1233" s="418"/>
      <c r="AC1233" s="418"/>
      <c r="AD1233" s="418"/>
      <c r="AE1233" s="418"/>
      <c r="AF1233" s="418"/>
      <c r="AG1233" s="418"/>
      <c r="AH1233" s="418"/>
      <c r="AI1233" s="418"/>
      <c r="AJ1233" s="418"/>
      <c r="AK1233" s="418"/>
      <c r="AL1233" s="418"/>
      <c r="AM1233" s="418"/>
      <c r="AN1233" s="423"/>
      <c r="AO1233" s="423"/>
      <c r="AP1233" s="423"/>
      <c r="AQ1233" s="423"/>
      <c r="AR1233" s="423"/>
      <c r="AS1233" s="423"/>
      <c r="AT1233" s="423"/>
      <c r="AU1233" s="423"/>
      <c r="AV1233" s="423"/>
      <c r="AW1233" s="418"/>
      <c r="AX1233" s="418"/>
      <c r="AY1233" s="418"/>
      <c r="AZ1233" s="418"/>
      <c r="BA1233" s="418"/>
      <c r="BB1233" s="306"/>
      <c r="BC1233" s="1119"/>
      <c r="BD1233" s="1119"/>
      <c r="BI1233" s="1119"/>
      <c r="BJ1233" s="1119"/>
      <c r="BK1233" s="1119"/>
      <c r="BL1233" s="1119"/>
      <c r="BM1233" s="1119"/>
    </row>
    <row r="1234" spans="1:65" s="307" customFormat="1" ht="15.75" customHeight="1">
      <c r="A1234" s="415"/>
      <c r="B1234" s="416"/>
      <c r="C1234" s="417"/>
      <c r="D1234" s="418"/>
      <c r="E1234" s="418"/>
      <c r="F1234" s="419"/>
      <c r="G1234" s="420"/>
      <c r="H1234" s="421"/>
      <c r="I1234" s="421"/>
      <c r="J1234" s="422"/>
      <c r="K1234" s="418"/>
      <c r="L1234" s="418"/>
      <c r="M1234" s="418"/>
      <c r="N1234" s="421"/>
      <c r="O1234" s="421"/>
      <c r="P1234" s="421"/>
      <c r="Q1234" s="418"/>
      <c r="R1234" s="1022"/>
      <c r="S1234" s="1022"/>
      <c r="T1234" s="418"/>
      <c r="U1234" s="418"/>
      <c r="V1234" s="418"/>
      <c r="W1234" s="418"/>
      <c r="X1234" s="418"/>
      <c r="Y1234" s="418"/>
      <c r="Z1234" s="418"/>
      <c r="AA1234" s="418"/>
      <c r="AB1234" s="418"/>
      <c r="AC1234" s="418"/>
      <c r="AD1234" s="418"/>
      <c r="AE1234" s="418"/>
      <c r="AF1234" s="418"/>
      <c r="AG1234" s="418"/>
      <c r="AH1234" s="418"/>
      <c r="AI1234" s="418"/>
      <c r="AJ1234" s="418"/>
      <c r="AK1234" s="418"/>
      <c r="AL1234" s="418"/>
      <c r="AM1234" s="418"/>
      <c r="AN1234" s="423"/>
      <c r="AO1234" s="423"/>
      <c r="AP1234" s="423"/>
      <c r="AQ1234" s="423"/>
      <c r="AR1234" s="423"/>
      <c r="AS1234" s="423"/>
      <c r="AT1234" s="423"/>
      <c r="AU1234" s="423"/>
      <c r="AV1234" s="423"/>
      <c r="AW1234" s="418"/>
      <c r="AX1234" s="418"/>
      <c r="AY1234" s="418"/>
      <c r="AZ1234" s="418"/>
      <c r="BA1234" s="418"/>
      <c r="BB1234" s="306"/>
      <c r="BC1234" s="1119"/>
      <c r="BD1234" s="1119"/>
      <c r="BI1234" s="1119"/>
      <c r="BJ1234" s="1119"/>
      <c r="BK1234" s="1119"/>
      <c r="BL1234" s="1119"/>
      <c r="BM1234" s="1119"/>
    </row>
    <row r="1235" spans="1:65" s="307" customFormat="1" ht="15.75" customHeight="1">
      <c r="A1235" s="415"/>
      <c r="B1235" s="416"/>
      <c r="C1235" s="417"/>
      <c r="D1235" s="418"/>
      <c r="E1235" s="418"/>
      <c r="F1235" s="419"/>
      <c r="G1235" s="420"/>
      <c r="H1235" s="421"/>
      <c r="I1235" s="421"/>
      <c r="J1235" s="422"/>
      <c r="K1235" s="418"/>
      <c r="L1235" s="418"/>
      <c r="M1235" s="418"/>
      <c r="N1235" s="421"/>
      <c r="O1235" s="421"/>
      <c r="P1235" s="421"/>
      <c r="Q1235" s="418"/>
      <c r="R1235" s="1022"/>
      <c r="S1235" s="1022"/>
      <c r="T1235" s="418"/>
      <c r="U1235" s="418"/>
      <c r="V1235" s="418"/>
      <c r="W1235" s="418"/>
      <c r="X1235" s="418"/>
      <c r="Y1235" s="418"/>
      <c r="Z1235" s="418"/>
      <c r="AA1235" s="418"/>
      <c r="AB1235" s="418"/>
      <c r="AC1235" s="418"/>
      <c r="AD1235" s="418"/>
      <c r="AE1235" s="418"/>
      <c r="AF1235" s="418"/>
      <c r="AG1235" s="418"/>
      <c r="AH1235" s="418"/>
      <c r="AI1235" s="418"/>
      <c r="AJ1235" s="418"/>
      <c r="AK1235" s="418"/>
      <c r="AL1235" s="418"/>
      <c r="AM1235" s="418"/>
      <c r="AN1235" s="423"/>
      <c r="AO1235" s="423"/>
      <c r="AP1235" s="423"/>
      <c r="AQ1235" s="423"/>
      <c r="AR1235" s="423"/>
      <c r="AS1235" s="423"/>
      <c r="AT1235" s="423"/>
      <c r="AU1235" s="423"/>
      <c r="AV1235" s="423"/>
      <c r="AW1235" s="418"/>
      <c r="AX1235" s="418"/>
      <c r="AY1235" s="418"/>
      <c r="AZ1235" s="418"/>
      <c r="BA1235" s="418"/>
      <c r="BB1235" s="306"/>
      <c r="BC1235" s="1119"/>
      <c r="BD1235" s="1119"/>
      <c r="BI1235" s="1119"/>
      <c r="BJ1235" s="1119"/>
      <c r="BK1235" s="1119"/>
      <c r="BL1235" s="1119"/>
      <c r="BM1235" s="1119"/>
    </row>
    <row r="1236" spans="1:65" s="307" customFormat="1" ht="15.75" customHeight="1">
      <c r="A1236" s="415"/>
      <c r="B1236" s="416"/>
      <c r="C1236" s="417"/>
      <c r="D1236" s="418"/>
      <c r="E1236" s="418"/>
      <c r="F1236" s="419"/>
      <c r="G1236" s="420"/>
      <c r="H1236" s="421"/>
      <c r="I1236" s="425"/>
      <c r="J1236" s="422"/>
      <c r="K1236" s="418"/>
      <c r="L1236" s="418"/>
      <c r="M1236" s="418"/>
      <c r="N1236" s="421"/>
      <c r="O1236" s="421"/>
      <c r="P1236" s="421"/>
      <c r="Q1236" s="418"/>
      <c r="R1236" s="1022"/>
      <c r="S1236" s="1022"/>
      <c r="T1236" s="418"/>
      <c r="U1236" s="418"/>
      <c r="V1236" s="418"/>
      <c r="W1236" s="418"/>
      <c r="X1236" s="418"/>
      <c r="Y1236" s="418"/>
      <c r="Z1236" s="418"/>
      <c r="AA1236" s="418"/>
      <c r="AB1236" s="418"/>
      <c r="AC1236" s="418"/>
      <c r="AD1236" s="418"/>
      <c r="AE1236" s="418"/>
      <c r="AF1236" s="418"/>
      <c r="AG1236" s="418"/>
      <c r="AH1236" s="418"/>
      <c r="AI1236" s="418"/>
      <c r="AJ1236" s="418"/>
      <c r="AK1236" s="418"/>
      <c r="AL1236" s="418"/>
      <c r="AM1236" s="418"/>
      <c r="AN1236" s="423"/>
      <c r="AO1236" s="423"/>
      <c r="AP1236" s="423"/>
      <c r="AQ1236" s="423"/>
      <c r="AR1236" s="423"/>
      <c r="AS1236" s="423"/>
      <c r="AT1236" s="423"/>
      <c r="AU1236" s="423"/>
      <c r="AV1236" s="423"/>
      <c r="AW1236" s="418"/>
      <c r="AX1236" s="418"/>
      <c r="AY1236" s="418"/>
      <c r="AZ1236" s="418"/>
      <c r="BA1236" s="418"/>
      <c r="BB1236" s="306"/>
      <c r="BC1236" s="1119"/>
      <c r="BD1236" s="1119"/>
      <c r="BI1236" s="1119"/>
      <c r="BJ1236" s="1119"/>
      <c r="BK1236" s="1119"/>
      <c r="BL1236" s="1119"/>
      <c r="BM1236" s="1119"/>
    </row>
    <row r="1237" spans="1:65" s="307" customFormat="1" ht="15.75" customHeight="1">
      <c r="A1237" s="415"/>
      <c r="B1237" s="416"/>
      <c r="C1237" s="417"/>
      <c r="D1237" s="418"/>
      <c r="E1237" s="418"/>
      <c r="F1237" s="419"/>
      <c r="G1237" s="420"/>
      <c r="H1237" s="421"/>
      <c r="I1237" s="421"/>
      <c r="J1237" s="422"/>
      <c r="K1237" s="418"/>
      <c r="L1237" s="418"/>
      <c r="M1237" s="418"/>
      <c r="N1237" s="421"/>
      <c r="O1237" s="421"/>
      <c r="P1237" s="421"/>
      <c r="Q1237" s="418"/>
      <c r="R1237" s="1022"/>
      <c r="S1237" s="1022"/>
      <c r="T1237" s="418"/>
      <c r="U1237" s="418"/>
      <c r="V1237" s="418"/>
      <c r="W1237" s="418"/>
      <c r="X1237" s="418"/>
      <c r="Y1237" s="418"/>
      <c r="Z1237" s="418"/>
      <c r="AA1237" s="418"/>
      <c r="AB1237" s="418"/>
      <c r="AC1237" s="418"/>
      <c r="AD1237" s="418"/>
      <c r="AE1237" s="418"/>
      <c r="AF1237" s="418"/>
      <c r="AG1237" s="418"/>
      <c r="AH1237" s="418"/>
      <c r="AI1237" s="418"/>
      <c r="AJ1237" s="418"/>
      <c r="AK1237" s="418"/>
      <c r="AL1237" s="418"/>
      <c r="AM1237" s="418"/>
      <c r="AN1237" s="423"/>
      <c r="AO1237" s="423"/>
      <c r="AP1237" s="423"/>
      <c r="AQ1237" s="423"/>
      <c r="AR1237" s="423"/>
      <c r="AS1237" s="423"/>
      <c r="AT1237" s="423"/>
      <c r="AU1237" s="423"/>
      <c r="AV1237" s="423"/>
      <c r="AW1237" s="418"/>
      <c r="AX1237" s="418"/>
      <c r="AY1237" s="418"/>
      <c r="AZ1237" s="418"/>
      <c r="BA1237" s="418"/>
      <c r="BB1237" s="306"/>
      <c r="BC1237" s="1119"/>
      <c r="BD1237" s="1119"/>
      <c r="BI1237" s="1119"/>
      <c r="BJ1237" s="1119"/>
      <c r="BK1237" s="1119"/>
      <c r="BL1237" s="1119"/>
      <c r="BM1237" s="1119"/>
    </row>
    <row r="1238" spans="1:65" s="307" customFormat="1" ht="15.75" customHeight="1">
      <c r="A1238" s="415"/>
      <c r="B1238" s="416"/>
      <c r="C1238" s="417"/>
      <c r="D1238" s="418"/>
      <c r="E1238" s="418"/>
      <c r="F1238" s="419"/>
      <c r="G1238" s="420"/>
      <c r="H1238" s="421"/>
      <c r="I1238" s="425"/>
      <c r="J1238" s="422"/>
      <c r="K1238" s="418"/>
      <c r="L1238" s="418"/>
      <c r="M1238" s="418"/>
      <c r="N1238" s="421"/>
      <c r="O1238" s="421"/>
      <c r="P1238" s="421"/>
      <c r="Q1238" s="418"/>
      <c r="R1238" s="1022"/>
      <c r="S1238" s="1022"/>
      <c r="T1238" s="418"/>
      <c r="U1238" s="418"/>
      <c r="V1238" s="418"/>
      <c r="W1238" s="418"/>
      <c r="X1238" s="418"/>
      <c r="Y1238" s="418"/>
      <c r="Z1238" s="418"/>
      <c r="AA1238" s="418"/>
      <c r="AB1238" s="418"/>
      <c r="AC1238" s="418"/>
      <c r="AD1238" s="418"/>
      <c r="AE1238" s="418"/>
      <c r="AF1238" s="418"/>
      <c r="AG1238" s="418"/>
      <c r="AH1238" s="418"/>
      <c r="AI1238" s="418"/>
      <c r="AJ1238" s="418"/>
      <c r="AK1238" s="418"/>
      <c r="AL1238" s="418"/>
      <c r="AM1238" s="418"/>
      <c r="AN1238" s="423"/>
      <c r="AO1238" s="423"/>
      <c r="AP1238" s="423"/>
      <c r="AQ1238" s="423"/>
      <c r="AR1238" s="423"/>
      <c r="AS1238" s="423"/>
      <c r="AT1238" s="423"/>
      <c r="AU1238" s="423"/>
      <c r="AV1238" s="423"/>
      <c r="AW1238" s="418"/>
      <c r="AX1238" s="418"/>
      <c r="AY1238" s="418"/>
      <c r="AZ1238" s="418"/>
      <c r="BA1238" s="418"/>
      <c r="BB1238" s="306"/>
      <c r="BC1238" s="1119"/>
      <c r="BD1238" s="1119"/>
      <c r="BI1238" s="1119"/>
      <c r="BJ1238" s="1119"/>
      <c r="BK1238" s="1119"/>
      <c r="BL1238" s="1119"/>
      <c r="BM1238" s="1119"/>
    </row>
    <row r="1239" spans="1:65" s="307" customFormat="1" ht="15.75" customHeight="1">
      <c r="A1239" s="415"/>
      <c r="B1239" s="416"/>
      <c r="C1239" s="417"/>
      <c r="D1239" s="418"/>
      <c r="E1239" s="418"/>
      <c r="F1239" s="419"/>
      <c r="G1239" s="420"/>
      <c r="H1239" s="421"/>
      <c r="I1239" s="421"/>
      <c r="J1239" s="422"/>
      <c r="K1239" s="418"/>
      <c r="L1239" s="418"/>
      <c r="M1239" s="418"/>
      <c r="N1239" s="421"/>
      <c r="O1239" s="421"/>
      <c r="P1239" s="421"/>
      <c r="Q1239" s="418"/>
      <c r="R1239" s="1022"/>
      <c r="S1239" s="1022"/>
      <c r="T1239" s="418"/>
      <c r="U1239" s="418"/>
      <c r="V1239" s="418"/>
      <c r="W1239" s="418"/>
      <c r="X1239" s="418"/>
      <c r="Y1239" s="418"/>
      <c r="Z1239" s="418"/>
      <c r="AA1239" s="418"/>
      <c r="AB1239" s="418"/>
      <c r="AC1239" s="418"/>
      <c r="AD1239" s="418"/>
      <c r="AE1239" s="418"/>
      <c r="AF1239" s="418"/>
      <c r="AG1239" s="418"/>
      <c r="AH1239" s="418"/>
      <c r="AI1239" s="418"/>
      <c r="AJ1239" s="418"/>
      <c r="AK1239" s="418"/>
      <c r="AL1239" s="418"/>
      <c r="AM1239" s="418"/>
      <c r="AN1239" s="423"/>
      <c r="AO1239" s="423"/>
      <c r="AP1239" s="423"/>
      <c r="AQ1239" s="423"/>
      <c r="AR1239" s="423"/>
      <c r="AS1239" s="423"/>
      <c r="AT1239" s="423"/>
      <c r="AU1239" s="423"/>
      <c r="AV1239" s="423"/>
      <c r="AW1239" s="418"/>
      <c r="AX1239" s="418"/>
      <c r="AY1239" s="418"/>
      <c r="AZ1239" s="418"/>
      <c r="BA1239" s="418"/>
      <c r="BB1239" s="306"/>
      <c r="BC1239" s="1119"/>
      <c r="BD1239" s="1119"/>
      <c r="BI1239" s="1119"/>
      <c r="BJ1239" s="1119"/>
      <c r="BK1239" s="1119"/>
      <c r="BL1239" s="1119"/>
      <c r="BM1239" s="1119"/>
    </row>
    <row r="1240" spans="1:65" s="307" customFormat="1" ht="15.75" customHeight="1">
      <c r="A1240" s="415"/>
      <c r="B1240" s="416"/>
      <c r="C1240" s="417"/>
      <c r="D1240" s="418"/>
      <c r="E1240" s="418"/>
      <c r="F1240" s="419"/>
      <c r="G1240" s="420"/>
      <c r="H1240" s="421"/>
      <c r="I1240" s="425"/>
      <c r="J1240" s="422"/>
      <c r="K1240" s="418"/>
      <c r="L1240" s="418"/>
      <c r="M1240" s="418"/>
      <c r="N1240" s="421"/>
      <c r="O1240" s="421"/>
      <c r="P1240" s="421"/>
      <c r="Q1240" s="418"/>
      <c r="R1240" s="1022"/>
      <c r="S1240" s="1022"/>
      <c r="T1240" s="418"/>
      <c r="U1240" s="418"/>
      <c r="V1240" s="418"/>
      <c r="W1240" s="418"/>
      <c r="X1240" s="418"/>
      <c r="Y1240" s="418"/>
      <c r="Z1240" s="418"/>
      <c r="AA1240" s="418"/>
      <c r="AB1240" s="418"/>
      <c r="AC1240" s="418"/>
      <c r="AD1240" s="418"/>
      <c r="AE1240" s="418"/>
      <c r="AF1240" s="418"/>
      <c r="AG1240" s="418"/>
      <c r="AH1240" s="418"/>
      <c r="AI1240" s="418"/>
      <c r="AJ1240" s="418"/>
      <c r="AK1240" s="418"/>
      <c r="AL1240" s="418"/>
      <c r="AM1240" s="418"/>
      <c r="AN1240" s="423"/>
      <c r="AO1240" s="423"/>
      <c r="AP1240" s="423"/>
      <c r="AQ1240" s="423"/>
      <c r="AR1240" s="423"/>
      <c r="AS1240" s="423"/>
      <c r="AT1240" s="423"/>
      <c r="AU1240" s="423"/>
      <c r="AV1240" s="423"/>
      <c r="AW1240" s="418"/>
      <c r="AX1240" s="418"/>
      <c r="AY1240" s="418"/>
      <c r="AZ1240" s="418"/>
      <c r="BA1240" s="418"/>
      <c r="BB1240" s="306"/>
      <c r="BC1240" s="1119"/>
      <c r="BD1240" s="1119"/>
      <c r="BI1240" s="1119"/>
      <c r="BJ1240" s="1119"/>
      <c r="BK1240" s="1119"/>
      <c r="BL1240" s="1119"/>
      <c r="BM1240" s="1119"/>
    </row>
    <row r="1241" spans="1:65" s="307" customFormat="1" ht="15.75" customHeight="1">
      <c r="A1241" s="415"/>
      <c r="B1241" s="416"/>
      <c r="C1241" s="417"/>
      <c r="D1241" s="418"/>
      <c r="E1241" s="418"/>
      <c r="F1241" s="419"/>
      <c r="G1241" s="420"/>
      <c r="H1241" s="421"/>
      <c r="I1241" s="421"/>
      <c r="J1241" s="422"/>
      <c r="K1241" s="418"/>
      <c r="L1241" s="418"/>
      <c r="M1241" s="418"/>
      <c r="N1241" s="421"/>
      <c r="O1241" s="421"/>
      <c r="P1241" s="421"/>
      <c r="Q1241" s="418"/>
      <c r="R1241" s="1022"/>
      <c r="S1241" s="1022"/>
      <c r="T1241" s="418"/>
      <c r="U1241" s="418"/>
      <c r="V1241" s="418"/>
      <c r="W1241" s="418"/>
      <c r="X1241" s="418"/>
      <c r="Y1241" s="418"/>
      <c r="Z1241" s="418"/>
      <c r="AA1241" s="418"/>
      <c r="AB1241" s="418"/>
      <c r="AC1241" s="418"/>
      <c r="AD1241" s="418"/>
      <c r="AE1241" s="418"/>
      <c r="AF1241" s="418"/>
      <c r="AG1241" s="418"/>
      <c r="AH1241" s="418"/>
      <c r="AI1241" s="418"/>
      <c r="AJ1241" s="418"/>
      <c r="AK1241" s="418"/>
      <c r="AL1241" s="418"/>
      <c r="AM1241" s="418"/>
      <c r="AN1241" s="423"/>
      <c r="AO1241" s="423"/>
      <c r="AP1241" s="423"/>
      <c r="AQ1241" s="423"/>
      <c r="AR1241" s="423"/>
      <c r="AS1241" s="423"/>
      <c r="AT1241" s="423"/>
      <c r="AU1241" s="423"/>
      <c r="AV1241" s="423"/>
      <c r="AW1241" s="418"/>
      <c r="AX1241" s="418"/>
      <c r="AY1241" s="418"/>
      <c r="AZ1241" s="418"/>
      <c r="BA1241" s="418"/>
      <c r="BB1241" s="306"/>
      <c r="BC1241" s="1119"/>
      <c r="BD1241" s="1119"/>
      <c r="BI1241" s="1119"/>
      <c r="BJ1241" s="1119"/>
      <c r="BK1241" s="1119"/>
      <c r="BL1241" s="1119"/>
      <c r="BM1241" s="1119"/>
    </row>
    <row r="1242" spans="1:65" s="307" customFormat="1" ht="15.75" customHeight="1">
      <c r="A1242" s="415"/>
      <c r="B1242" s="416"/>
      <c r="C1242" s="417"/>
      <c r="D1242" s="418"/>
      <c r="E1242" s="418"/>
      <c r="F1242" s="419"/>
      <c r="G1242" s="420"/>
      <c r="H1242" s="421"/>
      <c r="I1242" s="421"/>
      <c r="J1242" s="422"/>
      <c r="K1242" s="418"/>
      <c r="L1242" s="418"/>
      <c r="M1242" s="418"/>
      <c r="N1242" s="421"/>
      <c r="O1242" s="421"/>
      <c r="P1242" s="421"/>
      <c r="Q1242" s="418"/>
      <c r="R1242" s="1022"/>
      <c r="S1242" s="1022"/>
      <c r="T1242" s="418"/>
      <c r="U1242" s="418"/>
      <c r="V1242" s="418"/>
      <c r="W1242" s="418"/>
      <c r="X1242" s="418"/>
      <c r="Y1242" s="418"/>
      <c r="Z1242" s="418"/>
      <c r="AA1242" s="418"/>
      <c r="AB1242" s="418"/>
      <c r="AC1242" s="418"/>
      <c r="AD1242" s="418"/>
      <c r="AE1242" s="418"/>
      <c r="AF1242" s="418"/>
      <c r="AG1242" s="418"/>
      <c r="AH1242" s="418"/>
      <c r="AI1242" s="418"/>
      <c r="AJ1242" s="418"/>
      <c r="AK1242" s="418"/>
      <c r="AL1242" s="418"/>
      <c r="AM1242" s="418"/>
      <c r="AN1242" s="423"/>
      <c r="AO1242" s="423"/>
      <c r="AP1242" s="423"/>
      <c r="AQ1242" s="423"/>
      <c r="AR1242" s="423"/>
      <c r="AS1242" s="423"/>
      <c r="AT1242" s="423"/>
      <c r="AU1242" s="423"/>
      <c r="AV1242" s="423"/>
      <c r="AW1242" s="418"/>
      <c r="AX1242" s="418"/>
      <c r="AY1242" s="418"/>
      <c r="AZ1242" s="418"/>
      <c r="BA1242" s="418"/>
      <c r="BB1242" s="306"/>
      <c r="BC1242" s="1119"/>
      <c r="BD1242" s="1119"/>
      <c r="BI1242" s="1119"/>
      <c r="BJ1242" s="1119"/>
      <c r="BK1242" s="1119"/>
      <c r="BL1242" s="1119"/>
      <c r="BM1242" s="1119"/>
    </row>
    <row r="1243" spans="1:65" s="307" customFormat="1" ht="15.75" customHeight="1">
      <c r="A1243" s="415"/>
      <c r="B1243" s="416"/>
      <c r="C1243" s="417"/>
      <c r="D1243" s="418"/>
      <c r="E1243" s="418"/>
      <c r="F1243" s="419"/>
      <c r="G1243" s="420"/>
      <c r="H1243" s="421"/>
      <c r="I1243" s="425"/>
      <c r="J1243" s="422"/>
      <c r="K1243" s="418"/>
      <c r="L1243" s="418"/>
      <c r="M1243" s="418"/>
      <c r="N1243" s="421"/>
      <c r="O1243" s="421"/>
      <c r="P1243" s="421"/>
      <c r="Q1243" s="418"/>
      <c r="R1243" s="1022"/>
      <c r="S1243" s="1022"/>
      <c r="T1243" s="418"/>
      <c r="U1243" s="418"/>
      <c r="V1243" s="418"/>
      <c r="W1243" s="418"/>
      <c r="X1243" s="418"/>
      <c r="Y1243" s="418"/>
      <c r="Z1243" s="418"/>
      <c r="AA1243" s="418"/>
      <c r="AB1243" s="418"/>
      <c r="AC1243" s="418"/>
      <c r="AD1243" s="418"/>
      <c r="AE1243" s="418"/>
      <c r="AF1243" s="418"/>
      <c r="AG1243" s="418"/>
      <c r="AH1243" s="418"/>
      <c r="AI1243" s="418"/>
      <c r="AJ1243" s="418"/>
      <c r="AK1243" s="418"/>
      <c r="AL1243" s="418"/>
      <c r="AM1243" s="418"/>
      <c r="AN1243" s="423"/>
      <c r="AO1243" s="423"/>
      <c r="AP1243" s="423"/>
      <c r="AQ1243" s="423"/>
      <c r="AR1243" s="423"/>
      <c r="AS1243" s="423"/>
      <c r="AT1243" s="423"/>
      <c r="AU1243" s="423"/>
      <c r="AV1243" s="423"/>
      <c r="AW1243" s="418"/>
      <c r="AX1243" s="418"/>
      <c r="AY1243" s="418"/>
      <c r="AZ1243" s="418"/>
      <c r="BA1243" s="418"/>
      <c r="BB1243" s="306"/>
      <c r="BC1243" s="1119"/>
      <c r="BD1243" s="1119"/>
      <c r="BI1243" s="1119"/>
      <c r="BJ1243" s="1119"/>
      <c r="BK1243" s="1119"/>
      <c r="BL1243" s="1119"/>
      <c r="BM1243" s="1119"/>
    </row>
    <row r="1244" spans="1:65" s="307" customFormat="1" ht="15.75" customHeight="1">
      <c r="A1244" s="415"/>
      <c r="B1244" s="416"/>
      <c r="C1244" s="417"/>
      <c r="D1244" s="418"/>
      <c r="E1244" s="418"/>
      <c r="F1244" s="419"/>
      <c r="G1244" s="420"/>
      <c r="H1244" s="421"/>
      <c r="I1244" s="421"/>
      <c r="J1244" s="422"/>
      <c r="K1244" s="418"/>
      <c r="L1244" s="418"/>
      <c r="M1244" s="418"/>
      <c r="N1244" s="421"/>
      <c r="O1244" s="421"/>
      <c r="P1244" s="421"/>
      <c r="Q1244" s="418"/>
      <c r="R1244" s="1022"/>
      <c r="S1244" s="1022"/>
      <c r="T1244" s="418"/>
      <c r="U1244" s="418"/>
      <c r="V1244" s="418"/>
      <c r="W1244" s="418"/>
      <c r="X1244" s="418"/>
      <c r="Y1244" s="418"/>
      <c r="Z1244" s="418"/>
      <c r="AA1244" s="418"/>
      <c r="AB1244" s="418"/>
      <c r="AC1244" s="418"/>
      <c r="AD1244" s="418"/>
      <c r="AE1244" s="418"/>
      <c r="AF1244" s="418"/>
      <c r="AG1244" s="418"/>
      <c r="AH1244" s="418"/>
      <c r="AI1244" s="418"/>
      <c r="AJ1244" s="418"/>
      <c r="AK1244" s="418"/>
      <c r="AL1244" s="418"/>
      <c r="AM1244" s="418"/>
      <c r="AN1244" s="423"/>
      <c r="AO1244" s="423"/>
      <c r="AP1244" s="423"/>
      <c r="AQ1244" s="423"/>
      <c r="AR1244" s="423"/>
      <c r="AS1244" s="423"/>
      <c r="AT1244" s="423"/>
      <c r="AU1244" s="423"/>
      <c r="AV1244" s="423"/>
      <c r="AW1244" s="418"/>
      <c r="AX1244" s="418"/>
      <c r="AY1244" s="418"/>
      <c r="AZ1244" s="418"/>
      <c r="BA1244" s="418"/>
      <c r="BB1244" s="306"/>
      <c r="BC1244" s="1119"/>
      <c r="BD1244" s="1119"/>
      <c r="BI1244" s="1119"/>
      <c r="BJ1244" s="1119"/>
      <c r="BK1244" s="1119"/>
      <c r="BL1244" s="1119"/>
      <c r="BM1244" s="1119"/>
    </row>
    <row r="1245" spans="1:65" s="307" customFormat="1" ht="15.75" customHeight="1">
      <c r="A1245" s="415"/>
      <c r="B1245" s="416"/>
      <c r="C1245" s="417"/>
      <c r="D1245" s="418"/>
      <c r="E1245" s="418"/>
      <c r="F1245" s="419"/>
      <c r="G1245" s="420"/>
      <c r="H1245" s="421"/>
      <c r="I1245" s="425"/>
      <c r="J1245" s="422"/>
      <c r="K1245" s="418"/>
      <c r="L1245" s="418"/>
      <c r="M1245" s="418"/>
      <c r="N1245" s="421"/>
      <c r="O1245" s="421"/>
      <c r="P1245" s="421"/>
      <c r="Q1245" s="418"/>
      <c r="R1245" s="1022"/>
      <c r="S1245" s="1022"/>
      <c r="T1245" s="418"/>
      <c r="U1245" s="418"/>
      <c r="V1245" s="418"/>
      <c r="W1245" s="418"/>
      <c r="X1245" s="418"/>
      <c r="Y1245" s="418"/>
      <c r="Z1245" s="418"/>
      <c r="AA1245" s="418"/>
      <c r="AB1245" s="418"/>
      <c r="AC1245" s="418"/>
      <c r="AD1245" s="418"/>
      <c r="AE1245" s="418"/>
      <c r="AF1245" s="418"/>
      <c r="AG1245" s="418"/>
      <c r="AH1245" s="418"/>
      <c r="AI1245" s="418"/>
      <c r="AJ1245" s="418"/>
      <c r="AK1245" s="418"/>
      <c r="AL1245" s="418"/>
      <c r="AM1245" s="418"/>
      <c r="AN1245" s="423"/>
      <c r="AO1245" s="423"/>
      <c r="AP1245" s="423"/>
      <c r="AQ1245" s="423"/>
      <c r="AR1245" s="423"/>
      <c r="AS1245" s="423"/>
      <c r="AT1245" s="423"/>
      <c r="AU1245" s="423"/>
      <c r="AV1245" s="423"/>
      <c r="AW1245" s="418"/>
      <c r="AX1245" s="418"/>
      <c r="AY1245" s="418"/>
      <c r="AZ1245" s="418"/>
      <c r="BA1245" s="418"/>
      <c r="BB1245" s="306"/>
      <c r="BC1245" s="1119"/>
      <c r="BD1245" s="1119"/>
      <c r="BI1245" s="1119"/>
      <c r="BJ1245" s="1119"/>
      <c r="BK1245" s="1119"/>
      <c r="BL1245" s="1119"/>
      <c r="BM1245" s="1119"/>
    </row>
    <row r="1246" spans="1:65" s="307" customFormat="1" ht="15.75" customHeight="1">
      <c r="A1246" s="415"/>
      <c r="B1246" s="416"/>
      <c r="C1246" s="417"/>
      <c r="D1246" s="418"/>
      <c r="E1246" s="418"/>
      <c r="F1246" s="419"/>
      <c r="G1246" s="420"/>
      <c r="H1246" s="421"/>
      <c r="I1246" s="421"/>
      <c r="J1246" s="422"/>
      <c r="K1246" s="418"/>
      <c r="L1246" s="418"/>
      <c r="M1246" s="418"/>
      <c r="N1246" s="421"/>
      <c r="O1246" s="421"/>
      <c r="P1246" s="421"/>
      <c r="Q1246" s="418"/>
      <c r="R1246" s="1022"/>
      <c r="S1246" s="1022"/>
      <c r="T1246" s="418"/>
      <c r="U1246" s="418"/>
      <c r="V1246" s="418"/>
      <c r="W1246" s="418"/>
      <c r="X1246" s="418"/>
      <c r="Y1246" s="418"/>
      <c r="Z1246" s="418"/>
      <c r="AA1246" s="418"/>
      <c r="AB1246" s="418"/>
      <c r="AC1246" s="418"/>
      <c r="AD1246" s="418"/>
      <c r="AE1246" s="418"/>
      <c r="AF1246" s="418"/>
      <c r="AG1246" s="418"/>
      <c r="AH1246" s="418"/>
      <c r="AI1246" s="418"/>
      <c r="AJ1246" s="418"/>
      <c r="AK1246" s="418"/>
      <c r="AL1246" s="418"/>
      <c r="AM1246" s="418"/>
      <c r="AN1246" s="423"/>
      <c r="AO1246" s="423"/>
      <c r="AP1246" s="423"/>
      <c r="AQ1246" s="423"/>
      <c r="AR1246" s="423"/>
      <c r="AS1246" s="423"/>
      <c r="AT1246" s="423"/>
      <c r="AU1246" s="423"/>
      <c r="AV1246" s="423"/>
      <c r="AW1246" s="418"/>
      <c r="AX1246" s="418"/>
      <c r="AY1246" s="418"/>
      <c r="AZ1246" s="418"/>
      <c r="BA1246" s="418"/>
      <c r="BB1246" s="306"/>
      <c r="BC1246" s="1119"/>
      <c r="BD1246" s="1119"/>
      <c r="BI1246" s="1119"/>
      <c r="BJ1246" s="1119"/>
      <c r="BK1246" s="1119"/>
      <c r="BL1246" s="1119"/>
      <c r="BM1246" s="1119"/>
    </row>
    <row r="1247" spans="1:65" s="307" customFormat="1" ht="15.75" customHeight="1">
      <c r="A1247" s="415"/>
      <c r="B1247" s="416"/>
      <c r="C1247" s="417"/>
      <c r="D1247" s="418"/>
      <c r="E1247" s="418"/>
      <c r="F1247" s="419"/>
      <c r="G1247" s="420"/>
      <c r="H1247" s="421"/>
      <c r="I1247" s="421"/>
      <c r="J1247" s="422"/>
      <c r="K1247" s="418"/>
      <c r="L1247" s="418"/>
      <c r="M1247" s="418"/>
      <c r="N1247" s="421"/>
      <c r="O1247" s="421"/>
      <c r="P1247" s="421"/>
      <c r="Q1247" s="418"/>
      <c r="R1247" s="1022"/>
      <c r="S1247" s="1022"/>
      <c r="T1247" s="418"/>
      <c r="U1247" s="418"/>
      <c r="V1247" s="418"/>
      <c r="W1247" s="418"/>
      <c r="X1247" s="418"/>
      <c r="Y1247" s="418"/>
      <c r="Z1247" s="418"/>
      <c r="AA1247" s="418"/>
      <c r="AB1247" s="418"/>
      <c r="AC1247" s="418"/>
      <c r="AD1247" s="418"/>
      <c r="AE1247" s="418"/>
      <c r="AF1247" s="418"/>
      <c r="AG1247" s="418"/>
      <c r="AH1247" s="418"/>
      <c r="AI1247" s="418"/>
      <c r="AJ1247" s="418"/>
      <c r="AK1247" s="418"/>
      <c r="AL1247" s="418"/>
      <c r="AM1247" s="418"/>
      <c r="AN1247" s="423"/>
      <c r="AO1247" s="423"/>
      <c r="AP1247" s="423"/>
      <c r="AQ1247" s="423"/>
      <c r="AR1247" s="423"/>
      <c r="AS1247" s="423"/>
      <c r="AT1247" s="423"/>
      <c r="AU1247" s="423"/>
      <c r="AV1247" s="423"/>
      <c r="AW1247" s="418"/>
      <c r="AX1247" s="418"/>
      <c r="AY1247" s="418"/>
      <c r="AZ1247" s="418"/>
      <c r="BA1247" s="418"/>
      <c r="BB1247" s="306"/>
      <c r="BC1247" s="1119"/>
      <c r="BD1247" s="1119"/>
      <c r="BI1247" s="1119"/>
      <c r="BJ1247" s="1119"/>
      <c r="BK1247" s="1119"/>
      <c r="BL1247" s="1119"/>
      <c r="BM1247" s="1119"/>
    </row>
    <row r="1248" spans="1:65" s="307" customFormat="1" ht="15.75" customHeight="1">
      <c r="A1248" s="415"/>
      <c r="B1248" s="416"/>
      <c r="C1248" s="417"/>
      <c r="D1248" s="418"/>
      <c r="E1248" s="418"/>
      <c r="F1248" s="419"/>
      <c r="G1248" s="420"/>
      <c r="H1248" s="421"/>
      <c r="I1248" s="421"/>
      <c r="J1248" s="422"/>
      <c r="K1248" s="418"/>
      <c r="L1248" s="418"/>
      <c r="M1248" s="418"/>
      <c r="N1248" s="421"/>
      <c r="O1248" s="421"/>
      <c r="P1248" s="421"/>
      <c r="Q1248" s="418"/>
      <c r="R1248" s="1022"/>
      <c r="S1248" s="1022"/>
      <c r="T1248" s="418"/>
      <c r="U1248" s="418"/>
      <c r="V1248" s="418"/>
      <c r="W1248" s="418"/>
      <c r="X1248" s="418"/>
      <c r="Y1248" s="418"/>
      <c r="Z1248" s="418"/>
      <c r="AA1248" s="418"/>
      <c r="AB1248" s="418"/>
      <c r="AC1248" s="418"/>
      <c r="AD1248" s="418"/>
      <c r="AE1248" s="418"/>
      <c r="AF1248" s="418"/>
      <c r="AG1248" s="418"/>
      <c r="AH1248" s="418"/>
      <c r="AI1248" s="418"/>
      <c r="AJ1248" s="418"/>
      <c r="AK1248" s="418"/>
      <c r="AL1248" s="418"/>
      <c r="AM1248" s="418"/>
      <c r="AN1248" s="423"/>
      <c r="AO1248" s="423"/>
      <c r="AP1248" s="423"/>
      <c r="AQ1248" s="423"/>
      <c r="AR1248" s="423"/>
      <c r="AS1248" s="423"/>
      <c r="AT1248" s="423"/>
      <c r="AU1248" s="423"/>
      <c r="AV1248" s="423"/>
      <c r="AW1248" s="418"/>
      <c r="AX1248" s="418"/>
      <c r="AY1248" s="418"/>
      <c r="AZ1248" s="418"/>
      <c r="BA1248" s="418"/>
      <c r="BB1248" s="306"/>
      <c r="BC1248" s="1119"/>
      <c r="BD1248" s="1119"/>
      <c r="BI1248" s="1119"/>
      <c r="BJ1248" s="1119"/>
      <c r="BK1248" s="1119"/>
      <c r="BL1248" s="1119"/>
      <c r="BM1248" s="1119"/>
    </row>
    <row r="1249" spans="1:65" s="307" customFormat="1" ht="15.75" customHeight="1">
      <c r="A1249" s="415"/>
      <c r="B1249" s="416"/>
      <c r="C1249" s="417"/>
      <c r="D1249" s="418"/>
      <c r="E1249" s="418"/>
      <c r="F1249" s="419"/>
      <c r="G1249" s="420"/>
      <c r="H1249" s="421"/>
      <c r="I1249" s="421"/>
      <c r="J1249" s="422"/>
      <c r="K1249" s="418"/>
      <c r="L1249" s="418"/>
      <c r="M1249" s="418"/>
      <c r="N1249" s="421"/>
      <c r="O1249" s="421"/>
      <c r="P1249" s="421"/>
      <c r="Q1249" s="418"/>
      <c r="R1249" s="1022"/>
      <c r="S1249" s="1022"/>
      <c r="T1249" s="418"/>
      <c r="U1249" s="418"/>
      <c r="V1249" s="418"/>
      <c r="W1249" s="418"/>
      <c r="X1249" s="418"/>
      <c r="Y1249" s="418"/>
      <c r="Z1249" s="418"/>
      <c r="AA1249" s="418"/>
      <c r="AB1249" s="418"/>
      <c r="AC1249" s="418"/>
      <c r="AD1249" s="418"/>
      <c r="AE1249" s="418"/>
      <c r="AF1249" s="418"/>
      <c r="AG1249" s="418"/>
      <c r="AH1249" s="418"/>
      <c r="AI1249" s="418"/>
      <c r="AJ1249" s="418"/>
      <c r="AK1249" s="418"/>
      <c r="AL1249" s="418"/>
      <c r="AM1249" s="418"/>
      <c r="AN1249" s="423"/>
      <c r="AO1249" s="423"/>
      <c r="AP1249" s="423"/>
      <c r="AQ1249" s="423"/>
      <c r="AR1249" s="423"/>
      <c r="AS1249" s="423"/>
      <c r="AT1249" s="423"/>
      <c r="AU1249" s="423"/>
      <c r="AV1249" s="423"/>
      <c r="AW1249" s="418"/>
      <c r="AX1249" s="418"/>
      <c r="AY1249" s="418"/>
      <c r="AZ1249" s="418"/>
      <c r="BA1249" s="418"/>
      <c r="BB1249" s="306"/>
      <c r="BC1249" s="1119"/>
      <c r="BD1249" s="1119"/>
      <c r="BI1249" s="1119"/>
      <c r="BJ1249" s="1119"/>
      <c r="BK1249" s="1119"/>
      <c r="BL1249" s="1119"/>
      <c r="BM1249" s="1119"/>
    </row>
    <row r="1250" spans="1:65" s="307" customFormat="1" ht="15.75" customHeight="1">
      <c r="A1250" s="415"/>
      <c r="B1250" s="416"/>
      <c r="C1250" s="417"/>
      <c r="D1250" s="418"/>
      <c r="E1250" s="418"/>
      <c r="F1250" s="419"/>
      <c r="G1250" s="420"/>
      <c r="H1250" s="421"/>
      <c r="I1250" s="421"/>
      <c r="J1250" s="422"/>
      <c r="K1250" s="418"/>
      <c r="L1250" s="418"/>
      <c r="M1250" s="418"/>
      <c r="N1250" s="421"/>
      <c r="O1250" s="421"/>
      <c r="P1250" s="421"/>
      <c r="Q1250" s="418"/>
      <c r="R1250" s="1022"/>
      <c r="S1250" s="1022"/>
      <c r="T1250" s="418"/>
      <c r="U1250" s="418"/>
      <c r="V1250" s="418"/>
      <c r="W1250" s="418"/>
      <c r="X1250" s="418"/>
      <c r="Y1250" s="418"/>
      <c r="Z1250" s="418"/>
      <c r="AA1250" s="418"/>
      <c r="AB1250" s="418"/>
      <c r="AC1250" s="418"/>
      <c r="AD1250" s="418"/>
      <c r="AE1250" s="418"/>
      <c r="AF1250" s="418"/>
      <c r="AG1250" s="418"/>
      <c r="AH1250" s="418"/>
      <c r="AI1250" s="418"/>
      <c r="AJ1250" s="418"/>
      <c r="AK1250" s="418"/>
      <c r="AL1250" s="418"/>
      <c r="AM1250" s="418"/>
      <c r="AN1250" s="423"/>
      <c r="AO1250" s="423"/>
      <c r="AP1250" s="423"/>
      <c r="AQ1250" s="423"/>
      <c r="AR1250" s="423"/>
      <c r="AS1250" s="423"/>
      <c r="AT1250" s="423"/>
      <c r="AU1250" s="423"/>
      <c r="AV1250" s="423"/>
      <c r="AW1250" s="418"/>
      <c r="AX1250" s="418"/>
      <c r="AY1250" s="418"/>
      <c r="AZ1250" s="418"/>
      <c r="BA1250" s="418"/>
      <c r="BB1250" s="306"/>
      <c r="BC1250" s="1119"/>
      <c r="BD1250" s="1119"/>
      <c r="BI1250" s="1119"/>
      <c r="BJ1250" s="1119"/>
      <c r="BK1250" s="1119"/>
      <c r="BL1250" s="1119"/>
      <c r="BM1250" s="1119"/>
    </row>
    <row r="1251" spans="1:65" s="307" customFormat="1" ht="15.75" customHeight="1">
      <c r="A1251" s="415"/>
      <c r="B1251" s="416"/>
      <c r="C1251" s="417"/>
      <c r="D1251" s="418"/>
      <c r="E1251" s="418"/>
      <c r="F1251" s="419"/>
      <c r="G1251" s="420"/>
      <c r="H1251" s="421"/>
      <c r="I1251" s="421"/>
      <c r="J1251" s="422"/>
      <c r="K1251" s="418"/>
      <c r="L1251" s="418"/>
      <c r="M1251" s="418"/>
      <c r="N1251" s="421"/>
      <c r="O1251" s="421"/>
      <c r="P1251" s="421"/>
      <c r="Q1251" s="418"/>
      <c r="R1251" s="1022"/>
      <c r="S1251" s="1022"/>
      <c r="T1251" s="418"/>
      <c r="U1251" s="418"/>
      <c r="V1251" s="418"/>
      <c r="W1251" s="418"/>
      <c r="X1251" s="418"/>
      <c r="Y1251" s="418"/>
      <c r="Z1251" s="418"/>
      <c r="AA1251" s="418"/>
      <c r="AB1251" s="418"/>
      <c r="AC1251" s="418"/>
      <c r="AD1251" s="418"/>
      <c r="AE1251" s="418"/>
      <c r="AF1251" s="418"/>
      <c r="AG1251" s="418"/>
      <c r="AH1251" s="418"/>
      <c r="AI1251" s="418"/>
      <c r="AJ1251" s="418"/>
      <c r="AK1251" s="418"/>
      <c r="AL1251" s="418"/>
      <c r="AM1251" s="418"/>
      <c r="AN1251" s="423"/>
      <c r="AO1251" s="423"/>
      <c r="AP1251" s="423"/>
      <c r="AQ1251" s="423"/>
      <c r="AR1251" s="423"/>
      <c r="AS1251" s="423"/>
      <c r="AT1251" s="423"/>
      <c r="AU1251" s="423"/>
      <c r="AV1251" s="423"/>
      <c r="AW1251" s="418"/>
      <c r="AX1251" s="418"/>
      <c r="AY1251" s="418"/>
      <c r="AZ1251" s="418"/>
      <c r="BA1251" s="418"/>
      <c r="BB1251" s="306"/>
      <c r="BC1251" s="1119"/>
      <c r="BD1251" s="1119"/>
      <c r="BI1251" s="1119"/>
      <c r="BJ1251" s="1119"/>
      <c r="BK1251" s="1119"/>
      <c r="BL1251" s="1119"/>
      <c r="BM1251" s="1119"/>
    </row>
    <row r="1252" spans="1:65" s="307" customFormat="1" ht="15.75" customHeight="1">
      <c r="A1252" s="415"/>
      <c r="B1252" s="416"/>
      <c r="C1252" s="417"/>
      <c r="D1252" s="418"/>
      <c r="E1252" s="418"/>
      <c r="F1252" s="419"/>
      <c r="G1252" s="420"/>
      <c r="H1252" s="421"/>
      <c r="I1252" s="421"/>
      <c r="J1252" s="422"/>
      <c r="K1252" s="418"/>
      <c r="L1252" s="418"/>
      <c r="M1252" s="418"/>
      <c r="N1252" s="421"/>
      <c r="O1252" s="421"/>
      <c r="P1252" s="421"/>
      <c r="Q1252" s="418"/>
      <c r="R1252" s="1022"/>
      <c r="S1252" s="1022"/>
      <c r="T1252" s="418"/>
      <c r="U1252" s="418"/>
      <c r="V1252" s="418"/>
      <c r="W1252" s="418"/>
      <c r="X1252" s="418"/>
      <c r="Y1252" s="418"/>
      <c r="Z1252" s="418"/>
      <c r="AA1252" s="418"/>
      <c r="AB1252" s="418"/>
      <c r="AC1252" s="418"/>
      <c r="AD1252" s="418"/>
      <c r="AE1252" s="418"/>
      <c r="AF1252" s="418"/>
      <c r="AG1252" s="418"/>
      <c r="AH1252" s="418"/>
      <c r="AI1252" s="418"/>
      <c r="AJ1252" s="418"/>
      <c r="AK1252" s="418"/>
      <c r="AL1252" s="418"/>
      <c r="AM1252" s="418"/>
      <c r="AN1252" s="423"/>
      <c r="AO1252" s="423"/>
      <c r="AP1252" s="423"/>
      <c r="AQ1252" s="423"/>
      <c r="AR1252" s="423"/>
      <c r="AS1252" s="423"/>
      <c r="AT1252" s="423"/>
      <c r="AU1252" s="423"/>
      <c r="AV1252" s="423"/>
      <c r="AW1252" s="418"/>
      <c r="AX1252" s="418"/>
      <c r="AY1252" s="418"/>
      <c r="AZ1252" s="418"/>
      <c r="BA1252" s="418"/>
      <c r="BB1252" s="306"/>
      <c r="BC1252" s="1119"/>
      <c r="BD1252" s="1119"/>
      <c r="BI1252" s="1119"/>
      <c r="BJ1252" s="1119"/>
      <c r="BK1252" s="1119"/>
      <c r="BL1252" s="1119"/>
      <c r="BM1252" s="1119"/>
    </row>
    <row r="1253" spans="1:65" s="307" customFormat="1" ht="15.75" customHeight="1">
      <c r="A1253" s="415"/>
      <c r="B1253" s="416"/>
      <c r="C1253" s="417"/>
      <c r="D1253" s="418"/>
      <c r="E1253" s="418"/>
      <c r="F1253" s="419"/>
      <c r="G1253" s="420"/>
      <c r="H1253" s="421"/>
      <c r="I1253" s="421"/>
      <c r="J1253" s="422"/>
      <c r="K1253" s="418"/>
      <c r="L1253" s="418"/>
      <c r="M1253" s="418"/>
      <c r="N1253" s="421"/>
      <c r="O1253" s="421"/>
      <c r="P1253" s="421"/>
      <c r="Q1253" s="418"/>
      <c r="R1253" s="1022"/>
      <c r="S1253" s="1022"/>
      <c r="T1253" s="418"/>
      <c r="U1253" s="418"/>
      <c r="V1253" s="418"/>
      <c r="W1253" s="418"/>
      <c r="X1253" s="418"/>
      <c r="Y1253" s="418"/>
      <c r="Z1253" s="418"/>
      <c r="AA1253" s="418"/>
      <c r="AB1253" s="418"/>
      <c r="AC1253" s="418"/>
      <c r="AD1253" s="418"/>
      <c r="AE1253" s="418"/>
      <c r="AF1253" s="418"/>
      <c r="AG1253" s="418"/>
      <c r="AH1253" s="418"/>
      <c r="AI1253" s="418"/>
      <c r="AJ1253" s="418"/>
      <c r="AK1253" s="418"/>
      <c r="AL1253" s="418"/>
      <c r="AM1253" s="418"/>
      <c r="AN1253" s="423"/>
      <c r="AO1253" s="423"/>
      <c r="AP1253" s="423"/>
      <c r="AQ1253" s="423"/>
      <c r="AR1253" s="423"/>
      <c r="AS1253" s="423"/>
      <c r="AT1253" s="423"/>
      <c r="AU1253" s="423"/>
      <c r="AV1253" s="423"/>
      <c r="AW1253" s="418"/>
      <c r="AX1253" s="418"/>
      <c r="AY1253" s="418"/>
      <c r="AZ1253" s="418"/>
      <c r="BA1253" s="418"/>
      <c r="BB1253" s="306"/>
      <c r="BC1253" s="1119"/>
      <c r="BD1253" s="1119"/>
      <c r="BI1253" s="1119"/>
      <c r="BJ1253" s="1119"/>
      <c r="BK1253" s="1119"/>
      <c r="BL1253" s="1119"/>
      <c r="BM1253" s="1119"/>
    </row>
    <row r="1254" spans="1:65" s="307" customFormat="1" ht="15.75" customHeight="1">
      <c r="A1254" s="415"/>
      <c r="B1254" s="416"/>
      <c r="C1254" s="417"/>
      <c r="D1254" s="418"/>
      <c r="E1254" s="418"/>
      <c r="F1254" s="419"/>
      <c r="G1254" s="420"/>
      <c r="H1254" s="421"/>
      <c r="I1254" s="421"/>
      <c r="J1254" s="422"/>
      <c r="K1254" s="418"/>
      <c r="L1254" s="418"/>
      <c r="M1254" s="418"/>
      <c r="N1254" s="421"/>
      <c r="O1254" s="421"/>
      <c r="P1254" s="421"/>
      <c r="Q1254" s="418"/>
      <c r="R1254" s="1022"/>
      <c r="S1254" s="1022"/>
      <c r="T1254" s="418"/>
      <c r="U1254" s="418"/>
      <c r="V1254" s="418"/>
      <c r="W1254" s="418"/>
      <c r="X1254" s="418"/>
      <c r="Y1254" s="418"/>
      <c r="Z1254" s="418"/>
      <c r="AA1254" s="418"/>
      <c r="AB1254" s="418"/>
      <c r="AC1254" s="418"/>
      <c r="AD1254" s="418"/>
      <c r="AE1254" s="418"/>
      <c r="AF1254" s="418"/>
      <c r="AG1254" s="418"/>
      <c r="AH1254" s="418"/>
      <c r="AI1254" s="418"/>
      <c r="AJ1254" s="418"/>
      <c r="AK1254" s="418"/>
      <c r="AL1254" s="418"/>
      <c r="AM1254" s="418"/>
      <c r="AN1254" s="423"/>
      <c r="AO1254" s="423"/>
      <c r="AP1254" s="423"/>
      <c r="AQ1254" s="423"/>
      <c r="AR1254" s="423"/>
      <c r="AS1254" s="423"/>
      <c r="AT1254" s="423"/>
      <c r="AU1254" s="423"/>
      <c r="AV1254" s="423"/>
      <c r="AW1254" s="418"/>
      <c r="AX1254" s="418"/>
      <c r="AY1254" s="418"/>
      <c r="AZ1254" s="418"/>
      <c r="BA1254" s="418"/>
      <c r="BB1254" s="306"/>
      <c r="BC1254" s="1119"/>
      <c r="BD1254" s="1119"/>
      <c r="BH1254" s="1119"/>
      <c r="BI1254" s="1119"/>
      <c r="BJ1254" s="1119"/>
      <c r="BK1254" s="1119"/>
      <c r="BL1254" s="1119"/>
      <c r="BM1254" s="1119"/>
    </row>
    <row r="1255" spans="1:65" s="307" customFormat="1" ht="15.75" customHeight="1">
      <c r="A1255" s="415"/>
      <c r="B1255" s="416"/>
      <c r="C1255" s="417"/>
      <c r="D1255" s="418"/>
      <c r="E1255" s="418"/>
      <c r="F1255" s="419"/>
      <c r="G1255" s="420"/>
      <c r="H1255" s="421"/>
      <c r="I1255" s="421"/>
      <c r="J1255" s="422"/>
      <c r="K1255" s="418"/>
      <c r="L1255" s="418"/>
      <c r="M1255" s="418"/>
      <c r="N1255" s="421"/>
      <c r="O1255" s="421"/>
      <c r="P1255" s="421"/>
      <c r="Q1255" s="418"/>
      <c r="R1255" s="1022"/>
      <c r="S1255" s="1022"/>
      <c r="T1255" s="418"/>
      <c r="U1255" s="418"/>
      <c r="V1255" s="418"/>
      <c r="W1255" s="418"/>
      <c r="X1255" s="418"/>
      <c r="Y1255" s="418"/>
      <c r="Z1255" s="418"/>
      <c r="AA1255" s="418"/>
      <c r="AB1255" s="418"/>
      <c r="AC1255" s="418"/>
      <c r="AD1255" s="418"/>
      <c r="AE1255" s="418"/>
      <c r="AF1255" s="418"/>
      <c r="AG1255" s="418"/>
      <c r="AH1255" s="418"/>
      <c r="AI1255" s="418"/>
      <c r="AJ1255" s="418"/>
      <c r="AK1255" s="418"/>
      <c r="AL1255" s="418"/>
      <c r="AM1255" s="418"/>
      <c r="AN1255" s="423"/>
      <c r="AO1255" s="423"/>
      <c r="AP1255" s="423"/>
      <c r="AQ1255" s="423"/>
      <c r="AR1255" s="423"/>
      <c r="AS1255" s="423"/>
      <c r="AT1255" s="423"/>
      <c r="AU1255" s="423"/>
      <c r="AV1255" s="423"/>
      <c r="AW1255" s="418"/>
      <c r="AX1255" s="418"/>
      <c r="AY1255" s="418"/>
      <c r="AZ1255" s="418"/>
      <c r="BA1255" s="418"/>
      <c r="BB1255" s="306"/>
      <c r="BC1255" s="1119"/>
      <c r="BD1255" s="1119"/>
      <c r="BH1255" s="1119"/>
      <c r="BI1255" s="1119"/>
      <c r="BJ1255" s="1119"/>
      <c r="BK1255" s="1119"/>
      <c r="BL1255" s="1119"/>
      <c r="BM1255" s="1119"/>
    </row>
    <row r="1256" spans="1:65" ht="15.75" customHeight="1">
      <c r="A1256" s="415"/>
      <c r="B1256" s="416"/>
      <c r="C1256" s="417"/>
      <c r="D1256" s="418"/>
      <c r="E1256" s="418"/>
      <c r="F1256" s="419"/>
      <c r="G1256" s="420"/>
      <c r="H1256" s="421"/>
      <c r="I1256" s="421"/>
      <c r="J1256" s="422"/>
      <c r="K1256" s="418"/>
      <c r="L1256" s="418"/>
      <c r="M1256" s="418"/>
      <c r="N1256" s="421"/>
      <c r="O1256" s="421"/>
      <c r="P1256" s="421"/>
      <c r="Q1256" s="418"/>
      <c r="R1256" s="1022"/>
      <c r="S1256" s="1022"/>
      <c r="T1256" s="418"/>
      <c r="U1256" s="418"/>
      <c r="V1256" s="418"/>
      <c r="W1256" s="418"/>
      <c r="X1256" s="418"/>
      <c r="Y1256" s="418"/>
      <c r="Z1256" s="418"/>
      <c r="AA1256" s="418"/>
      <c r="AB1256" s="418"/>
      <c r="AC1256" s="418"/>
      <c r="AD1256" s="418"/>
      <c r="AE1256" s="418"/>
      <c r="AF1256" s="418"/>
      <c r="AG1256" s="418"/>
      <c r="AH1256" s="418"/>
      <c r="AI1256" s="418"/>
      <c r="AJ1256" s="418"/>
      <c r="AK1256" s="418"/>
      <c r="AL1256" s="418"/>
      <c r="AM1256" s="418"/>
      <c r="AN1256" s="423"/>
      <c r="AO1256" s="423"/>
      <c r="AP1256" s="423"/>
      <c r="AQ1256" s="423"/>
      <c r="AR1256" s="423"/>
      <c r="AS1256" s="423"/>
      <c r="AT1256" s="423"/>
      <c r="AU1256" s="423"/>
      <c r="AV1256" s="423"/>
      <c r="AW1256" s="418"/>
      <c r="AX1256" s="418"/>
      <c r="AY1256" s="418"/>
      <c r="AZ1256" s="418"/>
      <c r="BA1256" s="418"/>
      <c r="BB1256" s="306"/>
    </row>
    <row r="1257" spans="1:65" ht="15.75" customHeight="1">
      <c r="A1257" s="415"/>
      <c r="B1257" s="416"/>
      <c r="C1257" s="417"/>
      <c r="D1257" s="418"/>
      <c r="E1257" s="418"/>
      <c r="F1257" s="419"/>
      <c r="G1257" s="420"/>
      <c r="H1257" s="421"/>
      <c r="I1257" s="421"/>
      <c r="J1257" s="422"/>
      <c r="K1257" s="418"/>
      <c r="L1257" s="418"/>
      <c r="M1257" s="418"/>
      <c r="N1257" s="421"/>
      <c r="O1257" s="421"/>
      <c r="P1257" s="421"/>
      <c r="Q1257" s="418"/>
      <c r="R1257" s="1022"/>
      <c r="S1257" s="1022"/>
      <c r="T1257" s="418"/>
      <c r="U1257" s="418"/>
      <c r="V1257" s="418"/>
      <c r="W1257" s="418"/>
      <c r="X1257" s="418"/>
      <c r="Y1257" s="418"/>
      <c r="Z1257" s="418"/>
      <c r="AA1257" s="418"/>
      <c r="AB1257" s="418"/>
      <c r="AC1257" s="418"/>
      <c r="AD1257" s="418"/>
      <c r="AE1257" s="418"/>
      <c r="AF1257" s="418"/>
      <c r="AG1257" s="418"/>
      <c r="AH1257" s="418"/>
      <c r="AI1257" s="418"/>
      <c r="AJ1257" s="418"/>
      <c r="AK1257" s="418"/>
      <c r="AL1257" s="418"/>
      <c r="AM1257" s="418"/>
      <c r="AN1257" s="423"/>
      <c r="AO1257" s="423"/>
      <c r="AP1257" s="423"/>
      <c r="AQ1257" s="423"/>
      <c r="AR1257" s="423"/>
      <c r="AS1257" s="423"/>
      <c r="AT1257" s="423"/>
      <c r="AU1257" s="423"/>
      <c r="AV1257" s="423"/>
      <c r="AW1257" s="418"/>
      <c r="AX1257" s="418"/>
      <c r="AY1257" s="418"/>
      <c r="AZ1257" s="418"/>
      <c r="BA1257" s="418"/>
      <c r="BB1257" s="306"/>
    </row>
    <row r="1258" spans="1:65" ht="15.75" customHeight="1">
      <c r="A1258" s="415"/>
      <c r="B1258" s="416"/>
      <c r="C1258" s="417"/>
      <c r="D1258" s="418"/>
      <c r="E1258" s="418"/>
      <c r="F1258" s="419"/>
      <c r="G1258" s="420"/>
      <c r="H1258" s="421"/>
      <c r="I1258" s="421"/>
      <c r="J1258" s="422"/>
      <c r="K1258" s="418"/>
      <c r="L1258" s="418"/>
      <c r="M1258" s="418"/>
      <c r="N1258" s="421"/>
      <c r="O1258" s="421"/>
      <c r="P1258" s="421"/>
      <c r="Q1258" s="418"/>
      <c r="R1258" s="1022"/>
      <c r="S1258" s="1022"/>
      <c r="T1258" s="418"/>
      <c r="U1258" s="418"/>
      <c r="V1258" s="418"/>
      <c r="W1258" s="418"/>
      <c r="X1258" s="418"/>
      <c r="Y1258" s="418"/>
      <c r="Z1258" s="418"/>
      <c r="AA1258" s="418"/>
      <c r="AB1258" s="418"/>
      <c r="AC1258" s="418"/>
      <c r="AD1258" s="418"/>
      <c r="AE1258" s="418"/>
      <c r="AF1258" s="418"/>
      <c r="AG1258" s="418"/>
      <c r="AH1258" s="418"/>
      <c r="AI1258" s="418"/>
      <c r="AJ1258" s="418"/>
      <c r="AK1258" s="418"/>
      <c r="AL1258" s="418"/>
      <c r="AM1258" s="418"/>
      <c r="AN1258" s="423"/>
      <c r="AO1258" s="423"/>
      <c r="AP1258" s="423"/>
      <c r="AQ1258" s="423"/>
      <c r="AR1258" s="423"/>
      <c r="AS1258" s="423"/>
      <c r="AT1258" s="423"/>
      <c r="AU1258" s="423"/>
      <c r="AV1258" s="423"/>
      <c r="AW1258" s="418"/>
      <c r="AX1258" s="418"/>
      <c r="AY1258" s="418"/>
      <c r="AZ1258" s="418"/>
      <c r="BA1258" s="418"/>
      <c r="BB1258" s="306"/>
    </row>
    <row r="1259" spans="1:65" ht="15.75" customHeight="1">
      <c r="A1259" s="415"/>
      <c r="B1259" s="416"/>
      <c r="C1259" s="417"/>
      <c r="D1259" s="418"/>
      <c r="E1259" s="418"/>
      <c r="F1259" s="419"/>
      <c r="G1259" s="420"/>
      <c r="H1259" s="421"/>
      <c r="I1259" s="421"/>
      <c r="J1259" s="422"/>
      <c r="K1259" s="418"/>
      <c r="L1259" s="418"/>
      <c r="M1259" s="418"/>
      <c r="N1259" s="421"/>
      <c r="O1259" s="421"/>
      <c r="P1259" s="421"/>
      <c r="Q1259" s="418"/>
      <c r="R1259" s="1022"/>
      <c r="S1259" s="1022"/>
      <c r="T1259" s="418"/>
      <c r="U1259" s="418"/>
      <c r="V1259" s="418"/>
      <c r="W1259" s="418"/>
      <c r="X1259" s="418"/>
      <c r="Y1259" s="418"/>
      <c r="Z1259" s="418"/>
      <c r="AA1259" s="418"/>
      <c r="AB1259" s="418"/>
      <c r="AC1259" s="418"/>
      <c r="AD1259" s="418"/>
      <c r="AE1259" s="418"/>
      <c r="AF1259" s="418"/>
      <c r="AG1259" s="418"/>
      <c r="AH1259" s="418"/>
      <c r="AI1259" s="418"/>
      <c r="AJ1259" s="418"/>
      <c r="AK1259" s="418"/>
      <c r="AL1259" s="418"/>
      <c r="AM1259" s="418"/>
      <c r="AN1259" s="423"/>
      <c r="AO1259" s="423"/>
      <c r="AP1259" s="423"/>
      <c r="AQ1259" s="423"/>
      <c r="AR1259" s="423"/>
      <c r="AS1259" s="423"/>
      <c r="AT1259" s="423"/>
      <c r="AU1259" s="423"/>
      <c r="AV1259" s="423"/>
      <c r="AW1259" s="418"/>
      <c r="AX1259" s="418"/>
      <c r="AY1259" s="418"/>
      <c r="AZ1259" s="418"/>
      <c r="BA1259" s="418"/>
      <c r="BB1259" s="306"/>
    </row>
    <row r="1260" spans="1:65" ht="15.75" customHeight="1">
      <c r="A1260" s="415"/>
      <c r="B1260" s="416"/>
      <c r="C1260" s="417"/>
      <c r="D1260" s="418"/>
      <c r="E1260" s="418"/>
      <c r="F1260" s="419"/>
      <c r="G1260" s="420"/>
      <c r="H1260" s="421"/>
      <c r="I1260" s="421"/>
      <c r="J1260" s="422"/>
      <c r="K1260" s="418"/>
      <c r="L1260" s="418"/>
      <c r="M1260" s="418"/>
      <c r="N1260" s="421"/>
      <c r="O1260" s="421"/>
      <c r="P1260" s="421"/>
      <c r="Q1260" s="418"/>
      <c r="R1260" s="1022"/>
      <c r="S1260" s="1022"/>
      <c r="T1260" s="418"/>
      <c r="U1260" s="418"/>
      <c r="V1260" s="418"/>
      <c r="W1260" s="418"/>
      <c r="X1260" s="418"/>
      <c r="Y1260" s="418"/>
      <c r="Z1260" s="418"/>
      <c r="AA1260" s="418"/>
      <c r="AB1260" s="418"/>
      <c r="AC1260" s="418"/>
      <c r="AD1260" s="418"/>
      <c r="AE1260" s="418"/>
      <c r="AF1260" s="418"/>
      <c r="AG1260" s="418"/>
      <c r="AH1260" s="418"/>
      <c r="AI1260" s="418"/>
      <c r="AJ1260" s="418"/>
      <c r="AK1260" s="418"/>
      <c r="AL1260" s="418"/>
      <c r="AM1260" s="418"/>
      <c r="AN1260" s="423"/>
      <c r="AO1260" s="423"/>
      <c r="AP1260" s="423"/>
      <c r="AQ1260" s="423"/>
      <c r="AR1260" s="423"/>
      <c r="AS1260" s="423"/>
      <c r="AT1260" s="423"/>
      <c r="AU1260" s="423"/>
      <c r="AV1260" s="423"/>
      <c r="AW1260" s="418"/>
      <c r="AX1260" s="418"/>
      <c r="AY1260" s="418"/>
      <c r="AZ1260" s="418"/>
      <c r="BA1260" s="418"/>
      <c r="BB1260" s="306"/>
    </row>
    <row r="1261" spans="1:65" ht="15.75" customHeight="1">
      <c r="A1261" s="415"/>
      <c r="B1261" s="416"/>
      <c r="C1261" s="417"/>
      <c r="D1261" s="418"/>
      <c r="E1261" s="418"/>
      <c r="F1261" s="419"/>
      <c r="G1261" s="420"/>
      <c r="H1261" s="421"/>
      <c r="I1261" s="421"/>
      <c r="J1261" s="422"/>
      <c r="K1261" s="418"/>
      <c r="L1261" s="418"/>
      <c r="M1261" s="418"/>
      <c r="N1261" s="421"/>
      <c r="O1261" s="421"/>
      <c r="P1261" s="421"/>
      <c r="Q1261" s="418"/>
      <c r="R1261" s="1022"/>
      <c r="S1261" s="1022"/>
      <c r="T1261" s="418"/>
      <c r="U1261" s="418"/>
      <c r="V1261" s="418"/>
      <c r="W1261" s="418"/>
      <c r="X1261" s="418"/>
      <c r="Y1261" s="418"/>
      <c r="Z1261" s="418"/>
      <c r="AA1261" s="418"/>
      <c r="AB1261" s="418"/>
      <c r="AC1261" s="418"/>
      <c r="AD1261" s="418"/>
      <c r="AE1261" s="418"/>
      <c r="AF1261" s="418"/>
      <c r="AG1261" s="418"/>
      <c r="AH1261" s="418"/>
      <c r="AI1261" s="418"/>
      <c r="AJ1261" s="418"/>
      <c r="AK1261" s="418"/>
      <c r="AL1261" s="418"/>
      <c r="AM1261" s="418"/>
      <c r="AN1261" s="423"/>
      <c r="AO1261" s="423"/>
      <c r="AP1261" s="423"/>
      <c r="AQ1261" s="423"/>
      <c r="AR1261" s="423"/>
      <c r="AS1261" s="423"/>
      <c r="AT1261" s="423"/>
      <c r="AU1261" s="423"/>
      <c r="AV1261" s="423"/>
      <c r="AW1261" s="418"/>
      <c r="AX1261" s="418"/>
      <c r="AY1261" s="418"/>
      <c r="AZ1261" s="418"/>
      <c r="BA1261" s="418"/>
      <c r="BB1261" s="306"/>
    </row>
    <row r="1262" spans="1:65" ht="15.75" customHeight="1">
      <c r="A1262" s="415"/>
      <c r="B1262" s="416"/>
      <c r="C1262" s="417"/>
      <c r="D1262" s="418"/>
      <c r="E1262" s="418"/>
      <c r="F1262" s="419"/>
      <c r="G1262" s="420"/>
      <c r="H1262" s="421"/>
      <c r="I1262" s="421"/>
      <c r="J1262" s="422"/>
      <c r="K1262" s="418"/>
      <c r="L1262" s="418"/>
      <c r="M1262" s="418"/>
      <c r="N1262" s="421"/>
      <c r="O1262" s="421"/>
      <c r="P1262" s="421"/>
      <c r="Q1262" s="418"/>
      <c r="R1262" s="1022"/>
      <c r="S1262" s="1022"/>
      <c r="T1262" s="418"/>
      <c r="U1262" s="418"/>
      <c r="V1262" s="418"/>
      <c r="W1262" s="418"/>
      <c r="X1262" s="418"/>
      <c r="Y1262" s="418"/>
      <c r="Z1262" s="418"/>
      <c r="AA1262" s="418"/>
      <c r="AB1262" s="418"/>
      <c r="AC1262" s="418"/>
      <c r="AD1262" s="418"/>
      <c r="AE1262" s="418"/>
      <c r="AF1262" s="418"/>
      <c r="AG1262" s="418"/>
      <c r="AH1262" s="418"/>
      <c r="AI1262" s="418"/>
      <c r="AJ1262" s="418"/>
      <c r="AK1262" s="418"/>
      <c r="AL1262" s="418"/>
      <c r="AM1262" s="418"/>
      <c r="AN1262" s="423"/>
      <c r="AO1262" s="423"/>
      <c r="AP1262" s="423"/>
      <c r="AQ1262" s="423"/>
      <c r="AR1262" s="423"/>
      <c r="AS1262" s="423"/>
      <c r="AT1262" s="423"/>
      <c r="AU1262" s="423"/>
      <c r="AV1262" s="423"/>
      <c r="AW1262" s="418"/>
      <c r="AX1262" s="418"/>
      <c r="AY1262" s="418"/>
      <c r="AZ1262" s="418"/>
      <c r="BA1262" s="418"/>
      <c r="BB1262" s="306"/>
    </row>
    <row r="1263" spans="1:65" ht="15.75" customHeight="1">
      <c r="A1263" s="415"/>
      <c r="B1263" s="416"/>
      <c r="C1263" s="417"/>
      <c r="D1263" s="418"/>
      <c r="E1263" s="418"/>
      <c r="F1263" s="419"/>
      <c r="G1263" s="420"/>
      <c r="H1263" s="421"/>
      <c r="I1263" s="421"/>
      <c r="J1263" s="422"/>
      <c r="K1263" s="418"/>
      <c r="L1263" s="418"/>
      <c r="M1263" s="418"/>
      <c r="N1263" s="421"/>
      <c r="O1263" s="421"/>
      <c r="P1263" s="421"/>
      <c r="Q1263" s="418"/>
      <c r="R1263" s="1022"/>
      <c r="S1263" s="1022"/>
      <c r="T1263" s="418"/>
      <c r="U1263" s="418"/>
      <c r="V1263" s="418"/>
      <c r="W1263" s="418"/>
      <c r="X1263" s="418"/>
      <c r="Y1263" s="418"/>
      <c r="Z1263" s="418"/>
      <c r="AA1263" s="418"/>
      <c r="AB1263" s="418"/>
      <c r="AC1263" s="418"/>
      <c r="AD1263" s="418"/>
      <c r="AE1263" s="418"/>
      <c r="AF1263" s="418"/>
      <c r="AG1263" s="418"/>
      <c r="AH1263" s="418"/>
      <c r="AI1263" s="418"/>
      <c r="AJ1263" s="418"/>
      <c r="AK1263" s="418"/>
      <c r="AL1263" s="418"/>
      <c r="AM1263" s="418"/>
      <c r="AN1263" s="423"/>
      <c r="AO1263" s="423"/>
      <c r="AP1263" s="423"/>
      <c r="AQ1263" s="423"/>
      <c r="AR1263" s="423"/>
      <c r="AS1263" s="423"/>
      <c r="AT1263" s="423"/>
      <c r="AU1263" s="423"/>
      <c r="AV1263" s="423"/>
      <c r="AW1263" s="418"/>
      <c r="AX1263" s="418"/>
      <c r="AY1263" s="418"/>
      <c r="AZ1263" s="418"/>
      <c r="BA1263" s="418"/>
      <c r="BB1263" s="306"/>
    </row>
    <row r="1264" spans="1:65" ht="15.75" customHeight="1">
      <c r="A1264" s="415"/>
      <c r="B1264" s="416"/>
      <c r="C1264" s="417"/>
      <c r="D1264" s="418"/>
      <c r="E1264" s="418"/>
      <c r="F1264" s="419"/>
      <c r="G1264" s="420"/>
      <c r="H1264" s="421"/>
      <c r="I1264" s="421"/>
      <c r="J1264" s="422"/>
      <c r="K1264" s="418"/>
      <c r="L1264" s="418"/>
      <c r="M1264" s="418"/>
      <c r="N1264" s="421"/>
      <c r="O1264" s="421"/>
      <c r="P1264" s="421"/>
      <c r="Q1264" s="418"/>
      <c r="R1264" s="1022"/>
      <c r="S1264" s="1022"/>
      <c r="T1264" s="418"/>
      <c r="U1264" s="418"/>
      <c r="V1264" s="418"/>
      <c r="W1264" s="418"/>
      <c r="X1264" s="418"/>
      <c r="Y1264" s="418"/>
      <c r="Z1264" s="418"/>
      <c r="AA1264" s="418"/>
      <c r="AB1264" s="418"/>
      <c r="AC1264" s="418"/>
      <c r="AD1264" s="418"/>
      <c r="AE1264" s="418"/>
      <c r="AF1264" s="418"/>
      <c r="AG1264" s="418"/>
      <c r="AH1264" s="418"/>
      <c r="AI1264" s="418"/>
      <c r="AJ1264" s="418"/>
      <c r="AK1264" s="418"/>
      <c r="AL1264" s="418"/>
      <c r="AM1264" s="418"/>
      <c r="AN1264" s="423"/>
      <c r="AO1264" s="423"/>
      <c r="AP1264" s="423"/>
      <c r="AQ1264" s="423"/>
      <c r="AR1264" s="423"/>
      <c r="AS1264" s="423"/>
      <c r="AT1264" s="423"/>
      <c r="AU1264" s="423"/>
      <c r="AV1264" s="423"/>
      <c r="AW1264" s="418"/>
      <c r="AX1264" s="418"/>
      <c r="AY1264" s="418"/>
      <c r="AZ1264" s="418"/>
      <c r="BA1264" s="418"/>
      <c r="BB1264" s="306"/>
    </row>
    <row r="1265" spans="1:54" ht="15.75" customHeight="1">
      <c r="A1265" s="415"/>
      <c r="B1265" s="416"/>
      <c r="C1265" s="417"/>
      <c r="D1265" s="418"/>
      <c r="E1265" s="418"/>
      <c r="F1265" s="419"/>
      <c r="G1265" s="420"/>
      <c r="H1265" s="421"/>
      <c r="I1265" s="425"/>
      <c r="J1265" s="422"/>
      <c r="K1265" s="418"/>
      <c r="L1265" s="418"/>
      <c r="M1265" s="418"/>
      <c r="N1265" s="421"/>
      <c r="O1265" s="421"/>
      <c r="P1265" s="421"/>
      <c r="Q1265" s="418"/>
      <c r="R1265" s="1022"/>
      <c r="S1265" s="1022"/>
      <c r="T1265" s="418"/>
      <c r="U1265" s="418"/>
      <c r="V1265" s="418"/>
      <c r="W1265" s="418"/>
      <c r="X1265" s="418"/>
      <c r="Y1265" s="418"/>
      <c r="Z1265" s="418"/>
      <c r="AA1265" s="418"/>
      <c r="AB1265" s="418"/>
      <c r="AC1265" s="418"/>
      <c r="AD1265" s="418"/>
      <c r="AE1265" s="418"/>
      <c r="AF1265" s="418"/>
      <c r="AG1265" s="418"/>
      <c r="AH1265" s="418"/>
      <c r="AI1265" s="418"/>
      <c r="AJ1265" s="418"/>
      <c r="AK1265" s="418"/>
      <c r="AL1265" s="418"/>
      <c r="AM1265" s="418"/>
      <c r="AN1265" s="423"/>
      <c r="AO1265" s="423"/>
      <c r="AP1265" s="423"/>
      <c r="AQ1265" s="423"/>
      <c r="AR1265" s="423"/>
      <c r="AS1265" s="423"/>
      <c r="AT1265" s="423"/>
      <c r="AU1265" s="423"/>
      <c r="AV1265" s="423"/>
      <c r="AW1265" s="418"/>
      <c r="AX1265" s="418"/>
      <c r="AY1265" s="418"/>
      <c r="AZ1265" s="418"/>
      <c r="BA1265" s="418"/>
      <c r="BB1265" s="306"/>
    </row>
    <row r="1266" spans="1:54" ht="15.75" customHeight="1">
      <c r="A1266" s="415"/>
      <c r="B1266" s="416"/>
      <c r="C1266" s="417"/>
      <c r="D1266" s="418"/>
      <c r="E1266" s="418"/>
      <c r="F1266" s="419"/>
      <c r="G1266" s="420"/>
      <c r="H1266" s="421"/>
      <c r="I1266" s="421"/>
      <c r="J1266" s="422"/>
      <c r="K1266" s="418"/>
      <c r="L1266" s="418"/>
      <c r="M1266" s="418"/>
      <c r="N1266" s="421"/>
      <c r="O1266" s="421"/>
      <c r="P1266" s="421"/>
      <c r="Q1266" s="418"/>
      <c r="R1266" s="1022"/>
      <c r="S1266" s="1022"/>
      <c r="T1266" s="418"/>
      <c r="U1266" s="418"/>
      <c r="V1266" s="418"/>
      <c r="W1266" s="418"/>
      <c r="X1266" s="418"/>
      <c r="Y1266" s="418"/>
      <c r="Z1266" s="418"/>
      <c r="AA1266" s="418"/>
      <c r="AB1266" s="418"/>
      <c r="AC1266" s="418"/>
      <c r="AD1266" s="418"/>
      <c r="AE1266" s="418"/>
      <c r="AF1266" s="418"/>
      <c r="AG1266" s="418"/>
      <c r="AH1266" s="418"/>
      <c r="AI1266" s="418"/>
      <c r="AJ1266" s="418"/>
      <c r="AK1266" s="418"/>
      <c r="AL1266" s="418"/>
      <c r="AM1266" s="418"/>
      <c r="AN1266" s="423"/>
      <c r="AO1266" s="423"/>
      <c r="AP1266" s="423"/>
      <c r="AQ1266" s="423"/>
      <c r="AR1266" s="423"/>
      <c r="AS1266" s="423"/>
      <c r="AT1266" s="423"/>
      <c r="AU1266" s="423"/>
      <c r="AV1266" s="423"/>
      <c r="AW1266" s="418"/>
      <c r="AX1266" s="418"/>
      <c r="AY1266" s="418"/>
      <c r="AZ1266" s="418"/>
      <c r="BA1266" s="418"/>
      <c r="BB1266" s="306"/>
    </row>
    <row r="1267" spans="1:54" ht="15.75" customHeight="1">
      <c r="A1267" s="415"/>
      <c r="B1267" s="416"/>
      <c r="C1267" s="417"/>
      <c r="D1267" s="418"/>
      <c r="E1267" s="418"/>
      <c r="F1267" s="419"/>
      <c r="G1267" s="420"/>
      <c r="H1267" s="421"/>
      <c r="I1267" s="425"/>
      <c r="J1267" s="422"/>
      <c r="K1267" s="418"/>
      <c r="L1267" s="418"/>
      <c r="M1267" s="418"/>
      <c r="N1267" s="421"/>
      <c r="O1267" s="421"/>
      <c r="P1267" s="421"/>
      <c r="Q1267" s="418"/>
      <c r="R1267" s="1022"/>
      <c r="S1267" s="1022"/>
      <c r="T1267" s="418"/>
      <c r="U1267" s="418"/>
      <c r="V1267" s="418"/>
      <c r="W1267" s="418"/>
      <c r="X1267" s="418"/>
      <c r="Y1267" s="418"/>
      <c r="Z1267" s="418"/>
      <c r="AA1267" s="418"/>
      <c r="AB1267" s="418"/>
      <c r="AC1267" s="418"/>
      <c r="AD1267" s="418"/>
      <c r="AE1267" s="418"/>
      <c r="AF1267" s="418"/>
      <c r="AG1267" s="418"/>
      <c r="AH1267" s="418"/>
      <c r="AI1267" s="418"/>
      <c r="AJ1267" s="418"/>
      <c r="AK1267" s="418"/>
      <c r="AL1267" s="418"/>
      <c r="AM1267" s="418"/>
      <c r="AN1267" s="423"/>
      <c r="AO1267" s="423"/>
      <c r="AP1267" s="423"/>
      <c r="AQ1267" s="423"/>
      <c r="AR1267" s="423"/>
      <c r="AS1267" s="423"/>
      <c r="AT1267" s="423"/>
      <c r="AU1267" s="423"/>
      <c r="AV1267" s="423"/>
      <c r="AW1267" s="418"/>
      <c r="AX1267" s="418"/>
      <c r="AY1267" s="418"/>
      <c r="AZ1267" s="418"/>
      <c r="BA1267" s="418"/>
      <c r="BB1267" s="306"/>
    </row>
    <row r="1268" spans="1:54" ht="15.75" customHeight="1">
      <c r="A1268" s="415"/>
      <c r="B1268" s="416"/>
      <c r="C1268" s="417"/>
      <c r="D1268" s="418"/>
      <c r="E1268" s="418"/>
      <c r="F1268" s="419"/>
      <c r="G1268" s="420"/>
      <c r="H1268" s="421"/>
      <c r="I1268" s="421"/>
      <c r="J1268" s="422"/>
      <c r="K1268" s="418"/>
      <c r="L1268" s="418"/>
      <c r="M1268" s="418"/>
      <c r="N1268" s="421"/>
      <c r="O1268" s="421"/>
      <c r="P1268" s="421"/>
      <c r="Q1268" s="418"/>
      <c r="R1268" s="1022"/>
      <c r="S1268" s="1022"/>
      <c r="T1268" s="418"/>
      <c r="U1268" s="418"/>
      <c r="V1268" s="418"/>
      <c r="W1268" s="418"/>
      <c r="X1268" s="418"/>
      <c r="Y1268" s="418"/>
      <c r="Z1268" s="418"/>
      <c r="AA1268" s="418"/>
      <c r="AB1268" s="418"/>
      <c r="AC1268" s="418"/>
      <c r="AD1268" s="418"/>
      <c r="AE1268" s="418"/>
      <c r="AF1268" s="418"/>
      <c r="AG1268" s="418"/>
      <c r="AH1268" s="418"/>
      <c r="AI1268" s="418"/>
      <c r="AJ1268" s="418"/>
      <c r="AK1268" s="418"/>
      <c r="AL1268" s="418"/>
      <c r="AM1268" s="418"/>
      <c r="AN1268" s="423"/>
      <c r="AO1268" s="423"/>
      <c r="AP1268" s="423"/>
      <c r="AQ1268" s="423"/>
      <c r="AR1268" s="423"/>
      <c r="AS1268" s="423"/>
      <c r="AT1268" s="423"/>
      <c r="AU1268" s="423"/>
      <c r="AV1268" s="423"/>
      <c r="AW1268" s="418"/>
      <c r="AX1268" s="418"/>
      <c r="AY1268" s="418"/>
      <c r="AZ1268" s="418"/>
      <c r="BA1268" s="418"/>
      <c r="BB1268" s="306"/>
    </row>
    <row r="1269" spans="1:54" ht="15.75" customHeight="1">
      <c r="A1269" s="415"/>
      <c r="B1269" s="416"/>
      <c r="C1269" s="417"/>
      <c r="D1269" s="418"/>
      <c r="E1269" s="418"/>
      <c r="F1269" s="419"/>
      <c r="G1269" s="420"/>
      <c r="H1269" s="421"/>
      <c r="I1269" s="421"/>
      <c r="J1269" s="422"/>
      <c r="K1269" s="418"/>
      <c r="L1269" s="418"/>
      <c r="M1269" s="418"/>
      <c r="N1269" s="421"/>
      <c r="O1269" s="421"/>
      <c r="P1269" s="421"/>
      <c r="Q1269" s="418"/>
      <c r="R1269" s="1022"/>
      <c r="S1269" s="1022"/>
      <c r="T1269" s="418"/>
      <c r="U1269" s="418"/>
      <c r="V1269" s="418"/>
      <c r="W1269" s="418"/>
      <c r="X1269" s="418"/>
      <c r="Y1269" s="418"/>
      <c r="Z1269" s="418"/>
      <c r="AA1269" s="418"/>
      <c r="AB1269" s="418"/>
      <c r="AC1269" s="418"/>
      <c r="AD1269" s="418"/>
      <c r="AE1269" s="418"/>
      <c r="AF1269" s="418"/>
      <c r="AG1269" s="418"/>
      <c r="AH1269" s="418"/>
      <c r="AI1269" s="418"/>
      <c r="AJ1269" s="418"/>
      <c r="AK1269" s="418"/>
      <c r="AL1269" s="418"/>
      <c r="AM1269" s="418"/>
      <c r="AN1269" s="423"/>
      <c r="AO1269" s="423"/>
      <c r="AP1269" s="423"/>
      <c r="AQ1269" s="423"/>
      <c r="AR1269" s="423"/>
      <c r="AS1269" s="423"/>
      <c r="AT1269" s="423"/>
      <c r="AU1269" s="423"/>
      <c r="AV1269" s="423"/>
      <c r="AW1269" s="418"/>
      <c r="AX1269" s="418"/>
      <c r="AY1269" s="418"/>
      <c r="AZ1269" s="418"/>
      <c r="BA1269" s="418"/>
      <c r="BB1269" s="306"/>
    </row>
    <row r="1270" spans="1:54" ht="15.75" customHeight="1">
      <c r="A1270" s="415"/>
      <c r="B1270" s="416"/>
      <c r="C1270" s="417"/>
      <c r="D1270" s="418"/>
      <c r="E1270" s="418"/>
      <c r="F1270" s="419"/>
      <c r="G1270" s="420"/>
      <c r="H1270" s="421"/>
      <c r="I1270" s="425"/>
      <c r="J1270" s="422"/>
      <c r="K1270" s="418"/>
      <c r="L1270" s="418"/>
      <c r="M1270" s="418"/>
      <c r="N1270" s="421"/>
      <c r="O1270" s="421"/>
      <c r="P1270" s="421"/>
      <c r="Q1270" s="418"/>
      <c r="R1270" s="1022"/>
      <c r="S1270" s="1022"/>
      <c r="T1270" s="418"/>
      <c r="U1270" s="418"/>
      <c r="V1270" s="418"/>
      <c r="W1270" s="418"/>
      <c r="X1270" s="418"/>
      <c r="Y1270" s="418"/>
      <c r="Z1270" s="418"/>
      <c r="AA1270" s="418"/>
      <c r="AB1270" s="418"/>
      <c r="AC1270" s="418"/>
      <c r="AD1270" s="418"/>
      <c r="AE1270" s="418"/>
      <c r="AF1270" s="418"/>
      <c r="AG1270" s="418"/>
      <c r="AH1270" s="418"/>
      <c r="AI1270" s="418"/>
      <c r="AJ1270" s="418"/>
      <c r="AK1270" s="418"/>
      <c r="AL1270" s="418"/>
      <c r="AM1270" s="418"/>
      <c r="AN1270" s="423"/>
      <c r="AO1270" s="423"/>
      <c r="AP1270" s="423"/>
      <c r="AQ1270" s="423"/>
      <c r="AR1270" s="423"/>
      <c r="AS1270" s="423"/>
      <c r="AT1270" s="423"/>
      <c r="AU1270" s="423"/>
      <c r="AV1270" s="423"/>
      <c r="AW1270" s="418"/>
      <c r="AX1270" s="418"/>
      <c r="AY1270" s="418"/>
      <c r="AZ1270" s="418"/>
      <c r="BA1270" s="418"/>
      <c r="BB1270" s="306"/>
    </row>
    <row r="1271" spans="1:54" ht="15.75" customHeight="1">
      <c r="A1271" s="415"/>
      <c r="B1271" s="416"/>
      <c r="C1271" s="417"/>
      <c r="D1271" s="418"/>
      <c r="E1271" s="418"/>
      <c r="F1271" s="419"/>
      <c r="G1271" s="420"/>
      <c r="H1271" s="421"/>
      <c r="I1271" s="421"/>
      <c r="J1271" s="422"/>
      <c r="K1271" s="418"/>
      <c r="L1271" s="418"/>
      <c r="M1271" s="418"/>
      <c r="N1271" s="421"/>
      <c r="O1271" s="421"/>
      <c r="P1271" s="421"/>
      <c r="Q1271" s="418"/>
      <c r="R1271" s="1022"/>
      <c r="S1271" s="1022"/>
      <c r="T1271" s="418"/>
      <c r="U1271" s="418"/>
      <c r="V1271" s="418"/>
      <c r="W1271" s="418"/>
      <c r="X1271" s="418"/>
      <c r="Y1271" s="418"/>
      <c r="Z1271" s="418"/>
      <c r="AA1271" s="418"/>
      <c r="AB1271" s="418"/>
      <c r="AC1271" s="418"/>
      <c r="AD1271" s="418"/>
      <c r="AE1271" s="418"/>
      <c r="AF1271" s="418"/>
      <c r="AG1271" s="418"/>
      <c r="AH1271" s="418"/>
      <c r="AI1271" s="418"/>
      <c r="AJ1271" s="418"/>
      <c r="AK1271" s="418"/>
      <c r="AL1271" s="418"/>
      <c r="AM1271" s="418"/>
      <c r="AN1271" s="423"/>
      <c r="AO1271" s="423"/>
      <c r="AP1271" s="423"/>
      <c r="AQ1271" s="423"/>
      <c r="AR1271" s="423"/>
      <c r="AS1271" s="423"/>
      <c r="AT1271" s="423"/>
      <c r="AU1271" s="423"/>
      <c r="AV1271" s="423"/>
      <c r="AW1271" s="418"/>
      <c r="AX1271" s="418"/>
      <c r="AY1271" s="418"/>
      <c r="AZ1271" s="418"/>
      <c r="BA1271" s="418"/>
      <c r="BB1271" s="306"/>
    </row>
    <row r="1272" spans="1:54" ht="15.75" customHeight="1">
      <c r="A1272" s="415"/>
      <c r="B1272" s="416"/>
      <c r="C1272" s="417"/>
      <c r="D1272" s="418"/>
      <c r="E1272" s="418"/>
      <c r="F1272" s="419"/>
      <c r="G1272" s="420"/>
      <c r="H1272" s="421"/>
      <c r="I1272" s="421"/>
      <c r="J1272" s="422"/>
      <c r="K1272" s="418"/>
      <c r="L1272" s="418"/>
      <c r="M1272" s="418"/>
      <c r="N1272" s="421"/>
      <c r="O1272" s="421"/>
      <c r="P1272" s="421"/>
      <c r="Q1272" s="418"/>
      <c r="R1272" s="1022"/>
      <c r="S1272" s="1022"/>
      <c r="T1272" s="418"/>
      <c r="U1272" s="418"/>
      <c r="V1272" s="418"/>
      <c r="W1272" s="418"/>
      <c r="X1272" s="418"/>
      <c r="Y1272" s="418"/>
      <c r="Z1272" s="418"/>
      <c r="AA1272" s="418"/>
      <c r="AB1272" s="418"/>
      <c r="AC1272" s="418"/>
      <c r="AD1272" s="418"/>
      <c r="AE1272" s="418"/>
      <c r="AF1272" s="418"/>
      <c r="AG1272" s="418"/>
      <c r="AH1272" s="418"/>
      <c r="AI1272" s="418"/>
      <c r="AJ1272" s="418"/>
      <c r="AK1272" s="418"/>
      <c r="AL1272" s="418"/>
      <c r="AM1272" s="418"/>
      <c r="AN1272" s="423"/>
      <c r="AO1272" s="423"/>
      <c r="AP1272" s="423"/>
      <c r="AQ1272" s="423"/>
      <c r="AR1272" s="423"/>
      <c r="AS1272" s="423"/>
      <c r="AT1272" s="423"/>
      <c r="AU1272" s="423"/>
      <c r="AV1272" s="423"/>
      <c r="AW1272" s="418"/>
      <c r="AX1272" s="418"/>
      <c r="AY1272" s="418"/>
      <c r="AZ1272" s="418"/>
      <c r="BA1272" s="418"/>
      <c r="BB1272" s="306"/>
    </row>
    <row r="1273" spans="1:54" ht="15.75" customHeight="1">
      <c r="A1273" s="415"/>
      <c r="B1273" s="416"/>
      <c r="C1273" s="417"/>
      <c r="D1273" s="418"/>
      <c r="E1273" s="418"/>
      <c r="F1273" s="419"/>
      <c r="G1273" s="420"/>
      <c r="H1273" s="421"/>
      <c r="I1273" s="425"/>
      <c r="J1273" s="422"/>
      <c r="K1273" s="418"/>
      <c r="L1273" s="418"/>
      <c r="M1273" s="418"/>
      <c r="N1273" s="421"/>
      <c r="O1273" s="421"/>
      <c r="P1273" s="421"/>
      <c r="Q1273" s="418"/>
      <c r="R1273" s="1022"/>
      <c r="S1273" s="1022"/>
      <c r="T1273" s="418"/>
      <c r="U1273" s="418"/>
      <c r="V1273" s="418"/>
      <c r="W1273" s="418"/>
      <c r="X1273" s="418"/>
      <c r="Y1273" s="418"/>
      <c r="Z1273" s="418"/>
      <c r="AA1273" s="418"/>
      <c r="AB1273" s="418"/>
      <c r="AC1273" s="418"/>
      <c r="AD1273" s="418"/>
      <c r="AE1273" s="418"/>
      <c r="AF1273" s="418"/>
      <c r="AG1273" s="418"/>
      <c r="AH1273" s="418"/>
      <c r="AI1273" s="418"/>
      <c r="AJ1273" s="418"/>
      <c r="AK1273" s="418"/>
      <c r="AL1273" s="418"/>
      <c r="AM1273" s="418"/>
      <c r="AN1273" s="423"/>
      <c r="AO1273" s="423"/>
      <c r="AP1273" s="423"/>
      <c r="AQ1273" s="423"/>
      <c r="AR1273" s="423"/>
      <c r="AS1273" s="423"/>
      <c r="AT1273" s="423"/>
      <c r="AU1273" s="423"/>
      <c r="AV1273" s="423"/>
      <c r="AW1273" s="418"/>
      <c r="AX1273" s="418"/>
      <c r="AY1273" s="418"/>
      <c r="AZ1273" s="418"/>
      <c r="BA1273" s="418"/>
      <c r="BB1273" s="306"/>
    </row>
    <row r="1274" spans="1:54" ht="15.75" customHeight="1">
      <c r="A1274" s="415"/>
      <c r="B1274" s="416"/>
      <c r="C1274" s="417"/>
      <c r="D1274" s="418"/>
      <c r="E1274" s="418"/>
      <c r="F1274" s="419"/>
      <c r="G1274" s="420"/>
      <c r="H1274" s="421"/>
      <c r="I1274" s="421"/>
      <c r="J1274" s="422"/>
      <c r="K1274" s="418"/>
      <c r="L1274" s="418"/>
      <c r="M1274" s="418"/>
      <c r="N1274" s="421"/>
      <c r="O1274" s="421"/>
      <c r="P1274" s="421"/>
      <c r="Q1274" s="418"/>
      <c r="R1274" s="1022"/>
      <c r="S1274" s="1022"/>
      <c r="T1274" s="418"/>
      <c r="U1274" s="418"/>
      <c r="V1274" s="418"/>
      <c r="W1274" s="418"/>
      <c r="X1274" s="418"/>
      <c r="Y1274" s="418"/>
      <c r="Z1274" s="418"/>
      <c r="AA1274" s="418"/>
      <c r="AB1274" s="418"/>
      <c r="AC1274" s="418"/>
      <c r="AD1274" s="418"/>
      <c r="AE1274" s="418"/>
      <c r="AF1274" s="418"/>
      <c r="AG1274" s="418"/>
      <c r="AH1274" s="418"/>
      <c r="AI1274" s="418"/>
      <c r="AJ1274" s="418"/>
      <c r="AK1274" s="418"/>
      <c r="AL1274" s="418"/>
      <c r="AM1274" s="418"/>
      <c r="AN1274" s="423"/>
      <c r="AO1274" s="423"/>
      <c r="AP1274" s="423"/>
      <c r="AQ1274" s="423"/>
      <c r="AR1274" s="423"/>
      <c r="AS1274" s="423"/>
      <c r="AT1274" s="423"/>
      <c r="AU1274" s="423"/>
      <c r="AV1274" s="423"/>
      <c r="AW1274" s="418"/>
      <c r="AX1274" s="418"/>
      <c r="AY1274" s="418"/>
      <c r="AZ1274" s="418"/>
      <c r="BA1274" s="418"/>
      <c r="BB1274" s="306"/>
    </row>
    <row r="1275" spans="1:54" ht="15.75" customHeight="1">
      <c r="A1275" s="415"/>
      <c r="B1275" s="416"/>
      <c r="C1275" s="417"/>
      <c r="D1275" s="418"/>
      <c r="E1275" s="418"/>
      <c r="F1275" s="419"/>
      <c r="G1275" s="420"/>
      <c r="H1275" s="421"/>
      <c r="I1275" s="425"/>
      <c r="J1275" s="422"/>
      <c r="K1275" s="418"/>
      <c r="L1275" s="418"/>
      <c r="M1275" s="418"/>
      <c r="N1275" s="421"/>
      <c r="O1275" s="421"/>
      <c r="P1275" s="421"/>
      <c r="Q1275" s="418"/>
      <c r="R1275" s="1022"/>
      <c r="S1275" s="1022"/>
      <c r="T1275" s="418"/>
      <c r="U1275" s="418"/>
      <c r="V1275" s="418"/>
      <c r="W1275" s="418"/>
      <c r="X1275" s="418"/>
      <c r="Y1275" s="418"/>
      <c r="Z1275" s="418"/>
      <c r="AA1275" s="418"/>
      <c r="AB1275" s="418"/>
      <c r="AC1275" s="418"/>
      <c r="AD1275" s="418"/>
      <c r="AE1275" s="418"/>
      <c r="AF1275" s="418"/>
      <c r="AG1275" s="418"/>
      <c r="AH1275" s="418"/>
      <c r="AI1275" s="418"/>
      <c r="AJ1275" s="418"/>
      <c r="AK1275" s="418"/>
      <c r="AL1275" s="418"/>
      <c r="AM1275" s="418"/>
      <c r="AN1275" s="423"/>
      <c r="AO1275" s="423"/>
      <c r="AP1275" s="423"/>
      <c r="AQ1275" s="423"/>
      <c r="AR1275" s="423"/>
      <c r="AS1275" s="423"/>
      <c r="AT1275" s="423"/>
      <c r="AU1275" s="423"/>
      <c r="AV1275" s="423"/>
      <c r="AW1275" s="418"/>
      <c r="AX1275" s="418"/>
      <c r="AY1275" s="418"/>
      <c r="AZ1275" s="418"/>
      <c r="BA1275" s="418"/>
      <c r="BB1275" s="306"/>
    </row>
    <row r="1276" spans="1:54" ht="15.75" customHeight="1">
      <c r="A1276" s="415"/>
      <c r="B1276" s="416"/>
      <c r="C1276" s="417"/>
      <c r="D1276" s="418"/>
      <c r="E1276" s="418"/>
      <c r="F1276" s="419"/>
      <c r="G1276" s="420"/>
      <c r="H1276" s="418"/>
      <c r="I1276" s="419"/>
      <c r="J1276" s="422"/>
      <c r="K1276" s="418"/>
      <c r="L1276" s="418"/>
      <c r="M1276" s="418"/>
      <c r="N1276" s="421"/>
      <c r="O1276" s="421"/>
      <c r="P1276" s="421"/>
      <c r="Q1276" s="418"/>
      <c r="R1276" s="1022"/>
      <c r="S1276" s="1022"/>
      <c r="T1276" s="418"/>
      <c r="U1276" s="418"/>
      <c r="V1276" s="418"/>
      <c r="W1276" s="418"/>
      <c r="X1276" s="418"/>
      <c r="Y1276" s="418"/>
      <c r="Z1276" s="418"/>
      <c r="AA1276" s="418"/>
      <c r="AB1276" s="418"/>
      <c r="AC1276" s="418"/>
      <c r="AD1276" s="418"/>
      <c r="AE1276" s="418"/>
      <c r="AF1276" s="418"/>
      <c r="AG1276" s="418"/>
      <c r="AH1276" s="418"/>
      <c r="AI1276" s="418"/>
      <c r="AJ1276" s="418"/>
      <c r="AK1276" s="418"/>
      <c r="AL1276" s="418"/>
      <c r="AM1276" s="418"/>
      <c r="AN1276" s="423"/>
      <c r="AO1276" s="423"/>
      <c r="AP1276" s="423"/>
      <c r="AQ1276" s="423"/>
      <c r="AR1276" s="423"/>
      <c r="AS1276" s="423"/>
      <c r="AT1276" s="423"/>
      <c r="AU1276" s="423"/>
      <c r="AV1276" s="423"/>
      <c r="AW1276" s="418"/>
      <c r="AX1276" s="418"/>
      <c r="AY1276" s="418"/>
      <c r="AZ1276" s="418"/>
      <c r="BA1276" s="418"/>
      <c r="BB1276" s="306"/>
    </row>
    <row r="1277" spans="1:54" ht="15.75" customHeight="1">
      <c r="A1277" s="415"/>
      <c r="B1277" s="416"/>
      <c r="C1277" s="417"/>
      <c r="D1277" s="418"/>
      <c r="E1277" s="418"/>
      <c r="F1277" s="419"/>
      <c r="G1277" s="420"/>
      <c r="H1277" s="418"/>
      <c r="I1277" s="419"/>
      <c r="J1277" s="422"/>
      <c r="K1277" s="418"/>
      <c r="L1277" s="418"/>
      <c r="M1277" s="418"/>
      <c r="N1277" s="421"/>
      <c r="O1277" s="421"/>
      <c r="P1277" s="421"/>
      <c r="Q1277" s="418"/>
      <c r="R1277" s="1022"/>
      <c r="S1277" s="1022"/>
      <c r="T1277" s="418"/>
      <c r="U1277" s="418"/>
      <c r="V1277" s="418"/>
      <c r="W1277" s="418"/>
      <c r="X1277" s="418"/>
      <c r="Y1277" s="418"/>
      <c r="Z1277" s="418"/>
      <c r="AA1277" s="418"/>
      <c r="AB1277" s="418"/>
      <c r="AC1277" s="418"/>
      <c r="AD1277" s="418"/>
      <c r="AE1277" s="418"/>
      <c r="AF1277" s="418"/>
      <c r="AG1277" s="418"/>
      <c r="AH1277" s="418"/>
      <c r="AI1277" s="418"/>
      <c r="AJ1277" s="418"/>
      <c r="AK1277" s="418"/>
      <c r="AL1277" s="418"/>
      <c r="AM1277" s="418"/>
      <c r="AN1277" s="423"/>
      <c r="AO1277" s="423"/>
      <c r="AP1277" s="423"/>
      <c r="AQ1277" s="423"/>
      <c r="AR1277" s="423"/>
      <c r="AS1277" s="423"/>
      <c r="AT1277" s="423"/>
      <c r="AU1277" s="423"/>
      <c r="AV1277" s="423"/>
      <c r="AW1277" s="418"/>
      <c r="AX1277" s="418"/>
      <c r="AY1277" s="418"/>
      <c r="AZ1277" s="418"/>
      <c r="BA1277" s="418"/>
      <c r="BB1277" s="306"/>
    </row>
    <row r="1278" spans="1:54" ht="15.75" customHeight="1">
      <c r="A1278" s="415"/>
      <c r="B1278" s="416"/>
      <c r="C1278" s="417"/>
      <c r="D1278" s="418"/>
      <c r="E1278" s="418"/>
      <c r="F1278" s="419"/>
      <c r="G1278" s="420"/>
      <c r="H1278" s="421"/>
      <c r="I1278" s="421"/>
      <c r="J1278" s="422"/>
      <c r="K1278" s="418"/>
      <c r="L1278" s="418"/>
      <c r="M1278" s="418"/>
      <c r="N1278" s="421"/>
      <c r="O1278" s="421"/>
      <c r="P1278" s="421"/>
      <c r="Q1278" s="418"/>
      <c r="R1278" s="1022"/>
      <c r="S1278" s="1022"/>
      <c r="T1278" s="418"/>
      <c r="U1278" s="418"/>
      <c r="V1278" s="418"/>
      <c r="W1278" s="418"/>
      <c r="X1278" s="418"/>
      <c r="Y1278" s="418"/>
      <c r="Z1278" s="418"/>
      <c r="AA1278" s="418"/>
      <c r="AB1278" s="418"/>
      <c r="AC1278" s="418"/>
      <c r="AD1278" s="418"/>
      <c r="AE1278" s="418"/>
      <c r="AF1278" s="418"/>
      <c r="AG1278" s="418"/>
      <c r="AH1278" s="418"/>
      <c r="AI1278" s="418"/>
      <c r="AJ1278" s="418"/>
      <c r="AK1278" s="418"/>
      <c r="AL1278" s="418"/>
      <c r="AM1278" s="418"/>
      <c r="AN1278" s="423"/>
      <c r="AO1278" s="423"/>
      <c r="AP1278" s="423"/>
      <c r="AQ1278" s="423"/>
      <c r="AR1278" s="423"/>
      <c r="AS1278" s="423"/>
      <c r="AT1278" s="423"/>
      <c r="AU1278" s="423"/>
      <c r="AV1278" s="423"/>
      <c r="AW1278" s="418"/>
      <c r="AX1278" s="418"/>
      <c r="AY1278" s="418"/>
      <c r="AZ1278" s="418"/>
      <c r="BA1278" s="418"/>
      <c r="BB1278" s="306"/>
    </row>
    <row r="1279" spans="1:54" ht="15.75" customHeight="1">
      <c r="A1279" s="415"/>
      <c r="B1279" s="416"/>
      <c r="C1279" s="417"/>
      <c r="D1279" s="418"/>
      <c r="E1279" s="418"/>
      <c r="F1279" s="419"/>
      <c r="G1279" s="420"/>
      <c r="H1279" s="421"/>
      <c r="I1279" s="425"/>
      <c r="J1279" s="422"/>
      <c r="K1279" s="418"/>
      <c r="L1279" s="418"/>
      <c r="M1279" s="418"/>
      <c r="N1279" s="421"/>
      <c r="O1279" s="421"/>
      <c r="P1279" s="421"/>
      <c r="Q1279" s="418"/>
      <c r="R1279" s="1022"/>
      <c r="S1279" s="1022"/>
      <c r="T1279" s="418"/>
      <c r="U1279" s="418"/>
      <c r="V1279" s="418"/>
      <c r="W1279" s="418"/>
      <c r="X1279" s="418"/>
      <c r="Y1279" s="418"/>
      <c r="Z1279" s="418"/>
      <c r="AA1279" s="418"/>
      <c r="AB1279" s="418"/>
      <c r="AC1279" s="418"/>
      <c r="AD1279" s="418"/>
      <c r="AE1279" s="418"/>
      <c r="AF1279" s="418"/>
      <c r="AG1279" s="418"/>
      <c r="AH1279" s="418"/>
      <c r="AI1279" s="418"/>
      <c r="AJ1279" s="418"/>
      <c r="AK1279" s="418"/>
      <c r="AL1279" s="418"/>
      <c r="AM1279" s="418"/>
      <c r="AN1279" s="423"/>
      <c r="AO1279" s="423"/>
      <c r="AP1279" s="423"/>
      <c r="AQ1279" s="423"/>
      <c r="AR1279" s="423"/>
      <c r="AS1279" s="423"/>
      <c r="AT1279" s="423"/>
      <c r="AU1279" s="423"/>
      <c r="AV1279" s="423"/>
      <c r="AW1279" s="418"/>
      <c r="AX1279" s="418"/>
      <c r="AY1279" s="418"/>
      <c r="AZ1279" s="418"/>
      <c r="BA1279" s="418"/>
      <c r="BB1279" s="306"/>
    </row>
    <row r="1280" spans="1:54" ht="15.75" customHeight="1">
      <c r="A1280" s="415"/>
      <c r="B1280" s="416"/>
      <c r="C1280" s="417"/>
      <c r="D1280" s="418"/>
      <c r="E1280" s="418"/>
      <c r="F1280" s="419"/>
      <c r="G1280" s="420"/>
      <c r="H1280" s="421"/>
      <c r="I1280" s="421"/>
      <c r="J1280" s="422"/>
      <c r="K1280" s="418"/>
      <c r="L1280" s="418"/>
      <c r="M1280" s="418"/>
      <c r="N1280" s="421"/>
      <c r="O1280" s="421"/>
      <c r="P1280" s="421"/>
      <c r="Q1280" s="418"/>
      <c r="R1280" s="1022"/>
      <c r="S1280" s="1022"/>
      <c r="T1280" s="418"/>
      <c r="U1280" s="418"/>
      <c r="V1280" s="418"/>
      <c r="W1280" s="418"/>
      <c r="X1280" s="418"/>
      <c r="Y1280" s="418"/>
      <c r="Z1280" s="418"/>
      <c r="AA1280" s="418"/>
      <c r="AB1280" s="418"/>
      <c r="AC1280" s="418"/>
      <c r="AD1280" s="418"/>
      <c r="AE1280" s="418"/>
      <c r="AF1280" s="418"/>
      <c r="AG1280" s="418"/>
      <c r="AH1280" s="418"/>
      <c r="AI1280" s="418"/>
      <c r="AJ1280" s="418"/>
      <c r="AK1280" s="418"/>
      <c r="AL1280" s="418"/>
      <c r="AM1280" s="418"/>
      <c r="AN1280" s="423"/>
      <c r="AO1280" s="423"/>
      <c r="AP1280" s="423"/>
      <c r="AQ1280" s="423"/>
      <c r="AR1280" s="423"/>
      <c r="AS1280" s="423"/>
      <c r="AT1280" s="423"/>
      <c r="AU1280" s="423"/>
      <c r="AV1280" s="423"/>
      <c r="AW1280" s="418"/>
      <c r="AX1280" s="418"/>
      <c r="AY1280" s="418"/>
      <c r="AZ1280" s="418"/>
      <c r="BA1280" s="418"/>
      <c r="BB1280" s="306"/>
    </row>
    <row r="1281" spans="1:54" ht="15.75" customHeight="1">
      <c r="A1281" s="415"/>
      <c r="B1281" s="416"/>
      <c r="C1281" s="417"/>
      <c r="D1281" s="418"/>
      <c r="E1281" s="418"/>
      <c r="F1281" s="419"/>
      <c r="G1281" s="420"/>
      <c r="H1281" s="421"/>
      <c r="I1281" s="421"/>
      <c r="J1281" s="422"/>
      <c r="K1281" s="418"/>
      <c r="L1281" s="418"/>
      <c r="M1281" s="418"/>
      <c r="N1281" s="421"/>
      <c r="O1281" s="421"/>
      <c r="P1281" s="421"/>
      <c r="Q1281" s="418"/>
      <c r="R1281" s="1022"/>
      <c r="S1281" s="1022"/>
      <c r="T1281" s="418"/>
      <c r="U1281" s="418"/>
      <c r="V1281" s="418"/>
      <c r="W1281" s="418"/>
      <c r="X1281" s="418"/>
      <c r="Y1281" s="418"/>
      <c r="Z1281" s="418"/>
      <c r="AA1281" s="418"/>
      <c r="AB1281" s="418"/>
      <c r="AC1281" s="418"/>
      <c r="AD1281" s="418"/>
      <c r="AE1281" s="418"/>
      <c r="AF1281" s="418"/>
      <c r="AG1281" s="418"/>
      <c r="AH1281" s="418"/>
      <c r="AI1281" s="418"/>
      <c r="AJ1281" s="418"/>
      <c r="AK1281" s="418"/>
      <c r="AL1281" s="418"/>
      <c r="AM1281" s="418"/>
      <c r="AN1281" s="423"/>
      <c r="AO1281" s="423"/>
      <c r="AP1281" s="423"/>
      <c r="AQ1281" s="423"/>
      <c r="AR1281" s="423"/>
      <c r="AS1281" s="423"/>
      <c r="AT1281" s="423"/>
      <c r="AU1281" s="423"/>
      <c r="AV1281" s="423"/>
      <c r="AW1281" s="418"/>
      <c r="AX1281" s="418"/>
      <c r="AY1281" s="418"/>
      <c r="AZ1281" s="418"/>
      <c r="BA1281" s="418"/>
      <c r="BB1281" s="306"/>
    </row>
    <row r="1282" spans="1:54" ht="15.75" customHeight="1">
      <c r="A1282" s="415"/>
      <c r="B1282" s="416"/>
      <c r="C1282" s="417"/>
      <c r="D1282" s="418"/>
      <c r="E1282" s="418"/>
      <c r="F1282" s="419"/>
      <c r="G1282" s="420"/>
      <c r="H1282" s="421"/>
      <c r="I1282" s="421"/>
      <c r="J1282" s="422"/>
      <c r="K1282" s="418"/>
      <c r="L1282" s="418"/>
      <c r="M1282" s="418"/>
      <c r="N1282" s="421"/>
      <c r="O1282" s="421"/>
      <c r="P1282" s="421"/>
      <c r="Q1282" s="418"/>
      <c r="R1282" s="1022"/>
      <c r="S1282" s="1022"/>
      <c r="T1282" s="418"/>
      <c r="U1282" s="418"/>
      <c r="V1282" s="418"/>
      <c r="W1282" s="418"/>
      <c r="X1282" s="418"/>
      <c r="Y1282" s="418"/>
      <c r="Z1282" s="418"/>
      <c r="AA1282" s="418"/>
      <c r="AB1282" s="418"/>
      <c r="AC1282" s="418"/>
      <c r="AD1282" s="418"/>
      <c r="AE1282" s="418"/>
      <c r="AF1282" s="418"/>
      <c r="AG1282" s="418"/>
      <c r="AH1282" s="418"/>
      <c r="AI1282" s="418"/>
      <c r="AJ1282" s="418"/>
      <c r="AK1282" s="418"/>
      <c r="AL1282" s="418"/>
      <c r="AM1282" s="418"/>
      <c r="AN1282" s="423"/>
      <c r="AO1282" s="423"/>
      <c r="AP1282" s="423"/>
      <c r="AQ1282" s="423"/>
      <c r="AR1282" s="423"/>
      <c r="AS1282" s="423"/>
      <c r="AT1282" s="423"/>
      <c r="AU1282" s="423"/>
      <c r="AV1282" s="423"/>
      <c r="AW1282" s="418"/>
      <c r="AX1282" s="418"/>
      <c r="AY1282" s="418"/>
      <c r="AZ1282" s="418"/>
      <c r="BA1282" s="418"/>
      <c r="BB1282" s="306"/>
    </row>
    <row r="1283" spans="1:54" ht="15.75" customHeight="1">
      <c r="A1283" s="415"/>
      <c r="B1283" s="416"/>
      <c r="C1283" s="417"/>
      <c r="D1283" s="418"/>
      <c r="E1283" s="418"/>
      <c r="F1283" s="419"/>
      <c r="G1283" s="420"/>
      <c r="H1283" s="421"/>
      <c r="I1283" s="421"/>
      <c r="J1283" s="422"/>
      <c r="K1283" s="418"/>
      <c r="L1283" s="418"/>
      <c r="M1283" s="418"/>
      <c r="N1283" s="421"/>
      <c r="O1283" s="421"/>
      <c r="P1283" s="421"/>
      <c r="Q1283" s="418"/>
      <c r="R1283" s="1022"/>
      <c r="S1283" s="1022"/>
      <c r="T1283" s="418"/>
      <c r="U1283" s="418"/>
      <c r="V1283" s="418"/>
      <c r="W1283" s="418"/>
      <c r="X1283" s="418"/>
      <c r="Y1283" s="418"/>
      <c r="Z1283" s="418"/>
      <c r="AA1283" s="418"/>
      <c r="AB1283" s="418"/>
      <c r="AC1283" s="418"/>
      <c r="AD1283" s="418"/>
      <c r="AE1283" s="418"/>
      <c r="AF1283" s="418"/>
      <c r="AG1283" s="418"/>
      <c r="AH1283" s="418"/>
      <c r="AI1283" s="418"/>
      <c r="AJ1283" s="418"/>
      <c r="AK1283" s="418"/>
      <c r="AL1283" s="418"/>
      <c r="AM1283" s="418"/>
      <c r="AN1283" s="423"/>
      <c r="AO1283" s="423"/>
      <c r="AP1283" s="423"/>
      <c r="AQ1283" s="423"/>
      <c r="AR1283" s="423"/>
      <c r="AS1283" s="423"/>
      <c r="AT1283" s="423"/>
      <c r="AU1283" s="423"/>
      <c r="AV1283" s="423"/>
      <c r="AW1283" s="418"/>
      <c r="AX1283" s="418"/>
      <c r="AY1283" s="418"/>
      <c r="AZ1283" s="418"/>
      <c r="BA1283" s="418"/>
      <c r="BB1283" s="306"/>
    </row>
    <row r="1284" spans="1:54" ht="15.75" customHeight="1">
      <c r="A1284" s="415"/>
      <c r="B1284" s="416"/>
      <c r="C1284" s="417"/>
      <c r="D1284" s="418"/>
      <c r="E1284" s="418"/>
      <c r="F1284" s="419"/>
      <c r="G1284" s="420"/>
      <c r="H1284" s="421"/>
      <c r="I1284" s="421"/>
      <c r="J1284" s="422"/>
      <c r="K1284" s="418"/>
      <c r="L1284" s="418"/>
      <c r="M1284" s="418"/>
      <c r="N1284" s="421"/>
      <c r="O1284" s="421"/>
      <c r="P1284" s="421"/>
      <c r="Q1284" s="418"/>
      <c r="R1284" s="1022"/>
      <c r="S1284" s="1022"/>
      <c r="T1284" s="418"/>
      <c r="U1284" s="418"/>
      <c r="V1284" s="418"/>
      <c r="W1284" s="418"/>
      <c r="X1284" s="418"/>
      <c r="Y1284" s="418"/>
      <c r="Z1284" s="418"/>
      <c r="AA1284" s="418"/>
      <c r="AB1284" s="418"/>
      <c r="AC1284" s="418"/>
      <c r="AD1284" s="418"/>
      <c r="AE1284" s="418"/>
      <c r="AF1284" s="418"/>
      <c r="AG1284" s="418"/>
      <c r="AH1284" s="418"/>
      <c r="AI1284" s="418"/>
      <c r="AJ1284" s="418"/>
      <c r="AK1284" s="418"/>
      <c r="AL1284" s="418"/>
      <c r="AM1284" s="418"/>
      <c r="AN1284" s="423"/>
      <c r="AO1284" s="423"/>
      <c r="AP1284" s="423"/>
      <c r="AQ1284" s="423"/>
      <c r="AR1284" s="423"/>
      <c r="AS1284" s="423"/>
      <c r="AT1284" s="423"/>
      <c r="AU1284" s="423"/>
      <c r="AV1284" s="423"/>
      <c r="AW1284" s="418"/>
      <c r="AX1284" s="418"/>
      <c r="AY1284" s="418"/>
      <c r="AZ1284" s="418"/>
      <c r="BA1284" s="418"/>
      <c r="BB1284" s="306"/>
    </row>
    <row r="1285" spans="1:54" ht="15.75" customHeight="1">
      <c r="A1285" s="415"/>
      <c r="B1285" s="416"/>
      <c r="C1285" s="417"/>
      <c r="D1285" s="418"/>
      <c r="E1285" s="418"/>
      <c r="F1285" s="419"/>
      <c r="G1285" s="420"/>
      <c r="H1285" s="421"/>
      <c r="I1285" s="421"/>
      <c r="J1285" s="422"/>
      <c r="K1285" s="418"/>
      <c r="L1285" s="418"/>
      <c r="M1285" s="418"/>
      <c r="N1285" s="421"/>
      <c r="O1285" s="421"/>
      <c r="P1285" s="421"/>
      <c r="Q1285" s="418"/>
      <c r="R1285" s="1022"/>
      <c r="S1285" s="1022"/>
      <c r="T1285" s="418"/>
      <c r="U1285" s="418"/>
      <c r="V1285" s="418"/>
      <c r="W1285" s="418"/>
      <c r="X1285" s="418"/>
      <c r="Y1285" s="418"/>
      <c r="Z1285" s="418"/>
      <c r="AA1285" s="418"/>
      <c r="AB1285" s="418"/>
      <c r="AC1285" s="418"/>
      <c r="AD1285" s="418"/>
      <c r="AE1285" s="418"/>
      <c r="AF1285" s="418"/>
      <c r="AG1285" s="418"/>
      <c r="AH1285" s="418"/>
      <c r="AI1285" s="418"/>
      <c r="AJ1285" s="418"/>
      <c r="AK1285" s="418"/>
      <c r="AL1285" s="418"/>
      <c r="AM1285" s="418"/>
      <c r="AN1285" s="423"/>
      <c r="AO1285" s="423"/>
      <c r="AP1285" s="423"/>
      <c r="AQ1285" s="423"/>
      <c r="AR1285" s="423"/>
      <c r="AS1285" s="423"/>
      <c r="AT1285" s="423"/>
      <c r="AU1285" s="423"/>
      <c r="AV1285" s="423"/>
      <c r="AW1285" s="418"/>
      <c r="AX1285" s="418"/>
      <c r="AY1285" s="418"/>
      <c r="AZ1285" s="418"/>
      <c r="BA1285" s="418"/>
      <c r="BB1285" s="306"/>
    </row>
    <row r="1286" spans="1:54" ht="15.75" customHeight="1">
      <c r="A1286" s="415"/>
      <c r="B1286" s="416"/>
      <c r="C1286" s="417"/>
      <c r="D1286" s="418"/>
      <c r="E1286" s="418"/>
      <c r="F1286" s="419"/>
      <c r="G1286" s="420"/>
      <c r="H1286" s="421"/>
      <c r="I1286" s="421"/>
      <c r="J1286" s="422"/>
      <c r="K1286" s="418"/>
      <c r="L1286" s="418"/>
      <c r="M1286" s="418"/>
      <c r="N1286" s="421"/>
      <c r="O1286" s="421"/>
      <c r="P1286" s="421"/>
      <c r="Q1286" s="418"/>
      <c r="R1286" s="1022"/>
      <c r="S1286" s="1022"/>
      <c r="T1286" s="418"/>
      <c r="U1286" s="418"/>
      <c r="V1286" s="418"/>
      <c r="W1286" s="418"/>
      <c r="X1286" s="418"/>
      <c r="Y1286" s="418"/>
      <c r="Z1286" s="418"/>
      <c r="AA1286" s="418"/>
      <c r="AB1286" s="418"/>
      <c r="AC1286" s="418"/>
      <c r="AD1286" s="418"/>
      <c r="AE1286" s="418"/>
      <c r="AF1286" s="418"/>
      <c r="AG1286" s="418"/>
      <c r="AH1286" s="418"/>
      <c r="AI1286" s="418"/>
      <c r="AJ1286" s="418"/>
      <c r="AK1286" s="418"/>
      <c r="AL1286" s="418"/>
      <c r="AM1286" s="418"/>
      <c r="AN1286" s="423"/>
      <c r="AO1286" s="423"/>
      <c r="AP1286" s="423"/>
      <c r="AQ1286" s="423"/>
      <c r="AR1286" s="423"/>
      <c r="AS1286" s="423"/>
      <c r="AT1286" s="423"/>
      <c r="AU1286" s="423"/>
      <c r="AV1286" s="423"/>
      <c r="AW1286" s="418"/>
      <c r="AX1286" s="418"/>
      <c r="AY1286" s="418"/>
      <c r="AZ1286" s="418"/>
      <c r="BA1286" s="418"/>
      <c r="BB1286" s="306"/>
    </row>
    <row r="1287" spans="1:54" ht="15.75" customHeight="1">
      <c r="A1287" s="415"/>
      <c r="B1287" s="416"/>
      <c r="C1287" s="417"/>
      <c r="D1287" s="418"/>
      <c r="E1287" s="418"/>
      <c r="F1287" s="419"/>
      <c r="G1287" s="420"/>
      <c r="H1287" s="421"/>
      <c r="I1287" s="421"/>
      <c r="J1287" s="422"/>
      <c r="K1287" s="418"/>
      <c r="L1287" s="418"/>
      <c r="M1287" s="418"/>
      <c r="N1287" s="421"/>
      <c r="O1287" s="421"/>
      <c r="P1287" s="421"/>
      <c r="Q1287" s="418"/>
      <c r="R1287" s="1022"/>
      <c r="S1287" s="1022"/>
      <c r="T1287" s="418"/>
      <c r="U1287" s="418"/>
      <c r="V1287" s="418"/>
      <c r="W1287" s="418"/>
      <c r="X1287" s="418"/>
      <c r="Y1287" s="418"/>
      <c r="Z1287" s="418"/>
      <c r="AA1287" s="418"/>
      <c r="AB1287" s="418"/>
      <c r="AC1287" s="418"/>
      <c r="AD1287" s="418"/>
      <c r="AE1287" s="418"/>
      <c r="AF1287" s="418"/>
      <c r="AG1287" s="418"/>
      <c r="AH1287" s="418"/>
      <c r="AI1287" s="418"/>
      <c r="AJ1287" s="418"/>
      <c r="AK1287" s="418"/>
      <c r="AL1287" s="418"/>
      <c r="AM1287" s="418"/>
      <c r="AN1287" s="423"/>
      <c r="AO1287" s="423"/>
      <c r="AP1287" s="423"/>
      <c r="AQ1287" s="423"/>
      <c r="AR1287" s="423"/>
      <c r="AS1287" s="423"/>
      <c r="AT1287" s="423"/>
      <c r="AU1287" s="423"/>
      <c r="AV1287" s="423"/>
      <c r="AW1287" s="418"/>
      <c r="AX1287" s="418"/>
      <c r="AY1287" s="418"/>
      <c r="AZ1287" s="418"/>
      <c r="BA1287" s="418"/>
      <c r="BB1287" s="306"/>
    </row>
    <row r="1288" spans="1:54" ht="15.75" customHeight="1">
      <c r="A1288" s="415"/>
      <c r="B1288" s="416"/>
      <c r="C1288" s="417"/>
      <c r="D1288" s="418"/>
      <c r="E1288" s="418"/>
      <c r="F1288" s="419"/>
      <c r="G1288" s="420"/>
      <c r="H1288" s="421"/>
      <c r="I1288" s="421"/>
      <c r="J1288" s="422"/>
      <c r="K1288" s="418"/>
      <c r="L1288" s="418"/>
      <c r="M1288" s="418"/>
      <c r="N1288" s="421"/>
      <c r="O1288" s="421"/>
      <c r="P1288" s="421"/>
      <c r="Q1288" s="418"/>
      <c r="R1288" s="1022"/>
      <c r="S1288" s="1022"/>
      <c r="T1288" s="418"/>
      <c r="U1288" s="418"/>
      <c r="V1288" s="418"/>
      <c r="W1288" s="418"/>
      <c r="X1288" s="418"/>
      <c r="Y1288" s="418"/>
      <c r="Z1288" s="418"/>
      <c r="AA1288" s="418"/>
      <c r="AB1288" s="418"/>
      <c r="AC1288" s="418"/>
      <c r="AD1288" s="418"/>
      <c r="AE1288" s="418"/>
      <c r="AF1288" s="418"/>
      <c r="AG1288" s="418"/>
      <c r="AH1288" s="418"/>
      <c r="AI1288" s="418"/>
      <c r="AJ1288" s="418"/>
      <c r="AK1288" s="418"/>
      <c r="AL1288" s="418"/>
      <c r="AM1288" s="418"/>
      <c r="AN1288" s="423"/>
      <c r="AO1288" s="423"/>
      <c r="AP1288" s="423"/>
      <c r="AQ1288" s="423"/>
      <c r="AR1288" s="423"/>
      <c r="AS1288" s="423"/>
      <c r="AT1288" s="423"/>
      <c r="AU1288" s="423"/>
      <c r="AV1288" s="423"/>
      <c r="AW1288" s="418"/>
      <c r="AX1288" s="418"/>
      <c r="AY1288" s="418"/>
      <c r="AZ1288" s="418"/>
      <c r="BA1288" s="418"/>
      <c r="BB1288" s="306"/>
    </row>
    <row r="1289" spans="1:54" ht="15.75" customHeight="1">
      <c r="A1289" s="415"/>
      <c r="B1289" s="416"/>
      <c r="C1289" s="417"/>
      <c r="D1289" s="418"/>
      <c r="E1289" s="418"/>
      <c r="F1289" s="419"/>
      <c r="G1289" s="420"/>
      <c r="H1289" s="421"/>
      <c r="I1289" s="421"/>
      <c r="J1289" s="422"/>
      <c r="K1289" s="418"/>
      <c r="L1289" s="418"/>
      <c r="M1289" s="418"/>
      <c r="N1289" s="421"/>
      <c r="O1289" s="421"/>
      <c r="P1289" s="421"/>
      <c r="Q1289" s="418"/>
      <c r="R1289" s="1022"/>
      <c r="S1289" s="1022"/>
      <c r="T1289" s="418"/>
      <c r="U1289" s="418"/>
      <c r="V1289" s="418"/>
      <c r="W1289" s="418"/>
      <c r="X1289" s="418"/>
      <c r="Y1289" s="418"/>
      <c r="Z1289" s="418"/>
      <c r="AA1289" s="418"/>
      <c r="AB1289" s="418"/>
      <c r="AC1289" s="418"/>
      <c r="AD1289" s="418"/>
      <c r="AE1289" s="418"/>
      <c r="AF1289" s="418"/>
      <c r="AG1289" s="418"/>
      <c r="AH1289" s="418"/>
      <c r="AI1289" s="418"/>
      <c r="AJ1289" s="418"/>
      <c r="AK1289" s="418"/>
      <c r="AL1289" s="418"/>
      <c r="AM1289" s="418"/>
      <c r="AN1289" s="423"/>
      <c r="AO1289" s="423"/>
      <c r="AP1289" s="423"/>
      <c r="AQ1289" s="423"/>
      <c r="AR1289" s="423"/>
      <c r="AS1289" s="423"/>
      <c r="AT1289" s="423"/>
      <c r="AU1289" s="423"/>
      <c r="AV1289" s="423"/>
      <c r="AW1289" s="418"/>
      <c r="AX1289" s="418"/>
      <c r="AY1289" s="418"/>
      <c r="AZ1289" s="418"/>
      <c r="BA1289" s="418"/>
      <c r="BB1289" s="306"/>
    </row>
    <row r="1290" spans="1:54" ht="15.75" customHeight="1">
      <c r="A1290" s="415"/>
      <c r="B1290" s="416"/>
      <c r="C1290" s="417"/>
      <c r="D1290" s="418"/>
      <c r="E1290" s="418"/>
      <c r="F1290" s="419"/>
      <c r="G1290" s="420"/>
      <c r="H1290" s="421"/>
      <c r="I1290" s="421"/>
      <c r="J1290" s="422"/>
      <c r="K1290" s="418"/>
      <c r="L1290" s="418"/>
      <c r="M1290" s="418"/>
      <c r="N1290" s="421"/>
      <c r="O1290" s="421"/>
      <c r="P1290" s="421"/>
      <c r="Q1290" s="418"/>
      <c r="R1290" s="1022"/>
      <c r="S1290" s="1022"/>
      <c r="T1290" s="418"/>
      <c r="U1290" s="418"/>
      <c r="V1290" s="418"/>
      <c r="W1290" s="418"/>
      <c r="X1290" s="418"/>
      <c r="Y1290" s="418"/>
      <c r="Z1290" s="418"/>
      <c r="AA1290" s="418"/>
      <c r="AB1290" s="418"/>
      <c r="AC1290" s="418"/>
      <c r="AD1290" s="418"/>
      <c r="AE1290" s="418"/>
      <c r="AF1290" s="418"/>
      <c r="AG1290" s="418"/>
      <c r="AH1290" s="418"/>
      <c r="AI1290" s="418"/>
      <c r="AJ1290" s="418"/>
      <c r="AK1290" s="418"/>
      <c r="AL1290" s="418"/>
      <c r="AM1290" s="418"/>
      <c r="AN1290" s="423"/>
      <c r="AO1290" s="423"/>
      <c r="AP1290" s="423"/>
      <c r="AQ1290" s="423"/>
      <c r="AR1290" s="423"/>
      <c r="AS1290" s="423"/>
      <c r="AT1290" s="423"/>
      <c r="AU1290" s="423"/>
      <c r="AV1290" s="423"/>
      <c r="AW1290" s="418"/>
      <c r="AX1290" s="418"/>
      <c r="AY1290" s="418"/>
      <c r="AZ1290" s="418"/>
      <c r="BA1290" s="418"/>
      <c r="BB1290" s="306"/>
    </row>
    <row r="1291" spans="1:54" ht="15.75" customHeight="1">
      <c r="A1291" s="415"/>
      <c r="B1291" s="416"/>
      <c r="C1291" s="417"/>
      <c r="D1291" s="418"/>
      <c r="E1291" s="418"/>
      <c r="F1291" s="419"/>
      <c r="G1291" s="420"/>
      <c r="H1291" s="421"/>
      <c r="I1291" s="421"/>
      <c r="J1291" s="422"/>
      <c r="K1291" s="418"/>
      <c r="L1291" s="418"/>
      <c r="M1291" s="418"/>
      <c r="N1291" s="421"/>
      <c r="O1291" s="421"/>
      <c r="P1291" s="421"/>
      <c r="Q1291" s="418"/>
      <c r="R1291" s="1022"/>
      <c r="S1291" s="1022"/>
      <c r="T1291" s="418"/>
      <c r="U1291" s="418"/>
      <c r="V1291" s="418"/>
      <c r="W1291" s="418"/>
      <c r="X1291" s="418"/>
      <c r="Y1291" s="418"/>
      <c r="Z1291" s="418"/>
      <c r="AA1291" s="418"/>
      <c r="AB1291" s="418"/>
      <c r="AC1291" s="418"/>
      <c r="AD1291" s="418"/>
      <c r="AE1291" s="418"/>
      <c r="AF1291" s="418"/>
      <c r="AG1291" s="418"/>
      <c r="AH1291" s="418"/>
      <c r="AI1291" s="418"/>
      <c r="AJ1291" s="418"/>
      <c r="AK1291" s="418"/>
      <c r="AL1291" s="418"/>
      <c r="AM1291" s="418"/>
      <c r="AN1291" s="423"/>
      <c r="AO1291" s="423"/>
      <c r="AP1291" s="423"/>
      <c r="AQ1291" s="423"/>
      <c r="AR1291" s="423"/>
      <c r="AS1291" s="423"/>
      <c r="AT1291" s="423"/>
      <c r="AU1291" s="423"/>
      <c r="AV1291" s="423"/>
      <c r="AW1291" s="418"/>
      <c r="AX1291" s="418"/>
      <c r="AY1291" s="418"/>
      <c r="AZ1291" s="418"/>
      <c r="BA1291" s="418"/>
      <c r="BB1291" s="306"/>
    </row>
    <row r="1292" spans="1:54" ht="15.75" customHeight="1">
      <c r="A1292" s="415"/>
      <c r="B1292" s="416"/>
      <c r="C1292" s="417"/>
      <c r="D1292" s="418"/>
      <c r="E1292" s="418"/>
      <c r="F1292" s="419"/>
      <c r="G1292" s="420"/>
      <c r="H1292" s="421"/>
      <c r="I1292" s="421"/>
      <c r="J1292" s="422"/>
      <c r="K1292" s="418"/>
      <c r="L1292" s="418"/>
      <c r="M1292" s="418"/>
      <c r="N1292" s="421"/>
      <c r="O1292" s="421"/>
      <c r="P1292" s="421"/>
      <c r="Q1292" s="418"/>
      <c r="R1292" s="1022"/>
      <c r="S1292" s="1022"/>
      <c r="T1292" s="418"/>
      <c r="U1292" s="418"/>
      <c r="V1292" s="418"/>
      <c r="W1292" s="418"/>
      <c r="X1292" s="418"/>
      <c r="Y1292" s="418"/>
      <c r="Z1292" s="418"/>
      <c r="AA1292" s="418"/>
      <c r="AB1292" s="418"/>
      <c r="AC1292" s="418"/>
      <c r="AD1292" s="418"/>
      <c r="AE1292" s="418"/>
      <c r="AF1292" s="418"/>
      <c r="AG1292" s="418"/>
      <c r="AH1292" s="418"/>
      <c r="AI1292" s="418"/>
      <c r="AJ1292" s="418"/>
      <c r="AK1292" s="418"/>
      <c r="AL1292" s="418"/>
      <c r="AM1292" s="418"/>
      <c r="AN1292" s="423"/>
      <c r="AO1292" s="423"/>
      <c r="AP1292" s="423"/>
      <c r="AQ1292" s="423"/>
      <c r="AR1292" s="423"/>
      <c r="AS1292" s="423"/>
      <c r="AT1292" s="423"/>
      <c r="AU1292" s="423"/>
      <c r="AV1292" s="423"/>
      <c r="AW1292" s="418"/>
      <c r="AX1292" s="418"/>
      <c r="AY1292" s="418"/>
      <c r="AZ1292" s="418"/>
      <c r="BA1292" s="418"/>
      <c r="BB1292" s="306"/>
    </row>
    <row r="1293" spans="1:54" ht="15.75" customHeight="1">
      <c r="A1293" s="415"/>
      <c r="B1293" s="416"/>
      <c r="C1293" s="417"/>
      <c r="D1293" s="418"/>
      <c r="E1293" s="418"/>
      <c r="F1293" s="419"/>
      <c r="G1293" s="420"/>
      <c r="H1293" s="421"/>
      <c r="I1293" s="421"/>
      <c r="J1293" s="422"/>
      <c r="K1293" s="418"/>
      <c r="L1293" s="418"/>
      <c r="M1293" s="418"/>
      <c r="N1293" s="421"/>
      <c r="O1293" s="421"/>
      <c r="P1293" s="421"/>
      <c r="Q1293" s="418"/>
      <c r="R1293" s="1022"/>
      <c r="S1293" s="1022"/>
      <c r="T1293" s="418"/>
      <c r="U1293" s="418"/>
      <c r="V1293" s="418"/>
      <c r="W1293" s="418"/>
      <c r="X1293" s="418"/>
      <c r="Y1293" s="418"/>
      <c r="Z1293" s="418"/>
      <c r="AA1293" s="418"/>
      <c r="AB1293" s="418"/>
      <c r="AC1293" s="418"/>
      <c r="AD1293" s="418"/>
      <c r="AE1293" s="418"/>
      <c r="AF1293" s="418"/>
      <c r="AG1293" s="418"/>
      <c r="AH1293" s="418"/>
      <c r="AI1293" s="418"/>
      <c r="AJ1293" s="418"/>
      <c r="AK1293" s="418"/>
      <c r="AL1293" s="418"/>
      <c r="AM1293" s="418"/>
      <c r="AN1293" s="423"/>
      <c r="AO1293" s="423"/>
      <c r="AP1293" s="423"/>
      <c r="AQ1293" s="423"/>
      <c r="AR1293" s="423"/>
      <c r="AS1293" s="423"/>
      <c r="AT1293" s="423"/>
      <c r="AU1293" s="423"/>
      <c r="AV1293" s="423"/>
      <c r="AW1293" s="418"/>
      <c r="AX1293" s="418"/>
      <c r="AY1293" s="418"/>
      <c r="AZ1293" s="418"/>
      <c r="BA1293" s="418"/>
      <c r="BB1293" s="306"/>
    </row>
    <row r="1294" spans="1:54" ht="15.75" customHeight="1">
      <c r="A1294" s="415"/>
      <c r="B1294" s="416"/>
      <c r="C1294" s="417"/>
      <c r="D1294" s="418"/>
      <c r="E1294" s="418"/>
      <c r="F1294" s="419"/>
      <c r="G1294" s="420"/>
      <c r="H1294" s="421"/>
      <c r="I1294" s="421"/>
      <c r="J1294" s="422"/>
      <c r="K1294" s="418"/>
      <c r="L1294" s="418"/>
      <c r="M1294" s="418"/>
      <c r="N1294" s="421"/>
      <c r="O1294" s="421"/>
      <c r="P1294" s="421"/>
      <c r="Q1294" s="418"/>
      <c r="R1294" s="1022"/>
      <c r="S1294" s="1022"/>
      <c r="T1294" s="418"/>
      <c r="U1294" s="418"/>
      <c r="V1294" s="418"/>
      <c r="W1294" s="418"/>
      <c r="X1294" s="418"/>
      <c r="Y1294" s="418"/>
      <c r="Z1294" s="418"/>
      <c r="AA1294" s="418"/>
      <c r="AB1294" s="418"/>
      <c r="AC1294" s="418"/>
      <c r="AD1294" s="418"/>
      <c r="AE1294" s="418"/>
      <c r="AF1294" s="418"/>
      <c r="AG1294" s="418"/>
      <c r="AH1294" s="418"/>
      <c r="AI1294" s="418"/>
      <c r="AJ1294" s="418"/>
      <c r="AK1294" s="418"/>
      <c r="AL1294" s="418"/>
      <c r="AM1294" s="418"/>
      <c r="AN1294" s="423"/>
      <c r="AO1294" s="423"/>
      <c r="AP1294" s="423"/>
      <c r="AQ1294" s="423"/>
      <c r="AR1294" s="423"/>
      <c r="AS1294" s="423"/>
      <c r="AT1294" s="423"/>
      <c r="AU1294" s="423"/>
      <c r="AV1294" s="423"/>
      <c r="AW1294" s="418"/>
      <c r="AX1294" s="418"/>
      <c r="AY1294" s="418"/>
      <c r="AZ1294" s="418"/>
      <c r="BA1294" s="418"/>
      <c r="BB1294" s="306"/>
    </row>
    <row r="1295" spans="1:54" ht="15.75" customHeight="1">
      <c r="A1295" s="415"/>
      <c r="B1295" s="416"/>
      <c r="C1295" s="417"/>
      <c r="D1295" s="418"/>
      <c r="E1295" s="418"/>
      <c r="F1295" s="419"/>
      <c r="G1295" s="420"/>
      <c r="H1295" s="421"/>
      <c r="I1295" s="421"/>
      <c r="J1295" s="422"/>
      <c r="K1295" s="418"/>
      <c r="L1295" s="418"/>
      <c r="M1295" s="418"/>
      <c r="N1295" s="421"/>
      <c r="O1295" s="421"/>
      <c r="P1295" s="421"/>
      <c r="Q1295" s="418"/>
      <c r="R1295" s="1022"/>
      <c r="S1295" s="1022"/>
      <c r="T1295" s="418"/>
      <c r="U1295" s="418"/>
      <c r="V1295" s="418"/>
      <c r="W1295" s="418"/>
      <c r="X1295" s="418"/>
      <c r="Y1295" s="418"/>
      <c r="Z1295" s="418"/>
      <c r="AA1295" s="418"/>
      <c r="AB1295" s="418"/>
      <c r="AC1295" s="418"/>
      <c r="AD1295" s="418"/>
      <c r="AE1295" s="418"/>
      <c r="AF1295" s="418"/>
      <c r="AG1295" s="418"/>
      <c r="AH1295" s="418"/>
      <c r="AI1295" s="418"/>
      <c r="AJ1295" s="418"/>
      <c r="AK1295" s="418"/>
      <c r="AL1295" s="418"/>
      <c r="AM1295" s="418"/>
      <c r="AN1295" s="423"/>
      <c r="AO1295" s="423"/>
      <c r="AP1295" s="423"/>
      <c r="AQ1295" s="423"/>
      <c r="AR1295" s="423"/>
      <c r="AS1295" s="423"/>
      <c r="AT1295" s="423"/>
      <c r="AU1295" s="423"/>
      <c r="AV1295" s="423"/>
      <c r="AW1295" s="418"/>
      <c r="AX1295" s="418"/>
      <c r="AY1295" s="418"/>
      <c r="AZ1295" s="418"/>
      <c r="BA1295" s="418"/>
      <c r="BB1295" s="306"/>
    </row>
    <row r="1296" spans="1:54" ht="15.75" customHeight="1">
      <c r="A1296" s="415"/>
      <c r="B1296" s="416"/>
      <c r="C1296" s="417"/>
      <c r="D1296" s="418"/>
      <c r="E1296" s="418"/>
      <c r="F1296" s="419"/>
      <c r="G1296" s="420"/>
      <c r="H1296" s="421"/>
      <c r="I1296" s="425"/>
      <c r="J1296" s="422"/>
      <c r="K1296" s="418"/>
      <c r="L1296" s="418"/>
      <c r="M1296" s="418"/>
      <c r="N1296" s="421"/>
      <c r="O1296" s="421"/>
      <c r="P1296" s="421"/>
      <c r="Q1296" s="418"/>
      <c r="R1296" s="1022"/>
      <c r="S1296" s="1022"/>
      <c r="T1296" s="418"/>
      <c r="U1296" s="418"/>
      <c r="V1296" s="418"/>
      <c r="W1296" s="418"/>
      <c r="X1296" s="418"/>
      <c r="Y1296" s="418"/>
      <c r="Z1296" s="418"/>
      <c r="AA1296" s="418"/>
      <c r="AB1296" s="418"/>
      <c r="AC1296" s="418"/>
      <c r="AD1296" s="418"/>
      <c r="AE1296" s="418"/>
      <c r="AF1296" s="418"/>
      <c r="AG1296" s="418"/>
      <c r="AH1296" s="418"/>
      <c r="AI1296" s="418"/>
      <c r="AJ1296" s="418"/>
      <c r="AK1296" s="418"/>
      <c r="AL1296" s="418"/>
      <c r="AM1296" s="418"/>
      <c r="AN1296" s="423"/>
      <c r="AO1296" s="423"/>
      <c r="AP1296" s="423"/>
      <c r="AQ1296" s="423"/>
      <c r="AR1296" s="423"/>
      <c r="AS1296" s="423"/>
      <c r="AT1296" s="423"/>
      <c r="AU1296" s="423"/>
      <c r="AV1296" s="423"/>
      <c r="AW1296" s="418"/>
      <c r="AX1296" s="418"/>
      <c r="AY1296" s="418"/>
      <c r="AZ1296" s="418"/>
      <c r="BA1296" s="418"/>
      <c r="BB1296" s="306"/>
    </row>
    <row r="1297" spans="1:54" ht="15.75" customHeight="1">
      <c r="A1297" s="415"/>
      <c r="B1297" s="416"/>
      <c r="C1297" s="417"/>
      <c r="D1297" s="418"/>
      <c r="E1297" s="418"/>
      <c r="F1297" s="419"/>
      <c r="G1297" s="420"/>
      <c r="H1297" s="421"/>
      <c r="I1297" s="421"/>
      <c r="J1297" s="422"/>
      <c r="K1297" s="418"/>
      <c r="L1297" s="418"/>
      <c r="M1297" s="418"/>
      <c r="N1297" s="421"/>
      <c r="O1297" s="421"/>
      <c r="P1297" s="421"/>
      <c r="Q1297" s="418"/>
      <c r="R1297" s="1022"/>
      <c r="S1297" s="1022"/>
      <c r="T1297" s="418"/>
      <c r="U1297" s="418"/>
      <c r="V1297" s="418"/>
      <c r="W1297" s="418"/>
      <c r="X1297" s="418"/>
      <c r="Y1297" s="418"/>
      <c r="Z1297" s="418"/>
      <c r="AA1297" s="418"/>
      <c r="AB1297" s="418"/>
      <c r="AC1297" s="418"/>
      <c r="AD1297" s="418"/>
      <c r="AE1297" s="418"/>
      <c r="AF1297" s="418"/>
      <c r="AG1297" s="418"/>
      <c r="AH1297" s="418"/>
      <c r="AI1297" s="418"/>
      <c r="AJ1297" s="418"/>
      <c r="AK1297" s="418"/>
      <c r="AL1297" s="418"/>
      <c r="AM1297" s="418"/>
      <c r="AN1297" s="423"/>
      <c r="AO1297" s="423"/>
      <c r="AP1297" s="423"/>
      <c r="AQ1297" s="423"/>
      <c r="AR1297" s="423"/>
      <c r="AS1297" s="423"/>
      <c r="AT1297" s="423"/>
      <c r="AU1297" s="423"/>
      <c r="AV1297" s="423"/>
      <c r="AW1297" s="418"/>
      <c r="AX1297" s="418"/>
      <c r="AY1297" s="418"/>
      <c r="AZ1297" s="418"/>
      <c r="BA1297" s="418"/>
      <c r="BB1297" s="306"/>
    </row>
    <row r="1298" spans="1:54" ht="15.75" customHeight="1">
      <c r="A1298" s="415"/>
      <c r="B1298" s="416"/>
      <c r="C1298" s="417"/>
      <c r="D1298" s="418"/>
      <c r="E1298" s="418"/>
      <c r="F1298" s="419"/>
      <c r="G1298" s="420"/>
      <c r="H1298" s="421"/>
      <c r="I1298" s="421"/>
      <c r="J1298" s="422"/>
      <c r="K1298" s="418"/>
      <c r="L1298" s="418"/>
      <c r="M1298" s="418"/>
      <c r="N1298" s="421"/>
      <c r="O1298" s="421"/>
      <c r="P1298" s="421"/>
      <c r="Q1298" s="418"/>
      <c r="R1298" s="1022"/>
      <c r="S1298" s="1022"/>
      <c r="T1298" s="418"/>
      <c r="U1298" s="418"/>
      <c r="V1298" s="418"/>
      <c r="W1298" s="418"/>
      <c r="X1298" s="418"/>
      <c r="Y1298" s="418"/>
      <c r="Z1298" s="418"/>
      <c r="AA1298" s="418"/>
      <c r="AB1298" s="418"/>
      <c r="AC1298" s="418"/>
      <c r="AD1298" s="418"/>
      <c r="AE1298" s="418"/>
      <c r="AF1298" s="418"/>
      <c r="AG1298" s="418"/>
      <c r="AH1298" s="418"/>
      <c r="AI1298" s="418"/>
      <c r="AJ1298" s="418"/>
      <c r="AK1298" s="418"/>
      <c r="AL1298" s="418"/>
      <c r="AM1298" s="418"/>
      <c r="AN1298" s="423"/>
      <c r="AO1298" s="423"/>
      <c r="AP1298" s="423"/>
      <c r="AQ1298" s="423"/>
      <c r="AR1298" s="423"/>
      <c r="AS1298" s="423"/>
      <c r="AT1298" s="423"/>
      <c r="AU1298" s="423"/>
      <c r="AV1298" s="423"/>
      <c r="AW1298" s="418"/>
      <c r="AX1298" s="418"/>
      <c r="AY1298" s="418"/>
      <c r="AZ1298" s="418"/>
      <c r="BA1298" s="418"/>
      <c r="BB1298" s="306"/>
    </row>
    <row r="1299" spans="1:54" ht="15.75" customHeight="1">
      <c r="A1299" s="415"/>
      <c r="B1299" s="416"/>
      <c r="C1299" s="417"/>
      <c r="D1299" s="418"/>
      <c r="E1299" s="418"/>
      <c r="F1299" s="419"/>
      <c r="G1299" s="420"/>
      <c r="H1299" s="421"/>
      <c r="I1299" s="425"/>
      <c r="J1299" s="422"/>
      <c r="K1299" s="418"/>
      <c r="L1299" s="418"/>
      <c r="M1299" s="418"/>
      <c r="N1299" s="421"/>
      <c r="O1299" s="421"/>
      <c r="P1299" s="421"/>
      <c r="Q1299" s="418"/>
      <c r="R1299" s="1022"/>
      <c r="S1299" s="1022"/>
      <c r="T1299" s="418"/>
      <c r="U1299" s="418"/>
      <c r="V1299" s="418"/>
      <c r="W1299" s="418"/>
      <c r="X1299" s="418"/>
      <c r="Y1299" s="418"/>
      <c r="Z1299" s="418"/>
      <c r="AA1299" s="418"/>
      <c r="AB1299" s="418"/>
      <c r="AC1299" s="418"/>
      <c r="AD1299" s="418"/>
      <c r="AE1299" s="418"/>
      <c r="AF1299" s="418"/>
      <c r="AG1299" s="418"/>
      <c r="AH1299" s="418"/>
      <c r="AI1299" s="418"/>
      <c r="AJ1299" s="418"/>
      <c r="AK1299" s="418"/>
      <c r="AL1299" s="418"/>
      <c r="AM1299" s="418"/>
      <c r="AN1299" s="423"/>
      <c r="AO1299" s="423"/>
      <c r="AP1299" s="423"/>
      <c r="AQ1299" s="423"/>
      <c r="AR1299" s="423"/>
      <c r="AS1299" s="423"/>
      <c r="AT1299" s="423"/>
      <c r="AU1299" s="423"/>
      <c r="AV1299" s="423"/>
      <c r="AW1299" s="418"/>
      <c r="AX1299" s="418"/>
      <c r="AY1299" s="418"/>
      <c r="AZ1299" s="418"/>
      <c r="BA1299" s="418"/>
      <c r="BB1299" s="306"/>
    </row>
    <row r="1300" spans="1:54" ht="15.75" customHeight="1">
      <c r="A1300" s="415"/>
      <c r="B1300" s="416"/>
      <c r="C1300" s="417"/>
      <c r="D1300" s="418"/>
      <c r="E1300" s="418"/>
      <c r="F1300" s="419"/>
      <c r="G1300" s="420"/>
      <c r="H1300" s="421"/>
      <c r="I1300" s="421"/>
      <c r="J1300" s="422"/>
      <c r="K1300" s="418"/>
      <c r="L1300" s="418"/>
      <c r="M1300" s="418"/>
      <c r="N1300" s="421"/>
      <c r="O1300" s="421"/>
      <c r="P1300" s="421"/>
      <c r="Q1300" s="418"/>
      <c r="R1300" s="1022"/>
      <c r="S1300" s="1022"/>
      <c r="T1300" s="418"/>
      <c r="U1300" s="418"/>
      <c r="V1300" s="418"/>
      <c r="W1300" s="418"/>
      <c r="X1300" s="418"/>
      <c r="Y1300" s="418"/>
      <c r="Z1300" s="418"/>
      <c r="AA1300" s="418"/>
      <c r="AB1300" s="418"/>
      <c r="AC1300" s="418"/>
      <c r="AD1300" s="418"/>
      <c r="AE1300" s="418"/>
      <c r="AF1300" s="418"/>
      <c r="AG1300" s="418"/>
      <c r="AH1300" s="418"/>
      <c r="AI1300" s="418"/>
      <c r="AJ1300" s="418"/>
      <c r="AK1300" s="418"/>
      <c r="AL1300" s="418"/>
      <c r="AM1300" s="418"/>
      <c r="AN1300" s="423"/>
      <c r="AO1300" s="423"/>
      <c r="AP1300" s="423"/>
      <c r="AQ1300" s="423"/>
      <c r="AR1300" s="423"/>
      <c r="AS1300" s="423"/>
      <c r="AT1300" s="423"/>
      <c r="AU1300" s="423"/>
      <c r="AV1300" s="423"/>
      <c r="AW1300" s="418"/>
      <c r="AX1300" s="418"/>
      <c r="AY1300" s="418"/>
      <c r="AZ1300" s="418"/>
      <c r="BA1300" s="418"/>
      <c r="BB1300" s="306"/>
    </row>
    <row r="1301" spans="1:54" ht="15.75" customHeight="1">
      <c r="A1301" s="415"/>
      <c r="B1301" s="416"/>
      <c r="C1301" s="417"/>
      <c r="D1301" s="418"/>
      <c r="E1301" s="418"/>
      <c r="F1301" s="419"/>
      <c r="G1301" s="420"/>
      <c r="H1301" s="421"/>
      <c r="I1301" s="425"/>
      <c r="J1301" s="422"/>
      <c r="K1301" s="418"/>
      <c r="L1301" s="418"/>
      <c r="M1301" s="418"/>
      <c r="N1301" s="421"/>
      <c r="O1301" s="421"/>
      <c r="P1301" s="421"/>
      <c r="Q1301" s="418"/>
      <c r="R1301" s="1022"/>
      <c r="S1301" s="1022"/>
      <c r="T1301" s="418"/>
      <c r="U1301" s="418"/>
      <c r="V1301" s="418"/>
      <c r="W1301" s="418"/>
      <c r="X1301" s="418"/>
      <c r="Y1301" s="418"/>
      <c r="Z1301" s="418"/>
      <c r="AA1301" s="418"/>
      <c r="AB1301" s="418"/>
      <c r="AC1301" s="418"/>
      <c r="AD1301" s="418"/>
      <c r="AE1301" s="418"/>
      <c r="AF1301" s="418"/>
      <c r="AG1301" s="418"/>
      <c r="AH1301" s="418"/>
      <c r="AI1301" s="418"/>
      <c r="AJ1301" s="418"/>
      <c r="AK1301" s="418"/>
      <c r="AL1301" s="418"/>
      <c r="AM1301" s="418"/>
      <c r="AN1301" s="423"/>
      <c r="AO1301" s="423"/>
      <c r="AP1301" s="423"/>
      <c r="AQ1301" s="423"/>
      <c r="AR1301" s="423"/>
      <c r="AS1301" s="423"/>
      <c r="AT1301" s="423"/>
      <c r="AU1301" s="423"/>
      <c r="AV1301" s="423"/>
      <c r="AW1301" s="418"/>
      <c r="AX1301" s="418"/>
      <c r="AY1301" s="418"/>
      <c r="AZ1301" s="418"/>
      <c r="BA1301" s="418"/>
      <c r="BB1301" s="306"/>
    </row>
    <row r="1302" spans="1:54" ht="15.75" customHeight="1">
      <c r="A1302" s="415"/>
      <c r="B1302" s="416"/>
      <c r="C1302" s="417"/>
      <c r="D1302" s="418"/>
      <c r="E1302" s="418"/>
      <c r="F1302" s="419"/>
      <c r="G1302" s="420"/>
      <c r="H1302" s="421"/>
      <c r="I1302" s="421"/>
      <c r="J1302" s="422"/>
      <c r="K1302" s="418"/>
      <c r="L1302" s="418"/>
      <c r="M1302" s="418"/>
      <c r="N1302" s="421"/>
      <c r="O1302" s="421"/>
      <c r="P1302" s="421"/>
      <c r="Q1302" s="418"/>
      <c r="R1302" s="1022"/>
      <c r="S1302" s="1022"/>
      <c r="T1302" s="418"/>
      <c r="U1302" s="418"/>
      <c r="V1302" s="418"/>
      <c r="W1302" s="418"/>
      <c r="X1302" s="418"/>
      <c r="Y1302" s="418"/>
      <c r="Z1302" s="418"/>
      <c r="AA1302" s="418"/>
      <c r="AB1302" s="418"/>
      <c r="AC1302" s="418"/>
      <c r="AD1302" s="418"/>
      <c r="AE1302" s="418"/>
      <c r="AF1302" s="418"/>
      <c r="AG1302" s="418"/>
      <c r="AH1302" s="418"/>
      <c r="AI1302" s="418"/>
      <c r="AJ1302" s="418"/>
      <c r="AK1302" s="418"/>
      <c r="AL1302" s="418"/>
      <c r="AM1302" s="418"/>
      <c r="AN1302" s="423"/>
      <c r="AO1302" s="423"/>
      <c r="AP1302" s="423"/>
      <c r="AQ1302" s="423"/>
      <c r="AR1302" s="423"/>
      <c r="AS1302" s="423"/>
      <c r="AT1302" s="423"/>
      <c r="AU1302" s="423"/>
      <c r="AV1302" s="423"/>
      <c r="AW1302" s="418"/>
      <c r="AX1302" s="418"/>
      <c r="AY1302" s="418"/>
      <c r="AZ1302" s="418"/>
      <c r="BA1302" s="418"/>
      <c r="BB1302" s="306"/>
    </row>
    <row r="1303" spans="1:54" ht="15.75" customHeight="1">
      <c r="A1303" s="415"/>
      <c r="B1303" s="416"/>
      <c r="C1303" s="417"/>
      <c r="D1303" s="418"/>
      <c r="E1303" s="418"/>
      <c r="F1303" s="419"/>
      <c r="G1303" s="420"/>
      <c r="H1303" s="421"/>
      <c r="I1303" s="425"/>
      <c r="J1303" s="422"/>
      <c r="K1303" s="418"/>
      <c r="L1303" s="418"/>
      <c r="M1303" s="418"/>
      <c r="N1303" s="421"/>
      <c r="O1303" s="421"/>
      <c r="P1303" s="421"/>
      <c r="Q1303" s="418"/>
      <c r="R1303" s="1022"/>
      <c r="S1303" s="1022"/>
      <c r="T1303" s="418"/>
      <c r="U1303" s="418"/>
      <c r="V1303" s="418"/>
      <c r="W1303" s="418"/>
      <c r="X1303" s="418"/>
      <c r="Y1303" s="418"/>
      <c r="Z1303" s="418"/>
      <c r="AA1303" s="418"/>
      <c r="AB1303" s="418"/>
      <c r="AC1303" s="418"/>
      <c r="AD1303" s="418"/>
      <c r="AE1303" s="418"/>
      <c r="AF1303" s="418"/>
      <c r="AG1303" s="418"/>
      <c r="AH1303" s="418"/>
      <c r="AI1303" s="418"/>
      <c r="AJ1303" s="418"/>
      <c r="AK1303" s="418"/>
      <c r="AL1303" s="418"/>
      <c r="AM1303" s="418"/>
      <c r="AN1303" s="423"/>
      <c r="AO1303" s="423"/>
      <c r="AP1303" s="423"/>
      <c r="AQ1303" s="423"/>
      <c r="AR1303" s="423"/>
      <c r="AS1303" s="423"/>
      <c r="AT1303" s="423"/>
      <c r="AU1303" s="423"/>
      <c r="AV1303" s="423"/>
      <c r="AW1303" s="418"/>
      <c r="AX1303" s="418"/>
      <c r="AY1303" s="418"/>
      <c r="AZ1303" s="418"/>
      <c r="BA1303" s="418"/>
      <c r="BB1303" s="306"/>
    </row>
    <row r="1304" spans="1:54" ht="15.75" customHeight="1">
      <c r="A1304" s="415"/>
      <c r="B1304" s="416"/>
      <c r="C1304" s="417"/>
      <c r="D1304" s="418"/>
      <c r="E1304" s="418"/>
      <c r="F1304" s="419"/>
      <c r="G1304" s="420"/>
      <c r="H1304" s="421"/>
      <c r="I1304" s="421"/>
      <c r="J1304" s="422"/>
      <c r="K1304" s="418"/>
      <c r="L1304" s="418"/>
      <c r="M1304" s="418"/>
      <c r="N1304" s="421"/>
      <c r="O1304" s="421"/>
      <c r="P1304" s="421"/>
      <c r="Q1304" s="418"/>
      <c r="R1304" s="1022"/>
      <c r="S1304" s="1022"/>
      <c r="T1304" s="418"/>
      <c r="U1304" s="418"/>
      <c r="V1304" s="418"/>
      <c r="W1304" s="418"/>
      <c r="X1304" s="418"/>
      <c r="Y1304" s="418"/>
      <c r="Z1304" s="418"/>
      <c r="AA1304" s="418"/>
      <c r="AB1304" s="418"/>
      <c r="AC1304" s="418"/>
      <c r="AD1304" s="418"/>
      <c r="AE1304" s="418"/>
      <c r="AF1304" s="418"/>
      <c r="AG1304" s="418"/>
      <c r="AH1304" s="418"/>
      <c r="AI1304" s="418"/>
      <c r="AJ1304" s="418"/>
      <c r="AK1304" s="418"/>
      <c r="AL1304" s="418"/>
      <c r="AM1304" s="418"/>
      <c r="AN1304" s="423"/>
      <c r="AO1304" s="423"/>
      <c r="AP1304" s="423"/>
      <c r="AQ1304" s="423"/>
      <c r="AR1304" s="423"/>
      <c r="AS1304" s="423"/>
      <c r="AT1304" s="423"/>
      <c r="AU1304" s="423"/>
      <c r="AV1304" s="423"/>
      <c r="AW1304" s="418"/>
      <c r="AX1304" s="418"/>
      <c r="AY1304" s="418"/>
      <c r="AZ1304" s="418"/>
      <c r="BA1304" s="418"/>
      <c r="BB1304" s="306"/>
    </row>
    <row r="1305" spans="1:54" ht="15.75" customHeight="1">
      <c r="A1305" s="415"/>
      <c r="B1305" s="416"/>
      <c r="C1305" s="417"/>
      <c r="D1305" s="418"/>
      <c r="E1305" s="418"/>
      <c r="F1305" s="419"/>
      <c r="G1305" s="420"/>
      <c r="H1305" s="421"/>
      <c r="I1305" s="425"/>
      <c r="J1305" s="422"/>
      <c r="K1305" s="418"/>
      <c r="L1305" s="418"/>
      <c r="M1305" s="418"/>
      <c r="N1305" s="421"/>
      <c r="O1305" s="421"/>
      <c r="P1305" s="421"/>
      <c r="Q1305" s="418"/>
      <c r="R1305" s="1022"/>
      <c r="S1305" s="1022"/>
      <c r="T1305" s="418"/>
      <c r="U1305" s="418"/>
      <c r="V1305" s="418"/>
      <c r="W1305" s="418"/>
      <c r="X1305" s="418"/>
      <c r="Y1305" s="418"/>
      <c r="Z1305" s="418"/>
      <c r="AA1305" s="418"/>
      <c r="AB1305" s="418"/>
      <c r="AC1305" s="418"/>
      <c r="AD1305" s="418"/>
      <c r="AE1305" s="418"/>
      <c r="AF1305" s="418"/>
      <c r="AG1305" s="418"/>
      <c r="AH1305" s="418"/>
      <c r="AI1305" s="418"/>
      <c r="AJ1305" s="418"/>
      <c r="AK1305" s="418"/>
      <c r="AL1305" s="418"/>
      <c r="AM1305" s="418"/>
      <c r="AN1305" s="423"/>
      <c r="AO1305" s="423"/>
      <c r="AP1305" s="423"/>
      <c r="AQ1305" s="423"/>
      <c r="AR1305" s="423"/>
      <c r="AS1305" s="423"/>
      <c r="AT1305" s="423"/>
      <c r="AU1305" s="423"/>
      <c r="AV1305" s="423"/>
      <c r="AW1305" s="418"/>
      <c r="AX1305" s="418"/>
      <c r="AY1305" s="418"/>
      <c r="AZ1305" s="418"/>
      <c r="BA1305" s="418"/>
      <c r="BB1305" s="306"/>
    </row>
    <row r="1306" spans="1:54" ht="15.75" customHeight="1">
      <c r="A1306" s="415"/>
      <c r="B1306" s="416"/>
      <c r="C1306" s="417"/>
      <c r="D1306" s="418"/>
      <c r="E1306" s="418"/>
      <c r="F1306" s="419"/>
      <c r="G1306" s="420"/>
      <c r="H1306" s="418"/>
      <c r="I1306" s="419"/>
      <c r="J1306" s="422"/>
      <c r="K1306" s="418"/>
      <c r="L1306" s="418"/>
      <c r="M1306" s="418"/>
      <c r="N1306" s="421"/>
      <c r="O1306" s="421"/>
      <c r="P1306" s="421"/>
      <c r="Q1306" s="418"/>
      <c r="R1306" s="1022"/>
      <c r="S1306" s="1022"/>
      <c r="T1306" s="418"/>
      <c r="U1306" s="418"/>
      <c r="V1306" s="418"/>
      <c r="W1306" s="418"/>
      <c r="X1306" s="418"/>
      <c r="Y1306" s="418"/>
      <c r="Z1306" s="418"/>
      <c r="AA1306" s="418"/>
      <c r="AB1306" s="418"/>
      <c r="AC1306" s="418"/>
      <c r="AD1306" s="418"/>
      <c r="AE1306" s="418"/>
      <c r="AF1306" s="418"/>
      <c r="AG1306" s="418"/>
      <c r="AH1306" s="418"/>
      <c r="AI1306" s="418"/>
      <c r="AJ1306" s="418"/>
      <c r="AK1306" s="418"/>
      <c r="AL1306" s="418"/>
      <c r="AM1306" s="418"/>
      <c r="AN1306" s="423"/>
      <c r="AO1306" s="423"/>
      <c r="AP1306" s="423"/>
      <c r="AQ1306" s="423"/>
      <c r="AR1306" s="423"/>
      <c r="AS1306" s="423"/>
      <c r="AT1306" s="423"/>
      <c r="AU1306" s="423"/>
      <c r="AV1306" s="423"/>
      <c r="AW1306" s="418"/>
      <c r="AX1306" s="418"/>
      <c r="AY1306" s="418"/>
      <c r="AZ1306" s="418"/>
      <c r="BA1306" s="418"/>
      <c r="BB1306" s="306"/>
    </row>
    <row r="1307" spans="1:54" ht="15.75" customHeight="1">
      <c r="A1307" s="415"/>
      <c r="B1307" s="416"/>
      <c r="C1307" s="417"/>
      <c r="D1307" s="418"/>
      <c r="E1307" s="418"/>
      <c r="F1307" s="419"/>
      <c r="G1307" s="420"/>
      <c r="H1307" s="418"/>
      <c r="I1307" s="419"/>
      <c r="J1307" s="422"/>
      <c r="K1307" s="418"/>
      <c r="L1307" s="418"/>
      <c r="M1307" s="418"/>
      <c r="N1307" s="421"/>
      <c r="O1307" s="421"/>
      <c r="P1307" s="421"/>
      <c r="Q1307" s="418"/>
      <c r="R1307" s="1022"/>
      <c r="S1307" s="1022"/>
      <c r="T1307" s="418"/>
      <c r="U1307" s="418"/>
      <c r="V1307" s="418"/>
      <c r="W1307" s="418"/>
      <c r="X1307" s="418"/>
      <c r="Y1307" s="418"/>
      <c r="Z1307" s="418"/>
      <c r="AA1307" s="418"/>
      <c r="AB1307" s="418"/>
      <c r="AC1307" s="418"/>
      <c r="AD1307" s="418"/>
      <c r="AE1307" s="418"/>
      <c r="AF1307" s="418"/>
      <c r="AG1307" s="418"/>
      <c r="AH1307" s="418"/>
      <c r="AI1307" s="418"/>
      <c r="AJ1307" s="418"/>
      <c r="AK1307" s="418"/>
      <c r="AL1307" s="418"/>
      <c r="AM1307" s="418"/>
      <c r="AN1307" s="423"/>
      <c r="AO1307" s="423"/>
      <c r="AP1307" s="423"/>
      <c r="AQ1307" s="423"/>
      <c r="AR1307" s="423"/>
      <c r="AS1307" s="423"/>
      <c r="AT1307" s="423"/>
      <c r="AU1307" s="423"/>
      <c r="AV1307" s="423"/>
      <c r="AW1307" s="418"/>
      <c r="AX1307" s="418"/>
      <c r="AY1307" s="418"/>
      <c r="AZ1307" s="418"/>
      <c r="BA1307" s="418"/>
      <c r="BB1307" s="306"/>
    </row>
    <row r="1308" spans="1:54" ht="15.75" customHeight="1">
      <c r="A1308" s="415"/>
      <c r="B1308" s="416"/>
      <c r="C1308" s="417"/>
      <c r="D1308" s="418"/>
      <c r="E1308" s="418"/>
      <c r="F1308" s="419"/>
      <c r="G1308" s="420"/>
      <c r="H1308" s="421"/>
      <c r="I1308" s="421"/>
      <c r="J1308" s="422"/>
      <c r="K1308" s="418"/>
      <c r="L1308" s="418"/>
      <c r="M1308" s="418"/>
      <c r="N1308" s="421"/>
      <c r="O1308" s="421"/>
      <c r="P1308" s="421"/>
      <c r="Q1308" s="418"/>
      <c r="R1308" s="1022"/>
      <c r="S1308" s="1022"/>
      <c r="T1308" s="418"/>
      <c r="U1308" s="418"/>
      <c r="V1308" s="418"/>
      <c r="W1308" s="418"/>
      <c r="X1308" s="418"/>
      <c r="Y1308" s="418"/>
      <c r="Z1308" s="418"/>
      <c r="AA1308" s="418"/>
      <c r="AB1308" s="418"/>
      <c r="AC1308" s="418"/>
      <c r="AD1308" s="418"/>
      <c r="AE1308" s="418"/>
      <c r="AF1308" s="418"/>
      <c r="AG1308" s="418"/>
      <c r="AH1308" s="418"/>
      <c r="AI1308" s="418"/>
      <c r="AJ1308" s="418"/>
      <c r="AK1308" s="418"/>
      <c r="AL1308" s="418"/>
      <c r="AM1308" s="418"/>
      <c r="AN1308" s="423"/>
      <c r="AO1308" s="423"/>
      <c r="AP1308" s="423"/>
      <c r="AQ1308" s="423"/>
      <c r="AR1308" s="423"/>
      <c r="AS1308" s="423"/>
      <c r="AT1308" s="423"/>
      <c r="AU1308" s="423"/>
      <c r="AV1308" s="423"/>
      <c r="AW1308" s="418"/>
      <c r="AX1308" s="418"/>
      <c r="AY1308" s="418"/>
      <c r="AZ1308" s="418"/>
      <c r="BA1308" s="418"/>
      <c r="BB1308" s="306"/>
    </row>
    <row r="1309" spans="1:54" ht="15.75" customHeight="1">
      <c r="A1309" s="415"/>
      <c r="B1309" s="416"/>
      <c r="C1309" s="417"/>
      <c r="D1309" s="418"/>
      <c r="E1309" s="418"/>
      <c r="F1309" s="419"/>
      <c r="G1309" s="420"/>
      <c r="H1309" s="421"/>
      <c r="I1309" s="425"/>
      <c r="J1309" s="422"/>
      <c r="K1309" s="418"/>
      <c r="L1309" s="418"/>
      <c r="M1309" s="418"/>
      <c r="N1309" s="421"/>
      <c r="O1309" s="421"/>
      <c r="P1309" s="421"/>
      <c r="Q1309" s="418"/>
      <c r="R1309" s="1022"/>
      <c r="S1309" s="1022"/>
      <c r="T1309" s="418"/>
      <c r="U1309" s="418"/>
      <c r="V1309" s="418"/>
      <c r="W1309" s="418"/>
      <c r="X1309" s="418"/>
      <c r="Y1309" s="418"/>
      <c r="Z1309" s="418"/>
      <c r="AA1309" s="418"/>
      <c r="AB1309" s="418"/>
      <c r="AC1309" s="418"/>
      <c r="AD1309" s="418"/>
      <c r="AE1309" s="418"/>
      <c r="AF1309" s="418"/>
      <c r="AG1309" s="418"/>
      <c r="AH1309" s="418"/>
      <c r="AI1309" s="418"/>
      <c r="AJ1309" s="418"/>
      <c r="AK1309" s="418"/>
      <c r="AL1309" s="418"/>
      <c r="AM1309" s="418"/>
      <c r="AN1309" s="423"/>
      <c r="AO1309" s="423"/>
      <c r="AP1309" s="423"/>
      <c r="AQ1309" s="423"/>
      <c r="AR1309" s="423"/>
      <c r="AS1309" s="423"/>
      <c r="AT1309" s="423"/>
      <c r="AU1309" s="423"/>
      <c r="AV1309" s="423"/>
      <c r="AW1309" s="418"/>
      <c r="AX1309" s="418"/>
      <c r="AY1309" s="418"/>
      <c r="AZ1309" s="418"/>
      <c r="BA1309" s="418"/>
      <c r="BB1309" s="306"/>
    </row>
    <row r="1310" spans="1:54" ht="15.75" customHeight="1">
      <c r="A1310" s="415"/>
      <c r="B1310" s="416"/>
      <c r="C1310" s="417"/>
      <c r="D1310" s="418"/>
      <c r="E1310" s="418"/>
      <c r="F1310" s="419"/>
      <c r="G1310" s="420"/>
      <c r="H1310" s="421"/>
      <c r="I1310" s="421"/>
      <c r="J1310" s="422"/>
      <c r="K1310" s="418"/>
      <c r="L1310" s="418"/>
      <c r="M1310" s="418"/>
      <c r="N1310" s="421"/>
      <c r="O1310" s="421"/>
      <c r="P1310" s="421"/>
      <c r="Q1310" s="418"/>
      <c r="R1310" s="1022"/>
      <c r="S1310" s="1022"/>
      <c r="T1310" s="418"/>
      <c r="U1310" s="418"/>
      <c r="V1310" s="418"/>
      <c r="W1310" s="418"/>
      <c r="X1310" s="418"/>
      <c r="Y1310" s="418"/>
      <c r="Z1310" s="418"/>
      <c r="AA1310" s="418"/>
      <c r="AB1310" s="418"/>
      <c r="AC1310" s="418"/>
      <c r="AD1310" s="418"/>
      <c r="AE1310" s="418"/>
      <c r="AF1310" s="418"/>
      <c r="AG1310" s="418"/>
      <c r="AH1310" s="418"/>
      <c r="AI1310" s="418"/>
      <c r="AJ1310" s="418"/>
      <c r="AK1310" s="418"/>
      <c r="AL1310" s="418"/>
      <c r="AM1310" s="418"/>
      <c r="AN1310" s="423"/>
      <c r="AO1310" s="423"/>
      <c r="AP1310" s="423"/>
      <c r="AQ1310" s="423"/>
      <c r="AR1310" s="423"/>
      <c r="AS1310" s="423"/>
      <c r="AT1310" s="423"/>
      <c r="AU1310" s="423"/>
      <c r="AV1310" s="423"/>
      <c r="AW1310" s="418"/>
      <c r="AX1310" s="418"/>
      <c r="AY1310" s="418"/>
      <c r="AZ1310" s="418"/>
      <c r="BA1310" s="418"/>
      <c r="BB1310" s="306"/>
    </row>
    <row r="1311" spans="1:54" ht="15.75" customHeight="1">
      <c r="A1311" s="415"/>
      <c r="B1311" s="416"/>
      <c r="C1311" s="417"/>
      <c r="D1311" s="418"/>
      <c r="E1311" s="418"/>
      <c r="F1311" s="419"/>
      <c r="G1311" s="420"/>
      <c r="H1311" s="421"/>
      <c r="I1311" s="421"/>
      <c r="J1311" s="422"/>
      <c r="K1311" s="418"/>
      <c r="L1311" s="418"/>
      <c r="M1311" s="418"/>
      <c r="N1311" s="421"/>
      <c r="O1311" s="421"/>
      <c r="P1311" s="421"/>
      <c r="Q1311" s="418"/>
      <c r="R1311" s="1022"/>
      <c r="S1311" s="1022"/>
      <c r="T1311" s="418"/>
      <c r="U1311" s="418"/>
      <c r="V1311" s="418"/>
      <c r="W1311" s="418"/>
      <c r="X1311" s="418"/>
      <c r="Y1311" s="418"/>
      <c r="Z1311" s="418"/>
      <c r="AA1311" s="418"/>
      <c r="AB1311" s="418"/>
      <c r="AC1311" s="418"/>
      <c r="AD1311" s="418"/>
      <c r="AE1311" s="418"/>
      <c r="AF1311" s="418"/>
      <c r="AG1311" s="418"/>
      <c r="AH1311" s="418"/>
      <c r="AI1311" s="418"/>
      <c r="AJ1311" s="418"/>
      <c r="AK1311" s="418"/>
      <c r="AL1311" s="418"/>
      <c r="AM1311" s="418"/>
      <c r="AN1311" s="423"/>
      <c r="AO1311" s="423"/>
      <c r="AP1311" s="423"/>
      <c r="AQ1311" s="423"/>
      <c r="AR1311" s="423"/>
      <c r="AS1311" s="423"/>
      <c r="AT1311" s="423"/>
      <c r="AU1311" s="423"/>
      <c r="AV1311" s="423"/>
      <c r="AW1311" s="418"/>
      <c r="AX1311" s="418"/>
      <c r="AY1311" s="418"/>
      <c r="AZ1311" s="418"/>
      <c r="BA1311" s="418"/>
      <c r="BB1311" s="306"/>
    </row>
    <row r="1312" spans="1:54" ht="15.75" customHeight="1">
      <c r="A1312" s="415"/>
      <c r="B1312" s="416"/>
      <c r="C1312" s="417"/>
      <c r="D1312" s="418"/>
      <c r="E1312" s="418"/>
      <c r="F1312" s="419"/>
      <c r="G1312" s="420"/>
      <c r="H1312" s="421"/>
      <c r="I1312" s="421"/>
      <c r="J1312" s="422"/>
      <c r="K1312" s="418"/>
      <c r="L1312" s="418"/>
      <c r="M1312" s="418"/>
      <c r="N1312" s="421"/>
      <c r="O1312" s="421"/>
      <c r="P1312" s="421"/>
      <c r="Q1312" s="418"/>
      <c r="R1312" s="1022"/>
      <c r="S1312" s="1022"/>
      <c r="T1312" s="418"/>
      <c r="U1312" s="418"/>
      <c r="V1312" s="418"/>
      <c r="W1312" s="418"/>
      <c r="X1312" s="418"/>
      <c r="Y1312" s="418"/>
      <c r="Z1312" s="418"/>
      <c r="AA1312" s="418"/>
      <c r="AB1312" s="418"/>
      <c r="AC1312" s="418"/>
      <c r="AD1312" s="418"/>
      <c r="AE1312" s="418"/>
      <c r="AF1312" s="418"/>
      <c r="AG1312" s="418"/>
      <c r="AH1312" s="418"/>
      <c r="AI1312" s="418"/>
      <c r="AJ1312" s="418"/>
      <c r="AK1312" s="418"/>
      <c r="AL1312" s="418"/>
      <c r="AM1312" s="418"/>
      <c r="AN1312" s="423"/>
      <c r="AO1312" s="423"/>
      <c r="AP1312" s="423"/>
      <c r="AQ1312" s="423"/>
      <c r="AR1312" s="423"/>
      <c r="AS1312" s="423"/>
      <c r="AT1312" s="423"/>
      <c r="AU1312" s="423"/>
      <c r="AV1312" s="423"/>
      <c r="AW1312" s="418"/>
      <c r="AX1312" s="418"/>
      <c r="AY1312" s="418"/>
      <c r="AZ1312" s="418"/>
      <c r="BA1312" s="418"/>
      <c r="BB1312" s="306"/>
    </row>
    <row r="1313" spans="1:54" ht="15.75" customHeight="1">
      <c r="A1313" s="415"/>
      <c r="B1313" s="416"/>
      <c r="C1313" s="417"/>
      <c r="D1313" s="418"/>
      <c r="E1313" s="418"/>
      <c r="F1313" s="419"/>
      <c r="G1313" s="420"/>
      <c r="H1313" s="421"/>
      <c r="I1313" s="421"/>
      <c r="J1313" s="422"/>
      <c r="K1313" s="418"/>
      <c r="L1313" s="418"/>
      <c r="M1313" s="418"/>
      <c r="N1313" s="421"/>
      <c r="O1313" s="421"/>
      <c r="P1313" s="421"/>
      <c r="Q1313" s="418"/>
      <c r="R1313" s="1022"/>
      <c r="S1313" s="1022"/>
      <c r="T1313" s="418"/>
      <c r="U1313" s="418"/>
      <c r="V1313" s="418"/>
      <c r="W1313" s="418"/>
      <c r="X1313" s="418"/>
      <c r="Y1313" s="418"/>
      <c r="Z1313" s="418"/>
      <c r="AA1313" s="418"/>
      <c r="AB1313" s="418"/>
      <c r="AC1313" s="418"/>
      <c r="AD1313" s="418"/>
      <c r="AE1313" s="418"/>
      <c r="AF1313" s="418"/>
      <c r="AG1313" s="418"/>
      <c r="AH1313" s="418"/>
      <c r="AI1313" s="418"/>
      <c r="AJ1313" s="418"/>
      <c r="AK1313" s="418"/>
      <c r="AL1313" s="418"/>
      <c r="AM1313" s="418"/>
      <c r="AN1313" s="423"/>
      <c r="AO1313" s="423"/>
      <c r="AP1313" s="423"/>
      <c r="AQ1313" s="423"/>
      <c r="AR1313" s="423"/>
      <c r="AS1313" s="423"/>
      <c r="AT1313" s="423"/>
      <c r="AU1313" s="423"/>
      <c r="AV1313" s="423"/>
      <c r="AW1313" s="418"/>
      <c r="AX1313" s="418"/>
      <c r="AY1313" s="418"/>
      <c r="AZ1313" s="418"/>
      <c r="BA1313" s="418"/>
      <c r="BB1313" s="306"/>
    </row>
    <row r="1314" spans="1:54" ht="15.75" customHeight="1">
      <c r="A1314" s="415"/>
      <c r="B1314" s="416"/>
      <c r="C1314" s="417"/>
      <c r="D1314" s="418"/>
      <c r="E1314" s="418"/>
      <c r="F1314" s="419"/>
      <c r="G1314" s="420"/>
      <c r="H1314" s="421"/>
      <c r="I1314" s="421"/>
      <c r="J1314" s="422"/>
      <c r="K1314" s="418"/>
      <c r="L1314" s="418"/>
      <c r="M1314" s="418"/>
      <c r="N1314" s="421"/>
      <c r="O1314" s="421"/>
      <c r="P1314" s="421"/>
      <c r="Q1314" s="418"/>
      <c r="R1314" s="1022"/>
      <c r="S1314" s="1022"/>
      <c r="T1314" s="418"/>
      <c r="U1314" s="418"/>
      <c r="V1314" s="418"/>
      <c r="W1314" s="418"/>
      <c r="X1314" s="418"/>
      <c r="Y1314" s="418"/>
      <c r="Z1314" s="418"/>
      <c r="AA1314" s="418"/>
      <c r="AB1314" s="418"/>
      <c r="AC1314" s="418"/>
      <c r="AD1314" s="418"/>
      <c r="AE1314" s="418"/>
      <c r="AF1314" s="418"/>
      <c r="AG1314" s="418"/>
      <c r="AH1314" s="418"/>
      <c r="AI1314" s="418"/>
      <c r="AJ1314" s="418"/>
      <c r="AK1314" s="418"/>
      <c r="AL1314" s="418"/>
      <c r="AM1314" s="418"/>
      <c r="AN1314" s="423"/>
      <c r="AO1314" s="423"/>
      <c r="AP1314" s="423"/>
      <c r="AQ1314" s="423"/>
      <c r="AR1314" s="423"/>
      <c r="AS1314" s="423"/>
      <c r="AT1314" s="423"/>
      <c r="AU1314" s="423"/>
      <c r="AV1314" s="423"/>
      <c r="AW1314" s="418"/>
      <c r="AX1314" s="418"/>
      <c r="AY1314" s="418"/>
      <c r="AZ1314" s="418"/>
      <c r="BA1314" s="418"/>
      <c r="BB1314" s="306"/>
    </row>
    <row r="1315" spans="1:54" ht="15.75" customHeight="1">
      <c r="A1315" s="415"/>
      <c r="B1315" s="416"/>
      <c r="C1315" s="417"/>
      <c r="D1315" s="418"/>
      <c r="E1315" s="418"/>
      <c r="F1315" s="419"/>
      <c r="G1315" s="420"/>
      <c r="H1315" s="421"/>
      <c r="I1315" s="421"/>
      <c r="J1315" s="422"/>
      <c r="K1315" s="418"/>
      <c r="L1315" s="418"/>
      <c r="M1315" s="418"/>
      <c r="N1315" s="421"/>
      <c r="O1315" s="421"/>
      <c r="P1315" s="421"/>
      <c r="Q1315" s="418"/>
      <c r="R1315" s="1022"/>
      <c r="S1315" s="1022"/>
      <c r="T1315" s="418"/>
      <c r="U1315" s="418"/>
      <c r="V1315" s="418"/>
      <c r="W1315" s="418"/>
      <c r="X1315" s="418"/>
      <c r="Y1315" s="418"/>
      <c r="Z1315" s="418"/>
      <c r="AA1315" s="418"/>
      <c r="AB1315" s="418"/>
      <c r="AC1315" s="418"/>
      <c r="AD1315" s="418"/>
      <c r="AE1315" s="418"/>
      <c r="AF1315" s="418"/>
      <c r="AG1315" s="418"/>
      <c r="AH1315" s="418"/>
      <c r="AI1315" s="418"/>
      <c r="AJ1315" s="418"/>
      <c r="AK1315" s="418"/>
      <c r="AL1315" s="418"/>
      <c r="AM1315" s="418"/>
      <c r="AN1315" s="423"/>
      <c r="AO1315" s="423"/>
      <c r="AP1315" s="423"/>
      <c r="AQ1315" s="423"/>
      <c r="AR1315" s="423"/>
      <c r="AS1315" s="423"/>
      <c r="AT1315" s="423"/>
      <c r="AU1315" s="423"/>
      <c r="AV1315" s="423"/>
      <c r="AW1315" s="418"/>
      <c r="AX1315" s="418"/>
      <c r="AY1315" s="418"/>
      <c r="AZ1315" s="418"/>
      <c r="BA1315" s="418"/>
      <c r="BB1315" s="306"/>
    </row>
    <row r="1316" spans="1:54" ht="15.75" customHeight="1">
      <c r="A1316" s="415"/>
      <c r="B1316" s="416"/>
      <c r="C1316" s="417"/>
      <c r="D1316" s="418"/>
      <c r="E1316" s="418"/>
      <c r="F1316" s="419"/>
      <c r="G1316" s="420"/>
      <c r="H1316" s="421"/>
      <c r="I1316" s="421"/>
      <c r="J1316" s="422"/>
      <c r="K1316" s="418"/>
      <c r="L1316" s="418"/>
      <c r="M1316" s="418"/>
      <c r="N1316" s="421"/>
      <c r="O1316" s="421"/>
      <c r="P1316" s="421"/>
      <c r="Q1316" s="418"/>
      <c r="R1316" s="1022"/>
      <c r="S1316" s="1022"/>
      <c r="T1316" s="418"/>
      <c r="U1316" s="418"/>
      <c r="V1316" s="418"/>
      <c r="W1316" s="418"/>
      <c r="X1316" s="418"/>
      <c r="Y1316" s="418"/>
      <c r="Z1316" s="418"/>
      <c r="AA1316" s="418"/>
      <c r="AB1316" s="418"/>
      <c r="AC1316" s="418"/>
      <c r="AD1316" s="418"/>
      <c r="AE1316" s="418"/>
      <c r="AF1316" s="418"/>
      <c r="AG1316" s="418"/>
      <c r="AH1316" s="418"/>
      <c r="AI1316" s="418"/>
      <c r="AJ1316" s="418"/>
      <c r="AK1316" s="418"/>
      <c r="AL1316" s="418"/>
      <c r="AM1316" s="418"/>
      <c r="AN1316" s="423"/>
      <c r="AO1316" s="423"/>
      <c r="AP1316" s="423"/>
      <c r="AQ1316" s="423"/>
      <c r="AR1316" s="423"/>
      <c r="AS1316" s="423"/>
      <c r="AT1316" s="423"/>
      <c r="AU1316" s="423"/>
      <c r="AV1316" s="423"/>
      <c r="AW1316" s="418"/>
      <c r="AX1316" s="418"/>
      <c r="AY1316" s="418"/>
      <c r="AZ1316" s="418"/>
      <c r="BA1316" s="418"/>
      <c r="BB1316" s="306"/>
    </row>
    <row r="1317" spans="1:54" ht="15.75" customHeight="1">
      <c r="A1317" s="415"/>
      <c r="B1317" s="416"/>
      <c r="C1317" s="417"/>
      <c r="D1317" s="418"/>
      <c r="E1317" s="418"/>
      <c r="F1317" s="419"/>
      <c r="G1317" s="420"/>
      <c r="H1317" s="421"/>
      <c r="I1317" s="421"/>
      <c r="J1317" s="422"/>
      <c r="K1317" s="418"/>
      <c r="L1317" s="418"/>
      <c r="M1317" s="418"/>
      <c r="N1317" s="421"/>
      <c r="O1317" s="421"/>
      <c r="P1317" s="421"/>
      <c r="Q1317" s="418"/>
      <c r="R1317" s="1022"/>
      <c r="S1317" s="1022"/>
      <c r="T1317" s="418"/>
      <c r="U1317" s="418"/>
      <c r="V1317" s="418"/>
      <c r="W1317" s="418"/>
      <c r="X1317" s="418"/>
      <c r="Y1317" s="418"/>
      <c r="Z1317" s="418"/>
      <c r="AA1317" s="418"/>
      <c r="AB1317" s="418"/>
      <c r="AC1317" s="418"/>
      <c r="AD1317" s="418"/>
      <c r="AE1317" s="418"/>
      <c r="AF1317" s="418"/>
      <c r="AG1317" s="418"/>
      <c r="AH1317" s="418"/>
      <c r="AI1317" s="418"/>
      <c r="AJ1317" s="418"/>
      <c r="AK1317" s="418"/>
      <c r="AL1317" s="418"/>
      <c r="AM1317" s="418"/>
      <c r="AN1317" s="423"/>
      <c r="AO1317" s="423"/>
      <c r="AP1317" s="423"/>
      <c r="AQ1317" s="423"/>
      <c r="AR1317" s="423"/>
      <c r="AS1317" s="423"/>
      <c r="AT1317" s="423"/>
      <c r="AU1317" s="423"/>
      <c r="AV1317" s="423"/>
      <c r="AW1317" s="418"/>
      <c r="AX1317" s="418"/>
      <c r="AY1317" s="418"/>
      <c r="AZ1317" s="418"/>
      <c r="BA1317" s="418"/>
      <c r="BB1317" s="306"/>
    </row>
    <row r="1318" spans="1:54" ht="15.75" customHeight="1">
      <c r="A1318" s="415"/>
      <c r="B1318" s="416"/>
      <c r="C1318" s="417"/>
      <c r="D1318" s="418"/>
      <c r="E1318" s="418"/>
      <c r="F1318" s="419"/>
      <c r="G1318" s="420"/>
      <c r="H1318" s="421"/>
      <c r="I1318" s="421"/>
      <c r="J1318" s="422"/>
      <c r="K1318" s="418"/>
      <c r="L1318" s="418"/>
      <c r="M1318" s="418"/>
      <c r="N1318" s="421"/>
      <c r="O1318" s="421"/>
      <c r="P1318" s="421"/>
      <c r="Q1318" s="418"/>
      <c r="R1318" s="1022"/>
      <c r="S1318" s="1022"/>
      <c r="T1318" s="418"/>
      <c r="U1318" s="418"/>
      <c r="V1318" s="418"/>
      <c r="W1318" s="418"/>
      <c r="X1318" s="418"/>
      <c r="Y1318" s="418"/>
      <c r="Z1318" s="418"/>
      <c r="AA1318" s="418"/>
      <c r="AB1318" s="418"/>
      <c r="AC1318" s="418"/>
      <c r="AD1318" s="418"/>
      <c r="AE1318" s="418"/>
      <c r="AF1318" s="418"/>
      <c r="AG1318" s="418"/>
      <c r="AH1318" s="418"/>
      <c r="AI1318" s="418"/>
      <c r="AJ1318" s="418"/>
      <c r="AK1318" s="418"/>
      <c r="AL1318" s="418"/>
      <c r="AM1318" s="418"/>
      <c r="AN1318" s="423"/>
      <c r="AO1318" s="423"/>
      <c r="AP1318" s="423"/>
      <c r="AQ1318" s="423"/>
      <c r="AR1318" s="423"/>
      <c r="AS1318" s="423"/>
      <c r="AT1318" s="423"/>
      <c r="AU1318" s="423"/>
      <c r="AV1318" s="423"/>
      <c r="AW1318" s="418"/>
      <c r="AX1318" s="418"/>
      <c r="AY1318" s="418"/>
      <c r="AZ1318" s="418"/>
      <c r="BA1318" s="418"/>
      <c r="BB1318" s="306"/>
    </row>
    <row r="1319" spans="1:54" ht="15.75" customHeight="1">
      <c r="A1319" s="415"/>
      <c r="B1319" s="416"/>
      <c r="C1319" s="417"/>
      <c r="D1319" s="418"/>
      <c r="E1319" s="418"/>
      <c r="F1319" s="419"/>
      <c r="G1319" s="420"/>
      <c r="H1319" s="421"/>
      <c r="I1319" s="421"/>
      <c r="J1319" s="422"/>
      <c r="K1319" s="418"/>
      <c r="L1319" s="418"/>
      <c r="M1319" s="418"/>
      <c r="N1319" s="421"/>
      <c r="O1319" s="421"/>
      <c r="P1319" s="421"/>
      <c r="Q1319" s="418"/>
      <c r="R1319" s="1022"/>
      <c r="S1319" s="1022"/>
      <c r="T1319" s="418"/>
      <c r="U1319" s="418"/>
      <c r="V1319" s="418"/>
      <c r="W1319" s="418"/>
      <c r="X1319" s="418"/>
      <c r="Y1319" s="418"/>
      <c r="Z1319" s="418"/>
      <c r="AA1319" s="418"/>
      <c r="AB1319" s="418"/>
      <c r="AC1319" s="418"/>
      <c r="AD1319" s="418"/>
      <c r="AE1319" s="418"/>
      <c r="AF1319" s="418"/>
      <c r="AG1319" s="418"/>
      <c r="AH1319" s="418"/>
      <c r="AI1319" s="418"/>
      <c r="AJ1319" s="418"/>
      <c r="AK1319" s="418"/>
      <c r="AL1319" s="418"/>
      <c r="AM1319" s="418"/>
      <c r="AN1319" s="423"/>
      <c r="AO1319" s="423"/>
      <c r="AP1319" s="423"/>
      <c r="AQ1319" s="423"/>
      <c r="AR1319" s="423"/>
      <c r="AS1319" s="423"/>
      <c r="AT1319" s="423"/>
      <c r="AU1319" s="423"/>
      <c r="AV1319" s="423"/>
      <c r="AW1319" s="418"/>
      <c r="AX1319" s="418"/>
      <c r="AY1319" s="418"/>
      <c r="AZ1319" s="418"/>
      <c r="BA1319" s="418"/>
      <c r="BB1319" s="306"/>
    </row>
    <row r="1320" spans="1:54" ht="15.75" customHeight="1">
      <c r="A1320" s="415"/>
      <c r="B1320" s="416"/>
      <c r="C1320" s="417"/>
      <c r="D1320" s="418"/>
      <c r="E1320" s="418"/>
      <c r="F1320" s="419"/>
      <c r="G1320" s="420"/>
      <c r="H1320" s="421"/>
      <c r="I1320" s="421"/>
      <c r="J1320" s="422"/>
      <c r="K1320" s="418"/>
      <c r="L1320" s="418"/>
      <c r="M1320" s="418"/>
      <c r="N1320" s="421"/>
      <c r="O1320" s="421"/>
      <c r="P1320" s="421"/>
      <c r="Q1320" s="418"/>
      <c r="R1320" s="1022"/>
      <c r="S1320" s="1022"/>
      <c r="T1320" s="418"/>
      <c r="U1320" s="418"/>
      <c r="V1320" s="418"/>
      <c r="W1320" s="418"/>
      <c r="X1320" s="418"/>
      <c r="Y1320" s="418"/>
      <c r="Z1320" s="418"/>
      <c r="AA1320" s="418"/>
      <c r="AB1320" s="418"/>
      <c r="AC1320" s="418"/>
      <c r="AD1320" s="418"/>
      <c r="AE1320" s="418"/>
      <c r="AF1320" s="418"/>
      <c r="AG1320" s="418"/>
      <c r="AH1320" s="418"/>
      <c r="AI1320" s="418"/>
      <c r="AJ1320" s="418"/>
      <c r="AK1320" s="418"/>
      <c r="AL1320" s="418"/>
      <c r="AM1320" s="418"/>
      <c r="AN1320" s="423"/>
      <c r="AO1320" s="423"/>
      <c r="AP1320" s="423"/>
      <c r="AQ1320" s="423"/>
      <c r="AR1320" s="423"/>
      <c r="AS1320" s="423"/>
      <c r="AT1320" s="423"/>
      <c r="AU1320" s="423"/>
      <c r="AV1320" s="423"/>
      <c r="AW1320" s="418"/>
      <c r="AX1320" s="418"/>
      <c r="AY1320" s="418"/>
      <c r="AZ1320" s="418"/>
      <c r="BA1320" s="418"/>
      <c r="BB1320" s="306"/>
    </row>
    <row r="1321" spans="1:54" ht="15.75" customHeight="1">
      <c r="A1321" s="415"/>
      <c r="B1321" s="416"/>
      <c r="C1321" s="417"/>
      <c r="D1321" s="418"/>
      <c r="E1321" s="418"/>
      <c r="F1321" s="419"/>
      <c r="G1321" s="420"/>
      <c r="H1321" s="421"/>
      <c r="I1321" s="421"/>
      <c r="J1321" s="422"/>
      <c r="K1321" s="418"/>
      <c r="L1321" s="418"/>
      <c r="M1321" s="418"/>
      <c r="N1321" s="421"/>
      <c r="O1321" s="421"/>
      <c r="P1321" s="421"/>
      <c r="Q1321" s="418"/>
      <c r="R1321" s="1022"/>
      <c r="S1321" s="1022"/>
      <c r="T1321" s="418"/>
      <c r="U1321" s="418"/>
      <c r="V1321" s="418"/>
      <c r="W1321" s="418"/>
      <c r="X1321" s="418"/>
      <c r="Y1321" s="418"/>
      <c r="Z1321" s="418"/>
      <c r="AA1321" s="418"/>
      <c r="AB1321" s="418"/>
      <c r="AC1321" s="418"/>
      <c r="AD1321" s="418"/>
      <c r="AE1321" s="418"/>
      <c r="AF1321" s="418"/>
      <c r="AG1321" s="418"/>
      <c r="AH1321" s="418"/>
      <c r="AI1321" s="418"/>
      <c r="AJ1321" s="418"/>
      <c r="AK1321" s="418"/>
      <c r="AL1321" s="418"/>
      <c r="AM1321" s="418"/>
      <c r="AN1321" s="423"/>
      <c r="AO1321" s="423"/>
      <c r="AP1321" s="423"/>
      <c r="AQ1321" s="423"/>
      <c r="AR1321" s="423"/>
      <c r="AS1321" s="423"/>
      <c r="AT1321" s="423"/>
      <c r="AU1321" s="423"/>
      <c r="AV1321" s="423"/>
      <c r="AW1321" s="418"/>
      <c r="AX1321" s="418"/>
      <c r="AY1321" s="418"/>
      <c r="AZ1321" s="418"/>
      <c r="BA1321" s="418"/>
      <c r="BB1321" s="306"/>
    </row>
    <row r="1322" spans="1:54" ht="15.75" customHeight="1">
      <c r="A1322" s="415"/>
      <c r="B1322" s="416"/>
      <c r="C1322" s="417"/>
      <c r="D1322" s="418"/>
      <c r="E1322" s="418"/>
      <c r="F1322" s="419"/>
      <c r="G1322" s="420"/>
      <c r="H1322" s="421"/>
      <c r="I1322" s="421"/>
      <c r="J1322" s="422"/>
      <c r="K1322" s="418"/>
      <c r="L1322" s="418"/>
      <c r="M1322" s="418"/>
      <c r="N1322" s="421"/>
      <c r="O1322" s="421"/>
      <c r="P1322" s="421"/>
      <c r="Q1322" s="418"/>
      <c r="R1322" s="1022"/>
      <c r="S1322" s="1022"/>
      <c r="T1322" s="418"/>
      <c r="U1322" s="418"/>
      <c r="V1322" s="418"/>
      <c r="W1322" s="418"/>
      <c r="X1322" s="418"/>
      <c r="Y1322" s="418"/>
      <c r="Z1322" s="418"/>
      <c r="AA1322" s="418"/>
      <c r="AB1322" s="418"/>
      <c r="AC1322" s="418"/>
      <c r="AD1322" s="418"/>
      <c r="AE1322" s="418"/>
      <c r="AF1322" s="418"/>
      <c r="AG1322" s="418"/>
      <c r="AH1322" s="418"/>
      <c r="AI1322" s="418"/>
      <c r="AJ1322" s="418"/>
      <c r="AK1322" s="418"/>
      <c r="AL1322" s="418"/>
      <c r="AM1322" s="418"/>
      <c r="AN1322" s="423"/>
      <c r="AO1322" s="423"/>
      <c r="AP1322" s="423"/>
      <c r="AQ1322" s="423"/>
      <c r="AR1322" s="423"/>
      <c r="AS1322" s="423"/>
      <c r="AT1322" s="423"/>
      <c r="AU1322" s="423"/>
      <c r="AV1322" s="423"/>
      <c r="AW1322" s="418"/>
      <c r="AX1322" s="418"/>
      <c r="AY1322" s="418"/>
      <c r="AZ1322" s="418"/>
      <c r="BA1322" s="418"/>
      <c r="BB1322" s="306"/>
    </row>
    <row r="1323" spans="1:54" ht="15.75" customHeight="1">
      <c r="A1323" s="415"/>
      <c r="B1323" s="416"/>
      <c r="C1323" s="417"/>
      <c r="D1323" s="418"/>
      <c r="E1323" s="418"/>
      <c r="F1323" s="419"/>
      <c r="G1323" s="420"/>
      <c r="H1323" s="421"/>
      <c r="I1323" s="425"/>
      <c r="J1323" s="422"/>
      <c r="K1323" s="418"/>
      <c r="L1323" s="418"/>
      <c r="M1323" s="418"/>
      <c r="N1323" s="421"/>
      <c r="O1323" s="421"/>
      <c r="P1323" s="421"/>
      <c r="Q1323" s="418"/>
      <c r="R1323" s="1022"/>
      <c r="S1323" s="1022"/>
      <c r="T1323" s="418"/>
      <c r="U1323" s="418"/>
      <c r="V1323" s="418"/>
      <c r="W1323" s="418"/>
      <c r="X1323" s="418"/>
      <c r="Y1323" s="418"/>
      <c r="Z1323" s="418"/>
      <c r="AA1323" s="418"/>
      <c r="AB1323" s="418"/>
      <c r="AC1323" s="418"/>
      <c r="AD1323" s="418"/>
      <c r="AE1323" s="418"/>
      <c r="AF1323" s="418"/>
      <c r="AG1323" s="418"/>
      <c r="AH1323" s="418"/>
      <c r="AI1323" s="418"/>
      <c r="AJ1323" s="418"/>
      <c r="AK1323" s="418"/>
      <c r="AL1323" s="418"/>
      <c r="AM1323" s="418"/>
      <c r="AN1323" s="423"/>
      <c r="AO1323" s="423"/>
      <c r="AP1323" s="423"/>
      <c r="AQ1323" s="423"/>
      <c r="AR1323" s="423"/>
      <c r="AS1323" s="423"/>
      <c r="AT1323" s="423"/>
      <c r="AU1323" s="423"/>
      <c r="AV1323" s="423"/>
      <c r="AW1323" s="418"/>
      <c r="AX1323" s="418"/>
      <c r="AY1323" s="418"/>
      <c r="AZ1323" s="418"/>
      <c r="BA1323" s="418"/>
      <c r="BB1323" s="306"/>
    </row>
    <row r="1324" spans="1:54" ht="15.75" customHeight="1">
      <c r="A1324" s="415"/>
      <c r="B1324" s="416"/>
      <c r="C1324" s="417"/>
      <c r="D1324" s="418"/>
      <c r="E1324" s="418"/>
      <c r="F1324" s="419"/>
      <c r="G1324" s="420"/>
      <c r="H1324" s="421"/>
      <c r="I1324" s="421"/>
      <c r="J1324" s="422"/>
      <c r="K1324" s="418"/>
      <c r="L1324" s="418"/>
      <c r="M1324" s="418"/>
      <c r="N1324" s="421"/>
      <c r="O1324" s="421"/>
      <c r="P1324" s="421"/>
      <c r="Q1324" s="418"/>
      <c r="R1324" s="1022"/>
      <c r="S1324" s="1022"/>
      <c r="T1324" s="418"/>
      <c r="U1324" s="418"/>
      <c r="V1324" s="418"/>
      <c r="W1324" s="418"/>
      <c r="X1324" s="418"/>
      <c r="Y1324" s="418"/>
      <c r="Z1324" s="418"/>
      <c r="AA1324" s="418"/>
      <c r="AB1324" s="418"/>
      <c r="AC1324" s="418"/>
      <c r="AD1324" s="418"/>
      <c r="AE1324" s="418"/>
      <c r="AF1324" s="418"/>
      <c r="AG1324" s="418"/>
      <c r="AH1324" s="418"/>
      <c r="AI1324" s="418"/>
      <c r="AJ1324" s="418"/>
      <c r="AK1324" s="418"/>
      <c r="AL1324" s="418"/>
      <c r="AM1324" s="418"/>
      <c r="AN1324" s="423"/>
      <c r="AO1324" s="423"/>
      <c r="AP1324" s="423"/>
      <c r="AQ1324" s="423"/>
      <c r="AR1324" s="423"/>
      <c r="AS1324" s="423"/>
      <c r="AT1324" s="423"/>
      <c r="AU1324" s="423"/>
      <c r="AV1324" s="423"/>
      <c r="AW1324" s="418"/>
      <c r="AX1324" s="418"/>
      <c r="AY1324" s="418"/>
      <c r="AZ1324" s="418"/>
      <c r="BA1324" s="418"/>
      <c r="BB1324" s="306"/>
    </row>
    <row r="1325" spans="1:54" ht="15.75" customHeight="1">
      <c r="A1325" s="415"/>
      <c r="B1325" s="416"/>
      <c r="C1325" s="417"/>
      <c r="D1325" s="418"/>
      <c r="E1325" s="418"/>
      <c r="F1325" s="419"/>
      <c r="G1325" s="420"/>
      <c r="H1325" s="421"/>
      <c r="I1325" s="425"/>
      <c r="J1325" s="422"/>
      <c r="K1325" s="418"/>
      <c r="L1325" s="418"/>
      <c r="M1325" s="418"/>
      <c r="N1325" s="421"/>
      <c r="O1325" s="421"/>
      <c r="P1325" s="421"/>
      <c r="Q1325" s="418"/>
      <c r="R1325" s="1022"/>
      <c r="S1325" s="1022"/>
      <c r="T1325" s="418"/>
      <c r="U1325" s="418"/>
      <c r="V1325" s="418"/>
      <c r="W1325" s="418"/>
      <c r="X1325" s="418"/>
      <c r="Y1325" s="418"/>
      <c r="Z1325" s="418"/>
      <c r="AA1325" s="418"/>
      <c r="AB1325" s="418"/>
      <c r="AC1325" s="418"/>
      <c r="AD1325" s="418"/>
      <c r="AE1325" s="418"/>
      <c r="AF1325" s="418"/>
      <c r="AG1325" s="418"/>
      <c r="AH1325" s="418"/>
      <c r="AI1325" s="418"/>
      <c r="AJ1325" s="418"/>
      <c r="AK1325" s="418"/>
      <c r="AL1325" s="418"/>
      <c r="AM1325" s="418"/>
      <c r="AN1325" s="423"/>
      <c r="AO1325" s="423"/>
      <c r="AP1325" s="423"/>
      <c r="AQ1325" s="423"/>
      <c r="AR1325" s="423"/>
      <c r="AS1325" s="423"/>
      <c r="AT1325" s="423"/>
      <c r="AU1325" s="423"/>
      <c r="AV1325" s="423"/>
      <c r="AW1325" s="418"/>
      <c r="AX1325" s="418"/>
      <c r="AY1325" s="418"/>
      <c r="AZ1325" s="418"/>
      <c r="BA1325" s="418"/>
      <c r="BB1325" s="306"/>
    </row>
    <row r="1326" spans="1:54" ht="15.75" customHeight="1">
      <c r="A1326" s="415"/>
      <c r="B1326" s="416"/>
      <c r="C1326" s="417"/>
      <c r="D1326" s="418"/>
      <c r="E1326" s="418"/>
      <c r="F1326" s="419"/>
      <c r="G1326" s="420"/>
      <c r="H1326" s="421"/>
      <c r="I1326" s="421"/>
      <c r="J1326" s="422"/>
      <c r="K1326" s="418"/>
      <c r="L1326" s="418"/>
      <c r="M1326" s="418"/>
      <c r="N1326" s="421"/>
      <c r="O1326" s="421"/>
      <c r="P1326" s="421"/>
      <c r="Q1326" s="418"/>
      <c r="R1326" s="1022"/>
      <c r="S1326" s="1022"/>
      <c r="T1326" s="418"/>
      <c r="U1326" s="418"/>
      <c r="V1326" s="418"/>
      <c r="W1326" s="418"/>
      <c r="X1326" s="418"/>
      <c r="Y1326" s="418"/>
      <c r="Z1326" s="418"/>
      <c r="AA1326" s="418"/>
      <c r="AB1326" s="418"/>
      <c r="AC1326" s="418"/>
      <c r="AD1326" s="418"/>
      <c r="AE1326" s="418"/>
      <c r="AF1326" s="418"/>
      <c r="AG1326" s="418"/>
      <c r="AH1326" s="418"/>
      <c r="AI1326" s="418"/>
      <c r="AJ1326" s="418"/>
      <c r="AK1326" s="418"/>
      <c r="AL1326" s="418"/>
      <c r="AM1326" s="418"/>
      <c r="AN1326" s="423"/>
      <c r="AO1326" s="423"/>
      <c r="AP1326" s="423"/>
      <c r="AQ1326" s="423"/>
      <c r="AR1326" s="423"/>
      <c r="AS1326" s="423"/>
      <c r="AT1326" s="423"/>
      <c r="AU1326" s="423"/>
      <c r="AV1326" s="423"/>
      <c r="AW1326" s="418"/>
      <c r="AX1326" s="418"/>
      <c r="AY1326" s="418"/>
      <c r="AZ1326" s="418"/>
      <c r="BA1326" s="418"/>
      <c r="BB1326" s="306"/>
    </row>
    <row r="1327" spans="1:54" ht="15.75" customHeight="1">
      <c r="A1327" s="415"/>
      <c r="B1327" s="416"/>
      <c r="C1327" s="417"/>
      <c r="D1327" s="418"/>
      <c r="E1327" s="418"/>
      <c r="F1327" s="419"/>
      <c r="G1327" s="420"/>
      <c r="H1327" s="421"/>
      <c r="I1327" s="421"/>
      <c r="J1327" s="422"/>
      <c r="K1327" s="418"/>
      <c r="L1327" s="418"/>
      <c r="M1327" s="418"/>
      <c r="N1327" s="421"/>
      <c r="O1327" s="421"/>
      <c r="P1327" s="421"/>
      <c r="Q1327" s="418"/>
      <c r="R1327" s="1022"/>
      <c r="S1327" s="1022"/>
      <c r="T1327" s="418"/>
      <c r="U1327" s="418"/>
      <c r="V1327" s="418"/>
      <c r="W1327" s="418"/>
      <c r="X1327" s="418"/>
      <c r="Y1327" s="418"/>
      <c r="Z1327" s="418"/>
      <c r="AA1327" s="418"/>
      <c r="AB1327" s="418"/>
      <c r="AC1327" s="418"/>
      <c r="AD1327" s="418"/>
      <c r="AE1327" s="418"/>
      <c r="AF1327" s="418"/>
      <c r="AG1327" s="418"/>
      <c r="AH1327" s="418"/>
      <c r="AI1327" s="418"/>
      <c r="AJ1327" s="418"/>
      <c r="AK1327" s="418"/>
      <c r="AL1327" s="418"/>
      <c r="AM1327" s="418"/>
      <c r="AN1327" s="423"/>
      <c r="AO1327" s="423"/>
      <c r="AP1327" s="423"/>
      <c r="AQ1327" s="423"/>
      <c r="AR1327" s="423"/>
      <c r="AS1327" s="423"/>
      <c r="AT1327" s="423"/>
      <c r="AU1327" s="423"/>
      <c r="AV1327" s="423"/>
      <c r="AW1327" s="418"/>
      <c r="AX1327" s="418"/>
      <c r="AY1327" s="418"/>
      <c r="AZ1327" s="418"/>
      <c r="BA1327" s="418"/>
      <c r="BB1327" s="306"/>
    </row>
    <row r="1328" spans="1:54" ht="15.75" customHeight="1">
      <c r="A1328" s="415"/>
      <c r="B1328" s="416"/>
      <c r="C1328" s="417"/>
      <c r="D1328" s="418"/>
      <c r="E1328" s="418"/>
      <c r="F1328" s="419"/>
      <c r="G1328" s="420"/>
      <c r="H1328" s="421"/>
      <c r="I1328" s="421"/>
      <c r="J1328" s="422"/>
      <c r="K1328" s="418"/>
      <c r="L1328" s="418"/>
      <c r="M1328" s="418"/>
      <c r="N1328" s="421"/>
      <c r="O1328" s="421"/>
      <c r="P1328" s="421"/>
      <c r="Q1328" s="418"/>
      <c r="R1328" s="1022"/>
      <c r="S1328" s="1022"/>
      <c r="T1328" s="418"/>
      <c r="U1328" s="418"/>
      <c r="V1328" s="418"/>
      <c r="W1328" s="418"/>
      <c r="X1328" s="418"/>
      <c r="Y1328" s="418"/>
      <c r="Z1328" s="418"/>
      <c r="AA1328" s="418"/>
      <c r="AB1328" s="418"/>
      <c r="AC1328" s="418"/>
      <c r="AD1328" s="418"/>
      <c r="AE1328" s="418"/>
      <c r="AF1328" s="418"/>
      <c r="AG1328" s="418"/>
      <c r="AH1328" s="418"/>
      <c r="AI1328" s="418"/>
      <c r="AJ1328" s="418"/>
      <c r="AK1328" s="418"/>
      <c r="AL1328" s="418"/>
      <c r="AM1328" s="418"/>
      <c r="AN1328" s="423"/>
      <c r="AO1328" s="423"/>
      <c r="AP1328" s="423"/>
      <c r="AQ1328" s="423"/>
      <c r="AR1328" s="423"/>
      <c r="AS1328" s="423"/>
      <c r="AT1328" s="423"/>
      <c r="AU1328" s="423"/>
      <c r="AV1328" s="423"/>
      <c r="AW1328" s="418"/>
      <c r="AX1328" s="418"/>
      <c r="AY1328" s="418"/>
      <c r="AZ1328" s="418"/>
      <c r="BA1328" s="418"/>
      <c r="BB1328" s="306"/>
    </row>
    <row r="1329" spans="1:54" ht="15.75" customHeight="1">
      <c r="A1329" s="415"/>
      <c r="B1329" s="416"/>
      <c r="C1329" s="417"/>
      <c r="D1329" s="418"/>
      <c r="E1329" s="418"/>
      <c r="F1329" s="419"/>
      <c r="G1329" s="420"/>
      <c r="H1329" s="421"/>
      <c r="I1329" s="425"/>
      <c r="J1329" s="422"/>
      <c r="K1329" s="418"/>
      <c r="L1329" s="418"/>
      <c r="M1329" s="418"/>
      <c r="N1329" s="421"/>
      <c r="O1329" s="421"/>
      <c r="P1329" s="421"/>
      <c r="Q1329" s="418"/>
      <c r="R1329" s="1022"/>
      <c r="S1329" s="1022"/>
      <c r="T1329" s="418"/>
      <c r="U1329" s="418"/>
      <c r="V1329" s="418"/>
      <c r="W1329" s="418"/>
      <c r="X1329" s="418"/>
      <c r="Y1329" s="418"/>
      <c r="Z1329" s="418"/>
      <c r="AA1329" s="418"/>
      <c r="AB1329" s="418"/>
      <c r="AC1329" s="418"/>
      <c r="AD1329" s="418"/>
      <c r="AE1329" s="418"/>
      <c r="AF1329" s="418"/>
      <c r="AG1329" s="418"/>
      <c r="AH1329" s="418"/>
      <c r="AI1329" s="418"/>
      <c r="AJ1329" s="418"/>
      <c r="AK1329" s="418"/>
      <c r="AL1329" s="418"/>
      <c r="AM1329" s="418"/>
      <c r="AN1329" s="423"/>
      <c r="AO1329" s="423"/>
      <c r="AP1329" s="423"/>
      <c r="AQ1329" s="423"/>
      <c r="AR1329" s="423"/>
      <c r="AS1329" s="423"/>
      <c r="AT1329" s="423"/>
      <c r="AU1329" s="423"/>
      <c r="AV1329" s="423"/>
      <c r="AW1329" s="418"/>
      <c r="AX1329" s="418"/>
      <c r="AY1329" s="418"/>
      <c r="AZ1329" s="418"/>
      <c r="BA1329" s="418"/>
      <c r="BB1329" s="306"/>
    </row>
    <row r="1330" spans="1:54" ht="15.75" customHeight="1">
      <c r="A1330" s="415"/>
      <c r="B1330" s="416"/>
      <c r="C1330" s="417"/>
      <c r="D1330" s="418"/>
      <c r="E1330" s="418"/>
      <c r="F1330" s="419"/>
      <c r="G1330" s="420"/>
      <c r="H1330" s="421"/>
      <c r="I1330" s="421"/>
      <c r="J1330" s="422"/>
      <c r="K1330" s="418"/>
      <c r="L1330" s="418"/>
      <c r="M1330" s="418"/>
      <c r="N1330" s="421"/>
      <c r="O1330" s="421"/>
      <c r="P1330" s="421"/>
      <c r="Q1330" s="418"/>
      <c r="R1330" s="1022"/>
      <c r="S1330" s="1022"/>
      <c r="T1330" s="418"/>
      <c r="U1330" s="418"/>
      <c r="V1330" s="418"/>
      <c r="W1330" s="418"/>
      <c r="X1330" s="418"/>
      <c r="Y1330" s="418"/>
      <c r="Z1330" s="418"/>
      <c r="AA1330" s="418"/>
      <c r="AB1330" s="418"/>
      <c r="AC1330" s="418"/>
      <c r="AD1330" s="418"/>
      <c r="AE1330" s="418"/>
      <c r="AF1330" s="418"/>
      <c r="AG1330" s="418"/>
      <c r="AH1330" s="418"/>
      <c r="AI1330" s="418"/>
      <c r="AJ1330" s="418"/>
      <c r="AK1330" s="418"/>
      <c r="AL1330" s="418"/>
      <c r="AM1330" s="418"/>
      <c r="AN1330" s="423"/>
      <c r="AO1330" s="423"/>
      <c r="AP1330" s="423"/>
      <c r="AQ1330" s="423"/>
      <c r="AR1330" s="423"/>
      <c r="AS1330" s="423"/>
      <c r="AT1330" s="423"/>
      <c r="AU1330" s="423"/>
      <c r="AV1330" s="423"/>
      <c r="AW1330" s="418"/>
      <c r="AX1330" s="418"/>
      <c r="AY1330" s="418"/>
      <c r="AZ1330" s="418"/>
      <c r="BA1330" s="418"/>
      <c r="BB1330" s="306"/>
    </row>
    <row r="1331" spans="1:54" ht="15.75" customHeight="1">
      <c r="A1331" s="415"/>
      <c r="B1331" s="416"/>
      <c r="C1331" s="417"/>
      <c r="D1331" s="418"/>
      <c r="E1331" s="418"/>
      <c r="F1331" s="419"/>
      <c r="G1331" s="420"/>
      <c r="H1331" s="421"/>
      <c r="I1331" s="425"/>
      <c r="J1331" s="422"/>
      <c r="K1331" s="418"/>
      <c r="L1331" s="418"/>
      <c r="M1331" s="418"/>
      <c r="N1331" s="421"/>
      <c r="O1331" s="421"/>
      <c r="P1331" s="421"/>
      <c r="Q1331" s="418"/>
      <c r="R1331" s="1022"/>
      <c r="S1331" s="1022"/>
      <c r="T1331" s="418"/>
      <c r="U1331" s="418"/>
      <c r="V1331" s="418"/>
      <c r="W1331" s="418"/>
      <c r="X1331" s="418"/>
      <c r="Y1331" s="418"/>
      <c r="Z1331" s="418"/>
      <c r="AA1331" s="418"/>
      <c r="AB1331" s="418"/>
      <c r="AC1331" s="418"/>
      <c r="AD1331" s="418"/>
      <c r="AE1331" s="418"/>
      <c r="AF1331" s="418"/>
      <c r="AG1331" s="418"/>
      <c r="AH1331" s="418"/>
      <c r="AI1331" s="418"/>
      <c r="AJ1331" s="418"/>
      <c r="AK1331" s="418"/>
      <c r="AL1331" s="418"/>
      <c r="AM1331" s="418"/>
      <c r="AN1331" s="423"/>
      <c r="AO1331" s="423"/>
      <c r="AP1331" s="423"/>
      <c r="AQ1331" s="423"/>
      <c r="AR1331" s="423"/>
      <c r="AS1331" s="423"/>
      <c r="AT1331" s="423"/>
      <c r="AU1331" s="423"/>
      <c r="AV1331" s="423"/>
      <c r="AW1331" s="418"/>
      <c r="AX1331" s="418"/>
      <c r="AY1331" s="418"/>
      <c r="AZ1331" s="418"/>
      <c r="BA1331" s="418"/>
      <c r="BB1331" s="306"/>
    </row>
    <row r="1332" spans="1:54" ht="15.75" customHeight="1">
      <c r="A1332" s="415"/>
      <c r="B1332" s="416"/>
      <c r="C1332" s="417"/>
      <c r="D1332" s="418"/>
      <c r="E1332" s="418"/>
      <c r="F1332" s="419"/>
      <c r="G1332" s="420"/>
      <c r="H1332" s="421"/>
      <c r="I1332" s="421"/>
      <c r="J1332" s="422"/>
      <c r="K1332" s="418"/>
      <c r="L1332" s="418"/>
      <c r="M1332" s="418"/>
      <c r="N1332" s="421"/>
      <c r="O1332" s="421"/>
      <c r="P1332" s="421"/>
      <c r="Q1332" s="418"/>
      <c r="R1332" s="1022"/>
      <c r="S1332" s="1022"/>
      <c r="T1332" s="418"/>
      <c r="U1332" s="418"/>
      <c r="V1332" s="418"/>
      <c r="W1332" s="418"/>
      <c r="X1332" s="418"/>
      <c r="Y1332" s="418"/>
      <c r="Z1332" s="418"/>
      <c r="AA1332" s="418"/>
      <c r="AB1332" s="418"/>
      <c r="AC1332" s="418"/>
      <c r="AD1332" s="418"/>
      <c r="AE1332" s="418"/>
      <c r="AF1332" s="418"/>
      <c r="AG1332" s="418"/>
      <c r="AH1332" s="418"/>
      <c r="AI1332" s="418"/>
      <c r="AJ1332" s="418"/>
      <c r="AK1332" s="418"/>
      <c r="AL1332" s="418"/>
      <c r="AM1332" s="418"/>
      <c r="AN1332" s="423"/>
      <c r="AO1332" s="423"/>
      <c r="AP1332" s="423"/>
      <c r="AQ1332" s="423"/>
      <c r="AR1332" s="423"/>
      <c r="AS1332" s="423"/>
      <c r="AT1332" s="423"/>
      <c r="AU1332" s="423"/>
      <c r="AV1332" s="423"/>
      <c r="AW1332" s="418"/>
      <c r="AX1332" s="418"/>
      <c r="AY1332" s="418"/>
      <c r="AZ1332" s="418"/>
      <c r="BA1332" s="418"/>
      <c r="BB1332" s="306"/>
    </row>
    <row r="1333" spans="1:54" ht="15.75" customHeight="1">
      <c r="A1333" s="415"/>
      <c r="B1333" s="416"/>
      <c r="C1333" s="417"/>
      <c r="D1333" s="418"/>
      <c r="E1333" s="418"/>
      <c r="F1333" s="419"/>
      <c r="G1333" s="420"/>
      <c r="H1333" s="421"/>
      <c r="I1333" s="421"/>
      <c r="J1333" s="422"/>
      <c r="K1333" s="418"/>
      <c r="L1333" s="418"/>
      <c r="M1333" s="418"/>
      <c r="N1333" s="421"/>
      <c r="O1333" s="421"/>
      <c r="P1333" s="421"/>
      <c r="Q1333" s="418"/>
      <c r="R1333" s="1022"/>
      <c r="S1333" s="1022"/>
      <c r="T1333" s="418"/>
      <c r="U1333" s="418"/>
      <c r="V1333" s="418"/>
      <c r="W1333" s="418"/>
      <c r="X1333" s="418"/>
      <c r="Y1333" s="418"/>
      <c r="Z1333" s="418"/>
      <c r="AA1333" s="418"/>
      <c r="AB1333" s="418"/>
      <c r="AC1333" s="418"/>
      <c r="AD1333" s="418"/>
      <c r="AE1333" s="418"/>
      <c r="AF1333" s="418"/>
      <c r="AG1333" s="418"/>
      <c r="AH1333" s="418"/>
      <c r="AI1333" s="418"/>
      <c r="AJ1333" s="418"/>
      <c r="AK1333" s="418"/>
      <c r="AL1333" s="418"/>
      <c r="AM1333" s="418"/>
      <c r="AN1333" s="423"/>
      <c r="AO1333" s="423"/>
      <c r="AP1333" s="423"/>
      <c r="AQ1333" s="423"/>
      <c r="AR1333" s="423"/>
      <c r="AS1333" s="423"/>
      <c r="AT1333" s="423"/>
      <c r="AU1333" s="423"/>
      <c r="AV1333" s="423"/>
      <c r="AW1333" s="418"/>
      <c r="AX1333" s="418"/>
      <c r="AY1333" s="418"/>
      <c r="AZ1333" s="418"/>
      <c r="BA1333" s="418"/>
      <c r="BB1333" s="306"/>
    </row>
    <row r="1334" spans="1:54" ht="15.75" customHeight="1">
      <c r="A1334" s="415"/>
      <c r="B1334" s="417"/>
      <c r="C1334" s="417"/>
      <c r="D1334" s="418"/>
      <c r="E1334" s="418"/>
      <c r="F1334" s="419"/>
      <c r="G1334" s="420"/>
      <c r="H1334" s="421"/>
      <c r="I1334" s="425"/>
      <c r="J1334" s="427"/>
      <c r="K1334" s="418"/>
      <c r="L1334" s="418"/>
      <c r="M1334" s="418"/>
      <c r="N1334" s="421"/>
      <c r="O1334" s="421"/>
      <c r="P1334" s="421"/>
      <c r="Q1334" s="418"/>
      <c r="R1334" s="1022"/>
      <c r="S1334" s="1022"/>
      <c r="T1334" s="418"/>
      <c r="U1334" s="418"/>
      <c r="V1334" s="418"/>
      <c r="W1334" s="418"/>
      <c r="X1334" s="418"/>
      <c r="Y1334" s="418"/>
      <c r="Z1334" s="418"/>
      <c r="AA1334" s="418"/>
      <c r="AB1334" s="418"/>
      <c r="AC1334" s="418"/>
      <c r="AD1334" s="418"/>
      <c r="AE1334" s="418"/>
      <c r="AF1334" s="418"/>
      <c r="AG1334" s="418"/>
      <c r="AH1334" s="418"/>
      <c r="AI1334" s="418"/>
      <c r="AJ1334" s="418"/>
      <c r="AK1334" s="418"/>
      <c r="AL1334" s="418"/>
      <c r="AM1334" s="418"/>
      <c r="AN1334" s="423"/>
      <c r="AO1334" s="423"/>
      <c r="AP1334" s="423"/>
      <c r="AQ1334" s="423"/>
      <c r="AR1334" s="423"/>
      <c r="AS1334" s="423"/>
      <c r="AT1334" s="423"/>
      <c r="AU1334" s="423"/>
      <c r="AV1334" s="423"/>
      <c r="AW1334" s="418"/>
      <c r="AX1334" s="418"/>
      <c r="AY1334" s="418"/>
      <c r="AZ1334" s="418"/>
      <c r="BA1334" s="418"/>
      <c r="BB1334" s="306"/>
    </row>
    <row r="1335" spans="1:54" ht="15.75" customHeight="1">
      <c r="A1335" s="415"/>
      <c r="B1335" s="416"/>
      <c r="C1335" s="417"/>
      <c r="D1335" s="418"/>
      <c r="E1335" s="418"/>
      <c r="F1335" s="419"/>
      <c r="G1335" s="420"/>
      <c r="H1335" s="421"/>
      <c r="I1335" s="425"/>
      <c r="J1335" s="427"/>
      <c r="K1335" s="418"/>
      <c r="L1335" s="418"/>
      <c r="M1335" s="418"/>
      <c r="N1335" s="421"/>
      <c r="O1335" s="421"/>
      <c r="P1335" s="421"/>
      <c r="Q1335" s="418"/>
      <c r="R1335" s="1022"/>
      <c r="S1335" s="1022"/>
      <c r="T1335" s="418"/>
      <c r="U1335" s="418"/>
      <c r="V1335" s="418"/>
      <c r="W1335" s="418"/>
      <c r="X1335" s="418"/>
      <c r="Y1335" s="418"/>
      <c r="Z1335" s="418"/>
      <c r="AA1335" s="418"/>
      <c r="AB1335" s="418"/>
      <c r="AC1335" s="418"/>
      <c r="AD1335" s="418"/>
      <c r="AE1335" s="418"/>
      <c r="AF1335" s="418"/>
      <c r="AG1335" s="418"/>
      <c r="AH1335" s="418"/>
      <c r="AI1335" s="418"/>
      <c r="AJ1335" s="418"/>
      <c r="AK1335" s="418"/>
      <c r="AL1335" s="418"/>
      <c r="AM1335" s="418"/>
      <c r="AN1335" s="423"/>
      <c r="AO1335" s="423"/>
      <c r="AP1335" s="423"/>
      <c r="AQ1335" s="423"/>
      <c r="AR1335" s="423"/>
      <c r="AS1335" s="423"/>
      <c r="AT1335" s="423"/>
      <c r="AU1335" s="423"/>
      <c r="AV1335" s="423"/>
      <c r="AW1335" s="418"/>
      <c r="AX1335" s="418"/>
      <c r="AY1335" s="418"/>
      <c r="AZ1335" s="418"/>
      <c r="BA1335" s="418"/>
      <c r="BB1335" s="306"/>
    </row>
    <row r="1336" spans="1:54" ht="15.75" customHeight="1">
      <c r="A1336" s="415"/>
      <c r="B1336" s="416"/>
      <c r="C1336" s="417"/>
      <c r="D1336" s="418"/>
      <c r="E1336" s="418"/>
      <c r="F1336" s="419"/>
      <c r="G1336" s="420"/>
      <c r="H1336" s="421"/>
      <c r="I1336" s="421"/>
      <c r="J1336" s="422"/>
      <c r="K1336" s="418"/>
      <c r="L1336" s="418"/>
      <c r="M1336" s="418"/>
      <c r="N1336" s="421"/>
      <c r="O1336" s="421"/>
      <c r="P1336" s="421"/>
      <c r="Q1336" s="418"/>
      <c r="R1336" s="1022"/>
      <c r="S1336" s="1022"/>
      <c r="T1336" s="418"/>
      <c r="U1336" s="418"/>
      <c r="V1336" s="418"/>
      <c r="W1336" s="418"/>
      <c r="X1336" s="418"/>
      <c r="Y1336" s="418"/>
      <c r="Z1336" s="418"/>
      <c r="AA1336" s="418"/>
      <c r="AB1336" s="418"/>
      <c r="AC1336" s="418"/>
      <c r="AD1336" s="418"/>
      <c r="AE1336" s="418"/>
      <c r="AF1336" s="418"/>
      <c r="AG1336" s="418"/>
      <c r="AH1336" s="418"/>
      <c r="AI1336" s="418"/>
      <c r="AJ1336" s="418"/>
      <c r="AK1336" s="418"/>
      <c r="AL1336" s="418"/>
      <c r="AM1336" s="418"/>
      <c r="AN1336" s="423"/>
      <c r="AO1336" s="423"/>
      <c r="AP1336" s="423"/>
      <c r="AQ1336" s="423"/>
      <c r="AR1336" s="423"/>
      <c r="AS1336" s="423"/>
      <c r="AT1336" s="423"/>
      <c r="AU1336" s="423"/>
      <c r="AV1336" s="423"/>
      <c r="AW1336" s="418"/>
      <c r="AX1336" s="418"/>
      <c r="AY1336" s="418"/>
      <c r="AZ1336" s="418"/>
      <c r="BA1336" s="418"/>
      <c r="BB1336" s="306"/>
    </row>
    <row r="1337" spans="1:54" ht="15.75" customHeight="1">
      <c r="A1337" s="415"/>
      <c r="B1337" s="416"/>
      <c r="C1337" s="417"/>
      <c r="D1337" s="418"/>
      <c r="E1337" s="418"/>
      <c r="F1337" s="419"/>
      <c r="G1337" s="420"/>
      <c r="H1337" s="421"/>
      <c r="I1337" s="421"/>
      <c r="J1337" s="422"/>
      <c r="K1337" s="418"/>
      <c r="L1337" s="418"/>
      <c r="M1337" s="418"/>
      <c r="N1337" s="421"/>
      <c r="O1337" s="421"/>
      <c r="P1337" s="421"/>
      <c r="Q1337" s="418"/>
      <c r="R1337" s="1022"/>
      <c r="S1337" s="1022"/>
      <c r="T1337" s="418"/>
      <c r="U1337" s="418"/>
      <c r="V1337" s="418"/>
      <c r="W1337" s="418"/>
      <c r="X1337" s="418"/>
      <c r="Y1337" s="418"/>
      <c r="Z1337" s="418"/>
      <c r="AA1337" s="418"/>
      <c r="AB1337" s="418"/>
      <c r="AC1337" s="418"/>
      <c r="AD1337" s="418"/>
      <c r="AE1337" s="418"/>
      <c r="AF1337" s="418"/>
      <c r="AG1337" s="418"/>
      <c r="AH1337" s="418"/>
      <c r="AI1337" s="418"/>
      <c r="AJ1337" s="418"/>
      <c r="AK1337" s="418"/>
      <c r="AL1337" s="418"/>
      <c r="AM1337" s="418"/>
      <c r="AN1337" s="423"/>
      <c r="AO1337" s="423"/>
      <c r="AP1337" s="423"/>
      <c r="AQ1337" s="423"/>
      <c r="AR1337" s="423"/>
      <c r="AS1337" s="423"/>
      <c r="AT1337" s="423"/>
      <c r="AU1337" s="423"/>
      <c r="AV1337" s="423"/>
      <c r="AW1337" s="418"/>
      <c r="AX1337" s="418"/>
      <c r="AY1337" s="418"/>
      <c r="AZ1337" s="418"/>
      <c r="BA1337" s="418"/>
      <c r="BB1337" s="306"/>
    </row>
    <row r="1338" spans="1:54" ht="15.75" customHeight="1">
      <c r="A1338" s="415"/>
      <c r="B1338" s="416"/>
      <c r="C1338" s="417"/>
      <c r="D1338" s="418"/>
      <c r="E1338" s="418"/>
      <c r="F1338" s="419"/>
      <c r="G1338" s="420"/>
      <c r="H1338" s="421"/>
      <c r="I1338" s="421"/>
      <c r="J1338" s="422"/>
      <c r="K1338" s="418"/>
      <c r="L1338" s="418"/>
      <c r="M1338" s="418"/>
      <c r="N1338" s="421"/>
      <c r="O1338" s="421"/>
      <c r="P1338" s="421"/>
      <c r="Q1338" s="418"/>
      <c r="R1338" s="1022"/>
      <c r="S1338" s="1022"/>
      <c r="T1338" s="418"/>
      <c r="U1338" s="418"/>
      <c r="V1338" s="418"/>
      <c r="W1338" s="418"/>
      <c r="X1338" s="418"/>
      <c r="Y1338" s="418"/>
      <c r="Z1338" s="418"/>
      <c r="AA1338" s="418"/>
      <c r="AB1338" s="418"/>
      <c r="AC1338" s="418"/>
      <c r="AD1338" s="418"/>
      <c r="AE1338" s="418"/>
      <c r="AF1338" s="418"/>
      <c r="AG1338" s="418"/>
      <c r="AH1338" s="418"/>
      <c r="AI1338" s="418"/>
      <c r="AJ1338" s="418"/>
      <c r="AK1338" s="418"/>
      <c r="AL1338" s="418"/>
      <c r="AM1338" s="418"/>
      <c r="AN1338" s="423"/>
      <c r="AO1338" s="423"/>
      <c r="AP1338" s="423"/>
      <c r="AQ1338" s="423"/>
      <c r="AR1338" s="423"/>
      <c r="AS1338" s="423"/>
      <c r="AT1338" s="423"/>
      <c r="AU1338" s="423"/>
      <c r="AV1338" s="423"/>
      <c r="AW1338" s="418"/>
      <c r="AX1338" s="418"/>
      <c r="AY1338" s="418"/>
      <c r="AZ1338" s="418"/>
      <c r="BA1338" s="418"/>
      <c r="BB1338" s="306"/>
    </row>
    <row r="1339" spans="1:54" ht="15.75" customHeight="1">
      <c r="A1339" s="415"/>
      <c r="B1339" s="416"/>
      <c r="C1339" s="417"/>
      <c r="D1339" s="418"/>
      <c r="E1339" s="418"/>
      <c r="F1339" s="419"/>
      <c r="G1339" s="420"/>
      <c r="H1339" s="421"/>
      <c r="I1339" s="421"/>
      <c r="J1339" s="422"/>
      <c r="K1339" s="418"/>
      <c r="L1339" s="418"/>
      <c r="M1339" s="418"/>
      <c r="N1339" s="421"/>
      <c r="O1339" s="421"/>
      <c r="P1339" s="421"/>
      <c r="Q1339" s="418"/>
      <c r="R1339" s="1022"/>
      <c r="S1339" s="1022"/>
      <c r="T1339" s="418"/>
      <c r="U1339" s="418"/>
      <c r="V1339" s="418"/>
      <c r="W1339" s="418"/>
      <c r="X1339" s="418"/>
      <c r="Y1339" s="418"/>
      <c r="Z1339" s="418"/>
      <c r="AA1339" s="418"/>
      <c r="AB1339" s="418"/>
      <c r="AC1339" s="418"/>
      <c r="AD1339" s="418"/>
      <c r="AE1339" s="418"/>
      <c r="AF1339" s="418"/>
      <c r="AG1339" s="418"/>
      <c r="AH1339" s="418"/>
      <c r="AI1339" s="418"/>
      <c r="AJ1339" s="418"/>
      <c r="AK1339" s="418"/>
      <c r="AL1339" s="418"/>
      <c r="AM1339" s="418"/>
      <c r="AN1339" s="423"/>
      <c r="AO1339" s="423"/>
      <c r="AP1339" s="423"/>
      <c r="AQ1339" s="423"/>
      <c r="AR1339" s="423"/>
      <c r="AS1339" s="423"/>
      <c r="AT1339" s="423"/>
      <c r="AU1339" s="423"/>
      <c r="AV1339" s="423"/>
      <c r="AW1339" s="418"/>
      <c r="AX1339" s="418"/>
      <c r="AY1339" s="418"/>
      <c r="AZ1339" s="418"/>
      <c r="BA1339" s="418"/>
      <c r="BB1339" s="306"/>
    </row>
    <row r="1340" spans="1:54" ht="15.75" customHeight="1">
      <c r="A1340" s="415"/>
      <c r="B1340" s="416"/>
      <c r="C1340" s="417"/>
      <c r="D1340" s="418"/>
      <c r="E1340" s="418"/>
      <c r="F1340" s="419"/>
      <c r="G1340" s="420"/>
      <c r="H1340" s="421"/>
      <c r="I1340" s="421"/>
      <c r="J1340" s="422"/>
      <c r="K1340" s="418"/>
      <c r="L1340" s="418"/>
      <c r="M1340" s="418"/>
      <c r="N1340" s="421"/>
      <c r="O1340" s="421"/>
      <c r="P1340" s="421"/>
      <c r="Q1340" s="418"/>
      <c r="R1340" s="1022"/>
      <c r="S1340" s="1022"/>
      <c r="T1340" s="418"/>
      <c r="U1340" s="418"/>
      <c r="V1340" s="418"/>
      <c r="W1340" s="418"/>
      <c r="X1340" s="418"/>
      <c r="Y1340" s="418"/>
      <c r="Z1340" s="418"/>
      <c r="AA1340" s="418"/>
      <c r="AB1340" s="418"/>
      <c r="AC1340" s="418"/>
      <c r="AD1340" s="418"/>
      <c r="AE1340" s="418"/>
      <c r="AF1340" s="418"/>
      <c r="AG1340" s="418"/>
      <c r="AH1340" s="418"/>
      <c r="AI1340" s="418"/>
      <c r="AJ1340" s="418"/>
      <c r="AK1340" s="418"/>
      <c r="AL1340" s="418"/>
      <c r="AM1340" s="418"/>
      <c r="AN1340" s="423"/>
      <c r="AO1340" s="423"/>
      <c r="AP1340" s="423"/>
      <c r="AQ1340" s="423"/>
      <c r="AR1340" s="423"/>
      <c r="AS1340" s="423"/>
      <c r="AT1340" s="423"/>
      <c r="AU1340" s="423"/>
      <c r="AV1340" s="423"/>
      <c r="AW1340" s="418"/>
      <c r="AX1340" s="418"/>
      <c r="AY1340" s="418"/>
      <c r="AZ1340" s="418"/>
      <c r="BA1340" s="418"/>
      <c r="BB1340" s="306"/>
    </row>
    <row r="1341" spans="1:54" ht="15.75" customHeight="1">
      <c r="A1341" s="415"/>
      <c r="B1341" s="416"/>
      <c r="C1341" s="417"/>
      <c r="D1341" s="418"/>
      <c r="E1341" s="418"/>
      <c r="F1341" s="419"/>
      <c r="G1341" s="420"/>
      <c r="H1341" s="421"/>
      <c r="I1341" s="421"/>
      <c r="J1341" s="422"/>
      <c r="K1341" s="418"/>
      <c r="L1341" s="418"/>
      <c r="M1341" s="418"/>
      <c r="N1341" s="421"/>
      <c r="O1341" s="421"/>
      <c r="P1341" s="421"/>
      <c r="Q1341" s="418"/>
      <c r="R1341" s="1022"/>
      <c r="S1341" s="1022"/>
      <c r="T1341" s="418"/>
      <c r="U1341" s="418"/>
      <c r="V1341" s="418"/>
      <c r="W1341" s="418"/>
      <c r="X1341" s="418"/>
      <c r="Y1341" s="418"/>
      <c r="Z1341" s="418"/>
      <c r="AA1341" s="418"/>
      <c r="AB1341" s="418"/>
      <c r="AC1341" s="418"/>
      <c r="AD1341" s="418"/>
      <c r="AE1341" s="418"/>
      <c r="AF1341" s="418"/>
      <c r="AG1341" s="418"/>
      <c r="AH1341" s="418"/>
      <c r="AI1341" s="418"/>
      <c r="AJ1341" s="418"/>
      <c r="AK1341" s="418"/>
      <c r="AL1341" s="418"/>
      <c r="AM1341" s="418"/>
      <c r="AN1341" s="423"/>
      <c r="AO1341" s="423"/>
      <c r="AP1341" s="423"/>
      <c r="AQ1341" s="423"/>
      <c r="AR1341" s="423"/>
      <c r="AS1341" s="423"/>
      <c r="AT1341" s="423"/>
      <c r="AU1341" s="423"/>
      <c r="AV1341" s="423"/>
      <c r="AW1341" s="418"/>
      <c r="AX1341" s="418"/>
      <c r="AY1341" s="418"/>
      <c r="AZ1341" s="418"/>
      <c r="BA1341" s="418"/>
      <c r="BB1341" s="306"/>
    </row>
    <row r="1342" spans="1:54" ht="15.75" customHeight="1">
      <c r="A1342" s="415"/>
      <c r="B1342" s="416"/>
      <c r="C1342" s="417"/>
      <c r="D1342" s="418"/>
      <c r="E1342" s="418"/>
      <c r="F1342" s="419"/>
      <c r="G1342" s="420"/>
      <c r="H1342" s="421"/>
      <c r="I1342" s="425"/>
      <c r="J1342" s="422"/>
      <c r="K1342" s="418"/>
      <c r="L1342" s="418"/>
      <c r="M1342" s="418"/>
      <c r="N1342" s="421"/>
      <c r="O1342" s="421"/>
      <c r="P1342" s="421"/>
      <c r="Q1342" s="418"/>
      <c r="R1342" s="1022"/>
      <c r="S1342" s="1022"/>
      <c r="T1342" s="418"/>
      <c r="U1342" s="418"/>
      <c r="V1342" s="418"/>
      <c r="W1342" s="418"/>
      <c r="X1342" s="418"/>
      <c r="Y1342" s="418"/>
      <c r="Z1342" s="418"/>
      <c r="AA1342" s="418"/>
      <c r="AB1342" s="418"/>
      <c r="AC1342" s="418"/>
      <c r="AD1342" s="418"/>
      <c r="AE1342" s="418"/>
      <c r="AF1342" s="418"/>
      <c r="AG1342" s="418"/>
      <c r="AH1342" s="418"/>
      <c r="AI1342" s="418"/>
      <c r="AJ1342" s="418"/>
      <c r="AK1342" s="418"/>
      <c r="AL1342" s="418"/>
      <c r="AM1342" s="418"/>
      <c r="AN1342" s="423"/>
      <c r="AO1342" s="423"/>
      <c r="AP1342" s="423"/>
      <c r="AQ1342" s="423"/>
      <c r="AR1342" s="423"/>
      <c r="AS1342" s="423"/>
      <c r="AT1342" s="423"/>
      <c r="AU1342" s="423"/>
      <c r="AV1342" s="423"/>
      <c r="AW1342" s="418"/>
      <c r="AX1342" s="418"/>
      <c r="AY1342" s="418"/>
      <c r="AZ1342" s="418"/>
      <c r="BA1342" s="418"/>
      <c r="BB1342" s="306"/>
    </row>
    <row r="1343" spans="1:54" ht="15.75" customHeight="1">
      <c r="A1343" s="415"/>
      <c r="B1343" s="416"/>
      <c r="C1343" s="417"/>
      <c r="D1343" s="418"/>
      <c r="E1343" s="418"/>
      <c r="F1343" s="419"/>
      <c r="G1343" s="420"/>
      <c r="H1343" s="421"/>
      <c r="I1343" s="421"/>
      <c r="J1343" s="422"/>
      <c r="K1343" s="418"/>
      <c r="L1343" s="418"/>
      <c r="M1343" s="418"/>
      <c r="N1343" s="421"/>
      <c r="O1343" s="421"/>
      <c r="P1343" s="421"/>
      <c r="Q1343" s="418"/>
      <c r="R1343" s="1022"/>
      <c r="S1343" s="1022"/>
      <c r="T1343" s="418"/>
      <c r="U1343" s="418"/>
      <c r="V1343" s="418"/>
      <c r="W1343" s="418"/>
      <c r="X1343" s="418"/>
      <c r="Y1343" s="418"/>
      <c r="Z1343" s="418"/>
      <c r="AA1343" s="418"/>
      <c r="AB1343" s="418"/>
      <c r="AC1343" s="418"/>
      <c r="AD1343" s="418"/>
      <c r="AE1343" s="418"/>
      <c r="AF1343" s="418"/>
      <c r="AG1343" s="418"/>
      <c r="AH1343" s="418"/>
      <c r="AI1343" s="418"/>
      <c r="AJ1343" s="418"/>
      <c r="AK1343" s="418"/>
      <c r="AL1343" s="418"/>
      <c r="AM1343" s="418"/>
      <c r="AN1343" s="423"/>
      <c r="AO1343" s="423"/>
      <c r="AP1343" s="423"/>
      <c r="AQ1343" s="423"/>
      <c r="AR1343" s="423"/>
      <c r="AS1343" s="423"/>
      <c r="AT1343" s="423"/>
      <c r="AU1343" s="423"/>
      <c r="AV1343" s="423"/>
      <c r="AW1343" s="418"/>
      <c r="AX1343" s="418"/>
      <c r="AY1343" s="418"/>
      <c r="AZ1343" s="418"/>
      <c r="BA1343" s="418"/>
      <c r="BB1343" s="306"/>
    </row>
    <row r="1344" spans="1:54" ht="15.75" customHeight="1">
      <c r="A1344" s="415"/>
      <c r="B1344" s="416"/>
      <c r="C1344" s="417"/>
      <c r="D1344" s="418"/>
      <c r="E1344" s="418"/>
      <c r="F1344" s="419"/>
      <c r="G1344" s="420"/>
      <c r="H1344" s="421"/>
      <c r="I1344" s="425"/>
      <c r="J1344" s="422"/>
      <c r="K1344" s="418"/>
      <c r="L1344" s="418"/>
      <c r="M1344" s="418"/>
      <c r="N1344" s="421"/>
      <c r="O1344" s="421"/>
      <c r="P1344" s="421"/>
      <c r="Q1344" s="418"/>
      <c r="R1344" s="1022"/>
      <c r="S1344" s="1022"/>
      <c r="T1344" s="418"/>
      <c r="U1344" s="418"/>
      <c r="V1344" s="418"/>
      <c r="W1344" s="418"/>
      <c r="X1344" s="418"/>
      <c r="Y1344" s="418"/>
      <c r="Z1344" s="418"/>
      <c r="AA1344" s="418"/>
      <c r="AB1344" s="418"/>
      <c r="AC1344" s="418"/>
      <c r="AD1344" s="418"/>
      <c r="AE1344" s="418"/>
      <c r="AF1344" s="418"/>
      <c r="AG1344" s="418"/>
      <c r="AH1344" s="418"/>
      <c r="AI1344" s="418"/>
      <c r="AJ1344" s="418"/>
      <c r="AK1344" s="418"/>
      <c r="AL1344" s="418"/>
      <c r="AM1344" s="418"/>
      <c r="AN1344" s="423"/>
      <c r="AO1344" s="423"/>
      <c r="AP1344" s="423"/>
      <c r="AQ1344" s="423"/>
      <c r="AR1344" s="423"/>
      <c r="AS1344" s="423"/>
      <c r="AT1344" s="423"/>
      <c r="AU1344" s="423"/>
      <c r="AV1344" s="423"/>
      <c r="AW1344" s="418"/>
      <c r="AX1344" s="418"/>
      <c r="AY1344" s="418"/>
      <c r="AZ1344" s="418"/>
      <c r="BA1344" s="418"/>
      <c r="BB1344" s="306"/>
    </row>
    <row r="1345" spans="1:54" ht="15.75" customHeight="1">
      <c r="A1345" s="415"/>
      <c r="B1345" s="416"/>
      <c r="C1345" s="417"/>
      <c r="D1345" s="418"/>
      <c r="E1345" s="418"/>
      <c r="F1345" s="419"/>
      <c r="G1345" s="420"/>
      <c r="H1345" s="421"/>
      <c r="I1345" s="421"/>
      <c r="J1345" s="422"/>
      <c r="K1345" s="418"/>
      <c r="L1345" s="418"/>
      <c r="M1345" s="418"/>
      <c r="N1345" s="421"/>
      <c r="O1345" s="421"/>
      <c r="P1345" s="421"/>
      <c r="Q1345" s="418"/>
      <c r="R1345" s="1022"/>
      <c r="S1345" s="1022"/>
      <c r="T1345" s="418"/>
      <c r="U1345" s="418"/>
      <c r="V1345" s="418"/>
      <c r="W1345" s="418"/>
      <c r="X1345" s="418"/>
      <c r="Y1345" s="418"/>
      <c r="Z1345" s="418"/>
      <c r="AA1345" s="418"/>
      <c r="AB1345" s="418"/>
      <c r="AC1345" s="418"/>
      <c r="AD1345" s="418"/>
      <c r="AE1345" s="418"/>
      <c r="AF1345" s="418"/>
      <c r="AG1345" s="418"/>
      <c r="AH1345" s="418"/>
      <c r="AI1345" s="418"/>
      <c r="AJ1345" s="418"/>
      <c r="AK1345" s="418"/>
      <c r="AL1345" s="418"/>
      <c r="AM1345" s="418"/>
      <c r="AN1345" s="423"/>
      <c r="AO1345" s="423"/>
      <c r="AP1345" s="423"/>
      <c r="AQ1345" s="423"/>
      <c r="AR1345" s="423"/>
      <c r="AS1345" s="423"/>
      <c r="AT1345" s="423"/>
      <c r="AU1345" s="423"/>
      <c r="AV1345" s="423"/>
      <c r="AW1345" s="418"/>
      <c r="AX1345" s="418"/>
      <c r="AY1345" s="418"/>
      <c r="AZ1345" s="418"/>
      <c r="BA1345" s="418"/>
      <c r="BB1345" s="306"/>
    </row>
    <row r="1346" spans="1:54" ht="15.75" customHeight="1">
      <c r="A1346" s="415"/>
      <c r="B1346" s="417"/>
      <c r="C1346" s="417"/>
      <c r="D1346" s="418"/>
      <c r="E1346" s="418"/>
      <c r="F1346" s="419"/>
      <c r="G1346" s="420"/>
      <c r="H1346" s="421"/>
      <c r="I1346" s="421"/>
      <c r="J1346" s="422"/>
      <c r="K1346" s="418"/>
      <c r="L1346" s="418"/>
      <c r="M1346" s="418"/>
      <c r="N1346" s="421"/>
      <c r="O1346" s="421"/>
      <c r="P1346" s="421"/>
      <c r="Q1346" s="418"/>
      <c r="R1346" s="1022"/>
      <c r="S1346" s="1022"/>
      <c r="T1346" s="418"/>
      <c r="U1346" s="418"/>
      <c r="V1346" s="418"/>
      <c r="W1346" s="418"/>
      <c r="X1346" s="418"/>
      <c r="Y1346" s="418"/>
      <c r="Z1346" s="418"/>
      <c r="AA1346" s="418"/>
      <c r="AB1346" s="418"/>
      <c r="AC1346" s="418"/>
      <c r="AD1346" s="418"/>
      <c r="AE1346" s="418"/>
      <c r="AF1346" s="418"/>
      <c r="AG1346" s="418"/>
      <c r="AH1346" s="418"/>
      <c r="AI1346" s="418"/>
      <c r="AJ1346" s="418"/>
      <c r="AK1346" s="418"/>
      <c r="AL1346" s="418"/>
      <c r="AM1346" s="418"/>
      <c r="AN1346" s="423"/>
      <c r="AO1346" s="423"/>
      <c r="AP1346" s="423"/>
      <c r="AQ1346" s="423"/>
      <c r="AR1346" s="423"/>
      <c r="AS1346" s="423"/>
      <c r="AT1346" s="423"/>
      <c r="AU1346" s="423"/>
      <c r="AV1346" s="423"/>
      <c r="AW1346" s="418"/>
      <c r="AX1346" s="418"/>
      <c r="AY1346" s="418"/>
      <c r="AZ1346" s="418"/>
      <c r="BA1346" s="418"/>
      <c r="BB1346" s="306"/>
    </row>
    <row r="1347" spans="1:54" ht="15.75" customHeight="1">
      <c r="A1347" s="415"/>
      <c r="B1347" s="417"/>
      <c r="C1347" s="417"/>
      <c r="D1347" s="418"/>
      <c r="E1347" s="418"/>
      <c r="F1347" s="419"/>
      <c r="G1347" s="420"/>
      <c r="H1347" s="421"/>
      <c r="I1347" s="421"/>
      <c r="J1347" s="422"/>
      <c r="K1347" s="418"/>
      <c r="L1347" s="418"/>
      <c r="M1347" s="418"/>
      <c r="N1347" s="421"/>
      <c r="O1347" s="421"/>
      <c r="P1347" s="421"/>
      <c r="Q1347" s="418"/>
      <c r="R1347" s="1022"/>
      <c r="S1347" s="1022"/>
      <c r="T1347" s="418"/>
      <c r="U1347" s="418"/>
      <c r="V1347" s="418"/>
      <c r="W1347" s="418"/>
      <c r="X1347" s="418"/>
      <c r="Y1347" s="418"/>
      <c r="Z1347" s="418"/>
      <c r="AA1347" s="418"/>
      <c r="AB1347" s="418"/>
      <c r="AC1347" s="418"/>
      <c r="AD1347" s="418"/>
      <c r="AE1347" s="418"/>
      <c r="AF1347" s="418"/>
      <c r="AG1347" s="418"/>
      <c r="AH1347" s="418"/>
      <c r="AI1347" s="418"/>
      <c r="AJ1347" s="418"/>
      <c r="AK1347" s="418"/>
      <c r="AL1347" s="418"/>
      <c r="AM1347" s="418"/>
      <c r="AN1347" s="423"/>
      <c r="AO1347" s="423"/>
      <c r="AP1347" s="423"/>
      <c r="AQ1347" s="423"/>
      <c r="AR1347" s="423"/>
      <c r="AS1347" s="423"/>
      <c r="AT1347" s="423"/>
      <c r="AU1347" s="423"/>
      <c r="AV1347" s="423"/>
      <c r="AW1347" s="418"/>
      <c r="AX1347" s="418"/>
      <c r="AY1347" s="418"/>
      <c r="AZ1347" s="418"/>
      <c r="BA1347" s="418"/>
      <c r="BB1347" s="306"/>
    </row>
    <row r="1348" spans="1:54" ht="15.75" customHeight="1">
      <c r="A1348" s="415"/>
      <c r="B1348" s="417"/>
      <c r="C1348" s="417"/>
      <c r="D1348" s="418"/>
      <c r="E1348" s="418"/>
      <c r="F1348" s="419"/>
      <c r="G1348" s="420"/>
      <c r="H1348" s="421"/>
      <c r="I1348" s="421"/>
      <c r="J1348" s="422"/>
      <c r="K1348" s="418"/>
      <c r="L1348" s="418"/>
      <c r="M1348" s="418"/>
      <c r="N1348" s="421"/>
      <c r="O1348" s="421"/>
      <c r="P1348" s="421"/>
      <c r="Q1348" s="418"/>
      <c r="R1348" s="1022"/>
      <c r="S1348" s="1022"/>
      <c r="T1348" s="418"/>
      <c r="U1348" s="418"/>
      <c r="V1348" s="418"/>
      <c r="W1348" s="418"/>
      <c r="X1348" s="418"/>
      <c r="Y1348" s="418"/>
      <c r="Z1348" s="418"/>
      <c r="AA1348" s="418"/>
      <c r="AB1348" s="418"/>
      <c r="AC1348" s="418"/>
      <c r="AD1348" s="418"/>
      <c r="AE1348" s="418"/>
      <c r="AF1348" s="418"/>
      <c r="AG1348" s="418"/>
      <c r="AH1348" s="418"/>
      <c r="AI1348" s="418"/>
      <c r="AJ1348" s="418"/>
      <c r="AK1348" s="418"/>
      <c r="AL1348" s="418"/>
      <c r="AM1348" s="418"/>
      <c r="AN1348" s="423"/>
      <c r="AO1348" s="423"/>
      <c r="AP1348" s="423"/>
      <c r="AQ1348" s="423"/>
      <c r="AR1348" s="423"/>
      <c r="AS1348" s="423"/>
      <c r="AT1348" s="423"/>
      <c r="AU1348" s="423"/>
      <c r="AV1348" s="423"/>
      <c r="AW1348" s="418"/>
      <c r="AX1348" s="418"/>
      <c r="AY1348" s="418"/>
      <c r="AZ1348" s="418"/>
      <c r="BA1348" s="418"/>
      <c r="BB1348" s="306"/>
    </row>
    <row r="1349" spans="1:54" ht="15.75" customHeight="1">
      <c r="A1349" s="415"/>
      <c r="B1349" s="417"/>
      <c r="C1349" s="417"/>
      <c r="D1349" s="418"/>
      <c r="E1349" s="418"/>
      <c r="F1349" s="419"/>
      <c r="G1349" s="420"/>
      <c r="H1349" s="421"/>
      <c r="I1349" s="421"/>
      <c r="J1349" s="422"/>
      <c r="K1349" s="418"/>
      <c r="L1349" s="418"/>
      <c r="M1349" s="418"/>
      <c r="N1349" s="421"/>
      <c r="O1349" s="421"/>
      <c r="P1349" s="421"/>
      <c r="Q1349" s="418"/>
      <c r="R1349" s="1022"/>
      <c r="S1349" s="1022"/>
      <c r="T1349" s="418"/>
      <c r="U1349" s="418"/>
      <c r="V1349" s="418"/>
      <c r="W1349" s="418"/>
      <c r="X1349" s="418"/>
      <c r="Y1349" s="418"/>
      <c r="Z1349" s="418"/>
      <c r="AA1349" s="418"/>
      <c r="AB1349" s="418"/>
      <c r="AC1349" s="418"/>
      <c r="AD1349" s="418"/>
      <c r="AE1349" s="418"/>
      <c r="AF1349" s="418"/>
      <c r="AG1349" s="418"/>
      <c r="AH1349" s="418"/>
      <c r="AI1349" s="418"/>
      <c r="AJ1349" s="418"/>
      <c r="AK1349" s="418"/>
      <c r="AL1349" s="418"/>
      <c r="AM1349" s="418"/>
      <c r="AN1349" s="423"/>
      <c r="AO1349" s="423"/>
      <c r="AP1349" s="423"/>
      <c r="AQ1349" s="423"/>
      <c r="AR1349" s="423"/>
      <c r="AS1349" s="423"/>
      <c r="AT1349" s="423"/>
      <c r="AU1349" s="423"/>
      <c r="AV1349" s="423"/>
      <c r="AW1349" s="418"/>
      <c r="AX1349" s="418"/>
      <c r="AY1349" s="418"/>
      <c r="AZ1349" s="418"/>
      <c r="BA1349" s="418"/>
      <c r="BB1349" s="306"/>
    </row>
    <row r="1350" spans="1:54" ht="15.75" customHeight="1">
      <c r="A1350" s="415"/>
      <c r="B1350" s="417"/>
      <c r="C1350" s="417"/>
      <c r="D1350" s="418"/>
      <c r="E1350" s="418"/>
      <c r="F1350" s="419"/>
      <c r="G1350" s="420"/>
      <c r="H1350" s="421"/>
      <c r="I1350" s="421"/>
      <c r="J1350" s="422"/>
      <c r="K1350" s="418"/>
      <c r="L1350" s="418"/>
      <c r="M1350" s="418"/>
      <c r="N1350" s="421"/>
      <c r="O1350" s="421"/>
      <c r="P1350" s="421"/>
      <c r="Q1350" s="418"/>
      <c r="R1350" s="1022"/>
      <c r="S1350" s="1022"/>
      <c r="T1350" s="418"/>
      <c r="U1350" s="418"/>
      <c r="V1350" s="418"/>
      <c r="W1350" s="418"/>
      <c r="X1350" s="418"/>
      <c r="Y1350" s="418"/>
      <c r="Z1350" s="418"/>
      <c r="AA1350" s="418"/>
      <c r="AB1350" s="418"/>
      <c r="AC1350" s="418"/>
      <c r="AD1350" s="418"/>
      <c r="AE1350" s="418"/>
      <c r="AF1350" s="418"/>
      <c r="AG1350" s="418"/>
      <c r="AH1350" s="418"/>
      <c r="AI1350" s="418"/>
      <c r="AJ1350" s="418"/>
      <c r="AK1350" s="418"/>
      <c r="AL1350" s="418"/>
      <c r="AM1350" s="418"/>
      <c r="AN1350" s="423"/>
      <c r="AO1350" s="423"/>
      <c r="AP1350" s="423"/>
      <c r="AQ1350" s="423"/>
      <c r="AR1350" s="423"/>
      <c r="AS1350" s="423"/>
      <c r="AT1350" s="423"/>
      <c r="AU1350" s="423"/>
      <c r="AV1350" s="423"/>
      <c r="AW1350" s="418"/>
      <c r="AX1350" s="418"/>
      <c r="AY1350" s="418"/>
      <c r="AZ1350" s="418"/>
      <c r="BA1350" s="418"/>
      <c r="BB1350" s="306"/>
    </row>
    <row r="1351" spans="1:54" ht="15.75" customHeight="1">
      <c r="A1351" s="415"/>
      <c r="B1351" s="417"/>
      <c r="C1351" s="417"/>
      <c r="D1351" s="418"/>
      <c r="E1351" s="418"/>
      <c r="F1351" s="419"/>
      <c r="G1351" s="420"/>
      <c r="H1351" s="421"/>
      <c r="I1351" s="421"/>
      <c r="J1351" s="422"/>
      <c r="K1351" s="418"/>
      <c r="L1351" s="418"/>
      <c r="M1351" s="418"/>
      <c r="N1351" s="421"/>
      <c r="O1351" s="421"/>
      <c r="P1351" s="421"/>
      <c r="Q1351" s="418"/>
      <c r="R1351" s="1022"/>
      <c r="S1351" s="1022"/>
      <c r="T1351" s="418"/>
      <c r="U1351" s="418"/>
      <c r="V1351" s="418"/>
      <c r="W1351" s="418"/>
      <c r="X1351" s="418"/>
      <c r="Y1351" s="418"/>
      <c r="Z1351" s="418"/>
      <c r="AA1351" s="418"/>
      <c r="AB1351" s="418"/>
      <c r="AC1351" s="418"/>
      <c r="AD1351" s="418"/>
      <c r="AE1351" s="418"/>
      <c r="AF1351" s="418"/>
      <c r="AG1351" s="418"/>
      <c r="AH1351" s="418"/>
      <c r="AI1351" s="418"/>
      <c r="AJ1351" s="418"/>
      <c r="AK1351" s="418"/>
      <c r="AL1351" s="418"/>
      <c r="AM1351" s="418"/>
      <c r="AN1351" s="423"/>
      <c r="AO1351" s="423"/>
      <c r="AP1351" s="423"/>
      <c r="AQ1351" s="423"/>
      <c r="AR1351" s="423"/>
      <c r="AS1351" s="423"/>
      <c r="AT1351" s="423"/>
      <c r="AU1351" s="423"/>
      <c r="AV1351" s="423"/>
      <c r="AW1351" s="418"/>
      <c r="AX1351" s="418"/>
      <c r="AY1351" s="418"/>
      <c r="AZ1351" s="418"/>
      <c r="BA1351" s="418"/>
      <c r="BB1351" s="306"/>
    </row>
    <row r="1352" spans="1:54" ht="15.75" customHeight="1">
      <c r="A1352" s="415"/>
      <c r="B1352" s="417"/>
      <c r="C1352" s="417"/>
      <c r="D1352" s="418"/>
      <c r="E1352" s="418"/>
      <c r="F1352" s="419"/>
      <c r="G1352" s="420"/>
      <c r="H1352" s="421"/>
      <c r="I1352" s="421"/>
      <c r="J1352" s="422"/>
      <c r="K1352" s="418"/>
      <c r="L1352" s="418"/>
      <c r="M1352" s="418"/>
      <c r="N1352" s="421"/>
      <c r="O1352" s="421"/>
      <c r="P1352" s="421"/>
      <c r="Q1352" s="418"/>
      <c r="R1352" s="1022"/>
      <c r="S1352" s="1022"/>
      <c r="T1352" s="418"/>
      <c r="U1352" s="418"/>
      <c r="V1352" s="418"/>
      <c r="W1352" s="418"/>
      <c r="X1352" s="418"/>
      <c r="Y1352" s="418"/>
      <c r="Z1352" s="418"/>
      <c r="AA1352" s="418"/>
      <c r="AB1352" s="418"/>
      <c r="AC1352" s="418"/>
      <c r="AD1352" s="418"/>
      <c r="AE1352" s="418"/>
      <c r="AF1352" s="418"/>
      <c r="AG1352" s="418"/>
      <c r="AH1352" s="418"/>
      <c r="AI1352" s="418"/>
      <c r="AJ1352" s="418"/>
      <c r="AK1352" s="418"/>
      <c r="AL1352" s="418"/>
      <c r="AM1352" s="418"/>
      <c r="AN1352" s="423"/>
      <c r="AO1352" s="423"/>
      <c r="AP1352" s="423"/>
      <c r="AQ1352" s="423"/>
      <c r="AR1352" s="423"/>
      <c r="AS1352" s="423"/>
      <c r="AT1352" s="423"/>
      <c r="AU1352" s="423"/>
      <c r="AV1352" s="423"/>
      <c r="AW1352" s="418"/>
      <c r="AX1352" s="418"/>
      <c r="AY1352" s="418"/>
      <c r="AZ1352" s="418"/>
      <c r="BA1352" s="418"/>
      <c r="BB1352" s="306"/>
    </row>
    <row r="1353" spans="1:54" ht="15.75" customHeight="1">
      <c r="A1353" s="415"/>
      <c r="B1353" s="417"/>
      <c r="C1353" s="417"/>
      <c r="D1353" s="418"/>
      <c r="E1353" s="418"/>
      <c r="F1353" s="419"/>
      <c r="G1353" s="420"/>
      <c r="H1353" s="421"/>
      <c r="I1353" s="421"/>
      <c r="J1353" s="422"/>
      <c r="K1353" s="418"/>
      <c r="L1353" s="418"/>
      <c r="M1353" s="418"/>
      <c r="N1353" s="421"/>
      <c r="O1353" s="421"/>
      <c r="P1353" s="421"/>
      <c r="Q1353" s="418"/>
      <c r="R1353" s="1022"/>
      <c r="S1353" s="1022"/>
      <c r="T1353" s="418"/>
      <c r="U1353" s="418"/>
      <c r="V1353" s="418"/>
      <c r="W1353" s="418"/>
      <c r="X1353" s="418"/>
      <c r="Y1353" s="418"/>
      <c r="Z1353" s="418"/>
      <c r="AA1353" s="418"/>
      <c r="AB1353" s="418"/>
      <c r="AC1353" s="418"/>
      <c r="AD1353" s="418"/>
      <c r="AE1353" s="418"/>
      <c r="AF1353" s="418"/>
      <c r="AG1353" s="418"/>
      <c r="AH1353" s="418"/>
      <c r="AI1353" s="418"/>
      <c r="AJ1353" s="418"/>
      <c r="AK1353" s="418"/>
      <c r="AL1353" s="418"/>
      <c r="AM1353" s="418"/>
      <c r="AN1353" s="423"/>
      <c r="AO1353" s="423"/>
      <c r="AP1353" s="423"/>
      <c r="AQ1353" s="423"/>
      <c r="AR1353" s="423"/>
      <c r="AS1353" s="423"/>
      <c r="AT1353" s="423"/>
      <c r="AU1353" s="423"/>
      <c r="AV1353" s="423"/>
      <c r="AW1353" s="418"/>
      <c r="AX1353" s="418"/>
      <c r="AY1353" s="418"/>
      <c r="AZ1353" s="418"/>
      <c r="BA1353" s="418"/>
      <c r="BB1353" s="306"/>
    </row>
    <row r="1354" spans="1:54" ht="15.75" customHeight="1">
      <c r="A1354" s="415"/>
      <c r="B1354" s="417"/>
      <c r="C1354" s="417"/>
      <c r="D1354" s="418"/>
      <c r="E1354" s="418"/>
      <c r="F1354" s="419"/>
      <c r="G1354" s="420"/>
      <c r="H1354" s="421"/>
      <c r="I1354" s="421"/>
      <c r="J1354" s="422"/>
      <c r="K1354" s="418"/>
      <c r="L1354" s="418"/>
      <c r="M1354" s="418"/>
      <c r="N1354" s="421"/>
      <c r="O1354" s="421"/>
      <c r="P1354" s="421"/>
      <c r="Q1354" s="418"/>
      <c r="R1354" s="1022"/>
      <c r="S1354" s="1022"/>
      <c r="T1354" s="418"/>
      <c r="U1354" s="418"/>
      <c r="V1354" s="418"/>
      <c r="W1354" s="418"/>
      <c r="X1354" s="418"/>
      <c r="Y1354" s="418"/>
      <c r="Z1354" s="418"/>
      <c r="AA1354" s="418"/>
      <c r="AB1354" s="418"/>
      <c r="AC1354" s="418"/>
      <c r="AD1354" s="418"/>
      <c r="AE1354" s="418"/>
      <c r="AF1354" s="418"/>
      <c r="AG1354" s="418"/>
      <c r="AH1354" s="418"/>
      <c r="AI1354" s="418"/>
      <c r="AJ1354" s="418"/>
      <c r="AK1354" s="418"/>
      <c r="AL1354" s="418"/>
      <c r="AM1354" s="418"/>
      <c r="AN1354" s="423"/>
      <c r="AO1354" s="423"/>
      <c r="AP1354" s="423"/>
      <c r="AQ1354" s="423"/>
      <c r="AR1354" s="423"/>
      <c r="AS1354" s="423"/>
      <c r="AT1354" s="423"/>
      <c r="AU1354" s="423"/>
      <c r="AV1354" s="423"/>
      <c r="AW1354" s="418"/>
      <c r="AX1354" s="418"/>
      <c r="AY1354" s="418"/>
      <c r="AZ1354" s="418"/>
      <c r="BA1354" s="418"/>
      <c r="BB1354" s="306"/>
    </row>
    <row r="1355" spans="1:54" ht="15.75" customHeight="1">
      <c r="A1355" s="415"/>
      <c r="B1355" s="417"/>
      <c r="C1355" s="417"/>
      <c r="D1355" s="418"/>
      <c r="E1355" s="418"/>
      <c r="F1355" s="419"/>
      <c r="G1355" s="420"/>
      <c r="H1355" s="421"/>
      <c r="I1355" s="425"/>
      <c r="J1355" s="422"/>
      <c r="K1355" s="418"/>
      <c r="L1355" s="418"/>
      <c r="M1355" s="418"/>
      <c r="N1355" s="421"/>
      <c r="O1355" s="421"/>
      <c r="P1355" s="421"/>
      <c r="Q1355" s="418"/>
      <c r="R1355" s="1022"/>
      <c r="S1355" s="1022"/>
      <c r="T1355" s="418"/>
      <c r="U1355" s="418"/>
      <c r="V1355" s="418"/>
      <c r="W1355" s="418"/>
      <c r="X1355" s="418"/>
      <c r="Y1355" s="418"/>
      <c r="Z1355" s="418"/>
      <c r="AA1355" s="418"/>
      <c r="AB1355" s="418"/>
      <c r="AC1355" s="418"/>
      <c r="AD1355" s="418"/>
      <c r="AE1355" s="418"/>
      <c r="AF1355" s="418"/>
      <c r="AG1355" s="418"/>
      <c r="AH1355" s="418"/>
      <c r="AI1355" s="418"/>
      <c r="AJ1355" s="418"/>
      <c r="AK1355" s="418"/>
      <c r="AL1355" s="418"/>
      <c r="AM1355" s="418"/>
      <c r="AN1355" s="423"/>
      <c r="AO1355" s="423"/>
      <c r="AP1355" s="423"/>
      <c r="AQ1355" s="423"/>
      <c r="AR1355" s="423"/>
      <c r="AS1355" s="423"/>
      <c r="AT1355" s="423"/>
      <c r="AU1355" s="423"/>
      <c r="AV1355" s="423"/>
      <c r="AW1355" s="418"/>
      <c r="AX1355" s="418"/>
      <c r="AY1355" s="418"/>
      <c r="AZ1355" s="418"/>
      <c r="BA1355" s="418"/>
      <c r="BB1355" s="306"/>
    </row>
    <row r="1356" spans="1:54" ht="15.75" customHeight="1">
      <c r="A1356" s="415"/>
      <c r="B1356" s="417"/>
      <c r="C1356" s="417"/>
      <c r="D1356" s="418"/>
      <c r="E1356" s="418"/>
      <c r="F1356" s="419"/>
      <c r="G1356" s="420"/>
      <c r="H1356" s="421"/>
      <c r="I1356" s="421"/>
      <c r="J1356" s="422"/>
      <c r="K1356" s="418"/>
      <c r="L1356" s="418"/>
      <c r="M1356" s="418"/>
      <c r="N1356" s="421"/>
      <c r="O1356" s="421"/>
      <c r="P1356" s="421"/>
      <c r="Q1356" s="418"/>
      <c r="R1356" s="1022"/>
      <c r="S1356" s="1022"/>
      <c r="T1356" s="418"/>
      <c r="U1356" s="418"/>
      <c r="V1356" s="418"/>
      <c r="W1356" s="418"/>
      <c r="X1356" s="418"/>
      <c r="Y1356" s="418"/>
      <c r="Z1356" s="418"/>
      <c r="AA1356" s="418"/>
      <c r="AB1356" s="418"/>
      <c r="AC1356" s="418"/>
      <c r="AD1356" s="418"/>
      <c r="AE1356" s="418"/>
      <c r="AF1356" s="418"/>
      <c r="AG1356" s="418"/>
      <c r="AH1356" s="418"/>
      <c r="AI1356" s="418"/>
      <c r="AJ1356" s="418"/>
      <c r="AK1356" s="418"/>
      <c r="AL1356" s="418"/>
      <c r="AM1356" s="418"/>
      <c r="AN1356" s="423"/>
      <c r="AO1356" s="423"/>
      <c r="AP1356" s="423"/>
      <c r="AQ1356" s="423"/>
      <c r="AR1356" s="423"/>
      <c r="AS1356" s="423"/>
      <c r="AT1356" s="423"/>
      <c r="AU1356" s="423"/>
      <c r="AV1356" s="423"/>
      <c r="AW1356" s="418"/>
      <c r="AX1356" s="418"/>
      <c r="AY1356" s="418"/>
      <c r="AZ1356" s="418"/>
      <c r="BA1356" s="418"/>
      <c r="BB1356" s="306"/>
    </row>
    <row r="1357" spans="1:54" ht="15.75" customHeight="1">
      <c r="A1357" s="415"/>
      <c r="B1357" s="417"/>
      <c r="C1357" s="417"/>
      <c r="D1357" s="418"/>
      <c r="E1357" s="418"/>
      <c r="F1357" s="419"/>
      <c r="G1357" s="420"/>
      <c r="H1357" s="421"/>
      <c r="I1357" s="425"/>
      <c r="J1357" s="422"/>
      <c r="K1357" s="418"/>
      <c r="L1357" s="418"/>
      <c r="M1357" s="418"/>
      <c r="N1357" s="421"/>
      <c r="O1357" s="421"/>
      <c r="P1357" s="421"/>
      <c r="Q1357" s="418"/>
      <c r="R1357" s="1022"/>
      <c r="S1357" s="1022"/>
      <c r="T1357" s="418"/>
      <c r="U1357" s="418"/>
      <c r="V1357" s="418"/>
      <c r="W1357" s="418"/>
      <c r="X1357" s="418"/>
      <c r="Y1357" s="418"/>
      <c r="Z1357" s="418"/>
      <c r="AA1357" s="418"/>
      <c r="AB1357" s="418"/>
      <c r="AC1357" s="418"/>
      <c r="AD1357" s="418"/>
      <c r="AE1357" s="418"/>
      <c r="AF1357" s="418"/>
      <c r="AG1357" s="418"/>
      <c r="AH1357" s="418"/>
      <c r="AI1357" s="418"/>
      <c r="AJ1357" s="418"/>
      <c r="AK1357" s="418"/>
      <c r="AL1357" s="418"/>
      <c r="AM1357" s="418"/>
      <c r="AN1357" s="423"/>
      <c r="AO1357" s="423"/>
      <c r="AP1357" s="423"/>
      <c r="AQ1357" s="423"/>
      <c r="AR1357" s="423"/>
      <c r="AS1357" s="423"/>
      <c r="AT1357" s="423"/>
      <c r="AU1357" s="423"/>
      <c r="AV1357" s="423"/>
      <c r="AW1357" s="418"/>
      <c r="AX1357" s="418"/>
      <c r="AY1357" s="418"/>
      <c r="AZ1357" s="418"/>
      <c r="BA1357" s="418"/>
      <c r="BB1357" s="306"/>
    </row>
    <row r="1358" spans="1:54" ht="15.75" customHeight="1">
      <c r="A1358" s="415"/>
      <c r="B1358" s="417"/>
      <c r="C1358" s="417"/>
      <c r="D1358" s="418"/>
      <c r="E1358" s="418"/>
      <c r="F1358" s="419"/>
      <c r="G1358" s="420"/>
      <c r="H1358" s="421"/>
      <c r="I1358" s="421"/>
      <c r="J1358" s="422"/>
      <c r="K1358" s="418"/>
      <c r="L1358" s="418"/>
      <c r="M1358" s="418"/>
      <c r="N1358" s="421"/>
      <c r="O1358" s="421"/>
      <c r="P1358" s="421"/>
      <c r="Q1358" s="418"/>
      <c r="R1358" s="1022"/>
      <c r="S1358" s="1022"/>
      <c r="T1358" s="418"/>
      <c r="U1358" s="418"/>
      <c r="V1358" s="418"/>
      <c r="W1358" s="418"/>
      <c r="X1358" s="418"/>
      <c r="Y1358" s="418"/>
      <c r="Z1358" s="418"/>
      <c r="AA1358" s="418"/>
      <c r="AB1358" s="418"/>
      <c r="AC1358" s="418"/>
      <c r="AD1358" s="418"/>
      <c r="AE1358" s="418"/>
      <c r="AF1358" s="418"/>
      <c r="AG1358" s="418"/>
      <c r="AH1358" s="418"/>
      <c r="AI1358" s="418"/>
      <c r="AJ1358" s="418"/>
      <c r="AK1358" s="418"/>
      <c r="AL1358" s="418"/>
      <c r="AM1358" s="418"/>
      <c r="AN1358" s="423"/>
      <c r="AO1358" s="423"/>
      <c r="AP1358" s="423"/>
      <c r="AQ1358" s="423"/>
      <c r="AR1358" s="423"/>
      <c r="AS1358" s="423"/>
      <c r="AT1358" s="423"/>
      <c r="AU1358" s="423"/>
      <c r="AV1358" s="423"/>
      <c r="AW1358" s="418"/>
      <c r="AX1358" s="418"/>
      <c r="AY1358" s="418"/>
      <c r="AZ1358" s="418"/>
      <c r="BA1358" s="418"/>
      <c r="BB1358" s="306"/>
    </row>
    <row r="1359" spans="1:54" ht="15.75" customHeight="1">
      <c r="A1359" s="415"/>
      <c r="B1359" s="417"/>
      <c r="C1359" s="417"/>
      <c r="D1359" s="418"/>
      <c r="E1359" s="418"/>
      <c r="F1359" s="419"/>
      <c r="G1359" s="420"/>
      <c r="H1359" s="421"/>
      <c r="I1359" s="425"/>
      <c r="J1359" s="422"/>
      <c r="K1359" s="418"/>
      <c r="L1359" s="418"/>
      <c r="M1359" s="418"/>
      <c r="N1359" s="421"/>
      <c r="O1359" s="421"/>
      <c r="P1359" s="421"/>
      <c r="Q1359" s="418"/>
      <c r="R1359" s="1022"/>
      <c r="S1359" s="1022"/>
      <c r="T1359" s="418"/>
      <c r="U1359" s="418"/>
      <c r="V1359" s="418"/>
      <c r="W1359" s="418"/>
      <c r="X1359" s="418"/>
      <c r="Y1359" s="418"/>
      <c r="Z1359" s="418"/>
      <c r="AA1359" s="418"/>
      <c r="AB1359" s="418"/>
      <c r="AC1359" s="418"/>
      <c r="AD1359" s="418"/>
      <c r="AE1359" s="418"/>
      <c r="AF1359" s="418"/>
      <c r="AG1359" s="418"/>
      <c r="AH1359" s="418"/>
      <c r="AI1359" s="418"/>
      <c r="AJ1359" s="418"/>
      <c r="AK1359" s="418"/>
      <c r="AL1359" s="418"/>
      <c r="AM1359" s="418"/>
      <c r="AN1359" s="423"/>
      <c r="AO1359" s="423"/>
      <c r="AP1359" s="423"/>
      <c r="AQ1359" s="423"/>
      <c r="AR1359" s="423"/>
      <c r="AS1359" s="423"/>
      <c r="AT1359" s="423"/>
      <c r="AU1359" s="423"/>
      <c r="AV1359" s="423"/>
      <c r="AW1359" s="418"/>
      <c r="AX1359" s="418"/>
      <c r="AY1359" s="418"/>
      <c r="AZ1359" s="418"/>
      <c r="BA1359" s="418"/>
      <c r="BB1359" s="306"/>
    </row>
    <row r="1360" spans="1:54" ht="15.75" customHeight="1">
      <c r="A1360" s="415"/>
      <c r="B1360" s="417"/>
      <c r="C1360" s="417"/>
      <c r="D1360" s="418"/>
      <c r="E1360" s="418"/>
      <c r="F1360" s="419"/>
      <c r="G1360" s="420"/>
      <c r="H1360" s="421"/>
      <c r="I1360" s="421"/>
      <c r="J1360" s="422"/>
      <c r="K1360" s="418"/>
      <c r="L1360" s="418"/>
      <c r="M1360" s="418"/>
      <c r="N1360" s="421"/>
      <c r="O1360" s="421"/>
      <c r="P1360" s="421"/>
      <c r="Q1360" s="418"/>
      <c r="R1360" s="1022"/>
      <c r="S1360" s="1022"/>
      <c r="T1360" s="418"/>
      <c r="U1360" s="418"/>
      <c r="V1360" s="418"/>
      <c r="W1360" s="418"/>
      <c r="X1360" s="418"/>
      <c r="Y1360" s="418"/>
      <c r="Z1360" s="418"/>
      <c r="AA1360" s="418"/>
      <c r="AB1360" s="418"/>
      <c r="AC1360" s="418"/>
      <c r="AD1360" s="418"/>
      <c r="AE1360" s="418"/>
      <c r="AF1360" s="418"/>
      <c r="AG1360" s="418"/>
      <c r="AH1360" s="418"/>
      <c r="AI1360" s="418"/>
      <c r="AJ1360" s="418"/>
      <c r="AK1360" s="418"/>
      <c r="AL1360" s="418"/>
      <c r="AM1360" s="418"/>
      <c r="AN1360" s="423"/>
      <c r="AO1360" s="423"/>
      <c r="AP1360" s="423"/>
      <c r="AQ1360" s="423"/>
      <c r="AR1360" s="423"/>
      <c r="AS1360" s="423"/>
      <c r="AT1360" s="423"/>
      <c r="AU1360" s="423"/>
      <c r="AV1360" s="423"/>
      <c r="AW1360" s="418"/>
      <c r="AX1360" s="418"/>
      <c r="AY1360" s="418"/>
      <c r="AZ1360" s="418"/>
      <c r="BA1360" s="418"/>
      <c r="BB1360" s="306"/>
    </row>
    <row r="1361" spans="1:54" ht="15.75" customHeight="1">
      <c r="A1361" s="415"/>
      <c r="B1361" s="417"/>
      <c r="C1361" s="417"/>
      <c r="D1361" s="418"/>
      <c r="E1361" s="418"/>
      <c r="F1361" s="419"/>
      <c r="G1361" s="420"/>
      <c r="H1361" s="421"/>
      <c r="I1361" s="425"/>
      <c r="J1361" s="422"/>
      <c r="K1361" s="418"/>
      <c r="L1361" s="418"/>
      <c r="M1361" s="418"/>
      <c r="N1361" s="421"/>
      <c r="O1361" s="421"/>
      <c r="P1361" s="421"/>
      <c r="Q1361" s="418"/>
      <c r="R1361" s="1022"/>
      <c r="S1361" s="1022"/>
      <c r="T1361" s="418"/>
      <c r="U1361" s="418"/>
      <c r="V1361" s="418"/>
      <c r="W1361" s="418"/>
      <c r="X1361" s="418"/>
      <c r="Y1361" s="418"/>
      <c r="Z1361" s="418"/>
      <c r="AA1361" s="418"/>
      <c r="AB1361" s="418"/>
      <c r="AC1361" s="418"/>
      <c r="AD1361" s="418"/>
      <c r="AE1361" s="418"/>
      <c r="AF1361" s="418"/>
      <c r="AG1361" s="418"/>
      <c r="AH1361" s="418"/>
      <c r="AI1361" s="418"/>
      <c r="AJ1361" s="418"/>
      <c r="AK1361" s="418"/>
      <c r="AL1361" s="418"/>
      <c r="AM1361" s="418"/>
      <c r="AN1361" s="423"/>
      <c r="AO1361" s="423"/>
      <c r="AP1361" s="423"/>
      <c r="AQ1361" s="423"/>
      <c r="AR1361" s="423"/>
      <c r="AS1361" s="423"/>
      <c r="AT1361" s="423"/>
      <c r="AU1361" s="423"/>
      <c r="AV1361" s="423"/>
      <c r="AW1361" s="418"/>
      <c r="AX1361" s="418"/>
      <c r="AY1361" s="418"/>
      <c r="AZ1361" s="418"/>
      <c r="BA1361" s="418"/>
      <c r="BB1361" s="306"/>
    </row>
    <row r="1362" spans="1:54" ht="15.75" customHeight="1">
      <c r="A1362" s="415"/>
      <c r="B1362" s="417"/>
      <c r="C1362" s="417"/>
      <c r="D1362" s="418"/>
      <c r="E1362" s="418"/>
      <c r="F1362" s="419"/>
      <c r="G1362" s="420"/>
      <c r="H1362" s="421"/>
      <c r="I1362" s="421"/>
      <c r="J1362" s="422"/>
      <c r="K1362" s="418"/>
      <c r="L1362" s="418"/>
      <c r="M1362" s="418"/>
      <c r="N1362" s="421"/>
      <c r="O1362" s="421"/>
      <c r="P1362" s="421"/>
      <c r="Q1362" s="418"/>
      <c r="R1362" s="1022"/>
      <c r="S1362" s="1022"/>
      <c r="T1362" s="418"/>
      <c r="U1362" s="418"/>
      <c r="V1362" s="418"/>
      <c r="W1362" s="418"/>
      <c r="X1362" s="418"/>
      <c r="Y1362" s="418"/>
      <c r="Z1362" s="418"/>
      <c r="AA1362" s="418"/>
      <c r="AB1362" s="418"/>
      <c r="AC1362" s="418"/>
      <c r="AD1362" s="418"/>
      <c r="AE1362" s="418"/>
      <c r="AF1362" s="418"/>
      <c r="AG1362" s="418"/>
      <c r="AH1362" s="418"/>
      <c r="AI1362" s="418"/>
      <c r="AJ1362" s="418"/>
      <c r="AK1362" s="418"/>
      <c r="AL1362" s="418"/>
      <c r="AM1362" s="418"/>
      <c r="AN1362" s="423"/>
      <c r="AO1362" s="423"/>
      <c r="AP1362" s="423"/>
      <c r="AQ1362" s="423"/>
      <c r="AR1362" s="423"/>
      <c r="AS1362" s="423"/>
      <c r="AT1362" s="423"/>
      <c r="AU1362" s="423"/>
      <c r="AV1362" s="423"/>
      <c r="AW1362" s="418"/>
      <c r="AX1362" s="418"/>
      <c r="AY1362" s="418"/>
      <c r="AZ1362" s="418"/>
      <c r="BA1362" s="418"/>
      <c r="BB1362" s="306"/>
    </row>
    <row r="1363" spans="1:54" ht="15.75" customHeight="1">
      <c r="A1363" s="415"/>
      <c r="B1363" s="417"/>
      <c r="C1363" s="417"/>
      <c r="D1363" s="418"/>
      <c r="E1363" s="418"/>
      <c r="F1363" s="419"/>
      <c r="G1363" s="420"/>
      <c r="H1363" s="421"/>
      <c r="I1363" s="425"/>
      <c r="J1363" s="422"/>
      <c r="K1363" s="418"/>
      <c r="L1363" s="418"/>
      <c r="M1363" s="418"/>
      <c r="N1363" s="421"/>
      <c r="O1363" s="421"/>
      <c r="P1363" s="421"/>
      <c r="Q1363" s="418"/>
      <c r="R1363" s="1022"/>
      <c r="S1363" s="1022"/>
      <c r="T1363" s="418"/>
      <c r="U1363" s="418"/>
      <c r="V1363" s="418"/>
      <c r="W1363" s="418"/>
      <c r="X1363" s="418"/>
      <c r="Y1363" s="418"/>
      <c r="Z1363" s="418"/>
      <c r="AA1363" s="418"/>
      <c r="AB1363" s="418"/>
      <c r="AC1363" s="418"/>
      <c r="AD1363" s="418"/>
      <c r="AE1363" s="418"/>
      <c r="AF1363" s="418"/>
      <c r="AG1363" s="418"/>
      <c r="AH1363" s="418"/>
      <c r="AI1363" s="418"/>
      <c r="AJ1363" s="418"/>
      <c r="AK1363" s="418"/>
      <c r="AL1363" s="418"/>
      <c r="AM1363" s="418"/>
      <c r="AN1363" s="423"/>
      <c r="AO1363" s="423"/>
      <c r="AP1363" s="423"/>
      <c r="AQ1363" s="423"/>
      <c r="AR1363" s="423"/>
      <c r="AS1363" s="423"/>
      <c r="AT1363" s="423"/>
      <c r="AU1363" s="423"/>
      <c r="AV1363" s="423"/>
      <c r="AW1363" s="418"/>
      <c r="AX1363" s="418"/>
      <c r="AY1363" s="418"/>
      <c r="AZ1363" s="418"/>
      <c r="BA1363" s="418"/>
      <c r="BB1363" s="306"/>
    </row>
    <row r="1364" spans="1:54" ht="15.75" customHeight="1">
      <c r="A1364" s="415"/>
      <c r="B1364" s="417"/>
      <c r="C1364" s="417"/>
      <c r="D1364" s="418"/>
      <c r="E1364" s="418"/>
      <c r="F1364" s="419"/>
      <c r="G1364" s="420"/>
      <c r="H1364" s="421"/>
      <c r="I1364" s="421"/>
      <c r="J1364" s="422"/>
      <c r="K1364" s="418"/>
      <c r="L1364" s="418"/>
      <c r="M1364" s="418"/>
      <c r="N1364" s="421"/>
      <c r="O1364" s="421"/>
      <c r="P1364" s="421"/>
      <c r="Q1364" s="418"/>
      <c r="R1364" s="1022"/>
      <c r="S1364" s="1022"/>
      <c r="T1364" s="418"/>
      <c r="U1364" s="418"/>
      <c r="V1364" s="418"/>
      <c r="W1364" s="418"/>
      <c r="X1364" s="418"/>
      <c r="Y1364" s="418"/>
      <c r="Z1364" s="418"/>
      <c r="AA1364" s="418"/>
      <c r="AB1364" s="418"/>
      <c r="AC1364" s="418"/>
      <c r="AD1364" s="418"/>
      <c r="AE1364" s="418"/>
      <c r="AF1364" s="418"/>
      <c r="AG1364" s="418"/>
      <c r="AH1364" s="418"/>
      <c r="AI1364" s="418"/>
      <c r="AJ1364" s="418"/>
      <c r="AK1364" s="418"/>
      <c r="AL1364" s="418"/>
      <c r="AM1364" s="418"/>
      <c r="AN1364" s="423"/>
      <c r="AO1364" s="423"/>
      <c r="AP1364" s="423"/>
      <c r="AQ1364" s="423"/>
      <c r="AR1364" s="423"/>
      <c r="AS1364" s="423"/>
      <c r="AT1364" s="423"/>
      <c r="AU1364" s="423"/>
      <c r="AV1364" s="423"/>
      <c r="AW1364" s="418"/>
      <c r="AX1364" s="418"/>
      <c r="AY1364" s="418"/>
      <c r="AZ1364" s="418"/>
      <c r="BA1364" s="418"/>
      <c r="BB1364" s="306"/>
    </row>
    <row r="1365" spans="1:54" ht="15.75" customHeight="1">
      <c r="A1365" s="415"/>
      <c r="B1365" s="417"/>
      <c r="C1365" s="417"/>
      <c r="D1365" s="418"/>
      <c r="E1365" s="418"/>
      <c r="F1365" s="419"/>
      <c r="G1365" s="420"/>
      <c r="H1365" s="421"/>
      <c r="I1365" s="425"/>
      <c r="J1365" s="422"/>
      <c r="K1365" s="418"/>
      <c r="L1365" s="418"/>
      <c r="M1365" s="418"/>
      <c r="N1365" s="421"/>
      <c r="O1365" s="421"/>
      <c r="P1365" s="421"/>
      <c r="Q1365" s="418"/>
      <c r="R1365" s="1022"/>
      <c r="S1365" s="1022"/>
      <c r="T1365" s="418"/>
      <c r="U1365" s="418"/>
      <c r="V1365" s="418"/>
      <c r="W1365" s="418"/>
      <c r="X1365" s="418"/>
      <c r="Y1365" s="418"/>
      <c r="Z1365" s="418"/>
      <c r="AA1365" s="418"/>
      <c r="AB1365" s="418"/>
      <c r="AC1365" s="418"/>
      <c r="AD1365" s="418"/>
      <c r="AE1365" s="418"/>
      <c r="AF1365" s="418"/>
      <c r="AG1365" s="418"/>
      <c r="AH1365" s="418"/>
      <c r="AI1365" s="418"/>
      <c r="AJ1365" s="418"/>
      <c r="AK1365" s="418"/>
      <c r="AL1365" s="418"/>
      <c r="AM1365" s="418"/>
      <c r="AN1365" s="423"/>
      <c r="AO1365" s="423"/>
      <c r="AP1365" s="423"/>
      <c r="AQ1365" s="423"/>
      <c r="AR1365" s="423"/>
      <c r="AS1365" s="423"/>
      <c r="AT1365" s="423"/>
      <c r="AU1365" s="423"/>
      <c r="AV1365" s="423"/>
      <c r="AW1365" s="418"/>
      <c r="AX1365" s="418"/>
      <c r="AY1365" s="418"/>
      <c r="AZ1365" s="418"/>
      <c r="BA1365" s="418"/>
      <c r="BB1365" s="306"/>
    </row>
    <row r="1366" spans="1:54" ht="15.75" customHeight="1">
      <c r="A1366" s="415"/>
      <c r="B1366" s="417"/>
      <c r="C1366" s="417"/>
      <c r="D1366" s="418"/>
      <c r="E1366" s="418"/>
      <c r="F1366" s="419"/>
      <c r="G1366" s="420"/>
      <c r="H1366" s="421"/>
      <c r="I1366" s="421"/>
      <c r="J1366" s="422"/>
      <c r="K1366" s="418"/>
      <c r="L1366" s="418"/>
      <c r="M1366" s="418"/>
      <c r="N1366" s="421"/>
      <c r="O1366" s="421"/>
      <c r="P1366" s="421"/>
      <c r="Q1366" s="418"/>
      <c r="R1366" s="1022"/>
      <c r="S1366" s="1022"/>
      <c r="T1366" s="418"/>
      <c r="U1366" s="418"/>
      <c r="V1366" s="418"/>
      <c r="W1366" s="418"/>
      <c r="X1366" s="418"/>
      <c r="Y1366" s="418"/>
      <c r="Z1366" s="418"/>
      <c r="AA1366" s="418"/>
      <c r="AB1366" s="418"/>
      <c r="AC1366" s="418"/>
      <c r="AD1366" s="418"/>
      <c r="AE1366" s="418"/>
      <c r="AF1366" s="418"/>
      <c r="AG1366" s="418"/>
      <c r="AH1366" s="418"/>
      <c r="AI1366" s="418"/>
      <c r="AJ1366" s="418"/>
      <c r="AK1366" s="418"/>
      <c r="AL1366" s="418"/>
      <c r="AM1366" s="418"/>
      <c r="AN1366" s="423"/>
      <c r="AO1366" s="423"/>
      <c r="AP1366" s="423"/>
      <c r="AQ1366" s="423"/>
      <c r="AR1366" s="423"/>
      <c r="AS1366" s="423"/>
      <c r="AT1366" s="423"/>
      <c r="AU1366" s="423"/>
      <c r="AV1366" s="423"/>
      <c r="AW1366" s="418"/>
      <c r="AX1366" s="418"/>
      <c r="AY1366" s="418"/>
      <c r="AZ1366" s="418"/>
      <c r="BA1366" s="418"/>
      <c r="BB1366" s="306"/>
    </row>
    <row r="1367" spans="1:54" ht="15.75" customHeight="1">
      <c r="A1367" s="415"/>
      <c r="B1367" s="417"/>
      <c r="C1367" s="417"/>
      <c r="D1367" s="418"/>
      <c r="E1367" s="418"/>
      <c r="F1367" s="419"/>
      <c r="G1367" s="420"/>
      <c r="H1367" s="421"/>
      <c r="I1367" s="421"/>
      <c r="J1367" s="422"/>
      <c r="K1367" s="418"/>
      <c r="L1367" s="418"/>
      <c r="M1367" s="418"/>
      <c r="N1367" s="421"/>
      <c r="O1367" s="421"/>
      <c r="P1367" s="421"/>
      <c r="Q1367" s="418"/>
      <c r="R1367" s="1022"/>
      <c r="S1367" s="1022"/>
      <c r="T1367" s="418"/>
      <c r="U1367" s="418"/>
      <c r="V1367" s="418"/>
      <c r="W1367" s="418"/>
      <c r="X1367" s="418"/>
      <c r="Y1367" s="418"/>
      <c r="Z1367" s="418"/>
      <c r="AA1367" s="418"/>
      <c r="AB1367" s="418"/>
      <c r="AC1367" s="418"/>
      <c r="AD1367" s="418"/>
      <c r="AE1367" s="418"/>
      <c r="AF1367" s="418"/>
      <c r="AG1367" s="418"/>
      <c r="AH1367" s="418"/>
      <c r="AI1367" s="418"/>
      <c r="AJ1367" s="418"/>
      <c r="AK1367" s="418"/>
      <c r="AL1367" s="418"/>
      <c r="AM1367" s="418"/>
      <c r="AN1367" s="423"/>
      <c r="AO1367" s="423"/>
      <c r="AP1367" s="423"/>
      <c r="AQ1367" s="423"/>
      <c r="AR1367" s="423"/>
      <c r="AS1367" s="423"/>
      <c r="AT1367" s="423"/>
      <c r="AU1367" s="423"/>
      <c r="AV1367" s="423"/>
      <c r="AW1367" s="418"/>
      <c r="AX1367" s="418"/>
      <c r="AY1367" s="418"/>
      <c r="AZ1367" s="418"/>
      <c r="BA1367" s="418"/>
      <c r="BB1367" s="306"/>
    </row>
    <row r="1368" spans="1:54" ht="15.75" customHeight="1">
      <c r="A1368" s="415"/>
      <c r="B1368" s="417"/>
      <c r="C1368" s="417"/>
      <c r="D1368" s="418"/>
      <c r="E1368" s="418"/>
      <c r="F1368" s="419"/>
      <c r="G1368" s="420"/>
      <c r="H1368" s="421"/>
      <c r="I1368" s="421"/>
      <c r="J1368" s="422"/>
      <c r="K1368" s="418"/>
      <c r="L1368" s="418"/>
      <c r="M1368" s="418"/>
      <c r="N1368" s="421"/>
      <c r="O1368" s="421"/>
      <c r="P1368" s="421"/>
      <c r="Q1368" s="418"/>
      <c r="R1368" s="1022"/>
      <c r="S1368" s="1022"/>
      <c r="T1368" s="418"/>
      <c r="U1368" s="418"/>
      <c r="V1368" s="418"/>
      <c r="W1368" s="418"/>
      <c r="X1368" s="418"/>
      <c r="Y1368" s="418"/>
      <c r="Z1368" s="418"/>
      <c r="AA1368" s="418"/>
      <c r="AB1368" s="418"/>
      <c r="AC1368" s="418"/>
      <c r="AD1368" s="418"/>
      <c r="AE1368" s="418"/>
      <c r="AF1368" s="418"/>
      <c r="AG1368" s="418"/>
      <c r="AH1368" s="418"/>
      <c r="AI1368" s="418"/>
      <c r="AJ1368" s="418"/>
      <c r="AK1368" s="418"/>
      <c r="AL1368" s="418"/>
      <c r="AM1368" s="418"/>
      <c r="AN1368" s="423"/>
      <c r="AO1368" s="423"/>
      <c r="AP1368" s="423"/>
      <c r="AQ1368" s="423"/>
      <c r="AR1368" s="423"/>
      <c r="AS1368" s="423"/>
      <c r="AT1368" s="423"/>
      <c r="AU1368" s="423"/>
      <c r="AV1368" s="423"/>
      <c r="AW1368" s="418"/>
      <c r="AX1368" s="418"/>
      <c r="AY1368" s="418"/>
      <c r="AZ1368" s="418"/>
      <c r="BA1368" s="418"/>
      <c r="BB1368" s="306"/>
    </row>
    <row r="1369" spans="1:54" ht="15.75" customHeight="1">
      <c r="A1369" s="415"/>
      <c r="B1369" s="417"/>
      <c r="C1369" s="417"/>
      <c r="D1369" s="418"/>
      <c r="E1369" s="418"/>
      <c r="F1369" s="419"/>
      <c r="G1369" s="420"/>
      <c r="H1369" s="421"/>
      <c r="I1369" s="421"/>
      <c r="J1369" s="422"/>
      <c r="K1369" s="418"/>
      <c r="L1369" s="418"/>
      <c r="M1369" s="418"/>
      <c r="N1369" s="421"/>
      <c r="O1369" s="421"/>
      <c r="P1369" s="421"/>
      <c r="Q1369" s="418"/>
      <c r="R1369" s="1022"/>
      <c r="S1369" s="1022"/>
      <c r="T1369" s="418"/>
      <c r="U1369" s="418"/>
      <c r="V1369" s="418"/>
      <c r="W1369" s="418"/>
      <c r="X1369" s="418"/>
      <c r="Y1369" s="418"/>
      <c r="Z1369" s="418"/>
      <c r="AA1369" s="418"/>
      <c r="AB1369" s="418"/>
      <c r="AC1369" s="418"/>
      <c r="AD1369" s="418"/>
      <c r="AE1369" s="418"/>
      <c r="AF1369" s="418"/>
      <c r="AG1369" s="418"/>
      <c r="AH1369" s="418"/>
      <c r="AI1369" s="418"/>
      <c r="AJ1369" s="418"/>
      <c r="AK1369" s="418"/>
      <c r="AL1369" s="418"/>
      <c r="AM1369" s="418"/>
      <c r="AN1369" s="423"/>
      <c r="AO1369" s="423"/>
      <c r="AP1369" s="423"/>
      <c r="AQ1369" s="423"/>
      <c r="AR1369" s="423"/>
      <c r="AS1369" s="423"/>
      <c r="AT1369" s="423"/>
      <c r="AU1369" s="423"/>
      <c r="AV1369" s="423"/>
      <c r="AW1369" s="418"/>
      <c r="AX1369" s="418"/>
      <c r="AY1369" s="418"/>
      <c r="AZ1369" s="418"/>
      <c r="BA1369" s="418"/>
      <c r="BB1369" s="306"/>
    </row>
    <row r="1370" spans="1:54" ht="15.75" customHeight="1">
      <c r="A1370" s="415"/>
      <c r="B1370" s="417"/>
      <c r="C1370" s="417"/>
      <c r="D1370" s="418"/>
      <c r="E1370" s="418"/>
      <c r="F1370" s="419"/>
      <c r="G1370" s="420"/>
      <c r="H1370" s="421"/>
      <c r="I1370" s="421"/>
      <c r="J1370" s="422"/>
      <c r="K1370" s="418"/>
      <c r="L1370" s="418"/>
      <c r="M1370" s="418"/>
      <c r="N1370" s="421"/>
      <c r="O1370" s="421"/>
      <c r="P1370" s="421"/>
      <c r="Q1370" s="418"/>
      <c r="R1370" s="1022"/>
      <c r="S1370" s="1022"/>
      <c r="T1370" s="418"/>
      <c r="U1370" s="418"/>
      <c r="V1370" s="418"/>
      <c r="W1370" s="418"/>
      <c r="X1370" s="418"/>
      <c r="Y1370" s="418"/>
      <c r="Z1370" s="418"/>
      <c r="AA1370" s="418"/>
      <c r="AB1370" s="418"/>
      <c r="AC1370" s="418"/>
      <c r="AD1370" s="418"/>
      <c r="AE1370" s="418"/>
      <c r="AF1370" s="418"/>
      <c r="AG1370" s="418"/>
      <c r="AH1370" s="418"/>
      <c r="AI1370" s="418"/>
      <c r="AJ1370" s="418"/>
      <c r="AK1370" s="418"/>
      <c r="AL1370" s="418"/>
      <c r="AM1370" s="418"/>
      <c r="AN1370" s="423"/>
      <c r="AO1370" s="423"/>
      <c r="AP1370" s="423"/>
      <c r="AQ1370" s="423"/>
      <c r="AR1370" s="423"/>
      <c r="AS1370" s="423"/>
      <c r="AT1370" s="423"/>
      <c r="AU1370" s="423"/>
      <c r="AV1370" s="423"/>
      <c r="AW1370" s="418"/>
      <c r="AX1370" s="418"/>
      <c r="AY1370" s="418"/>
      <c r="AZ1370" s="418"/>
      <c r="BA1370" s="418"/>
      <c r="BB1370" s="306"/>
    </row>
    <row r="1371" spans="1:54" ht="15.75" customHeight="1">
      <c r="A1371" s="415"/>
      <c r="B1371" s="417"/>
      <c r="C1371" s="417"/>
      <c r="D1371" s="418"/>
      <c r="E1371" s="418"/>
      <c r="F1371" s="419"/>
      <c r="G1371" s="420"/>
      <c r="H1371" s="421"/>
      <c r="I1371" s="421"/>
      <c r="J1371" s="422"/>
      <c r="K1371" s="418"/>
      <c r="L1371" s="418"/>
      <c r="M1371" s="418"/>
      <c r="N1371" s="421"/>
      <c r="O1371" s="421"/>
      <c r="P1371" s="421"/>
      <c r="Q1371" s="418"/>
      <c r="R1371" s="1022"/>
      <c r="S1371" s="1022"/>
      <c r="T1371" s="418"/>
      <c r="U1371" s="418"/>
      <c r="V1371" s="418"/>
      <c r="W1371" s="418"/>
      <c r="X1371" s="418"/>
      <c r="Y1371" s="418"/>
      <c r="Z1371" s="418"/>
      <c r="AA1371" s="418"/>
      <c r="AB1371" s="418"/>
      <c r="AC1371" s="418"/>
      <c r="AD1371" s="418"/>
      <c r="AE1371" s="418"/>
      <c r="AF1371" s="418"/>
      <c r="AG1371" s="418"/>
      <c r="AH1371" s="418"/>
      <c r="AI1371" s="418"/>
      <c r="AJ1371" s="418"/>
      <c r="AK1371" s="418"/>
      <c r="AL1371" s="418"/>
      <c r="AM1371" s="418"/>
      <c r="AN1371" s="423"/>
      <c r="AO1371" s="423"/>
      <c r="AP1371" s="423"/>
      <c r="AQ1371" s="423"/>
      <c r="AR1371" s="423"/>
      <c r="AS1371" s="423"/>
      <c r="AT1371" s="423"/>
      <c r="AU1371" s="423"/>
      <c r="AV1371" s="423"/>
      <c r="AW1371" s="418"/>
      <c r="AX1371" s="418"/>
      <c r="AY1371" s="418"/>
      <c r="AZ1371" s="418"/>
      <c r="BA1371" s="418"/>
      <c r="BB1371" s="306"/>
    </row>
    <row r="1372" spans="1:54" ht="15.75" customHeight="1">
      <c r="A1372" s="415"/>
      <c r="B1372" s="417"/>
      <c r="C1372" s="417"/>
      <c r="D1372" s="418"/>
      <c r="E1372" s="418"/>
      <c r="F1372" s="419"/>
      <c r="G1372" s="420"/>
      <c r="H1372" s="421"/>
      <c r="I1372" s="421"/>
      <c r="J1372" s="422"/>
      <c r="K1372" s="418"/>
      <c r="L1372" s="418"/>
      <c r="M1372" s="418"/>
      <c r="N1372" s="421"/>
      <c r="O1372" s="421"/>
      <c r="P1372" s="421"/>
      <c r="Q1372" s="418"/>
      <c r="R1372" s="1022"/>
      <c r="S1372" s="1022"/>
      <c r="T1372" s="418"/>
      <c r="U1372" s="418"/>
      <c r="V1372" s="418"/>
      <c r="W1372" s="418"/>
      <c r="X1372" s="418"/>
      <c r="Y1372" s="418"/>
      <c r="Z1372" s="418"/>
      <c r="AA1372" s="418"/>
      <c r="AB1372" s="418"/>
      <c r="AC1372" s="418"/>
      <c r="AD1372" s="418"/>
      <c r="AE1372" s="418"/>
      <c r="AF1372" s="418"/>
      <c r="AG1372" s="418"/>
      <c r="AH1372" s="418"/>
      <c r="AI1372" s="418"/>
      <c r="AJ1372" s="418"/>
      <c r="AK1372" s="418"/>
      <c r="AL1372" s="418"/>
      <c r="AM1372" s="418"/>
      <c r="AN1372" s="423"/>
      <c r="AO1372" s="423"/>
      <c r="AP1372" s="423"/>
      <c r="AQ1372" s="423"/>
      <c r="AR1372" s="423"/>
      <c r="AS1372" s="423"/>
      <c r="AT1372" s="423"/>
      <c r="AU1372" s="423"/>
      <c r="AV1372" s="423"/>
      <c r="AW1372" s="418"/>
      <c r="AX1372" s="418"/>
      <c r="AY1372" s="418"/>
      <c r="AZ1372" s="418"/>
      <c r="BA1372" s="418"/>
      <c r="BB1372" s="306"/>
    </row>
    <row r="1373" spans="1:54" ht="15.75" customHeight="1">
      <c r="A1373" s="415"/>
      <c r="B1373" s="417"/>
      <c r="C1373" s="417"/>
      <c r="D1373" s="418"/>
      <c r="E1373" s="418"/>
      <c r="F1373" s="419"/>
      <c r="G1373" s="420"/>
      <c r="H1373" s="421"/>
      <c r="I1373" s="421"/>
      <c r="J1373" s="422"/>
      <c r="K1373" s="418"/>
      <c r="L1373" s="418"/>
      <c r="M1373" s="418"/>
      <c r="N1373" s="421"/>
      <c r="O1373" s="421"/>
      <c r="P1373" s="421"/>
      <c r="Q1373" s="418"/>
      <c r="R1373" s="1022"/>
      <c r="S1373" s="1022"/>
      <c r="T1373" s="418"/>
      <c r="U1373" s="418"/>
      <c r="V1373" s="418"/>
      <c r="W1373" s="418"/>
      <c r="X1373" s="418"/>
      <c r="Y1373" s="418"/>
      <c r="Z1373" s="418"/>
      <c r="AA1373" s="418"/>
      <c r="AB1373" s="418"/>
      <c r="AC1373" s="418"/>
      <c r="AD1373" s="418"/>
      <c r="AE1373" s="418"/>
      <c r="AF1373" s="418"/>
      <c r="AG1373" s="418"/>
      <c r="AH1373" s="418"/>
      <c r="AI1373" s="418"/>
      <c r="AJ1373" s="418"/>
      <c r="AK1373" s="418"/>
      <c r="AL1373" s="418"/>
      <c r="AM1373" s="418"/>
      <c r="AN1373" s="423"/>
      <c r="AO1373" s="423"/>
      <c r="AP1373" s="423"/>
      <c r="AQ1373" s="423"/>
      <c r="AR1373" s="423"/>
      <c r="AS1373" s="423"/>
      <c r="AT1373" s="423"/>
      <c r="AU1373" s="423"/>
      <c r="AV1373" s="423"/>
      <c r="AW1373" s="418"/>
      <c r="AX1373" s="418"/>
      <c r="AY1373" s="418"/>
      <c r="AZ1373" s="418"/>
      <c r="BA1373" s="418"/>
      <c r="BB1373" s="306"/>
    </row>
    <row r="1374" spans="1:54" ht="15.75" customHeight="1">
      <c r="A1374" s="415"/>
      <c r="B1374" s="417"/>
      <c r="C1374" s="417"/>
      <c r="D1374" s="418"/>
      <c r="E1374" s="418"/>
      <c r="F1374" s="419"/>
      <c r="G1374" s="420"/>
      <c r="H1374" s="421"/>
      <c r="I1374" s="421"/>
      <c r="J1374" s="422"/>
      <c r="K1374" s="418"/>
      <c r="L1374" s="418"/>
      <c r="M1374" s="418"/>
      <c r="N1374" s="421"/>
      <c r="O1374" s="421"/>
      <c r="P1374" s="421"/>
      <c r="Q1374" s="418"/>
      <c r="R1374" s="1022"/>
      <c r="S1374" s="1022"/>
      <c r="T1374" s="418"/>
      <c r="U1374" s="418"/>
      <c r="V1374" s="418"/>
      <c r="W1374" s="418"/>
      <c r="X1374" s="418"/>
      <c r="Y1374" s="418"/>
      <c r="Z1374" s="418"/>
      <c r="AA1374" s="418"/>
      <c r="AB1374" s="418"/>
      <c r="AC1374" s="418"/>
      <c r="AD1374" s="418"/>
      <c r="AE1374" s="418"/>
      <c r="AF1374" s="418"/>
      <c r="AG1374" s="418"/>
      <c r="AH1374" s="418"/>
      <c r="AI1374" s="418"/>
      <c r="AJ1374" s="418"/>
      <c r="AK1374" s="418"/>
      <c r="AL1374" s="418"/>
      <c r="AM1374" s="418"/>
      <c r="AN1374" s="423"/>
      <c r="AO1374" s="423"/>
      <c r="AP1374" s="423"/>
      <c r="AQ1374" s="423"/>
      <c r="AR1374" s="423"/>
      <c r="AS1374" s="423"/>
      <c r="AT1374" s="423"/>
      <c r="AU1374" s="423"/>
      <c r="AV1374" s="423"/>
      <c r="AW1374" s="418"/>
      <c r="AX1374" s="418"/>
      <c r="AY1374" s="418"/>
      <c r="AZ1374" s="418"/>
      <c r="BA1374" s="418"/>
      <c r="BB1374" s="306"/>
    </row>
    <row r="1375" spans="1:54" ht="15.75" customHeight="1">
      <c r="A1375" s="415"/>
      <c r="B1375" s="417"/>
      <c r="C1375" s="417"/>
      <c r="D1375" s="418"/>
      <c r="E1375" s="418"/>
      <c r="F1375" s="419"/>
      <c r="G1375" s="420"/>
      <c r="H1375" s="421"/>
      <c r="I1375" s="421"/>
      <c r="J1375" s="422"/>
      <c r="K1375" s="418"/>
      <c r="L1375" s="418"/>
      <c r="M1375" s="418"/>
      <c r="N1375" s="421"/>
      <c r="O1375" s="421"/>
      <c r="P1375" s="421"/>
      <c r="Q1375" s="418"/>
      <c r="R1375" s="1022"/>
      <c r="S1375" s="1022"/>
      <c r="T1375" s="418"/>
      <c r="U1375" s="418"/>
      <c r="V1375" s="418"/>
      <c r="W1375" s="418"/>
      <c r="X1375" s="418"/>
      <c r="Y1375" s="418"/>
      <c r="Z1375" s="418"/>
      <c r="AA1375" s="418"/>
      <c r="AB1375" s="418"/>
      <c r="AC1375" s="418"/>
      <c r="AD1375" s="418"/>
      <c r="AE1375" s="418"/>
      <c r="AF1375" s="418"/>
      <c r="AG1375" s="418"/>
      <c r="AH1375" s="418"/>
      <c r="AI1375" s="418"/>
      <c r="AJ1375" s="418"/>
      <c r="AK1375" s="418"/>
      <c r="AL1375" s="418"/>
      <c r="AM1375" s="418"/>
      <c r="AN1375" s="423"/>
      <c r="AO1375" s="423"/>
      <c r="AP1375" s="423"/>
      <c r="AQ1375" s="423"/>
      <c r="AR1375" s="423"/>
      <c r="AS1375" s="423"/>
      <c r="AT1375" s="423"/>
      <c r="AU1375" s="423"/>
      <c r="AV1375" s="423"/>
      <c r="AW1375" s="418"/>
      <c r="AX1375" s="418"/>
      <c r="AY1375" s="418"/>
      <c r="AZ1375" s="418"/>
      <c r="BA1375" s="418"/>
      <c r="BB1375" s="306"/>
    </row>
    <row r="1376" spans="1:54" ht="15.75" customHeight="1">
      <c r="A1376" s="415"/>
      <c r="B1376" s="417"/>
      <c r="C1376" s="417"/>
      <c r="D1376" s="418"/>
      <c r="E1376" s="418"/>
      <c r="F1376" s="419"/>
      <c r="G1376" s="420"/>
      <c r="H1376" s="421"/>
      <c r="I1376" s="421"/>
      <c r="J1376" s="422"/>
      <c r="K1376" s="418"/>
      <c r="L1376" s="418"/>
      <c r="M1376" s="418"/>
      <c r="N1376" s="421"/>
      <c r="O1376" s="421"/>
      <c r="P1376" s="421"/>
      <c r="Q1376" s="418"/>
      <c r="R1376" s="1022"/>
      <c r="S1376" s="1022"/>
      <c r="T1376" s="418"/>
      <c r="U1376" s="418"/>
      <c r="V1376" s="418"/>
      <c r="W1376" s="418"/>
      <c r="X1376" s="418"/>
      <c r="Y1376" s="418"/>
      <c r="Z1376" s="418"/>
      <c r="AA1376" s="418"/>
      <c r="AB1376" s="418"/>
      <c r="AC1376" s="418"/>
      <c r="AD1376" s="418"/>
      <c r="AE1376" s="418"/>
      <c r="AF1376" s="418"/>
      <c r="AG1376" s="418"/>
      <c r="AH1376" s="418"/>
      <c r="AI1376" s="418"/>
      <c r="AJ1376" s="418"/>
      <c r="AK1376" s="418"/>
      <c r="AL1376" s="418"/>
      <c r="AM1376" s="418"/>
      <c r="AN1376" s="423"/>
      <c r="AO1376" s="423"/>
      <c r="AP1376" s="423"/>
      <c r="AQ1376" s="423"/>
      <c r="AR1376" s="423"/>
      <c r="AS1376" s="423"/>
      <c r="AT1376" s="423"/>
      <c r="AU1376" s="423"/>
      <c r="AV1376" s="423"/>
      <c r="AW1376" s="418"/>
      <c r="AX1376" s="418"/>
      <c r="AY1376" s="418"/>
      <c r="AZ1376" s="418"/>
      <c r="BA1376" s="418"/>
      <c r="BB1376" s="306"/>
    </row>
    <row r="1377" spans="1:54" ht="15.75" customHeight="1">
      <c r="A1377" s="415"/>
      <c r="B1377" s="417"/>
      <c r="C1377" s="417"/>
      <c r="D1377" s="418"/>
      <c r="E1377" s="418"/>
      <c r="F1377" s="419"/>
      <c r="G1377" s="420"/>
      <c r="H1377" s="421"/>
      <c r="I1377" s="421"/>
      <c r="J1377" s="422"/>
      <c r="K1377" s="418"/>
      <c r="L1377" s="418"/>
      <c r="M1377" s="418"/>
      <c r="N1377" s="421"/>
      <c r="O1377" s="421"/>
      <c r="P1377" s="421"/>
      <c r="Q1377" s="418"/>
      <c r="R1377" s="1022"/>
      <c r="S1377" s="1022"/>
      <c r="T1377" s="418"/>
      <c r="U1377" s="418"/>
      <c r="V1377" s="418"/>
      <c r="W1377" s="418"/>
      <c r="X1377" s="418"/>
      <c r="Y1377" s="418"/>
      <c r="Z1377" s="418"/>
      <c r="AA1377" s="418"/>
      <c r="AB1377" s="418"/>
      <c r="AC1377" s="418"/>
      <c r="AD1377" s="418"/>
      <c r="AE1377" s="418"/>
      <c r="AF1377" s="418"/>
      <c r="AG1377" s="418"/>
      <c r="AH1377" s="418"/>
      <c r="AI1377" s="418"/>
      <c r="AJ1377" s="418"/>
      <c r="AK1377" s="418"/>
      <c r="AL1377" s="418"/>
      <c r="AM1377" s="418"/>
      <c r="AN1377" s="423"/>
      <c r="AO1377" s="423"/>
      <c r="AP1377" s="423"/>
      <c r="AQ1377" s="423"/>
      <c r="AR1377" s="423"/>
      <c r="AS1377" s="423"/>
      <c r="AT1377" s="423"/>
      <c r="AU1377" s="423"/>
      <c r="AV1377" s="423"/>
      <c r="AW1377" s="418"/>
      <c r="AX1377" s="418"/>
      <c r="AY1377" s="418"/>
      <c r="AZ1377" s="418"/>
      <c r="BA1377" s="418"/>
      <c r="BB1377" s="306"/>
    </row>
    <row r="1378" spans="1:54" ht="15.75" customHeight="1">
      <c r="A1378" s="415"/>
      <c r="B1378" s="417"/>
      <c r="C1378" s="417"/>
      <c r="D1378" s="418"/>
      <c r="E1378" s="418"/>
      <c r="F1378" s="419"/>
      <c r="G1378" s="420"/>
      <c r="H1378" s="421"/>
      <c r="I1378" s="421"/>
      <c r="J1378" s="422"/>
      <c r="K1378" s="418"/>
      <c r="L1378" s="418"/>
      <c r="M1378" s="418"/>
      <c r="N1378" s="421"/>
      <c r="O1378" s="421"/>
      <c r="P1378" s="421"/>
      <c r="Q1378" s="418"/>
      <c r="R1378" s="1022"/>
      <c r="S1378" s="1022"/>
      <c r="T1378" s="418"/>
      <c r="U1378" s="418"/>
      <c r="V1378" s="418"/>
      <c r="W1378" s="418"/>
      <c r="X1378" s="418"/>
      <c r="Y1378" s="418"/>
      <c r="Z1378" s="418"/>
      <c r="AA1378" s="418"/>
      <c r="AB1378" s="418"/>
      <c r="AC1378" s="418"/>
      <c r="AD1378" s="418"/>
      <c r="AE1378" s="418"/>
      <c r="AF1378" s="418"/>
      <c r="AG1378" s="418"/>
      <c r="AH1378" s="418"/>
      <c r="AI1378" s="418"/>
      <c r="AJ1378" s="418"/>
      <c r="AK1378" s="418"/>
      <c r="AL1378" s="418"/>
      <c r="AM1378" s="418"/>
      <c r="AN1378" s="423"/>
      <c r="AO1378" s="423"/>
      <c r="AP1378" s="423"/>
      <c r="AQ1378" s="423"/>
      <c r="AR1378" s="423"/>
      <c r="AS1378" s="423"/>
      <c r="AT1378" s="423"/>
      <c r="AU1378" s="423"/>
      <c r="AV1378" s="423"/>
      <c r="AW1378" s="418"/>
      <c r="AX1378" s="418"/>
      <c r="AY1378" s="418"/>
      <c r="AZ1378" s="418"/>
      <c r="BA1378" s="418"/>
      <c r="BB1378" s="306"/>
    </row>
    <row r="1379" spans="1:54" ht="15.75" customHeight="1">
      <c r="A1379" s="415"/>
      <c r="B1379" s="416"/>
      <c r="C1379" s="417"/>
      <c r="D1379" s="418"/>
      <c r="E1379" s="418"/>
      <c r="F1379" s="419"/>
      <c r="G1379" s="420"/>
      <c r="H1379" s="421"/>
      <c r="I1379" s="421"/>
      <c r="J1379" s="422"/>
      <c r="K1379" s="418"/>
      <c r="L1379" s="418"/>
      <c r="M1379" s="418"/>
      <c r="N1379" s="421"/>
      <c r="O1379" s="421"/>
      <c r="P1379" s="421"/>
      <c r="Q1379" s="418"/>
      <c r="R1379" s="1022"/>
      <c r="S1379" s="1022"/>
      <c r="T1379" s="418"/>
      <c r="U1379" s="418"/>
      <c r="V1379" s="418"/>
      <c r="W1379" s="418"/>
      <c r="X1379" s="418"/>
      <c r="Y1379" s="418"/>
      <c r="Z1379" s="418"/>
      <c r="AA1379" s="418"/>
      <c r="AB1379" s="418"/>
      <c r="AC1379" s="418"/>
      <c r="AD1379" s="418"/>
      <c r="AE1379" s="418"/>
      <c r="AF1379" s="418"/>
      <c r="AG1379" s="418"/>
      <c r="AH1379" s="418"/>
      <c r="AI1379" s="418"/>
      <c r="AJ1379" s="418"/>
      <c r="AK1379" s="418"/>
      <c r="AL1379" s="418"/>
      <c r="AM1379" s="418"/>
      <c r="AN1379" s="423"/>
      <c r="AO1379" s="423"/>
      <c r="AP1379" s="423"/>
      <c r="AQ1379" s="423"/>
      <c r="AR1379" s="423"/>
      <c r="AS1379" s="423"/>
      <c r="AT1379" s="423"/>
      <c r="AU1379" s="423"/>
      <c r="AV1379" s="423"/>
      <c r="AW1379" s="418"/>
      <c r="AX1379" s="418"/>
      <c r="AY1379" s="418"/>
      <c r="AZ1379" s="418"/>
      <c r="BA1379" s="418"/>
      <c r="BB1379" s="306"/>
    </row>
    <row r="1380" spans="1:54" ht="15.75" customHeight="1">
      <c r="A1380" s="415"/>
      <c r="B1380" s="416"/>
      <c r="C1380" s="417"/>
      <c r="D1380" s="418"/>
      <c r="E1380" s="418"/>
      <c r="F1380" s="419"/>
      <c r="G1380" s="420"/>
      <c r="H1380" s="421"/>
      <c r="I1380" s="425"/>
      <c r="J1380" s="422"/>
      <c r="K1380" s="418"/>
      <c r="L1380" s="418"/>
      <c r="M1380" s="418"/>
      <c r="N1380" s="421"/>
      <c r="O1380" s="421"/>
      <c r="P1380" s="421"/>
      <c r="Q1380" s="418"/>
      <c r="R1380" s="1022"/>
      <c r="S1380" s="1022"/>
      <c r="T1380" s="418"/>
      <c r="U1380" s="418"/>
      <c r="V1380" s="418"/>
      <c r="W1380" s="418"/>
      <c r="X1380" s="418"/>
      <c r="Y1380" s="418"/>
      <c r="Z1380" s="418"/>
      <c r="AA1380" s="418"/>
      <c r="AB1380" s="418"/>
      <c r="AC1380" s="418"/>
      <c r="AD1380" s="418"/>
      <c r="AE1380" s="418"/>
      <c r="AF1380" s="418"/>
      <c r="AG1380" s="418"/>
      <c r="AH1380" s="418"/>
      <c r="AI1380" s="418"/>
      <c r="AJ1380" s="418"/>
      <c r="AK1380" s="418"/>
      <c r="AL1380" s="418"/>
      <c r="AM1380" s="418"/>
      <c r="AN1380" s="423"/>
      <c r="AO1380" s="423"/>
      <c r="AP1380" s="423"/>
      <c r="AQ1380" s="423"/>
      <c r="AR1380" s="423"/>
      <c r="AS1380" s="423"/>
      <c r="AT1380" s="423"/>
      <c r="AU1380" s="423"/>
      <c r="AV1380" s="423"/>
      <c r="AW1380" s="418"/>
      <c r="AX1380" s="418"/>
      <c r="AY1380" s="418"/>
      <c r="AZ1380" s="418"/>
      <c r="BA1380" s="418"/>
      <c r="BB1380" s="306"/>
    </row>
    <row r="1381" spans="1:54" ht="15.75" customHeight="1">
      <c r="A1381" s="415"/>
      <c r="B1381" s="416"/>
      <c r="C1381" s="417"/>
      <c r="D1381" s="418"/>
      <c r="E1381" s="418"/>
      <c r="F1381" s="419"/>
      <c r="G1381" s="420"/>
      <c r="H1381" s="421"/>
      <c r="I1381" s="425"/>
      <c r="J1381" s="422"/>
      <c r="K1381" s="418"/>
      <c r="L1381" s="418"/>
      <c r="M1381" s="418"/>
      <c r="N1381" s="421"/>
      <c r="O1381" s="421"/>
      <c r="P1381" s="421"/>
      <c r="Q1381" s="418"/>
      <c r="R1381" s="1022"/>
      <c r="S1381" s="1022"/>
      <c r="T1381" s="418"/>
      <c r="U1381" s="418"/>
      <c r="V1381" s="418"/>
      <c r="W1381" s="418"/>
      <c r="X1381" s="418"/>
      <c r="Y1381" s="418"/>
      <c r="Z1381" s="418"/>
      <c r="AA1381" s="418"/>
      <c r="AB1381" s="418"/>
      <c r="AC1381" s="418"/>
      <c r="AD1381" s="418"/>
      <c r="AE1381" s="418"/>
      <c r="AF1381" s="418"/>
      <c r="AG1381" s="418"/>
      <c r="AH1381" s="418"/>
      <c r="AI1381" s="418"/>
      <c r="AJ1381" s="418"/>
      <c r="AK1381" s="418"/>
      <c r="AL1381" s="418"/>
      <c r="AM1381" s="418"/>
      <c r="AN1381" s="423"/>
      <c r="AO1381" s="423"/>
      <c r="AP1381" s="423"/>
      <c r="AQ1381" s="423"/>
      <c r="AR1381" s="423"/>
      <c r="AS1381" s="423"/>
      <c r="AT1381" s="423"/>
      <c r="AU1381" s="423"/>
      <c r="AV1381" s="423"/>
      <c r="AW1381" s="418"/>
      <c r="AX1381" s="418"/>
      <c r="AY1381" s="418"/>
      <c r="AZ1381" s="418"/>
      <c r="BA1381" s="418"/>
      <c r="BB1381" s="306"/>
    </row>
    <row r="1382" spans="1:54" ht="15.75" customHeight="1">
      <c r="A1382" s="415"/>
      <c r="B1382" s="416"/>
      <c r="C1382" s="417"/>
      <c r="D1382" s="418"/>
      <c r="E1382" s="418"/>
      <c r="F1382" s="419"/>
      <c r="G1382" s="420"/>
      <c r="H1382" s="421"/>
      <c r="I1382" s="425"/>
      <c r="J1382" s="422"/>
      <c r="K1382" s="418"/>
      <c r="L1382" s="418"/>
      <c r="M1382" s="418"/>
      <c r="N1382" s="421"/>
      <c r="O1382" s="421"/>
      <c r="P1382" s="421"/>
      <c r="Q1382" s="418"/>
      <c r="R1382" s="1022"/>
      <c r="S1382" s="1022"/>
      <c r="T1382" s="418"/>
      <c r="U1382" s="418"/>
      <c r="V1382" s="418"/>
      <c r="W1382" s="418"/>
      <c r="X1382" s="418"/>
      <c r="Y1382" s="418"/>
      <c r="Z1382" s="418"/>
      <c r="AA1382" s="418"/>
      <c r="AB1382" s="418"/>
      <c r="AC1382" s="418"/>
      <c r="AD1382" s="418"/>
      <c r="AE1382" s="418"/>
      <c r="AF1382" s="418"/>
      <c r="AG1382" s="418"/>
      <c r="AH1382" s="418"/>
      <c r="AI1382" s="418"/>
      <c r="AJ1382" s="418"/>
      <c r="AK1382" s="418"/>
      <c r="AL1382" s="418"/>
      <c r="AM1382" s="418"/>
      <c r="AN1382" s="423"/>
      <c r="AO1382" s="423"/>
      <c r="AP1382" s="423"/>
      <c r="AQ1382" s="423"/>
      <c r="AR1382" s="423"/>
      <c r="AS1382" s="423"/>
      <c r="AT1382" s="423"/>
      <c r="AU1382" s="423"/>
      <c r="AV1382" s="423"/>
      <c r="AW1382" s="418"/>
      <c r="AX1382" s="418"/>
      <c r="AY1382" s="418"/>
      <c r="AZ1382" s="418"/>
      <c r="BA1382" s="418"/>
      <c r="BB1382" s="306"/>
    </row>
    <row r="1383" spans="1:54" ht="15.75" customHeight="1">
      <c r="A1383" s="415"/>
      <c r="B1383" s="417"/>
      <c r="C1383" s="417"/>
      <c r="D1383" s="418"/>
      <c r="E1383" s="418"/>
      <c r="F1383" s="419"/>
      <c r="G1383" s="420"/>
      <c r="H1383" s="421"/>
      <c r="I1383" s="421"/>
      <c r="J1383" s="422"/>
      <c r="K1383" s="418"/>
      <c r="L1383" s="418"/>
      <c r="M1383" s="418"/>
      <c r="N1383" s="421"/>
      <c r="O1383" s="421"/>
      <c r="P1383" s="421"/>
      <c r="Q1383" s="418"/>
      <c r="R1383" s="1022"/>
      <c r="S1383" s="1022"/>
      <c r="T1383" s="418"/>
      <c r="U1383" s="418"/>
      <c r="V1383" s="418"/>
      <c r="W1383" s="418"/>
      <c r="X1383" s="418"/>
      <c r="Y1383" s="418"/>
      <c r="Z1383" s="418"/>
      <c r="AA1383" s="418"/>
      <c r="AB1383" s="418"/>
      <c r="AC1383" s="418"/>
      <c r="AD1383" s="418"/>
      <c r="AE1383" s="418"/>
      <c r="AF1383" s="418"/>
      <c r="AG1383" s="418"/>
      <c r="AH1383" s="418"/>
      <c r="AI1383" s="418"/>
      <c r="AJ1383" s="418"/>
      <c r="AK1383" s="418"/>
      <c r="AL1383" s="418"/>
      <c r="AM1383" s="418"/>
      <c r="AN1383" s="423"/>
      <c r="AO1383" s="423"/>
      <c r="AP1383" s="423"/>
      <c r="AQ1383" s="423"/>
      <c r="AR1383" s="423"/>
      <c r="AS1383" s="423"/>
      <c r="AT1383" s="423"/>
      <c r="AU1383" s="423"/>
      <c r="AV1383" s="423"/>
      <c r="AW1383" s="418"/>
      <c r="AX1383" s="418"/>
      <c r="AY1383" s="418"/>
      <c r="AZ1383" s="418"/>
      <c r="BA1383" s="418"/>
      <c r="BB1383" s="306"/>
    </row>
    <row r="1384" spans="1:54" ht="15.75" customHeight="1">
      <c r="A1384" s="415"/>
      <c r="B1384" s="417"/>
      <c r="C1384" s="417"/>
      <c r="D1384" s="418"/>
      <c r="E1384" s="418"/>
      <c r="F1384" s="419"/>
      <c r="G1384" s="420"/>
      <c r="H1384" s="421"/>
      <c r="I1384" s="425"/>
      <c r="J1384" s="422"/>
      <c r="K1384" s="418"/>
      <c r="L1384" s="418"/>
      <c r="M1384" s="428"/>
      <c r="N1384" s="421"/>
      <c r="O1384" s="421"/>
      <c r="P1384" s="421"/>
      <c r="Q1384" s="418"/>
      <c r="R1384" s="1022"/>
      <c r="S1384" s="1022"/>
      <c r="T1384" s="418"/>
      <c r="U1384" s="418"/>
      <c r="V1384" s="418"/>
      <c r="W1384" s="418"/>
      <c r="X1384" s="418"/>
      <c r="Y1384" s="418"/>
      <c r="Z1384" s="418"/>
      <c r="AA1384" s="418"/>
      <c r="AB1384" s="418"/>
      <c r="AC1384" s="418"/>
      <c r="AD1384" s="418"/>
      <c r="AE1384" s="418"/>
      <c r="AF1384" s="418"/>
      <c r="AG1384" s="418"/>
      <c r="AH1384" s="418"/>
      <c r="AI1384" s="418"/>
      <c r="AJ1384" s="418"/>
      <c r="AK1384" s="418"/>
      <c r="AL1384" s="418"/>
      <c r="AM1384" s="418"/>
      <c r="AN1384" s="423"/>
      <c r="AO1384" s="423"/>
      <c r="AP1384" s="423"/>
      <c r="AQ1384" s="423"/>
      <c r="AR1384" s="423"/>
      <c r="AS1384" s="423"/>
      <c r="AT1384" s="423"/>
      <c r="AU1384" s="423"/>
      <c r="AV1384" s="423"/>
      <c r="AW1384" s="418"/>
      <c r="AX1384" s="418"/>
      <c r="AY1384" s="418"/>
      <c r="AZ1384" s="418"/>
      <c r="BA1384" s="418"/>
      <c r="BB1384" s="306"/>
    </row>
    <row r="1385" spans="1:54" ht="15.75" customHeight="1">
      <c r="A1385" s="415"/>
      <c r="B1385" s="417"/>
      <c r="C1385" s="417"/>
      <c r="D1385" s="418"/>
      <c r="E1385" s="418"/>
      <c r="F1385" s="419"/>
      <c r="G1385" s="420"/>
      <c r="H1385" s="421"/>
      <c r="I1385" s="421"/>
      <c r="J1385" s="422"/>
      <c r="K1385" s="418"/>
      <c r="L1385" s="418"/>
      <c r="M1385" s="428"/>
      <c r="N1385" s="421"/>
      <c r="O1385" s="421"/>
      <c r="P1385" s="421"/>
      <c r="Q1385" s="418"/>
      <c r="R1385" s="1022"/>
      <c r="S1385" s="1022"/>
      <c r="T1385" s="418"/>
      <c r="U1385" s="418"/>
      <c r="V1385" s="418"/>
      <c r="W1385" s="418"/>
      <c r="X1385" s="418"/>
      <c r="Y1385" s="418"/>
      <c r="Z1385" s="418"/>
      <c r="AA1385" s="418"/>
      <c r="AB1385" s="418"/>
      <c r="AC1385" s="418"/>
      <c r="AD1385" s="418"/>
      <c r="AE1385" s="418"/>
      <c r="AF1385" s="418"/>
      <c r="AG1385" s="418"/>
      <c r="AH1385" s="418"/>
      <c r="AI1385" s="418"/>
      <c r="AJ1385" s="418"/>
      <c r="AK1385" s="418"/>
      <c r="AL1385" s="418"/>
      <c r="AM1385" s="418"/>
      <c r="AN1385" s="423"/>
      <c r="AO1385" s="423"/>
      <c r="AP1385" s="423"/>
      <c r="AQ1385" s="423"/>
      <c r="AR1385" s="423"/>
      <c r="AS1385" s="423"/>
      <c r="AT1385" s="423"/>
      <c r="AU1385" s="423"/>
      <c r="AV1385" s="423"/>
      <c r="AW1385" s="418"/>
      <c r="AX1385" s="418"/>
      <c r="AY1385" s="418"/>
      <c r="AZ1385" s="418"/>
      <c r="BA1385" s="418"/>
      <c r="BB1385" s="306"/>
    </row>
    <row r="1386" spans="1:54" ht="15.75" customHeight="1">
      <c r="A1386" s="415"/>
      <c r="B1386" s="417"/>
      <c r="C1386" s="417"/>
      <c r="D1386" s="418"/>
      <c r="E1386" s="418"/>
      <c r="F1386" s="419"/>
      <c r="G1386" s="420"/>
      <c r="H1386" s="421"/>
      <c r="I1386" s="421"/>
      <c r="J1386" s="422"/>
      <c r="K1386" s="418"/>
      <c r="L1386" s="418"/>
      <c r="M1386" s="428"/>
      <c r="N1386" s="421"/>
      <c r="O1386" s="421"/>
      <c r="P1386" s="421"/>
      <c r="Q1386" s="418"/>
      <c r="R1386" s="1022"/>
      <c r="S1386" s="1022"/>
      <c r="T1386" s="418"/>
      <c r="U1386" s="418"/>
      <c r="V1386" s="418"/>
      <c r="W1386" s="418"/>
      <c r="X1386" s="418"/>
      <c r="Y1386" s="418"/>
      <c r="Z1386" s="418"/>
      <c r="AA1386" s="418"/>
      <c r="AB1386" s="418"/>
      <c r="AC1386" s="418"/>
      <c r="AD1386" s="418"/>
      <c r="AE1386" s="418"/>
      <c r="AF1386" s="418"/>
      <c r="AG1386" s="418"/>
      <c r="AH1386" s="418"/>
      <c r="AI1386" s="418"/>
      <c r="AJ1386" s="418"/>
      <c r="AK1386" s="418"/>
      <c r="AL1386" s="418"/>
      <c r="AM1386" s="418"/>
      <c r="AN1386" s="423"/>
      <c r="AO1386" s="423"/>
      <c r="AP1386" s="423"/>
      <c r="AQ1386" s="423"/>
      <c r="AR1386" s="423"/>
      <c r="AS1386" s="423"/>
      <c r="AT1386" s="423"/>
      <c r="AU1386" s="423"/>
      <c r="AV1386" s="423"/>
      <c r="AW1386" s="418"/>
      <c r="AX1386" s="418"/>
      <c r="AY1386" s="418"/>
      <c r="AZ1386" s="418"/>
      <c r="BA1386" s="418"/>
      <c r="BB1386" s="306"/>
    </row>
    <row r="1387" spans="1:54" ht="15.75" customHeight="1">
      <c r="A1387" s="415"/>
      <c r="B1387" s="417"/>
      <c r="C1387" s="417"/>
      <c r="D1387" s="418"/>
      <c r="E1387" s="418"/>
      <c r="F1387" s="419"/>
      <c r="G1387" s="420"/>
      <c r="H1387" s="421"/>
      <c r="I1387" s="421"/>
      <c r="J1387" s="422"/>
      <c r="K1387" s="418"/>
      <c r="L1387" s="418"/>
      <c r="M1387" s="428"/>
      <c r="N1387" s="421"/>
      <c r="O1387" s="421"/>
      <c r="P1387" s="421"/>
      <c r="Q1387" s="418"/>
      <c r="R1387" s="1022"/>
      <c r="S1387" s="1022"/>
      <c r="T1387" s="418"/>
      <c r="U1387" s="418"/>
      <c r="V1387" s="418"/>
      <c r="W1387" s="418"/>
      <c r="X1387" s="418"/>
      <c r="Y1387" s="418"/>
      <c r="Z1387" s="418"/>
      <c r="AA1387" s="418"/>
      <c r="AB1387" s="418"/>
      <c r="AC1387" s="418"/>
      <c r="AD1387" s="418"/>
      <c r="AE1387" s="418"/>
      <c r="AF1387" s="418"/>
      <c r="AG1387" s="418"/>
      <c r="AH1387" s="418"/>
      <c r="AI1387" s="418"/>
      <c r="AJ1387" s="418"/>
      <c r="AK1387" s="418"/>
      <c r="AL1387" s="418"/>
      <c r="AM1387" s="418"/>
      <c r="AN1387" s="423"/>
      <c r="AO1387" s="423"/>
      <c r="AP1387" s="423"/>
      <c r="AQ1387" s="423"/>
      <c r="AR1387" s="423"/>
      <c r="AS1387" s="423"/>
      <c r="AT1387" s="423"/>
      <c r="AU1387" s="423"/>
      <c r="AV1387" s="423"/>
      <c r="AW1387" s="418"/>
      <c r="AX1387" s="418"/>
      <c r="AY1387" s="418"/>
      <c r="AZ1387" s="418"/>
      <c r="BA1387" s="418"/>
      <c r="BB1387" s="306"/>
    </row>
    <row r="1388" spans="1:54" ht="15.75" customHeight="1">
      <c r="A1388" s="415"/>
      <c r="B1388" s="417"/>
      <c r="C1388" s="417"/>
      <c r="D1388" s="418"/>
      <c r="E1388" s="418"/>
      <c r="F1388" s="419"/>
      <c r="G1388" s="420"/>
      <c r="H1388" s="421"/>
      <c r="I1388" s="421"/>
      <c r="J1388" s="422"/>
      <c r="K1388" s="418"/>
      <c r="L1388" s="418"/>
      <c r="M1388" s="428"/>
      <c r="N1388" s="421"/>
      <c r="O1388" s="421"/>
      <c r="P1388" s="421"/>
      <c r="Q1388" s="418"/>
      <c r="R1388" s="1022"/>
      <c r="S1388" s="1022"/>
      <c r="T1388" s="418"/>
      <c r="U1388" s="418"/>
      <c r="V1388" s="418"/>
      <c r="W1388" s="418"/>
      <c r="X1388" s="418"/>
      <c r="Y1388" s="418"/>
      <c r="Z1388" s="418"/>
      <c r="AA1388" s="418"/>
      <c r="AB1388" s="418"/>
      <c r="AC1388" s="418"/>
      <c r="AD1388" s="418"/>
      <c r="AE1388" s="418"/>
      <c r="AF1388" s="418"/>
      <c r="AG1388" s="418"/>
      <c r="AH1388" s="418"/>
      <c r="AI1388" s="418"/>
      <c r="AJ1388" s="418"/>
      <c r="AK1388" s="418"/>
      <c r="AL1388" s="418"/>
      <c r="AM1388" s="418"/>
      <c r="AN1388" s="423"/>
      <c r="AO1388" s="423"/>
      <c r="AP1388" s="423"/>
      <c r="AQ1388" s="423"/>
      <c r="AR1388" s="423"/>
      <c r="AS1388" s="423"/>
      <c r="AT1388" s="423"/>
      <c r="AU1388" s="423"/>
      <c r="AV1388" s="423"/>
      <c r="AW1388" s="418"/>
      <c r="AX1388" s="418"/>
      <c r="AY1388" s="418"/>
      <c r="AZ1388" s="418"/>
      <c r="BA1388" s="418"/>
      <c r="BB1388" s="306"/>
    </row>
    <row r="1389" spans="1:54" ht="15.75" customHeight="1">
      <c r="A1389" s="415"/>
      <c r="B1389" s="417"/>
      <c r="C1389" s="417"/>
      <c r="D1389" s="418"/>
      <c r="E1389" s="418"/>
      <c r="F1389" s="419"/>
      <c r="G1389" s="420"/>
      <c r="H1389" s="421"/>
      <c r="I1389" s="425"/>
      <c r="J1389" s="422"/>
      <c r="K1389" s="418"/>
      <c r="L1389" s="418"/>
      <c r="M1389" s="428"/>
      <c r="N1389" s="421"/>
      <c r="O1389" s="421"/>
      <c r="P1389" s="421"/>
      <c r="Q1389" s="418"/>
      <c r="R1389" s="1022"/>
      <c r="S1389" s="1022"/>
      <c r="T1389" s="418"/>
      <c r="U1389" s="418"/>
      <c r="V1389" s="418"/>
      <c r="W1389" s="418"/>
      <c r="X1389" s="418"/>
      <c r="Y1389" s="418"/>
      <c r="Z1389" s="418"/>
      <c r="AA1389" s="418"/>
      <c r="AB1389" s="418"/>
      <c r="AC1389" s="418"/>
      <c r="AD1389" s="418"/>
      <c r="AE1389" s="418"/>
      <c r="AF1389" s="418"/>
      <c r="AG1389" s="418"/>
      <c r="AH1389" s="418"/>
      <c r="AI1389" s="418"/>
      <c r="AJ1389" s="418"/>
      <c r="AK1389" s="418"/>
      <c r="AL1389" s="418"/>
      <c r="AM1389" s="418"/>
      <c r="AN1389" s="423"/>
      <c r="AO1389" s="423"/>
      <c r="AP1389" s="423"/>
      <c r="AQ1389" s="423"/>
      <c r="AR1389" s="423"/>
      <c r="AS1389" s="423"/>
      <c r="AT1389" s="423"/>
      <c r="AU1389" s="423"/>
      <c r="AV1389" s="423"/>
      <c r="AW1389" s="418"/>
      <c r="AX1389" s="418"/>
      <c r="AY1389" s="418"/>
      <c r="AZ1389" s="418"/>
      <c r="BA1389" s="418"/>
      <c r="BB1389" s="306"/>
    </row>
    <row r="1390" spans="1:54" ht="15.75" customHeight="1">
      <c r="A1390" s="415"/>
      <c r="B1390" s="417"/>
      <c r="C1390" s="417"/>
      <c r="D1390" s="418"/>
      <c r="E1390" s="418"/>
      <c r="F1390" s="419"/>
      <c r="G1390" s="420"/>
      <c r="H1390" s="421"/>
      <c r="I1390" s="421"/>
      <c r="J1390" s="422"/>
      <c r="K1390" s="418"/>
      <c r="L1390" s="418"/>
      <c r="M1390" s="428"/>
      <c r="N1390" s="421"/>
      <c r="O1390" s="421"/>
      <c r="P1390" s="421"/>
      <c r="Q1390" s="418"/>
      <c r="R1390" s="1022"/>
      <c r="S1390" s="1022"/>
      <c r="T1390" s="418"/>
      <c r="U1390" s="418"/>
      <c r="V1390" s="418"/>
      <c r="W1390" s="418"/>
      <c r="X1390" s="418"/>
      <c r="Y1390" s="418"/>
      <c r="Z1390" s="418"/>
      <c r="AA1390" s="418"/>
      <c r="AB1390" s="418"/>
      <c r="AC1390" s="418"/>
      <c r="AD1390" s="418"/>
      <c r="AE1390" s="418"/>
      <c r="AF1390" s="418"/>
      <c r="AG1390" s="418"/>
      <c r="AH1390" s="418"/>
      <c r="AI1390" s="418"/>
      <c r="AJ1390" s="418"/>
      <c r="AK1390" s="418"/>
      <c r="AL1390" s="418"/>
      <c r="AM1390" s="418"/>
      <c r="AN1390" s="423"/>
      <c r="AO1390" s="423"/>
      <c r="AP1390" s="423"/>
      <c r="AQ1390" s="423"/>
      <c r="AR1390" s="423"/>
      <c r="AS1390" s="423"/>
      <c r="AT1390" s="423"/>
      <c r="AU1390" s="423"/>
      <c r="AV1390" s="423"/>
      <c r="AW1390" s="418"/>
      <c r="AX1390" s="418"/>
      <c r="AY1390" s="418"/>
      <c r="AZ1390" s="418"/>
      <c r="BA1390" s="418"/>
      <c r="BB1390" s="306"/>
    </row>
    <row r="1391" spans="1:54" ht="15.75" customHeight="1">
      <c r="A1391" s="415"/>
      <c r="B1391" s="417"/>
      <c r="C1391" s="417"/>
      <c r="D1391" s="418"/>
      <c r="E1391" s="418"/>
      <c r="F1391" s="419"/>
      <c r="G1391" s="420"/>
      <c r="H1391" s="421"/>
      <c r="I1391" s="425"/>
      <c r="J1391" s="422"/>
      <c r="K1391" s="418"/>
      <c r="L1391" s="418"/>
      <c r="M1391" s="428"/>
      <c r="N1391" s="421"/>
      <c r="O1391" s="421"/>
      <c r="P1391" s="421"/>
      <c r="Q1391" s="418"/>
      <c r="R1391" s="1022"/>
      <c r="S1391" s="1022"/>
      <c r="T1391" s="418"/>
      <c r="U1391" s="418"/>
      <c r="V1391" s="418"/>
      <c r="W1391" s="418"/>
      <c r="X1391" s="418"/>
      <c r="Y1391" s="418"/>
      <c r="Z1391" s="418"/>
      <c r="AA1391" s="418"/>
      <c r="AB1391" s="418"/>
      <c r="AC1391" s="418"/>
      <c r="AD1391" s="418"/>
      <c r="AE1391" s="418"/>
      <c r="AF1391" s="418"/>
      <c r="AG1391" s="418"/>
      <c r="AH1391" s="418"/>
      <c r="AI1391" s="418"/>
      <c r="AJ1391" s="418"/>
      <c r="AK1391" s="418"/>
      <c r="AL1391" s="418"/>
      <c r="AM1391" s="418"/>
      <c r="AN1391" s="423"/>
      <c r="AO1391" s="423"/>
      <c r="AP1391" s="423"/>
      <c r="AQ1391" s="423"/>
      <c r="AR1391" s="423"/>
      <c r="AS1391" s="423"/>
      <c r="AT1391" s="423"/>
      <c r="AU1391" s="423"/>
      <c r="AV1391" s="423"/>
      <c r="AW1391" s="418"/>
      <c r="AX1391" s="418"/>
      <c r="AY1391" s="418"/>
      <c r="AZ1391" s="418"/>
      <c r="BA1391" s="418"/>
      <c r="BB1391" s="306"/>
    </row>
    <row r="1392" spans="1:54" ht="15.75" customHeight="1">
      <c r="A1392" s="415"/>
      <c r="B1392" s="417"/>
      <c r="C1392" s="417"/>
      <c r="D1392" s="418"/>
      <c r="E1392" s="418"/>
      <c r="F1392" s="419"/>
      <c r="G1392" s="420"/>
      <c r="H1392" s="421"/>
      <c r="I1392" s="421"/>
      <c r="J1392" s="422"/>
      <c r="K1392" s="418"/>
      <c r="L1392" s="418"/>
      <c r="M1392" s="428"/>
      <c r="N1392" s="421"/>
      <c r="O1392" s="421"/>
      <c r="P1392" s="421"/>
      <c r="Q1392" s="418"/>
      <c r="R1392" s="1022"/>
      <c r="S1392" s="1022"/>
      <c r="T1392" s="418"/>
      <c r="U1392" s="418"/>
      <c r="V1392" s="418"/>
      <c r="W1392" s="418"/>
      <c r="X1392" s="418"/>
      <c r="Y1392" s="418"/>
      <c r="Z1392" s="418"/>
      <c r="AA1392" s="418"/>
      <c r="AB1392" s="418"/>
      <c r="AC1392" s="418"/>
      <c r="AD1392" s="418"/>
      <c r="AE1392" s="418"/>
      <c r="AF1392" s="418"/>
      <c r="AG1392" s="418"/>
      <c r="AH1392" s="418"/>
      <c r="AI1392" s="418"/>
      <c r="AJ1392" s="418"/>
      <c r="AK1392" s="418"/>
      <c r="AL1392" s="418"/>
      <c r="AM1392" s="418"/>
      <c r="AN1392" s="423"/>
      <c r="AO1392" s="423"/>
      <c r="AP1392" s="423"/>
      <c r="AQ1392" s="423"/>
      <c r="AR1392" s="423"/>
      <c r="AS1392" s="423"/>
      <c r="AT1392" s="423"/>
      <c r="AU1392" s="423"/>
      <c r="AV1392" s="423"/>
      <c r="AW1392" s="418"/>
      <c r="AX1392" s="418"/>
      <c r="AY1392" s="418"/>
      <c r="AZ1392" s="418"/>
      <c r="BA1392" s="418"/>
      <c r="BB1392" s="306"/>
    </row>
    <row r="1393" spans="1:54" ht="15.75" customHeight="1">
      <c r="A1393" s="415"/>
      <c r="B1393" s="417"/>
      <c r="C1393" s="417"/>
      <c r="D1393" s="418"/>
      <c r="E1393" s="418"/>
      <c r="F1393" s="419"/>
      <c r="G1393" s="420"/>
      <c r="H1393" s="421"/>
      <c r="I1393" s="425"/>
      <c r="J1393" s="422"/>
      <c r="K1393" s="418"/>
      <c r="L1393" s="418"/>
      <c r="M1393" s="428"/>
      <c r="N1393" s="421"/>
      <c r="O1393" s="421"/>
      <c r="P1393" s="421"/>
      <c r="Q1393" s="418"/>
      <c r="R1393" s="1022"/>
      <c r="S1393" s="1022"/>
      <c r="T1393" s="418"/>
      <c r="U1393" s="418"/>
      <c r="V1393" s="418"/>
      <c r="W1393" s="418"/>
      <c r="X1393" s="418"/>
      <c r="Y1393" s="418"/>
      <c r="Z1393" s="418"/>
      <c r="AA1393" s="418"/>
      <c r="AB1393" s="418"/>
      <c r="AC1393" s="418"/>
      <c r="AD1393" s="418"/>
      <c r="AE1393" s="418"/>
      <c r="AF1393" s="418"/>
      <c r="AG1393" s="418"/>
      <c r="AH1393" s="418"/>
      <c r="AI1393" s="418"/>
      <c r="AJ1393" s="418"/>
      <c r="AK1393" s="418"/>
      <c r="AL1393" s="418"/>
      <c r="AM1393" s="418"/>
      <c r="AN1393" s="423"/>
      <c r="AO1393" s="423"/>
      <c r="AP1393" s="423"/>
      <c r="AQ1393" s="423"/>
      <c r="AR1393" s="423"/>
      <c r="AS1393" s="423"/>
      <c r="AT1393" s="423"/>
      <c r="AU1393" s="423"/>
      <c r="AV1393" s="423"/>
      <c r="AW1393" s="418"/>
      <c r="AX1393" s="418"/>
      <c r="AY1393" s="418"/>
      <c r="AZ1393" s="418"/>
      <c r="BA1393" s="418"/>
      <c r="BB1393" s="306"/>
    </row>
    <row r="1394" spans="1:54" ht="15.75" customHeight="1">
      <c r="A1394" s="415"/>
      <c r="B1394" s="417"/>
      <c r="C1394" s="417"/>
      <c r="D1394" s="418"/>
      <c r="E1394" s="418"/>
      <c r="F1394" s="419"/>
      <c r="G1394" s="420"/>
      <c r="H1394" s="421"/>
      <c r="I1394" s="421"/>
      <c r="J1394" s="422"/>
      <c r="K1394" s="418"/>
      <c r="L1394" s="418"/>
      <c r="M1394" s="428"/>
      <c r="N1394" s="421"/>
      <c r="O1394" s="421"/>
      <c r="P1394" s="421"/>
      <c r="Q1394" s="418"/>
      <c r="R1394" s="1022"/>
      <c r="S1394" s="1022"/>
      <c r="T1394" s="418"/>
      <c r="U1394" s="418"/>
      <c r="V1394" s="418"/>
      <c r="W1394" s="418"/>
      <c r="X1394" s="418"/>
      <c r="Y1394" s="418"/>
      <c r="Z1394" s="418"/>
      <c r="AA1394" s="418"/>
      <c r="AB1394" s="418"/>
      <c r="AC1394" s="418"/>
      <c r="AD1394" s="418"/>
      <c r="AE1394" s="418"/>
      <c r="AF1394" s="418"/>
      <c r="AG1394" s="418"/>
      <c r="AH1394" s="418"/>
      <c r="AI1394" s="418"/>
      <c r="AJ1394" s="418"/>
      <c r="AK1394" s="418"/>
      <c r="AL1394" s="418"/>
      <c r="AM1394" s="418"/>
      <c r="AN1394" s="423"/>
      <c r="AO1394" s="423"/>
      <c r="AP1394" s="423"/>
      <c r="AQ1394" s="423"/>
      <c r="AR1394" s="423"/>
      <c r="AS1394" s="423"/>
      <c r="AT1394" s="423"/>
      <c r="AU1394" s="423"/>
      <c r="AV1394" s="423"/>
      <c r="AW1394" s="418"/>
      <c r="AX1394" s="418"/>
      <c r="AY1394" s="418"/>
      <c r="AZ1394" s="418"/>
      <c r="BA1394" s="418"/>
      <c r="BB1394" s="306"/>
    </row>
    <row r="1395" spans="1:54" ht="15.75" customHeight="1">
      <c r="A1395" s="415"/>
      <c r="B1395" s="417"/>
      <c r="C1395" s="417"/>
      <c r="D1395" s="418"/>
      <c r="E1395" s="418"/>
      <c r="F1395" s="419"/>
      <c r="G1395" s="420"/>
      <c r="H1395" s="421"/>
      <c r="I1395" s="425"/>
      <c r="J1395" s="422"/>
      <c r="K1395" s="418"/>
      <c r="L1395" s="418"/>
      <c r="M1395" s="428"/>
      <c r="N1395" s="421"/>
      <c r="O1395" s="421"/>
      <c r="P1395" s="421"/>
      <c r="Q1395" s="418"/>
      <c r="R1395" s="1022"/>
      <c r="S1395" s="1022"/>
      <c r="T1395" s="418"/>
      <c r="U1395" s="418"/>
      <c r="V1395" s="418"/>
      <c r="W1395" s="418"/>
      <c r="X1395" s="418"/>
      <c r="Y1395" s="418"/>
      <c r="Z1395" s="418"/>
      <c r="AA1395" s="418"/>
      <c r="AB1395" s="418"/>
      <c r="AC1395" s="418"/>
      <c r="AD1395" s="418"/>
      <c r="AE1395" s="418"/>
      <c r="AF1395" s="418"/>
      <c r="AG1395" s="418"/>
      <c r="AH1395" s="418"/>
      <c r="AI1395" s="418"/>
      <c r="AJ1395" s="418"/>
      <c r="AK1395" s="418"/>
      <c r="AL1395" s="418"/>
      <c r="AM1395" s="418"/>
      <c r="AN1395" s="423"/>
      <c r="AO1395" s="423"/>
      <c r="AP1395" s="423"/>
      <c r="AQ1395" s="423"/>
      <c r="AR1395" s="423"/>
      <c r="AS1395" s="423"/>
      <c r="AT1395" s="423"/>
      <c r="AU1395" s="423"/>
      <c r="AV1395" s="423"/>
      <c r="AW1395" s="418"/>
      <c r="AX1395" s="418"/>
      <c r="AY1395" s="418"/>
      <c r="AZ1395" s="418"/>
      <c r="BA1395" s="418"/>
      <c r="BB1395" s="306"/>
    </row>
    <row r="1396" spans="1:54" ht="15.75" customHeight="1">
      <c r="A1396" s="415"/>
      <c r="B1396" s="417"/>
      <c r="C1396" s="417"/>
      <c r="D1396" s="418"/>
      <c r="E1396" s="418"/>
      <c r="F1396" s="419"/>
      <c r="G1396" s="420"/>
      <c r="H1396" s="421"/>
      <c r="I1396" s="421"/>
      <c r="J1396" s="422"/>
      <c r="K1396" s="418"/>
      <c r="L1396" s="418"/>
      <c r="M1396" s="428"/>
      <c r="N1396" s="421"/>
      <c r="O1396" s="421"/>
      <c r="P1396" s="421"/>
      <c r="Q1396" s="418"/>
      <c r="R1396" s="1022"/>
      <c r="S1396" s="1022"/>
      <c r="T1396" s="418"/>
      <c r="U1396" s="418"/>
      <c r="V1396" s="418"/>
      <c r="W1396" s="418"/>
      <c r="X1396" s="418"/>
      <c r="Y1396" s="418"/>
      <c r="Z1396" s="418"/>
      <c r="AA1396" s="418"/>
      <c r="AB1396" s="418"/>
      <c r="AC1396" s="418"/>
      <c r="AD1396" s="418"/>
      <c r="AE1396" s="418"/>
      <c r="AF1396" s="418"/>
      <c r="AG1396" s="418"/>
      <c r="AH1396" s="418"/>
      <c r="AI1396" s="418"/>
      <c r="AJ1396" s="418"/>
      <c r="AK1396" s="418"/>
      <c r="AL1396" s="418"/>
      <c r="AM1396" s="418"/>
      <c r="AN1396" s="423"/>
      <c r="AO1396" s="423"/>
      <c r="AP1396" s="423"/>
      <c r="AQ1396" s="423"/>
      <c r="AR1396" s="423"/>
      <c r="AS1396" s="423"/>
      <c r="AT1396" s="423"/>
      <c r="AU1396" s="423"/>
      <c r="AV1396" s="423"/>
      <c r="AW1396" s="418"/>
      <c r="AX1396" s="418"/>
      <c r="AY1396" s="418"/>
      <c r="AZ1396" s="418"/>
      <c r="BA1396" s="418"/>
      <c r="BB1396" s="306"/>
    </row>
    <row r="1397" spans="1:54" ht="15.75" customHeight="1">
      <c r="A1397" s="415"/>
      <c r="B1397" s="417"/>
      <c r="C1397" s="417"/>
      <c r="D1397" s="418"/>
      <c r="E1397" s="418"/>
      <c r="F1397" s="419"/>
      <c r="G1397" s="420"/>
      <c r="H1397" s="421"/>
      <c r="I1397" s="425"/>
      <c r="J1397" s="422"/>
      <c r="K1397" s="418"/>
      <c r="L1397" s="418"/>
      <c r="M1397" s="428"/>
      <c r="N1397" s="421"/>
      <c r="O1397" s="421"/>
      <c r="P1397" s="421"/>
      <c r="Q1397" s="418"/>
      <c r="R1397" s="1022"/>
      <c r="S1397" s="1022"/>
      <c r="T1397" s="418"/>
      <c r="U1397" s="418"/>
      <c r="V1397" s="418"/>
      <c r="W1397" s="418"/>
      <c r="X1397" s="418"/>
      <c r="Y1397" s="418"/>
      <c r="Z1397" s="418"/>
      <c r="AA1397" s="418"/>
      <c r="AB1397" s="418"/>
      <c r="AC1397" s="418"/>
      <c r="AD1397" s="418"/>
      <c r="AE1397" s="418"/>
      <c r="AF1397" s="418"/>
      <c r="AG1397" s="418"/>
      <c r="AH1397" s="418"/>
      <c r="AI1397" s="418"/>
      <c r="AJ1397" s="418"/>
      <c r="AK1397" s="418"/>
      <c r="AL1397" s="418"/>
      <c r="AM1397" s="418"/>
      <c r="AN1397" s="423"/>
      <c r="AO1397" s="423"/>
      <c r="AP1397" s="423"/>
      <c r="AQ1397" s="423"/>
      <c r="AR1397" s="423"/>
      <c r="AS1397" s="423"/>
      <c r="AT1397" s="423"/>
      <c r="AU1397" s="423"/>
      <c r="AV1397" s="423"/>
      <c r="AW1397" s="418"/>
      <c r="AX1397" s="418"/>
      <c r="AY1397" s="418"/>
      <c r="AZ1397" s="418"/>
      <c r="BA1397" s="418"/>
      <c r="BB1397" s="306"/>
    </row>
    <row r="1398" spans="1:54" ht="15.75" customHeight="1">
      <c r="A1398" s="415"/>
      <c r="B1398" s="417"/>
      <c r="C1398" s="417"/>
      <c r="D1398" s="418"/>
      <c r="E1398" s="418"/>
      <c r="F1398" s="419"/>
      <c r="G1398" s="420"/>
      <c r="H1398" s="421"/>
      <c r="I1398" s="421"/>
      <c r="J1398" s="422"/>
      <c r="K1398" s="418"/>
      <c r="L1398" s="418"/>
      <c r="M1398" s="428"/>
      <c r="N1398" s="421"/>
      <c r="O1398" s="421"/>
      <c r="P1398" s="421"/>
      <c r="Q1398" s="418"/>
      <c r="R1398" s="1022"/>
      <c r="S1398" s="1022"/>
      <c r="T1398" s="418"/>
      <c r="U1398" s="418"/>
      <c r="V1398" s="418"/>
      <c r="W1398" s="418"/>
      <c r="X1398" s="418"/>
      <c r="Y1398" s="418"/>
      <c r="Z1398" s="418"/>
      <c r="AA1398" s="418"/>
      <c r="AB1398" s="418"/>
      <c r="AC1398" s="418"/>
      <c r="AD1398" s="418"/>
      <c r="AE1398" s="418"/>
      <c r="AF1398" s="418"/>
      <c r="AG1398" s="418"/>
      <c r="AH1398" s="418"/>
      <c r="AI1398" s="418"/>
      <c r="AJ1398" s="418"/>
      <c r="AK1398" s="418"/>
      <c r="AL1398" s="418"/>
      <c r="AM1398" s="418"/>
      <c r="AN1398" s="423"/>
      <c r="AO1398" s="423"/>
      <c r="AP1398" s="423"/>
      <c r="AQ1398" s="423"/>
      <c r="AR1398" s="423"/>
      <c r="AS1398" s="423"/>
      <c r="AT1398" s="423"/>
      <c r="AU1398" s="423"/>
      <c r="AV1398" s="423"/>
      <c r="AW1398" s="418"/>
      <c r="AX1398" s="418"/>
      <c r="AY1398" s="418"/>
      <c r="AZ1398" s="418"/>
      <c r="BA1398" s="418"/>
      <c r="BB1398" s="306"/>
    </row>
    <row r="1399" spans="1:54" ht="15.75" customHeight="1">
      <c r="A1399" s="415"/>
      <c r="B1399" s="417"/>
      <c r="C1399" s="417"/>
      <c r="D1399" s="418"/>
      <c r="E1399" s="418"/>
      <c r="F1399" s="419"/>
      <c r="G1399" s="420"/>
      <c r="H1399" s="421"/>
      <c r="I1399" s="425"/>
      <c r="J1399" s="422"/>
      <c r="K1399" s="418"/>
      <c r="L1399" s="418"/>
      <c r="M1399" s="428"/>
      <c r="N1399" s="421"/>
      <c r="O1399" s="421"/>
      <c r="P1399" s="421"/>
      <c r="Q1399" s="418"/>
      <c r="R1399" s="1022"/>
      <c r="S1399" s="1022"/>
      <c r="T1399" s="418"/>
      <c r="U1399" s="418"/>
      <c r="V1399" s="418"/>
      <c r="W1399" s="418"/>
      <c r="X1399" s="418"/>
      <c r="Y1399" s="418"/>
      <c r="Z1399" s="418"/>
      <c r="AA1399" s="418"/>
      <c r="AB1399" s="418"/>
      <c r="AC1399" s="418"/>
      <c r="AD1399" s="418"/>
      <c r="AE1399" s="418"/>
      <c r="AF1399" s="418"/>
      <c r="AG1399" s="418"/>
      <c r="AH1399" s="418"/>
      <c r="AI1399" s="418"/>
      <c r="AJ1399" s="418"/>
      <c r="AK1399" s="418"/>
      <c r="AL1399" s="418"/>
      <c r="AM1399" s="418"/>
      <c r="AN1399" s="423"/>
      <c r="AO1399" s="423"/>
      <c r="AP1399" s="423"/>
      <c r="AQ1399" s="423"/>
      <c r="AR1399" s="423"/>
      <c r="AS1399" s="423"/>
      <c r="AT1399" s="423"/>
      <c r="AU1399" s="423"/>
      <c r="AV1399" s="423"/>
      <c r="AW1399" s="418"/>
      <c r="AX1399" s="418"/>
      <c r="AY1399" s="418"/>
      <c r="AZ1399" s="418"/>
      <c r="BA1399" s="418"/>
      <c r="BB1399" s="306"/>
    </row>
    <row r="1400" spans="1:54" ht="15.75" customHeight="1">
      <c r="A1400" s="415"/>
      <c r="B1400" s="417"/>
      <c r="C1400" s="417"/>
      <c r="D1400" s="418"/>
      <c r="E1400" s="418"/>
      <c r="F1400" s="419"/>
      <c r="G1400" s="420"/>
      <c r="H1400" s="421"/>
      <c r="I1400" s="421"/>
      <c r="J1400" s="422"/>
      <c r="K1400" s="418"/>
      <c r="L1400" s="418"/>
      <c r="M1400" s="428"/>
      <c r="N1400" s="421"/>
      <c r="O1400" s="421"/>
      <c r="P1400" s="421"/>
      <c r="Q1400" s="418"/>
      <c r="R1400" s="1022"/>
      <c r="S1400" s="1022"/>
      <c r="T1400" s="418"/>
      <c r="U1400" s="418"/>
      <c r="V1400" s="418"/>
      <c r="W1400" s="418"/>
      <c r="X1400" s="418"/>
      <c r="Y1400" s="418"/>
      <c r="Z1400" s="418"/>
      <c r="AA1400" s="418"/>
      <c r="AB1400" s="418"/>
      <c r="AC1400" s="418"/>
      <c r="AD1400" s="418"/>
      <c r="AE1400" s="418"/>
      <c r="AF1400" s="418"/>
      <c r="AG1400" s="418"/>
      <c r="AH1400" s="418"/>
      <c r="AI1400" s="418"/>
      <c r="AJ1400" s="418"/>
      <c r="AK1400" s="418"/>
      <c r="AL1400" s="418"/>
      <c r="AM1400" s="418"/>
      <c r="AN1400" s="423"/>
      <c r="AO1400" s="423"/>
      <c r="AP1400" s="423"/>
      <c r="AQ1400" s="423"/>
      <c r="AR1400" s="423"/>
      <c r="AS1400" s="423"/>
      <c r="AT1400" s="423"/>
      <c r="AU1400" s="423"/>
      <c r="AV1400" s="423"/>
      <c r="AW1400" s="418"/>
      <c r="AX1400" s="418"/>
      <c r="AY1400" s="418"/>
      <c r="AZ1400" s="418"/>
      <c r="BA1400" s="418"/>
      <c r="BB1400" s="306"/>
    </row>
    <row r="1401" spans="1:54" ht="15.75" customHeight="1">
      <c r="A1401" s="415"/>
      <c r="B1401" s="417"/>
      <c r="C1401" s="417"/>
      <c r="D1401" s="418"/>
      <c r="E1401" s="418"/>
      <c r="F1401" s="419"/>
      <c r="G1401" s="420"/>
      <c r="H1401" s="421"/>
      <c r="I1401" s="421"/>
      <c r="J1401" s="422"/>
      <c r="K1401" s="418"/>
      <c r="L1401" s="418"/>
      <c r="M1401" s="428"/>
      <c r="N1401" s="421"/>
      <c r="O1401" s="421"/>
      <c r="P1401" s="421"/>
      <c r="Q1401" s="418"/>
      <c r="R1401" s="1022"/>
      <c r="S1401" s="1022"/>
      <c r="T1401" s="418"/>
      <c r="U1401" s="418"/>
      <c r="V1401" s="418"/>
      <c r="W1401" s="418"/>
      <c r="X1401" s="418"/>
      <c r="Y1401" s="418"/>
      <c r="Z1401" s="418"/>
      <c r="AA1401" s="418"/>
      <c r="AB1401" s="418"/>
      <c r="AC1401" s="418"/>
      <c r="AD1401" s="418"/>
      <c r="AE1401" s="418"/>
      <c r="AF1401" s="418"/>
      <c r="AG1401" s="418"/>
      <c r="AH1401" s="418"/>
      <c r="AI1401" s="418"/>
      <c r="AJ1401" s="418"/>
      <c r="AK1401" s="418"/>
      <c r="AL1401" s="418"/>
      <c r="AM1401" s="418"/>
      <c r="AN1401" s="423"/>
      <c r="AO1401" s="423"/>
      <c r="AP1401" s="423"/>
      <c r="AQ1401" s="423"/>
      <c r="AR1401" s="423"/>
      <c r="AS1401" s="423"/>
      <c r="AT1401" s="423"/>
      <c r="AU1401" s="423"/>
      <c r="AV1401" s="423"/>
      <c r="AW1401" s="418"/>
      <c r="AX1401" s="418"/>
      <c r="AY1401" s="418"/>
      <c r="AZ1401" s="418"/>
      <c r="BA1401" s="418"/>
      <c r="BB1401" s="306"/>
    </row>
    <row r="1402" spans="1:54" ht="15.75" customHeight="1">
      <c r="A1402" s="415"/>
      <c r="B1402" s="417"/>
      <c r="C1402" s="417"/>
      <c r="D1402" s="418"/>
      <c r="E1402" s="418"/>
      <c r="F1402" s="419"/>
      <c r="G1402" s="420"/>
      <c r="H1402" s="421"/>
      <c r="I1402" s="421"/>
      <c r="J1402" s="422"/>
      <c r="K1402" s="418"/>
      <c r="L1402" s="418"/>
      <c r="M1402" s="428"/>
      <c r="N1402" s="421"/>
      <c r="O1402" s="421"/>
      <c r="P1402" s="421"/>
      <c r="Q1402" s="418"/>
      <c r="R1402" s="1022"/>
      <c r="S1402" s="1022"/>
      <c r="T1402" s="418"/>
      <c r="U1402" s="418"/>
      <c r="V1402" s="418"/>
      <c r="W1402" s="418"/>
      <c r="X1402" s="418"/>
      <c r="Y1402" s="418"/>
      <c r="Z1402" s="418"/>
      <c r="AA1402" s="418"/>
      <c r="AB1402" s="418"/>
      <c r="AC1402" s="418"/>
      <c r="AD1402" s="418"/>
      <c r="AE1402" s="418"/>
      <c r="AF1402" s="418"/>
      <c r="AG1402" s="418"/>
      <c r="AH1402" s="418"/>
      <c r="AI1402" s="418"/>
      <c r="AJ1402" s="418"/>
      <c r="AK1402" s="418"/>
      <c r="AL1402" s="418"/>
      <c r="AM1402" s="418"/>
      <c r="AN1402" s="423"/>
      <c r="AO1402" s="423"/>
      <c r="AP1402" s="423"/>
      <c r="AQ1402" s="423"/>
      <c r="AR1402" s="423"/>
      <c r="AS1402" s="423"/>
      <c r="AT1402" s="423"/>
      <c r="AU1402" s="423"/>
      <c r="AV1402" s="423"/>
      <c r="AW1402" s="418"/>
      <c r="AX1402" s="418"/>
      <c r="AY1402" s="418"/>
      <c r="AZ1402" s="418"/>
      <c r="BA1402" s="418"/>
      <c r="BB1402" s="306"/>
    </row>
    <row r="1403" spans="1:54" ht="15.75" customHeight="1">
      <c r="A1403" s="415"/>
      <c r="B1403" s="417"/>
      <c r="C1403" s="417"/>
      <c r="D1403" s="418"/>
      <c r="E1403" s="418"/>
      <c r="F1403" s="419"/>
      <c r="G1403" s="420"/>
      <c r="H1403" s="421"/>
      <c r="I1403" s="421"/>
      <c r="J1403" s="422"/>
      <c r="K1403" s="418"/>
      <c r="L1403" s="418"/>
      <c r="M1403" s="428"/>
      <c r="N1403" s="421"/>
      <c r="O1403" s="421"/>
      <c r="P1403" s="421"/>
      <c r="Q1403" s="418"/>
      <c r="R1403" s="1022"/>
      <c r="S1403" s="1022"/>
      <c r="T1403" s="418"/>
      <c r="U1403" s="418"/>
      <c r="V1403" s="418"/>
      <c r="W1403" s="418"/>
      <c r="X1403" s="418"/>
      <c r="Y1403" s="418"/>
      <c r="Z1403" s="418"/>
      <c r="AA1403" s="418"/>
      <c r="AB1403" s="418"/>
      <c r="AC1403" s="418"/>
      <c r="AD1403" s="418"/>
      <c r="AE1403" s="418"/>
      <c r="AF1403" s="418"/>
      <c r="AG1403" s="418"/>
      <c r="AH1403" s="418"/>
      <c r="AI1403" s="418"/>
      <c r="AJ1403" s="418"/>
      <c r="AK1403" s="418"/>
      <c r="AL1403" s="418"/>
      <c r="AM1403" s="418"/>
      <c r="AN1403" s="423"/>
      <c r="AO1403" s="423"/>
      <c r="AP1403" s="423"/>
      <c r="AQ1403" s="423"/>
      <c r="AR1403" s="423"/>
      <c r="AS1403" s="423"/>
      <c r="AT1403" s="423"/>
      <c r="AU1403" s="423"/>
      <c r="AV1403" s="423"/>
      <c r="AW1403" s="418"/>
      <c r="AX1403" s="418"/>
      <c r="AY1403" s="418"/>
      <c r="AZ1403" s="418"/>
      <c r="BA1403" s="418"/>
      <c r="BB1403" s="306"/>
    </row>
    <row r="1404" spans="1:54" ht="15.75" customHeight="1">
      <c r="A1404" s="415"/>
      <c r="B1404" s="417"/>
      <c r="C1404" s="417"/>
      <c r="D1404" s="418"/>
      <c r="E1404" s="418"/>
      <c r="F1404" s="419"/>
      <c r="G1404" s="420"/>
      <c r="H1404" s="421"/>
      <c r="I1404" s="421"/>
      <c r="J1404" s="422"/>
      <c r="K1404" s="418"/>
      <c r="L1404" s="418"/>
      <c r="M1404" s="428"/>
      <c r="N1404" s="421"/>
      <c r="O1404" s="421"/>
      <c r="P1404" s="421"/>
      <c r="Q1404" s="418"/>
      <c r="R1404" s="1022"/>
      <c r="S1404" s="1022"/>
      <c r="T1404" s="418"/>
      <c r="U1404" s="418"/>
      <c r="V1404" s="418"/>
      <c r="W1404" s="418"/>
      <c r="X1404" s="418"/>
      <c r="Y1404" s="418"/>
      <c r="Z1404" s="418"/>
      <c r="AA1404" s="418"/>
      <c r="AB1404" s="418"/>
      <c r="AC1404" s="418"/>
      <c r="AD1404" s="418"/>
      <c r="AE1404" s="418"/>
      <c r="AF1404" s="418"/>
      <c r="AG1404" s="418"/>
      <c r="AH1404" s="418"/>
      <c r="AI1404" s="418"/>
      <c r="AJ1404" s="418"/>
      <c r="AK1404" s="418"/>
      <c r="AL1404" s="418"/>
      <c r="AM1404" s="418"/>
      <c r="AN1404" s="423"/>
      <c r="AO1404" s="423"/>
      <c r="AP1404" s="423"/>
      <c r="AQ1404" s="423"/>
      <c r="AR1404" s="423"/>
      <c r="AS1404" s="423"/>
      <c r="AT1404" s="423"/>
      <c r="AU1404" s="423"/>
      <c r="AV1404" s="423"/>
      <c r="AW1404" s="418"/>
      <c r="AX1404" s="418"/>
      <c r="AY1404" s="418"/>
      <c r="AZ1404" s="418"/>
      <c r="BA1404" s="418"/>
      <c r="BB1404" s="306"/>
    </row>
    <row r="1405" spans="1:54" ht="15.75" customHeight="1">
      <c r="A1405" s="415"/>
      <c r="B1405" s="417"/>
      <c r="C1405" s="417"/>
      <c r="D1405" s="418"/>
      <c r="E1405" s="418"/>
      <c r="F1405" s="419"/>
      <c r="G1405" s="420"/>
      <c r="H1405" s="421"/>
      <c r="I1405" s="421"/>
      <c r="J1405" s="422"/>
      <c r="K1405" s="418"/>
      <c r="L1405" s="418"/>
      <c r="M1405" s="428"/>
      <c r="N1405" s="421"/>
      <c r="O1405" s="421"/>
      <c r="P1405" s="421"/>
      <c r="Q1405" s="418"/>
      <c r="R1405" s="1022"/>
      <c r="S1405" s="1022"/>
      <c r="T1405" s="418"/>
      <c r="U1405" s="418"/>
      <c r="V1405" s="418"/>
      <c r="W1405" s="418"/>
      <c r="X1405" s="418"/>
      <c r="Y1405" s="418"/>
      <c r="Z1405" s="418"/>
      <c r="AA1405" s="418"/>
      <c r="AB1405" s="418"/>
      <c r="AC1405" s="418"/>
      <c r="AD1405" s="418"/>
      <c r="AE1405" s="418"/>
      <c r="AF1405" s="418"/>
      <c r="AG1405" s="418"/>
      <c r="AH1405" s="418"/>
      <c r="AI1405" s="418"/>
      <c r="AJ1405" s="418"/>
      <c r="AK1405" s="418"/>
      <c r="AL1405" s="418"/>
      <c r="AM1405" s="418"/>
      <c r="AN1405" s="423"/>
      <c r="AO1405" s="423"/>
      <c r="AP1405" s="423"/>
      <c r="AQ1405" s="423"/>
      <c r="AR1405" s="423"/>
      <c r="AS1405" s="423"/>
      <c r="AT1405" s="423"/>
      <c r="AU1405" s="423"/>
      <c r="AV1405" s="423"/>
      <c r="AW1405" s="418"/>
      <c r="AX1405" s="418"/>
      <c r="AY1405" s="418"/>
      <c r="AZ1405" s="418"/>
      <c r="BA1405" s="418"/>
      <c r="BB1405" s="306"/>
    </row>
    <row r="1406" spans="1:54" ht="15.75" customHeight="1">
      <c r="A1406" s="415"/>
      <c r="B1406" s="417"/>
      <c r="C1406" s="417"/>
      <c r="D1406" s="418"/>
      <c r="E1406" s="418"/>
      <c r="F1406" s="419"/>
      <c r="G1406" s="420"/>
      <c r="H1406" s="421"/>
      <c r="I1406" s="421"/>
      <c r="J1406" s="422"/>
      <c r="K1406" s="418"/>
      <c r="L1406" s="418"/>
      <c r="M1406" s="428"/>
      <c r="N1406" s="421"/>
      <c r="O1406" s="421"/>
      <c r="P1406" s="421"/>
      <c r="Q1406" s="418"/>
      <c r="R1406" s="1022"/>
      <c r="S1406" s="1022"/>
      <c r="T1406" s="418"/>
      <c r="U1406" s="418"/>
      <c r="V1406" s="418"/>
      <c r="W1406" s="418"/>
      <c r="X1406" s="418"/>
      <c r="Y1406" s="418"/>
      <c r="Z1406" s="418"/>
      <c r="AA1406" s="418"/>
      <c r="AB1406" s="418"/>
      <c r="AC1406" s="418"/>
      <c r="AD1406" s="418"/>
      <c r="AE1406" s="418"/>
      <c r="AF1406" s="418"/>
      <c r="AG1406" s="418"/>
      <c r="AH1406" s="418"/>
      <c r="AI1406" s="418"/>
      <c r="AJ1406" s="418"/>
      <c r="AK1406" s="418"/>
      <c r="AL1406" s="418"/>
      <c r="AM1406" s="418"/>
      <c r="AN1406" s="423"/>
      <c r="AO1406" s="423"/>
      <c r="AP1406" s="423"/>
      <c r="AQ1406" s="423"/>
      <c r="AR1406" s="423"/>
      <c r="AS1406" s="423"/>
      <c r="AT1406" s="423"/>
      <c r="AU1406" s="423"/>
      <c r="AV1406" s="423"/>
      <c r="AW1406" s="418"/>
      <c r="AX1406" s="418"/>
      <c r="AY1406" s="418"/>
      <c r="AZ1406" s="418"/>
      <c r="BA1406" s="418"/>
      <c r="BB1406" s="306"/>
    </row>
    <row r="1407" spans="1:54" ht="15.75" customHeight="1">
      <c r="A1407" s="415"/>
      <c r="B1407" s="417"/>
      <c r="C1407" s="417"/>
      <c r="D1407" s="418"/>
      <c r="E1407" s="418"/>
      <c r="F1407" s="419"/>
      <c r="G1407" s="420"/>
      <c r="H1407" s="421"/>
      <c r="I1407" s="421"/>
      <c r="J1407" s="422"/>
      <c r="K1407" s="418"/>
      <c r="L1407" s="418"/>
      <c r="M1407" s="428"/>
      <c r="N1407" s="421"/>
      <c r="O1407" s="421"/>
      <c r="P1407" s="421"/>
      <c r="Q1407" s="418"/>
      <c r="R1407" s="1022"/>
      <c r="S1407" s="1022"/>
      <c r="T1407" s="418"/>
      <c r="U1407" s="418"/>
      <c r="V1407" s="418"/>
      <c r="W1407" s="418"/>
      <c r="X1407" s="418"/>
      <c r="Y1407" s="418"/>
      <c r="Z1407" s="418"/>
      <c r="AA1407" s="418"/>
      <c r="AB1407" s="418"/>
      <c r="AC1407" s="418"/>
      <c r="AD1407" s="418"/>
      <c r="AE1407" s="418"/>
      <c r="AF1407" s="418"/>
      <c r="AG1407" s="418"/>
      <c r="AH1407" s="418"/>
      <c r="AI1407" s="418"/>
      <c r="AJ1407" s="418"/>
      <c r="AK1407" s="418"/>
      <c r="AL1407" s="418"/>
      <c r="AM1407" s="418"/>
      <c r="AN1407" s="423"/>
      <c r="AO1407" s="423"/>
      <c r="AP1407" s="423"/>
      <c r="AQ1407" s="423"/>
      <c r="AR1407" s="423"/>
      <c r="AS1407" s="423"/>
      <c r="AT1407" s="423"/>
      <c r="AU1407" s="423"/>
      <c r="AV1407" s="423"/>
      <c r="AW1407" s="418"/>
      <c r="AX1407" s="418"/>
      <c r="AY1407" s="418"/>
      <c r="AZ1407" s="418"/>
      <c r="BA1407" s="418"/>
      <c r="BB1407" s="306"/>
    </row>
    <row r="1408" spans="1:54" ht="15.75" customHeight="1">
      <c r="A1408" s="415"/>
      <c r="B1408" s="417"/>
      <c r="C1408" s="417"/>
      <c r="D1408" s="418"/>
      <c r="E1408" s="418"/>
      <c r="F1408" s="419"/>
      <c r="G1408" s="420"/>
      <c r="H1408" s="421"/>
      <c r="I1408" s="421"/>
      <c r="J1408" s="422"/>
      <c r="K1408" s="418"/>
      <c r="L1408" s="418"/>
      <c r="M1408" s="428"/>
      <c r="N1408" s="421"/>
      <c r="O1408" s="421"/>
      <c r="P1408" s="421"/>
      <c r="Q1408" s="418"/>
      <c r="R1408" s="1022"/>
      <c r="S1408" s="1022"/>
      <c r="T1408" s="418"/>
      <c r="U1408" s="418"/>
      <c r="V1408" s="418"/>
      <c r="W1408" s="418"/>
      <c r="X1408" s="418"/>
      <c r="Y1408" s="418"/>
      <c r="Z1408" s="418"/>
      <c r="AA1408" s="418"/>
      <c r="AB1408" s="418"/>
      <c r="AC1408" s="418"/>
      <c r="AD1408" s="418"/>
      <c r="AE1408" s="418"/>
      <c r="AF1408" s="418"/>
      <c r="AG1408" s="418"/>
      <c r="AH1408" s="418"/>
      <c r="AI1408" s="418"/>
      <c r="AJ1408" s="418"/>
      <c r="AK1408" s="418"/>
      <c r="AL1408" s="418"/>
      <c r="AM1408" s="418"/>
      <c r="AN1408" s="423"/>
      <c r="AO1408" s="423"/>
      <c r="AP1408" s="423"/>
      <c r="AQ1408" s="423"/>
      <c r="AR1408" s="423"/>
      <c r="AS1408" s="423"/>
      <c r="AT1408" s="423"/>
      <c r="AU1408" s="423"/>
      <c r="AV1408" s="423"/>
      <c r="AW1408" s="418"/>
      <c r="AX1408" s="418"/>
      <c r="AY1408" s="418"/>
      <c r="AZ1408" s="418"/>
      <c r="BA1408" s="418"/>
      <c r="BB1408" s="306"/>
    </row>
    <row r="1409" spans="1:54" ht="15.75" customHeight="1">
      <c r="A1409" s="415"/>
      <c r="B1409" s="417"/>
      <c r="C1409" s="417"/>
      <c r="D1409" s="418"/>
      <c r="E1409" s="418"/>
      <c r="F1409" s="419"/>
      <c r="G1409" s="420"/>
      <c r="H1409" s="421"/>
      <c r="I1409" s="421"/>
      <c r="J1409" s="422"/>
      <c r="K1409" s="418"/>
      <c r="L1409" s="418"/>
      <c r="M1409" s="428"/>
      <c r="N1409" s="421"/>
      <c r="O1409" s="421"/>
      <c r="P1409" s="421"/>
      <c r="Q1409" s="418"/>
      <c r="R1409" s="1022"/>
      <c r="S1409" s="1022"/>
      <c r="T1409" s="418"/>
      <c r="U1409" s="418"/>
      <c r="V1409" s="418"/>
      <c r="W1409" s="418"/>
      <c r="X1409" s="418"/>
      <c r="Y1409" s="418"/>
      <c r="Z1409" s="418"/>
      <c r="AA1409" s="418"/>
      <c r="AB1409" s="418"/>
      <c r="AC1409" s="418"/>
      <c r="AD1409" s="418"/>
      <c r="AE1409" s="418"/>
      <c r="AF1409" s="418"/>
      <c r="AG1409" s="418"/>
      <c r="AH1409" s="418"/>
      <c r="AI1409" s="418"/>
      <c r="AJ1409" s="418"/>
      <c r="AK1409" s="418"/>
      <c r="AL1409" s="418"/>
      <c r="AM1409" s="418"/>
      <c r="AN1409" s="423"/>
      <c r="AO1409" s="423"/>
      <c r="AP1409" s="423"/>
      <c r="AQ1409" s="423"/>
      <c r="AR1409" s="423"/>
      <c r="AS1409" s="423"/>
      <c r="AT1409" s="423"/>
      <c r="AU1409" s="423"/>
      <c r="AV1409" s="423"/>
      <c r="AW1409" s="418"/>
      <c r="AX1409" s="418"/>
      <c r="AY1409" s="418"/>
      <c r="AZ1409" s="418"/>
      <c r="BA1409" s="418"/>
      <c r="BB1409" s="306"/>
    </row>
    <row r="1410" spans="1:54" ht="15.75" customHeight="1">
      <c r="A1410" s="415"/>
      <c r="B1410" s="417"/>
      <c r="C1410" s="417"/>
      <c r="D1410" s="418"/>
      <c r="E1410" s="418"/>
      <c r="F1410" s="419"/>
      <c r="G1410" s="420"/>
      <c r="H1410" s="421"/>
      <c r="I1410" s="421"/>
      <c r="J1410" s="422"/>
      <c r="K1410" s="418"/>
      <c r="L1410" s="418"/>
      <c r="M1410" s="428"/>
      <c r="N1410" s="421"/>
      <c r="O1410" s="421"/>
      <c r="P1410" s="421"/>
      <c r="Q1410" s="418"/>
      <c r="R1410" s="1022"/>
      <c r="S1410" s="1022"/>
      <c r="T1410" s="418"/>
      <c r="U1410" s="418"/>
      <c r="V1410" s="418"/>
      <c r="W1410" s="418"/>
      <c r="X1410" s="418"/>
      <c r="Y1410" s="418"/>
      <c r="Z1410" s="418"/>
      <c r="AA1410" s="418"/>
      <c r="AB1410" s="418"/>
      <c r="AC1410" s="418"/>
      <c r="AD1410" s="418"/>
      <c r="AE1410" s="418"/>
      <c r="AF1410" s="418"/>
      <c r="AG1410" s="418"/>
      <c r="AH1410" s="418"/>
      <c r="AI1410" s="418"/>
      <c r="AJ1410" s="418"/>
      <c r="AK1410" s="418"/>
      <c r="AL1410" s="418"/>
      <c r="AM1410" s="418"/>
      <c r="AN1410" s="423"/>
      <c r="AO1410" s="423"/>
      <c r="AP1410" s="423"/>
      <c r="AQ1410" s="423"/>
      <c r="AR1410" s="423"/>
      <c r="AS1410" s="423"/>
      <c r="AT1410" s="423"/>
      <c r="AU1410" s="423"/>
      <c r="AV1410" s="423"/>
      <c r="AW1410" s="418"/>
      <c r="AX1410" s="418"/>
      <c r="AY1410" s="418"/>
      <c r="AZ1410" s="418"/>
      <c r="BA1410" s="418"/>
      <c r="BB1410" s="306"/>
    </row>
    <row r="1411" spans="1:54" ht="15.75" customHeight="1">
      <c r="A1411" s="415"/>
      <c r="B1411" s="417"/>
      <c r="C1411" s="417"/>
      <c r="D1411" s="418"/>
      <c r="E1411" s="418"/>
      <c r="F1411" s="419"/>
      <c r="G1411" s="420"/>
      <c r="H1411" s="421"/>
      <c r="I1411" s="421"/>
      <c r="J1411" s="422"/>
      <c r="K1411" s="418"/>
      <c r="L1411" s="418"/>
      <c r="M1411" s="428"/>
      <c r="N1411" s="421"/>
      <c r="O1411" s="421"/>
      <c r="P1411" s="421"/>
      <c r="Q1411" s="418"/>
      <c r="R1411" s="1022"/>
      <c r="S1411" s="1022"/>
      <c r="T1411" s="418"/>
      <c r="U1411" s="418"/>
      <c r="V1411" s="418"/>
      <c r="W1411" s="418"/>
      <c r="X1411" s="418"/>
      <c r="Y1411" s="418"/>
      <c r="Z1411" s="418"/>
      <c r="AA1411" s="418"/>
      <c r="AB1411" s="418"/>
      <c r="AC1411" s="418"/>
      <c r="AD1411" s="418"/>
      <c r="AE1411" s="418"/>
      <c r="AF1411" s="418"/>
      <c r="AG1411" s="418"/>
      <c r="AH1411" s="418"/>
      <c r="AI1411" s="418"/>
      <c r="AJ1411" s="418"/>
      <c r="AK1411" s="418"/>
      <c r="AL1411" s="418"/>
      <c r="AM1411" s="418"/>
      <c r="AN1411" s="423"/>
      <c r="AO1411" s="423"/>
      <c r="AP1411" s="423"/>
      <c r="AQ1411" s="423"/>
      <c r="AR1411" s="423"/>
      <c r="AS1411" s="423"/>
      <c r="AT1411" s="423"/>
      <c r="AU1411" s="423"/>
      <c r="AV1411" s="423"/>
      <c r="AW1411" s="418"/>
      <c r="AX1411" s="418"/>
      <c r="AY1411" s="418"/>
      <c r="AZ1411" s="418"/>
      <c r="BA1411" s="418"/>
      <c r="BB1411" s="306"/>
    </row>
    <row r="1412" spans="1:54" ht="15.75" customHeight="1">
      <c r="A1412" s="415"/>
      <c r="B1412" s="417"/>
      <c r="C1412" s="417"/>
      <c r="D1412" s="418"/>
      <c r="E1412" s="418"/>
      <c r="F1412" s="419"/>
      <c r="G1412" s="420"/>
      <c r="H1412" s="421"/>
      <c r="I1412" s="425"/>
      <c r="J1412" s="422"/>
      <c r="K1412" s="418"/>
      <c r="L1412" s="418"/>
      <c r="M1412" s="428"/>
      <c r="N1412" s="421"/>
      <c r="O1412" s="421"/>
      <c r="P1412" s="421"/>
      <c r="Q1412" s="418"/>
      <c r="R1412" s="1022"/>
      <c r="S1412" s="1022"/>
      <c r="T1412" s="418"/>
      <c r="U1412" s="418"/>
      <c r="V1412" s="418"/>
      <c r="W1412" s="418"/>
      <c r="X1412" s="418"/>
      <c r="Y1412" s="418"/>
      <c r="Z1412" s="418"/>
      <c r="AA1412" s="418"/>
      <c r="AB1412" s="418"/>
      <c r="AC1412" s="418"/>
      <c r="AD1412" s="418"/>
      <c r="AE1412" s="418"/>
      <c r="AF1412" s="418"/>
      <c r="AG1412" s="418"/>
      <c r="AH1412" s="418"/>
      <c r="AI1412" s="418"/>
      <c r="AJ1412" s="418"/>
      <c r="AK1412" s="418"/>
      <c r="AL1412" s="418"/>
      <c r="AM1412" s="418"/>
      <c r="AN1412" s="423"/>
      <c r="AO1412" s="423"/>
      <c r="AP1412" s="423"/>
      <c r="AQ1412" s="423"/>
      <c r="AR1412" s="423"/>
      <c r="AS1412" s="423"/>
      <c r="AT1412" s="423"/>
      <c r="AU1412" s="423"/>
      <c r="AV1412" s="423"/>
      <c r="AW1412" s="418"/>
      <c r="AX1412" s="418"/>
      <c r="AY1412" s="418"/>
      <c r="AZ1412" s="418"/>
      <c r="BA1412" s="418"/>
      <c r="BB1412" s="306"/>
    </row>
    <row r="1413" spans="1:54" ht="15.75" customHeight="1">
      <c r="A1413" s="415"/>
      <c r="B1413" s="417"/>
      <c r="C1413" s="417"/>
      <c r="D1413" s="418"/>
      <c r="E1413" s="418"/>
      <c r="F1413" s="419"/>
      <c r="G1413" s="420"/>
      <c r="H1413" s="421"/>
      <c r="I1413" s="425"/>
      <c r="J1413" s="422"/>
      <c r="K1413" s="418"/>
      <c r="L1413" s="418"/>
      <c r="M1413" s="428"/>
      <c r="N1413" s="421"/>
      <c r="O1413" s="421"/>
      <c r="P1413" s="421"/>
      <c r="Q1413" s="418"/>
      <c r="R1413" s="1022"/>
      <c r="S1413" s="1022"/>
      <c r="T1413" s="418"/>
      <c r="U1413" s="418"/>
      <c r="V1413" s="418"/>
      <c r="W1413" s="418"/>
      <c r="X1413" s="418"/>
      <c r="Y1413" s="418"/>
      <c r="Z1413" s="418"/>
      <c r="AA1413" s="418"/>
      <c r="AB1413" s="418"/>
      <c r="AC1413" s="418"/>
      <c r="AD1413" s="418"/>
      <c r="AE1413" s="418"/>
      <c r="AF1413" s="418"/>
      <c r="AG1413" s="418"/>
      <c r="AH1413" s="418"/>
      <c r="AI1413" s="418"/>
      <c r="AJ1413" s="418"/>
      <c r="AK1413" s="418"/>
      <c r="AL1413" s="418"/>
      <c r="AM1413" s="418"/>
      <c r="AN1413" s="423"/>
      <c r="AO1413" s="423"/>
      <c r="AP1413" s="423"/>
      <c r="AQ1413" s="423"/>
      <c r="AR1413" s="423"/>
      <c r="AS1413" s="423"/>
      <c r="AT1413" s="423"/>
      <c r="AU1413" s="423"/>
      <c r="AV1413" s="423"/>
      <c r="AW1413" s="418"/>
      <c r="AX1413" s="418"/>
      <c r="AY1413" s="418"/>
      <c r="AZ1413" s="418"/>
      <c r="BA1413" s="418"/>
      <c r="BB1413" s="306"/>
    </row>
    <row r="1414" spans="1:54" ht="15.75" customHeight="1">
      <c r="A1414" s="415"/>
      <c r="B1414" s="417"/>
      <c r="C1414" s="417"/>
      <c r="D1414" s="418"/>
      <c r="E1414" s="418"/>
      <c r="F1414" s="419"/>
      <c r="G1414" s="420"/>
      <c r="H1414" s="421"/>
      <c r="I1414" s="425"/>
      <c r="J1414" s="422"/>
      <c r="K1414" s="418"/>
      <c r="L1414" s="418"/>
      <c r="M1414" s="428"/>
      <c r="N1414" s="421"/>
      <c r="O1414" s="421"/>
      <c r="P1414" s="421"/>
      <c r="Q1414" s="418"/>
      <c r="R1414" s="1022"/>
      <c r="S1414" s="1022"/>
      <c r="T1414" s="418"/>
      <c r="U1414" s="418"/>
      <c r="V1414" s="418"/>
      <c r="W1414" s="418"/>
      <c r="X1414" s="418"/>
      <c r="Y1414" s="418"/>
      <c r="Z1414" s="418"/>
      <c r="AA1414" s="418"/>
      <c r="AB1414" s="418"/>
      <c r="AC1414" s="418"/>
      <c r="AD1414" s="418"/>
      <c r="AE1414" s="418"/>
      <c r="AF1414" s="418"/>
      <c r="AG1414" s="418"/>
      <c r="AH1414" s="418"/>
      <c r="AI1414" s="418"/>
      <c r="AJ1414" s="418"/>
      <c r="AK1414" s="418"/>
      <c r="AL1414" s="418"/>
      <c r="AM1414" s="418"/>
      <c r="AN1414" s="423"/>
      <c r="AO1414" s="423"/>
      <c r="AP1414" s="423"/>
      <c r="AQ1414" s="423"/>
      <c r="AR1414" s="423"/>
      <c r="AS1414" s="423"/>
      <c r="AT1414" s="423"/>
      <c r="AU1414" s="423"/>
      <c r="AV1414" s="423"/>
      <c r="AW1414" s="418"/>
      <c r="AX1414" s="418"/>
      <c r="AY1414" s="418"/>
      <c r="AZ1414" s="418"/>
      <c r="BA1414" s="418"/>
      <c r="BB1414" s="306"/>
    </row>
    <row r="1415" spans="1:54" ht="15.75" customHeight="1">
      <c r="A1415" s="415"/>
      <c r="B1415" s="417"/>
      <c r="C1415" s="417"/>
      <c r="D1415" s="418"/>
      <c r="E1415" s="418"/>
      <c r="F1415" s="419"/>
      <c r="G1415" s="420"/>
      <c r="H1415" s="421"/>
      <c r="I1415" s="421"/>
      <c r="J1415" s="422"/>
      <c r="K1415" s="418"/>
      <c r="L1415" s="418"/>
      <c r="M1415" s="428"/>
      <c r="N1415" s="421"/>
      <c r="O1415" s="421"/>
      <c r="P1415" s="421"/>
      <c r="Q1415" s="418"/>
      <c r="R1415" s="1022"/>
      <c r="S1415" s="1022"/>
      <c r="T1415" s="418"/>
      <c r="U1415" s="418"/>
      <c r="V1415" s="418"/>
      <c r="W1415" s="418"/>
      <c r="X1415" s="418"/>
      <c r="Y1415" s="418"/>
      <c r="Z1415" s="418"/>
      <c r="AA1415" s="418"/>
      <c r="AB1415" s="418"/>
      <c r="AC1415" s="418"/>
      <c r="AD1415" s="418"/>
      <c r="AE1415" s="418"/>
      <c r="AF1415" s="418"/>
      <c r="AG1415" s="418"/>
      <c r="AH1415" s="418"/>
      <c r="AI1415" s="418"/>
      <c r="AJ1415" s="418"/>
      <c r="AK1415" s="418"/>
      <c r="AL1415" s="418"/>
      <c r="AM1415" s="418"/>
      <c r="AN1415" s="423"/>
      <c r="AO1415" s="423"/>
      <c r="AP1415" s="423"/>
      <c r="AQ1415" s="423"/>
      <c r="AR1415" s="423"/>
      <c r="AS1415" s="423"/>
      <c r="AT1415" s="423"/>
      <c r="AU1415" s="423"/>
      <c r="AV1415" s="423"/>
      <c r="AW1415" s="418"/>
      <c r="AX1415" s="418"/>
      <c r="AY1415" s="418"/>
      <c r="AZ1415" s="418"/>
      <c r="BA1415" s="418"/>
      <c r="BB1415" s="306"/>
    </row>
    <row r="1416" spans="1:54" ht="15.75" customHeight="1">
      <c r="A1416" s="415"/>
      <c r="B1416" s="417"/>
      <c r="C1416" s="417"/>
      <c r="D1416" s="418"/>
      <c r="E1416" s="418"/>
      <c r="F1416" s="419"/>
      <c r="G1416" s="420"/>
      <c r="H1416" s="421"/>
      <c r="I1416" s="425"/>
      <c r="J1416" s="422"/>
      <c r="K1416" s="418"/>
      <c r="L1416" s="418"/>
      <c r="M1416" s="428"/>
      <c r="N1416" s="421"/>
      <c r="O1416" s="421"/>
      <c r="P1416" s="421"/>
      <c r="Q1416" s="418"/>
      <c r="R1416" s="1022"/>
      <c r="S1416" s="1022"/>
      <c r="T1416" s="418"/>
      <c r="U1416" s="418"/>
      <c r="V1416" s="418"/>
      <c r="W1416" s="418"/>
      <c r="X1416" s="418"/>
      <c r="Y1416" s="418"/>
      <c r="Z1416" s="418"/>
      <c r="AA1416" s="418"/>
      <c r="AB1416" s="418"/>
      <c r="AC1416" s="418"/>
      <c r="AD1416" s="418"/>
      <c r="AE1416" s="418"/>
      <c r="AF1416" s="418"/>
      <c r="AG1416" s="418"/>
      <c r="AH1416" s="418"/>
      <c r="AI1416" s="418"/>
      <c r="AJ1416" s="418"/>
      <c r="AK1416" s="418"/>
      <c r="AL1416" s="418"/>
      <c r="AM1416" s="418"/>
      <c r="AN1416" s="423"/>
      <c r="AO1416" s="423"/>
      <c r="AP1416" s="423"/>
      <c r="AQ1416" s="423"/>
      <c r="AR1416" s="423"/>
      <c r="AS1416" s="423"/>
      <c r="AT1416" s="423"/>
      <c r="AU1416" s="423"/>
      <c r="AV1416" s="423"/>
      <c r="AW1416" s="418"/>
      <c r="AX1416" s="418"/>
      <c r="AY1416" s="418"/>
      <c r="AZ1416" s="418"/>
      <c r="BA1416" s="418"/>
      <c r="BB1416" s="306"/>
    </row>
    <row r="1417" spans="1:54" ht="15.75" customHeight="1">
      <c r="A1417" s="415"/>
      <c r="B1417" s="417"/>
      <c r="C1417" s="417"/>
      <c r="D1417" s="418"/>
      <c r="E1417" s="418"/>
      <c r="F1417" s="419"/>
      <c r="G1417" s="420"/>
      <c r="H1417" s="421"/>
      <c r="I1417" s="421"/>
      <c r="J1417" s="422"/>
      <c r="K1417" s="418"/>
      <c r="L1417" s="418"/>
      <c r="M1417" s="428"/>
      <c r="N1417" s="421"/>
      <c r="O1417" s="421"/>
      <c r="P1417" s="421"/>
      <c r="Q1417" s="418"/>
      <c r="R1417" s="1022"/>
      <c r="S1417" s="1022"/>
      <c r="T1417" s="418"/>
      <c r="U1417" s="418"/>
      <c r="V1417" s="418"/>
      <c r="W1417" s="418"/>
      <c r="X1417" s="418"/>
      <c r="Y1417" s="418"/>
      <c r="Z1417" s="418"/>
      <c r="AA1417" s="418"/>
      <c r="AB1417" s="418"/>
      <c r="AC1417" s="418"/>
      <c r="AD1417" s="418"/>
      <c r="AE1417" s="418"/>
      <c r="AF1417" s="418"/>
      <c r="AG1417" s="418"/>
      <c r="AH1417" s="418"/>
      <c r="AI1417" s="418"/>
      <c r="AJ1417" s="418"/>
      <c r="AK1417" s="418"/>
      <c r="AL1417" s="418"/>
      <c r="AM1417" s="418"/>
      <c r="AN1417" s="423"/>
      <c r="AO1417" s="423"/>
      <c r="AP1417" s="423"/>
      <c r="AQ1417" s="423"/>
      <c r="AR1417" s="423"/>
      <c r="AS1417" s="423"/>
      <c r="AT1417" s="423"/>
      <c r="AU1417" s="423"/>
      <c r="AV1417" s="423"/>
      <c r="AW1417" s="418"/>
      <c r="AX1417" s="418"/>
      <c r="AY1417" s="418"/>
      <c r="AZ1417" s="418"/>
      <c r="BA1417" s="418"/>
      <c r="BB1417" s="306"/>
    </row>
    <row r="1418" spans="1:54" ht="15.75" customHeight="1">
      <c r="A1418" s="415"/>
      <c r="B1418" s="417"/>
      <c r="C1418" s="417"/>
      <c r="D1418" s="418"/>
      <c r="E1418" s="418"/>
      <c r="F1418" s="419"/>
      <c r="G1418" s="420"/>
      <c r="H1418" s="421"/>
      <c r="I1418" s="425"/>
      <c r="J1418" s="422"/>
      <c r="K1418" s="418"/>
      <c r="L1418" s="418"/>
      <c r="M1418" s="428"/>
      <c r="N1418" s="421"/>
      <c r="O1418" s="421"/>
      <c r="P1418" s="421"/>
      <c r="Q1418" s="418"/>
      <c r="R1418" s="1022"/>
      <c r="S1418" s="1022"/>
      <c r="T1418" s="418"/>
      <c r="U1418" s="418"/>
      <c r="V1418" s="418"/>
      <c r="W1418" s="418"/>
      <c r="X1418" s="418"/>
      <c r="Y1418" s="418"/>
      <c r="Z1418" s="418"/>
      <c r="AA1418" s="418"/>
      <c r="AB1418" s="418"/>
      <c r="AC1418" s="418"/>
      <c r="AD1418" s="418"/>
      <c r="AE1418" s="418"/>
      <c r="AF1418" s="418"/>
      <c r="AG1418" s="418"/>
      <c r="AH1418" s="418"/>
      <c r="AI1418" s="418"/>
      <c r="AJ1418" s="418"/>
      <c r="AK1418" s="418"/>
      <c r="AL1418" s="418"/>
      <c r="AM1418" s="418"/>
      <c r="AN1418" s="423"/>
      <c r="AO1418" s="423"/>
      <c r="AP1418" s="423"/>
      <c r="AQ1418" s="423"/>
      <c r="AR1418" s="423"/>
      <c r="AS1418" s="423"/>
      <c r="AT1418" s="423"/>
      <c r="AU1418" s="423"/>
      <c r="AV1418" s="423"/>
      <c r="AW1418" s="418"/>
      <c r="AX1418" s="418"/>
      <c r="AY1418" s="418"/>
      <c r="AZ1418" s="418"/>
      <c r="BA1418" s="418"/>
      <c r="BB1418" s="306"/>
    </row>
    <row r="1419" spans="1:54" ht="15.75" customHeight="1">
      <c r="A1419" s="415"/>
      <c r="B1419" s="417"/>
      <c r="C1419" s="417"/>
      <c r="D1419" s="418"/>
      <c r="E1419" s="418"/>
      <c r="F1419" s="419"/>
      <c r="G1419" s="420"/>
      <c r="H1419" s="421"/>
      <c r="I1419" s="421"/>
      <c r="J1419" s="422"/>
      <c r="K1419" s="418"/>
      <c r="L1419" s="418"/>
      <c r="M1419" s="428"/>
      <c r="N1419" s="421"/>
      <c r="O1419" s="421"/>
      <c r="P1419" s="421"/>
      <c r="Q1419" s="418"/>
      <c r="R1419" s="1022"/>
      <c r="S1419" s="1022"/>
      <c r="T1419" s="418"/>
      <c r="U1419" s="418"/>
      <c r="V1419" s="418"/>
      <c r="W1419" s="418"/>
      <c r="X1419" s="418"/>
      <c r="Y1419" s="418"/>
      <c r="Z1419" s="418"/>
      <c r="AA1419" s="418"/>
      <c r="AB1419" s="418"/>
      <c r="AC1419" s="418"/>
      <c r="AD1419" s="418"/>
      <c r="AE1419" s="418"/>
      <c r="AF1419" s="418"/>
      <c r="AG1419" s="418"/>
      <c r="AH1419" s="418"/>
      <c r="AI1419" s="418"/>
      <c r="AJ1419" s="418"/>
      <c r="AK1419" s="418"/>
      <c r="AL1419" s="418"/>
      <c r="AM1419" s="418"/>
      <c r="AN1419" s="423"/>
      <c r="AO1419" s="423"/>
      <c r="AP1419" s="423"/>
      <c r="AQ1419" s="423"/>
      <c r="AR1419" s="423"/>
      <c r="AS1419" s="423"/>
      <c r="AT1419" s="423"/>
      <c r="AU1419" s="423"/>
      <c r="AV1419" s="423"/>
      <c r="AW1419" s="418"/>
      <c r="AX1419" s="418"/>
      <c r="AY1419" s="418"/>
      <c r="AZ1419" s="418"/>
      <c r="BA1419" s="418"/>
      <c r="BB1419" s="306"/>
    </row>
    <row r="1420" spans="1:54" ht="15.75" customHeight="1">
      <c r="A1420" s="415"/>
      <c r="B1420" s="417"/>
      <c r="C1420" s="417"/>
      <c r="D1420" s="418"/>
      <c r="E1420" s="418"/>
      <c r="F1420" s="419"/>
      <c r="G1420" s="420"/>
      <c r="H1420" s="421"/>
      <c r="I1420" s="425"/>
      <c r="J1420" s="422"/>
      <c r="K1420" s="418"/>
      <c r="L1420" s="418"/>
      <c r="M1420" s="428"/>
      <c r="N1420" s="421"/>
      <c r="O1420" s="421"/>
      <c r="P1420" s="421"/>
      <c r="Q1420" s="418"/>
      <c r="R1420" s="1022"/>
      <c r="S1420" s="1022"/>
      <c r="T1420" s="418"/>
      <c r="U1420" s="418"/>
      <c r="V1420" s="418"/>
      <c r="W1420" s="418"/>
      <c r="X1420" s="418"/>
      <c r="Y1420" s="418"/>
      <c r="Z1420" s="418"/>
      <c r="AA1420" s="418"/>
      <c r="AB1420" s="418"/>
      <c r="AC1420" s="418"/>
      <c r="AD1420" s="418"/>
      <c r="AE1420" s="418"/>
      <c r="AF1420" s="418"/>
      <c r="AG1420" s="418"/>
      <c r="AH1420" s="418"/>
      <c r="AI1420" s="418"/>
      <c r="AJ1420" s="418"/>
      <c r="AK1420" s="418"/>
      <c r="AL1420" s="418"/>
      <c r="AM1420" s="418"/>
      <c r="AN1420" s="423"/>
      <c r="AO1420" s="423"/>
      <c r="AP1420" s="423"/>
      <c r="AQ1420" s="423"/>
      <c r="AR1420" s="423"/>
      <c r="AS1420" s="423"/>
      <c r="AT1420" s="423"/>
      <c r="AU1420" s="423"/>
      <c r="AV1420" s="423"/>
      <c r="AW1420" s="418"/>
      <c r="AX1420" s="418"/>
      <c r="AY1420" s="418"/>
      <c r="AZ1420" s="418"/>
      <c r="BA1420" s="418"/>
      <c r="BB1420" s="306"/>
    </row>
    <row r="1421" spans="1:54" ht="15.75" customHeight="1">
      <c r="A1421" s="415"/>
      <c r="B1421" s="416"/>
      <c r="C1421" s="417"/>
      <c r="D1421" s="418"/>
      <c r="E1421" s="418"/>
      <c r="F1421" s="419"/>
      <c r="G1421" s="420"/>
      <c r="H1421" s="421"/>
      <c r="I1421" s="421"/>
      <c r="J1421" s="422"/>
      <c r="K1421" s="418"/>
      <c r="L1421" s="418"/>
      <c r="M1421" s="428"/>
      <c r="N1421" s="421"/>
      <c r="O1421" s="421"/>
      <c r="P1421" s="421"/>
      <c r="Q1421" s="418"/>
      <c r="R1421" s="1022"/>
      <c r="S1421" s="1022"/>
      <c r="T1421" s="418"/>
      <c r="U1421" s="418"/>
      <c r="V1421" s="418"/>
      <c r="W1421" s="418"/>
      <c r="X1421" s="418"/>
      <c r="Y1421" s="418"/>
      <c r="Z1421" s="418"/>
      <c r="AA1421" s="418"/>
      <c r="AB1421" s="418"/>
      <c r="AC1421" s="418"/>
      <c r="AD1421" s="418"/>
      <c r="AE1421" s="418"/>
      <c r="AF1421" s="418"/>
      <c r="AG1421" s="418"/>
      <c r="AH1421" s="418"/>
      <c r="AI1421" s="418"/>
      <c r="AJ1421" s="418"/>
      <c r="AK1421" s="418"/>
      <c r="AL1421" s="418"/>
      <c r="AM1421" s="418"/>
      <c r="AN1421" s="423"/>
      <c r="AO1421" s="423"/>
      <c r="AP1421" s="423"/>
      <c r="AQ1421" s="423"/>
      <c r="AR1421" s="423"/>
      <c r="AS1421" s="423"/>
      <c r="AT1421" s="423"/>
      <c r="AU1421" s="423"/>
      <c r="AV1421" s="423"/>
      <c r="AW1421" s="418"/>
      <c r="AX1421" s="418"/>
      <c r="AY1421" s="418"/>
      <c r="AZ1421" s="418"/>
      <c r="BA1421" s="418"/>
      <c r="BB1421" s="306"/>
    </row>
    <row r="1422" spans="1:54" ht="15.75" customHeight="1">
      <c r="A1422" s="415"/>
      <c r="B1422" s="416"/>
      <c r="C1422" s="417"/>
      <c r="D1422" s="418"/>
      <c r="E1422" s="418"/>
      <c r="F1422" s="419"/>
      <c r="G1422" s="420"/>
      <c r="H1422" s="421"/>
      <c r="I1422" s="421"/>
      <c r="J1422" s="422"/>
      <c r="K1422" s="418"/>
      <c r="L1422" s="418"/>
      <c r="M1422" s="428"/>
      <c r="N1422" s="421"/>
      <c r="O1422" s="421"/>
      <c r="P1422" s="421"/>
      <c r="Q1422" s="418"/>
      <c r="R1422" s="1022"/>
      <c r="S1422" s="1022"/>
      <c r="T1422" s="418"/>
      <c r="U1422" s="418"/>
      <c r="V1422" s="418"/>
      <c r="W1422" s="418"/>
      <c r="X1422" s="418"/>
      <c r="Y1422" s="418"/>
      <c r="Z1422" s="418"/>
      <c r="AA1422" s="418"/>
      <c r="AB1422" s="418"/>
      <c r="AC1422" s="418"/>
      <c r="AD1422" s="418"/>
      <c r="AE1422" s="418"/>
      <c r="AF1422" s="418"/>
      <c r="AG1422" s="418"/>
      <c r="AH1422" s="418"/>
      <c r="AI1422" s="418"/>
      <c r="AJ1422" s="418"/>
      <c r="AK1422" s="418"/>
      <c r="AL1422" s="418"/>
      <c r="AM1422" s="418"/>
      <c r="AN1422" s="423"/>
      <c r="AO1422" s="423"/>
      <c r="AP1422" s="423"/>
      <c r="AQ1422" s="423"/>
      <c r="AR1422" s="423"/>
      <c r="AS1422" s="423"/>
      <c r="AT1422" s="423"/>
      <c r="AU1422" s="423"/>
      <c r="AV1422" s="423"/>
      <c r="AW1422" s="418"/>
      <c r="AX1422" s="418"/>
      <c r="AY1422" s="418"/>
      <c r="AZ1422" s="418"/>
      <c r="BA1422" s="418"/>
      <c r="BB1422" s="306"/>
    </row>
    <row r="1423" spans="1:54" ht="15.75" customHeight="1">
      <c r="A1423" s="415"/>
      <c r="B1423" s="416"/>
      <c r="C1423" s="417"/>
      <c r="D1423" s="418"/>
      <c r="E1423" s="418"/>
      <c r="F1423" s="419"/>
      <c r="G1423" s="420"/>
      <c r="H1423" s="421"/>
      <c r="I1423" s="421"/>
      <c r="J1423" s="422"/>
      <c r="K1423" s="418"/>
      <c r="L1423" s="418"/>
      <c r="M1423" s="428"/>
      <c r="N1423" s="421"/>
      <c r="O1423" s="421"/>
      <c r="P1423" s="421"/>
      <c r="Q1423" s="418"/>
      <c r="R1423" s="1022"/>
      <c r="S1423" s="1022"/>
      <c r="T1423" s="418"/>
      <c r="U1423" s="418"/>
      <c r="V1423" s="418"/>
      <c r="W1423" s="418"/>
      <c r="X1423" s="418"/>
      <c r="Y1423" s="418"/>
      <c r="Z1423" s="418"/>
      <c r="AA1423" s="418"/>
      <c r="AB1423" s="418"/>
      <c r="AC1423" s="418"/>
      <c r="AD1423" s="418"/>
      <c r="AE1423" s="418"/>
      <c r="AF1423" s="418"/>
      <c r="AG1423" s="418"/>
      <c r="AH1423" s="418"/>
      <c r="AI1423" s="418"/>
      <c r="AJ1423" s="418"/>
      <c r="AK1423" s="418"/>
      <c r="AL1423" s="418"/>
      <c r="AM1423" s="418"/>
      <c r="AN1423" s="423"/>
      <c r="AO1423" s="423"/>
      <c r="AP1423" s="423"/>
      <c r="AQ1423" s="423"/>
      <c r="AR1423" s="423"/>
      <c r="AS1423" s="423"/>
      <c r="AT1423" s="423"/>
      <c r="AU1423" s="423"/>
      <c r="AV1423" s="423"/>
      <c r="AW1423" s="418"/>
      <c r="AX1423" s="418"/>
      <c r="AY1423" s="418"/>
      <c r="AZ1423" s="418"/>
      <c r="BA1423" s="418"/>
      <c r="BB1423" s="306"/>
    </row>
    <row r="1424" spans="1:54" ht="15.75" customHeight="1">
      <c r="A1424" s="415"/>
      <c r="B1424" s="416"/>
      <c r="C1424" s="417"/>
      <c r="D1424" s="418"/>
      <c r="E1424" s="418"/>
      <c r="F1424" s="419"/>
      <c r="G1424" s="420"/>
      <c r="H1424" s="421"/>
      <c r="I1424" s="425"/>
      <c r="J1424" s="422"/>
      <c r="K1424" s="418"/>
      <c r="L1424" s="418"/>
      <c r="M1424" s="428"/>
      <c r="N1424" s="421"/>
      <c r="O1424" s="421"/>
      <c r="P1424" s="421"/>
      <c r="Q1424" s="418"/>
      <c r="R1424" s="1022"/>
      <c r="S1424" s="1022"/>
      <c r="T1424" s="418"/>
      <c r="U1424" s="418"/>
      <c r="V1424" s="418"/>
      <c r="W1424" s="418"/>
      <c r="X1424" s="418"/>
      <c r="Y1424" s="418"/>
      <c r="Z1424" s="418"/>
      <c r="AA1424" s="418"/>
      <c r="AB1424" s="418"/>
      <c r="AC1424" s="418"/>
      <c r="AD1424" s="418"/>
      <c r="AE1424" s="418"/>
      <c r="AF1424" s="418"/>
      <c r="AG1424" s="418"/>
      <c r="AH1424" s="418"/>
      <c r="AI1424" s="418"/>
      <c r="AJ1424" s="418"/>
      <c r="AK1424" s="418"/>
      <c r="AL1424" s="418"/>
      <c r="AM1424" s="418"/>
      <c r="AN1424" s="423"/>
      <c r="AO1424" s="423"/>
      <c r="AP1424" s="423"/>
      <c r="AQ1424" s="423"/>
      <c r="AR1424" s="423"/>
      <c r="AS1424" s="423"/>
      <c r="AT1424" s="423"/>
      <c r="AU1424" s="423"/>
      <c r="AV1424" s="423"/>
      <c r="AW1424" s="418"/>
      <c r="AX1424" s="418"/>
      <c r="AY1424" s="418"/>
      <c r="AZ1424" s="418"/>
      <c r="BA1424" s="418"/>
      <c r="BB1424" s="306"/>
    </row>
    <row r="1425" spans="1:54" ht="15.75" customHeight="1">
      <c r="A1425" s="415"/>
      <c r="B1425" s="416"/>
      <c r="C1425" s="417"/>
      <c r="D1425" s="418"/>
      <c r="E1425" s="418"/>
      <c r="F1425" s="419"/>
      <c r="G1425" s="420"/>
      <c r="H1425" s="421"/>
      <c r="I1425" s="425"/>
      <c r="J1425" s="422"/>
      <c r="K1425" s="418"/>
      <c r="L1425" s="418"/>
      <c r="M1425" s="428"/>
      <c r="N1425" s="421"/>
      <c r="O1425" s="421"/>
      <c r="P1425" s="421"/>
      <c r="Q1425" s="418"/>
      <c r="R1425" s="1022"/>
      <c r="S1425" s="1022"/>
      <c r="T1425" s="418"/>
      <c r="U1425" s="418"/>
      <c r="V1425" s="418"/>
      <c r="W1425" s="418"/>
      <c r="X1425" s="418"/>
      <c r="Y1425" s="418"/>
      <c r="Z1425" s="418"/>
      <c r="AA1425" s="418"/>
      <c r="AB1425" s="418"/>
      <c r="AC1425" s="418"/>
      <c r="AD1425" s="418"/>
      <c r="AE1425" s="418"/>
      <c r="AF1425" s="418"/>
      <c r="AG1425" s="418"/>
      <c r="AH1425" s="418"/>
      <c r="AI1425" s="418"/>
      <c r="AJ1425" s="418"/>
      <c r="AK1425" s="418"/>
      <c r="AL1425" s="418"/>
      <c r="AM1425" s="418"/>
      <c r="AN1425" s="423"/>
      <c r="AO1425" s="423"/>
      <c r="AP1425" s="423"/>
      <c r="AQ1425" s="423"/>
      <c r="AR1425" s="423"/>
      <c r="AS1425" s="423"/>
      <c r="AT1425" s="423"/>
      <c r="AU1425" s="423"/>
      <c r="AV1425" s="423"/>
      <c r="AW1425" s="418"/>
      <c r="AX1425" s="418"/>
      <c r="AY1425" s="418"/>
      <c r="AZ1425" s="418"/>
      <c r="BA1425" s="418"/>
      <c r="BB1425" s="306"/>
    </row>
    <row r="1426" spans="1:54" ht="15.75" customHeight="1">
      <c r="A1426" s="415"/>
      <c r="B1426" s="416"/>
      <c r="C1426" s="417"/>
      <c r="D1426" s="418"/>
      <c r="E1426" s="418"/>
      <c r="F1426" s="419"/>
      <c r="G1426" s="420"/>
      <c r="H1426" s="421"/>
      <c r="I1426" s="425"/>
      <c r="J1426" s="422"/>
      <c r="K1426" s="418"/>
      <c r="L1426" s="418"/>
      <c r="M1426" s="428"/>
      <c r="N1426" s="421"/>
      <c r="O1426" s="421"/>
      <c r="P1426" s="421"/>
      <c r="Q1426" s="418"/>
      <c r="R1426" s="1022"/>
      <c r="S1426" s="1022"/>
      <c r="T1426" s="418"/>
      <c r="U1426" s="418"/>
      <c r="V1426" s="418"/>
      <c r="W1426" s="418"/>
      <c r="X1426" s="418"/>
      <c r="Y1426" s="418"/>
      <c r="Z1426" s="418"/>
      <c r="AA1426" s="418"/>
      <c r="AB1426" s="418"/>
      <c r="AC1426" s="418"/>
      <c r="AD1426" s="418"/>
      <c r="AE1426" s="418"/>
      <c r="AF1426" s="418"/>
      <c r="AG1426" s="418"/>
      <c r="AH1426" s="418"/>
      <c r="AI1426" s="418"/>
      <c r="AJ1426" s="418"/>
      <c r="AK1426" s="418"/>
      <c r="AL1426" s="418"/>
      <c r="AM1426" s="418"/>
      <c r="AN1426" s="423"/>
      <c r="AO1426" s="423"/>
      <c r="AP1426" s="423"/>
      <c r="AQ1426" s="423"/>
      <c r="AR1426" s="423"/>
      <c r="AS1426" s="423"/>
      <c r="AT1426" s="423"/>
      <c r="AU1426" s="423"/>
      <c r="AV1426" s="423"/>
      <c r="AW1426" s="418"/>
      <c r="AX1426" s="418"/>
      <c r="AY1426" s="418"/>
      <c r="AZ1426" s="418"/>
      <c r="BA1426" s="418"/>
      <c r="BB1426" s="306"/>
    </row>
    <row r="1427" spans="1:54" ht="15.75" customHeight="1">
      <c r="A1427" s="415"/>
      <c r="B1427" s="416"/>
      <c r="C1427" s="417"/>
      <c r="D1427" s="418"/>
      <c r="E1427" s="418"/>
      <c r="F1427" s="419"/>
      <c r="G1427" s="420"/>
      <c r="H1427" s="421"/>
      <c r="I1427" s="421"/>
      <c r="J1427" s="422"/>
      <c r="K1427" s="418"/>
      <c r="L1427" s="418"/>
      <c r="M1427" s="428"/>
      <c r="N1427" s="421"/>
      <c r="O1427" s="421"/>
      <c r="P1427" s="421"/>
      <c r="Q1427" s="418"/>
      <c r="R1427" s="1022"/>
      <c r="S1427" s="1022"/>
      <c r="T1427" s="418"/>
      <c r="U1427" s="418"/>
      <c r="V1427" s="418"/>
      <c r="W1427" s="418"/>
      <c r="X1427" s="418"/>
      <c r="Y1427" s="418"/>
      <c r="Z1427" s="418"/>
      <c r="AA1427" s="418"/>
      <c r="AB1427" s="418"/>
      <c r="AC1427" s="418"/>
      <c r="AD1427" s="418"/>
      <c r="AE1427" s="418"/>
      <c r="AF1427" s="418"/>
      <c r="AG1427" s="418"/>
      <c r="AH1427" s="418"/>
      <c r="AI1427" s="418"/>
      <c r="AJ1427" s="418"/>
      <c r="AK1427" s="418"/>
      <c r="AL1427" s="418"/>
      <c r="AM1427" s="418"/>
      <c r="AN1427" s="423"/>
      <c r="AO1427" s="423"/>
      <c r="AP1427" s="423"/>
      <c r="AQ1427" s="423"/>
      <c r="AR1427" s="423"/>
      <c r="AS1427" s="423"/>
      <c r="AT1427" s="423"/>
      <c r="AU1427" s="423"/>
      <c r="AV1427" s="423"/>
      <c r="AW1427" s="418"/>
      <c r="AX1427" s="418"/>
      <c r="AY1427" s="418"/>
      <c r="AZ1427" s="418"/>
      <c r="BA1427" s="418"/>
      <c r="BB1427" s="306"/>
    </row>
    <row r="1428" spans="1:54" ht="15.75" customHeight="1">
      <c r="A1428" s="415"/>
      <c r="B1428" s="416"/>
      <c r="C1428" s="417"/>
      <c r="D1428" s="418"/>
      <c r="E1428" s="418"/>
      <c r="F1428" s="419"/>
      <c r="G1428" s="420"/>
      <c r="H1428" s="421"/>
      <c r="I1428" s="425"/>
      <c r="J1428" s="422"/>
      <c r="K1428" s="418"/>
      <c r="L1428" s="418"/>
      <c r="M1428" s="428"/>
      <c r="N1428" s="421"/>
      <c r="O1428" s="421"/>
      <c r="P1428" s="421"/>
      <c r="Q1428" s="418"/>
      <c r="R1428" s="1022"/>
      <c r="S1428" s="1022"/>
      <c r="T1428" s="418"/>
      <c r="U1428" s="418"/>
      <c r="V1428" s="418"/>
      <c r="W1428" s="418"/>
      <c r="X1428" s="418"/>
      <c r="Y1428" s="418"/>
      <c r="Z1428" s="418"/>
      <c r="AA1428" s="418"/>
      <c r="AB1428" s="418"/>
      <c r="AC1428" s="418"/>
      <c r="AD1428" s="418"/>
      <c r="AE1428" s="418"/>
      <c r="AF1428" s="418"/>
      <c r="AG1428" s="418"/>
      <c r="AH1428" s="418"/>
      <c r="AI1428" s="418"/>
      <c r="AJ1428" s="418"/>
      <c r="AK1428" s="418"/>
      <c r="AL1428" s="418"/>
      <c r="AM1428" s="418"/>
      <c r="AN1428" s="423"/>
      <c r="AO1428" s="423"/>
      <c r="AP1428" s="423"/>
      <c r="AQ1428" s="423"/>
      <c r="AR1428" s="423"/>
      <c r="AS1428" s="423"/>
      <c r="AT1428" s="423"/>
      <c r="AU1428" s="423"/>
      <c r="AV1428" s="423"/>
      <c r="AW1428" s="418"/>
      <c r="AX1428" s="418"/>
      <c r="AY1428" s="418"/>
      <c r="AZ1428" s="418"/>
      <c r="BA1428" s="418"/>
      <c r="BB1428" s="306"/>
    </row>
    <row r="1429" spans="1:54" ht="15.75" customHeight="1">
      <c r="A1429" s="415"/>
      <c r="B1429" s="417"/>
      <c r="C1429" s="417"/>
      <c r="D1429" s="418"/>
      <c r="E1429" s="418"/>
      <c r="F1429" s="419"/>
      <c r="G1429" s="420"/>
      <c r="H1429" s="421"/>
      <c r="I1429" s="421"/>
      <c r="J1429" s="422"/>
      <c r="K1429" s="418"/>
      <c r="L1429" s="418"/>
      <c r="M1429" s="418"/>
      <c r="N1429" s="421"/>
      <c r="O1429" s="421"/>
      <c r="P1429" s="421"/>
      <c r="Q1429" s="418"/>
      <c r="R1429" s="1022"/>
      <c r="S1429" s="1022"/>
      <c r="T1429" s="418"/>
      <c r="U1429" s="418"/>
      <c r="V1429" s="418"/>
      <c r="W1429" s="418"/>
      <c r="X1429" s="418"/>
      <c r="Y1429" s="418"/>
      <c r="Z1429" s="418"/>
      <c r="AA1429" s="418"/>
      <c r="AB1429" s="418"/>
      <c r="AC1429" s="418"/>
      <c r="AD1429" s="418"/>
      <c r="AE1429" s="418"/>
      <c r="AF1429" s="418"/>
      <c r="AG1429" s="418"/>
      <c r="AH1429" s="418"/>
      <c r="AI1429" s="418"/>
      <c r="AJ1429" s="418"/>
      <c r="AK1429" s="418"/>
      <c r="AL1429" s="418"/>
      <c r="AM1429" s="418"/>
      <c r="AN1429" s="423"/>
      <c r="AO1429" s="423"/>
      <c r="AP1429" s="423"/>
      <c r="AQ1429" s="423"/>
      <c r="AR1429" s="423"/>
      <c r="AS1429" s="423"/>
      <c r="AT1429" s="423"/>
      <c r="AU1429" s="423"/>
      <c r="AV1429" s="423"/>
      <c r="AW1429" s="418"/>
      <c r="AX1429" s="418"/>
      <c r="AY1429" s="418"/>
      <c r="AZ1429" s="418"/>
      <c r="BA1429" s="418"/>
      <c r="BB1429" s="306"/>
    </row>
    <row r="1430" spans="1:54" ht="15.75" customHeight="1">
      <c r="A1430" s="415"/>
      <c r="B1430" s="417"/>
      <c r="C1430" s="417"/>
      <c r="D1430" s="418"/>
      <c r="E1430" s="418"/>
      <c r="F1430" s="419"/>
      <c r="G1430" s="420"/>
      <c r="H1430" s="421"/>
      <c r="I1430" s="421"/>
      <c r="J1430" s="422"/>
      <c r="K1430" s="418"/>
      <c r="L1430" s="418"/>
      <c r="M1430" s="418"/>
      <c r="N1430" s="421"/>
      <c r="O1430" s="421"/>
      <c r="P1430" s="421"/>
      <c r="Q1430" s="418"/>
      <c r="R1430" s="1022"/>
      <c r="S1430" s="1022"/>
      <c r="T1430" s="418"/>
      <c r="U1430" s="418"/>
      <c r="V1430" s="418"/>
      <c r="W1430" s="418"/>
      <c r="X1430" s="418"/>
      <c r="Y1430" s="418"/>
      <c r="Z1430" s="418"/>
      <c r="AA1430" s="418"/>
      <c r="AB1430" s="418"/>
      <c r="AC1430" s="418"/>
      <c r="AD1430" s="418"/>
      <c r="AE1430" s="418"/>
      <c r="AF1430" s="418"/>
      <c r="AG1430" s="418"/>
      <c r="AH1430" s="418"/>
      <c r="AI1430" s="418"/>
      <c r="AJ1430" s="418"/>
      <c r="AK1430" s="418"/>
      <c r="AL1430" s="418"/>
      <c r="AM1430" s="418"/>
      <c r="AN1430" s="423"/>
      <c r="AO1430" s="423"/>
      <c r="AP1430" s="423"/>
      <c r="AQ1430" s="423"/>
      <c r="AR1430" s="423"/>
      <c r="AS1430" s="423"/>
      <c r="AT1430" s="423"/>
      <c r="AU1430" s="423"/>
      <c r="AV1430" s="423"/>
      <c r="AW1430" s="418"/>
      <c r="AX1430" s="418"/>
      <c r="AY1430" s="418"/>
      <c r="AZ1430" s="418"/>
      <c r="BA1430" s="418"/>
      <c r="BB1430" s="306"/>
    </row>
    <row r="1431" spans="1:54" ht="15.75" customHeight="1">
      <c r="A1431" s="415"/>
      <c r="B1431" s="417"/>
      <c r="C1431" s="417"/>
      <c r="D1431" s="418"/>
      <c r="E1431" s="418"/>
      <c r="F1431" s="419"/>
      <c r="G1431" s="420"/>
      <c r="H1431" s="421"/>
      <c r="I1431" s="421"/>
      <c r="J1431" s="422"/>
      <c r="K1431" s="418"/>
      <c r="L1431" s="418"/>
      <c r="M1431" s="418"/>
      <c r="N1431" s="421"/>
      <c r="O1431" s="421"/>
      <c r="P1431" s="421"/>
      <c r="Q1431" s="418"/>
      <c r="R1431" s="1022"/>
      <c r="S1431" s="1022"/>
      <c r="T1431" s="418"/>
      <c r="U1431" s="418"/>
      <c r="V1431" s="418"/>
      <c r="W1431" s="418"/>
      <c r="X1431" s="418"/>
      <c r="Y1431" s="418"/>
      <c r="Z1431" s="418"/>
      <c r="AA1431" s="418"/>
      <c r="AB1431" s="418"/>
      <c r="AC1431" s="418"/>
      <c r="AD1431" s="418"/>
      <c r="AE1431" s="418"/>
      <c r="AF1431" s="418"/>
      <c r="AG1431" s="418"/>
      <c r="AH1431" s="418"/>
      <c r="AI1431" s="418"/>
      <c r="AJ1431" s="418"/>
      <c r="AK1431" s="418"/>
      <c r="AL1431" s="418"/>
      <c r="AM1431" s="418"/>
      <c r="AN1431" s="423"/>
      <c r="AO1431" s="423"/>
      <c r="AP1431" s="423"/>
      <c r="AQ1431" s="423"/>
      <c r="AR1431" s="423"/>
      <c r="AS1431" s="423"/>
      <c r="AT1431" s="423"/>
      <c r="AU1431" s="423"/>
      <c r="AV1431" s="423"/>
      <c r="AW1431" s="418"/>
      <c r="AX1431" s="418"/>
      <c r="AY1431" s="418"/>
      <c r="AZ1431" s="418"/>
      <c r="BA1431" s="418"/>
      <c r="BB1431" s="306"/>
    </row>
    <row r="1432" spans="1:54" ht="15.75" customHeight="1">
      <c r="A1432" s="415"/>
      <c r="B1432" s="417"/>
      <c r="C1432" s="417"/>
      <c r="D1432" s="418"/>
      <c r="E1432" s="418"/>
      <c r="F1432" s="419"/>
      <c r="G1432" s="420"/>
      <c r="H1432" s="421"/>
      <c r="I1432" s="421"/>
      <c r="J1432" s="422"/>
      <c r="K1432" s="418"/>
      <c r="L1432" s="418"/>
      <c r="M1432" s="418"/>
      <c r="N1432" s="421"/>
      <c r="O1432" s="421"/>
      <c r="P1432" s="421"/>
      <c r="Q1432" s="418"/>
      <c r="R1432" s="1022"/>
      <c r="S1432" s="1022"/>
      <c r="T1432" s="418"/>
      <c r="U1432" s="418"/>
      <c r="V1432" s="418"/>
      <c r="W1432" s="418"/>
      <c r="X1432" s="418"/>
      <c r="Y1432" s="418"/>
      <c r="Z1432" s="418"/>
      <c r="AA1432" s="418"/>
      <c r="AB1432" s="418"/>
      <c r="AC1432" s="418"/>
      <c r="AD1432" s="418"/>
      <c r="AE1432" s="418"/>
      <c r="AF1432" s="418"/>
      <c r="AG1432" s="418"/>
      <c r="AH1432" s="418"/>
      <c r="AI1432" s="418"/>
      <c r="AJ1432" s="418"/>
      <c r="AK1432" s="418"/>
      <c r="AL1432" s="418"/>
      <c r="AM1432" s="418"/>
      <c r="AN1432" s="423"/>
      <c r="AO1432" s="423"/>
      <c r="AP1432" s="423"/>
      <c r="AQ1432" s="423"/>
      <c r="AR1432" s="423"/>
      <c r="AS1432" s="423"/>
      <c r="AT1432" s="423"/>
      <c r="AU1432" s="423"/>
      <c r="AV1432" s="423"/>
      <c r="AW1432" s="418"/>
      <c r="AX1432" s="418"/>
      <c r="AY1432" s="418"/>
      <c r="AZ1432" s="418"/>
      <c r="BA1432" s="418"/>
      <c r="BB1432" s="306"/>
    </row>
    <row r="1433" spans="1:54" ht="15.75" customHeight="1">
      <c r="A1433" s="415"/>
      <c r="B1433" s="417"/>
      <c r="C1433" s="417"/>
      <c r="D1433" s="418"/>
      <c r="E1433" s="418"/>
      <c r="F1433" s="419"/>
      <c r="G1433" s="420"/>
      <c r="H1433" s="421"/>
      <c r="I1433" s="425"/>
      <c r="J1433" s="422"/>
      <c r="K1433" s="418"/>
      <c r="L1433" s="418"/>
      <c r="M1433" s="418"/>
      <c r="N1433" s="421"/>
      <c r="O1433" s="421"/>
      <c r="P1433" s="421"/>
      <c r="Q1433" s="418"/>
      <c r="R1433" s="1022"/>
      <c r="S1433" s="1022"/>
      <c r="T1433" s="418"/>
      <c r="U1433" s="418"/>
      <c r="V1433" s="418"/>
      <c r="W1433" s="418"/>
      <c r="X1433" s="418"/>
      <c r="Y1433" s="418"/>
      <c r="Z1433" s="418"/>
      <c r="AA1433" s="418"/>
      <c r="AB1433" s="418"/>
      <c r="AC1433" s="418"/>
      <c r="AD1433" s="418"/>
      <c r="AE1433" s="418"/>
      <c r="AF1433" s="418"/>
      <c r="AG1433" s="418"/>
      <c r="AH1433" s="418"/>
      <c r="AI1433" s="418"/>
      <c r="AJ1433" s="418"/>
      <c r="AK1433" s="418"/>
      <c r="AL1433" s="418"/>
      <c r="AM1433" s="418"/>
      <c r="AN1433" s="423"/>
      <c r="AO1433" s="423"/>
      <c r="AP1433" s="423"/>
      <c r="AQ1433" s="423"/>
      <c r="AR1433" s="423"/>
      <c r="AS1433" s="423"/>
      <c r="AT1433" s="423"/>
      <c r="AU1433" s="423"/>
      <c r="AV1433" s="423"/>
      <c r="AW1433" s="418"/>
      <c r="AX1433" s="418"/>
      <c r="AY1433" s="418"/>
      <c r="AZ1433" s="418"/>
      <c r="BA1433" s="418"/>
      <c r="BB1433" s="306"/>
    </row>
    <row r="1434" spans="1:54" ht="15.75" customHeight="1">
      <c r="A1434" s="415"/>
      <c r="B1434" s="417"/>
      <c r="C1434" s="417"/>
      <c r="D1434" s="418"/>
      <c r="E1434" s="418"/>
      <c r="F1434" s="419"/>
      <c r="G1434" s="420"/>
      <c r="H1434" s="421"/>
      <c r="I1434" s="421"/>
      <c r="J1434" s="422"/>
      <c r="K1434" s="418"/>
      <c r="L1434" s="418"/>
      <c r="M1434" s="418"/>
      <c r="N1434" s="421"/>
      <c r="O1434" s="421"/>
      <c r="P1434" s="421"/>
      <c r="Q1434" s="418"/>
      <c r="R1434" s="1022"/>
      <c r="S1434" s="1022"/>
      <c r="T1434" s="418"/>
      <c r="U1434" s="418"/>
      <c r="V1434" s="418"/>
      <c r="W1434" s="418"/>
      <c r="X1434" s="418"/>
      <c r="Y1434" s="418"/>
      <c r="Z1434" s="418"/>
      <c r="AA1434" s="418"/>
      <c r="AB1434" s="418"/>
      <c r="AC1434" s="418"/>
      <c r="AD1434" s="418"/>
      <c r="AE1434" s="418"/>
      <c r="AF1434" s="418"/>
      <c r="AG1434" s="418"/>
      <c r="AH1434" s="418"/>
      <c r="AI1434" s="418"/>
      <c r="AJ1434" s="418"/>
      <c r="AK1434" s="418"/>
      <c r="AL1434" s="418"/>
      <c r="AM1434" s="418"/>
      <c r="AN1434" s="423"/>
      <c r="AO1434" s="423"/>
      <c r="AP1434" s="423"/>
      <c r="AQ1434" s="423"/>
      <c r="AR1434" s="423"/>
      <c r="AS1434" s="423"/>
      <c r="AT1434" s="423"/>
      <c r="AU1434" s="423"/>
      <c r="AV1434" s="423"/>
      <c r="AW1434" s="418"/>
      <c r="AX1434" s="418"/>
      <c r="AY1434" s="418"/>
      <c r="AZ1434" s="418"/>
      <c r="BA1434" s="418"/>
      <c r="BB1434" s="306"/>
    </row>
    <row r="1435" spans="1:54" ht="15.75" customHeight="1">
      <c r="A1435" s="415"/>
      <c r="B1435" s="417"/>
      <c r="C1435" s="417"/>
      <c r="D1435" s="418"/>
      <c r="E1435" s="418"/>
      <c r="F1435" s="419"/>
      <c r="G1435" s="420"/>
      <c r="H1435" s="421"/>
      <c r="I1435" s="425"/>
      <c r="J1435" s="422"/>
      <c r="K1435" s="418"/>
      <c r="L1435" s="418"/>
      <c r="M1435" s="418"/>
      <c r="N1435" s="421"/>
      <c r="O1435" s="421"/>
      <c r="P1435" s="421"/>
      <c r="Q1435" s="418"/>
      <c r="R1435" s="1022"/>
      <c r="S1435" s="1022"/>
      <c r="T1435" s="418"/>
      <c r="U1435" s="418"/>
      <c r="V1435" s="418"/>
      <c r="W1435" s="418"/>
      <c r="X1435" s="418"/>
      <c r="Y1435" s="418"/>
      <c r="Z1435" s="418"/>
      <c r="AA1435" s="418"/>
      <c r="AB1435" s="418"/>
      <c r="AC1435" s="418"/>
      <c r="AD1435" s="418"/>
      <c r="AE1435" s="418"/>
      <c r="AF1435" s="418"/>
      <c r="AG1435" s="418"/>
      <c r="AH1435" s="418"/>
      <c r="AI1435" s="418"/>
      <c r="AJ1435" s="418"/>
      <c r="AK1435" s="418"/>
      <c r="AL1435" s="418"/>
      <c r="AM1435" s="418"/>
      <c r="AN1435" s="423"/>
      <c r="AO1435" s="423"/>
      <c r="AP1435" s="423"/>
      <c r="AQ1435" s="423"/>
      <c r="AR1435" s="423"/>
      <c r="AS1435" s="423"/>
      <c r="AT1435" s="423"/>
      <c r="AU1435" s="423"/>
      <c r="AV1435" s="423"/>
      <c r="AW1435" s="418"/>
      <c r="AX1435" s="418"/>
      <c r="AY1435" s="418"/>
      <c r="AZ1435" s="418"/>
      <c r="BA1435" s="418"/>
      <c r="BB1435" s="306"/>
    </row>
    <row r="1436" spans="1:54" ht="15.75" customHeight="1">
      <c r="A1436" s="415"/>
      <c r="B1436" s="417"/>
      <c r="C1436" s="417"/>
      <c r="D1436" s="418"/>
      <c r="E1436" s="418"/>
      <c r="F1436" s="419"/>
      <c r="G1436" s="420"/>
      <c r="H1436" s="421"/>
      <c r="I1436" s="421"/>
      <c r="J1436" s="422"/>
      <c r="K1436" s="418"/>
      <c r="L1436" s="418"/>
      <c r="M1436" s="418"/>
      <c r="N1436" s="421"/>
      <c r="O1436" s="421"/>
      <c r="P1436" s="421"/>
      <c r="Q1436" s="418"/>
      <c r="R1436" s="1022"/>
      <c r="S1436" s="1022"/>
      <c r="T1436" s="418"/>
      <c r="U1436" s="418"/>
      <c r="V1436" s="418"/>
      <c r="W1436" s="418"/>
      <c r="X1436" s="418"/>
      <c r="Y1436" s="418"/>
      <c r="Z1436" s="418"/>
      <c r="AA1436" s="418"/>
      <c r="AB1436" s="418"/>
      <c r="AC1436" s="418"/>
      <c r="AD1436" s="418"/>
      <c r="AE1436" s="418"/>
      <c r="AF1436" s="418"/>
      <c r="AG1436" s="418"/>
      <c r="AH1436" s="418"/>
      <c r="AI1436" s="418"/>
      <c r="AJ1436" s="418"/>
      <c r="AK1436" s="418"/>
      <c r="AL1436" s="418"/>
      <c r="AM1436" s="418"/>
      <c r="AN1436" s="423"/>
      <c r="AO1436" s="423"/>
      <c r="AP1436" s="423"/>
      <c r="AQ1436" s="423"/>
      <c r="AR1436" s="423"/>
      <c r="AS1436" s="423"/>
      <c r="AT1436" s="423"/>
      <c r="AU1436" s="423"/>
      <c r="AV1436" s="423"/>
      <c r="AW1436" s="418"/>
      <c r="AX1436" s="418"/>
      <c r="AY1436" s="418"/>
      <c r="AZ1436" s="418"/>
      <c r="BA1436" s="418"/>
      <c r="BB1436" s="306"/>
    </row>
    <row r="1437" spans="1:54" ht="15.75" customHeight="1">
      <c r="A1437" s="415"/>
      <c r="B1437" s="417"/>
      <c r="C1437" s="417"/>
      <c r="D1437" s="418"/>
      <c r="E1437" s="418"/>
      <c r="F1437" s="419"/>
      <c r="G1437" s="420"/>
      <c r="H1437" s="421"/>
      <c r="I1437" s="425"/>
      <c r="J1437" s="422"/>
      <c r="K1437" s="418"/>
      <c r="L1437" s="418"/>
      <c r="M1437" s="418"/>
      <c r="N1437" s="421"/>
      <c r="O1437" s="421"/>
      <c r="P1437" s="421"/>
      <c r="Q1437" s="418"/>
      <c r="R1437" s="1022"/>
      <c r="S1437" s="1022"/>
      <c r="T1437" s="418"/>
      <c r="U1437" s="418"/>
      <c r="V1437" s="418"/>
      <c r="W1437" s="418"/>
      <c r="X1437" s="418"/>
      <c r="Y1437" s="418"/>
      <c r="Z1437" s="418"/>
      <c r="AA1437" s="418"/>
      <c r="AB1437" s="418"/>
      <c r="AC1437" s="418"/>
      <c r="AD1437" s="418"/>
      <c r="AE1437" s="418"/>
      <c r="AF1437" s="418"/>
      <c r="AG1437" s="418"/>
      <c r="AH1437" s="418"/>
      <c r="AI1437" s="418"/>
      <c r="AJ1437" s="418"/>
      <c r="AK1437" s="418"/>
      <c r="AL1437" s="418"/>
      <c r="AM1437" s="418"/>
      <c r="AN1437" s="423"/>
      <c r="AO1437" s="423"/>
      <c r="AP1437" s="423"/>
      <c r="AQ1437" s="423"/>
      <c r="AR1437" s="423"/>
      <c r="AS1437" s="423"/>
      <c r="AT1437" s="423"/>
      <c r="AU1437" s="423"/>
      <c r="AV1437" s="423"/>
      <c r="AW1437" s="418"/>
      <c r="AX1437" s="418"/>
      <c r="AY1437" s="418"/>
      <c r="AZ1437" s="418"/>
      <c r="BA1437" s="418"/>
      <c r="BB1437" s="306"/>
    </row>
    <row r="1438" spans="1:54" ht="15.75" customHeight="1">
      <c r="A1438" s="415"/>
      <c r="B1438" s="417"/>
      <c r="C1438" s="417"/>
      <c r="D1438" s="418"/>
      <c r="E1438" s="418"/>
      <c r="F1438" s="419"/>
      <c r="G1438" s="420"/>
      <c r="H1438" s="421"/>
      <c r="I1438" s="421"/>
      <c r="J1438" s="422"/>
      <c r="K1438" s="418"/>
      <c r="L1438" s="418"/>
      <c r="M1438" s="418"/>
      <c r="N1438" s="421"/>
      <c r="O1438" s="421"/>
      <c r="P1438" s="421"/>
      <c r="Q1438" s="418"/>
      <c r="R1438" s="1022"/>
      <c r="S1438" s="1022"/>
      <c r="T1438" s="418"/>
      <c r="U1438" s="418"/>
      <c r="V1438" s="418"/>
      <c r="W1438" s="418"/>
      <c r="X1438" s="418"/>
      <c r="Y1438" s="418"/>
      <c r="Z1438" s="418"/>
      <c r="AA1438" s="418"/>
      <c r="AB1438" s="418"/>
      <c r="AC1438" s="418"/>
      <c r="AD1438" s="418"/>
      <c r="AE1438" s="418"/>
      <c r="AF1438" s="418"/>
      <c r="AG1438" s="418"/>
      <c r="AH1438" s="418"/>
      <c r="AI1438" s="418"/>
      <c r="AJ1438" s="418"/>
      <c r="AK1438" s="418"/>
      <c r="AL1438" s="418"/>
      <c r="AM1438" s="418"/>
      <c r="AN1438" s="423"/>
      <c r="AO1438" s="423"/>
      <c r="AP1438" s="423"/>
      <c r="AQ1438" s="423"/>
      <c r="AR1438" s="423"/>
      <c r="AS1438" s="423"/>
      <c r="AT1438" s="423"/>
      <c r="AU1438" s="423"/>
      <c r="AV1438" s="423"/>
      <c r="AW1438" s="418"/>
      <c r="AX1438" s="418"/>
      <c r="AY1438" s="418"/>
      <c r="AZ1438" s="418"/>
      <c r="BA1438" s="418"/>
      <c r="BB1438" s="306"/>
    </row>
    <row r="1439" spans="1:54" ht="15.75" customHeight="1">
      <c r="A1439" s="415"/>
      <c r="B1439" s="417"/>
      <c r="C1439" s="417"/>
      <c r="D1439" s="418"/>
      <c r="E1439" s="418"/>
      <c r="F1439" s="419"/>
      <c r="G1439" s="420"/>
      <c r="H1439" s="421"/>
      <c r="I1439" s="421"/>
      <c r="J1439" s="422"/>
      <c r="K1439" s="418"/>
      <c r="L1439" s="418"/>
      <c r="M1439" s="418"/>
      <c r="N1439" s="421"/>
      <c r="O1439" s="421"/>
      <c r="P1439" s="421"/>
      <c r="Q1439" s="418"/>
      <c r="R1439" s="1022"/>
      <c r="S1439" s="1022"/>
      <c r="T1439" s="418"/>
      <c r="U1439" s="418"/>
      <c r="V1439" s="418"/>
      <c r="W1439" s="418"/>
      <c r="X1439" s="418"/>
      <c r="Y1439" s="418"/>
      <c r="Z1439" s="418"/>
      <c r="AA1439" s="418"/>
      <c r="AB1439" s="418"/>
      <c r="AC1439" s="418"/>
      <c r="AD1439" s="418"/>
      <c r="AE1439" s="418"/>
      <c r="AF1439" s="418"/>
      <c r="AG1439" s="418"/>
      <c r="AH1439" s="418"/>
      <c r="AI1439" s="418"/>
      <c r="AJ1439" s="418"/>
      <c r="AK1439" s="418"/>
      <c r="AL1439" s="418"/>
      <c r="AM1439" s="418"/>
      <c r="AN1439" s="423"/>
      <c r="AO1439" s="423"/>
      <c r="AP1439" s="423"/>
      <c r="AQ1439" s="423"/>
      <c r="AR1439" s="423"/>
      <c r="AS1439" s="423"/>
      <c r="AT1439" s="423"/>
      <c r="AU1439" s="423"/>
      <c r="AV1439" s="423"/>
      <c r="AW1439" s="418"/>
      <c r="AX1439" s="418"/>
      <c r="AY1439" s="418"/>
      <c r="AZ1439" s="418"/>
      <c r="BA1439" s="418"/>
      <c r="BB1439" s="306"/>
    </row>
    <row r="1440" spans="1:54" ht="15.75" customHeight="1">
      <c r="A1440" s="415"/>
      <c r="B1440" s="417"/>
      <c r="C1440" s="417"/>
      <c r="D1440" s="418"/>
      <c r="E1440" s="418"/>
      <c r="F1440" s="419"/>
      <c r="G1440" s="420"/>
      <c r="H1440" s="421"/>
      <c r="I1440" s="421"/>
      <c r="J1440" s="422"/>
      <c r="K1440" s="418"/>
      <c r="L1440" s="418"/>
      <c r="M1440" s="418"/>
      <c r="N1440" s="421"/>
      <c r="O1440" s="421"/>
      <c r="P1440" s="421"/>
      <c r="Q1440" s="418"/>
      <c r="R1440" s="1022"/>
      <c r="S1440" s="1022"/>
      <c r="T1440" s="418"/>
      <c r="U1440" s="418"/>
      <c r="V1440" s="418"/>
      <c r="W1440" s="418"/>
      <c r="X1440" s="418"/>
      <c r="Y1440" s="418"/>
      <c r="Z1440" s="418"/>
      <c r="AA1440" s="418"/>
      <c r="AB1440" s="418"/>
      <c r="AC1440" s="418"/>
      <c r="AD1440" s="418"/>
      <c r="AE1440" s="418"/>
      <c r="AF1440" s="418"/>
      <c r="AG1440" s="418"/>
      <c r="AH1440" s="418"/>
      <c r="AI1440" s="418"/>
      <c r="AJ1440" s="418"/>
      <c r="AK1440" s="418"/>
      <c r="AL1440" s="418"/>
      <c r="AM1440" s="418"/>
      <c r="AN1440" s="423"/>
      <c r="AO1440" s="423"/>
      <c r="AP1440" s="423"/>
      <c r="AQ1440" s="423"/>
      <c r="AR1440" s="423"/>
      <c r="AS1440" s="423"/>
      <c r="AT1440" s="423"/>
      <c r="AU1440" s="423"/>
      <c r="AV1440" s="423"/>
      <c r="AW1440" s="418"/>
      <c r="AX1440" s="418"/>
      <c r="AY1440" s="418"/>
      <c r="AZ1440" s="418"/>
      <c r="BA1440" s="418"/>
      <c r="BB1440" s="306"/>
    </row>
    <row r="1441" spans="1:54" ht="15.75" customHeight="1">
      <c r="A1441" s="415"/>
      <c r="B1441" s="417"/>
      <c r="C1441" s="417"/>
      <c r="D1441" s="418"/>
      <c r="E1441" s="418"/>
      <c r="F1441" s="419"/>
      <c r="G1441" s="420"/>
      <c r="H1441" s="421"/>
      <c r="I1441" s="421"/>
      <c r="J1441" s="422"/>
      <c r="K1441" s="418"/>
      <c r="L1441" s="418"/>
      <c r="M1441" s="418"/>
      <c r="N1441" s="421"/>
      <c r="O1441" s="421"/>
      <c r="P1441" s="421"/>
      <c r="Q1441" s="418"/>
      <c r="R1441" s="1022"/>
      <c r="S1441" s="1022"/>
      <c r="T1441" s="418"/>
      <c r="U1441" s="418"/>
      <c r="V1441" s="418"/>
      <c r="W1441" s="418"/>
      <c r="X1441" s="418"/>
      <c r="Y1441" s="418"/>
      <c r="Z1441" s="418"/>
      <c r="AA1441" s="418"/>
      <c r="AB1441" s="418"/>
      <c r="AC1441" s="418"/>
      <c r="AD1441" s="418"/>
      <c r="AE1441" s="418"/>
      <c r="AF1441" s="418"/>
      <c r="AG1441" s="418"/>
      <c r="AH1441" s="418"/>
      <c r="AI1441" s="418"/>
      <c r="AJ1441" s="418"/>
      <c r="AK1441" s="418"/>
      <c r="AL1441" s="418"/>
      <c r="AM1441" s="418"/>
      <c r="AN1441" s="423"/>
      <c r="AO1441" s="423"/>
      <c r="AP1441" s="423"/>
      <c r="AQ1441" s="423"/>
      <c r="AR1441" s="423"/>
      <c r="AS1441" s="423"/>
      <c r="AT1441" s="423"/>
      <c r="AU1441" s="423"/>
      <c r="AV1441" s="423"/>
      <c r="AW1441" s="418"/>
      <c r="AX1441" s="418"/>
      <c r="AY1441" s="418"/>
      <c r="AZ1441" s="418"/>
      <c r="BA1441" s="418"/>
      <c r="BB1441" s="306"/>
    </row>
    <row r="1442" spans="1:54" ht="15.75" customHeight="1">
      <c r="A1442" s="415"/>
      <c r="B1442" s="417"/>
      <c r="C1442" s="417"/>
      <c r="D1442" s="418"/>
      <c r="E1442" s="418"/>
      <c r="F1442" s="419"/>
      <c r="G1442" s="420"/>
      <c r="H1442" s="421"/>
      <c r="I1442" s="421"/>
      <c r="J1442" s="422"/>
      <c r="K1442" s="418"/>
      <c r="L1442" s="418"/>
      <c r="M1442" s="418"/>
      <c r="N1442" s="421"/>
      <c r="O1442" s="421"/>
      <c r="P1442" s="421"/>
      <c r="Q1442" s="418"/>
      <c r="R1442" s="1022"/>
      <c r="S1442" s="1022"/>
      <c r="T1442" s="418"/>
      <c r="U1442" s="418"/>
      <c r="V1442" s="418"/>
      <c r="W1442" s="418"/>
      <c r="X1442" s="418"/>
      <c r="Y1442" s="418"/>
      <c r="Z1442" s="418"/>
      <c r="AA1442" s="418"/>
      <c r="AB1442" s="418"/>
      <c r="AC1442" s="418"/>
      <c r="AD1442" s="418"/>
      <c r="AE1442" s="418"/>
      <c r="AF1442" s="418"/>
      <c r="AG1442" s="418"/>
      <c r="AH1442" s="418"/>
      <c r="AI1442" s="418"/>
      <c r="AJ1442" s="418"/>
      <c r="AK1442" s="418"/>
      <c r="AL1442" s="418"/>
      <c r="AM1442" s="418"/>
      <c r="AN1442" s="423"/>
      <c r="AO1442" s="423"/>
      <c r="AP1442" s="423"/>
      <c r="AQ1442" s="423"/>
      <c r="AR1442" s="423"/>
      <c r="AS1442" s="423"/>
      <c r="AT1442" s="423"/>
      <c r="AU1442" s="423"/>
      <c r="AV1442" s="423"/>
      <c r="AW1442" s="418"/>
      <c r="AX1442" s="418"/>
      <c r="AY1442" s="418"/>
      <c r="AZ1442" s="418"/>
      <c r="BA1442" s="418"/>
      <c r="BB1442" s="306"/>
    </row>
    <row r="1443" spans="1:54" ht="15.75" customHeight="1">
      <c r="A1443" s="415"/>
      <c r="B1443" s="417"/>
      <c r="C1443" s="417"/>
      <c r="D1443" s="418"/>
      <c r="E1443" s="418"/>
      <c r="F1443" s="419"/>
      <c r="G1443" s="420"/>
      <c r="H1443" s="421"/>
      <c r="I1443" s="425"/>
      <c r="J1443" s="422"/>
      <c r="K1443" s="418"/>
      <c r="L1443" s="418"/>
      <c r="M1443" s="418"/>
      <c r="N1443" s="421"/>
      <c r="O1443" s="418"/>
      <c r="P1443" s="421"/>
      <c r="Q1443" s="418"/>
      <c r="R1443" s="1022"/>
      <c r="S1443" s="1022"/>
      <c r="T1443" s="418"/>
      <c r="U1443" s="418"/>
      <c r="V1443" s="418"/>
      <c r="W1443" s="418"/>
      <c r="X1443" s="418"/>
      <c r="Y1443" s="418"/>
      <c r="Z1443" s="418"/>
      <c r="AA1443" s="418"/>
      <c r="AB1443" s="418"/>
      <c r="AC1443" s="418"/>
      <c r="AD1443" s="418"/>
      <c r="AE1443" s="418"/>
      <c r="AF1443" s="418"/>
      <c r="AG1443" s="418"/>
      <c r="AH1443" s="418"/>
      <c r="AI1443" s="418"/>
      <c r="AJ1443" s="418"/>
      <c r="AK1443" s="418"/>
      <c r="AL1443" s="418"/>
      <c r="AM1443" s="418"/>
      <c r="AN1443" s="423"/>
      <c r="AO1443" s="423"/>
      <c r="AP1443" s="423"/>
      <c r="AQ1443" s="423"/>
      <c r="AR1443" s="423"/>
      <c r="AS1443" s="423"/>
      <c r="AT1443" s="423"/>
      <c r="AU1443" s="423"/>
      <c r="AV1443" s="423"/>
      <c r="AW1443" s="418"/>
      <c r="AX1443" s="418"/>
      <c r="AY1443" s="418"/>
      <c r="AZ1443" s="418"/>
      <c r="BA1443" s="418"/>
      <c r="BB1443" s="306"/>
    </row>
    <row r="1444" spans="1:54" ht="15.75" customHeight="1">
      <c r="A1444" s="415"/>
      <c r="B1444" s="417"/>
      <c r="C1444" s="417"/>
      <c r="D1444" s="418"/>
      <c r="E1444" s="418"/>
      <c r="F1444" s="419"/>
      <c r="G1444" s="420"/>
      <c r="H1444" s="421"/>
      <c r="I1444" s="421"/>
      <c r="J1444" s="422"/>
      <c r="K1444" s="418"/>
      <c r="L1444" s="418"/>
      <c r="M1444" s="418"/>
      <c r="N1444" s="421"/>
      <c r="O1444" s="421"/>
      <c r="P1444" s="421"/>
      <c r="Q1444" s="418"/>
      <c r="R1444" s="1022"/>
      <c r="S1444" s="1022"/>
      <c r="T1444" s="418"/>
      <c r="U1444" s="418"/>
      <c r="V1444" s="418"/>
      <c r="W1444" s="418"/>
      <c r="X1444" s="418"/>
      <c r="Y1444" s="418"/>
      <c r="Z1444" s="418"/>
      <c r="AA1444" s="418"/>
      <c r="AB1444" s="418"/>
      <c r="AC1444" s="418"/>
      <c r="AD1444" s="418"/>
      <c r="AE1444" s="418"/>
      <c r="AF1444" s="418"/>
      <c r="AG1444" s="418"/>
      <c r="AH1444" s="418"/>
      <c r="AI1444" s="418"/>
      <c r="AJ1444" s="418"/>
      <c r="AK1444" s="418"/>
      <c r="AL1444" s="418"/>
      <c r="AM1444" s="418"/>
      <c r="AN1444" s="423"/>
      <c r="AO1444" s="423"/>
      <c r="AP1444" s="423"/>
      <c r="AQ1444" s="423"/>
      <c r="AR1444" s="423"/>
      <c r="AS1444" s="423"/>
      <c r="AT1444" s="423"/>
      <c r="AU1444" s="423"/>
      <c r="AV1444" s="423"/>
      <c r="AW1444" s="418"/>
      <c r="AX1444" s="418"/>
      <c r="AY1444" s="418"/>
      <c r="AZ1444" s="418"/>
      <c r="BA1444" s="418"/>
      <c r="BB1444" s="306"/>
    </row>
    <row r="1445" spans="1:54" ht="15.75" customHeight="1">
      <c r="A1445" s="415"/>
      <c r="B1445" s="417"/>
      <c r="C1445" s="417"/>
      <c r="D1445" s="418"/>
      <c r="E1445" s="418"/>
      <c r="F1445" s="419"/>
      <c r="G1445" s="420"/>
      <c r="H1445" s="421"/>
      <c r="I1445" s="425"/>
      <c r="J1445" s="422"/>
      <c r="K1445" s="418"/>
      <c r="L1445" s="418"/>
      <c r="M1445" s="418"/>
      <c r="N1445" s="421"/>
      <c r="O1445" s="421"/>
      <c r="P1445" s="421"/>
      <c r="Q1445" s="418"/>
      <c r="R1445" s="1022"/>
      <c r="S1445" s="1022"/>
      <c r="T1445" s="418"/>
      <c r="U1445" s="418"/>
      <c r="V1445" s="418"/>
      <c r="W1445" s="418"/>
      <c r="X1445" s="418"/>
      <c r="Y1445" s="418"/>
      <c r="Z1445" s="418"/>
      <c r="AA1445" s="418"/>
      <c r="AB1445" s="418"/>
      <c r="AC1445" s="418"/>
      <c r="AD1445" s="418"/>
      <c r="AE1445" s="418"/>
      <c r="AF1445" s="418"/>
      <c r="AG1445" s="418"/>
      <c r="AH1445" s="418"/>
      <c r="AI1445" s="418"/>
      <c r="AJ1445" s="418"/>
      <c r="AK1445" s="418"/>
      <c r="AL1445" s="418"/>
      <c r="AM1445" s="418"/>
      <c r="AN1445" s="423"/>
      <c r="AO1445" s="423"/>
      <c r="AP1445" s="423"/>
      <c r="AQ1445" s="423"/>
      <c r="AR1445" s="423"/>
      <c r="AS1445" s="423"/>
      <c r="AT1445" s="423"/>
      <c r="AU1445" s="423"/>
      <c r="AV1445" s="423"/>
      <c r="AW1445" s="418"/>
      <c r="AX1445" s="418"/>
      <c r="AY1445" s="418"/>
      <c r="AZ1445" s="418"/>
      <c r="BA1445" s="418"/>
      <c r="BB1445" s="306"/>
    </row>
    <row r="1446" spans="1:54" ht="15.75" customHeight="1">
      <c r="A1446" s="415"/>
      <c r="B1446" s="417"/>
      <c r="C1446" s="417"/>
      <c r="D1446" s="418"/>
      <c r="E1446" s="418"/>
      <c r="F1446" s="419"/>
      <c r="G1446" s="420"/>
      <c r="H1446" s="421"/>
      <c r="I1446" s="421"/>
      <c r="J1446" s="422"/>
      <c r="K1446" s="418"/>
      <c r="L1446" s="418"/>
      <c r="M1446" s="418"/>
      <c r="N1446" s="421"/>
      <c r="O1446" s="421"/>
      <c r="P1446" s="421"/>
      <c r="Q1446" s="418"/>
      <c r="R1446" s="1022"/>
      <c r="S1446" s="1022"/>
      <c r="T1446" s="418"/>
      <c r="U1446" s="418"/>
      <c r="V1446" s="418"/>
      <c r="W1446" s="418"/>
      <c r="X1446" s="418"/>
      <c r="Y1446" s="418"/>
      <c r="Z1446" s="418"/>
      <c r="AA1446" s="418"/>
      <c r="AB1446" s="418"/>
      <c r="AC1446" s="418"/>
      <c r="AD1446" s="418"/>
      <c r="AE1446" s="418"/>
      <c r="AF1446" s="418"/>
      <c r="AG1446" s="418"/>
      <c r="AH1446" s="418"/>
      <c r="AI1446" s="418"/>
      <c r="AJ1446" s="418"/>
      <c r="AK1446" s="418"/>
      <c r="AL1446" s="418"/>
      <c r="AM1446" s="418"/>
      <c r="AN1446" s="423"/>
      <c r="AO1446" s="423"/>
      <c r="AP1446" s="423"/>
      <c r="AQ1446" s="423"/>
      <c r="AR1446" s="423"/>
      <c r="AS1446" s="423"/>
      <c r="AT1446" s="423"/>
      <c r="AU1446" s="423"/>
      <c r="AV1446" s="423"/>
      <c r="AW1446" s="418"/>
      <c r="AX1446" s="418"/>
      <c r="AY1446" s="418"/>
      <c r="AZ1446" s="418"/>
      <c r="BA1446" s="418"/>
      <c r="BB1446" s="306"/>
    </row>
    <row r="1447" spans="1:54" ht="15.75" customHeight="1">
      <c r="A1447" s="415"/>
      <c r="B1447" s="417"/>
      <c r="C1447" s="417"/>
      <c r="D1447" s="418"/>
      <c r="E1447" s="418"/>
      <c r="F1447" s="419"/>
      <c r="G1447" s="420"/>
      <c r="H1447" s="421"/>
      <c r="I1447" s="425"/>
      <c r="J1447" s="422"/>
      <c r="K1447" s="418"/>
      <c r="L1447" s="418"/>
      <c r="M1447" s="418"/>
      <c r="N1447" s="421"/>
      <c r="O1447" s="418"/>
      <c r="P1447" s="421"/>
      <c r="Q1447" s="418"/>
      <c r="R1447" s="1022"/>
      <c r="S1447" s="1022"/>
      <c r="T1447" s="418"/>
      <c r="U1447" s="418"/>
      <c r="V1447" s="418"/>
      <c r="W1447" s="418"/>
      <c r="X1447" s="418"/>
      <c r="Y1447" s="418"/>
      <c r="Z1447" s="418"/>
      <c r="AA1447" s="418"/>
      <c r="AB1447" s="418"/>
      <c r="AC1447" s="418"/>
      <c r="AD1447" s="418"/>
      <c r="AE1447" s="418"/>
      <c r="AF1447" s="418"/>
      <c r="AG1447" s="418"/>
      <c r="AH1447" s="418"/>
      <c r="AI1447" s="418"/>
      <c r="AJ1447" s="418"/>
      <c r="AK1447" s="418"/>
      <c r="AL1447" s="418"/>
      <c r="AM1447" s="418"/>
      <c r="AN1447" s="423"/>
      <c r="AO1447" s="423"/>
      <c r="AP1447" s="423"/>
      <c r="AQ1447" s="423"/>
      <c r="AR1447" s="423"/>
      <c r="AS1447" s="423"/>
      <c r="AT1447" s="423"/>
      <c r="AU1447" s="423"/>
      <c r="AV1447" s="423"/>
      <c r="AW1447" s="418"/>
      <c r="AX1447" s="418"/>
      <c r="AY1447" s="418"/>
      <c r="AZ1447" s="418"/>
      <c r="BA1447" s="418"/>
      <c r="BB1447" s="306"/>
    </row>
    <row r="1448" spans="1:54" ht="15.75" customHeight="1">
      <c r="A1448" s="415"/>
      <c r="B1448" s="417"/>
      <c r="C1448" s="417"/>
      <c r="D1448" s="418"/>
      <c r="E1448" s="418"/>
      <c r="F1448" s="419"/>
      <c r="G1448" s="420"/>
      <c r="H1448" s="421"/>
      <c r="I1448" s="421"/>
      <c r="J1448" s="422"/>
      <c r="K1448" s="418"/>
      <c r="L1448" s="418"/>
      <c r="M1448" s="418"/>
      <c r="N1448" s="421"/>
      <c r="O1448" s="418"/>
      <c r="P1448" s="421"/>
      <c r="Q1448" s="418"/>
      <c r="R1448" s="1022"/>
      <c r="S1448" s="1022"/>
      <c r="T1448" s="418"/>
      <c r="U1448" s="418"/>
      <c r="V1448" s="418"/>
      <c r="W1448" s="418"/>
      <c r="X1448" s="418"/>
      <c r="Y1448" s="418"/>
      <c r="Z1448" s="418"/>
      <c r="AA1448" s="418"/>
      <c r="AB1448" s="418"/>
      <c r="AC1448" s="418"/>
      <c r="AD1448" s="418"/>
      <c r="AE1448" s="418"/>
      <c r="AF1448" s="418"/>
      <c r="AG1448" s="418"/>
      <c r="AH1448" s="418"/>
      <c r="AI1448" s="418"/>
      <c r="AJ1448" s="418"/>
      <c r="AK1448" s="418"/>
      <c r="AL1448" s="418"/>
      <c r="AM1448" s="418"/>
      <c r="AN1448" s="423"/>
      <c r="AO1448" s="423"/>
      <c r="AP1448" s="423"/>
      <c r="AQ1448" s="423"/>
      <c r="AR1448" s="423"/>
      <c r="AS1448" s="423"/>
      <c r="AT1448" s="423"/>
      <c r="AU1448" s="423"/>
      <c r="AV1448" s="423"/>
      <c r="AW1448" s="418"/>
      <c r="AX1448" s="418"/>
      <c r="AY1448" s="418"/>
      <c r="AZ1448" s="418"/>
      <c r="BA1448" s="418"/>
      <c r="BB1448" s="306"/>
    </row>
    <row r="1449" spans="1:54" ht="15.75" customHeight="1">
      <c r="A1449" s="415"/>
      <c r="B1449" s="417"/>
      <c r="C1449" s="417"/>
      <c r="D1449" s="418"/>
      <c r="E1449" s="418"/>
      <c r="F1449" s="419"/>
      <c r="G1449" s="420"/>
      <c r="H1449" s="421"/>
      <c r="I1449" s="425"/>
      <c r="J1449" s="427"/>
      <c r="K1449" s="418"/>
      <c r="L1449" s="418"/>
      <c r="M1449" s="418"/>
      <c r="N1449" s="421"/>
      <c r="O1449" s="418"/>
      <c r="P1449" s="421"/>
      <c r="Q1449" s="418"/>
      <c r="R1449" s="1022"/>
      <c r="S1449" s="1022"/>
      <c r="T1449" s="418"/>
      <c r="U1449" s="418"/>
      <c r="V1449" s="418"/>
      <c r="W1449" s="418"/>
      <c r="X1449" s="418"/>
      <c r="Y1449" s="418"/>
      <c r="Z1449" s="418"/>
      <c r="AA1449" s="418"/>
      <c r="AB1449" s="418"/>
      <c r="AC1449" s="418"/>
      <c r="AD1449" s="418"/>
      <c r="AE1449" s="418"/>
      <c r="AF1449" s="418"/>
      <c r="AG1449" s="418"/>
      <c r="AH1449" s="418"/>
      <c r="AI1449" s="418"/>
      <c r="AJ1449" s="418"/>
      <c r="AK1449" s="418"/>
      <c r="AL1449" s="418"/>
      <c r="AM1449" s="418"/>
      <c r="AN1449" s="423"/>
      <c r="AO1449" s="423"/>
      <c r="AP1449" s="423"/>
      <c r="AQ1449" s="423"/>
      <c r="AR1449" s="423"/>
      <c r="AS1449" s="423"/>
      <c r="AT1449" s="423"/>
      <c r="AU1449" s="423"/>
      <c r="AV1449" s="423"/>
      <c r="AW1449" s="418"/>
      <c r="AX1449" s="418"/>
      <c r="AY1449" s="418"/>
      <c r="AZ1449" s="418"/>
      <c r="BA1449" s="418"/>
      <c r="BB1449" s="306"/>
    </row>
    <row r="1450" spans="1:54" ht="15.75" customHeight="1">
      <c r="A1450" s="415"/>
      <c r="B1450" s="417"/>
      <c r="C1450" s="417"/>
      <c r="D1450" s="418"/>
      <c r="E1450" s="418"/>
      <c r="F1450" s="419"/>
      <c r="G1450" s="420"/>
      <c r="H1450" s="421"/>
      <c r="I1450" s="421"/>
      <c r="J1450" s="427"/>
      <c r="K1450" s="418"/>
      <c r="L1450" s="418"/>
      <c r="M1450" s="418"/>
      <c r="N1450" s="421"/>
      <c r="O1450" s="418"/>
      <c r="P1450" s="421"/>
      <c r="Q1450" s="418"/>
      <c r="R1450" s="1022"/>
      <c r="S1450" s="1022"/>
      <c r="T1450" s="418"/>
      <c r="U1450" s="418"/>
      <c r="V1450" s="418"/>
      <c r="W1450" s="418"/>
      <c r="X1450" s="418"/>
      <c r="Y1450" s="418"/>
      <c r="Z1450" s="418"/>
      <c r="AA1450" s="418"/>
      <c r="AB1450" s="418"/>
      <c r="AC1450" s="418"/>
      <c r="AD1450" s="418"/>
      <c r="AE1450" s="418"/>
      <c r="AF1450" s="418"/>
      <c r="AG1450" s="418"/>
      <c r="AH1450" s="418"/>
      <c r="AI1450" s="418"/>
      <c r="AJ1450" s="418"/>
      <c r="AK1450" s="418"/>
      <c r="AL1450" s="418"/>
      <c r="AM1450" s="418"/>
      <c r="AN1450" s="423"/>
      <c r="AO1450" s="423"/>
      <c r="AP1450" s="423"/>
      <c r="AQ1450" s="423"/>
      <c r="AR1450" s="423"/>
      <c r="AS1450" s="423"/>
      <c r="AT1450" s="423"/>
      <c r="AU1450" s="423"/>
      <c r="AV1450" s="423"/>
      <c r="AW1450" s="418"/>
      <c r="AX1450" s="418"/>
      <c r="AY1450" s="418"/>
      <c r="AZ1450" s="418"/>
      <c r="BA1450" s="418"/>
      <c r="BB1450" s="306"/>
    </row>
    <row r="1451" spans="1:54" ht="15.75" customHeight="1">
      <c r="A1451" s="415"/>
      <c r="B1451" s="417"/>
      <c r="C1451" s="417"/>
      <c r="D1451" s="418"/>
      <c r="E1451" s="418"/>
      <c r="F1451" s="419"/>
      <c r="G1451" s="420"/>
      <c r="H1451" s="421"/>
      <c r="I1451" s="425"/>
      <c r="J1451" s="427"/>
      <c r="K1451" s="418"/>
      <c r="L1451" s="418"/>
      <c r="M1451" s="418"/>
      <c r="N1451" s="421"/>
      <c r="O1451" s="418"/>
      <c r="P1451" s="421"/>
      <c r="Q1451" s="418"/>
      <c r="R1451" s="1022"/>
      <c r="S1451" s="1022"/>
      <c r="T1451" s="418"/>
      <c r="U1451" s="418"/>
      <c r="V1451" s="418"/>
      <c r="W1451" s="418"/>
      <c r="X1451" s="418"/>
      <c r="Y1451" s="418"/>
      <c r="Z1451" s="418"/>
      <c r="AA1451" s="418"/>
      <c r="AB1451" s="418"/>
      <c r="AC1451" s="418"/>
      <c r="AD1451" s="418"/>
      <c r="AE1451" s="418"/>
      <c r="AF1451" s="418"/>
      <c r="AG1451" s="418"/>
      <c r="AH1451" s="418"/>
      <c r="AI1451" s="418"/>
      <c r="AJ1451" s="418"/>
      <c r="AK1451" s="418"/>
      <c r="AL1451" s="418"/>
      <c r="AM1451" s="418"/>
      <c r="AN1451" s="423"/>
      <c r="AO1451" s="423"/>
      <c r="AP1451" s="423"/>
      <c r="AQ1451" s="423"/>
      <c r="AR1451" s="423"/>
      <c r="AS1451" s="423"/>
      <c r="AT1451" s="423"/>
      <c r="AU1451" s="423"/>
      <c r="AV1451" s="423"/>
      <c r="AW1451" s="418"/>
      <c r="AX1451" s="418"/>
      <c r="AY1451" s="418"/>
      <c r="AZ1451" s="418"/>
      <c r="BA1451" s="418"/>
      <c r="BB1451" s="306"/>
    </row>
    <row r="1452" spans="1:54" ht="15.75" customHeight="1">
      <c r="A1452" s="415"/>
      <c r="B1452" s="417"/>
      <c r="C1452" s="417"/>
      <c r="D1452" s="418"/>
      <c r="E1452" s="418"/>
      <c r="F1452" s="419"/>
      <c r="G1452" s="420"/>
      <c r="H1452" s="421"/>
      <c r="I1452" s="421"/>
      <c r="J1452" s="427"/>
      <c r="K1452" s="418"/>
      <c r="L1452" s="418"/>
      <c r="M1452" s="418"/>
      <c r="N1452" s="421"/>
      <c r="O1452" s="418"/>
      <c r="P1452" s="421"/>
      <c r="Q1452" s="418"/>
      <c r="R1452" s="1022"/>
      <c r="S1452" s="1022"/>
      <c r="T1452" s="418"/>
      <c r="U1452" s="418"/>
      <c r="V1452" s="418"/>
      <c r="W1452" s="418"/>
      <c r="X1452" s="418"/>
      <c r="Y1452" s="418"/>
      <c r="Z1452" s="418"/>
      <c r="AA1452" s="418"/>
      <c r="AB1452" s="418"/>
      <c r="AC1452" s="418"/>
      <c r="AD1452" s="418"/>
      <c r="AE1452" s="418"/>
      <c r="AF1452" s="418"/>
      <c r="AG1452" s="418"/>
      <c r="AH1452" s="418"/>
      <c r="AI1452" s="418"/>
      <c r="AJ1452" s="418"/>
      <c r="AK1452" s="418"/>
      <c r="AL1452" s="418"/>
      <c r="AM1452" s="418"/>
      <c r="AN1452" s="423"/>
      <c r="AO1452" s="423"/>
      <c r="AP1452" s="423"/>
      <c r="AQ1452" s="423"/>
      <c r="AR1452" s="423"/>
      <c r="AS1452" s="423"/>
      <c r="AT1452" s="423"/>
      <c r="AU1452" s="423"/>
      <c r="AV1452" s="423"/>
      <c r="AW1452" s="418"/>
      <c r="AX1452" s="418"/>
      <c r="AY1452" s="418"/>
      <c r="AZ1452" s="418"/>
      <c r="BA1452" s="418"/>
      <c r="BB1452" s="306"/>
    </row>
    <row r="1453" spans="1:54" ht="15.75" customHeight="1">
      <c r="A1453" s="415"/>
      <c r="B1453" s="417"/>
      <c r="C1453" s="417"/>
      <c r="D1453" s="418"/>
      <c r="E1453" s="418"/>
      <c r="F1453" s="419"/>
      <c r="G1453" s="420"/>
      <c r="H1453" s="421"/>
      <c r="I1453" s="425"/>
      <c r="J1453" s="427"/>
      <c r="K1453" s="418"/>
      <c r="L1453" s="418"/>
      <c r="M1453" s="418"/>
      <c r="N1453" s="421"/>
      <c r="O1453" s="418"/>
      <c r="P1453" s="421"/>
      <c r="Q1453" s="418"/>
      <c r="R1453" s="1022"/>
      <c r="S1453" s="1022"/>
      <c r="T1453" s="418"/>
      <c r="U1453" s="418"/>
      <c r="V1453" s="418"/>
      <c r="W1453" s="418"/>
      <c r="X1453" s="418"/>
      <c r="Y1453" s="418"/>
      <c r="Z1453" s="418"/>
      <c r="AA1453" s="418"/>
      <c r="AB1453" s="418"/>
      <c r="AC1453" s="418"/>
      <c r="AD1453" s="418"/>
      <c r="AE1453" s="418"/>
      <c r="AF1453" s="418"/>
      <c r="AG1453" s="418"/>
      <c r="AH1453" s="418"/>
      <c r="AI1453" s="418"/>
      <c r="AJ1453" s="418"/>
      <c r="AK1453" s="418"/>
      <c r="AL1453" s="418"/>
      <c r="AM1453" s="418"/>
      <c r="AN1453" s="423"/>
      <c r="AO1453" s="423"/>
      <c r="AP1453" s="423"/>
      <c r="AQ1453" s="423"/>
      <c r="AR1453" s="423"/>
      <c r="AS1453" s="423"/>
      <c r="AT1453" s="423"/>
      <c r="AU1453" s="423"/>
      <c r="AV1453" s="423"/>
      <c r="AW1453" s="418"/>
      <c r="AX1453" s="418"/>
      <c r="AY1453" s="418"/>
      <c r="AZ1453" s="418"/>
      <c r="BA1453" s="418"/>
      <c r="BB1453" s="306"/>
    </row>
    <row r="1454" spans="1:54" ht="15.75" customHeight="1">
      <c r="A1454" s="415"/>
      <c r="B1454" s="417"/>
      <c r="C1454" s="417"/>
      <c r="D1454" s="418"/>
      <c r="E1454" s="418"/>
      <c r="F1454" s="419"/>
      <c r="G1454" s="420"/>
      <c r="H1454" s="421"/>
      <c r="I1454" s="421"/>
      <c r="J1454" s="427"/>
      <c r="K1454" s="418"/>
      <c r="L1454" s="418"/>
      <c r="M1454" s="418"/>
      <c r="N1454" s="421"/>
      <c r="O1454" s="418"/>
      <c r="P1454" s="421"/>
      <c r="Q1454" s="418"/>
      <c r="R1454" s="1022"/>
      <c r="S1454" s="1022"/>
      <c r="T1454" s="418"/>
      <c r="U1454" s="418"/>
      <c r="V1454" s="418"/>
      <c r="W1454" s="418"/>
      <c r="X1454" s="418"/>
      <c r="Y1454" s="418"/>
      <c r="Z1454" s="418"/>
      <c r="AA1454" s="418"/>
      <c r="AB1454" s="418"/>
      <c r="AC1454" s="418"/>
      <c r="AD1454" s="418"/>
      <c r="AE1454" s="418"/>
      <c r="AF1454" s="418"/>
      <c r="AG1454" s="418"/>
      <c r="AH1454" s="418"/>
      <c r="AI1454" s="418"/>
      <c r="AJ1454" s="418"/>
      <c r="AK1454" s="418"/>
      <c r="AL1454" s="418"/>
      <c r="AM1454" s="418"/>
      <c r="AN1454" s="423"/>
      <c r="AO1454" s="423"/>
      <c r="AP1454" s="423"/>
      <c r="AQ1454" s="423"/>
      <c r="AR1454" s="423"/>
      <c r="AS1454" s="423"/>
      <c r="AT1454" s="423"/>
      <c r="AU1454" s="423"/>
      <c r="AV1454" s="423"/>
      <c r="AW1454" s="418"/>
      <c r="AX1454" s="418"/>
      <c r="AY1454" s="418"/>
      <c r="AZ1454" s="418"/>
      <c r="BA1454" s="418"/>
      <c r="BB1454" s="306"/>
    </row>
    <row r="1455" spans="1:54" ht="15.75" customHeight="1">
      <c r="A1455" s="415"/>
      <c r="B1455" s="417"/>
      <c r="C1455" s="417"/>
      <c r="D1455" s="418"/>
      <c r="E1455" s="418"/>
      <c r="F1455" s="419"/>
      <c r="G1455" s="420"/>
      <c r="H1455" s="421"/>
      <c r="I1455" s="421"/>
      <c r="J1455" s="427"/>
      <c r="K1455" s="418"/>
      <c r="L1455" s="418"/>
      <c r="M1455" s="418"/>
      <c r="N1455" s="421"/>
      <c r="O1455" s="418"/>
      <c r="P1455" s="421"/>
      <c r="Q1455" s="418"/>
      <c r="R1455" s="1022"/>
      <c r="S1455" s="1022"/>
      <c r="T1455" s="418"/>
      <c r="U1455" s="418"/>
      <c r="V1455" s="418"/>
      <c r="W1455" s="418"/>
      <c r="X1455" s="418"/>
      <c r="Y1455" s="418"/>
      <c r="Z1455" s="418"/>
      <c r="AA1455" s="418"/>
      <c r="AB1455" s="418"/>
      <c r="AC1455" s="418"/>
      <c r="AD1455" s="418"/>
      <c r="AE1455" s="418"/>
      <c r="AF1455" s="418"/>
      <c r="AG1455" s="418"/>
      <c r="AH1455" s="418"/>
      <c r="AI1455" s="418"/>
      <c r="AJ1455" s="418"/>
      <c r="AK1455" s="418"/>
      <c r="AL1455" s="418"/>
      <c r="AM1455" s="418"/>
      <c r="AN1455" s="423"/>
      <c r="AO1455" s="423"/>
      <c r="AP1455" s="423"/>
      <c r="AQ1455" s="423"/>
      <c r="AR1455" s="423"/>
      <c r="AS1455" s="423"/>
      <c r="AT1455" s="423"/>
      <c r="AU1455" s="423"/>
      <c r="AV1455" s="423"/>
      <c r="AW1455" s="418"/>
      <c r="AX1455" s="418"/>
      <c r="AY1455" s="418"/>
      <c r="AZ1455" s="418"/>
      <c r="BA1455" s="418"/>
      <c r="BB1455" s="306"/>
    </row>
    <row r="1456" spans="1:54" ht="15.75" customHeight="1">
      <c r="A1456" s="415"/>
      <c r="B1456" s="417"/>
      <c r="C1456" s="417"/>
      <c r="D1456" s="418"/>
      <c r="E1456" s="418"/>
      <c r="F1456" s="419"/>
      <c r="G1456" s="420"/>
      <c r="H1456" s="421"/>
      <c r="I1456" s="425"/>
      <c r="J1456" s="422"/>
      <c r="K1456" s="418"/>
      <c r="L1456" s="418"/>
      <c r="M1456" s="418"/>
      <c r="N1456" s="421"/>
      <c r="O1456" s="418"/>
      <c r="P1456" s="421"/>
      <c r="Q1456" s="418"/>
      <c r="R1456" s="1022"/>
      <c r="S1456" s="1022"/>
      <c r="T1456" s="418"/>
      <c r="U1456" s="418"/>
      <c r="V1456" s="418"/>
      <c r="W1456" s="418"/>
      <c r="X1456" s="418"/>
      <c r="Y1456" s="418"/>
      <c r="Z1456" s="418"/>
      <c r="AA1456" s="418"/>
      <c r="AB1456" s="418"/>
      <c r="AC1456" s="418"/>
      <c r="AD1456" s="418"/>
      <c r="AE1456" s="418"/>
      <c r="AF1456" s="418"/>
      <c r="AG1456" s="418"/>
      <c r="AH1456" s="418"/>
      <c r="AI1456" s="418"/>
      <c r="AJ1456" s="418"/>
      <c r="AK1456" s="418"/>
      <c r="AL1456" s="418"/>
      <c r="AM1456" s="418"/>
      <c r="AN1456" s="423"/>
      <c r="AO1456" s="423"/>
      <c r="AP1456" s="423"/>
      <c r="AQ1456" s="423"/>
      <c r="AR1456" s="423"/>
      <c r="AS1456" s="423"/>
      <c r="AT1456" s="423"/>
      <c r="AU1456" s="423"/>
      <c r="AV1456" s="423"/>
      <c r="AW1456" s="418"/>
      <c r="AX1456" s="418"/>
      <c r="AY1456" s="418"/>
      <c r="AZ1456" s="418"/>
      <c r="BA1456" s="418"/>
      <c r="BB1456" s="306"/>
    </row>
    <row r="1457" spans="1:54" ht="15.75" customHeight="1">
      <c r="A1457" s="415"/>
      <c r="B1457" s="417"/>
      <c r="C1457" s="417"/>
      <c r="D1457" s="418"/>
      <c r="E1457" s="418"/>
      <c r="F1457" s="419"/>
      <c r="G1457" s="420"/>
      <c r="H1457" s="421"/>
      <c r="I1457" s="421"/>
      <c r="J1457" s="422"/>
      <c r="K1457" s="418"/>
      <c r="L1457" s="418"/>
      <c r="M1457" s="418"/>
      <c r="N1457" s="421"/>
      <c r="O1457" s="421"/>
      <c r="P1457" s="421"/>
      <c r="Q1457" s="418"/>
      <c r="R1457" s="1022"/>
      <c r="S1457" s="1022"/>
      <c r="T1457" s="418"/>
      <c r="U1457" s="418"/>
      <c r="V1457" s="418"/>
      <c r="W1457" s="418"/>
      <c r="X1457" s="418"/>
      <c r="Y1457" s="418"/>
      <c r="Z1457" s="418"/>
      <c r="AA1457" s="418"/>
      <c r="AB1457" s="418"/>
      <c r="AC1457" s="418"/>
      <c r="AD1457" s="418"/>
      <c r="AE1457" s="418"/>
      <c r="AF1457" s="418"/>
      <c r="AG1457" s="418"/>
      <c r="AH1457" s="418"/>
      <c r="AI1457" s="418"/>
      <c r="AJ1457" s="418"/>
      <c r="AK1457" s="418"/>
      <c r="AL1457" s="418"/>
      <c r="AM1457" s="418"/>
      <c r="AN1457" s="423"/>
      <c r="AO1457" s="423"/>
      <c r="AP1457" s="423"/>
      <c r="AQ1457" s="423"/>
      <c r="AR1457" s="423"/>
      <c r="AS1457" s="423"/>
      <c r="AT1457" s="423"/>
      <c r="AU1457" s="423"/>
      <c r="AV1457" s="423"/>
      <c r="AW1457" s="418"/>
      <c r="AX1457" s="418"/>
      <c r="AY1457" s="418"/>
      <c r="AZ1457" s="418"/>
      <c r="BA1457" s="418"/>
      <c r="BB1457" s="306"/>
    </row>
    <row r="1458" spans="1:54" ht="15.75" customHeight="1">
      <c r="A1458" s="415"/>
      <c r="B1458" s="417"/>
      <c r="C1458" s="417"/>
      <c r="D1458" s="418"/>
      <c r="E1458" s="418"/>
      <c r="F1458" s="419"/>
      <c r="G1458" s="420"/>
      <c r="H1458" s="421"/>
      <c r="I1458" s="421"/>
      <c r="J1458" s="422"/>
      <c r="K1458" s="418"/>
      <c r="L1458" s="418"/>
      <c r="M1458" s="418"/>
      <c r="N1458" s="421"/>
      <c r="O1458" s="421"/>
      <c r="P1458" s="421"/>
      <c r="Q1458" s="418"/>
      <c r="R1458" s="1022"/>
      <c r="S1458" s="1022"/>
      <c r="T1458" s="418"/>
      <c r="U1458" s="418"/>
      <c r="V1458" s="418"/>
      <c r="W1458" s="418"/>
      <c r="X1458" s="418"/>
      <c r="Y1458" s="418"/>
      <c r="Z1458" s="418"/>
      <c r="AA1458" s="418"/>
      <c r="AB1458" s="418"/>
      <c r="AC1458" s="418"/>
      <c r="AD1458" s="418"/>
      <c r="AE1458" s="418"/>
      <c r="AF1458" s="418"/>
      <c r="AG1458" s="418"/>
      <c r="AH1458" s="418"/>
      <c r="AI1458" s="418"/>
      <c r="AJ1458" s="418"/>
      <c r="AK1458" s="418"/>
      <c r="AL1458" s="418"/>
      <c r="AM1458" s="418"/>
      <c r="AN1458" s="423"/>
      <c r="AO1458" s="423"/>
      <c r="AP1458" s="423"/>
      <c r="AQ1458" s="423"/>
      <c r="AR1458" s="423"/>
      <c r="AS1458" s="423"/>
      <c r="AT1458" s="423"/>
      <c r="AU1458" s="423"/>
      <c r="AV1458" s="423"/>
      <c r="AW1458" s="418"/>
      <c r="AX1458" s="418"/>
      <c r="AY1458" s="418"/>
      <c r="AZ1458" s="418"/>
      <c r="BA1458" s="418"/>
      <c r="BB1458" s="306"/>
    </row>
    <row r="1459" spans="1:54" ht="15.75" customHeight="1">
      <c r="A1459" s="415"/>
      <c r="B1459" s="416"/>
      <c r="C1459" s="417"/>
      <c r="D1459" s="418"/>
      <c r="E1459" s="418"/>
      <c r="F1459" s="419"/>
      <c r="G1459" s="420"/>
      <c r="H1459" s="421"/>
      <c r="I1459" s="421"/>
      <c r="J1459" s="422"/>
      <c r="K1459" s="418"/>
      <c r="L1459" s="418"/>
      <c r="M1459" s="418"/>
      <c r="N1459" s="421"/>
      <c r="O1459" s="421"/>
      <c r="P1459" s="421"/>
      <c r="Q1459" s="418"/>
      <c r="R1459" s="1022"/>
      <c r="S1459" s="1022"/>
      <c r="T1459" s="418"/>
      <c r="U1459" s="418"/>
      <c r="V1459" s="418"/>
      <c r="W1459" s="418"/>
      <c r="X1459" s="418"/>
      <c r="Y1459" s="418"/>
      <c r="Z1459" s="418"/>
      <c r="AA1459" s="418"/>
      <c r="AB1459" s="418"/>
      <c r="AC1459" s="418"/>
      <c r="AD1459" s="418"/>
      <c r="AE1459" s="418"/>
      <c r="AF1459" s="418"/>
      <c r="AG1459" s="418"/>
      <c r="AH1459" s="418"/>
      <c r="AI1459" s="418"/>
      <c r="AJ1459" s="418"/>
      <c r="AK1459" s="418"/>
      <c r="AL1459" s="418"/>
      <c r="AM1459" s="418"/>
      <c r="AN1459" s="423"/>
      <c r="AO1459" s="423"/>
      <c r="AP1459" s="423"/>
      <c r="AQ1459" s="423"/>
      <c r="AR1459" s="423"/>
      <c r="AS1459" s="423"/>
      <c r="AT1459" s="423"/>
      <c r="AU1459" s="423"/>
      <c r="AV1459" s="423"/>
      <c r="AW1459" s="418"/>
      <c r="AX1459" s="418"/>
      <c r="AY1459" s="418"/>
      <c r="AZ1459" s="418"/>
      <c r="BA1459" s="418"/>
      <c r="BB1459" s="306"/>
    </row>
    <row r="1460" spans="1:54" ht="15.75" customHeight="1">
      <c r="A1460" s="415"/>
      <c r="B1460" s="416"/>
      <c r="C1460" s="417"/>
      <c r="D1460" s="418"/>
      <c r="E1460" s="418"/>
      <c r="F1460" s="419"/>
      <c r="G1460" s="420"/>
      <c r="H1460" s="421"/>
      <c r="I1460" s="421"/>
      <c r="J1460" s="422"/>
      <c r="K1460" s="418"/>
      <c r="L1460" s="418"/>
      <c r="M1460" s="418"/>
      <c r="N1460" s="421"/>
      <c r="O1460" s="418"/>
      <c r="P1460" s="421"/>
      <c r="Q1460" s="418"/>
      <c r="R1460" s="1022"/>
      <c r="S1460" s="1022"/>
      <c r="T1460" s="418"/>
      <c r="U1460" s="418"/>
      <c r="V1460" s="418"/>
      <c r="W1460" s="418"/>
      <c r="X1460" s="418"/>
      <c r="Y1460" s="418"/>
      <c r="Z1460" s="418"/>
      <c r="AA1460" s="418"/>
      <c r="AB1460" s="418"/>
      <c r="AC1460" s="418"/>
      <c r="AD1460" s="418"/>
      <c r="AE1460" s="418"/>
      <c r="AF1460" s="418"/>
      <c r="AG1460" s="418"/>
      <c r="AH1460" s="418"/>
      <c r="AI1460" s="418"/>
      <c r="AJ1460" s="418"/>
      <c r="AK1460" s="418"/>
      <c r="AL1460" s="418"/>
      <c r="AM1460" s="418"/>
      <c r="AN1460" s="423"/>
      <c r="AO1460" s="423"/>
      <c r="AP1460" s="423"/>
      <c r="AQ1460" s="423"/>
      <c r="AR1460" s="423"/>
      <c r="AS1460" s="423"/>
      <c r="AT1460" s="423"/>
      <c r="AU1460" s="423"/>
      <c r="AV1460" s="423"/>
      <c r="AW1460" s="418"/>
      <c r="AX1460" s="418"/>
      <c r="AY1460" s="418"/>
      <c r="AZ1460" s="418"/>
      <c r="BA1460" s="418"/>
      <c r="BB1460" s="306"/>
    </row>
    <row r="1461" spans="1:54" ht="15.75" customHeight="1">
      <c r="A1461" s="415"/>
      <c r="B1461" s="416"/>
      <c r="C1461" s="417"/>
      <c r="D1461" s="418"/>
      <c r="E1461" s="418"/>
      <c r="F1461" s="419"/>
      <c r="G1461" s="420"/>
      <c r="H1461" s="421"/>
      <c r="I1461" s="421"/>
      <c r="J1461" s="422"/>
      <c r="K1461" s="418"/>
      <c r="L1461" s="418"/>
      <c r="M1461" s="418"/>
      <c r="N1461" s="421"/>
      <c r="O1461" s="421"/>
      <c r="P1461" s="421"/>
      <c r="Q1461" s="418"/>
      <c r="R1461" s="1022"/>
      <c r="S1461" s="1022"/>
      <c r="T1461" s="418"/>
      <c r="U1461" s="418"/>
      <c r="V1461" s="418"/>
      <c r="W1461" s="418"/>
      <c r="X1461" s="418"/>
      <c r="Y1461" s="418"/>
      <c r="Z1461" s="418"/>
      <c r="AA1461" s="418"/>
      <c r="AB1461" s="418"/>
      <c r="AC1461" s="418"/>
      <c r="AD1461" s="418"/>
      <c r="AE1461" s="418"/>
      <c r="AF1461" s="418"/>
      <c r="AG1461" s="418"/>
      <c r="AH1461" s="418"/>
      <c r="AI1461" s="418"/>
      <c r="AJ1461" s="418"/>
      <c r="AK1461" s="418"/>
      <c r="AL1461" s="418"/>
      <c r="AM1461" s="418"/>
      <c r="AN1461" s="423"/>
      <c r="AO1461" s="423"/>
      <c r="AP1461" s="423"/>
      <c r="AQ1461" s="423"/>
      <c r="AR1461" s="423"/>
      <c r="AS1461" s="423"/>
      <c r="AT1461" s="423"/>
      <c r="AU1461" s="423"/>
      <c r="AV1461" s="423"/>
      <c r="AW1461" s="418"/>
      <c r="AX1461" s="418"/>
      <c r="AY1461" s="418"/>
      <c r="AZ1461" s="418"/>
      <c r="BA1461" s="418"/>
      <c r="BB1461" s="306"/>
    </row>
    <row r="1462" spans="1:54" ht="15.75" customHeight="1">
      <c r="A1462" s="415"/>
      <c r="B1462" s="416"/>
      <c r="C1462" s="417"/>
      <c r="D1462" s="418"/>
      <c r="E1462" s="418"/>
      <c r="F1462" s="419"/>
      <c r="G1462" s="420"/>
      <c r="H1462" s="421"/>
      <c r="I1462" s="421"/>
      <c r="J1462" s="422"/>
      <c r="K1462" s="418"/>
      <c r="L1462" s="418"/>
      <c r="M1462" s="418"/>
      <c r="N1462" s="421"/>
      <c r="O1462" s="421"/>
      <c r="P1462" s="421"/>
      <c r="Q1462" s="418"/>
      <c r="R1462" s="1022"/>
      <c r="S1462" s="1022"/>
      <c r="T1462" s="418"/>
      <c r="U1462" s="418"/>
      <c r="V1462" s="418"/>
      <c r="W1462" s="418"/>
      <c r="X1462" s="418"/>
      <c r="Y1462" s="418"/>
      <c r="Z1462" s="418"/>
      <c r="AA1462" s="418"/>
      <c r="AB1462" s="418"/>
      <c r="AC1462" s="418"/>
      <c r="AD1462" s="418"/>
      <c r="AE1462" s="418"/>
      <c r="AF1462" s="418"/>
      <c r="AG1462" s="418"/>
      <c r="AH1462" s="418"/>
      <c r="AI1462" s="418"/>
      <c r="AJ1462" s="418"/>
      <c r="AK1462" s="418"/>
      <c r="AL1462" s="418"/>
      <c r="AM1462" s="418"/>
      <c r="AN1462" s="423"/>
      <c r="AO1462" s="423"/>
      <c r="AP1462" s="423"/>
      <c r="AQ1462" s="423"/>
      <c r="AR1462" s="423"/>
      <c r="AS1462" s="423"/>
      <c r="AT1462" s="423"/>
      <c r="AU1462" s="423"/>
      <c r="AV1462" s="423"/>
      <c r="AW1462" s="418"/>
      <c r="AX1462" s="418"/>
      <c r="AY1462" s="418"/>
      <c r="AZ1462" s="418"/>
      <c r="BA1462" s="418"/>
      <c r="BB1462" s="306"/>
    </row>
    <row r="1463" spans="1:54" ht="15.75" customHeight="1">
      <c r="A1463" s="415"/>
      <c r="B1463" s="416"/>
      <c r="C1463" s="417"/>
      <c r="D1463" s="418"/>
      <c r="E1463" s="418"/>
      <c r="F1463" s="419"/>
      <c r="G1463" s="420"/>
      <c r="H1463" s="421"/>
      <c r="I1463" s="421"/>
      <c r="J1463" s="422"/>
      <c r="K1463" s="418"/>
      <c r="L1463" s="418"/>
      <c r="M1463" s="418"/>
      <c r="N1463" s="421"/>
      <c r="O1463" s="421"/>
      <c r="P1463" s="421"/>
      <c r="Q1463" s="418"/>
      <c r="R1463" s="1022"/>
      <c r="S1463" s="1022"/>
      <c r="T1463" s="418"/>
      <c r="U1463" s="418"/>
      <c r="V1463" s="418"/>
      <c r="W1463" s="418"/>
      <c r="X1463" s="418"/>
      <c r="Y1463" s="418"/>
      <c r="Z1463" s="418"/>
      <c r="AA1463" s="418"/>
      <c r="AB1463" s="418"/>
      <c r="AC1463" s="418"/>
      <c r="AD1463" s="418"/>
      <c r="AE1463" s="418"/>
      <c r="AF1463" s="418"/>
      <c r="AG1463" s="418"/>
      <c r="AH1463" s="418"/>
      <c r="AI1463" s="418"/>
      <c r="AJ1463" s="418"/>
      <c r="AK1463" s="418"/>
      <c r="AL1463" s="418"/>
      <c r="AM1463" s="418"/>
      <c r="AN1463" s="423"/>
      <c r="AO1463" s="423"/>
      <c r="AP1463" s="423"/>
      <c r="AQ1463" s="423"/>
      <c r="AR1463" s="423"/>
      <c r="AS1463" s="423"/>
      <c r="AT1463" s="423"/>
      <c r="AU1463" s="423"/>
      <c r="AV1463" s="423"/>
      <c r="AW1463" s="418"/>
      <c r="AX1463" s="418"/>
      <c r="AY1463" s="418"/>
      <c r="AZ1463" s="418"/>
      <c r="BA1463" s="418"/>
      <c r="BB1463" s="306"/>
    </row>
    <row r="1464" spans="1:54" ht="15.75" customHeight="1">
      <c r="A1464" s="415"/>
      <c r="B1464" s="416"/>
      <c r="C1464" s="417"/>
      <c r="D1464" s="418"/>
      <c r="E1464" s="418"/>
      <c r="F1464" s="419"/>
      <c r="G1464" s="420"/>
      <c r="H1464" s="421"/>
      <c r="I1464" s="421"/>
      <c r="J1464" s="422"/>
      <c r="K1464" s="418"/>
      <c r="L1464" s="418"/>
      <c r="M1464" s="418"/>
      <c r="N1464" s="421"/>
      <c r="O1464" s="421"/>
      <c r="P1464" s="421"/>
      <c r="Q1464" s="418"/>
      <c r="R1464" s="1022"/>
      <c r="S1464" s="1022"/>
      <c r="T1464" s="418"/>
      <c r="U1464" s="418"/>
      <c r="V1464" s="418"/>
      <c r="W1464" s="418"/>
      <c r="X1464" s="418"/>
      <c r="Y1464" s="418"/>
      <c r="Z1464" s="418"/>
      <c r="AA1464" s="418"/>
      <c r="AB1464" s="418"/>
      <c r="AC1464" s="418"/>
      <c r="AD1464" s="418"/>
      <c r="AE1464" s="418"/>
      <c r="AF1464" s="418"/>
      <c r="AG1464" s="418"/>
      <c r="AH1464" s="418"/>
      <c r="AI1464" s="418"/>
      <c r="AJ1464" s="418"/>
      <c r="AK1464" s="418"/>
      <c r="AL1464" s="418"/>
      <c r="AM1464" s="418"/>
      <c r="AN1464" s="423"/>
      <c r="AO1464" s="423"/>
      <c r="AP1464" s="423"/>
      <c r="AQ1464" s="423"/>
      <c r="AR1464" s="423"/>
      <c r="AS1464" s="423"/>
      <c r="AT1464" s="423"/>
      <c r="AU1464" s="423"/>
      <c r="AV1464" s="423"/>
      <c r="AW1464" s="418"/>
      <c r="AX1464" s="418"/>
      <c r="AY1464" s="418"/>
      <c r="AZ1464" s="418"/>
      <c r="BA1464" s="418"/>
      <c r="BB1464" s="306"/>
    </row>
    <row r="1465" spans="1:54" ht="15.75" customHeight="1">
      <c r="A1465" s="415"/>
      <c r="B1465" s="416"/>
      <c r="C1465" s="417"/>
      <c r="D1465" s="418"/>
      <c r="E1465" s="418"/>
      <c r="F1465" s="419"/>
      <c r="G1465" s="420"/>
      <c r="H1465" s="421"/>
      <c r="I1465" s="421"/>
      <c r="J1465" s="422"/>
      <c r="K1465" s="418"/>
      <c r="L1465" s="418"/>
      <c r="M1465" s="418"/>
      <c r="N1465" s="421"/>
      <c r="O1465" s="421"/>
      <c r="P1465" s="421"/>
      <c r="Q1465" s="418"/>
      <c r="R1465" s="1022"/>
      <c r="S1465" s="1022"/>
      <c r="T1465" s="418"/>
      <c r="U1465" s="418"/>
      <c r="V1465" s="418"/>
      <c r="W1465" s="418"/>
      <c r="X1465" s="418"/>
      <c r="Y1465" s="418"/>
      <c r="Z1465" s="418"/>
      <c r="AA1465" s="418"/>
      <c r="AB1465" s="418"/>
      <c r="AC1465" s="418"/>
      <c r="AD1465" s="418"/>
      <c r="AE1465" s="418"/>
      <c r="AF1465" s="418"/>
      <c r="AG1465" s="418"/>
      <c r="AH1465" s="418"/>
      <c r="AI1465" s="418"/>
      <c r="AJ1465" s="418"/>
      <c r="AK1465" s="418"/>
      <c r="AL1465" s="418"/>
      <c r="AM1465" s="418"/>
      <c r="AN1465" s="423"/>
      <c r="AO1465" s="423"/>
      <c r="AP1465" s="423"/>
      <c r="AQ1465" s="423"/>
      <c r="AR1465" s="423"/>
      <c r="AS1465" s="423"/>
      <c r="AT1465" s="423"/>
      <c r="AU1465" s="423"/>
      <c r="AV1465" s="423"/>
      <c r="AW1465" s="418"/>
      <c r="AX1465" s="418"/>
      <c r="AY1465" s="418"/>
      <c r="AZ1465" s="418"/>
      <c r="BA1465" s="418"/>
      <c r="BB1465" s="306"/>
    </row>
    <row r="1466" spans="1:54" ht="15.75" customHeight="1">
      <c r="A1466" s="415"/>
      <c r="B1466" s="416"/>
      <c r="C1466" s="417"/>
      <c r="D1466" s="418"/>
      <c r="E1466" s="418"/>
      <c r="F1466" s="419"/>
      <c r="G1466" s="420"/>
      <c r="H1466" s="421"/>
      <c r="I1466" s="421"/>
      <c r="J1466" s="422"/>
      <c r="K1466" s="418"/>
      <c r="L1466" s="418"/>
      <c r="M1466" s="418"/>
      <c r="N1466" s="421"/>
      <c r="O1466" s="421"/>
      <c r="P1466" s="421"/>
      <c r="Q1466" s="418"/>
      <c r="R1466" s="1022"/>
      <c r="S1466" s="1022"/>
      <c r="T1466" s="418"/>
      <c r="U1466" s="418"/>
      <c r="V1466" s="418"/>
      <c r="W1466" s="418"/>
      <c r="X1466" s="418"/>
      <c r="Y1466" s="418"/>
      <c r="Z1466" s="418"/>
      <c r="AA1466" s="418"/>
      <c r="AB1466" s="418"/>
      <c r="AC1466" s="418"/>
      <c r="AD1466" s="418"/>
      <c r="AE1466" s="418"/>
      <c r="AF1466" s="418"/>
      <c r="AG1466" s="418"/>
      <c r="AH1466" s="418"/>
      <c r="AI1466" s="418"/>
      <c r="AJ1466" s="418"/>
      <c r="AK1466" s="418"/>
      <c r="AL1466" s="418"/>
      <c r="AM1466" s="418"/>
      <c r="AN1466" s="423"/>
      <c r="AO1466" s="423"/>
      <c r="AP1466" s="423"/>
      <c r="AQ1466" s="423"/>
      <c r="AR1466" s="423"/>
      <c r="AS1466" s="423"/>
      <c r="AT1466" s="423"/>
      <c r="AU1466" s="423"/>
      <c r="AV1466" s="423"/>
      <c r="AW1466" s="418"/>
      <c r="AX1466" s="418"/>
      <c r="AY1466" s="418"/>
      <c r="AZ1466" s="418"/>
      <c r="BA1466" s="418"/>
      <c r="BB1466" s="306"/>
    </row>
    <row r="1467" spans="1:54" ht="15.75" customHeight="1">
      <c r="A1467" s="415"/>
      <c r="B1467" s="416"/>
      <c r="C1467" s="417"/>
      <c r="D1467" s="418"/>
      <c r="E1467" s="418"/>
      <c r="F1467" s="419"/>
      <c r="G1467" s="420"/>
      <c r="H1467" s="421"/>
      <c r="I1467" s="421"/>
      <c r="J1467" s="422"/>
      <c r="K1467" s="418"/>
      <c r="L1467" s="418"/>
      <c r="M1467" s="418"/>
      <c r="N1467" s="421"/>
      <c r="O1467" s="421"/>
      <c r="P1467" s="421"/>
      <c r="Q1467" s="418"/>
      <c r="R1467" s="1022"/>
      <c r="S1467" s="1022"/>
      <c r="T1467" s="418"/>
      <c r="U1467" s="418"/>
      <c r="V1467" s="418"/>
      <c r="W1467" s="418"/>
      <c r="X1467" s="418"/>
      <c r="Y1467" s="418"/>
      <c r="Z1467" s="418"/>
      <c r="AA1467" s="418"/>
      <c r="AB1467" s="418"/>
      <c r="AC1467" s="418"/>
      <c r="AD1467" s="418"/>
      <c r="AE1467" s="418"/>
      <c r="AF1467" s="418"/>
      <c r="AG1467" s="418"/>
      <c r="AH1467" s="418"/>
      <c r="AI1467" s="418"/>
      <c r="AJ1467" s="418"/>
      <c r="AK1467" s="418"/>
      <c r="AL1467" s="418"/>
      <c r="AM1467" s="418"/>
      <c r="AN1467" s="423"/>
      <c r="AO1467" s="423"/>
      <c r="AP1467" s="423"/>
      <c r="AQ1467" s="423"/>
      <c r="AR1467" s="423"/>
      <c r="AS1467" s="423"/>
      <c r="AT1467" s="423"/>
      <c r="AU1467" s="423"/>
      <c r="AV1467" s="423"/>
      <c r="AW1467" s="418"/>
      <c r="AX1467" s="418"/>
      <c r="AY1467" s="418"/>
      <c r="AZ1467" s="418"/>
      <c r="BA1467" s="418"/>
      <c r="BB1467" s="306"/>
    </row>
    <row r="1468" spans="1:54" ht="15.75" customHeight="1">
      <c r="A1468" s="415"/>
      <c r="B1468" s="416"/>
      <c r="C1468" s="417"/>
      <c r="D1468" s="418"/>
      <c r="E1468" s="418"/>
      <c r="F1468" s="419"/>
      <c r="G1468" s="420"/>
      <c r="H1468" s="421"/>
      <c r="I1468" s="421"/>
      <c r="J1468" s="422"/>
      <c r="K1468" s="418"/>
      <c r="L1468" s="418"/>
      <c r="M1468" s="418"/>
      <c r="N1468" s="421"/>
      <c r="O1468" s="421"/>
      <c r="P1468" s="421"/>
      <c r="Q1468" s="418"/>
      <c r="R1468" s="1022"/>
      <c r="S1468" s="1022"/>
      <c r="T1468" s="418"/>
      <c r="U1468" s="418"/>
      <c r="V1468" s="418"/>
      <c r="W1468" s="418"/>
      <c r="X1468" s="418"/>
      <c r="Y1468" s="418"/>
      <c r="Z1468" s="418"/>
      <c r="AA1468" s="418"/>
      <c r="AB1468" s="418"/>
      <c r="AC1468" s="418"/>
      <c r="AD1468" s="418"/>
      <c r="AE1468" s="418"/>
      <c r="AF1468" s="418"/>
      <c r="AG1468" s="418"/>
      <c r="AH1468" s="418"/>
      <c r="AI1468" s="418"/>
      <c r="AJ1468" s="418"/>
      <c r="AK1468" s="418"/>
      <c r="AL1468" s="418"/>
      <c r="AM1468" s="418"/>
      <c r="AN1468" s="423"/>
      <c r="AO1468" s="423"/>
      <c r="AP1468" s="423"/>
      <c r="AQ1468" s="423"/>
      <c r="AR1468" s="423"/>
      <c r="AS1468" s="423"/>
      <c r="AT1468" s="423"/>
      <c r="AU1468" s="423"/>
      <c r="AV1468" s="423"/>
      <c r="AW1468" s="418"/>
      <c r="AX1468" s="418"/>
      <c r="AY1468" s="418"/>
      <c r="AZ1468" s="418"/>
      <c r="BA1468" s="418"/>
      <c r="BB1468" s="306"/>
    </row>
    <row r="1469" spans="1:54" ht="15.75" customHeight="1">
      <c r="A1469" s="415"/>
      <c r="B1469" s="416"/>
      <c r="C1469" s="417"/>
      <c r="D1469" s="418"/>
      <c r="E1469" s="418"/>
      <c r="F1469" s="419"/>
      <c r="G1469" s="420"/>
      <c r="H1469" s="421"/>
      <c r="I1469" s="425"/>
      <c r="J1469" s="422"/>
      <c r="K1469" s="418"/>
      <c r="L1469" s="418"/>
      <c r="M1469" s="418"/>
      <c r="N1469" s="421"/>
      <c r="O1469" s="421"/>
      <c r="P1469" s="421"/>
      <c r="Q1469" s="418"/>
      <c r="R1469" s="1022"/>
      <c r="S1469" s="1022"/>
      <c r="T1469" s="418"/>
      <c r="U1469" s="418"/>
      <c r="V1469" s="418"/>
      <c r="W1469" s="418"/>
      <c r="X1469" s="418"/>
      <c r="Y1469" s="418"/>
      <c r="Z1469" s="418"/>
      <c r="AA1469" s="418"/>
      <c r="AB1469" s="418"/>
      <c r="AC1469" s="418"/>
      <c r="AD1469" s="418"/>
      <c r="AE1469" s="418"/>
      <c r="AF1469" s="418"/>
      <c r="AG1469" s="418"/>
      <c r="AH1469" s="418"/>
      <c r="AI1469" s="418"/>
      <c r="AJ1469" s="418"/>
      <c r="AK1469" s="418"/>
      <c r="AL1469" s="418"/>
      <c r="AM1469" s="418"/>
      <c r="AN1469" s="423"/>
      <c r="AO1469" s="423"/>
      <c r="AP1469" s="423"/>
      <c r="AQ1469" s="423"/>
      <c r="AR1469" s="423"/>
      <c r="AS1469" s="423"/>
      <c r="AT1469" s="423"/>
      <c r="AU1469" s="423"/>
      <c r="AV1469" s="423"/>
      <c r="AW1469" s="418"/>
      <c r="AX1469" s="418"/>
      <c r="AY1469" s="418"/>
      <c r="AZ1469" s="418"/>
      <c r="BA1469" s="418"/>
      <c r="BB1469" s="306"/>
    </row>
    <row r="1470" spans="1:54" ht="15.75" customHeight="1">
      <c r="A1470" s="415"/>
      <c r="B1470" s="416"/>
      <c r="C1470" s="417"/>
      <c r="D1470" s="418"/>
      <c r="E1470" s="418"/>
      <c r="F1470" s="419"/>
      <c r="G1470" s="420"/>
      <c r="H1470" s="421"/>
      <c r="I1470" s="421"/>
      <c r="J1470" s="422"/>
      <c r="K1470" s="418"/>
      <c r="L1470" s="418"/>
      <c r="M1470" s="418"/>
      <c r="N1470" s="421"/>
      <c r="O1470" s="421"/>
      <c r="P1470" s="421"/>
      <c r="Q1470" s="418"/>
      <c r="R1470" s="1022"/>
      <c r="S1470" s="1022"/>
      <c r="T1470" s="418"/>
      <c r="U1470" s="418"/>
      <c r="V1470" s="418"/>
      <c r="W1470" s="418"/>
      <c r="X1470" s="418"/>
      <c r="Y1470" s="418"/>
      <c r="Z1470" s="418"/>
      <c r="AA1470" s="418"/>
      <c r="AB1470" s="418"/>
      <c r="AC1470" s="418"/>
      <c r="AD1470" s="418"/>
      <c r="AE1470" s="418"/>
      <c r="AF1470" s="418"/>
      <c r="AG1470" s="418"/>
      <c r="AH1470" s="418"/>
      <c r="AI1470" s="418"/>
      <c r="AJ1470" s="418"/>
      <c r="AK1470" s="418"/>
      <c r="AL1470" s="418"/>
      <c r="AM1470" s="418"/>
      <c r="AN1470" s="423"/>
      <c r="AO1470" s="423"/>
      <c r="AP1470" s="423"/>
      <c r="AQ1470" s="423"/>
      <c r="AR1470" s="423"/>
      <c r="AS1470" s="423"/>
      <c r="AT1470" s="423"/>
      <c r="AU1470" s="423"/>
      <c r="AV1470" s="423"/>
      <c r="AW1470" s="418"/>
      <c r="AX1470" s="418"/>
      <c r="AY1470" s="418"/>
      <c r="AZ1470" s="418"/>
      <c r="BA1470" s="418"/>
      <c r="BB1470" s="306"/>
    </row>
    <row r="1471" spans="1:54" ht="15.75" customHeight="1">
      <c r="A1471" s="415"/>
      <c r="B1471" s="416"/>
      <c r="C1471" s="417"/>
      <c r="D1471" s="418"/>
      <c r="E1471" s="418"/>
      <c r="F1471" s="419"/>
      <c r="G1471" s="420"/>
      <c r="H1471" s="421"/>
      <c r="I1471" s="425"/>
      <c r="J1471" s="422"/>
      <c r="K1471" s="418"/>
      <c r="L1471" s="418"/>
      <c r="M1471" s="418"/>
      <c r="N1471" s="421"/>
      <c r="O1471" s="421"/>
      <c r="P1471" s="421"/>
      <c r="Q1471" s="418"/>
      <c r="R1471" s="1022"/>
      <c r="S1471" s="1022"/>
      <c r="T1471" s="418"/>
      <c r="U1471" s="418"/>
      <c r="V1471" s="418"/>
      <c r="W1471" s="418"/>
      <c r="X1471" s="418"/>
      <c r="Y1471" s="418"/>
      <c r="Z1471" s="418"/>
      <c r="AA1471" s="418"/>
      <c r="AB1471" s="418"/>
      <c r="AC1471" s="418"/>
      <c r="AD1471" s="418"/>
      <c r="AE1471" s="418"/>
      <c r="AF1471" s="418"/>
      <c r="AG1471" s="418"/>
      <c r="AH1471" s="418"/>
      <c r="AI1471" s="418"/>
      <c r="AJ1471" s="418"/>
      <c r="AK1471" s="418"/>
      <c r="AL1471" s="418"/>
      <c r="AM1471" s="418"/>
      <c r="AN1471" s="423"/>
      <c r="AO1471" s="423"/>
      <c r="AP1471" s="423"/>
      <c r="AQ1471" s="423"/>
      <c r="AR1471" s="423"/>
      <c r="AS1471" s="423"/>
      <c r="AT1471" s="423"/>
      <c r="AU1471" s="423"/>
      <c r="AV1471" s="423"/>
      <c r="AW1471" s="418"/>
      <c r="AX1471" s="418"/>
      <c r="AY1471" s="418"/>
      <c r="AZ1471" s="418"/>
      <c r="BA1471" s="418"/>
      <c r="BB1471" s="306"/>
    </row>
    <row r="1472" spans="1:54" ht="15.75" customHeight="1">
      <c r="A1472" s="415"/>
      <c r="B1472" s="416"/>
      <c r="C1472" s="417"/>
      <c r="D1472" s="418"/>
      <c r="E1472" s="418"/>
      <c r="F1472" s="419"/>
      <c r="G1472" s="420"/>
      <c r="H1472" s="421"/>
      <c r="I1472" s="421"/>
      <c r="J1472" s="422"/>
      <c r="K1472" s="418"/>
      <c r="L1472" s="418"/>
      <c r="M1472" s="418"/>
      <c r="N1472" s="421"/>
      <c r="O1472" s="421"/>
      <c r="P1472" s="421"/>
      <c r="Q1472" s="418"/>
      <c r="R1472" s="1022"/>
      <c r="S1472" s="1022"/>
      <c r="T1472" s="418"/>
      <c r="U1472" s="418"/>
      <c r="V1472" s="418"/>
      <c r="W1472" s="418"/>
      <c r="X1472" s="418"/>
      <c r="Y1472" s="418"/>
      <c r="Z1472" s="418"/>
      <c r="AA1472" s="418"/>
      <c r="AB1472" s="418"/>
      <c r="AC1472" s="418"/>
      <c r="AD1472" s="418"/>
      <c r="AE1472" s="418"/>
      <c r="AF1472" s="418"/>
      <c r="AG1472" s="418"/>
      <c r="AH1472" s="418"/>
      <c r="AI1472" s="418"/>
      <c r="AJ1472" s="418"/>
      <c r="AK1472" s="418"/>
      <c r="AL1472" s="418"/>
      <c r="AM1472" s="418"/>
      <c r="AN1472" s="423"/>
      <c r="AO1472" s="423"/>
      <c r="AP1472" s="423"/>
      <c r="AQ1472" s="423"/>
      <c r="AR1472" s="423"/>
      <c r="AS1472" s="423"/>
      <c r="AT1472" s="423"/>
      <c r="AU1472" s="423"/>
      <c r="AV1472" s="423"/>
      <c r="AW1472" s="418"/>
      <c r="AX1472" s="418"/>
      <c r="AY1472" s="418"/>
      <c r="AZ1472" s="418"/>
      <c r="BA1472" s="418"/>
      <c r="BB1472" s="306"/>
    </row>
    <row r="1473" spans="1:54" ht="15.75" customHeight="1">
      <c r="A1473" s="415"/>
      <c r="B1473" s="416"/>
      <c r="C1473" s="417"/>
      <c r="D1473" s="418"/>
      <c r="E1473" s="418"/>
      <c r="F1473" s="419"/>
      <c r="G1473" s="420"/>
      <c r="H1473" s="421"/>
      <c r="I1473" s="421"/>
      <c r="J1473" s="422"/>
      <c r="K1473" s="418"/>
      <c r="L1473" s="418"/>
      <c r="M1473" s="418"/>
      <c r="N1473" s="421"/>
      <c r="O1473" s="421"/>
      <c r="P1473" s="421"/>
      <c r="Q1473" s="418"/>
      <c r="R1473" s="1022"/>
      <c r="S1473" s="1022"/>
      <c r="T1473" s="418"/>
      <c r="U1473" s="418"/>
      <c r="V1473" s="418"/>
      <c r="W1473" s="418"/>
      <c r="X1473" s="418"/>
      <c r="Y1473" s="418"/>
      <c r="Z1473" s="418"/>
      <c r="AA1473" s="418"/>
      <c r="AB1473" s="418"/>
      <c r="AC1473" s="418"/>
      <c r="AD1473" s="418"/>
      <c r="AE1473" s="418"/>
      <c r="AF1473" s="418"/>
      <c r="AG1473" s="418"/>
      <c r="AH1473" s="418"/>
      <c r="AI1473" s="418"/>
      <c r="AJ1473" s="418"/>
      <c r="AK1473" s="418"/>
      <c r="AL1473" s="418"/>
      <c r="AM1473" s="418"/>
      <c r="AN1473" s="423"/>
      <c r="AO1473" s="423"/>
      <c r="AP1473" s="423"/>
      <c r="AQ1473" s="423"/>
      <c r="AR1473" s="423"/>
      <c r="AS1473" s="423"/>
      <c r="AT1473" s="423"/>
      <c r="AU1473" s="423"/>
      <c r="AV1473" s="423"/>
      <c r="AW1473" s="418"/>
      <c r="AX1473" s="418"/>
      <c r="AY1473" s="418"/>
      <c r="AZ1473" s="418"/>
      <c r="BA1473" s="418"/>
      <c r="BB1473" s="306"/>
    </row>
    <row r="1474" spans="1:54" ht="15.75" customHeight="1">
      <c r="A1474" s="415"/>
      <c r="B1474" s="416"/>
      <c r="C1474" s="417"/>
      <c r="D1474" s="418"/>
      <c r="E1474" s="418"/>
      <c r="F1474" s="419"/>
      <c r="G1474" s="420"/>
      <c r="H1474" s="421"/>
      <c r="I1474" s="421"/>
      <c r="J1474" s="422"/>
      <c r="K1474" s="418"/>
      <c r="L1474" s="418"/>
      <c r="M1474" s="418"/>
      <c r="N1474" s="421"/>
      <c r="O1474" s="421"/>
      <c r="P1474" s="421"/>
      <c r="Q1474" s="418"/>
      <c r="R1474" s="1022"/>
      <c r="S1474" s="1022"/>
      <c r="T1474" s="418"/>
      <c r="U1474" s="418"/>
      <c r="V1474" s="418"/>
      <c r="W1474" s="418"/>
      <c r="X1474" s="418"/>
      <c r="Y1474" s="418"/>
      <c r="Z1474" s="418"/>
      <c r="AA1474" s="418"/>
      <c r="AB1474" s="418"/>
      <c r="AC1474" s="418"/>
      <c r="AD1474" s="418"/>
      <c r="AE1474" s="418"/>
      <c r="AF1474" s="418"/>
      <c r="AG1474" s="418"/>
      <c r="AH1474" s="418"/>
      <c r="AI1474" s="418"/>
      <c r="AJ1474" s="418"/>
      <c r="AK1474" s="418"/>
      <c r="AL1474" s="418"/>
      <c r="AM1474" s="418"/>
      <c r="AN1474" s="423"/>
      <c r="AO1474" s="423"/>
      <c r="AP1474" s="423"/>
      <c r="AQ1474" s="423"/>
      <c r="AR1474" s="423"/>
      <c r="AS1474" s="423"/>
      <c r="AT1474" s="423"/>
      <c r="AU1474" s="423"/>
      <c r="AV1474" s="423"/>
      <c r="AW1474" s="418"/>
      <c r="AX1474" s="418"/>
      <c r="AY1474" s="418"/>
      <c r="AZ1474" s="418"/>
      <c r="BA1474" s="418"/>
      <c r="BB1474" s="306"/>
    </row>
    <row r="1475" spans="1:54" ht="15.75" customHeight="1">
      <c r="A1475" s="415"/>
      <c r="B1475" s="416"/>
      <c r="C1475" s="417"/>
      <c r="D1475" s="418"/>
      <c r="E1475" s="418"/>
      <c r="F1475" s="419"/>
      <c r="G1475" s="420"/>
      <c r="H1475" s="421"/>
      <c r="I1475" s="421"/>
      <c r="J1475" s="422"/>
      <c r="K1475" s="418"/>
      <c r="L1475" s="418"/>
      <c r="M1475" s="418"/>
      <c r="N1475" s="421"/>
      <c r="O1475" s="421"/>
      <c r="P1475" s="421"/>
      <c r="Q1475" s="418"/>
      <c r="R1475" s="1022"/>
      <c r="S1475" s="1022"/>
      <c r="T1475" s="418"/>
      <c r="U1475" s="418"/>
      <c r="V1475" s="418"/>
      <c r="W1475" s="418"/>
      <c r="X1475" s="418"/>
      <c r="Y1475" s="418"/>
      <c r="Z1475" s="418"/>
      <c r="AA1475" s="418"/>
      <c r="AB1475" s="418"/>
      <c r="AC1475" s="418"/>
      <c r="AD1475" s="418"/>
      <c r="AE1475" s="418"/>
      <c r="AF1475" s="418"/>
      <c r="AG1475" s="418"/>
      <c r="AH1475" s="418"/>
      <c r="AI1475" s="418"/>
      <c r="AJ1475" s="418"/>
      <c r="AK1475" s="418"/>
      <c r="AL1475" s="418"/>
      <c r="AM1475" s="418"/>
      <c r="AN1475" s="423"/>
      <c r="AO1475" s="423"/>
      <c r="AP1475" s="423"/>
      <c r="AQ1475" s="423"/>
      <c r="AR1475" s="423"/>
      <c r="AS1475" s="423"/>
      <c r="AT1475" s="423"/>
      <c r="AU1475" s="423"/>
      <c r="AV1475" s="423"/>
      <c r="AW1475" s="418"/>
      <c r="AX1475" s="418"/>
      <c r="AY1475" s="418"/>
      <c r="AZ1475" s="418"/>
      <c r="BA1475" s="418"/>
      <c r="BB1475" s="306"/>
    </row>
    <row r="1476" spans="1:54" ht="15.75" customHeight="1">
      <c r="A1476" s="415"/>
      <c r="B1476" s="416"/>
      <c r="C1476" s="417"/>
      <c r="D1476" s="418"/>
      <c r="E1476" s="418"/>
      <c r="F1476" s="419"/>
      <c r="G1476" s="420"/>
      <c r="H1476" s="421"/>
      <c r="I1476" s="421"/>
      <c r="J1476" s="422"/>
      <c r="K1476" s="418"/>
      <c r="L1476" s="418"/>
      <c r="M1476" s="418"/>
      <c r="N1476" s="421"/>
      <c r="O1476" s="421"/>
      <c r="P1476" s="421"/>
      <c r="Q1476" s="418"/>
      <c r="R1476" s="1022"/>
      <c r="S1476" s="1022"/>
      <c r="T1476" s="418"/>
      <c r="U1476" s="418"/>
      <c r="V1476" s="418"/>
      <c r="W1476" s="418"/>
      <c r="X1476" s="418"/>
      <c r="Y1476" s="418"/>
      <c r="Z1476" s="418"/>
      <c r="AA1476" s="418"/>
      <c r="AB1476" s="418"/>
      <c r="AC1476" s="418"/>
      <c r="AD1476" s="418"/>
      <c r="AE1476" s="418"/>
      <c r="AF1476" s="418"/>
      <c r="AG1476" s="418"/>
      <c r="AH1476" s="418"/>
      <c r="AI1476" s="418"/>
      <c r="AJ1476" s="418"/>
      <c r="AK1476" s="418"/>
      <c r="AL1476" s="418"/>
      <c r="AM1476" s="418"/>
      <c r="AN1476" s="423"/>
      <c r="AO1476" s="423"/>
      <c r="AP1476" s="423"/>
      <c r="AQ1476" s="423"/>
      <c r="AR1476" s="423"/>
      <c r="AS1476" s="423"/>
      <c r="AT1476" s="423"/>
      <c r="AU1476" s="423"/>
      <c r="AV1476" s="423"/>
      <c r="AW1476" s="418"/>
      <c r="AX1476" s="418"/>
      <c r="AY1476" s="418"/>
      <c r="AZ1476" s="418"/>
      <c r="BA1476" s="418"/>
      <c r="BB1476" s="306"/>
    </row>
    <row r="1477" spans="1:54" ht="15.75" customHeight="1">
      <c r="A1477" s="415"/>
      <c r="B1477" s="416"/>
      <c r="C1477" s="417"/>
      <c r="D1477" s="418"/>
      <c r="E1477" s="418"/>
      <c r="F1477" s="419"/>
      <c r="G1477" s="420"/>
      <c r="H1477" s="421"/>
      <c r="I1477" s="421"/>
      <c r="J1477" s="422"/>
      <c r="K1477" s="418"/>
      <c r="L1477" s="418"/>
      <c r="M1477" s="418"/>
      <c r="N1477" s="421"/>
      <c r="O1477" s="421"/>
      <c r="P1477" s="421"/>
      <c r="Q1477" s="418"/>
      <c r="R1477" s="1022"/>
      <c r="S1477" s="1022"/>
      <c r="T1477" s="418"/>
      <c r="U1477" s="418"/>
      <c r="V1477" s="418"/>
      <c r="W1477" s="418"/>
      <c r="X1477" s="418"/>
      <c r="Y1477" s="418"/>
      <c r="Z1477" s="418"/>
      <c r="AA1477" s="418"/>
      <c r="AB1477" s="418"/>
      <c r="AC1477" s="418"/>
      <c r="AD1477" s="418"/>
      <c r="AE1477" s="418"/>
      <c r="AF1477" s="418"/>
      <c r="AG1477" s="418"/>
      <c r="AH1477" s="418"/>
      <c r="AI1477" s="418"/>
      <c r="AJ1477" s="418"/>
      <c r="AK1477" s="418"/>
      <c r="AL1477" s="418"/>
      <c r="AM1477" s="418"/>
      <c r="AN1477" s="423"/>
      <c r="AO1477" s="423"/>
      <c r="AP1477" s="423"/>
      <c r="AQ1477" s="423"/>
      <c r="AR1477" s="423"/>
      <c r="AS1477" s="423"/>
      <c r="AT1477" s="423"/>
      <c r="AU1477" s="423"/>
      <c r="AV1477" s="423"/>
      <c r="AW1477" s="418"/>
      <c r="AX1477" s="418"/>
      <c r="AY1477" s="418"/>
      <c r="AZ1477" s="418"/>
      <c r="BA1477" s="418"/>
      <c r="BB1477" s="306"/>
    </row>
    <row r="1478" spans="1:54" ht="15.75" customHeight="1">
      <c r="A1478" s="415"/>
      <c r="B1478" s="416"/>
      <c r="C1478" s="417"/>
      <c r="D1478" s="418"/>
      <c r="E1478" s="418"/>
      <c r="F1478" s="419"/>
      <c r="G1478" s="420"/>
      <c r="H1478" s="421"/>
      <c r="I1478" s="421"/>
      <c r="J1478" s="422"/>
      <c r="K1478" s="418"/>
      <c r="L1478" s="418"/>
      <c r="M1478" s="418"/>
      <c r="N1478" s="421"/>
      <c r="O1478" s="421"/>
      <c r="P1478" s="421"/>
      <c r="Q1478" s="418"/>
      <c r="R1478" s="1022"/>
      <c r="S1478" s="1022"/>
      <c r="T1478" s="418"/>
      <c r="U1478" s="418"/>
      <c r="V1478" s="418"/>
      <c r="W1478" s="418"/>
      <c r="X1478" s="418"/>
      <c r="Y1478" s="418"/>
      <c r="Z1478" s="418"/>
      <c r="AA1478" s="418"/>
      <c r="AB1478" s="418"/>
      <c r="AC1478" s="418"/>
      <c r="AD1478" s="418"/>
      <c r="AE1478" s="418"/>
      <c r="AF1478" s="418"/>
      <c r="AG1478" s="418"/>
      <c r="AH1478" s="418"/>
      <c r="AI1478" s="418"/>
      <c r="AJ1478" s="418"/>
      <c r="AK1478" s="418"/>
      <c r="AL1478" s="418"/>
      <c r="AM1478" s="418"/>
      <c r="AN1478" s="423"/>
      <c r="AO1478" s="423"/>
      <c r="AP1478" s="423"/>
      <c r="AQ1478" s="423"/>
      <c r="AR1478" s="423"/>
      <c r="AS1478" s="423"/>
      <c r="AT1478" s="423"/>
      <c r="AU1478" s="423"/>
      <c r="AV1478" s="423"/>
      <c r="AW1478" s="418"/>
      <c r="AX1478" s="418"/>
      <c r="AY1478" s="418"/>
      <c r="AZ1478" s="418"/>
      <c r="BA1478" s="418"/>
      <c r="BB1478" s="306"/>
    </row>
    <row r="1479" spans="1:54" ht="15.75" customHeight="1">
      <c r="A1479" s="415"/>
      <c r="B1479" s="416"/>
      <c r="C1479" s="417"/>
      <c r="D1479" s="418"/>
      <c r="E1479" s="418"/>
      <c r="F1479" s="419"/>
      <c r="G1479" s="420"/>
      <c r="H1479" s="421"/>
      <c r="I1479" s="421"/>
      <c r="J1479" s="422"/>
      <c r="K1479" s="418"/>
      <c r="L1479" s="418"/>
      <c r="M1479" s="418"/>
      <c r="N1479" s="421"/>
      <c r="O1479" s="421"/>
      <c r="P1479" s="421"/>
      <c r="Q1479" s="418"/>
      <c r="R1479" s="1022"/>
      <c r="S1479" s="1022"/>
      <c r="T1479" s="418"/>
      <c r="U1479" s="418"/>
      <c r="V1479" s="418"/>
      <c r="W1479" s="418"/>
      <c r="X1479" s="418"/>
      <c r="Y1479" s="418"/>
      <c r="Z1479" s="418"/>
      <c r="AA1479" s="418"/>
      <c r="AB1479" s="418"/>
      <c r="AC1479" s="418"/>
      <c r="AD1479" s="418"/>
      <c r="AE1479" s="418"/>
      <c r="AF1479" s="418"/>
      <c r="AG1479" s="418"/>
      <c r="AH1479" s="418"/>
      <c r="AI1479" s="418"/>
      <c r="AJ1479" s="418"/>
      <c r="AK1479" s="418"/>
      <c r="AL1479" s="418"/>
      <c r="AM1479" s="418"/>
      <c r="AN1479" s="423"/>
      <c r="AO1479" s="423"/>
      <c r="AP1479" s="423"/>
      <c r="AQ1479" s="423"/>
      <c r="AR1479" s="423"/>
      <c r="AS1479" s="423"/>
      <c r="AT1479" s="423"/>
      <c r="AU1479" s="423"/>
      <c r="AV1479" s="423"/>
      <c r="AW1479" s="418"/>
      <c r="AX1479" s="418"/>
      <c r="AY1479" s="418"/>
      <c r="AZ1479" s="418"/>
      <c r="BA1479" s="418"/>
      <c r="BB1479" s="306"/>
    </row>
    <row r="1480" spans="1:54" ht="15.75" customHeight="1">
      <c r="A1480" s="415"/>
      <c r="B1480" s="416"/>
      <c r="C1480" s="417"/>
      <c r="D1480" s="418"/>
      <c r="E1480" s="418"/>
      <c r="F1480" s="419"/>
      <c r="G1480" s="420"/>
      <c r="H1480" s="421"/>
      <c r="I1480" s="421"/>
      <c r="J1480" s="422"/>
      <c r="K1480" s="418"/>
      <c r="L1480" s="418"/>
      <c r="M1480" s="418"/>
      <c r="N1480" s="421"/>
      <c r="O1480" s="421"/>
      <c r="P1480" s="421"/>
      <c r="Q1480" s="418"/>
      <c r="R1480" s="1022"/>
      <c r="S1480" s="1022"/>
      <c r="T1480" s="418"/>
      <c r="U1480" s="418"/>
      <c r="V1480" s="418"/>
      <c r="W1480" s="418"/>
      <c r="X1480" s="418"/>
      <c r="Y1480" s="418"/>
      <c r="Z1480" s="418"/>
      <c r="AA1480" s="418"/>
      <c r="AB1480" s="418"/>
      <c r="AC1480" s="418"/>
      <c r="AD1480" s="418"/>
      <c r="AE1480" s="418"/>
      <c r="AF1480" s="418"/>
      <c r="AG1480" s="418"/>
      <c r="AH1480" s="418"/>
      <c r="AI1480" s="418"/>
      <c r="AJ1480" s="418"/>
      <c r="AK1480" s="418"/>
      <c r="AL1480" s="418"/>
      <c r="AM1480" s="418"/>
      <c r="AN1480" s="423"/>
      <c r="AO1480" s="423"/>
      <c r="AP1480" s="423"/>
      <c r="AQ1480" s="423"/>
      <c r="AR1480" s="423"/>
      <c r="AS1480" s="423"/>
      <c r="AT1480" s="423"/>
      <c r="AU1480" s="423"/>
      <c r="AV1480" s="423"/>
      <c r="AW1480" s="418"/>
      <c r="AX1480" s="418"/>
      <c r="AY1480" s="418"/>
      <c r="AZ1480" s="418"/>
      <c r="BA1480" s="418"/>
      <c r="BB1480" s="306"/>
    </row>
    <row r="1481" spans="1:54" ht="15.75" customHeight="1">
      <c r="A1481" s="415"/>
      <c r="B1481" s="416"/>
      <c r="C1481" s="417"/>
      <c r="D1481" s="418"/>
      <c r="E1481" s="418"/>
      <c r="F1481" s="419"/>
      <c r="G1481" s="420"/>
      <c r="H1481" s="421"/>
      <c r="I1481" s="429"/>
      <c r="J1481" s="422"/>
      <c r="K1481" s="418"/>
      <c r="L1481" s="418"/>
      <c r="M1481" s="418"/>
      <c r="N1481" s="421"/>
      <c r="O1481" s="421"/>
      <c r="P1481" s="421"/>
      <c r="Q1481" s="418"/>
      <c r="R1481" s="1022"/>
      <c r="S1481" s="1022"/>
      <c r="T1481" s="418"/>
      <c r="U1481" s="418"/>
      <c r="V1481" s="418"/>
      <c r="W1481" s="418"/>
      <c r="X1481" s="418"/>
      <c r="Y1481" s="418"/>
      <c r="Z1481" s="418"/>
      <c r="AA1481" s="418"/>
      <c r="AB1481" s="418"/>
      <c r="AC1481" s="418"/>
      <c r="AD1481" s="418"/>
      <c r="AE1481" s="418"/>
      <c r="AF1481" s="418"/>
      <c r="AG1481" s="418"/>
      <c r="AH1481" s="418"/>
      <c r="AI1481" s="418"/>
      <c r="AJ1481" s="418"/>
      <c r="AK1481" s="418"/>
      <c r="AL1481" s="418"/>
      <c r="AM1481" s="418"/>
      <c r="AN1481" s="423"/>
      <c r="AO1481" s="423"/>
      <c r="AP1481" s="423"/>
      <c r="AQ1481" s="423"/>
      <c r="AR1481" s="423"/>
      <c r="AS1481" s="423"/>
      <c r="AT1481" s="423"/>
      <c r="AU1481" s="423"/>
      <c r="AV1481" s="423"/>
      <c r="AW1481" s="418"/>
      <c r="AX1481" s="418"/>
      <c r="AY1481" s="418"/>
      <c r="AZ1481" s="418"/>
      <c r="BA1481" s="418"/>
      <c r="BB1481" s="306"/>
    </row>
    <row r="1482" spans="1:54" ht="15.75" customHeight="1">
      <c r="A1482" s="415"/>
      <c r="B1482" s="416"/>
      <c r="C1482" s="417"/>
      <c r="D1482" s="418"/>
      <c r="E1482" s="418"/>
      <c r="F1482" s="419"/>
      <c r="G1482" s="420"/>
      <c r="H1482" s="421"/>
      <c r="I1482" s="421"/>
      <c r="J1482" s="422"/>
      <c r="K1482" s="418"/>
      <c r="L1482" s="418"/>
      <c r="M1482" s="418"/>
      <c r="N1482" s="421"/>
      <c r="O1482" s="421"/>
      <c r="P1482" s="421"/>
      <c r="Q1482" s="418"/>
      <c r="R1482" s="1022"/>
      <c r="S1482" s="1022"/>
      <c r="T1482" s="418"/>
      <c r="U1482" s="418"/>
      <c r="V1482" s="418"/>
      <c r="W1482" s="418"/>
      <c r="X1482" s="418"/>
      <c r="Y1482" s="418"/>
      <c r="Z1482" s="418"/>
      <c r="AA1482" s="418"/>
      <c r="AB1482" s="418"/>
      <c r="AC1482" s="418"/>
      <c r="AD1482" s="418"/>
      <c r="AE1482" s="418"/>
      <c r="AF1482" s="418"/>
      <c r="AG1482" s="418"/>
      <c r="AH1482" s="418"/>
      <c r="AI1482" s="418"/>
      <c r="AJ1482" s="418"/>
      <c r="AK1482" s="418"/>
      <c r="AL1482" s="418"/>
      <c r="AM1482" s="418"/>
      <c r="AN1482" s="423"/>
      <c r="AO1482" s="423"/>
      <c r="AP1482" s="423"/>
      <c r="AQ1482" s="423"/>
      <c r="AR1482" s="423"/>
      <c r="AS1482" s="423"/>
      <c r="AT1482" s="423"/>
      <c r="AU1482" s="423"/>
      <c r="AV1482" s="423"/>
      <c r="AW1482" s="418"/>
      <c r="AX1482" s="418"/>
      <c r="AY1482" s="418"/>
      <c r="AZ1482" s="418"/>
      <c r="BA1482" s="418"/>
      <c r="BB1482" s="306"/>
    </row>
    <row r="1483" spans="1:54" ht="15.75" customHeight="1">
      <c r="A1483" s="415"/>
      <c r="B1483" s="416"/>
      <c r="C1483" s="417"/>
      <c r="D1483" s="418"/>
      <c r="E1483" s="418"/>
      <c r="F1483" s="419"/>
      <c r="G1483" s="420"/>
      <c r="H1483" s="421"/>
      <c r="I1483" s="419"/>
      <c r="J1483" s="427"/>
      <c r="K1483" s="418"/>
      <c r="L1483" s="418"/>
      <c r="M1483" s="418"/>
      <c r="N1483" s="421"/>
      <c r="O1483" s="421"/>
      <c r="P1483" s="421"/>
      <c r="Q1483" s="418"/>
      <c r="R1483" s="1022"/>
      <c r="S1483" s="1022"/>
      <c r="T1483" s="418"/>
      <c r="U1483" s="418"/>
      <c r="V1483" s="418"/>
      <c r="W1483" s="418"/>
      <c r="X1483" s="418"/>
      <c r="Y1483" s="418"/>
      <c r="Z1483" s="418"/>
      <c r="AA1483" s="418"/>
      <c r="AB1483" s="418"/>
      <c r="AC1483" s="418"/>
      <c r="AD1483" s="418"/>
      <c r="AE1483" s="418"/>
      <c r="AF1483" s="418"/>
      <c r="AG1483" s="418"/>
      <c r="AH1483" s="418"/>
      <c r="AI1483" s="418"/>
      <c r="AJ1483" s="418"/>
      <c r="AK1483" s="418"/>
      <c r="AL1483" s="418"/>
      <c r="AM1483" s="418"/>
      <c r="AN1483" s="423"/>
      <c r="AO1483" s="423"/>
      <c r="AP1483" s="423"/>
      <c r="AQ1483" s="423"/>
      <c r="AR1483" s="423"/>
      <c r="AS1483" s="423"/>
      <c r="AT1483" s="423"/>
      <c r="AU1483" s="423"/>
      <c r="AV1483" s="423"/>
      <c r="AW1483" s="418"/>
      <c r="AX1483" s="418"/>
      <c r="AY1483" s="418"/>
      <c r="AZ1483" s="418"/>
      <c r="BA1483" s="418"/>
      <c r="BB1483" s="306"/>
    </row>
    <row r="1484" spans="1:54" ht="15.75" customHeight="1">
      <c r="A1484" s="415"/>
      <c r="B1484" s="416"/>
      <c r="C1484" s="417"/>
      <c r="D1484" s="418"/>
      <c r="E1484" s="418"/>
      <c r="F1484" s="419"/>
      <c r="G1484" s="420"/>
      <c r="H1484" s="421"/>
      <c r="I1484" s="419"/>
      <c r="J1484" s="427"/>
      <c r="K1484" s="418"/>
      <c r="L1484" s="418"/>
      <c r="M1484" s="418"/>
      <c r="N1484" s="421"/>
      <c r="O1484" s="421"/>
      <c r="P1484" s="421"/>
      <c r="Q1484" s="418"/>
      <c r="R1484" s="1022"/>
      <c r="S1484" s="1022"/>
      <c r="T1484" s="418"/>
      <c r="U1484" s="418"/>
      <c r="V1484" s="418"/>
      <c r="W1484" s="418"/>
      <c r="X1484" s="418"/>
      <c r="Y1484" s="418"/>
      <c r="Z1484" s="418"/>
      <c r="AA1484" s="418"/>
      <c r="AB1484" s="418"/>
      <c r="AC1484" s="418"/>
      <c r="AD1484" s="418"/>
      <c r="AE1484" s="418"/>
      <c r="AF1484" s="418"/>
      <c r="AG1484" s="418"/>
      <c r="AH1484" s="418"/>
      <c r="AI1484" s="418"/>
      <c r="AJ1484" s="418"/>
      <c r="AK1484" s="418"/>
      <c r="AL1484" s="418"/>
      <c r="AM1484" s="418"/>
      <c r="AN1484" s="423"/>
      <c r="AO1484" s="423"/>
      <c r="AP1484" s="423"/>
      <c r="AQ1484" s="423"/>
      <c r="AR1484" s="423"/>
      <c r="AS1484" s="423"/>
      <c r="AT1484" s="423"/>
      <c r="AU1484" s="423"/>
      <c r="AV1484" s="423"/>
      <c r="AW1484" s="418"/>
      <c r="AX1484" s="418"/>
      <c r="AY1484" s="418"/>
      <c r="AZ1484" s="418"/>
      <c r="BA1484" s="418"/>
      <c r="BB1484" s="306"/>
    </row>
    <row r="1485" spans="1:54" ht="15.75" customHeight="1">
      <c r="A1485" s="415"/>
      <c r="B1485" s="416"/>
      <c r="C1485" s="417"/>
      <c r="D1485" s="418"/>
      <c r="E1485" s="418"/>
      <c r="F1485" s="419"/>
      <c r="G1485" s="420"/>
      <c r="H1485" s="421"/>
      <c r="I1485" s="425"/>
      <c r="J1485" s="422"/>
      <c r="K1485" s="418"/>
      <c r="L1485" s="418"/>
      <c r="M1485" s="418"/>
      <c r="N1485" s="421"/>
      <c r="O1485" s="421"/>
      <c r="P1485" s="421"/>
      <c r="Q1485" s="418"/>
      <c r="R1485" s="1022"/>
      <c r="S1485" s="1022"/>
      <c r="T1485" s="418"/>
      <c r="U1485" s="418"/>
      <c r="V1485" s="418"/>
      <c r="W1485" s="418"/>
      <c r="X1485" s="418"/>
      <c r="Y1485" s="418"/>
      <c r="Z1485" s="418"/>
      <c r="AA1485" s="418"/>
      <c r="AB1485" s="418"/>
      <c r="AC1485" s="418"/>
      <c r="AD1485" s="418"/>
      <c r="AE1485" s="418"/>
      <c r="AF1485" s="418"/>
      <c r="AG1485" s="418"/>
      <c r="AH1485" s="418"/>
      <c r="AI1485" s="418"/>
      <c r="AJ1485" s="418"/>
      <c r="AK1485" s="418"/>
      <c r="AL1485" s="418"/>
      <c r="AM1485" s="418"/>
      <c r="AN1485" s="423"/>
      <c r="AO1485" s="423"/>
      <c r="AP1485" s="423"/>
      <c r="AQ1485" s="423"/>
      <c r="AR1485" s="423"/>
      <c r="AS1485" s="423"/>
      <c r="AT1485" s="423"/>
      <c r="AU1485" s="423"/>
      <c r="AV1485" s="423"/>
      <c r="AW1485" s="418"/>
      <c r="AX1485" s="418"/>
      <c r="AY1485" s="418"/>
      <c r="AZ1485" s="418"/>
      <c r="BA1485" s="418"/>
      <c r="BB1485" s="306"/>
    </row>
    <row r="1486" spans="1:54" ht="15.75" customHeight="1">
      <c r="A1486" s="415"/>
      <c r="B1486" s="416"/>
      <c r="C1486" s="417"/>
      <c r="D1486" s="418"/>
      <c r="E1486" s="418"/>
      <c r="F1486" s="419"/>
      <c r="G1486" s="420"/>
      <c r="H1486" s="421"/>
      <c r="I1486" s="425"/>
      <c r="J1486" s="422"/>
      <c r="K1486" s="418"/>
      <c r="L1486" s="418"/>
      <c r="M1486" s="418"/>
      <c r="N1486" s="421"/>
      <c r="O1486" s="421"/>
      <c r="P1486" s="421"/>
      <c r="Q1486" s="418"/>
      <c r="R1486" s="1022"/>
      <c r="S1486" s="1022"/>
      <c r="T1486" s="418"/>
      <c r="U1486" s="418"/>
      <c r="V1486" s="418"/>
      <c r="W1486" s="418"/>
      <c r="X1486" s="418"/>
      <c r="Y1486" s="418"/>
      <c r="Z1486" s="418"/>
      <c r="AA1486" s="418"/>
      <c r="AB1486" s="418"/>
      <c r="AC1486" s="418"/>
      <c r="AD1486" s="418"/>
      <c r="AE1486" s="418"/>
      <c r="AF1486" s="418"/>
      <c r="AG1486" s="418"/>
      <c r="AH1486" s="418"/>
      <c r="AI1486" s="418"/>
      <c r="AJ1486" s="418"/>
      <c r="AK1486" s="418"/>
      <c r="AL1486" s="418"/>
      <c r="AM1486" s="418"/>
      <c r="AN1486" s="423"/>
      <c r="AO1486" s="423"/>
      <c r="AP1486" s="423"/>
      <c r="AQ1486" s="423"/>
      <c r="AR1486" s="423"/>
      <c r="AS1486" s="423"/>
      <c r="AT1486" s="423"/>
      <c r="AU1486" s="423"/>
      <c r="AV1486" s="423"/>
      <c r="AW1486" s="418"/>
      <c r="AX1486" s="418"/>
      <c r="AY1486" s="418"/>
      <c r="AZ1486" s="418"/>
      <c r="BA1486" s="418"/>
      <c r="BB1486" s="306"/>
    </row>
    <row r="1487" spans="1:54" ht="15.75" customHeight="1">
      <c r="A1487" s="415"/>
      <c r="B1487" s="416"/>
      <c r="C1487" s="417"/>
      <c r="D1487" s="418"/>
      <c r="E1487" s="418"/>
      <c r="F1487" s="419"/>
      <c r="G1487" s="420"/>
      <c r="H1487" s="421"/>
      <c r="I1487" s="425"/>
      <c r="J1487" s="422"/>
      <c r="K1487" s="418"/>
      <c r="L1487" s="418"/>
      <c r="M1487" s="418"/>
      <c r="N1487" s="421"/>
      <c r="O1487" s="421"/>
      <c r="P1487" s="421"/>
      <c r="Q1487" s="418"/>
      <c r="R1487" s="1022"/>
      <c r="S1487" s="1022"/>
      <c r="T1487" s="418"/>
      <c r="U1487" s="418"/>
      <c r="V1487" s="418"/>
      <c r="W1487" s="418"/>
      <c r="X1487" s="418"/>
      <c r="Y1487" s="418"/>
      <c r="Z1487" s="418"/>
      <c r="AA1487" s="418"/>
      <c r="AB1487" s="418"/>
      <c r="AC1487" s="418"/>
      <c r="AD1487" s="418"/>
      <c r="AE1487" s="418"/>
      <c r="AF1487" s="418"/>
      <c r="AG1487" s="418"/>
      <c r="AH1487" s="418"/>
      <c r="AI1487" s="418"/>
      <c r="AJ1487" s="418"/>
      <c r="AK1487" s="418"/>
      <c r="AL1487" s="418"/>
      <c r="AM1487" s="418"/>
      <c r="AN1487" s="423"/>
      <c r="AO1487" s="423"/>
      <c r="AP1487" s="423"/>
      <c r="AQ1487" s="423"/>
      <c r="AR1487" s="423"/>
      <c r="AS1487" s="423"/>
      <c r="AT1487" s="423"/>
      <c r="AU1487" s="423"/>
      <c r="AV1487" s="423"/>
      <c r="AW1487" s="418"/>
      <c r="AX1487" s="418"/>
      <c r="AY1487" s="418"/>
      <c r="AZ1487" s="418"/>
      <c r="BA1487" s="418"/>
      <c r="BB1487" s="306"/>
    </row>
    <row r="1488" spans="1:54" ht="15.75" customHeight="1">
      <c r="A1488" s="415"/>
      <c r="B1488" s="416"/>
      <c r="C1488" s="417"/>
      <c r="D1488" s="418"/>
      <c r="E1488" s="418"/>
      <c r="F1488" s="419"/>
      <c r="G1488" s="420"/>
      <c r="H1488" s="421"/>
      <c r="I1488" s="425"/>
      <c r="J1488" s="422"/>
      <c r="K1488" s="418"/>
      <c r="L1488" s="418"/>
      <c r="M1488" s="418"/>
      <c r="N1488" s="421"/>
      <c r="O1488" s="421"/>
      <c r="P1488" s="421"/>
      <c r="Q1488" s="418"/>
      <c r="R1488" s="1022"/>
      <c r="S1488" s="1022"/>
      <c r="T1488" s="418"/>
      <c r="U1488" s="418"/>
      <c r="V1488" s="418"/>
      <c r="W1488" s="418"/>
      <c r="X1488" s="418"/>
      <c r="Y1488" s="418"/>
      <c r="Z1488" s="418"/>
      <c r="AA1488" s="418"/>
      <c r="AB1488" s="418"/>
      <c r="AC1488" s="418"/>
      <c r="AD1488" s="418"/>
      <c r="AE1488" s="418"/>
      <c r="AF1488" s="418"/>
      <c r="AG1488" s="418"/>
      <c r="AH1488" s="418"/>
      <c r="AI1488" s="418"/>
      <c r="AJ1488" s="418"/>
      <c r="AK1488" s="418"/>
      <c r="AL1488" s="418"/>
      <c r="AM1488" s="418"/>
      <c r="AN1488" s="423"/>
      <c r="AO1488" s="423"/>
      <c r="AP1488" s="423"/>
      <c r="AQ1488" s="423"/>
      <c r="AR1488" s="423"/>
      <c r="AS1488" s="423"/>
      <c r="AT1488" s="423"/>
      <c r="AU1488" s="423"/>
      <c r="AV1488" s="423"/>
      <c r="AW1488" s="418"/>
      <c r="AX1488" s="418"/>
      <c r="AY1488" s="418"/>
      <c r="AZ1488" s="418"/>
      <c r="BA1488" s="418"/>
      <c r="BB1488" s="306"/>
    </row>
    <row r="1489" spans="1:54" ht="15.75" customHeight="1">
      <c r="A1489" s="415"/>
      <c r="B1489" s="416"/>
      <c r="C1489" s="417"/>
      <c r="D1489" s="418"/>
      <c r="E1489" s="418"/>
      <c r="F1489" s="419"/>
      <c r="G1489" s="420"/>
      <c r="H1489" s="421"/>
      <c r="I1489" s="425"/>
      <c r="J1489" s="422"/>
      <c r="K1489" s="418"/>
      <c r="L1489" s="418"/>
      <c r="M1489" s="418"/>
      <c r="N1489" s="421"/>
      <c r="O1489" s="421"/>
      <c r="P1489" s="421"/>
      <c r="Q1489" s="418"/>
      <c r="R1489" s="1022"/>
      <c r="S1489" s="1022"/>
      <c r="T1489" s="418"/>
      <c r="U1489" s="418"/>
      <c r="V1489" s="418"/>
      <c r="W1489" s="418"/>
      <c r="X1489" s="418"/>
      <c r="Y1489" s="418"/>
      <c r="Z1489" s="418"/>
      <c r="AA1489" s="418"/>
      <c r="AB1489" s="418"/>
      <c r="AC1489" s="418"/>
      <c r="AD1489" s="418"/>
      <c r="AE1489" s="418"/>
      <c r="AF1489" s="418"/>
      <c r="AG1489" s="418"/>
      <c r="AH1489" s="418"/>
      <c r="AI1489" s="418"/>
      <c r="AJ1489" s="418"/>
      <c r="AK1489" s="418"/>
      <c r="AL1489" s="418"/>
      <c r="AM1489" s="418"/>
      <c r="AN1489" s="423"/>
      <c r="AO1489" s="423"/>
      <c r="AP1489" s="423"/>
      <c r="AQ1489" s="423"/>
      <c r="AR1489" s="423"/>
      <c r="AS1489" s="423"/>
      <c r="AT1489" s="423"/>
      <c r="AU1489" s="423"/>
      <c r="AV1489" s="423"/>
      <c r="AW1489" s="418"/>
      <c r="AX1489" s="418"/>
      <c r="AY1489" s="418"/>
      <c r="AZ1489" s="418"/>
      <c r="BA1489" s="418"/>
      <c r="BB1489" s="306"/>
    </row>
    <row r="1490" spans="1:54" ht="15.75" customHeight="1">
      <c r="A1490" s="415"/>
      <c r="B1490" s="416"/>
      <c r="C1490" s="417"/>
      <c r="D1490" s="418"/>
      <c r="E1490" s="418"/>
      <c r="F1490" s="419"/>
      <c r="G1490" s="420"/>
      <c r="H1490" s="421"/>
      <c r="I1490" s="421"/>
      <c r="J1490" s="422"/>
      <c r="K1490" s="418"/>
      <c r="L1490" s="418"/>
      <c r="M1490" s="418"/>
      <c r="N1490" s="421"/>
      <c r="O1490" s="421"/>
      <c r="P1490" s="421"/>
      <c r="Q1490" s="418"/>
      <c r="R1490" s="1022"/>
      <c r="S1490" s="1022"/>
      <c r="T1490" s="418"/>
      <c r="U1490" s="418"/>
      <c r="V1490" s="418"/>
      <c r="W1490" s="418"/>
      <c r="X1490" s="418"/>
      <c r="Y1490" s="418"/>
      <c r="Z1490" s="418"/>
      <c r="AA1490" s="418"/>
      <c r="AB1490" s="418"/>
      <c r="AC1490" s="418"/>
      <c r="AD1490" s="418"/>
      <c r="AE1490" s="418"/>
      <c r="AF1490" s="418"/>
      <c r="AG1490" s="418"/>
      <c r="AH1490" s="418"/>
      <c r="AI1490" s="418"/>
      <c r="AJ1490" s="418"/>
      <c r="AK1490" s="418"/>
      <c r="AL1490" s="418"/>
      <c r="AM1490" s="418"/>
      <c r="AN1490" s="423"/>
      <c r="AO1490" s="423"/>
      <c r="AP1490" s="423"/>
      <c r="AQ1490" s="423"/>
      <c r="AR1490" s="423"/>
      <c r="AS1490" s="423"/>
      <c r="AT1490" s="423"/>
      <c r="AU1490" s="423"/>
      <c r="AV1490" s="423"/>
      <c r="AW1490" s="418"/>
      <c r="AX1490" s="418"/>
      <c r="AY1490" s="418"/>
      <c r="AZ1490" s="418"/>
      <c r="BA1490" s="418"/>
      <c r="BB1490" s="306"/>
    </row>
    <row r="1491" spans="1:54" ht="15.75" customHeight="1">
      <c r="A1491" s="415"/>
      <c r="B1491" s="416"/>
      <c r="C1491" s="417"/>
      <c r="D1491" s="418"/>
      <c r="E1491" s="418"/>
      <c r="F1491" s="419"/>
      <c r="G1491" s="420"/>
      <c r="H1491" s="421"/>
      <c r="I1491" s="425"/>
      <c r="J1491" s="422"/>
      <c r="K1491" s="418"/>
      <c r="L1491" s="418"/>
      <c r="M1491" s="418"/>
      <c r="N1491" s="421"/>
      <c r="O1491" s="421"/>
      <c r="P1491" s="421"/>
      <c r="Q1491" s="418"/>
      <c r="R1491" s="1022"/>
      <c r="S1491" s="1022"/>
      <c r="T1491" s="418"/>
      <c r="U1491" s="418"/>
      <c r="V1491" s="418"/>
      <c r="W1491" s="418"/>
      <c r="X1491" s="418"/>
      <c r="Y1491" s="418"/>
      <c r="Z1491" s="418"/>
      <c r="AA1491" s="418"/>
      <c r="AB1491" s="418"/>
      <c r="AC1491" s="418"/>
      <c r="AD1491" s="418"/>
      <c r="AE1491" s="418"/>
      <c r="AF1491" s="418"/>
      <c r="AG1491" s="418"/>
      <c r="AH1491" s="418"/>
      <c r="AI1491" s="418"/>
      <c r="AJ1491" s="418"/>
      <c r="AK1491" s="418"/>
      <c r="AL1491" s="418"/>
      <c r="AM1491" s="418"/>
      <c r="AN1491" s="423"/>
      <c r="AO1491" s="423"/>
      <c r="AP1491" s="423"/>
      <c r="AQ1491" s="423"/>
      <c r="AR1491" s="423"/>
      <c r="AS1491" s="423"/>
      <c r="AT1491" s="423"/>
      <c r="AU1491" s="423"/>
      <c r="AV1491" s="423"/>
      <c r="AW1491" s="418"/>
      <c r="AX1491" s="418"/>
      <c r="AY1491" s="418"/>
      <c r="AZ1491" s="418"/>
      <c r="BA1491" s="418"/>
      <c r="BB1491" s="306"/>
    </row>
    <row r="1492" spans="1:54" ht="15.75" customHeight="1">
      <c r="A1492" s="415"/>
      <c r="B1492" s="416"/>
      <c r="C1492" s="417"/>
      <c r="D1492" s="418"/>
      <c r="E1492" s="418"/>
      <c r="F1492" s="419"/>
      <c r="G1492" s="420"/>
      <c r="H1492" s="421"/>
      <c r="I1492" s="425"/>
      <c r="J1492" s="422"/>
      <c r="K1492" s="418"/>
      <c r="L1492" s="418"/>
      <c r="M1492" s="418"/>
      <c r="N1492" s="421"/>
      <c r="O1492" s="421"/>
      <c r="P1492" s="421"/>
      <c r="Q1492" s="418"/>
      <c r="R1492" s="1022"/>
      <c r="S1492" s="1022"/>
      <c r="T1492" s="418"/>
      <c r="U1492" s="418"/>
      <c r="V1492" s="418"/>
      <c r="W1492" s="418"/>
      <c r="X1492" s="418"/>
      <c r="Y1492" s="418"/>
      <c r="Z1492" s="418"/>
      <c r="AA1492" s="418"/>
      <c r="AB1492" s="418"/>
      <c r="AC1492" s="418"/>
      <c r="AD1492" s="418"/>
      <c r="AE1492" s="418"/>
      <c r="AF1492" s="418"/>
      <c r="AG1492" s="418"/>
      <c r="AH1492" s="418"/>
      <c r="AI1492" s="418"/>
      <c r="AJ1492" s="418"/>
      <c r="AK1492" s="418"/>
      <c r="AL1492" s="418"/>
      <c r="AM1492" s="418"/>
      <c r="AN1492" s="423"/>
      <c r="AO1492" s="423"/>
      <c r="AP1492" s="423"/>
      <c r="AQ1492" s="423"/>
      <c r="AR1492" s="423"/>
      <c r="AS1492" s="423"/>
      <c r="AT1492" s="423"/>
      <c r="AU1492" s="423"/>
      <c r="AV1492" s="423"/>
      <c r="AW1492" s="418"/>
      <c r="AX1492" s="418"/>
      <c r="AY1492" s="418"/>
      <c r="AZ1492" s="418"/>
      <c r="BA1492" s="418"/>
      <c r="BB1492" s="306"/>
    </row>
    <row r="1493" spans="1:54" ht="15.75" customHeight="1">
      <c r="A1493" s="415"/>
      <c r="B1493" s="416"/>
      <c r="C1493" s="417"/>
      <c r="D1493" s="418"/>
      <c r="E1493" s="418"/>
      <c r="F1493" s="419"/>
      <c r="G1493" s="420"/>
      <c r="H1493" s="421"/>
      <c r="I1493" s="425"/>
      <c r="J1493" s="422"/>
      <c r="K1493" s="418"/>
      <c r="L1493" s="418"/>
      <c r="M1493" s="418"/>
      <c r="N1493" s="421"/>
      <c r="O1493" s="421"/>
      <c r="P1493" s="421"/>
      <c r="Q1493" s="418"/>
      <c r="R1493" s="1022"/>
      <c r="S1493" s="1022"/>
      <c r="T1493" s="418"/>
      <c r="U1493" s="418"/>
      <c r="V1493" s="418"/>
      <c r="W1493" s="418"/>
      <c r="X1493" s="418"/>
      <c r="Y1493" s="418"/>
      <c r="Z1493" s="418"/>
      <c r="AA1493" s="418"/>
      <c r="AB1493" s="418"/>
      <c r="AC1493" s="418"/>
      <c r="AD1493" s="418"/>
      <c r="AE1493" s="418"/>
      <c r="AF1493" s="418"/>
      <c r="AG1493" s="418"/>
      <c r="AH1493" s="418"/>
      <c r="AI1493" s="418"/>
      <c r="AJ1493" s="418"/>
      <c r="AK1493" s="418"/>
      <c r="AL1493" s="418"/>
      <c r="AM1493" s="418"/>
      <c r="AN1493" s="423"/>
      <c r="AO1493" s="423"/>
      <c r="AP1493" s="423"/>
      <c r="AQ1493" s="423"/>
      <c r="AR1493" s="423"/>
      <c r="AS1493" s="423"/>
      <c r="AT1493" s="423"/>
      <c r="AU1493" s="423"/>
      <c r="AV1493" s="423"/>
      <c r="AW1493" s="418"/>
      <c r="AX1493" s="418"/>
      <c r="AY1493" s="418"/>
      <c r="AZ1493" s="418"/>
      <c r="BA1493" s="418"/>
      <c r="BB1493" s="306"/>
    </row>
    <row r="1494" spans="1:54" ht="15.75" customHeight="1">
      <c r="A1494" s="415"/>
      <c r="B1494" s="416"/>
      <c r="C1494" s="417"/>
      <c r="D1494" s="418"/>
      <c r="E1494" s="418"/>
      <c r="F1494" s="419"/>
      <c r="G1494" s="420"/>
      <c r="H1494" s="421"/>
      <c r="I1494" s="421"/>
      <c r="J1494" s="422"/>
      <c r="K1494" s="418"/>
      <c r="L1494" s="418"/>
      <c r="M1494" s="418"/>
      <c r="N1494" s="421"/>
      <c r="O1494" s="421"/>
      <c r="P1494" s="421"/>
      <c r="Q1494" s="418"/>
      <c r="R1494" s="1022"/>
      <c r="S1494" s="1022"/>
      <c r="T1494" s="418"/>
      <c r="U1494" s="418"/>
      <c r="V1494" s="418"/>
      <c r="W1494" s="418"/>
      <c r="X1494" s="418"/>
      <c r="Y1494" s="418"/>
      <c r="Z1494" s="418"/>
      <c r="AA1494" s="418"/>
      <c r="AB1494" s="418"/>
      <c r="AC1494" s="418"/>
      <c r="AD1494" s="418"/>
      <c r="AE1494" s="418"/>
      <c r="AF1494" s="418"/>
      <c r="AG1494" s="418"/>
      <c r="AH1494" s="418"/>
      <c r="AI1494" s="418"/>
      <c r="AJ1494" s="418"/>
      <c r="AK1494" s="418"/>
      <c r="AL1494" s="418"/>
      <c r="AM1494" s="418"/>
      <c r="AN1494" s="423"/>
      <c r="AO1494" s="423"/>
      <c r="AP1494" s="423"/>
      <c r="AQ1494" s="423"/>
      <c r="AR1494" s="423"/>
      <c r="AS1494" s="423"/>
      <c r="AT1494" s="423"/>
      <c r="AU1494" s="423"/>
      <c r="AV1494" s="423"/>
      <c r="AW1494" s="418"/>
      <c r="AX1494" s="418"/>
      <c r="AY1494" s="418"/>
      <c r="AZ1494" s="418"/>
      <c r="BA1494" s="418"/>
      <c r="BB1494" s="306"/>
    </row>
    <row r="1495" spans="1:54" ht="15.75" customHeight="1">
      <c r="A1495" s="415"/>
      <c r="B1495" s="416"/>
      <c r="C1495" s="417"/>
      <c r="D1495" s="418"/>
      <c r="E1495" s="418"/>
      <c r="F1495" s="419"/>
      <c r="G1495" s="420"/>
      <c r="H1495" s="421"/>
      <c r="I1495" s="425"/>
      <c r="J1495" s="422"/>
      <c r="K1495" s="418"/>
      <c r="L1495" s="418"/>
      <c r="M1495" s="418"/>
      <c r="N1495" s="421"/>
      <c r="O1495" s="421"/>
      <c r="P1495" s="421"/>
      <c r="Q1495" s="418"/>
      <c r="R1495" s="1022"/>
      <c r="S1495" s="1022"/>
      <c r="T1495" s="418"/>
      <c r="U1495" s="418"/>
      <c r="V1495" s="418"/>
      <c r="W1495" s="418"/>
      <c r="X1495" s="418"/>
      <c r="Y1495" s="418"/>
      <c r="Z1495" s="418"/>
      <c r="AA1495" s="418"/>
      <c r="AB1495" s="418"/>
      <c r="AC1495" s="418"/>
      <c r="AD1495" s="418"/>
      <c r="AE1495" s="418"/>
      <c r="AF1495" s="418"/>
      <c r="AG1495" s="418"/>
      <c r="AH1495" s="418"/>
      <c r="AI1495" s="418"/>
      <c r="AJ1495" s="418"/>
      <c r="AK1495" s="418"/>
      <c r="AL1495" s="418"/>
      <c r="AM1495" s="418"/>
      <c r="AN1495" s="423"/>
      <c r="AO1495" s="423"/>
      <c r="AP1495" s="423"/>
      <c r="AQ1495" s="423"/>
      <c r="AR1495" s="423"/>
      <c r="AS1495" s="423"/>
      <c r="AT1495" s="423"/>
      <c r="AU1495" s="423"/>
      <c r="AV1495" s="423"/>
      <c r="AW1495" s="418"/>
      <c r="AX1495" s="418"/>
      <c r="AY1495" s="418"/>
      <c r="AZ1495" s="418"/>
      <c r="BA1495" s="418"/>
      <c r="BB1495" s="306"/>
    </row>
    <row r="1496" spans="1:54" ht="15.75" customHeight="1">
      <c r="A1496" s="415"/>
      <c r="B1496" s="416"/>
      <c r="C1496" s="417"/>
      <c r="D1496" s="418"/>
      <c r="E1496" s="418"/>
      <c r="F1496" s="419"/>
      <c r="G1496" s="420"/>
      <c r="H1496" s="421"/>
      <c r="I1496" s="421"/>
      <c r="J1496" s="422"/>
      <c r="K1496" s="418"/>
      <c r="L1496" s="418"/>
      <c r="M1496" s="418"/>
      <c r="N1496" s="421"/>
      <c r="O1496" s="421"/>
      <c r="P1496" s="421"/>
      <c r="Q1496" s="418"/>
      <c r="R1496" s="1022"/>
      <c r="S1496" s="1022"/>
      <c r="T1496" s="418"/>
      <c r="U1496" s="418"/>
      <c r="V1496" s="418"/>
      <c r="W1496" s="418"/>
      <c r="X1496" s="418"/>
      <c r="Y1496" s="418"/>
      <c r="Z1496" s="418"/>
      <c r="AA1496" s="418"/>
      <c r="AB1496" s="418"/>
      <c r="AC1496" s="418"/>
      <c r="AD1496" s="418"/>
      <c r="AE1496" s="418"/>
      <c r="AF1496" s="418"/>
      <c r="AG1496" s="418"/>
      <c r="AH1496" s="418"/>
      <c r="AI1496" s="418"/>
      <c r="AJ1496" s="418"/>
      <c r="AK1496" s="418"/>
      <c r="AL1496" s="418"/>
      <c r="AM1496" s="418"/>
      <c r="AN1496" s="423"/>
      <c r="AO1496" s="423"/>
      <c r="AP1496" s="423"/>
      <c r="AQ1496" s="423"/>
      <c r="AR1496" s="423"/>
      <c r="AS1496" s="423"/>
      <c r="AT1496" s="423"/>
      <c r="AU1496" s="423"/>
      <c r="AV1496" s="423"/>
      <c r="AW1496" s="418"/>
      <c r="AX1496" s="418"/>
      <c r="AY1496" s="418"/>
      <c r="AZ1496" s="418"/>
      <c r="BA1496" s="418"/>
      <c r="BB1496" s="306"/>
    </row>
    <row r="1497" spans="1:54" ht="15.75" customHeight="1">
      <c r="A1497" s="415"/>
      <c r="B1497" s="416"/>
      <c r="C1497" s="417"/>
      <c r="D1497" s="418"/>
      <c r="E1497" s="418"/>
      <c r="F1497" s="419"/>
      <c r="G1497" s="420"/>
      <c r="H1497" s="421"/>
      <c r="I1497" s="425"/>
      <c r="J1497" s="422"/>
      <c r="K1497" s="418"/>
      <c r="L1497" s="418"/>
      <c r="M1497" s="418"/>
      <c r="N1497" s="421"/>
      <c r="O1497" s="421"/>
      <c r="P1497" s="421"/>
      <c r="Q1497" s="418"/>
      <c r="R1497" s="1022"/>
      <c r="S1497" s="1022"/>
      <c r="T1497" s="418"/>
      <c r="U1497" s="418"/>
      <c r="V1497" s="418"/>
      <c r="W1497" s="418"/>
      <c r="X1497" s="418"/>
      <c r="Y1497" s="418"/>
      <c r="Z1497" s="418"/>
      <c r="AA1497" s="418"/>
      <c r="AB1497" s="418"/>
      <c r="AC1497" s="418"/>
      <c r="AD1497" s="418"/>
      <c r="AE1497" s="418"/>
      <c r="AF1497" s="418"/>
      <c r="AG1497" s="418"/>
      <c r="AH1497" s="418"/>
      <c r="AI1497" s="418"/>
      <c r="AJ1497" s="418"/>
      <c r="AK1497" s="418"/>
      <c r="AL1497" s="418"/>
      <c r="AM1497" s="418"/>
      <c r="AN1497" s="423"/>
      <c r="AO1497" s="423"/>
      <c r="AP1497" s="423"/>
      <c r="AQ1497" s="423"/>
      <c r="AR1497" s="423"/>
      <c r="AS1497" s="423"/>
      <c r="AT1497" s="423"/>
      <c r="AU1497" s="423"/>
      <c r="AV1497" s="423"/>
      <c r="AW1497" s="418"/>
      <c r="AX1497" s="418"/>
      <c r="AY1497" s="418"/>
      <c r="AZ1497" s="418"/>
      <c r="BA1497" s="418"/>
      <c r="BB1497" s="306"/>
    </row>
    <row r="1498" spans="1:54" ht="15.75" customHeight="1">
      <c r="A1498" s="415"/>
      <c r="B1498" s="416"/>
      <c r="C1498" s="417"/>
      <c r="D1498" s="418"/>
      <c r="E1498" s="418"/>
      <c r="F1498" s="419"/>
      <c r="G1498" s="420"/>
      <c r="H1498" s="421"/>
      <c r="I1498" s="421"/>
      <c r="J1498" s="422"/>
      <c r="K1498" s="418"/>
      <c r="L1498" s="418"/>
      <c r="M1498" s="418"/>
      <c r="N1498" s="421"/>
      <c r="O1498" s="421"/>
      <c r="P1498" s="421"/>
      <c r="Q1498" s="418"/>
      <c r="R1498" s="1022"/>
      <c r="S1498" s="1022"/>
      <c r="T1498" s="418"/>
      <c r="U1498" s="418"/>
      <c r="V1498" s="418"/>
      <c r="W1498" s="418"/>
      <c r="X1498" s="418"/>
      <c r="Y1498" s="418"/>
      <c r="Z1498" s="418"/>
      <c r="AA1498" s="418"/>
      <c r="AB1498" s="418"/>
      <c r="AC1498" s="418"/>
      <c r="AD1498" s="418"/>
      <c r="AE1498" s="418"/>
      <c r="AF1498" s="418"/>
      <c r="AG1498" s="418"/>
      <c r="AH1498" s="418"/>
      <c r="AI1498" s="418"/>
      <c r="AJ1498" s="418"/>
      <c r="AK1498" s="418"/>
      <c r="AL1498" s="418"/>
      <c r="AM1498" s="418"/>
      <c r="AN1498" s="423"/>
      <c r="AO1498" s="423"/>
      <c r="AP1498" s="423"/>
      <c r="AQ1498" s="423"/>
      <c r="AR1498" s="423"/>
      <c r="AS1498" s="423"/>
      <c r="AT1498" s="423"/>
      <c r="AU1498" s="423"/>
      <c r="AV1498" s="423"/>
      <c r="AW1498" s="418"/>
      <c r="AX1498" s="418"/>
      <c r="AY1498" s="418"/>
      <c r="AZ1498" s="418"/>
      <c r="BA1498" s="418"/>
      <c r="BB1498" s="306"/>
    </row>
    <row r="1499" spans="1:54" ht="15.75" customHeight="1">
      <c r="A1499" s="415"/>
      <c r="B1499" s="416"/>
      <c r="C1499" s="417"/>
      <c r="D1499" s="418"/>
      <c r="E1499" s="418"/>
      <c r="F1499" s="419"/>
      <c r="G1499" s="420"/>
      <c r="H1499" s="421"/>
      <c r="I1499" s="425"/>
      <c r="J1499" s="422"/>
      <c r="K1499" s="418"/>
      <c r="L1499" s="418"/>
      <c r="M1499" s="418"/>
      <c r="N1499" s="421"/>
      <c r="O1499" s="421"/>
      <c r="P1499" s="421"/>
      <c r="Q1499" s="418"/>
      <c r="R1499" s="1022"/>
      <c r="S1499" s="1022"/>
      <c r="T1499" s="418"/>
      <c r="U1499" s="418"/>
      <c r="V1499" s="418"/>
      <c r="W1499" s="418"/>
      <c r="X1499" s="418"/>
      <c r="Y1499" s="418"/>
      <c r="Z1499" s="418"/>
      <c r="AA1499" s="418"/>
      <c r="AB1499" s="418"/>
      <c r="AC1499" s="418"/>
      <c r="AD1499" s="418"/>
      <c r="AE1499" s="418"/>
      <c r="AF1499" s="418"/>
      <c r="AG1499" s="418"/>
      <c r="AH1499" s="418"/>
      <c r="AI1499" s="418"/>
      <c r="AJ1499" s="418"/>
      <c r="AK1499" s="418"/>
      <c r="AL1499" s="418"/>
      <c r="AM1499" s="418"/>
      <c r="AN1499" s="423"/>
      <c r="AO1499" s="423"/>
      <c r="AP1499" s="423"/>
      <c r="AQ1499" s="423"/>
      <c r="AR1499" s="423"/>
      <c r="AS1499" s="423"/>
      <c r="AT1499" s="423"/>
      <c r="AU1499" s="423"/>
      <c r="AV1499" s="423"/>
      <c r="AW1499" s="418"/>
      <c r="AX1499" s="418"/>
      <c r="AY1499" s="418"/>
      <c r="AZ1499" s="418"/>
      <c r="BA1499" s="418"/>
      <c r="BB1499" s="306"/>
    </row>
    <row r="1500" spans="1:54" ht="15.75" customHeight="1">
      <c r="A1500" s="415"/>
      <c r="B1500" s="416"/>
      <c r="C1500" s="417"/>
      <c r="D1500" s="418"/>
      <c r="E1500" s="418"/>
      <c r="F1500" s="419"/>
      <c r="G1500" s="420"/>
      <c r="H1500" s="421"/>
      <c r="I1500" s="421"/>
      <c r="J1500" s="422"/>
      <c r="K1500" s="418"/>
      <c r="L1500" s="418"/>
      <c r="M1500" s="418"/>
      <c r="N1500" s="421"/>
      <c r="O1500" s="421"/>
      <c r="P1500" s="421"/>
      <c r="Q1500" s="418"/>
      <c r="R1500" s="1022"/>
      <c r="S1500" s="1022"/>
      <c r="T1500" s="418"/>
      <c r="U1500" s="418"/>
      <c r="V1500" s="418"/>
      <c r="W1500" s="418"/>
      <c r="X1500" s="418"/>
      <c r="Y1500" s="418"/>
      <c r="Z1500" s="418"/>
      <c r="AA1500" s="418"/>
      <c r="AB1500" s="418"/>
      <c r="AC1500" s="418"/>
      <c r="AD1500" s="418"/>
      <c r="AE1500" s="418"/>
      <c r="AF1500" s="418"/>
      <c r="AG1500" s="418"/>
      <c r="AH1500" s="418"/>
      <c r="AI1500" s="418"/>
      <c r="AJ1500" s="418"/>
      <c r="AK1500" s="418"/>
      <c r="AL1500" s="418"/>
      <c r="AM1500" s="418"/>
      <c r="AN1500" s="423"/>
      <c r="AO1500" s="423"/>
      <c r="AP1500" s="423"/>
      <c r="AQ1500" s="423"/>
      <c r="AR1500" s="423"/>
      <c r="AS1500" s="423"/>
      <c r="AT1500" s="423"/>
      <c r="AU1500" s="423"/>
      <c r="AV1500" s="423"/>
      <c r="AW1500" s="418"/>
      <c r="AX1500" s="418"/>
      <c r="AY1500" s="418"/>
      <c r="AZ1500" s="418"/>
      <c r="BA1500" s="418"/>
      <c r="BB1500" s="306"/>
    </row>
    <row r="1501" spans="1:54" ht="15.75" customHeight="1">
      <c r="A1501" s="415"/>
      <c r="B1501" s="416"/>
      <c r="C1501" s="417"/>
      <c r="D1501" s="418"/>
      <c r="E1501" s="418"/>
      <c r="F1501" s="419"/>
      <c r="G1501" s="420"/>
      <c r="H1501" s="421"/>
      <c r="I1501" s="425"/>
      <c r="J1501" s="422"/>
      <c r="K1501" s="418"/>
      <c r="L1501" s="418"/>
      <c r="M1501" s="418"/>
      <c r="N1501" s="421"/>
      <c r="O1501" s="421"/>
      <c r="P1501" s="421"/>
      <c r="Q1501" s="418"/>
      <c r="R1501" s="1022"/>
      <c r="S1501" s="1022"/>
      <c r="T1501" s="418"/>
      <c r="U1501" s="418"/>
      <c r="V1501" s="418"/>
      <c r="W1501" s="418"/>
      <c r="X1501" s="418"/>
      <c r="Y1501" s="418"/>
      <c r="Z1501" s="418"/>
      <c r="AA1501" s="418"/>
      <c r="AB1501" s="418"/>
      <c r="AC1501" s="418"/>
      <c r="AD1501" s="418"/>
      <c r="AE1501" s="418"/>
      <c r="AF1501" s="418"/>
      <c r="AG1501" s="418"/>
      <c r="AH1501" s="418"/>
      <c r="AI1501" s="418"/>
      <c r="AJ1501" s="418"/>
      <c r="AK1501" s="418"/>
      <c r="AL1501" s="418"/>
      <c r="AM1501" s="418"/>
      <c r="AN1501" s="423"/>
      <c r="AO1501" s="423"/>
      <c r="AP1501" s="423"/>
      <c r="AQ1501" s="423"/>
      <c r="AR1501" s="423"/>
      <c r="AS1501" s="423"/>
      <c r="AT1501" s="423"/>
      <c r="AU1501" s="423"/>
      <c r="AV1501" s="423"/>
      <c r="AW1501" s="418"/>
      <c r="AX1501" s="418"/>
      <c r="AY1501" s="418"/>
      <c r="AZ1501" s="418"/>
      <c r="BA1501" s="418"/>
      <c r="BB1501" s="306"/>
    </row>
    <row r="1502" spans="1:54" ht="15.75" customHeight="1">
      <c r="A1502" s="415"/>
      <c r="B1502" s="416"/>
      <c r="C1502" s="417"/>
      <c r="D1502" s="418"/>
      <c r="E1502" s="418"/>
      <c r="F1502" s="419"/>
      <c r="G1502" s="420"/>
      <c r="H1502" s="421"/>
      <c r="I1502" s="421"/>
      <c r="J1502" s="422"/>
      <c r="K1502" s="418"/>
      <c r="L1502" s="418"/>
      <c r="M1502" s="418"/>
      <c r="N1502" s="421"/>
      <c r="O1502" s="421"/>
      <c r="P1502" s="421"/>
      <c r="Q1502" s="418"/>
      <c r="R1502" s="1022"/>
      <c r="S1502" s="1022"/>
      <c r="T1502" s="418"/>
      <c r="U1502" s="418"/>
      <c r="V1502" s="418"/>
      <c r="W1502" s="418"/>
      <c r="X1502" s="418"/>
      <c r="Y1502" s="418"/>
      <c r="Z1502" s="418"/>
      <c r="AA1502" s="418"/>
      <c r="AB1502" s="418"/>
      <c r="AC1502" s="418"/>
      <c r="AD1502" s="418"/>
      <c r="AE1502" s="418"/>
      <c r="AF1502" s="418"/>
      <c r="AG1502" s="418"/>
      <c r="AH1502" s="418"/>
      <c r="AI1502" s="418"/>
      <c r="AJ1502" s="418"/>
      <c r="AK1502" s="418"/>
      <c r="AL1502" s="418"/>
      <c r="AM1502" s="418"/>
      <c r="AN1502" s="423"/>
      <c r="AO1502" s="423"/>
      <c r="AP1502" s="423"/>
      <c r="AQ1502" s="423"/>
      <c r="AR1502" s="423"/>
      <c r="AS1502" s="423"/>
      <c r="AT1502" s="423"/>
      <c r="AU1502" s="423"/>
      <c r="AV1502" s="423"/>
      <c r="AW1502" s="418"/>
      <c r="AX1502" s="418"/>
      <c r="AY1502" s="418"/>
      <c r="AZ1502" s="418"/>
      <c r="BA1502" s="418"/>
      <c r="BB1502" s="306"/>
    </row>
    <row r="1503" spans="1:54" ht="15.75" customHeight="1">
      <c r="A1503" s="415"/>
      <c r="B1503" s="416"/>
      <c r="C1503" s="417"/>
      <c r="D1503" s="418"/>
      <c r="E1503" s="418"/>
      <c r="F1503" s="419"/>
      <c r="G1503" s="420"/>
      <c r="H1503" s="421"/>
      <c r="I1503" s="425"/>
      <c r="J1503" s="422"/>
      <c r="K1503" s="418"/>
      <c r="L1503" s="418"/>
      <c r="M1503" s="418"/>
      <c r="N1503" s="421"/>
      <c r="O1503" s="421"/>
      <c r="P1503" s="421"/>
      <c r="Q1503" s="418"/>
      <c r="R1503" s="1022"/>
      <c r="S1503" s="1022"/>
      <c r="T1503" s="418"/>
      <c r="U1503" s="418"/>
      <c r="V1503" s="418"/>
      <c r="W1503" s="418"/>
      <c r="X1503" s="418"/>
      <c r="Y1503" s="418"/>
      <c r="Z1503" s="418"/>
      <c r="AA1503" s="418"/>
      <c r="AB1503" s="418"/>
      <c r="AC1503" s="418"/>
      <c r="AD1503" s="418"/>
      <c r="AE1503" s="418"/>
      <c r="AF1503" s="418"/>
      <c r="AG1503" s="418"/>
      <c r="AH1503" s="418"/>
      <c r="AI1503" s="418"/>
      <c r="AJ1503" s="418"/>
      <c r="AK1503" s="418"/>
      <c r="AL1503" s="418"/>
      <c r="AM1503" s="418"/>
      <c r="AN1503" s="423"/>
      <c r="AO1503" s="423"/>
      <c r="AP1503" s="423"/>
      <c r="AQ1503" s="423"/>
      <c r="AR1503" s="423"/>
      <c r="AS1503" s="423"/>
      <c r="AT1503" s="423"/>
      <c r="AU1503" s="423"/>
      <c r="AV1503" s="423"/>
      <c r="AW1503" s="418"/>
      <c r="AX1503" s="418"/>
      <c r="AY1503" s="418"/>
      <c r="AZ1503" s="418"/>
      <c r="BA1503" s="418"/>
      <c r="BB1503" s="306"/>
    </row>
    <row r="1504" spans="1:54" ht="15.75" customHeight="1">
      <c r="A1504" s="415"/>
      <c r="B1504" s="416"/>
      <c r="C1504" s="417"/>
      <c r="D1504" s="418"/>
      <c r="E1504" s="418"/>
      <c r="F1504" s="419"/>
      <c r="G1504" s="420"/>
      <c r="H1504" s="421"/>
      <c r="I1504" s="425"/>
      <c r="J1504" s="422"/>
      <c r="K1504" s="418"/>
      <c r="L1504" s="418"/>
      <c r="M1504" s="418"/>
      <c r="N1504" s="421"/>
      <c r="O1504" s="421"/>
      <c r="P1504" s="421"/>
      <c r="Q1504" s="418"/>
      <c r="R1504" s="1022"/>
      <c r="S1504" s="1022"/>
      <c r="T1504" s="418"/>
      <c r="U1504" s="418"/>
      <c r="V1504" s="418"/>
      <c r="W1504" s="418"/>
      <c r="X1504" s="418"/>
      <c r="Y1504" s="418"/>
      <c r="Z1504" s="418"/>
      <c r="AA1504" s="418"/>
      <c r="AB1504" s="418"/>
      <c r="AC1504" s="418"/>
      <c r="AD1504" s="418"/>
      <c r="AE1504" s="418"/>
      <c r="AF1504" s="418"/>
      <c r="AG1504" s="418"/>
      <c r="AH1504" s="418"/>
      <c r="AI1504" s="418"/>
      <c r="AJ1504" s="418"/>
      <c r="AK1504" s="418"/>
      <c r="AL1504" s="418"/>
      <c r="AM1504" s="418"/>
      <c r="AN1504" s="423"/>
      <c r="AO1504" s="423"/>
      <c r="AP1504" s="423"/>
      <c r="AQ1504" s="423"/>
      <c r="AR1504" s="423"/>
      <c r="AS1504" s="423"/>
      <c r="AT1504" s="423"/>
      <c r="AU1504" s="423"/>
      <c r="AV1504" s="423"/>
      <c r="AW1504" s="418"/>
      <c r="AX1504" s="418"/>
      <c r="AY1504" s="418"/>
      <c r="AZ1504" s="418"/>
      <c r="BA1504" s="418"/>
      <c r="BB1504" s="306"/>
    </row>
    <row r="1505" spans="1:54" ht="15.75" customHeight="1">
      <c r="A1505" s="415"/>
      <c r="B1505" s="416"/>
      <c r="C1505" s="417"/>
      <c r="D1505" s="418"/>
      <c r="E1505" s="418"/>
      <c r="F1505" s="419"/>
      <c r="G1505" s="420"/>
      <c r="H1505" s="421"/>
      <c r="I1505" s="425"/>
      <c r="J1505" s="422"/>
      <c r="K1505" s="418"/>
      <c r="L1505" s="418"/>
      <c r="M1505" s="418"/>
      <c r="N1505" s="421"/>
      <c r="O1505" s="421"/>
      <c r="P1505" s="421"/>
      <c r="Q1505" s="418"/>
      <c r="R1505" s="1022"/>
      <c r="S1505" s="1022"/>
      <c r="T1505" s="418"/>
      <c r="U1505" s="418"/>
      <c r="V1505" s="418"/>
      <c r="W1505" s="418"/>
      <c r="X1505" s="418"/>
      <c r="Y1505" s="418"/>
      <c r="Z1505" s="418"/>
      <c r="AA1505" s="418"/>
      <c r="AB1505" s="418"/>
      <c r="AC1505" s="418"/>
      <c r="AD1505" s="418"/>
      <c r="AE1505" s="418"/>
      <c r="AF1505" s="418"/>
      <c r="AG1505" s="418"/>
      <c r="AH1505" s="418"/>
      <c r="AI1505" s="418"/>
      <c r="AJ1505" s="418"/>
      <c r="AK1505" s="418"/>
      <c r="AL1505" s="418"/>
      <c r="AM1505" s="418"/>
      <c r="AN1505" s="423"/>
      <c r="AO1505" s="423"/>
      <c r="AP1505" s="423"/>
      <c r="AQ1505" s="423"/>
      <c r="AR1505" s="423"/>
      <c r="AS1505" s="423"/>
      <c r="AT1505" s="423"/>
      <c r="AU1505" s="423"/>
      <c r="AV1505" s="423"/>
      <c r="AW1505" s="418"/>
      <c r="AX1505" s="418"/>
      <c r="AY1505" s="418"/>
      <c r="AZ1505" s="418"/>
      <c r="BA1505" s="418"/>
      <c r="BB1505" s="306"/>
    </row>
    <row r="1506" spans="1:54" ht="15.75" customHeight="1">
      <c r="A1506" s="415"/>
      <c r="B1506" s="416"/>
      <c r="C1506" s="417"/>
      <c r="D1506" s="418"/>
      <c r="E1506" s="418"/>
      <c r="F1506" s="419"/>
      <c r="G1506" s="420"/>
      <c r="H1506" s="421"/>
      <c r="I1506" s="421"/>
      <c r="J1506" s="422"/>
      <c r="K1506" s="418"/>
      <c r="L1506" s="418"/>
      <c r="M1506" s="418"/>
      <c r="N1506" s="421"/>
      <c r="O1506" s="421"/>
      <c r="P1506" s="421"/>
      <c r="Q1506" s="418"/>
      <c r="R1506" s="1022"/>
      <c r="S1506" s="1022"/>
      <c r="T1506" s="418"/>
      <c r="U1506" s="418"/>
      <c r="V1506" s="418"/>
      <c r="W1506" s="418"/>
      <c r="X1506" s="418"/>
      <c r="Y1506" s="418"/>
      <c r="Z1506" s="418"/>
      <c r="AA1506" s="418"/>
      <c r="AB1506" s="418"/>
      <c r="AC1506" s="418"/>
      <c r="AD1506" s="418"/>
      <c r="AE1506" s="418"/>
      <c r="AF1506" s="418"/>
      <c r="AG1506" s="418"/>
      <c r="AH1506" s="418"/>
      <c r="AI1506" s="418"/>
      <c r="AJ1506" s="418"/>
      <c r="AK1506" s="418"/>
      <c r="AL1506" s="418"/>
      <c r="AM1506" s="418"/>
      <c r="AN1506" s="423"/>
      <c r="AO1506" s="423"/>
      <c r="AP1506" s="423"/>
      <c r="AQ1506" s="423"/>
      <c r="AR1506" s="423"/>
      <c r="AS1506" s="423"/>
      <c r="AT1506" s="423"/>
      <c r="AU1506" s="423"/>
      <c r="AV1506" s="423"/>
      <c r="AW1506" s="418"/>
      <c r="AX1506" s="418"/>
      <c r="AY1506" s="418"/>
      <c r="AZ1506" s="418"/>
      <c r="BA1506" s="418"/>
      <c r="BB1506" s="306"/>
    </row>
    <row r="1507" spans="1:54" ht="15.75" customHeight="1">
      <c r="A1507" s="415"/>
      <c r="B1507" s="416"/>
      <c r="C1507" s="417"/>
      <c r="D1507" s="418"/>
      <c r="E1507" s="418"/>
      <c r="F1507" s="419"/>
      <c r="G1507" s="420"/>
      <c r="H1507" s="421"/>
      <c r="I1507" s="425"/>
      <c r="J1507" s="422"/>
      <c r="K1507" s="418"/>
      <c r="L1507" s="418"/>
      <c r="M1507" s="418"/>
      <c r="N1507" s="421"/>
      <c r="O1507" s="421"/>
      <c r="P1507" s="421"/>
      <c r="Q1507" s="418"/>
      <c r="R1507" s="1022"/>
      <c r="S1507" s="1022"/>
      <c r="T1507" s="418"/>
      <c r="U1507" s="418"/>
      <c r="V1507" s="418"/>
      <c r="W1507" s="418"/>
      <c r="X1507" s="418"/>
      <c r="Y1507" s="418"/>
      <c r="Z1507" s="418"/>
      <c r="AA1507" s="418"/>
      <c r="AB1507" s="418"/>
      <c r="AC1507" s="418"/>
      <c r="AD1507" s="418"/>
      <c r="AE1507" s="418"/>
      <c r="AF1507" s="418"/>
      <c r="AG1507" s="418"/>
      <c r="AH1507" s="418"/>
      <c r="AI1507" s="418"/>
      <c r="AJ1507" s="418"/>
      <c r="AK1507" s="418"/>
      <c r="AL1507" s="418"/>
      <c r="AM1507" s="418"/>
      <c r="AN1507" s="423"/>
      <c r="AO1507" s="423"/>
      <c r="AP1507" s="423"/>
      <c r="AQ1507" s="423"/>
      <c r="AR1507" s="423"/>
      <c r="AS1507" s="423"/>
      <c r="AT1507" s="423"/>
      <c r="AU1507" s="423"/>
      <c r="AV1507" s="423"/>
      <c r="AW1507" s="418"/>
      <c r="AX1507" s="418"/>
      <c r="AY1507" s="418"/>
      <c r="AZ1507" s="418"/>
      <c r="BA1507" s="418"/>
      <c r="BB1507" s="306"/>
    </row>
    <row r="1508" spans="1:54" ht="15.75" customHeight="1">
      <c r="A1508" s="415"/>
      <c r="B1508" s="416"/>
      <c r="C1508" s="417"/>
      <c r="D1508" s="418"/>
      <c r="E1508" s="418"/>
      <c r="F1508" s="419"/>
      <c r="G1508" s="420"/>
      <c r="H1508" s="421"/>
      <c r="I1508" s="421"/>
      <c r="J1508" s="422"/>
      <c r="K1508" s="418"/>
      <c r="L1508" s="418"/>
      <c r="M1508" s="418"/>
      <c r="N1508" s="421"/>
      <c r="O1508" s="421"/>
      <c r="P1508" s="421"/>
      <c r="Q1508" s="418"/>
      <c r="R1508" s="1022"/>
      <c r="S1508" s="1022"/>
      <c r="T1508" s="418"/>
      <c r="U1508" s="418"/>
      <c r="V1508" s="418"/>
      <c r="W1508" s="418"/>
      <c r="X1508" s="418"/>
      <c r="Y1508" s="418"/>
      <c r="Z1508" s="418"/>
      <c r="AA1508" s="418"/>
      <c r="AB1508" s="418"/>
      <c r="AC1508" s="418"/>
      <c r="AD1508" s="418"/>
      <c r="AE1508" s="418"/>
      <c r="AF1508" s="418"/>
      <c r="AG1508" s="418"/>
      <c r="AH1508" s="418"/>
      <c r="AI1508" s="418"/>
      <c r="AJ1508" s="418"/>
      <c r="AK1508" s="418"/>
      <c r="AL1508" s="418"/>
      <c r="AM1508" s="418"/>
      <c r="AN1508" s="423"/>
      <c r="AO1508" s="423"/>
      <c r="AP1508" s="423"/>
      <c r="AQ1508" s="423"/>
      <c r="AR1508" s="423"/>
      <c r="AS1508" s="423"/>
      <c r="AT1508" s="423"/>
      <c r="AU1508" s="423"/>
      <c r="AV1508" s="423"/>
      <c r="AW1508" s="418"/>
      <c r="AX1508" s="418"/>
      <c r="AY1508" s="418"/>
      <c r="AZ1508" s="418"/>
      <c r="BA1508" s="418"/>
      <c r="BB1508" s="306"/>
    </row>
    <row r="1509" spans="1:54" ht="15.75" customHeight="1">
      <c r="A1509" s="415"/>
      <c r="B1509" s="416"/>
      <c r="C1509" s="417"/>
      <c r="D1509" s="418"/>
      <c r="E1509" s="418"/>
      <c r="F1509" s="419"/>
      <c r="G1509" s="420"/>
      <c r="H1509" s="421"/>
      <c r="I1509" s="425"/>
      <c r="J1509" s="422"/>
      <c r="K1509" s="418"/>
      <c r="L1509" s="418"/>
      <c r="M1509" s="418"/>
      <c r="N1509" s="421"/>
      <c r="O1509" s="421"/>
      <c r="P1509" s="421"/>
      <c r="Q1509" s="418"/>
      <c r="R1509" s="1022"/>
      <c r="S1509" s="1022"/>
      <c r="T1509" s="418"/>
      <c r="U1509" s="418"/>
      <c r="V1509" s="418"/>
      <c r="W1509" s="418"/>
      <c r="X1509" s="418"/>
      <c r="Y1509" s="418"/>
      <c r="Z1509" s="418"/>
      <c r="AA1509" s="418"/>
      <c r="AB1509" s="418"/>
      <c r="AC1509" s="418"/>
      <c r="AD1509" s="418"/>
      <c r="AE1509" s="418"/>
      <c r="AF1509" s="418"/>
      <c r="AG1509" s="418"/>
      <c r="AH1509" s="418"/>
      <c r="AI1509" s="418"/>
      <c r="AJ1509" s="418"/>
      <c r="AK1509" s="418"/>
      <c r="AL1509" s="418"/>
      <c r="AM1509" s="418"/>
      <c r="AN1509" s="423"/>
      <c r="AO1509" s="423"/>
      <c r="AP1509" s="423"/>
      <c r="AQ1509" s="423"/>
      <c r="AR1509" s="423"/>
      <c r="AS1509" s="423"/>
      <c r="AT1509" s="423"/>
      <c r="AU1509" s="423"/>
      <c r="AV1509" s="423"/>
      <c r="AW1509" s="418"/>
      <c r="AX1509" s="418"/>
      <c r="AY1509" s="418"/>
      <c r="AZ1509" s="418"/>
      <c r="BA1509" s="418"/>
      <c r="BB1509" s="306"/>
    </row>
    <row r="1510" spans="1:54" ht="15.75" customHeight="1">
      <c r="A1510" s="415"/>
      <c r="B1510" s="416"/>
      <c r="C1510" s="417"/>
      <c r="D1510" s="418"/>
      <c r="E1510" s="418"/>
      <c r="F1510" s="419"/>
      <c r="G1510" s="420"/>
      <c r="H1510" s="421"/>
      <c r="I1510" s="421"/>
      <c r="J1510" s="422"/>
      <c r="K1510" s="418"/>
      <c r="L1510" s="418"/>
      <c r="M1510" s="418"/>
      <c r="N1510" s="421"/>
      <c r="O1510" s="421"/>
      <c r="P1510" s="421"/>
      <c r="Q1510" s="418"/>
      <c r="R1510" s="1022"/>
      <c r="S1510" s="1022"/>
      <c r="T1510" s="418"/>
      <c r="U1510" s="418"/>
      <c r="V1510" s="418"/>
      <c r="W1510" s="418"/>
      <c r="X1510" s="418"/>
      <c r="Y1510" s="418"/>
      <c r="Z1510" s="418"/>
      <c r="AA1510" s="418"/>
      <c r="AB1510" s="418"/>
      <c r="AC1510" s="418"/>
      <c r="AD1510" s="418"/>
      <c r="AE1510" s="418"/>
      <c r="AF1510" s="418"/>
      <c r="AG1510" s="418"/>
      <c r="AH1510" s="418"/>
      <c r="AI1510" s="418"/>
      <c r="AJ1510" s="418"/>
      <c r="AK1510" s="418"/>
      <c r="AL1510" s="418"/>
      <c r="AM1510" s="418"/>
      <c r="AN1510" s="423"/>
      <c r="AO1510" s="423"/>
      <c r="AP1510" s="423"/>
      <c r="AQ1510" s="423"/>
      <c r="AR1510" s="423"/>
      <c r="AS1510" s="423"/>
      <c r="AT1510" s="423"/>
      <c r="AU1510" s="423"/>
      <c r="AV1510" s="423"/>
      <c r="AW1510" s="418"/>
      <c r="AX1510" s="418"/>
      <c r="AY1510" s="418"/>
      <c r="AZ1510" s="418"/>
      <c r="BA1510" s="418"/>
      <c r="BB1510" s="306"/>
    </row>
    <row r="1511" spans="1:54" ht="15.75" customHeight="1">
      <c r="A1511" s="415"/>
      <c r="B1511" s="416"/>
      <c r="C1511" s="417"/>
      <c r="D1511" s="418"/>
      <c r="E1511" s="418"/>
      <c r="F1511" s="419"/>
      <c r="G1511" s="420"/>
      <c r="H1511" s="421"/>
      <c r="I1511" s="425"/>
      <c r="J1511" s="422"/>
      <c r="K1511" s="418"/>
      <c r="L1511" s="418"/>
      <c r="M1511" s="418"/>
      <c r="N1511" s="421"/>
      <c r="O1511" s="421"/>
      <c r="P1511" s="421"/>
      <c r="Q1511" s="418"/>
      <c r="R1511" s="1022"/>
      <c r="S1511" s="1022"/>
      <c r="T1511" s="418"/>
      <c r="U1511" s="418"/>
      <c r="V1511" s="418"/>
      <c r="W1511" s="418"/>
      <c r="X1511" s="418"/>
      <c r="Y1511" s="418"/>
      <c r="Z1511" s="418"/>
      <c r="AA1511" s="418"/>
      <c r="AB1511" s="418"/>
      <c r="AC1511" s="418"/>
      <c r="AD1511" s="418"/>
      <c r="AE1511" s="418"/>
      <c r="AF1511" s="418"/>
      <c r="AG1511" s="418"/>
      <c r="AH1511" s="418"/>
      <c r="AI1511" s="418"/>
      <c r="AJ1511" s="418"/>
      <c r="AK1511" s="418"/>
      <c r="AL1511" s="418"/>
      <c r="AM1511" s="418"/>
      <c r="AN1511" s="423"/>
      <c r="AO1511" s="423"/>
      <c r="AP1511" s="423"/>
      <c r="AQ1511" s="423"/>
      <c r="AR1511" s="423"/>
      <c r="AS1511" s="423"/>
      <c r="AT1511" s="423"/>
      <c r="AU1511" s="423"/>
      <c r="AV1511" s="423"/>
      <c r="AW1511" s="418"/>
      <c r="AX1511" s="418"/>
      <c r="AY1511" s="418"/>
      <c r="AZ1511" s="418"/>
      <c r="BA1511" s="418"/>
      <c r="BB1511" s="306"/>
    </row>
    <row r="1512" spans="1:54" ht="15.75" customHeight="1">
      <c r="A1512" s="415"/>
      <c r="B1512" s="416"/>
      <c r="C1512" s="417"/>
      <c r="D1512" s="418"/>
      <c r="E1512" s="418"/>
      <c r="F1512" s="419"/>
      <c r="G1512" s="420"/>
      <c r="H1512" s="421"/>
      <c r="I1512" s="425"/>
      <c r="J1512" s="422"/>
      <c r="K1512" s="418"/>
      <c r="L1512" s="418"/>
      <c r="M1512" s="418"/>
      <c r="N1512" s="421"/>
      <c r="O1512" s="421"/>
      <c r="P1512" s="421"/>
      <c r="Q1512" s="418"/>
      <c r="R1512" s="1022"/>
      <c r="S1512" s="1022"/>
      <c r="T1512" s="418"/>
      <c r="U1512" s="418"/>
      <c r="V1512" s="418"/>
      <c r="W1512" s="418"/>
      <c r="X1512" s="418"/>
      <c r="Y1512" s="418"/>
      <c r="Z1512" s="418"/>
      <c r="AA1512" s="418"/>
      <c r="AB1512" s="418"/>
      <c r="AC1512" s="418"/>
      <c r="AD1512" s="418"/>
      <c r="AE1512" s="418"/>
      <c r="AF1512" s="418"/>
      <c r="AG1512" s="418"/>
      <c r="AH1512" s="418"/>
      <c r="AI1512" s="418"/>
      <c r="AJ1512" s="418"/>
      <c r="AK1512" s="418"/>
      <c r="AL1512" s="418"/>
      <c r="AM1512" s="418"/>
      <c r="AN1512" s="423"/>
      <c r="AO1512" s="423"/>
      <c r="AP1512" s="423"/>
      <c r="AQ1512" s="423"/>
      <c r="AR1512" s="423"/>
      <c r="AS1512" s="423"/>
      <c r="AT1512" s="423"/>
      <c r="AU1512" s="423"/>
      <c r="AV1512" s="423"/>
      <c r="AW1512" s="418"/>
      <c r="AX1512" s="418"/>
      <c r="AY1512" s="418"/>
      <c r="AZ1512" s="418"/>
      <c r="BA1512" s="418"/>
      <c r="BB1512" s="306"/>
    </row>
    <row r="1513" spans="1:54" ht="15.75" customHeight="1">
      <c r="A1513" s="415"/>
      <c r="B1513" s="416"/>
      <c r="C1513" s="417"/>
      <c r="D1513" s="418"/>
      <c r="E1513" s="418"/>
      <c r="F1513" s="419"/>
      <c r="G1513" s="420"/>
      <c r="H1513" s="421"/>
      <c r="I1513" s="425"/>
      <c r="J1513" s="422"/>
      <c r="K1513" s="418"/>
      <c r="L1513" s="418"/>
      <c r="M1513" s="418"/>
      <c r="N1513" s="421"/>
      <c r="O1513" s="421"/>
      <c r="P1513" s="421"/>
      <c r="Q1513" s="418"/>
      <c r="R1513" s="1022"/>
      <c r="S1513" s="1022"/>
      <c r="T1513" s="418"/>
      <c r="U1513" s="418"/>
      <c r="V1513" s="418"/>
      <c r="W1513" s="418"/>
      <c r="X1513" s="418"/>
      <c r="Y1513" s="418"/>
      <c r="Z1513" s="418"/>
      <c r="AA1513" s="418"/>
      <c r="AB1513" s="418"/>
      <c r="AC1513" s="418"/>
      <c r="AD1513" s="418"/>
      <c r="AE1513" s="418"/>
      <c r="AF1513" s="418"/>
      <c r="AG1513" s="418"/>
      <c r="AH1513" s="418"/>
      <c r="AI1513" s="418"/>
      <c r="AJ1513" s="418"/>
      <c r="AK1513" s="418"/>
      <c r="AL1513" s="418"/>
      <c r="AM1513" s="418"/>
      <c r="AN1513" s="423"/>
      <c r="AO1513" s="423"/>
      <c r="AP1513" s="423"/>
      <c r="AQ1513" s="423"/>
      <c r="AR1513" s="423"/>
      <c r="AS1513" s="423"/>
      <c r="AT1513" s="423"/>
      <c r="AU1513" s="423"/>
      <c r="AV1513" s="423"/>
      <c r="AW1513" s="418"/>
      <c r="AX1513" s="418"/>
      <c r="AY1513" s="418"/>
      <c r="AZ1513" s="418"/>
      <c r="BA1513" s="418"/>
      <c r="BB1513" s="306"/>
    </row>
    <row r="1514" spans="1:54" ht="15.75" customHeight="1">
      <c r="A1514" s="415"/>
      <c r="B1514" s="416"/>
      <c r="C1514" s="417"/>
      <c r="D1514" s="418"/>
      <c r="E1514" s="418"/>
      <c r="F1514" s="419"/>
      <c r="G1514" s="420"/>
      <c r="H1514" s="421"/>
      <c r="I1514" s="425"/>
      <c r="J1514" s="422"/>
      <c r="K1514" s="418"/>
      <c r="L1514" s="418"/>
      <c r="M1514" s="418"/>
      <c r="N1514" s="421"/>
      <c r="O1514" s="421"/>
      <c r="P1514" s="421"/>
      <c r="Q1514" s="418"/>
      <c r="R1514" s="1022"/>
      <c r="S1514" s="1022"/>
      <c r="T1514" s="418"/>
      <c r="U1514" s="418"/>
      <c r="V1514" s="418"/>
      <c r="W1514" s="418"/>
      <c r="X1514" s="418"/>
      <c r="Y1514" s="418"/>
      <c r="Z1514" s="418"/>
      <c r="AA1514" s="418"/>
      <c r="AB1514" s="418"/>
      <c r="AC1514" s="418"/>
      <c r="AD1514" s="418"/>
      <c r="AE1514" s="418"/>
      <c r="AF1514" s="418"/>
      <c r="AG1514" s="418"/>
      <c r="AH1514" s="418"/>
      <c r="AI1514" s="418"/>
      <c r="AJ1514" s="418"/>
      <c r="AK1514" s="418"/>
      <c r="AL1514" s="418"/>
      <c r="AM1514" s="418"/>
      <c r="AN1514" s="423"/>
      <c r="AO1514" s="423"/>
      <c r="AP1514" s="423"/>
      <c r="AQ1514" s="423"/>
      <c r="AR1514" s="423"/>
      <c r="AS1514" s="423"/>
      <c r="AT1514" s="423"/>
      <c r="AU1514" s="423"/>
      <c r="AV1514" s="423"/>
      <c r="AW1514" s="418"/>
      <c r="AX1514" s="418"/>
      <c r="AY1514" s="418"/>
      <c r="AZ1514" s="418"/>
      <c r="BA1514" s="418"/>
      <c r="BB1514" s="306"/>
    </row>
    <row r="1515" spans="1:54" ht="15.75" customHeight="1">
      <c r="A1515" s="415"/>
      <c r="B1515" s="416"/>
      <c r="C1515" s="417"/>
      <c r="D1515" s="418"/>
      <c r="E1515" s="418"/>
      <c r="F1515" s="419"/>
      <c r="G1515" s="420"/>
      <c r="H1515" s="421"/>
      <c r="I1515" s="425"/>
      <c r="J1515" s="422"/>
      <c r="K1515" s="418"/>
      <c r="L1515" s="418"/>
      <c r="M1515" s="418"/>
      <c r="N1515" s="421"/>
      <c r="O1515" s="421"/>
      <c r="P1515" s="421"/>
      <c r="Q1515" s="418"/>
      <c r="R1515" s="1022"/>
      <c r="S1515" s="1022"/>
      <c r="T1515" s="418"/>
      <c r="U1515" s="418"/>
      <c r="V1515" s="418"/>
      <c r="W1515" s="418"/>
      <c r="X1515" s="418"/>
      <c r="Y1515" s="418"/>
      <c r="Z1515" s="418"/>
      <c r="AA1515" s="418"/>
      <c r="AB1515" s="418"/>
      <c r="AC1515" s="418"/>
      <c r="AD1515" s="418"/>
      <c r="AE1515" s="418"/>
      <c r="AF1515" s="418"/>
      <c r="AG1515" s="418"/>
      <c r="AH1515" s="418"/>
      <c r="AI1515" s="418"/>
      <c r="AJ1515" s="418"/>
      <c r="AK1515" s="418"/>
      <c r="AL1515" s="418"/>
      <c r="AM1515" s="418"/>
      <c r="AN1515" s="423"/>
      <c r="AO1515" s="423"/>
      <c r="AP1515" s="423"/>
      <c r="AQ1515" s="423"/>
      <c r="AR1515" s="423"/>
      <c r="AS1515" s="423"/>
      <c r="AT1515" s="423"/>
      <c r="AU1515" s="423"/>
      <c r="AV1515" s="423"/>
      <c r="AW1515" s="418"/>
      <c r="AX1515" s="418"/>
      <c r="AY1515" s="418"/>
      <c r="AZ1515" s="418"/>
      <c r="BA1515" s="418"/>
      <c r="BB1515" s="306"/>
    </row>
    <row r="1516" spans="1:54" ht="15.75" customHeight="1">
      <c r="A1516" s="415"/>
      <c r="B1516" s="416"/>
      <c r="C1516" s="417"/>
      <c r="D1516" s="418"/>
      <c r="E1516" s="418"/>
      <c r="F1516" s="419"/>
      <c r="G1516" s="420"/>
      <c r="H1516" s="421"/>
      <c r="I1516" s="425"/>
      <c r="J1516" s="422"/>
      <c r="K1516" s="418"/>
      <c r="L1516" s="418"/>
      <c r="M1516" s="418"/>
      <c r="N1516" s="421"/>
      <c r="O1516" s="421"/>
      <c r="P1516" s="421"/>
      <c r="Q1516" s="418"/>
      <c r="R1516" s="1022"/>
      <c r="S1516" s="1022"/>
      <c r="T1516" s="418"/>
      <c r="U1516" s="418"/>
      <c r="V1516" s="418"/>
      <c r="W1516" s="418"/>
      <c r="X1516" s="418"/>
      <c r="Y1516" s="418"/>
      <c r="Z1516" s="418"/>
      <c r="AA1516" s="418"/>
      <c r="AB1516" s="418"/>
      <c r="AC1516" s="418"/>
      <c r="AD1516" s="418"/>
      <c r="AE1516" s="418"/>
      <c r="AF1516" s="418"/>
      <c r="AG1516" s="418"/>
      <c r="AH1516" s="418"/>
      <c r="AI1516" s="418"/>
      <c r="AJ1516" s="418"/>
      <c r="AK1516" s="418"/>
      <c r="AL1516" s="418"/>
      <c r="AM1516" s="418"/>
      <c r="AN1516" s="423"/>
      <c r="AO1516" s="423"/>
      <c r="AP1516" s="423"/>
      <c r="AQ1516" s="423"/>
      <c r="AR1516" s="423"/>
      <c r="AS1516" s="423"/>
      <c r="AT1516" s="423"/>
      <c r="AU1516" s="423"/>
      <c r="AV1516" s="423"/>
      <c r="AW1516" s="418"/>
      <c r="AX1516" s="418"/>
      <c r="AY1516" s="418"/>
      <c r="AZ1516" s="418"/>
      <c r="BA1516" s="418"/>
      <c r="BB1516" s="306"/>
    </row>
    <row r="1517" spans="1:54" ht="15.75" customHeight="1">
      <c r="A1517" s="415"/>
      <c r="B1517" s="416"/>
      <c r="C1517" s="417"/>
      <c r="D1517" s="418"/>
      <c r="E1517" s="418"/>
      <c r="F1517" s="419"/>
      <c r="G1517" s="420"/>
      <c r="H1517" s="421"/>
      <c r="I1517" s="425"/>
      <c r="J1517" s="422"/>
      <c r="K1517" s="418"/>
      <c r="L1517" s="418"/>
      <c r="M1517" s="418"/>
      <c r="N1517" s="421"/>
      <c r="O1517" s="421"/>
      <c r="P1517" s="421"/>
      <c r="Q1517" s="418"/>
      <c r="R1517" s="1022"/>
      <c r="S1517" s="1022"/>
      <c r="T1517" s="418"/>
      <c r="U1517" s="418"/>
      <c r="V1517" s="418"/>
      <c r="W1517" s="418"/>
      <c r="X1517" s="418"/>
      <c r="Y1517" s="418"/>
      <c r="Z1517" s="418"/>
      <c r="AA1517" s="418"/>
      <c r="AB1517" s="418"/>
      <c r="AC1517" s="418"/>
      <c r="AD1517" s="418"/>
      <c r="AE1517" s="418"/>
      <c r="AF1517" s="418"/>
      <c r="AG1517" s="418"/>
      <c r="AH1517" s="418"/>
      <c r="AI1517" s="418"/>
      <c r="AJ1517" s="418"/>
      <c r="AK1517" s="418"/>
      <c r="AL1517" s="418"/>
      <c r="AM1517" s="418"/>
      <c r="AN1517" s="423"/>
      <c r="AO1517" s="423"/>
      <c r="AP1517" s="423"/>
      <c r="AQ1517" s="423"/>
      <c r="AR1517" s="423"/>
      <c r="AS1517" s="423"/>
      <c r="AT1517" s="423"/>
      <c r="AU1517" s="423"/>
      <c r="AV1517" s="423"/>
      <c r="AW1517" s="418"/>
      <c r="AX1517" s="418"/>
      <c r="AY1517" s="418"/>
      <c r="AZ1517" s="418"/>
      <c r="BA1517" s="418"/>
      <c r="BB1517" s="306"/>
    </row>
    <row r="1518" spans="1:54" ht="15.75" customHeight="1">
      <c r="A1518" s="415"/>
      <c r="B1518" s="416"/>
      <c r="C1518" s="417"/>
      <c r="D1518" s="418"/>
      <c r="E1518" s="418"/>
      <c r="F1518" s="419"/>
      <c r="G1518" s="420"/>
      <c r="H1518" s="421"/>
      <c r="I1518" s="425"/>
      <c r="J1518" s="422"/>
      <c r="K1518" s="418"/>
      <c r="L1518" s="418"/>
      <c r="M1518" s="418"/>
      <c r="N1518" s="421"/>
      <c r="O1518" s="421"/>
      <c r="P1518" s="421"/>
      <c r="Q1518" s="418"/>
      <c r="R1518" s="1022"/>
      <c r="S1518" s="1022"/>
      <c r="T1518" s="418"/>
      <c r="U1518" s="418"/>
      <c r="V1518" s="418"/>
      <c r="W1518" s="418"/>
      <c r="X1518" s="418"/>
      <c r="Y1518" s="418"/>
      <c r="Z1518" s="418"/>
      <c r="AA1518" s="418"/>
      <c r="AB1518" s="418"/>
      <c r="AC1518" s="418"/>
      <c r="AD1518" s="418"/>
      <c r="AE1518" s="418"/>
      <c r="AF1518" s="418"/>
      <c r="AG1518" s="418"/>
      <c r="AH1518" s="418"/>
      <c r="AI1518" s="418"/>
      <c r="AJ1518" s="418"/>
      <c r="AK1518" s="418"/>
      <c r="AL1518" s="418"/>
      <c r="AM1518" s="418"/>
      <c r="AN1518" s="423"/>
      <c r="AO1518" s="423"/>
      <c r="AP1518" s="423"/>
      <c r="AQ1518" s="423"/>
      <c r="AR1518" s="423"/>
      <c r="AS1518" s="423"/>
      <c r="AT1518" s="423"/>
      <c r="AU1518" s="423"/>
      <c r="AV1518" s="423"/>
      <c r="AW1518" s="418"/>
      <c r="AX1518" s="418"/>
      <c r="AY1518" s="418"/>
      <c r="AZ1518" s="418"/>
      <c r="BA1518" s="418"/>
      <c r="BB1518" s="306"/>
    </row>
    <row r="1519" spans="1:54" ht="15.75" customHeight="1">
      <c r="A1519" s="415"/>
      <c r="B1519" s="416"/>
      <c r="C1519" s="417"/>
      <c r="D1519" s="418"/>
      <c r="E1519" s="418"/>
      <c r="F1519" s="419"/>
      <c r="G1519" s="420"/>
      <c r="H1519" s="421"/>
      <c r="I1519" s="425"/>
      <c r="J1519" s="422"/>
      <c r="K1519" s="418"/>
      <c r="L1519" s="418"/>
      <c r="M1519" s="418"/>
      <c r="N1519" s="421"/>
      <c r="O1519" s="421"/>
      <c r="P1519" s="421"/>
      <c r="Q1519" s="418"/>
      <c r="R1519" s="1022"/>
      <c r="S1519" s="1022"/>
      <c r="T1519" s="418"/>
      <c r="U1519" s="418"/>
      <c r="V1519" s="418"/>
      <c r="W1519" s="418"/>
      <c r="X1519" s="418"/>
      <c r="Y1519" s="418"/>
      <c r="Z1519" s="418"/>
      <c r="AA1519" s="418"/>
      <c r="AB1519" s="418"/>
      <c r="AC1519" s="418"/>
      <c r="AD1519" s="418"/>
      <c r="AE1519" s="418"/>
      <c r="AF1519" s="418"/>
      <c r="AG1519" s="418"/>
      <c r="AH1519" s="418"/>
      <c r="AI1519" s="418"/>
      <c r="AJ1519" s="418"/>
      <c r="AK1519" s="418"/>
      <c r="AL1519" s="418"/>
      <c r="AM1519" s="418"/>
      <c r="AN1519" s="423"/>
      <c r="AO1519" s="423"/>
      <c r="AP1519" s="423"/>
      <c r="AQ1519" s="423"/>
      <c r="AR1519" s="423"/>
      <c r="AS1519" s="423"/>
      <c r="AT1519" s="423"/>
      <c r="AU1519" s="423"/>
      <c r="AV1519" s="423"/>
      <c r="AW1519" s="418"/>
      <c r="AX1519" s="418"/>
      <c r="AY1519" s="418"/>
      <c r="AZ1519" s="418"/>
      <c r="BA1519" s="418"/>
      <c r="BB1519" s="306"/>
    </row>
    <row r="1520" spans="1:54" ht="15.75" customHeight="1">
      <c r="A1520" s="415"/>
      <c r="B1520" s="416"/>
      <c r="C1520" s="417"/>
      <c r="D1520" s="418"/>
      <c r="E1520" s="418"/>
      <c r="F1520" s="419"/>
      <c r="G1520" s="420"/>
      <c r="H1520" s="421"/>
      <c r="I1520" s="425"/>
      <c r="J1520" s="422"/>
      <c r="K1520" s="418"/>
      <c r="L1520" s="418"/>
      <c r="M1520" s="418"/>
      <c r="N1520" s="421"/>
      <c r="O1520" s="421"/>
      <c r="P1520" s="421"/>
      <c r="Q1520" s="418"/>
      <c r="R1520" s="1022"/>
      <c r="S1520" s="1022"/>
      <c r="T1520" s="418"/>
      <c r="U1520" s="418"/>
      <c r="V1520" s="418"/>
      <c r="W1520" s="418"/>
      <c r="X1520" s="418"/>
      <c r="Y1520" s="418"/>
      <c r="Z1520" s="418"/>
      <c r="AA1520" s="418"/>
      <c r="AB1520" s="418"/>
      <c r="AC1520" s="418"/>
      <c r="AD1520" s="418"/>
      <c r="AE1520" s="418"/>
      <c r="AF1520" s="418"/>
      <c r="AG1520" s="418"/>
      <c r="AH1520" s="418"/>
      <c r="AI1520" s="418"/>
      <c r="AJ1520" s="418"/>
      <c r="AK1520" s="418"/>
      <c r="AL1520" s="418"/>
      <c r="AM1520" s="418"/>
      <c r="AN1520" s="423"/>
      <c r="AO1520" s="423"/>
      <c r="AP1520" s="423"/>
      <c r="AQ1520" s="423"/>
      <c r="AR1520" s="423"/>
      <c r="AS1520" s="423"/>
      <c r="AT1520" s="423"/>
      <c r="AU1520" s="423"/>
      <c r="AV1520" s="423"/>
      <c r="AW1520" s="418"/>
      <c r="AX1520" s="418"/>
      <c r="AY1520" s="418"/>
      <c r="AZ1520" s="418"/>
      <c r="BA1520" s="418"/>
      <c r="BB1520" s="306"/>
    </row>
    <row r="1521" spans="1:54" ht="15.75" customHeight="1">
      <c r="A1521" s="415"/>
      <c r="B1521" s="416"/>
      <c r="C1521" s="417"/>
      <c r="D1521" s="418"/>
      <c r="E1521" s="418"/>
      <c r="F1521" s="419"/>
      <c r="G1521" s="420"/>
      <c r="H1521" s="421"/>
      <c r="I1521" s="425"/>
      <c r="J1521" s="422"/>
      <c r="K1521" s="418"/>
      <c r="L1521" s="418"/>
      <c r="M1521" s="418"/>
      <c r="N1521" s="421"/>
      <c r="O1521" s="421"/>
      <c r="P1521" s="421"/>
      <c r="Q1521" s="418"/>
      <c r="R1521" s="1022"/>
      <c r="S1521" s="1022"/>
      <c r="T1521" s="418"/>
      <c r="U1521" s="418"/>
      <c r="V1521" s="418"/>
      <c r="W1521" s="418"/>
      <c r="X1521" s="418"/>
      <c r="Y1521" s="418"/>
      <c r="Z1521" s="418"/>
      <c r="AA1521" s="418"/>
      <c r="AB1521" s="418"/>
      <c r="AC1521" s="418"/>
      <c r="AD1521" s="418"/>
      <c r="AE1521" s="418"/>
      <c r="AF1521" s="418"/>
      <c r="AG1521" s="418"/>
      <c r="AH1521" s="418"/>
      <c r="AI1521" s="418"/>
      <c r="AJ1521" s="418"/>
      <c r="AK1521" s="418"/>
      <c r="AL1521" s="418"/>
      <c r="AM1521" s="418"/>
      <c r="AN1521" s="423"/>
      <c r="AO1521" s="423"/>
      <c r="AP1521" s="423"/>
      <c r="AQ1521" s="423"/>
      <c r="AR1521" s="423"/>
      <c r="AS1521" s="423"/>
      <c r="AT1521" s="423"/>
      <c r="AU1521" s="423"/>
      <c r="AV1521" s="423"/>
      <c r="AW1521" s="418"/>
      <c r="AX1521" s="418"/>
      <c r="AY1521" s="418"/>
      <c r="AZ1521" s="418"/>
      <c r="BA1521" s="418"/>
      <c r="BB1521" s="306"/>
    </row>
    <row r="1522" spans="1:54" ht="15.75" customHeight="1">
      <c r="A1522" s="415"/>
      <c r="B1522" s="416"/>
      <c r="C1522" s="417"/>
      <c r="D1522" s="418"/>
      <c r="E1522" s="418"/>
      <c r="F1522" s="419"/>
      <c r="G1522" s="420"/>
      <c r="H1522" s="421"/>
      <c r="I1522" s="425"/>
      <c r="J1522" s="422"/>
      <c r="K1522" s="418"/>
      <c r="L1522" s="418"/>
      <c r="M1522" s="418"/>
      <c r="N1522" s="421"/>
      <c r="O1522" s="421"/>
      <c r="P1522" s="421"/>
      <c r="Q1522" s="418"/>
      <c r="R1522" s="1022"/>
      <c r="S1522" s="1022"/>
      <c r="T1522" s="418"/>
      <c r="U1522" s="418"/>
      <c r="V1522" s="418"/>
      <c r="W1522" s="418"/>
      <c r="X1522" s="418"/>
      <c r="Y1522" s="418"/>
      <c r="Z1522" s="418"/>
      <c r="AA1522" s="418"/>
      <c r="AB1522" s="418"/>
      <c r="AC1522" s="418"/>
      <c r="AD1522" s="418"/>
      <c r="AE1522" s="418"/>
      <c r="AF1522" s="418"/>
      <c r="AG1522" s="418"/>
      <c r="AH1522" s="418"/>
      <c r="AI1522" s="418"/>
      <c r="AJ1522" s="418"/>
      <c r="AK1522" s="418"/>
      <c r="AL1522" s="418"/>
      <c r="AM1522" s="418"/>
      <c r="AN1522" s="423"/>
      <c r="AO1522" s="423"/>
      <c r="AP1522" s="423"/>
      <c r="AQ1522" s="423"/>
      <c r="AR1522" s="423"/>
      <c r="AS1522" s="423"/>
      <c r="AT1522" s="423"/>
      <c r="AU1522" s="423"/>
      <c r="AV1522" s="423"/>
      <c r="AW1522" s="418"/>
      <c r="AX1522" s="418"/>
      <c r="AY1522" s="418"/>
      <c r="AZ1522" s="418"/>
      <c r="BA1522" s="418"/>
      <c r="BB1522" s="306"/>
    </row>
    <row r="1523" spans="1:54" ht="15.75" customHeight="1">
      <c r="A1523" s="415"/>
      <c r="B1523" s="416"/>
      <c r="C1523" s="417"/>
      <c r="D1523" s="418"/>
      <c r="E1523" s="418"/>
      <c r="F1523" s="419"/>
      <c r="G1523" s="420"/>
      <c r="H1523" s="421"/>
      <c r="I1523" s="425"/>
      <c r="J1523" s="422"/>
      <c r="K1523" s="418"/>
      <c r="L1523" s="418"/>
      <c r="M1523" s="418"/>
      <c r="N1523" s="421"/>
      <c r="O1523" s="421"/>
      <c r="P1523" s="421"/>
      <c r="Q1523" s="418"/>
      <c r="R1523" s="1022"/>
      <c r="S1523" s="1022"/>
      <c r="T1523" s="418"/>
      <c r="U1523" s="418"/>
      <c r="V1523" s="418"/>
      <c r="W1523" s="418"/>
      <c r="X1523" s="418"/>
      <c r="Y1523" s="418"/>
      <c r="Z1523" s="418"/>
      <c r="AA1523" s="418"/>
      <c r="AB1523" s="418"/>
      <c r="AC1523" s="418"/>
      <c r="AD1523" s="418"/>
      <c r="AE1523" s="418"/>
      <c r="AF1523" s="418"/>
      <c r="AG1523" s="418"/>
      <c r="AH1523" s="418"/>
      <c r="AI1523" s="418"/>
      <c r="AJ1523" s="418"/>
      <c r="AK1523" s="418"/>
      <c r="AL1523" s="418"/>
      <c r="AM1523" s="418"/>
      <c r="AN1523" s="423"/>
      <c r="AO1523" s="423"/>
      <c r="AP1523" s="423"/>
      <c r="AQ1523" s="423"/>
      <c r="AR1523" s="423"/>
      <c r="AS1523" s="423"/>
      <c r="AT1523" s="423"/>
      <c r="AU1523" s="423"/>
      <c r="AV1523" s="423"/>
      <c r="AW1523" s="418"/>
      <c r="AX1523" s="418"/>
      <c r="AY1523" s="418"/>
      <c r="AZ1523" s="418"/>
      <c r="BA1523" s="418"/>
      <c r="BB1523" s="306"/>
    </row>
    <row r="1524" spans="1:54" ht="15.75" customHeight="1">
      <c r="A1524" s="415"/>
      <c r="B1524" s="416"/>
      <c r="C1524" s="417"/>
      <c r="D1524" s="418"/>
      <c r="E1524" s="418"/>
      <c r="F1524" s="419"/>
      <c r="G1524" s="420"/>
      <c r="H1524" s="421"/>
      <c r="I1524" s="425"/>
      <c r="J1524" s="422"/>
      <c r="K1524" s="418"/>
      <c r="L1524" s="418"/>
      <c r="M1524" s="418"/>
      <c r="N1524" s="421"/>
      <c r="O1524" s="421"/>
      <c r="P1524" s="421"/>
      <c r="Q1524" s="418"/>
      <c r="R1524" s="1022"/>
      <c r="S1524" s="1022"/>
      <c r="T1524" s="418"/>
      <c r="U1524" s="418"/>
      <c r="V1524" s="418"/>
      <c r="W1524" s="418"/>
      <c r="X1524" s="418"/>
      <c r="Y1524" s="418"/>
      <c r="Z1524" s="418"/>
      <c r="AA1524" s="418"/>
      <c r="AB1524" s="418"/>
      <c r="AC1524" s="418"/>
      <c r="AD1524" s="418"/>
      <c r="AE1524" s="418"/>
      <c r="AF1524" s="418"/>
      <c r="AG1524" s="418"/>
      <c r="AH1524" s="418"/>
      <c r="AI1524" s="418"/>
      <c r="AJ1524" s="418"/>
      <c r="AK1524" s="418"/>
      <c r="AL1524" s="418"/>
      <c r="AM1524" s="418"/>
      <c r="AN1524" s="423"/>
      <c r="AO1524" s="423"/>
      <c r="AP1524" s="423"/>
      <c r="AQ1524" s="423"/>
      <c r="AR1524" s="423"/>
      <c r="AS1524" s="423"/>
      <c r="AT1524" s="423"/>
      <c r="AU1524" s="423"/>
      <c r="AV1524" s="423"/>
      <c r="AW1524" s="418"/>
      <c r="AX1524" s="418"/>
      <c r="AY1524" s="418"/>
      <c r="AZ1524" s="418"/>
      <c r="BA1524" s="418"/>
      <c r="BB1524" s="306"/>
    </row>
    <row r="1525" spans="1:54" ht="15.75" customHeight="1">
      <c r="A1525" s="415"/>
      <c r="B1525" s="416"/>
      <c r="C1525" s="417"/>
      <c r="D1525" s="418"/>
      <c r="E1525" s="418"/>
      <c r="F1525" s="419"/>
      <c r="G1525" s="420"/>
      <c r="H1525" s="421"/>
      <c r="I1525" s="425"/>
      <c r="J1525" s="422"/>
      <c r="K1525" s="418"/>
      <c r="L1525" s="418"/>
      <c r="M1525" s="418"/>
      <c r="N1525" s="421"/>
      <c r="O1525" s="421"/>
      <c r="P1525" s="421"/>
      <c r="Q1525" s="418"/>
      <c r="R1525" s="1022"/>
      <c r="S1525" s="1022"/>
      <c r="T1525" s="418"/>
      <c r="U1525" s="418"/>
      <c r="V1525" s="418"/>
      <c r="W1525" s="418"/>
      <c r="X1525" s="418"/>
      <c r="Y1525" s="418"/>
      <c r="Z1525" s="418"/>
      <c r="AA1525" s="418"/>
      <c r="AB1525" s="418"/>
      <c r="AC1525" s="418"/>
      <c r="AD1525" s="418"/>
      <c r="AE1525" s="418"/>
      <c r="AF1525" s="418"/>
      <c r="AG1525" s="418"/>
      <c r="AH1525" s="418"/>
      <c r="AI1525" s="418"/>
      <c r="AJ1525" s="418"/>
      <c r="AK1525" s="418"/>
      <c r="AL1525" s="418"/>
      <c r="AM1525" s="418"/>
      <c r="AN1525" s="423"/>
      <c r="AO1525" s="423"/>
      <c r="AP1525" s="423"/>
      <c r="AQ1525" s="423"/>
      <c r="AR1525" s="423"/>
      <c r="AS1525" s="423"/>
      <c r="AT1525" s="423"/>
      <c r="AU1525" s="423"/>
      <c r="AV1525" s="423"/>
      <c r="AW1525" s="418"/>
      <c r="AX1525" s="418"/>
      <c r="AY1525" s="418"/>
      <c r="AZ1525" s="418"/>
      <c r="BA1525" s="418"/>
      <c r="BB1525" s="306"/>
    </row>
    <row r="1526" spans="1:54" ht="15.75" customHeight="1">
      <c r="A1526" s="415"/>
      <c r="B1526" s="416"/>
      <c r="C1526" s="417"/>
      <c r="D1526" s="418"/>
      <c r="E1526" s="418"/>
      <c r="F1526" s="419"/>
      <c r="G1526" s="420"/>
      <c r="H1526" s="421"/>
      <c r="I1526" s="425"/>
      <c r="J1526" s="422"/>
      <c r="K1526" s="418"/>
      <c r="L1526" s="418"/>
      <c r="M1526" s="418"/>
      <c r="N1526" s="421"/>
      <c r="O1526" s="421"/>
      <c r="P1526" s="421"/>
      <c r="Q1526" s="418"/>
      <c r="R1526" s="1022"/>
      <c r="S1526" s="1022"/>
      <c r="T1526" s="418"/>
      <c r="U1526" s="418"/>
      <c r="V1526" s="418"/>
      <c r="W1526" s="418"/>
      <c r="X1526" s="418"/>
      <c r="Y1526" s="418"/>
      <c r="Z1526" s="418"/>
      <c r="AA1526" s="418"/>
      <c r="AB1526" s="418"/>
      <c r="AC1526" s="418"/>
      <c r="AD1526" s="418"/>
      <c r="AE1526" s="418"/>
      <c r="AF1526" s="418"/>
      <c r="AG1526" s="418"/>
      <c r="AH1526" s="418"/>
      <c r="AI1526" s="418"/>
      <c r="AJ1526" s="418"/>
      <c r="AK1526" s="418"/>
      <c r="AL1526" s="418"/>
      <c r="AM1526" s="418"/>
      <c r="AN1526" s="423"/>
      <c r="AO1526" s="423"/>
      <c r="AP1526" s="423"/>
      <c r="AQ1526" s="423"/>
      <c r="AR1526" s="423"/>
      <c r="AS1526" s="423"/>
      <c r="AT1526" s="423"/>
      <c r="AU1526" s="423"/>
      <c r="AV1526" s="423"/>
      <c r="AW1526" s="418"/>
      <c r="AX1526" s="418"/>
      <c r="AY1526" s="418"/>
      <c r="AZ1526" s="418"/>
      <c r="BA1526" s="418"/>
      <c r="BB1526" s="306"/>
    </row>
    <row r="1527" spans="1:54" ht="15.75" customHeight="1">
      <c r="A1527" s="415"/>
      <c r="B1527" s="416"/>
      <c r="C1527" s="417"/>
      <c r="D1527" s="418"/>
      <c r="E1527" s="418"/>
      <c r="F1527" s="419"/>
      <c r="G1527" s="420"/>
      <c r="H1527" s="421"/>
      <c r="I1527" s="425"/>
      <c r="J1527" s="422"/>
      <c r="K1527" s="418"/>
      <c r="L1527" s="418"/>
      <c r="M1527" s="418"/>
      <c r="N1527" s="421"/>
      <c r="O1527" s="421"/>
      <c r="P1527" s="421"/>
      <c r="Q1527" s="418"/>
      <c r="R1527" s="1022"/>
      <c r="S1527" s="1022"/>
      <c r="T1527" s="418"/>
      <c r="U1527" s="418"/>
      <c r="V1527" s="418"/>
      <c r="W1527" s="418"/>
      <c r="X1527" s="418"/>
      <c r="Y1527" s="418"/>
      <c r="Z1527" s="418"/>
      <c r="AA1527" s="418"/>
      <c r="AB1527" s="418"/>
      <c r="AC1527" s="418"/>
      <c r="AD1527" s="418"/>
      <c r="AE1527" s="418"/>
      <c r="AF1527" s="418"/>
      <c r="AG1527" s="418"/>
      <c r="AH1527" s="418"/>
      <c r="AI1527" s="418"/>
      <c r="AJ1527" s="418"/>
      <c r="AK1527" s="418"/>
      <c r="AL1527" s="418"/>
      <c r="AM1527" s="418"/>
      <c r="AN1527" s="423"/>
      <c r="AO1527" s="423"/>
      <c r="AP1527" s="423"/>
      <c r="AQ1527" s="423"/>
      <c r="AR1527" s="423"/>
      <c r="AS1527" s="423"/>
      <c r="AT1527" s="423"/>
      <c r="AU1527" s="423"/>
      <c r="AV1527" s="423"/>
      <c r="AW1527" s="306"/>
      <c r="AX1527" s="306"/>
      <c r="AY1527" s="306"/>
      <c r="AZ1527" s="306"/>
      <c r="BA1527" s="306"/>
      <c r="BB1527" s="306"/>
    </row>
    <row r="1528" spans="1:54" ht="15.75" customHeight="1">
      <c r="A1528" s="415"/>
      <c r="B1528" s="416"/>
      <c r="C1528" s="417"/>
      <c r="D1528" s="418"/>
      <c r="E1528" s="418"/>
      <c r="F1528" s="419"/>
      <c r="G1528" s="420"/>
      <c r="H1528" s="421"/>
      <c r="I1528" s="425"/>
      <c r="J1528" s="427"/>
      <c r="K1528" s="418"/>
      <c r="L1528" s="418"/>
      <c r="M1528" s="418"/>
      <c r="N1528" s="421"/>
      <c r="O1528" s="421"/>
      <c r="P1528" s="421"/>
      <c r="Q1528" s="418"/>
      <c r="R1528" s="1022"/>
      <c r="S1528" s="1022"/>
      <c r="T1528" s="418"/>
      <c r="U1528" s="418"/>
      <c r="V1528" s="418"/>
      <c r="W1528" s="418"/>
      <c r="X1528" s="418"/>
      <c r="Y1528" s="418"/>
      <c r="Z1528" s="418"/>
      <c r="AA1528" s="418"/>
      <c r="AB1528" s="418"/>
      <c r="AC1528" s="418"/>
      <c r="AD1528" s="418"/>
      <c r="AE1528" s="418"/>
      <c r="AF1528" s="418"/>
      <c r="AG1528" s="418"/>
      <c r="AH1528" s="418"/>
      <c r="AI1528" s="418"/>
      <c r="AJ1528" s="418"/>
      <c r="AK1528" s="418"/>
      <c r="AL1528" s="418"/>
      <c r="AM1528" s="418"/>
      <c r="AN1528" s="423"/>
      <c r="AO1528" s="423"/>
      <c r="AP1528" s="423"/>
      <c r="AQ1528" s="423"/>
      <c r="AR1528" s="423"/>
      <c r="AS1528" s="423"/>
      <c r="AT1528" s="423"/>
      <c r="AU1528" s="423"/>
      <c r="AV1528" s="423"/>
      <c r="AW1528" s="306"/>
      <c r="AX1528" s="306"/>
      <c r="AY1528" s="306"/>
      <c r="AZ1528" s="306"/>
      <c r="BA1528" s="306"/>
      <c r="BB1528" s="306"/>
    </row>
    <row r="1529" spans="1:54" ht="15.75" customHeight="1">
      <c r="A1529" s="317"/>
      <c r="B1529" s="430"/>
      <c r="C1529" s="317"/>
      <c r="E1529" s="306"/>
      <c r="F1529" s="431"/>
      <c r="G1529" s="431"/>
      <c r="H1529" s="298"/>
      <c r="I1529" s="432"/>
      <c r="J1529" s="433"/>
      <c r="K1529" s="306"/>
      <c r="L1529" s="306"/>
      <c r="M1529" s="306"/>
      <c r="N1529" s="298"/>
      <c r="O1529" s="298"/>
      <c r="P1529" s="298"/>
      <c r="Q1529" s="306"/>
      <c r="R1529" s="1023"/>
      <c r="S1529" s="1023"/>
      <c r="T1529" s="306"/>
      <c r="U1529" s="306"/>
      <c r="V1529" s="306"/>
      <c r="W1529" s="306"/>
      <c r="X1529" s="306"/>
      <c r="Y1529" s="306"/>
      <c r="Z1529" s="306"/>
      <c r="AA1529" s="306"/>
      <c r="AB1529" s="306"/>
      <c r="AC1529" s="306"/>
      <c r="AD1529" s="306"/>
      <c r="AE1529" s="306"/>
      <c r="AF1529" s="306"/>
      <c r="AG1529" s="306"/>
      <c r="AH1529" s="306"/>
      <c r="AI1529" s="306"/>
      <c r="AJ1529" s="306"/>
      <c r="AK1529" s="306"/>
      <c r="AL1529" s="306"/>
      <c r="AM1529" s="418"/>
      <c r="AN1529" s="423"/>
      <c r="AO1529" s="434"/>
      <c r="AP1529" s="434"/>
      <c r="AQ1529" s="423"/>
      <c r="AR1529" s="434"/>
      <c r="AS1529" s="434"/>
      <c r="AT1529" s="423"/>
      <c r="AU1529" s="434"/>
      <c r="AV1529" s="434"/>
      <c r="AW1529" s="306"/>
      <c r="AX1529" s="306"/>
      <c r="AY1529" s="306"/>
      <c r="AZ1529" s="306"/>
      <c r="BA1529" s="306"/>
      <c r="BB1529" s="306"/>
    </row>
    <row r="1530" spans="1:54" ht="15.75" customHeight="1">
      <c r="A1530" s="317"/>
      <c r="B1530" s="430"/>
      <c r="C1530" s="317"/>
      <c r="E1530" s="306"/>
      <c r="F1530" s="431"/>
      <c r="G1530" s="431"/>
      <c r="H1530" s="298"/>
      <c r="I1530" s="432"/>
      <c r="J1530" s="433"/>
      <c r="K1530" s="306"/>
      <c r="L1530" s="306"/>
      <c r="M1530" s="306"/>
      <c r="N1530" s="298"/>
      <c r="O1530" s="298"/>
      <c r="P1530" s="298"/>
      <c r="Q1530" s="306"/>
      <c r="R1530" s="1023"/>
      <c r="S1530" s="1023"/>
      <c r="T1530" s="306"/>
      <c r="U1530" s="306"/>
      <c r="V1530" s="306"/>
      <c r="W1530" s="306"/>
      <c r="X1530" s="306"/>
      <c r="Y1530" s="306"/>
      <c r="Z1530" s="306"/>
      <c r="AA1530" s="306"/>
      <c r="AB1530" s="306"/>
      <c r="AC1530" s="306"/>
      <c r="AD1530" s="306"/>
      <c r="AE1530" s="306"/>
      <c r="AF1530" s="306"/>
      <c r="AG1530" s="306"/>
      <c r="AH1530" s="306"/>
      <c r="AI1530" s="306"/>
      <c r="AJ1530" s="306"/>
      <c r="AK1530" s="306"/>
      <c r="AL1530" s="306"/>
      <c r="AM1530" s="418"/>
      <c r="AN1530" s="423"/>
      <c r="AO1530" s="434"/>
      <c r="AP1530" s="434"/>
      <c r="AQ1530" s="423"/>
      <c r="AR1530" s="434"/>
      <c r="AS1530" s="434"/>
      <c r="AT1530" s="423"/>
      <c r="AU1530" s="434"/>
      <c r="AV1530" s="434"/>
      <c r="AW1530" s="306"/>
      <c r="AX1530" s="306"/>
      <c r="AY1530" s="306"/>
      <c r="AZ1530" s="306"/>
      <c r="BA1530" s="306"/>
      <c r="BB1530" s="306"/>
    </row>
    <row r="1531" spans="1:54" ht="15.75" customHeight="1">
      <c r="A1531" s="317"/>
      <c r="B1531" s="430"/>
      <c r="C1531" s="317"/>
      <c r="E1531" s="306"/>
      <c r="F1531" s="431"/>
      <c r="G1531" s="431"/>
      <c r="H1531" s="298"/>
      <c r="I1531" s="432"/>
      <c r="J1531" s="433"/>
      <c r="K1531" s="306"/>
      <c r="L1531" s="306"/>
      <c r="M1531" s="306"/>
      <c r="N1531" s="298"/>
      <c r="O1531" s="298"/>
      <c r="P1531" s="298"/>
      <c r="Q1531" s="306"/>
      <c r="R1531" s="1023"/>
      <c r="S1531" s="1023"/>
      <c r="T1531" s="306"/>
      <c r="U1531" s="306"/>
      <c r="V1531" s="306"/>
      <c r="W1531" s="306"/>
      <c r="X1531" s="306"/>
      <c r="Y1531" s="306"/>
      <c r="Z1531" s="306"/>
      <c r="AA1531" s="306"/>
      <c r="AB1531" s="306"/>
      <c r="AC1531" s="306"/>
      <c r="AD1531" s="306"/>
      <c r="AE1531" s="306"/>
      <c r="AF1531" s="306"/>
      <c r="AG1531" s="306"/>
      <c r="AH1531" s="306"/>
      <c r="AI1531" s="306"/>
      <c r="AJ1531" s="306"/>
      <c r="AK1531" s="306"/>
      <c r="AL1531" s="306"/>
      <c r="AM1531" s="418"/>
      <c r="AN1531" s="423"/>
      <c r="AO1531" s="434"/>
      <c r="AP1531" s="434"/>
      <c r="AQ1531" s="423"/>
      <c r="AR1531" s="434"/>
      <c r="AS1531" s="434"/>
      <c r="AT1531" s="423"/>
      <c r="AU1531" s="434"/>
      <c r="AV1531" s="434"/>
      <c r="AW1531" s="306"/>
      <c r="AX1531" s="306"/>
      <c r="AY1531" s="306"/>
      <c r="AZ1531" s="306"/>
      <c r="BA1531" s="306"/>
      <c r="BB1531" s="306"/>
    </row>
    <row r="1532" spans="1:54" ht="15.75" customHeight="1">
      <c r="A1532" s="317"/>
      <c r="B1532" s="430"/>
      <c r="C1532" s="317"/>
      <c r="E1532" s="306"/>
      <c r="F1532" s="431"/>
      <c r="G1532" s="431"/>
      <c r="H1532" s="298"/>
      <c r="I1532" s="432"/>
      <c r="J1532" s="433"/>
      <c r="K1532" s="306"/>
      <c r="L1532" s="306"/>
      <c r="M1532" s="306"/>
      <c r="N1532" s="298"/>
      <c r="O1532" s="298"/>
      <c r="P1532" s="298"/>
      <c r="Q1532" s="306"/>
      <c r="R1532" s="1023"/>
      <c r="S1532" s="1023"/>
      <c r="T1532" s="306"/>
      <c r="U1532" s="306"/>
      <c r="V1532" s="306"/>
      <c r="W1532" s="306"/>
      <c r="X1532" s="306"/>
      <c r="Y1532" s="306"/>
      <c r="Z1532" s="306"/>
      <c r="AA1532" s="306"/>
      <c r="AB1532" s="306"/>
      <c r="AC1532" s="306"/>
      <c r="AD1532" s="306"/>
      <c r="AE1532" s="306"/>
      <c r="AF1532" s="306"/>
      <c r="AG1532" s="306"/>
      <c r="AH1532" s="306"/>
      <c r="AI1532" s="306"/>
      <c r="AJ1532" s="306"/>
      <c r="AK1532" s="306"/>
      <c r="AL1532" s="306"/>
      <c r="AM1532" s="418"/>
      <c r="AN1532" s="423"/>
      <c r="AO1532" s="434"/>
      <c r="AP1532" s="434"/>
      <c r="AQ1532" s="423"/>
      <c r="AR1532" s="434"/>
      <c r="AS1532" s="434"/>
      <c r="AT1532" s="423"/>
      <c r="AU1532" s="434"/>
      <c r="AV1532" s="434"/>
      <c r="AW1532" s="306"/>
      <c r="AX1532" s="306"/>
      <c r="AY1532" s="306"/>
      <c r="AZ1532" s="306"/>
      <c r="BA1532" s="306"/>
      <c r="BB1532" s="306"/>
    </row>
    <row r="1533" spans="1:54" ht="15.75" customHeight="1">
      <c r="A1533" s="317"/>
      <c r="B1533" s="430"/>
      <c r="C1533" s="317"/>
      <c r="E1533" s="306"/>
      <c r="F1533" s="431"/>
      <c r="G1533" s="431"/>
      <c r="H1533" s="298"/>
      <c r="I1533" s="432"/>
      <c r="J1533" s="433"/>
      <c r="K1533" s="306"/>
      <c r="L1533" s="306"/>
      <c r="M1533" s="306"/>
      <c r="N1533" s="298"/>
      <c r="O1533" s="298"/>
      <c r="P1533" s="298"/>
      <c r="Q1533" s="306"/>
      <c r="R1533" s="1023"/>
      <c r="S1533" s="1023"/>
      <c r="T1533" s="306"/>
      <c r="U1533" s="306"/>
      <c r="V1533" s="306"/>
      <c r="W1533" s="306"/>
      <c r="X1533" s="306"/>
      <c r="Y1533" s="306"/>
      <c r="Z1533" s="306"/>
      <c r="AA1533" s="306"/>
      <c r="AB1533" s="306"/>
      <c r="AC1533" s="306"/>
      <c r="AD1533" s="306"/>
      <c r="AE1533" s="306"/>
      <c r="AF1533" s="306"/>
      <c r="AG1533" s="306"/>
      <c r="AH1533" s="306"/>
      <c r="AI1533" s="306"/>
      <c r="AJ1533" s="306"/>
      <c r="AK1533" s="306"/>
      <c r="AL1533" s="306"/>
      <c r="AM1533" s="418"/>
      <c r="AN1533" s="423"/>
      <c r="AO1533" s="434"/>
      <c r="AP1533" s="434"/>
      <c r="AQ1533" s="423"/>
      <c r="AR1533" s="434"/>
      <c r="AS1533" s="434"/>
      <c r="AT1533" s="423"/>
      <c r="AU1533" s="434"/>
      <c r="AV1533" s="434"/>
      <c r="AW1533" s="306"/>
      <c r="AX1533" s="306"/>
      <c r="AY1533" s="306"/>
      <c r="AZ1533" s="306"/>
      <c r="BA1533" s="306"/>
      <c r="BB1533" s="306"/>
    </row>
    <row r="1534" spans="1:54" ht="15.75" customHeight="1">
      <c r="A1534" s="317"/>
      <c r="B1534" s="430"/>
      <c r="C1534" s="317"/>
      <c r="E1534" s="306"/>
      <c r="F1534" s="431"/>
      <c r="G1534" s="431"/>
      <c r="H1534" s="298"/>
      <c r="I1534" s="432"/>
      <c r="J1534" s="433"/>
      <c r="K1534" s="306"/>
      <c r="L1534" s="306"/>
      <c r="M1534" s="306"/>
      <c r="N1534" s="298"/>
      <c r="O1534" s="298"/>
      <c r="P1534" s="298"/>
      <c r="Q1534" s="306"/>
      <c r="R1534" s="1023"/>
      <c r="S1534" s="1023"/>
      <c r="T1534" s="306"/>
      <c r="U1534" s="306"/>
      <c r="V1534" s="306"/>
      <c r="W1534" s="306"/>
      <c r="X1534" s="306"/>
      <c r="Y1534" s="306"/>
      <c r="Z1534" s="306"/>
      <c r="AA1534" s="306"/>
      <c r="AB1534" s="306"/>
      <c r="AC1534" s="306"/>
      <c r="AD1534" s="306"/>
      <c r="AE1534" s="306"/>
      <c r="AF1534" s="306"/>
      <c r="AG1534" s="306"/>
      <c r="AH1534" s="306"/>
      <c r="AI1534" s="306"/>
      <c r="AJ1534" s="306"/>
      <c r="AK1534" s="306"/>
      <c r="AL1534" s="306"/>
      <c r="AM1534" s="418"/>
      <c r="AN1534" s="423"/>
      <c r="AO1534" s="434"/>
      <c r="AP1534" s="434"/>
      <c r="AQ1534" s="423"/>
      <c r="AR1534" s="434"/>
      <c r="AS1534" s="434"/>
      <c r="AT1534" s="423"/>
      <c r="AU1534" s="434"/>
      <c r="AV1534" s="434"/>
      <c r="AW1534" s="306"/>
      <c r="AX1534" s="306"/>
      <c r="AY1534" s="306"/>
      <c r="AZ1534" s="306"/>
      <c r="BA1534" s="306"/>
      <c r="BB1534" s="306"/>
    </row>
    <row r="1535" spans="1:54" ht="15.75" customHeight="1">
      <c r="A1535" s="317"/>
      <c r="B1535" s="430"/>
      <c r="C1535" s="317"/>
      <c r="E1535" s="306"/>
      <c r="F1535" s="431"/>
      <c r="G1535" s="431"/>
      <c r="H1535" s="298"/>
      <c r="I1535" s="432"/>
      <c r="J1535" s="433"/>
      <c r="K1535" s="306"/>
      <c r="L1535" s="306"/>
      <c r="M1535" s="306"/>
      <c r="N1535" s="298"/>
      <c r="O1535" s="298"/>
      <c r="P1535" s="298"/>
      <c r="Q1535" s="306"/>
      <c r="R1535" s="1023"/>
      <c r="S1535" s="1023"/>
      <c r="T1535" s="306"/>
      <c r="U1535" s="306"/>
      <c r="V1535" s="306"/>
      <c r="W1535" s="306"/>
      <c r="X1535" s="306"/>
      <c r="Y1535" s="306"/>
      <c r="Z1535" s="306"/>
      <c r="AA1535" s="306"/>
      <c r="AB1535" s="306"/>
      <c r="AC1535" s="306"/>
      <c r="AD1535" s="306"/>
      <c r="AE1535" s="306"/>
      <c r="AF1535" s="306"/>
      <c r="AG1535" s="306"/>
      <c r="AH1535" s="306"/>
      <c r="AI1535" s="306"/>
      <c r="AJ1535" s="306"/>
      <c r="AK1535" s="306"/>
      <c r="AL1535" s="306"/>
      <c r="AM1535" s="418"/>
      <c r="AN1535" s="423"/>
      <c r="AO1535" s="434"/>
      <c r="AP1535" s="434"/>
      <c r="AQ1535" s="423"/>
      <c r="AR1535" s="434"/>
      <c r="AS1535" s="434"/>
      <c r="AT1535" s="423"/>
      <c r="AU1535" s="434"/>
      <c r="AV1535" s="434"/>
      <c r="AW1535" s="306"/>
      <c r="AX1535" s="306"/>
      <c r="AY1535" s="306"/>
      <c r="AZ1535" s="306"/>
      <c r="BA1535" s="306"/>
      <c r="BB1535" s="306"/>
    </row>
    <row r="1536" spans="1:54" ht="15.75" customHeight="1">
      <c r="A1536" s="317"/>
      <c r="B1536" s="430"/>
      <c r="C1536" s="317"/>
      <c r="E1536" s="306"/>
      <c r="F1536" s="431"/>
      <c r="G1536" s="431"/>
      <c r="H1536" s="298"/>
      <c r="I1536" s="432"/>
      <c r="J1536" s="433"/>
      <c r="K1536" s="306"/>
      <c r="L1536" s="306"/>
      <c r="M1536" s="306"/>
      <c r="N1536" s="298"/>
      <c r="O1536" s="298"/>
      <c r="P1536" s="298"/>
      <c r="Q1536" s="306"/>
      <c r="R1536" s="1023"/>
      <c r="S1536" s="1023"/>
      <c r="T1536" s="306"/>
      <c r="U1536" s="306"/>
      <c r="V1536" s="306"/>
      <c r="W1536" s="306"/>
      <c r="X1536" s="306"/>
      <c r="Y1536" s="306"/>
      <c r="Z1536" s="306"/>
      <c r="AA1536" s="306"/>
      <c r="AB1536" s="306"/>
      <c r="AC1536" s="306"/>
      <c r="AD1536" s="306"/>
      <c r="AE1536" s="306"/>
      <c r="AF1536" s="306"/>
      <c r="AG1536" s="306"/>
      <c r="AH1536" s="306"/>
      <c r="AI1536" s="306"/>
      <c r="AJ1536" s="306"/>
      <c r="AK1536" s="306"/>
      <c r="AL1536" s="306"/>
      <c r="AM1536" s="418"/>
      <c r="AN1536" s="423"/>
      <c r="AO1536" s="434"/>
      <c r="AP1536" s="434"/>
      <c r="AQ1536" s="423"/>
      <c r="AR1536" s="434"/>
      <c r="AS1536" s="434"/>
      <c r="AT1536" s="423"/>
      <c r="AU1536" s="434"/>
      <c r="AV1536" s="434"/>
      <c r="AW1536" s="306"/>
      <c r="AX1536" s="306"/>
      <c r="AY1536" s="306"/>
      <c r="AZ1536" s="306"/>
      <c r="BA1536" s="306"/>
      <c r="BB1536" s="306"/>
    </row>
    <row r="1537" spans="1:54" ht="15.75" customHeight="1">
      <c r="A1537" s="317"/>
      <c r="B1537" s="430"/>
      <c r="C1537" s="317"/>
      <c r="E1537" s="306"/>
      <c r="F1537" s="431"/>
      <c r="G1537" s="431"/>
      <c r="H1537" s="298"/>
      <c r="I1537" s="432"/>
      <c r="J1537" s="433"/>
      <c r="K1537" s="306"/>
      <c r="L1537" s="306"/>
      <c r="M1537" s="306"/>
      <c r="N1537" s="298"/>
      <c r="O1537" s="298"/>
      <c r="P1537" s="298"/>
      <c r="Q1537" s="306"/>
      <c r="R1537" s="1023"/>
      <c r="S1537" s="1023"/>
      <c r="T1537" s="306"/>
      <c r="U1537" s="306"/>
      <c r="V1537" s="306"/>
      <c r="W1537" s="306"/>
      <c r="X1537" s="306"/>
      <c r="Y1537" s="306"/>
      <c r="Z1537" s="306"/>
      <c r="AA1537" s="306"/>
      <c r="AB1537" s="306"/>
      <c r="AC1537" s="306"/>
      <c r="AD1537" s="306"/>
      <c r="AE1537" s="306"/>
      <c r="AF1537" s="306"/>
      <c r="AG1537" s="306"/>
      <c r="AH1537" s="306"/>
      <c r="AI1537" s="306"/>
      <c r="AJ1537" s="306"/>
      <c r="AK1537" s="306"/>
      <c r="AL1537" s="306"/>
      <c r="AM1537" s="418"/>
      <c r="AN1537" s="423"/>
      <c r="AO1537" s="434"/>
      <c r="AP1537" s="434"/>
      <c r="AQ1537" s="423"/>
      <c r="AR1537" s="434"/>
      <c r="AS1537" s="434"/>
      <c r="AT1537" s="423"/>
      <c r="AU1537" s="434"/>
      <c r="AV1537" s="434"/>
      <c r="AW1537" s="306"/>
      <c r="AX1537" s="306"/>
      <c r="AY1537" s="306"/>
      <c r="AZ1537" s="306"/>
      <c r="BA1537" s="306"/>
      <c r="BB1537" s="306"/>
    </row>
    <row r="1538" spans="1:54" ht="15.75" customHeight="1">
      <c r="A1538" s="317"/>
      <c r="B1538" s="430"/>
      <c r="C1538" s="317"/>
      <c r="E1538" s="306"/>
      <c r="F1538" s="431"/>
      <c r="G1538" s="431"/>
      <c r="H1538" s="298"/>
      <c r="I1538" s="432"/>
      <c r="J1538" s="433"/>
      <c r="K1538" s="306"/>
      <c r="L1538" s="306"/>
      <c r="M1538" s="306"/>
      <c r="N1538" s="298"/>
      <c r="O1538" s="298"/>
      <c r="P1538" s="298"/>
      <c r="Q1538" s="306"/>
      <c r="R1538" s="1023"/>
      <c r="S1538" s="1023"/>
      <c r="T1538" s="306"/>
      <c r="U1538" s="306"/>
      <c r="V1538" s="306"/>
      <c r="W1538" s="306"/>
      <c r="X1538" s="306"/>
      <c r="Y1538" s="306"/>
      <c r="Z1538" s="306"/>
      <c r="AA1538" s="306"/>
      <c r="AB1538" s="306"/>
      <c r="AC1538" s="306"/>
      <c r="AD1538" s="306"/>
      <c r="AE1538" s="306"/>
      <c r="AF1538" s="306"/>
      <c r="AG1538" s="306"/>
      <c r="AH1538" s="306"/>
      <c r="AI1538" s="306"/>
      <c r="AJ1538" s="306"/>
      <c r="AK1538" s="306"/>
      <c r="AL1538" s="306"/>
      <c r="AM1538" s="418"/>
      <c r="AN1538" s="423"/>
      <c r="AO1538" s="434"/>
      <c r="AP1538" s="434"/>
      <c r="AQ1538" s="423"/>
      <c r="AR1538" s="434"/>
      <c r="AS1538" s="434"/>
      <c r="AT1538" s="423"/>
      <c r="AU1538" s="434"/>
      <c r="AV1538" s="434"/>
      <c r="AW1538" s="306"/>
      <c r="AX1538" s="306"/>
      <c r="AY1538" s="306"/>
      <c r="AZ1538" s="306"/>
      <c r="BA1538" s="306"/>
      <c r="BB1538" s="306"/>
    </row>
    <row r="1539" spans="1:54" ht="15.75" customHeight="1">
      <c r="A1539" s="317"/>
      <c r="B1539" s="430"/>
      <c r="C1539" s="317"/>
      <c r="E1539" s="306"/>
      <c r="F1539" s="431"/>
      <c r="G1539" s="431"/>
      <c r="H1539" s="298"/>
      <c r="I1539" s="432"/>
      <c r="J1539" s="433"/>
      <c r="K1539" s="306"/>
      <c r="L1539" s="306"/>
      <c r="M1539" s="306"/>
      <c r="N1539" s="298"/>
      <c r="O1539" s="298"/>
      <c r="P1539" s="298"/>
      <c r="Q1539" s="306"/>
      <c r="R1539" s="1023"/>
      <c r="S1539" s="1023"/>
      <c r="T1539" s="306"/>
      <c r="U1539" s="306"/>
      <c r="V1539" s="306"/>
      <c r="W1539" s="306"/>
      <c r="X1539" s="306"/>
      <c r="Y1539" s="306"/>
      <c r="Z1539" s="306"/>
      <c r="AA1539" s="306"/>
      <c r="AB1539" s="306"/>
      <c r="AC1539" s="306"/>
      <c r="AD1539" s="306"/>
      <c r="AE1539" s="306"/>
      <c r="AF1539" s="306"/>
      <c r="AG1539" s="306"/>
      <c r="AH1539" s="306"/>
      <c r="AI1539" s="306"/>
      <c r="AJ1539" s="306"/>
      <c r="AK1539" s="306"/>
      <c r="AL1539" s="306"/>
      <c r="AM1539" s="418"/>
      <c r="AN1539" s="423"/>
      <c r="AO1539" s="434"/>
      <c r="AP1539" s="434"/>
      <c r="AQ1539" s="423"/>
      <c r="AR1539" s="434"/>
      <c r="AS1539" s="434"/>
      <c r="AT1539" s="423"/>
      <c r="AU1539" s="434"/>
      <c r="AV1539" s="434"/>
      <c r="AW1539" s="306"/>
      <c r="AX1539" s="306"/>
      <c r="AY1539" s="306"/>
      <c r="AZ1539" s="306"/>
      <c r="BA1539" s="306"/>
      <c r="BB1539" s="306"/>
    </row>
    <row r="1540" spans="1:54" ht="15.75" customHeight="1">
      <c r="A1540" s="317"/>
      <c r="B1540" s="430"/>
      <c r="C1540" s="317"/>
      <c r="E1540" s="306"/>
      <c r="F1540" s="431"/>
      <c r="G1540" s="431"/>
      <c r="H1540" s="298"/>
      <c r="I1540" s="432"/>
      <c r="J1540" s="433"/>
      <c r="K1540" s="306"/>
      <c r="L1540" s="306"/>
      <c r="M1540" s="306"/>
      <c r="N1540" s="298"/>
      <c r="O1540" s="298"/>
      <c r="P1540" s="298"/>
      <c r="Q1540" s="306"/>
      <c r="R1540" s="1023"/>
      <c r="S1540" s="1023"/>
      <c r="T1540" s="306"/>
      <c r="U1540" s="306"/>
      <c r="V1540" s="306"/>
      <c r="W1540" s="306"/>
      <c r="X1540" s="306"/>
      <c r="Y1540" s="306"/>
      <c r="Z1540" s="306"/>
      <c r="AA1540" s="306"/>
      <c r="AB1540" s="306"/>
      <c r="AC1540" s="306"/>
      <c r="AD1540" s="306"/>
      <c r="AE1540" s="306"/>
      <c r="AF1540" s="306"/>
      <c r="AG1540" s="306"/>
      <c r="AH1540" s="306"/>
      <c r="AI1540" s="306"/>
      <c r="AJ1540" s="306"/>
      <c r="AK1540" s="306"/>
      <c r="AL1540" s="306"/>
      <c r="AM1540" s="418"/>
      <c r="AN1540" s="423"/>
      <c r="AO1540" s="434"/>
      <c r="AP1540" s="434"/>
      <c r="AQ1540" s="423"/>
      <c r="AR1540" s="434"/>
      <c r="AS1540" s="434"/>
      <c r="AT1540" s="423"/>
      <c r="AU1540" s="434"/>
      <c r="AV1540" s="434"/>
      <c r="AW1540" s="306"/>
      <c r="AX1540" s="306"/>
      <c r="AY1540" s="306"/>
      <c r="AZ1540" s="306"/>
      <c r="BA1540" s="306"/>
      <c r="BB1540" s="306"/>
    </row>
    <row r="1541" spans="1:54" ht="15.75" customHeight="1">
      <c r="A1541" s="317"/>
      <c r="B1541" s="430"/>
      <c r="C1541" s="317"/>
      <c r="E1541" s="306"/>
      <c r="F1541" s="431"/>
      <c r="G1541" s="431"/>
      <c r="H1541" s="298"/>
      <c r="I1541" s="432"/>
      <c r="J1541" s="433"/>
      <c r="K1541" s="306"/>
      <c r="L1541" s="306"/>
      <c r="M1541" s="306"/>
      <c r="N1541" s="298"/>
      <c r="O1541" s="298"/>
      <c r="P1541" s="298"/>
      <c r="Q1541" s="306"/>
      <c r="R1541" s="1023"/>
      <c r="S1541" s="1023"/>
      <c r="T1541" s="306"/>
      <c r="U1541" s="306"/>
      <c r="V1541" s="306"/>
      <c r="W1541" s="306"/>
      <c r="X1541" s="306"/>
      <c r="Y1541" s="306"/>
      <c r="Z1541" s="306"/>
      <c r="AA1541" s="306"/>
      <c r="AB1541" s="306"/>
      <c r="AC1541" s="306"/>
      <c r="AD1541" s="306"/>
      <c r="AE1541" s="306"/>
      <c r="AF1541" s="306"/>
      <c r="AG1541" s="306"/>
      <c r="AH1541" s="306"/>
      <c r="AI1541" s="306"/>
      <c r="AJ1541" s="306"/>
      <c r="AK1541" s="306"/>
      <c r="AL1541" s="306"/>
      <c r="AM1541" s="418"/>
      <c r="AN1541" s="423"/>
      <c r="AO1541" s="434"/>
      <c r="AP1541" s="434"/>
      <c r="AQ1541" s="423"/>
      <c r="AR1541" s="434"/>
      <c r="AS1541" s="434"/>
      <c r="AT1541" s="423"/>
      <c r="AU1541" s="434"/>
      <c r="AV1541" s="434"/>
      <c r="AW1541" s="306"/>
      <c r="AX1541" s="306"/>
      <c r="AY1541" s="306"/>
      <c r="AZ1541" s="306"/>
      <c r="BA1541" s="306"/>
      <c r="BB1541" s="306"/>
    </row>
    <row r="1542" spans="1:54" ht="15.75" customHeight="1">
      <c r="A1542" s="317"/>
      <c r="B1542" s="430"/>
      <c r="C1542" s="317"/>
      <c r="E1542" s="306"/>
      <c r="F1542" s="431"/>
      <c r="G1542" s="431"/>
      <c r="H1542" s="298"/>
      <c r="I1542" s="432"/>
      <c r="J1542" s="433"/>
      <c r="K1542" s="306"/>
      <c r="L1542" s="306"/>
      <c r="M1542" s="306"/>
      <c r="N1542" s="298"/>
      <c r="O1542" s="298"/>
      <c r="P1542" s="298"/>
      <c r="Q1542" s="306"/>
      <c r="R1542" s="1023"/>
      <c r="S1542" s="1023"/>
      <c r="T1542" s="306"/>
      <c r="U1542" s="306"/>
      <c r="V1542" s="306"/>
      <c r="W1542" s="306"/>
      <c r="X1542" s="306"/>
      <c r="Y1542" s="306"/>
      <c r="Z1542" s="306"/>
      <c r="AA1542" s="306"/>
      <c r="AB1542" s="306"/>
      <c r="AC1542" s="306"/>
      <c r="AD1542" s="306"/>
      <c r="AE1542" s="306"/>
      <c r="AF1542" s="306"/>
      <c r="AG1542" s="306"/>
      <c r="AH1542" s="306"/>
      <c r="AI1542" s="306"/>
      <c r="AJ1542" s="306"/>
      <c r="AK1542" s="306"/>
      <c r="AL1542" s="306"/>
      <c r="AM1542" s="418"/>
      <c r="AN1542" s="423"/>
      <c r="AO1542" s="434"/>
      <c r="AP1542" s="434"/>
      <c r="AQ1542" s="423"/>
      <c r="AR1542" s="434"/>
      <c r="AS1542" s="434"/>
      <c r="AT1542" s="423"/>
      <c r="AU1542" s="434"/>
      <c r="AV1542" s="434"/>
      <c r="AW1542" s="306"/>
      <c r="AX1542" s="306"/>
      <c r="AY1542" s="306"/>
      <c r="AZ1542" s="306"/>
      <c r="BA1542" s="306"/>
      <c r="BB1542" s="306"/>
    </row>
    <row r="1543" spans="1:54" ht="15.75" customHeight="1">
      <c r="A1543" s="317"/>
      <c r="B1543" s="430"/>
      <c r="C1543" s="317"/>
      <c r="E1543" s="306"/>
      <c r="F1543" s="431"/>
      <c r="G1543" s="431"/>
      <c r="H1543" s="298"/>
      <c r="I1543" s="432"/>
      <c r="J1543" s="433"/>
      <c r="K1543" s="306"/>
      <c r="L1543" s="306"/>
      <c r="M1543" s="306"/>
      <c r="N1543" s="298"/>
      <c r="O1543" s="298"/>
      <c r="P1543" s="298"/>
      <c r="Q1543" s="306"/>
      <c r="R1543" s="1023"/>
      <c r="S1543" s="1023"/>
      <c r="T1543" s="306"/>
      <c r="U1543" s="306"/>
      <c r="V1543" s="306"/>
      <c r="W1543" s="306"/>
      <c r="X1543" s="306"/>
      <c r="Y1543" s="306"/>
      <c r="Z1543" s="306"/>
      <c r="AA1543" s="306"/>
      <c r="AB1543" s="306"/>
      <c r="AC1543" s="306"/>
      <c r="AD1543" s="306"/>
      <c r="AE1543" s="306"/>
      <c r="AF1543" s="306"/>
      <c r="AG1543" s="306"/>
      <c r="AH1543" s="306"/>
      <c r="AI1543" s="306"/>
      <c r="AJ1543" s="306"/>
      <c r="AK1543" s="306"/>
      <c r="AL1543" s="306"/>
      <c r="AM1543" s="418"/>
      <c r="AN1543" s="423"/>
      <c r="AO1543" s="434"/>
      <c r="AP1543" s="434"/>
      <c r="AQ1543" s="423"/>
      <c r="AR1543" s="434"/>
      <c r="AS1543" s="434"/>
      <c r="AT1543" s="423"/>
      <c r="AU1543" s="434"/>
      <c r="AV1543" s="434"/>
      <c r="AW1543" s="306"/>
      <c r="AX1543" s="306"/>
      <c r="AY1543" s="306"/>
      <c r="AZ1543" s="306"/>
      <c r="BA1543" s="306"/>
      <c r="BB1543" s="306"/>
    </row>
    <row r="1544" spans="1:54" ht="15.75" customHeight="1">
      <c r="A1544" s="317"/>
      <c r="B1544" s="430"/>
      <c r="C1544" s="317"/>
      <c r="E1544" s="306"/>
      <c r="F1544" s="431"/>
      <c r="G1544" s="431"/>
      <c r="H1544" s="298"/>
      <c r="I1544" s="432"/>
      <c r="J1544" s="433"/>
      <c r="K1544" s="306"/>
      <c r="L1544" s="306"/>
      <c r="M1544" s="306"/>
      <c r="N1544" s="298"/>
      <c r="O1544" s="298"/>
      <c r="P1544" s="298"/>
      <c r="Q1544" s="306"/>
      <c r="R1544" s="1023"/>
      <c r="S1544" s="1023"/>
      <c r="T1544" s="306"/>
      <c r="U1544" s="306"/>
      <c r="V1544" s="306"/>
      <c r="W1544" s="306"/>
      <c r="X1544" s="306"/>
      <c r="Y1544" s="306"/>
      <c r="Z1544" s="306"/>
      <c r="AA1544" s="306"/>
      <c r="AB1544" s="306"/>
      <c r="AC1544" s="306"/>
      <c r="AD1544" s="306"/>
      <c r="AE1544" s="306"/>
      <c r="AF1544" s="306"/>
      <c r="AG1544" s="306"/>
      <c r="AH1544" s="306"/>
      <c r="AI1544" s="306"/>
      <c r="AJ1544" s="306"/>
      <c r="AK1544" s="306"/>
      <c r="AL1544" s="306"/>
      <c r="AM1544" s="418"/>
      <c r="AN1544" s="423"/>
      <c r="AO1544" s="434"/>
      <c r="AP1544" s="434"/>
      <c r="AQ1544" s="423"/>
      <c r="AR1544" s="434"/>
      <c r="AS1544" s="434"/>
      <c r="AT1544" s="423"/>
      <c r="AU1544" s="434"/>
      <c r="AV1544" s="434"/>
      <c r="AW1544" s="306"/>
      <c r="AX1544" s="306"/>
      <c r="AY1544" s="306"/>
      <c r="AZ1544" s="306"/>
      <c r="BA1544" s="306"/>
      <c r="BB1544" s="306"/>
    </row>
    <row r="1545" spans="1:54" ht="15.75" customHeight="1">
      <c r="A1545" s="317"/>
      <c r="B1545" s="430"/>
      <c r="C1545" s="317"/>
      <c r="E1545" s="306"/>
      <c r="F1545" s="431"/>
      <c r="G1545" s="431"/>
      <c r="H1545" s="298"/>
      <c r="I1545" s="432"/>
      <c r="J1545" s="433"/>
      <c r="K1545" s="306"/>
      <c r="L1545" s="306"/>
      <c r="M1545" s="306"/>
      <c r="N1545" s="298"/>
      <c r="O1545" s="298"/>
      <c r="P1545" s="298"/>
      <c r="Q1545" s="306"/>
      <c r="R1545" s="1023"/>
      <c r="S1545" s="1023"/>
      <c r="T1545" s="306"/>
      <c r="U1545" s="306"/>
      <c r="V1545" s="306"/>
      <c r="W1545" s="306"/>
      <c r="X1545" s="306"/>
      <c r="Y1545" s="306"/>
      <c r="Z1545" s="306"/>
      <c r="AA1545" s="306"/>
      <c r="AB1545" s="306"/>
      <c r="AC1545" s="306"/>
      <c r="AD1545" s="306"/>
      <c r="AE1545" s="306"/>
      <c r="AF1545" s="306"/>
      <c r="AG1545" s="306"/>
      <c r="AH1545" s="306"/>
      <c r="AI1545" s="306"/>
      <c r="AJ1545" s="306"/>
      <c r="AK1545" s="306"/>
      <c r="AL1545" s="306"/>
      <c r="AM1545" s="418"/>
      <c r="AN1545" s="423"/>
      <c r="AO1545" s="434"/>
      <c r="AP1545" s="434"/>
      <c r="AQ1545" s="423"/>
      <c r="AR1545" s="434"/>
      <c r="AS1545" s="434"/>
      <c r="AT1545" s="423"/>
      <c r="AU1545" s="434"/>
      <c r="AV1545" s="434"/>
      <c r="AW1545" s="306"/>
      <c r="AX1545" s="306"/>
      <c r="AY1545" s="306"/>
      <c r="AZ1545" s="306"/>
      <c r="BA1545" s="306"/>
      <c r="BB1545" s="306"/>
    </row>
    <row r="1546" spans="1:54" ht="15.75" customHeight="1">
      <c r="A1546" s="317"/>
      <c r="B1546" s="430"/>
      <c r="C1546" s="317"/>
      <c r="E1546" s="306"/>
      <c r="F1546" s="431"/>
      <c r="G1546" s="431"/>
      <c r="H1546" s="298"/>
      <c r="I1546" s="432"/>
      <c r="J1546" s="433"/>
      <c r="K1546" s="306"/>
      <c r="L1546" s="306"/>
      <c r="M1546" s="306"/>
      <c r="N1546" s="298"/>
      <c r="O1546" s="298"/>
      <c r="P1546" s="298"/>
      <c r="Q1546" s="306"/>
      <c r="R1546" s="1023"/>
      <c r="S1546" s="1023"/>
      <c r="T1546" s="306"/>
      <c r="U1546" s="306"/>
      <c r="V1546" s="306"/>
      <c r="W1546" s="306"/>
      <c r="X1546" s="306"/>
      <c r="Y1546" s="306"/>
      <c r="Z1546" s="306"/>
      <c r="AA1546" s="306"/>
      <c r="AB1546" s="306"/>
      <c r="AC1546" s="306"/>
      <c r="AD1546" s="306"/>
      <c r="AE1546" s="306"/>
      <c r="AF1546" s="306"/>
      <c r="AG1546" s="306"/>
      <c r="AH1546" s="306"/>
      <c r="AI1546" s="306"/>
      <c r="AJ1546" s="306"/>
      <c r="AK1546" s="306"/>
      <c r="AL1546" s="306"/>
      <c r="AM1546" s="418"/>
      <c r="AN1546" s="423"/>
      <c r="AO1546" s="434"/>
      <c r="AP1546" s="434"/>
      <c r="AQ1546" s="423"/>
      <c r="AR1546" s="434"/>
      <c r="AS1546" s="434"/>
      <c r="AT1546" s="423"/>
      <c r="AU1546" s="434"/>
      <c r="AV1546" s="434"/>
      <c r="AW1546" s="306"/>
      <c r="AX1546" s="306"/>
      <c r="AY1546" s="306"/>
      <c r="AZ1546" s="306"/>
      <c r="BA1546" s="306"/>
      <c r="BB1546" s="306"/>
    </row>
    <row r="1547" spans="1:54" ht="15.75" customHeight="1">
      <c r="A1547" s="317"/>
      <c r="B1547" s="430"/>
      <c r="C1547" s="317"/>
      <c r="E1547" s="306"/>
      <c r="F1547" s="431"/>
      <c r="G1547" s="431"/>
      <c r="H1547" s="298"/>
      <c r="I1547" s="432"/>
      <c r="J1547" s="433"/>
      <c r="K1547" s="306"/>
      <c r="L1547" s="306"/>
      <c r="M1547" s="306"/>
      <c r="N1547" s="298"/>
      <c r="O1547" s="298"/>
      <c r="P1547" s="298"/>
      <c r="Q1547" s="306"/>
      <c r="R1547" s="1023"/>
      <c r="S1547" s="1023"/>
      <c r="T1547" s="306"/>
      <c r="U1547" s="306"/>
      <c r="V1547" s="306"/>
      <c r="W1547" s="306"/>
      <c r="X1547" s="306"/>
      <c r="Y1547" s="306"/>
      <c r="Z1547" s="306"/>
      <c r="AA1547" s="306"/>
      <c r="AB1547" s="306"/>
      <c r="AC1547" s="306"/>
      <c r="AD1547" s="306"/>
      <c r="AE1547" s="306"/>
      <c r="AF1547" s="306"/>
      <c r="AG1547" s="306"/>
      <c r="AH1547" s="306"/>
      <c r="AI1547" s="306"/>
      <c r="AJ1547" s="306"/>
      <c r="AK1547" s="306"/>
      <c r="AL1547" s="306"/>
      <c r="AM1547" s="418"/>
      <c r="AN1547" s="423"/>
      <c r="AO1547" s="434"/>
      <c r="AP1547" s="434"/>
      <c r="AQ1547" s="423"/>
      <c r="AR1547" s="434"/>
      <c r="AS1547" s="434"/>
      <c r="AT1547" s="423"/>
      <c r="AU1547" s="434"/>
      <c r="AV1547" s="434"/>
      <c r="AW1547" s="306"/>
      <c r="AX1547" s="306"/>
      <c r="AY1547" s="306"/>
      <c r="AZ1547" s="306"/>
      <c r="BA1547" s="306"/>
      <c r="BB1547" s="306"/>
    </row>
    <row r="1548" spans="1:54" ht="15.75" customHeight="1">
      <c r="A1548" s="317"/>
      <c r="B1548" s="430"/>
      <c r="C1548" s="317"/>
      <c r="E1548" s="306"/>
      <c r="F1548" s="431"/>
      <c r="G1548" s="431"/>
      <c r="H1548" s="298"/>
      <c r="I1548" s="432"/>
      <c r="J1548" s="433"/>
      <c r="K1548" s="306"/>
      <c r="L1548" s="306"/>
      <c r="M1548" s="306"/>
      <c r="N1548" s="298"/>
      <c r="O1548" s="298"/>
      <c r="P1548" s="298"/>
      <c r="Q1548" s="306"/>
      <c r="R1548" s="1023"/>
      <c r="S1548" s="1023"/>
      <c r="T1548" s="306"/>
      <c r="U1548" s="306"/>
      <c r="V1548" s="306"/>
      <c r="W1548" s="306"/>
      <c r="X1548" s="306"/>
      <c r="Y1548" s="306"/>
      <c r="Z1548" s="306"/>
      <c r="AA1548" s="306"/>
      <c r="AB1548" s="306"/>
      <c r="AC1548" s="306"/>
      <c r="AD1548" s="306"/>
      <c r="AE1548" s="306"/>
      <c r="AF1548" s="306"/>
      <c r="AG1548" s="306"/>
      <c r="AH1548" s="306"/>
      <c r="AI1548" s="306"/>
      <c r="AJ1548" s="306"/>
      <c r="AK1548" s="306"/>
      <c r="AL1548" s="306"/>
      <c r="AM1548" s="418"/>
      <c r="AN1548" s="423"/>
      <c r="AO1548" s="434"/>
      <c r="AP1548" s="434"/>
      <c r="AQ1548" s="423"/>
      <c r="AR1548" s="434"/>
      <c r="AS1548" s="434"/>
      <c r="AT1548" s="423"/>
      <c r="AU1548" s="434"/>
      <c r="AV1548" s="434"/>
      <c r="AW1548" s="306"/>
      <c r="AX1548" s="306"/>
      <c r="AY1548" s="306"/>
      <c r="AZ1548" s="306"/>
      <c r="BA1548" s="306"/>
      <c r="BB1548" s="306"/>
    </row>
    <row r="1549" spans="1:54" ht="15.75" customHeight="1">
      <c r="A1549" s="317"/>
      <c r="B1549" s="430"/>
      <c r="C1549" s="317"/>
      <c r="E1549" s="306"/>
      <c r="F1549" s="431"/>
      <c r="G1549" s="431"/>
      <c r="H1549" s="298"/>
      <c r="I1549" s="432"/>
      <c r="J1549" s="433"/>
      <c r="K1549" s="306"/>
      <c r="L1549" s="306"/>
      <c r="M1549" s="306"/>
      <c r="N1549" s="298"/>
      <c r="O1549" s="298"/>
      <c r="P1549" s="298"/>
      <c r="Q1549" s="306"/>
      <c r="R1549" s="1023"/>
      <c r="S1549" s="1023"/>
      <c r="T1549" s="306"/>
      <c r="U1549" s="306"/>
      <c r="V1549" s="306"/>
      <c r="W1549" s="306"/>
      <c r="X1549" s="306"/>
      <c r="Y1549" s="306"/>
      <c r="Z1549" s="306"/>
      <c r="AA1549" s="306"/>
      <c r="AB1549" s="306"/>
      <c r="AC1549" s="306"/>
      <c r="AD1549" s="306"/>
      <c r="AE1549" s="306"/>
      <c r="AF1549" s="306"/>
      <c r="AG1549" s="306"/>
      <c r="AH1549" s="306"/>
      <c r="AI1549" s="306"/>
      <c r="AJ1549" s="306"/>
      <c r="AK1549" s="306"/>
      <c r="AL1549" s="306"/>
      <c r="AM1549" s="418"/>
      <c r="AN1549" s="423"/>
      <c r="AO1549" s="434"/>
      <c r="AP1549" s="434"/>
      <c r="AQ1549" s="423"/>
      <c r="AR1549" s="434"/>
      <c r="AS1549" s="434"/>
      <c r="AT1549" s="423"/>
      <c r="AU1549" s="434"/>
      <c r="AV1549" s="434"/>
      <c r="AW1549" s="306"/>
      <c r="AX1549" s="306"/>
      <c r="AY1549" s="306"/>
      <c r="AZ1549" s="306"/>
      <c r="BA1549" s="306"/>
      <c r="BB1549" s="306"/>
    </row>
    <row r="1550" spans="1:54" ht="15.75" customHeight="1">
      <c r="A1550" s="317"/>
      <c r="B1550" s="430"/>
      <c r="C1550" s="317"/>
      <c r="E1550" s="306"/>
      <c r="F1550" s="431"/>
      <c r="G1550" s="431"/>
      <c r="H1550" s="298"/>
      <c r="I1550" s="432"/>
      <c r="J1550" s="433"/>
      <c r="K1550" s="306"/>
      <c r="L1550" s="306"/>
      <c r="M1550" s="306"/>
      <c r="N1550" s="298"/>
      <c r="O1550" s="298"/>
      <c r="P1550" s="298"/>
      <c r="Q1550" s="306"/>
      <c r="R1550" s="1023"/>
      <c r="S1550" s="1023"/>
      <c r="T1550" s="306"/>
      <c r="U1550" s="306"/>
      <c r="V1550" s="306"/>
      <c r="W1550" s="306"/>
      <c r="X1550" s="306"/>
      <c r="Y1550" s="306"/>
      <c r="Z1550" s="306"/>
      <c r="AA1550" s="306"/>
      <c r="AB1550" s="306"/>
      <c r="AC1550" s="306"/>
      <c r="AD1550" s="306"/>
      <c r="AE1550" s="306"/>
      <c r="AF1550" s="306"/>
      <c r="AG1550" s="306"/>
      <c r="AH1550" s="306"/>
      <c r="AI1550" s="306"/>
      <c r="AJ1550" s="306"/>
      <c r="AK1550" s="306"/>
      <c r="AL1550" s="306"/>
      <c r="AM1550" s="418"/>
      <c r="AN1550" s="423"/>
      <c r="AO1550" s="434"/>
      <c r="AP1550" s="434"/>
      <c r="AQ1550" s="423"/>
      <c r="AR1550" s="434"/>
      <c r="AS1550" s="434"/>
      <c r="AT1550" s="423"/>
      <c r="AU1550" s="434"/>
      <c r="AV1550" s="434"/>
      <c r="AW1550" s="306"/>
      <c r="AX1550" s="306"/>
      <c r="AY1550" s="306"/>
      <c r="AZ1550" s="306"/>
      <c r="BA1550" s="306"/>
      <c r="BB1550" s="306"/>
    </row>
    <row r="1551" spans="1:54" ht="15.75" customHeight="1">
      <c r="A1551" s="317"/>
      <c r="B1551" s="430"/>
      <c r="C1551" s="317"/>
      <c r="E1551" s="306"/>
      <c r="F1551" s="431"/>
      <c r="G1551" s="431"/>
      <c r="H1551" s="298"/>
      <c r="I1551" s="432"/>
      <c r="J1551" s="433"/>
      <c r="K1551" s="306"/>
      <c r="L1551" s="306"/>
      <c r="M1551" s="306"/>
      <c r="N1551" s="298"/>
      <c r="O1551" s="298"/>
      <c r="P1551" s="298"/>
      <c r="Q1551" s="306"/>
      <c r="R1551" s="1023"/>
      <c r="S1551" s="1023"/>
      <c r="T1551" s="306"/>
      <c r="U1551" s="306"/>
      <c r="V1551" s="306"/>
      <c r="W1551" s="306"/>
      <c r="X1551" s="306"/>
      <c r="Y1551" s="306"/>
      <c r="Z1551" s="306"/>
      <c r="AA1551" s="306"/>
      <c r="AB1551" s="306"/>
      <c r="AC1551" s="306"/>
      <c r="AD1551" s="306"/>
      <c r="AE1551" s="306"/>
      <c r="AF1551" s="306"/>
      <c r="AG1551" s="306"/>
      <c r="AH1551" s="306"/>
      <c r="AI1551" s="306"/>
      <c r="AJ1551" s="306"/>
      <c r="AK1551" s="306"/>
      <c r="AL1551" s="306"/>
      <c r="AM1551" s="418"/>
      <c r="AN1551" s="423"/>
      <c r="AO1551" s="434"/>
      <c r="AP1551" s="434"/>
      <c r="AQ1551" s="423"/>
      <c r="AR1551" s="434"/>
      <c r="AS1551" s="434"/>
      <c r="AT1551" s="423"/>
      <c r="AU1551" s="434"/>
      <c r="AV1551" s="434"/>
      <c r="AW1551" s="306"/>
      <c r="AX1551" s="306"/>
      <c r="AY1551" s="306"/>
      <c r="AZ1551" s="306"/>
      <c r="BA1551" s="306"/>
      <c r="BB1551" s="306"/>
    </row>
    <row r="1552" spans="1:54" ht="15.75" customHeight="1">
      <c r="A1552" s="317"/>
      <c r="B1552" s="430"/>
      <c r="C1552" s="317"/>
      <c r="E1552" s="306"/>
      <c r="F1552" s="431"/>
      <c r="G1552" s="431"/>
      <c r="H1552" s="298"/>
      <c r="I1552" s="432"/>
      <c r="J1552" s="433"/>
      <c r="K1552" s="306"/>
      <c r="L1552" s="306"/>
      <c r="M1552" s="306"/>
      <c r="N1552" s="298"/>
      <c r="O1552" s="298"/>
      <c r="P1552" s="298"/>
      <c r="Q1552" s="306"/>
      <c r="R1552" s="1023"/>
      <c r="S1552" s="1023"/>
      <c r="T1552" s="306"/>
      <c r="U1552" s="306"/>
      <c r="V1552" s="306"/>
      <c r="W1552" s="306"/>
      <c r="X1552" s="306"/>
      <c r="Y1552" s="306"/>
      <c r="Z1552" s="306"/>
      <c r="AA1552" s="306"/>
      <c r="AB1552" s="306"/>
      <c r="AC1552" s="306"/>
      <c r="AD1552" s="306"/>
      <c r="AE1552" s="306"/>
      <c r="AF1552" s="306"/>
      <c r="AG1552" s="306"/>
      <c r="AH1552" s="306"/>
      <c r="AI1552" s="306"/>
      <c r="AJ1552" s="306"/>
      <c r="AK1552" s="306"/>
      <c r="AL1552" s="306"/>
      <c r="AM1552" s="418"/>
      <c r="AN1552" s="423"/>
      <c r="AO1552" s="434"/>
      <c r="AP1552" s="434"/>
      <c r="AQ1552" s="423"/>
      <c r="AR1552" s="434"/>
      <c r="AS1552" s="434"/>
      <c r="AT1552" s="423"/>
      <c r="AU1552" s="434"/>
      <c r="AV1552" s="434"/>
      <c r="AW1552" s="306"/>
      <c r="AX1552" s="306"/>
      <c r="AY1552" s="306"/>
      <c r="AZ1552" s="306"/>
      <c r="BA1552" s="306"/>
      <c r="BB1552" s="306"/>
    </row>
    <row r="1553" spans="1:54" ht="15.75" customHeight="1">
      <c r="A1553" s="317"/>
      <c r="B1553" s="430"/>
      <c r="C1553" s="317"/>
      <c r="E1553" s="306"/>
      <c r="F1553" s="431"/>
      <c r="G1553" s="431"/>
      <c r="H1553" s="298"/>
      <c r="I1553" s="432"/>
      <c r="J1553" s="433"/>
      <c r="K1553" s="306"/>
      <c r="L1553" s="306"/>
      <c r="M1553" s="306"/>
      <c r="N1553" s="298"/>
      <c r="O1553" s="298"/>
      <c r="P1553" s="298"/>
      <c r="Q1553" s="306"/>
      <c r="R1553" s="1023"/>
      <c r="S1553" s="1023"/>
      <c r="T1553" s="306"/>
      <c r="U1553" s="306"/>
      <c r="V1553" s="306"/>
      <c r="W1553" s="306"/>
      <c r="X1553" s="306"/>
      <c r="Y1553" s="306"/>
      <c r="Z1553" s="306"/>
      <c r="AA1553" s="306"/>
      <c r="AB1553" s="306"/>
      <c r="AC1553" s="306"/>
      <c r="AD1553" s="306"/>
      <c r="AE1553" s="306"/>
      <c r="AF1553" s="306"/>
      <c r="AG1553" s="306"/>
      <c r="AH1553" s="306"/>
      <c r="AI1553" s="306"/>
      <c r="AJ1553" s="306"/>
      <c r="AK1553" s="306"/>
      <c r="AL1553" s="306"/>
      <c r="AM1553" s="418"/>
      <c r="AN1553" s="423"/>
      <c r="AO1553" s="434"/>
      <c r="AP1553" s="434"/>
      <c r="AQ1553" s="423"/>
      <c r="AR1553" s="434"/>
      <c r="AS1553" s="434"/>
      <c r="AT1553" s="423"/>
      <c r="AU1553" s="434"/>
      <c r="AV1553" s="434"/>
      <c r="AW1553" s="306"/>
      <c r="AX1553" s="306"/>
      <c r="AY1553" s="306"/>
      <c r="AZ1553" s="306"/>
      <c r="BA1553" s="306"/>
      <c r="BB1553" s="306"/>
    </row>
    <row r="1554" spans="1:54" ht="15.75" customHeight="1">
      <c r="A1554" s="317"/>
      <c r="B1554" s="430"/>
      <c r="C1554" s="317"/>
      <c r="E1554" s="306"/>
      <c r="F1554" s="431"/>
      <c r="G1554" s="431"/>
      <c r="H1554" s="298"/>
      <c r="I1554" s="432"/>
      <c r="J1554" s="433"/>
      <c r="K1554" s="306"/>
      <c r="L1554" s="306"/>
      <c r="M1554" s="306"/>
      <c r="N1554" s="298"/>
      <c r="O1554" s="298"/>
      <c r="P1554" s="298"/>
      <c r="Q1554" s="306"/>
      <c r="R1554" s="1023"/>
      <c r="S1554" s="1023"/>
      <c r="T1554" s="306"/>
      <c r="U1554" s="306"/>
      <c r="V1554" s="306"/>
      <c r="W1554" s="306"/>
      <c r="X1554" s="306"/>
      <c r="Y1554" s="306"/>
      <c r="Z1554" s="306"/>
      <c r="AA1554" s="306"/>
      <c r="AB1554" s="306"/>
      <c r="AC1554" s="306"/>
      <c r="AD1554" s="306"/>
      <c r="AE1554" s="306"/>
      <c r="AF1554" s="306"/>
      <c r="AG1554" s="306"/>
      <c r="AH1554" s="306"/>
      <c r="AI1554" s="306"/>
      <c r="AJ1554" s="306"/>
      <c r="AK1554" s="306"/>
      <c r="AL1554" s="306"/>
      <c r="AM1554" s="418"/>
      <c r="AN1554" s="423"/>
      <c r="AO1554" s="434"/>
      <c r="AP1554" s="434"/>
      <c r="AQ1554" s="423"/>
      <c r="AR1554" s="434"/>
      <c r="AS1554" s="434"/>
      <c r="AT1554" s="423"/>
      <c r="AU1554" s="434"/>
      <c r="AV1554" s="434"/>
      <c r="AW1554" s="306"/>
      <c r="AX1554" s="306"/>
      <c r="AY1554" s="306"/>
      <c r="AZ1554" s="306"/>
      <c r="BA1554" s="306"/>
      <c r="BB1554" s="306"/>
    </row>
    <row r="1555" spans="1:54" ht="15.75" customHeight="1">
      <c r="A1555" s="317"/>
      <c r="B1555" s="430"/>
      <c r="C1555" s="317"/>
      <c r="E1555" s="306"/>
      <c r="F1555" s="431"/>
      <c r="G1555" s="431"/>
      <c r="H1555" s="298"/>
      <c r="I1555" s="432"/>
      <c r="J1555" s="433"/>
      <c r="K1555" s="306"/>
      <c r="L1555" s="306"/>
      <c r="M1555" s="306"/>
      <c r="N1555" s="298"/>
      <c r="O1555" s="298"/>
      <c r="P1555" s="298"/>
      <c r="Q1555" s="306"/>
      <c r="R1555" s="1023"/>
      <c r="S1555" s="1023"/>
      <c r="T1555" s="306"/>
      <c r="U1555" s="306"/>
      <c r="V1555" s="306"/>
      <c r="W1555" s="306"/>
      <c r="X1555" s="306"/>
      <c r="Y1555" s="306"/>
      <c r="Z1555" s="306"/>
      <c r="AA1555" s="306"/>
      <c r="AB1555" s="306"/>
      <c r="AC1555" s="306"/>
      <c r="AD1555" s="306"/>
      <c r="AE1555" s="306"/>
      <c r="AF1555" s="306"/>
      <c r="AG1555" s="306"/>
      <c r="AH1555" s="306"/>
      <c r="AI1555" s="306"/>
      <c r="AJ1555" s="306"/>
      <c r="AK1555" s="306"/>
      <c r="AL1555" s="306"/>
      <c r="AM1555" s="418"/>
      <c r="AN1555" s="423"/>
      <c r="AO1555" s="434"/>
      <c r="AP1555" s="434"/>
      <c r="AQ1555" s="423"/>
      <c r="AR1555" s="434"/>
      <c r="AS1555" s="434"/>
      <c r="AT1555" s="423"/>
      <c r="AU1555" s="434"/>
      <c r="AV1555" s="434"/>
      <c r="AW1555" s="306"/>
      <c r="AX1555" s="306"/>
      <c r="AY1555" s="306"/>
      <c r="AZ1555" s="306"/>
      <c r="BA1555" s="306"/>
      <c r="BB1555" s="306"/>
    </row>
    <row r="1556" spans="1:54" ht="15.75" customHeight="1">
      <c r="A1556" s="317"/>
      <c r="B1556" s="430"/>
      <c r="C1556" s="317"/>
      <c r="E1556" s="306"/>
      <c r="F1556" s="431"/>
      <c r="G1556" s="431"/>
      <c r="H1556" s="298"/>
      <c r="I1556" s="432"/>
      <c r="J1556" s="433"/>
      <c r="K1556" s="306"/>
      <c r="L1556" s="306"/>
      <c r="M1556" s="306"/>
      <c r="N1556" s="298"/>
      <c r="O1556" s="298"/>
      <c r="P1556" s="298"/>
      <c r="Q1556" s="306"/>
      <c r="R1556" s="1023"/>
      <c r="S1556" s="1023"/>
      <c r="T1556" s="306"/>
      <c r="U1556" s="306"/>
      <c r="V1556" s="306"/>
      <c r="W1556" s="306"/>
      <c r="X1556" s="306"/>
      <c r="Y1556" s="306"/>
      <c r="Z1556" s="306"/>
      <c r="AA1556" s="306"/>
      <c r="AB1556" s="306"/>
      <c r="AC1556" s="306"/>
      <c r="AD1556" s="306"/>
      <c r="AE1556" s="306"/>
      <c r="AF1556" s="306"/>
      <c r="AG1556" s="306"/>
      <c r="AH1556" s="306"/>
      <c r="AI1556" s="306"/>
      <c r="AJ1556" s="306"/>
      <c r="AK1556" s="306"/>
      <c r="AL1556" s="306"/>
      <c r="AM1556" s="418"/>
      <c r="AN1556" s="423"/>
      <c r="AO1556" s="434"/>
      <c r="AP1556" s="434"/>
      <c r="AQ1556" s="423"/>
      <c r="AR1556" s="434"/>
      <c r="AS1556" s="434"/>
      <c r="AT1556" s="423"/>
      <c r="AU1556" s="434"/>
      <c r="AV1556" s="434"/>
      <c r="AW1556" s="306"/>
      <c r="AX1556" s="306"/>
      <c r="AY1556" s="306"/>
      <c r="AZ1556" s="306"/>
      <c r="BA1556" s="306"/>
      <c r="BB1556" s="306"/>
    </row>
    <row r="1557" spans="1:54" ht="15.75" customHeight="1">
      <c r="A1557" s="317"/>
      <c r="B1557" s="430"/>
      <c r="C1557" s="317"/>
      <c r="E1557" s="306"/>
      <c r="F1557" s="431"/>
      <c r="G1557" s="431"/>
      <c r="H1557" s="298"/>
      <c r="I1557" s="432"/>
      <c r="J1557" s="433"/>
      <c r="K1557" s="306"/>
      <c r="L1557" s="306"/>
      <c r="M1557" s="306"/>
      <c r="N1557" s="298"/>
      <c r="O1557" s="298"/>
      <c r="P1557" s="298"/>
      <c r="Q1557" s="306"/>
      <c r="R1557" s="1023"/>
      <c r="S1557" s="1023"/>
      <c r="T1557" s="306"/>
      <c r="U1557" s="306"/>
      <c r="V1557" s="306"/>
      <c r="W1557" s="306"/>
      <c r="X1557" s="306"/>
      <c r="Y1557" s="306"/>
      <c r="Z1557" s="306"/>
      <c r="AA1557" s="306"/>
      <c r="AB1557" s="306"/>
      <c r="AC1557" s="306"/>
      <c r="AD1557" s="306"/>
      <c r="AE1557" s="306"/>
      <c r="AF1557" s="306"/>
      <c r="AG1557" s="306"/>
      <c r="AH1557" s="306"/>
      <c r="AI1557" s="306"/>
      <c r="AJ1557" s="306"/>
      <c r="AK1557" s="306"/>
      <c r="AL1557" s="306"/>
      <c r="AM1557" s="418"/>
      <c r="AN1557" s="423"/>
      <c r="AO1557" s="434"/>
      <c r="AP1557" s="434"/>
      <c r="AQ1557" s="423"/>
      <c r="AR1557" s="434"/>
      <c r="AS1557" s="434"/>
      <c r="AT1557" s="423"/>
      <c r="AU1557" s="434"/>
      <c r="AV1557" s="434"/>
      <c r="AW1557" s="306"/>
      <c r="AX1557" s="306"/>
      <c r="AY1557" s="306"/>
      <c r="AZ1557" s="306"/>
      <c r="BA1557" s="306"/>
      <c r="BB1557" s="306"/>
    </row>
    <row r="1558" spans="1:54" ht="15.75" customHeight="1">
      <c r="A1558" s="317"/>
      <c r="B1558" s="430"/>
      <c r="C1558" s="317"/>
      <c r="E1558" s="306"/>
      <c r="F1558" s="431"/>
      <c r="G1558" s="431"/>
      <c r="H1558" s="298"/>
      <c r="I1558" s="432"/>
      <c r="J1558" s="433"/>
      <c r="K1558" s="306"/>
      <c r="L1558" s="306"/>
      <c r="M1558" s="306"/>
      <c r="N1558" s="298"/>
      <c r="O1558" s="298"/>
      <c r="P1558" s="298"/>
      <c r="Q1558" s="306"/>
      <c r="R1558" s="1023"/>
      <c r="S1558" s="1023"/>
      <c r="T1558" s="306"/>
      <c r="U1558" s="306"/>
      <c r="V1558" s="306"/>
      <c r="W1558" s="306"/>
      <c r="X1558" s="306"/>
      <c r="Y1558" s="306"/>
      <c r="Z1558" s="306"/>
      <c r="AA1558" s="306"/>
      <c r="AB1558" s="306"/>
      <c r="AC1558" s="306"/>
      <c r="AD1558" s="306"/>
      <c r="AE1558" s="306"/>
      <c r="AF1558" s="306"/>
      <c r="AG1558" s="306"/>
      <c r="AH1558" s="306"/>
      <c r="AI1558" s="306"/>
      <c r="AJ1558" s="306"/>
      <c r="AK1558" s="306"/>
      <c r="AL1558" s="306"/>
      <c r="AM1558" s="418"/>
      <c r="AN1558" s="423"/>
      <c r="AO1558" s="434"/>
      <c r="AP1558" s="434"/>
      <c r="AQ1558" s="423"/>
      <c r="AR1558" s="434"/>
      <c r="AS1558" s="434"/>
      <c r="AT1558" s="423"/>
      <c r="AU1558" s="434"/>
      <c r="AV1558" s="434"/>
      <c r="AW1558" s="306"/>
      <c r="AX1558" s="306"/>
      <c r="AY1558" s="306"/>
      <c r="AZ1558" s="306"/>
      <c r="BA1558" s="306"/>
      <c r="BB1558" s="306"/>
    </row>
    <row r="1559" spans="1:54" ht="15.75" customHeight="1">
      <c r="A1559" s="317"/>
      <c r="B1559" s="430"/>
      <c r="C1559" s="317"/>
      <c r="E1559" s="306"/>
      <c r="F1559" s="431"/>
      <c r="G1559" s="431"/>
      <c r="H1559" s="298"/>
      <c r="I1559" s="432"/>
      <c r="J1559" s="433"/>
      <c r="K1559" s="306"/>
      <c r="L1559" s="306"/>
      <c r="M1559" s="306"/>
      <c r="N1559" s="298"/>
      <c r="O1559" s="298"/>
      <c r="P1559" s="298"/>
      <c r="Q1559" s="306"/>
      <c r="R1559" s="1023"/>
      <c r="S1559" s="1023"/>
      <c r="T1559" s="306"/>
      <c r="U1559" s="306"/>
      <c r="V1559" s="306"/>
      <c r="W1559" s="306"/>
      <c r="X1559" s="306"/>
      <c r="Y1559" s="306"/>
      <c r="Z1559" s="306"/>
      <c r="AA1559" s="306"/>
      <c r="AB1559" s="306"/>
      <c r="AC1559" s="306"/>
      <c r="AD1559" s="306"/>
      <c r="AE1559" s="306"/>
      <c r="AF1559" s="306"/>
      <c r="AG1559" s="306"/>
      <c r="AH1559" s="306"/>
      <c r="AI1559" s="306"/>
      <c r="AJ1559" s="306"/>
      <c r="AK1559" s="306"/>
      <c r="AL1559" s="306"/>
      <c r="AM1559" s="418"/>
      <c r="AN1559" s="423"/>
      <c r="AO1559" s="434"/>
      <c r="AP1559" s="434"/>
      <c r="AQ1559" s="423"/>
      <c r="AR1559" s="434"/>
      <c r="AS1559" s="434"/>
      <c r="AT1559" s="423"/>
      <c r="AU1559" s="434"/>
      <c r="AV1559" s="434"/>
      <c r="AW1559" s="306"/>
      <c r="AX1559" s="306"/>
      <c r="AY1559" s="306"/>
      <c r="AZ1559" s="306"/>
      <c r="BA1559" s="306"/>
      <c r="BB1559" s="306"/>
    </row>
    <row r="1560" spans="1:54" ht="15.75" customHeight="1">
      <c r="A1560" s="317"/>
      <c r="B1560" s="430"/>
      <c r="C1560" s="317"/>
      <c r="E1560" s="306"/>
      <c r="F1560" s="431"/>
      <c r="G1560" s="431"/>
      <c r="H1560" s="298"/>
      <c r="I1560" s="432"/>
      <c r="J1560" s="433"/>
      <c r="K1560" s="306"/>
      <c r="L1560" s="306"/>
      <c r="M1560" s="306"/>
      <c r="N1560" s="298"/>
      <c r="O1560" s="298"/>
      <c r="P1560" s="298"/>
      <c r="Q1560" s="306"/>
      <c r="R1560" s="1023"/>
      <c r="S1560" s="1023"/>
      <c r="T1560" s="306"/>
      <c r="U1560" s="306"/>
      <c r="V1560" s="306"/>
      <c r="W1560" s="306"/>
      <c r="X1560" s="306"/>
      <c r="Y1560" s="306"/>
      <c r="Z1560" s="306"/>
      <c r="AA1560" s="306"/>
      <c r="AB1560" s="306"/>
      <c r="AC1560" s="306"/>
      <c r="AD1560" s="306"/>
      <c r="AE1560" s="306"/>
      <c r="AF1560" s="306"/>
      <c r="AG1560" s="306"/>
      <c r="AH1560" s="306"/>
      <c r="AI1560" s="306"/>
      <c r="AJ1560" s="306"/>
      <c r="AK1560" s="306"/>
      <c r="AL1560" s="306"/>
      <c r="AM1560" s="418"/>
      <c r="AN1560" s="423"/>
      <c r="AO1560" s="434"/>
      <c r="AP1560" s="434"/>
      <c r="AQ1560" s="423"/>
      <c r="AR1560" s="434"/>
      <c r="AS1560" s="434"/>
      <c r="AT1560" s="423"/>
      <c r="AU1560" s="434"/>
      <c r="AV1560" s="434"/>
      <c r="AW1560" s="306"/>
      <c r="AX1560" s="306"/>
      <c r="AY1560" s="306"/>
      <c r="AZ1560" s="306"/>
      <c r="BA1560" s="306"/>
      <c r="BB1560" s="306"/>
    </row>
    <row r="1561" spans="1:54" ht="15.75" customHeight="1">
      <c r="A1561" s="317"/>
      <c r="B1561" s="430"/>
      <c r="C1561" s="317"/>
      <c r="E1561" s="306"/>
      <c r="F1561" s="431"/>
      <c r="G1561" s="431"/>
      <c r="H1561" s="298"/>
      <c r="I1561" s="432"/>
      <c r="J1561" s="433"/>
      <c r="K1561" s="306"/>
      <c r="L1561" s="306"/>
      <c r="M1561" s="306"/>
      <c r="N1561" s="298"/>
      <c r="O1561" s="298"/>
      <c r="P1561" s="298"/>
      <c r="Q1561" s="306"/>
      <c r="R1561" s="1023"/>
      <c r="S1561" s="1023"/>
      <c r="T1561" s="306"/>
      <c r="U1561" s="306"/>
      <c r="V1561" s="306"/>
      <c r="W1561" s="306"/>
      <c r="X1561" s="306"/>
      <c r="Y1561" s="306"/>
      <c r="Z1561" s="306"/>
      <c r="AA1561" s="306"/>
      <c r="AB1561" s="306"/>
      <c r="AC1561" s="306"/>
      <c r="AD1561" s="306"/>
      <c r="AE1561" s="306"/>
      <c r="AF1561" s="306"/>
      <c r="AG1561" s="306"/>
      <c r="AH1561" s="306"/>
      <c r="AI1561" s="306"/>
      <c r="AJ1561" s="306"/>
      <c r="AK1561" s="306"/>
      <c r="AL1561" s="306"/>
      <c r="AM1561" s="418"/>
      <c r="AN1561" s="423"/>
      <c r="AO1561" s="434"/>
      <c r="AP1561" s="434"/>
      <c r="AQ1561" s="423"/>
      <c r="AR1561" s="434"/>
      <c r="AS1561" s="434"/>
      <c r="AT1561" s="423"/>
      <c r="AU1561" s="434"/>
      <c r="AV1561" s="434"/>
      <c r="AW1561" s="306"/>
      <c r="AX1561" s="306"/>
      <c r="AY1561" s="306"/>
      <c r="AZ1561" s="306"/>
      <c r="BA1561" s="306"/>
      <c r="BB1561" s="306"/>
    </row>
    <row r="1562" spans="1:54" ht="15.75" customHeight="1">
      <c r="A1562" s="317"/>
      <c r="B1562" s="430"/>
      <c r="C1562" s="317"/>
      <c r="E1562" s="306"/>
      <c r="F1562" s="431"/>
      <c r="G1562" s="431"/>
      <c r="H1562" s="298"/>
      <c r="I1562" s="432"/>
      <c r="J1562" s="433"/>
      <c r="K1562" s="306"/>
      <c r="L1562" s="306"/>
      <c r="M1562" s="306"/>
      <c r="N1562" s="298"/>
      <c r="O1562" s="298"/>
      <c r="P1562" s="298"/>
      <c r="Q1562" s="306"/>
      <c r="R1562" s="1023"/>
      <c r="S1562" s="1023"/>
      <c r="T1562" s="306"/>
      <c r="U1562" s="306"/>
      <c r="V1562" s="306"/>
      <c r="W1562" s="306"/>
      <c r="X1562" s="306"/>
      <c r="Y1562" s="306"/>
      <c r="Z1562" s="306"/>
      <c r="AA1562" s="306"/>
      <c r="AB1562" s="306"/>
      <c r="AC1562" s="306"/>
      <c r="AD1562" s="306"/>
      <c r="AE1562" s="306"/>
      <c r="AF1562" s="306"/>
      <c r="AG1562" s="306"/>
      <c r="AH1562" s="306"/>
      <c r="AI1562" s="306"/>
      <c r="AJ1562" s="306"/>
      <c r="AK1562" s="306"/>
      <c r="AL1562" s="306"/>
      <c r="AM1562" s="418"/>
      <c r="AN1562" s="423"/>
      <c r="AO1562" s="434"/>
      <c r="AP1562" s="434"/>
      <c r="AQ1562" s="423"/>
      <c r="AR1562" s="434"/>
      <c r="AS1562" s="434"/>
      <c r="AT1562" s="423"/>
      <c r="AU1562" s="434"/>
      <c r="AV1562" s="434"/>
      <c r="AW1562" s="306"/>
      <c r="AX1562" s="306"/>
      <c r="AY1562" s="306"/>
      <c r="AZ1562" s="306"/>
      <c r="BA1562" s="306"/>
      <c r="BB1562" s="306"/>
    </row>
    <row r="1563" spans="1:54" ht="15.75" customHeight="1">
      <c r="A1563" s="317"/>
      <c r="B1563" s="430"/>
      <c r="C1563" s="317"/>
      <c r="E1563" s="306"/>
      <c r="F1563" s="431"/>
      <c r="G1563" s="431"/>
      <c r="H1563" s="298"/>
      <c r="I1563" s="432"/>
      <c r="J1563" s="433"/>
      <c r="K1563" s="306"/>
      <c r="L1563" s="306"/>
      <c r="M1563" s="306"/>
      <c r="N1563" s="298"/>
      <c r="O1563" s="298"/>
      <c r="P1563" s="298"/>
      <c r="Q1563" s="306"/>
      <c r="R1563" s="1023"/>
      <c r="S1563" s="1023"/>
      <c r="T1563" s="306"/>
      <c r="U1563" s="306"/>
      <c r="V1563" s="306"/>
      <c r="W1563" s="306"/>
      <c r="X1563" s="306"/>
      <c r="Y1563" s="306"/>
      <c r="Z1563" s="306"/>
      <c r="AA1563" s="306"/>
      <c r="AB1563" s="306"/>
      <c r="AC1563" s="306"/>
      <c r="AD1563" s="306"/>
      <c r="AE1563" s="306"/>
      <c r="AF1563" s="306"/>
      <c r="AG1563" s="306"/>
      <c r="AH1563" s="306"/>
      <c r="AI1563" s="306"/>
      <c r="AJ1563" s="306"/>
      <c r="AK1563" s="306"/>
      <c r="AL1563" s="306"/>
      <c r="AM1563" s="418"/>
      <c r="AN1563" s="423"/>
      <c r="AO1563" s="434"/>
      <c r="AP1563" s="434"/>
      <c r="AQ1563" s="423"/>
      <c r="AR1563" s="434"/>
      <c r="AS1563" s="434"/>
      <c r="AT1563" s="423"/>
      <c r="AU1563" s="434"/>
      <c r="AV1563" s="434"/>
      <c r="AW1563" s="306"/>
      <c r="AX1563" s="306"/>
      <c r="AY1563" s="306"/>
      <c r="AZ1563" s="306"/>
      <c r="BA1563" s="306"/>
      <c r="BB1563" s="306"/>
    </row>
    <row r="1564" spans="1:54" ht="15.75" customHeight="1">
      <c r="A1564" s="317"/>
      <c r="B1564" s="430"/>
      <c r="C1564" s="317"/>
      <c r="E1564" s="306"/>
      <c r="F1564" s="431"/>
      <c r="G1564" s="431"/>
      <c r="H1564" s="298"/>
      <c r="I1564" s="432"/>
      <c r="J1564" s="433"/>
      <c r="K1564" s="306"/>
      <c r="L1564" s="306"/>
      <c r="M1564" s="306"/>
      <c r="N1564" s="298"/>
      <c r="O1564" s="298"/>
      <c r="P1564" s="298"/>
      <c r="Q1564" s="306"/>
      <c r="R1564" s="1023"/>
      <c r="S1564" s="1023"/>
      <c r="T1564" s="306"/>
      <c r="U1564" s="306"/>
      <c r="V1564" s="306"/>
      <c r="W1564" s="306"/>
      <c r="X1564" s="306"/>
      <c r="Y1564" s="306"/>
      <c r="Z1564" s="306"/>
      <c r="AA1564" s="306"/>
      <c r="AB1564" s="306"/>
      <c r="AC1564" s="306"/>
      <c r="AD1564" s="306"/>
      <c r="AE1564" s="306"/>
      <c r="AF1564" s="306"/>
      <c r="AG1564" s="306"/>
      <c r="AH1564" s="306"/>
      <c r="AI1564" s="306"/>
      <c r="AJ1564" s="306"/>
      <c r="AK1564" s="306"/>
      <c r="AL1564" s="306"/>
      <c r="AM1564" s="418"/>
      <c r="AN1564" s="423"/>
      <c r="AO1564" s="434"/>
      <c r="AP1564" s="434"/>
      <c r="AQ1564" s="423"/>
      <c r="AR1564" s="434"/>
      <c r="AS1564" s="434"/>
      <c r="AT1564" s="423"/>
      <c r="AU1564" s="434"/>
      <c r="AV1564" s="434"/>
      <c r="AW1564" s="306"/>
      <c r="AX1564" s="306"/>
      <c r="AY1564" s="306"/>
      <c r="AZ1564" s="306"/>
      <c r="BA1564" s="306"/>
      <c r="BB1564" s="306"/>
    </row>
    <row r="1565" spans="1:54" ht="15.75" customHeight="1">
      <c r="A1565" s="317"/>
      <c r="B1565" s="430"/>
      <c r="C1565" s="317"/>
      <c r="E1565" s="306"/>
      <c r="F1565" s="431"/>
      <c r="G1565" s="431"/>
      <c r="H1565" s="298"/>
      <c r="I1565" s="432"/>
      <c r="J1565" s="433"/>
      <c r="K1565" s="306"/>
      <c r="L1565" s="306"/>
      <c r="M1565" s="306"/>
      <c r="N1565" s="298"/>
      <c r="O1565" s="298"/>
      <c r="P1565" s="298"/>
      <c r="Q1565" s="306"/>
      <c r="R1565" s="1023"/>
      <c r="S1565" s="1023"/>
      <c r="T1565" s="306"/>
      <c r="U1565" s="306"/>
      <c r="V1565" s="306"/>
      <c r="W1565" s="306"/>
      <c r="X1565" s="306"/>
      <c r="Y1565" s="306"/>
      <c r="Z1565" s="306"/>
      <c r="AA1565" s="306"/>
      <c r="AB1565" s="306"/>
      <c r="AC1565" s="306"/>
      <c r="AD1565" s="306"/>
      <c r="AE1565" s="306"/>
      <c r="AF1565" s="306"/>
      <c r="AG1565" s="306"/>
      <c r="AH1565" s="306"/>
      <c r="AI1565" s="306"/>
      <c r="AJ1565" s="306"/>
      <c r="AK1565" s="306"/>
      <c r="AL1565" s="306"/>
      <c r="AM1565" s="418"/>
      <c r="AN1565" s="423"/>
      <c r="AO1565" s="434"/>
      <c r="AP1565" s="434"/>
      <c r="AQ1565" s="423"/>
      <c r="AR1565" s="434"/>
      <c r="AS1565" s="434"/>
      <c r="AT1565" s="423"/>
      <c r="AU1565" s="434"/>
      <c r="AV1565" s="434"/>
      <c r="AW1565" s="306"/>
      <c r="AX1565" s="306"/>
      <c r="AY1565" s="306"/>
      <c r="AZ1565" s="306"/>
      <c r="BA1565" s="306"/>
      <c r="BB1565" s="306"/>
    </row>
    <row r="1566" spans="1:54" ht="15.75" customHeight="1">
      <c r="A1566" s="317"/>
      <c r="B1566" s="430"/>
      <c r="C1566" s="317"/>
      <c r="E1566" s="306"/>
      <c r="F1566" s="431"/>
      <c r="G1566" s="431"/>
      <c r="H1566" s="298"/>
      <c r="I1566" s="432"/>
      <c r="J1566" s="433"/>
      <c r="K1566" s="306"/>
      <c r="L1566" s="306"/>
      <c r="M1566" s="306"/>
      <c r="N1566" s="298"/>
      <c r="O1566" s="298"/>
      <c r="P1566" s="298"/>
      <c r="Q1566" s="306"/>
      <c r="R1566" s="1023"/>
      <c r="S1566" s="1023"/>
      <c r="T1566" s="306"/>
      <c r="U1566" s="306"/>
      <c r="V1566" s="306"/>
      <c r="W1566" s="306"/>
      <c r="X1566" s="306"/>
      <c r="Y1566" s="306"/>
      <c r="Z1566" s="306"/>
      <c r="AA1566" s="306"/>
      <c r="AB1566" s="306"/>
      <c r="AC1566" s="306"/>
      <c r="AD1566" s="306"/>
      <c r="AE1566" s="306"/>
      <c r="AF1566" s="306"/>
      <c r="AG1566" s="306"/>
      <c r="AH1566" s="306"/>
      <c r="AI1566" s="306"/>
      <c r="AJ1566" s="306"/>
      <c r="AK1566" s="306"/>
      <c r="AL1566" s="306"/>
      <c r="AM1566" s="418"/>
      <c r="AN1566" s="423"/>
      <c r="AO1566" s="434"/>
      <c r="AP1566" s="434"/>
      <c r="AQ1566" s="423"/>
      <c r="AR1566" s="434"/>
      <c r="AS1566" s="434"/>
      <c r="AT1566" s="423"/>
      <c r="AU1566" s="434"/>
      <c r="AV1566" s="434"/>
      <c r="AW1566" s="306"/>
      <c r="AX1566" s="306"/>
      <c r="AY1566" s="306"/>
      <c r="AZ1566" s="306"/>
      <c r="BA1566" s="306"/>
      <c r="BB1566" s="306"/>
    </row>
    <row r="1567" spans="1:54" ht="15.75" customHeight="1">
      <c r="A1567" s="317"/>
      <c r="B1567" s="430"/>
      <c r="C1567" s="317"/>
      <c r="E1567" s="306"/>
      <c r="F1567" s="431"/>
      <c r="G1567" s="431"/>
      <c r="H1567" s="298"/>
      <c r="I1567" s="432"/>
      <c r="J1567" s="433"/>
      <c r="K1567" s="306"/>
      <c r="L1567" s="306"/>
      <c r="M1567" s="306"/>
      <c r="N1567" s="298"/>
      <c r="O1567" s="298"/>
      <c r="P1567" s="298"/>
      <c r="Q1567" s="306"/>
      <c r="R1567" s="1023"/>
      <c r="S1567" s="1023"/>
      <c r="T1567" s="306"/>
      <c r="U1567" s="306"/>
      <c r="V1567" s="306"/>
      <c r="W1567" s="306"/>
      <c r="X1567" s="306"/>
      <c r="Y1567" s="306"/>
      <c r="Z1567" s="306"/>
      <c r="AA1567" s="306"/>
      <c r="AB1567" s="306"/>
      <c r="AC1567" s="306"/>
      <c r="AD1567" s="306"/>
      <c r="AE1567" s="306"/>
      <c r="AF1567" s="306"/>
      <c r="AG1567" s="306"/>
      <c r="AH1567" s="306"/>
      <c r="AI1567" s="306"/>
      <c r="AJ1567" s="306"/>
      <c r="AK1567" s="306"/>
      <c r="AL1567" s="306"/>
      <c r="AM1567" s="418"/>
      <c r="AN1567" s="423"/>
      <c r="AO1567" s="434"/>
      <c r="AP1567" s="434"/>
      <c r="AQ1567" s="423"/>
      <c r="AR1567" s="434"/>
      <c r="AS1567" s="434"/>
      <c r="AT1567" s="423"/>
      <c r="AU1567" s="434"/>
      <c r="AV1567" s="434"/>
      <c r="AW1567" s="306"/>
      <c r="AX1567" s="306"/>
      <c r="AY1567" s="306"/>
      <c r="AZ1567" s="306"/>
      <c r="BA1567" s="306"/>
      <c r="BB1567" s="306"/>
    </row>
    <row r="1568" spans="1:54" ht="15.75" customHeight="1">
      <c r="A1568" s="317"/>
      <c r="B1568" s="430"/>
      <c r="C1568" s="317"/>
      <c r="E1568" s="306"/>
      <c r="F1568" s="431"/>
      <c r="G1568" s="431"/>
      <c r="H1568" s="298"/>
      <c r="I1568" s="432"/>
      <c r="J1568" s="433"/>
      <c r="K1568" s="306"/>
      <c r="L1568" s="306"/>
      <c r="M1568" s="306"/>
      <c r="N1568" s="298"/>
      <c r="O1568" s="298"/>
      <c r="P1568" s="298"/>
      <c r="Q1568" s="306"/>
      <c r="R1568" s="1023"/>
      <c r="S1568" s="1023"/>
      <c r="T1568" s="306"/>
      <c r="U1568" s="306"/>
      <c r="V1568" s="306"/>
      <c r="W1568" s="306"/>
      <c r="X1568" s="306"/>
      <c r="Y1568" s="306"/>
      <c r="Z1568" s="306"/>
      <c r="AA1568" s="306"/>
      <c r="AB1568" s="306"/>
      <c r="AC1568" s="306"/>
      <c r="AD1568" s="306"/>
      <c r="AE1568" s="306"/>
      <c r="AF1568" s="306"/>
      <c r="AG1568" s="306"/>
      <c r="AH1568" s="306"/>
      <c r="AI1568" s="306"/>
      <c r="AJ1568" s="306"/>
      <c r="AK1568" s="306"/>
      <c r="AL1568" s="306"/>
      <c r="AM1568" s="418"/>
      <c r="AN1568" s="423"/>
      <c r="AO1568" s="434"/>
      <c r="AP1568" s="434"/>
      <c r="AQ1568" s="423"/>
      <c r="AR1568" s="434"/>
      <c r="AS1568" s="434"/>
      <c r="AT1568" s="423"/>
      <c r="AU1568" s="434"/>
      <c r="AV1568" s="434"/>
      <c r="AW1568" s="306"/>
      <c r="AX1568" s="306"/>
      <c r="AY1568" s="306"/>
      <c r="AZ1568" s="306"/>
      <c r="BA1568" s="306"/>
      <c r="BB1568" s="306"/>
    </row>
    <row r="1569" spans="1:54" ht="15.75" customHeight="1">
      <c r="A1569" s="317"/>
      <c r="B1569" s="430"/>
      <c r="C1569" s="317"/>
      <c r="E1569" s="306"/>
      <c r="F1569" s="431"/>
      <c r="G1569" s="431"/>
      <c r="H1569" s="298"/>
      <c r="I1569" s="432"/>
      <c r="J1569" s="433"/>
      <c r="K1569" s="306"/>
      <c r="L1569" s="306"/>
      <c r="M1569" s="306"/>
      <c r="N1569" s="298"/>
      <c r="O1569" s="298"/>
      <c r="P1569" s="298"/>
      <c r="Q1569" s="306"/>
      <c r="R1569" s="1023"/>
      <c r="S1569" s="1023"/>
      <c r="T1569" s="306"/>
      <c r="U1569" s="306"/>
      <c r="V1569" s="306"/>
      <c r="W1569" s="306"/>
      <c r="X1569" s="306"/>
      <c r="Y1569" s="306"/>
      <c r="Z1569" s="306"/>
      <c r="AA1569" s="306"/>
      <c r="AB1569" s="306"/>
      <c r="AC1569" s="306"/>
      <c r="AD1569" s="306"/>
      <c r="AE1569" s="306"/>
      <c r="AF1569" s="306"/>
      <c r="AG1569" s="306"/>
      <c r="AH1569" s="306"/>
      <c r="AI1569" s="306"/>
      <c r="AJ1569" s="306"/>
      <c r="AK1569" s="306"/>
      <c r="AL1569" s="306"/>
      <c r="AM1569" s="418"/>
      <c r="AN1569" s="423"/>
      <c r="AO1569" s="434"/>
      <c r="AP1569" s="434"/>
      <c r="AQ1569" s="423"/>
      <c r="AR1569" s="434"/>
      <c r="AS1569" s="434"/>
      <c r="AT1569" s="423"/>
      <c r="AU1569" s="434"/>
      <c r="AV1569" s="434"/>
      <c r="AW1569" s="306"/>
      <c r="AX1569" s="306"/>
      <c r="AY1569" s="306"/>
      <c r="AZ1569" s="306"/>
      <c r="BA1569" s="306"/>
      <c r="BB1569" s="306"/>
    </row>
    <row r="1570" spans="1:54" ht="15.75" customHeight="1">
      <c r="A1570" s="317"/>
      <c r="B1570" s="430"/>
      <c r="C1570" s="317"/>
      <c r="E1570" s="306"/>
      <c r="F1570" s="431"/>
      <c r="G1570" s="431"/>
      <c r="H1570" s="298"/>
      <c r="I1570" s="432"/>
      <c r="J1570" s="433"/>
      <c r="K1570" s="306"/>
      <c r="L1570" s="306"/>
      <c r="M1570" s="306"/>
      <c r="N1570" s="298"/>
      <c r="O1570" s="298"/>
      <c r="P1570" s="298"/>
      <c r="Q1570" s="306"/>
      <c r="R1570" s="1023"/>
      <c r="S1570" s="1023"/>
      <c r="T1570" s="306"/>
      <c r="U1570" s="306"/>
      <c r="V1570" s="306"/>
      <c r="W1570" s="306"/>
      <c r="X1570" s="306"/>
      <c r="Y1570" s="306"/>
      <c r="Z1570" s="306"/>
      <c r="AA1570" s="306"/>
      <c r="AB1570" s="306"/>
      <c r="AC1570" s="306"/>
      <c r="AD1570" s="306"/>
      <c r="AE1570" s="306"/>
      <c r="AF1570" s="306"/>
      <c r="AG1570" s="306"/>
      <c r="AH1570" s="306"/>
      <c r="AI1570" s="306"/>
      <c r="AJ1570" s="306"/>
      <c r="AK1570" s="306"/>
      <c r="AL1570" s="306"/>
      <c r="AM1570" s="418"/>
      <c r="AN1570" s="423"/>
      <c r="AO1570" s="434"/>
      <c r="AP1570" s="434"/>
      <c r="AQ1570" s="423"/>
      <c r="AR1570" s="434"/>
      <c r="AS1570" s="434"/>
      <c r="AT1570" s="423"/>
      <c r="AU1570" s="434"/>
      <c r="AV1570" s="434"/>
      <c r="AW1570" s="306"/>
      <c r="AX1570" s="306"/>
      <c r="AY1570" s="306"/>
      <c r="AZ1570" s="306"/>
      <c r="BA1570" s="306"/>
      <c r="BB1570" s="306"/>
    </row>
    <row r="1571" spans="1:54" ht="15.75" customHeight="1">
      <c r="A1571" s="317"/>
      <c r="B1571" s="430"/>
      <c r="C1571" s="317"/>
      <c r="E1571" s="306"/>
      <c r="F1571" s="431"/>
      <c r="G1571" s="431"/>
      <c r="H1571" s="298"/>
      <c r="I1571" s="432"/>
      <c r="J1571" s="433"/>
      <c r="K1571" s="306"/>
      <c r="L1571" s="306"/>
      <c r="M1571" s="306"/>
      <c r="N1571" s="298"/>
      <c r="O1571" s="298"/>
      <c r="P1571" s="298"/>
      <c r="Q1571" s="306"/>
      <c r="R1571" s="1023"/>
      <c r="S1571" s="1023"/>
      <c r="T1571" s="306"/>
      <c r="U1571" s="306"/>
      <c r="V1571" s="306"/>
      <c r="W1571" s="306"/>
      <c r="X1571" s="306"/>
      <c r="Y1571" s="306"/>
      <c r="Z1571" s="306"/>
      <c r="AA1571" s="306"/>
      <c r="AB1571" s="306"/>
      <c r="AC1571" s="306"/>
      <c r="AD1571" s="306"/>
      <c r="AE1571" s="306"/>
      <c r="AF1571" s="306"/>
      <c r="AG1571" s="306"/>
      <c r="AH1571" s="306"/>
      <c r="AI1571" s="306"/>
      <c r="AJ1571" s="306"/>
      <c r="AK1571" s="306"/>
      <c r="AL1571" s="306"/>
      <c r="AM1571" s="418"/>
      <c r="AN1571" s="423"/>
      <c r="AO1571" s="434"/>
      <c r="AP1571" s="434"/>
      <c r="AQ1571" s="423"/>
      <c r="AR1571" s="434"/>
      <c r="AS1571" s="434"/>
      <c r="AT1571" s="423"/>
      <c r="AU1571" s="434"/>
      <c r="AV1571" s="434"/>
      <c r="AW1571" s="306"/>
      <c r="AX1571" s="306"/>
      <c r="AY1571" s="306"/>
      <c r="AZ1571" s="306"/>
      <c r="BA1571" s="306"/>
      <c r="BB1571" s="306"/>
    </row>
    <row r="1572" spans="1:54" ht="15.75" customHeight="1">
      <c r="A1572" s="317"/>
      <c r="B1572" s="430"/>
      <c r="C1572" s="317"/>
      <c r="E1572" s="306"/>
      <c r="F1572" s="431"/>
      <c r="G1572" s="431"/>
      <c r="H1572" s="298"/>
      <c r="I1572" s="432"/>
      <c r="J1572" s="433"/>
      <c r="K1572" s="306"/>
      <c r="L1572" s="306"/>
      <c r="M1572" s="306"/>
      <c r="N1572" s="298"/>
      <c r="O1572" s="298"/>
      <c r="P1572" s="298"/>
      <c r="Q1572" s="306"/>
      <c r="R1572" s="1023"/>
      <c r="S1572" s="1023"/>
      <c r="T1572" s="306"/>
      <c r="U1572" s="306"/>
      <c r="V1572" s="306"/>
      <c r="W1572" s="306"/>
      <c r="X1572" s="306"/>
      <c r="Y1572" s="306"/>
      <c r="Z1572" s="306"/>
      <c r="AA1572" s="306"/>
      <c r="AB1572" s="306"/>
      <c r="AC1572" s="306"/>
      <c r="AD1572" s="306"/>
      <c r="AE1572" s="306"/>
      <c r="AF1572" s="306"/>
      <c r="AG1572" s="306"/>
      <c r="AH1572" s="306"/>
      <c r="AI1572" s="306"/>
      <c r="AJ1572" s="306"/>
      <c r="AK1572" s="306"/>
      <c r="AL1572" s="306"/>
      <c r="AM1572" s="418"/>
      <c r="AN1572" s="423"/>
      <c r="AO1572" s="434"/>
      <c r="AP1572" s="434"/>
      <c r="AQ1572" s="423"/>
      <c r="AR1572" s="434"/>
      <c r="AS1572" s="434"/>
      <c r="AT1572" s="423"/>
      <c r="AU1572" s="434"/>
      <c r="AV1572" s="434"/>
      <c r="AW1572" s="306"/>
      <c r="AX1572" s="306"/>
      <c r="AY1572" s="306"/>
      <c r="AZ1572" s="306"/>
      <c r="BA1572" s="306"/>
      <c r="BB1572" s="306"/>
    </row>
    <row r="1573" spans="1:54" ht="15.75" customHeight="1">
      <c r="A1573" s="317"/>
      <c r="B1573" s="430"/>
      <c r="C1573" s="317"/>
      <c r="E1573" s="306"/>
      <c r="F1573" s="431"/>
      <c r="G1573" s="431"/>
      <c r="H1573" s="298"/>
      <c r="I1573" s="432"/>
      <c r="J1573" s="433"/>
      <c r="K1573" s="306"/>
      <c r="L1573" s="306"/>
      <c r="M1573" s="306"/>
      <c r="N1573" s="298"/>
      <c r="O1573" s="298"/>
      <c r="P1573" s="298"/>
      <c r="Q1573" s="306"/>
      <c r="R1573" s="1023"/>
      <c r="S1573" s="1023"/>
      <c r="T1573" s="306"/>
      <c r="U1573" s="306"/>
      <c r="V1573" s="306"/>
      <c r="W1573" s="306"/>
      <c r="X1573" s="306"/>
      <c r="Y1573" s="306"/>
      <c r="Z1573" s="306"/>
      <c r="AA1573" s="306"/>
      <c r="AB1573" s="306"/>
      <c r="AC1573" s="306"/>
      <c r="AD1573" s="306"/>
      <c r="AE1573" s="306"/>
      <c r="AF1573" s="306"/>
      <c r="AG1573" s="306"/>
      <c r="AH1573" s="306"/>
      <c r="AI1573" s="306"/>
      <c r="AJ1573" s="306"/>
      <c r="AK1573" s="306"/>
      <c r="AL1573" s="306"/>
      <c r="AM1573" s="418"/>
      <c r="AN1573" s="423"/>
      <c r="AO1573" s="434"/>
      <c r="AP1573" s="434"/>
      <c r="AQ1573" s="423"/>
      <c r="AR1573" s="434"/>
      <c r="AS1573" s="434"/>
      <c r="AT1573" s="423"/>
      <c r="AU1573" s="434"/>
      <c r="AV1573" s="434"/>
      <c r="AW1573" s="306"/>
      <c r="AX1573" s="306"/>
      <c r="AY1573" s="306"/>
      <c r="AZ1573" s="306"/>
      <c r="BA1573" s="306"/>
      <c r="BB1573" s="306"/>
    </row>
    <row r="1574" spans="1:54" ht="15.75" customHeight="1">
      <c r="A1574" s="317"/>
      <c r="B1574" s="430"/>
      <c r="C1574" s="317"/>
      <c r="E1574" s="306"/>
      <c r="F1574" s="431"/>
      <c r="G1574" s="431"/>
      <c r="H1574" s="298"/>
      <c r="I1574" s="432"/>
      <c r="J1574" s="433"/>
      <c r="K1574" s="306"/>
      <c r="L1574" s="306"/>
      <c r="M1574" s="306"/>
      <c r="N1574" s="298"/>
      <c r="O1574" s="298"/>
      <c r="P1574" s="298"/>
      <c r="Q1574" s="306"/>
      <c r="R1574" s="1023"/>
      <c r="S1574" s="1023"/>
      <c r="T1574" s="306"/>
      <c r="U1574" s="306"/>
      <c r="V1574" s="306"/>
      <c r="W1574" s="306"/>
      <c r="X1574" s="306"/>
      <c r="Y1574" s="306"/>
      <c r="Z1574" s="306"/>
      <c r="AA1574" s="306"/>
      <c r="AB1574" s="306"/>
      <c r="AC1574" s="306"/>
      <c r="AD1574" s="306"/>
      <c r="AE1574" s="306"/>
      <c r="AF1574" s="306"/>
      <c r="AG1574" s="306"/>
      <c r="AH1574" s="306"/>
      <c r="AI1574" s="306"/>
      <c r="AJ1574" s="306"/>
      <c r="AK1574" s="306"/>
      <c r="AL1574" s="306"/>
      <c r="AM1574" s="418"/>
      <c r="AN1574" s="423"/>
      <c r="AO1574" s="434"/>
      <c r="AP1574" s="434"/>
      <c r="AQ1574" s="423"/>
      <c r="AR1574" s="434"/>
      <c r="AS1574" s="434"/>
      <c r="AT1574" s="423"/>
      <c r="AU1574" s="434"/>
      <c r="AV1574" s="434"/>
      <c r="AW1574" s="306"/>
      <c r="AX1574" s="306"/>
      <c r="AY1574" s="306"/>
      <c r="AZ1574" s="306"/>
      <c r="BA1574" s="306"/>
      <c r="BB1574" s="306"/>
    </row>
    <row r="1575" spans="1:54" ht="15.75" customHeight="1">
      <c r="A1575" s="317"/>
      <c r="B1575" s="430"/>
      <c r="C1575" s="317"/>
      <c r="E1575" s="306"/>
      <c r="F1575" s="431"/>
      <c r="G1575" s="431"/>
      <c r="H1575" s="298"/>
      <c r="I1575" s="432"/>
      <c r="J1575" s="433"/>
      <c r="K1575" s="306"/>
      <c r="L1575" s="306"/>
      <c r="M1575" s="306"/>
      <c r="N1575" s="298"/>
      <c r="O1575" s="298"/>
      <c r="P1575" s="298"/>
      <c r="Q1575" s="306"/>
      <c r="R1575" s="1023"/>
      <c r="S1575" s="1023"/>
      <c r="T1575" s="306"/>
      <c r="U1575" s="306"/>
      <c r="V1575" s="306"/>
      <c r="W1575" s="306"/>
      <c r="X1575" s="306"/>
      <c r="Y1575" s="306"/>
      <c r="Z1575" s="306"/>
      <c r="AA1575" s="306"/>
      <c r="AB1575" s="306"/>
      <c r="AC1575" s="306"/>
      <c r="AD1575" s="306"/>
      <c r="AE1575" s="306"/>
      <c r="AF1575" s="306"/>
      <c r="AG1575" s="306"/>
      <c r="AH1575" s="306"/>
      <c r="AI1575" s="306"/>
      <c r="AJ1575" s="306"/>
      <c r="AK1575" s="306"/>
      <c r="AL1575" s="306"/>
      <c r="AM1575" s="418"/>
      <c r="AN1575" s="423"/>
      <c r="AO1575" s="434"/>
      <c r="AP1575" s="434"/>
      <c r="AQ1575" s="423"/>
      <c r="AR1575" s="434"/>
      <c r="AS1575" s="434"/>
      <c r="AT1575" s="423"/>
      <c r="AU1575" s="434"/>
      <c r="AV1575" s="434"/>
      <c r="AW1575" s="306"/>
      <c r="AX1575" s="306"/>
      <c r="AY1575" s="306"/>
      <c r="AZ1575" s="306"/>
      <c r="BA1575" s="306"/>
      <c r="BB1575" s="306"/>
    </row>
    <row r="1576" spans="1:54" ht="15.75" customHeight="1">
      <c r="A1576" s="317"/>
      <c r="B1576" s="430"/>
      <c r="C1576" s="317"/>
      <c r="E1576" s="306"/>
      <c r="F1576" s="431"/>
      <c r="G1576" s="431"/>
      <c r="H1576" s="298"/>
      <c r="I1576" s="432"/>
      <c r="J1576" s="433"/>
      <c r="K1576" s="306"/>
      <c r="L1576" s="306"/>
      <c r="M1576" s="306"/>
      <c r="N1576" s="298"/>
      <c r="O1576" s="298"/>
      <c r="P1576" s="298"/>
      <c r="Q1576" s="306"/>
      <c r="R1576" s="1023"/>
      <c r="S1576" s="1023"/>
      <c r="T1576" s="306"/>
      <c r="U1576" s="306"/>
      <c r="V1576" s="306"/>
      <c r="W1576" s="306"/>
      <c r="X1576" s="306"/>
      <c r="Y1576" s="306"/>
      <c r="Z1576" s="306"/>
      <c r="AA1576" s="306"/>
      <c r="AB1576" s="306"/>
      <c r="AC1576" s="306"/>
      <c r="AD1576" s="306"/>
      <c r="AE1576" s="306"/>
      <c r="AF1576" s="306"/>
      <c r="AG1576" s="306"/>
      <c r="AH1576" s="306"/>
      <c r="AI1576" s="306"/>
      <c r="AJ1576" s="306"/>
      <c r="AK1576" s="306"/>
      <c r="AL1576" s="306"/>
      <c r="AM1576" s="418"/>
      <c r="AN1576" s="423"/>
      <c r="AO1576" s="434"/>
      <c r="AP1576" s="434"/>
      <c r="AQ1576" s="423"/>
      <c r="AR1576" s="434"/>
      <c r="AS1576" s="434"/>
      <c r="AT1576" s="423"/>
      <c r="AU1576" s="434"/>
      <c r="AV1576" s="434"/>
      <c r="AW1576" s="306"/>
      <c r="AX1576" s="306"/>
      <c r="AY1576" s="306"/>
      <c r="AZ1576" s="306"/>
      <c r="BA1576" s="306"/>
      <c r="BB1576" s="306"/>
    </row>
    <row r="1577" spans="1:54" ht="15.75" customHeight="1">
      <c r="A1577" s="317"/>
      <c r="B1577" s="430"/>
      <c r="C1577" s="317"/>
      <c r="E1577" s="306"/>
      <c r="F1577" s="431"/>
      <c r="G1577" s="431"/>
      <c r="H1577" s="298"/>
      <c r="I1577" s="432"/>
      <c r="J1577" s="433"/>
      <c r="K1577" s="306"/>
      <c r="L1577" s="306"/>
      <c r="M1577" s="306"/>
      <c r="N1577" s="298"/>
      <c r="O1577" s="298"/>
      <c r="P1577" s="298"/>
      <c r="Q1577" s="306"/>
      <c r="R1577" s="1023"/>
      <c r="S1577" s="1023"/>
      <c r="T1577" s="306"/>
      <c r="U1577" s="306"/>
      <c r="V1577" s="306"/>
      <c r="W1577" s="306"/>
      <c r="X1577" s="306"/>
      <c r="Y1577" s="306"/>
      <c r="Z1577" s="306"/>
      <c r="AA1577" s="306"/>
      <c r="AB1577" s="306"/>
      <c r="AC1577" s="306"/>
      <c r="AD1577" s="306"/>
      <c r="AE1577" s="306"/>
      <c r="AF1577" s="306"/>
      <c r="AG1577" s="306"/>
      <c r="AH1577" s="306"/>
      <c r="AI1577" s="306"/>
      <c r="AJ1577" s="306"/>
      <c r="AK1577" s="306"/>
      <c r="AL1577" s="306"/>
      <c r="AM1577" s="418"/>
      <c r="AN1577" s="423"/>
      <c r="AO1577" s="434"/>
      <c r="AP1577" s="434"/>
      <c r="AQ1577" s="423"/>
      <c r="AR1577" s="434"/>
      <c r="AS1577" s="434"/>
      <c r="AT1577" s="423"/>
      <c r="AU1577" s="434"/>
      <c r="AV1577" s="434"/>
      <c r="AW1577" s="306"/>
      <c r="AX1577" s="306"/>
      <c r="AY1577" s="306"/>
      <c r="AZ1577" s="306"/>
      <c r="BA1577" s="306"/>
      <c r="BB1577" s="306"/>
    </row>
    <row r="1578" spans="1:54" ht="15.75" customHeight="1">
      <c r="A1578" s="317"/>
      <c r="B1578" s="430"/>
      <c r="C1578" s="317"/>
      <c r="E1578" s="306"/>
      <c r="F1578" s="431"/>
      <c r="G1578" s="431"/>
      <c r="H1578" s="298"/>
      <c r="I1578" s="432"/>
      <c r="J1578" s="433"/>
      <c r="K1578" s="306"/>
      <c r="L1578" s="306"/>
      <c r="M1578" s="306"/>
      <c r="N1578" s="298"/>
      <c r="O1578" s="298"/>
      <c r="P1578" s="298"/>
      <c r="Q1578" s="306"/>
      <c r="R1578" s="1023"/>
      <c r="S1578" s="1023"/>
      <c r="T1578" s="306"/>
      <c r="U1578" s="306"/>
      <c r="V1578" s="306"/>
      <c r="W1578" s="306"/>
      <c r="X1578" s="306"/>
      <c r="Y1578" s="306"/>
      <c r="Z1578" s="306"/>
      <c r="AA1578" s="306"/>
      <c r="AB1578" s="306"/>
      <c r="AC1578" s="306"/>
      <c r="AD1578" s="306"/>
      <c r="AE1578" s="306"/>
      <c r="AF1578" s="306"/>
      <c r="AG1578" s="306"/>
      <c r="AH1578" s="306"/>
      <c r="AI1578" s="306"/>
      <c r="AJ1578" s="306"/>
      <c r="AK1578" s="306"/>
      <c r="AL1578" s="306"/>
      <c r="AM1578" s="418"/>
      <c r="AN1578" s="423"/>
      <c r="AO1578" s="434"/>
      <c r="AP1578" s="434"/>
      <c r="AQ1578" s="423"/>
      <c r="AR1578" s="434"/>
      <c r="AS1578" s="434"/>
      <c r="AT1578" s="423"/>
      <c r="AU1578" s="434"/>
      <c r="AV1578" s="434"/>
      <c r="AW1578" s="306"/>
      <c r="AX1578" s="306"/>
      <c r="AY1578" s="306"/>
      <c r="AZ1578" s="306"/>
      <c r="BA1578" s="306"/>
      <c r="BB1578" s="306"/>
    </row>
    <row r="1579" spans="1:54" ht="15.75" customHeight="1">
      <c r="A1579" s="317"/>
      <c r="B1579" s="430"/>
      <c r="C1579" s="317"/>
      <c r="E1579" s="306"/>
      <c r="F1579" s="431"/>
      <c r="G1579" s="431"/>
      <c r="H1579" s="298"/>
      <c r="I1579" s="432"/>
      <c r="J1579" s="433"/>
      <c r="K1579" s="306"/>
      <c r="L1579" s="306"/>
      <c r="M1579" s="306"/>
      <c r="N1579" s="298"/>
      <c r="O1579" s="298"/>
      <c r="P1579" s="298"/>
      <c r="Q1579" s="306"/>
      <c r="R1579" s="1023"/>
      <c r="S1579" s="1023"/>
      <c r="T1579" s="306"/>
      <c r="U1579" s="306"/>
      <c r="V1579" s="306"/>
      <c r="W1579" s="306"/>
      <c r="X1579" s="306"/>
      <c r="Y1579" s="306"/>
      <c r="Z1579" s="306"/>
      <c r="AA1579" s="306"/>
      <c r="AB1579" s="306"/>
      <c r="AC1579" s="306"/>
      <c r="AD1579" s="306"/>
      <c r="AE1579" s="306"/>
      <c r="AF1579" s="306"/>
      <c r="AG1579" s="306"/>
      <c r="AH1579" s="306"/>
      <c r="AI1579" s="306"/>
      <c r="AJ1579" s="306"/>
      <c r="AK1579" s="306"/>
      <c r="AL1579" s="306"/>
      <c r="AM1579" s="418"/>
      <c r="AN1579" s="423"/>
      <c r="AO1579" s="434"/>
      <c r="AP1579" s="434"/>
      <c r="AQ1579" s="423"/>
      <c r="AR1579" s="434"/>
      <c r="AS1579" s="434"/>
      <c r="AT1579" s="423"/>
      <c r="AU1579" s="434"/>
      <c r="AV1579" s="434"/>
      <c r="AW1579" s="306"/>
      <c r="AX1579" s="306"/>
      <c r="AY1579" s="306"/>
      <c r="AZ1579" s="306"/>
      <c r="BA1579" s="306"/>
      <c r="BB1579" s="306"/>
    </row>
    <row r="1580" spans="1:54" ht="15.75" customHeight="1">
      <c r="A1580" s="317"/>
      <c r="B1580" s="430"/>
      <c r="C1580" s="317"/>
      <c r="E1580" s="306"/>
      <c r="F1580" s="431"/>
      <c r="G1580" s="431"/>
      <c r="H1580" s="298"/>
      <c r="I1580" s="432"/>
      <c r="J1580" s="433"/>
      <c r="K1580" s="306"/>
      <c r="L1580" s="306"/>
      <c r="M1580" s="306"/>
      <c r="N1580" s="298"/>
      <c r="O1580" s="298"/>
      <c r="P1580" s="298"/>
      <c r="Q1580" s="306"/>
      <c r="R1580" s="1023"/>
      <c r="S1580" s="1023"/>
      <c r="T1580" s="306"/>
      <c r="U1580" s="306"/>
      <c r="V1580" s="306"/>
      <c r="W1580" s="306"/>
      <c r="X1580" s="306"/>
      <c r="Y1580" s="306"/>
      <c r="Z1580" s="306"/>
      <c r="AA1580" s="306"/>
      <c r="AB1580" s="306"/>
      <c r="AC1580" s="306"/>
      <c r="AD1580" s="306"/>
      <c r="AE1580" s="306"/>
      <c r="AF1580" s="306"/>
      <c r="AG1580" s="306"/>
      <c r="AH1580" s="306"/>
      <c r="AI1580" s="306"/>
      <c r="AJ1580" s="306"/>
      <c r="AK1580" s="306"/>
      <c r="AL1580" s="306"/>
      <c r="AM1580" s="418"/>
      <c r="AN1580" s="423"/>
      <c r="AO1580" s="434"/>
      <c r="AP1580" s="434"/>
      <c r="AQ1580" s="423"/>
      <c r="AR1580" s="434"/>
      <c r="AS1580" s="434"/>
      <c r="AT1580" s="423"/>
      <c r="AU1580" s="434"/>
      <c r="AV1580" s="434"/>
      <c r="AW1580" s="306"/>
      <c r="AX1580" s="306"/>
      <c r="AY1580" s="306"/>
      <c r="AZ1580" s="306"/>
      <c r="BA1580" s="306"/>
      <c r="BB1580" s="306"/>
    </row>
    <row r="1581" spans="1:54" ht="15.75" customHeight="1">
      <c r="A1581" s="317"/>
      <c r="B1581" s="430"/>
      <c r="C1581" s="317"/>
      <c r="E1581" s="306"/>
      <c r="F1581" s="431"/>
      <c r="G1581" s="431"/>
      <c r="H1581" s="298"/>
      <c r="I1581" s="432"/>
      <c r="J1581" s="433"/>
      <c r="K1581" s="306"/>
      <c r="L1581" s="306"/>
      <c r="M1581" s="306"/>
      <c r="N1581" s="298"/>
      <c r="O1581" s="298"/>
      <c r="P1581" s="298"/>
      <c r="Q1581" s="306"/>
      <c r="R1581" s="1023"/>
      <c r="S1581" s="1023"/>
      <c r="T1581" s="306"/>
      <c r="U1581" s="306"/>
      <c r="V1581" s="306"/>
      <c r="W1581" s="306"/>
      <c r="X1581" s="306"/>
      <c r="Y1581" s="306"/>
      <c r="Z1581" s="306"/>
      <c r="AA1581" s="306"/>
      <c r="AB1581" s="306"/>
      <c r="AC1581" s="306"/>
      <c r="AD1581" s="306"/>
      <c r="AE1581" s="306"/>
      <c r="AF1581" s="306"/>
      <c r="AG1581" s="306"/>
      <c r="AH1581" s="306"/>
      <c r="AI1581" s="306"/>
      <c r="AJ1581" s="306"/>
      <c r="AK1581" s="306"/>
      <c r="AL1581" s="306"/>
      <c r="AM1581" s="418"/>
      <c r="AN1581" s="423"/>
      <c r="AO1581" s="434"/>
      <c r="AP1581" s="434"/>
      <c r="AQ1581" s="423"/>
      <c r="AR1581" s="434"/>
      <c r="AS1581" s="434"/>
      <c r="AT1581" s="423"/>
      <c r="AU1581" s="434"/>
      <c r="AV1581" s="434"/>
      <c r="AW1581" s="306"/>
      <c r="AX1581" s="306"/>
      <c r="AY1581" s="306"/>
      <c r="AZ1581" s="306"/>
      <c r="BA1581" s="306"/>
      <c r="BB1581" s="306"/>
    </row>
    <row r="1582" spans="1:54" ht="15.75" customHeight="1">
      <c r="A1582" s="317"/>
      <c r="B1582" s="430"/>
      <c r="C1582" s="317"/>
      <c r="E1582" s="306"/>
      <c r="F1582" s="431"/>
      <c r="G1582" s="431"/>
      <c r="H1582" s="298"/>
      <c r="I1582" s="432"/>
      <c r="J1582" s="433"/>
      <c r="K1582" s="306"/>
      <c r="L1582" s="306"/>
      <c r="M1582" s="306"/>
      <c r="N1582" s="298"/>
      <c r="O1582" s="298"/>
      <c r="P1582" s="298"/>
      <c r="Q1582" s="306"/>
      <c r="R1582" s="1023"/>
      <c r="S1582" s="1023"/>
      <c r="T1582" s="306"/>
      <c r="U1582" s="306"/>
      <c r="V1582" s="306"/>
      <c r="W1582" s="306"/>
      <c r="X1582" s="306"/>
      <c r="Y1582" s="306"/>
      <c r="Z1582" s="306"/>
      <c r="AA1582" s="306"/>
      <c r="AB1582" s="306"/>
      <c r="AC1582" s="306"/>
      <c r="AD1582" s="306"/>
      <c r="AE1582" s="306"/>
      <c r="AF1582" s="306"/>
      <c r="AG1582" s="306"/>
      <c r="AH1582" s="306"/>
      <c r="AI1582" s="306"/>
      <c r="AJ1582" s="306"/>
      <c r="AK1582" s="306"/>
      <c r="AL1582" s="306"/>
      <c r="AM1582" s="418"/>
      <c r="AN1582" s="423"/>
      <c r="AO1582" s="434"/>
      <c r="AP1582" s="434"/>
      <c r="AQ1582" s="423"/>
      <c r="AR1582" s="434"/>
      <c r="AS1582" s="434"/>
      <c r="AT1582" s="423"/>
      <c r="AU1582" s="434"/>
      <c r="AV1582" s="434"/>
      <c r="AW1582" s="306"/>
      <c r="AX1582" s="306"/>
      <c r="AY1582" s="306"/>
      <c r="AZ1582" s="306"/>
      <c r="BA1582" s="306"/>
      <c r="BB1582" s="306"/>
    </row>
    <row r="1583" spans="1:54" ht="15.75" customHeight="1">
      <c r="A1583" s="317"/>
      <c r="B1583" s="430"/>
      <c r="C1583" s="317"/>
      <c r="E1583" s="306"/>
      <c r="F1583" s="431"/>
      <c r="G1583" s="431"/>
      <c r="H1583" s="298"/>
      <c r="I1583" s="432"/>
      <c r="J1583" s="433"/>
      <c r="K1583" s="306"/>
      <c r="L1583" s="306"/>
      <c r="M1583" s="306"/>
      <c r="N1583" s="298"/>
      <c r="O1583" s="298"/>
      <c r="P1583" s="298"/>
      <c r="Q1583" s="306"/>
      <c r="R1583" s="1023"/>
      <c r="S1583" s="1023"/>
      <c r="T1583" s="306"/>
      <c r="U1583" s="306"/>
      <c r="V1583" s="306"/>
      <c r="W1583" s="306"/>
      <c r="X1583" s="306"/>
      <c r="Y1583" s="306"/>
      <c r="Z1583" s="306"/>
      <c r="AA1583" s="306"/>
      <c r="AB1583" s="306"/>
      <c r="AC1583" s="306"/>
      <c r="AD1583" s="306"/>
      <c r="AE1583" s="306"/>
      <c r="AF1583" s="306"/>
      <c r="AG1583" s="306"/>
      <c r="AH1583" s="306"/>
      <c r="AI1583" s="306"/>
      <c r="AJ1583" s="306"/>
      <c r="AK1583" s="306"/>
      <c r="AL1583" s="306"/>
      <c r="AM1583" s="418"/>
      <c r="AN1583" s="423"/>
      <c r="AO1583" s="434"/>
      <c r="AP1583" s="434"/>
      <c r="AQ1583" s="423"/>
      <c r="AR1583" s="434"/>
      <c r="AS1583" s="434"/>
      <c r="AT1583" s="423"/>
      <c r="AU1583" s="434"/>
      <c r="AV1583" s="434"/>
      <c r="AW1583" s="306"/>
      <c r="AX1583" s="306"/>
      <c r="AY1583" s="306"/>
      <c r="AZ1583" s="306"/>
      <c r="BA1583" s="306"/>
      <c r="BB1583" s="306"/>
    </row>
    <row r="1584" spans="1:54" ht="15.75" customHeight="1">
      <c r="A1584" s="317"/>
      <c r="B1584" s="430"/>
      <c r="C1584" s="317"/>
      <c r="E1584" s="306"/>
      <c r="F1584" s="431"/>
      <c r="G1584" s="431"/>
      <c r="H1584" s="298"/>
      <c r="I1584" s="432"/>
      <c r="J1584" s="433"/>
      <c r="K1584" s="306"/>
      <c r="L1584" s="306"/>
      <c r="M1584" s="306"/>
      <c r="N1584" s="298"/>
      <c r="O1584" s="298"/>
      <c r="P1584" s="298"/>
      <c r="Q1584" s="306"/>
      <c r="R1584" s="1023"/>
      <c r="S1584" s="1023"/>
      <c r="T1584" s="306"/>
      <c r="U1584" s="306"/>
      <c r="V1584" s="306"/>
      <c r="W1584" s="306"/>
      <c r="X1584" s="306"/>
      <c r="Y1584" s="306"/>
      <c r="Z1584" s="306"/>
      <c r="AA1584" s="306"/>
      <c r="AB1584" s="306"/>
      <c r="AC1584" s="306"/>
      <c r="AD1584" s="306"/>
      <c r="AE1584" s="306"/>
      <c r="AF1584" s="306"/>
      <c r="AG1584" s="306"/>
      <c r="AH1584" s="306"/>
      <c r="AI1584" s="306"/>
      <c r="AJ1584" s="306"/>
      <c r="AK1584" s="306"/>
      <c r="AL1584" s="306"/>
      <c r="AM1584" s="418"/>
      <c r="AN1584" s="423"/>
      <c r="AO1584" s="434"/>
      <c r="AP1584" s="434"/>
      <c r="AQ1584" s="423"/>
      <c r="AR1584" s="434"/>
      <c r="AS1584" s="434"/>
      <c r="AT1584" s="423"/>
      <c r="AU1584" s="434"/>
      <c r="AV1584" s="434"/>
      <c r="AW1584" s="306"/>
      <c r="AX1584" s="306"/>
      <c r="AY1584" s="306"/>
      <c r="AZ1584" s="306"/>
      <c r="BA1584" s="306"/>
      <c r="BB1584" s="306"/>
    </row>
    <row r="1585" spans="1:54" ht="15.75" customHeight="1">
      <c r="A1585" s="317"/>
      <c r="B1585" s="430"/>
      <c r="C1585" s="317"/>
      <c r="E1585" s="306"/>
      <c r="F1585" s="431"/>
      <c r="G1585" s="431"/>
      <c r="H1585" s="298"/>
      <c r="I1585" s="432"/>
      <c r="J1585" s="433"/>
      <c r="K1585" s="306"/>
      <c r="L1585" s="306"/>
      <c r="M1585" s="306"/>
      <c r="N1585" s="298"/>
      <c r="O1585" s="298"/>
      <c r="P1585" s="298"/>
      <c r="Q1585" s="306"/>
      <c r="R1585" s="1023"/>
      <c r="S1585" s="1023"/>
      <c r="T1585" s="306"/>
      <c r="U1585" s="306"/>
      <c r="V1585" s="306"/>
      <c r="W1585" s="306"/>
      <c r="X1585" s="306"/>
      <c r="Y1585" s="306"/>
      <c r="Z1585" s="306"/>
      <c r="AA1585" s="306"/>
      <c r="AB1585" s="306"/>
      <c r="AC1585" s="306"/>
      <c r="AD1585" s="306"/>
      <c r="AE1585" s="306"/>
      <c r="AF1585" s="306"/>
      <c r="AG1585" s="306"/>
      <c r="AH1585" s="306"/>
      <c r="AI1585" s="306"/>
      <c r="AJ1585" s="306"/>
      <c r="AK1585" s="306"/>
      <c r="AL1585" s="306"/>
      <c r="AM1585" s="418"/>
      <c r="AN1585" s="423"/>
      <c r="AO1585" s="434"/>
      <c r="AP1585" s="434"/>
      <c r="AQ1585" s="423"/>
      <c r="AR1585" s="434"/>
      <c r="AS1585" s="434"/>
      <c r="AT1585" s="423"/>
      <c r="AU1585" s="434"/>
      <c r="AV1585" s="434"/>
      <c r="AW1585" s="306"/>
      <c r="AX1585" s="306"/>
      <c r="AY1585" s="306"/>
      <c r="AZ1585" s="306"/>
      <c r="BA1585" s="306"/>
      <c r="BB1585" s="306"/>
    </row>
    <row r="1586" spans="1:54" ht="15.75" customHeight="1">
      <c r="A1586" s="317"/>
      <c r="B1586" s="430"/>
      <c r="C1586" s="317"/>
      <c r="E1586" s="306"/>
      <c r="F1586" s="431"/>
      <c r="G1586" s="431"/>
      <c r="H1586" s="298"/>
      <c r="I1586" s="432"/>
      <c r="J1586" s="433"/>
      <c r="K1586" s="306"/>
      <c r="L1586" s="306"/>
      <c r="M1586" s="306"/>
      <c r="N1586" s="298"/>
      <c r="O1586" s="298"/>
      <c r="P1586" s="298"/>
      <c r="Q1586" s="306"/>
      <c r="R1586" s="1023"/>
      <c r="S1586" s="1023"/>
      <c r="T1586" s="306"/>
      <c r="U1586" s="306"/>
      <c r="V1586" s="306"/>
      <c r="W1586" s="306"/>
      <c r="X1586" s="306"/>
      <c r="Y1586" s="306"/>
      <c r="Z1586" s="306"/>
      <c r="AA1586" s="306"/>
      <c r="AB1586" s="306"/>
      <c r="AC1586" s="306"/>
      <c r="AD1586" s="306"/>
      <c r="AE1586" s="306"/>
      <c r="AF1586" s="306"/>
      <c r="AG1586" s="306"/>
      <c r="AH1586" s="306"/>
      <c r="AI1586" s="306"/>
      <c r="AJ1586" s="306"/>
      <c r="AK1586" s="306"/>
      <c r="AL1586" s="306"/>
      <c r="AM1586" s="418"/>
      <c r="AN1586" s="423"/>
      <c r="AO1586" s="434"/>
      <c r="AP1586" s="434"/>
      <c r="AQ1586" s="423"/>
      <c r="AR1586" s="434"/>
      <c r="AS1586" s="434"/>
      <c r="AT1586" s="423"/>
      <c r="AU1586" s="434"/>
      <c r="AV1586" s="434"/>
      <c r="AW1586" s="306"/>
      <c r="AX1586" s="306"/>
      <c r="AY1586" s="306"/>
      <c r="AZ1586" s="306"/>
      <c r="BA1586" s="306"/>
      <c r="BB1586" s="306"/>
    </row>
    <row r="1587" spans="1:54" ht="15.75" customHeight="1">
      <c r="A1587" s="317"/>
      <c r="B1587" s="430"/>
      <c r="C1587" s="317"/>
      <c r="E1587" s="306"/>
      <c r="F1587" s="431"/>
      <c r="G1587" s="431"/>
      <c r="H1587" s="298"/>
      <c r="I1587" s="432"/>
      <c r="J1587" s="433"/>
      <c r="K1587" s="306"/>
      <c r="L1587" s="306"/>
      <c r="M1587" s="306"/>
      <c r="N1587" s="298"/>
      <c r="O1587" s="298"/>
      <c r="P1587" s="298"/>
      <c r="Q1587" s="306"/>
      <c r="R1587" s="1023"/>
      <c r="S1587" s="1023"/>
      <c r="T1587" s="306"/>
      <c r="U1587" s="306"/>
      <c r="V1587" s="306"/>
      <c r="W1587" s="306"/>
      <c r="X1587" s="306"/>
      <c r="Y1587" s="306"/>
      <c r="Z1587" s="306"/>
      <c r="AA1587" s="306"/>
      <c r="AB1587" s="306"/>
      <c r="AC1587" s="306"/>
      <c r="AD1587" s="306"/>
      <c r="AE1587" s="306"/>
      <c r="AF1587" s="306"/>
      <c r="AG1587" s="306"/>
      <c r="AH1587" s="306"/>
      <c r="AI1587" s="306"/>
      <c r="AJ1587" s="306"/>
      <c r="AK1587" s="306"/>
      <c r="AL1587" s="306"/>
      <c r="AM1587" s="418"/>
      <c r="AN1587" s="423"/>
      <c r="AO1587" s="434"/>
      <c r="AP1587" s="434"/>
      <c r="AQ1587" s="423"/>
      <c r="AR1587" s="434"/>
      <c r="AS1587" s="434"/>
      <c r="AT1587" s="423"/>
      <c r="AU1587" s="434"/>
      <c r="AV1587" s="434"/>
      <c r="AW1587" s="306"/>
      <c r="AX1587" s="306"/>
      <c r="AY1587" s="306"/>
      <c r="AZ1587" s="306"/>
      <c r="BA1587" s="306"/>
      <c r="BB1587" s="306"/>
    </row>
    <row r="1588" spans="1:54" ht="15.75" customHeight="1">
      <c r="A1588" s="317"/>
      <c r="B1588" s="430"/>
      <c r="C1588" s="317"/>
      <c r="E1588" s="306"/>
      <c r="F1588" s="431"/>
      <c r="G1588" s="431"/>
      <c r="H1588" s="298"/>
      <c r="I1588" s="432"/>
      <c r="J1588" s="433"/>
      <c r="K1588" s="306"/>
      <c r="L1588" s="306"/>
      <c r="M1588" s="306"/>
      <c r="N1588" s="298"/>
      <c r="O1588" s="298"/>
      <c r="P1588" s="298"/>
      <c r="Q1588" s="306"/>
      <c r="R1588" s="1023"/>
      <c r="S1588" s="1023"/>
      <c r="T1588" s="306"/>
      <c r="U1588" s="306"/>
      <c r="V1588" s="306"/>
      <c r="W1588" s="306"/>
      <c r="X1588" s="306"/>
      <c r="Y1588" s="306"/>
      <c r="Z1588" s="306"/>
      <c r="AA1588" s="306"/>
      <c r="AB1588" s="306"/>
      <c r="AC1588" s="306"/>
      <c r="AD1588" s="306"/>
      <c r="AE1588" s="306"/>
      <c r="AF1588" s="306"/>
      <c r="AG1588" s="306"/>
      <c r="AH1588" s="306"/>
      <c r="AI1588" s="306"/>
      <c r="AJ1588" s="306"/>
      <c r="AK1588" s="306"/>
      <c r="AL1588" s="306"/>
      <c r="AM1588" s="418"/>
      <c r="AN1588" s="423"/>
      <c r="AO1588" s="434"/>
      <c r="AP1588" s="434"/>
      <c r="AQ1588" s="423"/>
      <c r="AR1588" s="434"/>
      <c r="AS1588" s="434"/>
      <c r="AT1588" s="423"/>
      <c r="AU1588" s="434"/>
      <c r="AV1588" s="434"/>
      <c r="AW1588" s="306"/>
      <c r="AX1588" s="306"/>
      <c r="AY1588" s="306"/>
      <c r="AZ1588" s="306"/>
      <c r="BA1588" s="306"/>
      <c r="BB1588" s="306"/>
    </row>
    <row r="1589" spans="1:54" ht="15.75" customHeight="1">
      <c r="A1589" s="317"/>
      <c r="B1589" s="430"/>
      <c r="C1589" s="317"/>
      <c r="E1589" s="306"/>
      <c r="F1589" s="431"/>
      <c r="G1589" s="431"/>
      <c r="H1589" s="298"/>
      <c r="I1589" s="432"/>
      <c r="J1589" s="433"/>
      <c r="K1589" s="306"/>
      <c r="L1589" s="306"/>
      <c r="M1589" s="306"/>
      <c r="N1589" s="298"/>
      <c r="O1589" s="298"/>
      <c r="P1589" s="298"/>
      <c r="Q1589" s="306"/>
      <c r="R1589" s="1023"/>
      <c r="S1589" s="1023"/>
      <c r="T1589" s="306"/>
      <c r="U1589" s="306"/>
      <c r="V1589" s="306"/>
      <c r="W1589" s="306"/>
      <c r="X1589" s="306"/>
      <c r="Y1589" s="306"/>
      <c r="Z1589" s="306"/>
      <c r="AA1589" s="306"/>
      <c r="AB1589" s="306"/>
      <c r="AC1589" s="306"/>
      <c r="AD1589" s="306"/>
      <c r="AE1589" s="306"/>
      <c r="AF1589" s="306"/>
      <c r="AG1589" s="306"/>
      <c r="AH1589" s="306"/>
      <c r="AI1589" s="306"/>
      <c r="AJ1589" s="306"/>
      <c r="AK1589" s="306"/>
      <c r="AL1589" s="306"/>
      <c r="AM1589" s="418"/>
      <c r="AN1589" s="423"/>
      <c r="AO1589" s="434"/>
      <c r="AP1589" s="434"/>
      <c r="AQ1589" s="423"/>
      <c r="AR1589" s="434"/>
      <c r="AS1589" s="434"/>
      <c r="AT1589" s="423"/>
      <c r="AU1589" s="434"/>
      <c r="AV1589" s="434"/>
      <c r="AW1589" s="306"/>
      <c r="AX1589" s="306"/>
      <c r="AY1589" s="306"/>
      <c r="AZ1589" s="306"/>
      <c r="BA1589" s="306"/>
      <c r="BB1589" s="306"/>
    </row>
    <row r="1590" spans="1:54" ht="15.75" customHeight="1">
      <c r="A1590" s="317"/>
      <c r="B1590" s="430"/>
      <c r="C1590" s="317"/>
      <c r="E1590" s="306"/>
      <c r="F1590" s="431"/>
      <c r="G1590" s="431"/>
      <c r="H1590" s="298"/>
      <c r="I1590" s="432"/>
      <c r="J1590" s="433"/>
      <c r="K1590" s="306"/>
      <c r="L1590" s="306"/>
      <c r="M1590" s="306"/>
      <c r="N1590" s="298"/>
      <c r="O1590" s="298"/>
      <c r="P1590" s="298"/>
      <c r="Q1590" s="306"/>
      <c r="R1590" s="1023"/>
      <c r="S1590" s="1023"/>
      <c r="T1590" s="306"/>
      <c r="U1590" s="306"/>
      <c r="V1590" s="306"/>
      <c r="W1590" s="306"/>
      <c r="X1590" s="306"/>
      <c r="Y1590" s="306"/>
      <c r="Z1590" s="306"/>
      <c r="AA1590" s="306"/>
      <c r="AB1590" s="306"/>
      <c r="AC1590" s="306"/>
      <c r="AD1590" s="306"/>
      <c r="AE1590" s="306"/>
      <c r="AF1590" s="306"/>
      <c r="AG1590" s="306"/>
      <c r="AH1590" s="306"/>
      <c r="AI1590" s="306"/>
      <c r="AJ1590" s="306"/>
      <c r="AK1590" s="306"/>
      <c r="AL1590" s="306"/>
      <c r="AM1590" s="418"/>
      <c r="AN1590" s="423"/>
      <c r="AO1590" s="434"/>
      <c r="AP1590" s="434"/>
      <c r="AQ1590" s="423"/>
      <c r="AR1590" s="434"/>
      <c r="AS1590" s="434"/>
      <c r="AT1590" s="423"/>
      <c r="AU1590" s="434"/>
      <c r="AV1590" s="434"/>
      <c r="AW1590" s="306"/>
      <c r="AX1590" s="306"/>
      <c r="AY1590" s="306"/>
      <c r="AZ1590" s="306"/>
      <c r="BA1590" s="306"/>
      <c r="BB1590" s="306"/>
    </row>
    <row r="1591" spans="1:54" ht="15.75" customHeight="1">
      <c r="A1591" s="317"/>
      <c r="B1591" s="430"/>
      <c r="C1591" s="317"/>
      <c r="E1591" s="306"/>
      <c r="F1591" s="431"/>
      <c r="G1591" s="431"/>
      <c r="H1591" s="298"/>
      <c r="I1591" s="432"/>
      <c r="J1591" s="433"/>
      <c r="K1591" s="306"/>
      <c r="L1591" s="306"/>
      <c r="M1591" s="306"/>
      <c r="N1591" s="298"/>
      <c r="O1591" s="298"/>
      <c r="P1591" s="298"/>
      <c r="Q1591" s="306"/>
      <c r="R1591" s="1023"/>
      <c r="S1591" s="1023"/>
      <c r="T1591" s="306"/>
      <c r="U1591" s="306"/>
      <c r="V1591" s="306"/>
      <c r="W1591" s="306"/>
      <c r="X1591" s="306"/>
      <c r="Y1591" s="306"/>
      <c r="Z1591" s="306"/>
      <c r="AA1591" s="306"/>
      <c r="AB1591" s="306"/>
      <c r="AC1591" s="306"/>
      <c r="AD1591" s="306"/>
      <c r="AE1591" s="306"/>
      <c r="AF1591" s="306"/>
      <c r="AG1591" s="306"/>
      <c r="AH1591" s="306"/>
      <c r="AI1591" s="306"/>
      <c r="AJ1591" s="306"/>
      <c r="AK1591" s="306"/>
      <c r="AL1591" s="306"/>
      <c r="AM1591" s="418"/>
      <c r="AN1591" s="423"/>
      <c r="AO1591" s="434"/>
      <c r="AP1591" s="434"/>
      <c r="AQ1591" s="423"/>
      <c r="AR1591" s="434"/>
      <c r="AS1591" s="434"/>
      <c r="AT1591" s="423"/>
      <c r="AU1591" s="434"/>
      <c r="AV1591" s="434"/>
      <c r="AW1591" s="306"/>
      <c r="AX1591" s="306"/>
      <c r="AY1591" s="306"/>
      <c r="AZ1591" s="306"/>
      <c r="BA1591" s="306"/>
      <c r="BB1591" s="306"/>
    </row>
    <row r="1592" spans="1:54" ht="15.75" customHeight="1">
      <c r="A1592" s="317"/>
      <c r="B1592" s="430"/>
      <c r="C1592" s="317"/>
      <c r="E1592" s="306"/>
      <c r="F1592" s="431"/>
      <c r="G1592" s="431"/>
      <c r="H1592" s="298"/>
      <c r="I1592" s="432"/>
      <c r="J1592" s="433"/>
      <c r="K1592" s="306"/>
      <c r="L1592" s="306"/>
      <c r="M1592" s="306"/>
      <c r="N1592" s="298"/>
      <c r="O1592" s="298"/>
      <c r="P1592" s="298"/>
      <c r="Q1592" s="306"/>
      <c r="R1592" s="1023"/>
      <c r="S1592" s="1023"/>
      <c r="T1592" s="306"/>
      <c r="U1592" s="306"/>
      <c r="V1592" s="306"/>
      <c r="W1592" s="306"/>
      <c r="X1592" s="306"/>
      <c r="Y1592" s="306"/>
      <c r="Z1592" s="306"/>
      <c r="AA1592" s="306"/>
      <c r="AB1592" s="306"/>
      <c r="AC1592" s="306"/>
      <c r="AD1592" s="306"/>
      <c r="AE1592" s="306"/>
      <c r="AF1592" s="306"/>
      <c r="AG1592" s="306"/>
      <c r="AH1592" s="306"/>
      <c r="AI1592" s="306"/>
      <c r="AJ1592" s="306"/>
      <c r="AK1592" s="306"/>
      <c r="AL1592" s="306"/>
      <c r="AM1592" s="418"/>
      <c r="AN1592" s="423"/>
      <c r="AO1592" s="434"/>
      <c r="AP1592" s="434"/>
      <c r="AQ1592" s="423"/>
      <c r="AR1592" s="434"/>
      <c r="AS1592" s="434"/>
      <c r="AT1592" s="423"/>
      <c r="AU1592" s="434"/>
      <c r="AV1592" s="434"/>
      <c r="AW1592" s="306"/>
      <c r="AX1592" s="306"/>
      <c r="AY1592" s="306"/>
      <c r="AZ1592" s="306"/>
      <c r="BA1592" s="306"/>
      <c r="BB1592" s="306"/>
    </row>
    <row r="1593" spans="1:54" ht="15.75" customHeight="1">
      <c r="A1593" s="317"/>
      <c r="B1593" s="430"/>
      <c r="C1593" s="317"/>
      <c r="E1593" s="306"/>
      <c r="F1593" s="431"/>
      <c r="G1593" s="431"/>
      <c r="H1593" s="298"/>
      <c r="I1593" s="432"/>
      <c r="J1593" s="433"/>
      <c r="K1593" s="306"/>
      <c r="L1593" s="306"/>
      <c r="M1593" s="306"/>
      <c r="N1593" s="298"/>
      <c r="O1593" s="298"/>
      <c r="P1593" s="298"/>
      <c r="Q1593" s="306"/>
      <c r="R1593" s="1023"/>
      <c r="S1593" s="1023"/>
      <c r="T1593" s="306"/>
      <c r="U1593" s="306"/>
      <c r="V1593" s="306"/>
      <c r="W1593" s="306"/>
      <c r="X1593" s="306"/>
      <c r="Y1593" s="306"/>
      <c r="Z1593" s="306"/>
      <c r="AA1593" s="306"/>
      <c r="AB1593" s="306"/>
      <c r="AC1593" s="306"/>
      <c r="AD1593" s="306"/>
      <c r="AE1593" s="306"/>
      <c r="AF1593" s="306"/>
      <c r="AG1593" s="306"/>
      <c r="AH1593" s="306"/>
      <c r="AI1593" s="306"/>
      <c r="AJ1593" s="306"/>
      <c r="AK1593" s="306"/>
      <c r="AL1593" s="306"/>
      <c r="AM1593" s="418"/>
      <c r="AN1593" s="423"/>
      <c r="AO1593" s="434"/>
      <c r="AP1593" s="434"/>
      <c r="AQ1593" s="423"/>
      <c r="AR1593" s="434"/>
      <c r="AS1593" s="434"/>
      <c r="AT1593" s="423"/>
      <c r="AU1593" s="434"/>
      <c r="AV1593" s="434"/>
      <c r="AW1593" s="306"/>
      <c r="AX1593" s="306"/>
      <c r="AY1593" s="306"/>
      <c r="AZ1593" s="306"/>
      <c r="BA1593" s="306"/>
      <c r="BB1593" s="306"/>
    </row>
    <row r="1594" spans="1:54" ht="15.75" customHeight="1">
      <c r="A1594" s="317"/>
      <c r="B1594" s="430"/>
      <c r="C1594" s="317"/>
      <c r="E1594" s="306"/>
      <c r="F1594" s="431"/>
      <c r="G1594" s="431"/>
      <c r="H1594" s="298"/>
      <c r="I1594" s="432"/>
      <c r="J1594" s="433"/>
      <c r="K1594" s="306"/>
      <c r="L1594" s="306"/>
      <c r="M1594" s="306"/>
      <c r="N1594" s="298"/>
      <c r="O1594" s="298"/>
      <c r="P1594" s="298"/>
      <c r="Q1594" s="306"/>
      <c r="R1594" s="1023"/>
      <c r="S1594" s="1023"/>
      <c r="T1594" s="306"/>
      <c r="U1594" s="306"/>
      <c r="V1594" s="306"/>
      <c r="W1594" s="306"/>
      <c r="X1594" s="306"/>
      <c r="Y1594" s="306"/>
      <c r="Z1594" s="306"/>
      <c r="AA1594" s="306"/>
      <c r="AB1594" s="306"/>
      <c r="AC1594" s="306"/>
      <c r="AD1594" s="306"/>
      <c r="AE1594" s="306"/>
      <c r="AF1594" s="306"/>
      <c r="AG1594" s="306"/>
      <c r="AH1594" s="306"/>
      <c r="AI1594" s="306"/>
      <c r="AJ1594" s="306"/>
      <c r="AK1594" s="306"/>
      <c r="AL1594" s="306"/>
      <c r="AM1594" s="418"/>
      <c r="AN1594" s="423"/>
      <c r="AO1594" s="434"/>
      <c r="AP1594" s="434"/>
      <c r="AQ1594" s="423"/>
      <c r="AR1594" s="434"/>
      <c r="AS1594" s="434"/>
      <c r="AT1594" s="423"/>
      <c r="AU1594" s="434"/>
      <c r="AV1594" s="434"/>
      <c r="AW1594" s="306"/>
      <c r="AX1594" s="306"/>
      <c r="AY1594" s="306"/>
      <c r="AZ1594" s="306"/>
      <c r="BA1594" s="306"/>
      <c r="BB1594" s="306"/>
    </row>
    <row r="1595" spans="1:54" ht="15.75" customHeight="1">
      <c r="A1595" s="317"/>
      <c r="B1595" s="430"/>
      <c r="C1595" s="317"/>
      <c r="E1595" s="306"/>
      <c r="F1595" s="431"/>
      <c r="G1595" s="431"/>
      <c r="H1595" s="298"/>
      <c r="I1595" s="432"/>
      <c r="J1595" s="433"/>
      <c r="K1595" s="306"/>
      <c r="L1595" s="306"/>
      <c r="M1595" s="306"/>
      <c r="N1595" s="298"/>
      <c r="O1595" s="298"/>
      <c r="P1595" s="298"/>
      <c r="Q1595" s="306"/>
      <c r="R1595" s="1023"/>
      <c r="S1595" s="1023"/>
      <c r="T1595" s="306"/>
      <c r="U1595" s="306"/>
      <c r="V1595" s="306"/>
      <c r="W1595" s="306"/>
      <c r="X1595" s="306"/>
      <c r="Y1595" s="306"/>
      <c r="Z1595" s="306"/>
      <c r="AA1595" s="306"/>
      <c r="AB1595" s="306"/>
      <c r="AC1595" s="306"/>
      <c r="AD1595" s="306"/>
      <c r="AE1595" s="306"/>
      <c r="AF1595" s="306"/>
      <c r="AG1595" s="306"/>
      <c r="AH1595" s="306"/>
      <c r="AI1595" s="306"/>
      <c r="AJ1595" s="306"/>
      <c r="AK1595" s="306"/>
      <c r="AL1595" s="306"/>
      <c r="AM1595" s="418"/>
      <c r="AN1595" s="423"/>
      <c r="AO1595" s="434"/>
      <c r="AP1595" s="434"/>
      <c r="AQ1595" s="423"/>
      <c r="AR1595" s="434"/>
      <c r="AS1595" s="434"/>
      <c r="AT1595" s="423"/>
      <c r="AU1595" s="434"/>
      <c r="AV1595" s="434"/>
      <c r="AW1595" s="306"/>
      <c r="AX1595" s="306"/>
      <c r="AY1595" s="306"/>
      <c r="AZ1595" s="306"/>
      <c r="BA1595" s="306"/>
      <c r="BB1595" s="306"/>
    </row>
    <row r="1596" spans="1:54" ht="15.75" customHeight="1">
      <c r="A1596" s="317"/>
      <c r="B1596" s="430"/>
      <c r="C1596" s="317"/>
      <c r="E1596" s="306"/>
      <c r="F1596" s="431"/>
      <c r="G1596" s="431"/>
      <c r="H1596" s="298"/>
      <c r="I1596" s="432"/>
      <c r="J1596" s="433"/>
      <c r="K1596" s="306"/>
      <c r="L1596" s="306"/>
      <c r="M1596" s="306"/>
      <c r="N1596" s="298"/>
      <c r="O1596" s="298"/>
      <c r="P1596" s="298"/>
      <c r="Q1596" s="306"/>
      <c r="R1596" s="1023"/>
      <c r="S1596" s="1023"/>
      <c r="T1596" s="306"/>
      <c r="U1596" s="306"/>
      <c r="V1596" s="306"/>
      <c r="W1596" s="306"/>
      <c r="X1596" s="306"/>
      <c r="Y1596" s="306"/>
      <c r="Z1596" s="306"/>
      <c r="AA1596" s="306"/>
      <c r="AB1596" s="306"/>
      <c r="AC1596" s="306"/>
      <c r="AD1596" s="306"/>
      <c r="AE1596" s="306"/>
      <c r="AF1596" s="306"/>
      <c r="AG1596" s="306"/>
      <c r="AH1596" s="306"/>
      <c r="AI1596" s="306"/>
      <c r="AJ1596" s="306"/>
      <c r="AK1596" s="306"/>
      <c r="AL1596" s="306"/>
      <c r="AM1596" s="418"/>
      <c r="AN1596" s="423"/>
      <c r="AO1596" s="434"/>
      <c r="AP1596" s="434"/>
      <c r="AQ1596" s="423"/>
      <c r="AR1596" s="434"/>
      <c r="AS1596" s="434"/>
      <c r="AT1596" s="423"/>
      <c r="AU1596" s="434"/>
      <c r="AV1596" s="434"/>
      <c r="AW1596" s="306"/>
      <c r="AX1596" s="306"/>
      <c r="AY1596" s="306"/>
      <c r="AZ1596" s="306"/>
      <c r="BA1596" s="306"/>
      <c r="BB1596" s="306"/>
    </row>
    <row r="1597" spans="1:54" ht="15.75" customHeight="1">
      <c r="A1597" s="317"/>
      <c r="B1597" s="430"/>
      <c r="C1597" s="317"/>
      <c r="E1597" s="306"/>
      <c r="F1597" s="431"/>
      <c r="G1597" s="431"/>
      <c r="H1597" s="298"/>
      <c r="I1597" s="432"/>
      <c r="J1597" s="433"/>
      <c r="K1597" s="306"/>
      <c r="L1597" s="306"/>
      <c r="M1597" s="306"/>
      <c r="N1597" s="298"/>
      <c r="O1597" s="298"/>
      <c r="P1597" s="298"/>
      <c r="Q1597" s="306"/>
      <c r="R1597" s="1023"/>
      <c r="S1597" s="1023"/>
      <c r="T1597" s="306"/>
      <c r="U1597" s="306"/>
      <c r="V1597" s="306"/>
      <c r="W1597" s="306"/>
      <c r="X1597" s="306"/>
      <c r="Y1597" s="306"/>
      <c r="Z1597" s="306"/>
      <c r="AA1597" s="306"/>
      <c r="AB1597" s="306"/>
      <c r="AC1597" s="306"/>
      <c r="AD1597" s="306"/>
      <c r="AE1597" s="306"/>
      <c r="AF1597" s="306"/>
      <c r="AG1597" s="306"/>
      <c r="AH1597" s="306"/>
      <c r="AI1597" s="306"/>
      <c r="AJ1597" s="306"/>
      <c r="AK1597" s="306"/>
      <c r="AL1597" s="306"/>
      <c r="AM1597" s="418"/>
      <c r="AN1597" s="423"/>
      <c r="AO1597" s="434"/>
      <c r="AP1597" s="434"/>
      <c r="AQ1597" s="423"/>
      <c r="AR1597" s="434"/>
      <c r="AS1597" s="434"/>
      <c r="AT1597" s="423"/>
      <c r="AU1597" s="434"/>
      <c r="AV1597" s="434"/>
      <c r="AW1597" s="306"/>
      <c r="AX1597" s="306"/>
      <c r="AY1597" s="306"/>
      <c r="AZ1597" s="306"/>
      <c r="BA1597" s="306"/>
      <c r="BB1597" s="306"/>
    </row>
    <row r="1598" spans="1:54" ht="15.75" customHeight="1">
      <c r="A1598" s="317"/>
      <c r="B1598" s="430"/>
      <c r="C1598" s="317"/>
      <c r="E1598" s="306"/>
      <c r="F1598" s="431"/>
      <c r="G1598" s="431"/>
      <c r="H1598" s="298"/>
      <c r="I1598" s="432"/>
      <c r="J1598" s="433"/>
      <c r="K1598" s="306"/>
      <c r="L1598" s="306"/>
      <c r="M1598" s="306"/>
      <c r="N1598" s="298"/>
      <c r="O1598" s="298"/>
      <c r="P1598" s="298"/>
      <c r="Q1598" s="306"/>
      <c r="R1598" s="1023"/>
      <c r="S1598" s="1023"/>
      <c r="T1598" s="306"/>
      <c r="U1598" s="306"/>
      <c r="V1598" s="306"/>
      <c r="W1598" s="306"/>
      <c r="X1598" s="306"/>
      <c r="Y1598" s="306"/>
      <c r="Z1598" s="306"/>
      <c r="AA1598" s="306"/>
      <c r="AB1598" s="306"/>
      <c r="AC1598" s="306"/>
      <c r="AD1598" s="306"/>
      <c r="AE1598" s="306"/>
      <c r="AF1598" s="306"/>
      <c r="AG1598" s="306"/>
      <c r="AH1598" s="306"/>
      <c r="AI1598" s="306"/>
      <c r="AJ1598" s="306"/>
      <c r="AK1598" s="306"/>
      <c r="AL1598" s="306"/>
      <c r="AM1598" s="418"/>
      <c r="AN1598" s="423"/>
      <c r="AO1598" s="434"/>
      <c r="AP1598" s="434"/>
      <c r="AQ1598" s="423"/>
      <c r="AR1598" s="434"/>
      <c r="AS1598" s="434"/>
      <c r="AT1598" s="423"/>
      <c r="AU1598" s="434"/>
      <c r="AV1598" s="434"/>
      <c r="AW1598" s="306"/>
      <c r="AX1598" s="306"/>
      <c r="AY1598" s="306"/>
      <c r="AZ1598" s="306"/>
      <c r="BA1598" s="306"/>
      <c r="BB1598" s="306"/>
    </row>
    <row r="1599" spans="1:54" ht="15.75" customHeight="1">
      <c r="A1599" s="317"/>
      <c r="B1599" s="430"/>
      <c r="C1599" s="317"/>
      <c r="E1599" s="306"/>
      <c r="F1599" s="431"/>
      <c r="G1599" s="431"/>
      <c r="H1599" s="298"/>
      <c r="I1599" s="432"/>
      <c r="J1599" s="433"/>
      <c r="K1599" s="306"/>
      <c r="L1599" s="306"/>
      <c r="M1599" s="306"/>
      <c r="N1599" s="298"/>
      <c r="O1599" s="298"/>
      <c r="P1599" s="298"/>
      <c r="Q1599" s="306"/>
      <c r="R1599" s="1023"/>
      <c r="S1599" s="1023"/>
      <c r="T1599" s="306"/>
      <c r="U1599" s="306"/>
      <c r="V1599" s="306"/>
      <c r="W1599" s="306"/>
      <c r="X1599" s="306"/>
      <c r="Y1599" s="306"/>
      <c r="Z1599" s="306"/>
      <c r="AA1599" s="306"/>
      <c r="AB1599" s="306"/>
      <c r="AC1599" s="306"/>
      <c r="AD1599" s="306"/>
      <c r="AE1599" s="306"/>
      <c r="AF1599" s="306"/>
      <c r="AG1599" s="306"/>
      <c r="AH1599" s="306"/>
      <c r="AI1599" s="306"/>
      <c r="AJ1599" s="306"/>
      <c r="AK1599" s="306"/>
      <c r="AL1599" s="306"/>
      <c r="AM1599" s="418"/>
      <c r="AN1599" s="423"/>
      <c r="AO1599" s="434"/>
      <c r="AP1599" s="434"/>
      <c r="AQ1599" s="423"/>
      <c r="AR1599" s="434"/>
      <c r="AS1599" s="434"/>
      <c r="AT1599" s="423"/>
      <c r="AU1599" s="434"/>
      <c r="AV1599" s="434"/>
      <c r="AW1599" s="306"/>
      <c r="AX1599" s="306"/>
      <c r="AY1599" s="306"/>
      <c r="AZ1599" s="306"/>
      <c r="BA1599" s="306"/>
      <c r="BB1599" s="306"/>
    </row>
    <row r="1600" spans="1:54" ht="15.75" customHeight="1">
      <c r="A1600" s="317"/>
      <c r="B1600" s="430"/>
      <c r="C1600" s="317"/>
      <c r="E1600" s="306"/>
      <c r="F1600" s="431"/>
      <c r="G1600" s="431"/>
      <c r="H1600" s="298"/>
      <c r="I1600" s="432"/>
      <c r="J1600" s="433"/>
      <c r="K1600" s="306"/>
      <c r="L1600" s="306"/>
      <c r="M1600" s="306"/>
      <c r="N1600" s="298"/>
      <c r="O1600" s="298"/>
      <c r="P1600" s="298"/>
      <c r="Q1600" s="306"/>
      <c r="R1600" s="1023"/>
      <c r="S1600" s="1023"/>
      <c r="T1600" s="306"/>
      <c r="U1600" s="306"/>
      <c r="V1600" s="306"/>
      <c r="W1600" s="306"/>
      <c r="X1600" s="306"/>
      <c r="Y1600" s="306"/>
      <c r="Z1600" s="306"/>
      <c r="AA1600" s="306"/>
      <c r="AB1600" s="306"/>
      <c r="AC1600" s="306"/>
      <c r="AD1600" s="306"/>
      <c r="AE1600" s="306"/>
      <c r="AF1600" s="306"/>
      <c r="AG1600" s="306"/>
      <c r="AH1600" s="306"/>
      <c r="AI1600" s="306"/>
      <c r="AJ1600" s="306"/>
      <c r="AK1600" s="306"/>
      <c r="AL1600" s="306"/>
      <c r="AM1600" s="418"/>
      <c r="AN1600" s="423"/>
      <c r="AO1600" s="434"/>
      <c r="AP1600" s="434"/>
      <c r="AQ1600" s="423"/>
      <c r="AR1600" s="434"/>
      <c r="AS1600" s="434"/>
      <c r="AT1600" s="423"/>
      <c r="AU1600" s="434"/>
      <c r="AV1600" s="434"/>
      <c r="AW1600" s="306"/>
      <c r="AX1600" s="306"/>
      <c r="AY1600" s="306"/>
      <c r="AZ1600" s="306"/>
      <c r="BA1600" s="306"/>
      <c r="BB1600" s="306"/>
    </row>
    <row r="1601" spans="1:54" ht="15.75" customHeight="1">
      <c r="A1601" s="317"/>
      <c r="B1601" s="430"/>
      <c r="C1601" s="317"/>
      <c r="E1601" s="306"/>
      <c r="F1601" s="431"/>
      <c r="G1601" s="431"/>
      <c r="H1601" s="298"/>
      <c r="I1601" s="432"/>
      <c r="J1601" s="433"/>
      <c r="K1601" s="306"/>
      <c r="L1601" s="306"/>
      <c r="M1601" s="306"/>
      <c r="N1601" s="298"/>
      <c r="O1601" s="298"/>
      <c r="P1601" s="298"/>
      <c r="Q1601" s="306"/>
      <c r="R1601" s="1023"/>
      <c r="S1601" s="1023"/>
      <c r="T1601" s="306"/>
      <c r="U1601" s="306"/>
      <c r="V1601" s="306"/>
      <c r="W1601" s="306"/>
      <c r="X1601" s="306"/>
      <c r="Y1601" s="306"/>
      <c r="Z1601" s="306"/>
      <c r="AA1601" s="306"/>
      <c r="AB1601" s="306"/>
      <c r="AC1601" s="306"/>
      <c r="AD1601" s="306"/>
      <c r="AE1601" s="306"/>
      <c r="AF1601" s="306"/>
      <c r="AG1601" s="306"/>
      <c r="AH1601" s="306"/>
      <c r="AI1601" s="306"/>
      <c r="AJ1601" s="306"/>
      <c r="AK1601" s="306"/>
      <c r="AL1601" s="306"/>
      <c r="AM1601" s="418"/>
      <c r="AN1601" s="418"/>
      <c r="AO1601" s="306"/>
      <c r="AP1601" s="306"/>
      <c r="AQ1601" s="418"/>
      <c r="AR1601" s="306"/>
      <c r="AS1601" s="306"/>
      <c r="AT1601" s="418"/>
      <c r="AU1601" s="306"/>
      <c r="AV1601" s="306"/>
      <c r="AW1601" s="306"/>
      <c r="AX1601" s="306"/>
      <c r="AY1601" s="306"/>
      <c r="AZ1601" s="306"/>
      <c r="BA1601" s="306"/>
      <c r="BB1601" s="306"/>
    </row>
    <row r="1602" spans="1:54" ht="15.75" customHeight="1">
      <c r="A1602" s="317"/>
      <c r="B1602" s="430"/>
      <c r="C1602" s="317"/>
      <c r="E1602" s="306"/>
      <c r="F1602" s="431"/>
      <c r="G1602" s="431"/>
      <c r="H1602" s="298"/>
      <c r="I1602" s="432"/>
      <c r="J1602" s="433"/>
      <c r="K1602" s="306"/>
      <c r="L1602" s="306"/>
      <c r="M1602" s="306"/>
      <c r="N1602" s="298"/>
      <c r="O1602" s="298"/>
      <c r="P1602" s="298"/>
      <c r="Q1602" s="306"/>
      <c r="R1602" s="1023"/>
      <c r="S1602" s="1023"/>
      <c r="T1602" s="306"/>
      <c r="U1602" s="306"/>
      <c r="V1602" s="306"/>
      <c r="W1602" s="306"/>
      <c r="X1602" s="306"/>
      <c r="Y1602" s="306"/>
      <c r="Z1602" s="306"/>
      <c r="AA1602" s="306"/>
      <c r="AB1602" s="306"/>
      <c r="AC1602" s="306"/>
      <c r="AD1602" s="306"/>
      <c r="AE1602" s="306"/>
      <c r="AF1602" s="306"/>
      <c r="AG1602" s="306"/>
      <c r="AH1602" s="306"/>
      <c r="AI1602" s="306"/>
      <c r="AJ1602" s="306"/>
      <c r="AK1602" s="306"/>
      <c r="AL1602" s="306"/>
      <c r="AM1602" s="418"/>
      <c r="AN1602" s="418"/>
      <c r="AO1602" s="306"/>
      <c r="AP1602" s="306"/>
      <c r="AQ1602" s="418"/>
      <c r="AR1602" s="306"/>
      <c r="AS1602" s="306"/>
      <c r="AT1602" s="418"/>
      <c r="AU1602" s="306"/>
      <c r="AV1602" s="306"/>
      <c r="AW1602" s="306"/>
      <c r="AX1602" s="306"/>
      <c r="AY1602" s="306"/>
      <c r="AZ1602" s="306"/>
      <c r="BA1602" s="306"/>
      <c r="BB1602" s="306"/>
    </row>
    <row r="1603" spans="1:54" ht="15.75" customHeight="1">
      <c r="A1603" s="317"/>
      <c r="B1603" s="430"/>
      <c r="C1603" s="317"/>
      <c r="E1603" s="306"/>
      <c r="F1603" s="431"/>
      <c r="G1603" s="431"/>
      <c r="H1603" s="298"/>
      <c r="I1603" s="432"/>
      <c r="J1603" s="433"/>
      <c r="K1603" s="306"/>
      <c r="L1603" s="306"/>
      <c r="M1603" s="306"/>
      <c r="N1603" s="298"/>
      <c r="O1603" s="298"/>
      <c r="P1603" s="298"/>
      <c r="Q1603" s="306"/>
      <c r="R1603" s="1023"/>
      <c r="S1603" s="1023"/>
      <c r="T1603" s="306"/>
      <c r="U1603" s="306"/>
      <c r="V1603" s="306"/>
      <c r="W1603" s="306"/>
      <c r="X1603" s="306"/>
      <c r="Y1603" s="306"/>
      <c r="Z1603" s="306"/>
      <c r="AA1603" s="306"/>
      <c r="AB1603" s="306"/>
      <c r="AC1603" s="306"/>
      <c r="AD1603" s="306"/>
      <c r="AE1603" s="306"/>
      <c r="AF1603" s="306"/>
      <c r="AG1603" s="306"/>
      <c r="AH1603" s="306"/>
      <c r="AI1603" s="306"/>
      <c r="AJ1603" s="306"/>
      <c r="AK1603" s="306"/>
      <c r="AL1603" s="306"/>
      <c r="AM1603" s="418"/>
      <c r="AN1603" s="418"/>
      <c r="AO1603" s="306"/>
      <c r="AP1603" s="306"/>
      <c r="AQ1603" s="418"/>
      <c r="AR1603" s="306"/>
      <c r="AS1603" s="306"/>
      <c r="AT1603" s="418"/>
      <c r="AU1603" s="306"/>
      <c r="AV1603" s="306"/>
      <c r="AW1603" s="306"/>
      <c r="AX1603" s="306"/>
      <c r="AY1603" s="306"/>
      <c r="AZ1603" s="306"/>
      <c r="BA1603" s="306"/>
      <c r="BB1603" s="306"/>
    </row>
    <row r="1604" spans="1:54" ht="15.75" customHeight="1">
      <c r="A1604" s="317"/>
      <c r="B1604" s="430"/>
      <c r="C1604" s="317"/>
      <c r="E1604" s="306"/>
      <c r="F1604" s="431"/>
      <c r="G1604" s="431"/>
      <c r="H1604" s="298"/>
      <c r="I1604" s="432"/>
      <c r="J1604" s="433"/>
      <c r="K1604" s="306"/>
      <c r="L1604" s="306"/>
      <c r="M1604" s="306"/>
      <c r="N1604" s="298"/>
      <c r="O1604" s="298"/>
      <c r="P1604" s="298"/>
      <c r="Q1604" s="306"/>
      <c r="R1604" s="1023"/>
      <c r="S1604" s="1023"/>
      <c r="T1604" s="306"/>
      <c r="U1604" s="306"/>
      <c r="V1604" s="306"/>
      <c r="W1604" s="306"/>
      <c r="X1604" s="306"/>
      <c r="Y1604" s="306"/>
      <c r="Z1604" s="306"/>
      <c r="AA1604" s="306"/>
      <c r="AB1604" s="306"/>
      <c r="AC1604" s="306"/>
      <c r="AD1604" s="306"/>
      <c r="AE1604" s="306"/>
      <c r="AF1604" s="306"/>
      <c r="AG1604" s="306"/>
      <c r="AH1604" s="306"/>
      <c r="AI1604" s="306"/>
      <c r="AJ1604" s="306"/>
      <c r="AK1604" s="306"/>
      <c r="AL1604" s="306"/>
      <c r="AM1604" s="418"/>
      <c r="AN1604" s="418"/>
      <c r="AO1604" s="306"/>
      <c r="AP1604" s="306"/>
      <c r="AQ1604" s="418"/>
      <c r="AR1604" s="306"/>
      <c r="AS1604" s="306"/>
      <c r="AT1604" s="418"/>
      <c r="AU1604" s="306"/>
      <c r="AV1604" s="306"/>
      <c r="AW1604" s="306"/>
      <c r="AX1604" s="306"/>
      <c r="AY1604" s="306"/>
      <c r="AZ1604" s="306"/>
      <c r="BA1604" s="306"/>
      <c r="BB1604" s="306"/>
    </row>
    <row r="1605" spans="1:54" ht="15.75" customHeight="1">
      <c r="A1605" s="317"/>
      <c r="B1605" s="430"/>
      <c r="C1605" s="317"/>
      <c r="E1605" s="306"/>
      <c r="F1605" s="431"/>
      <c r="G1605" s="431"/>
      <c r="H1605" s="298"/>
      <c r="I1605" s="432"/>
      <c r="J1605" s="433"/>
      <c r="K1605" s="306"/>
      <c r="L1605" s="306"/>
      <c r="M1605" s="306"/>
      <c r="N1605" s="298"/>
      <c r="O1605" s="298"/>
      <c r="P1605" s="298"/>
      <c r="Q1605" s="306"/>
      <c r="R1605" s="1023"/>
      <c r="S1605" s="1023"/>
      <c r="T1605" s="306"/>
      <c r="U1605" s="306"/>
      <c r="V1605" s="306"/>
      <c r="W1605" s="306"/>
      <c r="X1605" s="306"/>
      <c r="Y1605" s="306"/>
      <c r="Z1605" s="306"/>
      <c r="AA1605" s="306"/>
      <c r="AB1605" s="306"/>
      <c r="AC1605" s="306"/>
      <c r="AD1605" s="306"/>
      <c r="AE1605" s="306"/>
      <c r="AF1605" s="306"/>
      <c r="AG1605" s="306"/>
      <c r="AH1605" s="306"/>
      <c r="AI1605" s="306"/>
      <c r="AJ1605" s="306"/>
      <c r="AK1605" s="306"/>
      <c r="AL1605" s="306"/>
      <c r="AM1605" s="418"/>
      <c r="AN1605" s="418"/>
      <c r="AO1605" s="306"/>
      <c r="AP1605" s="306"/>
      <c r="AQ1605" s="418"/>
      <c r="AR1605" s="306"/>
      <c r="AS1605" s="306"/>
      <c r="AT1605" s="418"/>
      <c r="AU1605" s="306"/>
      <c r="AV1605" s="306"/>
      <c r="AW1605" s="306"/>
      <c r="AX1605" s="306"/>
      <c r="AY1605" s="306"/>
      <c r="AZ1605" s="306"/>
      <c r="BA1605" s="306"/>
      <c r="BB1605" s="306"/>
    </row>
    <row r="1606" spans="1:54" ht="15.75" customHeight="1">
      <c r="A1606" s="317"/>
      <c r="B1606" s="430"/>
      <c r="C1606" s="317"/>
      <c r="E1606" s="306"/>
      <c r="F1606" s="431"/>
      <c r="G1606" s="431"/>
      <c r="H1606" s="298"/>
      <c r="I1606" s="432"/>
      <c r="J1606" s="433"/>
      <c r="K1606" s="306"/>
      <c r="L1606" s="306"/>
      <c r="M1606" s="306"/>
      <c r="N1606" s="298"/>
      <c r="O1606" s="298"/>
      <c r="P1606" s="298"/>
      <c r="Q1606" s="306"/>
      <c r="R1606" s="1023"/>
      <c r="S1606" s="1023"/>
      <c r="T1606" s="306"/>
      <c r="U1606" s="306"/>
      <c r="V1606" s="306"/>
      <c r="W1606" s="306"/>
      <c r="X1606" s="306"/>
      <c r="Y1606" s="306"/>
      <c r="Z1606" s="306"/>
      <c r="AA1606" s="306"/>
      <c r="AB1606" s="306"/>
      <c r="AC1606" s="306"/>
      <c r="AD1606" s="306"/>
      <c r="AE1606" s="306"/>
      <c r="AF1606" s="306"/>
      <c r="AG1606" s="306"/>
      <c r="AH1606" s="306"/>
      <c r="AI1606" s="306"/>
      <c r="AJ1606" s="306"/>
      <c r="AK1606" s="306"/>
      <c r="AL1606" s="306"/>
      <c r="AM1606" s="418"/>
      <c r="AN1606" s="418"/>
      <c r="AO1606" s="306"/>
      <c r="AP1606" s="306"/>
      <c r="AQ1606" s="418"/>
      <c r="AR1606" s="306"/>
      <c r="AS1606" s="306"/>
      <c r="AT1606" s="418"/>
      <c r="AU1606" s="306"/>
      <c r="AV1606" s="306"/>
      <c r="AW1606" s="306"/>
      <c r="AX1606" s="306"/>
      <c r="AY1606" s="306"/>
      <c r="AZ1606" s="306"/>
      <c r="BA1606" s="306"/>
      <c r="BB1606" s="306"/>
    </row>
    <row r="1607" spans="1:54" ht="15.75" customHeight="1">
      <c r="A1607" s="317"/>
      <c r="B1607" s="430"/>
      <c r="C1607" s="317"/>
      <c r="E1607" s="306"/>
      <c r="F1607" s="431"/>
      <c r="G1607" s="431"/>
      <c r="H1607" s="298"/>
      <c r="I1607" s="432"/>
      <c r="J1607" s="433"/>
      <c r="K1607" s="306"/>
      <c r="L1607" s="306"/>
      <c r="M1607" s="306"/>
      <c r="N1607" s="298"/>
      <c r="O1607" s="298"/>
      <c r="P1607" s="298"/>
      <c r="Q1607" s="306"/>
      <c r="R1607" s="1023"/>
      <c r="S1607" s="1023"/>
      <c r="T1607" s="306"/>
      <c r="U1607" s="306"/>
      <c r="V1607" s="306"/>
      <c r="W1607" s="306"/>
      <c r="X1607" s="306"/>
      <c r="Y1607" s="306"/>
      <c r="Z1607" s="306"/>
      <c r="AA1607" s="306"/>
      <c r="AB1607" s="306"/>
      <c r="AC1607" s="306"/>
      <c r="AD1607" s="306"/>
      <c r="AE1607" s="306"/>
      <c r="AF1607" s="306"/>
      <c r="AG1607" s="306"/>
      <c r="AH1607" s="306"/>
      <c r="AI1607" s="306"/>
      <c r="AJ1607" s="306"/>
      <c r="AK1607" s="306"/>
      <c r="AL1607" s="306"/>
      <c r="AM1607" s="418"/>
      <c r="AN1607" s="418"/>
      <c r="AO1607" s="306"/>
      <c r="AP1607" s="306"/>
      <c r="AQ1607" s="418"/>
      <c r="AR1607" s="306"/>
      <c r="AS1607" s="306"/>
      <c r="AT1607" s="418"/>
      <c r="AU1607" s="306"/>
      <c r="AV1607" s="306"/>
      <c r="AW1607" s="306"/>
      <c r="AX1607" s="306"/>
      <c r="AY1607" s="306"/>
      <c r="AZ1607" s="306"/>
      <c r="BA1607" s="306"/>
      <c r="BB1607" s="306"/>
    </row>
    <row r="1608" spans="1:54" ht="15.75" customHeight="1">
      <c r="A1608" s="317"/>
      <c r="B1608" s="430"/>
      <c r="C1608" s="317"/>
      <c r="E1608" s="306"/>
      <c r="F1608" s="431"/>
      <c r="G1608" s="431"/>
      <c r="H1608" s="298"/>
      <c r="I1608" s="432"/>
      <c r="J1608" s="433"/>
      <c r="K1608" s="306"/>
      <c r="L1608" s="306"/>
      <c r="M1608" s="306"/>
      <c r="N1608" s="298"/>
      <c r="O1608" s="298"/>
      <c r="P1608" s="298"/>
      <c r="Q1608" s="306"/>
      <c r="R1608" s="1023"/>
      <c r="S1608" s="1023"/>
      <c r="T1608" s="306"/>
      <c r="U1608" s="306"/>
      <c r="V1608" s="306"/>
      <c r="W1608" s="306"/>
      <c r="X1608" s="306"/>
      <c r="Y1608" s="306"/>
      <c r="Z1608" s="306"/>
      <c r="AA1608" s="306"/>
      <c r="AB1608" s="306"/>
      <c r="AC1608" s="306"/>
      <c r="AD1608" s="306"/>
      <c r="AE1608" s="306"/>
      <c r="AF1608" s="306"/>
      <c r="AG1608" s="306"/>
      <c r="AH1608" s="306"/>
      <c r="AI1608" s="306"/>
      <c r="AJ1608" s="306"/>
      <c r="AK1608" s="306"/>
      <c r="AL1608" s="306"/>
      <c r="AM1608" s="418"/>
      <c r="AN1608" s="418"/>
      <c r="AO1608" s="306"/>
      <c r="AP1608" s="306"/>
      <c r="AQ1608" s="418"/>
      <c r="AR1608" s="306"/>
      <c r="AS1608" s="306"/>
      <c r="AT1608" s="418"/>
      <c r="AU1608" s="306"/>
      <c r="AV1608" s="306"/>
      <c r="AW1608" s="306"/>
      <c r="AX1608" s="306"/>
      <c r="AY1608" s="306"/>
      <c r="AZ1608" s="306"/>
      <c r="BA1608" s="306"/>
      <c r="BB1608" s="306"/>
    </row>
    <row r="1609" spans="1:54" ht="15.75" customHeight="1">
      <c r="A1609" s="317"/>
      <c r="B1609" s="430"/>
      <c r="C1609" s="317"/>
      <c r="E1609" s="306"/>
      <c r="F1609" s="431"/>
      <c r="G1609" s="431"/>
      <c r="H1609" s="298"/>
      <c r="I1609" s="432"/>
      <c r="J1609" s="433"/>
      <c r="K1609" s="306"/>
      <c r="L1609" s="306"/>
      <c r="M1609" s="306"/>
      <c r="N1609" s="298"/>
      <c r="O1609" s="298"/>
      <c r="P1609" s="298"/>
      <c r="Q1609" s="306"/>
      <c r="R1609" s="1023"/>
      <c r="S1609" s="1023"/>
      <c r="T1609" s="306"/>
      <c r="U1609" s="306"/>
      <c r="V1609" s="306"/>
      <c r="W1609" s="306"/>
      <c r="X1609" s="306"/>
      <c r="Y1609" s="306"/>
      <c r="Z1609" s="306"/>
      <c r="AA1609" s="306"/>
      <c r="AB1609" s="306"/>
      <c r="AC1609" s="306"/>
      <c r="AD1609" s="306"/>
      <c r="AE1609" s="306"/>
      <c r="AF1609" s="306"/>
      <c r="AG1609" s="306"/>
      <c r="AH1609" s="306"/>
      <c r="AI1609" s="306"/>
      <c r="AJ1609" s="306"/>
      <c r="AK1609" s="306"/>
      <c r="AL1609" s="306"/>
      <c r="AM1609" s="418"/>
      <c r="AN1609" s="418"/>
      <c r="AO1609" s="306"/>
      <c r="AP1609" s="306"/>
      <c r="AQ1609" s="418"/>
      <c r="AR1609" s="306"/>
      <c r="AS1609" s="306"/>
      <c r="AT1609" s="418"/>
      <c r="AU1609" s="306"/>
      <c r="AV1609" s="306"/>
      <c r="AW1609" s="306"/>
      <c r="AX1609" s="306"/>
      <c r="AY1609" s="306"/>
      <c r="AZ1609" s="306"/>
      <c r="BA1609" s="306"/>
      <c r="BB1609" s="306"/>
    </row>
    <row r="1610" spans="1:54" ht="15.75" customHeight="1">
      <c r="A1610" s="317"/>
      <c r="B1610" s="430"/>
      <c r="C1610" s="317"/>
      <c r="E1610" s="306"/>
      <c r="F1610" s="431"/>
      <c r="G1610" s="431"/>
      <c r="H1610" s="298"/>
      <c r="I1610" s="432"/>
      <c r="J1610" s="433"/>
      <c r="K1610" s="306"/>
      <c r="L1610" s="306"/>
      <c r="M1610" s="306"/>
      <c r="N1610" s="298"/>
      <c r="O1610" s="298"/>
      <c r="P1610" s="298"/>
      <c r="Q1610" s="306"/>
      <c r="R1610" s="1023"/>
      <c r="S1610" s="1023"/>
      <c r="T1610" s="306"/>
      <c r="U1610" s="306"/>
      <c r="V1610" s="306"/>
      <c r="W1610" s="306"/>
      <c r="X1610" s="306"/>
      <c r="Y1610" s="306"/>
      <c r="Z1610" s="306"/>
      <c r="AA1610" s="306"/>
      <c r="AB1610" s="306"/>
      <c r="AC1610" s="306"/>
      <c r="AD1610" s="306"/>
      <c r="AE1610" s="306"/>
      <c r="AF1610" s="306"/>
      <c r="AG1610" s="306"/>
      <c r="AH1610" s="306"/>
      <c r="AI1610" s="306"/>
      <c r="AJ1610" s="306"/>
      <c r="AK1610" s="306"/>
      <c r="AL1610" s="306"/>
      <c r="AM1610" s="418"/>
      <c r="AN1610" s="418"/>
      <c r="AO1610" s="306"/>
      <c r="AP1610" s="306"/>
      <c r="AQ1610" s="418"/>
      <c r="AR1610" s="306"/>
      <c r="AS1610" s="306"/>
      <c r="AT1610" s="418"/>
      <c r="AU1610" s="306"/>
      <c r="AV1610" s="306"/>
      <c r="AW1610" s="306"/>
      <c r="AX1610" s="306"/>
      <c r="AY1610" s="306"/>
      <c r="AZ1610" s="306"/>
      <c r="BA1610" s="306"/>
      <c r="BB1610" s="306"/>
    </row>
    <row r="1611" spans="1:54" ht="15.75" customHeight="1">
      <c r="A1611" s="317"/>
      <c r="B1611" s="430"/>
      <c r="C1611" s="317"/>
      <c r="E1611" s="306"/>
      <c r="F1611" s="431"/>
      <c r="G1611" s="431"/>
      <c r="H1611" s="298"/>
      <c r="I1611" s="432"/>
      <c r="J1611" s="433"/>
      <c r="K1611" s="306"/>
      <c r="L1611" s="306"/>
      <c r="M1611" s="306"/>
      <c r="N1611" s="298"/>
      <c r="O1611" s="298"/>
      <c r="P1611" s="298"/>
      <c r="Q1611" s="306"/>
      <c r="R1611" s="1023"/>
      <c r="S1611" s="1023"/>
      <c r="T1611" s="306"/>
      <c r="U1611" s="306"/>
      <c r="V1611" s="306"/>
      <c r="W1611" s="306"/>
      <c r="X1611" s="306"/>
      <c r="Y1611" s="306"/>
      <c r="Z1611" s="306"/>
      <c r="AA1611" s="306"/>
      <c r="AB1611" s="306"/>
      <c r="AC1611" s="306"/>
      <c r="AD1611" s="306"/>
      <c r="AE1611" s="306"/>
      <c r="AF1611" s="306"/>
      <c r="AG1611" s="306"/>
      <c r="AH1611" s="306"/>
      <c r="AI1611" s="306"/>
      <c r="AJ1611" s="306"/>
      <c r="AK1611" s="306"/>
      <c r="AL1611" s="306"/>
      <c r="AM1611" s="418"/>
      <c r="AN1611" s="418"/>
      <c r="AO1611" s="306"/>
      <c r="AP1611" s="306"/>
      <c r="AQ1611" s="418"/>
      <c r="AR1611" s="306"/>
      <c r="AS1611" s="306"/>
      <c r="AT1611" s="418"/>
      <c r="AU1611" s="306"/>
      <c r="AV1611" s="306"/>
      <c r="AW1611" s="306"/>
      <c r="AX1611" s="306"/>
      <c r="AY1611" s="306"/>
      <c r="AZ1611" s="306"/>
      <c r="BA1611" s="306"/>
      <c r="BB1611" s="306"/>
    </row>
    <row r="1612" spans="1:54" ht="15.75" customHeight="1">
      <c r="A1612" s="317"/>
      <c r="B1612" s="430"/>
      <c r="C1612" s="317"/>
      <c r="E1612" s="306"/>
      <c r="F1612" s="431"/>
      <c r="G1612" s="431"/>
      <c r="H1612" s="298"/>
      <c r="I1612" s="432"/>
      <c r="J1612" s="433"/>
      <c r="K1612" s="306"/>
      <c r="L1612" s="306"/>
      <c r="M1612" s="306"/>
      <c r="N1612" s="298"/>
      <c r="O1612" s="298"/>
      <c r="P1612" s="298"/>
      <c r="Q1612" s="306"/>
      <c r="R1612" s="1023"/>
      <c r="S1612" s="1023"/>
      <c r="T1612" s="306"/>
      <c r="U1612" s="306"/>
      <c r="V1612" s="306"/>
      <c r="W1612" s="306"/>
      <c r="X1612" s="306"/>
      <c r="Y1612" s="306"/>
      <c r="Z1612" s="306"/>
      <c r="AA1612" s="306"/>
      <c r="AB1612" s="306"/>
      <c r="AC1612" s="306"/>
      <c r="AD1612" s="306"/>
      <c r="AE1612" s="306"/>
      <c r="AF1612" s="306"/>
      <c r="AG1612" s="306"/>
      <c r="AH1612" s="306"/>
      <c r="AI1612" s="306"/>
      <c r="AJ1612" s="306"/>
      <c r="AK1612" s="306"/>
      <c r="AL1612" s="306"/>
      <c r="AM1612" s="418"/>
      <c r="AN1612" s="418"/>
      <c r="AO1612" s="306"/>
      <c r="AP1612" s="306"/>
      <c r="AQ1612" s="418"/>
      <c r="AR1612" s="306"/>
      <c r="AS1612" s="306"/>
      <c r="AT1612" s="418"/>
      <c r="AU1612" s="306"/>
      <c r="AV1612" s="306"/>
      <c r="AW1612" s="306"/>
      <c r="AX1612" s="306"/>
      <c r="AY1612" s="306"/>
      <c r="AZ1612" s="306"/>
      <c r="BA1612" s="306"/>
      <c r="BB1612" s="306"/>
    </row>
    <row r="1613" spans="1:54" ht="15.75" customHeight="1">
      <c r="A1613" s="317"/>
      <c r="B1613" s="430"/>
      <c r="C1613" s="317"/>
      <c r="E1613" s="306"/>
      <c r="F1613" s="431"/>
      <c r="G1613" s="431"/>
      <c r="H1613" s="298"/>
      <c r="I1613" s="432"/>
      <c r="J1613" s="433"/>
      <c r="K1613" s="306"/>
      <c r="L1613" s="306"/>
      <c r="M1613" s="306"/>
      <c r="N1613" s="298"/>
      <c r="O1613" s="298"/>
      <c r="P1613" s="298"/>
      <c r="Q1613" s="306"/>
      <c r="R1613" s="1023"/>
      <c r="S1613" s="1023"/>
      <c r="T1613" s="306"/>
      <c r="U1613" s="306"/>
      <c r="V1613" s="306"/>
      <c r="W1613" s="306"/>
      <c r="X1613" s="306"/>
      <c r="Y1613" s="306"/>
      <c r="Z1613" s="306"/>
      <c r="AA1613" s="306"/>
      <c r="AB1613" s="306"/>
      <c r="AC1613" s="306"/>
      <c r="AD1613" s="306"/>
      <c r="AE1613" s="306"/>
      <c r="AF1613" s="306"/>
      <c r="AG1613" s="306"/>
      <c r="AH1613" s="306"/>
      <c r="AI1613" s="306"/>
      <c r="AJ1613" s="306"/>
      <c r="AK1613" s="306"/>
      <c r="AL1613" s="306"/>
      <c r="AM1613" s="418"/>
      <c r="AN1613" s="418"/>
      <c r="AO1613" s="306"/>
      <c r="AP1613" s="306"/>
      <c r="AQ1613" s="418"/>
      <c r="AR1613" s="306"/>
      <c r="AS1613" s="306"/>
      <c r="AT1613" s="418"/>
      <c r="AU1613" s="306"/>
      <c r="AV1613" s="306"/>
      <c r="AW1613" s="306"/>
      <c r="AX1613" s="306"/>
      <c r="AY1613" s="306"/>
      <c r="AZ1613" s="306"/>
      <c r="BA1613" s="306"/>
      <c r="BB1613" s="306"/>
    </row>
    <row r="1614" spans="1:54" ht="15.75" customHeight="1">
      <c r="A1614" s="317"/>
      <c r="B1614" s="430"/>
      <c r="C1614" s="317"/>
      <c r="E1614" s="306"/>
      <c r="F1614" s="431"/>
      <c r="G1614" s="431"/>
      <c r="H1614" s="298"/>
      <c r="I1614" s="432"/>
      <c r="J1614" s="433"/>
      <c r="K1614" s="306"/>
      <c r="L1614" s="306"/>
      <c r="M1614" s="306"/>
      <c r="N1614" s="298"/>
      <c r="O1614" s="298"/>
      <c r="P1614" s="298"/>
      <c r="Q1614" s="306"/>
      <c r="R1614" s="1023"/>
      <c r="S1614" s="1023"/>
      <c r="T1614" s="306"/>
      <c r="U1614" s="306"/>
      <c r="V1614" s="306"/>
      <c r="W1614" s="306"/>
      <c r="X1614" s="306"/>
      <c r="Y1614" s="306"/>
      <c r="Z1614" s="306"/>
      <c r="AA1614" s="306"/>
      <c r="AB1614" s="306"/>
      <c r="AC1614" s="306"/>
      <c r="AD1614" s="306"/>
      <c r="AE1614" s="306"/>
      <c r="AF1614" s="306"/>
      <c r="AG1614" s="306"/>
      <c r="AH1614" s="306"/>
      <c r="AI1614" s="306"/>
      <c r="AJ1614" s="306"/>
      <c r="AK1614" s="306"/>
      <c r="AL1614" s="306"/>
      <c r="AM1614" s="418"/>
      <c r="AN1614" s="418"/>
      <c r="AO1614" s="306"/>
      <c r="AP1614" s="306"/>
      <c r="AQ1614" s="418"/>
      <c r="AR1614" s="306"/>
      <c r="AS1614" s="306"/>
      <c r="AT1614" s="418"/>
      <c r="AU1614" s="306"/>
      <c r="AV1614" s="306"/>
      <c r="AW1614" s="306"/>
      <c r="AX1614" s="306"/>
      <c r="AY1614" s="306"/>
      <c r="AZ1614" s="306"/>
      <c r="BA1614" s="306"/>
      <c r="BB1614" s="306"/>
    </row>
    <row r="1615" spans="1:54" ht="15.75" customHeight="1">
      <c r="A1615" s="317"/>
      <c r="B1615" s="430"/>
      <c r="C1615" s="317"/>
      <c r="E1615" s="306"/>
      <c r="F1615" s="431"/>
      <c r="G1615" s="431"/>
      <c r="H1615" s="298"/>
      <c r="I1615" s="432"/>
      <c r="J1615" s="433"/>
      <c r="K1615" s="306"/>
      <c r="L1615" s="306"/>
      <c r="M1615" s="306"/>
      <c r="N1615" s="298"/>
      <c r="O1615" s="298"/>
      <c r="P1615" s="298"/>
      <c r="Q1615" s="306"/>
      <c r="R1615" s="1023"/>
      <c r="S1615" s="1023"/>
      <c r="T1615" s="306"/>
      <c r="U1615" s="306"/>
      <c r="V1615" s="306"/>
      <c r="W1615" s="306"/>
      <c r="X1615" s="306"/>
      <c r="Y1615" s="306"/>
      <c r="Z1615" s="306"/>
      <c r="AA1615" s="306"/>
      <c r="AB1615" s="306"/>
      <c r="AC1615" s="306"/>
      <c r="AD1615" s="306"/>
      <c r="AE1615" s="306"/>
      <c r="AF1615" s="306"/>
      <c r="AG1615" s="306"/>
      <c r="AH1615" s="306"/>
      <c r="AI1615" s="306"/>
      <c r="AJ1615" s="306"/>
      <c r="AK1615" s="306"/>
      <c r="AL1615" s="306"/>
      <c r="AM1615" s="418"/>
      <c r="AN1615" s="418"/>
      <c r="AO1615" s="306"/>
      <c r="AP1615" s="306"/>
      <c r="AQ1615" s="418"/>
      <c r="AR1615" s="306"/>
      <c r="AS1615" s="306"/>
      <c r="AT1615" s="418"/>
      <c r="AU1615" s="306"/>
      <c r="AV1615" s="306"/>
      <c r="AW1615" s="306"/>
      <c r="AX1615" s="306"/>
      <c r="AY1615" s="306"/>
      <c r="AZ1615" s="306"/>
      <c r="BA1615" s="306"/>
      <c r="BB1615" s="306"/>
    </row>
    <row r="1616" spans="1:54" ht="15.75" customHeight="1">
      <c r="A1616" s="317"/>
      <c r="B1616" s="430"/>
      <c r="C1616" s="317"/>
      <c r="E1616" s="306"/>
      <c r="F1616" s="431"/>
      <c r="G1616" s="431"/>
      <c r="H1616" s="298"/>
      <c r="I1616" s="432"/>
      <c r="J1616" s="433"/>
      <c r="K1616" s="306"/>
      <c r="L1616" s="306"/>
      <c r="M1616" s="306"/>
      <c r="N1616" s="298"/>
      <c r="O1616" s="298"/>
      <c r="P1616" s="298"/>
      <c r="Q1616" s="306"/>
      <c r="R1616" s="1023"/>
      <c r="S1616" s="1023"/>
      <c r="T1616" s="306"/>
      <c r="U1616" s="306"/>
      <c r="V1616" s="306"/>
      <c r="W1616" s="306"/>
      <c r="X1616" s="306"/>
      <c r="Y1616" s="306"/>
      <c r="Z1616" s="306"/>
      <c r="AA1616" s="306"/>
      <c r="AB1616" s="306"/>
      <c r="AC1616" s="306"/>
      <c r="AD1616" s="306"/>
      <c r="AE1616" s="306"/>
      <c r="AF1616" s="306"/>
      <c r="AG1616" s="306"/>
      <c r="AH1616" s="306"/>
      <c r="AI1616" s="306"/>
      <c r="AJ1616" s="306"/>
      <c r="AK1616" s="306"/>
      <c r="AL1616" s="306"/>
      <c r="AM1616" s="418"/>
      <c r="AN1616" s="418"/>
      <c r="AO1616" s="306"/>
      <c r="AP1616" s="306"/>
      <c r="AQ1616" s="418"/>
      <c r="AR1616" s="306"/>
      <c r="AS1616" s="306"/>
      <c r="AT1616" s="418"/>
      <c r="AU1616" s="306"/>
      <c r="AV1616" s="306"/>
      <c r="AW1616" s="306"/>
      <c r="AX1616" s="306"/>
      <c r="AY1616" s="306"/>
      <c r="AZ1616" s="306"/>
      <c r="BA1616" s="306"/>
      <c r="BB1616" s="306"/>
    </row>
    <row r="1617" spans="1:54" ht="15.75" customHeight="1">
      <c r="A1617" s="317"/>
      <c r="B1617" s="430"/>
      <c r="C1617" s="317"/>
      <c r="E1617" s="306"/>
      <c r="F1617" s="431"/>
      <c r="G1617" s="431"/>
      <c r="H1617" s="298"/>
      <c r="I1617" s="432"/>
      <c r="J1617" s="433"/>
      <c r="K1617" s="306"/>
      <c r="L1617" s="306"/>
      <c r="M1617" s="306"/>
      <c r="N1617" s="298"/>
      <c r="O1617" s="298"/>
      <c r="P1617" s="298"/>
      <c r="Q1617" s="306"/>
      <c r="R1617" s="1023"/>
      <c r="S1617" s="1023"/>
      <c r="T1617" s="306"/>
      <c r="U1617" s="306"/>
      <c r="V1617" s="306"/>
      <c r="W1617" s="306"/>
      <c r="X1617" s="306"/>
      <c r="Y1617" s="306"/>
      <c r="Z1617" s="306"/>
      <c r="AA1617" s="306"/>
      <c r="AB1617" s="306"/>
      <c r="AC1617" s="306"/>
      <c r="AD1617" s="306"/>
      <c r="AE1617" s="306"/>
      <c r="AF1617" s="306"/>
      <c r="AG1617" s="306"/>
      <c r="AH1617" s="306"/>
      <c r="AI1617" s="306"/>
      <c r="AJ1617" s="306"/>
      <c r="AK1617" s="306"/>
      <c r="AL1617" s="306"/>
      <c r="AM1617" s="418"/>
      <c r="AN1617" s="418"/>
      <c r="AO1617" s="306"/>
      <c r="AP1617" s="306"/>
      <c r="AQ1617" s="418"/>
      <c r="AR1617" s="306"/>
      <c r="AS1617" s="306"/>
      <c r="AT1617" s="418"/>
      <c r="AU1617" s="306"/>
      <c r="AV1617" s="306"/>
      <c r="AW1617" s="306"/>
      <c r="AX1617" s="306"/>
      <c r="AY1617" s="306"/>
      <c r="AZ1617" s="306"/>
      <c r="BA1617" s="306"/>
      <c r="BB1617" s="306"/>
    </row>
    <row r="1618" spans="1:54" ht="15.75" customHeight="1">
      <c r="A1618" s="317"/>
      <c r="B1618" s="430"/>
      <c r="C1618" s="317"/>
      <c r="E1618" s="306"/>
      <c r="F1618" s="431"/>
      <c r="G1618" s="431"/>
      <c r="H1618" s="298"/>
      <c r="I1618" s="432"/>
      <c r="J1618" s="433"/>
      <c r="K1618" s="306"/>
      <c r="L1618" s="306"/>
      <c r="M1618" s="306"/>
      <c r="N1618" s="298"/>
      <c r="O1618" s="298"/>
      <c r="P1618" s="298"/>
      <c r="Q1618" s="306"/>
      <c r="R1618" s="1023"/>
      <c r="S1618" s="1023"/>
      <c r="T1618" s="306"/>
      <c r="U1618" s="306"/>
      <c r="V1618" s="306"/>
      <c r="W1618" s="306"/>
      <c r="X1618" s="306"/>
      <c r="Y1618" s="306"/>
      <c r="Z1618" s="306"/>
      <c r="AA1618" s="306"/>
      <c r="AB1618" s="306"/>
      <c r="AC1618" s="306"/>
      <c r="AD1618" s="306"/>
      <c r="AE1618" s="306"/>
      <c r="AF1618" s="306"/>
      <c r="AG1618" s="306"/>
      <c r="AH1618" s="306"/>
      <c r="AI1618" s="306"/>
      <c r="AJ1618" s="306"/>
      <c r="AK1618" s="306"/>
      <c r="AL1618" s="306"/>
      <c r="AM1618" s="418"/>
      <c r="AN1618" s="418"/>
      <c r="AO1618" s="306"/>
      <c r="AP1618" s="306"/>
      <c r="AQ1618" s="418"/>
      <c r="AR1618" s="306"/>
      <c r="AS1618" s="306"/>
      <c r="AT1618" s="418"/>
      <c r="AU1618" s="306"/>
      <c r="AV1618" s="306"/>
      <c r="AW1618" s="306"/>
      <c r="AX1618" s="306"/>
      <c r="AY1618" s="306"/>
      <c r="AZ1618" s="306"/>
      <c r="BA1618" s="306"/>
      <c r="BB1618" s="306"/>
    </row>
    <row r="1619" spans="1:54" ht="15.75" customHeight="1">
      <c r="A1619" s="317"/>
      <c r="B1619" s="430"/>
      <c r="C1619" s="317"/>
      <c r="E1619" s="306"/>
      <c r="F1619" s="431"/>
      <c r="G1619" s="431"/>
      <c r="H1619" s="298"/>
      <c r="I1619" s="432"/>
      <c r="J1619" s="433"/>
      <c r="K1619" s="306"/>
      <c r="L1619" s="306"/>
      <c r="M1619" s="306"/>
      <c r="N1619" s="298"/>
      <c r="O1619" s="298"/>
      <c r="P1619" s="298"/>
      <c r="Q1619" s="306"/>
      <c r="R1619" s="1023"/>
      <c r="S1619" s="1023"/>
      <c r="T1619" s="306"/>
      <c r="U1619" s="306"/>
      <c r="V1619" s="306"/>
      <c r="W1619" s="306"/>
      <c r="X1619" s="306"/>
      <c r="Y1619" s="306"/>
      <c r="Z1619" s="306"/>
      <c r="AA1619" s="306"/>
      <c r="AB1619" s="306"/>
      <c r="AC1619" s="306"/>
      <c r="AD1619" s="306"/>
      <c r="AE1619" s="306"/>
      <c r="AF1619" s="306"/>
      <c r="AG1619" s="306"/>
      <c r="AH1619" s="306"/>
      <c r="AI1619" s="306"/>
      <c r="AJ1619" s="306"/>
      <c r="AK1619" s="306"/>
      <c r="AL1619" s="306"/>
      <c r="AM1619" s="418"/>
      <c r="AN1619" s="418"/>
      <c r="AO1619" s="306"/>
      <c r="AP1619" s="306"/>
      <c r="AQ1619" s="418"/>
      <c r="AR1619" s="306"/>
      <c r="AS1619" s="306"/>
      <c r="AT1619" s="418"/>
      <c r="AU1619" s="306"/>
      <c r="AV1619" s="306"/>
      <c r="AW1619" s="306"/>
      <c r="AX1619" s="306"/>
      <c r="AY1619" s="306"/>
      <c r="AZ1619" s="306"/>
      <c r="BA1619" s="306"/>
      <c r="BB1619" s="306"/>
    </row>
    <row r="1620" spans="1:54" ht="15.75" customHeight="1">
      <c r="A1620" s="317"/>
      <c r="B1620" s="430"/>
      <c r="C1620" s="317"/>
      <c r="E1620" s="306"/>
      <c r="F1620" s="431"/>
      <c r="G1620" s="431"/>
      <c r="H1620" s="298"/>
      <c r="I1620" s="432"/>
      <c r="J1620" s="433"/>
      <c r="K1620" s="306"/>
      <c r="L1620" s="306"/>
      <c r="M1620" s="306"/>
      <c r="N1620" s="298"/>
      <c r="O1620" s="298"/>
      <c r="P1620" s="298"/>
      <c r="Q1620" s="306"/>
      <c r="R1620" s="1023"/>
      <c r="S1620" s="1023"/>
      <c r="T1620" s="306"/>
      <c r="U1620" s="306"/>
      <c r="V1620" s="306"/>
      <c r="W1620" s="306"/>
      <c r="X1620" s="306"/>
      <c r="Y1620" s="306"/>
      <c r="Z1620" s="306"/>
      <c r="AA1620" s="306"/>
      <c r="AB1620" s="306"/>
      <c r="AC1620" s="306"/>
      <c r="AD1620" s="306"/>
      <c r="AE1620" s="306"/>
      <c r="AF1620" s="306"/>
      <c r="AG1620" s="306"/>
      <c r="AH1620" s="306"/>
      <c r="AI1620" s="306"/>
      <c r="AJ1620" s="306"/>
      <c r="AK1620" s="306"/>
      <c r="AL1620" s="306"/>
      <c r="AM1620" s="418"/>
      <c r="AN1620" s="418"/>
      <c r="AO1620" s="306"/>
      <c r="AP1620" s="306"/>
      <c r="AQ1620" s="418"/>
      <c r="AR1620" s="306"/>
      <c r="AS1620" s="306"/>
      <c r="AT1620" s="418"/>
      <c r="AU1620" s="306"/>
      <c r="AV1620" s="306"/>
      <c r="AW1620" s="306"/>
      <c r="AX1620" s="306"/>
      <c r="AY1620" s="306"/>
      <c r="AZ1620" s="306"/>
      <c r="BA1620" s="306"/>
      <c r="BB1620" s="306"/>
    </row>
    <row r="1621" spans="1:54" ht="15.75" customHeight="1">
      <c r="A1621" s="317"/>
      <c r="B1621" s="430"/>
      <c r="C1621" s="317"/>
      <c r="E1621" s="306"/>
      <c r="F1621" s="431"/>
      <c r="G1621" s="431"/>
      <c r="H1621" s="298"/>
      <c r="I1621" s="432"/>
      <c r="J1621" s="433"/>
      <c r="K1621" s="306"/>
      <c r="L1621" s="306"/>
      <c r="M1621" s="306"/>
      <c r="N1621" s="298"/>
      <c r="O1621" s="298"/>
      <c r="P1621" s="298"/>
      <c r="Q1621" s="306"/>
      <c r="R1621" s="1023"/>
      <c r="S1621" s="1023"/>
      <c r="T1621" s="306"/>
      <c r="U1621" s="306"/>
      <c r="V1621" s="306"/>
      <c r="W1621" s="306"/>
      <c r="X1621" s="306"/>
      <c r="Y1621" s="306"/>
      <c r="Z1621" s="306"/>
      <c r="AA1621" s="306"/>
      <c r="AB1621" s="306"/>
      <c r="AC1621" s="306"/>
      <c r="AD1621" s="306"/>
      <c r="AE1621" s="306"/>
      <c r="AF1621" s="306"/>
      <c r="AG1621" s="306"/>
      <c r="AH1621" s="306"/>
      <c r="AI1621" s="306"/>
      <c r="AJ1621" s="306"/>
      <c r="AK1621" s="306"/>
      <c r="AL1621" s="306"/>
      <c r="AM1621" s="418"/>
      <c r="AN1621" s="418"/>
      <c r="AO1621" s="306"/>
      <c r="AP1621" s="306"/>
      <c r="AQ1621" s="418"/>
      <c r="AR1621" s="306"/>
      <c r="AS1621" s="306"/>
      <c r="AT1621" s="418"/>
      <c r="AU1621" s="306"/>
      <c r="AV1621" s="306"/>
      <c r="AW1621" s="306"/>
      <c r="AX1621" s="306"/>
      <c r="AY1621" s="306"/>
      <c r="AZ1621" s="306"/>
      <c r="BA1621" s="306"/>
      <c r="BB1621" s="306"/>
    </row>
    <row r="1622" spans="1:54" ht="15.75" customHeight="1">
      <c r="A1622" s="317"/>
      <c r="B1622" s="430"/>
      <c r="C1622" s="317"/>
      <c r="E1622" s="306"/>
      <c r="F1622" s="431"/>
      <c r="G1622" s="431"/>
      <c r="H1622" s="298"/>
      <c r="I1622" s="432"/>
      <c r="J1622" s="433"/>
      <c r="K1622" s="306"/>
      <c r="L1622" s="306"/>
      <c r="M1622" s="306"/>
      <c r="N1622" s="298"/>
      <c r="O1622" s="298"/>
      <c r="P1622" s="298"/>
      <c r="Q1622" s="306"/>
      <c r="R1622" s="1023"/>
      <c r="S1622" s="1023"/>
      <c r="T1622" s="306"/>
      <c r="U1622" s="306"/>
      <c r="V1622" s="306"/>
      <c r="W1622" s="306"/>
      <c r="X1622" s="306"/>
      <c r="Y1622" s="306"/>
      <c r="Z1622" s="306"/>
      <c r="AA1622" s="306"/>
      <c r="AB1622" s="306"/>
      <c r="AC1622" s="306"/>
      <c r="AD1622" s="306"/>
      <c r="AE1622" s="306"/>
      <c r="AF1622" s="306"/>
      <c r="AG1622" s="306"/>
      <c r="AH1622" s="306"/>
      <c r="AI1622" s="306"/>
      <c r="AJ1622" s="306"/>
      <c r="AK1622" s="306"/>
      <c r="AL1622" s="306"/>
      <c r="AM1622" s="418"/>
      <c r="AN1622" s="418"/>
      <c r="AO1622" s="306"/>
      <c r="AP1622" s="306"/>
      <c r="AQ1622" s="418"/>
      <c r="AR1622" s="306"/>
      <c r="AS1622" s="306"/>
      <c r="AT1622" s="418"/>
      <c r="AU1622" s="306"/>
      <c r="AV1622" s="306"/>
      <c r="AW1622" s="306"/>
      <c r="AX1622" s="306"/>
      <c r="AY1622" s="306"/>
      <c r="AZ1622" s="306"/>
      <c r="BA1622" s="306"/>
      <c r="BB1622" s="306"/>
    </row>
    <row r="1623" spans="1:54" ht="15.75" customHeight="1">
      <c r="A1623" s="317"/>
      <c r="B1623" s="430"/>
      <c r="C1623" s="317"/>
      <c r="E1623" s="306"/>
      <c r="F1623" s="431"/>
      <c r="G1623" s="431"/>
      <c r="H1623" s="298"/>
      <c r="I1623" s="432"/>
      <c r="J1623" s="433"/>
      <c r="K1623" s="306"/>
      <c r="L1623" s="306"/>
      <c r="M1623" s="306"/>
      <c r="N1623" s="298"/>
      <c r="O1623" s="298"/>
      <c r="P1623" s="298"/>
      <c r="Q1623" s="306"/>
      <c r="R1623" s="1023"/>
      <c r="S1623" s="1023"/>
      <c r="T1623" s="306"/>
      <c r="U1623" s="306"/>
      <c r="V1623" s="306"/>
      <c r="W1623" s="306"/>
      <c r="X1623" s="306"/>
      <c r="Y1623" s="306"/>
      <c r="Z1623" s="306"/>
      <c r="AA1623" s="306"/>
      <c r="AB1623" s="306"/>
      <c r="AC1623" s="306"/>
      <c r="AD1623" s="306"/>
      <c r="AE1623" s="306"/>
      <c r="AF1623" s="306"/>
      <c r="AG1623" s="306"/>
      <c r="AH1623" s="306"/>
      <c r="AI1623" s="306"/>
      <c r="AJ1623" s="306"/>
      <c r="AK1623" s="306"/>
      <c r="AL1623" s="306"/>
      <c r="AM1623" s="418"/>
      <c r="AN1623" s="418"/>
      <c r="AO1623" s="306"/>
      <c r="AP1623" s="306"/>
      <c r="AQ1623" s="418"/>
      <c r="AR1623" s="306"/>
      <c r="AS1623" s="306"/>
      <c r="AT1623" s="418"/>
      <c r="AU1623" s="306"/>
      <c r="AV1623" s="306"/>
      <c r="AW1623" s="306"/>
      <c r="AX1623" s="306"/>
      <c r="AY1623" s="306"/>
      <c r="AZ1623" s="306"/>
      <c r="BA1623" s="306"/>
      <c r="BB1623" s="306"/>
    </row>
    <row r="1624" spans="1:54" ht="15.75" customHeight="1">
      <c r="A1624" s="317"/>
      <c r="B1624" s="430"/>
      <c r="C1624" s="317"/>
      <c r="E1624" s="306"/>
      <c r="F1624" s="431"/>
      <c r="G1624" s="431"/>
      <c r="H1624" s="298"/>
      <c r="I1624" s="432"/>
      <c r="J1624" s="433"/>
      <c r="K1624" s="306"/>
      <c r="L1624" s="306"/>
      <c r="M1624" s="306"/>
      <c r="N1624" s="298"/>
      <c r="O1624" s="298"/>
      <c r="P1624" s="298"/>
      <c r="Q1624" s="306"/>
      <c r="R1624" s="1023"/>
      <c r="S1624" s="1023"/>
      <c r="T1624" s="306"/>
      <c r="U1624" s="306"/>
      <c r="V1624" s="306"/>
      <c r="W1624" s="306"/>
      <c r="X1624" s="306"/>
      <c r="Y1624" s="306"/>
      <c r="Z1624" s="306"/>
      <c r="AA1624" s="306"/>
      <c r="AB1624" s="306"/>
      <c r="AC1624" s="306"/>
      <c r="AD1624" s="306"/>
      <c r="AE1624" s="306"/>
      <c r="AF1624" s="306"/>
      <c r="AG1624" s="306"/>
      <c r="AH1624" s="306"/>
      <c r="AI1624" s="306"/>
      <c r="AJ1624" s="306"/>
      <c r="AK1624" s="306"/>
      <c r="AL1624" s="306"/>
      <c r="AM1624" s="418"/>
      <c r="AN1624" s="418"/>
      <c r="AO1624" s="306"/>
      <c r="AP1624" s="306"/>
      <c r="AQ1624" s="418"/>
      <c r="AR1624" s="306"/>
      <c r="AS1624" s="306"/>
      <c r="AT1624" s="418"/>
      <c r="AU1624" s="306"/>
      <c r="AV1624" s="306"/>
      <c r="AW1624" s="306"/>
      <c r="AX1624" s="306"/>
      <c r="AY1624" s="306"/>
      <c r="AZ1624" s="306"/>
      <c r="BA1624" s="306"/>
      <c r="BB1624" s="306"/>
    </row>
    <row r="1625" spans="1:54" ht="15.75" customHeight="1">
      <c r="A1625" s="317"/>
      <c r="B1625" s="430"/>
      <c r="C1625" s="317"/>
      <c r="E1625" s="306"/>
      <c r="F1625" s="431"/>
      <c r="G1625" s="431"/>
      <c r="H1625" s="298"/>
      <c r="I1625" s="432"/>
      <c r="J1625" s="433"/>
      <c r="K1625" s="306"/>
      <c r="L1625" s="306"/>
      <c r="M1625" s="306"/>
      <c r="N1625" s="298"/>
      <c r="O1625" s="298"/>
      <c r="P1625" s="298"/>
      <c r="Q1625" s="306"/>
      <c r="R1625" s="1023"/>
      <c r="S1625" s="1023"/>
      <c r="T1625" s="306"/>
      <c r="U1625" s="306"/>
      <c r="V1625" s="306"/>
      <c r="W1625" s="306"/>
      <c r="X1625" s="306"/>
      <c r="Y1625" s="306"/>
      <c r="Z1625" s="306"/>
      <c r="AA1625" s="306"/>
      <c r="AB1625" s="306"/>
      <c r="AC1625" s="306"/>
      <c r="AD1625" s="306"/>
      <c r="AE1625" s="306"/>
      <c r="AF1625" s="306"/>
      <c r="AG1625" s="306"/>
      <c r="AH1625" s="306"/>
      <c r="AI1625" s="306"/>
      <c r="AJ1625" s="306"/>
      <c r="AK1625" s="306"/>
      <c r="AL1625" s="306"/>
      <c r="AM1625" s="418"/>
      <c r="AN1625" s="418"/>
      <c r="AO1625" s="306"/>
      <c r="AP1625" s="306"/>
      <c r="AQ1625" s="418"/>
      <c r="AR1625" s="306"/>
      <c r="AS1625" s="306"/>
      <c r="AT1625" s="418"/>
      <c r="AU1625" s="306"/>
      <c r="AV1625" s="306"/>
      <c r="AW1625" s="306"/>
      <c r="AX1625" s="306"/>
      <c r="AY1625" s="306"/>
      <c r="AZ1625" s="306"/>
      <c r="BA1625" s="306"/>
      <c r="BB1625" s="306"/>
    </row>
    <row r="1626" spans="1:54" ht="15.75" customHeight="1">
      <c r="A1626" s="317"/>
      <c r="B1626" s="430"/>
      <c r="C1626" s="317"/>
      <c r="E1626" s="306"/>
      <c r="F1626" s="431"/>
      <c r="G1626" s="431"/>
      <c r="H1626" s="298"/>
      <c r="I1626" s="432"/>
      <c r="J1626" s="433"/>
      <c r="K1626" s="306"/>
      <c r="L1626" s="306"/>
      <c r="M1626" s="306"/>
      <c r="N1626" s="298"/>
      <c r="O1626" s="298"/>
      <c r="P1626" s="298"/>
      <c r="Q1626" s="306"/>
      <c r="R1626" s="1023"/>
      <c r="S1626" s="1023"/>
      <c r="T1626" s="306"/>
      <c r="U1626" s="306"/>
      <c r="V1626" s="306"/>
      <c r="W1626" s="306"/>
      <c r="X1626" s="306"/>
      <c r="Y1626" s="306"/>
      <c r="Z1626" s="306"/>
      <c r="AA1626" s="306"/>
      <c r="AB1626" s="306"/>
      <c r="AC1626" s="306"/>
      <c r="AD1626" s="306"/>
      <c r="AE1626" s="306"/>
      <c r="AF1626" s="306"/>
      <c r="AG1626" s="306"/>
      <c r="AH1626" s="306"/>
      <c r="AI1626" s="306"/>
      <c r="AJ1626" s="306"/>
      <c r="AK1626" s="306"/>
      <c r="AL1626" s="306"/>
      <c r="AM1626" s="418"/>
      <c r="AN1626" s="418"/>
      <c r="AO1626" s="306"/>
      <c r="AP1626" s="306"/>
      <c r="AQ1626" s="418"/>
      <c r="AR1626" s="306"/>
      <c r="AS1626" s="306"/>
      <c r="AT1626" s="418"/>
      <c r="AU1626" s="306"/>
      <c r="AV1626" s="306"/>
      <c r="AW1626" s="306"/>
      <c r="AX1626" s="306"/>
      <c r="AY1626" s="306"/>
      <c r="AZ1626" s="306"/>
      <c r="BA1626" s="306"/>
      <c r="BB1626" s="306"/>
    </row>
    <row r="1627" spans="1:54" ht="15.75" customHeight="1">
      <c r="A1627" s="317"/>
      <c r="B1627" s="430"/>
      <c r="C1627" s="317"/>
      <c r="E1627" s="306"/>
      <c r="F1627" s="431"/>
      <c r="G1627" s="431"/>
      <c r="H1627" s="298"/>
      <c r="I1627" s="432"/>
      <c r="J1627" s="433"/>
      <c r="K1627" s="306"/>
      <c r="L1627" s="306"/>
      <c r="M1627" s="306"/>
      <c r="N1627" s="298"/>
      <c r="O1627" s="298"/>
      <c r="P1627" s="298"/>
      <c r="Q1627" s="306"/>
      <c r="R1627" s="1023"/>
      <c r="S1627" s="1023"/>
      <c r="T1627" s="306"/>
      <c r="U1627" s="306"/>
      <c r="V1627" s="306"/>
      <c r="W1627" s="306"/>
      <c r="X1627" s="306"/>
      <c r="Y1627" s="306"/>
      <c r="Z1627" s="306"/>
      <c r="AA1627" s="306"/>
      <c r="AB1627" s="306"/>
      <c r="AC1627" s="306"/>
      <c r="AD1627" s="306"/>
      <c r="AE1627" s="306"/>
      <c r="AF1627" s="306"/>
      <c r="AG1627" s="306"/>
      <c r="AH1627" s="306"/>
      <c r="AI1627" s="306"/>
      <c r="AJ1627" s="306"/>
      <c r="AK1627" s="306"/>
      <c r="AL1627" s="306"/>
      <c r="AM1627" s="418"/>
      <c r="AN1627" s="418"/>
      <c r="AO1627" s="306"/>
      <c r="AP1627" s="306"/>
      <c r="AQ1627" s="418"/>
      <c r="AR1627" s="306"/>
      <c r="AS1627" s="306"/>
      <c r="AT1627" s="418"/>
      <c r="AU1627" s="306"/>
      <c r="AV1627" s="306"/>
      <c r="AW1627" s="306"/>
      <c r="AX1627" s="306"/>
      <c r="AY1627" s="306"/>
      <c r="AZ1627" s="306"/>
      <c r="BA1627" s="306"/>
      <c r="BB1627" s="306"/>
    </row>
    <row r="1628" spans="1:54" ht="15.75" customHeight="1">
      <c r="A1628" s="317"/>
      <c r="B1628" s="430"/>
      <c r="C1628" s="317"/>
      <c r="E1628" s="306"/>
      <c r="F1628" s="431"/>
      <c r="G1628" s="431"/>
      <c r="H1628" s="298"/>
      <c r="I1628" s="432"/>
      <c r="J1628" s="433"/>
      <c r="K1628" s="306"/>
      <c r="L1628" s="306"/>
      <c r="M1628" s="306"/>
      <c r="N1628" s="298"/>
      <c r="O1628" s="298"/>
      <c r="P1628" s="298"/>
      <c r="Q1628" s="306"/>
      <c r="R1628" s="1023"/>
      <c r="S1628" s="1023"/>
      <c r="T1628" s="306"/>
      <c r="U1628" s="306"/>
      <c r="V1628" s="306"/>
      <c r="W1628" s="306"/>
      <c r="X1628" s="306"/>
      <c r="Y1628" s="306"/>
      <c r="Z1628" s="306"/>
      <c r="AA1628" s="306"/>
      <c r="AB1628" s="306"/>
      <c r="AC1628" s="306"/>
      <c r="AD1628" s="306"/>
      <c r="AE1628" s="306"/>
      <c r="AF1628" s="306"/>
      <c r="AG1628" s="306"/>
      <c r="AH1628" s="306"/>
      <c r="AI1628" s="306"/>
      <c r="AJ1628" s="306"/>
      <c r="AK1628" s="306"/>
      <c r="AL1628" s="306"/>
      <c r="AM1628" s="418"/>
      <c r="AN1628" s="418"/>
      <c r="AO1628" s="306"/>
      <c r="AP1628" s="306"/>
      <c r="AQ1628" s="418"/>
      <c r="AR1628" s="306"/>
      <c r="AS1628" s="306"/>
      <c r="AT1628" s="418"/>
      <c r="AU1628" s="306"/>
      <c r="AV1628" s="306"/>
      <c r="AW1628" s="306"/>
      <c r="AX1628" s="306"/>
      <c r="AY1628" s="306"/>
      <c r="AZ1628" s="306"/>
      <c r="BA1628" s="306"/>
      <c r="BB1628" s="306"/>
    </row>
    <row r="1629" spans="1:54" ht="15.75" customHeight="1">
      <c r="A1629" s="317"/>
      <c r="B1629" s="430"/>
      <c r="C1629" s="317"/>
      <c r="E1629" s="306"/>
      <c r="F1629" s="431"/>
      <c r="G1629" s="431"/>
      <c r="H1629" s="298"/>
      <c r="I1629" s="432"/>
      <c r="J1629" s="433"/>
      <c r="K1629" s="306"/>
      <c r="L1629" s="306"/>
      <c r="M1629" s="306"/>
      <c r="N1629" s="298"/>
      <c r="O1629" s="298"/>
      <c r="P1629" s="298"/>
      <c r="Q1629" s="306"/>
      <c r="R1629" s="1023"/>
      <c r="S1629" s="1023"/>
      <c r="T1629" s="306"/>
      <c r="U1629" s="306"/>
      <c r="V1629" s="306"/>
      <c r="W1629" s="306"/>
      <c r="X1629" s="306"/>
      <c r="Y1629" s="306"/>
      <c r="Z1629" s="306"/>
      <c r="AA1629" s="306"/>
      <c r="AB1629" s="306"/>
      <c r="AC1629" s="306"/>
      <c r="AD1629" s="306"/>
      <c r="AE1629" s="306"/>
      <c r="AF1629" s="306"/>
      <c r="AG1629" s="306"/>
      <c r="AH1629" s="306"/>
      <c r="AI1629" s="306"/>
      <c r="AJ1629" s="306"/>
      <c r="AK1629" s="306"/>
      <c r="AL1629" s="306"/>
      <c r="AM1629" s="418"/>
      <c r="AN1629" s="418"/>
      <c r="AO1629" s="306"/>
      <c r="AP1629" s="306"/>
      <c r="AQ1629" s="418"/>
      <c r="AR1629" s="306"/>
      <c r="AS1629" s="306"/>
      <c r="AT1629" s="418"/>
      <c r="AU1629" s="306"/>
      <c r="AV1629" s="306"/>
      <c r="AW1629" s="306"/>
      <c r="AX1629" s="306"/>
      <c r="AY1629" s="306"/>
      <c r="AZ1629" s="306"/>
      <c r="BA1629" s="306"/>
      <c r="BB1629" s="306"/>
    </row>
    <row r="1630" spans="1:54" ht="15.75" customHeight="1">
      <c r="A1630" s="317"/>
      <c r="B1630" s="430"/>
      <c r="C1630" s="317"/>
      <c r="E1630" s="306"/>
      <c r="F1630" s="431"/>
      <c r="G1630" s="431"/>
      <c r="H1630" s="298"/>
      <c r="I1630" s="432"/>
      <c r="J1630" s="433"/>
      <c r="K1630" s="306"/>
      <c r="L1630" s="306"/>
      <c r="M1630" s="306"/>
      <c r="N1630" s="298"/>
      <c r="O1630" s="298"/>
      <c r="P1630" s="298"/>
      <c r="Q1630" s="306"/>
      <c r="R1630" s="1023"/>
      <c r="S1630" s="1023"/>
      <c r="T1630" s="306"/>
      <c r="U1630" s="306"/>
      <c r="V1630" s="306"/>
      <c r="W1630" s="306"/>
      <c r="X1630" s="306"/>
      <c r="Y1630" s="306"/>
      <c r="Z1630" s="306"/>
      <c r="AA1630" s="306"/>
      <c r="AB1630" s="306"/>
      <c r="AC1630" s="306"/>
      <c r="AD1630" s="306"/>
      <c r="AE1630" s="306"/>
      <c r="AF1630" s="306"/>
      <c r="AG1630" s="306"/>
      <c r="AH1630" s="306"/>
      <c r="AI1630" s="306"/>
      <c r="AJ1630" s="306"/>
      <c r="AK1630" s="306"/>
      <c r="AL1630" s="306"/>
      <c r="AM1630" s="418"/>
      <c r="AN1630" s="418"/>
      <c r="AO1630" s="306"/>
      <c r="AP1630" s="306"/>
      <c r="AQ1630" s="418"/>
      <c r="AR1630" s="306"/>
      <c r="AS1630" s="306"/>
      <c r="AT1630" s="418"/>
      <c r="AU1630" s="306"/>
      <c r="AV1630" s="306"/>
      <c r="AW1630" s="306"/>
      <c r="AX1630" s="306"/>
      <c r="AY1630" s="306"/>
      <c r="AZ1630" s="306"/>
      <c r="BA1630" s="306"/>
      <c r="BB1630" s="306"/>
    </row>
    <row r="1631" spans="1:54" ht="15.75" customHeight="1">
      <c r="A1631" s="317"/>
      <c r="B1631" s="430"/>
      <c r="C1631" s="317"/>
      <c r="E1631" s="306"/>
      <c r="F1631" s="431"/>
      <c r="G1631" s="431"/>
      <c r="H1631" s="298"/>
      <c r="I1631" s="432"/>
      <c r="J1631" s="433"/>
      <c r="K1631" s="306"/>
      <c r="L1631" s="306"/>
      <c r="M1631" s="306"/>
      <c r="N1631" s="298"/>
      <c r="O1631" s="298"/>
      <c r="P1631" s="298"/>
      <c r="Q1631" s="306"/>
      <c r="R1631" s="1023"/>
      <c r="S1631" s="1023"/>
      <c r="T1631" s="306"/>
      <c r="U1631" s="306"/>
      <c r="V1631" s="306"/>
      <c r="W1631" s="306"/>
      <c r="X1631" s="306"/>
      <c r="Y1631" s="306"/>
      <c r="Z1631" s="306"/>
      <c r="AA1631" s="306"/>
      <c r="AB1631" s="306"/>
      <c r="AC1631" s="306"/>
      <c r="AD1631" s="306"/>
      <c r="AE1631" s="306"/>
      <c r="AF1631" s="306"/>
      <c r="AG1631" s="306"/>
      <c r="AH1631" s="306"/>
      <c r="AI1631" s="306"/>
      <c r="AJ1631" s="306"/>
      <c r="AK1631" s="306"/>
      <c r="AL1631" s="306"/>
      <c r="AM1631" s="418"/>
      <c r="AN1631" s="418"/>
      <c r="AO1631" s="306"/>
      <c r="AP1631" s="306"/>
      <c r="AQ1631" s="418"/>
      <c r="AR1631" s="306"/>
      <c r="AS1631" s="306"/>
      <c r="AT1631" s="418"/>
      <c r="AU1631" s="306"/>
      <c r="AV1631" s="306"/>
      <c r="AW1631" s="306"/>
      <c r="AX1631" s="306"/>
      <c r="AY1631" s="306"/>
      <c r="AZ1631" s="306"/>
      <c r="BA1631" s="306"/>
      <c r="BB1631" s="306"/>
    </row>
    <row r="1632" spans="1:54" ht="15.75" customHeight="1">
      <c r="A1632" s="317"/>
      <c r="B1632" s="430"/>
      <c r="C1632" s="317"/>
      <c r="E1632" s="306"/>
      <c r="F1632" s="431"/>
      <c r="G1632" s="431"/>
      <c r="H1632" s="298"/>
      <c r="I1632" s="432"/>
      <c r="J1632" s="433"/>
      <c r="K1632" s="306"/>
      <c r="L1632" s="306"/>
      <c r="M1632" s="306"/>
      <c r="N1632" s="298"/>
      <c r="O1632" s="298"/>
      <c r="P1632" s="298"/>
      <c r="Q1632" s="306"/>
      <c r="R1632" s="1023"/>
      <c r="S1632" s="1023"/>
      <c r="T1632" s="306"/>
      <c r="U1632" s="306"/>
      <c r="V1632" s="306"/>
      <c r="W1632" s="306"/>
      <c r="X1632" s="306"/>
      <c r="Y1632" s="306"/>
      <c r="Z1632" s="306"/>
      <c r="AA1632" s="306"/>
      <c r="AB1632" s="306"/>
      <c r="AC1632" s="306"/>
      <c r="AD1632" s="306"/>
      <c r="AE1632" s="306"/>
      <c r="AF1632" s="306"/>
      <c r="AG1632" s="306"/>
      <c r="AH1632" s="306"/>
      <c r="AI1632" s="306"/>
      <c r="AJ1632" s="306"/>
      <c r="AK1632" s="306"/>
      <c r="AL1632" s="306"/>
      <c r="AM1632" s="418"/>
      <c r="AN1632" s="418"/>
      <c r="AO1632" s="306"/>
      <c r="AP1632" s="306"/>
      <c r="AQ1632" s="418"/>
      <c r="AR1632" s="306"/>
      <c r="AS1632" s="306"/>
      <c r="AT1632" s="418"/>
      <c r="AU1632" s="306"/>
      <c r="AV1632" s="306"/>
      <c r="AW1632" s="306"/>
      <c r="AX1632" s="306"/>
      <c r="AY1632" s="306"/>
      <c r="AZ1632" s="306"/>
      <c r="BA1632" s="306"/>
      <c r="BB1632" s="306"/>
    </row>
    <row r="1633" spans="1:54" ht="15.75" customHeight="1">
      <c r="A1633" s="317"/>
      <c r="B1633" s="430"/>
      <c r="C1633" s="317"/>
      <c r="E1633" s="306"/>
      <c r="F1633" s="431"/>
      <c r="G1633" s="431"/>
      <c r="H1633" s="298"/>
      <c r="I1633" s="432"/>
      <c r="J1633" s="433"/>
      <c r="K1633" s="306"/>
      <c r="L1633" s="306"/>
      <c r="M1633" s="306"/>
      <c r="N1633" s="298"/>
      <c r="O1633" s="298"/>
      <c r="P1633" s="298"/>
      <c r="Q1633" s="306"/>
      <c r="R1633" s="1023"/>
      <c r="S1633" s="1023"/>
      <c r="T1633" s="306"/>
      <c r="U1633" s="306"/>
      <c r="V1633" s="306"/>
      <c r="W1633" s="306"/>
      <c r="X1633" s="306"/>
      <c r="Y1633" s="306"/>
      <c r="Z1633" s="306"/>
      <c r="AA1633" s="306"/>
      <c r="AB1633" s="306"/>
      <c r="AC1633" s="306"/>
      <c r="AD1633" s="306"/>
      <c r="AE1633" s="306"/>
      <c r="AF1633" s="306"/>
      <c r="AG1633" s="306"/>
      <c r="AH1633" s="306"/>
      <c r="AI1633" s="306"/>
      <c r="AJ1633" s="306"/>
      <c r="AK1633" s="306"/>
      <c r="AL1633" s="306"/>
      <c r="AM1633" s="418"/>
      <c r="AN1633" s="418"/>
      <c r="AO1633" s="306"/>
      <c r="AP1633" s="306"/>
      <c r="AQ1633" s="418"/>
      <c r="AR1633" s="306"/>
      <c r="AS1633" s="306"/>
      <c r="AT1633" s="418"/>
      <c r="AU1633" s="306"/>
      <c r="AV1633" s="306"/>
      <c r="AW1633" s="306"/>
      <c r="AX1633" s="306"/>
      <c r="AY1633" s="306"/>
      <c r="AZ1633" s="306"/>
      <c r="BA1633" s="306"/>
      <c r="BB1633" s="306"/>
    </row>
    <row r="1634" spans="1:54" ht="15.75" customHeight="1">
      <c r="A1634" s="317"/>
      <c r="B1634" s="430"/>
      <c r="C1634" s="317"/>
      <c r="E1634" s="306"/>
      <c r="F1634" s="431"/>
      <c r="G1634" s="431"/>
      <c r="H1634" s="298"/>
      <c r="I1634" s="432"/>
      <c r="J1634" s="433"/>
      <c r="K1634" s="306"/>
      <c r="L1634" s="306"/>
      <c r="M1634" s="306"/>
      <c r="N1634" s="298"/>
      <c r="O1634" s="298"/>
      <c r="P1634" s="298"/>
      <c r="Q1634" s="306"/>
      <c r="R1634" s="1023"/>
      <c r="S1634" s="1023"/>
      <c r="T1634" s="306"/>
      <c r="U1634" s="306"/>
      <c r="V1634" s="306"/>
      <c r="W1634" s="306"/>
      <c r="X1634" s="306"/>
      <c r="Y1634" s="306"/>
      <c r="Z1634" s="306"/>
      <c r="AA1634" s="306"/>
      <c r="AB1634" s="306"/>
      <c r="AC1634" s="306"/>
      <c r="AD1634" s="306"/>
      <c r="AE1634" s="306"/>
      <c r="AF1634" s="306"/>
      <c r="AG1634" s="306"/>
      <c r="AH1634" s="306"/>
      <c r="AI1634" s="306"/>
      <c r="AJ1634" s="306"/>
      <c r="AK1634" s="306"/>
      <c r="AL1634" s="306"/>
      <c r="AM1634" s="418"/>
      <c r="AN1634" s="418"/>
      <c r="AO1634" s="306"/>
      <c r="AP1634" s="306"/>
      <c r="AQ1634" s="418"/>
      <c r="AR1634" s="306"/>
      <c r="AS1634" s="306"/>
      <c r="AT1634" s="418"/>
      <c r="AU1634" s="306"/>
      <c r="AV1634" s="306"/>
      <c r="AW1634" s="306"/>
      <c r="AX1634" s="306"/>
      <c r="AY1634" s="306"/>
      <c r="AZ1634" s="306"/>
      <c r="BA1634" s="306"/>
      <c r="BB1634" s="306"/>
    </row>
    <row r="1635" spans="1:54" ht="15.75" customHeight="1">
      <c r="A1635" s="317"/>
      <c r="B1635" s="430"/>
      <c r="C1635" s="317"/>
      <c r="E1635" s="306"/>
      <c r="F1635" s="431"/>
      <c r="G1635" s="431"/>
      <c r="H1635" s="298"/>
      <c r="I1635" s="432"/>
      <c r="J1635" s="433"/>
      <c r="K1635" s="306"/>
      <c r="L1635" s="306"/>
      <c r="M1635" s="306"/>
      <c r="N1635" s="298"/>
      <c r="O1635" s="298"/>
      <c r="P1635" s="298"/>
      <c r="Q1635" s="306"/>
      <c r="R1635" s="1023"/>
      <c r="S1635" s="1023"/>
      <c r="T1635" s="306"/>
      <c r="U1635" s="306"/>
      <c r="V1635" s="306"/>
      <c r="W1635" s="306"/>
      <c r="X1635" s="306"/>
      <c r="Y1635" s="306"/>
      <c r="Z1635" s="306"/>
      <c r="AA1635" s="306"/>
      <c r="AB1635" s="306"/>
      <c r="AC1635" s="306"/>
      <c r="AD1635" s="306"/>
      <c r="AE1635" s="306"/>
      <c r="AF1635" s="306"/>
      <c r="AG1635" s="306"/>
      <c r="AH1635" s="306"/>
      <c r="AI1635" s="306"/>
      <c r="AJ1635" s="306"/>
      <c r="AK1635" s="306"/>
      <c r="AL1635" s="306"/>
      <c r="AM1635" s="418"/>
      <c r="AN1635" s="418"/>
      <c r="AO1635" s="306"/>
      <c r="AP1635" s="306"/>
      <c r="AQ1635" s="418"/>
      <c r="AR1635" s="306"/>
      <c r="AS1635" s="306"/>
      <c r="AT1635" s="418"/>
      <c r="AU1635" s="306"/>
      <c r="AV1635" s="306"/>
      <c r="AW1635" s="306"/>
      <c r="AX1635" s="306"/>
      <c r="AY1635" s="306"/>
      <c r="AZ1635" s="306"/>
      <c r="BA1635" s="306"/>
      <c r="BB1635" s="306"/>
    </row>
    <row r="1636" spans="1:54" ht="15.75" customHeight="1">
      <c r="A1636" s="317"/>
      <c r="B1636" s="430"/>
      <c r="C1636" s="317"/>
      <c r="E1636" s="306"/>
      <c r="F1636" s="431"/>
      <c r="G1636" s="431"/>
      <c r="H1636" s="298"/>
      <c r="I1636" s="432"/>
      <c r="J1636" s="433"/>
      <c r="K1636" s="306"/>
      <c r="L1636" s="306"/>
      <c r="M1636" s="306"/>
      <c r="N1636" s="298"/>
      <c r="O1636" s="298"/>
      <c r="P1636" s="298"/>
      <c r="Q1636" s="306"/>
      <c r="R1636" s="1023"/>
      <c r="S1636" s="1023"/>
      <c r="T1636" s="306"/>
      <c r="U1636" s="306"/>
      <c r="V1636" s="306"/>
      <c r="W1636" s="306"/>
      <c r="X1636" s="306"/>
      <c r="Y1636" s="306"/>
      <c r="Z1636" s="306"/>
      <c r="AA1636" s="306"/>
      <c r="AB1636" s="306"/>
      <c r="AC1636" s="306"/>
      <c r="AD1636" s="306"/>
      <c r="AE1636" s="306"/>
      <c r="AF1636" s="306"/>
      <c r="AG1636" s="306"/>
      <c r="AH1636" s="306"/>
      <c r="AI1636" s="306"/>
      <c r="AJ1636" s="306"/>
      <c r="AK1636" s="306"/>
      <c r="AL1636" s="306"/>
      <c r="AM1636" s="418"/>
      <c r="AN1636" s="418"/>
      <c r="AO1636" s="306"/>
      <c r="AP1636" s="306"/>
      <c r="AQ1636" s="418"/>
      <c r="AR1636" s="306"/>
      <c r="AS1636" s="306"/>
      <c r="AT1636" s="418"/>
      <c r="AU1636" s="306"/>
      <c r="AV1636" s="306"/>
      <c r="AW1636" s="306"/>
      <c r="AX1636" s="306"/>
      <c r="AY1636" s="306"/>
      <c r="AZ1636" s="306"/>
      <c r="BA1636" s="306"/>
      <c r="BB1636" s="306"/>
    </row>
    <row r="1637" spans="1:54" ht="15.75" customHeight="1">
      <c r="A1637" s="317"/>
      <c r="B1637" s="430"/>
      <c r="C1637" s="317"/>
      <c r="E1637" s="306"/>
      <c r="F1637" s="431"/>
      <c r="G1637" s="431"/>
      <c r="H1637" s="298"/>
      <c r="I1637" s="432"/>
      <c r="J1637" s="433"/>
      <c r="K1637" s="306"/>
      <c r="L1637" s="306"/>
      <c r="M1637" s="306"/>
      <c r="N1637" s="298"/>
      <c r="O1637" s="298"/>
      <c r="P1637" s="298"/>
      <c r="Q1637" s="306"/>
      <c r="R1637" s="1023"/>
      <c r="S1637" s="1023"/>
      <c r="T1637" s="306"/>
      <c r="U1637" s="306"/>
      <c r="V1637" s="306"/>
      <c r="W1637" s="306"/>
      <c r="X1637" s="306"/>
      <c r="Y1637" s="306"/>
      <c r="Z1637" s="306"/>
      <c r="AA1637" s="306"/>
      <c r="AB1637" s="306"/>
      <c r="AC1637" s="306"/>
      <c r="AD1637" s="306"/>
      <c r="AE1637" s="306"/>
      <c r="AF1637" s="306"/>
      <c r="AG1637" s="306"/>
      <c r="AH1637" s="306"/>
      <c r="AI1637" s="306"/>
      <c r="AJ1637" s="306"/>
      <c r="AK1637" s="306"/>
      <c r="AL1637" s="306"/>
      <c r="AM1637" s="418"/>
      <c r="AN1637" s="418"/>
      <c r="AO1637" s="306"/>
      <c r="AP1637" s="306"/>
      <c r="AQ1637" s="418"/>
      <c r="AR1637" s="306"/>
      <c r="AS1637" s="306"/>
      <c r="AT1637" s="418"/>
      <c r="AU1637" s="306"/>
      <c r="AV1637" s="306"/>
      <c r="AW1637" s="306"/>
      <c r="AX1637" s="306"/>
      <c r="AY1637" s="306"/>
      <c r="AZ1637" s="306"/>
      <c r="BA1637" s="306"/>
      <c r="BB1637" s="306"/>
    </row>
    <row r="1638" spans="1:54" ht="15.75" customHeight="1">
      <c r="A1638" s="317"/>
      <c r="B1638" s="430"/>
      <c r="C1638" s="317"/>
      <c r="E1638" s="306"/>
      <c r="F1638" s="431"/>
      <c r="G1638" s="431"/>
      <c r="H1638" s="298"/>
      <c r="I1638" s="432"/>
      <c r="J1638" s="433"/>
      <c r="K1638" s="306"/>
      <c r="L1638" s="306"/>
      <c r="M1638" s="306"/>
      <c r="N1638" s="298"/>
      <c r="O1638" s="298"/>
      <c r="P1638" s="298"/>
      <c r="Q1638" s="306"/>
      <c r="R1638" s="1023"/>
      <c r="S1638" s="1023"/>
      <c r="T1638" s="306"/>
      <c r="U1638" s="306"/>
      <c r="V1638" s="306"/>
      <c r="W1638" s="306"/>
      <c r="X1638" s="306"/>
      <c r="Y1638" s="306"/>
      <c r="Z1638" s="306"/>
      <c r="AA1638" s="306"/>
      <c r="AB1638" s="306"/>
      <c r="AC1638" s="306"/>
      <c r="AD1638" s="306"/>
      <c r="AE1638" s="306"/>
      <c r="AF1638" s="306"/>
      <c r="AG1638" s="306"/>
      <c r="AH1638" s="306"/>
      <c r="AI1638" s="306"/>
      <c r="AJ1638" s="306"/>
      <c r="AK1638" s="306"/>
      <c r="AL1638" s="306"/>
      <c r="AM1638" s="418"/>
      <c r="AN1638" s="418"/>
      <c r="AO1638" s="306"/>
      <c r="AP1638" s="306"/>
      <c r="AQ1638" s="418"/>
      <c r="AR1638" s="306"/>
      <c r="AS1638" s="306"/>
      <c r="AT1638" s="418"/>
      <c r="AU1638" s="306"/>
      <c r="AV1638" s="306"/>
      <c r="AW1638" s="306"/>
      <c r="AX1638" s="306"/>
      <c r="AY1638" s="306"/>
      <c r="AZ1638" s="306"/>
      <c r="BA1638" s="306"/>
      <c r="BB1638" s="306"/>
    </row>
    <row r="1639" spans="1:54" ht="15.75" customHeight="1">
      <c r="A1639" s="317"/>
      <c r="B1639" s="430"/>
      <c r="C1639" s="317"/>
      <c r="E1639" s="306"/>
      <c r="F1639" s="431"/>
      <c r="G1639" s="431"/>
      <c r="H1639" s="298"/>
      <c r="I1639" s="432"/>
      <c r="J1639" s="433"/>
      <c r="K1639" s="306"/>
      <c r="L1639" s="306"/>
      <c r="M1639" s="306"/>
      <c r="N1639" s="298"/>
      <c r="O1639" s="298"/>
      <c r="P1639" s="298"/>
      <c r="Q1639" s="306"/>
      <c r="R1639" s="1023"/>
      <c r="S1639" s="1023"/>
      <c r="T1639" s="306"/>
      <c r="U1639" s="306"/>
      <c r="V1639" s="306"/>
      <c r="W1639" s="306"/>
      <c r="X1639" s="306"/>
      <c r="Y1639" s="306"/>
      <c r="Z1639" s="306"/>
      <c r="AA1639" s="306"/>
      <c r="AB1639" s="306"/>
      <c r="AC1639" s="306"/>
      <c r="AD1639" s="306"/>
      <c r="AE1639" s="306"/>
      <c r="AF1639" s="306"/>
      <c r="AG1639" s="306"/>
      <c r="AH1639" s="306"/>
      <c r="AI1639" s="306"/>
      <c r="AJ1639" s="306"/>
      <c r="AK1639" s="306"/>
      <c r="AL1639" s="306"/>
      <c r="AM1639" s="418"/>
      <c r="AN1639" s="418"/>
      <c r="AO1639" s="306"/>
      <c r="AP1639" s="306"/>
      <c r="AQ1639" s="418"/>
      <c r="AR1639" s="306"/>
      <c r="AS1639" s="306"/>
      <c r="AT1639" s="418"/>
      <c r="AU1639" s="306"/>
      <c r="AV1639" s="306"/>
      <c r="AW1639" s="306"/>
      <c r="AX1639" s="306"/>
      <c r="AY1639" s="306"/>
      <c r="AZ1639" s="306"/>
      <c r="BA1639" s="306"/>
      <c r="BB1639" s="306"/>
    </row>
    <row r="1640" spans="1:54" ht="15.75" customHeight="1">
      <c r="A1640" s="317"/>
      <c r="B1640" s="430"/>
      <c r="C1640" s="317"/>
      <c r="E1640" s="306"/>
      <c r="F1640" s="431"/>
      <c r="G1640" s="431"/>
      <c r="H1640" s="298"/>
      <c r="I1640" s="432"/>
      <c r="J1640" s="433"/>
      <c r="K1640" s="306"/>
      <c r="L1640" s="306"/>
      <c r="M1640" s="306"/>
      <c r="N1640" s="298"/>
      <c r="O1640" s="298"/>
      <c r="P1640" s="298"/>
      <c r="Q1640" s="306"/>
      <c r="R1640" s="1023"/>
      <c r="S1640" s="1023"/>
      <c r="T1640" s="306"/>
      <c r="U1640" s="306"/>
      <c r="V1640" s="306"/>
      <c r="W1640" s="306"/>
      <c r="X1640" s="306"/>
      <c r="Y1640" s="306"/>
      <c r="Z1640" s="306"/>
      <c r="AA1640" s="306"/>
      <c r="AB1640" s="306"/>
      <c r="AC1640" s="306"/>
      <c r="AD1640" s="306"/>
      <c r="AE1640" s="306"/>
      <c r="AF1640" s="306"/>
      <c r="AG1640" s="306"/>
      <c r="AH1640" s="306"/>
      <c r="AI1640" s="306"/>
      <c r="AJ1640" s="306"/>
      <c r="AK1640" s="306"/>
      <c r="AL1640" s="306"/>
      <c r="AM1640" s="418"/>
      <c r="AN1640" s="418"/>
      <c r="AO1640" s="306"/>
      <c r="AP1640" s="306"/>
      <c r="AQ1640" s="418"/>
      <c r="AR1640" s="306"/>
      <c r="AS1640" s="306"/>
      <c r="AT1640" s="418"/>
      <c r="AU1640" s="306"/>
      <c r="AV1640" s="306"/>
      <c r="AW1640" s="306"/>
      <c r="AX1640" s="306"/>
      <c r="AY1640" s="306"/>
      <c r="AZ1640" s="306"/>
      <c r="BA1640" s="306"/>
      <c r="BB1640" s="306"/>
    </row>
    <row r="1641" spans="1:54" ht="15.75" customHeight="1">
      <c r="A1641" s="317"/>
      <c r="B1641" s="430"/>
      <c r="C1641" s="317"/>
      <c r="E1641" s="306"/>
      <c r="F1641" s="431"/>
      <c r="G1641" s="431"/>
      <c r="H1641" s="298"/>
      <c r="I1641" s="432"/>
      <c r="J1641" s="433"/>
      <c r="K1641" s="306"/>
      <c r="L1641" s="306"/>
      <c r="M1641" s="306"/>
      <c r="N1641" s="298"/>
      <c r="O1641" s="298"/>
      <c r="P1641" s="298"/>
      <c r="Q1641" s="306"/>
      <c r="R1641" s="1023"/>
      <c r="S1641" s="1023"/>
      <c r="T1641" s="306"/>
      <c r="U1641" s="306"/>
      <c r="V1641" s="306"/>
      <c r="W1641" s="306"/>
      <c r="X1641" s="306"/>
      <c r="Y1641" s="306"/>
      <c r="Z1641" s="306"/>
      <c r="AA1641" s="306"/>
      <c r="AB1641" s="306"/>
      <c r="AC1641" s="306"/>
      <c r="AD1641" s="306"/>
      <c r="AE1641" s="306"/>
      <c r="AF1641" s="306"/>
      <c r="AG1641" s="306"/>
      <c r="AH1641" s="306"/>
      <c r="AI1641" s="306"/>
      <c r="AJ1641" s="306"/>
      <c r="AK1641" s="306"/>
      <c r="AL1641" s="306"/>
      <c r="AM1641" s="418"/>
      <c r="AN1641" s="418"/>
      <c r="AO1641" s="306"/>
      <c r="AP1641" s="306"/>
      <c r="AQ1641" s="418"/>
      <c r="AR1641" s="306"/>
      <c r="AS1641" s="306"/>
      <c r="AT1641" s="418"/>
      <c r="AU1641" s="306"/>
      <c r="AV1641" s="306"/>
      <c r="AW1641" s="306"/>
      <c r="AX1641" s="306"/>
      <c r="AY1641" s="306"/>
      <c r="AZ1641" s="306"/>
      <c r="BA1641" s="306"/>
      <c r="BB1641" s="306"/>
    </row>
    <row r="1642" spans="1:54" ht="15.75" customHeight="1">
      <c r="A1642" s="317"/>
      <c r="B1642" s="430"/>
      <c r="C1642" s="317"/>
      <c r="E1642" s="306"/>
      <c r="F1642" s="431"/>
      <c r="G1642" s="431"/>
      <c r="H1642" s="298"/>
      <c r="I1642" s="432"/>
      <c r="J1642" s="433"/>
      <c r="K1642" s="306"/>
      <c r="L1642" s="306"/>
      <c r="M1642" s="306"/>
      <c r="N1642" s="298"/>
      <c r="O1642" s="298"/>
      <c r="P1642" s="298"/>
      <c r="Q1642" s="306"/>
      <c r="R1642" s="1023"/>
      <c r="S1642" s="1023"/>
      <c r="T1642" s="306"/>
      <c r="U1642" s="306"/>
      <c r="V1642" s="306"/>
      <c r="W1642" s="306"/>
      <c r="X1642" s="306"/>
      <c r="Y1642" s="306"/>
      <c r="Z1642" s="306"/>
      <c r="AA1642" s="306"/>
      <c r="AB1642" s="306"/>
      <c r="AC1642" s="306"/>
      <c r="AD1642" s="306"/>
      <c r="AE1642" s="306"/>
      <c r="AF1642" s="306"/>
      <c r="AG1642" s="306"/>
      <c r="AH1642" s="306"/>
      <c r="AI1642" s="306"/>
      <c r="AJ1642" s="306"/>
      <c r="AK1642" s="306"/>
      <c r="AL1642" s="306"/>
      <c r="AM1642" s="418"/>
      <c r="AN1642" s="418"/>
      <c r="AO1642" s="306"/>
      <c r="AP1642" s="306"/>
      <c r="AQ1642" s="418"/>
      <c r="AR1642" s="306"/>
      <c r="AS1642" s="306"/>
      <c r="AT1642" s="418"/>
      <c r="AU1642" s="306"/>
      <c r="AV1642" s="306"/>
      <c r="AW1642" s="306"/>
      <c r="AX1642" s="306"/>
      <c r="AY1642" s="306"/>
      <c r="AZ1642" s="306"/>
      <c r="BA1642" s="306"/>
      <c r="BB1642" s="306"/>
    </row>
    <row r="1643" spans="1:54" ht="15.75" customHeight="1">
      <c r="A1643" s="317"/>
      <c r="B1643" s="430"/>
      <c r="C1643" s="317"/>
      <c r="E1643" s="306"/>
      <c r="F1643" s="431"/>
      <c r="G1643" s="431"/>
      <c r="H1643" s="298"/>
      <c r="I1643" s="432"/>
      <c r="J1643" s="433"/>
      <c r="K1643" s="306"/>
      <c r="L1643" s="306"/>
      <c r="M1643" s="306"/>
      <c r="N1643" s="298"/>
      <c r="O1643" s="298"/>
      <c r="P1643" s="298"/>
      <c r="Q1643" s="306"/>
      <c r="R1643" s="1023"/>
      <c r="S1643" s="1023"/>
      <c r="T1643" s="306"/>
      <c r="U1643" s="306"/>
      <c r="V1643" s="306"/>
      <c r="W1643" s="306"/>
      <c r="X1643" s="306"/>
      <c r="Y1643" s="306"/>
      <c r="Z1643" s="306"/>
      <c r="AA1643" s="306"/>
      <c r="AB1643" s="306"/>
      <c r="AC1643" s="306"/>
      <c r="AD1643" s="306"/>
      <c r="AE1643" s="306"/>
      <c r="AF1643" s="306"/>
      <c r="AG1643" s="306"/>
      <c r="AH1643" s="306"/>
      <c r="AI1643" s="306"/>
      <c r="AJ1643" s="306"/>
      <c r="AK1643" s="306"/>
      <c r="AL1643" s="306"/>
      <c r="AM1643" s="418"/>
      <c r="AN1643" s="418"/>
      <c r="AO1643" s="306"/>
      <c r="AP1643" s="306"/>
      <c r="AQ1643" s="418"/>
      <c r="AR1643" s="306"/>
      <c r="AS1643" s="306"/>
      <c r="AT1643" s="418"/>
      <c r="AU1643" s="306"/>
      <c r="AV1643" s="306"/>
      <c r="AW1643" s="306"/>
      <c r="AX1643" s="306"/>
      <c r="AY1643" s="306"/>
      <c r="AZ1643" s="306"/>
      <c r="BA1643" s="306"/>
      <c r="BB1643" s="306"/>
    </row>
    <row r="1644" spans="1:54" ht="15.75" customHeight="1">
      <c r="A1644" s="317"/>
      <c r="B1644" s="430"/>
      <c r="C1644" s="317"/>
      <c r="E1644" s="306"/>
      <c r="F1644" s="431"/>
      <c r="G1644" s="431"/>
      <c r="H1644" s="298"/>
      <c r="I1644" s="432"/>
      <c r="J1644" s="433"/>
      <c r="K1644" s="306"/>
      <c r="L1644" s="306"/>
      <c r="M1644" s="306"/>
      <c r="N1644" s="298"/>
      <c r="O1644" s="298"/>
      <c r="P1644" s="298"/>
      <c r="Q1644" s="306"/>
      <c r="R1644" s="1023"/>
      <c r="S1644" s="1023"/>
      <c r="T1644" s="306"/>
      <c r="U1644" s="306"/>
      <c r="V1644" s="306"/>
      <c r="W1644" s="306"/>
      <c r="X1644" s="306"/>
      <c r="Y1644" s="306"/>
      <c r="Z1644" s="306"/>
      <c r="AA1644" s="306"/>
      <c r="AB1644" s="306"/>
      <c r="AC1644" s="306"/>
      <c r="AD1644" s="306"/>
      <c r="AE1644" s="306"/>
      <c r="AF1644" s="306"/>
      <c r="AG1644" s="306"/>
      <c r="AH1644" s="306"/>
      <c r="AI1644" s="306"/>
      <c r="AJ1644" s="306"/>
      <c r="AK1644" s="306"/>
      <c r="AL1644" s="306"/>
      <c r="AM1644" s="418"/>
      <c r="AN1644" s="418"/>
      <c r="AO1644" s="306"/>
      <c r="AP1644" s="306"/>
      <c r="AQ1644" s="418"/>
      <c r="AR1644" s="306"/>
      <c r="AS1644" s="306"/>
      <c r="AT1644" s="418"/>
      <c r="AU1644" s="306"/>
      <c r="AV1644" s="306"/>
      <c r="AW1644" s="306"/>
      <c r="AX1644" s="306"/>
      <c r="AY1644" s="306"/>
      <c r="AZ1644" s="306"/>
      <c r="BA1644" s="306"/>
      <c r="BB1644" s="306"/>
    </row>
    <row r="1645" spans="1:54" ht="15.75" customHeight="1">
      <c r="A1645" s="317"/>
      <c r="B1645" s="430"/>
      <c r="C1645" s="317"/>
      <c r="E1645" s="306"/>
      <c r="F1645" s="431"/>
      <c r="G1645" s="431"/>
      <c r="H1645" s="298"/>
      <c r="I1645" s="432"/>
      <c r="J1645" s="433"/>
      <c r="K1645" s="306"/>
      <c r="L1645" s="306"/>
      <c r="M1645" s="306"/>
      <c r="N1645" s="298"/>
      <c r="O1645" s="298"/>
      <c r="P1645" s="298"/>
      <c r="Q1645" s="306"/>
      <c r="R1645" s="1023"/>
      <c r="S1645" s="1023"/>
      <c r="T1645" s="306"/>
      <c r="U1645" s="306"/>
      <c r="V1645" s="306"/>
      <c r="W1645" s="306"/>
      <c r="X1645" s="306"/>
      <c r="Y1645" s="306"/>
      <c r="Z1645" s="306"/>
      <c r="AA1645" s="306"/>
      <c r="AB1645" s="306"/>
      <c r="AC1645" s="306"/>
      <c r="AD1645" s="306"/>
      <c r="AE1645" s="306"/>
      <c r="AF1645" s="306"/>
      <c r="AG1645" s="306"/>
      <c r="AH1645" s="306"/>
      <c r="AI1645" s="306"/>
      <c r="AJ1645" s="306"/>
      <c r="AK1645" s="306"/>
      <c r="AL1645" s="306"/>
      <c r="AM1645" s="418"/>
      <c r="AN1645" s="418"/>
      <c r="AO1645" s="306"/>
      <c r="AP1645" s="306"/>
      <c r="AQ1645" s="418"/>
      <c r="AR1645" s="306"/>
      <c r="AS1645" s="306"/>
      <c r="AT1645" s="418"/>
      <c r="AU1645" s="306"/>
      <c r="AV1645" s="306"/>
      <c r="AW1645" s="306"/>
      <c r="AX1645" s="306"/>
      <c r="AY1645" s="306"/>
      <c r="AZ1645" s="306"/>
      <c r="BA1645" s="306"/>
      <c r="BB1645" s="306"/>
    </row>
    <row r="1646" spans="1:54" ht="15.75" customHeight="1">
      <c r="A1646" s="317"/>
      <c r="B1646" s="430"/>
      <c r="C1646" s="317"/>
      <c r="E1646" s="306"/>
      <c r="F1646" s="431"/>
      <c r="G1646" s="431"/>
      <c r="H1646" s="298"/>
      <c r="I1646" s="432"/>
      <c r="J1646" s="433"/>
      <c r="K1646" s="306"/>
      <c r="L1646" s="306"/>
      <c r="M1646" s="306"/>
      <c r="N1646" s="298"/>
      <c r="O1646" s="298"/>
      <c r="P1646" s="298"/>
      <c r="Q1646" s="306"/>
      <c r="R1646" s="1023"/>
      <c r="S1646" s="1023"/>
      <c r="T1646" s="306"/>
      <c r="U1646" s="306"/>
      <c r="V1646" s="306"/>
      <c r="W1646" s="306"/>
      <c r="X1646" s="306"/>
      <c r="Y1646" s="306"/>
      <c r="Z1646" s="306"/>
      <c r="AA1646" s="306"/>
      <c r="AB1646" s="306"/>
      <c r="AC1646" s="306"/>
      <c r="AD1646" s="306"/>
      <c r="AE1646" s="306"/>
      <c r="AF1646" s="306"/>
      <c r="AG1646" s="306"/>
      <c r="AH1646" s="306"/>
      <c r="AI1646" s="306"/>
      <c r="AJ1646" s="306"/>
      <c r="AK1646" s="306"/>
      <c r="AL1646" s="306"/>
      <c r="AM1646" s="418"/>
      <c r="AN1646" s="418"/>
      <c r="AO1646" s="306"/>
      <c r="AP1646" s="306"/>
      <c r="AQ1646" s="418"/>
      <c r="AR1646" s="306"/>
      <c r="AS1646" s="306"/>
      <c r="AT1646" s="418"/>
      <c r="AU1646" s="306"/>
      <c r="AV1646" s="306"/>
      <c r="AW1646" s="306"/>
      <c r="AX1646" s="306"/>
      <c r="AY1646" s="306"/>
      <c r="AZ1646" s="306"/>
      <c r="BA1646" s="306"/>
      <c r="BB1646" s="306"/>
    </row>
    <row r="1647" spans="1:54" ht="15.75" customHeight="1">
      <c r="A1647" s="317"/>
      <c r="B1647" s="430"/>
      <c r="C1647" s="317"/>
      <c r="E1647" s="306"/>
      <c r="F1647" s="431"/>
      <c r="G1647" s="431"/>
      <c r="H1647" s="298"/>
      <c r="I1647" s="432"/>
      <c r="J1647" s="433"/>
      <c r="K1647" s="306"/>
      <c r="L1647" s="306"/>
      <c r="M1647" s="306"/>
      <c r="N1647" s="298"/>
      <c r="O1647" s="298"/>
      <c r="P1647" s="298"/>
      <c r="Q1647" s="306"/>
      <c r="R1647" s="1023"/>
      <c r="S1647" s="1023"/>
      <c r="T1647" s="306"/>
      <c r="U1647" s="306"/>
      <c r="V1647" s="306"/>
      <c r="W1647" s="306"/>
      <c r="X1647" s="306"/>
      <c r="Y1647" s="306"/>
      <c r="Z1647" s="306"/>
      <c r="AA1647" s="306"/>
      <c r="AB1647" s="306"/>
      <c r="AC1647" s="306"/>
      <c r="AD1647" s="306"/>
      <c r="AE1647" s="306"/>
      <c r="AF1647" s="306"/>
      <c r="AG1647" s="306"/>
      <c r="AH1647" s="306"/>
      <c r="AI1647" s="306"/>
      <c r="AJ1647" s="306"/>
      <c r="AK1647" s="306"/>
      <c r="AL1647" s="306"/>
      <c r="AM1647" s="418"/>
      <c r="AN1647" s="418"/>
      <c r="AO1647" s="306"/>
      <c r="AP1647" s="306"/>
      <c r="AQ1647" s="418"/>
      <c r="AR1647" s="306"/>
      <c r="AS1647" s="306"/>
      <c r="AT1647" s="418"/>
      <c r="AU1647" s="306"/>
      <c r="AV1647" s="306"/>
      <c r="AW1647" s="306"/>
      <c r="AX1647" s="306"/>
      <c r="AY1647" s="306"/>
      <c r="AZ1647" s="306"/>
      <c r="BA1647" s="306"/>
      <c r="BB1647" s="306"/>
    </row>
    <row r="1648" spans="1:54" ht="15.75" customHeight="1">
      <c r="A1648" s="317"/>
      <c r="B1648" s="430"/>
      <c r="C1648" s="317"/>
      <c r="E1648" s="306"/>
      <c r="F1648" s="431"/>
      <c r="G1648" s="431"/>
      <c r="H1648" s="298"/>
      <c r="I1648" s="432"/>
      <c r="J1648" s="433"/>
      <c r="K1648" s="306"/>
      <c r="L1648" s="306"/>
      <c r="M1648" s="306"/>
      <c r="N1648" s="298"/>
      <c r="O1648" s="298"/>
      <c r="P1648" s="298"/>
      <c r="Q1648" s="306"/>
      <c r="R1648" s="1023"/>
      <c r="S1648" s="1023"/>
      <c r="T1648" s="306"/>
      <c r="U1648" s="306"/>
      <c r="V1648" s="306"/>
      <c r="W1648" s="306"/>
      <c r="X1648" s="306"/>
      <c r="Y1648" s="306"/>
      <c r="Z1648" s="306"/>
      <c r="AA1648" s="306"/>
      <c r="AB1648" s="306"/>
      <c r="AC1648" s="306"/>
      <c r="AD1648" s="306"/>
      <c r="AE1648" s="306"/>
      <c r="AF1648" s="306"/>
      <c r="AG1648" s="306"/>
      <c r="AH1648" s="306"/>
      <c r="AI1648" s="306"/>
      <c r="AJ1648" s="306"/>
      <c r="AK1648" s="306"/>
      <c r="AL1648" s="306"/>
      <c r="AM1648" s="418"/>
      <c r="AN1648" s="418"/>
      <c r="AO1648" s="306"/>
      <c r="AP1648" s="306"/>
      <c r="AQ1648" s="418"/>
      <c r="AR1648" s="306"/>
      <c r="AS1648" s="306"/>
      <c r="AT1648" s="418"/>
      <c r="AU1648" s="306"/>
      <c r="AV1648" s="306"/>
      <c r="AW1648" s="306"/>
      <c r="AX1648" s="306"/>
      <c r="AY1648" s="306"/>
      <c r="AZ1648" s="306"/>
      <c r="BA1648" s="306"/>
      <c r="BB1648" s="306"/>
    </row>
    <row r="1649" spans="1:54" ht="15.75" customHeight="1">
      <c r="A1649" s="317"/>
      <c r="B1649" s="430"/>
      <c r="C1649" s="317"/>
      <c r="E1649" s="306"/>
      <c r="F1649" s="431"/>
      <c r="G1649" s="431"/>
      <c r="H1649" s="298"/>
      <c r="I1649" s="432"/>
      <c r="J1649" s="433"/>
      <c r="K1649" s="306"/>
      <c r="L1649" s="306"/>
      <c r="M1649" s="306"/>
      <c r="N1649" s="298"/>
      <c r="O1649" s="298"/>
      <c r="P1649" s="298"/>
      <c r="Q1649" s="306"/>
      <c r="R1649" s="1023"/>
      <c r="S1649" s="1023"/>
      <c r="T1649" s="306"/>
      <c r="U1649" s="306"/>
      <c r="V1649" s="306"/>
      <c r="W1649" s="306"/>
      <c r="X1649" s="306"/>
      <c r="Y1649" s="306"/>
      <c r="Z1649" s="306"/>
      <c r="AA1649" s="306"/>
      <c r="AB1649" s="306"/>
      <c r="AC1649" s="306"/>
      <c r="AD1649" s="306"/>
      <c r="AE1649" s="306"/>
      <c r="AF1649" s="306"/>
      <c r="AG1649" s="306"/>
      <c r="AH1649" s="306"/>
      <c r="AI1649" s="306"/>
      <c r="AJ1649" s="306"/>
      <c r="AK1649" s="306"/>
      <c r="AL1649" s="306"/>
      <c r="AM1649" s="418"/>
      <c r="AN1649" s="418"/>
      <c r="AO1649" s="306"/>
      <c r="AP1649" s="306"/>
      <c r="AQ1649" s="418"/>
      <c r="AR1649" s="306"/>
      <c r="AS1649" s="306"/>
      <c r="AT1649" s="418"/>
      <c r="AU1649" s="306"/>
      <c r="AV1649" s="306"/>
      <c r="AW1649" s="306"/>
      <c r="AX1649" s="306"/>
      <c r="AY1649" s="306"/>
      <c r="AZ1649" s="306"/>
      <c r="BA1649" s="306"/>
      <c r="BB1649" s="306"/>
    </row>
    <row r="1650" spans="1:54" ht="15.75" customHeight="1">
      <c r="A1650" s="317"/>
      <c r="B1650" s="430"/>
      <c r="C1650" s="317"/>
      <c r="E1650" s="306"/>
      <c r="F1650" s="431"/>
      <c r="G1650" s="431"/>
      <c r="H1650" s="298"/>
      <c r="I1650" s="432"/>
      <c r="J1650" s="433"/>
      <c r="K1650" s="306"/>
      <c r="L1650" s="306"/>
      <c r="M1650" s="306"/>
      <c r="N1650" s="298"/>
      <c r="O1650" s="298"/>
      <c r="P1650" s="298"/>
      <c r="Q1650" s="306"/>
      <c r="R1650" s="1023"/>
      <c r="S1650" s="1023"/>
      <c r="T1650" s="306"/>
      <c r="U1650" s="306"/>
      <c r="V1650" s="306"/>
      <c r="W1650" s="306"/>
      <c r="X1650" s="306"/>
      <c r="Y1650" s="306"/>
      <c r="Z1650" s="306"/>
      <c r="AA1650" s="306"/>
      <c r="AB1650" s="306"/>
      <c r="AC1650" s="306"/>
      <c r="AD1650" s="306"/>
      <c r="AE1650" s="306"/>
      <c r="AF1650" s="306"/>
      <c r="AG1650" s="306"/>
      <c r="AH1650" s="306"/>
      <c r="AI1650" s="306"/>
      <c r="AJ1650" s="306"/>
      <c r="AK1650" s="306"/>
      <c r="AL1650" s="306"/>
      <c r="AM1650" s="418"/>
      <c r="AN1650" s="418"/>
      <c r="AO1650" s="306"/>
      <c r="AP1650" s="306"/>
      <c r="AQ1650" s="418"/>
      <c r="AR1650" s="306"/>
      <c r="AS1650" s="306"/>
      <c r="AT1650" s="418"/>
      <c r="AU1650" s="306"/>
      <c r="AV1650" s="306"/>
      <c r="AW1650" s="306"/>
      <c r="AX1650" s="306"/>
      <c r="AY1650" s="306"/>
      <c r="AZ1650" s="306"/>
      <c r="BA1650" s="306"/>
      <c r="BB1650" s="306"/>
    </row>
    <row r="1651" spans="1:54" ht="15.75" customHeight="1">
      <c r="A1651" s="317"/>
      <c r="B1651" s="430"/>
      <c r="C1651" s="317"/>
      <c r="E1651" s="306"/>
      <c r="F1651" s="431"/>
      <c r="G1651" s="431"/>
      <c r="H1651" s="298"/>
      <c r="I1651" s="432"/>
      <c r="J1651" s="433"/>
      <c r="K1651" s="306"/>
      <c r="L1651" s="306"/>
      <c r="M1651" s="306"/>
      <c r="N1651" s="298"/>
      <c r="O1651" s="298"/>
      <c r="P1651" s="298"/>
      <c r="Q1651" s="306"/>
      <c r="R1651" s="1023"/>
      <c r="S1651" s="1023"/>
      <c r="T1651" s="306"/>
      <c r="U1651" s="306"/>
      <c r="V1651" s="306"/>
      <c r="W1651" s="306"/>
      <c r="X1651" s="306"/>
      <c r="Y1651" s="306"/>
      <c r="Z1651" s="306"/>
      <c r="AA1651" s="306"/>
      <c r="AB1651" s="306"/>
      <c r="AC1651" s="306"/>
      <c r="AD1651" s="306"/>
      <c r="AE1651" s="306"/>
      <c r="AF1651" s="306"/>
      <c r="AG1651" s="306"/>
      <c r="AH1651" s="306"/>
      <c r="AI1651" s="306"/>
      <c r="AJ1651" s="306"/>
      <c r="AK1651" s="306"/>
      <c r="AL1651" s="306"/>
      <c r="AM1651" s="418"/>
      <c r="AN1651" s="418"/>
      <c r="AO1651" s="306"/>
      <c r="AP1651" s="306"/>
      <c r="AQ1651" s="418"/>
      <c r="AR1651" s="306"/>
      <c r="AS1651" s="306"/>
      <c r="AT1651" s="418"/>
      <c r="AU1651" s="306"/>
      <c r="AV1651" s="306"/>
      <c r="AW1651" s="306"/>
      <c r="AX1651" s="306"/>
      <c r="AY1651" s="306"/>
      <c r="AZ1651" s="306"/>
      <c r="BA1651" s="306"/>
      <c r="BB1651" s="306"/>
    </row>
    <row r="1652" spans="1:54" ht="15.75" customHeight="1">
      <c r="A1652" s="317"/>
      <c r="B1652" s="430"/>
      <c r="C1652" s="317"/>
      <c r="E1652" s="306"/>
      <c r="F1652" s="431"/>
      <c r="G1652" s="431"/>
      <c r="H1652" s="298"/>
      <c r="I1652" s="432"/>
      <c r="J1652" s="433"/>
      <c r="K1652" s="306"/>
      <c r="L1652" s="306"/>
      <c r="M1652" s="306"/>
      <c r="N1652" s="298"/>
      <c r="O1652" s="298"/>
      <c r="P1652" s="298"/>
      <c r="Q1652" s="306"/>
      <c r="R1652" s="1023"/>
      <c r="S1652" s="1023"/>
      <c r="T1652" s="306"/>
      <c r="U1652" s="306"/>
      <c r="V1652" s="306"/>
      <c r="W1652" s="306"/>
      <c r="X1652" s="306"/>
      <c r="Y1652" s="306"/>
      <c r="Z1652" s="306"/>
      <c r="AA1652" s="306"/>
      <c r="AB1652" s="306"/>
      <c r="AC1652" s="306"/>
      <c r="AD1652" s="306"/>
      <c r="AE1652" s="306"/>
      <c r="AF1652" s="306"/>
      <c r="AG1652" s="306"/>
      <c r="AH1652" s="306"/>
      <c r="AI1652" s="306"/>
      <c r="AJ1652" s="306"/>
      <c r="AK1652" s="306"/>
      <c r="AL1652" s="306"/>
      <c r="AM1652" s="418"/>
      <c r="AN1652" s="418"/>
      <c r="AO1652" s="306"/>
      <c r="AP1652" s="306"/>
      <c r="AQ1652" s="418"/>
      <c r="AR1652" s="306"/>
      <c r="AS1652" s="306"/>
      <c r="AT1652" s="418"/>
      <c r="AU1652" s="306"/>
      <c r="AV1652" s="306"/>
      <c r="AW1652" s="306"/>
      <c r="AX1652" s="306"/>
      <c r="AY1652" s="306"/>
      <c r="AZ1652" s="306"/>
      <c r="BA1652" s="306"/>
      <c r="BB1652" s="306"/>
    </row>
    <row r="1653" spans="1:54" ht="15.75" customHeight="1">
      <c r="A1653" s="317"/>
      <c r="B1653" s="430"/>
      <c r="C1653" s="317"/>
      <c r="E1653" s="306"/>
      <c r="F1653" s="431"/>
      <c r="G1653" s="431"/>
      <c r="H1653" s="298"/>
      <c r="I1653" s="432"/>
      <c r="J1653" s="433"/>
      <c r="K1653" s="306"/>
      <c r="L1653" s="306"/>
      <c r="M1653" s="306"/>
      <c r="N1653" s="298"/>
      <c r="O1653" s="298"/>
      <c r="P1653" s="298"/>
      <c r="Q1653" s="306"/>
      <c r="R1653" s="1023"/>
      <c r="S1653" s="1023"/>
      <c r="T1653" s="306"/>
      <c r="U1653" s="306"/>
      <c r="V1653" s="306"/>
      <c r="W1653" s="306"/>
      <c r="X1653" s="306"/>
      <c r="Y1653" s="306"/>
      <c r="Z1653" s="306"/>
      <c r="AA1653" s="306"/>
      <c r="AB1653" s="306"/>
      <c r="AC1653" s="306"/>
      <c r="AD1653" s="306"/>
      <c r="AE1653" s="306"/>
      <c r="AF1653" s="306"/>
      <c r="AG1653" s="306"/>
      <c r="AH1653" s="306"/>
      <c r="AI1653" s="306"/>
      <c r="AJ1653" s="306"/>
      <c r="AK1653" s="306"/>
      <c r="AL1653" s="306"/>
      <c r="AM1653" s="418"/>
      <c r="AN1653" s="418"/>
      <c r="AO1653" s="306"/>
      <c r="AP1653" s="306"/>
      <c r="AQ1653" s="418"/>
      <c r="AR1653" s="306"/>
      <c r="AS1653" s="306"/>
      <c r="AT1653" s="418"/>
      <c r="AU1653" s="306"/>
      <c r="AV1653" s="306"/>
      <c r="AW1653" s="306"/>
      <c r="AX1653" s="306"/>
      <c r="AY1653" s="306"/>
      <c r="AZ1653" s="306"/>
      <c r="BA1653" s="306"/>
      <c r="BB1653" s="306"/>
    </row>
    <row r="1654" spans="1:54" ht="15.75" customHeight="1">
      <c r="A1654" s="317"/>
      <c r="B1654" s="430"/>
      <c r="C1654" s="317"/>
      <c r="E1654" s="306"/>
      <c r="F1654" s="431"/>
      <c r="G1654" s="431"/>
      <c r="H1654" s="298"/>
      <c r="I1654" s="432"/>
      <c r="J1654" s="433"/>
      <c r="K1654" s="306"/>
      <c r="L1654" s="306"/>
      <c r="M1654" s="306"/>
      <c r="N1654" s="298"/>
      <c r="O1654" s="298"/>
      <c r="P1654" s="298"/>
      <c r="Q1654" s="306"/>
      <c r="R1654" s="1023"/>
      <c r="S1654" s="1023"/>
      <c r="T1654" s="306"/>
      <c r="U1654" s="306"/>
      <c r="V1654" s="306"/>
      <c r="W1654" s="306"/>
      <c r="X1654" s="306"/>
      <c r="Y1654" s="306"/>
      <c r="Z1654" s="306"/>
      <c r="AA1654" s="306"/>
      <c r="AB1654" s="306"/>
      <c r="AC1654" s="306"/>
      <c r="AD1654" s="306"/>
      <c r="AE1654" s="306"/>
      <c r="AF1654" s="306"/>
      <c r="AG1654" s="306"/>
      <c r="AH1654" s="306"/>
      <c r="AI1654" s="306"/>
      <c r="AJ1654" s="306"/>
      <c r="AK1654" s="306"/>
      <c r="AL1654" s="306"/>
      <c r="AM1654" s="418"/>
      <c r="AN1654" s="418"/>
      <c r="AO1654" s="306"/>
      <c r="AP1654" s="306"/>
      <c r="AQ1654" s="418"/>
      <c r="AR1654" s="306"/>
      <c r="AS1654" s="306"/>
      <c r="AT1654" s="418"/>
      <c r="AU1654" s="306"/>
      <c r="AV1654" s="306"/>
      <c r="AW1654" s="306"/>
      <c r="AX1654" s="306"/>
      <c r="AY1654" s="306"/>
      <c r="AZ1654" s="306"/>
      <c r="BA1654" s="306"/>
      <c r="BB1654" s="306"/>
    </row>
    <row r="1655" spans="1:54" ht="15.75" customHeight="1">
      <c r="A1655" s="317"/>
      <c r="B1655" s="430"/>
      <c r="C1655" s="317"/>
      <c r="E1655" s="306"/>
      <c r="F1655" s="431"/>
      <c r="G1655" s="431"/>
      <c r="H1655" s="298"/>
      <c r="I1655" s="432"/>
      <c r="J1655" s="433"/>
      <c r="K1655" s="306"/>
      <c r="L1655" s="306"/>
      <c r="M1655" s="306"/>
      <c r="N1655" s="298"/>
      <c r="O1655" s="298"/>
      <c r="P1655" s="298"/>
      <c r="Q1655" s="306"/>
      <c r="R1655" s="1023"/>
      <c r="S1655" s="1023"/>
      <c r="T1655" s="306"/>
      <c r="U1655" s="306"/>
      <c r="V1655" s="306"/>
      <c r="W1655" s="306"/>
      <c r="X1655" s="306"/>
      <c r="Y1655" s="306"/>
      <c r="Z1655" s="306"/>
      <c r="AA1655" s="306"/>
      <c r="AB1655" s="306"/>
      <c r="AC1655" s="306"/>
      <c r="AD1655" s="306"/>
      <c r="AE1655" s="306"/>
      <c r="AF1655" s="306"/>
      <c r="AG1655" s="306"/>
      <c r="AH1655" s="306"/>
      <c r="AI1655" s="306"/>
      <c r="AJ1655" s="306"/>
      <c r="AK1655" s="306"/>
      <c r="AL1655" s="306"/>
      <c r="AM1655" s="418"/>
      <c r="AN1655" s="418"/>
      <c r="AO1655" s="306"/>
      <c r="AP1655" s="306"/>
      <c r="AQ1655" s="418"/>
      <c r="AR1655" s="306"/>
      <c r="AS1655" s="306"/>
      <c r="AT1655" s="418"/>
      <c r="AU1655" s="306"/>
      <c r="AV1655" s="306"/>
      <c r="AW1655" s="306"/>
      <c r="AX1655" s="306"/>
      <c r="AY1655" s="306"/>
      <c r="AZ1655" s="306"/>
      <c r="BA1655" s="306"/>
      <c r="BB1655" s="306"/>
    </row>
    <row r="1656" spans="1:54" ht="15.75" customHeight="1">
      <c r="A1656" s="317"/>
      <c r="B1656" s="430"/>
      <c r="C1656" s="317"/>
      <c r="E1656" s="306"/>
      <c r="F1656" s="431"/>
      <c r="G1656" s="431"/>
      <c r="H1656" s="298"/>
      <c r="I1656" s="432"/>
      <c r="J1656" s="433"/>
      <c r="K1656" s="306"/>
      <c r="L1656" s="306"/>
      <c r="M1656" s="306"/>
      <c r="N1656" s="298"/>
      <c r="O1656" s="298"/>
      <c r="P1656" s="298"/>
      <c r="Q1656" s="306"/>
      <c r="R1656" s="1023"/>
      <c r="S1656" s="1023"/>
      <c r="T1656" s="306"/>
      <c r="U1656" s="306"/>
      <c r="V1656" s="306"/>
      <c r="W1656" s="306"/>
      <c r="X1656" s="306"/>
      <c r="Y1656" s="306"/>
      <c r="Z1656" s="306"/>
      <c r="AA1656" s="306"/>
      <c r="AB1656" s="306"/>
      <c r="AC1656" s="306"/>
      <c r="AD1656" s="306"/>
      <c r="AE1656" s="306"/>
      <c r="AF1656" s="306"/>
      <c r="AG1656" s="306"/>
      <c r="AH1656" s="306"/>
      <c r="AI1656" s="306"/>
      <c r="AJ1656" s="306"/>
      <c r="AK1656" s="306"/>
      <c r="AL1656" s="306"/>
      <c r="AM1656" s="418"/>
      <c r="AN1656" s="418"/>
      <c r="AO1656" s="306"/>
      <c r="AP1656" s="306"/>
      <c r="AQ1656" s="418"/>
      <c r="AR1656" s="306"/>
      <c r="AS1656" s="306"/>
      <c r="AT1656" s="418"/>
      <c r="AU1656" s="306"/>
      <c r="AV1656" s="306"/>
      <c r="AW1656" s="306"/>
      <c r="AX1656" s="306"/>
      <c r="AY1656" s="306"/>
      <c r="AZ1656" s="306"/>
      <c r="BA1656" s="306"/>
      <c r="BB1656" s="306"/>
    </row>
    <row r="1657" spans="1:54" ht="15.75" customHeight="1">
      <c r="A1657" s="317"/>
      <c r="B1657" s="430"/>
      <c r="C1657" s="317"/>
      <c r="E1657" s="306"/>
      <c r="F1657" s="431"/>
      <c r="G1657" s="431"/>
      <c r="H1657" s="298"/>
      <c r="I1657" s="432"/>
      <c r="J1657" s="433"/>
      <c r="K1657" s="306"/>
      <c r="L1657" s="306"/>
      <c r="M1657" s="306"/>
      <c r="N1657" s="298"/>
      <c r="O1657" s="298"/>
      <c r="P1657" s="298"/>
      <c r="Q1657" s="306"/>
      <c r="R1657" s="1023"/>
      <c r="S1657" s="1023"/>
      <c r="T1657" s="306"/>
      <c r="U1657" s="306"/>
      <c r="V1657" s="306"/>
      <c r="W1657" s="306"/>
      <c r="X1657" s="306"/>
      <c r="Y1657" s="306"/>
      <c r="Z1657" s="306"/>
      <c r="AA1657" s="306"/>
      <c r="AB1657" s="306"/>
      <c r="AC1657" s="306"/>
      <c r="AD1657" s="306"/>
      <c r="AE1657" s="306"/>
      <c r="AF1657" s="306"/>
      <c r="AG1657" s="306"/>
      <c r="AH1657" s="306"/>
      <c r="AI1657" s="306"/>
      <c r="AJ1657" s="306"/>
      <c r="AK1657" s="306"/>
      <c r="AL1657" s="306"/>
      <c r="AM1657" s="418"/>
      <c r="AN1657" s="418"/>
      <c r="AO1657" s="306"/>
      <c r="AP1657" s="306"/>
      <c r="AQ1657" s="418"/>
      <c r="AR1657" s="306"/>
      <c r="AS1657" s="306"/>
      <c r="AT1657" s="418"/>
      <c r="AU1657" s="306"/>
      <c r="AV1657" s="306"/>
      <c r="AW1657" s="306"/>
      <c r="AX1657" s="306"/>
      <c r="AY1657" s="306"/>
      <c r="AZ1657" s="306"/>
      <c r="BA1657" s="306"/>
      <c r="BB1657" s="306"/>
    </row>
    <row r="1658" spans="1:54" ht="15.75" customHeight="1">
      <c r="A1658" s="317"/>
      <c r="B1658" s="430"/>
      <c r="C1658" s="317"/>
      <c r="E1658" s="306"/>
      <c r="F1658" s="431"/>
      <c r="G1658" s="431"/>
      <c r="H1658" s="298"/>
      <c r="I1658" s="432"/>
      <c r="J1658" s="433"/>
      <c r="K1658" s="306"/>
      <c r="L1658" s="306"/>
      <c r="M1658" s="306"/>
      <c r="N1658" s="298"/>
      <c r="O1658" s="298"/>
      <c r="P1658" s="298"/>
      <c r="Q1658" s="306"/>
      <c r="R1658" s="1023"/>
      <c r="S1658" s="1023"/>
      <c r="T1658" s="306"/>
      <c r="U1658" s="306"/>
      <c r="V1658" s="306"/>
      <c r="W1658" s="306"/>
      <c r="X1658" s="306"/>
      <c r="Y1658" s="306"/>
      <c r="Z1658" s="306"/>
      <c r="AA1658" s="306"/>
      <c r="AB1658" s="306"/>
      <c r="AC1658" s="306"/>
      <c r="AD1658" s="306"/>
      <c r="AE1658" s="306"/>
      <c r="AF1658" s="306"/>
      <c r="AG1658" s="306"/>
      <c r="AH1658" s="306"/>
      <c r="AI1658" s="306"/>
      <c r="AJ1658" s="306"/>
      <c r="AK1658" s="306"/>
      <c r="AL1658" s="306"/>
      <c r="AM1658" s="418"/>
      <c r="AN1658" s="418"/>
      <c r="AO1658" s="306"/>
      <c r="AP1658" s="306"/>
      <c r="AQ1658" s="418"/>
      <c r="AR1658" s="306"/>
      <c r="AS1658" s="306"/>
      <c r="AT1658" s="418"/>
      <c r="AU1658" s="306"/>
      <c r="AV1658" s="306"/>
      <c r="AW1658" s="306"/>
      <c r="AX1658" s="306"/>
      <c r="AY1658" s="306"/>
      <c r="AZ1658" s="306"/>
      <c r="BA1658" s="306"/>
      <c r="BB1658" s="306"/>
    </row>
    <row r="1659" spans="1:54" ht="15.75" customHeight="1">
      <c r="A1659" s="317"/>
      <c r="B1659" s="430"/>
      <c r="C1659" s="317"/>
      <c r="E1659" s="306"/>
      <c r="F1659" s="431"/>
      <c r="G1659" s="431"/>
      <c r="H1659" s="298"/>
      <c r="I1659" s="432"/>
      <c r="J1659" s="433"/>
      <c r="K1659" s="306"/>
      <c r="L1659" s="306"/>
      <c r="M1659" s="306"/>
      <c r="N1659" s="298"/>
      <c r="O1659" s="298"/>
      <c r="P1659" s="298"/>
      <c r="Q1659" s="306"/>
      <c r="R1659" s="1023"/>
      <c r="S1659" s="1023"/>
      <c r="T1659" s="306"/>
      <c r="U1659" s="306"/>
      <c r="V1659" s="306"/>
      <c r="W1659" s="306"/>
      <c r="X1659" s="306"/>
      <c r="Y1659" s="306"/>
      <c r="Z1659" s="306"/>
      <c r="AA1659" s="306"/>
      <c r="AB1659" s="306"/>
      <c r="AC1659" s="306"/>
      <c r="AD1659" s="306"/>
      <c r="AE1659" s="306"/>
      <c r="AF1659" s="306"/>
      <c r="AG1659" s="306"/>
      <c r="AH1659" s="306"/>
      <c r="AI1659" s="306"/>
      <c r="AJ1659" s="306"/>
      <c r="AK1659" s="306"/>
      <c r="AL1659" s="306"/>
      <c r="AM1659" s="418"/>
      <c r="AN1659" s="418"/>
      <c r="AO1659" s="306"/>
      <c r="AP1659" s="306"/>
      <c r="AQ1659" s="418"/>
      <c r="AR1659" s="306"/>
      <c r="AS1659" s="306"/>
      <c r="AT1659" s="418"/>
      <c r="AU1659" s="306"/>
      <c r="AV1659" s="306"/>
      <c r="AW1659" s="306"/>
      <c r="AX1659" s="306"/>
      <c r="AY1659" s="306"/>
      <c r="AZ1659" s="306"/>
      <c r="BA1659" s="306"/>
      <c r="BB1659" s="306"/>
    </row>
    <row r="1660" spans="1:54" ht="15.75" customHeight="1">
      <c r="A1660" s="317"/>
      <c r="B1660" s="430"/>
      <c r="C1660" s="317"/>
      <c r="E1660" s="306"/>
      <c r="F1660" s="431"/>
      <c r="G1660" s="431"/>
      <c r="H1660" s="298"/>
      <c r="I1660" s="432"/>
      <c r="J1660" s="433"/>
      <c r="K1660" s="306"/>
      <c r="L1660" s="306"/>
      <c r="M1660" s="306"/>
      <c r="N1660" s="298"/>
      <c r="O1660" s="298"/>
      <c r="P1660" s="298"/>
      <c r="Q1660" s="306"/>
      <c r="R1660" s="1023"/>
      <c r="S1660" s="1023"/>
      <c r="T1660" s="306"/>
      <c r="U1660" s="306"/>
      <c r="V1660" s="306"/>
      <c r="W1660" s="306"/>
      <c r="X1660" s="306"/>
      <c r="Y1660" s="306"/>
      <c r="Z1660" s="306"/>
      <c r="AA1660" s="306"/>
      <c r="AB1660" s="306"/>
      <c r="AC1660" s="306"/>
      <c r="AD1660" s="306"/>
      <c r="AE1660" s="306"/>
      <c r="AF1660" s="306"/>
      <c r="AG1660" s="306"/>
      <c r="AH1660" s="306"/>
      <c r="AI1660" s="306"/>
      <c r="AJ1660" s="306"/>
      <c r="AK1660" s="306"/>
      <c r="AL1660" s="306"/>
      <c r="AM1660" s="418"/>
      <c r="AN1660" s="418"/>
      <c r="AO1660" s="306"/>
      <c r="AP1660" s="306"/>
      <c r="AQ1660" s="418"/>
      <c r="AR1660" s="306"/>
      <c r="AS1660" s="306"/>
      <c r="AT1660" s="418"/>
      <c r="AU1660" s="306"/>
      <c r="AV1660" s="306"/>
      <c r="AW1660" s="306"/>
      <c r="AX1660" s="306"/>
      <c r="AY1660" s="306"/>
      <c r="AZ1660" s="306"/>
      <c r="BA1660" s="306"/>
      <c r="BB1660" s="306"/>
    </row>
    <row r="1661" spans="1:54" ht="15.75" customHeight="1">
      <c r="A1661" s="317"/>
      <c r="B1661" s="430"/>
      <c r="C1661" s="317"/>
      <c r="E1661" s="306"/>
      <c r="F1661" s="431"/>
      <c r="G1661" s="431"/>
      <c r="H1661" s="298"/>
      <c r="I1661" s="432"/>
      <c r="J1661" s="433"/>
      <c r="K1661" s="306"/>
      <c r="L1661" s="306"/>
      <c r="M1661" s="306"/>
      <c r="N1661" s="298"/>
      <c r="O1661" s="298"/>
      <c r="P1661" s="298"/>
      <c r="Q1661" s="306"/>
      <c r="R1661" s="1023"/>
      <c r="S1661" s="1023"/>
      <c r="T1661" s="306"/>
      <c r="U1661" s="306"/>
      <c r="V1661" s="306"/>
      <c r="W1661" s="306"/>
      <c r="X1661" s="306"/>
      <c r="Y1661" s="306"/>
      <c r="Z1661" s="306"/>
      <c r="AA1661" s="306"/>
      <c r="AB1661" s="306"/>
      <c r="AC1661" s="306"/>
      <c r="AD1661" s="306"/>
      <c r="AE1661" s="306"/>
      <c r="AF1661" s="306"/>
      <c r="AG1661" s="306"/>
      <c r="AH1661" s="306"/>
      <c r="AI1661" s="306"/>
      <c r="AJ1661" s="306"/>
      <c r="AK1661" s="306"/>
      <c r="AL1661" s="306"/>
      <c r="AM1661" s="418"/>
      <c r="AN1661" s="418"/>
      <c r="AO1661" s="306"/>
      <c r="AP1661" s="306"/>
      <c r="AQ1661" s="418"/>
      <c r="AR1661" s="306"/>
      <c r="AS1661" s="306"/>
      <c r="AT1661" s="418"/>
      <c r="AU1661" s="306"/>
      <c r="AV1661" s="306"/>
      <c r="AW1661" s="306"/>
      <c r="AX1661" s="306"/>
      <c r="AY1661" s="306"/>
      <c r="AZ1661" s="306"/>
      <c r="BA1661" s="306"/>
      <c r="BB1661" s="306"/>
    </row>
    <row r="1662" spans="1:54" ht="15.75" customHeight="1">
      <c r="A1662" s="317"/>
      <c r="B1662" s="430"/>
      <c r="C1662" s="317"/>
      <c r="E1662" s="306"/>
      <c r="F1662" s="431"/>
      <c r="G1662" s="431"/>
      <c r="H1662" s="298"/>
      <c r="I1662" s="432"/>
      <c r="J1662" s="433"/>
      <c r="K1662" s="306"/>
      <c r="L1662" s="306"/>
      <c r="M1662" s="306"/>
      <c r="N1662" s="298"/>
      <c r="O1662" s="298"/>
      <c r="P1662" s="298"/>
      <c r="Q1662" s="306"/>
      <c r="R1662" s="1023"/>
      <c r="S1662" s="1023"/>
      <c r="T1662" s="306"/>
      <c r="U1662" s="306"/>
      <c r="V1662" s="306"/>
      <c r="W1662" s="306"/>
      <c r="X1662" s="306"/>
      <c r="Y1662" s="306"/>
      <c r="Z1662" s="306"/>
      <c r="AA1662" s="306"/>
      <c r="AB1662" s="306"/>
      <c r="AC1662" s="306"/>
      <c r="AD1662" s="306"/>
      <c r="AE1662" s="306"/>
      <c r="AF1662" s="306"/>
      <c r="AG1662" s="306"/>
      <c r="AH1662" s="306"/>
      <c r="AI1662" s="306"/>
      <c r="AJ1662" s="306"/>
      <c r="AK1662" s="306"/>
      <c r="AL1662" s="306"/>
      <c r="AM1662" s="418"/>
      <c r="AN1662" s="418"/>
      <c r="AO1662" s="306"/>
      <c r="AP1662" s="306"/>
      <c r="AQ1662" s="418"/>
      <c r="AR1662" s="306"/>
      <c r="AS1662" s="306"/>
      <c r="AT1662" s="418"/>
      <c r="AU1662" s="306"/>
      <c r="AV1662" s="306"/>
      <c r="AW1662" s="306"/>
      <c r="AX1662" s="306"/>
      <c r="AY1662" s="306"/>
      <c r="AZ1662" s="306"/>
      <c r="BA1662" s="306"/>
      <c r="BB1662" s="306"/>
    </row>
    <row r="1663" spans="1:54" ht="15.75" customHeight="1">
      <c r="A1663" s="317"/>
      <c r="B1663" s="430"/>
      <c r="C1663" s="317"/>
      <c r="E1663" s="306"/>
      <c r="F1663" s="431"/>
      <c r="G1663" s="431"/>
      <c r="H1663" s="298"/>
      <c r="I1663" s="432"/>
      <c r="J1663" s="433"/>
      <c r="K1663" s="306"/>
      <c r="L1663" s="306"/>
      <c r="M1663" s="306"/>
      <c r="N1663" s="298"/>
      <c r="O1663" s="298"/>
      <c r="P1663" s="298"/>
      <c r="Q1663" s="306"/>
      <c r="R1663" s="1023"/>
      <c r="S1663" s="1023"/>
      <c r="T1663" s="306"/>
      <c r="U1663" s="306"/>
      <c r="V1663" s="306"/>
      <c r="W1663" s="306"/>
      <c r="X1663" s="306"/>
      <c r="Y1663" s="306"/>
      <c r="Z1663" s="306"/>
      <c r="AA1663" s="306"/>
      <c r="AB1663" s="306"/>
      <c r="AC1663" s="306"/>
      <c r="AD1663" s="306"/>
      <c r="AE1663" s="306"/>
      <c r="AF1663" s="306"/>
      <c r="AG1663" s="306"/>
      <c r="AH1663" s="306"/>
      <c r="AI1663" s="306"/>
      <c r="AJ1663" s="306"/>
      <c r="AK1663" s="306"/>
      <c r="AL1663" s="306"/>
      <c r="AM1663" s="418"/>
      <c r="AN1663" s="418"/>
      <c r="AO1663" s="306"/>
      <c r="AP1663" s="306"/>
      <c r="AQ1663" s="418"/>
      <c r="AR1663" s="306"/>
      <c r="AS1663" s="306"/>
      <c r="AT1663" s="418"/>
      <c r="AU1663" s="306"/>
      <c r="AV1663" s="306"/>
      <c r="AW1663" s="306"/>
      <c r="AX1663" s="306"/>
      <c r="AY1663" s="306"/>
      <c r="AZ1663" s="306"/>
      <c r="BA1663" s="306"/>
      <c r="BB1663" s="306"/>
    </row>
    <row r="1664" spans="1:54" ht="15.75" customHeight="1">
      <c r="A1664" s="317"/>
      <c r="B1664" s="430"/>
      <c r="C1664" s="317"/>
      <c r="E1664" s="306"/>
      <c r="F1664" s="431"/>
      <c r="G1664" s="431"/>
      <c r="H1664" s="298"/>
      <c r="I1664" s="432"/>
      <c r="J1664" s="433"/>
      <c r="K1664" s="306"/>
      <c r="L1664" s="306"/>
      <c r="M1664" s="306"/>
      <c r="N1664" s="298"/>
      <c r="O1664" s="298"/>
      <c r="P1664" s="298"/>
      <c r="Q1664" s="306"/>
      <c r="R1664" s="1023"/>
      <c r="S1664" s="1023"/>
      <c r="T1664" s="306"/>
      <c r="U1664" s="306"/>
      <c r="V1664" s="306"/>
      <c r="W1664" s="306"/>
      <c r="X1664" s="306"/>
      <c r="Y1664" s="306"/>
      <c r="Z1664" s="306"/>
      <c r="AA1664" s="306"/>
      <c r="AB1664" s="306"/>
      <c r="AC1664" s="306"/>
      <c r="AD1664" s="306"/>
      <c r="AE1664" s="306"/>
      <c r="AF1664" s="306"/>
      <c r="AG1664" s="306"/>
      <c r="AH1664" s="306"/>
      <c r="AI1664" s="306"/>
      <c r="AJ1664" s="306"/>
      <c r="AK1664" s="306"/>
      <c r="AL1664" s="306"/>
      <c r="AM1664" s="418"/>
      <c r="AN1664" s="418"/>
      <c r="AO1664" s="306"/>
      <c r="AP1664" s="306"/>
      <c r="AQ1664" s="418"/>
      <c r="AR1664" s="306"/>
      <c r="AS1664" s="306"/>
      <c r="AT1664" s="418"/>
      <c r="AU1664" s="306"/>
      <c r="AV1664" s="306"/>
      <c r="AW1664" s="306"/>
      <c r="AX1664" s="306"/>
      <c r="AY1664" s="306"/>
      <c r="AZ1664" s="306"/>
      <c r="BA1664" s="306"/>
      <c r="BB1664" s="306"/>
    </row>
    <row r="1665" spans="1:54" ht="15.75" customHeight="1">
      <c r="A1665" s="317"/>
      <c r="B1665" s="430"/>
      <c r="C1665" s="317"/>
      <c r="E1665" s="306"/>
      <c r="F1665" s="431"/>
      <c r="G1665" s="431"/>
      <c r="H1665" s="298"/>
      <c r="I1665" s="432"/>
      <c r="J1665" s="433"/>
      <c r="K1665" s="306"/>
      <c r="L1665" s="306"/>
      <c r="M1665" s="306"/>
      <c r="N1665" s="298"/>
      <c r="O1665" s="298"/>
      <c r="P1665" s="298"/>
      <c r="Q1665" s="306"/>
      <c r="R1665" s="1023"/>
      <c r="S1665" s="1023"/>
      <c r="T1665" s="306"/>
      <c r="U1665" s="306"/>
      <c r="V1665" s="306"/>
      <c r="W1665" s="306"/>
      <c r="X1665" s="306"/>
      <c r="Y1665" s="306"/>
      <c r="Z1665" s="306"/>
      <c r="AA1665" s="306"/>
      <c r="AB1665" s="306"/>
      <c r="AC1665" s="306"/>
      <c r="AD1665" s="306"/>
      <c r="AE1665" s="306"/>
      <c r="AF1665" s="306"/>
      <c r="AG1665" s="306"/>
      <c r="AH1665" s="306"/>
      <c r="AI1665" s="306"/>
      <c r="AJ1665" s="306"/>
      <c r="AK1665" s="306"/>
      <c r="AL1665" s="306"/>
      <c r="AM1665" s="418"/>
      <c r="AN1665" s="418"/>
      <c r="AO1665" s="306"/>
      <c r="AP1665" s="306"/>
      <c r="AQ1665" s="418"/>
      <c r="AR1665" s="306"/>
      <c r="AS1665" s="306"/>
      <c r="AT1665" s="418"/>
      <c r="AU1665" s="306"/>
      <c r="AV1665" s="306"/>
      <c r="AW1665" s="306"/>
      <c r="AX1665" s="306"/>
      <c r="AY1665" s="306"/>
      <c r="AZ1665" s="306"/>
      <c r="BA1665" s="306"/>
      <c r="BB1665" s="306"/>
    </row>
    <row r="1666" spans="1:54" ht="15.75" customHeight="1">
      <c r="A1666" s="317"/>
      <c r="B1666" s="430"/>
      <c r="C1666" s="317"/>
      <c r="E1666" s="306"/>
      <c r="F1666" s="431"/>
      <c r="G1666" s="431"/>
      <c r="H1666" s="298"/>
      <c r="I1666" s="432"/>
      <c r="J1666" s="433"/>
      <c r="K1666" s="306"/>
      <c r="L1666" s="306"/>
      <c r="M1666" s="306"/>
      <c r="N1666" s="298"/>
      <c r="O1666" s="298"/>
      <c r="P1666" s="298"/>
      <c r="Q1666" s="306"/>
      <c r="R1666" s="1023"/>
      <c r="S1666" s="1023"/>
      <c r="T1666" s="306"/>
      <c r="U1666" s="306"/>
      <c r="V1666" s="306"/>
      <c r="W1666" s="306"/>
      <c r="X1666" s="306"/>
      <c r="Y1666" s="306"/>
      <c r="Z1666" s="306"/>
      <c r="AA1666" s="306"/>
      <c r="AB1666" s="306"/>
      <c r="AC1666" s="306"/>
      <c r="AD1666" s="306"/>
      <c r="AE1666" s="306"/>
      <c r="AF1666" s="306"/>
      <c r="AG1666" s="306"/>
      <c r="AH1666" s="306"/>
      <c r="AI1666" s="306"/>
      <c r="AJ1666" s="306"/>
      <c r="AK1666" s="306"/>
      <c r="AL1666" s="306"/>
      <c r="AM1666" s="418"/>
      <c r="AN1666" s="418"/>
      <c r="AO1666" s="306"/>
      <c r="AP1666" s="306"/>
      <c r="AQ1666" s="418"/>
      <c r="AR1666" s="306"/>
      <c r="AS1666" s="306"/>
      <c r="AT1666" s="418"/>
      <c r="AU1666" s="306"/>
      <c r="AV1666" s="306"/>
      <c r="AW1666" s="306"/>
      <c r="AX1666" s="306"/>
      <c r="AY1666" s="306"/>
      <c r="AZ1666" s="306"/>
      <c r="BA1666" s="306"/>
      <c r="BB1666" s="306"/>
    </row>
    <row r="1667" spans="1:54" ht="15.75" customHeight="1">
      <c r="A1667" s="317"/>
      <c r="B1667" s="430"/>
      <c r="C1667" s="317"/>
      <c r="E1667" s="306"/>
      <c r="F1667" s="431"/>
      <c r="G1667" s="431"/>
      <c r="H1667" s="298"/>
      <c r="I1667" s="432"/>
      <c r="J1667" s="433"/>
      <c r="K1667" s="306"/>
      <c r="L1667" s="306"/>
      <c r="M1667" s="306"/>
      <c r="N1667" s="298"/>
      <c r="O1667" s="298"/>
      <c r="P1667" s="298"/>
      <c r="Q1667" s="306"/>
      <c r="R1667" s="1023"/>
      <c r="S1667" s="1023"/>
      <c r="T1667" s="306"/>
      <c r="U1667" s="306"/>
      <c r="V1667" s="306"/>
      <c r="W1667" s="306"/>
      <c r="X1667" s="306"/>
      <c r="Y1667" s="306"/>
      <c r="Z1667" s="306"/>
      <c r="AA1667" s="306"/>
      <c r="AB1667" s="306"/>
      <c r="AC1667" s="306"/>
      <c r="AD1667" s="306"/>
      <c r="AE1667" s="306"/>
      <c r="AF1667" s="306"/>
      <c r="AG1667" s="306"/>
      <c r="AH1667" s="306"/>
      <c r="AI1667" s="306"/>
      <c r="AJ1667" s="306"/>
      <c r="AK1667" s="306"/>
      <c r="AL1667" s="306"/>
      <c r="AM1667" s="418"/>
      <c r="AN1667" s="418"/>
      <c r="AO1667" s="306"/>
      <c r="AP1667" s="306"/>
      <c r="AQ1667" s="418"/>
      <c r="AR1667" s="306"/>
      <c r="AS1667" s="306"/>
      <c r="AT1667" s="418"/>
      <c r="AU1667" s="306"/>
      <c r="AV1667" s="306"/>
      <c r="AW1667" s="306"/>
      <c r="AX1667" s="306"/>
      <c r="AY1667" s="306"/>
      <c r="AZ1667" s="306"/>
      <c r="BA1667" s="306"/>
      <c r="BB1667" s="306"/>
    </row>
    <row r="1668" spans="1:54" ht="15.75" customHeight="1">
      <c r="A1668" s="317"/>
      <c r="B1668" s="430"/>
      <c r="C1668" s="317"/>
      <c r="E1668" s="306"/>
      <c r="F1668" s="431"/>
      <c r="G1668" s="431"/>
      <c r="H1668" s="298"/>
      <c r="I1668" s="432"/>
      <c r="J1668" s="433"/>
      <c r="K1668" s="306"/>
      <c r="L1668" s="306"/>
      <c r="M1668" s="306"/>
      <c r="N1668" s="298"/>
      <c r="O1668" s="298"/>
      <c r="P1668" s="298"/>
      <c r="Q1668" s="306"/>
      <c r="R1668" s="1023"/>
      <c r="S1668" s="1023"/>
      <c r="T1668" s="306"/>
      <c r="U1668" s="306"/>
      <c r="V1668" s="306"/>
      <c r="W1668" s="306"/>
      <c r="X1668" s="306"/>
      <c r="Y1668" s="306"/>
      <c r="Z1668" s="306"/>
      <c r="AA1668" s="306"/>
      <c r="AB1668" s="306"/>
      <c r="AC1668" s="306"/>
      <c r="AD1668" s="306"/>
      <c r="AE1668" s="306"/>
      <c r="AF1668" s="306"/>
      <c r="AG1668" s="306"/>
      <c r="AH1668" s="306"/>
      <c r="AI1668" s="306"/>
      <c r="AJ1668" s="306"/>
      <c r="AK1668" s="306"/>
      <c r="AL1668" s="306"/>
      <c r="AM1668" s="418"/>
      <c r="AN1668" s="418"/>
      <c r="AO1668" s="306"/>
      <c r="AP1668" s="306"/>
      <c r="AQ1668" s="418"/>
      <c r="AR1668" s="306"/>
      <c r="AS1668" s="306"/>
      <c r="AT1668" s="418"/>
      <c r="AU1668" s="306"/>
      <c r="AV1668" s="306"/>
      <c r="AW1668" s="306"/>
      <c r="AX1668" s="306"/>
      <c r="AY1668" s="306"/>
      <c r="AZ1668" s="306"/>
      <c r="BA1668" s="306"/>
      <c r="BB1668" s="306"/>
    </row>
    <row r="1669" spans="1:54" ht="15.75" customHeight="1">
      <c r="A1669" s="317"/>
      <c r="B1669" s="430"/>
      <c r="C1669" s="317"/>
      <c r="E1669" s="306"/>
      <c r="F1669" s="431"/>
      <c r="G1669" s="431"/>
      <c r="H1669" s="298"/>
      <c r="I1669" s="432"/>
      <c r="J1669" s="433"/>
      <c r="K1669" s="306"/>
      <c r="L1669" s="306"/>
      <c r="M1669" s="306"/>
      <c r="N1669" s="298"/>
      <c r="O1669" s="298"/>
      <c r="P1669" s="298"/>
      <c r="Q1669" s="306"/>
      <c r="R1669" s="1023"/>
      <c r="S1669" s="1023"/>
      <c r="T1669" s="306"/>
      <c r="U1669" s="306"/>
      <c r="V1669" s="306"/>
      <c r="W1669" s="306"/>
      <c r="X1669" s="306"/>
      <c r="Y1669" s="306"/>
      <c r="Z1669" s="306"/>
      <c r="AA1669" s="306"/>
      <c r="AB1669" s="306"/>
      <c r="AC1669" s="306"/>
      <c r="AD1669" s="306"/>
      <c r="AE1669" s="306"/>
      <c r="AF1669" s="306"/>
      <c r="AG1669" s="306"/>
      <c r="AH1669" s="306"/>
      <c r="AI1669" s="306"/>
      <c r="AJ1669" s="306"/>
      <c r="AK1669" s="306"/>
      <c r="AL1669" s="306"/>
      <c r="AM1669" s="418"/>
      <c r="AN1669" s="418"/>
      <c r="AO1669" s="306"/>
      <c r="AP1669" s="306"/>
      <c r="AQ1669" s="418"/>
      <c r="AR1669" s="306"/>
      <c r="AS1669" s="306"/>
      <c r="AT1669" s="418"/>
      <c r="AU1669" s="306"/>
      <c r="AV1669" s="306"/>
      <c r="AW1669" s="306"/>
      <c r="AX1669" s="306"/>
      <c r="AY1669" s="306"/>
      <c r="AZ1669" s="306"/>
      <c r="BA1669" s="306"/>
      <c r="BB1669" s="306"/>
    </row>
    <row r="1670" spans="1:54" ht="15.75" customHeight="1">
      <c r="A1670" s="317"/>
      <c r="B1670" s="430"/>
      <c r="C1670" s="317"/>
      <c r="E1670" s="306"/>
      <c r="F1670" s="431"/>
      <c r="G1670" s="431"/>
      <c r="H1670" s="298"/>
      <c r="I1670" s="432"/>
      <c r="J1670" s="433"/>
      <c r="K1670" s="306"/>
      <c r="L1670" s="306"/>
      <c r="M1670" s="306"/>
      <c r="N1670" s="298"/>
      <c r="O1670" s="298"/>
      <c r="P1670" s="298"/>
      <c r="Q1670" s="306"/>
      <c r="R1670" s="1023"/>
      <c r="S1670" s="1023"/>
      <c r="T1670" s="306"/>
      <c r="U1670" s="306"/>
      <c r="V1670" s="306"/>
      <c r="W1670" s="306"/>
      <c r="X1670" s="306"/>
      <c r="Y1670" s="306"/>
      <c r="Z1670" s="306"/>
      <c r="AA1670" s="306"/>
      <c r="AB1670" s="306"/>
      <c r="AC1670" s="306"/>
      <c r="AD1670" s="306"/>
      <c r="AE1670" s="306"/>
      <c r="AF1670" s="306"/>
      <c r="AG1670" s="306"/>
      <c r="AH1670" s="306"/>
      <c r="AI1670" s="306"/>
      <c r="AJ1670" s="306"/>
      <c r="AK1670" s="306"/>
      <c r="AL1670" s="306"/>
      <c r="AM1670" s="418"/>
      <c r="AN1670" s="418"/>
      <c r="AO1670" s="306"/>
      <c r="AP1670" s="306"/>
      <c r="AQ1670" s="418"/>
      <c r="AR1670" s="306"/>
      <c r="AS1670" s="306"/>
      <c r="AT1670" s="418"/>
      <c r="AU1670" s="306"/>
      <c r="AV1670" s="306"/>
      <c r="AW1670" s="306"/>
      <c r="AX1670" s="306"/>
      <c r="AY1670" s="306"/>
      <c r="AZ1670" s="306"/>
      <c r="BA1670" s="306"/>
      <c r="BB1670" s="306"/>
    </row>
    <row r="1671" spans="1:54" ht="15.75" customHeight="1">
      <c r="A1671" s="317"/>
      <c r="B1671" s="430"/>
      <c r="C1671" s="317"/>
      <c r="E1671" s="306"/>
      <c r="F1671" s="431"/>
      <c r="G1671" s="431"/>
      <c r="H1671" s="298"/>
      <c r="I1671" s="432"/>
      <c r="J1671" s="433"/>
      <c r="K1671" s="306"/>
      <c r="L1671" s="306"/>
      <c r="M1671" s="306"/>
      <c r="N1671" s="298"/>
      <c r="O1671" s="298"/>
      <c r="P1671" s="298"/>
      <c r="Q1671" s="306"/>
      <c r="R1671" s="1023"/>
      <c r="S1671" s="1023"/>
      <c r="T1671" s="306"/>
      <c r="U1671" s="306"/>
      <c r="V1671" s="306"/>
      <c r="W1671" s="306"/>
      <c r="X1671" s="306"/>
      <c r="Y1671" s="306"/>
      <c r="Z1671" s="306"/>
      <c r="AA1671" s="306"/>
      <c r="AB1671" s="306"/>
      <c r="AC1671" s="306"/>
      <c r="AD1671" s="306"/>
      <c r="AE1671" s="306"/>
      <c r="AF1671" s="306"/>
      <c r="AG1671" s="306"/>
      <c r="AH1671" s="306"/>
      <c r="AI1671" s="306"/>
      <c r="AJ1671" s="306"/>
      <c r="AK1671" s="306"/>
      <c r="AL1671" s="306"/>
      <c r="AM1671" s="418"/>
      <c r="AN1671" s="418"/>
      <c r="AO1671" s="306"/>
      <c r="AP1671" s="306"/>
      <c r="AQ1671" s="418"/>
      <c r="AR1671" s="306"/>
      <c r="AS1671" s="306"/>
      <c r="AT1671" s="418"/>
      <c r="AU1671" s="306"/>
      <c r="AV1671" s="306"/>
      <c r="AW1671" s="306"/>
      <c r="AX1671" s="306"/>
      <c r="AY1671" s="306"/>
      <c r="AZ1671" s="306"/>
      <c r="BA1671" s="306"/>
      <c r="BB1671" s="306"/>
    </row>
    <row r="1672" spans="1:54" ht="15.75" customHeight="1">
      <c r="A1672" s="317"/>
      <c r="B1672" s="430"/>
      <c r="C1672" s="317"/>
      <c r="E1672" s="306"/>
      <c r="F1672" s="431"/>
      <c r="G1672" s="431"/>
      <c r="H1672" s="298"/>
      <c r="I1672" s="431"/>
      <c r="J1672" s="435"/>
      <c r="K1672" s="306"/>
      <c r="L1672" s="306"/>
      <c r="M1672" s="306"/>
      <c r="N1672" s="298"/>
      <c r="O1672" s="298"/>
      <c r="P1672" s="298"/>
      <c r="Q1672" s="306"/>
      <c r="R1672" s="1023"/>
      <c r="S1672" s="1023"/>
      <c r="T1672" s="306"/>
      <c r="U1672" s="306"/>
      <c r="V1672" s="306"/>
      <c r="W1672" s="306"/>
      <c r="X1672" s="306"/>
      <c r="Y1672" s="306"/>
      <c r="Z1672" s="306"/>
      <c r="AA1672" s="306"/>
      <c r="AB1672" s="306"/>
      <c r="AC1672" s="306"/>
      <c r="AD1672" s="306"/>
      <c r="AE1672" s="306"/>
      <c r="AF1672" s="306"/>
      <c r="AG1672" s="306"/>
      <c r="AH1672" s="306"/>
      <c r="AI1672" s="306"/>
      <c r="AJ1672" s="306"/>
      <c r="AK1672" s="306"/>
      <c r="AL1672" s="306"/>
      <c r="AM1672" s="418"/>
      <c r="AN1672" s="418"/>
      <c r="AO1672" s="306"/>
      <c r="AP1672" s="306"/>
      <c r="AQ1672" s="418"/>
      <c r="AR1672" s="306"/>
      <c r="AS1672" s="306"/>
      <c r="AT1672" s="418"/>
      <c r="AU1672" s="306"/>
      <c r="AV1672" s="306"/>
      <c r="AW1672" s="306"/>
      <c r="AX1672" s="306"/>
      <c r="AY1672" s="306"/>
      <c r="AZ1672" s="306"/>
      <c r="BA1672" s="306"/>
      <c r="BB1672" s="306"/>
    </row>
    <row r="1673" spans="1:54" ht="15.75" customHeight="1">
      <c r="A1673" s="317"/>
      <c r="B1673" s="430"/>
      <c r="C1673" s="317"/>
      <c r="E1673" s="306"/>
      <c r="F1673" s="431"/>
      <c r="G1673" s="431"/>
      <c r="H1673" s="298"/>
      <c r="I1673" s="432"/>
      <c r="J1673" s="433"/>
      <c r="K1673" s="306"/>
      <c r="L1673" s="306"/>
      <c r="M1673" s="306"/>
      <c r="N1673" s="306"/>
      <c r="O1673" s="298"/>
      <c r="P1673" s="298"/>
      <c r="Q1673" s="306"/>
      <c r="R1673" s="1023"/>
      <c r="S1673" s="1023"/>
      <c r="T1673" s="306"/>
      <c r="U1673" s="306"/>
      <c r="V1673" s="306"/>
      <c r="W1673" s="306"/>
      <c r="X1673" s="306"/>
      <c r="Y1673" s="306"/>
      <c r="Z1673" s="306"/>
      <c r="AA1673" s="306"/>
      <c r="AB1673" s="306"/>
      <c r="AC1673" s="306"/>
      <c r="AD1673" s="306"/>
      <c r="AE1673" s="306"/>
      <c r="AF1673" s="306"/>
      <c r="AG1673" s="306"/>
      <c r="AH1673" s="306"/>
      <c r="AI1673" s="306"/>
      <c r="AJ1673" s="306"/>
      <c r="AK1673" s="306"/>
      <c r="AL1673" s="306"/>
      <c r="AM1673" s="418"/>
      <c r="AN1673" s="418"/>
      <c r="AO1673" s="306"/>
      <c r="AP1673" s="306"/>
      <c r="AQ1673" s="418"/>
      <c r="AR1673" s="306"/>
      <c r="AS1673" s="306"/>
      <c r="AT1673" s="418"/>
      <c r="AU1673" s="306"/>
      <c r="AV1673" s="306"/>
      <c r="AW1673" s="306"/>
      <c r="AX1673" s="306"/>
      <c r="AY1673" s="306"/>
      <c r="AZ1673" s="306"/>
      <c r="BA1673" s="306"/>
      <c r="BB1673" s="306"/>
    </row>
    <row r="1674" spans="1:54" ht="15.75" customHeight="1">
      <c r="A1674" s="317"/>
      <c r="B1674" s="430"/>
      <c r="C1674" s="317"/>
      <c r="E1674" s="306"/>
      <c r="F1674" s="431"/>
      <c r="G1674" s="431"/>
      <c r="H1674" s="298"/>
      <c r="I1674" s="432"/>
      <c r="J1674" s="433"/>
      <c r="K1674" s="306"/>
      <c r="L1674" s="306"/>
      <c r="M1674" s="306"/>
      <c r="N1674" s="298"/>
      <c r="O1674" s="298"/>
      <c r="P1674" s="298"/>
      <c r="Q1674" s="306"/>
      <c r="R1674" s="1023"/>
      <c r="S1674" s="1023"/>
      <c r="T1674" s="306"/>
      <c r="U1674" s="306"/>
      <c r="V1674" s="306"/>
      <c r="W1674" s="306"/>
      <c r="X1674" s="306"/>
      <c r="Y1674" s="306"/>
      <c r="Z1674" s="306"/>
      <c r="AA1674" s="306"/>
      <c r="AB1674" s="306"/>
      <c r="AC1674" s="306"/>
      <c r="AD1674" s="306"/>
      <c r="AE1674" s="306"/>
      <c r="AF1674" s="306"/>
      <c r="AG1674" s="306"/>
      <c r="AH1674" s="306"/>
      <c r="AI1674" s="306"/>
      <c r="AJ1674" s="306"/>
      <c r="AK1674" s="306"/>
      <c r="AL1674" s="306"/>
      <c r="AM1674" s="418"/>
      <c r="AN1674" s="418"/>
      <c r="AO1674" s="306"/>
      <c r="AP1674" s="306"/>
      <c r="AQ1674" s="418"/>
      <c r="AR1674" s="306"/>
      <c r="AS1674" s="306"/>
      <c r="AT1674" s="418"/>
      <c r="AU1674" s="306"/>
      <c r="AV1674" s="306"/>
      <c r="AW1674" s="306"/>
      <c r="AX1674" s="306"/>
      <c r="AY1674" s="306"/>
      <c r="AZ1674" s="306"/>
      <c r="BA1674" s="306"/>
      <c r="BB1674" s="306"/>
    </row>
    <row r="1675" spans="1:54" ht="15.75" customHeight="1">
      <c r="A1675" s="317"/>
      <c r="B1675" s="430"/>
      <c r="C1675" s="317"/>
      <c r="E1675" s="306"/>
      <c r="F1675" s="431"/>
      <c r="G1675" s="431"/>
      <c r="H1675" s="298"/>
      <c r="I1675" s="432"/>
      <c r="J1675" s="433"/>
      <c r="K1675" s="306"/>
      <c r="L1675" s="306"/>
      <c r="M1675" s="306"/>
      <c r="N1675" s="298"/>
      <c r="O1675" s="298"/>
      <c r="P1675" s="298"/>
      <c r="Q1675" s="306"/>
      <c r="R1675" s="1023"/>
      <c r="S1675" s="1023"/>
      <c r="T1675" s="306"/>
      <c r="U1675" s="306"/>
      <c r="V1675" s="306"/>
      <c r="W1675" s="306"/>
      <c r="X1675" s="306"/>
      <c r="Y1675" s="306"/>
      <c r="Z1675" s="306"/>
      <c r="AA1675" s="306"/>
      <c r="AB1675" s="306"/>
      <c r="AC1675" s="306"/>
      <c r="AD1675" s="306"/>
      <c r="AE1675" s="306"/>
      <c r="AF1675" s="306"/>
      <c r="AG1675" s="306"/>
      <c r="AH1675" s="306"/>
      <c r="AI1675" s="306"/>
      <c r="AJ1675" s="306"/>
      <c r="AK1675" s="306"/>
      <c r="AL1675" s="306"/>
      <c r="AM1675" s="418"/>
      <c r="AN1675" s="418"/>
      <c r="AO1675" s="306"/>
      <c r="AP1675" s="306"/>
      <c r="AQ1675" s="418"/>
      <c r="AR1675" s="306"/>
      <c r="AS1675" s="306"/>
      <c r="AT1675" s="418"/>
      <c r="AU1675" s="306"/>
      <c r="AV1675" s="306"/>
      <c r="AW1675" s="306"/>
      <c r="AX1675" s="306"/>
      <c r="AY1675" s="306"/>
      <c r="AZ1675" s="306"/>
      <c r="BA1675" s="306"/>
      <c r="BB1675" s="306"/>
    </row>
    <row r="1676" spans="1:54" ht="15.75" customHeight="1">
      <c r="A1676" s="317"/>
      <c r="B1676" s="430"/>
      <c r="C1676" s="317"/>
      <c r="E1676" s="306"/>
      <c r="F1676" s="431"/>
      <c r="G1676" s="431"/>
      <c r="H1676" s="298"/>
      <c r="I1676" s="432"/>
      <c r="J1676" s="433"/>
      <c r="K1676" s="306"/>
      <c r="L1676" s="306"/>
      <c r="M1676" s="306"/>
      <c r="N1676" s="298"/>
      <c r="O1676" s="306"/>
      <c r="P1676" s="298"/>
      <c r="Q1676" s="306"/>
      <c r="R1676" s="1023"/>
      <c r="S1676" s="1023"/>
      <c r="T1676" s="306"/>
      <c r="U1676" s="306"/>
      <c r="V1676" s="306"/>
      <c r="W1676" s="306"/>
      <c r="X1676" s="306"/>
      <c r="Y1676" s="306"/>
      <c r="Z1676" s="306"/>
      <c r="AA1676" s="306"/>
      <c r="AB1676" s="306"/>
      <c r="AC1676" s="306"/>
      <c r="AD1676" s="306"/>
      <c r="AE1676" s="306"/>
      <c r="AF1676" s="306"/>
      <c r="AG1676" s="306"/>
      <c r="AH1676" s="306"/>
      <c r="AI1676" s="306"/>
      <c r="AJ1676" s="306"/>
      <c r="AK1676" s="306"/>
      <c r="AL1676" s="306"/>
      <c r="AM1676" s="418"/>
      <c r="AN1676" s="418"/>
      <c r="AO1676" s="306"/>
      <c r="AP1676" s="306"/>
      <c r="AQ1676" s="418"/>
      <c r="AR1676" s="306"/>
      <c r="AS1676" s="306"/>
      <c r="AT1676" s="418"/>
      <c r="AU1676" s="306"/>
      <c r="AV1676" s="306"/>
      <c r="AW1676" s="306"/>
      <c r="AX1676" s="306"/>
      <c r="AY1676" s="306"/>
      <c r="AZ1676" s="306"/>
      <c r="BA1676" s="306"/>
      <c r="BB1676" s="306"/>
    </row>
    <row r="1677" spans="1:54" ht="15.75" customHeight="1">
      <c r="A1677" s="317"/>
      <c r="B1677" s="430"/>
      <c r="C1677" s="317"/>
      <c r="E1677" s="306"/>
      <c r="F1677" s="431"/>
      <c r="G1677" s="431"/>
      <c r="H1677" s="298"/>
      <c r="I1677" s="432"/>
      <c r="J1677" s="433"/>
      <c r="K1677" s="306"/>
      <c r="L1677" s="306"/>
      <c r="M1677" s="306"/>
      <c r="N1677" s="298"/>
      <c r="O1677" s="306"/>
      <c r="P1677" s="298"/>
      <c r="Q1677" s="306"/>
      <c r="R1677" s="1023"/>
      <c r="S1677" s="1023"/>
      <c r="T1677" s="306"/>
      <c r="U1677" s="306"/>
      <c r="V1677" s="306"/>
      <c r="W1677" s="306"/>
      <c r="X1677" s="306"/>
      <c r="Y1677" s="306"/>
      <c r="Z1677" s="306"/>
      <c r="AA1677" s="306"/>
      <c r="AB1677" s="306"/>
      <c r="AC1677" s="306"/>
      <c r="AD1677" s="306"/>
      <c r="AE1677" s="306"/>
      <c r="AF1677" s="306"/>
      <c r="AG1677" s="306"/>
      <c r="AH1677" s="306"/>
      <c r="AI1677" s="306"/>
      <c r="AJ1677" s="306"/>
      <c r="AK1677" s="306"/>
      <c r="AL1677" s="306"/>
      <c r="AM1677" s="418"/>
      <c r="AN1677" s="418"/>
      <c r="AO1677" s="306"/>
      <c r="AP1677" s="306"/>
      <c r="AQ1677" s="418"/>
      <c r="AR1677" s="306"/>
      <c r="AS1677" s="306"/>
      <c r="AT1677" s="418"/>
      <c r="AU1677" s="306"/>
      <c r="AV1677" s="306"/>
      <c r="AW1677" s="306"/>
      <c r="AX1677" s="306"/>
      <c r="AY1677" s="306"/>
      <c r="AZ1677" s="306"/>
      <c r="BA1677" s="306"/>
      <c r="BB1677" s="306"/>
    </row>
    <row r="1678" spans="1:54" ht="15.75" customHeight="1">
      <c r="A1678" s="317"/>
      <c r="B1678" s="430"/>
      <c r="C1678" s="317"/>
      <c r="E1678" s="306"/>
      <c r="F1678" s="431"/>
      <c r="G1678" s="431"/>
      <c r="H1678" s="298"/>
      <c r="I1678" s="432"/>
      <c r="J1678" s="433"/>
      <c r="K1678" s="306"/>
      <c r="L1678" s="306"/>
      <c r="M1678" s="306"/>
      <c r="N1678" s="298"/>
      <c r="O1678" s="306"/>
      <c r="P1678" s="298"/>
      <c r="Q1678" s="306"/>
      <c r="R1678" s="1023"/>
      <c r="S1678" s="1023"/>
      <c r="T1678" s="306"/>
      <c r="U1678" s="306"/>
      <c r="V1678" s="306"/>
      <c r="W1678" s="306"/>
      <c r="X1678" s="306"/>
      <c r="Y1678" s="306"/>
      <c r="Z1678" s="306"/>
      <c r="AA1678" s="306"/>
      <c r="AB1678" s="306"/>
      <c r="AC1678" s="306"/>
      <c r="AD1678" s="306"/>
      <c r="AE1678" s="306"/>
      <c r="AF1678" s="306"/>
      <c r="AG1678" s="306"/>
      <c r="AH1678" s="306"/>
      <c r="AI1678" s="306"/>
      <c r="AJ1678" s="306"/>
      <c r="AK1678" s="306"/>
      <c r="AL1678" s="306"/>
      <c r="AM1678" s="418"/>
      <c r="AN1678" s="418"/>
      <c r="AO1678" s="306"/>
      <c r="AP1678" s="306"/>
      <c r="AQ1678" s="418"/>
      <c r="AR1678" s="306"/>
      <c r="AS1678" s="306"/>
      <c r="AT1678" s="418"/>
      <c r="AU1678" s="306"/>
      <c r="AV1678" s="306"/>
      <c r="AW1678" s="306"/>
      <c r="AX1678" s="306"/>
      <c r="AY1678" s="306"/>
      <c r="AZ1678" s="306"/>
      <c r="BA1678" s="306"/>
      <c r="BB1678" s="306"/>
    </row>
    <row r="1679" spans="1:54" ht="15.75" customHeight="1">
      <c r="A1679" s="317"/>
      <c r="B1679" s="430"/>
      <c r="C1679" s="317"/>
      <c r="E1679" s="306"/>
      <c r="F1679" s="431"/>
      <c r="G1679" s="431"/>
      <c r="H1679" s="298"/>
      <c r="I1679" s="432"/>
      <c r="J1679" s="433"/>
      <c r="K1679" s="306"/>
      <c r="L1679" s="306"/>
      <c r="M1679" s="306"/>
      <c r="N1679" s="298"/>
      <c r="O1679" s="306"/>
      <c r="P1679" s="298"/>
      <c r="Q1679" s="306"/>
      <c r="R1679" s="1023"/>
      <c r="S1679" s="1023"/>
      <c r="T1679" s="306"/>
      <c r="U1679" s="306"/>
      <c r="V1679" s="306"/>
      <c r="W1679" s="306"/>
      <c r="X1679" s="306"/>
      <c r="Y1679" s="306"/>
      <c r="Z1679" s="306"/>
      <c r="AA1679" s="306"/>
      <c r="AB1679" s="306"/>
      <c r="AC1679" s="306"/>
      <c r="AD1679" s="306"/>
      <c r="AE1679" s="306"/>
      <c r="AF1679" s="306"/>
      <c r="AG1679" s="306"/>
      <c r="AH1679" s="306"/>
      <c r="AI1679" s="306"/>
      <c r="AJ1679" s="306"/>
      <c r="AK1679" s="306"/>
      <c r="AL1679" s="306"/>
      <c r="AM1679" s="418"/>
      <c r="AN1679" s="418"/>
      <c r="AO1679" s="306"/>
      <c r="AP1679" s="306"/>
      <c r="AQ1679" s="418"/>
      <c r="AR1679" s="306"/>
      <c r="AS1679" s="306"/>
      <c r="AT1679" s="418"/>
      <c r="AU1679" s="306"/>
      <c r="AV1679" s="306"/>
      <c r="AW1679" s="306"/>
      <c r="AX1679" s="306"/>
      <c r="AY1679" s="306"/>
      <c r="AZ1679" s="306"/>
      <c r="BA1679" s="306"/>
      <c r="BB1679" s="306"/>
    </row>
    <row r="1680" spans="1:54" ht="15.75" customHeight="1">
      <c r="A1680" s="317"/>
      <c r="B1680" s="430"/>
      <c r="C1680" s="317"/>
      <c r="E1680" s="306"/>
      <c r="F1680" s="431"/>
      <c r="G1680" s="431"/>
      <c r="H1680" s="298"/>
      <c r="I1680" s="432"/>
      <c r="J1680" s="433"/>
      <c r="K1680" s="306"/>
      <c r="L1680" s="306"/>
      <c r="M1680" s="306"/>
      <c r="N1680" s="298"/>
      <c r="O1680" s="306"/>
      <c r="P1680" s="298"/>
      <c r="Q1680" s="306"/>
      <c r="R1680" s="1023"/>
      <c r="S1680" s="1023"/>
      <c r="T1680" s="306"/>
      <c r="U1680" s="306"/>
      <c r="V1680" s="306"/>
      <c r="W1680" s="306"/>
      <c r="X1680" s="306"/>
      <c r="Y1680" s="306"/>
      <c r="Z1680" s="306"/>
      <c r="AA1680" s="306"/>
      <c r="AB1680" s="306"/>
      <c r="AC1680" s="306"/>
      <c r="AD1680" s="306"/>
      <c r="AE1680" s="306"/>
      <c r="AF1680" s="306"/>
      <c r="AG1680" s="306"/>
      <c r="AH1680" s="306"/>
      <c r="AI1680" s="306"/>
      <c r="AJ1680" s="306"/>
      <c r="AK1680" s="306"/>
      <c r="AL1680" s="306"/>
      <c r="AM1680" s="418"/>
      <c r="AN1680" s="418"/>
      <c r="AO1680" s="306"/>
      <c r="AP1680" s="306"/>
      <c r="AQ1680" s="418"/>
      <c r="AR1680" s="306"/>
      <c r="AS1680" s="306"/>
      <c r="AT1680" s="418"/>
      <c r="AU1680" s="306"/>
      <c r="AV1680" s="306"/>
      <c r="AW1680" s="306"/>
      <c r="AX1680" s="306"/>
      <c r="AY1680" s="306"/>
      <c r="AZ1680" s="306"/>
      <c r="BA1680" s="306"/>
      <c r="BB1680" s="306"/>
    </row>
    <row r="1681" spans="1:54" ht="15.75" customHeight="1">
      <c r="A1681" s="317"/>
      <c r="B1681" s="430"/>
      <c r="C1681" s="317"/>
      <c r="E1681" s="306"/>
      <c r="F1681" s="431"/>
      <c r="G1681" s="431"/>
      <c r="H1681" s="298"/>
      <c r="I1681" s="432"/>
      <c r="J1681" s="433"/>
      <c r="K1681" s="306"/>
      <c r="L1681" s="306"/>
      <c r="M1681" s="306"/>
      <c r="N1681" s="298"/>
      <c r="O1681" s="298"/>
      <c r="P1681" s="298"/>
      <c r="Q1681" s="306"/>
      <c r="R1681" s="1023"/>
      <c r="S1681" s="1023"/>
      <c r="T1681" s="306"/>
      <c r="U1681" s="306"/>
      <c r="V1681" s="306"/>
      <c r="W1681" s="306"/>
      <c r="X1681" s="306"/>
      <c r="Y1681" s="306"/>
      <c r="Z1681" s="306"/>
      <c r="AA1681" s="306"/>
      <c r="AB1681" s="306"/>
      <c r="AC1681" s="306"/>
      <c r="AD1681" s="306"/>
      <c r="AE1681" s="306"/>
      <c r="AF1681" s="306"/>
      <c r="AG1681" s="306"/>
      <c r="AH1681" s="306"/>
      <c r="AI1681" s="306"/>
      <c r="AJ1681" s="306"/>
      <c r="AK1681" s="306"/>
      <c r="AL1681" s="306"/>
      <c r="AM1681" s="418"/>
      <c r="AN1681" s="418"/>
      <c r="AO1681" s="306"/>
      <c r="AP1681" s="306"/>
      <c r="AQ1681" s="418"/>
      <c r="AR1681" s="306"/>
      <c r="AS1681" s="306"/>
      <c r="AT1681" s="418"/>
      <c r="AU1681" s="306"/>
      <c r="AV1681" s="306"/>
      <c r="AW1681" s="306"/>
      <c r="AX1681" s="306"/>
      <c r="AY1681" s="306"/>
      <c r="AZ1681" s="306"/>
      <c r="BA1681" s="306"/>
      <c r="BB1681" s="306"/>
    </row>
    <row r="1682" spans="1:54" ht="15.75" customHeight="1">
      <c r="A1682" s="317"/>
      <c r="B1682" s="430"/>
      <c r="C1682" s="317"/>
      <c r="E1682" s="306"/>
      <c r="F1682" s="431"/>
      <c r="G1682" s="431"/>
      <c r="H1682" s="298"/>
      <c r="I1682" s="432"/>
      <c r="J1682" s="433"/>
      <c r="K1682" s="306"/>
      <c r="L1682" s="306"/>
      <c r="M1682" s="306"/>
      <c r="N1682" s="298"/>
      <c r="O1682" s="298"/>
      <c r="P1682" s="298"/>
      <c r="Q1682" s="306"/>
      <c r="R1682" s="1023"/>
      <c r="S1682" s="1023"/>
      <c r="T1682" s="306"/>
      <c r="U1682" s="306"/>
      <c r="V1682" s="306"/>
      <c r="W1682" s="306"/>
      <c r="X1682" s="306"/>
      <c r="Y1682" s="306"/>
      <c r="Z1682" s="306"/>
      <c r="AA1682" s="306"/>
      <c r="AB1682" s="306"/>
      <c r="AC1682" s="306"/>
      <c r="AD1682" s="306"/>
      <c r="AE1682" s="306"/>
      <c r="AF1682" s="306"/>
      <c r="AG1682" s="306"/>
      <c r="AH1682" s="306"/>
      <c r="AI1682" s="306"/>
      <c r="AJ1682" s="306"/>
      <c r="AK1682" s="306"/>
      <c r="AL1682" s="306"/>
      <c r="AM1682" s="418"/>
      <c r="AN1682" s="418"/>
      <c r="AO1682" s="306"/>
      <c r="AP1682" s="306"/>
      <c r="AQ1682" s="418"/>
      <c r="AR1682" s="306"/>
      <c r="AS1682" s="306"/>
      <c r="AT1682" s="418"/>
      <c r="AU1682" s="306"/>
      <c r="AV1682" s="306"/>
      <c r="AW1682" s="306"/>
      <c r="AX1682" s="306"/>
      <c r="AY1682" s="306"/>
      <c r="AZ1682" s="306"/>
      <c r="BA1682" s="306"/>
      <c r="BB1682" s="306"/>
    </row>
    <row r="1683" spans="1:54" ht="15.75" customHeight="1">
      <c r="A1683" s="317"/>
      <c r="B1683" s="430"/>
      <c r="C1683" s="317"/>
      <c r="E1683" s="306"/>
      <c r="F1683" s="431"/>
      <c r="G1683" s="431"/>
      <c r="H1683" s="298"/>
      <c r="I1683" s="432"/>
      <c r="J1683" s="433"/>
      <c r="K1683" s="306"/>
      <c r="L1683" s="306"/>
      <c r="M1683" s="306"/>
      <c r="N1683" s="298"/>
      <c r="O1683" s="298"/>
      <c r="P1683" s="298"/>
      <c r="Q1683" s="306"/>
      <c r="R1683" s="1023"/>
      <c r="S1683" s="1023"/>
      <c r="T1683" s="306"/>
      <c r="U1683" s="306"/>
      <c r="V1683" s="306"/>
      <c r="W1683" s="306"/>
      <c r="X1683" s="306"/>
      <c r="Y1683" s="306"/>
      <c r="Z1683" s="306"/>
      <c r="AA1683" s="306"/>
      <c r="AB1683" s="306"/>
      <c r="AC1683" s="306"/>
      <c r="AD1683" s="306"/>
      <c r="AE1683" s="306"/>
      <c r="AF1683" s="306"/>
      <c r="AG1683" s="306"/>
      <c r="AH1683" s="306"/>
      <c r="AI1683" s="306"/>
      <c r="AJ1683" s="306"/>
      <c r="AK1683" s="306"/>
      <c r="AL1683" s="306"/>
      <c r="AM1683" s="418"/>
      <c r="AN1683" s="418"/>
      <c r="AO1683" s="306"/>
      <c r="AP1683" s="306"/>
      <c r="AQ1683" s="418"/>
      <c r="AR1683" s="306"/>
      <c r="AS1683" s="306"/>
      <c r="AT1683" s="418"/>
      <c r="AU1683" s="306"/>
      <c r="AV1683" s="306"/>
      <c r="AW1683" s="306"/>
      <c r="AX1683" s="306"/>
      <c r="AY1683" s="306"/>
      <c r="AZ1683" s="306"/>
      <c r="BA1683" s="306"/>
      <c r="BB1683" s="306"/>
    </row>
    <row r="1684" spans="1:54" ht="15.75" customHeight="1">
      <c r="A1684" s="317"/>
      <c r="B1684" s="430"/>
      <c r="C1684" s="317"/>
      <c r="E1684" s="306"/>
      <c r="F1684" s="431"/>
      <c r="G1684" s="431"/>
      <c r="H1684" s="298"/>
      <c r="I1684" s="432"/>
      <c r="J1684" s="433"/>
      <c r="K1684" s="306"/>
      <c r="L1684" s="306"/>
      <c r="M1684" s="306"/>
      <c r="N1684" s="298"/>
      <c r="O1684" s="298"/>
      <c r="P1684" s="298"/>
      <c r="Q1684" s="306"/>
      <c r="R1684" s="1023"/>
      <c r="S1684" s="1023"/>
      <c r="T1684" s="306"/>
      <c r="U1684" s="306"/>
      <c r="V1684" s="306"/>
      <c r="W1684" s="306"/>
      <c r="X1684" s="306"/>
      <c r="Y1684" s="306"/>
      <c r="Z1684" s="306"/>
      <c r="AA1684" s="306"/>
      <c r="AB1684" s="306"/>
      <c r="AC1684" s="306"/>
      <c r="AD1684" s="306"/>
      <c r="AE1684" s="306"/>
      <c r="AF1684" s="306"/>
      <c r="AG1684" s="306"/>
      <c r="AH1684" s="306"/>
      <c r="AI1684" s="306"/>
      <c r="AJ1684" s="306"/>
      <c r="AK1684" s="306"/>
      <c r="AL1684" s="306"/>
      <c r="AM1684" s="418"/>
      <c r="AN1684" s="418"/>
      <c r="AO1684" s="306"/>
      <c r="AP1684" s="306"/>
      <c r="AQ1684" s="418"/>
      <c r="AR1684" s="306"/>
      <c r="AS1684" s="306"/>
      <c r="AT1684" s="418"/>
      <c r="AU1684" s="306"/>
      <c r="AV1684" s="306"/>
      <c r="AW1684" s="306"/>
      <c r="AX1684" s="306"/>
      <c r="AY1684" s="306"/>
      <c r="AZ1684" s="306"/>
      <c r="BA1684" s="306"/>
      <c r="BB1684" s="306"/>
    </row>
    <row r="1685" spans="1:54" ht="15.75" customHeight="1">
      <c r="A1685" s="317"/>
      <c r="B1685" s="430"/>
      <c r="C1685" s="317"/>
      <c r="E1685" s="306"/>
      <c r="F1685" s="431"/>
      <c r="G1685" s="431"/>
      <c r="H1685" s="298"/>
      <c r="I1685" s="432"/>
      <c r="J1685" s="433"/>
      <c r="K1685" s="306"/>
      <c r="L1685" s="306"/>
      <c r="M1685" s="306"/>
      <c r="N1685" s="298"/>
      <c r="O1685" s="298"/>
      <c r="P1685" s="298"/>
      <c r="Q1685" s="306"/>
      <c r="R1685" s="1023"/>
      <c r="S1685" s="1023"/>
      <c r="T1685" s="306"/>
      <c r="U1685" s="306"/>
      <c r="V1685" s="306"/>
      <c r="W1685" s="306"/>
      <c r="X1685" s="306"/>
      <c r="Y1685" s="306"/>
      <c r="Z1685" s="306"/>
      <c r="AA1685" s="306"/>
      <c r="AB1685" s="306"/>
      <c r="AC1685" s="306"/>
      <c r="AD1685" s="306"/>
      <c r="AE1685" s="306"/>
      <c r="AF1685" s="306"/>
      <c r="AG1685" s="306"/>
      <c r="AH1685" s="306"/>
      <c r="AI1685" s="306"/>
      <c r="AJ1685" s="306"/>
      <c r="AK1685" s="306"/>
      <c r="AL1685" s="306"/>
      <c r="AM1685" s="418"/>
      <c r="AN1685" s="418"/>
      <c r="AO1685" s="306"/>
      <c r="AP1685" s="306"/>
      <c r="AQ1685" s="418"/>
      <c r="AR1685" s="306"/>
      <c r="AS1685" s="306"/>
      <c r="AT1685" s="418"/>
      <c r="AU1685" s="306"/>
      <c r="AV1685" s="306"/>
      <c r="AW1685" s="306"/>
      <c r="AX1685" s="306"/>
      <c r="AY1685" s="306"/>
      <c r="AZ1685" s="306"/>
      <c r="BA1685" s="306"/>
      <c r="BB1685" s="306"/>
    </row>
    <row r="1686" spans="1:54" ht="15.75" customHeight="1">
      <c r="A1686" s="317"/>
      <c r="B1686" s="430"/>
      <c r="C1686" s="317"/>
      <c r="E1686" s="306"/>
      <c r="F1686" s="431"/>
      <c r="G1686" s="431"/>
      <c r="H1686" s="298"/>
      <c r="I1686" s="432"/>
      <c r="J1686" s="433"/>
      <c r="K1686" s="306"/>
      <c r="L1686" s="306"/>
      <c r="M1686" s="306"/>
      <c r="N1686" s="298"/>
      <c r="O1686" s="298"/>
      <c r="P1686" s="298"/>
      <c r="Q1686" s="306"/>
      <c r="R1686" s="1023"/>
      <c r="S1686" s="1023"/>
      <c r="T1686" s="306"/>
      <c r="U1686" s="306"/>
      <c r="V1686" s="306"/>
      <c r="W1686" s="306"/>
      <c r="X1686" s="306"/>
      <c r="Y1686" s="306"/>
      <c r="Z1686" s="306"/>
      <c r="AA1686" s="306"/>
      <c r="AB1686" s="306"/>
      <c r="AC1686" s="306"/>
      <c r="AD1686" s="306"/>
      <c r="AE1686" s="306"/>
      <c r="AF1686" s="306"/>
      <c r="AG1686" s="306"/>
      <c r="AH1686" s="306"/>
      <c r="AI1686" s="306"/>
      <c r="AJ1686" s="306"/>
      <c r="AK1686" s="306"/>
      <c r="AL1686" s="306"/>
      <c r="AM1686" s="418"/>
      <c r="AN1686" s="418"/>
      <c r="AO1686" s="306"/>
      <c r="AP1686" s="306"/>
      <c r="AQ1686" s="418"/>
      <c r="AR1686" s="306"/>
      <c r="AS1686" s="306"/>
      <c r="AT1686" s="418"/>
      <c r="AU1686" s="306"/>
      <c r="AV1686" s="306"/>
      <c r="AW1686" s="306"/>
      <c r="AX1686" s="306"/>
      <c r="AY1686" s="306"/>
      <c r="AZ1686" s="306"/>
      <c r="BA1686" s="306"/>
      <c r="BB1686" s="306"/>
    </row>
    <row r="1687" spans="1:54" ht="15.75" customHeight="1">
      <c r="A1687" s="317"/>
      <c r="B1687" s="430"/>
      <c r="C1687" s="317"/>
      <c r="E1687" s="306"/>
      <c r="F1687" s="431"/>
      <c r="G1687" s="431"/>
      <c r="H1687" s="298"/>
      <c r="I1687" s="432"/>
      <c r="J1687" s="433"/>
      <c r="K1687" s="306"/>
      <c r="L1687" s="306"/>
      <c r="M1687" s="306"/>
      <c r="N1687" s="298"/>
      <c r="O1687" s="298"/>
      <c r="P1687" s="298"/>
      <c r="Q1687" s="306"/>
      <c r="R1687" s="1023"/>
      <c r="S1687" s="1023"/>
      <c r="T1687" s="306"/>
      <c r="U1687" s="306"/>
      <c r="V1687" s="306"/>
      <c r="W1687" s="306"/>
      <c r="X1687" s="306"/>
      <c r="Y1687" s="306"/>
      <c r="Z1687" s="306"/>
      <c r="AA1687" s="306"/>
      <c r="AB1687" s="306"/>
      <c r="AC1687" s="306"/>
      <c r="AD1687" s="306"/>
      <c r="AE1687" s="306"/>
      <c r="AF1687" s="306"/>
      <c r="AG1687" s="306"/>
      <c r="AH1687" s="306"/>
      <c r="AI1687" s="306"/>
      <c r="AJ1687" s="306"/>
      <c r="AK1687" s="306"/>
      <c r="AL1687" s="306"/>
      <c r="AM1687" s="418"/>
      <c r="AN1687" s="418"/>
      <c r="AO1687" s="306"/>
      <c r="AP1687" s="306"/>
      <c r="AQ1687" s="418"/>
      <c r="AR1687" s="306"/>
      <c r="AS1687" s="306"/>
      <c r="AT1687" s="418"/>
      <c r="AU1687" s="306"/>
      <c r="AV1687" s="306"/>
      <c r="AW1687" s="306"/>
      <c r="AX1687" s="306"/>
      <c r="AY1687" s="306"/>
      <c r="AZ1687" s="306"/>
      <c r="BA1687" s="306"/>
      <c r="BB1687" s="306"/>
    </row>
    <row r="1688" spans="1:54" ht="15.75" customHeight="1">
      <c r="A1688" s="317"/>
      <c r="B1688" s="430"/>
      <c r="C1688" s="317"/>
      <c r="E1688" s="306"/>
      <c r="F1688" s="431"/>
      <c r="G1688" s="431"/>
      <c r="H1688" s="298"/>
      <c r="I1688" s="432"/>
      <c r="J1688" s="433"/>
      <c r="K1688" s="306"/>
      <c r="L1688" s="306"/>
      <c r="M1688" s="306"/>
      <c r="N1688" s="298"/>
      <c r="O1688" s="298"/>
      <c r="P1688" s="298"/>
      <c r="Q1688" s="306"/>
      <c r="R1688" s="1023"/>
      <c r="S1688" s="1023"/>
      <c r="T1688" s="306"/>
      <c r="U1688" s="306"/>
      <c r="V1688" s="306"/>
      <c r="W1688" s="306"/>
      <c r="X1688" s="306"/>
      <c r="Y1688" s="306"/>
      <c r="Z1688" s="306"/>
      <c r="AA1688" s="306"/>
      <c r="AB1688" s="306"/>
      <c r="AC1688" s="306"/>
      <c r="AD1688" s="306"/>
      <c r="AE1688" s="306"/>
      <c r="AF1688" s="306"/>
      <c r="AG1688" s="306"/>
      <c r="AH1688" s="306"/>
      <c r="AI1688" s="306"/>
      <c r="AJ1688" s="306"/>
      <c r="AK1688" s="306"/>
      <c r="AL1688" s="306"/>
      <c r="AM1688" s="418"/>
      <c r="AN1688" s="418"/>
      <c r="AO1688" s="306"/>
      <c r="AP1688" s="306"/>
      <c r="AQ1688" s="418"/>
      <c r="AR1688" s="306"/>
      <c r="AS1688" s="306"/>
      <c r="AT1688" s="418"/>
      <c r="AU1688" s="306"/>
      <c r="AV1688" s="306"/>
      <c r="AW1688" s="306"/>
      <c r="AX1688" s="306"/>
      <c r="AY1688" s="306"/>
      <c r="AZ1688" s="306"/>
      <c r="BA1688" s="306"/>
      <c r="BB1688" s="306"/>
    </row>
    <row r="1689" spans="1:54" ht="15.75" customHeight="1">
      <c r="A1689" s="317"/>
      <c r="B1689" s="430"/>
      <c r="C1689" s="317"/>
      <c r="E1689" s="306"/>
      <c r="F1689" s="431"/>
      <c r="G1689" s="431"/>
      <c r="H1689" s="298"/>
      <c r="I1689" s="432"/>
      <c r="J1689" s="433"/>
      <c r="K1689" s="306"/>
      <c r="L1689" s="306"/>
      <c r="M1689" s="306"/>
      <c r="N1689" s="298"/>
      <c r="O1689" s="298"/>
      <c r="P1689" s="298"/>
      <c r="Q1689" s="306"/>
      <c r="R1689" s="1023"/>
      <c r="S1689" s="1023"/>
      <c r="T1689" s="306"/>
      <c r="U1689" s="306"/>
      <c r="V1689" s="306"/>
      <c r="W1689" s="306"/>
      <c r="X1689" s="306"/>
      <c r="Y1689" s="306"/>
      <c r="Z1689" s="306"/>
      <c r="AA1689" s="306"/>
      <c r="AB1689" s="306"/>
      <c r="AC1689" s="306"/>
      <c r="AD1689" s="306"/>
      <c r="AE1689" s="306"/>
      <c r="AF1689" s="306"/>
      <c r="AG1689" s="306"/>
      <c r="AH1689" s="306"/>
      <c r="AI1689" s="306"/>
      <c r="AJ1689" s="306"/>
      <c r="AK1689" s="306"/>
      <c r="AL1689" s="306"/>
      <c r="AM1689" s="418"/>
      <c r="AN1689" s="418"/>
      <c r="AO1689" s="306"/>
      <c r="AP1689" s="306"/>
      <c r="AQ1689" s="418"/>
      <c r="AR1689" s="306"/>
      <c r="AS1689" s="306"/>
      <c r="AT1689" s="418"/>
      <c r="AU1689" s="306"/>
      <c r="AV1689" s="306"/>
      <c r="AW1689" s="306"/>
      <c r="AX1689" s="306"/>
      <c r="AY1689" s="306"/>
      <c r="AZ1689" s="306"/>
      <c r="BA1689" s="306"/>
      <c r="BB1689" s="306"/>
    </row>
    <row r="1690" spans="1:54" ht="15.75" customHeight="1">
      <c r="A1690" s="317"/>
      <c r="B1690" s="430"/>
      <c r="C1690" s="317"/>
      <c r="E1690" s="306"/>
      <c r="F1690" s="431"/>
      <c r="G1690" s="431"/>
      <c r="H1690" s="298"/>
      <c r="I1690" s="432"/>
      <c r="J1690" s="433"/>
      <c r="K1690" s="306"/>
      <c r="L1690" s="306"/>
      <c r="M1690" s="306"/>
      <c r="N1690" s="298"/>
      <c r="O1690" s="298"/>
      <c r="P1690" s="298"/>
      <c r="Q1690" s="306"/>
      <c r="R1690" s="1023"/>
      <c r="S1690" s="1023"/>
      <c r="T1690" s="306"/>
      <c r="U1690" s="306"/>
      <c r="V1690" s="306"/>
      <c r="W1690" s="306"/>
      <c r="X1690" s="306"/>
      <c r="Y1690" s="306"/>
      <c r="Z1690" s="306"/>
      <c r="AA1690" s="306"/>
      <c r="AB1690" s="306"/>
      <c r="AC1690" s="306"/>
      <c r="AD1690" s="306"/>
      <c r="AE1690" s="306"/>
      <c r="AF1690" s="306"/>
      <c r="AG1690" s="306"/>
      <c r="AH1690" s="306"/>
      <c r="AI1690" s="306"/>
      <c r="AJ1690" s="306"/>
      <c r="AK1690" s="306"/>
      <c r="AL1690" s="306"/>
      <c r="AM1690" s="418"/>
      <c r="AN1690" s="418"/>
      <c r="AO1690" s="306"/>
      <c r="AP1690" s="306"/>
      <c r="AQ1690" s="418"/>
      <c r="AR1690" s="306"/>
      <c r="AS1690" s="306"/>
      <c r="AT1690" s="418"/>
      <c r="AU1690" s="306"/>
      <c r="AV1690" s="306"/>
      <c r="AW1690" s="306"/>
      <c r="AX1690" s="306"/>
      <c r="AY1690" s="306"/>
      <c r="AZ1690" s="306"/>
      <c r="BA1690" s="306"/>
      <c r="BB1690" s="306"/>
    </row>
    <row r="1691" spans="1:54" ht="15.75" customHeight="1">
      <c r="A1691" s="317"/>
      <c r="B1691" s="430"/>
      <c r="C1691" s="317"/>
      <c r="E1691" s="306"/>
      <c r="F1691" s="431"/>
      <c r="G1691" s="431"/>
      <c r="H1691" s="298"/>
      <c r="I1691" s="432"/>
      <c r="J1691" s="433"/>
      <c r="K1691" s="306"/>
      <c r="L1691" s="306"/>
      <c r="M1691" s="306"/>
      <c r="N1691" s="298"/>
      <c r="O1691" s="298"/>
      <c r="P1691" s="298"/>
      <c r="Q1691" s="306"/>
      <c r="R1691" s="1023"/>
      <c r="S1691" s="1023"/>
      <c r="T1691" s="306"/>
      <c r="U1691" s="306"/>
      <c r="V1691" s="306"/>
      <c r="W1691" s="306"/>
      <c r="X1691" s="306"/>
      <c r="Y1691" s="306"/>
      <c r="Z1691" s="306"/>
      <c r="AA1691" s="306"/>
      <c r="AB1691" s="306"/>
      <c r="AC1691" s="306"/>
      <c r="AD1691" s="306"/>
      <c r="AE1691" s="306"/>
      <c r="AF1691" s="306"/>
      <c r="AG1691" s="306"/>
      <c r="AH1691" s="306"/>
      <c r="AI1691" s="306"/>
      <c r="AJ1691" s="306"/>
      <c r="AK1691" s="306"/>
      <c r="AL1691" s="306"/>
      <c r="AM1691" s="418"/>
      <c r="AN1691" s="418"/>
      <c r="AO1691" s="306"/>
      <c r="AP1691" s="306"/>
      <c r="AQ1691" s="418"/>
      <c r="AR1691" s="306"/>
      <c r="AS1691" s="306"/>
      <c r="AT1691" s="418"/>
      <c r="AU1691" s="306"/>
      <c r="AV1691" s="306"/>
      <c r="AW1691" s="306"/>
      <c r="AX1691" s="306"/>
      <c r="AY1691" s="306"/>
      <c r="AZ1691" s="306"/>
      <c r="BA1691" s="306"/>
      <c r="BB1691" s="306"/>
    </row>
    <row r="1692" spans="1:54" ht="15.75" customHeight="1">
      <c r="A1692" s="317"/>
      <c r="B1692" s="430"/>
      <c r="C1692" s="317"/>
      <c r="E1692" s="306"/>
      <c r="F1692" s="431"/>
      <c r="G1692" s="431"/>
      <c r="H1692" s="298"/>
      <c r="I1692" s="432"/>
      <c r="J1692" s="433"/>
      <c r="K1692" s="306"/>
      <c r="L1692" s="306"/>
      <c r="M1692" s="306"/>
      <c r="N1692" s="298"/>
      <c r="O1692" s="298"/>
      <c r="P1692" s="298"/>
      <c r="Q1692" s="306"/>
      <c r="R1692" s="1023"/>
      <c r="S1692" s="1023"/>
      <c r="T1692" s="306"/>
      <c r="U1692" s="306"/>
      <c r="V1692" s="306"/>
      <c r="W1692" s="306"/>
      <c r="X1692" s="306"/>
      <c r="Y1692" s="306"/>
      <c r="Z1692" s="306"/>
      <c r="AA1692" s="306"/>
      <c r="AB1692" s="306"/>
      <c r="AC1692" s="306"/>
      <c r="AD1692" s="306"/>
      <c r="AE1692" s="306"/>
      <c r="AF1692" s="306"/>
      <c r="AG1692" s="306"/>
      <c r="AH1692" s="306"/>
      <c r="AI1692" s="306"/>
      <c r="AJ1692" s="306"/>
      <c r="AK1692" s="306"/>
      <c r="AL1692" s="306"/>
      <c r="AM1692" s="418"/>
      <c r="AN1692" s="418"/>
      <c r="AO1692" s="306"/>
      <c r="AP1692" s="306"/>
      <c r="AQ1692" s="418"/>
      <c r="AR1692" s="306"/>
      <c r="AS1692" s="306"/>
      <c r="AT1692" s="418"/>
      <c r="AU1692" s="306"/>
      <c r="AV1692" s="306"/>
      <c r="AW1692" s="306"/>
      <c r="AX1692" s="306"/>
      <c r="AY1692" s="306"/>
      <c r="AZ1692" s="306"/>
      <c r="BA1692" s="306"/>
      <c r="BB1692" s="306"/>
    </row>
    <row r="1693" spans="1:54" ht="15.75" customHeight="1">
      <c r="A1693" s="317"/>
      <c r="B1693" s="430"/>
      <c r="C1693" s="317"/>
      <c r="E1693" s="306"/>
      <c r="F1693" s="431"/>
      <c r="G1693" s="431"/>
      <c r="H1693" s="298"/>
      <c r="I1693" s="432"/>
      <c r="J1693" s="433"/>
      <c r="K1693" s="306"/>
      <c r="L1693" s="306"/>
      <c r="M1693" s="306"/>
      <c r="N1693" s="298"/>
      <c r="O1693" s="298"/>
      <c r="P1693" s="298"/>
      <c r="Q1693" s="306"/>
      <c r="R1693" s="1023"/>
      <c r="S1693" s="1023"/>
      <c r="T1693" s="306"/>
      <c r="U1693" s="306"/>
      <c r="V1693" s="306"/>
      <c r="W1693" s="306"/>
      <c r="X1693" s="306"/>
      <c r="Y1693" s="306"/>
      <c r="Z1693" s="306"/>
      <c r="AA1693" s="306"/>
      <c r="AB1693" s="306"/>
      <c r="AC1693" s="306"/>
      <c r="AD1693" s="306"/>
      <c r="AE1693" s="306"/>
      <c r="AF1693" s="306"/>
      <c r="AG1693" s="306"/>
      <c r="AH1693" s="306"/>
      <c r="AI1693" s="306"/>
      <c r="AJ1693" s="306"/>
      <c r="AK1693" s="306"/>
      <c r="AL1693" s="306"/>
      <c r="AM1693" s="418"/>
      <c r="AN1693" s="418"/>
      <c r="AO1693" s="306"/>
      <c r="AP1693" s="306"/>
      <c r="AQ1693" s="418"/>
      <c r="AR1693" s="306"/>
      <c r="AS1693" s="306"/>
      <c r="AT1693" s="418"/>
      <c r="AU1693" s="306"/>
      <c r="AV1693" s="306"/>
      <c r="AW1693" s="306"/>
      <c r="AX1693" s="306"/>
      <c r="AY1693" s="306"/>
      <c r="AZ1693" s="306"/>
      <c r="BA1693" s="306"/>
      <c r="BB1693" s="306"/>
    </row>
    <row r="1694" spans="1:54" ht="15.75" customHeight="1">
      <c r="A1694" s="317"/>
      <c r="B1694" s="430"/>
      <c r="C1694" s="317"/>
      <c r="E1694" s="306"/>
      <c r="F1694" s="431"/>
      <c r="G1694" s="431"/>
      <c r="H1694" s="298"/>
      <c r="I1694" s="432"/>
      <c r="J1694" s="433"/>
      <c r="K1694" s="306"/>
      <c r="L1694" s="306"/>
      <c r="M1694" s="306"/>
      <c r="N1694" s="298"/>
      <c r="O1694" s="298"/>
      <c r="P1694" s="298"/>
      <c r="Q1694" s="306"/>
      <c r="R1694" s="1023"/>
      <c r="S1694" s="1023"/>
      <c r="T1694" s="306"/>
      <c r="U1694" s="306"/>
      <c r="V1694" s="306"/>
      <c r="W1694" s="306"/>
      <c r="X1694" s="306"/>
      <c r="Y1694" s="306"/>
      <c r="Z1694" s="306"/>
      <c r="AA1694" s="306"/>
      <c r="AB1694" s="306"/>
      <c r="AC1694" s="306"/>
      <c r="AD1694" s="306"/>
      <c r="AE1694" s="306"/>
      <c r="AF1694" s="306"/>
      <c r="AG1694" s="306"/>
      <c r="AH1694" s="306"/>
      <c r="AI1694" s="306"/>
      <c r="AJ1694" s="306"/>
      <c r="AK1694" s="306"/>
      <c r="AL1694" s="306"/>
      <c r="AM1694" s="418"/>
      <c r="AN1694" s="418"/>
      <c r="AO1694" s="306"/>
      <c r="AP1694" s="306"/>
      <c r="AQ1694" s="418"/>
      <c r="AR1694" s="306"/>
      <c r="AS1694" s="306"/>
      <c r="AT1694" s="418"/>
      <c r="AU1694" s="306"/>
      <c r="AV1694" s="306"/>
      <c r="AW1694" s="306"/>
      <c r="AX1694" s="306"/>
      <c r="AY1694" s="306"/>
      <c r="AZ1694" s="306"/>
      <c r="BA1694" s="306"/>
      <c r="BB1694" s="306"/>
    </row>
    <row r="1695" spans="1:54" ht="15.75" customHeight="1">
      <c r="A1695" s="317"/>
      <c r="B1695" s="430"/>
      <c r="C1695" s="317"/>
      <c r="E1695" s="306"/>
      <c r="F1695" s="431"/>
      <c r="G1695" s="431"/>
      <c r="H1695" s="298"/>
      <c r="I1695" s="432"/>
      <c r="J1695" s="433"/>
      <c r="K1695" s="306"/>
      <c r="L1695" s="306"/>
      <c r="M1695" s="306"/>
      <c r="N1695" s="298"/>
      <c r="O1695" s="298"/>
      <c r="P1695" s="298"/>
      <c r="Q1695" s="306"/>
      <c r="R1695" s="1023"/>
      <c r="S1695" s="1023"/>
      <c r="T1695" s="306"/>
      <c r="U1695" s="306"/>
      <c r="V1695" s="306"/>
      <c r="W1695" s="306"/>
      <c r="X1695" s="306"/>
      <c r="Y1695" s="306"/>
      <c r="Z1695" s="306"/>
      <c r="AA1695" s="306"/>
      <c r="AB1695" s="306"/>
      <c r="AC1695" s="306"/>
      <c r="AD1695" s="306"/>
      <c r="AE1695" s="306"/>
      <c r="AF1695" s="306"/>
      <c r="AG1695" s="306"/>
      <c r="AH1695" s="306"/>
      <c r="AI1695" s="306"/>
      <c r="AJ1695" s="306"/>
      <c r="AK1695" s="306"/>
      <c r="AL1695" s="306"/>
      <c r="AM1695" s="418"/>
      <c r="AN1695" s="418"/>
      <c r="AO1695" s="306"/>
      <c r="AP1695" s="306"/>
      <c r="AQ1695" s="418"/>
      <c r="AR1695" s="306"/>
      <c r="AS1695" s="306"/>
      <c r="AT1695" s="418"/>
      <c r="AU1695" s="306"/>
      <c r="AV1695" s="306"/>
      <c r="AW1695" s="306"/>
      <c r="AX1695" s="306"/>
      <c r="AY1695" s="306"/>
      <c r="AZ1695" s="306"/>
      <c r="BA1695" s="306"/>
      <c r="BB1695" s="306"/>
    </row>
    <row r="1696" spans="1:54" ht="15.75" customHeight="1">
      <c r="A1696" s="317"/>
      <c r="B1696" s="430"/>
      <c r="C1696" s="317"/>
      <c r="E1696" s="306"/>
      <c r="F1696" s="431"/>
      <c r="G1696" s="431"/>
      <c r="H1696" s="298"/>
      <c r="I1696" s="432"/>
      <c r="J1696" s="433"/>
      <c r="K1696" s="306"/>
      <c r="L1696" s="306"/>
      <c r="M1696" s="306"/>
      <c r="N1696" s="298"/>
      <c r="O1696" s="298"/>
      <c r="P1696" s="298"/>
      <c r="Q1696" s="306"/>
      <c r="R1696" s="1023"/>
      <c r="S1696" s="1023"/>
      <c r="T1696" s="306"/>
      <c r="U1696" s="306"/>
      <c r="V1696" s="306"/>
      <c r="W1696" s="306"/>
      <c r="X1696" s="306"/>
      <c r="Y1696" s="306"/>
      <c r="Z1696" s="306"/>
      <c r="AA1696" s="306"/>
      <c r="AB1696" s="306"/>
      <c r="AC1696" s="306"/>
      <c r="AD1696" s="306"/>
      <c r="AE1696" s="306"/>
      <c r="AF1696" s="306"/>
      <c r="AG1696" s="306"/>
      <c r="AH1696" s="306"/>
      <c r="AI1696" s="306"/>
      <c r="AJ1696" s="306"/>
      <c r="AK1696" s="306"/>
      <c r="AL1696" s="306"/>
      <c r="AM1696" s="418"/>
      <c r="AN1696" s="418"/>
      <c r="AO1696" s="306"/>
      <c r="AP1696" s="306"/>
      <c r="AQ1696" s="418"/>
      <c r="AR1696" s="306"/>
      <c r="AS1696" s="306"/>
      <c r="AT1696" s="418"/>
      <c r="AU1696" s="306"/>
      <c r="AV1696" s="306"/>
      <c r="AW1696" s="306"/>
      <c r="AX1696" s="306"/>
      <c r="AY1696" s="306"/>
      <c r="AZ1696" s="306"/>
      <c r="BA1696" s="306"/>
      <c r="BB1696" s="306"/>
    </row>
    <row r="1697" spans="1:54" ht="15.75" customHeight="1">
      <c r="A1697" s="317"/>
      <c r="B1697" s="430"/>
      <c r="C1697" s="317"/>
      <c r="E1697" s="306"/>
      <c r="F1697" s="431"/>
      <c r="G1697" s="431"/>
      <c r="H1697" s="298"/>
      <c r="I1697" s="432"/>
      <c r="J1697" s="433"/>
      <c r="K1697" s="306"/>
      <c r="L1697" s="306"/>
      <c r="M1697" s="306"/>
      <c r="N1697" s="298"/>
      <c r="O1697" s="298"/>
      <c r="P1697" s="298"/>
      <c r="Q1697" s="306"/>
      <c r="R1697" s="1023"/>
      <c r="S1697" s="1023"/>
      <c r="T1697" s="306"/>
      <c r="U1697" s="306"/>
      <c r="V1697" s="306"/>
      <c r="W1697" s="306"/>
      <c r="X1697" s="306"/>
      <c r="Y1697" s="306"/>
      <c r="Z1697" s="306"/>
      <c r="AA1697" s="306"/>
      <c r="AB1697" s="306"/>
      <c r="AC1697" s="306"/>
      <c r="AD1697" s="306"/>
      <c r="AE1697" s="306"/>
      <c r="AF1697" s="306"/>
      <c r="AG1697" s="306"/>
      <c r="AH1697" s="306"/>
      <c r="AI1697" s="306"/>
      <c r="AJ1697" s="306"/>
      <c r="AK1697" s="306"/>
      <c r="AL1697" s="306"/>
      <c r="AM1697" s="418"/>
      <c r="AN1697" s="418"/>
      <c r="AO1697" s="306"/>
      <c r="AP1697" s="306"/>
      <c r="AQ1697" s="418"/>
      <c r="AR1697" s="306"/>
      <c r="AS1697" s="306"/>
      <c r="AT1697" s="418"/>
      <c r="AU1697" s="306"/>
      <c r="AV1697" s="306"/>
      <c r="AW1697" s="306"/>
      <c r="AX1697" s="306"/>
      <c r="AY1697" s="306"/>
      <c r="AZ1697" s="306"/>
      <c r="BA1697" s="306"/>
      <c r="BB1697" s="306"/>
    </row>
    <row r="1698" spans="1:54" ht="15.75" customHeight="1">
      <c r="A1698" s="317"/>
      <c r="B1698" s="430"/>
      <c r="C1698" s="317"/>
      <c r="E1698" s="306"/>
      <c r="F1698" s="431"/>
      <c r="G1698" s="431"/>
      <c r="H1698" s="298"/>
      <c r="I1698" s="432"/>
      <c r="J1698" s="433"/>
      <c r="K1698" s="306"/>
      <c r="L1698" s="306"/>
      <c r="M1698" s="306"/>
      <c r="N1698" s="298"/>
      <c r="O1698" s="298"/>
      <c r="P1698" s="298"/>
      <c r="Q1698" s="306"/>
      <c r="R1698" s="1023"/>
      <c r="S1698" s="1023"/>
      <c r="T1698" s="306"/>
      <c r="U1698" s="306"/>
      <c r="V1698" s="306"/>
      <c r="W1698" s="306"/>
      <c r="X1698" s="306"/>
      <c r="Y1698" s="306"/>
      <c r="Z1698" s="306"/>
      <c r="AA1698" s="306"/>
      <c r="AB1698" s="306"/>
      <c r="AC1698" s="306"/>
      <c r="AD1698" s="306"/>
      <c r="AE1698" s="306"/>
      <c r="AF1698" s="306"/>
      <c r="AG1698" s="306"/>
      <c r="AH1698" s="306"/>
      <c r="AI1698" s="306"/>
      <c r="AJ1698" s="306"/>
      <c r="AK1698" s="306"/>
      <c r="AL1698" s="306"/>
      <c r="AM1698" s="418"/>
      <c r="AN1698" s="418"/>
      <c r="AO1698" s="306"/>
      <c r="AP1698" s="306"/>
      <c r="AQ1698" s="418"/>
      <c r="AR1698" s="306"/>
      <c r="AS1698" s="306"/>
      <c r="AT1698" s="418"/>
      <c r="AU1698" s="306"/>
      <c r="AV1698" s="306"/>
      <c r="AW1698" s="306"/>
      <c r="AX1698" s="306"/>
      <c r="AY1698" s="306"/>
      <c r="AZ1698" s="306"/>
      <c r="BA1698" s="306"/>
      <c r="BB1698" s="306"/>
    </row>
    <row r="1699" spans="1:54" ht="15.75" customHeight="1">
      <c r="A1699" s="317"/>
      <c r="B1699" s="430"/>
      <c r="C1699" s="317"/>
      <c r="E1699" s="306"/>
      <c r="F1699" s="431"/>
      <c r="G1699" s="431"/>
      <c r="H1699" s="298"/>
      <c r="I1699" s="432"/>
      <c r="J1699" s="433"/>
      <c r="K1699" s="306"/>
      <c r="L1699" s="306"/>
      <c r="M1699" s="306"/>
      <c r="N1699" s="298"/>
      <c r="O1699" s="298"/>
      <c r="P1699" s="298"/>
      <c r="Q1699" s="306"/>
      <c r="R1699" s="1023"/>
      <c r="S1699" s="1023"/>
      <c r="T1699" s="306"/>
      <c r="U1699" s="306"/>
      <c r="V1699" s="306"/>
      <c r="W1699" s="306"/>
      <c r="X1699" s="306"/>
      <c r="Y1699" s="306"/>
      <c r="Z1699" s="306"/>
      <c r="AA1699" s="306"/>
      <c r="AB1699" s="306"/>
      <c r="AC1699" s="306"/>
      <c r="AD1699" s="306"/>
      <c r="AE1699" s="306"/>
      <c r="AF1699" s="306"/>
      <c r="AG1699" s="306"/>
      <c r="AH1699" s="306"/>
      <c r="AI1699" s="306"/>
      <c r="AJ1699" s="306"/>
      <c r="AK1699" s="306"/>
      <c r="AL1699" s="306"/>
      <c r="AM1699" s="418"/>
      <c r="AN1699" s="418"/>
      <c r="AO1699" s="306"/>
      <c r="AP1699" s="306"/>
      <c r="AQ1699" s="418"/>
      <c r="AR1699" s="306"/>
      <c r="AS1699" s="306"/>
      <c r="AT1699" s="418"/>
      <c r="AU1699" s="306"/>
      <c r="AV1699" s="306"/>
      <c r="AW1699" s="306"/>
      <c r="AX1699" s="306"/>
      <c r="AY1699" s="306"/>
      <c r="AZ1699" s="306"/>
      <c r="BA1699" s="306"/>
      <c r="BB1699" s="306"/>
    </row>
    <row r="1700" spans="1:54" ht="15.75" customHeight="1">
      <c r="A1700" s="317"/>
      <c r="B1700" s="430"/>
      <c r="C1700" s="317"/>
      <c r="E1700" s="306"/>
      <c r="F1700" s="431"/>
      <c r="G1700" s="431"/>
      <c r="H1700" s="298"/>
      <c r="I1700" s="432"/>
      <c r="J1700" s="433"/>
      <c r="K1700" s="306"/>
      <c r="L1700" s="306"/>
      <c r="M1700" s="306"/>
      <c r="N1700" s="298"/>
      <c r="O1700" s="298"/>
      <c r="P1700" s="298"/>
      <c r="Q1700" s="306"/>
      <c r="R1700" s="1023"/>
      <c r="S1700" s="1023"/>
      <c r="T1700" s="306"/>
      <c r="U1700" s="306"/>
      <c r="V1700" s="306"/>
      <c r="W1700" s="306"/>
      <c r="X1700" s="306"/>
      <c r="Y1700" s="306"/>
      <c r="Z1700" s="306"/>
      <c r="AA1700" s="306"/>
      <c r="AB1700" s="306"/>
      <c r="AC1700" s="306"/>
      <c r="AD1700" s="306"/>
      <c r="AE1700" s="306"/>
      <c r="AF1700" s="306"/>
      <c r="AG1700" s="306"/>
      <c r="AH1700" s="306"/>
      <c r="AI1700" s="306"/>
      <c r="AJ1700" s="306"/>
      <c r="AK1700" s="306"/>
      <c r="AL1700" s="306"/>
      <c r="AM1700" s="418"/>
      <c r="AN1700" s="418"/>
      <c r="AO1700" s="306"/>
      <c r="AP1700" s="306"/>
      <c r="AQ1700" s="418"/>
      <c r="AR1700" s="306"/>
      <c r="AS1700" s="306"/>
      <c r="AT1700" s="418"/>
      <c r="AU1700" s="306"/>
      <c r="AV1700" s="306"/>
      <c r="AW1700" s="306"/>
      <c r="AX1700" s="306"/>
      <c r="AY1700" s="306"/>
      <c r="AZ1700" s="306"/>
      <c r="BA1700" s="306"/>
      <c r="BB1700" s="306"/>
    </row>
    <row r="1701" spans="1:54" ht="15.75" customHeight="1">
      <c r="A1701" s="317"/>
      <c r="B1701" s="430"/>
      <c r="C1701" s="317"/>
      <c r="E1701" s="306"/>
      <c r="F1701" s="431"/>
      <c r="G1701" s="431"/>
      <c r="H1701" s="298"/>
      <c r="I1701" s="432"/>
      <c r="J1701" s="433"/>
      <c r="K1701" s="306"/>
      <c r="L1701" s="306"/>
      <c r="M1701" s="306"/>
      <c r="N1701" s="298"/>
      <c r="O1701" s="298"/>
      <c r="P1701" s="298"/>
      <c r="Q1701" s="306"/>
      <c r="R1701" s="1023"/>
      <c r="S1701" s="1023"/>
      <c r="T1701" s="306"/>
      <c r="U1701" s="306"/>
      <c r="V1701" s="306"/>
      <c r="W1701" s="306"/>
      <c r="X1701" s="306"/>
      <c r="Y1701" s="306"/>
      <c r="Z1701" s="306"/>
      <c r="AA1701" s="306"/>
      <c r="AB1701" s="306"/>
      <c r="AC1701" s="306"/>
      <c r="AD1701" s="306"/>
      <c r="AE1701" s="306"/>
      <c r="AF1701" s="306"/>
      <c r="AG1701" s="306"/>
      <c r="AH1701" s="306"/>
      <c r="AI1701" s="306"/>
      <c r="AJ1701" s="306"/>
      <c r="AK1701" s="306"/>
      <c r="AL1701" s="306"/>
      <c r="AM1701" s="418"/>
      <c r="AN1701" s="418"/>
      <c r="AO1701" s="306"/>
      <c r="AP1701" s="306"/>
      <c r="AQ1701" s="418"/>
      <c r="AR1701" s="306"/>
      <c r="AS1701" s="306"/>
      <c r="AT1701" s="418"/>
      <c r="AU1701" s="306"/>
      <c r="AV1701" s="306"/>
      <c r="AW1701" s="306"/>
      <c r="AX1701" s="306"/>
      <c r="AY1701" s="306"/>
      <c r="AZ1701" s="306"/>
      <c r="BA1701" s="306"/>
      <c r="BB1701" s="306"/>
    </row>
    <row r="1702" spans="1:54" ht="15.75" customHeight="1">
      <c r="A1702" s="317"/>
      <c r="B1702" s="430"/>
      <c r="C1702" s="317"/>
      <c r="E1702" s="306"/>
      <c r="F1702" s="431"/>
      <c r="G1702" s="431"/>
      <c r="H1702" s="298"/>
      <c r="I1702" s="432"/>
      <c r="J1702" s="433"/>
      <c r="K1702" s="306"/>
      <c r="L1702" s="306"/>
      <c r="M1702" s="306"/>
      <c r="N1702" s="298"/>
      <c r="O1702" s="298"/>
      <c r="P1702" s="298"/>
      <c r="Q1702" s="306"/>
      <c r="R1702" s="1023"/>
      <c r="S1702" s="1023"/>
      <c r="T1702" s="306"/>
      <c r="U1702" s="306"/>
      <c r="V1702" s="306"/>
      <c r="W1702" s="306"/>
      <c r="X1702" s="306"/>
      <c r="Y1702" s="306"/>
      <c r="Z1702" s="306"/>
      <c r="AA1702" s="306"/>
      <c r="AB1702" s="306"/>
      <c r="AC1702" s="306"/>
      <c r="AD1702" s="306"/>
      <c r="AE1702" s="306"/>
      <c r="AF1702" s="306"/>
      <c r="AG1702" s="306"/>
      <c r="AH1702" s="306"/>
      <c r="AI1702" s="306"/>
      <c r="AJ1702" s="306"/>
      <c r="AK1702" s="306"/>
      <c r="AL1702" s="306"/>
      <c r="AM1702" s="418"/>
      <c r="AN1702" s="418"/>
      <c r="AO1702" s="306"/>
      <c r="AP1702" s="306"/>
      <c r="AQ1702" s="418"/>
      <c r="AR1702" s="306"/>
      <c r="AS1702" s="306"/>
      <c r="AT1702" s="418"/>
      <c r="AU1702" s="306"/>
      <c r="AV1702" s="306"/>
      <c r="AW1702" s="306"/>
      <c r="AX1702" s="306"/>
      <c r="AY1702" s="306"/>
      <c r="AZ1702" s="306"/>
      <c r="BA1702" s="306"/>
      <c r="BB1702" s="306"/>
    </row>
    <row r="1703" spans="1:54" ht="15.75" customHeight="1">
      <c r="A1703" s="317"/>
      <c r="B1703" s="430"/>
      <c r="C1703" s="317"/>
      <c r="E1703" s="306"/>
      <c r="F1703" s="431"/>
      <c r="G1703" s="431"/>
      <c r="H1703" s="298"/>
      <c r="I1703" s="432"/>
      <c r="J1703" s="433"/>
      <c r="K1703" s="306"/>
      <c r="L1703" s="306"/>
      <c r="M1703" s="306"/>
      <c r="N1703" s="298"/>
      <c r="O1703" s="298"/>
      <c r="P1703" s="298"/>
      <c r="Q1703" s="306"/>
      <c r="R1703" s="1023"/>
      <c r="S1703" s="1023"/>
      <c r="T1703" s="306"/>
      <c r="U1703" s="306"/>
      <c r="V1703" s="306"/>
      <c r="W1703" s="306"/>
      <c r="X1703" s="306"/>
      <c r="Y1703" s="306"/>
      <c r="Z1703" s="306"/>
      <c r="AA1703" s="306"/>
      <c r="AB1703" s="306"/>
      <c r="AC1703" s="306"/>
      <c r="AD1703" s="306"/>
      <c r="AE1703" s="306"/>
      <c r="AF1703" s="306"/>
      <c r="AG1703" s="306"/>
      <c r="AH1703" s="306"/>
      <c r="AI1703" s="306"/>
      <c r="AJ1703" s="306"/>
      <c r="AK1703" s="306"/>
      <c r="AL1703" s="306"/>
      <c r="AM1703" s="418"/>
      <c r="AN1703" s="418"/>
      <c r="AO1703" s="306"/>
      <c r="AP1703" s="306"/>
      <c r="AQ1703" s="418"/>
      <c r="AR1703" s="306"/>
      <c r="AS1703" s="306"/>
      <c r="AT1703" s="418"/>
      <c r="AU1703" s="306"/>
      <c r="AV1703" s="306"/>
      <c r="AW1703" s="306"/>
      <c r="AX1703" s="306"/>
      <c r="AY1703" s="306"/>
      <c r="AZ1703" s="306"/>
      <c r="BA1703" s="306"/>
      <c r="BB1703" s="306"/>
    </row>
    <row r="1704" spans="1:54" ht="15.75" customHeight="1">
      <c r="A1704" s="317"/>
      <c r="B1704" s="430"/>
      <c r="C1704" s="317"/>
      <c r="E1704" s="306"/>
      <c r="F1704" s="431"/>
      <c r="G1704" s="431"/>
      <c r="H1704" s="298"/>
      <c r="I1704" s="432"/>
      <c r="J1704" s="433"/>
      <c r="K1704" s="306"/>
      <c r="L1704" s="306"/>
      <c r="M1704" s="306"/>
      <c r="N1704" s="298"/>
      <c r="O1704" s="298"/>
      <c r="P1704" s="298"/>
      <c r="Q1704" s="306"/>
      <c r="R1704" s="1023"/>
      <c r="S1704" s="1023"/>
      <c r="T1704" s="306"/>
      <c r="U1704" s="306"/>
      <c r="V1704" s="306"/>
      <c r="W1704" s="306"/>
      <c r="X1704" s="306"/>
      <c r="Y1704" s="306"/>
      <c r="Z1704" s="306"/>
      <c r="AA1704" s="306"/>
      <c r="AB1704" s="306"/>
      <c r="AC1704" s="306"/>
      <c r="AD1704" s="306"/>
      <c r="AE1704" s="306"/>
      <c r="AF1704" s="306"/>
      <c r="AG1704" s="306"/>
      <c r="AH1704" s="306"/>
      <c r="AI1704" s="306"/>
      <c r="AJ1704" s="306"/>
      <c r="AK1704" s="306"/>
      <c r="AL1704" s="306"/>
      <c r="AM1704" s="418"/>
      <c r="AN1704" s="418"/>
      <c r="AO1704" s="306"/>
      <c r="AP1704" s="306"/>
      <c r="AQ1704" s="418"/>
      <c r="AR1704" s="306"/>
      <c r="AS1704" s="306"/>
      <c r="AT1704" s="418"/>
      <c r="AU1704" s="306"/>
      <c r="AV1704" s="306"/>
      <c r="AW1704" s="306"/>
      <c r="AX1704" s="306"/>
      <c r="AY1704" s="306"/>
      <c r="AZ1704" s="306"/>
      <c r="BA1704" s="306"/>
      <c r="BB1704" s="306"/>
    </row>
    <row r="1705" spans="1:54" ht="15.75" customHeight="1">
      <c r="A1705" s="317"/>
      <c r="B1705" s="430"/>
      <c r="C1705" s="317"/>
      <c r="E1705" s="306"/>
      <c r="F1705" s="431"/>
      <c r="G1705" s="431"/>
      <c r="H1705" s="298"/>
      <c r="I1705" s="432"/>
      <c r="J1705" s="433"/>
      <c r="K1705" s="306"/>
      <c r="L1705" s="306"/>
      <c r="M1705" s="306"/>
      <c r="N1705" s="298"/>
      <c r="O1705" s="298"/>
      <c r="P1705" s="298"/>
      <c r="Q1705" s="306"/>
      <c r="R1705" s="1023"/>
      <c r="S1705" s="1023"/>
      <c r="T1705" s="306"/>
      <c r="U1705" s="306"/>
      <c r="V1705" s="306"/>
      <c r="W1705" s="306"/>
      <c r="X1705" s="306"/>
      <c r="Y1705" s="306"/>
      <c r="Z1705" s="306"/>
      <c r="AA1705" s="306"/>
      <c r="AB1705" s="306"/>
      <c r="AC1705" s="306"/>
      <c r="AD1705" s="306"/>
      <c r="AE1705" s="306"/>
      <c r="AF1705" s="306"/>
      <c r="AG1705" s="306"/>
      <c r="AH1705" s="306"/>
      <c r="AI1705" s="306"/>
      <c r="AJ1705" s="306"/>
      <c r="AK1705" s="306"/>
      <c r="AL1705" s="306"/>
      <c r="AM1705" s="418"/>
      <c r="AN1705" s="418"/>
      <c r="AO1705" s="306"/>
      <c r="AP1705" s="306"/>
      <c r="AQ1705" s="418"/>
      <c r="AR1705" s="306"/>
      <c r="AS1705" s="306"/>
      <c r="AT1705" s="418"/>
      <c r="AU1705" s="306"/>
      <c r="AV1705" s="306"/>
      <c r="AW1705" s="306"/>
      <c r="AX1705" s="306"/>
      <c r="AY1705" s="306"/>
      <c r="AZ1705" s="306"/>
      <c r="BA1705" s="306"/>
      <c r="BB1705" s="306"/>
    </row>
    <row r="1706" spans="1:54" ht="15.75" customHeight="1">
      <c r="A1706" s="317"/>
      <c r="B1706" s="430"/>
      <c r="C1706" s="317"/>
      <c r="E1706" s="306"/>
      <c r="F1706" s="431"/>
      <c r="G1706" s="431"/>
      <c r="H1706" s="298"/>
      <c r="I1706" s="431"/>
      <c r="J1706" s="435"/>
      <c r="K1706" s="306"/>
      <c r="L1706" s="306"/>
      <c r="M1706" s="306"/>
      <c r="N1706" s="298"/>
      <c r="O1706" s="298"/>
      <c r="P1706" s="298"/>
      <c r="Q1706" s="306"/>
      <c r="R1706" s="1023"/>
      <c r="S1706" s="1023"/>
      <c r="T1706" s="306"/>
      <c r="U1706" s="306"/>
      <c r="V1706" s="306"/>
      <c r="W1706" s="306"/>
      <c r="X1706" s="306"/>
      <c r="Y1706" s="306"/>
      <c r="Z1706" s="306"/>
      <c r="AA1706" s="306"/>
      <c r="AB1706" s="306"/>
      <c r="AC1706" s="306"/>
      <c r="AD1706" s="306"/>
      <c r="AE1706" s="306"/>
      <c r="AF1706" s="306"/>
      <c r="AG1706" s="306"/>
      <c r="AH1706" s="306"/>
      <c r="AI1706" s="306"/>
      <c r="AJ1706" s="306"/>
      <c r="AK1706" s="306"/>
      <c r="AL1706" s="306"/>
      <c r="AM1706" s="418"/>
      <c r="AN1706" s="418"/>
      <c r="AO1706" s="306"/>
      <c r="AP1706" s="306"/>
      <c r="AQ1706" s="418"/>
      <c r="AR1706" s="306"/>
      <c r="AS1706" s="306"/>
      <c r="AT1706" s="418"/>
      <c r="AU1706" s="306"/>
      <c r="AV1706" s="306"/>
      <c r="AW1706" s="306"/>
      <c r="AX1706" s="306"/>
      <c r="AY1706" s="306"/>
      <c r="AZ1706" s="306"/>
      <c r="BA1706" s="306"/>
      <c r="BB1706" s="306"/>
    </row>
    <row r="1707" spans="1:54" ht="15.75" customHeight="1">
      <c r="A1707" s="317"/>
      <c r="B1707" s="430"/>
      <c r="C1707" s="317"/>
      <c r="E1707" s="306"/>
      <c r="F1707" s="431"/>
      <c r="G1707" s="431"/>
      <c r="H1707" s="298"/>
      <c r="I1707" s="431"/>
      <c r="J1707" s="435"/>
      <c r="K1707" s="306"/>
      <c r="L1707" s="306"/>
      <c r="M1707" s="306"/>
      <c r="N1707" s="298"/>
      <c r="O1707" s="298"/>
      <c r="P1707" s="298"/>
      <c r="Q1707" s="306"/>
      <c r="R1707" s="1023"/>
      <c r="S1707" s="1023"/>
      <c r="T1707" s="306"/>
      <c r="U1707" s="306"/>
      <c r="V1707" s="306"/>
      <c r="W1707" s="306"/>
      <c r="X1707" s="306"/>
      <c r="Y1707" s="306"/>
      <c r="Z1707" s="306"/>
      <c r="AA1707" s="306"/>
      <c r="AB1707" s="306"/>
      <c r="AC1707" s="306"/>
      <c r="AD1707" s="306"/>
      <c r="AE1707" s="306"/>
      <c r="AF1707" s="306"/>
      <c r="AG1707" s="306"/>
      <c r="AH1707" s="306"/>
      <c r="AI1707" s="306"/>
      <c r="AJ1707" s="306"/>
      <c r="AK1707" s="306"/>
      <c r="AL1707" s="306"/>
      <c r="AM1707" s="418"/>
      <c r="AN1707" s="418"/>
      <c r="AO1707" s="306"/>
      <c r="AP1707" s="306"/>
      <c r="AQ1707" s="418"/>
      <c r="AR1707" s="306"/>
      <c r="AS1707" s="306"/>
      <c r="AT1707" s="418"/>
      <c r="AU1707" s="306"/>
      <c r="AV1707" s="306"/>
      <c r="AW1707" s="306"/>
      <c r="AX1707" s="306"/>
      <c r="AY1707" s="306"/>
      <c r="AZ1707" s="306"/>
      <c r="BA1707" s="306"/>
      <c r="BB1707" s="306"/>
    </row>
    <row r="1708" spans="1:54" ht="15.75" customHeight="1">
      <c r="A1708" s="317"/>
      <c r="B1708" s="430"/>
      <c r="C1708" s="317"/>
      <c r="E1708" s="306"/>
      <c r="F1708" s="431"/>
      <c r="G1708" s="431"/>
      <c r="H1708" s="298"/>
      <c r="I1708" s="432"/>
      <c r="J1708" s="433"/>
      <c r="K1708" s="306"/>
      <c r="L1708" s="306"/>
      <c r="M1708" s="306"/>
      <c r="N1708" s="298"/>
      <c r="O1708" s="298"/>
      <c r="P1708" s="298"/>
      <c r="Q1708" s="306"/>
      <c r="R1708" s="1023"/>
      <c r="S1708" s="1023"/>
      <c r="T1708" s="306"/>
      <c r="U1708" s="306"/>
      <c r="V1708" s="306"/>
      <c r="W1708" s="306"/>
      <c r="X1708" s="306"/>
      <c r="Y1708" s="306"/>
      <c r="Z1708" s="306"/>
      <c r="AA1708" s="306"/>
      <c r="AB1708" s="306"/>
      <c r="AC1708" s="306"/>
      <c r="AD1708" s="306"/>
      <c r="AE1708" s="306"/>
      <c r="AF1708" s="306"/>
      <c r="AG1708" s="306"/>
      <c r="AH1708" s="306"/>
      <c r="AI1708" s="306"/>
      <c r="AJ1708" s="306"/>
      <c r="AK1708" s="306"/>
      <c r="AL1708" s="306"/>
      <c r="AM1708" s="418"/>
      <c r="AN1708" s="418"/>
      <c r="AO1708" s="306"/>
      <c r="AP1708" s="306"/>
      <c r="AQ1708" s="418"/>
      <c r="AR1708" s="306"/>
      <c r="AS1708" s="306"/>
      <c r="AT1708" s="418"/>
      <c r="AU1708" s="306"/>
      <c r="AV1708" s="306"/>
      <c r="AW1708" s="306"/>
      <c r="AX1708" s="306"/>
      <c r="AY1708" s="306"/>
      <c r="AZ1708" s="306"/>
      <c r="BA1708" s="306"/>
      <c r="BB1708" s="306"/>
    </row>
    <row r="1709" spans="1:54" ht="15.75" customHeight="1">
      <c r="A1709" s="317"/>
      <c r="B1709" s="430"/>
      <c r="C1709" s="317"/>
      <c r="E1709" s="306"/>
      <c r="F1709" s="431"/>
      <c r="G1709" s="431"/>
      <c r="H1709" s="298"/>
      <c r="I1709" s="432"/>
      <c r="J1709" s="433"/>
      <c r="K1709" s="306"/>
      <c r="L1709" s="306"/>
      <c r="M1709" s="306"/>
      <c r="N1709" s="298"/>
      <c r="O1709" s="298"/>
      <c r="P1709" s="298"/>
      <c r="Q1709" s="306"/>
      <c r="R1709" s="1023"/>
      <c r="S1709" s="1023"/>
      <c r="T1709" s="306"/>
      <c r="U1709" s="306"/>
      <c r="V1709" s="306"/>
      <c r="W1709" s="306"/>
      <c r="X1709" s="306"/>
      <c r="Y1709" s="306"/>
      <c r="Z1709" s="306"/>
      <c r="AA1709" s="306"/>
      <c r="AB1709" s="306"/>
      <c r="AC1709" s="306"/>
      <c r="AD1709" s="306"/>
      <c r="AE1709" s="306"/>
      <c r="AF1709" s="306"/>
      <c r="AG1709" s="306"/>
      <c r="AH1709" s="306"/>
      <c r="AI1709" s="306"/>
      <c r="AJ1709" s="306"/>
      <c r="AK1709" s="306"/>
      <c r="AL1709" s="306"/>
      <c r="AM1709" s="418"/>
      <c r="AN1709" s="418"/>
      <c r="AO1709" s="306"/>
      <c r="AP1709" s="306"/>
      <c r="AQ1709" s="418"/>
      <c r="AR1709" s="306"/>
      <c r="AS1709" s="306"/>
      <c r="AT1709" s="418"/>
      <c r="AU1709" s="306"/>
      <c r="AV1709" s="306"/>
      <c r="AW1709" s="306"/>
      <c r="AX1709" s="306"/>
      <c r="AY1709" s="306"/>
      <c r="AZ1709" s="306"/>
      <c r="BA1709" s="306"/>
      <c r="BB1709" s="306"/>
    </row>
    <row r="1710" spans="1:54" ht="15.75" customHeight="1">
      <c r="A1710" s="317"/>
      <c r="B1710" s="430"/>
      <c r="C1710" s="317"/>
      <c r="E1710" s="306"/>
      <c r="F1710" s="431"/>
      <c r="G1710" s="431"/>
      <c r="H1710" s="298"/>
      <c r="I1710" s="432"/>
      <c r="J1710" s="433"/>
      <c r="K1710" s="306"/>
      <c r="L1710" s="306"/>
      <c r="M1710" s="306"/>
      <c r="N1710" s="298"/>
      <c r="O1710" s="298"/>
      <c r="P1710" s="298"/>
      <c r="Q1710" s="306"/>
      <c r="R1710" s="1023"/>
      <c r="S1710" s="1023"/>
      <c r="T1710" s="306"/>
      <c r="U1710" s="306"/>
      <c r="V1710" s="306"/>
      <c r="W1710" s="306"/>
      <c r="X1710" s="306"/>
      <c r="Y1710" s="306"/>
      <c r="Z1710" s="306"/>
      <c r="AA1710" s="306"/>
      <c r="AB1710" s="306"/>
      <c r="AC1710" s="306"/>
      <c r="AD1710" s="306"/>
      <c r="AE1710" s="306"/>
      <c r="AF1710" s="306"/>
      <c r="AG1710" s="306"/>
      <c r="AH1710" s="306"/>
      <c r="AI1710" s="306"/>
      <c r="AJ1710" s="306"/>
      <c r="AK1710" s="306"/>
      <c r="AL1710" s="306"/>
      <c r="AM1710" s="418"/>
      <c r="AN1710" s="418"/>
      <c r="AO1710" s="306"/>
      <c r="AP1710" s="306"/>
      <c r="AQ1710" s="418"/>
      <c r="AR1710" s="306"/>
      <c r="AS1710" s="306"/>
      <c r="AT1710" s="418"/>
      <c r="AU1710" s="306"/>
      <c r="AV1710" s="306"/>
      <c r="AW1710" s="306"/>
      <c r="AX1710" s="306"/>
      <c r="AY1710" s="306"/>
      <c r="AZ1710" s="306"/>
      <c r="BA1710" s="306"/>
      <c r="BB1710" s="306"/>
    </row>
    <row r="1711" spans="1:54" ht="15.75" customHeight="1">
      <c r="A1711" s="317"/>
      <c r="B1711" s="430"/>
      <c r="C1711" s="317"/>
      <c r="E1711" s="306"/>
      <c r="F1711" s="431"/>
      <c r="G1711" s="431"/>
      <c r="H1711" s="298"/>
      <c r="I1711" s="432"/>
      <c r="J1711" s="433"/>
      <c r="K1711" s="306"/>
      <c r="L1711" s="306"/>
      <c r="M1711" s="306"/>
      <c r="N1711" s="298"/>
      <c r="O1711" s="298"/>
      <c r="P1711" s="298"/>
      <c r="Q1711" s="306"/>
      <c r="R1711" s="1023"/>
      <c r="S1711" s="1023"/>
      <c r="T1711" s="306"/>
      <c r="U1711" s="306"/>
      <c r="V1711" s="306"/>
      <c r="W1711" s="306"/>
      <c r="X1711" s="306"/>
      <c r="Y1711" s="306"/>
      <c r="Z1711" s="306"/>
      <c r="AA1711" s="306"/>
      <c r="AB1711" s="306"/>
      <c r="AC1711" s="306"/>
      <c r="AD1711" s="306"/>
      <c r="AE1711" s="306"/>
      <c r="AF1711" s="306"/>
      <c r="AG1711" s="306"/>
      <c r="AH1711" s="306"/>
      <c r="AI1711" s="306"/>
      <c r="AJ1711" s="306"/>
      <c r="AK1711" s="306"/>
      <c r="AL1711" s="306"/>
      <c r="AM1711" s="418"/>
      <c r="AN1711" s="418"/>
      <c r="AO1711" s="306"/>
      <c r="AP1711" s="306"/>
      <c r="AQ1711" s="418"/>
      <c r="AR1711" s="306"/>
      <c r="AS1711" s="306"/>
      <c r="AT1711" s="418"/>
      <c r="AU1711" s="306"/>
      <c r="AV1711" s="306"/>
      <c r="AW1711" s="306"/>
      <c r="AX1711" s="306"/>
      <c r="AY1711" s="306"/>
      <c r="AZ1711" s="306"/>
      <c r="BA1711" s="306"/>
      <c r="BB1711" s="306"/>
    </row>
    <row r="1712" spans="1:54" ht="15.75" customHeight="1">
      <c r="A1712" s="317"/>
      <c r="B1712" s="430"/>
      <c r="C1712" s="317"/>
      <c r="E1712" s="306"/>
      <c r="F1712" s="431"/>
      <c r="G1712" s="431"/>
      <c r="H1712" s="298"/>
      <c r="I1712" s="432"/>
      <c r="J1712" s="433"/>
      <c r="K1712" s="306"/>
      <c r="L1712" s="306"/>
      <c r="M1712" s="306"/>
      <c r="N1712" s="298"/>
      <c r="O1712" s="298"/>
      <c r="P1712" s="298"/>
      <c r="Q1712" s="306"/>
      <c r="R1712" s="1023"/>
      <c r="S1712" s="1023"/>
      <c r="T1712" s="306"/>
      <c r="U1712" s="306"/>
      <c r="V1712" s="306"/>
      <c r="W1712" s="306"/>
      <c r="X1712" s="306"/>
      <c r="Y1712" s="306"/>
      <c r="Z1712" s="306"/>
      <c r="AA1712" s="306"/>
      <c r="AB1712" s="306"/>
      <c r="AC1712" s="306"/>
      <c r="AD1712" s="306"/>
      <c r="AE1712" s="306"/>
      <c r="AF1712" s="306"/>
      <c r="AG1712" s="306"/>
      <c r="AH1712" s="306"/>
      <c r="AI1712" s="306"/>
      <c r="AJ1712" s="306"/>
      <c r="AK1712" s="306"/>
      <c r="AL1712" s="306"/>
      <c r="AM1712" s="418"/>
      <c r="AN1712" s="418"/>
      <c r="AO1712" s="306"/>
      <c r="AP1712" s="306"/>
      <c r="AQ1712" s="418"/>
      <c r="AR1712" s="306"/>
      <c r="AS1712" s="306"/>
      <c r="AT1712" s="418"/>
      <c r="AU1712" s="306"/>
      <c r="AV1712" s="306"/>
      <c r="AW1712" s="306"/>
      <c r="AX1712" s="306"/>
      <c r="AY1712" s="306"/>
      <c r="AZ1712" s="306"/>
      <c r="BA1712" s="306"/>
      <c r="BB1712" s="306"/>
    </row>
    <row r="1713" spans="1:54" ht="15.75" customHeight="1">
      <c r="A1713" s="317"/>
      <c r="B1713" s="430"/>
      <c r="C1713" s="317"/>
      <c r="E1713" s="306"/>
      <c r="F1713" s="431"/>
      <c r="G1713" s="431"/>
      <c r="H1713" s="298"/>
      <c r="I1713" s="431"/>
      <c r="J1713" s="435"/>
      <c r="K1713" s="306"/>
      <c r="L1713" s="306"/>
      <c r="M1713" s="306"/>
      <c r="N1713" s="298"/>
      <c r="O1713" s="298"/>
      <c r="P1713" s="298"/>
      <c r="Q1713" s="306"/>
      <c r="R1713" s="1023"/>
      <c r="S1713" s="1023"/>
      <c r="T1713" s="306"/>
      <c r="U1713" s="306"/>
      <c r="V1713" s="306"/>
      <c r="W1713" s="306"/>
      <c r="X1713" s="306"/>
      <c r="Y1713" s="306"/>
      <c r="Z1713" s="306"/>
      <c r="AA1713" s="306"/>
      <c r="AB1713" s="306"/>
      <c r="AC1713" s="306"/>
      <c r="AD1713" s="306"/>
      <c r="AE1713" s="306"/>
      <c r="AF1713" s="306"/>
      <c r="AG1713" s="306"/>
      <c r="AH1713" s="306"/>
      <c r="AI1713" s="306"/>
      <c r="AJ1713" s="306"/>
      <c r="AK1713" s="306"/>
      <c r="AL1713" s="306"/>
      <c r="AM1713" s="418"/>
      <c r="AN1713" s="418"/>
      <c r="AO1713" s="306"/>
      <c r="AP1713" s="306"/>
      <c r="AQ1713" s="418"/>
      <c r="AR1713" s="306"/>
      <c r="AS1713" s="306"/>
      <c r="AT1713" s="418"/>
      <c r="AU1713" s="306"/>
      <c r="AV1713" s="306"/>
      <c r="AW1713" s="306"/>
      <c r="AX1713" s="306"/>
      <c r="AY1713" s="306"/>
      <c r="AZ1713" s="306"/>
      <c r="BA1713" s="306"/>
      <c r="BB1713" s="306"/>
    </row>
    <row r="1714" spans="1:54" ht="15.75" customHeight="1">
      <c r="A1714" s="317"/>
      <c r="B1714" s="430"/>
      <c r="C1714" s="317"/>
      <c r="E1714" s="306"/>
      <c r="F1714" s="431"/>
      <c r="G1714" s="431"/>
      <c r="H1714" s="298"/>
      <c r="I1714" s="431"/>
      <c r="J1714" s="435"/>
      <c r="K1714" s="306"/>
      <c r="L1714" s="306"/>
      <c r="M1714" s="306"/>
      <c r="N1714" s="298"/>
      <c r="O1714" s="298"/>
      <c r="P1714" s="298"/>
      <c r="Q1714" s="306"/>
      <c r="R1714" s="1023"/>
      <c r="S1714" s="1023"/>
      <c r="T1714" s="306"/>
      <c r="U1714" s="306"/>
      <c r="V1714" s="306"/>
      <c r="W1714" s="306"/>
      <c r="X1714" s="306"/>
      <c r="Y1714" s="306"/>
      <c r="Z1714" s="306"/>
      <c r="AA1714" s="306"/>
      <c r="AB1714" s="306"/>
      <c r="AC1714" s="306"/>
      <c r="AD1714" s="306"/>
      <c r="AE1714" s="306"/>
      <c r="AF1714" s="306"/>
      <c r="AG1714" s="306"/>
      <c r="AH1714" s="306"/>
      <c r="AI1714" s="306"/>
      <c r="AJ1714" s="306"/>
      <c r="AK1714" s="306"/>
      <c r="AL1714" s="306"/>
      <c r="AM1714" s="418"/>
      <c r="AN1714" s="418"/>
      <c r="AO1714" s="306"/>
      <c r="AP1714" s="306"/>
      <c r="AQ1714" s="418"/>
      <c r="AR1714" s="306"/>
      <c r="AS1714" s="306"/>
      <c r="AT1714" s="418"/>
      <c r="AU1714" s="306"/>
      <c r="AV1714" s="306"/>
      <c r="AW1714" s="306"/>
      <c r="AX1714" s="306"/>
      <c r="AY1714" s="306"/>
      <c r="AZ1714" s="306"/>
      <c r="BA1714" s="306"/>
      <c r="BB1714" s="306"/>
    </row>
    <row r="1715" spans="1:54" ht="15.75" customHeight="1">
      <c r="A1715" s="317"/>
      <c r="B1715" s="430"/>
      <c r="C1715" s="317"/>
      <c r="E1715" s="306"/>
      <c r="F1715" s="431"/>
      <c r="G1715" s="431"/>
      <c r="H1715" s="298"/>
      <c r="I1715" s="432"/>
      <c r="J1715" s="433"/>
      <c r="K1715" s="306"/>
      <c r="L1715" s="306"/>
      <c r="M1715" s="306"/>
      <c r="N1715" s="298"/>
      <c r="O1715" s="298"/>
      <c r="P1715" s="298"/>
      <c r="Q1715" s="306"/>
      <c r="R1715" s="1023"/>
      <c r="S1715" s="1023"/>
      <c r="T1715" s="306"/>
      <c r="U1715" s="306"/>
      <c r="V1715" s="306"/>
      <c r="W1715" s="306"/>
      <c r="X1715" s="306"/>
      <c r="Y1715" s="306"/>
      <c r="Z1715" s="306"/>
      <c r="AA1715" s="306"/>
      <c r="AB1715" s="306"/>
      <c r="AC1715" s="306"/>
      <c r="AD1715" s="306"/>
      <c r="AE1715" s="306"/>
      <c r="AF1715" s="306"/>
      <c r="AG1715" s="306"/>
      <c r="AH1715" s="306"/>
      <c r="AI1715" s="306"/>
      <c r="AJ1715" s="306"/>
      <c r="AK1715" s="306"/>
      <c r="AL1715" s="306"/>
      <c r="AM1715" s="418"/>
      <c r="AN1715" s="418"/>
      <c r="AO1715" s="306"/>
      <c r="AP1715" s="306"/>
      <c r="AQ1715" s="418"/>
      <c r="AR1715" s="306"/>
      <c r="AS1715" s="306"/>
      <c r="AT1715" s="418"/>
      <c r="AU1715" s="306"/>
      <c r="AV1715" s="306"/>
      <c r="AW1715" s="306"/>
      <c r="AX1715" s="306"/>
      <c r="AY1715" s="306"/>
      <c r="AZ1715" s="306"/>
      <c r="BA1715" s="306"/>
      <c r="BB1715" s="306"/>
    </row>
    <row r="1716" spans="1:54" ht="15.75" customHeight="1">
      <c r="A1716" s="317"/>
      <c r="B1716" s="430"/>
      <c r="C1716" s="317"/>
      <c r="E1716" s="306"/>
      <c r="F1716" s="431"/>
      <c r="G1716" s="431"/>
      <c r="H1716" s="298"/>
      <c r="I1716" s="432"/>
      <c r="J1716" s="433"/>
      <c r="K1716" s="306"/>
      <c r="L1716" s="306"/>
      <c r="M1716" s="306"/>
      <c r="N1716" s="298"/>
      <c r="O1716" s="298"/>
      <c r="P1716" s="298"/>
      <c r="Q1716" s="306"/>
      <c r="R1716" s="1023"/>
      <c r="S1716" s="1023"/>
      <c r="T1716" s="306"/>
      <c r="U1716" s="306"/>
      <c r="V1716" s="306"/>
      <c r="W1716" s="306"/>
      <c r="X1716" s="306"/>
      <c r="Y1716" s="306"/>
      <c r="Z1716" s="306"/>
      <c r="AA1716" s="306"/>
      <c r="AB1716" s="306"/>
      <c r="AC1716" s="306"/>
      <c r="AD1716" s="306"/>
      <c r="AE1716" s="306"/>
      <c r="AF1716" s="306"/>
      <c r="AG1716" s="306"/>
      <c r="AH1716" s="306"/>
      <c r="AI1716" s="306"/>
      <c r="AJ1716" s="306"/>
      <c r="AK1716" s="306"/>
      <c r="AL1716" s="306"/>
      <c r="AM1716" s="418"/>
      <c r="AN1716" s="418"/>
      <c r="AO1716" s="306"/>
      <c r="AP1716" s="306"/>
      <c r="AQ1716" s="418"/>
      <c r="AR1716" s="306"/>
      <c r="AS1716" s="306"/>
      <c r="AT1716" s="418"/>
      <c r="AU1716" s="306"/>
      <c r="AV1716" s="306"/>
      <c r="AW1716" s="306"/>
      <c r="AX1716" s="306"/>
      <c r="AY1716" s="306"/>
      <c r="AZ1716" s="306"/>
      <c r="BA1716" s="306"/>
      <c r="BB1716" s="306"/>
    </row>
    <row r="1717" spans="1:54" ht="15.75" customHeight="1">
      <c r="A1717" s="317"/>
      <c r="B1717" s="430"/>
      <c r="C1717" s="317"/>
      <c r="E1717" s="306"/>
      <c r="F1717" s="431"/>
      <c r="G1717" s="431"/>
      <c r="H1717" s="298"/>
      <c r="I1717" s="432"/>
      <c r="J1717" s="433"/>
      <c r="K1717" s="306"/>
      <c r="L1717" s="306"/>
      <c r="M1717" s="306"/>
      <c r="N1717" s="298"/>
      <c r="O1717" s="298"/>
      <c r="P1717" s="298"/>
      <c r="Q1717" s="306"/>
      <c r="R1717" s="1023"/>
      <c r="S1717" s="1023"/>
      <c r="T1717" s="306"/>
      <c r="U1717" s="306"/>
      <c r="V1717" s="306"/>
      <c r="W1717" s="306"/>
      <c r="X1717" s="306"/>
      <c r="Y1717" s="306"/>
      <c r="Z1717" s="306"/>
      <c r="AA1717" s="306"/>
      <c r="AB1717" s="306"/>
      <c r="AC1717" s="306"/>
      <c r="AD1717" s="306"/>
      <c r="AE1717" s="306"/>
      <c r="AF1717" s="306"/>
      <c r="AG1717" s="306"/>
      <c r="AH1717" s="306"/>
      <c r="AI1717" s="306"/>
      <c r="AJ1717" s="306"/>
      <c r="AK1717" s="306"/>
      <c r="AL1717" s="306"/>
      <c r="AM1717" s="418"/>
      <c r="AN1717" s="418"/>
      <c r="AO1717" s="306"/>
      <c r="AP1717" s="306"/>
      <c r="AQ1717" s="418"/>
      <c r="AR1717" s="306"/>
      <c r="AS1717" s="306"/>
      <c r="AT1717" s="418"/>
      <c r="AU1717" s="306"/>
      <c r="AV1717" s="306"/>
      <c r="AW1717" s="306"/>
      <c r="AX1717" s="306"/>
      <c r="AY1717" s="306"/>
      <c r="AZ1717" s="306"/>
      <c r="BA1717" s="306"/>
      <c r="BB1717" s="306"/>
    </row>
    <row r="1718" spans="1:54" ht="15.75" customHeight="1">
      <c r="A1718" s="317"/>
      <c r="B1718" s="430"/>
      <c r="C1718" s="317"/>
      <c r="E1718" s="306"/>
      <c r="F1718" s="431"/>
      <c r="G1718" s="431"/>
      <c r="H1718" s="298"/>
      <c r="I1718" s="432"/>
      <c r="J1718" s="433"/>
      <c r="K1718" s="306"/>
      <c r="L1718" s="306"/>
      <c r="M1718" s="306"/>
      <c r="N1718" s="298"/>
      <c r="O1718" s="298"/>
      <c r="P1718" s="298"/>
      <c r="Q1718" s="306"/>
      <c r="R1718" s="1023"/>
      <c r="S1718" s="1023"/>
      <c r="T1718" s="306"/>
      <c r="U1718" s="306"/>
      <c r="V1718" s="306"/>
      <c r="W1718" s="306"/>
      <c r="X1718" s="306"/>
      <c r="Y1718" s="306"/>
      <c r="Z1718" s="306"/>
      <c r="AA1718" s="306"/>
      <c r="AB1718" s="306"/>
      <c r="AC1718" s="306"/>
      <c r="AD1718" s="306"/>
      <c r="AE1718" s="306"/>
      <c r="AF1718" s="306"/>
      <c r="AG1718" s="306"/>
      <c r="AH1718" s="306"/>
      <c r="AI1718" s="306"/>
      <c r="AJ1718" s="306"/>
      <c r="AK1718" s="306"/>
      <c r="AL1718" s="306"/>
      <c r="AM1718" s="418"/>
      <c r="AN1718" s="418"/>
      <c r="AO1718" s="306"/>
      <c r="AP1718" s="306"/>
      <c r="AQ1718" s="418"/>
      <c r="AR1718" s="306"/>
      <c r="AS1718" s="306"/>
      <c r="AT1718" s="418"/>
      <c r="AU1718" s="306"/>
      <c r="AV1718" s="306"/>
      <c r="AW1718" s="306"/>
      <c r="AX1718" s="306"/>
      <c r="AY1718" s="306"/>
      <c r="AZ1718" s="306"/>
      <c r="BA1718" s="306"/>
      <c r="BB1718" s="306"/>
    </row>
    <row r="1719" spans="1:54" ht="15.75" customHeight="1">
      <c r="A1719" s="317"/>
      <c r="B1719" s="430"/>
      <c r="C1719" s="317"/>
      <c r="E1719" s="306"/>
      <c r="F1719" s="431"/>
      <c r="G1719" s="431"/>
      <c r="H1719" s="298"/>
      <c r="I1719" s="432"/>
      <c r="J1719" s="433"/>
      <c r="K1719" s="306"/>
      <c r="L1719" s="306"/>
      <c r="M1719" s="306"/>
      <c r="N1719" s="298"/>
      <c r="O1719" s="298"/>
      <c r="P1719" s="298"/>
      <c r="Q1719" s="306"/>
      <c r="R1719" s="1023"/>
      <c r="S1719" s="1023"/>
      <c r="T1719" s="306"/>
      <c r="U1719" s="306"/>
      <c r="V1719" s="306"/>
      <c r="W1719" s="306"/>
      <c r="X1719" s="306"/>
      <c r="Y1719" s="306"/>
      <c r="Z1719" s="306"/>
      <c r="AA1719" s="306"/>
      <c r="AB1719" s="306"/>
      <c r="AC1719" s="306"/>
      <c r="AD1719" s="306"/>
      <c r="AE1719" s="306"/>
      <c r="AF1719" s="306"/>
      <c r="AG1719" s="306"/>
      <c r="AH1719" s="306"/>
      <c r="AI1719" s="306"/>
      <c r="AJ1719" s="306"/>
      <c r="AK1719" s="306"/>
      <c r="AL1719" s="306"/>
      <c r="AM1719" s="418"/>
      <c r="AN1719" s="418"/>
      <c r="AO1719" s="306"/>
      <c r="AP1719" s="306"/>
      <c r="AQ1719" s="418"/>
      <c r="AR1719" s="306"/>
      <c r="AS1719" s="306"/>
      <c r="AT1719" s="418"/>
      <c r="AU1719" s="306"/>
      <c r="AV1719" s="306"/>
      <c r="AW1719" s="306"/>
      <c r="AX1719" s="306"/>
      <c r="AY1719" s="306"/>
      <c r="AZ1719" s="306"/>
      <c r="BA1719" s="306"/>
      <c r="BB1719" s="306"/>
    </row>
    <row r="1720" spans="1:54" ht="15.75" customHeight="1">
      <c r="A1720" s="317"/>
      <c r="B1720" s="430"/>
      <c r="C1720" s="317"/>
      <c r="E1720" s="306"/>
      <c r="F1720" s="431"/>
      <c r="G1720" s="431"/>
      <c r="H1720" s="298"/>
      <c r="I1720" s="432"/>
      <c r="J1720" s="433"/>
      <c r="K1720" s="306"/>
      <c r="L1720" s="306"/>
      <c r="M1720" s="306"/>
      <c r="N1720" s="298"/>
      <c r="O1720" s="298"/>
      <c r="P1720" s="298"/>
      <c r="Q1720" s="306"/>
      <c r="R1720" s="1023"/>
      <c r="S1720" s="1023"/>
      <c r="T1720" s="306"/>
      <c r="U1720" s="306"/>
      <c r="V1720" s="306"/>
      <c r="W1720" s="306"/>
      <c r="X1720" s="306"/>
      <c r="Y1720" s="306"/>
      <c r="Z1720" s="306"/>
      <c r="AA1720" s="306"/>
      <c r="AB1720" s="306"/>
      <c r="AC1720" s="306"/>
      <c r="AD1720" s="306"/>
      <c r="AE1720" s="306"/>
      <c r="AF1720" s="306"/>
      <c r="AG1720" s="306"/>
      <c r="AH1720" s="306"/>
      <c r="AI1720" s="306"/>
      <c r="AJ1720" s="306"/>
      <c r="AK1720" s="306"/>
      <c r="AL1720" s="306"/>
      <c r="AM1720" s="418"/>
      <c r="AN1720" s="418"/>
      <c r="AO1720" s="306"/>
      <c r="AP1720" s="306"/>
      <c r="AQ1720" s="418"/>
      <c r="AR1720" s="306"/>
      <c r="AS1720" s="306"/>
      <c r="AT1720" s="418"/>
      <c r="AU1720" s="306"/>
      <c r="AV1720" s="306"/>
      <c r="AW1720" s="306"/>
      <c r="AX1720" s="306"/>
      <c r="AY1720" s="306"/>
      <c r="AZ1720" s="306"/>
      <c r="BA1720" s="306"/>
      <c r="BB1720" s="306"/>
    </row>
    <row r="1721" spans="1:54" ht="15.75" customHeight="1">
      <c r="A1721" s="317"/>
      <c r="B1721" s="430"/>
      <c r="C1721" s="317"/>
      <c r="E1721" s="306"/>
      <c r="F1721" s="431"/>
      <c r="G1721" s="431"/>
      <c r="H1721" s="298"/>
      <c r="I1721" s="432"/>
      <c r="J1721" s="433"/>
      <c r="K1721" s="306"/>
      <c r="L1721" s="306"/>
      <c r="M1721" s="306"/>
      <c r="N1721" s="298"/>
      <c r="O1721" s="298"/>
      <c r="P1721" s="298"/>
      <c r="Q1721" s="306"/>
      <c r="R1721" s="1023"/>
      <c r="S1721" s="1023"/>
      <c r="T1721" s="306"/>
      <c r="U1721" s="306"/>
      <c r="V1721" s="306"/>
      <c r="W1721" s="306"/>
      <c r="X1721" s="306"/>
      <c r="Y1721" s="306"/>
      <c r="Z1721" s="306"/>
      <c r="AA1721" s="306"/>
      <c r="AB1721" s="306"/>
      <c r="AC1721" s="306"/>
      <c r="AD1721" s="306"/>
      <c r="AE1721" s="306"/>
      <c r="AF1721" s="306"/>
      <c r="AG1721" s="306"/>
      <c r="AH1721" s="306"/>
      <c r="AI1721" s="306"/>
      <c r="AJ1721" s="306"/>
      <c r="AK1721" s="306"/>
      <c r="AL1721" s="306"/>
      <c r="AM1721" s="418"/>
      <c r="AN1721" s="418"/>
      <c r="AO1721" s="306"/>
      <c r="AP1721" s="306"/>
      <c r="AQ1721" s="418"/>
      <c r="AR1721" s="306"/>
      <c r="AS1721" s="306"/>
      <c r="AT1721" s="418"/>
      <c r="AU1721" s="306"/>
      <c r="AV1721" s="306"/>
      <c r="AW1721" s="306"/>
      <c r="AX1721" s="306"/>
      <c r="AY1721" s="306"/>
      <c r="AZ1721" s="306"/>
      <c r="BA1721" s="306"/>
      <c r="BB1721" s="306"/>
    </row>
    <row r="1722" spans="1:54" ht="15.75" customHeight="1">
      <c r="A1722" s="317"/>
      <c r="B1722" s="430"/>
      <c r="C1722" s="317"/>
      <c r="E1722" s="306"/>
      <c r="F1722" s="431"/>
      <c r="G1722" s="431"/>
      <c r="H1722" s="298"/>
      <c r="I1722" s="432"/>
      <c r="J1722" s="433"/>
      <c r="K1722" s="306"/>
      <c r="L1722" s="306"/>
      <c r="M1722" s="306"/>
      <c r="N1722" s="298"/>
      <c r="O1722" s="298"/>
      <c r="P1722" s="298"/>
      <c r="Q1722" s="306"/>
      <c r="R1722" s="1023"/>
      <c r="S1722" s="1023"/>
      <c r="T1722" s="306"/>
      <c r="U1722" s="306"/>
      <c r="V1722" s="306"/>
      <c r="W1722" s="306"/>
      <c r="X1722" s="306"/>
      <c r="Y1722" s="306"/>
      <c r="Z1722" s="306"/>
      <c r="AA1722" s="306"/>
      <c r="AB1722" s="306"/>
      <c r="AC1722" s="306"/>
      <c r="AD1722" s="306"/>
      <c r="AE1722" s="306"/>
      <c r="AF1722" s="306"/>
      <c r="AG1722" s="306"/>
      <c r="AH1722" s="306"/>
      <c r="AI1722" s="306"/>
      <c r="AJ1722" s="306"/>
      <c r="AK1722" s="306"/>
      <c r="AL1722" s="306"/>
      <c r="AM1722" s="418"/>
      <c r="AN1722" s="418"/>
      <c r="AO1722" s="306"/>
      <c r="AP1722" s="306"/>
      <c r="AQ1722" s="418"/>
      <c r="AR1722" s="306"/>
      <c r="AS1722" s="306"/>
      <c r="AT1722" s="418"/>
      <c r="AU1722" s="306"/>
      <c r="AV1722" s="306"/>
      <c r="AW1722" s="306"/>
      <c r="AX1722" s="306"/>
      <c r="AY1722" s="306"/>
      <c r="AZ1722" s="306"/>
      <c r="BA1722" s="306"/>
      <c r="BB1722" s="306"/>
    </row>
    <row r="1723" spans="1:54" ht="15.75" customHeight="1">
      <c r="A1723" s="317"/>
      <c r="B1723" s="430"/>
      <c r="C1723" s="317"/>
      <c r="E1723" s="306"/>
      <c r="F1723" s="431"/>
      <c r="G1723" s="431"/>
      <c r="H1723" s="298"/>
      <c r="I1723" s="432"/>
      <c r="J1723" s="433"/>
      <c r="K1723" s="306"/>
      <c r="L1723" s="306"/>
      <c r="M1723" s="306"/>
      <c r="N1723" s="298"/>
      <c r="O1723" s="298"/>
      <c r="P1723" s="298"/>
      <c r="Q1723" s="306"/>
      <c r="R1723" s="1023"/>
      <c r="S1723" s="1023"/>
      <c r="T1723" s="306"/>
      <c r="U1723" s="306"/>
      <c r="V1723" s="306"/>
      <c r="W1723" s="306"/>
      <c r="X1723" s="306"/>
      <c r="Y1723" s="306"/>
      <c r="Z1723" s="306"/>
      <c r="AA1723" s="306"/>
      <c r="AB1723" s="306"/>
      <c r="AC1723" s="306"/>
      <c r="AD1723" s="306"/>
      <c r="AE1723" s="306"/>
      <c r="AF1723" s="306"/>
      <c r="AG1723" s="306"/>
      <c r="AH1723" s="306"/>
      <c r="AI1723" s="306"/>
      <c r="AJ1723" s="306"/>
      <c r="AK1723" s="306"/>
      <c r="AL1723" s="306"/>
      <c r="AM1723" s="418"/>
      <c r="AN1723" s="418"/>
      <c r="AO1723" s="306"/>
      <c r="AP1723" s="306"/>
      <c r="AQ1723" s="418"/>
      <c r="AR1723" s="306"/>
      <c r="AS1723" s="306"/>
      <c r="AT1723" s="418"/>
      <c r="AU1723" s="306"/>
      <c r="AV1723" s="306"/>
      <c r="AW1723" s="306"/>
      <c r="AX1723" s="306"/>
      <c r="AY1723" s="306"/>
      <c r="AZ1723" s="306"/>
      <c r="BA1723" s="306"/>
      <c r="BB1723" s="306"/>
    </row>
    <row r="1724" spans="1:54" ht="15.75" customHeight="1">
      <c r="A1724" s="317"/>
      <c r="B1724" s="430"/>
      <c r="C1724" s="317"/>
      <c r="E1724" s="306"/>
      <c r="F1724" s="431"/>
      <c r="G1724" s="431"/>
      <c r="H1724" s="298"/>
      <c r="I1724" s="432"/>
      <c r="J1724" s="433"/>
      <c r="K1724" s="306"/>
      <c r="L1724" s="306"/>
      <c r="M1724" s="306"/>
      <c r="N1724" s="298"/>
      <c r="O1724" s="298"/>
      <c r="P1724" s="298"/>
      <c r="Q1724" s="306"/>
      <c r="R1724" s="1023"/>
      <c r="S1724" s="1023"/>
      <c r="T1724" s="306"/>
      <c r="U1724" s="306"/>
      <c r="V1724" s="306"/>
      <c r="W1724" s="306"/>
      <c r="X1724" s="306"/>
      <c r="Y1724" s="306"/>
      <c r="Z1724" s="306"/>
      <c r="AA1724" s="306"/>
      <c r="AB1724" s="306"/>
      <c r="AC1724" s="306"/>
      <c r="AD1724" s="306"/>
      <c r="AE1724" s="306"/>
      <c r="AF1724" s="306"/>
      <c r="AG1724" s="306"/>
      <c r="AH1724" s="306"/>
      <c r="AI1724" s="306"/>
      <c r="AJ1724" s="306"/>
      <c r="AK1724" s="306"/>
      <c r="AL1724" s="306"/>
      <c r="AM1724" s="418"/>
      <c r="AN1724" s="418"/>
      <c r="AO1724" s="306"/>
      <c r="AP1724" s="306"/>
      <c r="AQ1724" s="418"/>
      <c r="AR1724" s="306"/>
      <c r="AS1724" s="306"/>
      <c r="AT1724" s="418"/>
      <c r="AU1724" s="306"/>
      <c r="AV1724" s="306"/>
      <c r="AW1724" s="306"/>
      <c r="AX1724" s="306"/>
      <c r="AY1724" s="306"/>
      <c r="AZ1724" s="306"/>
      <c r="BA1724" s="306"/>
      <c r="BB1724" s="306"/>
    </row>
    <row r="1725" spans="1:54" ht="15.75" customHeight="1">
      <c r="A1725" s="317"/>
      <c r="B1725" s="430"/>
      <c r="C1725" s="317"/>
      <c r="E1725" s="306"/>
      <c r="F1725" s="431"/>
      <c r="G1725" s="431"/>
      <c r="H1725" s="298"/>
      <c r="I1725" s="432"/>
      <c r="J1725" s="433"/>
      <c r="K1725" s="306"/>
      <c r="L1725" s="306"/>
      <c r="M1725" s="306"/>
      <c r="N1725" s="298"/>
      <c r="O1725" s="298"/>
      <c r="P1725" s="298"/>
      <c r="Q1725" s="306"/>
      <c r="R1725" s="1023"/>
      <c r="S1725" s="1023"/>
      <c r="T1725" s="306"/>
      <c r="U1725" s="306"/>
      <c r="V1725" s="306"/>
      <c r="W1725" s="306"/>
      <c r="X1725" s="306"/>
      <c r="Y1725" s="306"/>
      <c r="Z1725" s="306"/>
      <c r="AA1725" s="306"/>
      <c r="AB1725" s="306"/>
      <c r="AC1725" s="306"/>
      <c r="AD1725" s="306"/>
      <c r="AE1725" s="306"/>
      <c r="AF1725" s="306"/>
      <c r="AG1725" s="306"/>
      <c r="AH1725" s="306"/>
      <c r="AI1725" s="306"/>
      <c r="AJ1725" s="306"/>
      <c r="AK1725" s="306"/>
      <c r="AL1725" s="306"/>
      <c r="AM1725" s="418"/>
      <c r="AN1725" s="418"/>
      <c r="AO1725" s="306"/>
      <c r="AP1725" s="306"/>
      <c r="AQ1725" s="418"/>
      <c r="AR1725" s="306"/>
      <c r="AS1725" s="306"/>
      <c r="AT1725" s="418"/>
      <c r="AU1725" s="306"/>
      <c r="AV1725" s="306"/>
      <c r="AW1725" s="306"/>
      <c r="AX1725" s="306"/>
      <c r="AY1725" s="306"/>
      <c r="AZ1725" s="306"/>
      <c r="BA1725" s="306"/>
      <c r="BB1725" s="306"/>
    </row>
    <row r="1726" spans="1:54" ht="15.75" customHeight="1">
      <c r="A1726" s="317"/>
      <c r="B1726" s="430"/>
      <c r="C1726" s="317"/>
      <c r="E1726" s="306"/>
      <c r="F1726" s="431"/>
      <c r="G1726" s="431"/>
      <c r="H1726" s="298"/>
      <c r="I1726" s="432"/>
      <c r="J1726" s="433"/>
      <c r="K1726" s="306"/>
      <c r="L1726" s="306"/>
      <c r="M1726" s="306"/>
      <c r="N1726" s="298"/>
      <c r="O1726" s="298"/>
      <c r="P1726" s="298"/>
      <c r="Q1726" s="306"/>
      <c r="R1726" s="1023"/>
      <c r="S1726" s="1023"/>
      <c r="T1726" s="306"/>
      <c r="U1726" s="306"/>
      <c r="V1726" s="306"/>
      <c r="W1726" s="306"/>
      <c r="X1726" s="306"/>
      <c r="Y1726" s="306"/>
      <c r="Z1726" s="306"/>
      <c r="AA1726" s="306"/>
      <c r="AB1726" s="306"/>
      <c r="AC1726" s="306"/>
      <c r="AD1726" s="306"/>
      <c r="AE1726" s="306"/>
      <c r="AF1726" s="306"/>
      <c r="AG1726" s="306"/>
      <c r="AH1726" s="306"/>
      <c r="AI1726" s="306"/>
      <c r="AJ1726" s="306"/>
      <c r="AK1726" s="306"/>
      <c r="AL1726" s="306"/>
      <c r="AM1726" s="418"/>
      <c r="AN1726" s="418"/>
      <c r="AO1726" s="306"/>
      <c r="AP1726" s="306"/>
      <c r="AQ1726" s="418"/>
      <c r="AR1726" s="306"/>
      <c r="AS1726" s="306"/>
      <c r="AT1726" s="418"/>
      <c r="AU1726" s="306"/>
      <c r="AV1726" s="306"/>
      <c r="AW1726" s="306"/>
      <c r="AX1726" s="306"/>
      <c r="AY1726" s="306"/>
      <c r="AZ1726" s="306"/>
      <c r="BA1726" s="306"/>
      <c r="BB1726" s="306"/>
    </row>
    <row r="1727" spans="1:54" ht="15.75" customHeight="1">
      <c r="A1727" s="317"/>
      <c r="B1727" s="430"/>
      <c r="C1727" s="317"/>
      <c r="E1727" s="306"/>
      <c r="F1727" s="431"/>
      <c r="G1727" s="431"/>
      <c r="H1727" s="298"/>
      <c r="I1727" s="432"/>
      <c r="J1727" s="433"/>
      <c r="K1727" s="306"/>
      <c r="L1727" s="306"/>
      <c r="M1727" s="306"/>
      <c r="N1727" s="298"/>
      <c r="O1727" s="298"/>
      <c r="P1727" s="298"/>
      <c r="Q1727" s="306"/>
      <c r="R1727" s="1023"/>
      <c r="S1727" s="1023"/>
      <c r="T1727" s="306"/>
      <c r="U1727" s="306"/>
      <c r="V1727" s="306"/>
      <c r="W1727" s="306"/>
      <c r="X1727" s="306"/>
      <c r="Y1727" s="306"/>
      <c r="Z1727" s="306"/>
      <c r="AA1727" s="306"/>
      <c r="AB1727" s="306"/>
      <c r="AC1727" s="306"/>
      <c r="AD1727" s="306"/>
      <c r="AE1727" s="306"/>
      <c r="AF1727" s="306"/>
      <c r="AG1727" s="306"/>
      <c r="AH1727" s="306"/>
      <c r="AI1727" s="306"/>
      <c r="AJ1727" s="306"/>
      <c r="AK1727" s="306"/>
      <c r="AL1727" s="306"/>
      <c r="AM1727" s="418"/>
      <c r="AN1727" s="418"/>
      <c r="AO1727" s="306"/>
      <c r="AP1727" s="306"/>
      <c r="AQ1727" s="418"/>
      <c r="AR1727" s="306"/>
      <c r="AS1727" s="306"/>
      <c r="AT1727" s="418"/>
      <c r="AU1727" s="306"/>
      <c r="AV1727" s="306"/>
      <c r="AW1727" s="306"/>
      <c r="AX1727" s="306"/>
      <c r="AY1727" s="306"/>
      <c r="AZ1727" s="306"/>
      <c r="BA1727" s="306"/>
      <c r="BB1727" s="306"/>
    </row>
    <row r="1728" spans="1:54" ht="15.75" customHeight="1">
      <c r="A1728" s="317"/>
      <c r="B1728" s="430"/>
      <c r="C1728" s="317"/>
      <c r="E1728" s="306"/>
      <c r="F1728" s="431"/>
      <c r="G1728" s="431"/>
      <c r="H1728" s="298"/>
      <c r="I1728" s="432"/>
      <c r="J1728" s="433"/>
      <c r="K1728" s="306"/>
      <c r="L1728" s="306"/>
      <c r="M1728" s="306"/>
      <c r="N1728" s="298"/>
      <c r="O1728" s="298"/>
      <c r="P1728" s="298"/>
      <c r="Q1728" s="306"/>
      <c r="R1728" s="1023"/>
      <c r="S1728" s="1023"/>
      <c r="T1728" s="306"/>
      <c r="U1728" s="306"/>
      <c r="V1728" s="306"/>
      <c r="W1728" s="306"/>
      <c r="X1728" s="306"/>
      <c r="Y1728" s="306"/>
      <c r="Z1728" s="306"/>
      <c r="AA1728" s="306"/>
      <c r="AB1728" s="306"/>
      <c r="AC1728" s="306"/>
      <c r="AD1728" s="306"/>
      <c r="AE1728" s="306"/>
      <c r="AF1728" s="306"/>
      <c r="AG1728" s="306"/>
      <c r="AH1728" s="306"/>
      <c r="AI1728" s="306"/>
      <c r="AJ1728" s="306"/>
      <c r="AK1728" s="306"/>
      <c r="AL1728" s="306"/>
      <c r="AM1728" s="418"/>
      <c r="AN1728" s="418"/>
      <c r="AO1728" s="306"/>
      <c r="AP1728" s="306"/>
      <c r="AQ1728" s="418"/>
      <c r="AR1728" s="306"/>
      <c r="AS1728" s="306"/>
      <c r="AT1728" s="418"/>
      <c r="AU1728" s="306"/>
      <c r="AV1728" s="306"/>
      <c r="AW1728" s="306"/>
      <c r="AX1728" s="306"/>
      <c r="AY1728" s="306"/>
      <c r="AZ1728" s="306"/>
      <c r="BA1728" s="306"/>
      <c r="BB1728" s="306"/>
    </row>
    <row r="1729" spans="1:54" ht="15.75" customHeight="1">
      <c r="A1729" s="317"/>
      <c r="B1729" s="430"/>
      <c r="C1729" s="317"/>
      <c r="E1729" s="306"/>
      <c r="F1729" s="431"/>
      <c r="G1729" s="431"/>
      <c r="H1729" s="298"/>
      <c r="I1729" s="432"/>
      <c r="J1729" s="433"/>
      <c r="K1729" s="306"/>
      <c r="L1729" s="306"/>
      <c r="M1729" s="306"/>
      <c r="N1729" s="298"/>
      <c r="O1729" s="298"/>
      <c r="P1729" s="298"/>
      <c r="Q1729" s="306"/>
      <c r="R1729" s="1023"/>
      <c r="S1729" s="1023"/>
      <c r="T1729" s="306"/>
      <c r="U1729" s="306"/>
      <c r="V1729" s="306"/>
      <c r="W1729" s="306"/>
      <c r="X1729" s="306"/>
      <c r="Y1729" s="306"/>
      <c r="Z1729" s="306"/>
      <c r="AA1729" s="306"/>
      <c r="AB1729" s="306"/>
      <c r="AC1729" s="306"/>
      <c r="AD1729" s="306"/>
      <c r="AE1729" s="306"/>
      <c r="AF1729" s="306"/>
      <c r="AG1729" s="306"/>
      <c r="AH1729" s="306"/>
      <c r="AI1729" s="306"/>
      <c r="AJ1729" s="306"/>
      <c r="AK1729" s="306"/>
      <c r="AL1729" s="306"/>
      <c r="AM1729" s="418"/>
      <c r="AN1729" s="418"/>
      <c r="AO1729" s="306"/>
      <c r="AP1729" s="306"/>
      <c r="AQ1729" s="418"/>
      <c r="AR1729" s="306"/>
      <c r="AS1729" s="306"/>
      <c r="AT1729" s="418"/>
      <c r="AU1729" s="306"/>
      <c r="AV1729" s="306"/>
      <c r="AW1729" s="306"/>
      <c r="AX1729" s="306"/>
      <c r="AY1729" s="306"/>
      <c r="AZ1729" s="306"/>
      <c r="BA1729" s="306"/>
      <c r="BB1729" s="306"/>
    </row>
    <row r="1730" spans="1:54" ht="15.75" customHeight="1">
      <c r="A1730" s="317"/>
      <c r="B1730" s="430"/>
      <c r="C1730" s="317"/>
      <c r="E1730" s="306"/>
      <c r="F1730" s="431"/>
      <c r="G1730" s="431"/>
      <c r="H1730" s="298"/>
      <c r="I1730" s="432"/>
      <c r="J1730" s="433"/>
      <c r="K1730" s="306"/>
      <c r="L1730" s="306"/>
      <c r="M1730" s="306"/>
      <c r="N1730" s="298"/>
      <c r="O1730" s="298"/>
      <c r="P1730" s="298"/>
      <c r="Q1730" s="306"/>
      <c r="R1730" s="1023"/>
      <c r="S1730" s="1023"/>
      <c r="T1730" s="306"/>
      <c r="U1730" s="306"/>
      <c r="V1730" s="306"/>
      <c r="W1730" s="306"/>
      <c r="X1730" s="306"/>
      <c r="Y1730" s="306"/>
      <c r="Z1730" s="306"/>
      <c r="AA1730" s="306"/>
      <c r="AB1730" s="306"/>
      <c r="AC1730" s="306"/>
      <c r="AD1730" s="306"/>
      <c r="AE1730" s="306"/>
      <c r="AF1730" s="306"/>
      <c r="AG1730" s="306"/>
      <c r="AH1730" s="306"/>
      <c r="AI1730" s="306"/>
      <c r="AJ1730" s="306"/>
      <c r="AK1730" s="306"/>
      <c r="AL1730" s="306"/>
      <c r="AM1730" s="418"/>
      <c r="AN1730" s="418"/>
      <c r="AO1730" s="306"/>
      <c r="AP1730" s="306"/>
      <c r="AQ1730" s="418"/>
      <c r="AR1730" s="306"/>
      <c r="AS1730" s="306"/>
      <c r="AT1730" s="418"/>
      <c r="AU1730" s="306"/>
      <c r="AV1730" s="306"/>
      <c r="AW1730" s="306"/>
      <c r="AX1730" s="306"/>
      <c r="AY1730" s="306"/>
      <c r="AZ1730" s="306"/>
      <c r="BA1730" s="306"/>
      <c r="BB1730" s="306"/>
    </row>
    <row r="1731" spans="1:54" ht="15.75" customHeight="1">
      <c r="A1731" s="317"/>
      <c r="B1731" s="430"/>
      <c r="C1731" s="317"/>
      <c r="E1731" s="306"/>
      <c r="F1731" s="431"/>
      <c r="G1731" s="431"/>
      <c r="H1731" s="298"/>
      <c r="I1731" s="432"/>
      <c r="J1731" s="433"/>
      <c r="K1731" s="306"/>
      <c r="L1731" s="306"/>
      <c r="M1731" s="306"/>
      <c r="N1731" s="298"/>
      <c r="O1731" s="298"/>
      <c r="P1731" s="298"/>
      <c r="Q1731" s="306"/>
      <c r="R1731" s="1023"/>
      <c r="S1731" s="1023"/>
      <c r="T1731" s="306"/>
      <c r="U1731" s="306"/>
      <c r="V1731" s="306"/>
      <c r="W1731" s="306"/>
      <c r="X1731" s="306"/>
      <c r="Y1731" s="306"/>
      <c r="Z1731" s="306"/>
      <c r="AA1731" s="306"/>
      <c r="AB1731" s="306"/>
      <c r="AC1731" s="306"/>
      <c r="AD1731" s="306"/>
      <c r="AE1731" s="306"/>
      <c r="AF1731" s="306"/>
      <c r="AG1731" s="306"/>
      <c r="AH1731" s="306"/>
      <c r="AI1731" s="306"/>
      <c r="AJ1731" s="306"/>
      <c r="AK1731" s="306"/>
      <c r="AL1731" s="306"/>
      <c r="AM1731" s="418"/>
      <c r="AN1731" s="418"/>
      <c r="AO1731" s="306"/>
      <c r="AP1731" s="306"/>
      <c r="AQ1731" s="418"/>
      <c r="AR1731" s="306"/>
      <c r="AS1731" s="306"/>
      <c r="AT1731" s="418"/>
      <c r="AU1731" s="306"/>
      <c r="AV1731" s="306"/>
      <c r="AW1731" s="306"/>
      <c r="AX1731" s="306"/>
      <c r="AY1731" s="306"/>
      <c r="AZ1731" s="306"/>
      <c r="BA1731" s="306"/>
      <c r="BB1731" s="306"/>
    </row>
    <row r="1732" spans="1:54" ht="15.75" customHeight="1">
      <c r="A1732" s="317"/>
      <c r="B1732" s="430"/>
      <c r="C1732" s="317"/>
      <c r="E1732" s="306"/>
      <c r="F1732" s="431"/>
      <c r="G1732" s="431"/>
      <c r="H1732" s="298"/>
      <c r="I1732" s="432"/>
      <c r="J1732" s="433"/>
      <c r="K1732" s="306"/>
      <c r="L1732" s="306"/>
      <c r="M1732" s="306"/>
      <c r="N1732" s="298"/>
      <c r="O1732" s="298"/>
      <c r="P1732" s="298"/>
      <c r="Q1732" s="306"/>
      <c r="R1732" s="1023"/>
      <c r="S1732" s="1023"/>
      <c r="T1732" s="306"/>
      <c r="U1732" s="306"/>
      <c r="V1732" s="306"/>
      <c r="W1732" s="306"/>
      <c r="X1732" s="306"/>
      <c r="Y1732" s="306"/>
      <c r="Z1732" s="306"/>
      <c r="AA1732" s="306"/>
      <c r="AB1732" s="306"/>
      <c r="AC1732" s="306"/>
      <c r="AD1732" s="306"/>
      <c r="AE1732" s="306"/>
      <c r="AF1732" s="306"/>
      <c r="AG1732" s="306"/>
      <c r="AH1732" s="306"/>
      <c r="AI1732" s="306"/>
      <c r="AJ1732" s="306"/>
      <c r="AK1732" s="306"/>
      <c r="AL1732" s="306"/>
      <c r="AM1732" s="418"/>
      <c r="AN1732" s="418"/>
      <c r="AO1732" s="306"/>
      <c r="AP1732" s="306"/>
      <c r="AQ1732" s="418"/>
      <c r="AR1732" s="306"/>
      <c r="AS1732" s="306"/>
      <c r="AT1732" s="418"/>
      <c r="AU1732" s="306"/>
      <c r="AV1732" s="306"/>
      <c r="AW1732" s="306"/>
      <c r="AX1732" s="306"/>
      <c r="AY1732" s="306"/>
      <c r="AZ1732" s="306"/>
      <c r="BA1732" s="306"/>
      <c r="BB1732" s="306"/>
    </row>
    <row r="1733" spans="1:54" ht="15.75" customHeight="1">
      <c r="A1733" s="317"/>
      <c r="B1733" s="430"/>
      <c r="C1733" s="317"/>
      <c r="E1733" s="306"/>
      <c r="F1733" s="431"/>
      <c r="G1733" s="431"/>
      <c r="H1733" s="298"/>
      <c r="I1733" s="432"/>
      <c r="J1733" s="433"/>
      <c r="K1733" s="306"/>
      <c r="L1733" s="306"/>
      <c r="M1733" s="306"/>
      <c r="N1733" s="298"/>
      <c r="O1733" s="298"/>
      <c r="P1733" s="298"/>
      <c r="Q1733" s="306"/>
      <c r="R1733" s="1023"/>
      <c r="S1733" s="1023"/>
      <c r="T1733" s="306"/>
      <c r="U1733" s="306"/>
      <c r="V1733" s="306"/>
      <c r="W1733" s="306"/>
      <c r="X1733" s="306"/>
      <c r="Y1733" s="306"/>
      <c r="Z1733" s="306"/>
      <c r="AA1733" s="306"/>
      <c r="AB1733" s="306"/>
      <c r="AC1733" s="306"/>
      <c r="AD1733" s="306"/>
      <c r="AE1733" s="306"/>
      <c r="AF1733" s="306"/>
      <c r="AG1733" s="306"/>
      <c r="AH1733" s="306"/>
      <c r="AI1733" s="306"/>
      <c r="AJ1733" s="306"/>
      <c r="AK1733" s="306"/>
      <c r="AL1733" s="306"/>
      <c r="AM1733" s="418"/>
      <c r="AN1733" s="418"/>
      <c r="AO1733" s="306"/>
      <c r="AP1733" s="306"/>
      <c r="AQ1733" s="418"/>
      <c r="AR1733" s="306"/>
      <c r="AS1733" s="306"/>
      <c r="AT1733" s="418"/>
      <c r="AU1733" s="306"/>
      <c r="AV1733" s="306"/>
      <c r="AW1733" s="306"/>
      <c r="AX1733" s="306"/>
      <c r="AY1733" s="306"/>
      <c r="AZ1733" s="306"/>
      <c r="BA1733" s="306"/>
      <c r="BB1733" s="306"/>
    </row>
    <row r="1734" spans="1:54" ht="15.75" customHeight="1">
      <c r="A1734" s="317"/>
      <c r="B1734" s="430"/>
      <c r="C1734" s="317"/>
      <c r="E1734" s="306"/>
      <c r="F1734" s="431"/>
      <c r="G1734" s="431"/>
      <c r="H1734" s="298"/>
      <c r="I1734" s="432"/>
      <c r="J1734" s="433"/>
      <c r="K1734" s="306"/>
      <c r="L1734" s="306"/>
      <c r="M1734" s="306"/>
      <c r="N1734" s="298"/>
      <c r="O1734" s="298"/>
      <c r="P1734" s="298"/>
      <c r="Q1734" s="306"/>
      <c r="R1734" s="1023"/>
      <c r="S1734" s="1023"/>
      <c r="T1734" s="306"/>
      <c r="U1734" s="306"/>
      <c r="V1734" s="306"/>
      <c r="W1734" s="306"/>
      <c r="X1734" s="306"/>
      <c r="Y1734" s="306"/>
      <c r="Z1734" s="306"/>
      <c r="AA1734" s="306"/>
      <c r="AB1734" s="306"/>
      <c r="AC1734" s="306"/>
      <c r="AD1734" s="306"/>
      <c r="AE1734" s="306"/>
      <c r="AF1734" s="306"/>
      <c r="AG1734" s="306"/>
      <c r="AH1734" s="306"/>
      <c r="AI1734" s="306"/>
      <c r="AJ1734" s="306"/>
      <c r="AK1734" s="306"/>
      <c r="AL1734" s="306"/>
      <c r="AM1734" s="418"/>
      <c r="AN1734" s="418"/>
      <c r="AO1734" s="306"/>
      <c r="AP1734" s="306"/>
      <c r="AQ1734" s="418"/>
      <c r="AR1734" s="306"/>
      <c r="AS1734" s="306"/>
      <c r="AT1734" s="418"/>
      <c r="AU1734" s="306"/>
      <c r="AV1734" s="306"/>
      <c r="AW1734" s="306"/>
      <c r="AX1734" s="306"/>
      <c r="AY1734" s="306"/>
      <c r="AZ1734" s="306"/>
      <c r="BA1734" s="306"/>
      <c r="BB1734" s="306"/>
    </row>
    <row r="1735" spans="1:54" ht="15.75" customHeight="1">
      <c r="A1735" s="317"/>
      <c r="B1735" s="430"/>
      <c r="C1735" s="317"/>
      <c r="E1735" s="306"/>
      <c r="F1735" s="431"/>
      <c r="G1735" s="431"/>
      <c r="H1735" s="298"/>
      <c r="I1735" s="432"/>
      <c r="J1735" s="433"/>
      <c r="K1735" s="306"/>
      <c r="L1735" s="306"/>
      <c r="M1735" s="306"/>
      <c r="N1735" s="298"/>
      <c r="O1735" s="298"/>
      <c r="P1735" s="298"/>
      <c r="Q1735" s="306"/>
      <c r="R1735" s="1023"/>
      <c r="S1735" s="1023"/>
      <c r="T1735" s="306"/>
      <c r="U1735" s="306"/>
      <c r="V1735" s="306"/>
      <c r="W1735" s="306"/>
      <c r="X1735" s="306"/>
      <c r="Y1735" s="306"/>
      <c r="Z1735" s="306"/>
      <c r="AA1735" s="306"/>
      <c r="AB1735" s="306"/>
      <c r="AC1735" s="306"/>
      <c r="AD1735" s="306"/>
      <c r="AE1735" s="306"/>
      <c r="AF1735" s="306"/>
      <c r="AG1735" s="306"/>
      <c r="AH1735" s="306"/>
      <c r="AI1735" s="306"/>
      <c r="AJ1735" s="306"/>
      <c r="AK1735" s="306"/>
      <c r="AL1735" s="306"/>
      <c r="AM1735" s="418"/>
      <c r="AN1735" s="418"/>
      <c r="AO1735" s="306"/>
      <c r="AP1735" s="306"/>
      <c r="AQ1735" s="418"/>
      <c r="AR1735" s="306"/>
      <c r="AS1735" s="306"/>
      <c r="AT1735" s="418"/>
      <c r="AU1735" s="306"/>
      <c r="AV1735" s="306"/>
      <c r="AW1735" s="306"/>
      <c r="AX1735" s="306"/>
      <c r="AY1735" s="306"/>
      <c r="AZ1735" s="306"/>
      <c r="BA1735" s="306"/>
      <c r="BB1735" s="306"/>
    </row>
    <row r="1736" spans="1:54" ht="15.75" customHeight="1">
      <c r="A1736" s="317"/>
      <c r="B1736" s="430"/>
      <c r="C1736" s="317"/>
      <c r="E1736" s="306"/>
      <c r="F1736" s="431"/>
      <c r="G1736" s="431"/>
      <c r="H1736" s="298"/>
      <c r="I1736" s="432"/>
      <c r="J1736" s="433"/>
      <c r="K1736" s="306"/>
      <c r="L1736" s="306"/>
      <c r="M1736" s="306"/>
      <c r="N1736" s="298"/>
      <c r="O1736" s="298"/>
      <c r="P1736" s="298"/>
      <c r="Q1736" s="306"/>
      <c r="R1736" s="1023"/>
      <c r="S1736" s="1023"/>
      <c r="T1736" s="306"/>
      <c r="U1736" s="306"/>
      <c r="V1736" s="306"/>
      <c r="W1736" s="306"/>
      <c r="X1736" s="306"/>
      <c r="Y1736" s="306"/>
      <c r="Z1736" s="306"/>
      <c r="AA1736" s="306"/>
      <c r="AB1736" s="306"/>
      <c r="AC1736" s="306"/>
      <c r="AD1736" s="306"/>
      <c r="AE1736" s="306"/>
      <c r="AF1736" s="306"/>
      <c r="AG1736" s="306"/>
      <c r="AH1736" s="306"/>
      <c r="AI1736" s="306"/>
      <c r="AJ1736" s="306"/>
      <c r="AK1736" s="306"/>
      <c r="AL1736" s="306"/>
      <c r="AM1736" s="418"/>
      <c r="AN1736" s="418"/>
      <c r="AO1736" s="306"/>
      <c r="AP1736" s="306"/>
      <c r="AQ1736" s="418"/>
      <c r="AR1736" s="306"/>
      <c r="AS1736" s="306"/>
      <c r="AT1736" s="418"/>
      <c r="AU1736" s="306"/>
      <c r="AV1736" s="306"/>
      <c r="AW1736" s="306"/>
      <c r="AX1736" s="306"/>
      <c r="AY1736" s="306"/>
      <c r="AZ1736" s="306"/>
      <c r="BA1736" s="306"/>
      <c r="BB1736" s="306"/>
    </row>
    <row r="1737" spans="1:54" ht="15.75" customHeight="1">
      <c r="A1737" s="317"/>
      <c r="B1737" s="430"/>
      <c r="C1737" s="317"/>
      <c r="E1737" s="306"/>
      <c r="F1737" s="431"/>
      <c r="G1737" s="431"/>
      <c r="H1737" s="298"/>
      <c r="I1737" s="432"/>
      <c r="J1737" s="433"/>
      <c r="K1737" s="306"/>
      <c r="L1737" s="306"/>
      <c r="M1737" s="306"/>
      <c r="N1737" s="298"/>
      <c r="O1737" s="298"/>
      <c r="P1737" s="298"/>
      <c r="Q1737" s="306"/>
      <c r="R1737" s="1023"/>
      <c r="S1737" s="1023"/>
      <c r="T1737" s="306"/>
      <c r="U1737" s="306"/>
      <c r="V1737" s="306"/>
      <c r="W1737" s="306"/>
      <c r="X1737" s="306"/>
      <c r="Y1737" s="306"/>
      <c r="Z1737" s="306"/>
      <c r="AA1737" s="306"/>
      <c r="AB1737" s="306"/>
      <c r="AC1737" s="306"/>
      <c r="AD1737" s="306"/>
      <c r="AE1737" s="306"/>
      <c r="AF1737" s="306"/>
      <c r="AG1737" s="306"/>
      <c r="AH1737" s="306"/>
      <c r="AI1737" s="306"/>
      <c r="AJ1737" s="306"/>
      <c r="AK1737" s="306"/>
      <c r="AL1737" s="306"/>
      <c r="AM1737" s="418"/>
      <c r="AN1737" s="418"/>
      <c r="AO1737" s="306"/>
      <c r="AP1737" s="306"/>
      <c r="AQ1737" s="418"/>
      <c r="AR1737" s="306"/>
      <c r="AS1737" s="306"/>
      <c r="AT1737" s="418"/>
      <c r="AU1737" s="306"/>
      <c r="AV1737" s="306"/>
      <c r="AW1737" s="306"/>
      <c r="AX1737" s="306"/>
      <c r="AY1737" s="306"/>
      <c r="AZ1737" s="306"/>
      <c r="BA1737" s="306"/>
      <c r="BB1737" s="306"/>
    </row>
    <row r="1738" spans="1:54" ht="15.75" customHeight="1">
      <c r="A1738" s="317"/>
      <c r="B1738" s="430"/>
      <c r="C1738" s="317"/>
      <c r="E1738" s="306"/>
      <c r="F1738" s="431"/>
      <c r="G1738" s="431"/>
      <c r="H1738" s="298"/>
      <c r="I1738" s="432"/>
      <c r="J1738" s="433"/>
      <c r="K1738" s="306"/>
      <c r="L1738" s="306"/>
      <c r="M1738" s="306"/>
      <c r="N1738" s="298"/>
      <c r="O1738" s="298"/>
      <c r="P1738" s="298"/>
      <c r="Q1738" s="306"/>
      <c r="R1738" s="1023"/>
      <c r="S1738" s="1023"/>
      <c r="T1738" s="306"/>
      <c r="U1738" s="306"/>
      <c r="V1738" s="306"/>
      <c r="W1738" s="306"/>
      <c r="X1738" s="306"/>
      <c r="Y1738" s="306"/>
      <c r="Z1738" s="306"/>
      <c r="AA1738" s="306"/>
      <c r="AB1738" s="306"/>
      <c r="AC1738" s="306"/>
      <c r="AD1738" s="306"/>
      <c r="AE1738" s="306"/>
      <c r="AF1738" s="306"/>
      <c r="AG1738" s="306"/>
      <c r="AH1738" s="306"/>
      <c r="AI1738" s="306"/>
      <c r="AJ1738" s="306"/>
      <c r="AK1738" s="306"/>
      <c r="AL1738" s="306"/>
      <c r="AM1738" s="418"/>
      <c r="AN1738" s="418"/>
      <c r="AO1738" s="306"/>
      <c r="AP1738" s="306"/>
      <c r="AQ1738" s="418"/>
      <c r="AR1738" s="306"/>
      <c r="AS1738" s="306"/>
      <c r="AT1738" s="418"/>
      <c r="AU1738" s="306"/>
      <c r="AV1738" s="306"/>
      <c r="AW1738" s="306"/>
      <c r="AX1738" s="306"/>
      <c r="AY1738" s="306"/>
      <c r="AZ1738" s="306"/>
      <c r="BA1738" s="306"/>
      <c r="BB1738" s="306"/>
    </row>
    <row r="1739" spans="1:54" ht="15.75" customHeight="1">
      <c r="A1739" s="317"/>
      <c r="B1739" s="430"/>
      <c r="C1739" s="317"/>
      <c r="E1739" s="306"/>
      <c r="F1739" s="431"/>
      <c r="G1739" s="431"/>
      <c r="H1739" s="298"/>
      <c r="I1739" s="432"/>
      <c r="J1739" s="433"/>
      <c r="K1739" s="306"/>
      <c r="L1739" s="306"/>
      <c r="M1739" s="306"/>
      <c r="N1739" s="298"/>
      <c r="O1739" s="298"/>
      <c r="P1739" s="298"/>
      <c r="Q1739" s="306"/>
      <c r="R1739" s="1023"/>
      <c r="S1739" s="1023"/>
      <c r="T1739" s="306"/>
      <c r="U1739" s="306"/>
      <c r="V1739" s="306"/>
      <c r="W1739" s="306"/>
      <c r="X1739" s="306"/>
      <c r="Y1739" s="306"/>
      <c r="Z1739" s="306"/>
      <c r="AA1739" s="306"/>
      <c r="AB1739" s="306"/>
      <c r="AC1739" s="306"/>
      <c r="AD1739" s="306"/>
      <c r="AE1739" s="306"/>
      <c r="AF1739" s="306"/>
      <c r="AG1739" s="306"/>
      <c r="AH1739" s="306"/>
      <c r="AI1739" s="306"/>
      <c r="AJ1739" s="306"/>
      <c r="AK1739" s="306"/>
      <c r="AL1739" s="306"/>
      <c r="AM1739" s="418"/>
      <c r="AN1739" s="418"/>
      <c r="AO1739" s="306"/>
      <c r="AP1739" s="306"/>
      <c r="AQ1739" s="418"/>
      <c r="AR1739" s="306"/>
      <c r="AS1739" s="306"/>
      <c r="AT1739" s="418"/>
      <c r="AU1739" s="306"/>
      <c r="AV1739" s="306"/>
      <c r="AW1739" s="306"/>
      <c r="AX1739" s="306"/>
      <c r="AY1739" s="306"/>
      <c r="AZ1739" s="306"/>
      <c r="BA1739" s="306"/>
      <c r="BB1739" s="306"/>
    </row>
    <row r="1740" spans="1:54" ht="15.75" customHeight="1">
      <c r="A1740" s="317"/>
      <c r="B1740" s="430"/>
      <c r="C1740" s="317"/>
      <c r="E1740" s="306"/>
      <c r="F1740" s="431"/>
      <c r="G1740" s="431"/>
      <c r="H1740" s="298"/>
      <c r="I1740" s="432"/>
      <c r="J1740" s="433"/>
      <c r="K1740" s="306"/>
      <c r="L1740" s="306"/>
      <c r="M1740" s="306"/>
      <c r="N1740" s="298"/>
      <c r="O1740" s="298"/>
      <c r="P1740" s="298"/>
      <c r="Q1740" s="306"/>
      <c r="R1740" s="1023"/>
      <c r="S1740" s="1023"/>
      <c r="T1740" s="306"/>
      <c r="U1740" s="306"/>
      <c r="V1740" s="306"/>
      <c r="W1740" s="306"/>
      <c r="X1740" s="306"/>
      <c r="Y1740" s="306"/>
      <c r="Z1740" s="306"/>
      <c r="AA1740" s="306"/>
      <c r="AB1740" s="306"/>
      <c r="AC1740" s="306"/>
      <c r="AD1740" s="306"/>
      <c r="AE1740" s="306"/>
      <c r="AF1740" s="306"/>
      <c r="AG1740" s="306"/>
      <c r="AH1740" s="306"/>
      <c r="AI1740" s="306"/>
      <c r="AJ1740" s="306"/>
      <c r="AK1740" s="306"/>
      <c r="AL1740" s="306"/>
      <c r="AM1740" s="418"/>
      <c r="AN1740" s="418"/>
      <c r="AO1740" s="306"/>
      <c r="AP1740" s="306"/>
      <c r="AQ1740" s="418"/>
      <c r="AR1740" s="306"/>
      <c r="AS1740" s="306"/>
      <c r="AT1740" s="418"/>
      <c r="AU1740" s="306"/>
      <c r="AV1740" s="306"/>
      <c r="AW1740" s="306"/>
      <c r="AX1740" s="306"/>
      <c r="AY1740" s="306"/>
      <c r="AZ1740" s="306"/>
      <c r="BA1740" s="306"/>
      <c r="BB1740" s="306"/>
    </row>
    <row r="1741" spans="1:54" ht="15.75" customHeight="1">
      <c r="A1741" s="317"/>
      <c r="B1741" s="430"/>
      <c r="C1741" s="317"/>
      <c r="E1741" s="306"/>
      <c r="F1741" s="431"/>
      <c r="G1741" s="431"/>
      <c r="H1741" s="298"/>
      <c r="I1741" s="432"/>
      <c r="J1741" s="433"/>
      <c r="K1741" s="306"/>
      <c r="L1741" s="306"/>
      <c r="M1741" s="306"/>
      <c r="N1741" s="298"/>
      <c r="O1741" s="298"/>
      <c r="P1741" s="298"/>
      <c r="Q1741" s="306"/>
      <c r="R1741" s="1023"/>
      <c r="S1741" s="1023"/>
      <c r="T1741" s="306"/>
      <c r="U1741" s="306"/>
      <c r="V1741" s="306"/>
      <c r="W1741" s="306"/>
      <c r="X1741" s="306"/>
      <c r="Y1741" s="306"/>
      <c r="Z1741" s="306"/>
      <c r="AA1741" s="306"/>
      <c r="AB1741" s="306"/>
      <c r="AC1741" s="306"/>
      <c r="AD1741" s="306"/>
      <c r="AE1741" s="306"/>
      <c r="AF1741" s="306"/>
      <c r="AG1741" s="306"/>
      <c r="AH1741" s="306"/>
      <c r="AI1741" s="306"/>
      <c r="AJ1741" s="306"/>
      <c r="AK1741" s="306"/>
      <c r="AL1741" s="306"/>
      <c r="AM1741" s="418"/>
      <c r="AN1741" s="418"/>
      <c r="AO1741" s="306"/>
      <c r="AP1741" s="306"/>
      <c r="AQ1741" s="418"/>
      <c r="AR1741" s="306"/>
      <c r="AS1741" s="306"/>
      <c r="AT1741" s="418"/>
      <c r="AU1741" s="306"/>
      <c r="AV1741" s="306"/>
      <c r="AW1741" s="306"/>
      <c r="AX1741" s="306"/>
      <c r="AY1741" s="306"/>
      <c r="AZ1741" s="306"/>
      <c r="BA1741" s="306"/>
      <c r="BB1741" s="306"/>
    </row>
    <row r="1742" spans="1:54" ht="15.75" customHeight="1">
      <c r="A1742" s="317"/>
      <c r="B1742" s="430"/>
      <c r="C1742" s="317"/>
      <c r="E1742" s="306"/>
      <c r="F1742" s="431"/>
      <c r="G1742" s="431"/>
      <c r="H1742" s="298"/>
      <c r="I1742" s="432"/>
      <c r="J1742" s="433"/>
      <c r="K1742" s="306"/>
      <c r="L1742" s="306"/>
      <c r="M1742" s="306"/>
      <c r="N1742" s="298"/>
      <c r="O1742" s="298"/>
      <c r="P1742" s="298"/>
      <c r="Q1742" s="306"/>
      <c r="R1742" s="1023"/>
      <c r="S1742" s="1023"/>
      <c r="T1742" s="306"/>
      <c r="U1742" s="306"/>
      <c r="V1742" s="306"/>
      <c r="W1742" s="306"/>
      <c r="X1742" s="306"/>
      <c r="Y1742" s="306"/>
      <c r="Z1742" s="306"/>
      <c r="AA1742" s="306"/>
      <c r="AB1742" s="306"/>
      <c r="AC1742" s="306"/>
      <c r="AD1742" s="306"/>
      <c r="AE1742" s="306"/>
      <c r="AF1742" s="306"/>
      <c r="AG1742" s="306"/>
      <c r="AH1742" s="306"/>
      <c r="AI1742" s="306"/>
      <c r="AJ1742" s="306"/>
      <c r="AK1742" s="306"/>
      <c r="AL1742" s="306"/>
      <c r="AM1742" s="418"/>
      <c r="AN1742" s="418"/>
      <c r="AO1742" s="306"/>
      <c r="AP1742" s="306"/>
      <c r="AQ1742" s="418"/>
      <c r="AR1742" s="306"/>
      <c r="AS1742" s="306"/>
      <c r="AT1742" s="418"/>
      <c r="AU1742" s="306"/>
      <c r="AV1742" s="306"/>
      <c r="AW1742" s="306"/>
      <c r="AX1742" s="306"/>
      <c r="AY1742" s="306"/>
      <c r="AZ1742" s="306"/>
      <c r="BA1742" s="306"/>
      <c r="BB1742" s="306"/>
    </row>
    <row r="1743" spans="1:54" ht="15.75" customHeight="1">
      <c r="A1743" s="317"/>
      <c r="B1743" s="430"/>
      <c r="C1743" s="317"/>
      <c r="E1743" s="306"/>
      <c r="F1743" s="431"/>
      <c r="G1743" s="431"/>
      <c r="H1743" s="298"/>
      <c r="I1743" s="432"/>
      <c r="J1743" s="433"/>
      <c r="K1743" s="306"/>
      <c r="L1743" s="306"/>
      <c r="M1743" s="306"/>
      <c r="N1743" s="298"/>
      <c r="O1743" s="298"/>
      <c r="P1743" s="298"/>
      <c r="Q1743" s="306"/>
      <c r="R1743" s="1023"/>
      <c r="S1743" s="1023"/>
      <c r="T1743" s="306"/>
      <c r="U1743" s="306"/>
      <c r="V1743" s="306"/>
      <c r="W1743" s="306"/>
      <c r="X1743" s="306"/>
      <c r="Y1743" s="306"/>
      <c r="Z1743" s="306"/>
      <c r="AA1743" s="306"/>
      <c r="AB1743" s="306"/>
      <c r="AC1743" s="306"/>
      <c r="AD1743" s="306"/>
      <c r="AE1743" s="306"/>
      <c r="AF1743" s="306"/>
      <c r="AG1743" s="306"/>
      <c r="AH1743" s="306"/>
      <c r="AI1743" s="306"/>
      <c r="AJ1743" s="306"/>
      <c r="AK1743" s="306"/>
      <c r="AL1743" s="306"/>
      <c r="AM1743" s="418"/>
      <c r="AN1743" s="418"/>
      <c r="AO1743" s="306"/>
      <c r="AP1743" s="306"/>
      <c r="AQ1743" s="418"/>
      <c r="AR1743" s="306"/>
      <c r="AS1743" s="306"/>
      <c r="AT1743" s="418"/>
      <c r="AU1743" s="306"/>
      <c r="AV1743" s="306"/>
      <c r="AW1743" s="306"/>
      <c r="AX1743" s="306"/>
      <c r="AY1743" s="306"/>
      <c r="AZ1743" s="306"/>
      <c r="BA1743" s="306"/>
      <c r="BB1743" s="306"/>
    </row>
    <row r="1744" spans="1:54" ht="15.75" customHeight="1">
      <c r="A1744" s="317"/>
      <c r="B1744" s="430"/>
      <c r="C1744" s="317"/>
      <c r="E1744" s="306"/>
      <c r="F1744" s="431"/>
      <c r="G1744" s="431"/>
      <c r="H1744" s="298"/>
      <c r="I1744" s="432"/>
      <c r="J1744" s="433"/>
      <c r="K1744" s="306"/>
      <c r="L1744" s="306"/>
      <c r="M1744" s="306"/>
      <c r="N1744" s="298"/>
      <c r="O1744" s="298"/>
      <c r="P1744" s="298"/>
      <c r="Q1744" s="306"/>
      <c r="R1744" s="1023"/>
      <c r="S1744" s="1023"/>
      <c r="T1744" s="306"/>
      <c r="U1744" s="306"/>
      <c r="V1744" s="306"/>
      <c r="W1744" s="306"/>
      <c r="X1744" s="306"/>
      <c r="Y1744" s="306"/>
      <c r="Z1744" s="306"/>
      <c r="AA1744" s="306"/>
      <c r="AB1744" s="306"/>
      <c r="AC1744" s="306"/>
      <c r="AD1744" s="306"/>
      <c r="AE1744" s="306"/>
      <c r="AF1744" s="306"/>
      <c r="AG1744" s="306"/>
      <c r="AH1744" s="306"/>
      <c r="AI1744" s="306"/>
      <c r="AJ1744" s="306"/>
      <c r="AK1744" s="306"/>
      <c r="AL1744" s="306"/>
      <c r="AM1744" s="418"/>
      <c r="AN1744" s="418"/>
      <c r="AO1744" s="306"/>
      <c r="AP1744" s="306"/>
      <c r="AQ1744" s="418"/>
      <c r="AR1744" s="306"/>
      <c r="AS1744" s="306"/>
      <c r="AT1744" s="418"/>
      <c r="AU1744" s="306"/>
      <c r="AV1744" s="306"/>
      <c r="AW1744" s="306"/>
      <c r="AX1744" s="306"/>
      <c r="AY1744" s="306"/>
      <c r="AZ1744" s="306"/>
      <c r="BA1744" s="306"/>
      <c r="BB1744" s="306"/>
    </row>
    <row r="1745" spans="1:54" ht="15.75" customHeight="1">
      <c r="A1745" s="317"/>
      <c r="B1745" s="430"/>
      <c r="C1745" s="317"/>
      <c r="E1745" s="306"/>
      <c r="F1745" s="431"/>
      <c r="G1745" s="431"/>
      <c r="H1745" s="298"/>
      <c r="I1745" s="432"/>
      <c r="J1745" s="433"/>
      <c r="K1745" s="306"/>
      <c r="L1745" s="306"/>
      <c r="M1745" s="306"/>
      <c r="N1745" s="298"/>
      <c r="O1745" s="298"/>
      <c r="P1745" s="298"/>
      <c r="Q1745" s="306"/>
      <c r="R1745" s="1023"/>
      <c r="S1745" s="1023"/>
      <c r="T1745" s="306"/>
      <c r="U1745" s="306"/>
      <c r="V1745" s="306"/>
      <c r="W1745" s="306"/>
      <c r="X1745" s="306"/>
      <c r="Y1745" s="306"/>
      <c r="Z1745" s="306"/>
      <c r="AA1745" s="306"/>
      <c r="AB1745" s="306"/>
      <c r="AC1745" s="306"/>
      <c r="AD1745" s="306"/>
      <c r="AE1745" s="306"/>
      <c r="AF1745" s="306"/>
      <c r="AG1745" s="306"/>
      <c r="AH1745" s="306"/>
      <c r="AI1745" s="306"/>
      <c r="AJ1745" s="306"/>
      <c r="AK1745" s="306"/>
      <c r="AL1745" s="306"/>
      <c r="AM1745" s="418"/>
      <c r="AN1745" s="418"/>
      <c r="AO1745" s="306"/>
      <c r="AP1745" s="306"/>
      <c r="AQ1745" s="418"/>
      <c r="AR1745" s="306"/>
      <c r="AS1745" s="306"/>
      <c r="AT1745" s="418"/>
      <c r="AU1745" s="306"/>
      <c r="AV1745" s="306"/>
      <c r="AW1745" s="306"/>
      <c r="AX1745" s="306"/>
      <c r="AY1745" s="306"/>
      <c r="AZ1745" s="306"/>
      <c r="BA1745" s="306"/>
      <c r="BB1745" s="306"/>
    </row>
    <row r="1746" spans="1:54" ht="15.75" customHeight="1">
      <c r="A1746" s="317"/>
      <c r="B1746" s="430"/>
      <c r="C1746" s="317"/>
      <c r="E1746" s="306"/>
      <c r="F1746" s="431"/>
      <c r="G1746" s="431"/>
      <c r="H1746" s="298"/>
      <c r="I1746" s="432"/>
      <c r="J1746" s="433"/>
      <c r="K1746" s="306"/>
      <c r="L1746" s="306"/>
      <c r="M1746" s="306"/>
      <c r="N1746" s="298"/>
      <c r="O1746" s="298"/>
      <c r="P1746" s="298"/>
      <c r="Q1746" s="306"/>
      <c r="R1746" s="1023"/>
      <c r="S1746" s="1023"/>
      <c r="T1746" s="306"/>
      <c r="U1746" s="306"/>
      <c r="V1746" s="306"/>
      <c r="W1746" s="306"/>
      <c r="X1746" s="306"/>
      <c r="Y1746" s="306"/>
      <c r="Z1746" s="306"/>
      <c r="AA1746" s="306"/>
      <c r="AB1746" s="306"/>
      <c r="AC1746" s="306"/>
      <c r="AD1746" s="306"/>
      <c r="AE1746" s="306"/>
      <c r="AF1746" s="306"/>
      <c r="AG1746" s="306"/>
      <c r="AH1746" s="306"/>
      <c r="AI1746" s="306"/>
      <c r="AJ1746" s="306"/>
      <c r="AK1746" s="306"/>
      <c r="AL1746" s="306"/>
      <c r="AM1746" s="418"/>
      <c r="AN1746" s="418"/>
      <c r="AO1746" s="306"/>
      <c r="AP1746" s="306"/>
      <c r="AQ1746" s="418"/>
      <c r="AR1746" s="306"/>
      <c r="AS1746" s="306"/>
      <c r="AT1746" s="418"/>
      <c r="AU1746" s="306"/>
      <c r="AV1746" s="306"/>
      <c r="AW1746" s="306"/>
      <c r="AX1746" s="306"/>
      <c r="AY1746" s="306"/>
      <c r="AZ1746" s="306"/>
      <c r="BA1746" s="306"/>
      <c r="BB1746" s="306"/>
    </row>
    <row r="1747" spans="1:54" ht="15.75" customHeight="1">
      <c r="A1747" s="317"/>
      <c r="B1747" s="430"/>
      <c r="C1747" s="317"/>
      <c r="E1747" s="306"/>
      <c r="F1747" s="431"/>
      <c r="G1747" s="431"/>
      <c r="H1747" s="298"/>
      <c r="I1747" s="432"/>
      <c r="J1747" s="433"/>
      <c r="K1747" s="306"/>
      <c r="L1747" s="306"/>
      <c r="M1747" s="306"/>
      <c r="N1747" s="298"/>
      <c r="O1747" s="298"/>
      <c r="P1747" s="298"/>
      <c r="Q1747" s="306"/>
      <c r="R1747" s="1023"/>
      <c r="S1747" s="1023"/>
      <c r="T1747" s="306"/>
      <c r="U1747" s="306"/>
      <c r="V1747" s="306"/>
      <c r="W1747" s="306"/>
      <c r="X1747" s="306"/>
      <c r="Y1747" s="306"/>
      <c r="Z1747" s="306"/>
      <c r="AA1747" s="306"/>
      <c r="AB1747" s="306"/>
      <c r="AC1747" s="306"/>
      <c r="AD1747" s="306"/>
      <c r="AE1747" s="306"/>
      <c r="AF1747" s="306"/>
      <c r="AG1747" s="306"/>
      <c r="AH1747" s="306"/>
      <c r="AI1747" s="306"/>
      <c r="AJ1747" s="306"/>
      <c r="AK1747" s="306"/>
      <c r="AL1747" s="306"/>
      <c r="AM1747" s="418"/>
      <c r="AN1747" s="418"/>
      <c r="AO1747" s="306"/>
      <c r="AP1747" s="306"/>
      <c r="AQ1747" s="418"/>
      <c r="AR1747" s="306"/>
      <c r="AS1747" s="306"/>
      <c r="AT1747" s="418"/>
      <c r="AU1747" s="306"/>
      <c r="AV1747" s="306"/>
      <c r="AW1747" s="306"/>
      <c r="AX1747" s="306"/>
      <c r="AY1747" s="306"/>
      <c r="AZ1747" s="306"/>
      <c r="BA1747" s="306"/>
      <c r="BB1747" s="306"/>
    </row>
    <row r="1748" spans="1:54" ht="15.75" customHeight="1">
      <c r="A1748" s="317"/>
      <c r="B1748" s="430"/>
      <c r="C1748" s="317"/>
      <c r="E1748" s="306"/>
      <c r="F1748" s="431"/>
      <c r="G1748" s="431"/>
      <c r="H1748" s="298"/>
      <c r="I1748" s="432"/>
      <c r="J1748" s="433"/>
      <c r="K1748" s="306"/>
      <c r="L1748" s="306"/>
      <c r="M1748" s="306"/>
      <c r="N1748" s="298"/>
      <c r="O1748" s="298"/>
      <c r="P1748" s="298"/>
      <c r="Q1748" s="306"/>
      <c r="R1748" s="1023"/>
      <c r="S1748" s="1023"/>
      <c r="T1748" s="306"/>
      <c r="U1748" s="306"/>
      <c r="V1748" s="306"/>
      <c r="W1748" s="306"/>
      <c r="X1748" s="306"/>
      <c r="Y1748" s="306"/>
      <c r="Z1748" s="306"/>
      <c r="AA1748" s="306"/>
      <c r="AB1748" s="306"/>
      <c r="AC1748" s="306"/>
      <c r="AD1748" s="306"/>
      <c r="AE1748" s="306"/>
      <c r="AF1748" s="306"/>
      <c r="AG1748" s="306"/>
      <c r="AH1748" s="306"/>
      <c r="AI1748" s="306"/>
      <c r="AJ1748" s="306"/>
      <c r="AK1748" s="306"/>
      <c r="AL1748" s="306"/>
      <c r="AM1748" s="418"/>
      <c r="AN1748" s="418"/>
      <c r="AO1748" s="306"/>
      <c r="AP1748" s="306"/>
      <c r="AQ1748" s="418"/>
      <c r="AR1748" s="306"/>
      <c r="AS1748" s="306"/>
      <c r="AT1748" s="418"/>
      <c r="AU1748" s="306"/>
      <c r="AV1748" s="306"/>
      <c r="AW1748" s="306"/>
      <c r="AX1748" s="306"/>
      <c r="AY1748" s="306"/>
      <c r="AZ1748" s="306"/>
      <c r="BA1748" s="306"/>
      <c r="BB1748" s="306"/>
    </row>
    <row r="1749" spans="1:54" ht="15.75" customHeight="1">
      <c r="A1749" s="317"/>
      <c r="B1749" s="430"/>
      <c r="C1749" s="317"/>
      <c r="E1749" s="306"/>
      <c r="F1749" s="431"/>
      <c r="G1749" s="431"/>
      <c r="H1749" s="298"/>
      <c r="I1749" s="432"/>
      <c r="J1749" s="433"/>
      <c r="K1749" s="306"/>
      <c r="L1749" s="306"/>
      <c r="M1749" s="306"/>
      <c r="N1749" s="298"/>
      <c r="O1749" s="298"/>
      <c r="P1749" s="298"/>
      <c r="Q1749" s="306"/>
      <c r="R1749" s="1023"/>
      <c r="S1749" s="1023"/>
      <c r="T1749" s="306"/>
      <c r="U1749" s="306"/>
      <c r="V1749" s="306"/>
      <c r="W1749" s="306"/>
      <c r="X1749" s="306"/>
      <c r="Y1749" s="306"/>
      <c r="Z1749" s="306"/>
      <c r="AA1749" s="306"/>
      <c r="AB1749" s="306"/>
      <c r="AC1749" s="306"/>
      <c r="AD1749" s="306"/>
      <c r="AE1749" s="306"/>
      <c r="AF1749" s="306"/>
      <c r="AG1749" s="306"/>
      <c r="AH1749" s="306"/>
      <c r="AI1749" s="306"/>
      <c r="AJ1749" s="306"/>
      <c r="AK1749" s="306"/>
      <c r="AL1749" s="306"/>
      <c r="AM1749" s="418"/>
      <c r="AN1749" s="418"/>
      <c r="AO1749" s="306"/>
      <c r="AP1749" s="306"/>
      <c r="AQ1749" s="418"/>
      <c r="AR1749" s="306"/>
      <c r="AS1749" s="306"/>
      <c r="AT1749" s="418"/>
      <c r="AU1749" s="306"/>
      <c r="AV1749" s="306"/>
      <c r="AW1749" s="306"/>
      <c r="AX1749" s="306"/>
      <c r="AY1749" s="306"/>
      <c r="AZ1749" s="306"/>
      <c r="BA1749" s="306"/>
      <c r="BB1749" s="306"/>
    </row>
    <row r="1750" spans="1:54" ht="15.75" customHeight="1">
      <c r="A1750" s="317"/>
      <c r="B1750" s="430"/>
      <c r="C1750" s="317"/>
      <c r="E1750" s="306"/>
      <c r="F1750" s="431"/>
      <c r="G1750" s="431"/>
      <c r="H1750" s="298"/>
      <c r="I1750" s="432"/>
      <c r="J1750" s="433"/>
      <c r="K1750" s="306"/>
      <c r="L1750" s="306"/>
      <c r="M1750" s="306"/>
      <c r="N1750" s="298"/>
      <c r="O1750" s="298"/>
      <c r="P1750" s="298"/>
      <c r="Q1750" s="306"/>
      <c r="R1750" s="1023"/>
      <c r="S1750" s="1023"/>
      <c r="T1750" s="306"/>
      <c r="U1750" s="306"/>
      <c r="V1750" s="306"/>
      <c r="W1750" s="306"/>
      <c r="X1750" s="306"/>
      <c r="Y1750" s="306"/>
      <c r="Z1750" s="306"/>
      <c r="AA1750" s="306"/>
      <c r="AB1750" s="306"/>
      <c r="AC1750" s="306"/>
      <c r="AD1750" s="306"/>
      <c r="AE1750" s="306"/>
      <c r="AF1750" s="306"/>
      <c r="AG1750" s="306"/>
      <c r="AH1750" s="306"/>
      <c r="AI1750" s="306"/>
      <c r="AJ1750" s="306"/>
      <c r="AK1750" s="306"/>
      <c r="AL1750" s="306"/>
      <c r="AM1750" s="418"/>
      <c r="AN1750" s="418"/>
      <c r="AO1750" s="306"/>
      <c r="AP1750" s="306"/>
      <c r="AQ1750" s="418"/>
      <c r="AR1750" s="306"/>
      <c r="AS1750" s="306"/>
      <c r="AT1750" s="418"/>
      <c r="AU1750" s="306"/>
      <c r="AV1750" s="306"/>
      <c r="AW1750" s="306"/>
      <c r="AX1750" s="306"/>
      <c r="AY1750" s="306"/>
      <c r="AZ1750" s="306"/>
      <c r="BA1750" s="306"/>
      <c r="BB1750" s="306"/>
    </row>
    <row r="1751" spans="1:54" ht="15.75" customHeight="1">
      <c r="A1751" s="317"/>
      <c r="B1751" s="430"/>
      <c r="C1751" s="317"/>
      <c r="E1751" s="306"/>
      <c r="F1751" s="431"/>
      <c r="G1751" s="431"/>
      <c r="H1751" s="298"/>
      <c r="I1751" s="432"/>
      <c r="J1751" s="433"/>
      <c r="K1751" s="306"/>
      <c r="L1751" s="306"/>
      <c r="M1751" s="306"/>
      <c r="N1751" s="298"/>
      <c r="O1751" s="298"/>
      <c r="P1751" s="298"/>
      <c r="Q1751" s="306"/>
      <c r="R1751" s="1023"/>
      <c r="S1751" s="1023"/>
      <c r="T1751" s="306"/>
      <c r="U1751" s="306"/>
      <c r="V1751" s="306"/>
      <c r="W1751" s="306"/>
      <c r="X1751" s="306"/>
      <c r="Y1751" s="306"/>
      <c r="Z1751" s="306"/>
      <c r="AA1751" s="306"/>
      <c r="AB1751" s="306"/>
      <c r="AC1751" s="306"/>
      <c r="AD1751" s="306"/>
      <c r="AE1751" s="306"/>
      <c r="AF1751" s="306"/>
      <c r="AG1751" s="306"/>
      <c r="AH1751" s="306"/>
      <c r="AI1751" s="306"/>
      <c r="AJ1751" s="306"/>
      <c r="AK1751" s="306"/>
      <c r="AL1751" s="306"/>
      <c r="AM1751" s="418"/>
      <c r="AN1751" s="418"/>
      <c r="AO1751" s="306"/>
      <c r="AP1751" s="306"/>
      <c r="AQ1751" s="418"/>
      <c r="AR1751" s="306"/>
      <c r="AS1751" s="306"/>
      <c r="AT1751" s="418"/>
      <c r="AU1751" s="306"/>
      <c r="AV1751" s="306"/>
      <c r="AW1751" s="306"/>
      <c r="AX1751" s="306"/>
      <c r="AY1751" s="306"/>
      <c r="AZ1751" s="306"/>
      <c r="BA1751" s="306"/>
      <c r="BB1751" s="306"/>
    </row>
    <row r="1752" spans="1:54" ht="15.75" customHeight="1">
      <c r="A1752" s="317"/>
      <c r="B1752" s="430"/>
      <c r="C1752" s="317"/>
      <c r="E1752" s="306"/>
      <c r="F1752" s="431"/>
      <c r="G1752" s="431"/>
      <c r="H1752" s="298"/>
      <c r="I1752" s="432"/>
      <c r="J1752" s="433"/>
      <c r="K1752" s="306"/>
      <c r="L1752" s="306"/>
      <c r="M1752" s="306"/>
      <c r="N1752" s="298"/>
      <c r="O1752" s="298"/>
      <c r="P1752" s="298"/>
      <c r="Q1752" s="306"/>
      <c r="R1752" s="1023"/>
      <c r="S1752" s="1023"/>
      <c r="T1752" s="306"/>
      <c r="U1752" s="306"/>
      <c r="V1752" s="306"/>
      <c r="W1752" s="306"/>
      <c r="X1752" s="306"/>
      <c r="Y1752" s="306"/>
      <c r="Z1752" s="306"/>
      <c r="AA1752" s="306"/>
      <c r="AB1752" s="306"/>
      <c r="AC1752" s="306"/>
      <c r="AD1752" s="306"/>
      <c r="AE1752" s="306"/>
      <c r="AF1752" s="306"/>
      <c r="AG1752" s="306"/>
      <c r="AH1752" s="306"/>
      <c r="AI1752" s="306"/>
      <c r="AJ1752" s="306"/>
      <c r="AK1752" s="306"/>
      <c r="AL1752" s="306"/>
      <c r="AM1752" s="418"/>
      <c r="AN1752" s="418"/>
      <c r="AO1752" s="306"/>
      <c r="AP1752" s="306"/>
      <c r="AQ1752" s="418"/>
      <c r="AR1752" s="306"/>
      <c r="AS1752" s="306"/>
      <c r="AT1752" s="418"/>
      <c r="AU1752" s="306"/>
      <c r="AV1752" s="306"/>
      <c r="AW1752" s="306"/>
      <c r="AX1752" s="306"/>
      <c r="AY1752" s="306"/>
      <c r="AZ1752" s="306"/>
      <c r="BA1752" s="306"/>
      <c r="BB1752" s="306"/>
    </row>
    <row r="1753" spans="1:54" ht="15.75" customHeight="1">
      <c r="A1753" s="317"/>
      <c r="B1753" s="430"/>
      <c r="C1753" s="317"/>
      <c r="E1753" s="306"/>
      <c r="F1753" s="431"/>
      <c r="G1753" s="431"/>
      <c r="H1753" s="298"/>
      <c r="I1753" s="432"/>
      <c r="J1753" s="433"/>
      <c r="K1753" s="306"/>
      <c r="L1753" s="306"/>
      <c r="M1753" s="306"/>
      <c r="N1753" s="298"/>
      <c r="O1753" s="298"/>
      <c r="P1753" s="298"/>
      <c r="Q1753" s="306"/>
      <c r="R1753" s="1023"/>
      <c r="S1753" s="1023"/>
      <c r="T1753" s="306"/>
      <c r="U1753" s="306"/>
      <c r="V1753" s="306"/>
      <c r="W1753" s="306"/>
      <c r="X1753" s="306"/>
      <c r="Y1753" s="306"/>
      <c r="Z1753" s="306"/>
      <c r="AA1753" s="306"/>
      <c r="AB1753" s="306"/>
      <c r="AC1753" s="306"/>
      <c r="AD1753" s="306"/>
      <c r="AE1753" s="306"/>
      <c r="AF1753" s="306"/>
      <c r="AG1753" s="306"/>
      <c r="AH1753" s="306"/>
      <c r="AI1753" s="306"/>
      <c r="AJ1753" s="306"/>
      <c r="AK1753" s="306"/>
      <c r="AL1753" s="306"/>
      <c r="AM1753" s="418"/>
      <c r="AN1753" s="418"/>
      <c r="AO1753" s="306"/>
      <c r="AP1753" s="306"/>
      <c r="AQ1753" s="418"/>
      <c r="AR1753" s="306"/>
      <c r="AS1753" s="306"/>
      <c r="AT1753" s="418"/>
      <c r="AU1753" s="306"/>
      <c r="AV1753" s="306"/>
      <c r="AW1753" s="306"/>
      <c r="AX1753" s="306"/>
      <c r="AY1753" s="306"/>
      <c r="AZ1753" s="306"/>
      <c r="BA1753" s="306"/>
      <c r="BB1753" s="306"/>
    </row>
    <row r="1754" spans="1:54" ht="15.75" customHeight="1">
      <c r="A1754" s="317"/>
      <c r="B1754" s="430"/>
      <c r="C1754" s="317"/>
      <c r="E1754" s="306"/>
      <c r="F1754" s="431"/>
      <c r="G1754" s="431"/>
      <c r="H1754" s="298"/>
      <c r="I1754" s="432"/>
      <c r="J1754" s="433"/>
      <c r="K1754" s="306"/>
      <c r="L1754" s="306"/>
      <c r="M1754" s="306"/>
      <c r="N1754" s="298"/>
      <c r="O1754" s="298"/>
      <c r="P1754" s="298"/>
      <c r="Q1754" s="306"/>
      <c r="R1754" s="1023"/>
      <c r="S1754" s="1023"/>
      <c r="T1754" s="306"/>
      <c r="U1754" s="306"/>
      <c r="V1754" s="306"/>
      <c r="W1754" s="306"/>
      <c r="X1754" s="306"/>
      <c r="Y1754" s="306"/>
      <c r="Z1754" s="306"/>
      <c r="AA1754" s="306"/>
      <c r="AB1754" s="306"/>
      <c r="AC1754" s="306"/>
      <c r="AD1754" s="306"/>
      <c r="AE1754" s="306"/>
      <c r="AF1754" s="306"/>
      <c r="AG1754" s="306"/>
      <c r="AH1754" s="306"/>
      <c r="AI1754" s="306"/>
      <c r="AJ1754" s="306"/>
      <c r="AK1754" s="306"/>
      <c r="AL1754" s="306"/>
      <c r="AM1754" s="418"/>
      <c r="AN1754" s="418"/>
      <c r="AO1754" s="306"/>
      <c r="AP1754" s="306"/>
      <c r="AQ1754" s="418"/>
      <c r="AR1754" s="306"/>
      <c r="AS1754" s="306"/>
      <c r="AT1754" s="418"/>
      <c r="AU1754" s="306"/>
      <c r="AV1754" s="306"/>
      <c r="AW1754" s="306"/>
      <c r="AX1754" s="306"/>
      <c r="AY1754" s="306"/>
      <c r="AZ1754" s="306"/>
      <c r="BA1754" s="306"/>
      <c r="BB1754" s="306"/>
    </row>
    <row r="1755" spans="1:54" ht="15.75" customHeight="1">
      <c r="A1755" s="317"/>
      <c r="B1755" s="430"/>
      <c r="C1755" s="317"/>
      <c r="E1755" s="306"/>
      <c r="F1755" s="431"/>
      <c r="G1755" s="431"/>
      <c r="H1755" s="298"/>
      <c r="I1755" s="432"/>
      <c r="J1755" s="433"/>
      <c r="K1755" s="306"/>
      <c r="L1755" s="306"/>
      <c r="M1755" s="306"/>
      <c r="N1755" s="298"/>
      <c r="O1755" s="298"/>
      <c r="P1755" s="298"/>
      <c r="Q1755" s="306"/>
      <c r="R1755" s="1023"/>
      <c r="S1755" s="1023"/>
      <c r="T1755" s="306"/>
      <c r="U1755" s="306"/>
      <c r="V1755" s="306"/>
      <c r="W1755" s="306"/>
      <c r="X1755" s="306"/>
      <c r="Y1755" s="306"/>
      <c r="Z1755" s="306"/>
      <c r="AA1755" s="306"/>
      <c r="AB1755" s="306"/>
      <c r="AC1755" s="306"/>
      <c r="AD1755" s="306"/>
      <c r="AE1755" s="306"/>
      <c r="AF1755" s="306"/>
      <c r="AG1755" s="306"/>
      <c r="AH1755" s="306"/>
      <c r="AI1755" s="306"/>
      <c r="AJ1755" s="306"/>
      <c r="AK1755" s="306"/>
      <c r="AL1755" s="306"/>
      <c r="AM1755" s="418"/>
      <c r="AN1755" s="418"/>
      <c r="AO1755" s="306"/>
      <c r="AP1755" s="306"/>
      <c r="AQ1755" s="418"/>
      <c r="AR1755" s="306"/>
      <c r="AS1755" s="306"/>
      <c r="AT1755" s="418"/>
      <c r="AU1755" s="306"/>
      <c r="AV1755" s="306"/>
      <c r="AW1755" s="306"/>
      <c r="AX1755" s="306"/>
      <c r="AY1755" s="306"/>
      <c r="AZ1755" s="306"/>
      <c r="BA1755" s="306"/>
      <c r="BB1755" s="306"/>
    </row>
    <row r="1756" spans="1:54" ht="15.75" customHeight="1">
      <c r="A1756" s="317"/>
      <c r="B1756" s="430"/>
      <c r="C1756" s="317"/>
      <c r="E1756" s="306"/>
      <c r="F1756" s="431"/>
      <c r="G1756" s="431"/>
      <c r="H1756" s="298"/>
      <c r="I1756" s="432"/>
      <c r="J1756" s="433"/>
      <c r="K1756" s="306"/>
      <c r="L1756" s="306"/>
      <c r="M1756" s="306"/>
      <c r="N1756" s="298"/>
      <c r="O1756" s="298"/>
      <c r="P1756" s="298"/>
      <c r="Q1756" s="306"/>
      <c r="R1756" s="1023"/>
      <c r="S1756" s="1023"/>
      <c r="T1756" s="306"/>
      <c r="U1756" s="306"/>
      <c r="V1756" s="306"/>
      <c r="W1756" s="306"/>
      <c r="X1756" s="306"/>
      <c r="Y1756" s="306"/>
      <c r="Z1756" s="306"/>
      <c r="AA1756" s="306"/>
      <c r="AB1756" s="306"/>
      <c r="AC1756" s="306"/>
      <c r="AD1756" s="306"/>
      <c r="AE1756" s="306"/>
      <c r="AF1756" s="306"/>
      <c r="AG1756" s="306"/>
      <c r="AH1756" s="306"/>
      <c r="AI1756" s="306"/>
      <c r="AJ1756" s="306"/>
      <c r="AK1756" s="306"/>
      <c r="AL1756" s="306"/>
      <c r="AM1756" s="418"/>
      <c r="AN1756" s="418"/>
      <c r="AO1756" s="306"/>
      <c r="AP1756" s="306"/>
      <c r="AQ1756" s="418"/>
      <c r="AR1756" s="306"/>
      <c r="AS1756" s="306"/>
      <c r="AT1756" s="418"/>
      <c r="AU1756" s="306"/>
      <c r="AV1756" s="306"/>
      <c r="AW1756" s="306"/>
      <c r="AX1756" s="306"/>
      <c r="AY1756" s="306"/>
      <c r="AZ1756" s="306"/>
      <c r="BA1756" s="306"/>
      <c r="BB1756" s="306"/>
    </row>
    <row r="1757" spans="1:54" ht="15.75" customHeight="1">
      <c r="A1757" s="317"/>
      <c r="B1757" s="430"/>
      <c r="C1757" s="317"/>
      <c r="E1757" s="306"/>
      <c r="F1757" s="431"/>
      <c r="G1757" s="431"/>
      <c r="H1757" s="298"/>
      <c r="I1757" s="432"/>
      <c r="J1757" s="433"/>
      <c r="K1757" s="306"/>
      <c r="L1757" s="306"/>
      <c r="M1757" s="306"/>
      <c r="N1757" s="298"/>
      <c r="O1757" s="298"/>
      <c r="P1757" s="298"/>
      <c r="Q1757" s="306"/>
      <c r="R1757" s="1023"/>
      <c r="S1757" s="1023"/>
      <c r="T1757" s="306"/>
      <c r="U1757" s="306"/>
      <c r="V1757" s="306"/>
      <c r="W1757" s="306"/>
      <c r="X1757" s="306"/>
      <c r="Y1757" s="306"/>
      <c r="Z1757" s="306"/>
      <c r="AA1757" s="306"/>
      <c r="AB1757" s="306"/>
      <c r="AC1757" s="306"/>
      <c r="AD1757" s="306"/>
      <c r="AE1757" s="306"/>
      <c r="AF1757" s="306"/>
      <c r="AG1757" s="306"/>
      <c r="AH1757" s="306"/>
      <c r="AI1757" s="306"/>
      <c r="AJ1757" s="306"/>
      <c r="AK1757" s="306"/>
      <c r="AL1757" s="306"/>
      <c r="AM1757" s="418"/>
      <c r="AN1757" s="418"/>
      <c r="AO1757" s="306"/>
      <c r="AP1757" s="306"/>
      <c r="AQ1757" s="418"/>
      <c r="AR1757" s="306"/>
      <c r="AS1757" s="306"/>
      <c r="AT1757" s="418"/>
      <c r="AU1757" s="306"/>
      <c r="AV1757" s="306"/>
      <c r="AW1757" s="306"/>
      <c r="AX1757" s="306"/>
      <c r="AY1757" s="306"/>
      <c r="AZ1757" s="306"/>
      <c r="BA1757" s="306"/>
      <c r="BB1757" s="306"/>
    </row>
    <row r="1758" spans="1:54" ht="15.75" customHeight="1">
      <c r="A1758" s="317"/>
      <c r="B1758" s="430"/>
      <c r="C1758" s="317"/>
      <c r="E1758" s="306"/>
      <c r="F1758" s="431"/>
      <c r="G1758" s="431"/>
      <c r="H1758" s="298"/>
      <c r="I1758" s="432"/>
      <c r="J1758" s="433"/>
      <c r="K1758" s="306"/>
      <c r="L1758" s="306"/>
      <c r="M1758" s="306"/>
      <c r="N1758" s="298"/>
      <c r="O1758" s="298"/>
      <c r="P1758" s="298"/>
      <c r="Q1758" s="306"/>
      <c r="R1758" s="1023"/>
      <c r="S1758" s="1023"/>
      <c r="T1758" s="306"/>
      <c r="U1758" s="306"/>
      <c r="V1758" s="306"/>
      <c r="W1758" s="306"/>
      <c r="X1758" s="306"/>
      <c r="Y1758" s="306"/>
      <c r="Z1758" s="306"/>
      <c r="AA1758" s="306"/>
      <c r="AB1758" s="306"/>
      <c r="AC1758" s="306"/>
      <c r="AD1758" s="306"/>
      <c r="AE1758" s="306"/>
      <c r="AF1758" s="306"/>
      <c r="AG1758" s="306"/>
      <c r="AH1758" s="306"/>
      <c r="AI1758" s="306"/>
      <c r="AJ1758" s="306"/>
      <c r="AK1758" s="306"/>
      <c r="AL1758" s="306"/>
      <c r="AM1758" s="418"/>
      <c r="AN1758" s="418"/>
      <c r="AO1758" s="306"/>
      <c r="AP1758" s="306"/>
      <c r="AQ1758" s="418"/>
      <c r="AR1758" s="306"/>
      <c r="AS1758" s="306"/>
      <c r="AT1758" s="418"/>
      <c r="AU1758" s="306"/>
      <c r="AV1758" s="306"/>
      <c r="AW1758" s="306"/>
      <c r="AX1758" s="306"/>
      <c r="AY1758" s="306"/>
      <c r="AZ1758" s="306"/>
      <c r="BA1758" s="306"/>
      <c r="BB1758" s="306"/>
    </row>
    <row r="1759" spans="1:54" ht="15.75" customHeight="1">
      <c r="A1759" s="317"/>
      <c r="B1759" s="430"/>
      <c r="C1759" s="317"/>
      <c r="E1759" s="306"/>
      <c r="F1759" s="431"/>
      <c r="G1759" s="431"/>
      <c r="H1759" s="298"/>
      <c r="I1759" s="432"/>
      <c r="J1759" s="433"/>
      <c r="K1759" s="306"/>
      <c r="L1759" s="306"/>
      <c r="M1759" s="306"/>
      <c r="N1759" s="298"/>
      <c r="O1759" s="298"/>
      <c r="P1759" s="298"/>
      <c r="Q1759" s="306"/>
      <c r="R1759" s="1023"/>
      <c r="S1759" s="1023"/>
      <c r="T1759" s="306"/>
      <c r="U1759" s="306"/>
      <c r="V1759" s="306"/>
      <c r="W1759" s="306"/>
      <c r="X1759" s="306"/>
      <c r="Y1759" s="306"/>
      <c r="Z1759" s="306"/>
      <c r="AA1759" s="306"/>
      <c r="AB1759" s="306"/>
      <c r="AC1759" s="306"/>
      <c r="AD1759" s="306"/>
      <c r="AE1759" s="306"/>
      <c r="AF1759" s="306"/>
      <c r="AG1759" s="306"/>
      <c r="AH1759" s="306"/>
      <c r="AI1759" s="306"/>
      <c r="AJ1759" s="306"/>
      <c r="AK1759" s="306"/>
      <c r="AL1759" s="306"/>
      <c r="AM1759" s="418"/>
      <c r="AN1759" s="418"/>
      <c r="AO1759" s="306"/>
      <c r="AP1759" s="306"/>
      <c r="AQ1759" s="418"/>
      <c r="AR1759" s="306"/>
      <c r="AS1759" s="306"/>
      <c r="AT1759" s="418"/>
      <c r="AU1759" s="306"/>
      <c r="AV1759" s="306"/>
      <c r="AW1759" s="306"/>
      <c r="AX1759" s="306"/>
      <c r="AY1759" s="306"/>
      <c r="AZ1759" s="306"/>
      <c r="BA1759" s="306"/>
      <c r="BB1759" s="306"/>
    </row>
    <row r="1760" spans="1:54" ht="15.75" customHeight="1">
      <c r="A1760" s="317"/>
      <c r="B1760" s="430"/>
      <c r="C1760" s="317"/>
      <c r="E1760" s="306"/>
      <c r="F1760" s="431"/>
      <c r="G1760" s="431"/>
      <c r="H1760" s="298"/>
      <c r="I1760" s="432"/>
      <c r="J1760" s="433"/>
      <c r="K1760" s="306"/>
      <c r="L1760" s="306"/>
      <c r="M1760" s="306"/>
      <c r="N1760" s="298"/>
      <c r="O1760" s="298"/>
      <c r="P1760" s="298"/>
      <c r="Q1760" s="306"/>
      <c r="R1760" s="1023"/>
      <c r="S1760" s="1023"/>
      <c r="T1760" s="306"/>
      <c r="U1760" s="306"/>
      <c r="V1760" s="306"/>
      <c r="W1760" s="306"/>
      <c r="X1760" s="306"/>
      <c r="Y1760" s="306"/>
      <c r="Z1760" s="306"/>
      <c r="AA1760" s="306"/>
      <c r="AB1760" s="306"/>
      <c r="AC1760" s="306"/>
      <c r="AD1760" s="306"/>
      <c r="AE1760" s="306"/>
      <c r="AF1760" s="306"/>
      <c r="AG1760" s="306"/>
      <c r="AH1760" s="306"/>
      <c r="AI1760" s="306"/>
      <c r="AJ1760" s="306"/>
      <c r="AK1760" s="306"/>
      <c r="AL1760" s="306"/>
      <c r="AM1760" s="418"/>
      <c r="AN1760" s="418"/>
      <c r="AO1760" s="306"/>
      <c r="AP1760" s="306"/>
      <c r="AQ1760" s="418"/>
      <c r="AR1760" s="306"/>
      <c r="AS1760" s="306"/>
      <c r="AT1760" s="418"/>
      <c r="AU1760" s="306"/>
      <c r="AV1760" s="306"/>
      <c r="AW1760" s="306"/>
      <c r="AX1760" s="306"/>
      <c r="AY1760" s="306"/>
      <c r="AZ1760" s="306"/>
      <c r="BA1760" s="306"/>
      <c r="BB1760" s="306"/>
    </row>
    <row r="1761" spans="1:54" ht="15.75" customHeight="1">
      <c r="A1761" s="317"/>
      <c r="B1761" s="430"/>
      <c r="C1761" s="317"/>
      <c r="E1761" s="306"/>
      <c r="F1761" s="431"/>
      <c r="G1761" s="431"/>
      <c r="H1761" s="298"/>
      <c r="I1761" s="432"/>
      <c r="J1761" s="433"/>
      <c r="K1761" s="306"/>
      <c r="L1761" s="306"/>
      <c r="M1761" s="306"/>
      <c r="N1761" s="298"/>
      <c r="O1761" s="298"/>
      <c r="P1761" s="298"/>
      <c r="Q1761" s="306"/>
      <c r="R1761" s="1023"/>
      <c r="S1761" s="1023"/>
      <c r="T1761" s="306"/>
      <c r="U1761" s="306"/>
      <c r="V1761" s="306"/>
      <c r="W1761" s="306"/>
      <c r="X1761" s="306"/>
      <c r="Y1761" s="306"/>
      <c r="Z1761" s="306"/>
      <c r="AA1761" s="306"/>
      <c r="AB1761" s="306"/>
      <c r="AC1761" s="306"/>
      <c r="AD1761" s="306"/>
      <c r="AE1761" s="306"/>
      <c r="AF1761" s="306"/>
      <c r="AG1761" s="306"/>
      <c r="AH1761" s="306"/>
      <c r="AI1761" s="306"/>
      <c r="AJ1761" s="306"/>
      <c r="AK1761" s="306"/>
      <c r="AL1761" s="306"/>
      <c r="AM1761" s="418"/>
      <c r="AN1761" s="418"/>
      <c r="AO1761" s="306"/>
      <c r="AP1761" s="306"/>
      <c r="AQ1761" s="418"/>
      <c r="AR1761" s="306"/>
      <c r="AS1761" s="306"/>
      <c r="AT1761" s="418"/>
      <c r="AU1761" s="306"/>
      <c r="AV1761" s="306"/>
      <c r="AW1761" s="306"/>
      <c r="AX1761" s="306"/>
      <c r="AY1761" s="306"/>
      <c r="AZ1761" s="306"/>
      <c r="BA1761" s="306"/>
      <c r="BB1761" s="306"/>
    </row>
    <row r="1762" spans="1:54" ht="15.75" customHeight="1">
      <c r="A1762" s="317"/>
      <c r="B1762" s="430"/>
      <c r="C1762" s="317"/>
      <c r="E1762" s="306"/>
      <c r="F1762" s="431"/>
      <c r="G1762" s="431"/>
      <c r="H1762" s="298"/>
      <c r="I1762" s="432"/>
      <c r="J1762" s="433"/>
      <c r="K1762" s="306"/>
      <c r="L1762" s="306"/>
      <c r="M1762" s="306"/>
      <c r="N1762" s="298"/>
      <c r="O1762" s="298"/>
      <c r="P1762" s="298"/>
      <c r="Q1762" s="306"/>
      <c r="R1762" s="1023"/>
      <c r="S1762" s="1023"/>
      <c r="T1762" s="306"/>
      <c r="U1762" s="306"/>
      <c r="V1762" s="306"/>
      <c r="W1762" s="306"/>
      <c r="X1762" s="306"/>
      <c r="Y1762" s="306"/>
      <c r="Z1762" s="306"/>
      <c r="AA1762" s="306"/>
      <c r="AB1762" s="306"/>
      <c r="AC1762" s="306"/>
      <c r="AD1762" s="306"/>
      <c r="AE1762" s="306"/>
      <c r="AF1762" s="306"/>
      <c r="AG1762" s="306"/>
      <c r="AH1762" s="306"/>
      <c r="AI1762" s="306"/>
      <c r="AJ1762" s="306"/>
      <c r="AK1762" s="306"/>
      <c r="AL1762" s="306"/>
      <c r="AM1762" s="418"/>
      <c r="AN1762" s="418"/>
      <c r="AO1762" s="306"/>
      <c r="AP1762" s="306"/>
      <c r="AQ1762" s="418"/>
      <c r="AR1762" s="306"/>
      <c r="AS1762" s="306"/>
      <c r="AT1762" s="418"/>
      <c r="AU1762" s="306"/>
      <c r="AV1762" s="306"/>
      <c r="AW1762" s="306"/>
      <c r="AX1762" s="306"/>
      <c r="AY1762" s="306"/>
      <c r="AZ1762" s="306"/>
      <c r="BA1762" s="306"/>
      <c r="BB1762" s="306"/>
    </row>
    <row r="1763" spans="1:54" ht="15.75" customHeight="1">
      <c r="A1763" s="317"/>
      <c r="B1763" s="430"/>
      <c r="C1763" s="317"/>
      <c r="E1763" s="306"/>
      <c r="F1763" s="431"/>
      <c r="G1763" s="431"/>
      <c r="H1763" s="298"/>
      <c r="I1763" s="432"/>
      <c r="J1763" s="433"/>
      <c r="K1763" s="306"/>
      <c r="L1763" s="306"/>
      <c r="M1763" s="306"/>
      <c r="N1763" s="298"/>
      <c r="O1763" s="298"/>
      <c r="P1763" s="298"/>
      <c r="Q1763" s="306"/>
      <c r="R1763" s="1023"/>
      <c r="S1763" s="1023"/>
      <c r="T1763" s="306"/>
      <c r="U1763" s="306"/>
      <c r="V1763" s="306"/>
      <c r="W1763" s="306"/>
      <c r="X1763" s="306"/>
      <c r="Y1763" s="306"/>
      <c r="Z1763" s="306"/>
      <c r="AA1763" s="306"/>
      <c r="AB1763" s="306"/>
      <c r="AC1763" s="306"/>
      <c r="AD1763" s="306"/>
      <c r="AE1763" s="306"/>
      <c r="AF1763" s="306"/>
      <c r="AG1763" s="306"/>
      <c r="AH1763" s="306"/>
      <c r="AI1763" s="306"/>
      <c r="AJ1763" s="306"/>
      <c r="AK1763" s="306"/>
      <c r="AL1763" s="306"/>
      <c r="AM1763" s="418"/>
      <c r="AN1763" s="418"/>
      <c r="AO1763" s="306"/>
      <c r="AP1763" s="306"/>
      <c r="AQ1763" s="418"/>
      <c r="AR1763" s="306"/>
      <c r="AS1763" s="306"/>
      <c r="AT1763" s="418"/>
      <c r="AU1763" s="306"/>
      <c r="AV1763" s="306"/>
      <c r="AW1763" s="306"/>
      <c r="AX1763" s="306"/>
      <c r="AY1763" s="306"/>
      <c r="AZ1763" s="306"/>
      <c r="BA1763" s="306"/>
      <c r="BB1763" s="306"/>
    </row>
    <row r="1764" spans="1:54" ht="15.75" customHeight="1">
      <c r="A1764" s="317"/>
      <c r="B1764" s="430"/>
      <c r="C1764" s="317"/>
      <c r="E1764" s="306"/>
      <c r="F1764" s="431"/>
      <c r="G1764" s="431"/>
      <c r="H1764" s="298"/>
      <c r="I1764" s="432"/>
      <c r="J1764" s="433"/>
      <c r="K1764" s="306"/>
      <c r="L1764" s="306"/>
      <c r="M1764" s="306"/>
      <c r="N1764" s="298"/>
      <c r="O1764" s="298"/>
      <c r="P1764" s="298"/>
      <c r="Q1764" s="306"/>
      <c r="R1764" s="1023"/>
      <c r="S1764" s="1023"/>
      <c r="T1764" s="306"/>
      <c r="U1764" s="306"/>
      <c r="V1764" s="306"/>
      <c r="W1764" s="306"/>
      <c r="X1764" s="306"/>
      <c r="Y1764" s="306"/>
      <c r="Z1764" s="306"/>
      <c r="AA1764" s="306"/>
      <c r="AB1764" s="306"/>
      <c r="AC1764" s="306"/>
      <c r="AD1764" s="306"/>
      <c r="AE1764" s="306"/>
      <c r="AF1764" s="306"/>
      <c r="AG1764" s="306"/>
      <c r="AH1764" s="306"/>
      <c r="AI1764" s="306"/>
      <c r="AJ1764" s="306"/>
      <c r="AK1764" s="306"/>
      <c r="AL1764" s="306"/>
      <c r="AM1764" s="418"/>
      <c r="AN1764" s="418"/>
      <c r="AO1764" s="306"/>
      <c r="AP1764" s="306"/>
      <c r="AQ1764" s="418"/>
      <c r="AR1764" s="306"/>
      <c r="AS1764" s="306"/>
      <c r="AT1764" s="418"/>
      <c r="AU1764" s="306"/>
      <c r="AV1764" s="306"/>
      <c r="AW1764" s="306"/>
      <c r="AX1764" s="306"/>
      <c r="AY1764" s="306"/>
      <c r="AZ1764" s="306"/>
      <c r="BA1764" s="306"/>
      <c r="BB1764" s="306"/>
    </row>
    <row r="1765" spans="1:54" ht="15.75" customHeight="1">
      <c r="A1765" s="317"/>
      <c r="B1765" s="430"/>
      <c r="C1765" s="317"/>
      <c r="E1765" s="306"/>
      <c r="F1765" s="431"/>
      <c r="G1765" s="431"/>
      <c r="H1765" s="298"/>
      <c r="I1765" s="432"/>
      <c r="J1765" s="433"/>
      <c r="K1765" s="306"/>
      <c r="L1765" s="306"/>
      <c r="M1765" s="306"/>
      <c r="N1765" s="298"/>
      <c r="O1765" s="298"/>
      <c r="P1765" s="298"/>
      <c r="Q1765" s="306"/>
      <c r="R1765" s="1023"/>
      <c r="S1765" s="1023"/>
      <c r="T1765" s="306"/>
      <c r="U1765" s="306"/>
      <c r="V1765" s="306"/>
      <c r="W1765" s="306"/>
      <c r="X1765" s="306"/>
      <c r="Y1765" s="306"/>
      <c r="Z1765" s="306"/>
      <c r="AA1765" s="306"/>
      <c r="AB1765" s="306"/>
      <c r="AC1765" s="306"/>
      <c r="AD1765" s="306"/>
      <c r="AE1765" s="306"/>
      <c r="AF1765" s="306"/>
      <c r="AG1765" s="306"/>
      <c r="AH1765" s="306"/>
      <c r="AI1765" s="306"/>
      <c r="AJ1765" s="306"/>
      <c r="AK1765" s="306"/>
      <c r="AL1765" s="306"/>
      <c r="AM1765" s="418"/>
      <c r="AN1765" s="418"/>
      <c r="AO1765" s="306"/>
      <c r="AP1765" s="306"/>
      <c r="AQ1765" s="418"/>
      <c r="AR1765" s="306"/>
      <c r="AS1765" s="306"/>
      <c r="AT1765" s="418"/>
      <c r="AU1765" s="306"/>
      <c r="AV1765" s="306"/>
      <c r="AW1765" s="306"/>
      <c r="AX1765" s="306"/>
      <c r="AY1765" s="306"/>
      <c r="AZ1765" s="306"/>
      <c r="BA1765" s="306"/>
      <c r="BB1765" s="306"/>
    </row>
    <row r="1766" spans="1:54" ht="15.75" customHeight="1">
      <c r="A1766" s="317"/>
      <c r="B1766" s="430"/>
      <c r="C1766" s="317"/>
      <c r="E1766" s="306"/>
      <c r="F1766" s="431"/>
      <c r="G1766" s="431"/>
      <c r="H1766" s="298"/>
      <c r="I1766" s="432"/>
      <c r="J1766" s="433"/>
      <c r="K1766" s="306"/>
      <c r="L1766" s="306"/>
      <c r="M1766" s="306"/>
      <c r="N1766" s="298"/>
      <c r="O1766" s="298"/>
      <c r="P1766" s="298"/>
      <c r="Q1766" s="306"/>
      <c r="R1766" s="1023"/>
      <c r="S1766" s="1023"/>
      <c r="T1766" s="306"/>
      <c r="U1766" s="306"/>
      <c r="V1766" s="306"/>
      <c r="W1766" s="306"/>
      <c r="X1766" s="306"/>
      <c r="Y1766" s="306"/>
      <c r="Z1766" s="306"/>
      <c r="AA1766" s="306"/>
      <c r="AB1766" s="306"/>
      <c r="AC1766" s="306"/>
      <c r="AD1766" s="306"/>
      <c r="AE1766" s="306"/>
      <c r="AF1766" s="306"/>
      <c r="AG1766" s="306"/>
      <c r="AH1766" s="306"/>
      <c r="AI1766" s="306"/>
      <c r="AJ1766" s="306"/>
      <c r="AK1766" s="306"/>
      <c r="AL1766" s="306"/>
      <c r="AM1766" s="418"/>
      <c r="AN1766" s="418"/>
      <c r="AO1766" s="306"/>
      <c r="AP1766" s="306"/>
      <c r="AQ1766" s="418"/>
      <c r="AR1766" s="306"/>
      <c r="AS1766" s="306"/>
      <c r="AT1766" s="418"/>
      <c r="AU1766" s="306"/>
      <c r="AV1766" s="306"/>
      <c r="AW1766" s="306"/>
      <c r="AX1766" s="306"/>
      <c r="AY1766" s="306"/>
      <c r="AZ1766" s="306"/>
      <c r="BA1766" s="306"/>
      <c r="BB1766" s="306"/>
    </row>
    <row r="1767" spans="1:54" ht="15.75" customHeight="1">
      <c r="A1767" s="317"/>
      <c r="B1767" s="430"/>
      <c r="C1767" s="317"/>
      <c r="E1767" s="306"/>
      <c r="F1767" s="431"/>
      <c r="G1767" s="431"/>
      <c r="H1767" s="298"/>
      <c r="I1767" s="432"/>
      <c r="J1767" s="433"/>
      <c r="K1767" s="306"/>
      <c r="L1767" s="306"/>
      <c r="M1767" s="306"/>
      <c r="N1767" s="298"/>
      <c r="O1767" s="298"/>
      <c r="P1767" s="298"/>
      <c r="Q1767" s="306"/>
      <c r="R1767" s="1023"/>
      <c r="S1767" s="1023"/>
      <c r="T1767" s="306"/>
      <c r="U1767" s="306"/>
      <c r="V1767" s="306"/>
      <c r="W1767" s="306"/>
      <c r="X1767" s="306"/>
      <c r="Y1767" s="306"/>
      <c r="Z1767" s="306"/>
      <c r="AA1767" s="306"/>
      <c r="AB1767" s="306"/>
      <c r="AC1767" s="306"/>
      <c r="AD1767" s="306"/>
      <c r="AE1767" s="306"/>
      <c r="AF1767" s="306"/>
      <c r="AG1767" s="306"/>
      <c r="AH1767" s="306"/>
      <c r="AI1767" s="306"/>
      <c r="AJ1767" s="306"/>
      <c r="AK1767" s="306"/>
      <c r="AL1767" s="306"/>
      <c r="AM1767" s="418"/>
      <c r="AN1767" s="418"/>
      <c r="AO1767" s="306"/>
      <c r="AP1767" s="306"/>
      <c r="AQ1767" s="418"/>
      <c r="AR1767" s="306"/>
      <c r="AS1767" s="306"/>
      <c r="AT1767" s="418"/>
      <c r="AU1767" s="306"/>
      <c r="AV1767" s="306"/>
      <c r="AW1767" s="306"/>
      <c r="AX1767" s="306"/>
      <c r="AY1767" s="306"/>
      <c r="AZ1767" s="306"/>
      <c r="BA1767" s="306"/>
      <c r="BB1767" s="306"/>
    </row>
    <row r="1768" spans="1:54" ht="15.75" customHeight="1">
      <c r="A1768" s="317"/>
      <c r="B1768" s="430"/>
      <c r="C1768" s="317"/>
      <c r="E1768" s="306"/>
      <c r="F1768" s="431"/>
      <c r="G1768" s="431"/>
      <c r="H1768" s="298"/>
      <c r="I1768" s="432"/>
      <c r="J1768" s="433"/>
      <c r="K1768" s="306"/>
      <c r="L1768" s="306"/>
      <c r="M1768" s="306"/>
      <c r="N1768" s="298"/>
      <c r="O1768" s="298"/>
      <c r="P1768" s="298"/>
      <c r="Q1768" s="306"/>
      <c r="R1768" s="1023"/>
      <c r="S1768" s="1023"/>
      <c r="T1768" s="306"/>
      <c r="U1768" s="306"/>
      <c r="V1768" s="306"/>
      <c r="W1768" s="306"/>
      <c r="X1768" s="306"/>
      <c r="Y1768" s="306"/>
      <c r="Z1768" s="306"/>
      <c r="AA1768" s="306"/>
      <c r="AB1768" s="306"/>
      <c r="AC1768" s="306"/>
      <c r="AD1768" s="306"/>
      <c r="AE1768" s="306"/>
      <c r="AF1768" s="306"/>
      <c r="AG1768" s="306"/>
      <c r="AH1768" s="306"/>
      <c r="AI1768" s="306"/>
      <c r="AJ1768" s="306"/>
      <c r="AK1768" s="306"/>
      <c r="AL1768" s="306"/>
      <c r="AM1768" s="418"/>
      <c r="AN1768" s="418"/>
      <c r="AO1768" s="306"/>
      <c r="AP1768" s="306"/>
      <c r="AQ1768" s="418"/>
      <c r="AR1768" s="306"/>
      <c r="AS1768" s="306"/>
      <c r="AT1768" s="418"/>
      <c r="AU1768" s="306"/>
      <c r="AV1768" s="306"/>
      <c r="AW1768" s="306"/>
      <c r="AX1768" s="306"/>
      <c r="AY1768" s="306"/>
      <c r="AZ1768" s="306"/>
      <c r="BA1768" s="306"/>
      <c r="BB1768" s="306"/>
    </row>
    <row r="1769" spans="1:54" ht="15.75" customHeight="1">
      <c r="A1769" s="317"/>
      <c r="B1769" s="430"/>
      <c r="C1769" s="317"/>
      <c r="E1769" s="306"/>
      <c r="F1769" s="431"/>
      <c r="G1769" s="431"/>
      <c r="H1769" s="298"/>
      <c r="I1769" s="432"/>
      <c r="J1769" s="433"/>
      <c r="K1769" s="306"/>
      <c r="L1769" s="306"/>
      <c r="M1769" s="306"/>
      <c r="N1769" s="298"/>
      <c r="O1769" s="298"/>
      <c r="P1769" s="298"/>
      <c r="Q1769" s="306"/>
      <c r="R1769" s="1023"/>
      <c r="S1769" s="1023"/>
      <c r="T1769" s="306"/>
      <c r="U1769" s="306"/>
      <c r="V1769" s="306"/>
      <c r="W1769" s="306"/>
      <c r="X1769" s="306"/>
      <c r="Y1769" s="306"/>
      <c r="Z1769" s="306"/>
      <c r="AA1769" s="306"/>
      <c r="AB1769" s="306"/>
      <c r="AC1769" s="306"/>
      <c r="AD1769" s="306"/>
      <c r="AE1769" s="306"/>
      <c r="AF1769" s="306"/>
      <c r="AG1769" s="306"/>
      <c r="AH1769" s="306"/>
      <c r="AI1769" s="306"/>
      <c r="AJ1769" s="306"/>
      <c r="AK1769" s="306"/>
      <c r="AL1769" s="306"/>
      <c r="AM1769" s="418"/>
      <c r="AN1769" s="418"/>
      <c r="AO1769" s="306"/>
      <c r="AP1769" s="306"/>
      <c r="AQ1769" s="418"/>
      <c r="AR1769" s="306"/>
      <c r="AS1769" s="306"/>
      <c r="AT1769" s="418"/>
      <c r="AU1769" s="306"/>
      <c r="AV1769" s="306"/>
      <c r="AW1769" s="306"/>
      <c r="AX1769" s="306"/>
      <c r="AY1769" s="306"/>
      <c r="AZ1769" s="306"/>
      <c r="BA1769" s="306"/>
      <c r="BB1769" s="306"/>
    </row>
    <row r="1770" spans="1:54" ht="15.75" customHeight="1">
      <c r="A1770" s="317"/>
      <c r="B1770" s="430"/>
      <c r="C1770" s="317"/>
      <c r="E1770" s="306"/>
      <c r="F1770" s="431"/>
      <c r="G1770" s="431"/>
      <c r="H1770" s="298"/>
      <c r="I1770" s="432"/>
      <c r="J1770" s="433"/>
      <c r="K1770" s="306"/>
      <c r="L1770" s="306"/>
      <c r="M1770" s="306"/>
      <c r="N1770" s="298"/>
      <c r="O1770" s="298"/>
      <c r="P1770" s="298"/>
      <c r="Q1770" s="306"/>
      <c r="R1770" s="1023"/>
      <c r="S1770" s="1023"/>
      <c r="T1770" s="306"/>
      <c r="U1770" s="306"/>
      <c r="V1770" s="306"/>
      <c r="W1770" s="306"/>
      <c r="X1770" s="306"/>
      <c r="Y1770" s="306"/>
      <c r="Z1770" s="306"/>
      <c r="AA1770" s="306"/>
      <c r="AB1770" s="306"/>
      <c r="AC1770" s="306"/>
      <c r="AD1770" s="306"/>
      <c r="AE1770" s="306"/>
      <c r="AF1770" s="306"/>
      <c r="AG1770" s="306"/>
      <c r="AH1770" s="306"/>
      <c r="AI1770" s="306"/>
      <c r="AJ1770" s="306"/>
      <c r="AK1770" s="306"/>
      <c r="AL1770" s="306"/>
      <c r="AM1770" s="418"/>
      <c r="AN1770" s="418"/>
      <c r="AO1770" s="306"/>
      <c r="AP1770" s="306"/>
      <c r="AQ1770" s="418"/>
      <c r="AR1770" s="306"/>
      <c r="AS1770" s="306"/>
      <c r="AT1770" s="418"/>
      <c r="AU1770" s="306"/>
      <c r="AV1770" s="306"/>
      <c r="AW1770" s="306"/>
      <c r="AX1770" s="306"/>
      <c r="AY1770" s="306"/>
      <c r="AZ1770" s="306"/>
      <c r="BA1770" s="306"/>
      <c r="BB1770" s="306"/>
    </row>
    <row r="1771" spans="1:54" ht="15.75" customHeight="1">
      <c r="A1771" s="317"/>
      <c r="B1771" s="430"/>
      <c r="C1771" s="317"/>
      <c r="E1771" s="306"/>
      <c r="F1771" s="431"/>
      <c r="G1771" s="431"/>
      <c r="H1771" s="298"/>
      <c r="I1771" s="432"/>
      <c r="J1771" s="433"/>
      <c r="K1771" s="306"/>
      <c r="L1771" s="306"/>
      <c r="M1771" s="306"/>
      <c r="N1771" s="298"/>
      <c r="O1771" s="298"/>
      <c r="P1771" s="298"/>
      <c r="Q1771" s="306"/>
      <c r="R1771" s="1023"/>
      <c r="S1771" s="1023"/>
      <c r="T1771" s="306"/>
      <c r="U1771" s="306"/>
      <c r="V1771" s="306"/>
      <c r="W1771" s="306"/>
      <c r="X1771" s="306"/>
      <c r="Y1771" s="306"/>
      <c r="Z1771" s="306"/>
      <c r="AA1771" s="306"/>
      <c r="AB1771" s="306"/>
      <c r="AC1771" s="306"/>
      <c r="AD1771" s="306"/>
      <c r="AE1771" s="306"/>
      <c r="AF1771" s="306"/>
      <c r="AG1771" s="306"/>
      <c r="AH1771" s="306"/>
      <c r="AI1771" s="306"/>
      <c r="AJ1771" s="306"/>
      <c r="AK1771" s="306"/>
      <c r="AL1771" s="306"/>
      <c r="AM1771" s="418"/>
      <c r="AN1771" s="418"/>
      <c r="AO1771" s="306"/>
      <c r="AP1771" s="306"/>
      <c r="AQ1771" s="418"/>
      <c r="AR1771" s="306"/>
      <c r="AS1771" s="306"/>
      <c r="AT1771" s="418"/>
      <c r="AU1771" s="306"/>
      <c r="AV1771" s="306"/>
      <c r="AW1771" s="306"/>
      <c r="AX1771" s="306"/>
      <c r="AY1771" s="306"/>
      <c r="AZ1771" s="306"/>
      <c r="BA1771" s="306"/>
      <c r="BB1771" s="306"/>
    </row>
    <row r="1772" spans="1:54" ht="15.75" customHeight="1">
      <c r="A1772" s="317"/>
      <c r="B1772" s="430"/>
      <c r="C1772" s="317"/>
      <c r="E1772" s="306"/>
      <c r="F1772" s="431"/>
      <c r="G1772" s="431"/>
      <c r="H1772" s="298"/>
      <c r="I1772" s="432"/>
      <c r="J1772" s="433"/>
      <c r="K1772" s="306"/>
      <c r="L1772" s="306"/>
      <c r="M1772" s="306"/>
      <c r="N1772" s="298"/>
      <c r="O1772" s="298"/>
      <c r="P1772" s="298"/>
      <c r="Q1772" s="306"/>
      <c r="R1772" s="1023"/>
      <c r="S1772" s="1023"/>
      <c r="T1772" s="306"/>
      <c r="U1772" s="306"/>
      <c r="V1772" s="306"/>
      <c r="W1772" s="306"/>
      <c r="X1772" s="306"/>
      <c r="Y1772" s="306"/>
      <c r="Z1772" s="306"/>
      <c r="AA1772" s="306"/>
      <c r="AB1772" s="306"/>
      <c r="AC1772" s="306"/>
      <c r="AD1772" s="306"/>
      <c r="AE1772" s="306"/>
      <c r="AF1772" s="306"/>
      <c r="AG1772" s="306"/>
      <c r="AH1772" s="306"/>
      <c r="AI1772" s="306"/>
      <c r="AJ1772" s="306"/>
      <c r="AK1772" s="306"/>
      <c r="AL1772" s="306"/>
      <c r="AM1772" s="418"/>
      <c r="AN1772" s="418"/>
      <c r="AO1772" s="306"/>
      <c r="AP1772" s="306"/>
      <c r="AQ1772" s="418"/>
      <c r="AR1772" s="306"/>
      <c r="AS1772" s="306"/>
      <c r="AT1772" s="418"/>
      <c r="AU1772" s="306"/>
      <c r="AV1772" s="306"/>
      <c r="AW1772" s="306"/>
      <c r="AX1772" s="306"/>
      <c r="AY1772" s="306"/>
      <c r="AZ1772" s="306"/>
      <c r="BA1772" s="306"/>
      <c r="BB1772" s="306"/>
    </row>
    <row r="1773" spans="1:54" ht="15.75" customHeight="1">
      <c r="A1773" s="317"/>
      <c r="B1773" s="430"/>
      <c r="C1773" s="317"/>
      <c r="E1773" s="306"/>
      <c r="F1773" s="431"/>
      <c r="G1773" s="431"/>
      <c r="H1773" s="298"/>
      <c r="I1773" s="432"/>
      <c r="J1773" s="433"/>
      <c r="K1773" s="306"/>
      <c r="L1773" s="306"/>
      <c r="M1773" s="306"/>
      <c r="N1773" s="298"/>
      <c r="O1773" s="298"/>
      <c r="P1773" s="298"/>
      <c r="Q1773" s="306"/>
      <c r="R1773" s="1023"/>
      <c r="S1773" s="1023"/>
      <c r="T1773" s="306"/>
      <c r="U1773" s="306"/>
      <c r="V1773" s="306"/>
      <c r="W1773" s="306"/>
      <c r="X1773" s="306"/>
      <c r="Y1773" s="306"/>
      <c r="Z1773" s="306"/>
      <c r="AA1773" s="306"/>
      <c r="AB1773" s="306"/>
      <c r="AC1773" s="306"/>
      <c r="AD1773" s="306"/>
      <c r="AE1773" s="306"/>
      <c r="AF1773" s="306"/>
      <c r="AG1773" s="306"/>
      <c r="AH1773" s="306"/>
      <c r="AI1773" s="306"/>
      <c r="AJ1773" s="306"/>
      <c r="AK1773" s="306"/>
      <c r="AL1773" s="306"/>
      <c r="AM1773" s="418"/>
      <c r="AN1773" s="418"/>
      <c r="AO1773" s="306"/>
      <c r="AP1773" s="306"/>
      <c r="AQ1773" s="418"/>
      <c r="AR1773" s="306"/>
      <c r="AS1773" s="306"/>
      <c r="AT1773" s="418"/>
      <c r="AU1773" s="306"/>
      <c r="AV1773" s="306"/>
      <c r="AW1773" s="306"/>
      <c r="AX1773" s="306"/>
      <c r="AY1773" s="306"/>
      <c r="AZ1773" s="306"/>
      <c r="BA1773" s="306"/>
      <c r="BB1773" s="306"/>
    </row>
    <row r="1774" spans="1:54" ht="15.75" customHeight="1">
      <c r="A1774" s="317"/>
      <c r="B1774" s="430"/>
      <c r="C1774" s="317"/>
      <c r="E1774" s="306"/>
      <c r="F1774" s="431"/>
      <c r="G1774" s="431"/>
      <c r="H1774" s="298"/>
      <c r="I1774" s="432"/>
      <c r="J1774" s="433"/>
      <c r="K1774" s="306"/>
      <c r="L1774" s="306"/>
      <c r="M1774" s="306"/>
      <c r="N1774" s="298"/>
      <c r="O1774" s="298"/>
      <c r="P1774" s="298"/>
      <c r="Q1774" s="306"/>
      <c r="R1774" s="1023"/>
      <c r="S1774" s="1023"/>
      <c r="T1774" s="306"/>
      <c r="U1774" s="306"/>
      <c r="V1774" s="306"/>
      <c r="W1774" s="306"/>
      <c r="X1774" s="306"/>
      <c r="Y1774" s="306"/>
      <c r="Z1774" s="306"/>
      <c r="AA1774" s="306"/>
      <c r="AB1774" s="306"/>
      <c r="AC1774" s="306"/>
      <c r="AD1774" s="306"/>
      <c r="AE1774" s="306"/>
      <c r="AF1774" s="306"/>
      <c r="AG1774" s="306"/>
      <c r="AH1774" s="306"/>
      <c r="AI1774" s="306"/>
      <c r="AJ1774" s="306"/>
      <c r="AK1774" s="306"/>
      <c r="AL1774" s="306"/>
      <c r="AM1774" s="418"/>
      <c r="AN1774" s="418"/>
      <c r="AO1774" s="306"/>
      <c r="AP1774" s="306"/>
      <c r="AQ1774" s="418"/>
      <c r="AR1774" s="306"/>
      <c r="AS1774" s="306"/>
      <c r="AT1774" s="418"/>
      <c r="AU1774" s="306"/>
      <c r="AV1774" s="306"/>
      <c r="AW1774" s="306"/>
      <c r="AX1774" s="306"/>
      <c r="AY1774" s="306"/>
      <c r="AZ1774" s="306"/>
      <c r="BA1774" s="306"/>
      <c r="BB1774" s="306"/>
    </row>
    <row r="1775" spans="1:54" ht="15.75" customHeight="1">
      <c r="A1775" s="317"/>
      <c r="B1775" s="430"/>
      <c r="C1775" s="317"/>
      <c r="E1775" s="306"/>
      <c r="F1775" s="431"/>
      <c r="G1775" s="431"/>
      <c r="H1775" s="298"/>
      <c r="I1775" s="432"/>
      <c r="J1775" s="433"/>
      <c r="K1775" s="306"/>
      <c r="L1775" s="306"/>
      <c r="M1775" s="306"/>
      <c r="N1775" s="298"/>
      <c r="O1775" s="298"/>
      <c r="P1775" s="298"/>
      <c r="Q1775" s="306"/>
      <c r="R1775" s="1023"/>
      <c r="S1775" s="1023"/>
      <c r="T1775" s="306"/>
      <c r="U1775" s="306"/>
      <c r="V1775" s="306"/>
      <c r="W1775" s="306"/>
      <c r="X1775" s="306"/>
      <c r="Y1775" s="306"/>
      <c r="Z1775" s="306"/>
      <c r="AA1775" s="306"/>
      <c r="AB1775" s="306"/>
      <c r="AC1775" s="306"/>
      <c r="AD1775" s="306"/>
      <c r="AE1775" s="306"/>
      <c r="AF1775" s="306"/>
      <c r="AG1775" s="306"/>
      <c r="AH1775" s="306"/>
      <c r="AI1775" s="306"/>
      <c r="AJ1775" s="306"/>
      <c r="AK1775" s="306"/>
      <c r="AL1775" s="306"/>
      <c r="AM1775" s="418"/>
      <c r="AN1775" s="418"/>
      <c r="AO1775" s="306"/>
      <c r="AP1775" s="306"/>
      <c r="AQ1775" s="418"/>
      <c r="AR1775" s="306"/>
      <c r="AS1775" s="306"/>
      <c r="AT1775" s="418"/>
      <c r="AU1775" s="306"/>
      <c r="AV1775" s="306"/>
      <c r="AW1775" s="306"/>
      <c r="AX1775" s="306"/>
      <c r="AY1775" s="306"/>
      <c r="AZ1775" s="306"/>
      <c r="BA1775" s="306"/>
      <c r="BB1775" s="306"/>
    </row>
    <row r="1776" spans="1:54" ht="15.75" customHeight="1">
      <c r="A1776" s="317"/>
      <c r="B1776" s="430"/>
      <c r="C1776" s="317"/>
      <c r="E1776" s="306"/>
      <c r="F1776" s="431"/>
      <c r="G1776" s="431"/>
      <c r="H1776" s="298"/>
      <c r="I1776" s="432"/>
      <c r="J1776" s="433"/>
      <c r="K1776" s="306"/>
      <c r="L1776" s="306"/>
      <c r="M1776" s="306"/>
      <c r="N1776" s="298"/>
      <c r="O1776" s="298"/>
      <c r="P1776" s="298"/>
      <c r="Q1776" s="306"/>
      <c r="R1776" s="1023"/>
      <c r="S1776" s="1023"/>
      <c r="T1776" s="306"/>
      <c r="U1776" s="306"/>
      <c r="V1776" s="306"/>
      <c r="W1776" s="306"/>
      <c r="X1776" s="306"/>
      <c r="Y1776" s="306"/>
      <c r="Z1776" s="306"/>
      <c r="AA1776" s="306"/>
      <c r="AB1776" s="306"/>
      <c r="AC1776" s="306"/>
      <c r="AD1776" s="306"/>
      <c r="AE1776" s="306"/>
      <c r="AF1776" s="306"/>
      <c r="AG1776" s="306"/>
      <c r="AH1776" s="306"/>
      <c r="AI1776" s="306"/>
      <c r="AJ1776" s="306"/>
      <c r="AK1776" s="306"/>
      <c r="AL1776" s="306"/>
      <c r="AM1776" s="418"/>
      <c r="AN1776" s="418"/>
      <c r="AO1776" s="306"/>
      <c r="AP1776" s="306"/>
      <c r="AQ1776" s="418"/>
      <c r="AR1776" s="306"/>
      <c r="AS1776" s="306"/>
      <c r="AT1776" s="418"/>
      <c r="AU1776" s="306"/>
      <c r="AV1776" s="306"/>
      <c r="AW1776" s="306"/>
      <c r="AX1776" s="306"/>
      <c r="AY1776" s="306"/>
      <c r="AZ1776" s="306"/>
      <c r="BA1776" s="306"/>
      <c r="BB1776" s="306"/>
    </row>
    <row r="1777" spans="1:54" ht="15.75" customHeight="1">
      <c r="A1777" s="317"/>
      <c r="B1777" s="430"/>
      <c r="C1777" s="317"/>
      <c r="E1777" s="306"/>
      <c r="F1777" s="431"/>
      <c r="G1777" s="431"/>
      <c r="H1777" s="298"/>
      <c r="I1777" s="432"/>
      <c r="J1777" s="433"/>
      <c r="K1777" s="306"/>
      <c r="L1777" s="306"/>
      <c r="M1777" s="306"/>
      <c r="N1777" s="298"/>
      <c r="O1777" s="298"/>
      <c r="P1777" s="298"/>
      <c r="Q1777" s="306"/>
      <c r="R1777" s="1023"/>
      <c r="S1777" s="1023"/>
      <c r="T1777" s="306"/>
      <c r="U1777" s="306"/>
      <c r="V1777" s="306"/>
      <c r="W1777" s="306"/>
      <c r="X1777" s="306"/>
      <c r="Y1777" s="306"/>
      <c r="Z1777" s="306"/>
      <c r="AA1777" s="306"/>
      <c r="AB1777" s="306"/>
      <c r="AC1777" s="306"/>
      <c r="AD1777" s="306"/>
      <c r="AE1777" s="306"/>
      <c r="AF1777" s="306"/>
      <c r="AG1777" s="306"/>
      <c r="AH1777" s="306"/>
      <c r="AI1777" s="306"/>
      <c r="AJ1777" s="306"/>
      <c r="AK1777" s="306"/>
      <c r="AL1777" s="306"/>
      <c r="AM1777" s="418"/>
      <c r="AN1777" s="418"/>
      <c r="AO1777" s="306"/>
      <c r="AP1777" s="306"/>
      <c r="AQ1777" s="418"/>
      <c r="AR1777" s="306"/>
      <c r="AS1777" s="306"/>
      <c r="AT1777" s="418"/>
      <c r="AU1777" s="306"/>
      <c r="AV1777" s="306"/>
      <c r="AW1777" s="306"/>
      <c r="AX1777" s="306"/>
      <c r="AY1777" s="306"/>
      <c r="AZ1777" s="306"/>
      <c r="BA1777" s="306"/>
      <c r="BB1777" s="306"/>
    </row>
    <row r="1778" spans="1:54" ht="15.75" customHeight="1">
      <c r="A1778" s="317"/>
      <c r="B1778" s="430"/>
      <c r="C1778" s="317"/>
      <c r="E1778" s="306"/>
      <c r="F1778" s="431"/>
      <c r="G1778" s="431"/>
      <c r="H1778" s="298"/>
      <c r="I1778" s="432"/>
      <c r="J1778" s="433"/>
      <c r="K1778" s="306"/>
      <c r="L1778" s="306"/>
      <c r="M1778" s="306"/>
      <c r="N1778" s="298"/>
      <c r="O1778" s="298"/>
      <c r="P1778" s="298"/>
      <c r="Q1778" s="306"/>
      <c r="R1778" s="1023"/>
      <c r="S1778" s="1023"/>
      <c r="T1778" s="306"/>
      <c r="U1778" s="306"/>
      <c r="V1778" s="306"/>
      <c r="W1778" s="306"/>
      <c r="X1778" s="306"/>
      <c r="Y1778" s="306"/>
      <c r="Z1778" s="306"/>
      <c r="AA1778" s="306"/>
      <c r="AB1778" s="306"/>
      <c r="AC1778" s="306"/>
      <c r="AD1778" s="306"/>
      <c r="AE1778" s="306"/>
      <c r="AF1778" s="306"/>
      <c r="AG1778" s="306"/>
      <c r="AH1778" s="306"/>
      <c r="AI1778" s="306"/>
      <c r="AJ1778" s="306"/>
      <c r="AK1778" s="306"/>
      <c r="AL1778" s="306"/>
      <c r="AM1778" s="418"/>
      <c r="AN1778" s="418"/>
      <c r="AO1778" s="306"/>
      <c r="AP1778" s="306"/>
      <c r="AQ1778" s="418"/>
      <c r="AR1778" s="306"/>
      <c r="AS1778" s="306"/>
      <c r="AT1778" s="418"/>
      <c r="AU1778" s="306"/>
      <c r="AV1778" s="306"/>
      <c r="AW1778" s="306"/>
      <c r="AX1778" s="306"/>
      <c r="AY1778" s="306"/>
      <c r="AZ1778" s="306"/>
      <c r="BA1778" s="306"/>
      <c r="BB1778" s="306"/>
    </row>
    <row r="1779" spans="1:54" ht="15.75" customHeight="1">
      <c r="A1779" s="317"/>
      <c r="B1779" s="430"/>
      <c r="C1779" s="317"/>
      <c r="E1779" s="306"/>
      <c r="F1779" s="431"/>
      <c r="G1779" s="431"/>
      <c r="H1779" s="298"/>
      <c r="I1779" s="432"/>
      <c r="J1779" s="433"/>
      <c r="K1779" s="306"/>
      <c r="L1779" s="306"/>
      <c r="M1779" s="306"/>
      <c r="N1779" s="298"/>
      <c r="O1779" s="298"/>
      <c r="P1779" s="298"/>
      <c r="Q1779" s="306"/>
      <c r="R1779" s="1023"/>
      <c r="S1779" s="1023"/>
      <c r="T1779" s="306"/>
      <c r="U1779" s="306"/>
      <c r="V1779" s="306"/>
      <c r="W1779" s="306"/>
      <c r="X1779" s="306"/>
      <c r="Y1779" s="306"/>
      <c r="Z1779" s="306"/>
      <c r="AA1779" s="306"/>
      <c r="AB1779" s="306"/>
      <c r="AC1779" s="306"/>
      <c r="AD1779" s="306"/>
      <c r="AE1779" s="306"/>
      <c r="AF1779" s="306"/>
      <c r="AG1779" s="306"/>
      <c r="AH1779" s="306"/>
      <c r="AI1779" s="306"/>
      <c r="AJ1779" s="306"/>
      <c r="AK1779" s="306"/>
      <c r="AL1779" s="306"/>
      <c r="AM1779" s="418"/>
      <c r="AN1779" s="418"/>
      <c r="AO1779" s="306"/>
      <c r="AP1779" s="306"/>
      <c r="AQ1779" s="418"/>
      <c r="AR1779" s="306"/>
      <c r="AS1779" s="306"/>
      <c r="AT1779" s="418"/>
      <c r="AU1779" s="306"/>
      <c r="AV1779" s="306"/>
      <c r="AW1779" s="306"/>
      <c r="AX1779" s="306"/>
      <c r="AY1779" s="306"/>
      <c r="AZ1779" s="306"/>
      <c r="BA1779" s="306"/>
      <c r="BB1779" s="306"/>
    </row>
    <row r="1780" spans="1:54" ht="15.75" customHeight="1">
      <c r="A1780" s="317"/>
      <c r="B1780" s="430"/>
      <c r="C1780" s="317"/>
      <c r="E1780" s="306"/>
      <c r="F1780" s="431"/>
      <c r="G1780" s="431"/>
      <c r="H1780" s="298"/>
      <c r="I1780" s="432"/>
      <c r="J1780" s="433"/>
      <c r="K1780" s="306"/>
      <c r="L1780" s="306"/>
      <c r="M1780" s="306"/>
      <c r="N1780" s="298"/>
      <c r="O1780" s="298"/>
      <c r="P1780" s="298"/>
      <c r="Q1780" s="306"/>
      <c r="R1780" s="1023"/>
      <c r="S1780" s="1023"/>
      <c r="T1780" s="306"/>
      <c r="U1780" s="306"/>
      <c r="V1780" s="306"/>
      <c r="W1780" s="306"/>
      <c r="X1780" s="306"/>
      <c r="Y1780" s="306"/>
      <c r="Z1780" s="306"/>
      <c r="AA1780" s="306"/>
      <c r="AB1780" s="306"/>
      <c r="AC1780" s="306"/>
      <c r="AD1780" s="306"/>
      <c r="AE1780" s="306"/>
      <c r="AF1780" s="306"/>
      <c r="AG1780" s="306"/>
      <c r="AH1780" s="306"/>
      <c r="AI1780" s="306"/>
      <c r="AJ1780" s="306"/>
      <c r="AK1780" s="306"/>
      <c r="AL1780" s="306"/>
      <c r="AM1780" s="418"/>
      <c r="AN1780" s="418"/>
      <c r="AO1780" s="306"/>
      <c r="AP1780" s="306"/>
      <c r="AQ1780" s="418"/>
      <c r="AR1780" s="306"/>
      <c r="AS1780" s="306"/>
      <c r="AT1780" s="418"/>
      <c r="AU1780" s="306"/>
      <c r="AV1780" s="306"/>
      <c r="AW1780" s="306"/>
      <c r="AX1780" s="306"/>
      <c r="AY1780" s="306"/>
      <c r="AZ1780" s="306"/>
      <c r="BA1780" s="306"/>
      <c r="BB1780" s="306"/>
    </row>
    <row r="1781" spans="1:54" ht="15.75" customHeight="1">
      <c r="A1781" s="317"/>
      <c r="B1781" s="430"/>
      <c r="C1781" s="317"/>
      <c r="E1781" s="306"/>
      <c r="F1781" s="431"/>
      <c r="G1781" s="431"/>
      <c r="H1781" s="298"/>
      <c r="I1781" s="432"/>
      <c r="J1781" s="433"/>
      <c r="K1781" s="306"/>
      <c r="L1781" s="306"/>
      <c r="M1781" s="306"/>
      <c r="N1781" s="298"/>
      <c r="O1781" s="298"/>
      <c r="P1781" s="298"/>
      <c r="Q1781" s="306"/>
      <c r="R1781" s="1023"/>
      <c r="S1781" s="1023"/>
      <c r="T1781" s="306"/>
      <c r="U1781" s="306"/>
      <c r="V1781" s="306"/>
      <c r="W1781" s="306"/>
      <c r="X1781" s="306"/>
      <c r="Y1781" s="306"/>
      <c r="Z1781" s="306"/>
      <c r="AA1781" s="306"/>
      <c r="AB1781" s="306"/>
      <c r="AC1781" s="306"/>
      <c r="AD1781" s="306"/>
      <c r="AE1781" s="306"/>
      <c r="AF1781" s="306"/>
      <c r="AG1781" s="306"/>
      <c r="AH1781" s="306"/>
      <c r="AI1781" s="306"/>
      <c r="AJ1781" s="306"/>
      <c r="AK1781" s="306"/>
      <c r="AL1781" s="306"/>
      <c r="AM1781" s="418"/>
      <c r="AN1781" s="418"/>
      <c r="AO1781" s="306"/>
      <c r="AP1781" s="306"/>
      <c r="AQ1781" s="418"/>
      <c r="AR1781" s="306"/>
      <c r="AS1781" s="306"/>
      <c r="AT1781" s="418"/>
      <c r="AU1781" s="306"/>
      <c r="AV1781" s="306"/>
      <c r="AW1781" s="306"/>
      <c r="AX1781" s="306"/>
      <c r="AY1781" s="306"/>
      <c r="AZ1781" s="306"/>
      <c r="BA1781" s="306"/>
      <c r="BB1781" s="306"/>
    </row>
    <row r="1782" spans="1:54" ht="15.75" customHeight="1">
      <c r="A1782" s="317"/>
      <c r="B1782" s="430"/>
      <c r="C1782" s="317"/>
      <c r="E1782" s="306"/>
      <c r="F1782" s="431"/>
      <c r="G1782" s="431"/>
      <c r="H1782" s="298"/>
      <c r="I1782" s="432"/>
      <c r="J1782" s="433"/>
      <c r="K1782" s="306"/>
      <c r="L1782" s="306"/>
      <c r="M1782" s="306"/>
      <c r="N1782" s="298"/>
      <c r="O1782" s="298"/>
      <c r="P1782" s="298"/>
      <c r="Q1782" s="306"/>
      <c r="R1782" s="1023"/>
      <c r="S1782" s="1023"/>
      <c r="T1782" s="306"/>
      <c r="U1782" s="306"/>
      <c r="V1782" s="306"/>
      <c r="W1782" s="306"/>
      <c r="X1782" s="306"/>
      <c r="Y1782" s="306"/>
      <c r="Z1782" s="306"/>
      <c r="AA1782" s="306"/>
      <c r="AB1782" s="306"/>
      <c r="AC1782" s="306"/>
      <c r="AD1782" s="306"/>
      <c r="AE1782" s="306"/>
      <c r="AF1782" s="306"/>
      <c r="AG1782" s="306"/>
      <c r="AH1782" s="306"/>
      <c r="AI1782" s="306"/>
      <c r="AJ1782" s="306"/>
      <c r="AK1782" s="306"/>
      <c r="AL1782" s="306"/>
      <c r="AM1782" s="418"/>
      <c r="AN1782" s="418"/>
      <c r="AO1782" s="306"/>
      <c r="AP1782" s="306"/>
      <c r="AQ1782" s="418"/>
      <c r="AR1782" s="306"/>
      <c r="AS1782" s="306"/>
      <c r="AT1782" s="418"/>
      <c r="AU1782" s="306"/>
      <c r="AV1782" s="306"/>
      <c r="AW1782" s="306"/>
      <c r="AX1782" s="306"/>
      <c r="AY1782" s="306"/>
      <c r="AZ1782" s="306"/>
      <c r="BA1782" s="306"/>
      <c r="BB1782" s="306"/>
    </row>
    <row r="1783" spans="1:54" ht="15.75" customHeight="1">
      <c r="A1783" s="317"/>
      <c r="B1783" s="430"/>
      <c r="C1783" s="317"/>
      <c r="E1783" s="306"/>
      <c r="F1783" s="431"/>
      <c r="G1783" s="431"/>
      <c r="H1783" s="298"/>
      <c r="I1783" s="432"/>
      <c r="J1783" s="433"/>
      <c r="K1783" s="306"/>
      <c r="L1783" s="306"/>
      <c r="M1783" s="306"/>
      <c r="N1783" s="298"/>
      <c r="O1783" s="298"/>
      <c r="P1783" s="298"/>
      <c r="Q1783" s="306"/>
      <c r="R1783" s="1023"/>
      <c r="S1783" s="1023"/>
      <c r="T1783" s="306"/>
      <c r="U1783" s="306"/>
      <c r="V1783" s="306"/>
      <c r="W1783" s="306"/>
      <c r="X1783" s="306"/>
      <c r="Y1783" s="306"/>
      <c r="Z1783" s="306"/>
      <c r="AA1783" s="306"/>
      <c r="AB1783" s="306"/>
      <c r="AC1783" s="306"/>
      <c r="AD1783" s="306"/>
      <c r="AE1783" s="306"/>
      <c r="AF1783" s="306"/>
      <c r="AG1783" s="306"/>
      <c r="AH1783" s="306"/>
      <c r="AI1783" s="306"/>
      <c r="AJ1783" s="306"/>
      <c r="AK1783" s="306"/>
      <c r="AL1783" s="306"/>
      <c r="AM1783" s="418"/>
      <c r="AN1783" s="418"/>
      <c r="AO1783" s="306"/>
      <c r="AP1783" s="306"/>
      <c r="AQ1783" s="418"/>
      <c r="AR1783" s="306"/>
      <c r="AS1783" s="306"/>
      <c r="AT1783" s="418"/>
      <c r="AU1783" s="306"/>
      <c r="AV1783" s="306"/>
      <c r="AW1783" s="306"/>
      <c r="AX1783" s="306"/>
      <c r="AY1783" s="306"/>
      <c r="AZ1783" s="306"/>
      <c r="BA1783" s="306"/>
      <c r="BB1783" s="306"/>
    </row>
    <row r="1784" spans="1:54" ht="15.75" customHeight="1">
      <c r="A1784" s="317"/>
      <c r="B1784" s="430"/>
      <c r="C1784" s="317"/>
      <c r="E1784" s="306"/>
      <c r="F1784" s="431"/>
      <c r="G1784" s="431"/>
      <c r="H1784" s="298"/>
      <c r="I1784" s="432"/>
      <c r="J1784" s="433"/>
      <c r="K1784" s="306"/>
      <c r="L1784" s="306"/>
      <c r="M1784" s="306"/>
      <c r="N1784" s="298"/>
      <c r="O1784" s="298"/>
      <c r="P1784" s="298"/>
      <c r="Q1784" s="306"/>
      <c r="R1784" s="1023"/>
      <c r="S1784" s="1023"/>
      <c r="T1784" s="306"/>
      <c r="U1784" s="306"/>
      <c r="V1784" s="306"/>
      <c r="W1784" s="306"/>
      <c r="X1784" s="306"/>
      <c r="Y1784" s="306"/>
      <c r="Z1784" s="306"/>
      <c r="AA1784" s="306"/>
      <c r="AB1784" s="306"/>
      <c r="AC1784" s="306"/>
      <c r="AD1784" s="306"/>
      <c r="AE1784" s="306"/>
      <c r="AF1784" s="306"/>
      <c r="AG1784" s="306"/>
      <c r="AH1784" s="306"/>
      <c r="AI1784" s="306"/>
      <c r="AJ1784" s="306"/>
      <c r="AK1784" s="306"/>
      <c r="AL1784" s="306"/>
      <c r="AM1784" s="418"/>
      <c r="AN1784" s="418"/>
      <c r="AO1784" s="306"/>
      <c r="AP1784" s="306"/>
      <c r="AQ1784" s="418"/>
      <c r="AR1784" s="306"/>
      <c r="AS1784" s="306"/>
      <c r="AT1784" s="418"/>
      <c r="AU1784" s="306"/>
      <c r="AV1784" s="306"/>
      <c r="AW1784" s="306"/>
      <c r="AX1784" s="306"/>
      <c r="AY1784" s="306"/>
      <c r="AZ1784" s="306"/>
      <c r="BA1784" s="306"/>
      <c r="BB1784" s="306"/>
    </row>
    <row r="1785" spans="1:54" ht="15.75" customHeight="1">
      <c r="A1785" s="317"/>
      <c r="B1785" s="430"/>
      <c r="C1785" s="317"/>
      <c r="E1785" s="306"/>
      <c r="F1785" s="431"/>
      <c r="G1785" s="431"/>
      <c r="H1785" s="298"/>
      <c r="I1785" s="432"/>
      <c r="J1785" s="433"/>
      <c r="K1785" s="306"/>
      <c r="L1785" s="306"/>
      <c r="M1785" s="306"/>
      <c r="N1785" s="298"/>
      <c r="O1785" s="298"/>
      <c r="P1785" s="298"/>
      <c r="Q1785" s="306"/>
      <c r="R1785" s="1023"/>
      <c r="S1785" s="1023"/>
      <c r="T1785" s="306"/>
      <c r="U1785" s="306"/>
      <c r="V1785" s="306"/>
      <c r="W1785" s="306"/>
      <c r="X1785" s="306"/>
      <c r="Y1785" s="306"/>
      <c r="Z1785" s="306"/>
      <c r="AA1785" s="306"/>
      <c r="AB1785" s="306"/>
      <c r="AC1785" s="306"/>
      <c r="AD1785" s="306"/>
      <c r="AE1785" s="306"/>
      <c r="AF1785" s="306"/>
      <c r="AG1785" s="306"/>
      <c r="AH1785" s="306"/>
      <c r="AI1785" s="306"/>
      <c r="AJ1785" s="306"/>
      <c r="AK1785" s="306"/>
      <c r="AL1785" s="306"/>
      <c r="AM1785" s="418"/>
      <c r="AN1785" s="418"/>
      <c r="AO1785" s="306"/>
      <c r="AP1785" s="306"/>
      <c r="AQ1785" s="418"/>
      <c r="AR1785" s="306"/>
      <c r="AS1785" s="306"/>
      <c r="AT1785" s="418"/>
      <c r="AU1785" s="306"/>
      <c r="AV1785" s="306"/>
      <c r="AW1785" s="306"/>
      <c r="AX1785" s="306"/>
      <c r="AY1785" s="306"/>
      <c r="AZ1785" s="306"/>
      <c r="BA1785" s="306"/>
      <c r="BB1785" s="306"/>
    </row>
    <row r="1786" spans="1:54" ht="15.75" customHeight="1">
      <c r="A1786" s="317"/>
      <c r="B1786" s="430"/>
      <c r="C1786" s="317"/>
      <c r="E1786" s="306"/>
      <c r="F1786" s="431"/>
      <c r="G1786" s="431"/>
      <c r="H1786" s="298"/>
      <c r="I1786" s="432"/>
      <c r="J1786" s="433"/>
      <c r="K1786" s="306"/>
      <c r="L1786" s="306"/>
      <c r="M1786" s="306"/>
      <c r="N1786" s="298"/>
      <c r="O1786" s="298"/>
      <c r="P1786" s="298"/>
      <c r="Q1786" s="306"/>
      <c r="R1786" s="1023"/>
      <c r="S1786" s="1023"/>
      <c r="T1786" s="306"/>
      <c r="U1786" s="306"/>
      <c r="V1786" s="306"/>
      <c r="W1786" s="306"/>
      <c r="X1786" s="306"/>
      <c r="Y1786" s="306"/>
      <c r="Z1786" s="306"/>
      <c r="AA1786" s="306"/>
      <c r="AB1786" s="306"/>
      <c r="AC1786" s="306"/>
      <c r="AD1786" s="306"/>
      <c r="AE1786" s="306"/>
      <c r="AF1786" s="306"/>
      <c r="AG1786" s="306"/>
      <c r="AH1786" s="306"/>
      <c r="AI1786" s="306"/>
      <c r="AJ1786" s="306"/>
      <c r="AK1786" s="306"/>
      <c r="AL1786" s="306"/>
      <c r="AM1786" s="418"/>
      <c r="AN1786" s="418"/>
      <c r="AO1786" s="306"/>
      <c r="AP1786" s="306"/>
      <c r="AQ1786" s="418"/>
      <c r="AR1786" s="306"/>
      <c r="AS1786" s="306"/>
      <c r="AT1786" s="418"/>
      <c r="AU1786" s="306"/>
      <c r="AV1786" s="306"/>
      <c r="AW1786" s="306"/>
      <c r="AX1786" s="306"/>
      <c r="AY1786" s="306"/>
      <c r="AZ1786" s="306"/>
      <c r="BA1786" s="306"/>
      <c r="BB1786" s="306"/>
    </row>
    <row r="1787" spans="1:54" ht="15.75" customHeight="1">
      <c r="A1787" s="317"/>
      <c r="B1787" s="430"/>
      <c r="C1787" s="317"/>
      <c r="E1787" s="306"/>
      <c r="F1787" s="431"/>
      <c r="G1787" s="431"/>
      <c r="H1787" s="298"/>
      <c r="I1787" s="432"/>
      <c r="J1787" s="433"/>
      <c r="K1787" s="306"/>
      <c r="L1787" s="306"/>
      <c r="M1787" s="306"/>
      <c r="N1787" s="298"/>
      <c r="O1787" s="298"/>
      <c r="P1787" s="298"/>
      <c r="Q1787" s="306"/>
      <c r="R1787" s="1023"/>
      <c r="S1787" s="1023"/>
      <c r="T1787" s="306"/>
      <c r="U1787" s="306"/>
      <c r="V1787" s="306"/>
      <c r="W1787" s="306"/>
      <c r="X1787" s="306"/>
      <c r="Y1787" s="306"/>
      <c r="Z1787" s="306"/>
      <c r="AA1787" s="306"/>
      <c r="AB1787" s="306"/>
      <c r="AC1787" s="306"/>
      <c r="AD1787" s="306"/>
      <c r="AE1787" s="306"/>
      <c r="AF1787" s="306"/>
      <c r="AG1787" s="306"/>
      <c r="AH1787" s="306"/>
      <c r="AI1787" s="306"/>
      <c r="AJ1787" s="306"/>
      <c r="AK1787" s="306"/>
      <c r="AL1787" s="306"/>
      <c r="AM1787" s="418"/>
      <c r="AN1787" s="418"/>
      <c r="AO1787" s="306"/>
      <c r="AP1787" s="306"/>
      <c r="AQ1787" s="418"/>
      <c r="AR1787" s="306"/>
      <c r="AS1787" s="306"/>
      <c r="AT1787" s="418"/>
      <c r="AU1787" s="306"/>
      <c r="AV1787" s="306"/>
      <c r="AW1787" s="306"/>
      <c r="AX1787" s="306"/>
      <c r="AY1787" s="306"/>
      <c r="AZ1787" s="306"/>
      <c r="BA1787" s="306"/>
      <c r="BB1787" s="306"/>
    </row>
    <row r="1788" spans="1:54" ht="15.75" customHeight="1">
      <c r="A1788" s="317"/>
      <c r="B1788" s="430"/>
      <c r="C1788" s="317"/>
      <c r="E1788" s="306"/>
      <c r="F1788" s="431"/>
      <c r="G1788" s="431"/>
      <c r="H1788" s="298"/>
      <c r="I1788" s="432"/>
      <c r="J1788" s="433"/>
      <c r="K1788" s="306"/>
      <c r="L1788" s="306"/>
      <c r="M1788" s="306"/>
      <c r="N1788" s="298"/>
      <c r="O1788" s="298"/>
      <c r="P1788" s="298"/>
      <c r="Q1788" s="306"/>
      <c r="R1788" s="1023"/>
      <c r="S1788" s="1023"/>
      <c r="T1788" s="306"/>
      <c r="U1788" s="306"/>
      <c r="V1788" s="306"/>
      <c r="W1788" s="306"/>
      <c r="X1788" s="306"/>
      <c r="Y1788" s="306"/>
      <c r="Z1788" s="306"/>
      <c r="AA1788" s="306"/>
      <c r="AB1788" s="306"/>
      <c r="AC1788" s="306"/>
      <c r="AD1788" s="306"/>
      <c r="AE1788" s="306"/>
      <c r="AF1788" s="306"/>
      <c r="AG1788" s="306"/>
      <c r="AH1788" s="306"/>
      <c r="AI1788" s="306"/>
      <c r="AJ1788" s="306"/>
      <c r="AK1788" s="306"/>
      <c r="AL1788" s="306"/>
      <c r="AM1788" s="418"/>
      <c r="AN1788" s="418"/>
      <c r="AO1788" s="306"/>
      <c r="AP1788" s="306"/>
      <c r="AQ1788" s="418"/>
      <c r="AR1788" s="306"/>
      <c r="AS1788" s="306"/>
      <c r="AT1788" s="418"/>
      <c r="AU1788" s="306"/>
      <c r="AV1788" s="306"/>
      <c r="AW1788" s="306"/>
      <c r="AX1788" s="306"/>
      <c r="AY1788" s="306"/>
      <c r="AZ1788" s="306"/>
      <c r="BA1788" s="306"/>
      <c r="BB1788" s="306"/>
    </row>
    <row r="1789" spans="1:54" ht="15.75" customHeight="1">
      <c r="A1789" s="317"/>
      <c r="B1789" s="430"/>
      <c r="C1789" s="317"/>
      <c r="E1789" s="306"/>
      <c r="F1789" s="431"/>
      <c r="G1789" s="431"/>
      <c r="H1789" s="298"/>
      <c r="I1789" s="432"/>
      <c r="J1789" s="433"/>
      <c r="K1789" s="306"/>
      <c r="L1789" s="306"/>
      <c r="M1789" s="306"/>
      <c r="N1789" s="298"/>
      <c r="O1789" s="298"/>
      <c r="P1789" s="298"/>
      <c r="Q1789" s="306"/>
      <c r="R1789" s="1023"/>
      <c r="S1789" s="1023"/>
      <c r="T1789" s="306"/>
      <c r="U1789" s="306"/>
      <c r="V1789" s="306"/>
      <c r="W1789" s="306"/>
      <c r="X1789" s="306"/>
      <c r="Y1789" s="306"/>
      <c r="Z1789" s="306"/>
      <c r="AA1789" s="306"/>
      <c r="AB1789" s="306"/>
      <c r="AC1789" s="306"/>
      <c r="AD1789" s="306"/>
      <c r="AE1789" s="306"/>
      <c r="AF1789" s="306"/>
      <c r="AG1789" s="306"/>
      <c r="AH1789" s="306"/>
      <c r="AI1789" s="306"/>
      <c r="AJ1789" s="306"/>
      <c r="AK1789" s="306"/>
      <c r="AL1789" s="306"/>
      <c r="AM1789" s="418"/>
      <c r="AN1789" s="418"/>
      <c r="AO1789" s="306"/>
      <c r="AP1789" s="306"/>
      <c r="AQ1789" s="418"/>
      <c r="AR1789" s="306"/>
      <c r="AS1789" s="306"/>
      <c r="AT1789" s="418"/>
      <c r="AU1789" s="306"/>
      <c r="AV1789" s="306"/>
      <c r="AW1789" s="306"/>
      <c r="AX1789" s="306"/>
      <c r="AY1789" s="306"/>
      <c r="AZ1789" s="306"/>
      <c r="BA1789" s="306"/>
      <c r="BB1789" s="306"/>
    </row>
    <row r="1790" spans="1:54" ht="15.75" customHeight="1">
      <c r="A1790" s="317"/>
      <c r="B1790" s="430"/>
      <c r="C1790" s="317"/>
      <c r="E1790" s="306"/>
      <c r="F1790" s="431"/>
      <c r="G1790" s="431"/>
      <c r="H1790" s="298"/>
      <c r="I1790" s="432"/>
      <c r="J1790" s="433"/>
      <c r="K1790" s="306"/>
      <c r="L1790" s="306"/>
      <c r="M1790" s="306"/>
      <c r="N1790" s="298"/>
      <c r="O1790" s="298"/>
      <c r="P1790" s="298"/>
      <c r="Q1790" s="306"/>
      <c r="R1790" s="1023"/>
      <c r="S1790" s="1023"/>
      <c r="T1790" s="306"/>
      <c r="U1790" s="306"/>
      <c r="V1790" s="306"/>
      <c r="W1790" s="306"/>
      <c r="X1790" s="306"/>
      <c r="Y1790" s="306"/>
      <c r="Z1790" s="306"/>
      <c r="AA1790" s="306"/>
      <c r="AB1790" s="306"/>
      <c r="AC1790" s="306"/>
      <c r="AD1790" s="306"/>
      <c r="AE1790" s="306"/>
      <c r="AF1790" s="306"/>
      <c r="AG1790" s="306"/>
      <c r="AH1790" s="306"/>
      <c r="AI1790" s="306"/>
      <c r="AJ1790" s="306"/>
      <c r="AK1790" s="306"/>
      <c r="AL1790" s="306"/>
      <c r="AM1790" s="418"/>
      <c r="AN1790" s="418"/>
      <c r="AO1790" s="306"/>
      <c r="AP1790" s="306"/>
      <c r="AQ1790" s="418"/>
      <c r="AR1790" s="306"/>
      <c r="AS1790" s="306"/>
      <c r="AT1790" s="418"/>
      <c r="AU1790" s="306"/>
      <c r="AV1790" s="306"/>
      <c r="AW1790" s="306"/>
      <c r="AX1790" s="306"/>
      <c r="AY1790" s="306"/>
      <c r="AZ1790" s="306"/>
      <c r="BA1790" s="306"/>
      <c r="BB1790" s="306"/>
    </row>
    <row r="1791" spans="1:54" ht="15.75" customHeight="1">
      <c r="A1791" s="317"/>
      <c r="B1791" s="430"/>
      <c r="C1791" s="317"/>
      <c r="E1791" s="306"/>
      <c r="F1791" s="431"/>
      <c r="G1791" s="431"/>
      <c r="H1791" s="298"/>
      <c r="I1791" s="432"/>
      <c r="J1791" s="433"/>
      <c r="K1791" s="306"/>
      <c r="L1791" s="306"/>
      <c r="M1791" s="306"/>
      <c r="N1791" s="298"/>
      <c r="O1791" s="298"/>
      <c r="P1791" s="298"/>
      <c r="Q1791" s="306"/>
      <c r="R1791" s="1023"/>
      <c r="S1791" s="1023"/>
      <c r="T1791" s="306"/>
      <c r="U1791" s="306"/>
      <c r="V1791" s="306"/>
      <c r="W1791" s="306"/>
      <c r="X1791" s="306"/>
      <c r="Y1791" s="306"/>
      <c r="Z1791" s="306"/>
      <c r="AA1791" s="306"/>
      <c r="AB1791" s="306"/>
      <c r="AC1791" s="306"/>
      <c r="AD1791" s="306"/>
      <c r="AE1791" s="306"/>
      <c r="AF1791" s="306"/>
      <c r="AG1791" s="306"/>
      <c r="AH1791" s="306"/>
      <c r="AI1791" s="306"/>
      <c r="AJ1791" s="306"/>
      <c r="AK1791" s="306"/>
      <c r="AL1791" s="306"/>
      <c r="AM1791" s="418"/>
      <c r="AN1791" s="418"/>
      <c r="AO1791" s="306"/>
      <c r="AP1791" s="306"/>
      <c r="AQ1791" s="418"/>
      <c r="AR1791" s="306"/>
      <c r="AS1791" s="306"/>
      <c r="AT1791" s="418"/>
      <c r="AU1791" s="306"/>
      <c r="AV1791" s="306"/>
      <c r="AW1791" s="306"/>
      <c r="AX1791" s="306"/>
      <c r="AY1791" s="306"/>
      <c r="AZ1791" s="306"/>
      <c r="BA1791" s="306"/>
      <c r="BB1791" s="306"/>
    </row>
    <row r="1792" spans="1:54" ht="15.75" customHeight="1">
      <c r="A1792" s="317"/>
      <c r="B1792" s="430"/>
      <c r="C1792" s="317"/>
      <c r="E1792" s="306"/>
      <c r="F1792" s="431"/>
      <c r="G1792" s="431"/>
      <c r="H1792" s="298"/>
      <c r="I1792" s="432"/>
      <c r="J1792" s="433"/>
      <c r="K1792" s="306"/>
      <c r="L1792" s="306"/>
      <c r="M1792" s="306"/>
      <c r="N1792" s="298"/>
      <c r="O1792" s="298"/>
      <c r="P1792" s="298"/>
      <c r="Q1792" s="306"/>
      <c r="R1792" s="1023"/>
      <c r="S1792" s="1023"/>
      <c r="T1792" s="306"/>
      <c r="U1792" s="306"/>
      <c r="V1792" s="306"/>
      <c r="W1792" s="306"/>
      <c r="X1792" s="306"/>
      <c r="Y1792" s="306"/>
      <c r="Z1792" s="306"/>
      <c r="AA1792" s="306"/>
      <c r="AB1792" s="306"/>
      <c r="AC1792" s="306"/>
      <c r="AD1792" s="306"/>
      <c r="AE1792" s="306"/>
      <c r="AF1792" s="306"/>
      <c r="AG1792" s="306"/>
      <c r="AH1792" s="306"/>
      <c r="AI1792" s="306"/>
      <c r="AJ1792" s="306"/>
      <c r="AK1792" s="306"/>
      <c r="AL1792" s="306"/>
      <c r="AM1792" s="418"/>
      <c r="AN1792" s="418"/>
      <c r="AO1792" s="306"/>
      <c r="AP1792" s="306"/>
      <c r="AQ1792" s="418"/>
      <c r="AR1792" s="306"/>
      <c r="AS1792" s="306"/>
      <c r="AT1792" s="418"/>
      <c r="AU1792" s="306"/>
      <c r="AV1792" s="306"/>
      <c r="AW1792" s="306"/>
      <c r="AX1792" s="306"/>
      <c r="AY1792" s="306"/>
      <c r="AZ1792" s="306"/>
      <c r="BA1792" s="306"/>
      <c r="BB1792" s="306"/>
    </row>
    <row r="1793" spans="1:54" ht="15.75" customHeight="1">
      <c r="A1793" s="317"/>
      <c r="B1793" s="430"/>
      <c r="C1793" s="317"/>
      <c r="E1793" s="306"/>
      <c r="F1793" s="431"/>
      <c r="G1793" s="431"/>
      <c r="H1793" s="298"/>
      <c r="I1793" s="432"/>
      <c r="J1793" s="433"/>
      <c r="K1793" s="306"/>
      <c r="L1793" s="306"/>
      <c r="M1793" s="306"/>
      <c r="N1793" s="298"/>
      <c r="O1793" s="298"/>
      <c r="P1793" s="298"/>
      <c r="Q1793" s="306"/>
      <c r="R1793" s="1023"/>
      <c r="S1793" s="1023"/>
      <c r="T1793" s="306"/>
      <c r="U1793" s="306"/>
      <c r="V1793" s="306"/>
      <c r="W1793" s="306"/>
      <c r="X1793" s="306"/>
      <c r="Y1793" s="306"/>
      <c r="Z1793" s="306"/>
      <c r="AA1793" s="306"/>
      <c r="AB1793" s="306"/>
      <c r="AC1793" s="306"/>
      <c r="AD1793" s="306"/>
      <c r="AE1793" s="306"/>
      <c r="AF1793" s="306"/>
      <c r="AG1793" s="306"/>
      <c r="AH1793" s="306"/>
      <c r="AI1793" s="306"/>
      <c r="AJ1793" s="306"/>
      <c r="AK1793" s="306"/>
      <c r="AL1793" s="306"/>
      <c r="AM1793" s="418"/>
      <c r="AN1793" s="418"/>
      <c r="AO1793" s="306"/>
      <c r="AP1793" s="306"/>
      <c r="AQ1793" s="418"/>
      <c r="AR1793" s="306"/>
      <c r="AS1793" s="306"/>
      <c r="AT1793" s="418"/>
      <c r="AU1793" s="306"/>
      <c r="AV1793" s="306"/>
      <c r="AW1793" s="306"/>
      <c r="AX1793" s="306"/>
      <c r="AY1793" s="306"/>
      <c r="AZ1793" s="306"/>
      <c r="BA1793" s="306"/>
      <c r="BB1793" s="306"/>
    </row>
    <row r="1794" spans="1:54" ht="15.75" customHeight="1">
      <c r="A1794" s="317"/>
      <c r="B1794" s="430"/>
      <c r="C1794" s="317"/>
      <c r="E1794" s="306"/>
      <c r="F1794" s="431"/>
      <c r="G1794" s="431"/>
      <c r="H1794" s="298"/>
      <c r="I1794" s="432"/>
      <c r="J1794" s="433"/>
      <c r="K1794" s="306"/>
      <c r="L1794" s="306"/>
      <c r="M1794" s="306"/>
      <c r="N1794" s="298"/>
      <c r="O1794" s="298"/>
      <c r="P1794" s="298"/>
      <c r="Q1794" s="306"/>
      <c r="R1794" s="1023"/>
      <c r="S1794" s="1023"/>
      <c r="T1794" s="306"/>
      <c r="U1794" s="306"/>
      <c r="V1794" s="306"/>
      <c r="W1794" s="306"/>
      <c r="X1794" s="306"/>
      <c r="Y1794" s="306"/>
      <c r="Z1794" s="306"/>
      <c r="AA1794" s="306"/>
      <c r="AB1794" s="306"/>
      <c r="AC1794" s="306"/>
      <c r="AD1794" s="306"/>
      <c r="AE1794" s="306"/>
      <c r="AF1794" s="306"/>
      <c r="AG1794" s="306"/>
      <c r="AH1794" s="306"/>
      <c r="AI1794" s="306"/>
      <c r="AJ1794" s="306"/>
      <c r="AK1794" s="306"/>
      <c r="AL1794" s="306"/>
      <c r="AM1794" s="418"/>
      <c r="AN1794" s="418"/>
      <c r="AO1794" s="306"/>
      <c r="AP1794" s="306"/>
      <c r="AQ1794" s="418"/>
      <c r="AR1794" s="306"/>
      <c r="AS1794" s="306"/>
      <c r="AT1794" s="418"/>
      <c r="AU1794" s="306"/>
      <c r="AV1794" s="306"/>
      <c r="AW1794" s="306"/>
      <c r="AX1794" s="306"/>
      <c r="AY1794" s="306"/>
      <c r="AZ1794" s="306"/>
      <c r="BA1794" s="306"/>
      <c r="BB1794" s="306"/>
    </row>
    <row r="1795" spans="1:54" ht="15.75" customHeight="1">
      <c r="A1795" s="317"/>
      <c r="B1795" s="430"/>
      <c r="C1795" s="317"/>
      <c r="E1795" s="306"/>
      <c r="F1795" s="431"/>
      <c r="G1795" s="431"/>
      <c r="H1795" s="298"/>
      <c r="I1795" s="432"/>
      <c r="J1795" s="433"/>
      <c r="K1795" s="306"/>
      <c r="L1795" s="306"/>
      <c r="M1795" s="306"/>
      <c r="N1795" s="298"/>
      <c r="O1795" s="298"/>
      <c r="P1795" s="298"/>
      <c r="Q1795" s="306"/>
      <c r="R1795" s="1023"/>
      <c r="S1795" s="1023"/>
      <c r="T1795" s="306"/>
      <c r="U1795" s="306"/>
      <c r="V1795" s="306"/>
      <c r="W1795" s="306"/>
      <c r="X1795" s="306"/>
      <c r="Y1795" s="306"/>
      <c r="Z1795" s="306"/>
      <c r="AA1795" s="306"/>
      <c r="AB1795" s="306"/>
      <c r="AC1795" s="306"/>
      <c r="AD1795" s="306"/>
      <c r="AE1795" s="306"/>
      <c r="AF1795" s="306"/>
      <c r="AG1795" s="306"/>
      <c r="AH1795" s="306"/>
      <c r="AI1795" s="306"/>
      <c r="AJ1795" s="306"/>
      <c r="AK1795" s="306"/>
      <c r="AL1795" s="306"/>
      <c r="AM1795" s="418"/>
      <c r="AN1795" s="418"/>
      <c r="AO1795" s="306"/>
      <c r="AP1795" s="306"/>
      <c r="AQ1795" s="418"/>
      <c r="AR1795" s="306"/>
      <c r="AS1795" s="306"/>
      <c r="AT1795" s="418"/>
      <c r="AU1795" s="306"/>
      <c r="AV1795" s="306"/>
      <c r="AW1795" s="306"/>
      <c r="AX1795" s="306"/>
      <c r="AY1795" s="306"/>
      <c r="AZ1795" s="306"/>
      <c r="BA1795" s="306"/>
      <c r="BB1795" s="306"/>
    </row>
    <row r="1796" spans="1:54" ht="15.75" customHeight="1">
      <c r="A1796" s="317"/>
      <c r="B1796" s="430"/>
      <c r="C1796" s="317"/>
      <c r="E1796" s="306"/>
      <c r="F1796" s="431"/>
      <c r="G1796" s="431"/>
      <c r="H1796" s="298"/>
      <c r="I1796" s="432"/>
      <c r="J1796" s="433"/>
      <c r="K1796" s="306"/>
      <c r="L1796" s="306"/>
      <c r="M1796" s="306"/>
      <c r="N1796" s="298"/>
      <c r="O1796" s="298"/>
      <c r="P1796" s="298"/>
      <c r="Q1796" s="306"/>
      <c r="R1796" s="1023"/>
      <c r="S1796" s="1023"/>
      <c r="T1796" s="306"/>
      <c r="U1796" s="306"/>
      <c r="V1796" s="306"/>
      <c r="W1796" s="306"/>
      <c r="X1796" s="306"/>
      <c r="Y1796" s="306"/>
      <c r="Z1796" s="306"/>
      <c r="AA1796" s="306"/>
      <c r="AB1796" s="306"/>
      <c r="AC1796" s="306"/>
      <c r="AD1796" s="306"/>
      <c r="AE1796" s="306"/>
      <c r="AF1796" s="306"/>
      <c r="AG1796" s="306"/>
      <c r="AH1796" s="306"/>
      <c r="AI1796" s="306"/>
      <c r="AJ1796" s="306"/>
      <c r="AK1796" s="306"/>
      <c r="AL1796" s="306"/>
      <c r="AM1796" s="418"/>
      <c r="AN1796" s="418"/>
      <c r="AO1796" s="306"/>
      <c r="AP1796" s="306"/>
      <c r="AQ1796" s="418"/>
      <c r="AR1796" s="306"/>
      <c r="AS1796" s="306"/>
      <c r="AT1796" s="418"/>
      <c r="AU1796" s="306"/>
      <c r="AV1796" s="306"/>
      <c r="AW1796" s="306"/>
      <c r="AX1796" s="306"/>
      <c r="AY1796" s="306"/>
      <c r="AZ1796" s="306"/>
      <c r="BA1796" s="306"/>
      <c r="BB1796" s="306"/>
    </row>
    <row r="1797" spans="1:54" ht="15.75" customHeight="1">
      <c r="A1797" s="317"/>
      <c r="B1797" s="430"/>
      <c r="C1797" s="317"/>
      <c r="E1797" s="306"/>
      <c r="F1797" s="431"/>
      <c r="G1797" s="431"/>
      <c r="H1797" s="298"/>
      <c r="I1797" s="432"/>
      <c r="J1797" s="433"/>
      <c r="K1797" s="306"/>
      <c r="L1797" s="306"/>
      <c r="M1797" s="306"/>
      <c r="N1797" s="298"/>
      <c r="O1797" s="298"/>
      <c r="P1797" s="298"/>
      <c r="Q1797" s="306"/>
      <c r="R1797" s="1023"/>
      <c r="S1797" s="1023"/>
      <c r="T1797" s="306"/>
      <c r="U1797" s="306"/>
      <c r="V1797" s="306"/>
      <c r="W1797" s="306"/>
      <c r="X1797" s="306"/>
      <c r="Y1797" s="306"/>
      <c r="Z1797" s="306"/>
      <c r="AA1797" s="306"/>
      <c r="AB1797" s="306"/>
      <c r="AC1797" s="306"/>
      <c r="AD1797" s="306"/>
      <c r="AE1797" s="306"/>
      <c r="AF1797" s="306"/>
      <c r="AG1797" s="306"/>
      <c r="AH1797" s="306"/>
      <c r="AI1797" s="306"/>
      <c r="AJ1797" s="306"/>
      <c r="AK1797" s="306"/>
      <c r="AL1797" s="306"/>
      <c r="AM1797" s="418"/>
      <c r="AN1797" s="418"/>
      <c r="AO1797" s="306"/>
      <c r="AP1797" s="306"/>
      <c r="AQ1797" s="418"/>
      <c r="AR1797" s="306"/>
      <c r="AS1797" s="306"/>
      <c r="AT1797" s="418"/>
      <c r="AU1797" s="306"/>
      <c r="AV1797" s="306"/>
      <c r="AW1797" s="306"/>
      <c r="AX1797" s="306"/>
      <c r="AY1797" s="306"/>
      <c r="AZ1797" s="306"/>
      <c r="BA1797" s="306"/>
      <c r="BB1797" s="306"/>
    </row>
    <row r="1798" spans="1:54" ht="15.75" customHeight="1">
      <c r="A1798" s="317"/>
      <c r="B1798" s="430"/>
      <c r="C1798" s="317"/>
      <c r="E1798" s="306"/>
      <c r="F1798" s="431"/>
      <c r="G1798" s="431"/>
      <c r="H1798" s="298"/>
      <c r="I1798" s="432"/>
      <c r="J1798" s="433"/>
      <c r="K1798" s="306"/>
      <c r="L1798" s="306"/>
      <c r="M1798" s="306"/>
      <c r="N1798" s="298"/>
      <c r="O1798" s="298"/>
      <c r="P1798" s="298"/>
      <c r="Q1798" s="306"/>
      <c r="R1798" s="1023"/>
      <c r="S1798" s="1023"/>
      <c r="T1798" s="306"/>
      <c r="U1798" s="306"/>
      <c r="V1798" s="306"/>
      <c r="W1798" s="306"/>
      <c r="X1798" s="306"/>
      <c r="Y1798" s="306"/>
      <c r="Z1798" s="306"/>
      <c r="AA1798" s="306"/>
      <c r="AB1798" s="306"/>
      <c r="AC1798" s="306"/>
      <c r="AD1798" s="306"/>
      <c r="AE1798" s="306"/>
      <c r="AF1798" s="306"/>
      <c r="AG1798" s="306"/>
      <c r="AH1798" s="306"/>
      <c r="AI1798" s="306"/>
      <c r="AJ1798" s="306"/>
      <c r="AK1798" s="306"/>
      <c r="AL1798" s="306"/>
      <c r="AM1798" s="418"/>
      <c r="AN1798" s="418"/>
      <c r="AO1798" s="306"/>
      <c r="AP1798" s="306"/>
      <c r="AQ1798" s="418"/>
      <c r="AR1798" s="306"/>
      <c r="AS1798" s="306"/>
      <c r="AT1798" s="418"/>
      <c r="AU1798" s="306"/>
      <c r="AV1798" s="306"/>
      <c r="AW1798" s="306"/>
      <c r="AX1798" s="306"/>
      <c r="AY1798" s="306"/>
      <c r="AZ1798" s="306"/>
      <c r="BA1798" s="306"/>
      <c r="BB1798" s="306"/>
    </row>
    <row r="1799" spans="1:54" ht="15.75" customHeight="1">
      <c r="A1799" s="317"/>
      <c r="B1799" s="430"/>
      <c r="C1799" s="317"/>
      <c r="E1799" s="306"/>
      <c r="F1799" s="431"/>
      <c r="G1799" s="431"/>
      <c r="H1799" s="298"/>
      <c r="I1799" s="432"/>
      <c r="J1799" s="433"/>
      <c r="K1799" s="306"/>
      <c r="L1799" s="306"/>
      <c r="M1799" s="306"/>
      <c r="N1799" s="298"/>
      <c r="O1799" s="298"/>
      <c r="P1799" s="298"/>
      <c r="Q1799" s="306"/>
      <c r="R1799" s="1023"/>
      <c r="S1799" s="1023"/>
      <c r="T1799" s="306"/>
      <c r="U1799" s="306"/>
      <c r="V1799" s="306"/>
      <c r="W1799" s="306"/>
      <c r="X1799" s="306"/>
      <c r="Y1799" s="306"/>
      <c r="Z1799" s="306"/>
      <c r="AA1799" s="306"/>
      <c r="AB1799" s="306"/>
      <c r="AC1799" s="306"/>
      <c r="AD1799" s="306"/>
      <c r="AE1799" s="306"/>
      <c r="AF1799" s="306"/>
      <c r="AG1799" s="306"/>
      <c r="AH1799" s="306"/>
      <c r="AI1799" s="306"/>
      <c r="AJ1799" s="306"/>
      <c r="AK1799" s="306"/>
      <c r="AL1799" s="306"/>
      <c r="AM1799" s="418"/>
      <c r="AN1799" s="418"/>
      <c r="AO1799" s="306"/>
      <c r="AP1799" s="306"/>
      <c r="AQ1799" s="418"/>
      <c r="AR1799" s="306"/>
      <c r="AS1799" s="306"/>
      <c r="AT1799" s="418"/>
      <c r="AU1799" s="306"/>
      <c r="AV1799" s="306"/>
      <c r="AW1799" s="306"/>
      <c r="AX1799" s="306"/>
      <c r="AY1799" s="306"/>
      <c r="AZ1799" s="306"/>
      <c r="BA1799" s="306"/>
      <c r="BB1799" s="306"/>
    </row>
    <row r="1800" spans="1:54" ht="15.75" customHeight="1">
      <c r="A1800" s="317"/>
      <c r="B1800" s="430"/>
      <c r="C1800" s="317"/>
      <c r="E1800" s="306"/>
      <c r="F1800" s="431"/>
      <c r="G1800" s="431"/>
      <c r="H1800" s="298"/>
      <c r="I1800" s="432"/>
      <c r="J1800" s="433"/>
      <c r="K1800" s="306"/>
      <c r="L1800" s="306"/>
      <c r="M1800" s="306"/>
      <c r="N1800" s="298"/>
      <c r="O1800" s="298"/>
      <c r="P1800" s="298"/>
      <c r="Q1800" s="306"/>
      <c r="R1800" s="1023"/>
      <c r="S1800" s="1023"/>
      <c r="T1800" s="306"/>
      <c r="U1800" s="306"/>
      <c r="V1800" s="306"/>
      <c r="W1800" s="306"/>
      <c r="X1800" s="306"/>
      <c r="Y1800" s="306"/>
      <c r="Z1800" s="306"/>
      <c r="AA1800" s="306"/>
      <c r="AB1800" s="306"/>
      <c r="AC1800" s="306"/>
      <c r="AD1800" s="306"/>
      <c r="AE1800" s="306"/>
      <c r="AF1800" s="306"/>
      <c r="AG1800" s="306"/>
      <c r="AH1800" s="306"/>
      <c r="AI1800" s="306"/>
      <c r="AJ1800" s="306"/>
      <c r="AK1800" s="306"/>
      <c r="AL1800" s="306"/>
      <c r="AM1800" s="418"/>
      <c r="AN1800" s="418"/>
      <c r="AO1800" s="306"/>
      <c r="AP1800" s="306"/>
      <c r="AQ1800" s="418"/>
      <c r="AR1800" s="306"/>
      <c r="AS1800" s="306"/>
      <c r="AT1800" s="418"/>
      <c r="AU1800" s="306"/>
      <c r="AV1800" s="306"/>
      <c r="AW1800" s="306"/>
      <c r="AX1800" s="306"/>
      <c r="AY1800" s="306"/>
      <c r="AZ1800" s="306"/>
      <c r="BA1800" s="306"/>
      <c r="BB1800" s="306"/>
    </row>
    <row r="1801" spans="1:54" ht="15.75" customHeight="1">
      <c r="A1801" s="317"/>
      <c r="B1801" s="430"/>
      <c r="C1801" s="317"/>
      <c r="E1801" s="306"/>
      <c r="F1801" s="431"/>
      <c r="G1801" s="431"/>
      <c r="H1801" s="298"/>
      <c r="I1801" s="432"/>
      <c r="J1801" s="433"/>
      <c r="K1801" s="306"/>
      <c r="L1801" s="306"/>
      <c r="M1801" s="306"/>
      <c r="N1801" s="298"/>
      <c r="O1801" s="298"/>
      <c r="P1801" s="298"/>
      <c r="Q1801" s="306"/>
      <c r="R1801" s="1023"/>
      <c r="S1801" s="1023"/>
      <c r="T1801" s="306"/>
      <c r="U1801" s="306"/>
      <c r="V1801" s="306"/>
      <c r="W1801" s="306"/>
      <c r="X1801" s="306"/>
      <c r="Y1801" s="306"/>
      <c r="Z1801" s="306"/>
      <c r="AA1801" s="306"/>
      <c r="AB1801" s="306"/>
      <c r="AC1801" s="306"/>
      <c r="AD1801" s="306"/>
      <c r="AE1801" s="306"/>
      <c r="AF1801" s="306"/>
      <c r="AG1801" s="306"/>
      <c r="AH1801" s="306"/>
      <c r="AI1801" s="306"/>
      <c r="AJ1801" s="306"/>
      <c r="AK1801" s="306"/>
      <c r="AL1801" s="306"/>
      <c r="AM1801" s="418"/>
      <c r="AN1801" s="418"/>
      <c r="AO1801" s="306"/>
      <c r="AP1801" s="306"/>
      <c r="AQ1801" s="418"/>
      <c r="AR1801" s="306"/>
      <c r="AS1801" s="306"/>
      <c r="AT1801" s="418"/>
      <c r="AU1801" s="306"/>
      <c r="AV1801" s="306"/>
      <c r="AW1801" s="306"/>
      <c r="AX1801" s="306"/>
      <c r="AY1801" s="306"/>
      <c r="AZ1801" s="306"/>
      <c r="BA1801" s="306"/>
      <c r="BB1801" s="306"/>
    </row>
    <row r="1802" spans="1:54" ht="15.75" customHeight="1">
      <c r="A1802" s="317"/>
      <c r="B1802" s="430"/>
      <c r="C1802" s="317"/>
      <c r="E1802" s="306"/>
      <c r="F1802" s="431"/>
      <c r="G1802" s="431"/>
      <c r="H1802" s="298"/>
      <c r="I1802" s="432"/>
      <c r="J1802" s="433"/>
      <c r="K1802" s="306"/>
      <c r="L1802" s="306"/>
      <c r="M1802" s="306"/>
      <c r="N1802" s="298"/>
      <c r="O1802" s="298"/>
      <c r="P1802" s="298"/>
      <c r="Q1802" s="306"/>
      <c r="R1802" s="1023"/>
      <c r="S1802" s="1023"/>
      <c r="T1802" s="306"/>
      <c r="U1802" s="306"/>
      <c r="V1802" s="306"/>
      <c r="W1802" s="306"/>
      <c r="X1802" s="306"/>
      <c r="Y1802" s="306"/>
      <c r="Z1802" s="306"/>
      <c r="AA1802" s="306"/>
      <c r="AB1802" s="306"/>
      <c r="AC1802" s="306"/>
      <c r="AD1802" s="306"/>
      <c r="AE1802" s="306"/>
      <c r="AF1802" s="306"/>
      <c r="AG1802" s="306"/>
      <c r="AH1802" s="306"/>
      <c r="AI1802" s="306"/>
      <c r="AJ1802" s="306"/>
      <c r="AK1802" s="306"/>
      <c r="AL1802" s="306"/>
      <c r="AM1802" s="418"/>
      <c r="AN1802" s="418"/>
      <c r="AO1802" s="306"/>
      <c r="AP1802" s="306"/>
      <c r="AQ1802" s="418"/>
      <c r="AR1802" s="306"/>
      <c r="AS1802" s="306"/>
      <c r="AT1802" s="418"/>
      <c r="AU1802" s="306"/>
      <c r="AV1802" s="306"/>
      <c r="AW1802" s="306"/>
      <c r="AX1802" s="306"/>
      <c r="AY1802" s="306"/>
      <c r="AZ1802" s="306"/>
      <c r="BA1802" s="306"/>
      <c r="BB1802" s="306"/>
    </row>
    <row r="1803" spans="1:54" ht="15.75" customHeight="1">
      <c r="A1803" s="317"/>
      <c r="B1803" s="430"/>
      <c r="C1803" s="317"/>
      <c r="E1803" s="306"/>
      <c r="F1803" s="431"/>
      <c r="G1803" s="431"/>
      <c r="H1803" s="298"/>
      <c r="I1803" s="432"/>
      <c r="J1803" s="433"/>
      <c r="K1803" s="306"/>
      <c r="L1803" s="306"/>
      <c r="M1803" s="306"/>
      <c r="N1803" s="298"/>
      <c r="O1803" s="298"/>
      <c r="P1803" s="298"/>
      <c r="Q1803" s="306"/>
      <c r="R1803" s="1023"/>
      <c r="S1803" s="1023"/>
      <c r="T1803" s="306"/>
      <c r="U1803" s="306"/>
      <c r="V1803" s="306"/>
      <c r="W1803" s="306"/>
      <c r="X1803" s="306"/>
      <c r="Y1803" s="306"/>
      <c r="Z1803" s="306"/>
      <c r="AA1803" s="306"/>
      <c r="AB1803" s="306"/>
      <c r="AC1803" s="306"/>
      <c r="AD1803" s="306"/>
      <c r="AE1803" s="306"/>
      <c r="AF1803" s="306"/>
      <c r="AG1803" s="306"/>
      <c r="AH1803" s="306"/>
      <c r="AI1803" s="306"/>
      <c r="AJ1803" s="306"/>
      <c r="AK1803" s="306"/>
      <c r="AL1803" s="306"/>
      <c r="AM1803" s="418"/>
      <c r="AN1803" s="418"/>
      <c r="AO1803" s="306"/>
      <c r="AP1803" s="306"/>
      <c r="AQ1803" s="418"/>
      <c r="AR1803" s="306"/>
      <c r="AS1803" s="306"/>
      <c r="AT1803" s="418"/>
      <c r="AU1803" s="306"/>
      <c r="AV1803" s="306"/>
      <c r="AW1803" s="306"/>
      <c r="AX1803" s="306"/>
      <c r="AY1803" s="306"/>
      <c r="AZ1803" s="306"/>
      <c r="BA1803" s="306"/>
      <c r="BB1803" s="306"/>
    </row>
    <row r="1804" spans="1:54" ht="15.75" customHeight="1">
      <c r="A1804" s="317"/>
      <c r="B1804" s="430"/>
      <c r="C1804" s="317"/>
      <c r="E1804" s="306"/>
      <c r="F1804" s="431"/>
      <c r="G1804" s="431"/>
      <c r="H1804" s="298"/>
      <c r="I1804" s="432"/>
      <c r="J1804" s="433"/>
      <c r="K1804" s="306"/>
      <c r="L1804" s="306"/>
      <c r="M1804" s="306"/>
      <c r="N1804" s="298"/>
      <c r="O1804" s="298"/>
      <c r="P1804" s="298"/>
      <c r="Q1804" s="306"/>
      <c r="R1804" s="1023"/>
      <c r="S1804" s="1023"/>
      <c r="T1804" s="306"/>
      <c r="U1804" s="306"/>
      <c r="V1804" s="306"/>
      <c r="W1804" s="306"/>
      <c r="X1804" s="306"/>
      <c r="Y1804" s="306"/>
      <c r="Z1804" s="306"/>
      <c r="AA1804" s="306"/>
      <c r="AB1804" s="306"/>
      <c r="AC1804" s="306"/>
      <c r="AD1804" s="306"/>
      <c r="AE1804" s="306"/>
      <c r="AF1804" s="306"/>
      <c r="AG1804" s="306"/>
      <c r="AH1804" s="306"/>
      <c r="AI1804" s="306"/>
      <c r="AJ1804" s="306"/>
      <c r="AK1804" s="306"/>
      <c r="AL1804" s="306"/>
      <c r="AM1804" s="418"/>
      <c r="AN1804" s="418"/>
      <c r="AO1804" s="306"/>
      <c r="AP1804" s="306"/>
      <c r="AQ1804" s="418"/>
      <c r="AR1804" s="306"/>
      <c r="AS1804" s="306"/>
      <c r="AT1804" s="418"/>
      <c r="AU1804" s="306"/>
      <c r="AV1804" s="306"/>
      <c r="AW1804" s="306"/>
      <c r="AX1804" s="306"/>
      <c r="AY1804" s="306"/>
      <c r="AZ1804" s="306"/>
      <c r="BA1804" s="306"/>
      <c r="BB1804" s="306"/>
    </row>
    <row r="1805" spans="1:54" ht="15.75" customHeight="1">
      <c r="A1805" s="317"/>
      <c r="B1805" s="430"/>
      <c r="C1805" s="317"/>
      <c r="E1805" s="306"/>
      <c r="F1805" s="431"/>
      <c r="G1805" s="431"/>
      <c r="H1805" s="298"/>
      <c r="I1805" s="432"/>
      <c r="J1805" s="433"/>
      <c r="K1805" s="306"/>
      <c r="L1805" s="306"/>
      <c r="M1805" s="306"/>
      <c r="N1805" s="298"/>
      <c r="O1805" s="298"/>
      <c r="P1805" s="298"/>
      <c r="Q1805" s="306"/>
      <c r="R1805" s="1023"/>
      <c r="S1805" s="1023"/>
      <c r="T1805" s="306"/>
      <c r="U1805" s="306"/>
      <c r="V1805" s="306"/>
      <c r="W1805" s="306"/>
      <c r="X1805" s="306"/>
      <c r="Y1805" s="306"/>
      <c r="Z1805" s="306"/>
      <c r="AA1805" s="306"/>
      <c r="AB1805" s="306"/>
      <c r="AC1805" s="306"/>
      <c r="AD1805" s="306"/>
      <c r="AE1805" s="306"/>
      <c r="AF1805" s="306"/>
      <c r="AG1805" s="306"/>
      <c r="AH1805" s="306"/>
      <c r="AI1805" s="306"/>
      <c r="AJ1805" s="306"/>
      <c r="AK1805" s="306"/>
      <c r="AL1805" s="306"/>
      <c r="AM1805" s="418"/>
      <c r="AN1805" s="418"/>
      <c r="AO1805" s="306"/>
      <c r="AP1805" s="306"/>
      <c r="AQ1805" s="418"/>
      <c r="AR1805" s="306"/>
      <c r="AS1805" s="306"/>
      <c r="AT1805" s="418"/>
      <c r="AU1805" s="306"/>
      <c r="AV1805" s="306"/>
      <c r="AW1805" s="306"/>
      <c r="AX1805" s="306"/>
      <c r="AY1805" s="306"/>
      <c r="AZ1805" s="306"/>
      <c r="BA1805" s="306"/>
      <c r="BB1805" s="306"/>
    </row>
    <row r="1806" spans="1:54" ht="15.75" customHeight="1">
      <c r="A1806" s="317"/>
      <c r="B1806" s="430"/>
      <c r="C1806" s="317"/>
      <c r="E1806" s="306"/>
      <c r="F1806" s="431"/>
      <c r="G1806" s="431"/>
      <c r="H1806" s="298"/>
      <c r="I1806" s="432"/>
      <c r="J1806" s="433"/>
      <c r="K1806" s="306"/>
      <c r="L1806" s="306"/>
      <c r="M1806" s="306"/>
      <c r="N1806" s="298"/>
      <c r="O1806" s="298"/>
      <c r="P1806" s="298"/>
      <c r="Q1806" s="306"/>
      <c r="R1806" s="1023"/>
      <c r="S1806" s="1023"/>
      <c r="T1806" s="306"/>
      <c r="U1806" s="306"/>
      <c r="V1806" s="306"/>
      <c r="W1806" s="306"/>
      <c r="X1806" s="306"/>
      <c r="Y1806" s="306"/>
      <c r="Z1806" s="306"/>
      <c r="AA1806" s="306"/>
      <c r="AB1806" s="306"/>
      <c r="AC1806" s="306"/>
      <c r="AD1806" s="306"/>
      <c r="AE1806" s="306"/>
      <c r="AF1806" s="306"/>
      <c r="AG1806" s="306"/>
      <c r="AH1806" s="306"/>
      <c r="AI1806" s="306"/>
      <c r="AJ1806" s="306"/>
      <c r="AK1806" s="306"/>
      <c r="AL1806" s="306"/>
      <c r="AM1806" s="418"/>
      <c r="AN1806" s="418"/>
      <c r="AO1806" s="306"/>
      <c r="AP1806" s="306"/>
      <c r="AQ1806" s="418"/>
      <c r="AR1806" s="306"/>
      <c r="AS1806" s="306"/>
      <c r="AT1806" s="418"/>
      <c r="AU1806" s="306"/>
      <c r="AV1806" s="306"/>
      <c r="AW1806" s="306"/>
      <c r="AX1806" s="306"/>
      <c r="AY1806" s="306"/>
      <c r="AZ1806" s="306"/>
      <c r="BA1806" s="306"/>
      <c r="BB1806" s="306"/>
    </row>
    <row r="1807" spans="1:54" ht="15.75" customHeight="1">
      <c r="A1807" s="317"/>
      <c r="B1807" s="430"/>
      <c r="C1807" s="317"/>
      <c r="E1807" s="306"/>
      <c r="F1807" s="431"/>
      <c r="G1807" s="431"/>
      <c r="H1807" s="298"/>
      <c r="I1807" s="432"/>
      <c r="J1807" s="433"/>
      <c r="K1807" s="306"/>
      <c r="L1807" s="306"/>
      <c r="M1807" s="306"/>
      <c r="N1807" s="298"/>
      <c r="O1807" s="298"/>
      <c r="P1807" s="298"/>
      <c r="Q1807" s="306"/>
      <c r="R1807" s="1023"/>
      <c r="S1807" s="1023"/>
      <c r="T1807" s="306"/>
      <c r="U1807" s="306"/>
      <c r="V1807" s="306"/>
      <c r="W1807" s="306"/>
      <c r="X1807" s="306"/>
      <c r="Y1807" s="306"/>
      <c r="Z1807" s="306"/>
      <c r="AA1807" s="306"/>
      <c r="AB1807" s="306"/>
      <c r="AC1807" s="306"/>
      <c r="AD1807" s="306"/>
      <c r="AE1807" s="306"/>
      <c r="AF1807" s="306"/>
      <c r="AG1807" s="306"/>
      <c r="AH1807" s="306"/>
      <c r="AI1807" s="306"/>
      <c r="AJ1807" s="306"/>
      <c r="AK1807" s="306"/>
      <c r="AL1807" s="306"/>
      <c r="AM1807" s="418"/>
      <c r="AN1807" s="418"/>
      <c r="AO1807" s="306"/>
      <c r="AP1807" s="306"/>
      <c r="AQ1807" s="418"/>
      <c r="AR1807" s="306"/>
      <c r="AS1807" s="306"/>
      <c r="AT1807" s="418"/>
      <c r="AU1807" s="306"/>
      <c r="AV1807" s="306"/>
      <c r="AW1807" s="306"/>
      <c r="AX1807" s="306"/>
      <c r="AY1807" s="306"/>
      <c r="AZ1807" s="306"/>
      <c r="BA1807" s="306"/>
      <c r="BB1807" s="306"/>
    </row>
    <row r="1808" spans="1:54" ht="15.75" customHeight="1">
      <c r="A1808" s="317"/>
      <c r="B1808" s="430"/>
      <c r="C1808" s="317"/>
      <c r="E1808" s="306"/>
      <c r="F1808" s="431"/>
      <c r="G1808" s="431"/>
      <c r="H1808" s="298"/>
      <c r="I1808" s="432"/>
      <c r="J1808" s="433"/>
      <c r="K1808" s="306"/>
      <c r="L1808" s="306"/>
      <c r="M1808" s="306"/>
      <c r="N1808" s="298"/>
      <c r="O1808" s="298"/>
      <c r="P1808" s="298"/>
      <c r="Q1808" s="306"/>
      <c r="R1808" s="1023"/>
      <c r="S1808" s="1023"/>
      <c r="T1808" s="306"/>
      <c r="U1808" s="306"/>
      <c r="V1808" s="306"/>
      <c r="W1808" s="306"/>
      <c r="X1808" s="306"/>
      <c r="Y1808" s="306"/>
      <c r="Z1808" s="306"/>
      <c r="AA1808" s="306"/>
      <c r="AB1808" s="306"/>
      <c r="AC1808" s="306"/>
      <c r="AD1808" s="306"/>
      <c r="AE1808" s="306"/>
      <c r="AF1808" s="306"/>
      <c r="AG1808" s="306"/>
      <c r="AH1808" s="306"/>
      <c r="AI1808" s="306"/>
      <c r="AJ1808" s="306"/>
      <c r="AK1808" s="306"/>
      <c r="AL1808" s="306"/>
      <c r="AM1808" s="418"/>
      <c r="AN1808" s="418"/>
      <c r="AO1808" s="306"/>
      <c r="AP1808" s="306"/>
      <c r="AQ1808" s="418"/>
      <c r="AR1808" s="306"/>
      <c r="AS1808" s="306"/>
      <c r="AT1808" s="418"/>
      <c r="AU1808" s="306"/>
      <c r="AV1808" s="306"/>
      <c r="AW1808" s="306"/>
      <c r="AX1808" s="306"/>
      <c r="AY1808" s="306"/>
      <c r="AZ1808" s="306"/>
      <c r="BA1808" s="306"/>
      <c r="BB1808" s="306"/>
    </row>
    <row r="1809" spans="1:54" ht="15.75" customHeight="1">
      <c r="A1809" s="317"/>
      <c r="B1809" s="430"/>
      <c r="C1809" s="317"/>
      <c r="E1809" s="306"/>
      <c r="F1809" s="431"/>
      <c r="G1809" s="431"/>
      <c r="H1809" s="298"/>
      <c r="I1809" s="432"/>
      <c r="J1809" s="433"/>
      <c r="K1809" s="306"/>
      <c r="L1809" s="306"/>
      <c r="M1809" s="306"/>
      <c r="N1809" s="298"/>
      <c r="O1809" s="298"/>
      <c r="P1809" s="298"/>
      <c r="Q1809" s="306"/>
      <c r="R1809" s="1023"/>
      <c r="S1809" s="1023"/>
      <c r="T1809" s="306"/>
      <c r="U1809" s="306"/>
      <c r="V1809" s="306"/>
      <c r="W1809" s="306"/>
      <c r="X1809" s="306"/>
      <c r="Y1809" s="306"/>
      <c r="Z1809" s="306"/>
      <c r="AA1809" s="306"/>
      <c r="AB1809" s="306"/>
      <c r="AC1809" s="306"/>
      <c r="AD1809" s="306"/>
      <c r="AE1809" s="306"/>
      <c r="AF1809" s="306"/>
      <c r="AG1809" s="306"/>
      <c r="AH1809" s="306"/>
      <c r="AI1809" s="306"/>
      <c r="AJ1809" s="306"/>
      <c r="AK1809" s="306"/>
      <c r="AL1809" s="306"/>
      <c r="AM1809" s="418"/>
      <c r="AN1809" s="418"/>
      <c r="AO1809" s="306"/>
      <c r="AP1809" s="306"/>
      <c r="AQ1809" s="418"/>
      <c r="AR1809" s="306"/>
      <c r="AS1809" s="306"/>
      <c r="AT1809" s="418"/>
      <c r="AU1809" s="306"/>
      <c r="AV1809" s="306"/>
      <c r="AW1809" s="306"/>
      <c r="AX1809" s="306"/>
      <c r="AY1809" s="306"/>
      <c r="AZ1809" s="306"/>
      <c r="BA1809" s="306"/>
      <c r="BB1809" s="306"/>
    </row>
    <row r="1810" spans="1:54" ht="15.75" customHeight="1">
      <c r="A1810" s="317"/>
      <c r="B1810" s="430"/>
      <c r="C1810" s="317"/>
      <c r="E1810" s="306"/>
      <c r="F1810" s="431"/>
      <c r="G1810" s="431"/>
      <c r="H1810" s="298"/>
      <c r="I1810" s="432"/>
      <c r="J1810" s="433"/>
      <c r="K1810" s="306"/>
      <c r="L1810" s="306"/>
      <c r="M1810" s="306"/>
      <c r="N1810" s="298"/>
      <c r="O1810" s="298"/>
      <c r="P1810" s="298"/>
      <c r="Q1810" s="306"/>
      <c r="R1810" s="1023"/>
      <c r="S1810" s="1023"/>
      <c r="T1810" s="306"/>
      <c r="U1810" s="306"/>
      <c r="V1810" s="306"/>
      <c r="W1810" s="306"/>
      <c r="X1810" s="306"/>
      <c r="Y1810" s="306"/>
      <c r="Z1810" s="306"/>
      <c r="AA1810" s="306"/>
      <c r="AB1810" s="306"/>
      <c r="AC1810" s="306"/>
      <c r="AD1810" s="306"/>
      <c r="AE1810" s="306"/>
      <c r="AF1810" s="306"/>
      <c r="AG1810" s="306"/>
      <c r="AH1810" s="306"/>
      <c r="AI1810" s="306"/>
      <c r="AJ1810" s="306"/>
      <c r="AK1810" s="306"/>
      <c r="AL1810" s="306"/>
      <c r="AM1810" s="418"/>
      <c r="AN1810" s="418"/>
      <c r="AO1810" s="306"/>
      <c r="AP1810" s="306"/>
      <c r="AQ1810" s="418"/>
      <c r="AR1810" s="306"/>
      <c r="AS1810" s="306"/>
      <c r="AT1810" s="418"/>
      <c r="AU1810" s="306"/>
      <c r="AV1810" s="306"/>
      <c r="AW1810" s="306"/>
      <c r="AX1810" s="306"/>
      <c r="AY1810" s="306"/>
      <c r="AZ1810" s="306"/>
      <c r="BA1810" s="306"/>
      <c r="BB1810" s="306"/>
    </row>
    <row r="1811" spans="1:54" ht="15.75" customHeight="1">
      <c r="A1811" s="317"/>
      <c r="B1811" s="430"/>
      <c r="C1811" s="317"/>
      <c r="E1811" s="306"/>
      <c r="F1811" s="431"/>
      <c r="G1811" s="431"/>
      <c r="H1811" s="298"/>
      <c r="I1811" s="432"/>
      <c r="J1811" s="433"/>
      <c r="K1811" s="306"/>
      <c r="L1811" s="306"/>
      <c r="M1811" s="306"/>
      <c r="N1811" s="298"/>
      <c r="O1811" s="298"/>
      <c r="P1811" s="298"/>
      <c r="Q1811" s="306"/>
      <c r="R1811" s="1023"/>
      <c r="S1811" s="1023"/>
      <c r="T1811" s="306"/>
      <c r="U1811" s="306"/>
      <c r="V1811" s="306"/>
      <c r="W1811" s="306"/>
      <c r="X1811" s="306"/>
      <c r="Y1811" s="306"/>
      <c r="Z1811" s="306"/>
      <c r="AA1811" s="306"/>
      <c r="AB1811" s="306"/>
      <c r="AC1811" s="306"/>
      <c r="AD1811" s="306"/>
      <c r="AE1811" s="306"/>
      <c r="AF1811" s="306"/>
      <c r="AG1811" s="306"/>
      <c r="AH1811" s="306"/>
      <c r="AI1811" s="306"/>
      <c r="AJ1811" s="306"/>
      <c r="AK1811" s="306"/>
      <c r="AL1811" s="306"/>
      <c r="AM1811" s="418"/>
      <c r="AN1811" s="418"/>
      <c r="AO1811" s="306"/>
      <c r="AP1811" s="306"/>
      <c r="AQ1811" s="418"/>
      <c r="AR1811" s="306"/>
      <c r="AS1811" s="306"/>
      <c r="AT1811" s="418"/>
      <c r="AU1811" s="306"/>
      <c r="AV1811" s="306"/>
      <c r="AW1811" s="306"/>
      <c r="AX1811" s="306"/>
      <c r="AY1811" s="306"/>
      <c r="AZ1811" s="306"/>
      <c r="BA1811" s="306"/>
      <c r="BB1811" s="306"/>
    </row>
    <row r="1812" spans="1:54" ht="15.75" customHeight="1">
      <c r="A1812" s="317"/>
      <c r="B1812" s="430"/>
      <c r="C1812" s="317"/>
      <c r="E1812" s="306"/>
      <c r="F1812" s="431"/>
      <c r="G1812" s="431"/>
      <c r="H1812" s="298"/>
      <c r="I1812" s="432"/>
      <c r="J1812" s="433"/>
      <c r="K1812" s="306"/>
      <c r="L1812" s="306"/>
      <c r="M1812" s="306"/>
      <c r="N1812" s="298"/>
      <c r="O1812" s="298"/>
      <c r="P1812" s="298"/>
      <c r="Q1812" s="306"/>
      <c r="R1812" s="1023"/>
      <c r="S1812" s="1023"/>
      <c r="T1812" s="306"/>
      <c r="U1812" s="306"/>
      <c r="V1812" s="306"/>
      <c r="W1812" s="306"/>
      <c r="X1812" s="306"/>
      <c r="Y1812" s="306"/>
      <c r="Z1812" s="306"/>
      <c r="AA1812" s="306"/>
      <c r="AB1812" s="306"/>
      <c r="AC1812" s="306"/>
      <c r="AD1812" s="306"/>
      <c r="AE1812" s="306"/>
      <c r="AF1812" s="306"/>
      <c r="AG1812" s="306"/>
      <c r="AH1812" s="306"/>
      <c r="AI1812" s="306"/>
      <c r="AJ1812" s="306"/>
      <c r="AK1812" s="306"/>
      <c r="AL1812" s="306"/>
      <c r="AM1812" s="418"/>
      <c r="AN1812" s="418"/>
      <c r="AO1812" s="306"/>
      <c r="AP1812" s="306"/>
      <c r="AQ1812" s="418"/>
      <c r="AR1812" s="306"/>
      <c r="AS1812" s="306"/>
      <c r="AT1812" s="418"/>
      <c r="AU1812" s="306"/>
      <c r="AV1812" s="306"/>
      <c r="AW1812" s="306"/>
      <c r="AX1812" s="306"/>
      <c r="AY1812" s="306"/>
      <c r="AZ1812" s="306"/>
      <c r="BA1812" s="306"/>
      <c r="BB1812" s="306"/>
    </row>
    <row r="1813" spans="1:54" ht="15.75" customHeight="1">
      <c r="A1813" s="317"/>
      <c r="B1813" s="430"/>
      <c r="C1813" s="317"/>
      <c r="E1813" s="306"/>
      <c r="F1813" s="431"/>
      <c r="G1813" s="431"/>
      <c r="H1813" s="298"/>
      <c r="I1813" s="432"/>
      <c r="J1813" s="433"/>
      <c r="K1813" s="306"/>
      <c r="L1813" s="306"/>
      <c r="M1813" s="306"/>
      <c r="N1813" s="298"/>
      <c r="O1813" s="298"/>
      <c r="P1813" s="298"/>
      <c r="Q1813" s="306"/>
      <c r="R1813" s="1023"/>
      <c r="S1813" s="1023"/>
      <c r="T1813" s="306"/>
      <c r="U1813" s="306"/>
      <c r="V1813" s="306"/>
      <c r="W1813" s="306"/>
      <c r="X1813" s="306"/>
      <c r="Y1813" s="306"/>
      <c r="Z1813" s="306"/>
      <c r="AA1813" s="306"/>
      <c r="AB1813" s="306"/>
      <c r="AC1813" s="306"/>
      <c r="AD1813" s="306"/>
      <c r="AE1813" s="306"/>
      <c r="AF1813" s="306"/>
      <c r="AG1813" s="306"/>
      <c r="AH1813" s="306"/>
      <c r="AI1813" s="306"/>
      <c r="AJ1813" s="306"/>
      <c r="AK1813" s="306"/>
      <c r="AL1813" s="306"/>
      <c r="AM1813" s="418"/>
      <c r="AN1813" s="418"/>
      <c r="AO1813" s="306"/>
      <c r="AP1813" s="306"/>
      <c r="AQ1813" s="418"/>
      <c r="AR1813" s="306"/>
      <c r="AS1813" s="306"/>
      <c r="AT1813" s="418"/>
      <c r="AU1813" s="306"/>
      <c r="AV1813" s="306"/>
      <c r="AW1813" s="306"/>
      <c r="AX1813" s="306"/>
      <c r="AY1813" s="306"/>
      <c r="AZ1813" s="306"/>
      <c r="BA1813" s="306"/>
      <c r="BB1813" s="306"/>
    </row>
    <row r="1814" spans="1:54" ht="15.75" customHeight="1">
      <c r="A1814" s="317"/>
      <c r="B1814" s="430"/>
      <c r="C1814" s="317"/>
      <c r="E1814" s="306"/>
      <c r="F1814" s="431"/>
      <c r="G1814" s="431"/>
      <c r="H1814" s="298"/>
      <c r="I1814" s="432"/>
      <c r="J1814" s="433"/>
      <c r="K1814" s="306"/>
      <c r="L1814" s="306"/>
      <c r="M1814" s="306"/>
      <c r="N1814" s="298"/>
      <c r="O1814" s="298"/>
      <c r="P1814" s="298"/>
      <c r="Q1814" s="306"/>
      <c r="R1814" s="1023"/>
      <c r="S1814" s="1023"/>
      <c r="T1814" s="306"/>
      <c r="U1814" s="306"/>
      <c r="V1814" s="306"/>
      <c r="W1814" s="306"/>
      <c r="X1814" s="306"/>
      <c r="Y1814" s="306"/>
      <c r="Z1814" s="306"/>
      <c r="AA1814" s="306"/>
      <c r="AB1814" s="306"/>
      <c r="AC1814" s="306"/>
      <c r="AD1814" s="306"/>
      <c r="AE1814" s="306"/>
      <c r="AF1814" s="306"/>
      <c r="AG1814" s="306"/>
      <c r="AH1814" s="306"/>
      <c r="AI1814" s="306"/>
      <c r="AJ1814" s="306"/>
      <c r="AK1814" s="306"/>
      <c r="AL1814" s="306"/>
      <c r="AM1814" s="418"/>
      <c r="AN1814" s="418"/>
      <c r="AO1814" s="306"/>
      <c r="AP1814" s="306"/>
      <c r="AQ1814" s="418"/>
      <c r="AR1814" s="306"/>
      <c r="AS1814" s="306"/>
      <c r="AT1814" s="418"/>
      <c r="AU1814" s="306"/>
      <c r="AV1814" s="306"/>
      <c r="AW1814" s="306"/>
      <c r="AX1814" s="306"/>
      <c r="AY1814" s="306"/>
      <c r="AZ1814" s="306"/>
      <c r="BA1814" s="306"/>
      <c r="BB1814" s="306"/>
    </row>
    <row r="1815" spans="1:54" ht="15.75" customHeight="1">
      <c r="A1815" s="317"/>
      <c r="B1815" s="430"/>
      <c r="C1815" s="317"/>
      <c r="E1815" s="306"/>
      <c r="F1815" s="431"/>
      <c r="G1815" s="431"/>
      <c r="H1815" s="298"/>
      <c r="I1815" s="432"/>
      <c r="J1815" s="433"/>
      <c r="K1815" s="306"/>
      <c r="L1815" s="306"/>
      <c r="M1815" s="306"/>
      <c r="N1815" s="298"/>
      <c r="O1815" s="298"/>
      <c r="P1815" s="298"/>
      <c r="Q1815" s="306"/>
      <c r="R1815" s="1023"/>
      <c r="S1815" s="1023"/>
      <c r="T1815" s="306"/>
      <c r="U1815" s="306"/>
      <c r="V1815" s="306"/>
      <c r="W1815" s="306"/>
      <c r="X1815" s="306"/>
      <c r="Y1815" s="306"/>
      <c r="Z1815" s="306"/>
      <c r="AA1815" s="306"/>
      <c r="AB1815" s="306"/>
      <c r="AC1815" s="306"/>
      <c r="AD1815" s="306"/>
      <c r="AE1815" s="306"/>
      <c r="AF1815" s="306"/>
      <c r="AG1815" s="306"/>
      <c r="AH1815" s="306"/>
      <c r="AI1815" s="306"/>
      <c r="AJ1815" s="306"/>
      <c r="AK1815" s="306"/>
      <c r="AL1815" s="306"/>
      <c r="AM1815" s="418"/>
      <c r="AN1815" s="418"/>
      <c r="AO1815" s="306"/>
      <c r="AP1815" s="306"/>
      <c r="AQ1815" s="418"/>
      <c r="AR1815" s="306"/>
      <c r="AS1815" s="306"/>
      <c r="AT1815" s="418"/>
      <c r="AU1815" s="306"/>
      <c r="AV1815" s="306"/>
      <c r="AW1815" s="306"/>
      <c r="AX1815" s="306"/>
      <c r="AY1815" s="306"/>
      <c r="AZ1815" s="306"/>
      <c r="BA1815" s="306"/>
      <c r="BB1815" s="306"/>
    </row>
    <row r="1816" spans="1:54" ht="15.75" customHeight="1">
      <c r="A1816" s="317"/>
      <c r="B1816" s="430"/>
      <c r="C1816" s="317"/>
      <c r="E1816" s="306"/>
      <c r="F1816" s="431"/>
      <c r="G1816" s="431"/>
      <c r="H1816" s="298"/>
      <c r="I1816" s="432"/>
      <c r="J1816" s="433"/>
      <c r="K1816" s="306"/>
      <c r="L1816" s="306"/>
      <c r="M1816" s="306"/>
      <c r="N1816" s="298"/>
      <c r="O1816" s="298"/>
      <c r="P1816" s="298"/>
      <c r="Q1816" s="306"/>
      <c r="R1816" s="1023"/>
      <c r="S1816" s="1023"/>
      <c r="T1816" s="306"/>
      <c r="U1816" s="306"/>
      <c r="V1816" s="306"/>
      <c r="W1816" s="306"/>
      <c r="X1816" s="306"/>
      <c r="Y1816" s="306"/>
      <c r="Z1816" s="306"/>
      <c r="AA1816" s="306"/>
      <c r="AB1816" s="306"/>
      <c r="AC1816" s="306"/>
      <c r="AD1816" s="306"/>
      <c r="AE1816" s="306"/>
      <c r="AF1816" s="306"/>
      <c r="AG1816" s="306"/>
      <c r="AH1816" s="306"/>
      <c r="AI1816" s="306"/>
      <c r="AJ1816" s="306"/>
      <c r="AK1816" s="306"/>
      <c r="AL1816" s="306"/>
      <c r="AM1816" s="418"/>
      <c r="AN1816" s="418"/>
      <c r="AO1816" s="306"/>
      <c r="AP1816" s="306"/>
      <c r="AQ1816" s="418"/>
      <c r="AR1816" s="306"/>
      <c r="AS1816" s="306"/>
      <c r="AT1816" s="418"/>
      <c r="AU1816" s="306"/>
      <c r="AV1816" s="306"/>
      <c r="AW1816" s="306"/>
      <c r="AX1816" s="306"/>
      <c r="AY1816" s="306"/>
      <c r="AZ1816" s="306"/>
      <c r="BA1816" s="306"/>
      <c r="BB1816" s="306"/>
    </row>
    <row r="1817" spans="1:54" ht="15.75" customHeight="1">
      <c r="A1817" s="317"/>
      <c r="B1817" s="430"/>
      <c r="C1817" s="317"/>
      <c r="E1817" s="306"/>
      <c r="F1817" s="431"/>
      <c r="G1817" s="431"/>
      <c r="H1817" s="298"/>
      <c r="I1817" s="432"/>
      <c r="J1817" s="433"/>
      <c r="K1817" s="306"/>
      <c r="L1817" s="306"/>
      <c r="M1817" s="306"/>
      <c r="N1817" s="298"/>
      <c r="O1817" s="298"/>
      <c r="P1817" s="298"/>
      <c r="Q1817" s="306"/>
      <c r="R1817" s="1023"/>
      <c r="S1817" s="1023"/>
      <c r="T1817" s="306"/>
      <c r="U1817" s="306"/>
      <c r="V1817" s="306"/>
      <c r="W1817" s="306"/>
      <c r="X1817" s="306"/>
      <c r="Y1817" s="306"/>
      <c r="Z1817" s="306"/>
      <c r="AA1817" s="306"/>
      <c r="AB1817" s="306"/>
      <c r="AC1817" s="306"/>
      <c r="AD1817" s="306"/>
      <c r="AE1817" s="306"/>
      <c r="AF1817" s="306"/>
      <c r="AG1817" s="306"/>
      <c r="AH1817" s="306"/>
      <c r="AI1817" s="306"/>
      <c r="AJ1817" s="306"/>
      <c r="AK1817" s="306"/>
      <c r="AL1817" s="306"/>
      <c r="AM1817" s="418"/>
      <c r="AN1817" s="418"/>
      <c r="AO1817" s="306"/>
      <c r="AP1817" s="306"/>
      <c r="AQ1817" s="418"/>
      <c r="AR1817" s="306"/>
      <c r="AS1817" s="306"/>
      <c r="AT1817" s="418"/>
      <c r="AU1817" s="306"/>
      <c r="AV1817" s="306"/>
      <c r="AW1817" s="306"/>
      <c r="AX1817" s="306"/>
      <c r="AY1817" s="306"/>
      <c r="AZ1817" s="306"/>
      <c r="BA1817" s="306"/>
      <c r="BB1817" s="306"/>
    </row>
    <row r="1818" spans="1:54" ht="15.75" customHeight="1">
      <c r="A1818" s="317"/>
      <c r="B1818" s="430"/>
      <c r="C1818" s="317"/>
      <c r="E1818" s="306"/>
      <c r="F1818" s="431"/>
      <c r="G1818" s="431"/>
      <c r="H1818" s="298"/>
      <c r="I1818" s="432"/>
      <c r="J1818" s="433"/>
      <c r="K1818" s="306"/>
      <c r="L1818" s="306"/>
      <c r="M1818" s="306"/>
      <c r="N1818" s="298"/>
      <c r="O1818" s="298"/>
      <c r="P1818" s="298"/>
      <c r="Q1818" s="306"/>
      <c r="R1818" s="1023"/>
      <c r="S1818" s="1023"/>
      <c r="T1818" s="306"/>
      <c r="U1818" s="306"/>
      <c r="V1818" s="306"/>
      <c r="W1818" s="306"/>
      <c r="X1818" s="306"/>
      <c r="Y1818" s="306"/>
      <c r="Z1818" s="306"/>
      <c r="AA1818" s="306"/>
      <c r="AB1818" s="306"/>
      <c r="AC1818" s="306"/>
      <c r="AD1818" s="306"/>
      <c r="AE1818" s="306"/>
      <c r="AF1818" s="306"/>
      <c r="AG1818" s="306"/>
      <c r="AH1818" s="306"/>
      <c r="AI1818" s="306"/>
      <c r="AJ1818" s="306"/>
      <c r="AK1818" s="306"/>
      <c r="AL1818" s="306"/>
      <c r="AM1818" s="418"/>
      <c r="AN1818" s="418"/>
      <c r="AO1818" s="306"/>
      <c r="AP1818" s="306"/>
      <c r="AQ1818" s="418"/>
      <c r="AR1818" s="306"/>
      <c r="AS1818" s="306"/>
      <c r="AT1818" s="418"/>
      <c r="AU1818" s="306"/>
      <c r="AV1818" s="306"/>
      <c r="AW1818" s="306"/>
      <c r="AX1818" s="306"/>
      <c r="AY1818" s="306"/>
      <c r="AZ1818" s="306"/>
      <c r="BA1818" s="306"/>
      <c r="BB1818" s="306"/>
    </row>
    <row r="1819" spans="1:54" ht="15.75" customHeight="1">
      <c r="A1819" s="317"/>
      <c r="B1819" s="430"/>
      <c r="C1819" s="317"/>
      <c r="E1819" s="306"/>
      <c r="F1819" s="431"/>
      <c r="G1819" s="431"/>
      <c r="H1819" s="298"/>
      <c r="I1819" s="432"/>
      <c r="J1819" s="433"/>
      <c r="K1819" s="306"/>
      <c r="L1819" s="306"/>
      <c r="M1819" s="306"/>
      <c r="N1819" s="298"/>
      <c r="O1819" s="298"/>
      <c r="P1819" s="298"/>
      <c r="Q1819" s="306"/>
      <c r="R1819" s="1023"/>
      <c r="S1819" s="1023"/>
      <c r="T1819" s="306"/>
      <c r="U1819" s="306"/>
      <c r="V1819" s="306"/>
      <c r="W1819" s="306"/>
      <c r="X1819" s="306"/>
      <c r="Y1819" s="306"/>
      <c r="Z1819" s="306"/>
      <c r="AA1819" s="306"/>
      <c r="AB1819" s="306"/>
      <c r="AC1819" s="306"/>
      <c r="AD1819" s="306"/>
      <c r="AE1819" s="306"/>
      <c r="AF1819" s="306"/>
      <c r="AG1819" s="306"/>
      <c r="AH1819" s="306"/>
      <c r="AI1819" s="306"/>
      <c r="AJ1819" s="306"/>
      <c r="AK1819" s="306"/>
      <c r="AL1819" s="306"/>
      <c r="AM1819" s="418"/>
      <c r="AN1819" s="418"/>
      <c r="AO1819" s="306"/>
      <c r="AP1819" s="306"/>
      <c r="AQ1819" s="418"/>
      <c r="AR1819" s="306"/>
      <c r="AS1819" s="306"/>
      <c r="AT1819" s="418"/>
      <c r="AU1819" s="306"/>
      <c r="AV1819" s="306"/>
      <c r="AW1819" s="306"/>
      <c r="AX1819" s="306"/>
      <c r="AY1819" s="306"/>
      <c r="AZ1819" s="306"/>
      <c r="BA1819" s="306"/>
      <c r="BB1819" s="306"/>
    </row>
    <row r="1820" spans="1:54" ht="15.75" customHeight="1">
      <c r="A1820" s="317"/>
      <c r="B1820" s="430"/>
      <c r="C1820" s="317"/>
      <c r="E1820" s="306"/>
      <c r="F1820" s="431"/>
      <c r="G1820" s="431"/>
      <c r="H1820" s="298"/>
      <c r="I1820" s="432"/>
      <c r="J1820" s="433"/>
      <c r="K1820" s="306"/>
      <c r="L1820" s="306"/>
      <c r="M1820" s="306"/>
      <c r="N1820" s="298"/>
      <c r="O1820" s="298"/>
      <c r="P1820" s="298"/>
      <c r="Q1820" s="306"/>
      <c r="R1820" s="1023"/>
      <c r="S1820" s="1023"/>
      <c r="T1820" s="306"/>
      <c r="U1820" s="306"/>
      <c r="V1820" s="306"/>
      <c r="W1820" s="306"/>
      <c r="X1820" s="306"/>
      <c r="Y1820" s="306"/>
      <c r="Z1820" s="306"/>
      <c r="AA1820" s="306"/>
      <c r="AB1820" s="306"/>
      <c r="AC1820" s="306"/>
      <c r="AD1820" s="306"/>
      <c r="AE1820" s="306"/>
      <c r="AF1820" s="306"/>
      <c r="AG1820" s="306"/>
      <c r="AH1820" s="306"/>
      <c r="AI1820" s="306"/>
      <c r="AJ1820" s="306"/>
      <c r="AK1820" s="306"/>
      <c r="AL1820" s="306"/>
      <c r="AM1820" s="418"/>
      <c r="AN1820" s="418"/>
      <c r="AO1820" s="306"/>
      <c r="AP1820" s="306"/>
      <c r="AQ1820" s="418"/>
      <c r="AR1820" s="306"/>
      <c r="AS1820" s="306"/>
      <c r="AT1820" s="418"/>
      <c r="AU1820" s="306"/>
      <c r="AV1820" s="306"/>
      <c r="AW1820" s="306"/>
      <c r="AX1820" s="306"/>
      <c r="AY1820" s="306"/>
      <c r="AZ1820" s="306"/>
      <c r="BA1820" s="306"/>
      <c r="BB1820" s="306"/>
    </row>
    <row r="1821" spans="1:54" ht="15.75" customHeight="1">
      <c r="A1821" s="317"/>
      <c r="B1821" s="430"/>
      <c r="C1821" s="317"/>
      <c r="E1821" s="306"/>
      <c r="F1821" s="431"/>
      <c r="G1821" s="431"/>
      <c r="H1821" s="298"/>
      <c r="I1821" s="432"/>
      <c r="J1821" s="433"/>
      <c r="K1821" s="306"/>
      <c r="L1821" s="306"/>
      <c r="M1821" s="306"/>
      <c r="N1821" s="298"/>
      <c r="O1821" s="298"/>
      <c r="P1821" s="298"/>
      <c r="Q1821" s="306"/>
      <c r="R1821" s="1023"/>
      <c r="S1821" s="1023"/>
      <c r="T1821" s="306"/>
      <c r="U1821" s="306"/>
      <c r="V1821" s="306"/>
      <c r="W1821" s="306"/>
      <c r="X1821" s="306"/>
      <c r="Y1821" s="306"/>
      <c r="Z1821" s="306"/>
      <c r="AA1821" s="306"/>
      <c r="AB1821" s="306"/>
      <c r="AC1821" s="306"/>
      <c r="AD1821" s="306"/>
      <c r="AE1821" s="306"/>
      <c r="AF1821" s="306"/>
      <c r="AG1821" s="306"/>
      <c r="AH1821" s="306"/>
      <c r="AI1821" s="306"/>
      <c r="AJ1821" s="306"/>
      <c r="AK1821" s="306"/>
      <c r="AL1821" s="306"/>
      <c r="AM1821" s="418"/>
      <c r="AN1821" s="418"/>
      <c r="AO1821" s="306"/>
      <c r="AP1821" s="306"/>
      <c r="AQ1821" s="418"/>
      <c r="AR1821" s="306"/>
      <c r="AS1821" s="306"/>
      <c r="AT1821" s="418"/>
      <c r="AU1821" s="306"/>
      <c r="AV1821" s="306"/>
      <c r="AW1821" s="306"/>
      <c r="AX1821" s="306"/>
      <c r="AY1821" s="306"/>
      <c r="AZ1821" s="306"/>
      <c r="BA1821" s="306"/>
      <c r="BB1821" s="306"/>
    </row>
    <row r="1822" spans="1:54" ht="15.75" customHeight="1">
      <c r="A1822" s="317"/>
      <c r="B1822" s="430"/>
      <c r="C1822" s="317"/>
      <c r="E1822" s="306"/>
      <c r="F1822" s="431"/>
      <c r="G1822" s="431"/>
      <c r="H1822" s="298"/>
      <c r="I1822" s="432"/>
      <c r="J1822" s="433"/>
      <c r="K1822" s="306"/>
      <c r="L1822" s="306"/>
      <c r="M1822" s="306"/>
      <c r="N1822" s="298"/>
      <c r="O1822" s="298"/>
      <c r="P1822" s="298"/>
      <c r="Q1822" s="306"/>
      <c r="R1822" s="1023"/>
      <c r="S1822" s="1023"/>
      <c r="T1822" s="306"/>
      <c r="U1822" s="306"/>
      <c r="V1822" s="306"/>
      <c r="W1822" s="306"/>
      <c r="X1822" s="306"/>
      <c r="Y1822" s="306"/>
      <c r="Z1822" s="306"/>
      <c r="AA1822" s="306"/>
      <c r="AB1822" s="306"/>
      <c r="AC1822" s="306"/>
      <c r="AD1822" s="306"/>
      <c r="AE1822" s="306"/>
      <c r="AF1822" s="306"/>
      <c r="AG1822" s="306"/>
      <c r="AH1822" s="306"/>
      <c r="AI1822" s="306"/>
      <c r="AJ1822" s="306"/>
      <c r="AK1822" s="306"/>
      <c r="AL1822" s="306"/>
      <c r="AM1822" s="418"/>
      <c r="AN1822" s="418"/>
      <c r="AO1822" s="306"/>
      <c r="AP1822" s="306"/>
      <c r="AQ1822" s="418"/>
      <c r="AR1822" s="306"/>
      <c r="AS1822" s="306"/>
      <c r="AT1822" s="418"/>
      <c r="AU1822" s="306"/>
      <c r="AV1822" s="306"/>
      <c r="AW1822" s="306"/>
      <c r="AX1822" s="306"/>
      <c r="AY1822" s="306"/>
      <c r="AZ1822" s="306"/>
      <c r="BA1822" s="306"/>
      <c r="BB1822" s="306"/>
    </row>
    <row r="1823" spans="1:54" ht="15.75" customHeight="1">
      <c r="A1823" s="317"/>
      <c r="B1823" s="430"/>
      <c r="C1823" s="317"/>
      <c r="E1823" s="306"/>
      <c r="F1823" s="431"/>
      <c r="G1823" s="431"/>
      <c r="H1823" s="298"/>
      <c r="I1823" s="432"/>
      <c r="J1823" s="433"/>
      <c r="K1823" s="306"/>
      <c r="L1823" s="306"/>
      <c r="M1823" s="306"/>
      <c r="N1823" s="298"/>
      <c r="O1823" s="298"/>
      <c r="P1823" s="298"/>
      <c r="Q1823" s="306"/>
      <c r="R1823" s="1023"/>
      <c r="S1823" s="1023"/>
      <c r="T1823" s="306"/>
      <c r="U1823" s="306"/>
      <c r="V1823" s="306"/>
      <c r="W1823" s="306"/>
      <c r="X1823" s="306"/>
      <c r="Y1823" s="306"/>
      <c r="Z1823" s="306"/>
      <c r="AA1823" s="306"/>
      <c r="AB1823" s="306"/>
      <c r="AC1823" s="306"/>
      <c r="AD1823" s="306"/>
      <c r="AE1823" s="306"/>
      <c r="AF1823" s="306"/>
      <c r="AG1823" s="306"/>
      <c r="AH1823" s="306"/>
      <c r="AI1823" s="306"/>
      <c r="AJ1823" s="306"/>
      <c r="AK1823" s="306"/>
      <c r="AL1823" s="306"/>
      <c r="AM1823" s="418"/>
      <c r="AN1823" s="418"/>
      <c r="AO1823" s="306"/>
      <c r="AP1823" s="306"/>
      <c r="AQ1823" s="418"/>
      <c r="AR1823" s="306"/>
      <c r="AS1823" s="306"/>
      <c r="AT1823" s="418"/>
      <c r="AU1823" s="306"/>
      <c r="AV1823" s="306"/>
      <c r="AW1823" s="306"/>
      <c r="AX1823" s="306"/>
      <c r="AY1823" s="306"/>
      <c r="AZ1823" s="306"/>
      <c r="BA1823" s="306"/>
      <c r="BB1823" s="306"/>
    </row>
    <row r="1824" spans="1:54" ht="15.75" customHeight="1">
      <c r="A1824" s="317"/>
      <c r="B1824" s="430"/>
      <c r="C1824" s="317"/>
      <c r="E1824" s="306"/>
      <c r="F1824" s="431"/>
      <c r="G1824" s="431"/>
      <c r="H1824" s="298"/>
      <c r="I1824" s="432"/>
      <c r="J1824" s="433"/>
      <c r="K1824" s="306"/>
      <c r="L1824" s="306"/>
      <c r="M1824" s="306"/>
      <c r="N1824" s="298"/>
      <c r="O1824" s="298"/>
      <c r="P1824" s="298"/>
      <c r="Q1824" s="306"/>
      <c r="R1824" s="1023"/>
      <c r="S1824" s="1023"/>
      <c r="T1824" s="306"/>
      <c r="U1824" s="306"/>
      <c r="V1824" s="306"/>
      <c r="W1824" s="306"/>
      <c r="X1824" s="306"/>
      <c r="Y1824" s="306"/>
      <c r="Z1824" s="306"/>
      <c r="AA1824" s="306"/>
      <c r="AB1824" s="306"/>
      <c r="AC1824" s="306"/>
      <c r="AD1824" s="306"/>
      <c r="AE1824" s="306"/>
      <c r="AF1824" s="306"/>
      <c r="AG1824" s="306"/>
      <c r="AH1824" s="306"/>
      <c r="AI1824" s="306"/>
      <c r="AJ1824" s="306"/>
      <c r="AK1824" s="306"/>
      <c r="AL1824" s="306"/>
      <c r="AM1824" s="418"/>
      <c r="AN1824" s="418"/>
      <c r="AO1824" s="306"/>
      <c r="AP1824" s="306"/>
      <c r="AQ1824" s="418"/>
      <c r="AR1824" s="306"/>
      <c r="AS1824" s="306"/>
      <c r="AT1824" s="418"/>
      <c r="AU1824" s="306"/>
      <c r="AV1824" s="306"/>
      <c r="AW1824" s="306"/>
      <c r="AX1824" s="306"/>
      <c r="AY1824" s="306"/>
      <c r="AZ1824" s="306"/>
      <c r="BA1824" s="306"/>
      <c r="BB1824" s="306"/>
    </row>
    <row r="1825" spans="1:54" ht="15.75" customHeight="1">
      <c r="A1825" s="317"/>
      <c r="B1825" s="430"/>
      <c r="C1825" s="317"/>
      <c r="E1825" s="306"/>
      <c r="F1825" s="431"/>
      <c r="G1825" s="431"/>
      <c r="H1825" s="298"/>
      <c r="I1825" s="432"/>
      <c r="J1825" s="433"/>
      <c r="K1825" s="306"/>
      <c r="L1825" s="306"/>
      <c r="M1825" s="306"/>
      <c r="N1825" s="298"/>
      <c r="O1825" s="298"/>
      <c r="P1825" s="298"/>
      <c r="Q1825" s="306"/>
      <c r="R1825" s="1023"/>
      <c r="S1825" s="1023"/>
      <c r="T1825" s="306"/>
      <c r="U1825" s="306"/>
      <c r="V1825" s="306"/>
      <c r="W1825" s="306"/>
      <c r="X1825" s="306"/>
      <c r="Y1825" s="306"/>
      <c r="Z1825" s="306"/>
      <c r="AA1825" s="306"/>
      <c r="AB1825" s="306"/>
      <c r="AC1825" s="306"/>
      <c r="AD1825" s="306"/>
      <c r="AE1825" s="306"/>
      <c r="AF1825" s="306"/>
      <c r="AG1825" s="306"/>
      <c r="AH1825" s="306"/>
      <c r="AI1825" s="306"/>
      <c r="AJ1825" s="306"/>
      <c r="AK1825" s="306"/>
      <c r="AL1825" s="306"/>
      <c r="AM1825" s="418"/>
      <c r="AN1825" s="418"/>
      <c r="AO1825" s="306"/>
      <c r="AP1825" s="306"/>
      <c r="AQ1825" s="418"/>
      <c r="AR1825" s="306"/>
      <c r="AS1825" s="306"/>
      <c r="AT1825" s="418"/>
      <c r="AU1825" s="306"/>
      <c r="AV1825" s="306"/>
      <c r="AW1825" s="306"/>
      <c r="AX1825" s="306"/>
      <c r="AY1825" s="306"/>
      <c r="AZ1825" s="306"/>
      <c r="BA1825" s="306"/>
      <c r="BB1825" s="306"/>
    </row>
    <row r="1826" spans="1:54" ht="15.75" customHeight="1">
      <c r="A1826" s="317"/>
      <c r="B1826" s="430"/>
      <c r="C1826" s="317"/>
      <c r="E1826" s="306"/>
      <c r="F1826" s="431"/>
      <c r="G1826" s="431"/>
      <c r="H1826" s="298"/>
      <c r="I1826" s="432"/>
      <c r="J1826" s="433"/>
      <c r="K1826" s="306"/>
      <c r="L1826" s="306"/>
      <c r="M1826" s="306"/>
      <c r="N1826" s="298"/>
      <c r="O1826" s="298"/>
      <c r="P1826" s="298"/>
      <c r="Q1826" s="306"/>
      <c r="R1826" s="1023"/>
      <c r="S1826" s="1023"/>
      <c r="T1826" s="306"/>
      <c r="U1826" s="306"/>
      <c r="V1826" s="306"/>
      <c r="W1826" s="306"/>
      <c r="X1826" s="306"/>
      <c r="Y1826" s="306"/>
      <c r="Z1826" s="306"/>
      <c r="AA1826" s="306"/>
      <c r="AB1826" s="306"/>
      <c r="AC1826" s="306"/>
      <c r="AD1826" s="306"/>
      <c r="AE1826" s="306"/>
      <c r="AF1826" s="306"/>
      <c r="AG1826" s="306"/>
      <c r="AH1826" s="306"/>
      <c r="AI1826" s="306"/>
      <c r="AJ1826" s="306"/>
      <c r="AK1826" s="306"/>
      <c r="AL1826" s="306"/>
      <c r="AM1826" s="418"/>
      <c r="AN1826" s="418"/>
      <c r="AO1826" s="306"/>
      <c r="AP1826" s="306"/>
      <c r="AQ1826" s="418"/>
      <c r="AR1826" s="306"/>
      <c r="AS1826" s="306"/>
      <c r="AT1826" s="418"/>
      <c r="AU1826" s="306"/>
      <c r="AV1826" s="306"/>
      <c r="AW1826" s="306"/>
      <c r="AX1826" s="306"/>
      <c r="AY1826" s="306"/>
      <c r="AZ1826" s="306"/>
      <c r="BA1826" s="306"/>
      <c r="BB1826" s="306"/>
    </row>
    <row r="1827" spans="1:54" ht="15.75" customHeight="1">
      <c r="A1827" s="317"/>
      <c r="B1827" s="430"/>
      <c r="C1827" s="317"/>
      <c r="E1827" s="306"/>
      <c r="F1827" s="431"/>
      <c r="G1827" s="431"/>
      <c r="H1827" s="298"/>
      <c r="I1827" s="432"/>
      <c r="J1827" s="433"/>
      <c r="K1827" s="306"/>
      <c r="L1827" s="306"/>
      <c r="M1827" s="306"/>
      <c r="N1827" s="298"/>
      <c r="O1827" s="298"/>
      <c r="P1827" s="298"/>
      <c r="Q1827" s="306"/>
      <c r="R1827" s="1023"/>
      <c r="S1827" s="1023"/>
      <c r="T1827" s="306"/>
      <c r="U1827" s="306"/>
      <c r="V1827" s="306"/>
      <c r="W1827" s="306"/>
      <c r="X1827" s="306"/>
      <c r="Y1827" s="306"/>
      <c r="Z1827" s="306"/>
      <c r="AA1827" s="306"/>
      <c r="AB1827" s="306"/>
      <c r="AC1827" s="306"/>
      <c r="AD1827" s="306"/>
      <c r="AE1827" s="306"/>
      <c r="AF1827" s="306"/>
      <c r="AG1827" s="306"/>
      <c r="AH1827" s="306"/>
      <c r="AI1827" s="306"/>
      <c r="AJ1827" s="306"/>
      <c r="AK1827" s="306"/>
      <c r="AL1827" s="306"/>
      <c r="AM1827" s="418"/>
      <c r="AN1827" s="418"/>
      <c r="AO1827" s="306"/>
      <c r="AP1827" s="306"/>
      <c r="AQ1827" s="418"/>
      <c r="AR1827" s="306"/>
      <c r="AS1827" s="306"/>
      <c r="AT1827" s="418"/>
      <c r="AU1827" s="306"/>
      <c r="AV1827" s="306"/>
      <c r="AW1827" s="306"/>
      <c r="AX1827" s="306"/>
      <c r="AY1827" s="306"/>
      <c r="AZ1827" s="306"/>
      <c r="BA1827" s="306"/>
      <c r="BB1827" s="306"/>
    </row>
    <row r="1828" spans="1:54" ht="15.75" customHeight="1">
      <c r="A1828" s="317"/>
      <c r="B1828" s="430"/>
      <c r="C1828" s="317"/>
      <c r="E1828" s="306"/>
      <c r="F1828" s="431"/>
      <c r="G1828" s="431"/>
      <c r="H1828" s="298"/>
      <c r="I1828" s="432"/>
      <c r="J1828" s="433"/>
      <c r="K1828" s="306"/>
      <c r="L1828" s="306"/>
      <c r="M1828" s="306"/>
      <c r="N1828" s="298"/>
      <c r="O1828" s="298"/>
      <c r="P1828" s="298"/>
      <c r="Q1828" s="306"/>
      <c r="R1828" s="1023"/>
      <c r="S1828" s="1023"/>
      <c r="T1828" s="306"/>
      <c r="U1828" s="306"/>
      <c r="V1828" s="306"/>
      <c r="W1828" s="306"/>
      <c r="X1828" s="306"/>
      <c r="Y1828" s="306"/>
      <c r="Z1828" s="306"/>
      <c r="AA1828" s="306"/>
      <c r="AB1828" s="306"/>
      <c r="AC1828" s="306"/>
      <c r="AD1828" s="306"/>
      <c r="AE1828" s="306"/>
      <c r="AF1828" s="306"/>
      <c r="AG1828" s="306"/>
      <c r="AH1828" s="306"/>
      <c r="AI1828" s="306"/>
      <c r="AJ1828" s="306"/>
      <c r="AK1828" s="306"/>
      <c r="AL1828" s="306"/>
      <c r="AM1828" s="418"/>
      <c r="AN1828" s="418"/>
      <c r="AO1828" s="306"/>
      <c r="AP1828" s="306"/>
      <c r="AQ1828" s="418"/>
      <c r="AR1828" s="306"/>
      <c r="AS1828" s="306"/>
      <c r="AT1828" s="418"/>
      <c r="AU1828" s="306"/>
      <c r="AV1828" s="306"/>
      <c r="AW1828" s="306"/>
      <c r="AX1828" s="306"/>
      <c r="AY1828" s="306"/>
      <c r="AZ1828" s="306"/>
      <c r="BA1828" s="306"/>
      <c r="BB1828" s="306"/>
    </row>
    <row r="1829" spans="1:54" ht="15.75" customHeight="1">
      <c r="A1829" s="317"/>
      <c r="B1829" s="430"/>
      <c r="C1829" s="317"/>
      <c r="E1829" s="306"/>
      <c r="F1829" s="431"/>
      <c r="G1829" s="431"/>
      <c r="H1829" s="298"/>
      <c r="I1829" s="432"/>
      <c r="J1829" s="433"/>
      <c r="K1829" s="306"/>
      <c r="L1829" s="306"/>
      <c r="M1829" s="306"/>
      <c r="N1829" s="298"/>
      <c r="O1829" s="298"/>
      <c r="P1829" s="298"/>
      <c r="Q1829" s="306"/>
      <c r="R1829" s="1023"/>
      <c r="S1829" s="1023"/>
      <c r="T1829" s="306"/>
      <c r="U1829" s="306"/>
      <c r="V1829" s="306"/>
      <c r="W1829" s="306"/>
      <c r="X1829" s="306"/>
      <c r="Y1829" s="306"/>
      <c r="Z1829" s="306"/>
      <c r="AA1829" s="306"/>
      <c r="AB1829" s="306"/>
      <c r="AC1829" s="306"/>
      <c r="AD1829" s="306"/>
      <c r="AE1829" s="306"/>
      <c r="AF1829" s="306"/>
      <c r="AG1829" s="306"/>
      <c r="AH1829" s="306"/>
      <c r="AI1829" s="306"/>
      <c r="AJ1829" s="306"/>
      <c r="AK1829" s="306"/>
      <c r="AL1829" s="306"/>
      <c r="AM1829" s="418"/>
      <c r="AN1829" s="418"/>
      <c r="AO1829" s="306"/>
      <c r="AP1829" s="306"/>
      <c r="AQ1829" s="418"/>
      <c r="AR1829" s="306"/>
      <c r="AS1829" s="306"/>
      <c r="AT1829" s="418"/>
      <c r="AU1829" s="306"/>
      <c r="AV1829" s="306"/>
      <c r="AW1829" s="306"/>
      <c r="AX1829" s="306"/>
      <c r="AY1829" s="306"/>
      <c r="AZ1829" s="306"/>
      <c r="BA1829" s="306"/>
      <c r="BB1829" s="306"/>
    </row>
    <row r="1830" spans="1:54" ht="15.75" customHeight="1">
      <c r="A1830" s="317"/>
      <c r="B1830" s="430"/>
      <c r="C1830" s="317"/>
      <c r="E1830" s="306"/>
      <c r="F1830" s="431"/>
      <c r="G1830" s="431"/>
      <c r="H1830" s="298"/>
      <c r="I1830" s="432"/>
      <c r="J1830" s="433"/>
      <c r="K1830" s="306"/>
      <c r="L1830" s="306"/>
      <c r="M1830" s="306"/>
      <c r="N1830" s="298"/>
      <c r="O1830" s="298"/>
      <c r="P1830" s="298"/>
      <c r="Q1830" s="306"/>
      <c r="R1830" s="1023"/>
      <c r="S1830" s="1023"/>
      <c r="T1830" s="306"/>
      <c r="U1830" s="306"/>
      <c r="V1830" s="306"/>
      <c r="W1830" s="306"/>
      <c r="X1830" s="306"/>
      <c r="Y1830" s="306"/>
      <c r="Z1830" s="306"/>
      <c r="AA1830" s="306"/>
      <c r="AB1830" s="306"/>
      <c r="AC1830" s="306"/>
      <c r="AD1830" s="306"/>
      <c r="AE1830" s="306"/>
      <c r="AF1830" s="306"/>
      <c r="AG1830" s="306"/>
      <c r="AH1830" s="306"/>
      <c r="AI1830" s="306"/>
      <c r="AJ1830" s="306"/>
      <c r="AK1830" s="306"/>
      <c r="AL1830" s="306"/>
      <c r="AM1830" s="418"/>
      <c r="AN1830" s="418"/>
      <c r="AO1830" s="306"/>
      <c r="AP1830" s="306"/>
      <c r="AQ1830" s="418"/>
      <c r="AR1830" s="306"/>
      <c r="AS1830" s="306"/>
      <c r="AT1830" s="418"/>
      <c r="AU1830" s="306"/>
      <c r="AV1830" s="306"/>
      <c r="AW1830" s="306"/>
      <c r="AX1830" s="306"/>
      <c r="AY1830" s="306"/>
      <c r="AZ1830" s="306"/>
      <c r="BA1830" s="306"/>
      <c r="BB1830" s="306"/>
    </row>
    <row r="1831" spans="1:54" ht="15.75" customHeight="1">
      <c r="A1831" s="317"/>
      <c r="B1831" s="430"/>
      <c r="C1831" s="317"/>
      <c r="E1831" s="306"/>
      <c r="F1831" s="431"/>
      <c r="G1831" s="431"/>
      <c r="H1831" s="298"/>
      <c r="I1831" s="432"/>
      <c r="J1831" s="433"/>
      <c r="K1831" s="306"/>
      <c r="L1831" s="306"/>
      <c r="M1831" s="306"/>
      <c r="N1831" s="298"/>
      <c r="O1831" s="298"/>
      <c r="P1831" s="298"/>
      <c r="Q1831" s="306"/>
      <c r="R1831" s="1023"/>
      <c r="S1831" s="1023"/>
      <c r="T1831" s="306"/>
      <c r="U1831" s="306"/>
      <c r="V1831" s="306"/>
      <c r="W1831" s="306"/>
      <c r="X1831" s="306"/>
      <c r="Y1831" s="306"/>
      <c r="Z1831" s="306"/>
      <c r="AA1831" s="306"/>
      <c r="AB1831" s="306"/>
      <c r="AC1831" s="306"/>
      <c r="AD1831" s="306"/>
      <c r="AE1831" s="306"/>
      <c r="AF1831" s="306"/>
      <c r="AG1831" s="306"/>
      <c r="AH1831" s="306"/>
      <c r="AI1831" s="306"/>
      <c r="AJ1831" s="306"/>
      <c r="AK1831" s="306"/>
      <c r="AL1831" s="306"/>
      <c r="AM1831" s="418"/>
      <c r="AN1831" s="418"/>
      <c r="AO1831" s="306"/>
      <c r="AP1831" s="306"/>
      <c r="AQ1831" s="418"/>
      <c r="AR1831" s="306"/>
      <c r="AS1831" s="306"/>
      <c r="AT1831" s="418"/>
      <c r="AU1831" s="306"/>
      <c r="AV1831" s="306"/>
      <c r="AW1831" s="306"/>
      <c r="AX1831" s="306"/>
      <c r="AY1831" s="306"/>
      <c r="AZ1831" s="306"/>
      <c r="BA1831" s="306"/>
      <c r="BB1831" s="306"/>
    </row>
    <row r="1832" spans="1:54" ht="15.75" customHeight="1">
      <c r="A1832" s="317"/>
      <c r="B1832" s="430"/>
      <c r="C1832" s="317"/>
      <c r="E1832" s="306"/>
      <c r="F1832" s="431"/>
      <c r="G1832" s="431"/>
      <c r="H1832" s="298"/>
      <c r="I1832" s="432"/>
      <c r="J1832" s="433"/>
      <c r="K1832" s="306"/>
      <c r="L1832" s="306"/>
      <c r="M1832" s="306"/>
      <c r="N1832" s="298"/>
      <c r="O1832" s="298"/>
      <c r="P1832" s="298"/>
      <c r="Q1832" s="306"/>
      <c r="R1832" s="1023"/>
      <c r="S1832" s="1023"/>
      <c r="T1832" s="306"/>
      <c r="U1832" s="306"/>
      <c r="V1832" s="306"/>
      <c r="W1832" s="306"/>
      <c r="X1832" s="306"/>
      <c r="Y1832" s="306"/>
      <c r="Z1832" s="306"/>
      <c r="AA1832" s="306"/>
      <c r="AB1832" s="306"/>
      <c r="AC1832" s="306"/>
      <c r="AD1832" s="306"/>
      <c r="AE1832" s="306"/>
      <c r="AF1832" s="306"/>
      <c r="AG1832" s="306"/>
      <c r="AH1832" s="306"/>
      <c r="AI1832" s="306"/>
      <c r="AJ1832" s="306"/>
      <c r="AK1832" s="306"/>
      <c r="AL1832" s="306"/>
      <c r="AM1832" s="418"/>
      <c r="AN1832" s="418"/>
      <c r="AO1832" s="306"/>
      <c r="AP1832" s="306"/>
      <c r="AQ1832" s="418"/>
      <c r="AR1832" s="306"/>
      <c r="AS1832" s="306"/>
      <c r="AT1832" s="418"/>
      <c r="AU1832" s="306"/>
      <c r="AV1832" s="306"/>
      <c r="AW1832" s="306"/>
      <c r="AX1832" s="306"/>
      <c r="AY1832" s="306"/>
      <c r="AZ1832" s="306"/>
      <c r="BA1832" s="306"/>
      <c r="BB1832" s="306"/>
    </row>
    <row r="1833" spans="1:54" ht="15.75" customHeight="1">
      <c r="A1833" s="317"/>
      <c r="B1833" s="430"/>
      <c r="C1833" s="317"/>
      <c r="E1833" s="306"/>
      <c r="F1833" s="431"/>
      <c r="G1833" s="431"/>
      <c r="H1833" s="298"/>
      <c r="I1833" s="432"/>
      <c r="J1833" s="433"/>
      <c r="K1833" s="306"/>
      <c r="L1833" s="306"/>
      <c r="M1833" s="306"/>
      <c r="N1833" s="298"/>
      <c r="O1833" s="298"/>
      <c r="P1833" s="298"/>
      <c r="Q1833" s="306"/>
      <c r="R1833" s="1023"/>
      <c r="S1833" s="1023"/>
      <c r="T1833" s="306"/>
      <c r="U1833" s="306"/>
      <c r="V1833" s="306"/>
      <c r="W1833" s="306"/>
      <c r="X1833" s="306"/>
      <c r="Y1833" s="306"/>
      <c r="Z1833" s="306"/>
      <c r="AA1833" s="306"/>
      <c r="AB1833" s="306"/>
      <c r="AC1833" s="306"/>
      <c r="AD1833" s="306"/>
      <c r="AE1833" s="306"/>
      <c r="AF1833" s="306"/>
      <c r="AG1833" s="306"/>
      <c r="AH1833" s="306"/>
      <c r="AI1833" s="306"/>
      <c r="AJ1833" s="306"/>
      <c r="AK1833" s="306"/>
      <c r="AL1833" s="306"/>
      <c r="AM1833" s="418"/>
      <c r="AN1833" s="418"/>
      <c r="AO1833" s="306"/>
      <c r="AP1833" s="306"/>
      <c r="AQ1833" s="418"/>
      <c r="AR1833" s="306"/>
      <c r="AS1833" s="306"/>
      <c r="AT1833" s="418"/>
      <c r="AU1833" s="306"/>
      <c r="AV1833" s="306"/>
      <c r="AW1833" s="306"/>
      <c r="AX1833" s="306"/>
      <c r="AY1833" s="306"/>
      <c r="AZ1833" s="306"/>
      <c r="BA1833" s="306"/>
      <c r="BB1833" s="306"/>
    </row>
    <row r="1834" spans="1:54" ht="15.75" customHeight="1">
      <c r="A1834" s="317"/>
      <c r="B1834" s="430"/>
      <c r="C1834" s="317"/>
      <c r="E1834" s="306"/>
      <c r="F1834" s="431"/>
      <c r="G1834" s="431"/>
      <c r="H1834" s="298"/>
      <c r="I1834" s="432"/>
      <c r="J1834" s="433"/>
      <c r="K1834" s="306"/>
      <c r="L1834" s="306"/>
      <c r="M1834" s="306"/>
      <c r="N1834" s="298"/>
      <c r="O1834" s="298"/>
      <c r="P1834" s="298"/>
      <c r="Q1834" s="306"/>
      <c r="R1834" s="1023"/>
      <c r="S1834" s="1023"/>
      <c r="T1834" s="306"/>
      <c r="U1834" s="306"/>
      <c r="V1834" s="306"/>
      <c r="W1834" s="306"/>
      <c r="X1834" s="306"/>
      <c r="Y1834" s="306"/>
      <c r="Z1834" s="306"/>
      <c r="AA1834" s="306"/>
      <c r="AB1834" s="306"/>
      <c r="AC1834" s="306"/>
      <c r="AD1834" s="306"/>
      <c r="AE1834" s="306"/>
      <c r="AF1834" s="306"/>
      <c r="AG1834" s="306"/>
      <c r="AH1834" s="306"/>
      <c r="AI1834" s="306"/>
      <c r="AJ1834" s="306"/>
      <c r="AK1834" s="306"/>
      <c r="AL1834" s="306"/>
      <c r="AM1834" s="418"/>
      <c r="AN1834" s="418"/>
      <c r="AO1834" s="306"/>
      <c r="AP1834" s="306"/>
      <c r="AQ1834" s="418"/>
      <c r="AR1834" s="306"/>
      <c r="AS1834" s="306"/>
      <c r="AT1834" s="418"/>
      <c r="AU1834" s="306"/>
      <c r="AV1834" s="306"/>
      <c r="AW1834" s="306"/>
      <c r="AX1834" s="306"/>
      <c r="AY1834" s="306"/>
      <c r="AZ1834" s="306"/>
      <c r="BA1834" s="306"/>
      <c r="BB1834" s="306"/>
    </row>
    <row r="1835" spans="1:54" ht="15.75" customHeight="1">
      <c r="A1835" s="317"/>
      <c r="B1835" s="430"/>
      <c r="C1835" s="317"/>
      <c r="E1835" s="306"/>
      <c r="F1835" s="431"/>
      <c r="G1835" s="431"/>
      <c r="H1835" s="298"/>
      <c r="I1835" s="432"/>
      <c r="J1835" s="433"/>
      <c r="K1835" s="306"/>
      <c r="L1835" s="306"/>
      <c r="M1835" s="306"/>
      <c r="N1835" s="298"/>
      <c r="O1835" s="298"/>
      <c r="P1835" s="298"/>
      <c r="Q1835" s="306"/>
      <c r="R1835" s="1023"/>
      <c r="S1835" s="1023"/>
      <c r="T1835" s="306"/>
      <c r="U1835" s="306"/>
      <c r="V1835" s="306"/>
      <c r="W1835" s="306"/>
      <c r="X1835" s="306"/>
      <c r="Y1835" s="306"/>
      <c r="Z1835" s="306"/>
      <c r="AA1835" s="306"/>
      <c r="AB1835" s="306"/>
      <c r="AC1835" s="306"/>
      <c r="AD1835" s="306"/>
      <c r="AE1835" s="306"/>
      <c r="AF1835" s="306"/>
      <c r="AG1835" s="306"/>
      <c r="AH1835" s="306"/>
      <c r="AI1835" s="306"/>
      <c r="AJ1835" s="306"/>
      <c r="AK1835" s="306"/>
      <c r="AL1835" s="306"/>
      <c r="AM1835" s="418"/>
      <c r="AN1835" s="418"/>
      <c r="AO1835" s="306"/>
      <c r="AP1835" s="306"/>
      <c r="AQ1835" s="418"/>
      <c r="AR1835" s="306"/>
      <c r="AS1835" s="306"/>
      <c r="AT1835" s="418"/>
      <c r="AU1835" s="306"/>
      <c r="AV1835" s="306"/>
      <c r="AW1835" s="306"/>
      <c r="AX1835" s="306"/>
      <c r="AY1835" s="306"/>
      <c r="AZ1835" s="306"/>
      <c r="BA1835" s="306"/>
      <c r="BB1835" s="306"/>
    </row>
    <row r="1836" spans="1:54" ht="15.75" customHeight="1">
      <c r="A1836" s="317"/>
      <c r="B1836" s="430"/>
      <c r="C1836" s="317"/>
      <c r="E1836" s="306"/>
      <c r="F1836" s="431"/>
      <c r="G1836" s="431"/>
      <c r="H1836" s="298"/>
      <c r="I1836" s="432"/>
      <c r="J1836" s="433"/>
      <c r="K1836" s="306"/>
      <c r="L1836" s="306"/>
      <c r="M1836" s="306"/>
      <c r="N1836" s="298"/>
      <c r="O1836" s="298"/>
      <c r="P1836" s="298"/>
      <c r="Q1836" s="306"/>
      <c r="R1836" s="1023"/>
      <c r="S1836" s="1023"/>
      <c r="T1836" s="306"/>
      <c r="U1836" s="306"/>
      <c r="V1836" s="306"/>
      <c r="W1836" s="306"/>
      <c r="X1836" s="306"/>
      <c r="Y1836" s="306"/>
      <c r="Z1836" s="306"/>
      <c r="AA1836" s="306"/>
      <c r="AB1836" s="306"/>
      <c r="AC1836" s="306"/>
      <c r="AD1836" s="306"/>
      <c r="AE1836" s="306"/>
      <c r="AF1836" s="306"/>
      <c r="AG1836" s="306"/>
      <c r="AH1836" s="306"/>
      <c r="AI1836" s="306"/>
      <c r="AJ1836" s="306"/>
      <c r="AK1836" s="306"/>
      <c r="AL1836" s="306"/>
      <c r="AM1836" s="418"/>
      <c r="AN1836" s="418"/>
      <c r="AO1836" s="306"/>
      <c r="AP1836" s="306"/>
      <c r="AQ1836" s="418"/>
      <c r="AR1836" s="306"/>
      <c r="AS1836" s="306"/>
      <c r="AT1836" s="418"/>
      <c r="AU1836" s="306"/>
      <c r="AV1836" s="306"/>
      <c r="AW1836" s="306"/>
      <c r="AX1836" s="306"/>
      <c r="AY1836" s="306"/>
      <c r="AZ1836" s="306"/>
      <c r="BA1836" s="306"/>
      <c r="BB1836" s="306"/>
    </row>
    <row r="1837" spans="1:54" ht="15.75" customHeight="1">
      <c r="A1837" s="317"/>
      <c r="B1837" s="430"/>
      <c r="C1837" s="317"/>
      <c r="E1837" s="306"/>
      <c r="F1837" s="431"/>
      <c r="G1837" s="431"/>
      <c r="H1837" s="298"/>
      <c r="I1837" s="432"/>
      <c r="J1837" s="433"/>
      <c r="K1837" s="306"/>
      <c r="L1837" s="306"/>
      <c r="M1837" s="306"/>
      <c r="N1837" s="298"/>
      <c r="O1837" s="298"/>
      <c r="P1837" s="298"/>
      <c r="Q1837" s="306"/>
      <c r="R1837" s="1023"/>
      <c r="S1837" s="1023"/>
      <c r="T1837" s="306"/>
      <c r="U1837" s="306"/>
      <c r="V1837" s="306"/>
      <c r="W1837" s="306"/>
      <c r="X1837" s="306"/>
      <c r="Y1837" s="306"/>
      <c r="Z1837" s="306"/>
      <c r="AA1837" s="306"/>
      <c r="AB1837" s="306"/>
      <c r="AC1837" s="306"/>
      <c r="AD1837" s="306"/>
      <c r="AE1837" s="306"/>
      <c r="AF1837" s="306"/>
      <c r="AG1837" s="306"/>
      <c r="AH1837" s="306"/>
      <c r="AI1837" s="306"/>
      <c r="AJ1837" s="306"/>
      <c r="AK1837" s="306"/>
      <c r="AL1837" s="306"/>
      <c r="AM1837" s="418"/>
      <c r="AN1837" s="418"/>
      <c r="AO1837" s="306"/>
      <c r="AP1837" s="306"/>
      <c r="AQ1837" s="418"/>
      <c r="AR1837" s="306"/>
      <c r="AS1837" s="306"/>
      <c r="AT1837" s="418"/>
      <c r="AU1837" s="306"/>
      <c r="AV1837" s="306"/>
      <c r="AW1837" s="306"/>
      <c r="AX1837" s="306"/>
      <c r="AY1837" s="306"/>
      <c r="AZ1837" s="306"/>
      <c r="BA1837" s="306"/>
      <c r="BB1837" s="306"/>
    </row>
    <row r="1838" spans="1:54" ht="15.75" customHeight="1">
      <c r="A1838" s="317"/>
      <c r="B1838" s="430"/>
      <c r="C1838" s="317"/>
      <c r="E1838" s="306"/>
      <c r="F1838" s="431"/>
      <c r="G1838" s="431"/>
      <c r="H1838" s="298"/>
      <c r="I1838" s="432"/>
      <c r="J1838" s="433"/>
      <c r="K1838" s="306"/>
      <c r="L1838" s="306"/>
      <c r="M1838" s="306"/>
      <c r="N1838" s="298"/>
      <c r="O1838" s="298"/>
      <c r="P1838" s="298"/>
      <c r="Q1838" s="306"/>
      <c r="R1838" s="1023"/>
      <c r="S1838" s="1023"/>
      <c r="T1838" s="306"/>
      <c r="U1838" s="306"/>
      <c r="V1838" s="306"/>
      <c r="W1838" s="306"/>
      <c r="X1838" s="306"/>
      <c r="Y1838" s="306"/>
      <c r="Z1838" s="306"/>
      <c r="AA1838" s="306"/>
      <c r="AB1838" s="306"/>
      <c r="AC1838" s="306"/>
      <c r="AD1838" s="306"/>
      <c r="AE1838" s="306"/>
      <c r="AF1838" s="306"/>
      <c r="AG1838" s="306"/>
      <c r="AH1838" s="306"/>
      <c r="AI1838" s="306"/>
      <c r="AJ1838" s="306"/>
      <c r="AK1838" s="306"/>
      <c r="AL1838" s="306"/>
      <c r="AM1838" s="418"/>
      <c r="AN1838" s="418"/>
      <c r="AO1838" s="306"/>
      <c r="AP1838" s="306"/>
      <c r="AQ1838" s="418"/>
      <c r="AR1838" s="306"/>
      <c r="AS1838" s="306"/>
      <c r="AT1838" s="418"/>
      <c r="AU1838" s="306"/>
      <c r="AV1838" s="306"/>
      <c r="AW1838" s="306"/>
      <c r="AX1838" s="306"/>
      <c r="AY1838" s="306"/>
      <c r="AZ1838" s="306"/>
      <c r="BA1838" s="306"/>
      <c r="BB1838" s="306"/>
    </row>
    <row r="1839" spans="1:54" ht="15.75" customHeight="1">
      <c r="A1839" s="317"/>
      <c r="B1839" s="430"/>
      <c r="C1839" s="317"/>
      <c r="E1839" s="306"/>
      <c r="F1839" s="431"/>
      <c r="G1839" s="431"/>
      <c r="H1839" s="298"/>
      <c r="I1839" s="432"/>
      <c r="J1839" s="433"/>
      <c r="K1839" s="306"/>
      <c r="L1839" s="306"/>
      <c r="M1839" s="306"/>
      <c r="N1839" s="298"/>
      <c r="O1839" s="298"/>
      <c r="P1839" s="298"/>
      <c r="Q1839" s="306"/>
      <c r="R1839" s="1023"/>
      <c r="S1839" s="1023"/>
      <c r="T1839" s="306"/>
      <c r="U1839" s="306"/>
      <c r="V1839" s="306"/>
      <c r="W1839" s="306"/>
      <c r="X1839" s="306"/>
      <c r="Y1839" s="306"/>
      <c r="Z1839" s="306"/>
      <c r="AA1839" s="306"/>
      <c r="AB1839" s="306"/>
      <c r="AC1839" s="306"/>
      <c r="AD1839" s="306"/>
      <c r="AE1839" s="306"/>
      <c r="AF1839" s="306"/>
      <c r="AG1839" s="306"/>
      <c r="AH1839" s="306"/>
      <c r="AI1839" s="306"/>
      <c r="AJ1839" s="306"/>
      <c r="AK1839" s="306"/>
      <c r="AL1839" s="306"/>
      <c r="AM1839" s="418"/>
      <c r="AN1839" s="418"/>
      <c r="AO1839" s="306"/>
      <c r="AP1839" s="306"/>
      <c r="AQ1839" s="418"/>
      <c r="AR1839" s="306"/>
      <c r="AS1839" s="306"/>
      <c r="AT1839" s="418"/>
      <c r="AU1839" s="306"/>
      <c r="AV1839" s="306"/>
      <c r="AW1839" s="306"/>
      <c r="AX1839" s="306"/>
      <c r="AY1839" s="306"/>
      <c r="AZ1839" s="306"/>
      <c r="BA1839" s="306"/>
      <c r="BB1839" s="306"/>
    </row>
    <row r="1840" spans="1:54" ht="15.75" customHeight="1">
      <c r="A1840" s="317"/>
      <c r="B1840" s="430"/>
      <c r="C1840" s="317"/>
      <c r="E1840" s="306"/>
      <c r="F1840" s="431"/>
      <c r="G1840" s="431"/>
      <c r="H1840" s="298"/>
      <c r="I1840" s="432"/>
      <c r="J1840" s="433"/>
      <c r="K1840" s="306"/>
      <c r="L1840" s="306"/>
      <c r="M1840" s="306"/>
      <c r="N1840" s="298"/>
      <c r="O1840" s="298"/>
      <c r="P1840" s="298"/>
      <c r="Q1840" s="306"/>
      <c r="R1840" s="1023"/>
      <c r="S1840" s="1023"/>
      <c r="T1840" s="306"/>
      <c r="U1840" s="306"/>
      <c r="V1840" s="306"/>
      <c r="W1840" s="306"/>
      <c r="X1840" s="306"/>
      <c r="Y1840" s="306"/>
      <c r="Z1840" s="306"/>
      <c r="AA1840" s="306"/>
      <c r="AB1840" s="306"/>
      <c r="AC1840" s="306"/>
      <c r="AD1840" s="306"/>
      <c r="AE1840" s="306"/>
      <c r="AF1840" s="306"/>
      <c r="AG1840" s="306"/>
      <c r="AH1840" s="306"/>
      <c r="AI1840" s="306"/>
      <c r="AJ1840" s="306"/>
      <c r="AK1840" s="306"/>
      <c r="AL1840" s="306"/>
      <c r="AM1840" s="418"/>
      <c r="AN1840" s="418"/>
      <c r="AO1840" s="306"/>
      <c r="AP1840" s="306"/>
      <c r="AQ1840" s="418"/>
      <c r="AR1840" s="306"/>
      <c r="AS1840" s="306"/>
      <c r="AT1840" s="418"/>
      <c r="AU1840" s="306"/>
      <c r="AV1840" s="306"/>
      <c r="AW1840" s="306"/>
      <c r="AX1840" s="306"/>
      <c r="AY1840" s="306"/>
      <c r="AZ1840" s="306"/>
      <c r="BA1840" s="306"/>
      <c r="BB1840" s="306"/>
    </row>
    <row r="1841" spans="1:54" ht="15.75" customHeight="1">
      <c r="A1841" s="317"/>
      <c r="B1841" s="430"/>
      <c r="C1841" s="317"/>
      <c r="E1841" s="306"/>
      <c r="F1841" s="431"/>
      <c r="G1841" s="431"/>
      <c r="H1841" s="298"/>
      <c r="I1841" s="432"/>
      <c r="J1841" s="433"/>
      <c r="K1841" s="306"/>
      <c r="L1841" s="306"/>
      <c r="M1841" s="306"/>
      <c r="N1841" s="298"/>
      <c r="O1841" s="298"/>
      <c r="P1841" s="298"/>
      <c r="Q1841" s="306"/>
      <c r="R1841" s="1023"/>
      <c r="S1841" s="1023"/>
      <c r="T1841" s="306"/>
      <c r="U1841" s="306"/>
      <c r="V1841" s="306"/>
      <c r="W1841" s="306"/>
      <c r="X1841" s="306"/>
      <c r="Y1841" s="306"/>
      <c r="Z1841" s="306"/>
      <c r="AA1841" s="306"/>
      <c r="AB1841" s="306"/>
      <c r="AC1841" s="306"/>
      <c r="AD1841" s="306"/>
      <c r="AE1841" s="306"/>
      <c r="AF1841" s="306"/>
      <c r="AG1841" s="306"/>
      <c r="AH1841" s="306"/>
      <c r="AI1841" s="306"/>
      <c r="AJ1841" s="306"/>
      <c r="AK1841" s="306"/>
      <c r="AL1841" s="306"/>
      <c r="AM1841" s="418"/>
      <c r="AN1841" s="418"/>
      <c r="AO1841" s="306"/>
      <c r="AP1841" s="306"/>
      <c r="AQ1841" s="418"/>
      <c r="AR1841" s="306"/>
      <c r="AS1841" s="306"/>
      <c r="AT1841" s="418"/>
      <c r="AU1841" s="306"/>
      <c r="AV1841" s="306"/>
      <c r="AW1841" s="306"/>
      <c r="AX1841" s="306"/>
      <c r="AY1841" s="306"/>
      <c r="AZ1841" s="306"/>
      <c r="BA1841" s="306"/>
      <c r="BB1841" s="306"/>
    </row>
    <row r="1842" spans="1:54" ht="15.75" customHeight="1">
      <c r="A1842" s="317"/>
      <c r="B1842" s="430"/>
      <c r="C1842" s="317"/>
      <c r="E1842" s="306"/>
      <c r="F1842" s="431"/>
      <c r="G1842" s="431"/>
      <c r="H1842" s="298"/>
      <c r="I1842" s="432"/>
      <c r="J1842" s="433"/>
      <c r="K1842" s="306"/>
      <c r="L1842" s="306"/>
      <c r="M1842" s="306"/>
      <c r="N1842" s="298"/>
      <c r="O1842" s="298"/>
      <c r="P1842" s="298"/>
      <c r="Q1842" s="306"/>
      <c r="R1842" s="1023"/>
      <c r="S1842" s="1023"/>
      <c r="T1842" s="306"/>
      <c r="U1842" s="306"/>
      <c r="V1842" s="306"/>
      <c r="W1842" s="306"/>
      <c r="X1842" s="306"/>
      <c r="Y1842" s="306"/>
      <c r="Z1842" s="306"/>
      <c r="AA1842" s="306"/>
      <c r="AB1842" s="306"/>
      <c r="AC1842" s="306"/>
      <c r="AD1842" s="306"/>
      <c r="AE1842" s="306"/>
      <c r="AF1842" s="306"/>
      <c r="AG1842" s="306"/>
      <c r="AH1842" s="306"/>
      <c r="AI1842" s="306"/>
      <c r="AJ1842" s="306"/>
      <c r="AK1842" s="306"/>
      <c r="AL1842" s="306"/>
      <c r="AM1842" s="418"/>
      <c r="AN1842" s="418"/>
      <c r="AO1842" s="306"/>
      <c r="AP1842" s="306"/>
      <c r="AQ1842" s="418"/>
      <c r="AR1842" s="306"/>
      <c r="AS1842" s="306"/>
      <c r="AT1842" s="418"/>
      <c r="AU1842" s="306"/>
      <c r="AV1842" s="306"/>
      <c r="AW1842" s="306"/>
      <c r="AX1842" s="306"/>
      <c r="AY1842" s="306"/>
      <c r="AZ1842" s="306"/>
      <c r="BA1842" s="306"/>
      <c r="BB1842" s="306"/>
    </row>
    <row r="1843" spans="1:54" ht="15.75" customHeight="1">
      <c r="A1843" s="317"/>
      <c r="B1843" s="430"/>
      <c r="C1843" s="317"/>
      <c r="E1843" s="306"/>
      <c r="F1843" s="431"/>
      <c r="G1843" s="431"/>
      <c r="H1843" s="298"/>
      <c r="I1843" s="432"/>
      <c r="J1843" s="433"/>
      <c r="K1843" s="306"/>
      <c r="L1843" s="306"/>
      <c r="M1843" s="306"/>
      <c r="N1843" s="298"/>
      <c r="O1843" s="298"/>
      <c r="P1843" s="298"/>
      <c r="Q1843" s="306"/>
      <c r="R1843" s="1023"/>
      <c r="S1843" s="1023"/>
      <c r="T1843" s="306"/>
      <c r="U1843" s="306"/>
      <c r="V1843" s="306"/>
      <c r="W1843" s="306"/>
      <c r="X1843" s="306"/>
      <c r="Y1843" s="306"/>
      <c r="Z1843" s="306"/>
      <c r="AA1843" s="306"/>
      <c r="AB1843" s="306"/>
      <c r="AC1843" s="306"/>
      <c r="AD1843" s="306"/>
      <c r="AE1843" s="306"/>
      <c r="AF1843" s="306"/>
      <c r="AG1843" s="306"/>
      <c r="AH1843" s="306"/>
      <c r="AI1843" s="306"/>
      <c r="AJ1843" s="306"/>
      <c r="AK1843" s="306"/>
      <c r="AL1843" s="306"/>
      <c r="AM1843" s="418"/>
      <c r="AN1843" s="418"/>
      <c r="AO1843" s="306"/>
      <c r="AP1843" s="306"/>
      <c r="AQ1843" s="418"/>
      <c r="AR1843" s="306"/>
      <c r="AS1843" s="306"/>
      <c r="AT1843" s="418"/>
      <c r="AU1843" s="306"/>
      <c r="AV1843" s="306"/>
      <c r="AW1843" s="306"/>
      <c r="AX1843" s="306"/>
      <c r="AY1843" s="306"/>
      <c r="AZ1843" s="306"/>
      <c r="BA1843" s="306"/>
      <c r="BB1843" s="306"/>
    </row>
    <row r="1844" spans="1:54" ht="15.75" customHeight="1">
      <c r="A1844" s="317"/>
      <c r="B1844" s="430"/>
      <c r="C1844" s="317"/>
      <c r="E1844" s="306"/>
      <c r="F1844" s="431"/>
      <c r="G1844" s="431"/>
      <c r="H1844" s="298"/>
      <c r="I1844" s="432"/>
      <c r="J1844" s="433"/>
      <c r="K1844" s="306"/>
      <c r="L1844" s="306"/>
      <c r="M1844" s="306"/>
      <c r="N1844" s="298"/>
      <c r="O1844" s="298"/>
      <c r="P1844" s="298"/>
      <c r="Q1844" s="306"/>
      <c r="R1844" s="1023"/>
      <c r="S1844" s="1023"/>
      <c r="T1844" s="306"/>
      <c r="U1844" s="306"/>
      <c r="V1844" s="306"/>
      <c r="W1844" s="306"/>
      <c r="X1844" s="306"/>
      <c r="Y1844" s="306"/>
      <c r="Z1844" s="306"/>
      <c r="AA1844" s="306"/>
      <c r="AB1844" s="306"/>
      <c r="AC1844" s="306"/>
      <c r="AD1844" s="306"/>
      <c r="AE1844" s="306"/>
      <c r="AF1844" s="306"/>
      <c r="AG1844" s="306"/>
      <c r="AH1844" s="306"/>
      <c r="AI1844" s="306"/>
      <c r="AJ1844" s="306"/>
      <c r="AK1844" s="306"/>
      <c r="AL1844" s="306"/>
      <c r="AM1844" s="418"/>
      <c r="AN1844" s="418"/>
      <c r="AO1844" s="306"/>
      <c r="AP1844" s="306"/>
      <c r="AQ1844" s="418"/>
      <c r="AR1844" s="306"/>
      <c r="AS1844" s="306"/>
      <c r="AT1844" s="418"/>
      <c r="AU1844" s="306"/>
      <c r="AV1844" s="306"/>
      <c r="AW1844" s="306"/>
      <c r="AX1844" s="306"/>
      <c r="AY1844" s="306"/>
      <c r="AZ1844" s="306"/>
      <c r="BA1844" s="306"/>
      <c r="BB1844" s="306"/>
    </row>
    <row r="1845" spans="1:54" ht="15.75" customHeight="1">
      <c r="A1845" s="317"/>
      <c r="B1845" s="430"/>
      <c r="C1845" s="317"/>
      <c r="E1845" s="306"/>
      <c r="F1845" s="431"/>
      <c r="G1845" s="431"/>
      <c r="H1845" s="298"/>
      <c r="I1845" s="432"/>
      <c r="J1845" s="433"/>
      <c r="K1845" s="306"/>
      <c r="L1845" s="306"/>
      <c r="M1845" s="306"/>
      <c r="N1845" s="298"/>
      <c r="O1845" s="298"/>
      <c r="P1845" s="298"/>
      <c r="Q1845" s="306"/>
      <c r="R1845" s="1023"/>
      <c r="S1845" s="1023"/>
      <c r="T1845" s="306"/>
      <c r="U1845" s="306"/>
      <c r="V1845" s="306"/>
      <c r="W1845" s="306"/>
      <c r="X1845" s="306"/>
      <c r="Y1845" s="306"/>
      <c r="Z1845" s="306"/>
      <c r="AA1845" s="306"/>
      <c r="AB1845" s="306"/>
      <c r="AC1845" s="306"/>
      <c r="AD1845" s="306"/>
      <c r="AE1845" s="306"/>
      <c r="AF1845" s="306"/>
      <c r="AG1845" s="306"/>
      <c r="AH1845" s="306"/>
      <c r="AI1845" s="306"/>
      <c r="AJ1845" s="306"/>
      <c r="AK1845" s="306"/>
      <c r="AL1845" s="306"/>
      <c r="AM1845" s="418"/>
      <c r="AN1845" s="418"/>
      <c r="AO1845" s="306"/>
      <c r="AP1845" s="306"/>
      <c r="AQ1845" s="418"/>
      <c r="AR1845" s="306"/>
      <c r="AS1845" s="306"/>
      <c r="AT1845" s="418"/>
      <c r="AU1845" s="306"/>
      <c r="AV1845" s="306"/>
      <c r="AW1845" s="306"/>
      <c r="AX1845" s="306"/>
      <c r="AY1845" s="306"/>
      <c r="AZ1845" s="306"/>
      <c r="BA1845" s="306"/>
      <c r="BB1845" s="306"/>
    </row>
    <row r="1846" spans="1:54" ht="15.75" customHeight="1">
      <c r="A1846" s="317"/>
      <c r="B1846" s="430"/>
      <c r="C1846" s="317"/>
      <c r="E1846" s="306"/>
      <c r="F1846" s="431"/>
      <c r="G1846" s="431"/>
      <c r="H1846" s="298"/>
      <c r="I1846" s="431"/>
      <c r="J1846" s="435"/>
      <c r="K1846" s="306"/>
      <c r="L1846" s="306"/>
      <c r="M1846" s="306"/>
      <c r="N1846" s="298"/>
      <c r="O1846" s="298"/>
      <c r="P1846" s="298"/>
      <c r="Q1846" s="306"/>
      <c r="R1846" s="1023"/>
      <c r="S1846" s="1023"/>
      <c r="T1846" s="306"/>
      <c r="U1846" s="306"/>
      <c r="V1846" s="306"/>
      <c r="W1846" s="306"/>
      <c r="X1846" s="306"/>
      <c r="Y1846" s="306"/>
      <c r="Z1846" s="306"/>
      <c r="AA1846" s="306"/>
      <c r="AB1846" s="306"/>
      <c r="AC1846" s="306"/>
      <c r="AD1846" s="306"/>
      <c r="AE1846" s="306"/>
      <c r="AF1846" s="306"/>
      <c r="AG1846" s="306"/>
      <c r="AH1846" s="306"/>
      <c r="AI1846" s="306"/>
      <c r="AJ1846" s="306"/>
      <c r="AK1846" s="306"/>
      <c r="AL1846" s="306"/>
      <c r="AM1846" s="418"/>
      <c r="AN1846" s="418"/>
      <c r="AO1846" s="306"/>
      <c r="AP1846" s="306"/>
      <c r="AQ1846" s="418"/>
      <c r="AR1846" s="306"/>
      <c r="AS1846" s="306"/>
      <c r="AT1846" s="418"/>
      <c r="AU1846" s="306"/>
      <c r="AV1846" s="306"/>
      <c r="AW1846" s="306"/>
      <c r="AX1846" s="306"/>
      <c r="AY1846" s="306"/>
      <c r="AZ1846" s="306"/>
      <c r="BA1846" s="306"/>
      <c r="BB1846" s="306"/>
    </row>
    <row r="1847" spans="1:54" ht="15.75" customHeight="1">
      <c r="A1847" s="317"/>
      <c r="B1847" s="430"/>
      <c r="C1847" s="317"/>
      <c r="E1847" s="306"/>
      <c r="F1847" s="431"/>
      <c r="G1847" s="431"/>
      <c r="H1847" s="298"/>
      <c r="I1847" s="431"/>
      <c r="J1847" s="435"/>
      <c r="K1847" s="306"/>
      <c r="L1847" s="306"/>
      <c r="M1847" s="306"/>
      <c r="N1847" s="298"/>
      <c r="O1847" s="298"/>
      <c r="P1847" s="298"/>
      <c r="Q1847" s="306"/>
      <c r="R1847" s="1023"/>
      <c r="S1847" s="1023"/>
      <c r="T1847" s="306"/>
      <c r="U1847" s="306"/>
      <c r="V1847" s="306"/>
      <c r="W1847" s="306"/>
      <c r="X1847" s="306"/>
      <c r="Y1847" s="306"/>
      <c r="Z1847" s="306"/>
      <c r="AA1847" s="306"/>
      <c r="AB1847" s="306"/>
      <c r="AC1847" s="306"/>
      <c r="AD1847" s="306"/>
      <c r="AE1847" s="306"/>
      <c r="AF1847" s="306"/>
      <c r="AG1847" s="306"/>
      <c r="AH1847" s="306"/>
      <c r="AI1847" s="306"/>
      <c r="AJ1847" s="306"/>
      <c r="AK1847" s="306"/>
      <c r="AL1847" s="306"/>
      <c r="AM1847" s="418"/>
      <c r="AN1847" s="418"/>
      <c r="AO1847" s="306"/>
      <c r="AP1847" s="306"/>
      <c r="AQ1847" s="418"/>
      <c r="AR1847" s="306"/>
      <c r="AS1847" s="306"/>
      <c r="AT1847" s="418"/>
      <c r="AU1847" s="306"/>
      <c r="AV1847" s="306"/>
      <c r="AW1847" s="306"/>
      <c r="AX1847" s="306"/>
      <c r="AY1847" s="306"/>
      <c r="AZ1847" s="306"/>
      <c r="BA1847" s="306"/>
      <c r="BB1847" s="306"/>
    </row>
    <row r="1848" spans="1:54" ht="15.75" customHeight="1">
      <c r="A1848" s="317"/>
      <c r="B1848" s="430"/>
      <c r="C1848" s="317"/>
      <c r="E1848" s="306"/>
      <c r="F1848" s="431"/>
      <c r="G1848" s="431"/>
      <c r="H1848" s="298"/>
      <c r="I1848" s="432"/>
      <c r="J1848" s="433"/>
      <c r="K1848" s="306"/>
      <c r="L1848" s="306"/>
      <c r="M1848" s="306"/>
      <c r="N1848" s="298"/>
      <c r="O1848" s="298"/>
      <c r="P1848" s="298"/>
      <c r="Q1848" s="306"/>
      <c r="R1848" s="1023"/>
      <c r="S1848" s="1023"/>
      <c r="T1848" s="306"/>
      <c r="U1848" s="306"/>
      <c r="V1848" s="306"/>
      <c r="W1848" s="306"/>
      <c r="X1848" s="306"/>
      <c r="Y1848" s="306"/>
      <c r="Z1848" s="306"/>
      <c r="AA1848" s="306"/>
      <c r="AB1848" s="306"/>
      <c r="AC1848" s="306"/>
      <c r="AD1848" s="306"/>
      <c r="AE1848" s="306"/>
      <c r="AF1848" s="306"/>
      <c r="AG1848" s="306"/>
      <c r="AH1848" s="306"/>
      <c r="AI1848" s="306"/>
      <c r="AJ1848" s="306"/>
      <c r="AK1848" s="306"/>
      <c r="AL1848" s="306"/>
      <c r="AM1848" s="418"/>
      <c r="AN1848" s="418"/>
      <c r="AO1848" s="306"/>
      <c r="AP1848" s="306"/>
      <c r="AQ1848" s="418"/>
      <c r="AR1848" s="306"/>
      <c r="AS1848" s="306"/>
      <c r="AT1848" s="418"/>
      <c r="AU1848" s="306"/>
      <c r="AV1848" s="306"/>
      <c r="AW1848" s="306"/>
      <c r="AX1848" s="306"/>
      <c r="AY1848" s="306"/>
      <c r="AZ1848" s="306"/>
      <c r="BA1848" s="306"/>
      <c r="BB1848" s="306"/>
    </row>
    <row r="1849" spans="1:54" ht="15.75" customHeight="1">
      <c r="A1849" s="317"/>
      <c r="B1849" s="430"/>
      <c r="C1849" s="317"/>
      <c r="E1849" s="306"/>
      <c r="F1849" s="431"/>
      <c r="G1849" s="431"/>
      <c r="H1849" s="298"/>
      <c r="I1849" s="432"/>
      <c r="J1849" s="433"/>
      <c r="K1849" s="306"/>
      <c r="L1849" s="306"/>
      <c r="M1849" s="306"/>
      <c r="N1849" s="298"/>
      <c r="O1849" s="298"/>
      <c r="P1849" s="298"/>
      <c r="Q1849" s="306"/>
      <c r="R1849" s="1023"/>
      <c r="S1849" s="1023"/>
      <c r="T1849" s="306"/>
      <c r="U1849" s="306"/>
      <c r="V1849" s="306"/>
      <c r="W1849" s="306"/>
      <c r="X1849" s="306"/>
      <c r="Y1849" s="306"/>
      <c r="Z1849" s="306"/>
      <c r="AA1849" s="306"/>
      <c r="AB1849" s="306"/>
      <c r="AC1849" s="306"/>
      <c r="AD1849" s="306"/>
      <c r="AE1849" s="306"/>
      <c r="AF1849" s="306"/>
      <c r="AG1849" s="306"/>
      <c r="AH1849" s="306"/>
      <c r="AI1849" s="306"/>
      <c r="AJ1849" s="306"/>
      <c r="AK1849" s="306"/>
      <c r="AL1849" s="306"/>
      <c r="AM1849" s="418"/>
      <c r="AN1849" s="418"/>
      <c r="AO1849" s="306"/>
      <c r="AP1849" s="306"/>
      <c r="AQ1849" s="418"/>
      <c r="AR1849" s="306"/>
      <c r="AS1849" s="306"/>
      <c r="AT1849" s="418"/>
      <c r="AU1849" s="306"/>
      <c r="AV1849" s="306"/>
      <c r="AW1849" s="306"/>
      <c r="AX1849" s="306"/>
      <c r="AY1849" s="306"/>
      <c r="AZ1849" s="306"/>
      <c r="BA1849" s="306"/>
      <c r="BB1849" s="306"/>
    </row>
    <row r="1850" spans="1:54" ht="15.75" customHeight="1">
      <c r="A1850" s="317"/>
      <c r="B1850" s="430"/>
      <c r="C1850" s="317"/>
      <c r="E1850" s="306"/>
      <c r="F1850" s="431"/>
      <c r="G1850" s="431"/>
      <c r="H1850" s="298"/>
      <c r="I1850" s="432"/>
      <c r="J1850" s="433"/>
      <c r="K1850" s="306"/>
      <c r="L1850" s="306"/>
      <c r="M1850" s="306"/>
      <c r="N1850" s="298"/>
      <c r="O1850" s="298"/>
      <c r="P1850" s="298"/>
      <c r="Q1850" s="306"/>
      <c r="R1850" s="1023"/>
      <c r="S1850" s="1023"/>
      <c r="T1850" s="306"/>
      <c r="U1850" s="306"/>
      <c r="V1850" s="306"/>
      <c r="W1850" s="306"/>
      <c r="X1850" s="306"/>
      <c r="Y1850" s="306"/>
      <c r="Z1850" s="306"/>
      <c r="AA1850" s="306"/>
      <c r="AB1850" s="306"/>
      <c r="AC1850" s="306"/>
      <c r="AD1850" s="306"/>
      <c r="AE1850" s="306"/>
      <c r="AF1850" s="306"/>
      <c r="AG1850" s="306"/>
      <c r="AH1850" s="306"/>
      <c r="AI1850" s="306"/>
      <c r="AJ1850" s="306"/>
      <c r="AK1850" s="306"/>
      <c r="AL1850" s="306"/>
      <c r="AM1850" s="418"/>
      <c r="AN1850" s="418"/>
      <c r="AO1850" s="306"/>
      <c r="AP1850" s="306"/>
      <c r="AQ1850" s="418"/>
      <c r="AR1850" s="306"/>
      <c r="AS1850" s="306"/>
      <c r="AT1850" s="418"/>
      <c r="AU1850" s="306"/>
      <c r="AV1850" s="306"/>
      <c r="AW1850" s="306"/>
      <c r="AX1850" s="306"/>
      <c r="AY1850" s="306"/>
      <c r="AZ1850" s="306"/>
      <c r="BA1850" s="306"/>
      <c r="BB1850" s="306"/>
    </row>
    <row r="1851" spans="1:54" ht="15.75" customHeight="1">
      <c r="A1851" s="317"/>
      <c r="B1851" s="430"/>
      <c r="C1851" s="317"/>
      <c r="E1851" s="306"/>
      <c r="F1851" s="431"/>
      <c r="G1851" s="431"/>
      <c r="H1851" s="298"/>
      <c r="I1851" s="432"/>
      <c r="J1851" s="433"/>
      <c r="K1851" s="306"/>
      <c r="L1851" s="306"/>
      <c r="M1851" s="306"/>
      <c r="N1851" s="298"/>
      <c r="O1851" s="298"/>
      <c r="P1851" s="298"/>
      <c r="Q1851" s="306"/>
      <c r="R1851" s="1023"/>
      <c r="S1851" s="1023"/>
      <c r="T1851" s="306"/>
      <c r="U1851" s="306"/>
      <c r="V1851" s="306"/>
      <c r="W1851" s="306"/>
      <c r="X1851" s="306"/>
      <c r="Y1851" s="306"/>
      <c r="Z1851" s="306"/>
      <c r="AA1851" s="306"/>
      <c r="AB1851" s="306"/>
      <c r="AC1851" s="306"/>
      <c r="AD1851" s="306"/>
      <c r="AE1851" s="306"/>
      <c r="AF1851" s="306"/>
      <c r="AG1851" s="306"/>
      <c r="AH1851" s="306"/>
      <c r="AI1851" s="306"/>
      <c r="AJ1851" s="306"/>
      <c r="AK1851" s="306"/>
      <c r="AL1851" s="306"/>
      <c r="AM1851" s="418"/>
      <c r="AN1851" s="418"/>
      <c r="AO1851" s="306"/>
      <c r="AP1851" s="306"/>
      <c r="AQ1851" s="418"/>
      <c r="AR1851" s="306"/>
      <c r="AS1851" s="306"/>
      <c r="AT1851" s="418"/>
      <c r="AU1851" s="306"/>
      <c r="AV1851" s="306"/>
      <c r="AW1851" s="306"/>
      <c r="AX1851" s="306"/>
      <c r="AY1851" s="306"/>
      <c r="AZ1851" s="306"/>
      <c r="BA1851" s="306"/>
      <c r="BB1851" s="306"/>
    </row>
    <row r="1852" spans="1:54" ht="15.75" customHeight="1">
      <c r="A1852" s="317"/>
      <c r="B1852" s="430"/>
      <c r="C1852" s="317"/>
      <c r="E1852" s="306"/>
      <c r="F1852" s="431"/>
      <c r="G1852" s="431"/>
      <c r="H1852" s="298"/>
      <c r="I1852" s="432"/>
      <c r="J1852" s="433"/>
      <c r="K1852" s="306"/>
      <c r="L1852" s="306"/>
      <c r="M1852" s="306"/>
      <c r="N1852" s="298"/>
      <c r="O1852" s="298"/>
      <c r="P1852" s="298"/>
      <c r="Q1852" s="306"/>
      <c r="R1852" s="1023"/>
      <c r="S1852" s="1023"/>
      <c r="T1852" s="306"/>
      <c r="U1852" s="306"/>
      <c r="V1852" s="306"/>
      <c r="W1852" s="306"/>
      <c r="X1852" s="306"/>
      <c r="Y1852" s="306"/>
      <c r="Z1852" s="306"/>
      <c r="AA1852" s="306"/>
      <c r="AB1852" s="306"/>
      <c r="AC1852" s="306"/>
      <c r="AD1852" s="306"/>
      <c r="AE1852" s="306"/>
      <c r="AF1852" s="306"/>
      <c r="AG1852" s="306"/>
      <c r="AH1852" s="306"/>
      <c r="AI1852" s="306"/>
      <c r="AJ1852" s="306"/>
      <c r="AK1852" s="306"/>
      <c r="AL1852" s="306"/>
      <c r="AM1852" s="418"/>
      <c r="AN1852" s="418"/>
      <c r="AO1852" s="306"/>
      <c r="AP1852" s="306"/>
      <c r="AQ1852" s="418"/>
      <c r="AR1852" s="306"/>
      <c r="AS1852" s="306"/>
      <c r="AT1852" s="418"/>
      <c r="AU1852" s="306"/>
      <c r="AV1852" s="306"/>
      <c r="AW1852" s="306"/>
      <c r="AX1852" s="306"/>
      <c r="AY1852" s="306"/>
      <c r="AZ1852" s="306"/>
      <c r="BA1852" s="306"/>
      <c r="BB1852" s="306"/>
    </row>
    <row r="1853" spans="1:54" ht="15.75" customHeight="1">
      <c r="A1853" s="317"/>
      <c r="B1853" s="430"/>
      <c r="C1853" s="317"/>
      <c r="E1853" s="306"/>
      <c r="F1853" s="431"/>
      <c r="G1853" s="431"/>
      <c r="H1853" s="298"/>
      <c r="I1853" s="432"/>
      <c r="J1853" s="433"/>
      <c r="K1853" s="306"/>
      <c r="L1853" s="306"/>
      <c r="M1853" s="306"/>
      <c r="N1853" s="298"/>
      <c r="O1853" s="298"/>
      <c r="P1853" s="298"/>
      <c r="Q1853" s="306"/>
      <c r="R1853" s="1023"/>
      <c r="S1853" s="1023"/>
      <c r="T1853" s="306"/>
      <c r="U1853" s="306"/>
      <c r="V1853" s="306"/>
      <c r="W1853" s="306"/>
      <c r="X1853" s="306"/>
      <c r="Y1853" s="306"/>
      <c r="Z1853" s="306"/>
      <c r="AA1853" s="306"/>
      <c r="AB1853" s="306"/>
      <c r="AC1853" s="306"/>
      <c r="AD1853" s="306"/>
      <c r="AE1853" s="306"/>
      <c r="AF1853" s="306"/>
      <c r="AG1853" s="306"/>
      <c r="AH1853" s="306"/>
      <c r="AI1853" s="306"/>
      <c r="AJ1853" s="306"/>
      <c r="AK1853" s="306"/>
      <c r="AL1853" s="306"/>
      <c r="AM1853" s="418"/>
      <c r="AN1853" s="418"/>
      <c r="AO1853" s="306"/>
      <c r="AP1853" s="306"/>
      <c r="AQ1853" s="418"/>
      <c r="AR1853" s="306"/>
      <c r="AS1853" s="306"/>
      <c r="AT1853" s="418"/>
      <c r="AU1853" s="306"/>
      <c r="AV1853" s="306"/>
      <c r="AW1853" s="306"/>
      <c r="AX1853" s="306"/>
      <c r="AY1853" s="306"/>
      <c r="AZ1853" s="306"/>
      <c r="BA1853" s="306"/>
      <c r="BB1853" s="306"/>
    </row>
    <row r="1854" spans="1:54" ht="15.75" customHeight="1">
      <c r="A1854" s="317"/>
      <c r="B1854" s="430"/>
      <c r="C1854" s="317"/>
      <c r="E1854" s="306"/>
      <c r="F1854" s="431"/>
      <c r="G1854" s="431"/>
      <c r="H1854" s="298"/>
      <c r="I1854" s="432"/>
      <c r="J1854" s="433"/>
      <c r="K1854" s="306"/>
      <c r="L1854" s="306"/>
      <c r="M1854" s="306"/>
      <c r="N1854" s="298"/>
      <c r="O1854" s="298"/>
      <c r="P1854" s="298"/>
      <c r="Q1854" s="306"/>
      <c r="R1854" s="1023"/>
      <c r="S1854" s="1023"/>
      <c r="T1854" s="306"/>
      <c r="U1854" s="306"/>
      <c r="V1854" s="306"/>
      <c r="W1854" s="306"/>
      <c r="X1854" s="306"/>
      <c r="Y1854" s="306"/>
      <c r="Z1854" s="306"/>
      <c r="AA1854" s="306"/>
      <c r="AB1854" s="306"/>
      <c r="AC1854" s="306"/>
      <c r="AD1854" s="306"/>
      <c r="AE1854" s="306"/>
      <c r="AF1854" s="306"/>
      <c r="AG1854" s="306"/>
      <c r="AH1854" s="306"/>
      <c r="AI1854" s="306"/>
      <c r="AJ1854" s="306"/>
      <c r="AK1854" s="306"/>
      <c r="AL1854" s="306"/>
      <c r="AM1854" s="418"/>
      <c r="AN1854" s="418"/>
      <c r="AO1854" s="306"/>
      <c r="AP1854" s="306"/>
      <c r="AQ1854" s="418"/>
      <c r="AR1854" s="306"/>
      <c r="AS1854" s="306"/>
      <c r="AT1854" s="418"/>
      <c r="AU1854" s="306"/>
      <c r="AV1854" s="306"/>
      <c r="AW1854" s="306"/>
      <c r="AX1854" s="306"/>
      <c r="AY1854" s="306"/>
      <c r="AZ1854" s="306"/>
      <c r="BA1854" s="306"/>
      <c r="BB1854" s="306"/>
    </row>
    <row r="1855" spans="1:54" ht="15.75" customHeight="1">
      <c r="A1855" s="317"/>
      <c r="B1855" s="430"/>
      <c r="C1855" s="317"/>
      <c r="E1855" s="306"/>
      <c r="F1855" s="431"/>
      <c r="G1855" s="431"/>
      <c r="H1855" s="298"/>
      <c r="I1855" s="432"/>
      <c r="J1855" s="433"/>
      <c r="K1855" s="306"/>
      <c r="L1855" s="306"/>
      <c r="M1855" s="306"/>
      <c r="N1855" s="298"/>
      <c r="O1855" s="298"/>
      <c r="P1855" s="298"/>
      <c r="Q1855" s="306"/>
      <c r="R1855" s="1023"/>
      <c r="S1855" s="1023"/>
      <c r="T1855" s="306"/>
      <c r="U1855" s="306"/>
      <c r="V1855" s="306"/>
      <c r="W1855" s="306"/>
      <c r="X1855" s="306"/>
      <c r="Y1855" s="306"/>
      <c r="Z1855" s="306"/>
      <c r="AA1855" s="306"/>
      <c r="AB1855" s="306"/>
      <c r="AC1855" s="306"/>
      <c r="AD1855" s="306"/>
      <c r="AE1855" s="306"/>
      <c r="AF1855" s="306"/>
      <c r="AG1855" s="306"/>
      <c r="AH1855" s="306"/>
      <c r="AI1855" s="306"/>
      <c r="AJ1855" s="306"/>
      <c r="AK1855" s="306"/>
      <c r="AL1855" s="306"/>
      <c r="AM1855" s="418"/>
      <c r="AN1855" s="418"/>
      <c r="AO1855" s="306"/>
      <c r="AP1855" s="306"/>
      <c r="AQ1855" s="418"/>
      <c r="AR1855" s="306"/>
      <c r="AS1855" s="306"/>
      <c r="AT1855" s="418"/>
      <c r="AU1855" s="306"/>
      <c r="AV1855" s="306"/>
      <c r="AW1855" s="306"/>
      <c r="AX1855" s="306"/>
      <c r="AY1855" s="306"/>
      <c r="AZ1855" s="306"/>
      <c r="BA1855" s="306"/>
      <c r="BB1855" s="306"/>
    </row>
    <row r="1856" spans="1:54" ht="15.75" customHeight="1">
      <c r="A1856" s="317"/>
      <c r="B1856" s="430"/>
      <c r="C1856" s="317"/>
      <c r="E1856" s="306"/>
      <c r="F1856" s="431"/>
      <c r="G1856" s="431"/>
      <c r="H1856" s="298"/>
      <c r="I1856" s="432"/>
      <c r="J1856" s="433"/>
      <c r="K1856" s="306"/>
      <c r="L1856" s="306"/>
      <c r="M1856" s="306"/>
      <c r="N1856" s="298"/>
      <c r="O1856" s="298"/>
      <c r="P1856" s="298"/>
      <c r="Q1856" s="306"/>
      <c r="R1856" s="1023"/>
      <c r="S1856" s="1023"/>
      <c r="T1856" s="306"/>
      <c r="U1856" s="306"/>
      <c r="V1856" s="306"/>
      <c r="W1856" s="306"/>
      <c r="X1856" s="306"/>
      <c r="Y1856" s="306"/>
      <c r="Z1856" s="306"/>
      <c r="AA1856" s="306"/>
      <c r="AB1856" s="306"/>
      <c r="AC1856" s="306"/>
      <c r="AD1856" s="306"/>
      <c r="AE1856" s="306"/>
      <c r="AF1856" s="306"/>
      <c r="AG1856" s="306"/>
      <c r="AH1856" s="306"/>
      <c r="AI1856" s="306"/>
      <c r="AJ1856" s="306"/>
      <c r="AK1856" s="306"/>
      <c r="AL1856" s="306"/>
      <c r="AM1856" s="418"/>
      <c r="AN1856" s="418"/>
      <c r="AO1856" s="306"/>
      <c r="AP1856" s="306"/>
      <c r="AQ1856" s="418"/>
      <c r="AR1856" s="306"/>
      <c r="AS1856" s="306"/>
      <c r="AT1856" s="418"/>
      <c r="AU1856" s="306"/>
      <c r="AV1856" s="306"/>
      <c r="AW1856" s="306"/>
      <c r="AX1856" s="306"/>
      <c r="AY1856" s="306"/>
      <c r="AZ1856" s="306"/>
      <c r="BA1856" s="306"/>
      <c r="BB1856" s="306"/>
    </row>
    <row r="1857" spans="1:54" ht="15.75" customHeight="1">
      <c r="A1857" s="317"/>
      <c r="B1857" s="430"/>
      <c r="C1857" s="317"/>
      <c r="E1857" s="306"/>
      <c r="F1857" s="431"/>
      <c r="G1857" s="431"/>
      <c r="H1857" s="298"/>
      <c r="I1857" s="432"/>
      <c r="J1857" s="433"/>
      <c r="K1857" s="306"/>
      <c r="L1857" s="306"/>
      <c r="M1857" s="306"/>
      <c r="N1857" s="298"/>
      <c r="O1857" s="298"/>
      <c r="P1857" s="298"/>
      <c r="Q1857" s="306"/>
      <c r="R1857" s="1023"/>
      <c r="S1857" s="1023"/>
      <c r="T1857" s="306"/>
      <c r="U1857" s="306"/>
      <c r="V1857" s="306"/>
      <c r="W1857" s="306"/>
      <c r="X1857" s="306"/>
      <c r="Y1857" s="306"/>
      <c r="Z1857" s="306"/>
      <c r="AA1857" s="306"/>
      <c r="AB1857" s="306"/>
      <c r="AC1857" s="306"/>
      <c r="AD1857" s="306"/>
      <c r="AE1857" s="306"/>
      <c r="AF1857" s="306"/>
      <c r="AG1857" s="306"/>
      <c r="AH1857" s="306"/>
      <c r="AI1857" s="306"/>
      <c r="AJ1857" s="306"/>
      <c r="AK1857" s="306"/>
      <c r="AL1857" s="306"/>
      <c r="AM1857" s="418"/>
      <c r="AN1857" s="418"/>
      <c r="AO1857" s="306"/>
      <c r="AP1857" s="306"/>
      <c r="AQ1857" s="418"/>
      <c r="AR1857" s="306"/>
      <c r="AS1857" s="306"/>
      <c r="AT1857" s="418"/>
      <c r="AU1857" s="306"/>
      <c r="AV1857" s="306"/>
      <c r="AW1857" s="306"/>
      <c r="AX1857" s="306"/>
      <c r="AY1857" s="306"/>
      <c r="AZ1857" s="306"/>
      <c r="BA1857" s="306"/>
      <c r="BB1857" s="306"/>
    </row>
    <row r="1858" spans="1:54" ht="15.75" customHeight="1">
      <c r="A1858" s="317"/>
      <c r="B1858" s="430"/>
      <c r="C1858" s="317"/>
      <c r="E1858" s="306"/>
      <c r="F1858" s="431"/>
      <c r="G1858" s="431"/>
      <c r="H1858" s="298"/>
      <c r="I1858" s="432"/>
      <c r="J1858" s="433"/>
      <c r="K1858" s="306"/>
      <c r="L1858" s="306"/>
      <c r="M1858" s="306"/>
      <c r="N1858" s="298"/>
      <c r="O1858" s="298"/>
      <c r="P1858" s="298"/>
      <c r="Q1858" s="306"/>
      <c r="R1858" s="1023"/>
      <c r="S1858" s="1023"/>
      <c r="T1858" s="306"/>
      <c r="U1858" s="306"/>
      <c r="V1858" s="306"/>
      <c r="W1858" s="306"/>
      <c r="X1858" s="306"/>
      <c r="Y1858" s="306"/>
      <c r="Z1858" s="306"/>
      <c r="AA1858" s="306"/>
      <c r="AB1858" s="306"/>
      <c r="AC1858" s="306"/>
      <c r="AD1858" s="306"/>
      <c r="AE1858" s="306"/>
      <c r="AF1858" s="306"/>
      <c r="AG1858" s="306"/>
      <c r="AH1858" s="306"/>
      <c r="AI1858" s="306"/>
      <c r="AJ1858" s="306"/>
      <c r="AK1858" s="306"/>
      <c r="AL1858" s="306"/>
      <c r="AM1858" s="418"/>
      <c r="AN1858" s="418"/>
      <c r="AO1858" s="306"/>
      <c r="AP1858" s="306"/>
      <c r="AQ1858" s="418"/>
      <c r="AR1858" s="306"/>
      <c r="AS1858" s="306"/>
      <c r="AT1858" s="418"/>
      <c r="AU1858" s="306"/>
      <c r="AV1858" s="306"/>
      <c r="AW1858" s="306"/>
      <c r="AX1858" s="306"/>
      <c r="AY1858" s="306"/>
      <c r="AZ1858" s="306"/>
      <c r="BA1858" s="306"/>
      <c r="BB1858" s="306"/>
    </row>
    <row r="1859" spans="1:54" ht="15.75" customHeight="1">
      <c r="A1859" s="317"/>
      <c r="B1859" s="430"/>
      <c r="C1859" s="317"/>
      <c r="E1859" s="306"/>
      <c r="F1859" s="431"/>
      <c r="G1859" s="431"/>
      <c r="H1859" s="298"/>
      <c r="I1859" s="431"/>
      <c r="J1859" s="435"/>
      <c r="K1859" s="306"/>
      <c r="L1859" s="306"/>
      <c r="M1859" s="306"/>
      <c r="N1859" s="298"/>
      <c r="O1859" s="298"/>
      <c r="P1859" s="298"/>
      <c r="Q1859" s="306"/>
      <c r="R1859" s="1023"/>
      <c r="S1859" s="1023"/>
      <c r="T1859" s="306"/>
      <c r="U1859" s="306"/>
      <c r="V1859" s="306"/>
      <c r="W1859" s="306"/>
      <c r="X1859" s="306"/>
      <c r="Y1859" s="306"/>
      <c r="Z1859" s="306"/>
      <c r="AA1859" s="306"/>
      <c r="AB1859" s="306"/>
      <c r="AC1859" s="306"/>
      <c r="AD1859" s="306"/>
      <c r="AE1859" s="306"/>
      <c r="AF1859" s="306"/>
      <c r="AG1859" s="306"/>
      <c r="AH1859" s="306"/>
      <c r="AI1859" s="306"/>
      <c r="AJ1859" s="306"/>
      <c r="AK1859" s="306"/>
      <c r="AL1859" s="306"/>
      <c r="AM1859" s="418"/>
      <c r="AN1859" s="418"/>
      <c r="AO1859" s="306"/>
      <c r="AP1859" s="306"/>
      <c r="AQ1859" s="418"/>
      <c r="AR1859" s="306"/>
      <c r="AS1859" s="306"/>
      <c r="AT1859" s="418"/>
      <c r="AU1859" s="306"/>
      <c r="AV1859" s="306"/>
      <c r="AW1859" s="306"/>
      <c r="AX1859" s="306"/>
      <c r="AY1859" s="306"/>
      <c r="AZ1859" s="306"/>
      <c r="BA1859" s="306"/>
      <c r="BB1859" s="306"/>
    </row>
    <row r="1860" spans="1:54" ht="15.75" customHeight="1">
      <c r="A1860" s="317"/>
      <c r="B1860" s="430"/>
      <c r="C1860" s="317"/>
      <c r="E1860" s="306"/>
      <c r="F1860" s="431"/>
      <c r="G1860" s="431"/>
      <c r="H1860" s="298"/>
      <c r="I1860" s="431"/>
      <c r="J1860" s="435"/>
      <c r="K1860" s="306"/>
      <c r="L1860" s="306"/>
      <c r="M1860" s="306"/>
      <c r="N1860" s="298"/>
      <c r="O1860" s="298"/>
      <c r="P1860" s="298"/>
      <c r="Q1860" s="306"/>
      <c r="R1860" s="1023"/>
      <c r="S1860" s="1023"/>
      <c r="T1860" s="306"/>
      <c r="U1860" s="306"/>
      <c r="V1860" s="306"/>
      <c r="W1860" s="306"/>
      <c r="X1860" s="306"/>
      <c r="Y1860" s="306"/>
      <c r="Z1860" s="306"/>
      <c r="AA1860" s="306"/>
      <c r="AB1860" s="306"/>
      <c r="AC1860" s="306"/>
      <c r="AD1860" s="306"/>
      <c r="AE1860" s="306"/>
      <c r="AF1860" s="306"/>
      <c r="AG1860" s="306"/>
      <c r="AH1860" s="306"/>
      <c r="AI1860" s="306"/>
      <c r="AJ1860" s="306"/>
      <c r="AK1860" s="306"/>
      <c r="AL1860" s="306"/>
      <c r="AM1860" s="418"/>
      <c r="AN1860" s="418"/>
      <c r="AO1860" s="306"/>
      <c r="AP1860" s="306"/>
      <c r="AQ1860" s="418"/>
      <c r="AR1860" s="306"/>
      <c r="AS1860" s="306"/>
      <c r="AT1860" s="418"/>
      <c r="AU1860" s="306"/>
      <c r="AV1860" s="306"/>
      <c r="AW1860" s="306"/>
      <c r="AX1860" s="306"/>
      <c r="AY1860" s="306"/>
      <c r="AZ1860" s="306"/>
      <c r="BA1860" s="306"/>
      <c r="BB1860" s="306"/>
    </row>
    <row r="1861" spans="1:54" ht="15.75" customHeight="1">
      <c r="A1861" s="317"/>
      <c r="B1861" s="430"/>
      <c r="C1861" s="317"/>
      <c r="E1861" s="306"/>
      <c r="F1861" s="431"/>
      <c r="G1861" s="431"/>
      <c r="H1861" s="298"/>
      <c r="I1861" s="431"/>
      <c r="J1861" s="435"/>
      <c r="K1861" s="306"/>
      <c r="L1861" s="306"/>
      <c r="M1861" s="306"/>
      <c r="N1861" s="298"/>
      <c r="O1861" s="298"/>
      <c r="P1861" s="298"/>
      <c r="Q1861" s="306"/>
      <c r="R1861" s="1023"/>
      <c r="S1861" s="1023"/>
      <c r="T1861" s="306"/>
      <c r="U1861" s="306"/>
      <c r="V1861" s="306"/>
      <c r="W1861" s="306"/>
      <c r="X1861" s="306"/>
      <c r="Y1861" s="306"/>
      <c r="Z1861" s="306"/>
      <c r="AA1861" s="306"/>
      <c r="AB1861" s="306"/>
      <c r="AC1861" s="306"/>
      <c r="AD1861" s="306"/>
      <c r="AE1861" s="306"/>
      <c r="AF1861" s="306"/>
      <c r="AG1861" s="306"/>
      <c r="AH1861" s="306"/>
      <c r="AI1861" s="306"/>
      <c r="AJ1861" s="306"/>
      <c r="AK1861" s="306"/>
      <c r="AL1861" s="306"/>
      <c r="AM1861" s="418"/>
      <c r="AN1861" s="418"/>
      <c r="AO1861" s="306"/>
      <c r="AP1861" s="306"/>
      <c r="AQ1861" s="418"/>
      <c r="AR1861" s="306"/>
      <c r="AS1861" s="306"/>
      <c r="AT1861" s="418"/>
      <c r="AU1861" s="306"/>
      <c r="AV1861" s="306"/>
      <c r="AW1861" s="306"/>
      <c r="AX1861" s="306"/>
      <c r="AY1861" s="306"/>
      <c r="AZ1861" s="306"/>
      <c r="BA1861" s="306"/>
      <c r="BB1861" s="306"/>
    </row>
    <row r="1862" spans="1:54" ht="15.75" customHeight="1">
      <c r="A1862" s="317"/>
      <c r="B1862" s="430"/>
      <c r="C1862" s="317"/>
      <c r="E1862" s="306"/>
      <c r="F1862" s="431"/>
      <c r="G1862" s="431"/>
      <c r="H1862" s="298"/>
      <c r="I1862" s="431"/>
      <c r="J1862" s="435"/>
      <c r="K1862" s="306"/>
      <c r="L1862" s="306"/>
      <c r="M1862" s="306"/>
      <c r="N1862" s="298"/>
      <c r="O1862" s="306"/>
      <c r="P1862" s="298"/>
      <c r="Q1862" s="306"/>
      <c r="R1862" s="1023"/>
      <c r="S1862" s="1023"/>
      <c r="T1862" s="306"/>
      <c r="U1862" s="306"/>
      <c r="V1862" s="306"/>
      <c r="W1862" s="306"/>
      <c r="X1862" s="306"/>
      <c r="Y1862" s="306"/>
      <c r="Z1862" s="306"/>
      <c r="AA1862" s="306"/>
      <c r="AB1862" s="306"/>
      <c r="AC1862" s="306"/>
      <c r="AD1862" s="306"/>
      <c r="AE1862" s="306"/>
      <c r="AF1862" s="306"/>
      <c r="AG1862" s="306"/>
      <c r="AH1862" s="306"/>
      <c r="AI1862" s="306"/>
      <c r="AJ1862" s="306"/>
      <c r="AK1862" s="306"/>
      <c r="AL1862" s="306"/>
      <c r="AM1862" s="418"/>
      <c r="AN1862" s="418"/>
      <c r="AO1862" s="306"/>
      <c r="AP1862" s="306"/>
      <c r="AQ1862" s="418"/>
      <c r="AR1862" s="306"/>
      <c r="AS1862" s="306"/>
      <c r="AT1862" s="418"/>
      <c r="AU1862" s="306"/>
      <c r="AV1862" s="306"/>
      <c r="AW1862" s="306"/>
      <c r="AX1862" s="306"/>
      <c r="AY1862" s="306"/>
      <c r="AZ1862" s="306"/>
      <c r="BA1862" s="306"/>
      <c r="BB1862" s="306"/>
    </row>
    <row r="1863" spans="1:54" ht="15.75" customHeight="1">
      <c r="A1863" s="317"/>
      <c r="B1863" s="430"/>
      <c r="C1863" s="317"/>
      <c r="E1863" s="306"/>
      <c r="F1863" s="431"/>
      <c r="G1863" s="431"/>
      <c r="H1863" s="298"/>
      <c r="I1863" s="432"/>
      <c r="J1863" s="433"/>
      <c r="K1863" s="306"/>
      <c r="L1863" s="306"/>
      <c r="M1863" s="306"/>
      <c r="N1863" s="298"/>
      <c r="O1863" s="306"/>
      <c r="P1863" s="298"/>
      <c r="Q1863" s="306"/>
      <c r="R1863" s="1023"/>
      <c r="S1863" s="1023"/>
      <c r="T1863" s="306"/>
      <c r="U1863" s="306"/>
      <c r="V1863" s="306"/>
      <c r="W1863" s="306"/>
      <c r="X1863" s="306"/>
      <c r="Y1863" s="306"/>
      <c r="Z1863" s="306"/>
      <c r="AA1863" s="306"/>
      <c r="AB1863" s="306"/>
      <c r="AC1863" s="306"/>
      <c r="AD1863" s="306"/>
      <c r="AE1863" s="306"/>
      <c r="AF1863" s="306"/>
      <c r="AG1863" s="306"/>
      <c r="AH1863" s="306"/>
      <c r="AI1863" s="306"/>
      <c r="AJ1863" s="306"/>
      <c r="AK1863" s="306"/>
      <c r="AL1863" s="306"/>
      <c r="AM1863" s="418"/>
      <c r="AN1863" s="418"/>
      <c r="AO1863" s="306"/>
      <c r="AP1863" s="306"/>
      <c r="AQ1863" s="418"/>
      <c r="AR1863" s="306"/>
      <c r="AS1863" s="306"/>
      <c r="AT1863" s="418"/>
      <c r="AU1863" s="306"/>
      <c r="AV1863" s="306"/>
      <c r="AW1863" s="306"/>
      <c r="AX1863" s="306"/>
      <c r="AY1863" s="306"/>
      <c r="AZ1863" s="306"/>
      <c r="BA1863" s="306"/>
      <c r="BB1863" s="306"/>
    </row>
    <row r="1864" spans="1:54" ht="15.75" customHeight="1">
      <c r="A1864" s="317"/>
      <c r="B1864" s="430"/>
      <c r="C1864" s="317"/>
      <c r="E1864" s="306"/>
      <c r="F1864" s="431"/>
      <c r="G1864" s="431"/>
      <c r="H1864" s="298"/>
      <c r="I1864" s="432"/>
      <c r="J1864" s="433"/>
      <c r="K1864" s="306"/>
      <c r="L1864" s="306"/>
      <c r="M1864" s="306"/>
      <c r="N1864" s="298"/>
      <c r="O1864" s="306"/>
      <c r="P1864" s="298"/>
      <c r="Q1864" s="306"/>
      <c r="R1864" s="1023"/>
      <c r="S1864" s="1023"/>
      <c r="T1864" s="306"/>
      <c r="U1864" s="306"/>
      <c r="V1864" s="306"/>
      <c r="W1864" s="306"/>
      <c r="X1864" s="306"/>
      <c r="Y1864" s="306"/>
      <c r="Z1864" s="306"/>
      <c r="AA1864" s="306"/>
      <c r="AB1864" s="306"/>
      <c r="AC1864" s="306"/>
      <c r="AD1864" s="306"/>
      <c r="AE1864" s="306"/>
      <c r="AF1864" s="306"/>
      <c r="AG1864" s="306"/>
      <c r="AH1864" s="306"/>
      <c r="AI1864" s="306"/>
      <c r="AJ1864" s="306"/>
      <c r="AK1864" s="306"/>
      <c r="AL1864" s="306"/>
      <c r="AM1864" s="418"/>
      <c r="AN1864" s="418"/>
      <c r="AO1864" s="306"/>
      <c r="AP1864" s="306"/>
      <c r="AQ1864" s="418"/>
      <c r="AR1864" s="306"/>
      <c r="AS1864" s="306"/>
      <c r="AT1864" s="418"/>
      <c r="AU1864" s="306"/>
      <c r="AV1864" s="306"/>
      <c r="AW1864" s="306"/>
      <c r="AX1864" s="306"/>
      <c r="AY1864" s="306"/>
      <c r="AZ1864" s="306"/>
      <c r="BA1864" s="306"/>
      <c r="BB1864" s="306"/>
    </row>
    <row r="1865" spans="1:54" ht="15.75" customHeight="1">
      <c r="A1865" s="317"/>
      <c r="B1865" s="430"/>
      <c r="C1865" s="317"/>
      <c r="E1865" s="306"/>
      <c r="F1865" s="431"/>
      <c r="G1865" s="431"/>
      <c r="H1865" s="298"/>
      <c r="I1865" s="432"/>
      <c r="J1865" s="433"/>
      <c r="K1865" s="306"/>
      <c r="L1865" s="306"/>
      <c r="M1865" s="306"/>
      <c r="N1865" s="298"/>
      <c r="O1865" s="298"/>
      <c r="P1865" s="298"/>
      <c r="Q1865" s="306"/>
      <c r="R1865" s="1023"/>
      <c r="S1865" s="1023"/>
      <c r="T1865" s="306"/>
      <c r="U1865" s="306"/>
      <c r="V1865" s="306"/>
      <c r="W1865" s="306"/>
      <c r="X1865" s="306"/>
      <c r="Y1865" s="306"/>
      <c r="Z1865" s="306"/>
      <c r="AA1865" s="306"/>
      <c r="AB1865" s="306"/>
      <c r="AC1865" s="306"/>
      <c r="AD1865" s="306"/>
      <c r="AE1865" s="306"/>
      <c r="AF1865" s="306"/>
      <c r="AG1865" s="306"/>
      <c r="AH1865" s="306"/>
      <c r="AI1865" s="306"/>
      <c r="AJ1865" s="306"/>
      <c r="AK1865" s="306"/>
      <c r="AL1865" s="306"/>
      <c r="AM1865" s="418"/>
      <c r="AN1865" s="418"/>
      <c r="AO1865" s="306"/>
      <c r="AP1865" s="306"/>
      <c r="AQ1865" s="418"/>
      <c r="AR1865" s="306"/>
      <c r="AS1865" s="306"/>
      <c r="AT1865" s="418"/>
      <c r="AU1865" s="306"/>
      <c r="AV1865" s="306"/>
      <c r="AW1865" s="306"/>
      <c r="AX1865" s="306"/>
      <c r="AY1865" s="306"/>
      <c r="AZ1865" s="306"/>
      <c r="BA1865" s="306"/>
      <c r="BB1865" s="306"/>
    </row>
    <row r="1866" spans="1:54" ht="15.75" customHeight="1">
      <c r="A1866" s="317"/>
      <c r="B1866" s="430"/>
      <c r="C1866" s="317"/>
      <c r="E1866" s="306"/>
      <c r="F1866" s="431"/>
      <c r="G1866" s="431"/>
      <c r="H1866" s="298"/>
      <c r="I1866" s="432"/>
      <c r="J1866" s="433"/>
      <c r="K1866" s="306"/>
      <c r="L1866" s="306"/>
      <c r="M1866" s="306"/>
      <c r="N1866" s="298"/>
      <c r="O1866" s="298"/>
      <c r="P1866" s="298"/>
      <c r="Q1866" s="306"/>
      <c r="R1866" s="1023"/>
      <c r="S1866" s="1023"/>
      <c r="T1866" s="306"/>
      <c r="U1866" s="306"/>
      <c r="V1866" s="306"/>
      <c r="W1866" s="306"/>
      <c r="X1866" s="306"/>
      <c r="Y1866" s="306"/>
      <c r="Z1866" s="306"/>
      <c r="AA1866" s="306"/>
      <c r="AB1866" s="306"/>
      <c r="AC1866" s="306"/>
      <c r="AD1866" s="306"/>
      <c r="AE1866" s="306"/>
      <c r="AF1866" s="306"/>
      <c r="AG1866" s="306"/>
      <c r="AH1866" s="306"/>
      <c r="AI1866" s="306"/>
      <c r="AJ1866" s="306"/>
      <c r="AK1866" s="306"/>
      <c r="AL1866" s="306"/>
      <c r="AM1866" s="418"/>
      <c r="AN1866" s="418"/>
      <c r="AO1866" s="306"/>
      <c r="AP1866" s="306"/>
      <c r="AQ1866" s="418"/>
      <c r="AR1866" s="306"/>
      <c r="AS1866" s="306"/>
      <c r="AT1866" s="418"/>
      <c r="AU1866" s="306"/>
      <c r="AV1866" s="306"/>
      <c r="AW1866" s="306"/>
      <c r="AX1866" s="306"/>
      <c r="AY1866" s="306"/>
      <c r="AZ1866" s="306"/>
      <c r="BA1866" s="306"/>
      <c r="BB1866" s="306"/>
    </row>
    <row r="1867" spans="1:54" ht="15.75" customHeight="1">
      <c r="A1867" s="317"/>
      <c r="B1867" s="430"/>
      <c r="C1867" s="317"/>
      <c r="E1867" s="306"/>
      <c r="F1867" s="431"/>
      <c r="G1867" s="431"/>
      <c r="H1867" s="298"/>
      <c r="I1867" s="432"/>
      <c r="J1867" s="433"/>
      <c r="K1867" s="306"/>
      <c r="L1867" s="306"/>
      <c r="M1867" s="306"/>
      <c r="N1867" s="298"/>
      <c r="O1867" s="298"/>
      <c r="P1867" s="298"/>
      <c r="Q1867" s="306"/>
      <c r="R1867" s="1023"/>
      <c r="S1867" s="1023"/>
      <c r="T1867" s="306"/>
      <c r="U1867" s="306"/>
      <c r="V1867" s="306"/>
      <c r="W1867" s="306"/>
      <c r="X1867" s="306"/>
      <c r="Y1867" s="306"/>
      <c r="Z1867" s="306"/>
      <c r="AA1867" s="306"/>
      <c r="AB1867" s="306"/>
      <c r="AC1867" s="306"/>
      <c r="AD1867" s="306"/>
      <c r="AE1867" s="306"/>
      <c r="AF1867" s="306"/>
      <c r="AG1867" s="306"/>
      <c r="AH1867" s="306"/>
      <c r="AI1867" s="306"/>
      <c r="AJ1867" s="306"/>
      <c r="AK1867" s="306"/>
      <c r="AL1867" s="306"/>
      <c r="AM1867" s="418"/>
      <c r="AN1867" s="418"/>
      <c r="AO1867" s="306"/>
      <c r="AP1867" s="306"/>
      <c r="AQ1867" s="418"/>
      <c r="AR1867" s="306"/>
      <c r="AS1867" s="306"/>
      <c r="AT1867" s="418"/>
      <c r="AU1867" s="306"/>
      <c r="AV1867" s="306"/>
      <c r="AW1867" s="306"/>
      <c r="AX1867" s="306"/>
      <c r="AY1867" s="306"/>
      <c r="AZ1867" s="306"/>
      <c r="BA1867" s="306"/>
      <c r="BB1867" s="306"/>
    </row>
    <row r="1868" spans="1:54" ht="15.75" customHeight="1">
      <c r="A1868" s="317"/>
      <c r="B1868" s="430"/>
      <c r="C1868" s="317"/>
      <c r="E1868" s="306"/>
      <c r="F1868" s="431"/>
      <c r="G1868" s="431"/>
      <c r="H1868" s="298"/>
      <c r="I1868" s="432"/>
      <c r="J1868" s="433"/>
      <c r="K1868" s="306"/>
      <c r="L1868" s="306"/>
      <c r="M1868" s="306"/>
      <c r="N1868" s="298"/>
      <c r="O1868" s="298"/>
      <c r="P1868" s="298"/>
      <c r="Q1868" s="306"/>
      <c r="R1868" s="1023"/>
      <c r="S1868" s="1023"/>
      <c r="T1868" s="306"/>
      <c r="U1868" s="306"/>
      <c r="V1868" s="306"/>
      <c r="W1868" s="306"/>
      <c r="X1868" s="306"/>
      <c r="Y1868" s="306"/>
      <c r="Z1868" s="306"/>
      <c r="AA1868" s="306"/>
      <c r="AB1868" s="306"/>
      <c r="AC1868" s="306"/>
      <c r="AD1868" s="306"/>
      <c r="AE1868" s="306"/>
      <c r="AF1868" s="306"/>
      <c r="AG1868" s="306"/>
      <c r="AH1868" s="306"/>
      <c r="AI1868" s="306"/>
      <c r="AJ1868" s="306"/>
      <c r="AK1868" s="306"/>
      <c r="AL1868" s="306"/>
      <c r="AM1868" s="418"/>
      <c r="AN1868" s="418"/>
      <c r="AO1868" s="306"/>
      <c r="AP1868" s="306"/>
      <c r="AQ1868" s="418"/>
      <c r="AR1868" s="306"/>
      <c r="AS1868" s="306"/>
      <c r="AT1868" s="418"/>
      <c r="AU1868" s="306"/>
      <c r="AV1868" s="306"/>
      <c r="AW1868" s="306"/>
      <c r="AX1868" s="306"/>
      <c r="AY1868" s="306"/>
      <c r="AZ1868" s="306"/>
      <c r="BA1868" s="306"/>
      <c r="BB1868" s="306"/>
    </row>
    <row r="1869" spans="1:54" ht="15.75" customHeight="1">
      <c r="A1869" s="317"/>
      <c r="B1869" s="430"/>
      <c r="C1869" s="317"/>
      <c r="E1869" s="306"/>
      <c r="F1869" s="431"/>
      <c r="G1869" s="431"/>
      <c r="H1869" s="298"/>
      <c r="I1869" s="432"/>
      <c r="J1869" s="433"/>
      <c r="K1869" s="306"/>
      <c r="L1869" s="306"/>
      <c r="M1869" s="306"/>
      <c r="N1869" s="298"/>
      <c r="O1869" s="298"/>
      <c r="P1869" s="298"/>
      <c r="Q1869" s="306"/>
      <c r="R1869" s="1023"/>
      <c r="S1869" s="1023"/>
      <c r="T1869" s="306"/>
      <c r="U1869" s="306"/>
      <c r="V1869" s="306"/>
      <c r="W1869" s="306"/>
      <c r="X1869" s="306"/>
      <c r="Y1869" s="306"/>
      <c r="Z1869" s="306"/>
      <c r="AA1869" s="306"/>
      <c r="AB1869" s="306"/>
      <c r="AC1869" s="306"/>
      <c r="AD1869" s="306"/>
      <c r="AE1869" s="306"/>
      <c r="AF1869" s="306"/>
      <c r="AG1869" s="306"/>
      <c r="AH1869" s="306"/>
      <c r="AI1869" s="306"/>
      <c r="AJ1869" s="306"/>
      <c r="AK1869" s="306"/>
      <c r="AL1869" s="306"/>
      <c r="AM1869" s="418"/>
      <c r="AN1869" s="418"/>
      <c r="AO1869" s="306"/>
      <c r="AP1869" s="306"/>
      <c r="AQ1869" s="418"/>
      <c r="AR1869" s="306"/>
      <c r="AS1869" s="306"/>
      <c r="AT1869" s="418"/>
      <c r="AU1869" s="306"/>
      <c r="AV1869" s="306"/>
      <c r="AW1869" s="306"/>
      <c r="AX1869" s="306"/>
      <c r="AY1869" s="306"/>
      <c r="AZ1869" s="306"/>
      <c r="BA1869" s="306"/>
      <c r="BB1869" s="306"/>
    </row>
    <row r="1870" spans="1:54" ht="15.75" customHeight="1">
      <c r="A1870" s="317"/>
      <c r="B1870" s="430"/>
      <c r="C1870" s="317"/>
      <c r="E1870" s="306"/>
      <c r="F1870" s="431"/>
      <c r="G1870" s="431"/>
      <c r="H1870" s="298"/>
      <c r="I1870" s="432"/>
      <c r="J1870" s="433"/>
      <c r="K1870" s="306"/>
      <c r="L1870" s="306"/>
      <c r="M1870" s="306"/>
      <c r="N1870" s="298"/>
      <c r="O1870" s="298"/>
      <c r="P1870" s="298"/>
      <c r="Q1870" s="306"/>
      <c r="R1870" s="1023"/>
      <c r="S1870" s="1023"/>
      <c r="T1870" s="306"/>
      <c r="U1870" s="306"/>
      <c r="V1870" s="306"/>
      <c r="W1870" s="306"/>
      <c r="X1870" s="306"/>
      <c r="Y1870" s="306"/>
      <c r="Z1870" s="306"/>
      <c r="AA1870" s="306"/>
      <c r="AB1870" s="306"/>
      <c r="AC1870" s="306"/>
      <c r="AD1870" s="306"/>
      <c r="AE1870" s="306"/>
      <c r="AF1870" s="306"/>
      <c r="AG1870" s="306"/>
      <c r="AH1870" s="306"/>
      <c r="AI1870" s="306"/>
      <c r="AJ1870" s="306"/>
      <c r="AK1870" s="306"/>
      <c r="AL1870" s="306"/>
      <c r="AM1870" s="418"/>
      <c r="AN1870" s="418"/>
      <c r="AO1870" s="306"/>
      <c r="AP1870" s="306"/>
      <c r="AQ1870" s="418"/>
      <c r="AR1870" s="306"/>
      <c r="AS1870" s="306"/>
      <c r="AT1870" s="418"/>
      <c r="AU1870" s="306"/>
      <c r="AV1870" s="306"/>
      <c r="AW1870" s="306"/>
      <c r="AX1870" s="306"/>
      <c r="AY1870" s="306"/>
      <c r="AZ1870" s="306"/>
      <c r="BA1870" s="306"/>
      <c r="BB1870" s="306"/>
    </row>
    <row r="1871" spans="1:54" ht="15.75" customHeight="1">
      <c r="A1871" s="317"/>
      <c r="B1871" s="430"/>
      <c r="C1871" s="317"/>
      <c r="E1871" s="306"/>
      <c r="F1871" s="431"/>
      <c r="G1871" s="431"/>
      <c r="H1871" s="298"/>
      <c r="I1871" s="432"/>
      <c r="J1871" s="433"/>
      <c r="K1871" s="306"/>
      <c r="L1871" s="306"/>
      <c r="M1871" s="306"/>
      <c r="N1871" s="298"/>
      <c r="O1871" s="298"/>
      <c r="P1871" s="298"/>
      <c r="Q1871" s="306"/>
      <c r="R1871" s="1023"/>
      <c r="S1871" s="1023"/>
      <c r="T1871" s="306"/>
      <c r="U1871" s="306"/>
      <c r="V1871" s="306"/>
      <c r="W1871" s="306"/>
      <c r="X1871" s="306"/>
      <c r="Y1871" s="306"/>
      <c r="Z1871" s="306"/>
      <c r="AA1871" s="306"/>
      <c r="AB1871" s="306"/>
      <c r="AC1871" s="306"/>
      <c r="AD1871" s="306"/>
      <c r="AE1871" s="306"/>
      <c r="AF1871" s="306"/>
      <c r="AG1871" s="306"/>
      <c r="AH1871" s="306"/>
      <c r="AI1871" s="306"/>
      <c r="AJ1871" s="306"/>
      <c r="AK1871" s="306"/>
      <c r="AL1871" s="306"/>
      <c r="AM1871" s="418"/>
      <c r="AN1871" s="418"/>
      <c r="AO1871" s="306"/>
      <c r="AP1871" s="306"/>
      <c r="AQ1871" s="418"/>
      <c r="AR1871" s="306"/>
      <c r="AS1871" s="306"/>
      <c r="AT1871" s="418"/>
      <c r="AU1871" s="306"/>
      <c r="AV1871" s="306"/>
      <c r="AW1871" s="306"/>
      <c r="AX1871" s="306"/>
      <c r="AY1871" s="306"/>
      <c r="AZ1871" s="306"/>
      <c r="BA1871" s="306"/>
      <c r="BB1871" s="306"/>
    </row>
    <row r="1872" spans="1:54" ht="15.75" customHeight="1">
      <c r="A1872" s="317"/>
      <c r="B1872" s="430"/>
      <c r="C1872" s="317"/>
      <c r="E1872" s="306"/>
      <c r="F1872" s="431"/>
      <c r="G1872" s="431"/>
      <c r="H1872" s="298"/>
      <c r="I1872" s="431"/>
      <c r="J1872" s="435"/>
      <c r="K1872" s="306"/>
      <c r="L1872" s="306"/>
      <c r="M1872" s="306"/>
      <c r="N1872" s="298"/>
      <c r="O1872" s="298"/>
      <c r="P1872" s="298"/>
      <c r="Q1872" s="306"/>
      <c r="R1872" s="1023"/>
      <c r="S1872" s="1023"/>
      <c r="T1872" s="306"/>
      <c r="U1872" s="306"/>
      <c r="V1872" s="306"/>
      <c r="W1872" s="306"/>
      <c r="X1872" s="306"/>
      <c r="Y1872" s="306"/>
      <c r="Z1872" s="306"/>
      <c r="AA1872" s="306"/>
      <c r="AB1872" s="306"/>
      <c r="AC1872" s="306"/>
      <c r="AD1872" s="306"/>
      <c r="AE1872" s="306"/>
      <c r="AF1872" s="306"/>
      <c r="AG1872" s="306"/>
      <c r="AH1872" s="306"/>
      <c r="AI1872" s="306"/>
      <c r="AJ1872" s="306"/>
      <c r="AK1872" s="306"/>
      <c r="AL1872" s="306"/>
      <c r="AM1872" s="418"/>
      <c r="AN1872" s="418"/>
      <c r="AO1872" s="306"/>
      <c r="AP1872" s="306"/>
      <c r="AQ1872" s="418"/>
      <c r="AR1872" s="306"/>
      <c r="AS1872" s="306"/>
      <c r="AT1872" s="418"/>
      <c r="AU1872" s="306"/>
      <c r="AV1872" s="306"/>
      <c r="AW1872" s="306"/>
      <c r="AX1872" s="306"/>
      <c r="AY1872" s="306"/>
      <c r="AZ1872" s="306"/>
      <c r="BA1872" s="306"/>
      <c r="BB1872" s="306"/>
    </row>
    <row r="1873" spans="1:54" ht="15.75" customHeight="1">
      <c r="A1873" s="317"/>
      <c r="B1873" s="430"/>
      <c r="C1873" s="317"/>
      <c r="E1873" s="306"/>
      <c r="F1873" s="431"/>
      <c r="G1873" s="431"/>
      <c r="H1873" s="298"/>
      <c r="I1873" s="432"/>
      <c r="J1873" s="433"/>
      <c r="K1873" s="306"/>
      <c r="L1873" s="306"/>
      <c r="M1873" s="306"/>
      <c r="N1873" s="298"/>
      <c r="O1873" s="298"/>
      <c r="P1873" s="298"/>
      <c r="Q1873" s="306"/>
      <c r="R1873" s="1023"/>
      <c r="S1873" s="1023"/>
      <c r="T1873" s="306"/>
      <c r="U1873" s="306"/>
      <c r="V1873" s="306"/>
      <c r="W1873" s="306"/>
      <c r="X1873" s="306"/>
      <c r="Y1873" s="306"/>
      <c r="Z1873" s="306"/>
      <c r="AA1873" s="306"/>
      <c r="AB1873" s="306"/>
      <c r="AC1873" s="306"/>
      <c r="AD1873" s="306"/>
      <c r="AE1873" s="306"/>
      <c r="AF1873" s="306"/>
      <c r="AG1873" s="306"/>
      <c r="AH1873" s="306"/>
      <c r="AI1873" s="306"/>
      <c r="AJ1873" s="306"/>
      <c r="AK1873" s="306"/>
      <c r="AL1873" s="306"/>
      <c r="AM1873" s="418"/>
      <c r="AN1873" s="418"/>
      <c r="AO1873" s="306"/>
      <c r="AP1873" s="306"/>
      <c r="AQ1873" s="418"/>
      <c r="AR1873" s="306"/>
      <c r="AS1873" s="306"/>
      <c r="AT1873" s="418"/>
      <c r="AU1873" s="306"/>
      <c r="AV1873" s="306"/>
      <c r="AW1873" s="306"/>
      <c r="AX1873" s="306"/>
      <c r="AY1873" s="306"/>
      <c r="AZ1873" s="306"/>
      <c r="BA1873" s="306"/>
      <c r="BB1873" s="306"/>
    </row>
    <row r="1874" spans="1:54" ht="15.75" customHeight="1">
      <c r="A1874" s="317"/>
      <c r="B1874" s="430"/>
      <c r="C1874" s="317"/>
      <c r="E1874" s="306"/>
      <c r="F1874" s="431"/>
      <c r="G1874" s="431"/>
      <c r="H1874" s="298"/>
      <c r="I1874" s="432"/>
      <c r="J1874" s="433"/>
      <c r="K1874" s="306"/>
      <c r="L1874" s="306"/>
      <c r="M1874" s="306"/>
      <c r="N1874" s="298"/>
      <c r="O1874" s="298"/>
      <c r="P1874" s="298"/>
      <c r="Q1874" s="306"/>
      <c r="R1874" s="1023"/>
      <c r="S1874" s="1023"/>
      <c r="T1874" s="306"/>
      <c r="U1874" s="306"/>
      <c r="V1874" s="306"/>
      <c r="W1874" s="306"/>
      <c r="X1874" s="306"/>
      <c r="Y1874" s="306"/>
      <c r="Z1874" s="306"/>
      <c r="AA1874" s="306"/>
      <c r="AB1874" s="306"/>
      <c r="AC1874" s="306"/>
      <c r="AD1874" s="306"/>
      <c r="AE1874" s="306"/>
      <c r="AF1874" s="306"/>
      <c r="AG1874" s="306"/>
      <c r="AH1874" s="306"/>
      <c r="AI1874" s="306"/>
      <c r="AJ1874" s="306"/>
      <c r="AK1874" s="306"/>
      <c r="AL1874" s="306"/>
      <c r="AM1874" s="418"/>
      <c r="AN1874" s="418"/>
      <c r="AO1874" s="306"/>
      <c r="AP1874" s="306"/>
      <c r="AQ1874" s="418"/>
      <c r="AR1874" s="306"/>
      <c r="AS1874" s="306"/>
      <c r="AT1874" s="418"/>
      <c r="AU1874" s="306"/>
      <c r="AV1874" s="306"/>
      <c r="AW1874" s="306"/>
      <c r="AX1874" s="306"/>
      <c r="AY1874" s="306"/>
      <c r="AZ1874" s="306"/>
      <c r="BA1874" s="306"/>
      <c r="BB1874" s="306"/>
    </row>
    <row r="1875" spans="1:54" ht="15.75" customHeight="1">
      <c r="A1875" s="317"/>
      <c r="B1875" s="430"/>
      <c r="C1875" s="317"/>
      <c r="E1875" s="306"/>
      <c r="F1875" s="431"/>
      <c r="G1875" s="431"/>
      <c r="H1875" s="298"/>
      <c r="I1875" s="431"/>
      <c r="J1875" s="435"/>
      <c r="K1875" s="306"/>
      <c r="L1875" s="306"/>
      <c r="M1875" s="306"/>
      <c r="N1875" s="298"/>
      <c r="O1875" s="298"/>
      <c r="P1875" s="298"/>
      <c r="Q1875" s="306"/>
      <c r="R1875" s="1023"/>
      <c r="S1875" s="1023"/>
      <c r="T1875" s="306"/>
      <c r="U1875" s="306"/>
      <c r="V1875" s="306"/>
      <c r="W1875" s="306"/>
      <c r="X1875" s="306"/>
      <c r="Y1875" s="306"/>
      <c r="Z1875" s="306"/>
      <c r="AA1875" s="306"/>
      <c r="AB1875" s="306"/>
      <c r="AC1875" s="306"/>
      <c r="AD1875" s="306"/>
      <c r="AE1875" s="306"/>
      <c r="AF1875" s="306"/>
      <c r="AG1875" s="306"/>
      <c r="AH1875" s="306"/>
      <c r="AI1875" s="306"/>
      <c r="AJ1875" s="306"/>
      <c r="AK1875" s="306"/>
      <c r="AL1875" s="306"/>
      <c r="AM1875" s="418"/>
      <c r="AN1875" s="418"/>
      <c r="AO1875" s="306"/>
      <c r="AP1875" s="306"/>
      <c r="AQ1875" s="418"/>
      <c r="AR1875" s="306"/>
      <c r="AS1875" s="306"/>
      <c r="AT1875" s="418"/>
      <c r="AU1875" s="306"/>
      <c r="AV1875" s="306"/>
      <c r="AW1875" s="306"/>
      <c r="AX1875" s="306"/>
      <c r="AY1875" s="306"/>
      <c r="AZ1875" s="306"/>
      <c r="BA1875" s="306"/>
      <c r="BB1875" s="306"/>
    </row>
    <row r="1876" spans="1:54" ht="15.75" customHeight="1">
      <c r="A1876" s="317"/>
      <c r="B1876" s="430"/>
      <c r="C1876" s="317"/>
      <c r="E1876" s="306"/>
      <c r="F1876" s="431"/>
      <c r="G1876" s="431"/>
      <c r="H1876" s="298"/>
      <c r="I1876" s="432"/>
      <c r="J1876" s="433"/>
      <c r="K1876" s="306"/>
      <c r="L1876" s="306"/>
      <c r="M1876" s="306"/>
      <c r="N1876" s="298"/>
      <c r="O1876" s="298"/>
      <c r="P1876" s="298"/>
      <c r="Q1876" s="306"/>
      <c r="R1876" s="1023"/>
      <c r="S1876" s="1023"/>
      <c r="T1876" s="306"/>
      <c r="U1876" s="306"/>
      <c r="V1876" s="306"/>
      <c r="W1876" s="306"/>
      <c r="X1876" s="306"/>
      <c r="Y1876" s="306"/>
      <c r="Z1876" s="306"/>
      <c r="AA1876" s="306"/>
      <c r="AB1876" s="306"/>
      <c r="AC1876" s="306"/>
      <c r="AD1876" s="306"/>
      <c r="AE1876" s="306"/>
      <c r="AF1876" s="306"/>
      <c r="AG1876" s="306"/>
      <c r="AH1876" s="306"/>
      <c r="AI1876" s="306"/>
      <c r="AJ1876" s="306"/>
      <c r="AK1876" s="306"/>
      <c r="AL1876" s="306"/>
      <c r="AM1876" s="418"/>
      <c r="AN1876" s="418"/>
      <c r="AO1876" s="306"/>
      <c r="AP1876" s="306"/>
      <c r="AQ1876" s="418"/>
      <c r="AR1876" s="306"/>
      <c r="AS1876" s="306"/>
      <c r="AT1876" s="418"/>
      <c r="AU1876" s="306"/>
      <c r="AV1876" s="306"/>
      <c r="AW1876" s="306"/>
      <c r="AX1876" s="306"/>
      <c r="AY1876" s="306"/>
      <c r="AZ1876" s="306"/>
      <c r="BA1876" s="306"/>
      <c r="BB1876" s="306"/>
    </row>
    <row r="1877" spans="1:54" ht="15.75" customHeight="1">
      <c r="A1877" s="317"/>
      <c r="B1877" s="430"/>
      <c r="C1877" s="317"/>
      <c r="E1877" s="306"/>
      <c r="F1877" s="431"/>
      <c r="G1877" s="431"/>
      <c r="H1877" s="298"/>
      <c r="I1877" s="432"/>
      <c r="J1877" s="433"/>
      <c r="K1877" s="306"/>
      <c r="L1877" s="306"/>
      <c r="M1877" s="306"/>
      <c r="N1877" s="298"/>
      <c r="O1877" s="298"/>
      <c r="P1877" s="298"/>
      <c r="Q1877" s="306"/>
      <c r="R1877" s="1023"/>
      <c r="S1877" s="1023"/>
      <c r="T1877" s="306"/>
      <c r="U1877" s="306"/>
      <c r="V1877" s="306"/>
      <c r="W1877" s="306"/>
      <c r="X1877" s="306"/>
      <c r="Y1877" s="306"/>
      <c r="Z1877" s="306"/>
      <c r="AA1877" s="306"/>
      <c r="AB1877" s="306"/>
      <c r="AC1877" s="306"/>
      <c r="AD1877" s="306"/>
      <c r="AE1877" s="306"/>
      <c r="AF1877" s="306"/>
      <c r="AG1877" s="306"/>
      <c r="AH1877" s="306"/>
      <c r="AI1877" s="306"/>
      <c r="AJ1877" s="306"/>
      <c r="AK1877" s="306"/>
      <c r="AL1877" s="306"/>
      <c r="AM1877" s="418"/>
      <c r="AN1877" s="418"/>
      <c r="AO1877" s="306"/>
      <c r="AP1877" s="306"/>
      <c r="AQ1877" s="418"/>
      <c r="AR1877" s="306"/>
      <c r="AS1877" s="306"/>
      <c r="AT1877" s="418"/>
      <c r="AU1877" s="306"/>
      <c r="AV1877" s="306"/>
      <c r="AW1877" s="306"/>
      <c r="AX1877" s="306"/>
      <c r="AY1877" s="306"/>
      <c r="AZ1877" s="306"/>
      <c r="BA1877" s="306"/>
      <c r="BB1877" s="306"/>
    </row>
    <row r="1878" spans="1:54" ht="15.75" customHeight="1">
      <c r="A1878" s="317"/>
      <c r="B1878" s="430"/>
      <c r="C1878" s="317"/>
      <c r="E1878" s="306"/>
      <c r="F1878" s="431"/>
      <c r="G1878" s="431"/>
      <c r="H1878" s="298"/>
      <c r="I1878" s="432"/>
      <c r="J1878" s="433"/>
      <c r="K1878" s="306"/>
      <c r="L1878" s="306"/>
      <c r="M1878" s="306"/>
      <c r="N1878" s="298"/>
      <c r="O1878" s="298"/>
      <c r="P1878" s="298"/>
      <c r="Q1878" s="306"/>
      <c r="R1878" s="1023"/>
      <c r="S1878" s="1023"/>
      <c r="T1878" s="306"/>
      <c r="U1878" s="306"/>
      <c r="V1878" s="306"/>
      <c r="W1878" s="306"/>
      <c r="X1878" s="306"/>
      <c r="Y1878" s="306"/>
      <c r="Z1878" s="306"/>
      <c r="AA1878" s="306"/>
      <c r="AB1878" s="306"/>
      <c r="AC1878" s="306"/>
      <c r="AD1878" s="306"/>
      <c r="AE1878" s="306"/>
      <c r="AF1878" s="306"/>
      <c r="AG1878" s="306"/>
      <c r="AH1878" s="306"/>
      <c r="AI1878" s="306"/>
      <c r="AJ1878" s="306"/>
      <c r="AK1878" s="306"/>
      <c r="AL1878" s="306"/>
      <c r="AM1878" s="418"/>
      <c r="AN1878" s="418"/>
      <c r="AO1878" s="306"/>
      <c r="AP1878" s="306"/>
      <c r="AQ1878" s="418"/>
      <c r="AR1878" s="306"/>
      <c r="AS1878" s="306"/>
      <c r="AT1878" s="418"/>
      <c r="AU1878" s="306"/>
      <c r="AV1878" s="306"/>
      <c r="AW1878" s="306"/>
      <c r="AX1878" s="306"/>
      <c r="AY1878" s="306"/>
      <c r="AZ1878" s="306"/>
      <c r="BA1878" s="306"/>
      <c r="BB1878" s="306"/>
    </row>
    <row r="1879" spans="1:54" ht="15.75" customHeight="1">
      <c r="A1879" s="317"/>
      <c r="B1879" s="430"/>
      <c r="C1879" s="317"/>
      <c r="E1879" s="306"/>
      <c r="F1879" s="431"/>
      <c r="G1879" s="431"/>
      <c r="H1879" s="298"/>
      <c r="I1879" s="432"/>
      <c r="J1879" s="433"/>
      <c r="K1879" s="306"/>
      <c r="L1879" s="306"/>
      <c r="M1879" s="306"/>
      <c r="N1879" s="298"/>
      <c r="O1879" s="298"/>
      <c r="P1879" s="298"/>
      <c r="Q1879" s="306"/>
      <c r="R1879" s="1023"/>
      <c r="S1879" s="1023"/>
      <c r="T1879" s="306"/>
      <c r="U1879" s="306"/>
      <c r="V1879" s="306"/>
      <c r="W1879" s="306"/>
      <c r="X1879" s="306"/>
      <c r="Y1879" s="306"/>
      <c r="Z1879" s="306"/>
      <c r="AA1879" s="306"/>
      <c r="AB1879" s="306"/>
      <c r="AC1879" s="306"/>
      <c r="AD1879" s="306"/>
      <c r="AE1879" s="306"/>
      <c r="AF1879" s="306"/>
      <c r="AG1879" s="306"/>
      <c r="AH1879" s="306"/>
      <c r="AI1879" s="306"/>
      <c r="AJ1879" s="306"/>
      <c r="AK1879" s="306"/>
      <c r="AL1879" s="306"/>
      <c r="AM1879" s="418"/>
      <c r="AN1879" s="418"/>
      <c r="AO1879" s="306"/>
      <c r="AP1879" s="306"/>
      <c r="AQ1879" s="418"/>
      <c r="AR1879" s="306"/>
      <c r="AS1879" s="306"/>
      <c r="AT1879" s="418"/>
      <c r="AU1879" s="306"/>
      <c r="AV1879" s="306"/>
      <c r="AW1879" s="306"/>
      <c r="AX1879" s="306"/>
      <c r="AY1879" s="306"/>
      <c r="AZ1879" s="306"/>
      <c r="BA1879" s="306"/>
      <c r="BB1879" s="306"/>
    </row>
    <row r="1880" spans="1:54" ht="15.75" customHeight="1">
      <c r="A1880" s="317"/>
      <c r="B1880" s="430"/>
      <c r="C1880" s="317"/>
      <c r="E1880" s="306"/>
      <c r="F1880" s="431"/>
      <c r="G1880" s="431"/>
      <c r="H1880" s="298"/>
      <c r="I1880" s="432"/>
      <c r="J1880" s="433"/>
      <c r="K1880" s="306"/>
      <c r="L1880" s="306"/>
      <c r="M1880" s="306"/>
      <c r="N1880" s="298"/>
      <c r="O1880" s="298"/>
      <c r="P1880" s="298"/>
      <c r="Q1880" s="306"/>
      <c r="R1880" s="1023"/>
      <c r="S1880" s="1023"/>
      <c r="T1880" s="306"/>
      <c r="U1880" s="306"/>
      <c r="V1880" s="306"/>
      <c r="W1880" s="306"/>
      <c r="X1880" s="306"/>
      <c r="Y1880" s="306"/>
      <c r="Z1880" s="306"/>
      <c r="AA1880" s="306"/>
      <c r="AB1880" s="306"/>
      <c r="AC1880" s="306"/>
      <c r="AD1880" s="306"/>
      <c r="AE1880" s="306"/>
      <c r="AF1880" s="306"/>
      <c r="AG1880" s="306"/>
      <c r="AH1880" s="306"/>
      <c r="AI1880" s="306"/>
      <c r="AJ1880" s="306"/>
      <c r="AK1880" s="306"/>
      <c r="AL1880" s="306"/>
      <c r="AM1880" s="418"/>
      <c r="AN1880" s="418"/>
      <c r="AO1880" s="306"/>
      <c r="AP1880" s="306"/>
      <c r="AQ1880" s="418"/>
      <c r="AR1880" s="306"/>
      <c r="AS1880" s="306"/>
      <c r="AT1880" s="418"/>
      <c r="AU1880" s="306"/>
      <c r="AV1880" s="306"/>
      <c r="AW1880" s="306"/>
      <c r="AX1880" s="306"/>
      <c r="AY1880" s="306"/>
      <c r="AZ1880" s="306"/>
      <c r="BA1880" s="306"/>
      <c r="BB1880" s="306"/>
    </row>
    <row r="1881" spans="1:54" ht="15.75" customHeight="1">
      <c r="A1881" s="317"/>
      <c r="B1881" s="430"/>
      <c r="C1881" s="317"/>
      <c r="E1881" s="306"/>
      <c r="F1881" s="431"/>
      <c r="G1881" s="431"/>
      <c r="H1881" s="298"/>
      <c r="I1881" s="431"/>
      <c r="J1881" s="435"/>
      <c r="K1881" s="306"/>
      <c r="L1881" s="306"/>
      <c r="M1881" s="306"/>
      <c r="N1881" s="298"/>
      <c r="O1881" s="298"/>
      <c r="P1881" s="298"/>
      <c r="Q1881" s="306"/>
      <c r="R1881" s="1023"/>
      <c r="S1881" s="1023"/>
      <c r="T1881" s="306"/>
      <c r="U1881" s="306"/>
      <c r="V1881" s="306"/>
      <c r="W1881" s="306"/>
      <c r="X1881" s="306"/>
      <c r="Y1881" s="306"/>
      <c r="Z1881" s="306"/>
      <c r="AA1881" s="306"/>
      <c r="AB1881" s="306"/>
      <c r="AC1881" s="306"/>
      <c r="AD1881" s="306"/>
      <c r="AE1881" s="306"/>
      <c r="AF1881" s="306"/>
      <c r="AG1881" s="306"/>
      <c r="AH1881" s="306"/>
      <c r="AI1881" s="306"/>
      <c r="AJ1881" s="306"/>
      <c r="AK1881" s="306"/>
      <c r="AL1881" s="306"/>
      <c r="AM1881" s="418"/>
      <c r="AN1881" s="418"/>
      <c r="AO1881" s="306"/>
      <c r="AP1881" s="306"/>
      <c r="AQ1881" s="418"/>
      <c r="AR1881" s="306"/>
      <c r="AS1881" s="306"/>
      <c r="AT1881" s="418"/>
      <c r="AU1881" s="306"/>
      <c r="AV1881" s="306"/>
      <c r="AW1881" s="306"/>
      <c r="AX1881" s="306"/>
      <c r="AY1881" s="306"/>
      <c r="AZ1881" s="306"/>
      <c r="BA1881" s="306"/>
      <c r="BB1881" s="306"/>
    </row>
    <row r="1882" spans="1:54" ht="15.75" customHeight="1">
      <c r="A1882" s="317"/>
      <c r="B1882" s="430"/>
      <c r="C1882" s="317"/>
      <c r="E1882" s="306"/>
      <c r="F1882" s="431"/>
      <c r="G1882" s="431"/>
      <c r="H1882" s="298"/>
      <c r="I1882" s="431"/>
      <c r="J1882" s="435"/>
      <c r="K1882" s="306"/>
      <c r="L1882" s="306"/>
      <c r="M1882" s="306"/>
      <c r="N1882" s="298"/>
      <c r="O1882" s="298"/>
      <c r="P1882" s="298"/>
      <c r="Q1882" s="306"/>
      <c r="R1882" s="1023"/>
      <c r="S1882" s="1023"/>
      <c r="T1882" s="306"/>
      <c r="U1882" s="306"/>
      <c r="V1882" s="306"/>
      <c r="W1882" s="306"/>
      <c r="X1882" s="306"/>
      <c r="Y1882" s="306"/>
      <c r="Z1882" s="306"/>
      <c r="AA1882" s="306"/>
      <c r="AB1882" s="306"/>
      <c r="AC1882" s="306"/>
      <c r="AD1882" s="306"/>
      <c r="AE1882" s="306"/>
      <c r="AF1882" s="306"/>
      <c r="AG1882" s="306"/>
      <c r="AH1882" s="306"/>
      <c r="AI1882" s="306"/>
      <c r="AJ1882" s="306"/>
      <c r="AK1882" s="306"/>
      <c r="AL1882" s="306"/>
      <c r="AM1882" s="418"/>
      <c r="AN1882" s="418"/>
      <c r="AO1882" s="306"/>
      <c r="AP1882" s="306"/>
      <c r="AQ1882" s="418"/>
      <c r="AR1882" s="306"/>
      <c r="AS1882" s="306"/>
      <c r="AT1882" s="418"/>
      <c r="AU1882" s="306"/>
      <c r="AV1882" s="306"/>
      <c r="AW1882" s="306"/>
      <c r="AX1882" s="306"/>
      <c r="AY1882" s="306"/>
      <c r="AZ1882" s="306"/>
      <c r="BA1882" s="306"/>
      <c r="BB1882" s="306"/>
    </row>
    <row r="1883" spans="1:54" ht="15.75" customHeight="1">
      <c r="A1883" s="317"/>
      <c r="B1883" s="430"/>
      <c r="C1883" s="317"/>
      <c r="E1883" s="306"/>
      <c r="F1883" s="431"/>
      <c r="G1883" s="431"/>
      <c r="H1883" s="298"/>
      <c r="I1883" s="431"/>
      <c r="J1883" s="435"/>
      <c r="K1883" s="306"/>
      <c r="L1883" s="306"/>
      <c r="M1883" s="306"/>
      <c r="N1883" s="298"/>
      <c r="O1883" s="298"/>
      <c r="P1883" s="298"/>
      <c r="Q1883" s="306"/>
      <c r="R1883" s="1023"/>
      <c r="S1883" s="1023"/>
      <c r="T1883" s="306"/>
      <c r="U1883" s="306"/>
      <c r="V1883" s="306"/>
      <c r="W1883" s="306"/>
      <c r="X1883" s="306"/>
      <c r="Y1883" s="306"/>
      <c r="Z1883" s="306"/>
      <c r="AA1883" s="306"/>
      <c r="AB1883" s="306"/>
      <c r="AC1883" s="306"/>
      <c r="AD1883" s="306"/>
      <c r="AE1883" s="306"/>
      <c r="AF1883" s="306"/>
      <c r="AG1883" s="306"/>
      <c r="AH1883" s="306"/>
      <c r="AI1883" s="306"/>
      <c r="AJ1883" s="306"/>
      <c r="AK1883" s="306"/>
      <c r="AL1883" s="306"/>
      <c r="AM1883" s="418"/>
      <c r="AN1883" s="418"/>
      <c r="AO1883" s="306"/>
      <c r="AP1883" s="306"/>
      <c r="AQ1883" s="418"/>
      <c r="AR1883" s="306"/>
      <c r="AS1883" s="306"/>
      <c r="AT1883" s="418"/>
      <c r="AU1883" s="306"/>
      <c r="AV1883" s="306"/>
      <c r="AW1883" s="306"/>
      <c r="AX1883" s="306"/>
      <c r="AY1883" s="306"/>
      <c r="AZ1883" s="306"/>
      <c r="BA1883" s="306"/>
      <c r="BB1883" s="306"/>
    </row>
    <row r="1884" spans="1:54" ht="15.75" customHeight="1">
      <c r="A1884" s="317"/>
      <c r="B1884" s="430"/>
      <c r="C1884" s="317"/>
      <c r="E1884" s="306"/>
      <c r="F1884" s="431"/>
      <c r="G1884" s="431"/>
      <c r="H1884" s="298"/>
      <c r="I1884" s="431"/>
      <c r="J1884" s="435"/>
      <c r="K1884" s="306"/>
      <c r="L1884" s="306"/>
      <c r="M1884" s="306"/>
      <c r="N1884" s="298"/>
      <c r="O1884" s="298"/>
      <c r="P1884" s="298"/>
      <c r="Q1884" s="306"/>
      <c r="R1884" s="1023"/>
      <c r="S1884" s="1023"/>
      <c r="T1884" s="306"/>
      <c r="U1884" s="306"/>
      <c r="V1884" s="306"/>
      <c r="W1884" s="306"/>
      <c r="X1884" s="306"/>
      <c r="Y1884" s="306"/>
      <c r="Z1884" s="306"/>
      <c r="AA1884" s="306"/>
      <c r="AB1884" s="306"/>
      <c r="AC1884" s="306"/>
      <c r="AD1884" s="306"/>
      <c r="AE1884" s="306"/>
      <c r="AF1884" s="306"/>
      <c r="AG1884" s="306"/>
      <c r="AH1884" s="306"/>
      <c r="AI1884" s="306"/>
      <c r="AJ1884" s="306"/>
      <c r="AK1884" s="306"/>
      <c r="AL1884" s="306"/>
      <c r="AM1884" s="418"/>
      <c r="AN1884" s="418"/>
      <c r="AO1884" s="306"/>
      <c r="AP1884" s="306"/>
      <c r="AQ1884" s="418"/>
      <c r="AR1884" s="306"/>
      <c r="AS1884" s="306"/>
      <c r="AT1884" s="418"/>
      <c r="AU1884" s="306"/>
      <c r="AV1884" s="306"/>
      <c r="AW1884" s="306"/>
      <c r="AX1884" s="306"/>
      <c r="AY1884" s="306"/>
      <c r="AZ1884" s="306"/>
      <c r="BA1884" s="306"/>
      <c r="BB1884" s="306"/>
    </row>
    <row r="1885" spans="1:54" ht="15.75" customHeight="1">
      <c r="A1885" s="317"/>
      <c r="B1885" s="430"/>
      <c r="C1885" s="317"/>
      <c r="E1885" s="306"/>
      <c r="F1885" s="431"/>
      <c r="G1885" s="431"/>
      <c r="H1885" s="298"/>
      <c r="I1885" s="432"/>
      <c r="J1885" s="433"/>
      <c r="K1885" s="306"/>
      <c r="L1885" s="306"/>
      <c r="M1885" s="306"/>
      <c r="N1885" s="298"/>
      <c r="O1885" s="298"/>
      <c r="P1885" s="298"/>
      <c r="Q1885" s="306"/>
      <c r="R1885" s="1023"/>
      <c r="S1885" s="1023"/>
      <c r="T1885" s="306"/>
      <c r="U1885" s="306"/>
      <c r="V1885" s="306"/>
      <c r="W1885" s="306"/>
      <c r="X1885" s="306"/>
      <c r="Y1885" s="306"/>
      <c r="Z1885" s="306"/>
      <c r="AA1885" s="306"/>
      <c r="AB1885" s="306"/>
      <c r="AC1885" s="306"/>
      <c r="AD1885" s="306"/>
      <c r="AE1885" s="306"/>
      <c r="AF1885" s="306"/>
      <c r="AG1885" s="306"/>
      <c r="AH1885" s="306"/>
      <c r="AI1885" s="306"/>
      <c r="AJ1885" s="306"/>
      <c r="AK1885" s="306"/>
      <c r="AL1885" s="306"/>
      <c r="AM1885" s="418"/>
      <c r="AN1885" s="418"/>
      <c r="AO1885" s="306"/>
      <c r="AP1885" s="306"/>
      <c r="AQ1885" s="418"/>
      <c r="AR1885" s="306"/>
      <c r="AS1885" s="306"/>
      <c r="AT1885" s="418"/>
      <c r="AU1885" s="306"/>
      <c r="AV1885" s="306"/>
      <c r="AW1885" s="306"/>
      <c r="AX1885" s="306"/>
      <c r="AY1885" s="306"/>
      <c r="AZ1885" s="306"/>
      <c r="BA1885" s="306"/>
      <c r="BB1885" s="306"/>
    </row>
    <row r="1886" spans="1:54" ht="15.75" customHeight="1">
      <c r="A1886" s="317"/>
      <c r="B1886" s="430"/>
      <c r="C1886" s="317"/>
      <c r="E1886" s="306"/>
      <c r="F1886" s="431"/>
      <c r="G1886" s="431"/>
      <c r="H1886" s="298"/>
      <c r="I1886" s="432"/>
      <c r="J1886" s="433"/>
      <c r="K1886" s="306"/>
      <c r="L1886" s="306"/>
      <c r="M1886" s="306"/>
      <c r="N1886" s="298"/>
      <c r="O1886" s="298"/>
      <c r="P1886" s="298"/>
      <c r="Q1886" s="306"/>
      <c r="R1886" s="1023"/>
      <c r="S1886" s="1023"/>
      <c r="T1886" s="306"/>
      <c r="U1886" s="306"/>
      <c r="V1886" s="306"/>
      <c r="W1886" s="306"/>
      <c r="X1886" s="306"/>
      <c r="Y1886" s="306"/>
      <c r="Z1886" s="306"/>
      <c r="AA1886" s="306"/>
      <c r="AB1886" s="306"/>
      <c r="AC1886" s="306"/>
      <c r="AD1886" s="306"/>
      <c r="AE1886" s="306"/>
      <c r="AF1886" s="306"/>
      <c r="AG1886" s="306"/>
      <c r="AH1886" s="306"/>
      <c r="AI1886" s="306"/>
      <c r="AJ1886" s="306"/>
      <c r="AK1886" s="306"/>
      <c r="AL1886" s="306"/>
      <c r="AM1886" s="418"/>
      <c r="AN1886" s="418"/>
      <c r="AO1886" s="306"/>
      <c r="AP1886" s="306"/>
      <c r="AQ1886" s="418"/>
      <c r="AR1886" s="306"/>
      <c r="AS1886" s="306"/>
      <c r="AT1886" s="418"/>
      <c r="AU1886" s="306"/>
      <c r="AV1886" s="306"/>
      <c r="AW1886" s="306"/>
      <c r="AX1886" s="306"/>
      <c r="AY1886" s="306"/>
      <c r="AZ1886" s="306"/>
      <c r="BA1886" s="306"/>
      <c r="BB1886" s="306"/>
    </row>
    <row r="1887" spans="1:54" ht="15.75" customHeight="1">
      <c r="A1887" s="317"/>
      <c r="B1887" s="430"/>
      <c r="C1887" s="317"/>
      <c r="E1887" s="306"/>
      <c r="F1887" s="431"/>
      <c r="G1887" s="431"/>
      <c r="H1887" s="298"/>
      <c r="I1887" s="432"/>
      <c r="J1887" s="433"/>
      <c r="K1887" s="306"/>
      <c r="L1887" s="306"/>
      <c r="M1887" s="306"/>
      <c r="N1887" s="298"/>
      <c r="O1887" s="298"/>
      <c r="P1887" s="298"/>
      <c r="Q1887" s="306"/>
      <c r="R1887" s="1023"/>
      <c r="S1887" s="1023"/>
      <c r="T1887" s="306"/>
      <c r="U1887" s="306"/>
      <c r="V1887" s="306"/>
      <c r="W1887" s="306"/>
      <c r="X1887" s="306"/>
      <c r="Y1887" s="306"/>
      <c r="Z1887" s="306"/>
      <c r="AA1887" s="306"/>
      <c r="AB1887" s="306"/>
      <c r="AC1887" s="306"/>
      <c r="AD1887" s="306"/>
      <c r="AE1887" s="306"/>
      <c r="AF1887" s="306"/>
      <c r="AG1887" s="306"/>
      <c r="AH1887" s="306"/>
      <c r="AI1887" s="306"/>
      <c r="AJ1887" s="306"/>
      <c r="AK1887" s="306"/>
      <c r="AL1887" s="306"/>
      <c r="AM1887" s="418"/>
      <c r="AN1887" s="418"/>
      <c r="AO1887" s="306"/>
      <c r="AP1887" s="306"/>
      <c r="AQ1887" s="418"/>
      <c r="AR1887" s="306"/>
      <c r="AS1887" s="306"/>
      <c r="AT1887" s="418"/>
      <c r="AU1887" s="306"/>
      <c r="AV1887" s="306"/>
      <c r="AW1887" s="306"/>
      <c r="AX1887" s="306"/>
      <c r="AY1887" s="306"/>
      <c r="AZ1887" s="306"/>
      <c r="BA1887" s="306"/>
      <c r="BB1887" s="306"/>
    </row>
    <row r="1888" spans="1:54" ht="15.75" customHeight="1">
      <c r="A1888" s="317"/>
      <c r="B1888" s="430"/>
      <c r="C1888" s="317"/>
      <c r="E1888" s="306"/>
      <c r="F1888" s="431"/>
      <c r="G1888" s="431"/>
      <c r="H1888" s="298"/>
      <c r="I1888" s="432"/>
      <c r="J1888" s="433"/>
      <c r="K1888" s="306"/>
      <c r="L1888" s="306"/>
      <c r="M1888" s="306"/>
      <c r="N1888" s="298"/>
      <c r="O1888" s="298"/>
      <c r="P1888" s="298"/>
      <c r="Q1888" s="306"/>
      <c r="R1888" s="1023"/>
      <c r="S1888" s="1023"/>
      <c r="T1888" s="306"/>
      <c r="U1888" s="306"/>
      <c r="V1888" s="306"/>
      <c r="W1888" s="306"/>
      <c r="X1888" s="306"/>
      <c r="Y1888" s="306"/>
      <c r="Z1888" s="306"/>
      <c r="AA1888" s="306"/>
      <c r="AB1888" s="306"/>
      <c r="AC1888" s="306"/>
      <c r="AD1888" s="306"/>
      <c r="AE1888" s="306"/>
      <c r="AF1888" s="306"/>
      <c r="AG1888" s="306"/>
      <c r="AH1888" s="306"/>
      <c r="AI1888" s="306"/>
      <c r="AJ1888" s="306"/>
      <c r="AK1888" s="306"/>
      <c r="AL1888" s="306"/>
      <c r="AM1888" s="418"/>
      <c r="AN1888" s="418"/>
      <c r="AO1888" s="306"/>
      <c r="AP1888" s="306"/>
      <c r="AQ1888" s="418"/>
      <c r="AR1888" s="306"/>
      <c r="AS1888" s="306"/>
      <c r="AT1888" s="418"/>
      <c r="AU1888" s="306"/>
      <c r="AV1888" s="306"/>
      <c r="AW1888" s="306"/>
      <c r="AX1888" s="306"/>
      <c r="AY1888" s="306"/>
      <c r="AZ1888" s="306"/>
      <c r="BA1888" s="306"/>
      <c r="BB1888" s="306"/>
    </row>
    <row r="1889" spans="1:54" ht="15.75" customHeight="1">
      <c r="A1889" s="317"/>
      <c r="B1889" s="430"/>
      <c r="C1889" s="317"/>
      <c r="E1889" s="306"/>
      <c r="F1889" s="431"/>
      <c r="G1889" s="431"/>
      <c r="H1889" s="298"/>
      <c r="I1889" s="432"/>
      <c r="J1889" s="433"/>
      <c r="K1889" s="306"/>
      <c r="L1889" s="306"/>
      <c r="M1889" s="306"/>
      <c r="N1889" s="298"/>
      <c r="O1889" s="298"/>
      <c r="P1889" s="298"/>
      <c r="Q1889" s="306"/>
      <c r="R1889" s="1023"/>
      <c r="S1889" s="1023"/>
      <c r="T1889" s="306"/>
      <c r="U1889" s="306"/>
      <c r="V1889" s="306"/>
      <c r="W1889" s="306"/>
      <c r="X1889" s="306"/>
      <c r="Y1889" s="306"/>
      <c r="Z1889" s="306"/>
      <c r="AA1889" s="306"/>
      <c r="AB1889" s="306"/>
      <c r="AC1889" s="306"/>
      <c r="AD1889" s="306"/>
      <c r="AE1889" s="306"/>
      <c r="AF1889" s="306"/>
      <c r="AG1889" s="306"/>
      <c r="AH1889" s="306"/>
      <c r="AI1889" s="306"/>
      <c r="AJ1889" s="306"/>
      <c r="AK1889" s="306"/>
      <c r="AL1889" s="306"/>
      <c r="AM1889" s="418"/>
      <c r="AN1889" s="418"/>
      <c r="AO1889" s="306"/>
      <c r="AP1889" s="306"/>
      <c r="AQ1889" s="418"/>
      <c r="AR1889" s="306"/>
      <c r="AS1889" s="306"/>
      <c r="AT1889" s="418"/>
      <c r="AU1889" s="306"/>
      <c r="AV1889" s="306"/>
      <c r="AW1889" s="306"/>
      <c r="AX1889" s="306"/>
      <c r="AY1889" s="306"/>
      <c r="AZ1889" s="306"/>
      <c r="BA1889" s="306"/>
      <c r="BB1889" s="306"/>
    </row>
    <row r="1890" spans="1:54" ht="15.75" customHeight="1">
      <c r="A1890" s="317"/>
      <c r="B1890" s="430"/>
      <c r="C1890" s="317"/>
      <c r="E1890" s="306"/>
      <c r="F1890" s="431"/>
      <c r="G1890" s="431"/>
      <c r="H1890" s="298"/>
      <c r="I1890" s="432"/>
      <c r="J1890" s="433"/>
      <c r="K1890" s="306"/>
      <c r="L1890" s="306"/>
      <c r="M1890" s="306"/>
      <c r="N1890" s="298"/>
      <c r="O1890" s="298"/>
      <c r="P1890" s="298"/>
      <c r="Q1890" s="306"/>
      <c r="R1890" s="1023"/>
      <c r="S1890" s="1023"/>
      <c r="T1890" s="306"/>
      <c r="U1890" s="306"/>
      <c r="V1890" s="306"/>
      <c r="W1890" s="306"/>
      <c r="X1890" s="306"/>
      <c r="Y1890" s="306"/>
      <c r="Z1890" s="306"/>
      <c r="AA1890" s="306"/>
      <c r="AB1890" s="306"/>
      <c r="AC1890" s="306"/>
      <c r="AD1890" s="306"/>
      <c r="AE1890" s="306"/>
      <c r="AF1890" s="306"/>
      <c r="AG1890" s="306"/>
      <c r="AH1890" s="306"/>
      <c r="AI1890" s="306"/>
      <c r="AJ1890" s="306"/>
      <c r="AK1890" s="306"/>
      <c r="AL1890" s="306"/>
      <c r="AM1890" s="418"/>
      <c r="AN1890" s="418"/>
      <c r="AO1890" s="306"/>
      <c r="AP1890" s="306"/>
      <c r="AQ1890" s="418"/>
      <c r="AR1890" s="306"/>
      <c r="AS1890" s="306"/>
      <c r="AT1890" s="418"/>
      <c r="AU1890" s="306"/>
      <c r="AV1890" s="306"/>
      <c r="AW1890" s="306"/>
      <c r="AX1890" s="306"/>
      <c r="AY1890" s="306"/>
      <c r="AZ1890" s="306"/>
      <c r="BA1890" s="306"/>
      <c r="BB1890" s="306"/>
    </row>
    <row r="1891" spans="1:54" ht="15.75" customHeight="1">
      <c r="A1891" s="317"/>
      <c r="B1891" s="430"/>
      <c r="C1891" s="317"/>
      <c r="E1891" s="306"/>
      <c r="F1891" s="431"/>
      <c r="G1891" s="431"/>
      <c r="H1891" s="298"/>
      <c r="I1891" s="432"/>
      <c r="J1891" s="433"/>
      <c r="K1891" s="306"/>
      <c r="L1891" s="306"/>
      <c r="M1891" s="306"/>
      <c r="N1891" s="298"/>
      <c r="O1891" s="298"/>
      <c r="P1891" s="298"/>
      <c r="Q1891" s="306"/>
      <c r="R1891" s="1023"/>
      <c r="S1891" s="1023"/>
      <c r="T1891" s="306"/>
      <c r="U1891" s="306"/>
      <c r="V1891" s="306"/>
      <c r="W1891" s="306"/>
      <c r="X1891" s="306"/>
      <c r="Y1891" s="306"/>
      <c r="Z1891" s="306"/>
      <c r="AA1891" s="306"/>
      <c r="AB1891" s="306"/>
      <c r="AC1891" s="306"/>
      <c r="AD1891" s="306"/>
      <c r="AE1891" s="306"/>
      <c r="AF1891" s="306"/>
      <c r="AG1891" s="306"/>
      <c r="AH1891" s="306"/>
      <c r="AI1891" s="306"/>
      <c r="AJ1891" s="306"/>
      <c r="AK1891" s="306"/>
      <c r="AL1891" s="306"/>
      <c r="AM1891" s="418"/>
      <c r="AN1891" s="418"/>
      <c r="AO1891" s="306"/>
      <c r="AP1891" s="306"/>
      <c r="AQ1891" s="418"/>
      <c r="AR1891" s="306"/>
      <c r="AS1891" s="306"/>
      <c r="AT1891" s="418"/>
      <c r="AU1891" s="306"/>
      <c r="AV1891" s="306"/>
      <c r="AW1891" s="306"/>
      <c r="AX1891" s="306"/>
      <c r="AY1891" s="306"/>
      <c r="AZ1891" s="306"/>
      <c r="BA1891" s="306"/>
      <c r="BB1891" s="306"/>
    </row>
    <row r="1892" spans="1:54" ht="15.75" customHeight="1">
      <c r="A1892" s="317"/>
      <c r="B1892" s="430"/>
      <c r="C1892" s="317"/>
      <c r="E1892" s="306"/>
      <c r="F1892" s="431"/>
      <c r="G1892" s="431"/>
      <c r="H1892" s="298"/>
      <c r="I1892" s="432"/>
      <c r="J1892" s="433"/>
      <c r="K1892" s="306"/>
      <c r="L1892" s="306"/>
      <c r="M1892" s="306"/>
      <c r="N1892" s="298"/>
      <c r="O1892" s="298"/>
      <c r="P1892" s="298"/>
      <c r="Q1892" s="306"/>
      <c r="R1892" s="1023"/>
      <c r="S1892" s="1023"/>
      <c r="T1892" s="306"/>
      <c r="U1892" s="306"/>
      <c r="V1892" s="306"/>
      <c r="W1892" s="306"/>
      <c r="X1892" s="306"/>
      <c r="Y1892" s="306"/>
      <c r="Z1892" s="306"/>
      <c r="AA1892" s="306"/>
      <c r="AB1892" s="306"/>
      <c r="AC1892" s="306"/>
      <c r="AD1892" s="306"/>
      <c r="AE1892" s="306"/>
      <c r="AF1892" s="306"/>
      <c r="AG1892" s="306"/>
      <c r="AH1892" s="306"/>
      <c r="AI1892" s="306"/>
      <c r="AJ1892" s="306"/>
      <c r="AK1892" s="306"/>
      <c r="AL1892" s="306"/>
      <c r="AM1892" s="418"/>
      <c r="AN1892" s="418"/>
      <c r="AO1892" s="306"/>
      <c r="AP1892" s="306"/>
      <c r="AQ1892" s="418"/>
      <c r="AR1892" s="306"/>
      <c r="AS1892" s="306"/>
      <c r="AT1892" s="418"/>
      <c r="AU1892" s="306"/>
      <c r="AV1892" s="306"/>
      <c r="AW1892" s="306"/>
      <c r="AX1892" s="306"/>
      <c r="AY1892" s="306"/>
      <c r="AZ1892" s="306"/>
      <c r="BA1892" s="306"/>
      <c r="BB1892" s="306"/>
    </row>
    <row r="1893" spans="1:54" ht="15.75" customHeight="1">
      <c r="A1893" s="317"/>
      <c r="B1893" s="430"/>
      <c r="C1893" s="317"/>
      <c r="E1893" s="306"/>
      <c r="F1893" s="431"/>
      <c r="G1893" s="431"/>
      <c r="H1893" s="298"/>
      <c r="I1893" s="432"/>
      <c r="J1893" s="433"/>
      <c r="K1893" s="306"/>
      <c r="L1893" s="306"/>
      <c r="M1893" s="306"/>
      <c r="N1893" s="298"/>
      <c r="O1893" s="298"/>
      <c r="P1893" s="298"/>
      <c r="Q1893" s="306"/>
      <c r="R1893" s="1023"/>
      <c r="S1893" s="1023"/>
      <c r="T1893" s="306"/>
      <c r="U1893" s="306"/>
      <c r="V1893" s="306"/>
      <c r="W1893" s="306"/>
      <c r="X1893" s="306"/>
      <c r="Y1893" s="306"/>
      <c r="Z1893" s="306"/>
      <c r="AA1893" s="306"/>
      <c r="AB1893" s="306"/>
      <c r="AC1893" s="306"/>
      <c r="AD1893" s="306"/>
      <c r="AE1893" s="306"/>
      <c r="AF1893" s="306"/>
      <c r="AG1893" s="306"/>
      <c r="AH1893" s="306"/>
      <c r="AI1893" s="306"/>
      <c r="AJ1893" s="306"/>
      <c r="AK1893" s="306"/>
      <c r="AL1893" s="306"/>
      <c r="AM1893" s="418"/>
      <c r="AN1893" s="418"/>
      <c r="AO1893" s="306"/>
      <c r="AP1893" s="306"/>
      <c r="AQ1893" s="418"/>
      <c r="AR1893" s="306"/>
      <c r="AS1893" s="306"/>
      <c r="AT1893" s="418"/>
      <c r="AU1893" s="306"/>
      <c r="AV1893" s="306"/>
      <c r="AW1893" s="306"/>
      <c r="AX1893" s="306"/>
      <c r="AY1893" s="306"/>
      <c r="AZ1893" s="306"/>
      <c r="BA1893" s="306"/>
      <c r="BB1893" s="306"/>
    </row>
    <row r="1894" spans="1:54" ht="15.75" customHeight="1">
      <c r="A1894" s="317"/>
      <c r="B1894" s="430"/>
      <c r="C1894" s="317"/>
      <c r="E1894" s="306"/>
      <c r="F1894" s="431"/>
      <c r="G1894" s="431"/>
      <c r="H1894" s="298"/>
      <c r="I1894" s="432"/>
      <c r="J1894" s="433"/>
      <c r="K1894" s="306"/>
      <c r="L1894" s="306"/>
      <c r="M1894" s="306"/>
      <c r="N1894" s="298"/>
      <c r="O1894" s="298"/>
      <c r="P1894" s="298"/>
      <c r="Q1894" s="306"/>
      <c r="R1894" s="1023"/>
      <c r="S1894" s="1023"/>
      <c r="T1894" s="306"/>
      <c r="U1894" s="306"/>
      <c r="V1894" s="306"/>
      <c r="W1894" s="306"/>
      <c r="X1894" s="306"/>
      <c r="Y1894" s="306"/>
      <c r="Z1894" s="306"/>
      <c r="AA1894" s="306"/>
      <c r="AB1894" s="306"/>
      <c r="AC1894" s="306"/>
      <c r="AD1894" s="306"/>
      <c r="AE1894" s="306"/>
      <c r="AF1894" s="306"/>
      <c r="AG1894" s="306"/>
      <c r="AH1894" s="306"/>
      <c r="AI1894" s="306"/>
      <c r="AJ1894" s="306"/>
      <c r="AK1894" s="306"/>
      <c r="AL1894" s="306"/>
      <c r="AM1894" s="418"/>
      <c r="AN1894" s="418"/>
      <c r="AO1894" s="306"/>
      <c r="AP1894" s="306"/>
      <c r="AQ1894" s="418"/>
      <c r="AR1894" s="306"/>
      <c r="AS1894" s="306"/>
      <c r="AT1894" s="418"/>
      <c r="AU1894" s="306"/>
      <c r="AV1894" s="306"/>
      <c r="AW1894" s="306"/>
      <c r="AX1894" s="306"/>
      <c r="AY1894" s="306"/>
      <c r="AZ1894" s="306"/>
      <c r="BA1894" s="306"/>
      <c r="BB1894" s="306"/>
    </row>
    <row r="1895" spans="1:54" ht="15.75" customHeight="1">
      <c r="A1895" s="317"/>
      <c r="B1895" s="430"/>
      <c r="C1895" s="317"/>
      <c r="E1895" s="306"/>
      <c r="F1895" s="431"/>
      <c r="G1895" s="431"/>
      <c r="H1895" s="298"/>
      <c r="I1895" s="432"/>
      <c r="J1895" s="433"/>
      <c r="K1895" s="306"/>
      <c r="L1895" s="306"/>
      <c r="M1895" s="306"/>
      <c r="N1895" s="298"/>
      <c r="O1895" s="298"/>
      <c r="P1895" s="298"/>
      <c r="Q1895" s="306"/>
      <c r="R1895" s="1023"/>
      <c r="S1895" s="1023"/>
      <c r="T1895" s="306"/>
      <c r="U1895" s="306"/>
      <c r="V1895" s="306"/>
      <c r="W1895" s="306"/>
      <c r="X1895" s="306"/>
      <c r="Y1895" s="306"/>
      <c r="Z1895" s="306"/>
      <c r="AA1895" s="306"/>
      <c r="AB1895" s="306"/>
      <c r="AC1895" s="306"/>
      <c r="AD1895" s="306"/>
      <c r="AE1895" s="306"/>
      <c r="AF1895" s="306"/>
      <c r="AG1895" s="306"/>
      <c r="AH1895" s="306"/>
      <c r="AI1895" s="306"/>
      <c r="AJ1895" s="306"/>
      <c r="AK1895" s="306"/>
      <c r="AL1895" s="306"/>
      <c r="AM1895" s="418"/>
      <c r="AN1895" s="418"/>
      <c r="AO1895" s="306"/>
      <c r="AP1895" s="306"/>
      <c r="AQ1895" s="418"/>
      <c r="AR1895" s="306"/>
      <c r="AS1895" s="306"/>
      <c r="AT1895" s="418"/>
      <c r="AU1895" s="306"/>
      <c r="AV1895" s="306"/>
      <c r="AW1895" s="306"/>
      <c r="AX1895" s="306"/>
      <c r="AY1895" s="306"/>
      <c r="AZ1895" s="306"/>
      <c r="BA1895" s="306"/>
      <c r="BB1895" s="306"/>
    </row>
    <row r="1896" spans="1:54" ht="15.75" customHeight="1">
      <c r="A1896" s="317"/>
      <c r="B1896" s="430"/>
      <c r="C1896" s="317"/>
      <c r="E1896" s="306"/>
      <c r="F1896" s="431"/>
      <c r="G1896" s="431"/>
      <c r="H1896" s="298"/>
      <c r="I1896" s="432"/>
      <c r="J1896" s="433"/>
      <c r="K1896" s="306"/>
      <c r="L1896" s="306"/>
      <c r="M1896" s="306"/>
      <c r="N1896" s="298"/>
      <c r="O1896" s="298"/>
      <c r="P1896" s="298"/>
      <c r="Q1896" s="306"/>
      <c r="R1896" s="1023"/>
      <c r="S1896" s="1023"/>
      <c r="T1896" s="306"/>
      <c r="U1896" s="306"/>
      <c r="V1896" s="306"/>
      <c r="W1896" s="306"/>
      <c r="X1896" s="306"/>
      <c r="Y1896" s="306"/>
      <c r="Z1896" s="306"/>
      <c r="AA1896" s="306"/>
      <c r="AB1896" s="306"/>
      <c r="AC1896" s="306"/>
      <c r="AD1896" s="306"/>
      <c r="AE1896" s="306"/>
      <c r="AF1896" s="306"/>
      <c r="AG1896" s="306"/>
      <c r="AH1896" s="306"/>
      <c r="AI1896" s="306"/>
      <c r="AJ1896" s="306"/>
      <c r="AK1896" s="306"/>
      <c r="AL1896" s="306"/>
      <c r="AM1896" s="418"/>
      <c r="AN1896" s="418"/>
      <c r="AO1896" s="306"/>
      <c r="AP1896" s="306"/>
      <c r="AQ1896" s="418"/>
      <c r="AR1896" s="306"/>
      <c r="AS1896" s="306"/>
      <c r="AT1896" s="418"/>
      <c r="AU1896" s="306"/>
      <c r="AV1896" s="306"/>
      <c r="AW1896" s="306"/>
      <c r="AX1896" s="306"/>
      <c r="AY1896" s="306"/>
      <c r="AZ1896" s="306"/>
      <c r="BA1896" s="306"/>
      <c r="BB1896" s="306"/>
    </row>
    <row r="1897" spans="1:54" ht="15.75" customHeight="1">
      <c r="A1897" s="317"/>
      <c r="B1897" s="430"/>
      <c r="C1897" s="317"/>
      <c r="E1897" s="306"/>
      <c r="F1897" s="431"/>
      <c r="G1897" s="431"/>
      <c r="H1897" s="298"/>
      <c r="I1897" s="432"/>
      <c r="J1897" s="433"/>
      <c r="K1897" s="306"/>
      <c r="L1897" s="306"/>
      <c r="M1897" s="306"/>
      <c r="N1897" s="298"/>
      <c r="O1897" s="298"/>
      <c r="P1897" s="298"/>
      <c r="Q1897" s="306"/>
      <c r="R1897" s="1023"/>
      <c r="S1897" s="1023"/>
      <c r="T1897" s="306"/>
      <c r="U1897" s="306"/>
      <c r="V1897" s="306"/>
      <c r="W1897" s="306"/>
      <c r="X1897" s="306"/>
      <c r="Y1897" s="306"/>
      <c r="Z1897" s="306"/>
      <c r="AA1897" s="306"/>
      <c r="AB1897" s="306"/>
      <c r="AC1897" s="306"/>
      <c r="AD1897" s="306"/>
      <c r="AE1897" s="306"/>
      <c r="AF1897" s="306"/>
      <c r="AG1897" s="306"/>
      <c r="AH1897" s="306"/>
      <c r="AI1897" s="306"/>
      <c r="AJ1897" s="306"/>
      <c r="AK1897" s="306"/>
      <c r="AL1897" s="306"/>
      <c r="AM1897" s="418"/>
      <c r="AN1897" s="418"/>
      <c r="AO1897" s="306"/>
      <c r="AP1897" s="306"/>
      <c r="AQ1897" s="418"/>
      <c r="AR1897" s="306"/>
      <c r="AS1897" s="306"/>
      <c r="AT1897" s="418"/>
      <c r="AU1897" s="306"/>
      <c r="AV1897" s="306"/>
      <c r="AW1897" s="306"/>
      <c r="AX1897" s="306"/>
      <c r="AY1897" s="306"/>
      <c r="AZ1897" s="306"/>
      <c r="BA1897" s="306"/>
      <c r="BB1897" s="306"/>
    </row>
    <row r="1898" spans="1:54" ht="15.75" customHeight="1">
      <c r="A1898" s="317"/>
      <c r="B1898" s="430"/>
      <c r="C1898" s="317"/>
      <c r="E1898" s="306"/>
      <c r="F1898" s="431"/>
      <c r="G1898" s="431"/>
      <c r="H1898" s="298"/>
      <c r="I1898" s="432"/>
      <c r="J1898" s="433"/>
      <c r="K1898" s="306"/>
      <c r="L1898" s="306"/>
      <c r="M1898" s="306"/>
      <c r="N1898" s="298"/>
      <c r="O1898" s="298"/>
      <c r="P1898" s="298"/>
      <c r="Q1898" s="306"/>
      <c r="R1898" s="1023"/>
      <c r="S1898" s="1023"/>
      <c r="T1898" s="306"/>
      <c r="U1898" s="306"/>
      <c r="V1898" s="306"/>
      <c r="W1898" s="306"/>
      <c r="X1898" s="306"/>
      <c r="Y1898" s="306"/>
      <c r="Z1898" s="306"/>
      <c r="AA1898" s="306"/>
      <c r="AB1898" s="306"/>
      <c r="AC1898" s="306"/>
      <c r="AD1898" s="306"/>
      <c r="AE1898" s="306"/>
      <c r="AF1898" s="306"/>
      <c r="AG1898" s="306"/>
      <c r="AH1898" s="306"/>
      <c r="AI1898" s="306"/>
      <c r="AJ1898" s="306"/>
      <c r="AK1898" s="306"/>
      <c r="AL1898" s="306"/>
      <c r="AM1898" s="418"/>
      <c r="AN1898" s="418"/>
      <c r="AO1898" s="306"/>
      <c r="AP1898" s="306"/>
      <c r="AQ1898" s="418"/>
      <c r="AR1898" s="306"/>
      <c r="AS1898" s="306"/>
      <c r="AT1898" s="418"/>
      <c r="AU1898" s="306"/>
      <c r="AV1898" s="306"/>
      <c r="AW1898" s="306"/>
      <c r="AX1898" s="306"/>
      <c r="AY1898" s="306"/>
      <c r="AZ1898" s="306"/>
      <c r="BA1898" s="306"/>
      <c r="BB1898" s="306"/>
    </row>
    <row r="1899" spans="1:54" ht="15.75" customHeight="1">
      <c r="A1899" s="317"/>
      <c r="B1899" s="430"/>
      <c r="C1899" s="317"/>
      <c r="E1899" s="306"/>
      <c r="F1899" s="431"/>
      <c r="G1899" s="431"/>
      <c r="H1899" s="298"/>
      <c r="I1899" s="432"/>
      <c r="J1899" s="433"/>
      <c r="K1899" s="306"/>
      <c r="L1899" s="306"/>
      <c r="M1899" s="306"/>
      <c r="N1899" s="298"/>
      <c r="O1899" s="298"/>
      <c r="P1899" s="298"/>
      <c r="Q1899" s="306"/>
      <c r="R1899" s="1023"/>
      <c r="S1899" s="1023"/>
      <c r="T1899" s="306"/>
      <c r="U1899" s="306"/>
      <c r="V1899" s="306"/>
      <c r="W1899" s="306"/>
      <c r="X1899" s="306"/>
      <c r="Y1899" s="306"/>
      <c r="Z1899" s="306"/>
      <c r="AA1899" s="306"/>
      <c r="AB1899" s="306"/>
      <c r="AC1899" s="306"/>
      <c r="AD1899" s="306"/>
      <c r="AE1899" s="306"/>
      <c r="AF1899" s="306"/>
      <c r="AG1899" s="306"/>
      <c r="AH1899" s="306"/>
      <c r="AI1899" s="306"/>
      <c r="AJ1899" s="306"/>
      <c r="AK1899" s="306"/>
      <c r="AL1899" s="306"/>
      <c r="AM1899" s="418"/>
      <c r="AN1899" s="418"/>
      <c r="AO1899" s="306"/>
      <c r="AP1899" s="306"/>
      <c r="AQ1899" s="418"/>
      <c r="AR1899" s="306"/>
      <c r="AS1899" s="306"/>
      <c r="AT1899" s="418"/>
      <c r="AU1899" s="306"/>
      <c r="AV1899" s="306"/>
      <c r="AW1899" s="306"/>
      <c r="AX1899" s="306"/>
      <c r="AY1899" s="306"/>
      <c r="AZ1899" s="306"/>
      <c r="BA1899" s="306"/>
      <c r="BB1899" s="306"/>
    </row>
    <row r="1900" spans="1:54" ht="15.75" customHeight="1">
      <c r="A1900" s="317"/>
      <c r="B1900" s="430"/>
      <c r="C1900" s="317"/>
      <c r="E1900" s="306"/>
      <c r="F1900" s="431"/>
      <c r="G1900" s="431"/>
      <c r="H1900" s="298"/>
      <c r="I1900" s="432"/>
      <c r="J1900" s="433"/>
      <c r="K1900" s="306"/>
      <c r="L1900" s="306"/>
      <c r="M1900" s="306"/>
      <c r="N1900" s="298"/>
      <c r="O1900" s="298"/>
      <c r="P1900" s="298"/>
      <c r="Q1900" s="306"/>
      <c r="R1900" s="1023"/>
      <c r="S1900" s="1023"/>
      <c r="T1900" s="306"/>
      <c r="U1900" s="306"/>
      <c r="V1900" s="306"/>
      <c r="W1900" s="306"/>
      <c r="X1900" s="306"/>
      <c r="Y1900" s="306"/>
      <c r="Z1900" s="306"/>
      <c r="AA1900" s="306"/>
      <c r="AB1900" s="306"/>
      <c r="AC1900" s="306"/>
      <c r="AD1900" s="306"/>
      <c r="AE1900" s="306"/>
      <c r="AF1900" s="306"/>
      <c r="AG1900" s="306"/>
      <c r="AH1900" s="306"/>
      <c r="AI1900" s="306"/>
      <c r="AJ1900" s="306"/>
      <c r="AK1900" s="306"/>
      <c r="AL1900" s="306"/>
      <c r="AM1900" s="418"/>
      <c r="AN1900" s="418"/>
      <c r="AO1900" s="306"/>
      <c r="AP1900" s="306"/>
      <c r="AQ1900" s="418"/>
      <c r="AR1900" s="306"/>
      <c r="AS1900" s="306"/>
      <c r="AT1900" s="418"/>
      <c r="AU1900" s="306"/>
      <c r="AV1900" s="306"/>
      <c r="AW1900" s="306"/>
      <c r="AX1900" s="306"/>
      <c r="AY1900" s="306"/>
      <c r="AZ1900" s="306"/>
      <c r="BA1900" s="306"/>
      <c r="BB1900" s="306"/>
    </row>
    <row r="1901" spans="1:54" ht="15.75" customHeight="1">
      <c r="A1901" s="317"/>
      <c r="B1901" s="430"/>
      <c r="C1901" s="317"/>
      <c r="E1901" s="306"/>
      <c r="F1901" s="431"/>
      <c r="G1901" s="431"/>
      <c r="H1901" s="298"/>
      <c r="I1901" s="432"/>
      <c r="J1901" s="433"/>
      <c r="K1901" s="306"/>
      <c r="L1901" s="306"/>
      <c r="M1901" s="306"/>
      <c r="N1901" s="298"/>
      <c r="O1901" s="298"/>
      <c r="P1901" s="298"/>
      <c r="Q1901" s="306"/>
      <c r="R1901" s="1023"/>
      <c r="S1901" s="1023"/>
      <c r="T1901" s="306"/>
      <c r="U1901" s="306"/>
      <c r="V1901" s="306"/>
      <c r="W1901" s="306"/>
      <c r="X1901" s="306"/>
      <c r="Y1901" s="306"/>
      <c r="Z1901" s="306"/>
      <c r="AA1901" s="306"/>
      <c r="AB1901" s="306"/>
      <c r="AC1901" s="306"/>
      <c r="AD1901" s="306"/>
      <c r="AE1901" s="306"/>
      <c r="AF1901" s="306"/>
      <c r="AG1901" s="306"/>
      <c r="AH1901" s="306"/>
      <c r="AI1901" s="306"/>
      <c r="AJ1901" s="306"/>
      <c r="AK1901" s="306"/>
      <c r="AL1901" s="306"/>
      <c r="AM1901" s="418"/>
      <c r="AN1901" s="418"/>
      <c r="AO1901" s="306"/>
      <c r="AP1901" s="306"/>
      <c r="AQ1901" s="418"/>
      <c r="AR1901" s="306"/>
      <c r="AS1901" s="306"/>
      <c r="AT1901" s="418"/>
      <c r="AU1901" s="306"/>
      <c r="AV1901" s="306"/>
      <c r="AW1901" s="306"/>
      <c r="AX1901" s="306"/>
      <c r="AY1901" s="306"/>
      <c r="AZ1901" s="306"/>
      <c r="BA1901" s="306"/>
      <c r="BB1901" s="306"/>
    </row>
    <row r="1902" spans="1:54" ht="15.75" customHeight="1">
      <c r="A1902" s="317"/>
      <c r="B1902" s="430"/>
      <c r="C1902" s="317"/>
      <c r="E1902" s="306"/>
      <c r="F1902" s="431"/>
      <c r="G1902" s="431"/>
      <c r="H1902" s="298"/>
      <c r="I1902" s="432"/>
      <c r="J1902" s="433"/>
      <c r="K1902" s="306"/>
      <c r="L1902" s="306"/>
      <c r="M1902" s="306"/>
      <c r="N1902" s="298"/>
      <c r="O1902" s="298"/>
      <c r="P1902" s="298"/>
      <c r="Q1902" s="306"/>
      <c r="R1902" s="1023"/>
      <c r="S1902" s="1023"/>
      <c r="T1902" s="306"/>
      <c r="U1902" s="306"/>
      <c r="V1902" s="306"/>
      <c r="W1902" s="306"/>
      <c r="X1902" s="306"/>
      <c r="Y1902" s="306"/>
      <c r="Z1902" s="306"/>
      <c r="AA1902" s="306"/>
      <c r="AB1902" s="306"/>
      <c r="AC1902" s="306"/>
      <c r="AD1902" s="306"/>
      <c r="AE1902" s="306"/>
      <c r="AF1902" s="306"/>
      <c r="AG1902" s="306"/>
      <c r="AH1902" s="306"/>
      <c r="AI1902" s="306"/>
      <c r="AJ1902" s="306"/>
      <c r="AK1902" s="306"/>
      <c r="AL1902" s="306"/>
      <c r="AM1902" s="418"/>
      <c r="AN1902" s="418"/>
      <c r="AO1902" s="306"/>
      <c r="AP1902" s="306"/>
      <c r="AQ1902" s="418"/>
      <c r="AR1902" s="306"/>
      <c r="AS1902" s="306"/>
      <c r="AT1902" s="418"/>
      <c r="AU1902" s="306"/>
      <c r="AV1902" s="306"/>
      <c r="AW1902" s="306"/>
      <c r="AX1902" s="306"/>
      <c r="AY1902" s="306"/>
      <c r="AZ1902" s="306"/>
      <c r="BA1902" s="306"/>
      <c r="BB1902" s="306"/>
    </row>
    <row r="1903" spans="1:54" ht="15.75" customHeight="1">
      <c r="A1903" s="317"/>
      <c r="B1903" s="430"/>
      <c r="C1903" s="317"/>
      <c r="E1903" s="306"/>
      <c r="F1903" s="431"/>
      <c r="G1903" s="431"/>
      <c r="H1903" s="298"/>
      <c r="I1903" s="432"/>
      <c r="J1903" s="433"/>
      <c r="K1903" s="306"/>
      <c r="L1903" s="306"/>
      <c r="M1903" s="306"/>
      <c r="N1903" s="298"/>
      <c r="O1903" s="298"/>
      <c r="P1903" s="298"/>
      <c r="Q1903" s="306"/>
      <c r="R1903" s="1023"/>
      <c r="S1903" s="1023"/>
      <c r="T1903" s="306"/>
      <c r="U1903" s="306"/>
      <c r="V1903" s="306"/>
      <c r="W1903" s="306"/>
      <c r="X1903" s="306"/>
      <c r="Y1903" s="306"/>
      <c r="Z1903" s="306"/>
      <c r="AA1903" s="306"/>
      <c r="AB1903" s="306"/>
      <c r="AC1903" s="306"/>
      <c r="AD1903" s="306"/>
      <c r="AE1903" s="306"/>
      <c r="AF1903" s="306"/>
      <c r="AG1903" s="306"/>
      <c r="AH1903" s="306"/>
      <c r="AI1903" s="306"/>
      <c r="AJ1903" s="306"/>
      <c r="AK1903" s="306"/>
      <c r="AL1903" s="306"/>
      <c r="AM1903" s="418"/>
      <c r="AN1903" s="418"/>
      <c r="AO1903" s="306"/>
      <c r="AP1903" s="306"/>
      <c r="AQ1903" s="418"/>
      <c r="AR1903" s="306"/>
      <c r="AS1903" s="306"/>
      <c r="AT1903" s="418"/>
      <c r="AU1903" s="306"/>
      <c r="AV1903" s="306"/>
      <c r="AW1903" s="306"/>
      <c r="AX1903" s="306"/>
      <c r="AY1903" s="306"/>
      <c r="AZ1903" s="306"/>
      <c r="BA1903" s="306"/>
      <c r="BB1903" s="306"/>
    </row>
    <row r="1904" spans="1:54" ht="15.75" customHeight="1">
      <c r="A1904" s="317"/>
      <c r="B1904" s="430"/>
      <c r="C1904" s="317"/>
      <c r="E1904" s="306"/>
      <c r="F1904" s="431"/>
      <c r="G1904" s="431"/>
      <c r="H1904" s="298"/>
      <c r="I1904" s="432"/>
      <c r="J1904" s="433"/>
      <c r="K1904" s="306"/>
      <c r="L1904" s="306"/>
      <c r="M1904" s="306"/>
      <c r="N1904" s="298"/>
      <c r="O1904" s="298"/>
      <c r="P1904" s="298"/>
      <c r="Q1904" s="306"/>
      <c r="R1904" s="1023"/>
      <c r="S1904" s="1023"/>
      <c r="T1904" s="306"/>
      <c r="U1904" s="306"/>
      <c r="V1904" s="306"/>
      <c r="W1904" s="306"/>
      <c r="X1904" s="306"/>
      <c r="Y1904" s="306"/>
      <c r="Z1904" s="306"/>
      <c r="AA1904" s="306"/>
      <c r="AB1904" s="306"/>
      <c r="AC1904" s="306"/>
      <c r="AD1904" s="306"/>
      <c r="AE1904" s="306"/>
      <c r="AF1904" s="306"/>
      <c r="AG1904" s="306"/>
      <c r="AH1904" s="306"/>
      <c r="AI1904" s="306"/>
      <c r="AJ1904" s="306"/>
      <c r="AK1904" s="306"/>
      <c r="AL1904" s="306"/>
      <c r="AM1904" s="418"/>
      <c r="AN1904" s="418"/>
      <c r="AO1904" s="306"/>
      <c r="AP1904" s="306"/>
      <c r="AQ1904" s="418"/>
      <c r="AR1904" s="306"/>
      <c r="AS1904" s="306"/>
      <c r="AT1904" s="418"/>
      <c r="AU1904" s="306"/>
      <c r="AV1904" s="306"/>
      <c r="AW1904" s="306"/>
      <c r="AX1904" s="306"/>
      <c r="AY1904" s="306"/>
      <c r="AZ1904" s="306"/>
      <c r="BA1904" s="306"/>
      <c r="BB1904" s="306"/>
    </row>
    <row r="1905" spans="1:54" ht="15.75" customHeight="1">
      <c r="A1905" s="317"/>
      <c r="B1905" s="430"/>
      <c r="C1905" s="317"/>
      <c r="E1905" s="306"/>
      <c r="F1905" s="431"/>
      <c r="G1905" s="431"/>
      <c r="H1905" s="298"/>
      <c r="I1905" s="432"/>
      <c r="J1905" s="433"/>
      <c r="K1905" s="306"/>
      <c r="L1905" s="306"/>
      <c r="M1905" s="306"/>
      <c r="N1905" s="298"/>
      <c r="O1905" s="298"/>
      <c r="P1905" s="298"/>
      <c r="Q1905" s="306"/>
      <c r="R1905" s="1023"/>
      <c r="S1905" s="1023"/>
      <c r="T1905" s="306"/>
      <c r="U1905" s="306"/>
      <c r="V1905" s="306"/>
      <c r="W1905" s="306"/>
      <c r="X1905" s="306"/>
      <c r="Y1905" s="306"/>
      <c r="Z1905" s="306"/>
      <c r="AA1905" s="306"/>
      <c r="AB1905" s="306"/>
      <c r="AC1905" s="306"/>
      <c r="AD1905" s="306"/>
      <c r="AE1905" s="306"/>
      <c r="AF1905" s="306"/>
      <c r="AG1905" s="306"/>
      <c r="AH1905" s="306"/>
      <c r="AI1905" s="306"/>
      <c r="AJ1905" s="306"/>
      <c r="AK1905" s="306"/>
      <c r="AL1905" s="306"/>
      <c r="AM1905" s="418"/>
      <c r="AN1905" s="418"/>
      <c r="AO1905" s="306"/>
      <c r="AP1905" s="306"/>
      <c r="AQ1905" s="418"/>
      <c r="AR1905" s="306"/>
      <c r="AS1905" s="306"/>
      <c r="AT1905" s="418"/>
      <c r="AU1905" s="306"/>
      <c r="AV1905" s="306"/>
      <c r="AW1905" s="306"/>
      <c r="AX1905" s="306"/>
      <c r="AY1905" s="306"/>
      <c r="AZ1905" s="306"/>
      <c r="BA1905" s="306"/>
      <c r="BB1905" s="306"/>
    </row>
    <row r="1906" spans="1:54" ht="15.75" customHeight="1">
      <c r="A1906" s="317"/>
      <c r="B1906" s="430"/>
      <c r="C1906" s="317"/>
      <c r="E1906" s="306"/>
      <c r="F1906" s="431"/>
      <c r="G1906" s="431"/>
      <c r="H1906" s="298"/>
      <c r="I1906" s="432"/>
      <c r="J1906" s="433"/>
      <c r="K1906" s="306"/>
      <c r="L1906" s="306"/>
      <c r="M1906" s="306"/>
      <c r="N1906" s="298"/>
      <c r="O1906" s="298"/>
      <c r="P1906" s="298"/>
      <c r="Q1906" s="306"/>
      <c r="R1906" s="1023"/>
      <c r="S1906" s="1023"/>
      <c r="T1906" s="306"/>
      <c r="U1906" s="306"/>
      <c r="V1906" s="306"/>
      <c r="W1906" s="306"/>
      <c r="X1906" s="306"/>
      <c r="Y1906" s="306"/>
      <c r="Z1906" s="306"/>
      <c r="AA1906" s="306"/>
      <c r="AB1906" s="306"/>
      <c r="AC1906" s="306"/>
      <c r="AD1906" s="306"/>
      <c r="AE1906" s="306"/>
      <c r="AF1906" s="306"/>
      <c r="AG1906" s="306"/>
      <c r="AH1906" s="306"/>
      <c r="AI1906" s="306"/>
      <c r="AJ1906" s="306"/>
      <c r="AK1906" s="306"/>
      <c r="AL1906" s="306"/>
      <c r="AM1906" s="418"/>
      <c r="AN1906" s="418"/>
      <c r="AO1906" s="306"/>
      <c r="AP1906" s="306"/>
      <c r="AQ1906" s="418"/>
      <c r="AR1906" s="306"/>
      <c r="AS1906" s="306"/>
      <c r="AT1906" s="418"/>
      <c r="AU1906" s="306"/>
      <c r="AV1906" s="306"/>
      <c r="AW1906" s="306"/>
      <c r="AX1906" s="306"/>
      <c r="AY1906" s="306"/>
      <c r="AZ1906" s="306"/>
      <c r="BA1906" s="306"/>
      <c r="BB1906" s="306"/>
    </row>
    <row r="1907" spans="1:54" ht="15.75" customHeight="1">
      <c r="A1907" s="317"/>
      <c r="B1907" s="430"/>
      <c r="C1907" s="317"/>
      <c r="E1907" s="306"/>
      <c r="F1907" s="431"/>
      <c r="G1907" s="431"/>
      <c r="H1907" s="298"/>
      <c r="I1907" s="432"/>
      <c r="J1907" s="433"/>
      <c r="K1907" s="306"/>
      <c r="L1907" s="306"/>
      <c r="M1907" s="306"/>
      <c r="N1907" s="298"/>
      <c r="O1907" s="298"/>
      <c r="P1907" s="298"/>
      <c r="Q1907" s="306"/>
      <c r="R1907" s="1023"/>
      <c r="S1907" s="1023"/>
      <c r="T1907" s="306"/>
      <c r="U1907" s="306"/>
      <c r="V1907" s="306"/>
      <c r="W1907" s="306"/>
      <c r="X1907" s="306"/>
      <c r="Y1907" s="306"/>
      <c r="Z1907" s="306"/>
      <c r="AA1907" s="306"/>
      <c r="AB1907" s="306"/>
      <c r="AC1907" s="306"/>
      <c r="AD1907" s="306"/>
      <c r="AE1907" s="306"/>
      <c r="AF1907" s="306"/>
      <c r="AG1907" s="306"/>
      <c r="AH1907" s="306"/>
      <c r="AI1907" s="306"/>
      <c r="AJ1907" s="306"/>
      <c r="AK1907" s="306"/>
      <c r="AL1907" s="306"/>
      <c r="AM1907" s="418"/>
      <c r="AN1907" s="418"/>
      <c r="AO1907" s="306"/>
      <c r="AP1907" s="306"/>
      <c r="AQ1907" s="418"/>
      <c r="AR1907" s="306"/>
      <c r="AS1907" s="306"/>
      <c r="AT1907" s="418"/>
      <c r="AU1907" s="306"/>
      <c r="AV1907" s="306"/>
      <c r="AW1907" s="306"/>
      <c r="AX1907" s="306"/>
      <c r="AY1907" s="306"/>
      <c r="AZ1907" s="306"/>
      <c r="BA1907" s="306"/>
      <c r="BB1907" s="306"/>
    </row>
    <row r="1908" spans="1:54" ht="15.75" customHeight="1">
      <c r="A1908" s="317"/>
      <c r="B1908" s="430"/>
      <c r="C1908" s="317"/>
      <c r="E1908" s="306"/>
      <c r="F1908" s="431"/>
      <c r="G1908" s="431"/>
      <c r="H1908" s="298"/>
      <c r="I1908" s="432"/>
      <c r="J1908" s="433"/>
      <c r="K1908" s="306"/>
      <c r="L1908" s="306"/>
      <c r="M1908" s="306"/>
      <c r="N1908" s="298"/>
      <c r="O1908" s="298"/>
      <c r="P1908" s="298"/>
      <c r="Q1908" s="306"/>
      <c r="R1908" s="1023"/>
      <c r="S1908" s="1023"/>
      <c r="T1908" s="306"/>
      <c r="U1908" s="306"/>
      <c r="V1908" s="306"/>
      <c r="W1908" s="306"/>
      <c r="X1908" s="306"/>
      <c r="Y1908" s="306"/>
      <c r="Z1908" s="306"/>
      <c r="AA1908" s="306"/>
      <c r="AB1908" s="306"/>
      <c r="AC1908" s="306"/>
      <c r="AD1908" s="306"/>
      <c r="AE1908" s="306"/>
      <c r="AF1908" s="306"/>
      <c r="AG1908" s="306"/>
      <c r="AH1908" s="306"/>
      <c r="AI1908" s="306"/>
      <c r="AJ1908" s="306"/>
      <c r="AK1908" s="306"/>
      <c r="AL1908" s="306"/>
      <c r="AM1908" s="418"/>
      <c r="AN1908" s="418"/>
      <c r="AO1908" s="306"/>
      <c r="AP1908" s="306"/>
      <c r="AQ1908" s="418"/>
      <c r="AR1908" s="306"/>
      <c r="AS1908" s="306"/>
      <c r="AT1908" s="418"/>
      <c r="AU1908" s="306"/>
      <c r="AV1908" s="306"/>
      <c r="AW1908" s="306"/>
      <c r="AX1908" s="306"/>
      <c r="AY1908" s="306"/>
      <c r="AZ1908" s="306"/>
      <c r="BA1908" s="306"/>
      <c r="BB1908" s="306"/>
    </row>
    <row r="1909" spans="1:54" ht="15.75" customHeight="1">
      <c r="A1909" s="317"/>
      <c r="B1909" s="430"/>
      <c r="C1909" s="317"/>
      <c r="E1909" s="306"/>
      <c r="F1909" s="431"/>
      <c r="G1909" s="431"/>
      <c r="H1909" s="298"/>
      <c r="I1909" s="432"/>
      <c r="J1909" s="433"/>
      <c r="K1909" s="306"/>
      <c r="L1909" s="306"/>
      <c r="M1909" s="306"/>
      <c r="N1909" s="298"/>
      <c r="O1909" s="298"/>
      <c r="P1909" s="298"/>
      <c r="Q1909" s="306"/>
      <c r="R1909" s="1023"/>
      <c r="S1909" s="1023"/>
      <c r="T1909" s="306"/>
      <c r="U1909" s="306"/>
      <c r="V1909" s="306"/>
      <c r="W1909" s="306"/>
      <c r="X1909" s="306"/>
      <c r="Y1909" s="306"/>
      <c r="Z1909" s="306"/>
      <c r="AA1909" s="306"/>
      <c r="AB1909" s="306"/>
      <c r="AC1909" s="306"/>
      <c r="AD1909" s="306"/>
      <c r="AE1909" s="306"/>
      <c r="AF1909" s="306"/>
      <c r="AG1909" s="306"/>
      <c r="AH1909" s="306"/>
      <c r="AI1909" s="306"/>
      <c r="AJ1909" s="306"/>
      <c r="AK1909" s="306"/>
      <c r="AL1909" s="306"/>
      <c r="AM1909" s="418"/>
      <c r="AN1909" s="418"/>
      <c r="AO1909" s="306"/>
      <c r="AP1909" s="306"/>
      <c r="AQ1909" s="418"/>
      <c r="AR1909" s="306"/>
      <c r="AS1909" s="306"/>
      <c r="AT1909" s="418"/>
      <c r="AU1909" s="306"/>
      <c r="AV1909" s="306"/>
      <c r="AW1909" s="306"/>
      <c r="AX1909" s="306"/>
      <c r="AY1909" s="306"/>
      <c r="AZ1909" s="306"/>
      <c r="BA1909" s="306"/>
      <c r="BB1909" s="306"/>
    </row>
    <row r="1910" spans="1:54" ht="15.75" customHeight="1">
      <c r="A1910" s="317"/>
      <c r="B1910" s="430"/>
      <c r="C1910" s="317"/>
      <c r="E1910" s="306"/>
      <c r="F1910" s="431"/>
      <c r="G1910" s="431"/>
      <c r="H1910" s="298"/>
      <c r="I1910" s="432"/>
      <c r="J1910" s="433"/>
      <c r="K1910" s="306"/>
      <c r="L1910" s="306"/>
      <c r="M1910" s="306"/>
      <c r="N1910" s="298"/>
      <c r="O1910" s="298"/>
      <c r="P1910" s="298"/>
      <c r="Q1910" s="306"/>
      <c r="R1910" s="1023"/>
      <c r="S1910" s="1023"/>
      <c r="T1910" s="306"/>
      <c r="U1910" s="306"/>
      <c r="V1910" s="306"/>
      <c r="W1910" s="306"/>
      <c r="X1910" s="306"/>
      <c r="Y1910" s="306"/>
      <c r="Z1910" s="306"/>
      <c r="AA1910" s="306"/>
      <c r="AB1910" s="306"/>
      <c r="AC1910" s="306"/>
      <c r="AD1910" s="306"/>
      <c r="AE1910" s="306"/>
      <c r="AF1910" s="306"/>
      <c r="AG1910" s="306"/>
      <c r="AH1910" s="306"/>
      <c r="AI1910" s="306"/>
      <c r="AJ1910" s="306"/>
      <c r="AK1910" s="306"/>
      <c r="AL1910" s="306"/>
      <c r="AM1910" s="418"/>
      <c r="AN1910" s="418"/>
      <c r="AO1910" s="306"/>
      <c r="AP1910" s="306"/>
      <c r="AQ1910" s="418"/>
      <c r="AR1910" s="306"/>
      <c r="AS1910" s="306"/>
      <c r="AT1910" s="418"/>
      <c r="AU1910" s="306"/>
      <c r="AV1910" s="306"/>
      <c r="AW1910" s="306"/>
      <c r="AX1910" s="306"/>
      <c r="AY1910" s="306"/>
      <c r="AZ1910" s="306"/>
      <c r="BA1910" s="306"/>
      <c r="BB1910" s="306"/>
    </row>
    <row r="1911" spans="1:54" ht="15.75" customHeight="1">
      <c r="A1911" s="317"/>
      <c r="B1911" s="430"/>
      <c r="C1911" s="317"/>
      <c r="E1911" s="306"/>
      <c r="F1911" s="431"/>
      <c r="G1911" s="431"/>
      <c r="H1911" s="298"/>
      <c r="I1911" s="432"/>
      <c r="J1911" s="433"/>
      <c r="K1911" s="306"/>
      <c r="L1911" s="306"/>
      <c r="M1911" s="306"/>
      <c r="N1911" s="298"/>
      <c r="O1911" s="298"/>
      <c r="P1911" s="298"/>
      <c r="Q1911" s="306"/>
      <c r="R1911" s="1023"/>
      <c r="S1911" s="1023"/>
      <c r="T1911" s="306"/>
      <c r="U1911" s="306"/>
      <c r="V1911" s="306"/>
      <c r="W1911" s="306"/>
      <c r="X1911" s="306"/>
      <c r="Y1911" s="306"/>
      <c r="Z1911" s="306"/>
      <c r="AA1911" s="306"/>
      <c r="AB1911" s="306"/>
      <c r="AC1911" s="306"/>
      <c r="AD1911" s="306"/>
      <c r="AE1911" s="306"/>
      <c r="AF1911" s="306"/>
      <c r="AG1911" s="306"/>
      <c r="AH1911" s="306"/>
      <c r="AI1911" s="306"/>
      <c r="AJ1911" s="306"/>
      <c r="AK1911" s="306"/>
      <c r="AL1911" s="306"/>
      <c r="AM1911" s="418"/>
      <c r="AN1911" s="418"/>
      <c r="AO1911" s="306"/>
      <c r="AP1911" s="306"/>
      <c r="AQ1911" s="418"/>
      <c r="AR1911" s="306"/>
      <c r="AS1911" s="306"/>
      <c r="AT1911" s="418"/>
      <c r="AU1911" s="306"/>
      <c r="AV1911" s="306"/>
      <c r="AW1911" s="306"/>
      <c r="AX1911" s="306"/>
      <c r="AY1911" s="306"/>
      <c r="AZ1911" s="306"/>
      <c r="BA1911" s="306"/>
      <c r="BB1911" s="306"/>
    </row>
    <row r="1912" spans="1:54" ht="15.75" customHeight="1">
      <c r="A1912" s="317"/>
      <c r="B1912" s="430"/>
      <c r="C1912" s="317"/>
      <c r="E1912" s="306"/>
      <c r="F1912" s="431"/>
      <c r="G1912" s="431"/>
      <c r="H1912" s="298"/>
      <c r="I1912" s="432"/>
      <c r="J1912" s="433"/>
      <c r="K1912" s="306"/>
      <c r="L1912" s="306"/>
      <c r="M1912" s="306"/>
      <c r="N1912" s="298"/>
      <c r="O1912" s="298"/>
      <c r="P1912" s="298"/>
      <c r="Q1912" s="306"/>
      <c r="R1912" s="1023"/>
      <c r="S1912" s="1023"/>
      <c r="T1912" s="306"/>
      <c r="U1912" s="306"/>
      <c r="V1912" s="306"/>
      <c r="W1912" s="306"/>
      <c r="X1912" s="306"/>
      <c r="Y1912" s="306"/>
      <c r="Z1912" s="306"/>
      <c r="AA1912" s="306"/>
      <c r="AB1912" s="306"/>
      <c r="AC1912" s="306"/>
      <c r="AD1912" s="306"/>
      <c r="AE1912" s="306"/>
      <c r="AF1912" s="306"/>
      <c r="AG1912" s="306"/>
      <c r="AH1912" s="306"/>
      <c r="AI1912" s="306"/>
      <c r="AJ1912" s="306"/>
      <c r="AK1912" s="306"/>
      <c r="AL1912" s="306"/>
      <c r="AM1912" s="418"/>
      <c r="AN1912" s="418"/>
      <c r="AO1912" s="306"/>
      <c r="AP1912" s="306"/>
      <c r="AQ1912" s="418"/>
      <c r="AR1912" s="306"/>
      <c r="AS1912" s="306"/>
      <c r="AT1912" s="418"/>
      <c r="AU1912" s="306"/>
      <c r="AV1912" s="306"/>
      <c r="AW1912" s="306"/>
      <c r="AX1912" s="306"/>
      <c r="AY1912" s="306"/>
      <c r="AZ1912" s="306"/>
      <c r="BA1912" s="306"/>
      <c r="BB1912" s="306"/>
    </row>
    <row r="1913" spans="1:54" ht="15.75" customHeight="1">
      <c r="A1913" s="317"/>
      <c r="B1913" s="430"/>
      <c r="C1913" s="317"/>
      <c r="E1913" s="306"/>
      <c r="F1913" s="431"/>
      <c r="G1913" s="431"/>
      <c r="H1913" s="298"/>
      <c r="I1913" s="432"/>
      <c r="J1913" s="433"/>
      <c r="K1913" s="306"/>
      <c r="L1913" s="306"/>
      <c r="M1913" s="306"/>
      <c r="N1913" s="298"/>
      <c r="O1913" s="298"/>
      <c r="P1913" s="298"/>
      <c r="Q1913" s="306"/>
      <c r="R1913" s="1023"/>
      <c r="S1913" s="1023"/>
      <c r="T1913" s="306"/>
      <c r="U1913" s="306"/>
      <c r="V1913" s="306"/>
      <c r="W1913" s="306"/>
      <c r="X1913" s="306"/>
      <c r="Y1913" s="306"/>
      <c r="Z1913" s="306"/>
      <c r="AA1913" s="306"/>
      <c r="AB1913" s="306"/>
      <c r="AC1913" s="306"/>
      <c r="AD1913" s="306"/>
      <c r="AE1913" s="306"/>
      <c r="AF1913" s="306"/>
      <c r="AG1913" s="306"/>
      <c r="AH1913" s="306"/>
      <c r="AI1913" s="306"/>
      <c r="AJ1913" s="306"/>
      <c r="AK1913" s="306"/>
      <c r="AL1913" s="306"/>
      <c r="AM1913" s="418"/>
      <c r="AN1913" s="418"/>
      <c r="AO1913" s="306"/>
      <c r="AP1913" s="306"/>
      <c r="AQ1913" s="418"/>
      <c r="AR1913" s="306"/>
      <c r="AS1913" s="306"/>
      <c r="AT1913" s="418"/>
      <c r="AU1913" s="306"/>
      <c r="AV1913" s="306"/>
      <c r="AW1913" s="306"/>
      <c r="AX1913" s="306"/>
      <c r="AY1913" s="306"/>
      <c r="AZ1913" s="306"/>
      <c r="BA1913" s="306"/>
      <c r="BB1913" s="306"/>
    </row>
    <row r="1914" spans="1:54" ht="15.75" customHeight="1">
      <c r="A1914" s="317"/>
      <c r="B1914" s="430"/>
      <c r="C1914" s="317"/>
      <c r="E1914" s="306"/>
      <c r="F1914" s="431"/>
      <c r="G1914" s="431"/>
      <c r="H1914" s="298"/>
      <c r="I1914" s="432"/>
      <c r="J1914" s="433"/>
      <c r="K1914" s="306"/>
      <c r="L1914" s="306"/>
      <c r="M1914" s="306"/>
      <c r="N1914" s="298"/>
      <c r="O1914" s="298"/>
      <c r="P1914" s="298"/>
      <c r="Q1914" s="306"/>
      <c r="R1914" s="1023"/>
      <c r="S1914" s="1023"/>
      <c r="T1914" s="306"/>
      <c r="U1914" s="306"/>
      <c r="V1914" s="306"/>
      <c r="W1914" s="306"/>
      <c r="X1914" s="306"/>
      <c r="Y1914" s="306"/>
      <c r="Z1914" s="306"/>
      <c r="AA1914" s="306"/>
      <c r="AB1914" s="306"/>
      <c r="AC1914" s="306"/>
      <c r="AD1914" s="306"/>
      <c r="AE1914" s="306"/>
      <c r="AF1914" s="306"/>
      <c r="AG1914" s="306"/>
      <c r="AH1914" s="306"/>
      <c r="AI1914" s="306"/>
      <c r="AJ1914" s="306"/>
      <c r="AK1914" s="306"/>
      <c r="AL1914" s="306"/>
      <c r="AM1914" s="418"/>
      <c r="AN1914" s="418"/>
      <c r="AO1914" s="306"/>
      <c r="AP1914" s="306"/>
      <c r="AQ1914" s="418"/>
      <c r="AR1914" s="306"/>
      <c r="AS1914" s="306"/>
      <c r="AT1914" s="418"/>
      <c r="AU1914" s="306"/>
      <c r="AV1914" s="306"/>
      <c r="AW1914" s="306"/>
      <c r="AX1914" s="306"/>
      <c r="AY1914" s="306"/>
      <c r="AZ1914" s="306"/>
      <c r="BA1914" s="306"/>
      <c r="BB1914" s="306"/>
    </row>
    <row r="1915" spans="1:54" ht="15.75" customHeight="1">
      <c r="A1915" s="317"/>
      <c r="B1915" s="430"/>
      <c r="C1915" s="317"/>
      <c r="E1915" s="306"/>
      <c r="F1915" s="431"/>
      <c r="G1915" s="431"/>
      <c r="H1915" s="298"/>
      <c r="I1915" s="432"/>
      <c r="J1915" s="433"/>
      <c r="K1915" s="306"/>
      <c r="L1915" s="306"/>
      <c r="M1915" s="306"/>
      <c r="N1915" s="298"/>
      <c r="O1915" s="298"/>
      <c r="P1915" s="298"/>
      <c r="Q1915" s="306"/>
      <c r="R1915" s="1023"/>
      <c r="S1915" s="1023"/>
      <c r="T1915" s="306"/>
      <c r="U1915" s="306"/>
      <c r="V1915" s="306"/>
      <c r="W1915" s="306"/>
      <c r="X1915" s="306"/>
      <c r="Y1915" s="306"/>
      <c r="Z1915" s="306"/>
      <c r="AA1915" s="306"/>
      <c r="AB1915" s="306"/>
      <c r="AC1915" s="306"/>
      <c r="AD1915" s="306"/>
      <c r="AE1915" s="306"/>
      <c r="AF1915" s="306"/>
      <c r="AG1915" s="306"/>
      <c r="AH1915" s="306"/>
      <c r="AI1915" s="306"/>
      <c r="AJ1915" s="306"/>
      <c r="AK1915" s="306"/>
      <c r="AL1915" s="306"/>
      <c r="AM1915" s="418"/>
      <c r="AN1915" s="418"/>
      <c r="AO1915" s="306"/>
      <c r="AP1915" s="306"/>
      <c r="AQ1915" s="418"/>
      <c r="AR1915" s="306"/>
      <c r="AS1915" s="306"/>
      <c r="AT1915" s="418"/>
      <c r="AU1915" s="306"/>
      <c r="AV1915" s="306"/>
      <c r="AW1915" s="306"/>
      <c r="AX1915" s="306"/>
      <c r="AY1915" s="306"/>
      <c r="AZ1915" s="306"/>
      <c r="BA1915" s="306"/>
      <c r="BB1915" s="306"/>
    </row>
    <row r="1916" spans="1:54" ht="15.75" customHeight="1">
      <c r="A1916" s="317"/>
      <c r="B1916" s="430"/>
      <c r="C1916" s="317"/>
      <c r="E1916" s="306"/>
      <c r="F1916" s="431"/>
      <c r="G1916" s="431"/>
      <c r="H1916" s="298"/>
      <c r="I1916" s="432"/>
      <c r="J1916" s="433"/>
      <c r="K1916" s="306"/>
      <c r="L1916" s="306"/>
      <c r="M1916" s="306"/>
      <c r="N1916" s="298"/>
      <c r="O1916" s="298"/>
      <c r="P1916" s="298"/>
      <c r="Q1916" s="306"/>
      <c r="R1916" s="1023"/>
      <c r="S1916" s="1023"/>
      <c r="T1916" s="306"/>
      <c r="U1916" s="306"/>
      <c r="V1916" s="306"/>
      <c r="W1916" s="306"/>
      <c r="X1916" s="306"/>
      <c r="Y1916" s="306"/>
      <c r="Z1916" s="306"/>
      <c r="AA1916" s="306"/>
      <c r="AB1916" s="306"/>
      <c r="AC1916" s="306"/>
      <c r="AD1916" s="306"/>
      <c r="AE1916" s="306"/>
      <c r="AF1916" s="306"/>
      <c r="AG1916" s="306"/>
      <c r="AH1916" s="306"/>
      <c r="AI1916" s="306"/>
      <c r="AJ1916" s="306"/>
      <c r="AK1916" s="306"/>
      <c r="AL1916" s="306"/>
      <c r="AM1916" s="418"/>
      <c r="AN1916" s="418"/>
      <c r="AO1916" s="306"/>
      <c r="AP1916" s="306"/>
      <c r="AQ1916" s="418"/>
      <c r="AR1916" s="306"/>
      <c r="AS1916" s="306"/>
      <c r="AT1916" s="418"/>
      <c r="AU1916" s="306"/>
      <c r="AV1916" s="306"/>
      <c r="AW1916" s="306"/>
      <c r="AX1916" s="306"/>
      <c r="AY1916" s="306"/>
      <c r="AZ1916" s="306"/>
      <c r="BA1916" s="306"/>
      <c r="BB1916" s="306"/>
    </row>
    <row r="1917" spans="1:54" ht="15.75" customHeight="1">
      <c r="A1917" s="317"/>
      <c r="B1917" s="430"/>
      <c r="C1917" s="317"/>
      <c r="E1917" s="306"/>
      <c r="F1917" s="431"/>
      <c r="G1917" s="431"/>
      <c r="H1917" s="298"/>
      <c r="I1917" s="432"/>
      <c r="J1917" s="433"/>
      <c r="K1917" s="306"/>
      <c r="L1917" s="306"/>
      <c r="M1917" s="306"/>
      <c r="N1917" s="298"/>
      <c r="O1917" s="298"/>
      <c r="P1917" s="298"/>
      <c r="Q1917" s="306"/>
      <c r="R1917" s="1023"/>
      <c r="S1917" s="1023"/>
      <c r="T1917" s="306"/>
      <c r="U1917" s="306"/>
      <c r="V1917" s="306"/>
      <c r="W1917" s="306"/>
      <c r="X1917" s="306"/>
      <c r="Y1917" s="306"/>
      <c r="Z1917" s="306"/>
      <c r="AA1917" s="306"/>
      <c r="AB1917" s="306"/>
      <c r="AC1917" s="306"/>
      <c r="AD1917" s="306"/>
      <c r="AE1917" s="306"/>
      <c r="AF1917" s="306"/>
      <c r="AG1917" s="306"/>
      <c r="AH1917" s="306"/>
      <c r="AI1917" s="306"/>
      <c r="AJ1917" s="306"/>
      <c r="AK1917" s="306"/>
      <c r="AL1917" s="306"/>
      <c r="AM1917" s="418"/>
      <c r="AN1917" s="418"/>
      <c r="AO1917" s="306"/>
      <c r="AP1917" s="306"/>
      <c r="AQ1917" s="418"/>
      <c r="AR1917" s="306"/>
      <c r="AS1917" s="306"/>
      <c r="AT1917" s="418"/>
      <c r="AU1917" s="306"/>
      <c r="AV1917" s="306"/>
      <c r="AW1917" s="306"/>
      <c r="AX1917" s="306"/>
      <c r="AY1917" s="306"/>
      <c r="AZ1917" s="306"/>
      <c r="BA1917" s="306"/>
      <c r="BB1917" s="306"/>
    </row>
    <row r="1918" spans="1:54" ht="15.75" customHeight="1">
      <c r="A1918" s="317"/>
      <c r="B1918" s="430"/>
      <c r="C1918" s="317"/>
      <c r="E1918" s="306"/>
      <c r="F1918" s="431"/>
      <c r="G1918" s="431"/>
      <c r="H1918" s="298"/>
      <c r="I1918" s="432"/>
      <c r="J1918" s="433"/>
      <c r="K1918" s="306"/>
      <c r="L1918" s="306"/>
      <c r="M1918" s="306"/>
      <c r="N1918" s="298"/>
      <c r="O1918" s="298"/>
      <c r="P1918" s="298"/>
      <c r="Q1918" s="306"/>
      <c r="R1918" s="1023"/>
      <c r="S1918" s="1023"/>
      <c r="T1918" s="306"/>
      <c r="U1918" s="306"/>
      <c r="V1918" s="306"/>
      <c r="W1918" s="306"/>
      <c r="X1918" s="306"/>
      <c r="Y1918" s="306"/>
      <c r="Z1918" s="306"/>
      <c r="AA1918" s="306"/>
      <c r="AB1918" s="306"/>
      <c r="AC1918" s="306"/>
      <c r="AD1918" s="306"/>
      <c r="AE1918" s="306"/>
      <c r="AF1918" s="306"/>
      <c r="AG1918" s="306"/>
      <c r="AH1918" s="306"/>
      <c r="AI1918" s="306"/>
      <c r="AJ1918" s="306"/>
      <c r="AK1918" s="306"/>
      <c r="AL1918" s="306"/>
      <c r="AM1918" s="418"/>
      <c r="AN1918" s="418"/>
      <c r="AO1918" s="306"/>
      <c r="AP1918" s="306"/>
      <c r="AQ1918" s="418"/>
      <c r="AR1918" s="306"/>
      <c r="AS1918" s="306"/>
      <c r="AT1918" s="418"/>
      <c r="AU1918" s="306"/>
      <c r="AV1918" s="306"/>
      <c r="AW1918" s="306"/>
      <c r="AX1918" s="306"/>
      <c r="AY1918" s="306"/>
      <c r="AZ1918" s="306"/>
      <c r="BA1918" s="306"/>
      <c r="BB1918" s="306"/>
    </row>
    <row r="1919" spans="1:54" ht="15.75" customHeight="1">
      <c r="A1919" s="317"/>
      <c r="B1919" s="430"/>
      <c r="C1919" s="317"/>
      <c r="E1919" s="306"/>
      <c r="F1919" s="431"/>
      <c r="G1919" s="431"/>
      <c r="H1919" s="298"/>
      <c r="I1919" s="432"/>
      <c r="J1919" s="433"/>
      <c r="K1919" s="306"/>
      <c r="L1919" s="306"/>
      <c r="M1919" s="306"/>
      <c r="N1919" s="298"/>
      <c r="O1919" s="298"/>
      <c r="P1919" s="298"/>
      <c r="Q1919" s="306"/>
      <c r="R1919" s="1023"/>
      <c r="S1919" s="1023"/>
      <c r="T1919" s="306"/>
      <c r="U1919" s="306"/>
      <c r="V1919" s="306"/>
      <c r="W1919" s="306"/>
      <c r="X1919" s="306"/>
      <c r="Y1919" s="306"/>
      <c r="Z1919" s="306"/>
      <c r="AA1919" s="306"/>
      <c r="AB1919" s="306"/>
      <c r="AC1919" s="306"/>
      <c r="AD1919" s="306"/>
      <c r="AE1919" s="306"/>
      <c r="AF1919" s="306"/>
      <c r="AG1919" s="306"/>
      <c r="AH1919" s="306"/>
      <c r="AI1919" s="306"/>
      <c r="AJ1919" s="306"/>
      <c r="AK1919" s="306"/>
      <c r="AL1919" s="306"/>
      <c r="AM1919" s="418"/>
      <c r="AN1919" s="418"/>
      <c r="AO1919" s="306"/>
      <c r="AP1919" s="306"/>
      <c r="AQ1919" s="418"/>
      <c r="AR1919" s="306"/>
      <c r="AS1919" s="306"/>
      <c r="AT1919" s="418"/>
      <c r="AU1919" s="306"/>
      <c r="AV1919" s="306"/>
      <c r="AW1919" s="306"/>
      <c r="AX1919" s="306"/>
      <c r="AY1919" s="306"/>
      <c r="AZ1919" s="306"/>
      <c r="BA1919" s="306"/>
      <c r="BB1919" s="306"/>
    </row>
    <row r="1920" spans="1:54" ht="15.75" customHeight="1">
      <c r="A1920" s="317"/>
      <c r="B1920" s="430"/>
      <c r="C1920" s="317"/>
      <c r="E1920" s="306"/>
      <c r="F1920" s="431"/>
      <c r="G1920" s="431"/>
      <c r="H1920" s="298"/>
      <c r="I1920" s="432"/>
      <c r="J1920" s="433"/>
      <c r="K1920" s="306"/>
      <c r="L1920" s="306"/>
      <c r="M1920" s="306"/>
      <c r="N1920" s="298"/>
      <c r="O1920" s="298"/>
      <c r="P1920" s="298"/>
      <c r="Q1920" s="306"/>
      <c r="R1920" s="1023"/>
      <c r="S1920" s="1023"/>
      <c r="T1920" s="306"/>
      <c r="U1920" s="306"/>
      <c r="V1920" s="306"/>
      <c r="W1920" s="306"/>
      <c r="X1920" s="306"/>
      <c r="Y1920" s="306"/>
      <c r="Z1920" s="306"/>
      <c r="AA1920" s="306"/>
      <c r="AB1920" s="306"/>
      <c r="AC1920" s="306"/>
      <c r="AD1920" s="306"/>
      <c r="AE1920" s="306"/>
      <c r="AF1920" s="306"/>
      <c r="AG1920" s="306"/>
      <c r="AH1920" s="306"/>
      <c r="AI1920" s="306"/>
      <c r="AJ1920" s="306"/>
      <c r="AK1920" s="306"/>
      <c r="AL1920" s="306"/>
      <c r="AM1920" s="418"/>
      <c r="AN1920" s="418"/>
      <c r="AO1920" s="306"/>
      <c r="AP1920" s="306"/>
      <c r="AQ1920" s="418"/>
      <c r="AR1920" s="306"/>
      <c r="AS1920" s="306"/>
      <c r="AT1920" s="418"/>
      <c r="AU1920" s="306"/>
      <c r="AV1920" s="306"/>
      <c r="AW1920" s="306"/>
      <c r="AX1920" s="306"/>
      <c r="AY1920" s="306"/>
      <c r="AZ1920" s="306"/>
      <c r="BA1920" s="306"/>
      <c r="BB1920" s="306"/>
    </row>
    <row r="1921" spans="1:54" ht="15.75" customHeight="1">
      <c r="A1921" s="317"/>
      <c r="B1921" s="430"/>
      <c r="C1921" s="317"/>
      <c r="E1921" s="306"/>
      <c r="F1921" s="431"/>
      <c r="G1921" s="431"/>
      <c r="H1921" s="298"/>
      <c r="I1921" s="432"/>
      <c r="J1921" s="433"/>
      <c r="K1921" s="306"/>
      <c r="L1921" s="306"/>
      <c r="M1921" s="306"/>
      <c r="N1921" s="298"/>
      <c r="O1921" s="298"/>
      <c r="P1921" s="298"/>
      <c r="Q1921" s="306"/>
      <c r="R1921" s="1023"/>
      <c r="S1921" s="1023"/>
      <c r="T1921" s="306"/>
      <c r="U1921" s="306"/>
      <c r="V1921" s="306"/>
      <c r="W1921" s="306"/>
      <c r="X1921" s="306"/>
      <c r="Y1921" s="306"/>
      <c r="Z1921" s="306"/>
      <c r="AA1921" s="306"/>
      <c r="AB1921" s="306"/>
      <c r="AC1921" s="306"/>
      <c r="AD1921" s="306"/>
      <c r="AE1921" s="306"/>
      <c r="AF1921" s="306"/>
      <c r="AG1921" s="306"/>
      <c r="AH1921" s="306"/>
      <c r="AI1921" s="306"/>
      <c r="AJ1921" s="306"/>
      <c r="AK1921" s="306"/>
      <c r="AL1921" s="306"/>
      <c r="AM1921" s="418"/>
      <c r="AN1921" s="418"/>
      <c r="AO1921" s="306"/>
      <c r="AP1921" s="306"/>
      <c r="AQ1921" s="418"/>
      <c r="AR1921" s="306"/>
      <c r="AS1921" s="306"/>
      <c r="AT1921" s="418"/>
      <c r="AU1921" s="306"/>
      <c r="AV1921" s="306"/>
      <c r="AW1921" s="306"/>
      <c r="AX1921" s="306"/>
      <c r="AY1921" s="306"/>
      <c r="AZ1921" s="306"/>
      <c r="BA1921" s="306"/>
      <c r="BB1921" s="306"/>
    </row>
    <row r="1922" spans="1:54" ht="15.75" customHeight="1">
      <c r="A1922" s="317"/>
      <c r="B1922" s="430"/>
      <c r="C1922" s="317"/>
      <c r="E1922" s="306"/>
      <c r="F1922" s="431"/>
      <c r="G1922" s="431"/>
      <c r="H1922" s="298"/>
      <c r="I1922" s="432"/>
      <c r="J1922" s="433"/>
      <c r="K1922" s="306"/>
      <c r="L1922" s="306"/>
      <c r="M1922" s="306"/>
      <c r="N1922" s="298"/>
      <c r="O1922" s="298"/>
      <c r="P1922" s="298"/>
      <c r="Q1922" s="306"/>
      <c r="R1922" s="1023"/>
      <c r="S1922" s="1023"/>
      <c r="T1922" s="306"/>
      <c r="U1922" s="306"/>
      <c r="V1922" s="306"/>
      <c r="W1922" s="306"/>
      <c r="X1922" s="306"/>
      <c r="Y1922" s="306"/>
      <c r="Z1922" s="306"/>
      <c r="AA1922" s="306"/>
      <c r="AB1922" s="306"/>
      <c r="AC1922" s="306"/>
      <c r="AD1922" s="306"/>
      <c r="AE1922" s="306"/>
      <c r="AF1922" s="306"/>
      <c r="AG1922" s="306"/>
      <c r="AH1922" s="306"/>
      <c r="AI1922" s="306"/>
      <c r="AJ1922" s="306"/>
      <c r="AK1922" s="306"/>
      <c r="AL1922" s="306"/>
      <c r="AM1922" s="418"/>
      <c r="AN1922" s="418"/>
      <c r="AO1922" s="306"/>
      <c r="AP1922" s="306"/>
      <c r="AQ1922" s="418"/>
      <c r="AR1922" s="306"/>
      <c r="AS1922" s="306"/>
      <c r="AT1922" s="418"/>
      <c r="AU1922" s="306"/>
      <c r="AV1922" s="306"/>
      <c r="AW1922" s="306"/>
      <c r="AX1922" s="306"/>
      <c r="AY1922" s="306"/>
      <c r="AZ1922" s="306"/>
      <c r="BA1922" s="306"/>
      <c r="BB1922" s="306"/>
    </row>
    <row r="1923" spans="1:54" ht="15.75" customHeight="1">
      <c r="A1923" s="317"/>
      <c r="B1923" s="430"/>
      <c r="C1923" s="317"/>
      <c r="E1923" s="306"/>
      <c r="F1923" s="431"/>
      <c r="G1923" s="431"/>
      <c r="H1923" s="298"/>
      <c r="I1923" s="432"/>
      <c r="J1923" s="433"/>
      <c r="K1923" s="306"/>
      <c r="L1923" s="306"/>
      <c r="M1923" s="306"/>
      <c r="N1923" s="298"/>
      <c r="O1923" s="298"/>
      <c r="P1923" s="298"/>
      <c r="Q1923" s="306"/>
      <c r="R1923" s="1023"/>
      <c r="S1923" s="1023"/>
      <c r="T1923" s="306"/>
      <c r="U1923" s="306"/>
      <c r="V1923" s="306"/>
      <c r="W1923" s="306"/>
      <c r="X1923" s="306"/>
      <c r="Y1923" s="306"/>
      <c r="Z1923" s="306"/>
      <c r="AA1923" s="306"/>
      <c r="AB1923" s="306"/>
      <c r="AC1923" s="306"/>
      <c r="AD1923" s="306"/>
      <c r="AE1923" s="306"/>
      <c r="AF1923" s="306"/>
      <c r="AG1923" s="306"/>
      <c r="AH1923" s="306"/>
      <c r="AI1923" s="306"/>
      <c r="AJ1923" s="306"/>
      <c r="AK1923" s="306"/>
      <c r="AL1923" s="306"/>
      <c r="AM1923" s="418"/>
      <c r="AN1923" s="418"/>
      <c r="AO1923" s="306"/>
      <c r="AP1923" s="306"/>
      <c r="AQ1923" s="418"/>
      <c r="AR1923" s="306"/>
      <c r="AS1923" s="306"/>
      <c r="AT1923" s="418"/>
      <c r="AU1923" s="306"/>
      <c r="AV1923" s="306"/>
      <c r="AW1923" s="306"/>
      <c r="AX1923" s="306"/>
      <c r="AY1923" s="306"/>
      <c r="AZ1923" s="306"/>
      <c r="BA1923" s="306"/>
      <c r="BB1923" s="306"/>
    </row>
    <row r="1924" spans="1:54" ht="15.75" customHeight="1">
      <c r="A1924" s="317"/>
      <c r="B1924" s="430"/>
      <c r="C1924" s="317"/>
      <c r="E1924" s="306"/>
      <c r="F1924" s="431"/>
      <c r="G1924" s="431"/>
      <c r="H1924" s="298"/>
      <c r="I1924" s="432"/>
      <c r="J1924" s="433"/>
      <c r="K1924" s="306"/>
      <c r="L1924" s="306"/>
      <c r="M1924" s="306"/>
      <c r="N1924" s="298"/>
      <c r="O1924" s="298"/>
      <c r="P1924" s="298"/>
      <c r="Q1924" s="306"/>
      <c r="R1924" s="1023"/>
      <c r="S1924" s="1023"/>
      <c r="T1924" s="306"/>
      <c r="U1924" s="306"/>
      <c r="V1924" s="306"/>
      <c r="W1924" s="306"/>
      <c r="X1924" s="306"/>
      <c r="Y1924" s="306"/>
      <c r="Z1924" s="306"/>
      <c r="AA1924" s="306"/>
      <c r="AB1924" s="306"/>
      <c r="AC1924" s="306"/>
      <c r="AD1924" s="306"/>
      <c r="AE1924" s="306"/>
      <c r="AF1924" s="306"/>
      <c r="AG1924" s="306"/>
      <c r="AH1924" s="306"/>
      <c r="AI1924" s="306"/>
      <c r="AJ1924" s="306"/>
      <c r="AK1924" s="306"/>
      <c r="AL1924" s="306"/>
      <c r="AM1924" s="418"/>
      <c r="AN1924" s="418"/>
      <c r="AO1924" s="306"/>
      <c r="AP1924" s="306"/>
      <c r="AQ1924" s="418"/>
      <c r="AR1924" s="306"/>
      <c r="AS1924" s="306"/>
      <c r="AT1924" s="418"/>
      <c r="AU1924" s="306"/>
      <c r="AV1924" s="306"/>
      <c r="AW1924" s="306"/>
      <c r="AX1924" s="306"/>
      <c r="AY1924" s="306"/>
      <c r="AZ1924" s="306"/>
      <c r="BA1924" s="306"/>
      <c r="BB1924" s="306"/>
    </row>
    <row r="1925" spans="1:54" ht="15.75" customHeight="1">
      <c r="A1925" s="317"/>
      <c r="B1925" s="430"/>
      <c r="C1925" s="317"/>
      <c r="E1925" s="306"/>
      <c r="F1925" s="431"/>
      <c r="G1925" s="431"/>
      <c r="H1925" s="298"/>
      <c r="I1925" s="432"/>
      <c r="J1925" s="433"/>
      <c r="K1925" s="306"/>
      <c r="L1925" s="306"/>
      <c r="M1925" s="306"/>
      <c r="N1925" s="298"/>
      <c r="O1925" s="298"/>
      <c r="P1925" s="298"/>
      <c r="Q1925" s="306"/>
      <c r="R1925" s="1023"/>
      <c r="S1925" s="1023"/>
      <c r="T1925" s="306"/>
      <c r="U1925" s="306"/>
      <c r="V1925" s="306"/>
      <c r="W1925" s="306"/>
      <c r="X1925" s="306"/>
      <c r="Y1925" s="306"/>
      <c r="Z1925" s="306"/>
      <c r="AA1925" s="306"/>
      <c r="AB1925" s="306"/>
      <c r="AC1925" s="306"/>
      <c r="AD1925" s="306"/>
      <c r="AE1925" s="306"/>
      <c r="AF1925" s="306"/>
      <c r="AG1925" s="306"/>
      <c r="AH1925" s="306"/>
      <c r="AI1925" s="306"/>
      <c r="AJ1925" s="306"/>
      <c r="AK1925" s="306"/>
      <c r="AL1925" s="306"/>
      <c r="AM1925" s="418"/>
      <c r="AN1925" s="418"/>
      <c r="AO1925" s="306"/>
      <c r="AP1925" s="306"/>
      <c r="AQ1925" s="418"/>
      <c r="AR1925" s="306"/>
      <c r="AS1925" s="306"/>
      <c r="AT1925" s="418"/>
      <c r="AU1925" s="306"/>
      <c r="AV1925" s="306"/>
      <c r="AW1925" s="306"/>
      <c r="AX1925" s="306"/>
      <c r="AY1925" s="306"/>
      <c r="AZ1925" s="306"/>
      <c r="BA1925" s="306"/>
      <c r="BB1925" s="306"/>
    </row>
    <row r="1926" spans="1:54" ht="15.75" customHeight="1">
      <c r="A1926" s="317"/>
      <c r="B1926" s="430"/>
      <c r="C1926" s="317"/>
      <c r="E1926" s="306"/>
      <c r="F1926" s="431"/>
      <c r="G1926" s="431"/>
      <c r="H1926" s="298"/>
      <c r="I1926" s="432"/>
      <c r="J1926" s="433"/>
      <c r="K1926" s="306"/>
      <c r="L1926" s="306"/>
      <c r="M1926" s="306"/>
      <c r="N1926" s="298"/>
      <c r="O1926" s="298"/>
      <c r="P1926" s="298"/>
      <c r="Q1926" s="306"/>
      <c r="R1926" s="1023"/>
      <c r="S1926" s="1023"/>
      <c r="T1926" s="306"/>
      <c r="U1926" s="306"/>
      <c r="V1926" s="306"/>
      <c r="W1926" s="306"/>
      <c r="X1926" s="306"/>
      <c r="Y1926" s="306"/>
      <c r="Z1926" s="306"/>
      <c r="AA1926" s="306"/>
      <c r="AB1926" s="306"/>
      <c r="AC1926" s="306"/>
      <c r="AD1926" s="306"/>
      <c r="AE1926" s="306"/>
      <c r="AF1926" s="306"/>
      <c r="AG1926" s="306"/>
      <c r="AH1926" s="306"/>
      <c r="AI1926" s="306"/>
      <c r="AJ1926" s="306"/>
      <c r="AK1926" s="306"/>
      <c r="AL1926" s="306"/>
      <c r="AM1926" s="418"/>
      <c r="AN1926" s="418"/>
      <c r="AO1926" s="306"/>
      <c r="AP1926" s="306"/>
      <c r="AQ1926" s="418"/>
      <c r="AR1926" s="306"/>
      <c r="AS1926" s="306"/>
      <c r="AT1926" s="418"/>
      <c r="AU1926" s="306"/>
      <c r="AV1926" s="306"/>
      <c r="AW1926" s="306"/>
      <c r="AX1926" s="306"/>
      <c r="AY1926" s="306"/>
      <c r="AZ1926" s="306"/>
      <c r="BA1926" s="306"/>
      <c r="BB1926" s="306"/>
    </row>
    <row r="1927" spans="1:54" ht="15.75" customHeight="1">
      <c r="A1927" s="317"/>
      <c r="B1927" s="430"/>
      <c r="C1927" s="317"/>
      <c r="E1927" s="306"/>
      <c r="F1927" s="431"/>
      <c r="G1927" s="431"/>
      <c r="H1927" s="298"/>
      <c r="I1927" s="432"/>
      <c r="J1927" s="433"/>
      <c r="K1927" s="306"/>
      <c r="L1927" s="306"/>
      <c r="M1927" s="306"/>
      <c r="N1927" s="298"/>
      <c r="O1927" s="298"/>
      <c r="P1927" s="298"/>
      <c r="Q1927" s="306"/>
      <c r="R1927" s="1023"/>
      <c r="S1927" s="1023"/>
      <c r="T1927" s="306"/>
      <c r="U1927" s="306"/>
      <c r="V1927" s="306"/>
      <c r="W1927" s="306"/>
      <c r="X1927" s="306"/>
      <c r="Y1927" s="306"/>
      <c r="Z1927" s="306"/>
      <c r="AA1927" s="306"/>
      <c r="AB1927" s="306"/>
      <c r="AC1927" s="306"/>
      <c r="AD1927" s="306"/>
      <c r="AE1927" s="306"/>
      <c r="AF1927" s="306"/>
      <c r="AG1927" s="306"/>
      <c r="AH1927" s="306"/>
      <c r="AI1927" s="306"/>
      <c r="AJ1927" s="306"/>
      <c r="AK1927" s="306"/>
      <c r="AL1927" s="306"/>
      <c r="AM1927" s="418"/>
      <c r="AN1927" s="418"/>
      <c r="AO1927" s="306"/>
      <c r="AP1927" s="306"/>
      <c r="AQ1927" s="418"/>
      <c r="AR1927" s="306"/>
      <c r="AS1927" s="306"/>
      <c r="AT1927" s="418"/>
      <c r="AU1927" s="306"/>
      <c r="AV1927" s="306"/>
      <c r="AW1927" s="306"/>
      <c r="AX1927" s="306"/>
      <c r="AY1927" s="306"/>
      <c r="AZ1927" s="306"/>
      <c r="BA1927" s="306"/>
      <c r="BB1927" s="306"/>
    </row>
    <row r="1928" spans="1:54" ht="15.75" customHeight="1">
      <c r="A1928" s="317"/>
      <c r="B1928" s="430"/>
      <c r="C1928" s="317"/>
      <c r="E1928" s="306"/>
      <c r="F1928" s="431"/>
      <c r="G1928" s="431"/>
      <c r="H1928" s="298"/>
      <c r="I1928" s="432"/>
      <c r="J1928" s="433"/>
      <c r="K1928" s="306"/>
      <c r="L1928" s="306"/>
      <c r="M1928" s="306"/>
      <c r="N1928" s="298"/>
      <c r="O1928" s="298"/>
      <c r="P1928" s="298"/>
      <c r="Q1928" s="306"/>
      <c r="R1928" s="1023"/>
      <c r="S1928" s="1023"/>
      <c r="T1928" s="306"/>
      <c r="U1928" s="306"/>
      <c r="V1928" s="306"/>
      <c r="W1928" s="306"/>
      <c r="X1928" s="306"/>
      <c r="Y1928" s="306"/>
      <c r="Z1928" s="306"/>
      <c r="AA1928" s="306"/>
      <c r="AB1928" s="306"/>
      <c r="AC1928" s="306"/>
      <c r="AD1928" s="306"/>
      <c r="AE1928" s="306"/>
      <c r="AF1928" s="306"/>
      <c r="AG1928" s="306"/>
      <c r="AH1928" s="306"/>
      <c r="AI1928" s="306"/>
      <c r="AJ1928" s="306"/>
      <c r="AK1928" s="306"/>
      <c r="AL1928" s="306"/>
      <c r="AM1928" s="418"/>
      <c r="AN1928" s="418"/>
      <c r="AO1928" s="306"/>
      <c r="AP1928" s="306"/>
      <c r="AQ1928" s="418"/>
      <c r="AR1928" s="306"/>
      <c r="AS1928" s="306"/>
      <c r="AT1928" s="418"/>
      <c r="AU1928" s="306"/>
      <c r="AV1928" s="306"/>
      <c r="AW1928" s="306"/>
      <c r="AX1928" s="306"/>
      <c r="AY1928" s="306"/>
      <c r="AZ1928" s="306"/>
      <c r="BA1928" s="306"/>
      <c r="BB1928" s="306"/>
    </row>
    <row r="1929" spans="1:54" ht="15.75" customHeight="1">
      <c r="A1929" s="317"/>
      <c r="B1929" s="430"/>
      <c r="C1929" s="317"/>
      <c r="E1929" s="306"/>
      <c r="F1929" s="431"/>
      <c r="G1929" s="431"/>
      <c r="H1929" s="298"/>
      <c r="I1929" s="432"/>
      <c r="J1929" s="433"/>
      <c r="K1929" s="306"/>
      <c r="L1929" s="306"/>
      <c r="M1929" s="306"/>
      <c r="N1929" s="298"/>
      <c r="O1929" s="298"/>
      <c r="P1929" s="298"/>
      <c r="Q1929" s="306"/>
      <c r="R1929" s="1023"/>
      <c r="S1929" s="1023"/>
      <c r="T1929" s="306"/>
      <c r="U1929" s="306"/>
      <c r="V1929" s="306"/>
      <c r="W1929" s="306"/>
      <c r="X1929" s="306"/>
      <c r="Y1929" s="306"/>
      <c r="Z1929" s="306"/>
      <c r="AA1929" s="306"/>
      <c r="AB1929" s="306"/>
      <c r="AC1929" s="306"/>
      <c r="AD1929" s="306"/>
      <c r="AE1929" s="306"/>
      <c r="AF1929" s="306"/>
      <c r="AG1929" s="306"/>
      <c r="AH1929" s="306"/>
      <c r="AI1929" s="306"/>
      <c r="AJ1929" s="306"/>
      <c r="AK1929" s="306"/>
      <c r="AL1929" s="306"/>
      <c r="AM1929" s="418"/>
      <c r="AN1929" s="418"/>
      <c r="AO1929" s="306"/>
      <c r="AP1929" s="306"/>
      <c r="AQ1929" s="418"/>
      <c r="AR1929" s="306"/>
      <c r="AS1929" s="306"/>
      <c r="AT1929" s="418"/>
      <c r="AU1929" s="306"/>
      <c r="AV1929" s="306"/>
      <c r="AW1929" s="306"/>
      <c r="AX1929" s="306"/>
      <c r="AY1929" s="306"/>
      <c r="AZ1929" s="306"/>
      <c r="BA1929" s="306"/>
      <c r="BB1929" s="306"/>
    </row>
    <row r="1930" spans="1:54" ht="15.75" customHeight="1">
      <c r="A1930" s="317"/>
      <c r="B1930" s="430"/>
      <c r="C1930" s="317"/>
      <c r="E1930" s="306"/>
      <c r="F1930" s="431"/>
      <c r="G1930" s="431"/>
      <c r="H1930" s="298"/>
      <c r="I1930" s="432"/>
      <c r="J1930" s="433"/>
      <c r="K1930" s="306"/>
      <c r="L1930" s="306"/>
      <c r="M1930" s="306"/>
      <c r="N1930" s="298"/>
      <c r="O1930" s="298"/>
      <c r="P1930" s="298"/>
      <c r="Q1930" s="306"/>
      <c r="R1930" s="1023"/>
      <c r="S1930" s="1023"/>
      <c r="T1930" s="306"/>
      <c r="U1930" s="306"/>
      <c r="V1930" s="306"/>
      <c r="W1930" s="306"/>
      <c r="X1930" s="306"/>
      <c r="Y1930" s="306"/>
      <c r="Z1930" s="306"/>
      <c r="AA1930" s="306"/>
      <c r="AB1930" s="306"/>
      <c r="AC1930" s="306"/>
      <c r="AD1930" s="306"/>
      <c r="AE1930" s="306"/>
      <c r="AF1930" s="306"/>
      <c r="AG1930" s="306"/>
      <c r="AH1930" s="306"/>
      <c r="AI1930" s="306"/>
      <c r="AJ1930" s="306"/>
      <c r="AK1930" s="306"/>
      <c r="AL1930" s="306"/>
      <c r="AM1930" s="418"/>
      <c r="AN1930" s="418"/>
      <c r="AO1930" s="306"/>
      <c r="AP1930" s="306"/>
      <c r="AQ1930" s="418"/>
      <c r="AR1930" s="306"/>
      <c r="AS1930" s="306"/>
      <c r="AT1930" s="418"/>
      <c r="AU1930" s="306"/>
      <c r="AV1930" s="306"/>
      <c r="AW1930" s="306"/>
      <c r="AX1930" s="306"/>
      <c r="AY1930" s="306"/>
      <c r="AZ1930" s="306"/>
      <c r="BA1930" s="306"/>
      <c r="BB1930" s="306"/>
    </row>
    <row r="1931" spans="1:54" ht="15.75" customHeight="1">
      <c r="A1931" s="317"/>
      <c r="B1931" s="430"/>
      <c r="C1931" s="317"/>
      <c r="E1931" s="306"/>
      <c r="F1931" s="431"/>
      <c r="G1931" s="431"/>
      <c r="H1931" s="298"/>
      <c r="I1931" s="432"/>
      <c r="J1931" s="433"/>
      <c r="K1931" s="306"/>
      <c r="L1931" s="306"/>
      <c r="M1931" s="306"/>
      <c r="N1931" s="298"/>
      <c r="O1931" s="298"/>
      <c r="P1931" s="298"/>
      <c r="Q1931" s="306"/>
      <c r="R1931" s="1023"/>
      <c r="S1931" s="1023"/>
      <c r="T1931" s="306"/>
      <c r="U1931" s="306"/>
      <c r="V1931" s="306"/>
      <c r="W1931" s="306"/>
      <c r="X1931" s="306"/>
      <c r="Y1931" s="306"/>
      <c r="Z1931" s="306"/>
      <c r="AA1931" s="306"/>
      <c r="AB1931" s="306"/>
      <c r="AC1931" s="306"/>
      <c r="AD1931" s="306"/>
      <c r="AE1931" s="306"/>
      <c r="AF1931" s="306"/>
      <c r="AG1931" s="306"/>
      <c r="AH1931" s="306"/>
      <c r="AI1931" s="306"/>
      <c r="AJ1931" s="306"/>
      <c r="AK1931" s="306"/>
      <c r="AL1931" s="306"/>
      <c r="AM1931" s="418"/>
      <c r="AN1931" s="418"/>
      <c r="AO1931" s="306"/>
      <c r="AP1931" s="306"/>
      <c r="AQ1931" s="418"/>
      <c r="AR1931" s="306"/>
      <c r="AS1931" s="306"/>
      <c r="AT1931" s="418"/>
      <c r="AU1931" s="306"/>
      <c r="AV1931" s="306"/>
      <c r="AW1931" s="306"/>
      <c r="AX1931" s="306"/>
      <c r="AY1931" s="306"/>
      <c r="AZ1931" s="306"/>
      <c r="BA1931" s="306"/>
      <c r="BB1931" s="306"/>
    </row>
    <row r="1932" spans="1:54" ht="15.75" customHeight="1">
      <c r="A1932" s="317"/>
      <c r="B1932" s="430"/>
      <c r="C1932" s="317"/>
      <c r="E1932" s="306"/>
      <c r="F1932" s="431"/>
      <c r="G1932" s="431"/>
      <c r="H1932" s="298"/>
      <c r="I1932" s="432"/>
      <c r="J1932" s="433"/>
      <c r="K1932" s="306"/>
      <c r="L1932" s="306"/>
      <c r="M1932" s="306"/>
      <c r="N1932" s="298"/>
      <c r="O1932" s="298"/>
      <c r="P1932" s="298"/>
      <c r="Q1932" s="306"/>
      <c r="R1932" s="1023"/>
      <c r="S1932" s="1023"/>
      <c r="T1932" s="306"/>
      <c r="U1932" s="306"/>
      <c r="V1932" s="306"/>
      <c r="W1932" s="306"/>
      <c r="X1932" s="306"/>
      <c r="Y1932" s="306"/>
      <c r="Z1932" s="306"/>
      <c r="AA1932" s="306"/>
      <c r="AB1932" s="306"/>
      <c r="AC1932" s="306"/>
      <c r="AD1932" s="306"/>
      <c r="AE1932" s="306"/>
      <c r="AF1932" s="306"/>
      <c r="AG1932" s="306"/>
      <c r="AH1932" s="306"/>
      <c r="AI1932" s="306"/>
      <c r="AJ1932" s="306"/>
      <c r="AK1932" s="306"/>
      <c r="AL1932" s="306"/>
      <c r="AM1932" s="418"/>
      <c r="AN1932" s="418"/>
      <c r="AO1932" s="306"/>
      <c r="AP1932" s="306"/>
      <c r="AQ1932" s="418"/>
      <c r="AR1932" s="306"/>
      <c r="AS1932" s="306"/>
      <c r="AT1932" s="418"/>
      <c r="AU1932" s="306"/>
      <c r="AV1932" s="306"/>
      <c r="AW1932" s="306"/>
      <c r="AX1932" s="306"/>
      <c r="AY1932" s="306"/>
      <c r="AZ1932" s="306"/>
      <c r="BA1932" s="306"/>
      <c r="BB1932" s="306"/>
    </row>
    <row r="1933" spans="1:54" ht="15.75" customHeight="1">
      <c r="A1933" s="317"/>
      <c r="B1933" s="430"/>
      <c r="C1933" s="317"/>
      <c r="E1933" s="306"/>
      <c r="F1933" s="431"/>
      <c r="G1933" s="431"/>
      <c r="H1933" s="298"/>
      <c r="I1933" s="432"/>
      <c r="J1933" s="433"/>
      <c r="K1933" s="306"/>
      <c r="L1933" s="306"/>
      <c r="M1933" s="306"/>
      <c r="N1933" s="298"/>
      <c r="O1933" s="298"/>
      <c r="P1933" s="298"/>
      <c r="Q1933" s="306"/>
      <c r="R1933" s="1023"/>
      <c r="S1933" s="1023"/>
      <c r="T1933" s="306"/>
      <c r="U1933" s="306"/>
      <c r="V1933" s="306"/>
      <c r="W1933" s="306"/>
      <c r="X1933" s="306"/>
      <c r="Y1933" s="306"/>
      <c r="Z1933" s="306"/>
      <c r="AA1933" s="306"/>
      <c r="AB1933" s="306"/>
      <c r="AC1933" s="306"/>
      <c r="AD1933" s="306"/>
      <c r="AE1933" s="306"/>
      <c r="AF1933" s="306"/>
      <c r="AG1933" s="306"/>
      <c r="AH1933" s="306"/>
      <c r="AI1933" s="306"/>
      <c r="AJ1933" s="306"/>
      <c r="AK1933" s="306"/>
      <c r="AL1933" s="306"/>
      <c r="AM1933" s="418"/>
      <c r="AN1933" s="418"/>
      <c r="AO1933" s="306"/>
      <c r="AP1933" s="306"/>
      <c r="AQ1933" s="418"/>
      <c r="AR1933" s="306"/>
      <c r="AS1933" s="306"/>
      <c r="AT1933" s="418"/>
      <c r="AU1933" s="306"/>
      <c r="AV1933" s="306"/>
      <c r="AW1933" s="306"/>
      <c r="AX1933" s="306"/>
      <c r="AY1933" s="306"/>
      <c r="AZ1933" s="306"/>
      <c r="BA1933" s="306"/>
      <c r="BB1933" s="306"/>
    </row>
    <row r="1934" spans="1:54" ht="15.75" customHeight="1">
      <c r="A1934" s="317"/>
      <c r="B1934" s="430"/>
      <c r="C1934" s="317"/>
      <c r="E1934" s="306"/>
      <c r="F1934" s="431"/>
      <c r="G1934" s="431"/>
      <c r="H1934" s="298"/>
      <c r="I1934" s="432"/>
      <c r="J1934" s="433"/>
      <c r="K1934" s="306"/>
      <c r="L1934" s="306"/>
      <c r="M1934" s="306"/>
      <c r="N1934" s="298"/>
      <c r="O1934" s="298"/>
      <c r="P1934" s="298"/>
      <c r="Q1934" s="306"/>
      <c r="R1934" s="1023"/>
      <c r="S1934" s="1023"/>
      <c r="T1934" s="306"/>
      <c r="U1934" s="306"/>
      <c r="V1934" s="306"/>
      <c r="W1934" s="306"/>
      <c r="X1934" s="306"/>
      <c r="Y1934" s="306"/>
      <c r="Z1934" s="306"/>
      <c r="AA1934" s="306"/>
      <c r="AB1934" s="306"/>
      <c r="AC1934" s="306"/>
      <c r="AD1934" s="306"/>
      <c r="AE1934" s="306"/>
      <c r="AF1934" s="306"/>
      <c r="AG1934" s="306"/>
      <c r="AH1934" s="306"/>
      <c r="AI1934" s="306"/>
      <c r="AJ1934" s="306"/>
      <c r="AK1934" s="306"/>
      <c r="AL1934" s="306"/>
      <c r="AM1934" s="418"/>
      <c r="AN1934" s="418"/>
      <c r="AO1934" s="306"/>
      <c r="AP1934" s="306"/>
      <c r="AQ1934" s="418"/>
      <c r="AR1934" s="306"/>
      <c r="AS1934" s="306"/>
      <c r="AT1934" s="418"/>
      <c r="AU1934" s="306"/>
      <c r="AV1934" s="306"/>
      <c r="AW1934" s="306"/>
      <c r="AX1934" s="306"/>
      <c r="AY1934" s="306"/>
      <c r="AZ1934" s="306"/>
      <c r="BA1934" s="306"/>
      <c r="BB1934" s="306"/>
    </row>
    <row r="1935" spans="1:54" ht="15.75" customHeight="1">
      <c r="A1935" s="317"/>
      <c r="B1935" s="430"/>
      <c r="C1935" s="317"/>
      <c r="E1935" s="306"/>
      <c r="F1935" s="431"/>
      <c r="G1935" s="431"/>
      <c r="H1935" s="298"/>
      <c r="I1935" s="432"/>
      <c r="J1935" s="433"/>
      <c r="K1935" s="306"/>
      <c r="L1935" s="306"/>
      <c r="M1935" s="306"/>
      <c r="N1935" s="298"/>
      <c r="O1935" s="298"/>
      <c r="P1935" s="298"/>
      <c r="Q1935" s="306"/>
      <c r="R1935" s="1023"/>
      <c r="S1935" s="1023"/>
      <c r="T1935" s="306"/>
      <c r="U1935" s="306"/>
      <c r="V1935" s="306"/>
      <c r="W1935" s="306"/>
      <c r="X1935" s="306"/>
      <c r="Y1935" s="306"/>
      <c r="Z1935" s="306"/>
      <c r="AA1935" s="306"/>
      <c r="AB1935" s="306"/>
      <c r="AC1935" s="306"/>
      <c r="AD1935" s="306"/>
      <c r="AE1935" s="306"/>
      <c r="AF1935" s="306"/>
      <c r="AG1935" s="306"/>
      <c r="AH1935" s="306"/>
      <c r="AI1935" s="306"/>
      <c r="AJ1935" s="306"/>
      <c r="AK1935" s="306"/>
      <c r="AL1935" s="306"/>
      <c r="AM1935" s="418"/>
      <c r="AN1935" s="418"/>
      <c r="AO1935" s="306"/>
      <c r="AP1935" s="306"/>
      <c r="AQ1935" s="418"/>
      <c r="AR1935" s="306"/>
      <c r="AS1935" s="306"/>
      <c r="AT1935" s="418"/>
      <c r="AU1935" s="306"/>
      <c r="AV1935" s="306"/>
      <c r="AW1935" s="306"/>
      <c r="AX1935" s="306"/>
      <c r="AY1935" s="306"/>
      <c r="AZ1935" s="306"/>
      <c r="BA1935" s="306"/>
      <c r="BB1935" s="306"/>
    </row>
    <row r="1936" spans="1:54" ht="15.75" customHeight="1">
      <c r="A1936" s="317"/>
      <c r="B1936" s="430"/>
      <c r="C1936" s="317"/>
      <c r="E1936" s="306"/>
      <c r="F1936" s="431"/>
      <c r="G1936" s="431"/>
      <c r="H1936" s="298"/>
      <c r="I1936" s="432"/>
      <c r="J1936" s="433"/>
      <c r="K1936" s="306"/>
      <c r="L1936" s="306"/>
      <c r="M1936" s="306"/>
      <c r="N1936" s="298"/>
      <c r="O1936" s="298"/>
      <c r="P1936" s="298"/>
      <c r="Q1936" s="306"/>
      <c r="R1936" s="1023"/>
      <c r="S1936" s="1023"/>
      <c r="T1936" s="306"/>
      <c r="U1936" s="306"/>
      <c r="V1936" s="306"/>
      <c r="W1936" s="306"/>
      <c r="X1936" s="306"/>
      <c r="Y1936" s="306"/>
      <c r="Z1936" s="306"/>
      <c r="AA1936" s="306"/>
      <c r="AB1936" s="306"/>
      <c r="AC1936" s="306"/>
      <c r="AD1936" s="306"/>
      <c r="AE1936" s="306"/>
      <c r="AF1936" s="306"/>
      <c r="AG1936" s="306"/>
      <c r="AH1936" s="306"/>
      <c r="AI1936" s="306"/>
      <c r="AJ1936" s="306"/>
      <c r="AK1936" s="306"/>
      <c r="AL1936" s="306"/>
      <c r="AM1936" s="418"/>
      <c r="AN1936" s="418"/>
      <c r="AO1936" s="306"/>
      <c r="AP1936" s="306"/>
      <c r="AQ1936" s="418"/>
      <c r="AR1936" s="306"/>
      <c r="AS1936" s="306"/>
      <c r="AT1936" s="418"/>
      <c r="AU1936" s="306"/>
      <c r="AV1936" s="306"/>
      <c r="AW1936" s="306"/>
      <c r="AX1936" s="306"/>
      <c r="AY1936" s="306"/>
      <c r="AZ1936" s="306"/>
      <c r="BA1936" s="306"/>
      <c r="BB1936" s="306"/>
    </row>
    <row r="1937" spans="1:54" ht="15.75" customHeight="1">
      <c r="A1937" s="317"/>
      <c r="B1937" s="430"/>
      <c r="C1937" s="317"/>
      <c r="E1937" s="306"/>
      <c r="F1937" s="431"/>
      <c r="G1937" s="431"/>
      <c r="H1937" s="298"/>
      <c r="I1937" s="432"/>
      <c r="J1937" s="433"/>
      <c r="K1937" s="306"/>
      <c r="L1937" s="306"/>
      <c r="M1937" s="306"/>
      <c r="N1937" s="298"/>
      <c r="O1937" s="298"/>
      <c r="P1937" s="298"/>
      <c r="Q1937" s="306"/>
      <c r="R1937" s="1023"/>
      <c r="S1937" s="1023"/>
      <c r="T1937" s="306"/>
      <c r="U1937" s="306"/>
      <c r="V1937" s="306"/>
      <c r="W1937" s="306"/>
      <c r="X1937" s="306"/>
      <c r="Y1937" s="306"/>
      <c r="Z1937" s="306"/>
      <c r="AA1937" s="306"/>
      <c r="AB1937" s="306"/>
      <c r="AC1937" s="306"/>
      <c r="AD1937" s="306"/>
      <c r="AE1937" s="306"/>
      <c r="AF1937" s="306"/>
      <c r="AG1937" s="306"/>
      <c r="AH1937" s="306"/>
      <c r="AI1937" s="306"/>
      <c r="AJ1937" s="306"/>
      <c r="AK1937" s="306"/>
      <c r="AL1937" s="306"/>
      <c r="AM1937" s="418"/>
      <c r="AN1937" s="418"/>
      <c r="AO1937" s="306"/>
      <c r="AP1937" s="306"/>
      <c r="AQ1937" s="418"/>
      <c r="AR1937" s="306"/>
      <c r="AS1937" s="306"/>
      <c r="AT1937" s="418"/>
      <c r="AU1937" s="306"/>
      <c r="AV1937" s="306"/>
      <c r="AW1937" s="306"/>
      <c r="AX1937" s="306"/>
      <c r="AY1937" s="306"/>
      <c r="AZ1937" s="306"/>
      <c r="BA1937" s="306"/>
      <c r="BB1937" s="306"/>
    </row>
    <row r="1938" spans="1:54" ht="15.75" customHeight="1">
      <c r="A1938" s="317"/>
      <c r="B1938" s="430"/>
      <c r="C1938" s="317"/>
      <c r="E1938" s="306"/>
      <c r="F1938" s="431"/>
      <c r="G1938" s="431"/>
      <c r="H1938" s="298"/>
      <c r="I1938" s="432"/>
      <c r="J1938" s="433"/>
      <c r="K1938" s="306"/>
      <c r="L1938" s="306"/>
      <c r="M1938" s="306"/>
      <c r="N1938" s="298"/>
      <c r="O1938" s="298"/>
      <c r="P1938" s="298"/>
      <c r="Q1938" s="306"/>
      <c r="R1938" s="1023"/>
      <c r="S1938" s="1023"/>
      <c r="T1938" s="306"/>
      <c r="U1938" s="306"/>
      <c r="V1938" s="306"/>
      <c r="W1938" s="306"/>
      <c r="X1938" s="306"/>
      <c r="Y1938" s="306"/>
      <c r="Z1938" s="306"/>
      <c r="AA1938" s="306"/>
      <c r="AB1938" s="306"/>
      <c r="AC1938" s="306"/>
      <c r="AD1938" s="306"/>
      <c r="AE1938" s="306"/>
      <c r="AF1938" s="306"/>
      <c r="AG1938" s="306"/>
      <c r="AH1938" s="306"/>
      <c r="AI1938" s="306"/>
      <c r="AJ1938" s="306"/>
      <c r="AK1938" s="306"/>
      <c r="AL1938" s="306"/>
      <c r="AM1938" s="418"/>
      <c r="AN1938" s="418"/>
      <c r="AO1938" s="306"/>
      <c r="AP1938" s="306"/>
      <c r="AQ1938" s="418"/>
      <c r="AR1938" s="306"/>
      <c r="AS1938" s="306"/>
      <c r="AT1938" s="418"/>
      <c r="AU1938" s="306"/>
      <c r="AV1938" s="306"/>
      <c r="AW1938" s="306"/>
      <c r="AX1938" s="306"/>
      <c r="AY1938" s="306"/>
      <c r="AZ1938" s="306"/>
      <c r="BA1938" s="306"/>
      <c r="BB1938" s="306"/>
    </row>
    <row r="1939" spans="1:54" ht="15.75" customHeight="1">
      <c r="A1939" s="317"/>
      <c r="B1939" s="430"/>
      <c r="C1939" s="317"/>
      <c r="E1939" s="306"/>
      <c r="F1939" s="431"/>
      <c r="G1939" s="431"/>
      <c r="H1939" s="298"/>
      <c r="I1939" s="432"/>
      <c r="J1939" s="433"/>
      <c r="K1939" s="306"/>
      <c r="L1939" s="306"/>
      <c r="M1939" s="306"/>
      <c r="N1939" s="298"/>
      <c r="O1939" s="298"/>
      <c r="P1939" s="298"/>
      <c r="Q1939" s="306"/>
      <c r="R1939" s="1023"/>
      <c r="S1939" s="1023"/>
      <c r="T1939" s="306"/>
      <c r="U1939" s="306"/>
      <c r="V1939" s="306"/>
      <c r="W1939" s="306"/>
      <c r="X1939" s="306"/>
      <c r="Y1939" s="306"/>
      <c r="Z1939" s="306"/>
      <c r="AA1939" s="306"/>
      <c r="AB1939" s="306"/>
      <c r="AC1939" s="306"/>
      <c r="AD1939" s="306"/>
      <c r="AE1939" s="306"/>
      <c r="AF1939" s="306"/>
      <c r="AG1939" s="306"/>
      <c r="AH1939" s="306"/>
      <c r="AI1939" s="306"/>
      <c r="AJ1939" s="306"/>
      <c r="AK1939" s="306"/>
      <c r="AL1939" s="306"/>
      <c r="AM1939" s="418"/>
      <c r="AN1939" s="418"/>
      <c r="AO1939" s="306"/>
      <c r="AP1939" s="306"/>
      <c r="AQ1939" s="418"/>
      <c r="AR1939" s="306"/>
      <c r="AS1939" s="306"/>
      <c r="AT1939" s="418"/>
      <c r="AU1939" s="306"/>
      <c r="AV1939" s="306"/>
      <c r="AW1939" s="306"/>
      <c r="AX1939" s="306"/>
      <c r="AY1939" s="306"/>
      <c r="AZ1939" s="306"/>
      <c r="BA1939" s="306"/>
      <c r="BB1939" s="306"/>
    </row>
    <row r="1940" spans="1:54" ht="15.75" customHeight="1">
      <c r="A1940" s="317"/>
      <c r="B1940" s="430"/>
      <c r="C1940" s="317"/>
      <c r="E1940" s="306"/>
      <c r="F1940" s="431"/>
      <c r="G1940" s="431"/>
      <c r="H1940" s="298"/>
      <c r="I1940" s="432"/>
      <c r="J1940" s="433"/>
      <c r="K1940" s="306"/>
      <c r="L1940" s="306"/>
      <c r="M1940" s="306"/>
      <c r="N1940" s="298"/>
      <c r="O1940" s="298"/>
      <c r="P1940" s="298"/>
      <c r="Q1940" s="306"/>
      <c r="R1940" s="1023"/>
      <c r="S1940" s="1023"/>
      <c r="T1940" s="306"/>
      <c r="U1940" s="306"/>
      <c r="V1940" s="306"/>
      <c r="W1940" s="306"/>
      <c r="X1940" s="306"/>
      <c r="Y1940" s="306"/>
      <c r="Z1940" s="306"/>
      <c r="AA1940" s="306"/>
      <c r="AB1940" s="306"/>
      <c r="AC1940" s="306"/>
      <c r="AD1940" s="306"/>
      <c r="AE1940" s="306"/>
      <c r="AF1940" s="306"/>
      <c r="AG1940" s="306"/>
      <c r="AH1940" s="306"/>
      <c r="AI1940" s="306"/>
      <c r="AJ1940" s="306"/>
      <c r="AK1940" s="306"/>
      <c r="AL1940" s="306"/>
      <c r="AM1940" s="418"/>
      <c r="AN1940" s="418"/>
      <c r="AO1940" s="306"/>
      <c r="AP1940" s="306"/>
      <c r="AQ1940" s="418"/>
      <c r="AR1940" s="306"/>
      <c r="AS1940" s="306"/>
      <c r="AT1940" s="418"/>
      <c r="AU1940" s="306"/>
      <c r="AV1940" s="306"/>
      <c r="AW1940" s="306"/>
      <c r="AX1940" s="306"/>
      <c r="AY1940" s="306"/>
      <c r="AZ1940" s="306"/>
      <c r="BA1940" s="306"/>
      <c r="BB1940" s="306"/>
    </row>
    <row r="1941" spans="1:54" ht="15.75" customHeight="1">
      <c r="A1941" s="317"/>
      <c r="B1941" s="430"/>
      <c r="C1941" s="317"/>
      <c r="E1941" s="306"/>
      <c r="F1941" s="431"/>
      <c r="G1941" s="431"/>
      <c r="H1941" s="298"/>
      <c r="I1941" s="432"/>
      <c r="J1941" s="433"/>
      <c r="K1941" s="306"/>
      <c r="L1941" s="306"/>
      <c r="M1941" s="306"/>
      <c r="N1941" s="298"/>
      <c r="O1941" s="298"/>
      <c r="P1941" s="298"/>
      <c r="Q1941" s="306"/>
      <c r="R1941" s="1023"/>
      <c r="S1941" s="1023"/>
      <c r="T1941" s="306"/>
      <c r="U1941" s="306"/>
      <c r="V1941" s="306"/>
      <c r="W1941" s="306"/>
      <c r="X1941" s="306"/>
      <c r="Y1941" s="306"/>
      <c r="Z1941" s="306"/>
      <c r="AA1941" s="306"/>
      <c r="AB1941" s="306"/>
      <c r="AC1941" s="306"/>
      <c r="AD1941" s="306"/>
      <c r="AE1941" s="306"/>
      <c r="AF1941" s="306"/>
      <c r="AG1941" s="306"/>
      <c r="AH1941" s="306"/>
      <c r="AI1941" s="306"/>
      <c r="AJ1941" s="306"/>
      <c r="AK1941" s="306"/>
      <c r="AL1941" s="306"/>
      <c r="AM1941" s="418"/>
      <c r="AN1941" s="418"/>
      <c r="AO1941" s="306"/>
      <c r="AP1941" s="306"/>
      <c r="AQ1941" s="418"/>
      <c r="AR1941" s="306"/>
      <c r="AS1941" s="306"/>
      <c r="AT1941" s="418"/>
      <c r="AU1941" s="306"/>
      <c r="AV1941" s="306"/>
      <c r="AW1941" s="306"/>
      <c r="AX1941" s="306"/>
      <c r="AY1941" s="306"/>
      <c r="AZ1941" s="306"/>
      <c r="BA1941" s="306"/>
      <c r="BB1941" s="306"/>
    </row>
    <row r="1942" spans="1:54" ht="15.75" customHeight="1">
      <c r="A1942" s="317"/>
      <c r="B1942" s="430"/>
      <c r="C1942" s="317"/>
      <c r="E1942" s="306"/>
      <c r="F1942" s="431"/>
      <c r="G1942" s="431"/>
      <c r="H1942" s="298"/>
      <c r="I1942" s="431"/>
      <c r="J1942" s="435"/>
      <c r="K1942" s="306"/>
      <c r="L1942" s="306"/>
      <c r="M1942" s="306"/>
      <c r="N1942" s="298"/>
      <c r="O1942" s="298"/>
      <c r="P1942" s="298"/>
      <c r="Q1942" s="306"/>
      <c r="R1942" s="1023"/>
      <c r="S1942" s="1023"/>
      <c r="T1942" s="306"/>
      <c r="U1942" s="306"/>
      <c r="V1942" s="306"/>
      <c r="W1942" s="306"/>
      <c r="X1942" s="306"/>
      <c r="Y1942" s="306"/>
      <c r="Z1942" s="306"/>
      <c r="AA1942" s="306"/>
      <c r="AB1942" s="306"/>
      <c r="AC1942" s="306"/>
      <c r="AD1942" s="306"/>
      <c r="AE1942" s="306"/>
      <c r="AF1942" s="306"/>
      <c r="AG1942" s="306"/>
      <c r="AH1942" s="306"/>
      <c r="AI1942" s="306"/>
      <c r="AJ1942" s="306"/>
      <c r="AK1942" s="306"/>
      <c r="AL1942" s="306"/>
      <c r="AM1942" s="418"/>
      <c r="AN1942" s="418"/>
      <c r="AO1942" s="306"/>
      <c r="AP1942" s="306"/>
      <c r="AQ1942" s="418"/>
      <c r="AR1942" s="306"/>
      <c r="AS1942" s="306"/>
      <c r="AT1942" s="418"/>
      <c r="AU1942" s="306"/>
      <c r="AV1942" s="306"/>
      <c r="AW1942" s="306"/>
      <c r="AX1942" s="306"/>
      <c r="AY1942" s="306"/>
      <c r="AZ1942" s="306"/>
      <c r="BA1942" s="306"/>
      <c r="BB1942" s="306"/>
    </row>
    <row r="1943" spans="1:54" ht="15.75" customHeight="1">
      <c r="A1943" s="317"/>
      <c r="B1943" s="430"/>
      <c r="C1943" s="317"/>
      <c r="E1943" s="306"/>
      <c r="F1943" s="431"/>
      <c r="G1943" s="431"/>
      <c r="H1943" s="298"/>
      <c r="I1943" s="431"/>
      <c r="J1943" s="435"/>
      <c r="K1943" s="306"/>
      <c r="L1943" s="306"/>
      <c r="M1943" s="306"/>
      <c r="N1943" s="298"/>
      <c r="O1943" s="298"/>
      <c r="P1943" s="298"/>
      <c r="Q1943" s="306"/>
      <c r="R1943" s="1023"/>
      <c r="S1943" s="1023"/>
      <c r="T1943" s="306"/>
      <c r="U1943" s="306"/>
      <c r="V1943" s="306"/>
      <c r="W1943" s="306"/>
      <c r="X1943" s="306"/>
      <c r="Y1943" s="306"/>
      <c r="Z1943" s="306"/>
      <c r="AA1943" s="306"/>
      <c r="AB1943" s="306"/>
      <c r="AC1943" s="306"/>
      <c r="AD1943" s="306"/>
      <c r="AE1943" s="306"/>
      <c r="AF1943" s="306"/>
      <c r="AG1943" s="306"/>
      <c r="AH1943" s="306"/>
      <c r="AI1943" s="306"/>
      <c r="AJ1943" s="306"/>
      <c r="AK1943" s="306"/>
      <c r="AL1943" s="306"/>
      <c r="AM1943" s="418"/>
      <c r="AN1943" s="418"/>
      <c r="AO1943" s="306"/>
      <c r="AP1943" s="306"/>
      <c r="AQ1943" s="418"/>
      <c r="AR1943" s="306"/>
      <c r="AS1943" s="306"/>
      <c r="AT1943" s="418"/>
      <c r="AU1943" s="306"/>
      <c r="AV1943" s="306"/>
      <c r="AW1943" s="306"/>
      <c r="AX1943" s="306"/>
      <c r="AY1943" s="306"/>
      <c r="AZ1943" s="306"/>
      <c r="BA1943" s="306"/>
      <c r="BB1943" s="306"/>
    </row>
    <row r="1944" spans="1:54" ht="15.75" customHeight="1">
      <c r="A1944" s="317"/>
      <c r="B1944" s="430"/>
      <c r="C1944" s="317"/>
      <c r="E1944" s="306"/>
      <c r="F1944" s="431"/>
      <c r="G1944" s="431"/>
      <c r="H1944" s="298"/>
      <c r="I1944" s="432"/>
      <c r="J1944" s="433"/>
      <c r="K1944" s="306"/>
      <c r="L1944" s="306"/>
      <c r="M1944" s="306"/>
      <c r="N1944" s="298"/>
      <c r="O1944" s="298"/>
      <c r="P1944" s="298"/>
      <c r="Q1944" s="306"/>
      <c r="R1944" s="1023"/>
      <c r="S1944" s="1023"/>
      <c r="T1944" s="306"/>
      <c r="U1944" s="306"/>
      <c r="V1944" s="306"/>
      <c r="W1944" s="306"/>
      <c r="X1944" s="306"/>
      <c r="Y1944" s="306"/>
      <c r="Z1944" s="306"/>
      <c r="AA1944" s="306"/>
      <c r="AB1944" s="306"/>
      <c r="AC1944" s="306"/>
      <c r="AD1944" s="306"/>
      <c r="AE1944" s="306"/>
      <c r="AF1944" s="306"/>
      <c r="AG1944" s="306"/>
      <c r="AH1944" s="306"/>
      <c r="AI1944" s="306"/>
      <c r="AJ1944" s="306"/>
      <c r="AK1944" s="306"/>
      <c r="AL1944" s="306"/>
      <c r="AM1944" s="418"/>
      <c r="AN1944" s="418"/>
      <c r="AO1944" s="306"/>
      <c r="AP1944" s="306"/>
      <c r="AQ1944" s="418"/>
      <c r="AR1944" s="306"/>
      <c r="AS1944" s="306"/>
      <c r="AT1944" s="418"/>
      <c r="AU1944" s="306"/>
      <c r="AV1944" s="306"/>
      <c r="AW1944" s="306"/>
      <c r="AX1944" s="306"/>
      <c r="AY1944" s="306"/>
      <c r="AZ1944" s="306"/>
      <c r="BA1944" s="306"/>
      <c r="BB1944" s="306"/>
    </row>
    <row r="1945" spans="1:54" ht="15.75" customHeight="1">
      <c r="A1945" s="317"/>
      <c r="B1945" s="430"/>
      <c r="C1945" s="317"/>
      <c r="E1945" s="306"/>
      <c r="F1945" s="431"/>
      <c r="G1945" s="431"/>
      <c r="H1945" s="298"/>
      <c r="I1945" s="432"/>
      <c r="J1945" s="433"/>
      <c r="K1945" s="306"/>
      <c r="L1945" s="306"/>
      <c r="M1945" s="306"/>
      <c r="N1945" s="298"/>
      <c r="O1945" s="298"/>
      <c r="P1945" s="298"/>
      <c r="Q1945" s="306"/>
      <c r="R1945" s="1023"/>
      <c r="S1945" s="1023"/>
      <c r="T1945" s="306"/>
      <c r="U1945" s="306"/>
      <c r="V1945" s="306"/>
      <c r="W1945" s="306"/>
      <c r="X1945" s="306"/>
      <c r="Y1945" s="306"/>
      <c r="Z1945" s="306"/>
      <c r="AA1945" s="306"/>
      <c r="AB1945" s="306"/>
      <c r="AC1945" s="306"/>
      <c r="AD1945" s="306"/>
      <c r="AE1945" s="306"/>
      <c r="AF1945" s="306"/>
      <c r="AG1945" s="306"/>
      <c r="AH1945" s="306"/>
      <c r="AI1945" s="306"/>
      <c r="AJ1945" s="306"/>
      <c r="AK1945" s="306"/>
      <c r="AL1945" s="306"/>
      <c r="AM1945" s="418"/>
      <c r="AN1945" s="418"/>
      <c r="AO1945" s="306"/>
      <c r="AP1945" s="306"/>
      <c r="AQ1945" s="418"/>
      <c r="AR1945" s="306"/>
      <c r="AS1945" s="306"/>
      <c r="AT1945" s="418"/>
      <c r="AU1945" s="306"/>
      <c r="AV1945" s="306"/>
      <c r="AW1945" s="306"/>
      <c r="AX1945" s="306"/>
      <c r="AY1945" s="306"/>
      <c r="AZ1945" s="306"/>
      <c r="BA1945" s="306"/>
      <c r="BB1945" s="306"/>
    </row>
    <row r="1946" spans="1:54" ht="15.75" customHeight="1">
      <c r="A1946" s="317"/>
      <c r="B1946" s="430"/>
      <c r="C1946" s="317"/>
      <c r="E1946" s="306"/>
      <c r="F1946" s="431"/>
      <c r="G1946" s="431"/>
      <c r="H1946" s="298"/>
      <c r="I1946" s="432"/>
      <c r="J1946" s="433"/>
      <c r="K1946" s="306"/>
      <c r="L1946" s="306"/>
      <c r="M1946" s="306"/>
      <c r="N1946" s="298"/>
      <c r="O1946" s="298"/>
      <c r="P1946" s="298"/>
      <c r="Q1946" s="306"/>
      <c r="R1946" s="1023"/>
      <c r="S1946" s="1023"/>
      <c r="T1946" s="306"/>
      <c r="U1946" s="306"/>
      <c r="V1946" s="306"/>
      <c r="W1946" s="306"/>
      <c r="X1946" s="306"/>
      <c r="Y1946" s="306"/>
      <c r="Z1946" s="306"/>
      <c r="AA1946" s="306"/>
      <c r="AB1946" s="306"/>
      <c r="AC1946" s="306"/>
      <c r="AD1946" s="306"/>
      <c r="AE1946" s="306"/>
      <c r="AF1946" s="306"/>
      <c r="AG1946" s="306"/>
      <c r="AH1946" s="306"/>
      <c r="AI1946" s="306"/>
      <c r="AJ1946" s="306"/>
      <c r="AK1946" s="306"/>
      <c r="AL1946" s="306"/>
      <c r="AM1946" s="418"/>
      <c r="AN1946" s="418"/>
      <c r="AO1946" s="306"/>
      <c r="AP1946" s="306"/>
      <c r="AQ1946" s="418"/>
      <c r="AR1946" s="306"/>
      <c r="AS1946" s="306"/>
      <c r="AT1946" s="418"/>
      <c r="AU1946" s="306"/>
      <c r="AV1946" s="306"/>
      <c r="AW1946" s="306"/>
      <c r="AX1946" s="306"/>
      <c r="AY1946" s="306"/>
      <c r="AZ1946" s="306"/>
      <c r="BA1946" s="306"/>
      <c r="BB1946" s="306"/>
    </row>
    <row r="1947" spans="1:54" ht="15.75" customHeight="1">
      <c r="A1947" s="317"/>
      <c r="B1947" s="430"/>
      <c r="C1947" s="317"/>
      <c r="E1947" s="306"/>
      <c r="F1947" s="431"/>
      <c r="G1947" s="431"/>
      <c r="H1947" s="298"/>
      <c r="I1947" s="432"/>
      <c r="J1947" s="433"/>
      <c r="K1947" s="306"/>
      <c r="L1947" s="306"/>
      <c r="M1947" s="306"/>
      <c r="N1947" s="298"/>
      <c r="O1947" s="298"/>
      <c r="P1947" s="298"/>
      <c r="Q1947" s="306"/>
      <c r="R1947" s="1023"/>
      <c r="S1947" s="1023"/>
      <c r="T1947" s="306"/>
      <c r="U1947" s="306"/>
      <c r="V1947" s="306"/>
      <c r="W1947" s="306"/>
      <c r="X1947" s="306"/>
      <c r="Y1947" s="306"/>
      <c r="Z1947" s="306"/>
      <c r="AA1947" s="306"/>
      <c r="AB1947" s="306"/>
      <c r="AC1947" s="306"/>
      <c r="AD1947" s="306"/>
      <c r="AE1947" s="306"/>
      <c r="AF1947" s="306"/>
      <c r="AG1947" s="306"/>
      <c r="AH1947" s="306"/>
      <c r="AI1947" s="306"/>
      <c r="AJ1947" s="306"/>
      <c r="AK1947" s="306"/>
      <c r="AL1947" s="306"/>
      <c r="AM1947" s="418"/>
      <c r="AN1947" s="418"/>
      <c r="AO1947" s="306"/>
      <c r="AP1947" s="306"/>
      <c r="AQ1947" s="418"/>
      <c r="AR1947" s="306"/>
      <c r="AS1947" s="306"/>
      <c r="AT1947" s="418"/>
      <c r="AU1947" s="306"/>
      <c r="AV1947" s="306"/>
      <c r="AW1947" s="306"/>
      <c r="AX1947" s="306"/>
      <c r="AY1947" s="306"/>
      <c r="AZ1947" s="306"/>
      <c r="BA1947" s="306"/>
      <c r="BB1947" s="306"/>
    </row>
    <row r="1948" spans="1:54" ht="15.75" customHeight="1">
      <c r="A1948" s="317"/>
      <c r="B1948" s="430"/>
      <c r="C1948" s="317"/>
      <c r="E1948" s="306"/>
      <c r="F1948" s="431"/>
      <c r="G1948" s="431"/>
      <c r="H1948" s="298"/>
      <c r="I1948" s="432"/>
      <c r="J1948" s="433"/>
      <c r="K1948" s="306"/>
      <c r="L1948" s="306"/>
      <c r="M1948" s="306"/>
      <c r="N1948" s="298"/>
      <c r="O1948" s="298"/>
      <c r="P1948" s="298"/>
      <c r="Q1948" s="306"/>
      <c r="R1948" s="1023"/>
      <c r="S1948" s="1023"/>
      <c r="T1948" s="306"/>
      <c r="U1948" s="306"/>
      <c r="V1948" s="306"/>
      <c r="W1948" s="306"/>
      <c r="X1948" s="306"/>
      <c r="Y1948" s="306"/>
      <c r="Z1948" s="306"/>
      <c r="AA1948" s="306"/>
      <c r="AB1948" s="306"/>
      <c r="AC1948" s="306"/>
      <c r="AD1948" s="306"/>
      <c r="AE1948" s="306"/>
      <c r="AF1948" s="306"/>
      <c r="AG1948" s="306"/>
      <c r="AH1948" s="306"/>
      <c r="AI1948" s="306"/>
      <c r="AJ1948" s="306"/>
      <c r="AK1948" s="306"/>
      <c r="AL1948" s="306"/>
      <c r="AM1948" s="418"/>
      <c r="AN1948" s="418"/>
      <c r="AO1948" s="306"/>
      <c r="AP1948" s="306"/>
      <c r="AQ1948" s="418"/>
      <c r="AR1948" s="306"/>
      <c r="AS1948" s="306"/>
      <c r="AT1948" s="418"/>
      <c r="AU1948" s="306"/>
      <c r="AV1948" s="306"/>
      <c r="AW1948" s="306"/>
      <c r="AX1948" s="306"/>
      <c r="AY1948" s="306"/>
      <c r="AZ1948" s="306"/>
      <c r="BA1948" s="306"/>
      <c r="BB1948" s="306"/>
    </row>
    <row r="1949" spans="1:54" ht="15.75" customHeight="1">
      <c r="A1949" s="317"/>
      <c r="B1949" s="430"/>
      <c r="C1949" s="317"/>
      <c r="E1949" s="306"/>
      <c r="F1949" s="431"/>
      <c r="G1949" s="431"/>
      <c r="H1949" s="298"/>
      <c r="I1949" s="431"/>
      <c r="J1949" s="435"/>
      <c r="K1949" s="306"/>
      <c r="L1949" s="306"/>
      <c r="M1949" s="306"/>
      <c r="N1949" s="298"/>
      <c r="O1949" s="298"/>
      <c r="P1949" s="298"/>
      <c r="Q1949" s="306"/>
      <c r="R1949" s="1023"/>
      <c r="S1949" s="1023"/>
      <c r="T1949" s="306"/>
      <c r="U1949" s="306"/>
      <c r="V1949" s="306"/>
      <c r="W1949" s="306"/>
      <c r="X1949" s="306"/>
      <c r="Y1949" s="306"/>
      <c r="Z1949" s="306"/>
      <c r="AA1949" s="306"/>
      <c r="AB1949" s="306"/>
      <c r="AC1949" s="306"/>
      <c r="AD1949" s="306"/>
      <c r="AE1949" s="306"/>
      <c r="AF1949" s="306"/>
      <c r="AG1949" s="306"/>
      <c r="AH1949" s="306"/>
      <c r="AI1949" s="306"/>
      <c r="AJ1949" s="306"/>
      <c r="AK1949" s="306"/>
      <c r="AL1949" s="306"/>
      <c r="AM1949" s="418"/>
      <c r="AN1949" s="418"/>
      <c r="AO1949" s="306"/>
      <c r="AP1949" s="306"/>
      <c r="AQ1949" s="418"/>
      <c r="AR1949" s="306"/>
      <c r="AS1949" s="306"/>
      <c r="AT1949" s="418"/>
      <c r="AU1949" s="306"/>
      <c r="AV1949" s="306"/>
      <c r="AW1949" s="306"/>
      <c r="AX1949" s="306"/>
      <c r="AY1949" s="306"/>
      <c r="AZ1949" s="306"/>
      <c r="BA1949" s="306"/>
      <c r="BB1949" s="306"/>
    </row>
    <row r="1950" spans="1:54" ht="15.75" customHeight="1">
      <c r="A1950" s="317"/>
      <c r="B1950" s="430"/>
      <c r="C1950" s="317"/>
      <c r="E1950" s="306"/>
      <c r="F1950" s="431"/>
      <c r="G1950" s="431"/>
      <c r="H1950" s="298"/>
      <c r="I1950" s="431"/>
      <c r="J1950" s="435"/>
      <c r="K1950" s="306"/>
      <c r="L1950" s="306"/>
      <c r="M1950" s="306"/>
      <c r="N1950" s="298"/>
      <c r="O1950" s="298"/>
      <c r="P1950" s="298"/>
      <c r="Q1950" s="306"/>
      <c r="R1950" s="1023"/>
      <c r="S1950" s="1023"/>
      <c r="T1950" s="306"/>
      <c r="U1950" s="306"/>
      <c r="V1950" s="306"/>
      <c r="W1950" s="306"/>
      <c r="X1950" s="306"/>
      <c r="Y1950" s="306"/>
      <c r="Z1950" s="306"/>
      <c r="AA1950" s="306"/>
      <c r="AB1950" s="306"/>
      <c r="AC1950" s="306"/>
      <c r="AD1950" s="306"/>
      <c r="AE1950" s="306"/>
      <c r="AF1950" s="306"/>
      <c r="AG1950" s="306"/>
      <c r="AH1950" s="306"/>
      <c r="AI1950" s="306"/>
      <c r="AJ1950" s="306"/>
      <c r="AK1950" s="306"/>
      <c r="AL1950" s="306"/>
      <c r="AM1950" s="418"/>
      <c r="AN1950" s="418"/>
      <c r="AO1950" s="306"/>
      <c r="AP1950" s="306"/>
      <c r="AQ1950" s="418"/>
      <c r="AR1950" s="306"/>
      <c r="AS1950" s="306"/>
      <c r="AT1950" s="418"/>
      <c r="AU1950" s="306"/>
      <c r="AV1950" s="306"/>
      <c r="AW1950" s="306"/>
      <c r="AX1950" s="306"/>
      <c r="AY1950" s="306"/>
      <c r="AZ1950" s="306"/>
      <c r="BA1950" s="306"/>
      <c r="BB1950" s="306"/>
    </row>
    <row r="1951" spans="1:54" ht="15.75" customHeight="1">
      <c r="A1951" s="317"/>
      <c r="B1951" s="430"/>
      <c r="C1951" s="317"/>
      <c r="E1951" s="306"/>
      <c r="F1951" s="431"/>
      <c r="G1951" s="431"/>
      <c r="H1951" s="298"/>
      <c r="I1951" s="432"/>
      <c r="J1951" s="433"/>
      <c r="K1951" s="306"/>
      <c r="L1951" s="306"/>
      <c r="M1951" s="306"/>
      <c r="N1951" s="298"/>
      <c r="O1951" s="298"/>
      <c r="P1951" s="298"/>
      <c r="Q1951" s="306"/>
      <c r="R1951" s="1023"/>
      <c r="S1951" s="1023"/>
      <c r="T1951" s="306"/>
      <c r="U1951" s="306"/>
      <c r="V1951" s="306"/>
      <c r="W1951" s="306"/>
      <c r="X1951" s="306"/>
      <c r="Y1951" s="306"/>
      <c r="Z1951" s="306"/>
      <c r="AA1951" s="306"/>
      <c r="AB1951" s="306"/>
      <c r="AC1951" s="306"/>
      <c r="AD1951" s="306"/>
      <c r="AE1951" s="306"/>
      <c r="AF1951" s="306"/>
      <c r="AG1951" s="306"/>
      <c r="AH1951" s="306"/>
      <c r="AI1951" s="306"/>
      <c r="AJ1951" s="306"/>
      <c r="AK1951" s="306"/>
      <c r="AL1951" s="306"/>
      <c r="AM1951" s="418"/>
      <c r="AN1951" s="418"/>
      <c r="AO1951" s="306"/>
      <c r="AP1951" s="306"/>
      <c r="AQ1951" s="418"/>
      <c r="AR1951" s="306"/>
      <c r="AS1951" s="306"/>
      <c r="AT1951" s="418"/>
      <c r="AU1951" s="306"/>
      <c r="AV1951" s="306"/>
      <c r="AW1951" s="306"/>
      <c r="AX1951" s="306"/>
      <c r="AY1951" s="306"/>
      <c r="AZ1951" s="306"/>
      <c r="BA1951" s="306"/>
      <c r="BB1951" s="306"/>
    </row>
    <row r="1952" spans="1:54" ht="15.75" customHeight="1">
      <c r="A1952" s="317"/>
      <c r="B1952" s="430"/>
      <c r="C1952" s="317"/>
      <c r="E1952" s="306"/>
      <c r="F1952" s="431"/>
      <c r="G1952" s="431"/>
      <c r="H1952" s="298"/>
      <c r="I1952" s="432"/>
      <c r="J1952" s="433"/>
      <c r="K1952" s="306"/>
      <c r="L1952" s="306"/>
      <c r="M1952" s="306"/>
      <c r="N1952" s="298"/>
      <c r="O1952" s="298"/>
      <c r="P1952" s="298"/>
      <c r="Q1952" s="306"/>
      <c r="R1952" s="1023"/>
      <c r="S1952" s="1023"/>
      <c r="T1952" s="306"/>
      <c r="U1952" s="306"/>
      <c r="V1952" s="306"/>
      <c r="W1952" s="306"/>
      <c r="X1952" s="306"/>
      <c r="Y1952" s="306"/>
      <c r="Z1952" s="306"/>
      <c r="AA1952" s="306"/>
      <c r="AB1952" s="306"/>
      <c r="AC1952" s="306"/>
      <c r="AD1952" s="306"/>
      <c r="AE1952" s="306"/>
      <c r="AF1952" s="306"/>
      <c r="AG1952" s="306"/>
      <c r="AH1952" s="306"/>
      <c r="AI1952" s="306"/>
      <c r="AJ1952" s="306"/>
      <c r="AK1952" s="306"/>
      <c r="AL1952" s="306"/>
      <c r="AM1952" s="418"/>
      <c r="AN1952" s="418"/>
      <c r="AO1952" s="306"/>
      <c r="AP1952" s="306"/>
      <c r="AQ1952" s="418"/>
      <c r="AR1952" s="306"/>
      <c r="AS1952" s="306"/>
      <c r="AT1952" s="418"/>
      <c r="AU1952" s="306"/>
      <c r="AV1952" s="306"/>
      <c r="AW1952" s="306"/>
      <c r="AX1952" s="306"/>
      <c r="AY1952" s="306"/>
      <c r="AZ1952" s="306"/>
      <c r="BA1952" s="306"/>
      <c r="BB1952" s="306"/>
    </row>
    <row r="1953" spans="1:54" ht="15.75" customHeight="1">
      <c r="A1953" s="317"/>
      <c r="B1953" s="430"/>
      <c r="C1953" s="317"/>
      <c r="E1953" s="306"/>
      <c r="F1953" s="431"/>
      <c r="G1953" s="431"/>
      <c r="H1953" s="298"/>
      <c r="I1953" s="432"/>
      <c r="J1953" s="433"/>
      <c r="K1953" s="306"/>
      <c r="L1953" s="306"/>
      <c r="M1953" s="306"/>
      <c r="N1953" s="298"/>
      <c r="O1953" s="298"/>
      <c r="P1953" s="298"/>
      <c r="Q1953" s="306"/>
      <c r="R1953" s="1023"/>
      <c r="S1953" s="1023"/>
      <c r="T1953" s="306"/>
      <c r="U1953" s="306"/>
      <c r="V1953" s="306"/>
      <c r="W1953" s="306"/>
      <c r="X1953" s="306"/>
      <c r="Y1953" s="306"/>
      <c r="Z1953" s="306"/>
      <c r="AA1953" s="306"/>
      <c r="AB1953" s="306"/>
      <c r="AC1953" s="306"/>
      <c r="AD1953" s="306"/>
      <c r="AE1953" s="306"/>
      <c r="AF1953" s="306"/>
      <c r="AG1953" s="306"/>
      <c r="AH1953" s="306"/>
      <c r="AI1953" s="306"/>
      <c r="AJ1953" s="306"/>
      <c r="AK1953" s="306"/>
      <c r="AL1953" s="306"/>
      <c r="AM1953" s="418"/>
      <c r="AN1953" s="418"/>
      <c r="AO1953" s="306"/>
      <c r="AP1953" s="306"/>
      <c r="AQ1953" s="418"/>
      <c r="AR1953" s="306"/>
      <c r="AS1953" s="306"/>
      <c r="AT1953" s="418"/>
      <c r="AU1953" s="306"/>
      <c r="AV1953" s="306"/>
      <c r="AW1953" s="306"/>
      <c r="AX1953" s="306"/>
      <c r="AY1953" s="306"/>
      <c r="AZ1953" s="306"/>
      <c r="BA1953" s="306"/>
      <c r="BB1953" s="306"/>
    </row>
    <row r="1954" spans="1:54" ht="15.75" customHeight="1">
      <c r="A1954" s="317"/>
      <c r="B1954" s="430"/>
      <c r="C1954" s="317"/>
      <c r="E1954" s="306"/>
      <c r="F1954" s="431"/>
      <c r="G1954" s="431"/>
      <c r="H1954" s="298"/>
      <c r="I1954" s="432"/>
      <c r="J1954" s="433"/>
      <c r="K1954" s="306"/>
      <c r="L1954" s="306"/>
      <c r="M1954" s="306"/>
      <c r="N1954" s="298"/>
      <c r="O1954" s="298"/>
      <c r="P1954" s="298"/>
      <c r="Q1954" s="306"/>
      <c r="R1954" s="1023"/>
      <c r="S1954" s="1023"/>
      <c r="T1954" s="306"/>
      <c r="U1954" s="306"/>
      <c r="V1954" s="306"/>
      <c r="W1954" s="306"/>
      <c r="X1954" s="306"/>
      <c r="Y1954" s="306"/>
      <c r="Z1954" s="306"/>
      <c r="AA1954" s="306"/>
      <c r="AB1954" s="306"/>
      <c r="AC1954" s="306"/>
      <c r="AD1954" s="306"/>
      <c r="AE1954" s="306"/>
      <c r="AF1954" s="306"/>
      <c r="AG1954" s="306"/>
      <c r="AH1954" s="306"/>
      <c r="AI1954" s="306"/>
      <c r="AJ1954" s="306"/>
      <c r="AK1954" s="306"/>
      <c r="AL1954" s="306"/>
      <c r="AM1954" s="418"/>
      <c r="AN1954" s="418"/>
      <c r="AO1954" s="306"/>
      <c r="AP1954" s="306"/>
      <c r="AQ1954" s="418"/>
      <c r="AR1954" s="306"/>
      <c r="AS1954" s="306"/>
      <c r="AT1954" s="418"/>
      <c r="AU1954" s="306"/>
      <c r="AV1954" s="306"/>
      <c r="AW1954" s="306"/>
      <c r="AX1954" s="306"/>
      <c r="AY1954" s="306"/>
      <c r="AZ1954" s="306"/>
      <c r="BA1954" s="306"/>
      <c r="BB1954" s="306"/>
    </row>
    <row r="1955" spans="1:54" ht="15.75" customHeight="1">
      <c r="A1955" s="317"/>
      <c r="B1955" s="430"/>
      <c r="C1955" s="317"/>
      <c r="E1955" s="306"/>
      <c r="F1955" s="431"/>
      <c r="G1955" s="431"/>
      <c r="H1955" s="298"/>
      <c r="I1955" s="432"/>
      <c r="J1955" s="433"/>
      <c r="K1955" s="306"/>
      <c r="L1955" s="306"/>
      <c r="M1955" s="306"/>
      <c r="N1955" s="298"/>
      <c r="O1955" s="298"/>
      <c r="P1955" s="298"/>
      <c r="Q1955" s="306"/>
      <c r="R1955" s="1023"/>
      <c r="S1955" s="1023"/>
      <c r="T1955" s="306"/>
      <c r="U1955" s="306"/>
      <c r="V1955" s="306"/>
      <c r="W1955" s="306"/>
      <c r="X1955" s="306"/>
      <c r="Y1955" s="306"/>
      <c r="Z1955" s="306"/>
      <c r="AA1955" s="306"/>
      <c r="AB1955" s="306"/>
      <c r="AC1955" s="306"/>
      <c r="AD1955" s="306"/>
      <c r="AE1955" s="306"/>
      <c r="AF1955" s="306"/>
      <c r="AG1955" s="306"/>
      <c r="AH1955" s="306"/>
      <c r="AI1955" s="306"/>
      <c r="AJ1955" s="306"/>
      <c r="AK1955" s="306"/>
      <c r="AL1955" s="306"/>
      <c r="AM1955" s="418"/>
      <c r="AN1955" s="418"/>
      <c r="AO1955" s="306"/>
      <c r="AP1955" s="306"/>
      <c r="AQ1955" s="418"/>
      <c r="AR1955" s="306"/>
      <c r="AS1955" s="306"/>
      <c r="AT1955" s="418"/>
      <c r="AU1955" s="306"/>
      <c r="AV1955" s="306"/>
      <c r="AW1955" s="306"/>
      <c r="AX1955" s="306"/>
      <c r="AY1955" s="306"/>
      <c r="AZ1955" s="306"/>
      <c r="BA1955" s="306"/>
      <c r="BB1955" s="306"/>
    </row>
    <row r="1956" spans="1:54" ht="15.75" customHeight="1">
      <c r="A1956" s="317"/>
      <c r="B1956" s="430"/>
      <c r="C1956" s="317"/>
      <c r="E1956" s="306"/>
      <c r="F1956" s="431"/>
      <c r="G1956" s="431"/>
      <c r="H1956" s="298"/>
      <c r="I1956" s="432"/>
      <c r="J1956" s="433"/>
      <c r="K1956" s="306"/>
      <c r="L1956" s="306"/>
      <c r="M1956" s="306"/>
      <c r="N1956" s="298"/>
      <c r="O1956" s="298"/>
      <c r="P1956" s="298"/>
      <c r="Q1956" s="306"/>
      <c r="R1956" s="1023"/>
      <c r="S1956" s="1023"/>
      <c r="T1956" s="306"/>
      <c r="U1956" s="306"/>
      <c r="V1956" s="306"/>
      <c r="W1956" s="306"/>
      <c r="X1956" s="306"/>
      <c r="Y1956" s="306"/>
      <c r="Z1956" s="306"/>
      <c r="AA1956" s="306"/>
      <c r="AB1956" s="306"/>
      <c r="AC1956" s="306"/>
      <c r="AD1956" s="306"/>
      <c r="AE1956" s="306"/>
      <c r="AF1956" s="306"/>
      <c r="AG1956" s="306"/>
      <c r="AH1956" s="306"/>
      <c r="AI1956" s="306"/>
      <c r="AJ1956" s="306"/>
      <c r="AK1956" s="306"/>
      <c r="AL1956" s="306"/>
      <c r="AM1956" s="418"/>
      <c r="AN1956" s="418"/>
      <c r="AO1956" s="306"/>
      <c r="AP1956" s="306"/>
      <c r="AQ1956" s="418"/>
      <c r="AR1956" s="306"/>
      <c r="AS1956" s="306"/>
      <c r="AT1956" s="418"/>
      <c r="AU1956" s="306"/>
      <c r="AV1956" s="306"/>
      <c r="AW1956" s="306"/>
      <c r="AX1956" s="306"/>
      <c r="AY1956" s="306"/>
      <c r="AZ1956" s="306"/>
      <c r="BA1956" s="306"/>
      <c r="BB1956" s="306"/>
    </row>
    <row r="1957" spans="1:54" ht="15.75" customHeight="1">
      <c r="A1957" s="317"/>
      <c r="B1957" s="430"/>
      <c r="C1957" s="317"/>
      <c r="E1957" s="306"/>
      <c r="F1957" s="431"/>
      <c r="G1957" s="431"/>
      <c r="H1957" s="298"/>
      <c r="I1957" s="432"/>
      <c r="J1957" s="433"/>
      <c r="K1957" s="306"/>
      <c r="L1957" s="306"/>
      <c r="M1957" s="306"/>
      <c r="N1957" s="298"/>
      <c r="O1957" s="298"/>
      <c r="P1957" s="298"/>
      <c r="Q1957" s="306"/>
      <c r="R1957" s="1023"/>
      <c r="S1957" s="1023"/>
      <c r="T1957" s="306"/>
      <c r="U1957" s="306"/>
      <c r="V1957" s="306"/>
      <c r="W1957" s="306"/>
      <c r="X1957" s="306"/>
      <c r="Y1957" s="306"/>
      <c r="Z1957" s="306"/>
      <c r="AA1957" s="306"/>
      <c r="AB1957" s="306"/>
      <c r="AC1957" s="306"/>
      <c r="AD1957" s="306"/>
      <c r="AE1957" s="306"/>
      <c r="AF1957" s="306"/>
      <c r="AG1957" s="306"/>
      <c r="AH1957" s="306"/>
      <c r="AI1957" s="306"/>
      <c r="AJ1957" s="306"/>
      <c r="AK1957" s="306"/>
      <c r="AL1957" s="306"/>
      <c r="AM1957" s="418"/>
      <c r="AN1957" s="418"/>
      <c r="AO1957" s="306"/>
      <c r="AP1957" s="306"/>
      <c r="AQ1957" s="418"/>
      <c r="AR1957" s="306"/>
      <c r="AS1957" s="306"/>
      <c r="AT1957" s="418"/>
      <c r="AU1957" s="306"/>
      <c r="AV1957" s="306"/>
      <c r="AW1957" s="306"/>
      <c r="AX1957" s="306"/>
      <c r="AY1957" s="306"/>
      <c r="AZ1957" s="306"/>
      <c r="BA1957" s="306"/>
      <c r="BB1957" s="306"/>
    </row>
    <row r="1958" spans="1:54" ht="15.75" customHeight="1">
      <c r="A1958" s="317"/>
      <c r="B1958" s="430"/>
      <c r="C1958" s="317"/>
      <c r="E1958" s="306"/>
      <c r="F1958" s="431"/>
      <c r="G1958" s="431"/>
      <c r="H1958" s="298"/>
      <c r="I1958" s="432"/>
      <c r="J1958" s="433"/>
      <c r="K1958" s="306"/>
      <c r="L1958" s="306"/>
      <c r="M1958" s="306"/>
      <c r="N1958" s="298"/>
      <c r="O1958" s="298"/>
      <c r="P1958" s="298"/>
      <c r="Q1958" s="306"/>
      <c r="R1958" s="1023"/>
      <c r="S1958" s="1023"/>
      <c r="T1958" s="306"/>
      <c r="U1958" s="306"/>
      <c r="V1958" s="306"/>
      <c r="W1958" s="306"/>
      <c r="X1958" s="306"/>
      <c r="Y1958" s="306"/>
      <c r="Z1958" s="306"/>
      <c r="AA1958" s="306"/>
      <c r="AB1958" s="306"/>
      <c r="AC1958" s="306"/>
      <c r="AD1958" s="306"/>
      <c r="AE1958" s="306"/>
      <c r="AF1958" s="306"/>
      <c r="AG1958" s="306"/>
      <c r="AH1958" s="306"/>
      <c r="AI1958" s="306"/>
      <c r="AJ1958" s="306"/>
      <c r="AK1958" s="306"/>
      <c r="AL1958" s="306"/>
      <c r="AM1958" s="418"/>
      <c r="AN1958" s="418"/>
      <c r="AO1958" s="306"/>
      <c r="AP1958" s="306"/>
      <c r="AQ1958" s="418"/>
      <c r="AR1958" s="306"/>
      <c r="AS1958" s="306"/>
      <c r="AT1958" s="418"/>
      <c r="AU1958" s="306"/>
      <c r="AV1958" s="306"/>
      <c r="AW1958" s="306"/>
      <c r="AX1958" s="306"/>
      <c r="AY1958" s="306"/>
      <c r="AZ1958" s="306"/>
      <c r="BA1958" s="306"/>
      <c r="BB1958" s="306"/>
    </row>
    <row r="1959" spans="1:54" ht="15.75" customHeight="1">
      <c r="A1959" s="317"/>
      <c r="B1959" s="430"/>
      <c r="C1959" s="317"/>
      <c r="E1959" s="306"/>
      <c r="F1959" s="431"/>
      <c r="G1959" s="431"/>
      <c r="H1959" s="298"/>
      <c r="I1959" s="432"/>
      <c r="J1959" s="433"/>
      <c r="K1959" s="306"/>
      <c r="L1959" s="306"/>
      <c r="M1959" s="306"/>
      <c r="N1959" s="298"/>
      <c r="O1959" s="298"/>
      <c r="P1959" s="298"/>
      <c r="Q1959" s="306"/>
      <c r="R1959" s="1023"/>
      <c r="S1959" s="1023"/>
      <c r="T1959" s="306"/>
      <c r="U1959" s="306"/>
      <c r="V1959" s="306"/>
      <c r="W1959" s="306"/>
      <c r="X1959" s="306"/>
      <c r="Y1959" s="306"/>
      <c r="Z1959" s="306"/>
      <c r="AA1959" s="306"/>
      <c r="AB1959" s="306"/>
      <c r="AC1959" s="306"/>
      <c r="AD1959" s="306"/>
      <c r="AE1959" s="306"/>
      <c r="AF1959" s="306"/>
      <c r="AG1959" s="306"/>
      <c r="AH1959" s="306"/>
      <c r="AI1959" s="306"/>
      <c r="AJ1959" s="306"/>
      <c r="AK1959" s="306"/>
      <c r="AL1959" s="306"/>
      <c r="AM1959" s="418"/>
      <c r="AN1959" s="418"/>
      <c r="AO1959" s="306"/>
      <c r="AP1959" s="306"/>
      <c r="AQ1959" s="418"/>
      <c r="AR1959" s="306"/>
      <c r="AS1959" s="306"/>
      <c r="AT1959" s="418"/>
      <c r="AU1959" s="306"/>
      <c r="AV1959" s="306"/>
      <c r="AW1959" s="306"/>
      <c r="AX1959" s="306"/>
      <c r="AY1959" s="306"/>
      <c r="AZ1959" s="306"/>
      <c r="BA1959" s="306"/>
      <c r="BB1959" s="306"/>
    </row>
    <row r="1960" spans="1:54" ht="15.75" customHeight="1">
      <c r="A1960" s="317"/>
      <c r="B1960" s="430"/>
      <c r="C1960" s="317"/>
      <c r="E1960" s="306"/>
      <c r="F1960" s="431"/>
      <c r="G1960" s="431"/>
      <c r="H1960" s="298"/>
      <c r="I1960" s="432"/>
      <c r="J1960" s="433"/>
      <c r="K1960" s="306"/>
      <c r="L1960" s="306"/>
      <c r="M1960" s="306"/>
      <c r="N1960" s="298"/>
      <c r="O1960" s="298"/>
      <c r="P1960" s="298"/>
      <c r="Q1960" s="306"/>
      <c r="R1960" s="1023"/>
      <c r="S1960" s="1023"/>
      <c r="T1960" s="306"/>
      <c r="U1960" s="306"/>
      <c r="V1960" s="306"/>
      <c r="W1960" s="306"/>
      <c r="X1960" s="306"/>
      <c r="Y1960" s="306"/>
      <c r="Z1960" s="306"/>
      <c r="AA1960" s="306"/>
      <c r="AB1960" s="306"/>
      <c r="AC1960" s="306"/>
      <c r="AD1960" s="306"/>
      <c r="AE1960" s="306"/>
      <c r="AF1960" s="306"/>
      <c r="AG1960" s="306"/>
      <c r="AH1960" s="306"/>
      <c r="AI1960" s="306"/>
      <c r="AJ1960" s="306"/>
      <c r="AK1960" s="306"/>
      <c r="AL1960" s="306"/>
      <c r="AM1960" s="418"/>
      <c r="AN1960" s="418"/>
      <c r="AO1960" s="306"/>
      <c r="AP1960" s="306"/>
      <c r="AQ1960" s="418"/>
      <c r="AR1960" s="306"/>
      <c r="AS1960" s="306"/>
      <c r="AT1960" s="418"/>
      <c r="AU1960" s="306"/>
      <c r="AV1960" s="306"/>
      <c r="AW1960" s="306"/>
      <c r="AX1960" s="306"/>
      <c r="AY1960" s="306"/>
      <c r="AZ1960" s="306"/>
      <c r="BA1960" s="306"/>
      <c r="BB1960" s="306"/>
    </row>
    <row r="1961" spans="1:54" ht="15.75" customHeight="1">
      <c r="A1961" s="317"/>
      <c r="B1961" s="430"/>
      <c r="C1961" s="317"/>
      <c r="E1961" s="306"/>
      <c r="F1961" s="431"/>
      <c r="G1961" s="431"/>
      <c r="H1961" s="298"/>
      <c r="I1961" s="432"/>
      <c r="J1961" s="433"/>
      <c r="K1961" s="306"/>
      <c r="L1961" s="306"/>
      <c r="M1961" s="306"/>
      <c r="N1961" s="298"/>
      <c r="O1961" s="298"/>
      <c r="P1961" s="298"/>
      <c r="Q1961" s="306"/>
      <c r="R1961" s="1023"/>
      <c r="S1961" s="1023"/>
      <c r="T1961" s="306"/>
      <c r="U1961" s="306"/>
      <c r="V1961" s="306"/>
      <c r="W1961" s="306"/>
      <c r="X1961" s="306"/>
      <c r="Y1961" s="306"/>
      <c r="Z1961" s="306"/>
      <c r="AA1961" s="306"/>
      <c r="AB1961" s="306"/>
      <c r="AC1961" s="306"/>
      <c r="AD1961" s="306"/>
      <c r="AE1961" s="306"/>
      <c r="AF1961" s="306"/>
      <c r="AG1961" s="306"/>
      <c r="AH1961" s="306"/>
      <c r="AI1961" s="306"/>
      <c r="AJ1961" s="306"/>
      <c r="AK1961" s="306"/>
      <c r="AL1961" s="306"/>
      <c r="AM1961" s="418"/>
      <c r="AN1961" s="418"/>
      <c r="AO1961" s="306"/>
      <c r="AP1961" s="306"/>
      <c r="AQ1961" s="418"/>
      <c r="AR1961" s="306"/>
      <c r="AS1961" s="306"/>
      <c r="AT1961" s="418"/>
      <c r="AU1961" s="306"/>
      <c r="AV1961" s="306"/>
      <c r="AW1961" s="306"/>
      <c r="AX1961" s="306"/>
      <c r="AY1961" s="306"/>
      <c r="AZ1961" s="306"/>
      <c r="BA1961" s="306"/>
      <c r="BB1961" s="306"/>
    </row>
    <row r="1962" spans="1:54" ht="15.75" customHeight="1">
      <c r="A1962" s="317"/>
      <c r="B1962" s="430"/>
      <c r="C1962" s="317"/>
      <c r="E1962" s="306"/>
      <c r="F1962" s="431"/>
      <c r="G1962" s="431"/>
      <c r="H1962" s="298"/>
      <c r="I1962" s="432"/>
      <c r="J1962" s="433"/>
      <c r="K1962" s="306"/>
      <c r="L1962" s="306"/>
      <c r="M1962" s="306"/>
      <c r="N1962" s="298"/>
      <c r="O1962" s="298"/>
      <c r="P1962" s="298"/>
      <c r="Q1962" s="306"/>
      <c r="R1962" s="1023"/>
      <c r="S1962" s="1023"/>
      <c r="T1962" s="306"/>
      <c r="U1962" s="306"/>
      <c r="V1962" s="306"/>
      <c r="W1962" s="306"/>
      <c r="X1962" s="306"/>
      <c r="Y1962" s="306"/>
      <c r="Z1962" s="306"/>
      <c r="AA1962" s="306"/>
      <c r="AB1962" s="306"/>
      <c r="AC1962" s="306"/>
      <c r="AD1962" s="306"/>
      <c r="AE1962" s="306"/>
      <c r="AF1962" s="306"/>
      <c r="AG1962" s="306"/>
      <c r="AH1962" s="306"/>
      <c r="AI1962" s="306"/>
      <c r="AJ1962" s="306"/>
      <c r="AK1962" s="306"/>
      <c r="AL1962" s="306"/>
      <c r="AM1962" s="418"/>
      <c r="AN1962" s="418"/>
      <c r="AO1962" s="306"/>
      <c r="AP1962" s="306"/>
      <c r="AQ1962" s="418"/>
      <c r="AR1962" s="306"/>
      <c r="AS1962" s="306"/>
      <c r="AT1962" s="418"/>
      <c r="AU1962" s="306"/>
      <c r="AV1962" s="306"/>
      <c r="AW1962" s="306"/>
      <c r="AX1962" s="306"/>
      <c r="AY1962" s="306"/>
      <c r="AZ1962" s="306"/>
      <c r="BA1962" s="306"/>
      <c r="BB1962" s="306"/>
    </row>
    <row r="1963" spans="1:54" ht="15.75" customHeight="1">
      <c r="A1963" s="317"/>
      <c r="B1963" s="430"/>
      <c r="C1963" s="317"/>
      <c r="E1963" s="306"/>
      <c r="F1963" s="431"/>
      <c r="G1963" s="431"/>
      <c r="H1963" s="298"/>
      <c r="I1963" s="432"/>
      <c r="J1963" s="433"/>
      <c r="K1963" s="306"/>
      <c r="L1963" s="306"/>
      <c r="M1963" s="306"/>
      <c r="N1963" s="298"/>
      <c r="O1963" s="298"/>
      <c r="P1963" s="298"/>
      <c r="Q1963" s="306"/>
      <c r="R1963" s="1023"/>
      <c r="S1963" s="1023"/>
      <c r="T1963" s="306"/>
      <c r="U1963" s="306"/>
      <c r="V1963" s="306"/>
      <c r="W1963" s="306"/>
      <c r="X1963" s="306"/>
      <c r="Y1963" s="306"/>
      <c r="Z1963" s="306"/>
      <c r="AA1963" s="306"/>
      <c r="AB1963" s="306"/>
      <c r="AC1963" s="306"/>
      <c r="AD1963" s="306"/>
      <c r="AE1963" s="306"/>
      <c r="AF1963" s="306"/>
      <c r="AG1963" s="306"/>
      <c r="AH1963" s="306"/>
      <c r="AI1963" s="306"/>
      <c r="AJ1963" s="306"/>
      <c r="AK1963" s="306"/>
      <c r="AL1963" s="306"/>
      <c r="AM1963" s="418"/>
      <c r="AN1963" s="418"/>
      <c r="AO1963" s="306"/>
      <c r="AP1963" s="306"/>
      <c r="AQ1963" s="418"/>
      <c r="AR1963" s="306"/>
      <c r="AS1963" s="306"/>
      <c r="AT1963" s="418"/>
      <c r="AU1963" s="306"/>
      <c r="AV1963" s="306"/>
      <c r="AW1963" s="306"/>
      <c r="AX1963" s="306"/>
      <c r="AY1963" s="306"/>
      <c r="AZ1963" s="306"/>
      <c r="BA1963" s="306"/>
      <c r="BB1963" s="306"/>
    </row>
    <row r="1964" spans="1:54" ht="15.75" customHeight="1">
      <c r="A1964" s="317"/>
      <c r="B1964" s="430"/>
      <c r="C1964" s="317"/>
      <c r="E1964" s="306"/>
      <c r="F1964" s="431"/>
      <c r="G1964" s="431"/>
      <c r="H1964" s="298"/>
      <c r="I1964" s="432"/>
      <c r="J1964" s="433"/>
      <c r="K1964" s="306"/>
      <c r="L1964" s="306"/>
      <c r="M1964" s="306"/>
      <c r="N1964" s="298"/>
      <c r="O1964" s="298"/>
      <c r="P1964" s="298"/>
      <c r="Q1964" s="306"/>
      <c r="R1964" s="1023"/>
      <c r="S1964" s="1023"/>
      <c r="T1964" s="306"/>
      <c r="U1964" s="306"/>
      <c r="V1964" s="306"/>
      <c r="W1964" s="306"/>
      <c r="X1964" s="306"/>
      <c r="Y1964" s="306"/>
      <c r="Z1964" s="306"/>
      <c r="AA1964" s="306"/>
      <c r="AB1964" s="306"/>
      <c r="AC1964" s="306"/>
      <c r="AD1964" s="306"/>
      <c r="AE1964" s="306"/>
      <c r="AF1964" s="306"/>
      <c r="AG1964" s="306"/>
      <c r="AH1964" s="306"/>
      <c r="AI1964" s="306"/>
      <c r="AJ1964" s="306"/>
      <c r="AK1964" s="306"/>
      <c r="AL1964" s="306"/>
      <c r="AM1964" s="418"/>
      <c r="AN1964" s="418"/>
      <c r="AO1964" s="306"/>
      <c r="AP1964" s="306"/>
      <c r="AQ1964" s="418"/>
      <c r="AR1964" s="306"/>
      <c r="AS1964" s="306"/>
      <c r="AT1964" s="418"/>
      <c r="AU1964" s="306"/>
      <c r="AV1964" s="306"/>
      <c r="AW1964" s="306"/>
      <c r="AX1964" s="306"/>
      <c r="AY1964" s="306"/>
      <c r="AZ1964" s="306"/>
      <c r="BA1964" s="306"/>
      <c r="BB1964" s="306"/>
    </row>
    <row r="1965" spans="1:54" ht="15.75" customHeight="1">
      <c r="A1965" s="317"/>
      <c r="B1965" s="430"/>
      <c r="C1965" s="317"/>
      <c r="E1965" s="306"/>
      <c r="F1965" s="431"/>
      <c r="G1965" s="431"/>
      <c r="H1965" s="298"/>
      <c r="I1965" s="432"/>
      <c r="J1965" s="433"/>
      <c r="K1965" s="306"/>
      <c r="L1965" s="306"/>
      <c r="M1965" s="306"/>
      <c r="N1965" s="298"/>
      <c r="O1965" s="298"/>
      <c r="P1965" s="298"/>
      <c r="Q1965" s="306"/>
      <c r="R1965" s="1023"/>
      <c r="S1965" s="1023"/>
      <c r="T1965" s="306"/>
      <c r="U1965" s="306"/>
      <c r="V1965" s="306"/>
      <c r="W1965" s="306"/>
      <c r="X1965" s="306"/>
      <c r="Y1965" s="306"/>
      <c r="Z1965" s="306"/>
      <c r="AA1965" s="306"/>
      <c r="AB1965" s="306"/>
      <c r="AC1965" s="306"/>
      <c r="AD1965" s="306"/>
      <c r="AE1965" s="306"/>
      <c r="AF1965" s="306"/>
      <c r="AG1965" s="306"/>
      <c r="AH1965" s="306"/>
      <c r="AI1965" s="306"/>
      <c r="AJ1965" s="306"/>
      <c r="AK1965" s="306"/>
      <c r="AL1965" s="306"/>
      <c r="AM1965" s="418"/>
      <c r="AN1965" s="418"/>
      <c r="AO1965" s="306"/>
      <c r="AP1965" s="306"/>
      <c r="AQ1965" s="418"/>
      <c r="AR1965" s="306"/>
      <c r="AS1965" s="306"/>
      <c r="AT1965" s="418"/>
      <c r="AU1965" s="306"/>
      <c r="AV1965" s="306"/>
      <c r="AW1965" s="306"/>
      <c r="AX1965" s="306"/>
      <c r="AY1965" s="306"/>
      <c r="AZ1965" s="306"/>
      <c r="BA1965" s="306"/>
      <c r="BB1965" s="306"/>
    </row>
    <row r="1966" spans="1:54" ht="15.75" customHeight="1">
      <c r="A1966" s="317"/>
      <c r="B1966" s="430"/>
      <c r="C1966" s="317"/>
      <c r="E1966" s="306"/>
      <c r="F1966" s="431"/>
      <c r="G1966" s="431"/>
      <c r="H1966" s="298"/>
      <c r="I1966" s="432"/>
      <c r="J1966" s="433"/>
      <c r="K1966" s="306"/>
      <c r="L1966" s="306"/>
      <c r="M1966" s="306"/>
      <c r="N1966" s="298"/>
      <c r="O1966" s="306"/>
      <c r="P1966" s="298"/>
      <c r="Q1966" s="306"/>
      <c r="R1966" s="1023"/>
      <c r="S1966" s="1023"/>
      <c r="T1966" s="306"/>
      <c r="U1966" s="306"/>
      <c r="V1966" s="306"/>
      <c r="W1966" s="306"/>
      <c r="X1966" s="306"/>
      <c r="Y1966" s="306"/>
      <c r="Z1966" s="306"/>
      <c r="AA1966" s="306"/>
      <c r="AB1966" s="306"/>
      <c r="AC1966" s="306"/>
      <c r="AD1966" s="306"/>
      <c r="AE1966" s="306"/>
      <c r="AF1966" s="306"/>
      <c r="AG1966" s="306"/>
      <c r="AH1966" s="306"/>
      <c r="AI1966" s="306"/>
      <c r="AJ1966" s="306"/>
      <c r="AK1966" s="306"/>
      <c r="AL1966" s="306"/>
      <c r="AM1966" s="418"/>
      <c r="AN1966" s="418"/>
      <c r="AO1966" s="306"/>
      <c r="AP1966" s="306"/>
      <c r="AQ1966" s="418"/>
      <c r="AR1966" s="306"/>
      <c r="AS1966" s="306"/>
      <c r="AT1966" s="418"/>
      <c r="AU1966" s="306"/>
      <c r="AV1966" s="306"/>
      <c r="AW1966" s="306"/>
      <c r="AX1966" s="306"/>
      <c r="AY1966" s="306"/>
      <c r="AZ1966" s="306"/>
      <c r="BA1966" s="306"/>
      <c r="BB1966" s="306"/>
    </row>
    <row r="1967" spans="1:54" ht="15.75" customHeight="1">
      <c r="A1967" s="317"/>
      <c r="B1967" s="430"/>
      <c r="C1967" s="317"/>
      <c r="E1967" s="306"/>
      <c r="F1967" s="431"/>
      <c r="G1967" s="431"/>
      <c r="H1967" s="298"/>
      <c r="I1967" s="432"/>
      <c r="J1967" s="433"/>
      <c r="K1967" s="306"/>
      <c r="L1967" s="306"/>
      <c r="M1967" s="306"/>
      <c r="N1967" s="298"/>
      <c r="O1967" s="306"/>
      <c r="P1967" s="298"/>
      <c r="Q1967" s="306"/>
      <c r="R1967" s="1023"/>
      <c r="S1967" s="1023"/>
      <c r="T1967" s="306"/>
      <c r="U1967" s="306"/>
      <c r="V1967" s="306"/>
      <c r="W1967" s="306"/>
      <c r="X1967" s="306"/>
      <c r="Y1967" s="306"/>
      <c r="Z1967" s="306"/>
      <c r="AA1967" s="306"/>
      <c r="AB1967" s="306"/>
      <c r="AC1967" s="306"/>
      <c r="AD1967" s="306"/>
      <c r="AE1967" s="306"/>
      <c r="AF1967" s="306"/>
      <c r="AG1967" s="306"/>
      <c r="AH1967" s="306"/>
      <c r="AI1967" s="306"/>
      <c r="AJ1967" s="306"/>
      <c r="AK1967" s="306"/>
      <c r="AL1967" s="306"/>
      <c r="AM1967" s="418"/>
      <c r="AN1967" s="418"/>
      <c r="AO1967" s="306"/>
      <c r="AP1967" s="306"/>
      <c r="AQ1967" s="418"/>
      <c r="AR1967" s="306"/>
      <c r="AS1967" s="306"/>
      <c r="AT1967" s="418"/>
      <c r="AU1967" s="306"/>
      <c r="AV1967" s="306"/>
      <c r="AW1967" s="306"/>
      <c r="AX1967" s="306"/>
      <c r="AY1967" s="306"/>
      <c r="AZ1967" s="306"/>
      <c r="BA1967" s="306"/>
      <c r="BB1967" s="306"/>
    </row>
    <row r="1968" spans="1:54" ht="15.75" customHeight="1">
      <c r="A1968" s="317"/>
      <c r="B1968" s="430"/>
      <c r="C1968" s="317"/>
      <c r="E1968" s="306"/>
      <c r="F1968" s="431"/>
      <c r="G1968" s="431"/>
      <c r="H1968" s="298"/>
      <c r="I1968" s="432"/>
      <c r="J1968" s="433"/>
      <c r="K1968" s="306"/>
      <c r="L1968" s="306"/>
      <c r="M1968" s="306"/>
      <c r="N1968" s="298"/>
      <c r="O1968" s="298"/>
      <c r="P1968" s="298"/>
      <c r="Q1968" s="306"/>
      <c r="R1968" s="1023"/>
      <c r="S1968" s="1023"/>
      <c r="T1968" s="306"/>
      <c r="U1968" s="306"/>
      <c r="V1968" s="306"/>
      <c r="W1968" s="306"/>
      <c r="X1968" s="306"/>
      <c r="Y1968" s="306"/>
      <c r="Z1968" s="306"/>
      <c r="AA1968" s="306"/>
      <c r="AB1968" s="306"/>
      <c r="AC1968" s="306"/>
      <c r="AD1968" s="306"/>
      <c r="AE1968" s="306"/>
      <c r="AF1968" s="306"/>
      <c r="AG1968" s="306"/>
      <c r="AH1968" s="306"/>
      <c r="AI1968" s="306"/>
      <c r="AJ1968" s="306"/>
      <c r="AK1968" s="306"/>
      <c r="AL1968" s="306"/>
      <c r="AM1968" s="418"/>
      <c r="AN1968" s="418"/>
      <c r="AO1968" s="306"/>
      <c r="AP1968" s="306"/>
      <c r="AQ1968" s="418"/>
      <c r="AR1968" s="306"/>
      <c r="AS1968" s="306"/>
      <c r="AT1968" s="418"/>
      <c r="AU1968" s="306"/>
      <c r="AV1968" s="306"/>
      <c r="AW1968" s="306"/>
      <c r="AX1968" s="306"/>
      <c r="AY1968" s="306"/>
      <c r="AZ1968" s="306"/>
      <c r="BA1968" s="306"/>
      <c r="BB1968" s="306"/>
    </row>
    <row r="1969" spans="1:54" ht="15.75" customHeight="1">
      <c r="A1969" s="317"/>
      <c r="B1969" s="430"/>
      <c r="C1969" s="317"/>
      <c r="E1969" s="306"/>
      <c r="F1969" s="431"/>
      <c r="G1969" s="431"/>
      <c r="H1969" s="298"/>
      <c r="I1969" s="432"/>
      <c r="J1969" s="433"/>
      <c r="K1969" s="306"/>
      <c r="L1969" s="306"/>
      <c r="M1969" s="306"/>
      <c r="N1969" s="298"/>
      <c r="O1969" s="298"/>
      <c r="P1969" s="298"/>
      <c r="Q1969" s="306"/>
      <c r="R1969" s="1023"/>
      <c r="S1969" s="1023"/>
      <c r="T1969" s="306"/>
      <c r="U1969" s="306"/>
      <c r="V1969" s="306"/>
      <c r="W1969" s="306"/>
      <c r="X1969" s="306"/>
      <c r="Y1969" s="306"/>
      <c r="Z1969" s="306"/>
      <c r="AA1969" s="306"/>
      <c r="AB1969" s="306"/>
      <c r="AC1969" s="306"/>
      <c r="AD1969" s="306"/>
      <c r="AE1969" s="306"/>
      <c r="AF1969" s="306"/>
      <c r="AG1969" s="306"/>
      <c r="AH1969" s="306"/>
      <c r="AI1969" s="306"/>
      <c r="AJ1969" s="306"/>
      <c r="AK1969" s="306"/>
      <c r="AL1969" s="306"/>
      <c r="AM1969" s="418"/>
      <c r="AN1969" s="418"/>
      <c r="AO1969" s="306"/>
      <c r="AP1969" s="306"/>
      <c r="AQ1969" s="418"/>
      <c r="AR1969" s="306"/>
      <c r="AS1969" s="306"/>
      <c r="AT1969" s="418"/>
      <c r="AU1969" s="306"/>
      <c r="AV1969" s="306"/>
      <c r="AW1969" s="306"/>
      <c r="AX1969" s="306"/>
      <c r="AY1969" s="306"/>
      <c r="AZ1969" s="306"/>
      <c r="BA1969" s="306"/>
      <c r="BB1969" s="306"/>
    </row>
    <row r="1970" spans="1:54" ht="15.75" customHeight="1">
      <c r="A1970" s="317"/>
      <c r="B1970" s="430"/>
      <c r="C1970" s="317"/>
      <c r="E1970" s="306"/>
      <c r="F1970" s="431"/>
      <c r="G1970" s="431"/>
      <c r="H1970" s="298"/>
      <c r="I1970" s="432"/>
      <c r="J1970" s="433"/>
      <c r="K1970" s="306"/>
      <c r="L1970" s="306"/>
      <c r="M1970" s="306"/>
      <c r="N1970" s="298"/>
      <c r="O1970" s="298"/>
      <c r="P1970" s="298"/>
      <c r="Q1970" s="306"/>
      <c r="R1970" s="1023"/>
      <c r="S1970" s="1023"/>
      <c r="T1970" s="306"/>
      <c r="U1970" s="306"/>
      <c r="V1970" s="306"/>
      <c r="W1970" s="306"/>
      <c r="X1970" s="306"/>
      <c r="Y1970" s="306"/>
      <c r="Z1970" s="306"/>
      <c r="AA1970" s="306"/>
      <c r="AB1970" s="306"/>
      <c r="AC1970" s="306"/>
      <c r="AD1970" s="306"/>
      <c r="AE1970" s="306"/>
      <c r="AF1970" s="306"/>
      <c r="AG1970" s="306"/>
      <c r="AH1970" s="306"/>
      <c r="AI1970" s="306"/>
      <c r="AJ1970" s="306"/>
      <c r="AK1970" s="306"/>
      <c r="AL1970" s="306"/>
      <c r="AM1970" s="418"/>
      <c r="AN1970" s="418"/>
      <c r="AO1970" s="306"/>
      <c r="AP1970" s="306"/>
      <c r="AQ1970" s="418"/>
      <c r="AR1970" s="306"/>
      <c r="AS1970" s="306"/>
      <c r="AT1970" s="418"/>
      <c r="AU1970" s="306"/>
      <c r="AV1970" s="306"/>
      <c r="AW1970" s="306"/>
      <c r="AX1970" s="306"/>
      <c r="AY1970" s="306"/>
      <c r="AZ1970" s="306"/>
      <c r="BA1970" s="306"/>
      <c r="BB1970" s="306"/>
    </row>
    <row r="1971" spans="1:54" ht="15.75" customHeight="1">
      <c r="A1971" s="317"/>
      <c r="B1971" s="430"/>
      <c r="C1971" s="317"/>
      <c r="E1971" s="306"/>
      <c r="F1971" s="431"/>
      <c r="G1971" s="431"/>
      <c r="H1971" s="298"/>
      <c r="I1971" s="432"/>
      <c r="J1971" s="433"/>
      <c r="K1971" s="306"/>
      <c r="L1971" s="306"/>
      <c r="M1971" s="306"/>
      <c r="N1971" s="298"/>
      <c r="O1971" s="298"/>
      <c r="P1971" s="298"/>
      <c r="Q1971" s="306"/>
      <c r="R1971" s="1023"/>
      <c r="S1971" s="1023"/>
      <c r="T1971" s="306"/>
      <c r="U1971" s="306"/>
      <c r="V1971" s="306"/>
      <c r="W1971" s="306"/>
      <c r="X1971" s="306"/>
      <c r="Y1971" s="306"/>
      <c r="Z1971" s="306"/>
      <c r="AA1971" s="306"/>
      <c r="AB1971" s="306"/>
      <c r="AC1971" s="306"/>
      <c r="AD1971" s="306"/>
      <c r="AE1971" s="306"/>
      <c r="AF1971" s="306"/>
      <c r="AG1971" s="306"/>
      <c r="AH1971" s="306"/>
      <c r="AI1971" s="306"/>
      <c r="AJ1971" s="306"/>
      <c r="AK1971" s="306"/>
      <c r="AL1971" s="306"/>
      <c r="AM1971" s="418"/>
      <c r="AN1971" s="418"/>
      <c r="AO1971" s="306"/>
      <c r="AP1971" s="306"/>
      <c r="AQ1971" s="418"/>
      <c r="AR1971" s="306"/>
      <c r="AS1971" s="306"/>
      <c r="AT1971" s="418"/>
      <c r="AU1971" s="306"/>
      <c r="AV1971" s="306"/>
      <c r="AW1971" s="306"/>
      <c r="AX1971" s="306"/>
      <c r="AY1971" s="306"/>
      <c r="AZ1971" s="306"/>
      <c r="BA1971" s="306"/>
      <c r="BB1971" s="306"/>
    </row>
    <row r="1972" spans="1:54" ht="15.75" customHeight="1">
      <c r="A1972" s="317"/>
      <c r="B1972" s="430"/>
      <c r="C1972" s="317"/>
      <c r="E1972" s="306"/>
      <c r="F1972" s="431"/>
      <c r="G1972" s="431"/>
      <c r="H1972" s="298"/>
      <c r="I1972" s="432"/>
      <c r="J1972" s="433"/>
      <c r="K1972" s="306"/>
      <c r="L1972" s="306"/>
      <c r="M1972" s="306"/>
      <c r="N1972" s="298"/>
      <c r="O1972" s="298"/>
      <c r="P1972" s="298"/>
      <c r="Q1972" s="306"/>
      <c r="R1972" s="1023"/>
      <c r="S1972" s="1023"/>
      <c r="T1972" s="306"/>
      <c r="U1972" s="306"/>
      <c r="V1972" s="306"/>
      <c r="W1972" s="306"/>
      <c r="X1972" s="306"/>
      <c r="Y1972" s="306"/>
      <c r="Z1972" s="306"/>
      <c r="AA1972" s="306"/>
      <c r="AB1972" s="306"/>
      <c r="AC1972" s="306"/>
      <c r="AD1972" s="306"/>
      <c r="AE1972" s="306"/>
      <c r="AF1972" s="306"/>
      <c r="AG1972" s="306"/>
      <c r="AH1972" s="306"/>
      <c r="AI1972" s="306"/>
      <c r="AJ1972" s="306"/>
      <c r="AK1972" s="306"/>
      <c r="AL1972" s="306"/>
      <c r="AM1972" s="418"/>
      <c r="AN1972" s="418"/>
      <c r="AO1972" s="306"/>
      <c r="AP1972" s="306"/>
      <c r="AQ1972" s="418"/>
      <c r="AR1972" s="306"/>
      <c r="AS1972" s="306"/>
      <c r="AT1972" s="418"/>
      <c r="AU1972" s="306"/>
      <c r="AV1972" s="306"/>
      <c r="AW1972" s="306"/>
      <c r="AX1972" s="306"/>
      <c r="AY1972" s="306"/>
      <c r="AZ1972" s="306"/>
      <c r="BA1972" s="306"/>
      <c r="BB1972" s="306"/>
    </row>
    <row r="1973" spans="1:54" ht="15.75" customHeight="1">
      <c r="A1973" s="317"/>
      <c r="B1973" s="430"/>
      <c r="C1973" s="317"/>
      <c r="E1973" s="306"/>
      <c r="F1973" s="431"/>
      <c r="G1973" s="431"/>
      <c r="H1973" s="298"/>
      <c r="I1973" s="432"/>
      <c r="J1973" s="433"/>
      <c r="K1973" s="306"/>
      <c r="L1973" s="306"/>
      <c r="M1973" s="306"/>
      <c r="N1973" s="298"/>
      <c r="O1973" s="298"/>
      <c r="P1973" s="298"/>
      <c r="Q1973" s="306"/>
      <c r="R1973" s="1023"/>
      <c r="S1973" s="1023"/>
      <c r="T1973" s="306"/>
      <c r="U1973" s="306"/>
      <c r="V1973" s="306"/>
      <c r="W1973" s="306"/>
      <c r="X1973" s="306"/>
      <c r="Y1973" s="306"/>
      <c r="Z1973" s="306"/>
      <c r="AA1973" s="306"/>
      <c r="AB1973" s="306"/>
      <c r="AC1973" s="306"/>
      <c r="AD1973" s="306"/>
      <c r="AE1973" s="306"/>
      <c r="AF1973" s="306"/>
      <c r="AG1973" s="306"/>
      <c r="AH1973" s="306"/>
      <c r="AI1973" s="306"/>
      <c r="AJ1973" s="306"/>
      <c r="AK1973" s="306"/>
      <c r="AL1973" s="306"/>
      <c r="AM1973" s="418"/>
      <c r="AN1973" s="418"/>
      <c r="AO1973" s="306"/>
      <c r="AP1973" s="306"/>
      <c r="AQ1973" s="418"/>
      <c r="AR1973" s="306"/>
      <c r="AS1973" s="306"/>
      <c r="AT1973" s="418"/>
      <c r="AU1973" s="306"/>
      <c r="AV1973" s="306"/>
      <c r="AW1973" s="306"/>
      <c r="AX1973" s="306"/>
      <c r="AY1973" s="306"/>
      <c r="AZ1973" s="306"/>
      <c r="BA1973" s="306"/>
      <c r="BB1973" s="306"/>
    </row>
    <row r="1974" spans="1:54" ht="15.75" customHeight="1">
      <c r="A1974" s="317"/>
      <c r="B1974" s="430"/>
      <c r="C1974" s="317"/>
      <c r="E1974" s="306"/>
      <c r="F1974" s="431"/>
      <c r="G1974" s="431"/>
      <c r="H1974" s="298"/>
      <c r="I1974" s="431"/>
      <c r="J1974" s="435"/>
      <c r="K1974" s="306"/>
      <c r="L1974" s="306"/>
      <c r="M1974" s="306"/>
      <c r="N1974" s="298"/>
      <c r="O1974" s="298"/>
      <c r="P1974" s="298"/>
      <c r="Q1974" s="306"/>
      <c r="R1974" s="1023"/>
      <c r="S1974" s="1023"/>
      <c r="T1974" s="306"/>
      <c r="U1974" s="306"/>
      <c r="V1974" s="306"/>
      <c r="W1974" s="306"/>
      <c r="X1974" s="306"/>
      <c r="Y1974" s="306"/>
      <c r="Z1974" s="306"/>
      <c r="AA1974" s="306"/>
      <c r="AB1974" s="306"/>
      <c r="AC1974" s="306"/>
      <c r="AD1974" s="306"/>
      <c r="AE1974" s="306"/>
      <c r="AF1974" s="306"/>
      <c r="AG1974" s="306"/>
      <c r="AH1974" s="306"/>
      <c r="AI1974" s="306"/>
      <c r="AJ1974" s="306"/>
      <c r="AK1974" s="306"/>
      <c r="AL1974" s="306"/>
      <c r="AM1974" s="418"/>
      <c r="AN1974" s="418"/>
      <c r="AO1974" s="306"/>
      <c r="AP1974" s="306"/>
      <c r="AQ1974" s="418"/>
      <c r="AR1974" s="306"/>
      <c r="AS1974" s="306"/>
      <c r="AT1974" s="418"/>
      <c r="AU1974" s="306"/>
      <c r="AV1974" s="306"/>
      <c r="AW1974" s="306"/>
      <c r="AX1974" s="306"/>
      <c r="AY1974" s="306"/>
      <c r="AZ1974" s="306"/>
      <c r="BA1974" s="306"/>
      <c r="BB1974" s="306"/>
    </row>
    <row r="1975" spans="1:54" ht="15.75" customHeight="1">
      <c r="A1975" s="317"/>
      <c r="B1975" s="430"/>
      <c r="C1975" s="317"/>
      <c r="E1975" s="306"/>
      <c r="F1975" s="431"/>
      <c r="G1975" s="431"/>
      <c r="H1975" s="298"/>
      <c r="I1975" s="431"/>
      <c r="J1975" s="435"/>
      <c r="K1975" s="306"/>
      <c r="L1975" s="306"/>
      <c r="M1975" s="306"/>
      <c r="N1975" s="298"/>
      <c r="O1975" s="298"/>
      <c r="P1975" s="298"/>
      <c r="Q1975" s="306"/>
      <c r="R1975" s="1023"/>
      <c r="S1975" s="1023"/>
      <c r="T1975" s="306"/>
      <c r="U1975" s="306"/>
      <c r="V1975" s="306"/>
      <c r="W1975" s="306"/>
      <c r="X1975" s="306"/>
      <c r="Y1975" s="306"/>
      <c r="Z1975" s="306"/>
      <c r="AA1975" s="306"/>
      <c r="AB1975" s="306"/>
      <c r="AC1975" s="306"/>
      <c r="AD1975" s="306"/>
      <c r="AE1975" s="306"/>
      <c r="AF1975" s="306"/>
      <c r="AG1975" s="306"/>
      <c r="AH1975" s="306"/>
      <c r="AI1975" s="306"/>
      <c r="AJ1975" s="306"/>
      <c r="AK1975" s="306"/>
      <c r="AL1975" s="306"/>
      <c r="AM1975" s="418"/>
      <c r="AN1975" s="418"/>
      <c r="AO1975" s="306"/>
      <c r="AP1975" s="306"/>
      <c r="AQ1975" s="418"/>
      <c r="AR1975" s="306"/>
      <c r="AS1975" s="306"/>
      <c r="AT1975" s="418"/>
      <c r="AU1975" s="306"/>
      <c r="AV1975" s="306"/>
      <c r="AW1975" s="306"/>
      <c r="AX1975" s="306"/>
      <c r="AY1975" s="306"/>
      <c r="AZ1975" s="306"/>
      <c r="BA1975" s="306"/>
      <c r="BB1975" s="306"/>
    </row>
    <row r="1976" spans="1:54" ht="15.75" customHeight="1">
      <c r="A1976" s="317"/>
      <c r="B1976" s="430"/>
      <c r="C1976" s="317"/>
      <c r="E1976" s="306"/>
      <c r="F1976" s="431"/>
      <c r="G1976" s="431"/>
      <c r="H1976" s="298"/>
      <c r="I1976" s="432"/>
      <c r="J1976" s="433"/>
      <c r="K1976" s="306"/>
      <c r="L1976" s="306"/>
      <c r="M1976" s="306"/>
      <c r="N1976" s="298"/>
      <c r="O1976" s="298"/>
      <c r="P1976" s="298"/>
      <c r="Q1976" s="306"/>
      <c r="R1976" s="1023"/>
      <c r="S1976" s="1023"/>
      <c r="T1976" s="306"/>
      <c r="U1976" s="306"/>
      <c r="V1976" s="306"/>
      <c r="W1976" s="306"/>
      <c r="X1976" s="306"/>
      <c r="Y1976" s="306"/>
      <c r="Z1976" s="306"/>
      <c r="AA1976" s="306"/>
      <c r="AB1976" s="306"/>
      <c r="AC1976" s="306"/>
      <c r="AD1976" s="306"/>
      <c r="AE1976" s="306"/>
      <c r="AF1976" s="306"/>
      <c r="AG1976" s="306"/>
      <c r="AH1976" s="306"/>
      <c r="AI1976" s="306"/>
      <c r="AJ1976" s="306"/>
      <c r="AK1976" s="306"/>
      <c r="AL1976" s="306"/>
      <c r="AM1976" s="418"/>
      <c r="AN1976" s="418"/>
      <c r="AO1976" s="306"/>
      <c r="AP1976" s="306"/>
      <c r="AQ1976" s="418"/>
      <c r="AR1976" s="306"/>
      <c r="AS1976" s="306"/>
      <c r="AT1976" s="418"/>
      <c r="AU1976" s="306"/>
      <c r="AV1976" s="306"/>
      <c r="AW1976" s="306"/>
      <c r="AX1976" s="306"/>
      <c r="AY1976" s="306"/>
      <c r="AZ1976" s="306"/>
      <c r="BA1976" s="306"/>
      <c r="BB1976" s="306"/>
    </row>
    <row r="1977" spans="1:54" ht="15.75" customHeight="1">
      <c r="A1977" s="317"/>
      <c r="B1977" s="430"/>
      <c r="C1977" s="317"/>
      <c r="E1977" s="306"/>
      <c r="F1977" s="431"/>
      <c r="G1977" s="431"/>
      <c r="H1977" s="298"/>
      <c r="I1977" s="432"/>
      <c r="J1977" s="433"/>
      <c r="K1977" s="306"/>
      <c r="L1977" s="306"/>
      <c r="M1977" s="306"/>
      <c r="N1977" s="298"/>
      <c r="O1977" s="298"/>
      <c r="P1977" s="298"/>
      <c r="Q1977" s="306"/>
      <c r="R1977" s="1023"/>
      <c r="S1977" s="1023"/>
      <c r="T1977" s="306"/>
      <c r="U1977" s="306"/>
      <c r="V1977" s="306"/>
      <c r="W1977" s="306"/>
      <c r="X1977" s="306"/>
      <c r="Y1977" s="306"/>
      <c r="Z1977" s="306"/>
      <c r="AA1977" s="306"/>
      <c r="AB1977" s="306"/>
      <c r="AC1977" s="306"/>
      <c r="AD1977" s="306"/>
      <c r="AE1977" s="306"/>
      <c r="AF1977" s="306"/>
      <c r="AG1977" s="306"/>
      <c r="AH1977" s="306"/>
      <c r="AI1977" s="306"/>
      <c r="AJ1977" s="306"/>
      <c r="AK1977" s="306"/>
      <c r="AL1977" s="306"/>
      <c r="AM1977" s="418"/>
      <c r="AN1977" s="418"/>
      <c r="AO1977" s="306"/>
      <c r="AP1977" s="306"/>
      <c r="AQ1977" s="418"/>
      <c r="AR1977" s="306"/>
      <c r="AS1977" s="306"/>
      <c r="AT1977" s="418"/>
      <c r="AU1977" s="306"/>
      <c r="AV1977" s="306"/>
      <c r="AW1977" s="306"/>
      <c r="AX1977" s="306"/>
      <c r="AY1977" s="306"/>
      <c r="AZ1977" s="306"/>
      <c r="BA1977" s="306"/>
      <c r="BB1977" s="306"/>
    </row>
    <row r="1978" spans="1:54" ht="15.75" customHeight="1">
      <c r="A1978" s="317"/>
      <c r="B1978" s="430"/>
      <c r="C1978" s="317"/>
      <c r="E1978" s="306"/>
      <c r="F1978" s="431"/>
      <c r="G1978" s="431"/>
      <c r="H1978" s="298"/>
      <c r="I1978" s="432"/>
      <c r="J1978" s="433"/>
      <c r="K1978" s="306"/>
      <c r="L1978" s="306"/>
      <c r="M1978" s="306"/>
      <c r="N1978" s="298"/>
      <c r="O1978" s="298"/>
      <c r="P1978" s="298"/>
      <c r="Q1978" s="306"/>
      <c r="R1978" s="1023"/>
      <c r="S1978" s="1023"/>
      <c r="T1978" s="306"/>
      <c r="U1978" s="306"/>
      <c r="V1978" s="306"/>
      <c r="W1978" s="306"/>
      <c r="X1978" s="306"/>
      <c r="Y1978" s="306"/>
      <c r="Z1978" s="306"/>
      <c r="AA1978" s="306"/>
      <c r="AB1978" s="306"/>
      <c r="AC1978" s="306"/>
      <c r="AD1978" s="306"/>
      <c r="AE1978" s="306"/>
      <c r="AF1978" s="306"/>
      <c r="AG1978" s="306"/>
      <c r="AH1978" s="306"/>
      <c r="AI1978" s="306"/>
      <c r="AJ1978" s="306"/>
      <c r="AK1978" s="306"/>
      <c r="AL1978" s="306"/>
      <c r="AM1978" s="418"/>
      <c r="AN1978" s="418"/>
      <c r="AO1978" s="306"/>
      <c r="AP1978" s="306"/>
      <c r="AQ1978" s="418"/>
      <c r="AR1978" s="306"/>
      <c r="AS1978" s="306"/>
      <c r="AT1978" s="418"/>
      <c r="AU1978" s="306"/>
      <c r="AV1978" s="306"/>
      <c r="AW1978" s="306"/>
      <c r="AX1978" s="306"/>
      <c r="AY1978" s="306"/>
      <c r="AZ1978" s="306"/>
      <c r="BA1978" s="306"/>
      <c r="BB1978" s="306"/>
    </row>
    <row r="1979" spans="1:54" ht="15.75" customHeight="1">
      <c r="A1979" s="317"/>
      <c r="B1979" s="430"/>
      <c r="C1979" s="317"/>
      <c r="E1979" s="306"/>
      <c r="F1979" s="431"/>
      <c r="G1979" s="431"/>
      <c r="H1979" s="298"/>
      <c r="I1979" s="432"/>
      <c r="J1979" s="433"/>
      <c r="K1979" s="306"/>
      <c r="L1979" s="306"/>
      <c r="M1979" s="306"/>
      <c r="N1979" s="298"/>
      <c r="O1979" s="298"/>
      <c r="P1979" s="298"/>
      <c r="Q1979" s="306"/>
      <c r="R1979" s="1023"/>
      <c r="S1979" s="1023"/>
      <c r="T1979" s="306"/>
      <c r="U1979" s="306"/>
      <c r="V1979" s="306"/>
      <c r="W1979" s="306"/>
      <c r="X1979" s="306"/>
      <c r="Y1979" s="306"/>
      <c r="Z1979" s="306"/>
      <c r="AA1979" s="306"/>
      <c r="AB1979" s="306"/>
      <c r="AC1979" s="306"/>
      <c r="AD1979" s="306"/>
      <c r="AE1979" s="306"/>
      <c r="AF1979" s="306"/>
      <c r="AG1979" s="306"/>
      <c r="AH1979" s="306"/>
      <c r="AI1979" s="306"/>
      <c r="AJ1979" s="306"/>
      <c r="AK1979" s="306"/>
      <c r="AL1979" s="306"/>
      <c r="AM1979" s="418"/>
      <c r="AN1979" s="418"/>
      <c r="AO1979" s="306"/>
      <c r="AP1979" s="306"/>
      <c r="AQ1979" s="418"/>
      <c r="AR1979" s="306"/>
      <c r="AS1979" s="306"/>
      <c r="AT1979" s="418"/>
      <c r="AU1979" s="306"/>
      <c r="AV1979" s="306"/>
      <c r="AW1979" s="306"/>
      <c r="AX1979" s="306"/>
      <c r="AY1979" s="306"/>
      <c r="AZ1979" s="306"/>
      <c r="BA1979" s="306"/>
      <c r="BB1979" s="306"/>
    </row>
    <row r="1980" spans="1:54" ht="15.75" customHeight="1">
      <c r="A1980" s="317"/>
      <c r="B1980" s="430"/>
      <c r="C1980" s="317"/>
      <c r="E1980" s="306"/>
      <c r="F1980" s="431"/>
      <c r="G1980" s="431"/>
      <c r="H1980" s="298"/>
      <c r="I1980" s="432"/>
      <c r="J1980" s="433"/>
      <c r="K1980" s="306"/>
      <c r="L1980" s="306"/>
      <c r="M1980" s="306"/>
      <c r="N1980" s="298"/>
      <c r="O1980" s="298"/>
      <c r="P1980" s="298"/>
      <c r="Q1980" s="306"/>
      <c r="R1980" s="1023"/>
      <c r="S1980" s="1023"/>
      <c r="T1980" s="306"/>
      <c r="U1980" s="306"/>
      <c r="V1980" s="306"/>
      <c r="W1980" s="306"/>
      <c r="X1980" s="306"/>
      <c r="Y1980" s="306"/>
      <c r="Z1980" s="306"/>
      <c r="AA1980" s="306"/>
      <c r="AB1980" s="306"/>
      <c r="AC1980" s="306"/>
      <c r="AD1980" s="306"/>
      <c r="AE1980" s="306"/>
      <c r="AF1980" s="306"/>
      <c r="AG1980" s="306"/>
      <c r="AH1980" s="306"/>
      <c r="AI1980" s="306"/>
      <c r="AJ1980" s="306"/>
      <c r="AK1980" s="306"/>
      <c r="AL1980" s="306"/>
      <c r="AM1980" s="418"/>
      <c r="AN1980" s="418"/>
      <c r="AO1980" s="306"/>
      <c r="AP1980" s="306"/>
      <c r="AQ1980" s="418"/>
      <c r="AR1980" s="306"/>
      <c r="AS1980" s="306"/>
      <c r="AT1980" s="418"/>
      <c r="AU1980" s="306"/>
      <c r="AV1980" s="306"/>
      <c r="AW1980" s="306"/>
      <c r="AX1980" s="306"/>
      <c r="AY1980" s="306"/>
      <c r="AZ1980" s="306"/>
      <c r="BA1980" s="306"/>
      <c r="BB1980" s="306"/>
    </row>
    <row r="1981" spans="1:54" ht="15.75" customHeight="1">
      <c r="A1981" s="317"/>
      <c r="B1981" s="430"/>
      <c r="C1981" s="317"/>
      <c r="E1981" s="306"/>
      <c r="F1981" s="431"/>
      <c r="G1981" s="431"/>
      <c r="H1981" s="298"/>
      <c r="I1981" s="432"/>
      <c r="J1981" s="433"/>
      <c r="K1981" s="306"/>
      <c r="L1981" s="306"/>
      <c r="M1981" s="306"/>
      <c r="N1981" s="298"/>
      <c r="O1981" s="298"/>
      <c r="P1981" s="298"/>
      <c r="Q1981" s="306"/>
      <c r="R1981" s="1023"/>
      <c r="S1981" s="1023"/>
      <c r="T1981" s="306"/>
      <c r="U1981" s="306"/>
      <c r="V1981" s="306"/>
      <c r="W1981" s="306"/>
      <c r="X1981" s="306"/>
      <c r="Y1981" s="306"/>
      <c r="Z1981" s="306"/>
      <c r="AA1981" s="306"/>
      <c r="AB1981" s="306"/>
      <c r="AC1981" s="306"/>
      <c r="AD1981" s="306"/>
      <c r="AE1981" s="306"/>
      <c r="AF1981" s="306"/>
      <c r="AG1981" s="306"/>
      <c r="AH1981" s="306"/>
      <c r="AI1981" s="306"/>
      <c r="AJ1981" s="306"/>
      <c r="AK1981" s="306"/>
      <c r="AL1981" s="306"/>
      <c r="AM1981" s="418"/>
      <c r="AN1981" s="418"/>
      <c r="AO1981" s="306"/>
      <c r="AP1981" s="306"/>
      <c r="AQ1981" s="418"/>
      <c r="AR1981" s="306"/>
      <c r="AS1981" s="306"/>
      <c r="AT1981" s="418"/>
      <c r="AU1981" s="306"/>
      <c r="AV1981" s="306"/>
      <c r="AW1981" s="306"/>
      <c r="AX1981" s="306"/>
      <c r="AY1981" s="306"/>
      <c r="AZ1981" s="306"/>
      <c r="BA1981" s="306"/>
      <c r="BB1981" s="306"/>
    </row>
    <row r="1982" spans="1:54" ht="15.75" customHeight="1">
      <c r="A1982" s="317"/>
      <c r="B1982" s="430"/>
      <c r="C1982" s="317"/>
      <c r="E1982" s="306"/>
      <c r="F1982" s="431"/>
      <c r="G1982" s="431"/>
      <c r="H1982" s="298"/>
      <c r="I1982" s="432"/>
      <c r="J1982" s="433"/>
      <c r="K1982" s="306"/>
      <c r="L1982" s="306"/>
      <c r="M1982" s="306"/>
      <c r="N1982" s="298"/>
      <c r="O1982" s="298"/>
      <c r="P1982" s="298"/>
      <c r="Q1982" s="306"/>
      <c r="R1982" s="1023"/>
      <c r="S1982" s="1023"/>
      <c r="T1982" s="306"/>
      <c r="U1982" s="306"/>
      <c r="V1982" s="306"/>
      <c r="W1982" s="306"/>
      <c r="X1982" s="306"/>
      <c r="Y1982" s="306"/>
      <c r="Z1982" s="306"/>
      <c r="AA1982" s="306"/>
      <c r="AB1982" s="306"/>
      <c r="AC1982" s="306"/>
      <c r="AD1982" s="306"/>
      <c r="AE1982" s="306"/>
      <c r="AF1982" s="306"/>
      <c r="AG1982" s="306"/>
      <c r="AH1982" s="306"/>
      <c r="AI1982" s="306"/>
      <c r="AJ1982" s="306"/>
      <c r="AK1982" s="306"/>
      <c r="AL1982" s="306"/>
      <c r="AM1982" s="418"/>
      <c r="AN1982" s="418"/>
      <c r="AO1982" s="306"/>
      <c r="AP1982" s="306"/>
      <c r="AQ1982" s="418"/>
      <c r="AR1982" s="306"/>
      <c r="AS1982" s="306"/>
      <c r="AT1982" s="418"/>
      <c r="AU1982" s="306"/>
      <c r="AV1982" s="306"/>
      <c r="AW1982" s="306"/>
      <c r="AX1982" s="306"/>
      <c r="AY1982" s="306"/>
      <c r="AZ1982" s="306"/>
      <c r="BA1982" s="306"/>
      <c r="BB1982" s="306"/>
    </row>
    <row r="1983" spans="1:54" ht="15.75" customHeight="1">
      <c r="A1983" s="317"/>
      <c r="B1983" s="430"/>
      <c r="C1983" s="317"/>
      <c r="E1983" s="306"/>
      <c r="F1983" s="431"/>
      <c r="G1983" s="431"/>
      <c r="H1983" s="298"/>
      <c r="I1983" s="432"/>
      <c r="J1983" s="433"/>
      <c r="K1983" s="306"/>
      <c r="L1983" s="306"/>
      <c r="M1983" s="306"/>
      <c r="N1983" s="298"/>
      <c r="O1983" s="298"/>
      <c r="P1983" s="298"/>
      <c r="Q1983" s="306"/>
      <c r="R1983" s="1023"/>
      <c r="S1983" s="1023"/>
      <c r="T1983" s="306"/>
      <c r="U1983" s="306"/>
      <c r="V1983" s="306"/>
      <c r="W1983" s="306"/>
      <c r="X1983" s="306"/>
      <c r="Y1983" s="306"/>
      <c r="Z1983" s="306"/>
      <c r="AA1983" s="306"/>
      <c r="AB1983" s="306"/>
      <c r="AC1983" s="306"/>
      <c r="AD1983" s="306"/>
      <c r="AE1983" s="306"/>
      <c r="AF1983" s="306"/>
      <c r="AG1983" s="306"/>
      <c r="AH1983" s="306"/>
      <c r="AI1983" s="306"/>
      <c r="AJ1983" s="306"/>
      <c r="AK1983" s="306"/>
      <c r="AL1983" s="306"/>
      <c r="AM1983" s="418"/>
      <c r="AN1983" s="418"/>
      <c r="AO1983" s="306"/>
      <c r="AP1983" s="306"/>
      <c r="AQ1983" s="418"/>
      <c r="AR1983" s="306"/>
      <c r="AS1983" s="306"/>
      <c r="AT1983" s="418"/>
      <c r="AU1983" s="306"/>
      <c r="AV1983" s="306"/>
      <c r="AW1983" s="306"/>
      <c r="AX1983" s="306"/>
      <c r="AY1983" s="306"/>
      <c r="AZ1983" s="306"/>
      <c r="BA1983" s="306"/>
      <c r="BB1983" s="306"/>
    </row>
    <row r="1984" spans="1:54" ht="15.75" customHeight="1">
      <c r="A1984" s="317"/>
      <c r="B1984" s="430"/>
      <c r="C1984" s="317"/>
      <c r="E1984" s="306"/>
      <c r="F1984" s="431"/>
      <c r="G1984" s="431"/>
      <c r="H1984" s="298"/>
      <c r="I1984" s="432"/>
      <c r="J1984" s="433"/>
      <c r="K1984" s="306"/>
      <c r="L1984" s="306"/>
      <c r="M1984" s="306"/>
      <c r="N1984" s="298"/>
      <c r="O1984" s="298"/>
      <c r="P1984" s="298"/>
      <c r="Q1984" s="306"/>
      <c r="R1984" s="1023"/>
      <c r="S1984" s="1023"/>
      <c r="T1984" s="306"/>
      <c r="U1984" s="306"/>
      <c r="V1984" s="306"/>
      <c r="W1984" s="306"/>
      <c r="X1984" s="306"/>
      <c r="Y1984" s="306"/>
      <c r="Z1984" s="306"/>
      <c r="AA1984" s="306"/>
      <c r="AB1984" s="306"/>
      <c r="AC1984" s="306"/>
      <c r="AD1984" s="306"/>
      <c r="AE1984" s="306"/>
      <c r="AF1984" s="306"/>
      <c r="AG1984" s="306"/>
      <c r="AH1984" s="306"/>
      <c r="AI1984" s="306"/>
      <c r="AJ1984" s="306"/>
      <c r="AK1984" s="306"/>
      <c r="AL1984" s="306"/>
      <c r="AM1984" s="418"/>
      <c r="AN1984" s="418"/>
      <c r="AO1984" s="306"/>
      <c r="AP1984" s="306"/>
      <c r="AQ1984" s="418"/>
      <c r="AR1984" s="306"/>
      <c r="AS1984" s="306"/>
      <c r="AT1984" s="418"/>
      <c r="AU1984" s="306"/>
      <c r="AV1984" s="306"/>
      <c r="AW1984" s="306"/>
      <c r="AX1984" s="306"/>
      <c r="AY1984" s="306"/>
      <c r="AZ1984" s="306"/>
      <c r="BA1984" s="306"/>
      <c r="BB1984" s="306"/>
    </row>
    <row r="1985" spans="1:54" ht="15.75" customHeight="1">
      <c r="A1985" s="317"/>
      <c r="B1985" s="430"/>
      <c r="C1985" s="317"/>
      <c r="E1985" s="306"/>
      <c r="F1985" s="431"/>
      <c r="G1985" s="431"/>
      <c r="H1985" s="298"/>
      <c r="I1985" s="432"/>
      <c r="J1985" s="433"/>
      <c r="K1985" s="306"/>
      <c r="L1985" s="306"/>
      <c r="M1985" s="306"/>
      <c r="N1985" s="298"/>
      <c r="O1985" s="298"/>
      <c r="P1985" s="298"/>
      <c r="Q1985" s="306"/>
      <c r="R1985" s="1023"/>
      <c r="S1985" s="1023"/>
      <c r="T1985" s="306"/>
      <c r="U1985" s="306"/>
      <c r="V1985" s="306"/>
      <c r="W1985" s="306"/>
      <c r="X1985" s="306"/>
      <c r="Y1985" s="306"/>
      <c r="Z1985" s="306"/>
      <c r="AA1985" s="306"/>
      <c r="AB1985" s="306"/>
      <c r="AC1985" s="306"/>
      <c r="AD1985" s="306"/>
      <c r="AE1985" s="306"/>
      <c r="AF1985" s="306"/>
      <c r="AG1985" s="306"/>
      <c r="AH1985" s="306"/>
      <c r="AI1985" s="306"/>
      <c r="AJ1985" s="306"/>
      <c r="AK1985" s="306"/>
      <c r="AL1985" s="306"/>
      <c r="AM1985" s="418"/>
      <c r="AN1985" s="418"/>
      <c r="AO1985" s="306"/>
      <c r="AP1985" s="306"/>
      <c r="AQ1985" s="418"/>
      <c r="AR1985" s="306"/>
      <c r="AS1985" s="306"/>
      <c r="AT1985" s="418"/>
      <c r="AU1985" s="306"/>
      <c r="AV1985" s="306"/>
      <c r="AW1985" s="306"/>
      <c r="AX1985" s="306"/>
      <c r="AY1985" s="306"/>
      <c r="AZ1985" s="306"/>
      <c r="BA1985" s="306"/>
      <c r="BB1985" s="306"/>
    </row>
    <row r="1986" spans="1:54" ht="15.75" customHeight="1">
      <c r="A1986" s="317"/>
      <c r="B1986" s="430"/>
      <c r="C1986" s="317"/>
      <c r="E1986" s="306"/>
      <c r="F1986" s="431"/>
      <c r="G1986" s="431"/>
      <c r="H1986" s="298"/>
      <c r="I1986" s="432"/>
      <c r="J1986" s="433"/>
      <c r="K1986" s="306"/>
      <c r="L1986" s="306"/>
      <c r="M1986" s="306"/>
      <c r="N1986" s="298"/>
      <c r="O1986" s="298"/>
      <c r="P1986" s="298"/>
      <c r="Q1986" s="306"/>
      <c r="R1986" s="1023"/>
      <c r="S1986" s="1023"/>
      <c r="T1986" s="306"/>
      <c r="U1986" s="306"/>
      <c r="V1986" s="306"/>
      <c r="W1986" s="306"/>
      <c r="X1986" s="306"/>
      <c r="Y1986" s="306"/>
      <c r="Z1986" s="306"/>
      <c r="AA1986" s="306"/>
      <c r="AB1986" s="306"/>
      <c r="AC1986" s="306"/>
      <c r="AD1986" s="306"/>
      <c r="AE1986" s="306"/>
      <c r="AF1986" s="306"/>
      <c r="AG1986" s="306"/>
      <c r="AH1986" s="306"/>
      <c r="AI1986" s="306"/>
      <c r="AJ1986" s="306"/>
      <c r="AK1986" s="306"/>
      <c r="AL1986" s="306"/>
      <c r="AM1986" s="418"/>
      <c r="AN1986" s="418"/>
      <c r="AO1986" s="306"/>
      <c r="AP1986" s="306"/>
      <c r="AQ1986" s="418"/>
      <c r="AR1986" s="306"/>
      <c r="AS1986" s="306"/>
      <c r="AT1986" s="418"/>
      <c r="AU1986" s="306"/>
      <c r="AV1986" s="306"/>
      <c r="AW1986" s="306"/>
      <c r="AX1986" s="306"/>
      <c r="AY1986" s="306"/>
      <c r="AZ1986" s="306"/>
      <c r="BA1986" s="306"/>
      <c r="BB1986" s="306"/>
    </row>
    <row r="1987" spans="1:54" ht="15.75" customHeight="1">
      <c r="A1987" s="317"/>
      <c r="B1987" s="430"/>
      <c r="C1987" s="317"/>
      <c r="E1987" s="306"/>
      <c r="F1987" s="431"/>
      <c r="G1987" s="431"/>
      <c r="H1987" s="298"/>
      <c r="I1987" s="432"/>
      <c r="J1987" s="433"/>
      <c r="K1987" s="306"/>
      <c r="L1987" s="306"/>
      <c r="M1987" s="306"/>
      <c r="N1987" s="298"/>
      <c r="O1987" s="298"/>
      <c r="P1987" s="298"/>
      <c r="Q1987" s="306"/>
      <c r="R1987" s="1023"/>
      <c r="S1987" s="1023"/>
      <c r="T1987" s="306"/>
      <c r="U1987" s="306"/>
      <c r="V1987" s="306"/>
      <c r="W1987" s="306"/>
      <c r="X1987" s="306"/>
      <c r="Y1987" s="306"/>
      <c r="Z1987" s="306"/>
      <c r="AA1987" s="306"/>
      <c r="AB1987" s="306"/>
      <c r="AC1987" s="306"/>
      <c r="AD1987" s="306"/>
      <c r="AE1987" s="306"/>
      <c r="AF1987" s="306"/>
      <c r="AG1987" s="306"/>
      <c r="AH1987" s="306"/>
      <c r="AI1987" s="306"/>
      <c r="AJ1987" s="306"/>
      <c r="AK1987" s="306"/>
      <c r="AL1987" s="306"/>
      <c r="AM1987" s="418"/>
      <c r="AN1987" s="418"/>
      <c r="AO1987" s="306"/>
      <c r="AP1987" s="306"/>
      <c r="AQ1987" s="418"/>
      <c r="AR1987" s="306"/>
      <c r="AS1987" s="306"/>
      <c r="AT1987" s="418"/>
      <c r="AU1987" s="306"/>
      <c r="AV1987" s="306"/>
      <c r="AW1987" s="306"/>
      <c r="AX1987" s="306"/>
      <c r="AY1987" s="306"/>
      <c r="AZ1987" s="306"/>
      <c r="BA1987" s="306"/>
      <c r="BB1987" s="306"/>
    </row>
    <row r="1988" spans="1:54" ht="15.75" customHeight="1">
      <c r="A1988" s="317"/>
      <c r="B1988" s="430"/>
      <c r="C1988" s="317"/>
      <c r="E1988" s="306"/>
      <c r="F1988" s="431"/>
      <c r="G1988" s="431"/>
      <c r="H1988" s="298"/>
      <c r="I1988" s="432"/>
      <c r="J1988" s="433"/>
      <c r="K1988" s="306"/>
      <c r="L1988" s="306"/>
      <c r="M1988" s="306"/>
      <c r="N1988" s="298"/>
      <c r="O1988" s="298"/>
      <c r="P1988" s="298"/>
      <c r="Q1988" s="306"/>
      <c r="R1988" s="1023"/>
      <c r="S1988" s="1023"/>
      <c r="T1988" s="306"/>
      <c r="U1988" s="306"/>
      <c r="V1988" s="306"/>
      <c r="W1988" s="306"/>
      <c r="X1988" s="306"/>
      <c r="Y1988" s="306"/>
      <c r="Z1988" s="306"/>
      <c r="AA1988" s="306"/>
      <c r="AB1988" s="306"/>
      <c r="AC1988" s="306"/>
      <c r="AD1988" s="306"/>
      <c r="AE1988" s="306"/>
      <c r="AF1988" s="306"/>
      <c r="AG1988" s="306"/>
      <c r="AH1988" s="306"/>
      <c r="AI1988" s="306"/>
      <c r="AJ1988" s="306"/>
      <c r="AK1988" s="306"/>
      <c r="AL1988" s="306"/>
      <c r="AM1988" s="418"/>
      <c r="AN1988" s="418"/>
      <c r="AO1988" s="306"/>
      <c r="AP1988" s="306"/>
      <c r="AQ1988" s="418"/>
      <c r="AR1988" s="306"/>
      <c r="AS1988" s="306"/>
      <c r="AT1988" s="418"/>
      <c r="AU1988" s="306"/>
      <c r="AV1988" s="306"/>
      <c r="AW1988" s="306"/>
      <c r="AX1988" s="306"/>
      <c r="AY1988" s="306"/>
      <c r="AZ1988" s="306"/>
      <c r="BA1988" s="306"/>
      <c r="BB1988" s="306"/>
    </row>
    <row r="1989" spans="1:54" ht="15.75" customHeight="1">
      <c r="A1989" s="317"/>
      <c r="B1989" s="430"/>
      <c r="C1989" s="317"/>
      <c r="E1989" s="306"/>
      <c r="F1989" s="431"/>
      <c r="G1989" s="431"/>
      <c r="H1989" s="298"/>
      <c r="I1989" s="432"/>
      <c r="J1989" s="433"/>
      <c r="K1989" s="306"/>
      <c r="L1989" s="306"/>
      <c r="M1989" s="306"/>
      <c r="N1989" s="298"/>
      <c r="O1989" s="298"/>
      <c r="P1989" s="298"/>
      <c r="Q1989" s="306"/>
      <c r="R1989" s="1023"/>
      <c r="S1989" s="1023"/>
      <c r="T1989" s="306"/>
      <c r="U1989" s="306"/>
      <c r="V1989" s="306"/>
      <c r="W1989" s="306"/>
      <c r="X1989" s="306"/>
      <c r="Y1989" s="306"/>
      <c r="Z1989" s="306"/>
      <c r="AA1989" s="306"/>
      <c r="AB1989" s="306"/>
      <c r="AC1989" s="306"/>
      <c r="AD1989" s="306"/>
      <c r="AE1989" s="306"/>
      <c r="AF1989" s="306"/>
      <c r="AG1989" s="306"/>
      <c r="AH1989" s="306"/>
      <c r="AI1989" s="306"/>
      <c r="AJ1989" s="306"/>
      <c r="AK1989" s="306"/>
      <c r="AL1989" s="306"/>
      <c r="AM1989" s="418"/>
      <c r="AN1989" s="418"/>
      <c r="AO1989" s="306"/>
      <c r="AP1989" s="306"/>
      <c r="AQ1989" s="418"/>
      <c r="AR1989" s="306"/>
      <c r="AS1989" s="306"/>
      <c r="AT1989" s="418"/>
      <c r="AU1989" s="306"/>
      <c r="AV1989" s="306"/>
      <c r="AW1989" s="306"/>
      <c r="AX1989" s="306"/>
      <c r="AY1989" s="306"/>
      <c r="AZ1989" s="306"/>
      <c r="BA1989" s="306"/>
      <c r="BB1989" s="306"/>
    </row>
    <row r="1990" spans="1:54" ht="15.75" customHeight="1">
      <c r="A1990" s="317"/>
      <c r="B1990" s="430"/>
      <c r="C1990" s="317"/>
      <c r="E1990" s="306"/>
      <c r="F1990" s="431"/>
      <c r="G1990" s="431"/>
      <c r="H1990" s="298"/>
      <c r="I1990" s="432"/>
      <c r="J1990" s="433"/>
      <c r="K1990" s="306"/>
      <c r="L1990" s="306"/>
      <c r="M1990" s="306"/>
      <c r="N1990" s="298"/>
      <c r="O1990" s="298"/>
      <c r="P1990" s="298"/>
      <c r="Q1990" s="306"/>
      <c r="R1990" s="1023"/>
      <c r="S1990" s="1023"/>
      <c r="T1990" s="306"/>
      <c r="U1990" s="306"/>
      <c r="V1990" s="306"/>
      <c r="W1990" s="306"/>
      <c r="X1990" s="306"/>
      <c r="Y1990" s="306"/>
      <c r="Z1990" s="306"/>
      <c r="AA1990" s="306"/>
      <c r="AB1990" s="306"/>
      <c r="AC1990" s="306"/>
      <c r="AD1990" s="306"/>
      <c r="AE1990" s="306"/>
      <c r="AF1990" s="306"/>
      <c r="AG1990" s="306"/>
      <c r="AH1990" s="306"/>
      <c r="AI1990" s="306"/>
      <c r="AJ1990" s="306"/>
      <c r="AK1990" s="306"/>
      <c r="AL1990" s="306"/>
      <c r="AM1990" s="418"/>
      <c r="AN1990" s="418"/>
      <c r="AO1990" s="306"/>
      <c r="AP1990" s="306"/>
      <c r="AQ1990" s="418"/>
      <c r="AR1990" s="306"/>
      <c r="AS1990" s="306"/>
      <c r="AT1990" s="418"/>
      <c r="AU1990" s="306"/>
      <c r="AV1990" s="306"/>
      <c r="AW1990" s="306"/>
      <c r="AX1990" s="306"/>
      <c r="AY1990" s="306"/>
      <c r="AZ1990" s="306"/>
      <c r="BA1990" s="306"/>
      <c r="BB1990" s="306"/>
    </row>
    <row r="1991" spans="1:54" ht="15.75" customHeight="1">
      <c r="A1991" s="317"/>
      <c r="B1991" s="430"/>
      <c r="C1991" s="317"/>
      <c r="E1991" s="306"/>
      <c r="F1991" s="431"/>
      <c r="G1991" s="431"/>
      <c r="H1991" s="298"/>
      <c r="I1991" s="432"/>
      <c r="J1991" s="433"/>
      <c r="K1991" s="306"/>
      <c r="L1991" s="306"/>
      <c r="M1991" s="306"/>
      <c r="N1991" s="298"/>
      <c r="O1991" s="298"/>
      <c r="P1991" s="298"/>
      <c r="Q1991" s="306"/>
      <c r="R1991" s="1023"/>
      <c r="S1991" s="1023"/>
      <c r="T1991" s="306"/>
      <c r="U1991" s="306"/>
      <c r="V1991" s="306"/>
      <c r="W1991" s="306"/>
      <c r="X1991" s="306"/>
      <c r="Y1991" s="306"/>
      <c r="Z1991" s="306"/>
      <c r="AA1991" s="306"/>
      <c r="AB1991" s="306"/>
      <c r="AC1991" s="306"/>
      <c r="AD1991" s="306"/>
      <c r="AE1991" s="306"/>
      <c r="AF1991" s="306"/>
      <c r="AG1991" s="306"/>
      <c r="AH1991" s="306"/>
      <c r="AI1991" s="306"/>
      <c r="AJ1991" s="306"/>
      <c r="AK1991" s="306"/>
      <c r="AL1991" s="306"/>
      <c r="AM1991" s="418"/>
      <c r="AN1991" s="418"/>
      <c r="AO1991" s="306"/>
      <c r="AP1991" s="306"/>
      <c r="AQ1991" s="418"/>
      <c r="AR1991" s="306"/>
      <c r="AS1991" s="306"/>
      <c r="AT1991" s="418"/>
      <c r="AU1991" s="306"/>
      <c r="AV1991" s="306"/>
      <c r="AW1991" s="306"/>
      <c r="AX1991" s="306"/>
      <c r="AY1991" s="306"/>
      <c r="AZ1991" s="306"/>
      <c r="BA1991" s="306"/>
      <c r="BB1991" s="306"/>
    </row>
    <row r="1992" spans="1:54" ht="15.75" customHeight="1">
      <c r="A1992" s="317"/>
      <c r="B1992" s="430"/>
      <c r="C1992" s="317"/>
      <c r="E1992" s="306"/>
      <c r="F1992" s="431"/>
      <c r="G1992" s="431"/>
      <c r="H1992" s="298"/>
      <c r="I1992" s="432"/>
      <c r="J1992" s="433"/>
      <c r="K1992" s="306"/>
      <c r="L1992" s="306"/>
      <c r="M1992" s="306"/>
      <c r="N1992" s="298"/>
      <c r="O1992" s="298"/>
      <c r="P1992" s="298"/>
      <c r="Q1992" s="306"/>
      <c r="R1992" s="1023"/>
      <c r="S1992" s="1023"/>
      <c r="T1992" s="306"/>
      <c r="U1992" s="306"/>
      <c r="V1992" s="306"/>
      <c r="W1992" s="306"/>
      <c r="X1992" s="306"/>
      <c r="Y1992" s="306"/>
      <c r="Z1992" s="306"/>
      <c r="AA1992" s="306"/>
      <c r="AB1992" s="306"/>
      <c r="AC1992" s="306"/>
      <c r="AD1992" s="306"/>
      <c r="AE1992" s="306"/>
      <c r="AF1992" s="306"/>
      <c r="AG1992" s="306"/>
      <c r="AH1992" s="306"/>
      <c r="AI1992" s="306"/>
      <c r="AJ1992" s="306"/>
      <c r="AK1992" s="306"/>
      <c r="AL1992" s="306"/>
      <c r="AM1992" s="418"/>
      <c r="AN1992" s="418"/>
      <c r="AO1992" s="306"/>
      <c r="AP1992" s="306"/>
      <c r="AQ1992" s="418"/>
      <c r="AR1992" s="306"/>
      <c r="AS1992" s="306"/>
      <c r="AT1992" s="418"/>
      <c r="AU1992" s="306"/>
      <c r="AV1992" s="306"/>
      <c r="AW1992" s="306"/>
      <c r="AX1992" s="306"/>
      <c r="AY1992" s="306"/>
      <c r="AZ1992" s="306"/>
      <c r="BA1992" s="306"/>
      <c r="BB1992" s="306"/>
    </row>
    <row r="1993" spans="1:54" ht="15.75" customHeight="1">
      <c r="A1993" s="317"/>
      <c r="B1993" s="430"/>
      <c r="C1993" s="317"/>
      <c r="E1993" s="306"/>
      <c r="F1993" s="431"/>
      <c r="G1993" s="431"/>
      <c r="H1993" s="298"/>
      <c r="I1993" s="432"/>
      <c r="J1993" s="433"/>
      <c r="K1993" s="306"/>
      <c r="L1993" s="306"/>
      <c r="M1993" s="306"/>
      <c r="N1993" s="298"/>
      <c r="O1993" s="298"/>
      <c r="P1993" s="298"/>
      <c r="Q1993" s="306"/>
      <c r="R1993" s="1023"/>
      <c r="S1993" s="1023"/>
      <c r="T1993" s="306"/>
      <c r="U1993" s="306"/>
      <c r="V1993" s="306"/>
      <c r="W1993" s="306"/>
      <c r="X1993" s="306"/>
      <c r="Y1993" s="306"/>
      <c r="Z1993" s="306"/>
      <c r="AA1993" s="306"/>
      <c r="AB1993" s="306"/>
      <c r="AC1993" s="306"/>
      <c r="AD1993" s="306"/>
      <c r="AE1993" s="306"/>
      <c r="AF1993" s="306"/>
      <c r="AG1993" s="306"/>
      <c r="AH1993" s="306"/>
      <c r="AI1993" s="306"/>
      <c r="AJ1993" s="306"/>
      <c r="AK1993" s="306"/>
      <c r="AL1993" s="306"/>
      <c r="AM1993" s="418"/>
      <c r="AN1993" s="418"/>
      <c r="AO1993" s="306"/>
      <c r="AP1993" s="306"/>
      <c r="AQ1993" s="418"/>
      <c r="AR1993" s="306"/>
      <c r="AS1993" s="306"/>
      <c r="AT1993" s="418"/>
      <c r="AU1993" s="306"/>
      <c r="AV1993" s="306"/>
      <c r="AW1993" s="306"/>
      <c r="AX1993" s="306"/>
      <c r="AY1993" s="306"/>
      <c r="AZ1993" s="306"/>
      <c r="BA1993" s="306"/>
      <c r="BB1993" s="306"/>
    </row>
    <row r="1994" spans="1:54" ht="15.75" customHeight="1">
      <c r="A1994" s="317"/>
      <c r="B1994" s="430"/>
      <c r="C1994" s="317"/>
      <c r="E1994" s="306"/>
      <c r="F1994" s="431"/>
      <c r="G1994" s="431"/>
      <c r="H1994" s="298"/>
      <c r="I1994" s="432"/>
      <c r="J1994" s="433"/>
      <c r="K1994" s="306"/>
      <c r="L1994" s="306"/>
      <c r="M1994" s="306"/>
      <c r="N1994" s="298"/>
      <c r="O1994" s="298"/>
      <c r="P1994" s="298"/>
      <c r="Q1994" s="306"/>
      <c r="R1994" s="1023"/>
      <c r="S1994" s="1023"/>
      <c r="T1994" s="306"/>
      <c r="U1994" s="306"/>
      <c r="V1994" s="306"/>
      <c r="W1994" s="306"/>
      <c r="X1994" s="306"/>
      <c r="Y1994" s="306"/>
      <c r="Z1994" s="306"/>
      <c r="AA1994" s="306"/>
      <c r="AB1994" s="306"/>
      <c r="AC1994" s="306"/>
      <c r="AD1994" s="306"/>
      <c r="AE1994" s="306"/>
      <c r="AF1994" s="306"/>
      <c r="AG1994" s="306"/>
      <c r="AH1994" s="306"/>
      <c r="AI1994" s="306"/>
      <c r="AJ1994" s="306"/>
      <c r="AK1994" s="306"/>
      <c r="AL1994" s="306"/>
      <c r="AM1994" s="418"/>
      <c r="AN1994" s="418"/>
      <c r="AO1994" s="306"/>
      <c r="AP1994" s="306"/>
      <c r="AQ1994" s="418"/>
      <c r="AR1994" s="306"/>
      <c r="AS1994" s="306"/>
      <c r="AT1994" s="418"/>
      <c r="AU1994" s="306"/>
      <c r="AV1994" s="306"/>
      <c r="AW1994" s="306"/>
      <c r="AX1994" s="306"/>
      <c r="AY1994" s="306"/>
      <c r="AZ1994" s="306"/>
      <c r="BA1994" s="306"/>
      <c r="BB1994" s="306"/>
    </row>
    <row r="1995" spans="1:54" ht="15.75" customHeight="1">
      <c r="A1995" s="317"/>
      <c r="B1995" s="430"/>
      <c r="C1995" s="317"/>
      <c r="E1995" s="306"/>
      <c r="F1995" s="431"/>
      <c r="G1995" s="431"/>
      <c r="H1995" s="298"/>
      <c r="I1995" s="432"/>
      <c r="J1995" s="433"/>
      <c r="K1995" s="306"/>
      <c r="L1995" s="306"/>
      <c r="M1995" s="306"/>
      <c r="N1995" s="298"/>
      <c r="O1995" s="298"/>
      <c r="P1995" s="298"/>
      <c r="Q1995" s="306"/>
      <c r="R1995" s="1023"/>
      <c r="S1995" s="1023"/>
      <c r="T1995" s="306"/>
      <c r="U1995" s="306"/>
      <c r="V1995" s="306"/>
      <c r="W1995" s="306"/>
      <c r="X1995" s="306"/>
      <c r="Y1995" s="306"/>
      <c r="Z1995" s="306"/>
      <c r="AA1995" s="306"/>
      <c r="AB1995" s="306"/>
      <c r="AC1995" s="306"/>
      <c r="AD1995" s="306"/>
      <c r="AE1995" s="306"/>
      <c r="AF1995" s="306"/>
      <c r="AG1995" s="306"/>
      <c r="AH1995" s="306"/>
      <c r="AI1995" s="306"/>
      <c r="AJ1995" s="306"/>
      <c r="AK1995" s="306"/>
      <c r="AL1995" s="306"/>
      <c r="AM1995" s="418"/>
      <c r="AN1995" s="418"/>
      <c r="AO1995" s="306"/>
      <c r="AP1995" s="306"/>
      <c r="AQ1995" s="418"/>
      <c r="AR1995" s="306"/>
      <c r="AS1995" s="306"/>
      <c r="AT1995" s="418"/>
      <c r="AU1995" s="306"/>
      <c r="AV1995" s="306"/>
      <c r="AW1995" s="306"/>
      <c r="AX1995" s="306"/>
      <c r="AY1995" s="306"/>
      <c r="AZ1995" s="306"/>
      <c r="BA1995" s="306"/>
      <c r="BB1995" s="306"/>
    </row>
    <row r="1996" spans="1:54" ht="15.75" customHeight="1">
      <c r="A1996" s="317"/>
      <c r="B1996" s="430"/>
      <c r="C1996" s="317"/>
      <c r="E1996" s="306"/>
      <c r="F1996" s="431"/>
      <c r="G1996" s="431"/>
      <c r="H1996" s="298"/>
      <c r="I1996" s="432"/>
      <c r="J1996" s="433"/>
      <c r="K1996" s="306"/>
      <c r="L1996" s="306"/>
      <c r="M1996" s="306"/>
      <c r="N1996" s="298"/>
      <c r="O1996" s="298"/>
      <c r="P1996" s="298"/>
      <c r="Q1996" s="306"/>
      <c r="R1996" s="1023"/>
      <c r="S1996" s="1023"/>
      <c r="T1996" s="306"/>
      <c r="U1996" s="306"/>
      <c r="V1996" s="306"/>
      <c r="W1996" s="306"/>
      <c r="X1996" s="306"/>
      <c r="Y1996" s="306"/>
      <c r="Z1996" s="306"/>
      <c r="AA1996" s="306"/>
      <c r="AB1996" s="306"/>
      <c r="AC1996" s="306"/>
      <c r="AD1996" s="306"/>
      <c r="AE1996" s="306"/>
      <c r="AF1996" s="306"/>
      <c r="AG1996" s="306"/>
      <c r="AH1996" s="306"/>
      <c r="AI1996" s="306"/>
      <c r="AJ1996" s="306"/>
      <c r="AK1996" s="306"/>
      <c r="AL1996" s="306"/>
      <c r="AM1996" s="418"/>
      <c r="AN1996" s="418"/>
      <c r="AO1996" s="306"/>
      <c r="AP1996" s="306"/>
      <c r="AQ1996" s="418"/>
      <c r="AR1996" s="306"/>
      <c r="AS1996" s="306"/>
      <c r="AT1996" s="418"/>
      <c r="AU1996" s="306"/>
      <c r="AV1996" s="306"/>
      <c r="AW1996" s="306"/>
      <c r="AX1996" s="306"/>
      <c r="AY1996" s="306"/>
      <c r="AZ1996" s="306"/>
      <c r="BA1996" s="306"/>
      <c r="BB1996" s="306"/>
    </row>
    <row r="1997" spans="1:54" ht="15.75" customHeight="1">
      <c r="A1997" s="317"/>
      <c r="B1997" s="430"/>
      <c r="C1997" s="317"/>
      <c r="E1997" s="306"/>
      <c r="F1997" s="431"/>
      <c r="G1997" s="431"/>
      <c r="H1997" s="298"/>
      <c r="I1997" s="432"/>
      <c r="J1997" s="433"/>
      <c r="K1997" s="306"/>
      <c r="L1997" s="306"/>
      <c r="M1997" s="306"/>
      <c r="N1997" s="298"/>
      <c r="O1997" s="298"/>
      <c r="P1997" s="298"/>
      <c r="Q1997" s="306"/>
      <c r="R1997" s="1023"/>
      <c r="S1997" s="1023"/>
      <c r="T1997" s="306"/>
      <c r="U1997" s="306"/>
      <c r="V1997" s="306"/>
      <c r="W1997" s="306"/>
      <c r="X1997" s="306"/>
      <c r="Y1997" s="306"/>
      <c r="Z1997" s="306"/>
      <c r="AA1997" s="306"/>
      <c r="AB1997" s="306"/>
      <c r="AC1997" s="306"/>
      <c r="AD1997" s="306"/>
      <c r="AE1997" s="306"/>
      <c r="AF1997" s="306"/>
      <c r="AG1997" s="306"/>
      <c r="AH1997" s="306"/>
      <c r="AI1997" s="306"/>
      <c r="AJ1997" s="306"/>
      <c r="AK1997" s="306"/>
      <c r="AL1997" s="306"/>
      <c r="AM1997" s="418"/>
      <c r="AN1997" s="418"/>
      <c r="AO1997" s="306"/>
      <c r="AP1997" s="306"/>
      <c r="AQ1997" s="418"/>
      <c r="AR1997" s="306"/>
      <c r="AS1997" s="306"/>
      <c r="AT1997" s="418"/>
      <c r="AU1997" s="306"/>
      <c r="AV1997" s="306"/>
      <c r="AW1997" s="306"/>
      <c r="AX1997" s="306"/>
      <c r="AY1997" s="306"/>
      <c r="AZ1997" s="306"/>
      <c r="BA1997" s="306"/>
      <c r="BB1997" s="306"/>
    </row>
    <row r="1998" spans="1:54" ht="15.75" customHeight="1">
      <c r="A1998" s="317"/>
      <c r="B1998" s="430"/>
      <c r="C1998" s="317"/>
      <c r="E1998" s="306"/>
      <c r="F1998" s="431"/>
      <c r="G1998" s="431"/>
      <c r="H1998" s="298"/>
      <c r="I1998" s="432"/>
      <c r="J1998" s="433"/>
      <c r="K1998" s="306"/>
      <c r="L1998" s="306"/>
      <c r="M1998" s="306"/>
      <c r="N1998" s="298"/>
      <c r="O1998" s="298"/>
      <c r="P1998" s="298"/>
      <c r="Q1998" s="306"/>
      <c r="R1998" s="1023"/>
      <c r="S1998" s="1023"/>
      <c r="T1998" s="306"/>
      <c r="U1998" s="306"/>
      <c r="V1998" s="306"/>
      <c r="W1998" s="306"/>
      <c r="X1998" s="306"/>
      <c r="Y1998" s="306"/>
      <c r="Z1998" s="306"/>
      <c r="AA1998" s="306"/>
      <c r="AB1998" s="306"/>
      <c r="AC1998" s="306"/>
      <c r="AD1998" s="306"/>
      <c r="AE1998" s="306"/>
      <c r="AF1998" s="306"/>
      <c r="AG1998" s="306"/>
      <c r="AH1998" s="306"/>
      <c r="AI1998" s="306"/>
      <c r="AJ1998" s="306"/>
      <c r="AK1998" s="306"/>
      <c r="AL1998" s="306"/>
      <c r="AM1998" s="418"/>
      <c r="AN1998" s="418"/>
      <c r="AO1998" s="306"/>
      <c r="AP1998" s="306"/>
      <c r="AQ1998" s="418"/>
      <c r="AR1998" s="306"/>
      <c r="AS1998" s="306"/>
      <c r="AT1998" s="418"/>
      <c r="AU1998" s="306"/>
      <c r="AV1998" s="306"/>
      <c r="AW1998" s="306"/>
      <c r="AX1998" s="306"/>
      <c r="AY1998" s="306"/>
      <c r="AZ1998" s="306"/>
      <c r="BA1998" s="306"/>
      <c r="BB1998" s="306"/>
    </row>
    <row r="1999" spans="1:54" ht="15.75" customHeight="1">
      <c r="A1999" s="317"/>
      <c r="B1999" s="430"/>
      <c r="C1999" s="317"/>
      <c r="E1999" s="306"/>
      <c r="F1999" s="431"/>
      <c r="G1999" s="431"/>
      <c r="H1999" s="298"/>
      <c r="I1999" s="432"/>
      <c r="J1999" s="433"/>
      <c r="K1999" s="306"/>
      <c r="L1999" s="306"/>
      <c r="M1999" s="306"/>
      <c r="N1999" s="298"/>
      <c r="O1999" s="298"/>
      <c r="P1999" s="298"/>
      <c r="Q1999" s="306"/>
      <c r="R1999" s="1023"/>
      <c r="S1999" s="1023"/>
      <c r="T1999" s="306"/>
      <c r="U1999" s="306"/>
      <c r="V1999" s="306"/>
      <c r="W1999" s="306"/>
      <c r="X1999" s="306"/>
      <c r="Y1999" s="306"/>
      <c r="Z1999" s="306"/>
      <c r="AA1999" s="306"/>
      <c r="AB1999" s="306"/>
      <c r="AC1999" s="306"/>
      <c r="AD1999" s="306"/>
      <c r="AE1999" s="306"/>
      <c r="AF1999" s="306"/>
      <c r="AG1999" s="306"/>
      <c r="AH1999" s="306"/>
      <c r="AI1999" s="306"/>
      <c r="AJ1999" s="306"/>
      <c r="AK1999" s="306"/>
      <c r="AL1999" s="306"/>
      <c r="AM1999" s="418"/>
      <c r="AN1999" s="418"/>
      <c r="AO1999" s="306"/>
      <c r="AP1999" s="306"/>
      <c r="AQ1999" s="418"/>
      <c r="AR1999" s="306"/>
      <c r="AS1999" s="306"/>
      <c r="AT1999" s="418"/>
      <c r="AU1999" s="306"/>
      <c r="AV1999" s="306"/>
      <c r="AW1999" s="306"/>
      <c r="AX1999" s="306"/>
      <c r="AY1999" s="306"/>
      <c r="AZ1999" s="306"/>
      <c r="BA1999" s="306"/>
      <c r="BB1999" s="306"/>
    </row>
    <row r="2000" spans="1:54" ht="15.75" customHeight="1">
      <c r="A2000" s="317"/>
      <c r="B2000" s="430"/>
      <c r="C2000" s="317"/>
      <c r="E2000" s="306"/>
      <c r="F2000" s="431"/>
      <c r="G2000" s="431"/>
      <c r="H2000" s="298"/>
      <c r="I2000" s="432"/>
      <c r="J2000" s="433"/>
      <c r="K2000" s="306"/>
      <c r="L2000" s="306"/>
      <c r="M2000" s="306"/>
      <c r="N2000" s="298"/>
      <c r="O2000" s="298"/>
      <c r="P2000" s="298"/>
      <c r="Q2000" s="306"/>
      <c r="R2000" s="1023"/>
      <c r="S2000" s="1023"/>
      <c r="T2000" s="306"/>
      <c r="U2000" s="306"/>
      <c r="V2000" s="306"/>
      <c r="W2000" s="306"/>
      <c r="X2000" s="306"/>
      <c r="Y2000" s="306"/>
      <c r="Z2000" s="306"/>
      <c r="AA2000" s="306"/>
      <c r="AB2000" s="306"/>
      <c r="AC2000" s="306"/>
      <c r="AD2000" s="306"/>
      <c r="AE2000" s="306"/>
      <c r="AF2000" s="306"/>
      <c r="AG2000" s="306"/>
      <c r="AH2000" s="306"/>
      <c r="AI2000" s="306"/>
      <c r="AJ2000" s="306"/>
      <c r="AK2000" s="306"/>
      <c r="AL2000" s="306"/>
      <c r="AM2000" s="418"/>
      <c r="AN2000" s="418"/>
      <c r="AO2000" s="306"/>
      <c r="AP2000" s="306"/>
      <c r="AQ2000" s="418"/>
      <c r="AR2000" s="306"/>
      <c r="AS2000" s="306"/>
      <c r="AT2000" s="418"/>
      <c r="AU2000" s="306"/>
      <c r="AV2000" s="306"/>
      <c r="AW2000" s="306"/>
      <c r="AX2000" s="306"/>
      <c r="AY2000" s="306"/>
      <c r="AZ2000" s="306"/>
      <c r="BA2000" s="306"/>
      <c r="BB2000" s="306"/>
    </row>
    <row r="2001" spans="1:54" ht="15.75" customHeight="1">
      <c r="A2001" s="317"/>
      <c r="B2001" s="430"/>
      <c r="C2001" s="317"/>
      <c r="E2001" s="306"/>
      <c r="F2001" s="431"/>
      <c r="G2001" s="431"/>
      <c r="H2001" s="298"/>
      <c r="I2001" s="432"/>
      <c r="J2001" s="433"/>
      <c r="K2001" s="306"/>
      <c r="L2001" s="306"/>
      <c r="M2001" s="306"/>
      <c r="N2001" s="298"/>
      <c r="O2001" s="298"/>
      <c r="P2001" s="298"/>
      <c r="Q2001" s="306"/>
      <c r="R2001" s="1023"/>
      <c r="S2001" s="1023"/>
      <c r="T2001" s="306"/>
      <c r="U2001" s="306"/>
      <c r="V2001" s="306"/>
      <c r="W2001" s="306"/>
      <c r="X2001" s="306"/>
      <c r="Y2001" s="306"/>
      <c r="Z2001" s="306"/>
      <c r="AA2001" s="306"/>
      <c r="AB2001" s="306"/>
      <c r="AC2001" s="306"/>
      <c r="AD2001" s="306"/>
      <c r="AE2001" s="306"/>
      <c r="AF2001" s="306"/>
      <c r="AG2001" s="306"/>
      <c r="AH2001" s="306"/>
      <c r="AI2001" s="306"/>
      <c r="AJ2001" s="306"/>
      <c r="AK2001" s="306"/>
      <c r="AL2001" s="306"/>
      <c r="AM2001" s="418"/>
      <c r="AN2001" s="418"/>
      <c r="AO2001" s="306"/>
      <c r="AP2001" s="306"/>
      <c r="AQ2001" s="418"/>
      <c r="AR2001" s="306"/>
      <c r="AS2001" s="306"/>
      <c r="AT2001" s="418"/>
      <c r="AU2001" s="306"/>
      <c r="AV2001" s="306"/>
      <c r="AW2001" s="306"/>
      <c r="AX2001" s="306"/>
      <c r="AY2001" s="306"/>
      <c r="AZ2001" s="306"/>
      <c r="BA2001" s="306"/>
      <c r="BB2001" s="306"/>
    </row>
    <row r="2002" spans="1:54" ht="15.75" customHeight="1">
      <c r="A2002" s="317"/>
      <c r="B2002" s="430"/>
      <c r="C2002" s="317"/>
      <c r="E2002" s="306"/>
      <c r="F2002" s="431"/>
      <c r="G2002" s="431"/>
      <c r="H2002" s="298"/>
      <c r="I2002" s="432"/>
      <c r="J2002" s="433"/>
      <c r="K2002" s="306"/>
      <c r="L2002" s="306"/>
      <c r="M2002" s="306"/>
      <c r="N2002" s="298"/>
      <c r="O2002" s="298"/>
      <c r="P2002" s="298"/>
      <c r="Q2002" s="306"/>
      <c r="R2002" s="1023"/>
      <c r="S2002" s="1023"/>
      <c r="T2002" s="306"/>
      <c r="U2002" s="306"/>
      <c r="V2002" s="306"/>
      <c r="W2002" s="306"/>
      <c r="X2002" s="306"/>
      <c r="Y2002" s="306"/>
      <c r="Z2002" s="306"/>
      <c r="AA2002" s="306"/>
      <c r="AB2002" s="306"/>
      <c r="AC2002" s="306"/>
      <c r="AD2002" s="306"/>
      <c r="AE2002" s="306"/>
      <c r="AF2002" s="306"/>
      <c r="AG2002" s="306"/>
      <c r="AH2002" s="306"/>
      <c r="AI2002" s="306"/>
      <c r="AJ2002" s="306"/>
      <c r="AK2002" s="306"/>
      <c r="AL2002" s="306"/>
      <c r="AM2002" s="418"/>
      <c r="AN2002" s="418"/>
      <c r="AO2002" s="306"/>
      <c r="AP2002" s="306"/>
      <c r="AQ2002" s="418"/>
      <c r="AR2002" s="306"/>
      <c r="AS2002" s="306"/>
      <c r="AT2002" s="418"/>
      <c r="AU2002" s="306"/>
      <c r="AV2002" s="306"/>
      <c r="AW2002" s="306"/>
      <c r="AX2002" s="306"/>
      <c r="AY2002" s="306"/>
      <c r="AZ2002" s="306"/>
      <c r="BA2002" s="306"/>
      <c r="BB2002" s="306"/>
    </row>
    <row r="2003" spans="1:54" ht="15.75" customHeight="1">
      <c r="A2003" s="317"/>
      <c r="B2003" s="430"/>
      <c r="C2003" s="317"/>
      <c r="E2003" s="306"/>
      <c r="F2003" s="431"/>
      <c r="G2003" s="431"/>
      <c r="H2003" s="298"/>
      <c r="I2003" s="432"/>
      <c r="J2003" s="433"/>
      <c r="K2003" s="306"/>
      <c r="L2003" s="306"/>
      <c r="M2003" s="306"/>
      <c r="N2003" s="298"/>
      <c r="O2003" s="298"/>
      <c r="P2003" s="298"/>
      <c r="Q2003" s="306"/>
      <c r="R2003" s="1023"/>
      <c r="S2003" s="1023"/>
      <c r="T2003" s="306"/>
      <c r="U2003" s="306"/>
      <c r="V2003" s="306"/>
      <c r="W2003" s="306"/>
      <c r="X2003" s="306"/>
      <c r="Y2003" s="306"/>
      <c r="Z2003" s="306"/>
      <c r="AA2003" s="306"/>
      <c r="AB2003" s="306"/>
      <c r="AC2003" s="306"/>
      <c r="AD2003" s="306"/>
      <c r="AE2003" s="306"/>
      <c r="AF2003" s="306"/>
      <c r="AG2003" s="306"/>
      <c r="AH2003" s="306"/>
      <c r="AI2003" s="306"/>
      <c r="AJ2003" s="306"/>
      <c r="AK2003" s="306"/>
      <c r="AL2003" s="306"/>
      <c r="AM2003" s="418"/>
      <c r="AN2003" s="418"/>
      <c r="AO2003" s="306"/>
      <c r="AP2003" s="306"/>
      <c r="AQ2003" s="418"/>
      <c r="AR2003" s="306"/>
      <c r="AS2003" s="306"/>
      <c r="AT2003" s="418"/>
      <c r="AU2003" s="306"/>
      <c r="AV2003" s="306"/>
      <c r="AW2003" s="306"/>
      <c r="AX2003" s="306"/>
      <c r="AY2003" s="306"/>
      <c r="AZ2003" s="306"/>
      <c r="BA2003" s="306"/>
      <c r="BB2003" s="306"/>
    </row>
    <row r="2004" spans="1:54" ht="15.75" customHeight="1">
      <c r="A2004" s="317"/>
      <c r="B2004" s="430"/>
      <c r="C2004" s="317"/>
      <c r="E2004" s="306"/>
      <c r="F2004" s="431"/>
      <c r="G2004" s="431"/>
      <c r="H2004" s="298"/>
      <c r="I2004" s="432"/>
      <c r="J2004" s="433"/>
      <c r="K2004" s="306"/>
      <c r="L2004" s="306"/>
      <c r="M2004" s="306"/>
      <c r="N2004" s="298"/>
      <c r="O2004" s="298"/>
      <c r="P2004" s="298"/>
      <c r="Q2004" s="306"/>
      <c r="R2004" s="1023"/>
      <c r="S2004" s="1023"/>
      <c r="T2004" s="306"/>
      <c r="U2004" s="306"/>
      <c r="V2004" s="306"/>
      <c r="W2004" s="306"/>
      <c r="X2004" s="306"/>
      <c r="Y2004" s="306"/>
      <c r="Z2004" s="306"/>
      <c r="AA2004" s="306"/>
      <c r="AB2004" s="306"/>
      <c r="AC2004" s="306"/>
      <c r="AD2004" s="306"/>
      <c r="AE2004" s="306"/>
      <c r="AF2004" s="306"/>
      <c r="AG2004" s="306"/>
      <c r="AH2004" s="306"/>
      <c r="AI2004" s="306"/>
      <c r="AJ2004" s="306"/>
      <c r="AK2004" s="306"/>
      <c r="AL2004" s="306"/>
      <c r="AM2004" s="418"/>
      <c r="AN2004" s="418"/>
      <c r="AO2004" s="306"/>
      <c r="AP2004" s="306"/>
      <c r="AQ2004" s="418"/>
      <c r="AR2004" s="306"/>
      <c r="AS2004" s="306"/>
      <c r="AT2004" s="418"/>
      <c r="AU2004" s="306"/>
      <c r="AV2004" s="306"/>
      <c r="AW2004" s="306"/>
      <c r="AX2004" s="306"/>
      <c r="AY2004" s="306"/>
      <c r="AZ2004" s="306"/>
      <c r="BA2004" s="306"/>
      <c r="BB2004" s="306"/>
    </row>
    <row r="2005" spans="1:54" ht="15.75" customHeight="1">
      <c r="A2005" s="317"/>
      <c r="B2005" s="430"/>
      <c r="C2005" s="317"/>
      <c r="E2005" s="306"/>
      <c r="F2005" s="431"/>
      <c r="G2005" s="431"/>
      <c r="H2005" s="298"/>
      <c r="I2005" s="432"/>
      <c r="J2005" s="433"/>
      <c r="K2005" s="306"/>
      <c r="L2005" s="306"/>
      <c r="M2005" s="306"/>
      <c r="N2005" s="298"/>
      <c r="O2005" s="298"/>
      <c r="P2005" s="298"/>
      <c r="Q2005" s="306"/>
      <c r="R2005" s="1023"/>
      <c r="S2005" s="1023"/>
      <c r="T2005" s="306"/>
      <c r="U2005" s="306"/>
      <c r="V2005" s="306"/>
      <c r="W2005" s="306"/>
      <c r="X2005" s="306"/>
      <c r="Y2005" s="306"/>
      <c r="Z2005" s="306"/>
      <c r="AA2005" s="306"/>
      <c r="AB2005" s="306"/>
      <c r="AC2005" s="306"/>
      <c r="AD2005" s="306"/>
      <c r="AE2005" s="306"/>
      <c r="AF2005" s="306"/>
      <c r="AG2005" s="306"/>
      <c r="AH2005" s="306"/>
      <c r="AI2005" s="306"/>
      <c r="AJ2005" s="306"/>
      <c r="AK2005" s="306"/>
      <c r="AL2005" s="306"/>
      <c r="AM2005" s="418"/>
      <c r="AN2005" s="418"/>
      <c r="AO2005" s="306"/>
      <c r="AP2005" s="306"/>
      <c r="AQ2005" s="418"/>
      <c r="AR2005" s="306"/>
      <c r="AS2005" s="306"/>
      <c r="AT2005" s="418"/>
      <c r="AU2005" s="306"/>
      <c r="AV2005" s="306"/>
      <c r="AW2005" s="306"/>
      <c r="AX2005" s="306"/>
      <c r="AY2005" s="306"/>
      <c r="AZ2005" s="306"/>
      <c r="BA2005" s="306"/>
      <c r="BB2005" s="306"/>
    </row>
    <row r="2006" spans="1:54" ht="15.75" customHeight="1">
      <c r="A2006" s="317"/>
      <c r="B2006" s="430"/>
      <c r="C2006" s="317"/>
      <c r="E2006" s="306"/>
      <c r="F2006" s="431"/>
      <c r="G2006" s="431"/>
      <c r="H2006" s="298"/>
      <c r="I2006" s="432"/>
      <c r="J2006" s="433"/>
      <c r="K2006" s="306"/>
      <c r="L2006" s="306"/>
      <c r="M2006" s="306"/>
      <c r="N2006" s="298"/>
      <c r="O2006" s="298"/>
      <c r="P2006" s="298"/>
      <c r="Q2006" s="306"/>
      <c r="R2006" s="1023"/>
      <c r="S2006" s="1023"/>
      <c r="T2006" s="306"/>
      <c r="U2006" s="306"/>
      <c r="V2006" s="306"/>
      <c r="W2006" s="306"/>
      <c r="X2006" s="306"/>
      <c r="Y2006" s="306"/>
      <c r="Z2006" s="306"/>
      <c r="AA2006" s="306"/>
      <c r="AB2006" s="306"/>
      <c r="AC2006" s="306"/>
      <c r="AD2006" s="306"/>
      <c r="AE2006" s="306"/>
      <c r="AF2006" s="306"/>
      <c r="AG2006" s="306"/>
      <c r="AH2006" s="306"/>
      <c r="AI2006" s="306"/>
      <c r="AJ2006" s="306"/>
      <c r="AK2006" s="306"/>
      <c r="AL2006" s="306"/>
      <c r="AM2006" s="418"/>
      <c r="AN2006" s="418"/>
      <c r="AO2006" s="306"/>
      <c r="AP2006" s="306"/>
      <c r="AQ2006" s="418"/>
      <c r="AR2006" s="306"/>
      <c r="AS2006" s="306"/>
      <c r="AT2006" s="418"/>
      <c r="AU2006" s="306"/>
      <c r="AV2006" s="306"/>
      <c r="AW2006" s="306"/>
      <c r="AX2006" s="306"/>
      <c r="AY2006" s="306"/>
      <c r="AZ2006" s="306"/>
      <c r="BA2006" s="306"/>
      <c r="BB2006" s="306"/>
    </row>
    <row r="2007" spans="1:54" ht="15.75" customHeight="1">
      <c r="A2007" s="317"/>
      <c r="B2007" s="430"/>
      <c r="C2007" s="317"/>
      <c r="E2007" s="306"/>
      <c r="F2007" s="431"/>
      <c r="G2007" s="431"/>
      <c r="H2007" s="298"/>
      <c r="I2007" s="432"/>
      <c r="J2007" s="433"/>
      <c r="K2007" s="306"/>
      <c r="L2007" s="306"/>
      <c r="M2007" s="306"/>
      <c r="N2007" s="298"/>
      <c r="O2007" s="298"/>
      <c r="P2007" s="298"/>
      <c r="Q2007" s="306"/>
      <c r="R2007" s="1023"/>
      <c r="S2007" s="1023"/>
      <c r="T2007" s="306"/>
      <c r="U2007" s="306"/>
      <c r="V2007" s="306"/>
      <c r="W2007" s="306"/>
      <c r="X2007" s="306"/>
      <c r="Y2007" s="306"/>
      <c r="Z2007" s="306"/>
      <c r="AA2007" s="306"/>
      <c r="AB2007" s="306"/>
      <c r="AC2007" s="306"/>
      <c r="AD2007" s="306"/>
      <c r="AE2007" s="306"/>
      <c r="AF2007" s="306"/>
      <c r="AG2007" s="306"/>
      <c r="AH2007" s="306"/>
      <c r="AI2007" s="306"/>
      <c r="AJ2007" s="306"/>
      <c r="AK2007" s="306"/>
      <c r="AL2007" s="306"/>
      <c r="AM2007" s="418"/>
      <c r="AN2007" s="418"/>
      <c r="AO2007" s="306"/>
      <c r="AP2007" s="306"/>
      <c r="AQ2007" s="418"/>
      <c r="AR2007" s="306"/>
      <c r="AS2007" s="306"/>
      <c r="AT2007" s="418"/>
      <c r="AU2007" s="306"/>
      <c r="AV2007" s="306"/>
      <c r="AW2007" s="306"/>
      <c r="AX2007" s="306"/>
      <c r="AY2007" s="306"/>
      <c r="AZ2007" s="306"/>
      <c r="BA2007" s="306"/>
      <c r="BB2007" s="306"/>
    </row>
    <row r="2008" spans="1:54" ht="15.75" customHeight="1">
      <c r="A2008" s="317"/>
      <c r="B2008" s="430"/>
      <c r="C2008" s="317"/>
      <c r="E2008" s="306"/>
      <c r="F2008" s="431"/>
      <c r="G2008" s="431"/>
      <c r="H2008" s="298"/>
      <c r="I2008" s="432"/>
      <c r="J2008" s="433"/>
      <c r="K2008" s="306"/>
      <c r="L2008" s="306"/>
      <c r="M2008" s="306"/>
      <c r="N2008" s="298"/>
      <c r="O2008" s="298"/>
      <c r="P2008" s="298"/>
      <c r="Q2008" s="306"/>
      <c r="R2008" s="1023"/>
      <c r="S2008" s="1023"/>
      <c r="T2008" s="306"/>
      <c r="U2008" s="306"/>
      <c r="V2008" s="306"/>
      <c r="W2008" s="306"/>
      <c r="X2008" s="306"/>
      <c r="Y2008" s="306"/>
      <c r="Z2008" s="306"/>
      <c r="AA2008" s="306"/>
      <c r="AB2008" s="306"/>
      <c r="AC2008" s="306"/>
      <c r="AD2008" s="306"/>
      <c r="AE2008" s="306"/>
      <c r="AF2008" s="306"/>
      <c r="AG2008" s="306"/>
      <c r="AH2008" s="306"/>
      <c r="AI2008" s="306"/>
      <c r="AJ2008" s="306"/>
      <c r="AK2008" s="306"/>
      <c r="AL2008" s="306"/>
      <c r="AM2008" s="418"/>
      <c r="AN2008" s="418"/>
      <c r="AO2008" s="306"/>
      <c r="AP2008" s="306"/>
      <c r="AQ2008" s="418"/>
      <c r="AR2008" s="306"/>
      <c r="AS2008" s="306"/>
      <c r="AT2008" s="418"/>
      <c r="AU2008" s="306"/>
      <c r="AV2008" s="306"/>
      <c r="AW2008" s="306"/>
      <c r="AX2008" s="306"/>
      <c r="AY2008" s="306"/>
      <c r="AZ2008" s="306"/>
      <c r="BA2008" s="306"/>
      <c r="BB2008" s="306"/>
    </row>
    <row r="2009" spans="1:54" ht="15.75" customHeight="1">
      <c r="A2009" s="317"/>
      <c r="B2009" s="430"/>
      <c r="C2009" s="317"/>
      <c r="E2009" s="306"/>
      <c r="F2009" s="431"/>
      <c r="G2009" s="431"/>
      <c r="H2009" s="298"/>
      <c r="I2009" s="432"/>
      <c r="J2009" s="433"/>
      <c r="K2009" s="306"/>
      <c r="L2009" s="306"/>
      <c r="M2009" s="306"/>
      <c r="N2009" s="298"/>
      <c r="O2009" s="298"/>
      <c r="P2009" s="298"/>
      <c r="Q2009" s="306"/>
      <c r="R2009" s="1023"/>
      <c r="S2009" s="1023"/>
      <c r="T2009" s="306"/>
      <c r="U2009" s="306"/>
      <c r="V2009" s="306"/>
      <c r="W2009" s="306"/>
      <c r="X2009" s="306"/>
      <c r="Y2009" s="306"/>
      <c r="Z2009" s="306"/>
      <c r="AA2009" s="306"/>
      <c r="AB2009" s="306"/>
      <c r="AC2009" s="306"/>
      <c r="AD2009" s="306"/>
      <c r="AE2009" s="306"/>
      <c r="AF2009" s="306"/>
      <c r="AG2009" s="306"/>
      <c r="AH2009" s="306"/>
      <c r="AI2009" s="306"/>
      <c r="AJ2009" s="306"/>
      <c r="AK2009" s="306"/>
      <c r="AL2009" s="306"/>
      <c r="AM2009" s="418"/>
      <c r="AN2009" s="418"/>
      <c r="AO2009" s="306"/>
      <c r="AP2009" s="306"/>
      <c r="AQ2009" s="418"/>
      <c r="AR2009" s="306"/>
      <c r="AS2009" s="306"/>
      <c r="AT2009" s="418"/>
      <c r="AU2009" s="306"/>
      <c r="AV2009" s="306"/>
      <c r="AW2009" s="306"/>
      <c r="AX2009" s="306"/>
      <c r="AY2009" s="306"/>
      <c r="AZ2009" s="306"/>
      <c r="BA2009" s="306"/>
      <c r="BB2009" s="306"/>
    </row>
    <row r="2010" spans="1:54" ht="15.75" customHeight="1">
      <c r="A2010" s="317"/>
      <c r="B2010" s="430"/>
      <c r="C2010" s="317"/>
      <c r="E2010" s="306"/>
      <c r="F2010" s="431"/>
      <c r="G2010" s="431"/>
      <c r="H2010" s="298"/>
      <c r="I2010" s="432"/>
      <c r="J2010" s="433"/>
      <c r="K2010" s="306"/>
      <c r="L2010" s="306"/>
      <c r="M2010" s="306"/>
      <c r="N2010" s="298"/>
      <c r="O2010" s="298"/>
      <c r="P2010" s="298"/>
      <c r="Q2010" s="306"/>
      <c r="R2010" s="1023"/>
      <c r="S2010" s="1023"/>
      <c r="T2010" s="306"/>
      <c r="U2010" s="306"/>
      <c r="V2010" s="306"/>
      <c r="W2010" s="306"/>
      <c r="X2010" s="306"/>
      <c r="Y2010" s="306"/>
      <c r="Z2010" s="306"/>
      <c r="AA2010" s="306"/>
      <c r="AB2010" s="306"/>
      <c r="AC2010" s="306"/>
      <c r="AD2010" s="306"/>
      <c r="AE2010" s="306"/>
      <c r="AF2010" s="306"/>
      <c r="AG2010" s="306"/>
      <c r="AH2010" s="306"/>
      <c r="AI2010" s="306"/>
      <c r="AJ2010" s="306"/>
      <c r="AK2010" s="306"/>
      <c r="AL2010" s="306"/>
      <c r="AM2010" s="418"/>
      <c r="AN2010" s="418"/>
      <c r="AO2010" s="306"/>
      <c r="AP2010" s="306"/>
      <c r="AQ2010" s="418"/>
      <c r="AR2010" s="306"/>
      <c r="AS2010" s="306"/>
      <c r="AT2010" s="418"/>
      <c r="AU2010" s="306"/>
      <c r="AV2010" s="306"/>
      <c r="AW2010" s="306"/>
      <c r="AX2010" s="306"/>
      <c r="AY2010" s="306"/>
      <c r="AZ2010" s="306"/>
      <c r="BA2010" s="306"/>
      <c r="BB2010" s="306"/>
    </row>
    <row r="2011" spans="1:54" ht="15.75" customHeight="1">
      <c r="A2011" s="317"/>
      <c r="B2011" s="430"/>
      <c r="C2011" s="317"/>
      <c r="E2011" s="306"/>
      <c r="F2011" s="431"/>
      <c r="G2011" s="431"/>
      <c r="H2011" s="298"/>
      <c r="I2011" s="432"/>
      <c r="J2011" s="433"/>
      <c r="K2011" s="306"/>
      <c r="L2011" s="306"/>
      <c r="M2011" s="306"/>
      <c r="N2011" s="298"/>
      <c r="O2011" s="298"/>
      <c r="P2011" s="298"/>
      <c r="Q2011" s="306"/>
      <c r="R2011" s="1023"/>
      <c r="S2011" s="1023"/>
      <c r="T2011" s="306"/>
      <c r="U2011" s="306"/>
      <c r="V2011" s="306"/>
      <c r="W2011" s="306"/>
      <c r="X2011" s="306"/>
      <c r="Y2011" s="306"/>
      <c r="Z2011" s="306"/>
      <c r="AA2011" s="306"/>
      <c r="AB2011" s="306"/>
      <c r="AC2011" s="306"/>
      <c r="AD2011" s="306"/>
      <c r="AE2011" s="306"/>
      <c r="AF2011" s="306"/>
      <c r="AG2011" s="306"/>
      <c r="AH2011" s="306"/>
      <c r="AI2011" s="306"/>
      <c r="AJ2011" s="306"/>
      <c r="AK2011" s="306"/>
      <c r="AL2011" s="306"/>
      <c r="AM2011" s="418"/>
      <c r="AN2011" s="418"/>
      <c r="AO2011" s="306"/>
      <c r="AP2011" s="306"/>
      <c r="AQ2011" s="418"/>
      <c r="AR2011" s="306"/>
      <c r="AS2011" s="306"/>
      <c r="AT2011" s="418"/>
      <c r="AU2011" s="306"/>
      <c r="AV2011" s="306"/>
      <c r="AW2011" s="306"/>
      <c r="AX2011" s="306"/>
      <c r="AY2011" s="306"/>
      <c r="AZ2011" s="306"/>
      <c r="BA2011" s="306"/>
      <c r="BB2011" s="306"/>
    </row>
    <row r="2012" spans="1:54" ht="15.75" customHeight="1">
      <c r="A2012" s="317"/>
      <c r="B2012" s="430"/>
      <c r="C2012" s="317"/>
      <c r="E2012" s="306"/>
      <c r="F2012" s="431"/>
      <c r="G2012" s="431"/>
      <c r="H2012" s="298"/>
      <c r="I2012" s="432"/>
      <c r="J2012" s="433"/>
      <c r="K2012" s="306"/>
      <c r="L2012" s="306"/>
      <c r="M2012" s="306"/>
      <c r="N2012" s="298"/>
      <c r="O2012" s="298"/>
      <c r="P2012" s="298"/>
      <c r="Q2012" s="306"/>
      <c r="R2012" s="1023"/>
      <c r="S2012" s="1023"/>
      <c r="T2012" s="306"/>
      <c r="U2012" s="306"/>
      <c r="V2012" s="306"/>
      <c r="W2012" s="306"/>
      <c r="X2012" s="306"/>
      <c r="Y2012" s="306"/>
      <c r="Z2012" s="306"/>
      <c r="AA2012" s="306"/>
      <c r="AB2012" s="306"/>
      <c r="AC2012" s="306"/>
      <c r="AD2012" s="306"/>
      <c r="AE2012" s="306"/>
      <c r="AF2012" s="306"/>
      <c r="AG2012" s="306"/>
      <c r="AH2012" s="306"/>
      <c r="AI2012" s="306"/>
      <c r="AJ2012" s="306"/>
      <c r="AK2012" s="306"/>
      <c r="AL2012" s="306"/>
      <c r="AM2012" s="418"/>
      <c r="AN2012" s="418"/>
      <c r="AO2012" s="306"/>
      <c r="AP2012" s="306"/>
      <c r="AQ2012" s="418"/>
      <c r="AR2012" s="306"/>
      <c r="AS2012" s="306"/>
      <c r="AT2012" s="418"/>
      <c r="AU2012" s="306"/>
      <c r="AV2012" s="306"/>
      <c r="AW2012" s="306"/>
      <c r="AX2012" s="306"/>
      <c r="AY2012" s="306"/>
      <c r="AZ2012" s="306"/>
      <c r="BA2012" s="306"/>
      <c r="BB2012" s="306"/>
    </row>
    <row r="2013" spans="1:54" ht="15.75" customHeight="1">
      <c r="A2013" s="317"/>
      <c r="B2013" s="430"/>
      <c r="C2013" s="317"/>
      <c r="E2013" s="306"/>
      <c r="F2013" s="431"/>
      <c r="G2013" s="431"/>
      <c r="H2013" s="298"/>
      <c r="I2013" s="432"/>
      <c r="J2013" s="433"/>
      <c r="K2013" s="306"/>
      <c r="L2013" s="306"/>
      <c r="M2013" s="306"/>
      <c r="N2013" s="298"/>
      <c r="O2013" s="298"/>
      <c r="P2013" s="298"/>
      <c r="Q2013" s="306"/>
      <c r="R2013" s="1023"/>
      <c r="S2013" s="1023"/>
      <c r="T2013" s="306"/>
      <c r="U2013" s="306"/>
      <c r="V2013" s="306"/>
      <c r="W2013" s="306"/>
      <c r="X2013" s="306"/>
      <c r="Y2013" s="306"/>
      <c r="Z2013" s="306"/>
      <c r="AA2013" s="306"/>
      <c r="AB2013" s="306"/>
      <c r="AC2013" s="306"/>
      <c r="AD2013" s="306"/>
      <c r="AE2013" s="306"/>
      <c r="AF2013" s="306"/>
      <c r="AG2013" s="306"/>
      <c r="AH2013" s="306"/>
      <c r="AI2013" s="306"/>
      <c r="AJ2013" s="306"/>
      <c r="AK2013" s="306"/>
      <c r="AL2013" s="306"/>
      <c r="AM2013" s="418"/>
      <c r="AN2013" s="418"/>
      <c r="AO2013" s="306"/>
      <c r="AP2013" s="306"/>
      <c r="AQ2013" s="418"/>
      <c r="AR2013" s="306"/>
      <c r="AS2013" s="306"/>
      <c r="AT2013" s="418"/>
      <c r="AU2013" s="306"/>
      <c r="AV2013" s="306"/>
      <c r="AW2013" s="306"/>
      <c r="AX2013" s="306"/>
      <c r="AY2013" s="306"/>
      <c r="AZ2013" s="306"/>
      <c r="BA2013" s="306"/>
      <c r="BB2013" s="306"/>
    </row>
    <row r="2014" spans="1:54" ht="15.75" customHeight="1">
      <c r="A2014" s="317"/>
      <c r="B2014" s="430"/>
      <c r="C2014" s="317"/>
      <c r="E2014" s="306"/>
      <c r="F2014" s="431"/>
      <c r="G2014" s="431"/>
      <c r="H2014" s="298"/>
      <c r="I2014" s="432"/>
      <c r="J2014" s="433"/>
      <c r="K2014" s="306"/>
      <c r="L2014" s="306"/>
      <c r="M2014" s="306"/>
      <c r="N2014" s="298"/>
      <c r="O2014" s="298"/>
      <c r="P2014" s="298"/>
      <c r="Q2014" s="306"/>
      <c r="R2014" s="1023"/>
      <c r="S2014" s="1023"/>
      <c r="T2014" s="306"/>
      <c r="U2014" s="306"/>
      <c r="V2014" s="306"/>
      <c r="W2014" s="306"/>
      <c r="X2014" s="306"/>
      <c r="Y2014" s="306"/>
      <c r="Z2014" s="306"/>
      <c r="AA2014" s="306"/>
      <c r="AB2014" s="306"/>
      <c r="AC2014" s="306"/>
      <c r="AD2014" s="306"/>
      <c r="AE2014" s="306"/>
      <c r="AF2014" s="306"/>
      <c r="AG2014" s="306"/>
      <c r="AH2014" s="306"/>
      <c r="AI2014" s="306"/>
      <c r="AJ2014" s="306"/>
      <c r="AK2014" s="306"/>
      <c r="AL2014" s="306"/>
      <c r="AM2014" s="418"/>
      <c r="AN2014" s="418"/>
      <c r="AO2014" s="306"/>
      <c r="AP2014" s="306"/>
      <c r="AQ2014" s="418"/>
      <c r="AR2014" s="306"/>
      <c r="AS2014" s="306"/>
      <c r="AT2014" s="418"/>
      <c r="AU2014" s="306"/>
      <c r="AV2014" s="306"/>
      <c r="AW2014" s="306"/>
      <c r="AX2014" s="306"/>
      <c r="AY2014" s="306"/>
      <c r="AZ2014" s="306"/>
      <c r="BA2014" s="306"/>
      <c r="BB2014" s="306"/>
    </row>
    <row r="2015" spans="1:54" ht="15.75" customHeight="1">
      <c r="A2015" s="317"/>
      <c r="B2015" s="430"/>
      <c r="C2015" s="317"/>
      <c r="E2015" s="306"/>
      <c r="F2015" s="431"/>
      <c r="G2015" s="431"/>
      <c r="H2015" s="298"/>
      <c r="I2015" s="432"/>
      <c r="J2015" s="433"/>
      <c r="K2015" s="306"/>
      <c r="L2015" s="306"/>
      <c r="M2015" s="306"/>
      <c r="N2015" s="298"/>
      <c r="O2015" s="298"/>
      <c r="P2015" s="298"/>
      <c r="Q2015" s="306"/>
      <c r="R2015" s="1023"/>
      <c r="S2015" s="1023"/>
      <c r="T2015" s="306"/>
      <c r="U2015" s="306"/>
      <c r="V2015" s="306"/>
      <c r="W2015" s="306"/>
      <c r="X2015" s="306"/>
      <c r="Y2015" s="306"/>
      <c r="Z2015" s="306"/>
      <c r="AA2015" s="306"/>
      <c r="AB2015" s="306"/>
      <c r="AC2015" s="306"/>
      <c r="AD2015" s="306"/>
      <c r="AE2015" s="306"/>
      <c r="AF2015" s="306"/>
      <c r="AG2015" s="306"/>
      <c r="AH2015" s="306"/>
      <c r="AI2015" s="306"/>
      <c r="AJ2015" s="306"/>
      <c r="AK2015" s="306"/>
      <c r="AL2015" s="306"/>
      <c r="AM2015" s="418"/>
      <c r="AN2015" s="418"/>
      <c r="AO2015" s="306"/>
      <c r="AP2015" s="306"/>
      <c r="AQ2015" s="418"/>
      <c r="AR2015" s="306"/>
      <c r="AS2015" s="306"/>
      <c r="AT2015" s="418"/>
      <c r="AU2015" s="306"/>
      <c r="AV2015" s="306"/>
      <c r="AW2015" s="306"/>
      <c r="AX2015" s="306"/>
      <c r="AY2015" s="306"/>
      <c r="AZ2015" s="306"/>
      <c r="BA2015" s="306"/>
      <c r="BB2015" s="306"/>
    </row>
    <row r="2016" spans="1:54" ht="15.75" customHeight="1">
      <c r="A2016" s="317"/>
      <c r="B2016" s="430"/>
      <c r="C2016" s="317"/>
      <c r="E2016" s="306"/>
      <c r="F2016" s="431"/>
      <c r="G2016" s="431"/>
      <c r="H2016" s="298"/>
      <c r="I2016" s="432"/>
      <c r="J2016" s="433"/>
      <c r="K2016" s="306"/>
      <c r="L2016" s="306"/>
      <c r="M2016" s="306"/>
      <c r="N2016" s="298"/>
      <c r="O2016" s="298"/>
      <c r="P2016" s="298"/>
      <c r="Q2016" s="306"/>
      <c r="R2016" s="1023"/>
      <c r="S2016" s="1023"/>
      <c r="T2016" s="306"/>
      <c r="U2016" s="306"/>
      <c r="V2016" s="306"/>
      <c r="W2016" s="306"/>
      <c r="X2016" s="306"/>
      <c r="Y2016" s="306"/>
      <c r="Z2016" s="306"/>
      <c r="AA2016" s="306"/>
      <c r="AB2016" s="306"/>
      <c r="AC2016" s="306"/>
      <c r="AD2016" s="306"/>
      <c r="AE2016" s="306"/>
      <c r="AF2016" s="306"/>
      <c r="AG2016" s="306"/>
      <c r="AH2016" s="306"/>
      <c r="AI2016" s="306"/>
      <c r="AJ2016" s="306"/>
      <c r="AK2016" s="306"/>
      <c r="AL2016" s="306"/>
      <c r="AM2016" s="418"/>
      <c r="AN2016" s="418"/>
      <c r="AO2016" s="306"/>
      <c r="AP2016" s="306"/>
      <c r="AQ2016" s="418"/>
      <c r="AR2016" s="306"/>
      <c r="AS2016" s="306"/>
      <c r="AT2016" s="418"/>
      <c r="AU2016" s="306"/>
      <c r="AV2016" s="306"/>
      <c r="AW2016" s="306"/>
      <c r="AX2016" s="306"/>
      <c r="AY2016" s="306"/>
      <c r="AZ2016" s="306"/>
      <c r="BA2016" s="306"/>
      <c r="BB2016" s="306"/>
    </row>
    <row r="2017" spans="1:54" ht="15.75" customHeight="1">
      <c r="A2017" s="317"/>
      <c r="B2017" s="430"/>
      <c r="C2017" s="317"/>
      <c r="E2017" s="306"/>
      <c r="F2017" s="431"/>
      <c r="G2017" s="431"/>
      <c r="H2017" s="298"/>
      <c r="I2017" s="432"/>
      <c r="J2017" s="433"/>
      <c r="K2017" s="306"/>
      <c r="L2017" s="306"/>
      <c r="M2017" s="306"/>
      <c r="N2017" s="298"/>
      <c r="O2017" s="298"/>
      <c r="P2017" s="298"/>
      <c r="Q2017" s="306"/>
      <c r="R2017" s="1023"/>
      <c r="S2017" s="1023"/>
      <c r="T2017" s="306"/>
      <c r="U2017" s="306"/>
      <c r="V2017" s="306"/>
      <c r="W2017" s="306"/>
      <c r="X2017" s="306"/>
      <c r="Y2017" s="306"/>
      <c r="Z2017" s="306"/>
      <c r="AA2017" s="306"/>
      <c r="AB2017" s="306"/>
      <c r="AC2017" s="306"/>
      <c r="AD2017" s="306"/>
      <c r="AE2017" s="306"/>
      <c r="AF2017" s="306"/>
      <c r="AG2017" s="306"/>
      <c r="AH2017" s="306"/>
      <c r="AI2017" s="306"/>
      <c r="AJ2017" s="306"/>
      <c r="AK2017" s="306"/>
      <c r="AL2017" s="306"/>
      <c r="AM2017" s="418"/>
      <c r="AN2017" s="418"/>
      <c r="AO2017" s="306"/>
      <c r="AP2017" s="306"/>
      <c r="AQ2017" s="418"/>
      <c r="AR2017" s="306"/>
      <c r="AS2017" s="306"/>
      <c r="AT2017" s="418"/>
      <c r="AU2017" s="306"/>
      <c r="AV2017" s="306"/>
      <c r="AW2017" s="306"/>
      <c r="AX2017" s="306"/>
      <c r="AY2017" s="306"/>
      <c r="AZ2017" s="306"/>
      <c r="BA2017" s="306"/>
      <c r="BB2017" s="306"/>
    </row>
    <row r="2018" spans="1:54" ht="15.75" customHeight="1">
      <c r="A2018" s="317"/>
      <c r="B2018" s="430"/>
      <c r="C2018" s="317"/>
      <c r="E2018" s="306"/>
      <c r="F2018" s="431"/>
      <c r="G2018" s="431"/>
      <c r="H2018" s="298"/>
      <c r="I2018" s="432"/>
      <c r="J2018" s="433"/>
      <c r="K2018" s="306"/>
      <c r="L2018" s="306"/>
      <c r="M2018" s="306"/>
      <c r="N2018" s="298"/>
      <c r="O2018" s="298"/>
      <c r="P2018" s="298"/>
      <c r="Q2018" s="306"/>
      <c r="R2018" s="1023"/>
      <c r="S2018" s="1023"/>
      <c r="T2018" s="306"/>
      <c r="U2018" s="306"/>
      <c r="V2018" s="306"/>
      <c r="W2018" s="306"/>
      <c r="X2018" s="306"/>
      <c r="Y2018" s="306"/>
      <c r="Z2018" s="306"/>
      <c r="AA2018" s="306"/>
      <c r="AB2018" s="306"/>
      <c r="AC2018" s="306"/>
      <c r="AD2018" s="306"/>
      <c r="AE2018" s="306"/>
      <c r="AF2018" s="306"/>
      <c r="AG2018" s="306"/>
      <c r="AH2018" s="306"/>
      <c r="AI2018" s="306"/>
      <c r="AJ2018" s="306"/>
      <c r="AK2018" s="306"/>
      <c r="AL2018" s="306"/>
      <c r="AM2018" s="418"/>
      <c r="AN2018" s="418"/>
      <c r="AO2018" s="306"/>
      <c r="AP2018" s="306"/>
      <c r="AQ2018" s="418"/>
      <c r="AR2018" s="306"/>
      <c r="AS2018" s="306"/>
      <c r="AT2018" s="418"/>
      <c r="AU2018" s="306"/>
      <c r="AV2018" s="306"/>
      <c r="AW2018" s="306"/>
      <c r="AX2018" s="306"/>
      <c r="AY2018" s="306"/>
      <c r="AZ2018" s="306"/>
      <c r="BA2018" s="306"/>
      <c r="BB2018" s="306"/>
    </row>
    <row r="2019" spans="1:54" ht="15.75" customHeight="1">
      <c r="A2019" s="317"/>
      <c r="B2019" s="430"/>
      <c r="C2019" s="317"/>
      <c r="E2019" s="306"/>
      <c r="F2019" s="431"/>
      <c r="G2019" s="431"/>
      <c r="H2019" s="298"/>
      <c r="I2019" s="432"/>
      <c r="J2019" s="433"/>
      <c r="K2019" s="306"/>
      <c r="L2019" s="306"/>
      <c r="M2019" s="306"/>
      <c r="N2019" s="298"/>
      <c r="O2019" s="298"/>
      <c r="P2019" s="298"/>
      <c r="Q2019" s="306"/>
      <c r="R2019" s="1023"/>
      <c r="S2019" s="1023"/>
      <c r="T2019" s="306"/>
      <c r="U2019" s="306"/>
      <c r="V2019" s="306"/>
      <c r="W2019" s="306"/>
      <c r="X2019" s="306"/>
      <c r="Y2019" s="306"/>
      <c r="Z2019" s="306"/>
      <c r="AA2019" s="306"/>
      <c r="AB2019" s="306"/>
      <c r="AC2019" s="306"/>
      <c r="AD2019" s="306"/>
      <c r="AE2019" s="306"/>
      <c r="AF2019" s="306"/>
      <c r="AG2019" s="306"/>
      <c r="AH2019" s="306"/>
      <c r="AI2019" s="306"/>
      <c r="AJ2019" s="306"/>
      <c r="AK2019" s="306"/>
      <c r="AL2019" s="306"/>
      <c r="AM2019" s="418"/>
      <c r="AN2019" s="418"/>
      <c r="AO2019" s="306"/>
      <c r="AP2019" s="306"/>
      <c r="AQ2019" s="418"/>
      <c r="AR2019" s="306"/>
      <c r="AS2019" s="306"/>
      <c r="AT2019" s="418"/>
      <c r="AU2019" s="306"/>
      <c r="AV2019" s="306"/>
      <c r="AW2019" s="306"/>
      <c r="AX2019" s="306"/>
      <c r="AY2019" s="306"/>
      <c r="AZ2019" s="306"/>
      <c r="BA2019" s="306"/>
      <c r="BB2019" s="306"/>
    </row>
    <row r="2020" spans="1:54" ht="15.75" customHeight="1">
      <c r="A2020" s="317"/>
      <c r="B2020" s="430"/>
      <c r="C2020" s="317"/>
      <c r="E2020" s="306"/>
      <c r="F2020" s="431"/>
      <c r="G2020" s="431"/>
      <c r="H2020" s="298"/>
      <c r="I2020" s="432"/>
      <c r="J2020" s="433"/>
      <c r="K2020" s="306"/>
      <c r="L2020" s="306"/>
      <c r="M2020" s="306"/>
      <c r="N2020" s="298"/>
      <c r="O2020" s="298"/>
      <c r="P2020" s="298"/>
      <c r="Q2020" s="306"/>
      <c r="R2020" s="1023"/>
      <c r="S2020" s="1023"/>
      <c r="T2020" s="306"/>
      <c r="U2020" s="306"/>
      <c r="V2020" s="306"/>
      <c r="W2020" s="306"/>
      <c r="X2020" s="306"/>
      <c r="Y2020" s="306"/>
      <c r="Z2020" s="306"/>
      <c r="AA2020" s="306"/>
      <c r="AB2020" s="306"/>
      <c r="AC2020" s="306"/>
      <c r="AD2020" s="306"/>
      <c r="AE2020" s="306"/>
      <c r="AF2020" s="306"/>
      <c r="AG2020" s="306"/>
      <c r="AH2020" s="306"/>
      <c r="AI2020" s="306"/>
      <c r="AJ2020" s="306"/>
      <c r="AK2020" s="306"/>
      <c r="AL2020" s="306"/>
      <c r="AM2020" s="418"/>
      <c r="AN2020" s="418"/>
      <c r="AO2020" s="306"/>
      <c r="AP2020" s="306"/>
      <c r="AQ2020" s="418"/>
      <c r="AR2020" s="306"/>
      <c r="AS2020" s="306"/>
      <c r="AT2020" s="418"/>
      <c r="AU2020" s="306"/>
      <c r="AV2020" s="306"/>
      <c r="AW2020" s="306"/>
      <c r="AX2020" s="306"/>
      <c r="AY2020" s="306"/>
      <c r="AZ2020" s="306"/>
      <c r="BA2020" s="306"/>
      <c r="BB2020" s="306"/>
    </row>
    <row r="2021" spans="1:54" ht="15.75" customHeight="1">
      <c r="A2021" s="317"/>
      <c r="B2021" s="430"/>
      <c r="C2021" s="317"/>
      <c r="E2021" s="306"/>
      <c r="F2021" s="431"/>
      <c r="G2021" s="431"/>
      <c r="H2021" s="298"/>
      <c r="I2021" s="432"/>
      <c r="J2021" s="433"/>
      <c r="K2021" s="306"/>
      <c r="L2021" s="306"/>
      <c r="M2021" s="306"/>
      <c r="N2021" s="298"/>
      <c r="O2021" s="298"/>
      <c r="P2021" s="298"/>
      <c r="Q2021" s="306"/>
      <c r="R2021" s="1023"/>
      <c r="S2021" s="1023"/>
      <c r="T2021" s="306"/>
      <c r="U2021" s="306"/>
      <c r="V2021" s="306"/>
      <c r="W2021" s="306"/>
      <c r="X2021" s="306"/>
      <c r="Y2021" s="306"/>
      <c r="Z2021" s="306"/>
      <c r="AA2021" s="306"/>
      <c r="AB2021" s="306"/>
      <c r="AC2021" s="306"/>
      <c r="AD2021" s="306"/>
      <c r="AE2021" s="306"/>
      <c r="AF2021" s="306"/>
      <c r="AG2021" s="306"/>
      <c r="AH2021" s="306"/>
      <c r="AI2021" s="306"/>
      <c r="AJ2021" s="306"/>
      <c r="AK2021" s="306"/>
      <c r="AL2021" s="306"/>
      <c r="AM2021" s="418"/>
      <c r="AN2021" s="418"/>
      <c r="AO2021" s="306"/>
      <c r="AP2021" s="306"/>
      <c r="AQ2021" s="418"/>
      <c r="AR2021" s="306"/>
      <c r="AS2021" s="306"/>
      <c r="AT2021" s="418"/>
      <c r="AU2021" s="306"/>
      <c r="AV2021" s="306"/>
      <c r="AW2021" s="306"/>
      <c r="AX2021" s="306"/>
      <c r="AY2021" s="306"/>
      <c r="AZ2021" s="306"/>
      <c r="BA2021" s="306"/>
      <c r="BB2021" s="306"/>
    </row>
    <row r="2022" spans="1:54" ht="15.75" customHeight="1">
      <c r="A2022" s="317"/>
      <c r="B2022" s="430"/>
      <c r="C2022" s="317"/>
      <c r="E2022" s="306"/>
      <c r="F2022" s="431"/>
      <c r="G2022" s="431"/>
      <c r="H2022" s="298"/>
      <c r="I2022" s="432"/>
      <c r="J2022" s="433"/>
      <c r="K2022" s="306"/>
      <c r="L2022" s="306"/>
      <c r="M2022" s="306"/>
      <c r="N2022" s="298"/>
      <c r="O2022" s="298"/>
      <c r="P2022" s="298"/>
      <c r="Q2022" s="306"/>
      <c r="R2022" s="1023"/>
      <c r="S2022" s="1023"/>
      <c r="T2022" s="306"/>
      <c r="U2022" s="306"/>
      <c r="V2022" s="306"/>
      <c r="W2022" s="306"/>
      <c r="X2022" s="306"/>
      <c r="Y2022" s="306"/>
      <c r="Z2022" s="306"/>
      <c r="AA2022" s="306"/>
      <c r="AB2022" s="306"/>
      <c r="AC2022" s="306"/>
      <c r="AD2022" s="306"/>
      <c r="AE2022" s="306"/>
      <c r="AF2022" s="306"/>
      <c r="AG2022" s="306"/>
      <c r="AH2022" s="306"/>
      <c r="AI2022" s="306"/>
      <c r="AJ2022" s="306"/>
      <c r="AK2022" s="306"/>
      <c r="AL2022" s="306"/>
      <c r="AM2022" s="418"/>
      <c r="AN2022" s="418"/>
      <c r="AO2022" s="306"/>
      <c r="AP2022" s="306"/>
      <c r="AQ2022" s="418"/>
      <c r="AR2022" s="306"/>
      <c r="AS2022" s="306"/>
      <c r="AT2022" s="418"/>
      <c r="AU2022" s="306"/>
      <c r="AV2022" s="306"/>
      <c r="AW2022" s="306"/>
      <c r="AX2022" s="306"/>
      <c r="AY2022" s="306"/>
      <c r="AZ2022" s="306"/>
      <c r="BA2022" s="306"/>
      <c r="BB2022" s="306"/>
    </row>
    <row r="2023" spans="1:54" ht="15.75" customHeight="1">
      <c r="A2023" s="317"/>
      <c r="B2023" s="430"/>
      <c r="C2023" s="317"/>
      <c r="E2023" s="306"/>
      <c r="F2023" s="431"/>
      <c r="G2023" s="431"/>
      <c r="H2023" s="298"/>
      <c r="I2023" s="432"/>
      <c r="J2023" s="433"/>
      <c r="K2023" s="306"/>
      <c r="L2023" s="306"/>
      <c r="M2023" s="306"/>
      <c r="N2023" s="298"/>
      <c r="O2023" s="298"/>
      <c r="P2023" s="298"/>
      <c r="Q2023" s="306"/>
      <c r="R2023" s="1023"/>
      <c r="S2023" s="1023"/>
      <c r="T2023" s="306"/>
      <c r="U2023" s="306"/>
      <c r="V2023" s="306"/>
      <c r="W2023" s="306"/>
      <c r="X2023" s="306"/>
      <c r="Y2023" s="306"/>
      <c r="Z2023" s="306"/>
      <c r="AA2023" s="306"/>
      <c r="AB2023" s="306"/>
      <c r="AC2023" s="306"/>
      <c r="AD2023" s="306"/>
      <c r="AE2023" s="306"/>
      <c r="AF2023" s="306"/>
      <c r="AG2023" s="306"/>
      <c r="AH2023" s="306"/>
      <c r="AI2023" s="306"/>
      <c r="AJ2023" s="306"/>
      <c r="AK2023" s="306"/>
      <c r="AL2023" s="306"/>
      <c r="AM2023" s="418"/>
      <c r="AN2023" s="418"/>
      <c r="AO2023" s="306"/>
      <c r="AP2023" s="306"/>
      <c r="AQ2023" s="418"/>
      <c r="AR2023" s="306"/>
      <c r="AS2023" s="306"/>
      <c r="AT2023" s="418"/>
      <c r="AU2023" s="306"/>
      <c r="AV2023" s="306"/>
      <c r="AW2023" s="306"/>
      <c r="AX2023" s="306"/>
      <c r="AY2023" s="306"/>
      <c r="AZ2023" s="306"/>
      <c r="BA2023" s="306"/>
      <c r="BB2023" s="306"/>
    </row>
    <row r="2024" spans="1:54" ht="15.75" customHeight="1">
      <c r="A2024" s="317"/>
      <c r="B2024" s="430"/>
      <c r="C2024" s="317"/>
      <c r="E2024" s="306"/>
      <c r="F2024" s="431"/>
      <c r="G2024" s="431"/>
      <c r="H2024" s="298"/>
      <c r="I2024" s="432"/>
      <c r="J2024" s="433"/>
      <c r="K2024" s="306"/>
      <c r="L2024" s="306"/>
      <c r="M2024" s="306"/>
      <c r="N2024" s="298"/>
      <c r="O2024" s="298"/>
      <c r="P2024" s="298"/>
      <c r="Q2024" s="306"/>
      <c r="R2024" s="1023"/>
      <c r="S2024" s="1023"/>
      <c r="T2024" s="306"/>
      <c r="U2024" s="306"/>
      <c r="V2024" s="306"/>
      <c r="W2024" s="306"/>
      <c r="X2024" s="306"/>
      <c r="Y2024" s="306"/>
      <c r="Z2024" s="306"/>
      <c r="AA2024" s="306"/>
      <c r="AB2024" s="306"/>
      <c r="AC2024" s="306"/>
      <c r="AD2024" s="306"/>
      <c r="AE2024" s="306"/>
      <c r="AF2024" s="306"/>
      <c r="AG2024" s="306"/>
      <c r="AH2024" s="306"/>
      <c r="AI2024" s="306"/>
      <c r="AJ2024" s="306"/>
      <c r="AK2024" s="306"/>
      <c r="AL2024" s="306"/>
      <c r="AM2024" s="418"/>
      <c r="AN2024" s="418"/>
      <c r="AO2024" s="306"/>
      <c r="AP2024" s="306"/>
      <c r="AQ2024" s="418"/>
      <c r="AR2024" s="306"/>
      <c r="AS2024" s="306"/>
      <c r="AT2024" s="418"/>
      <c r="AU2024" s="306"/>
      <c r="AV2024" s="306"/>
      <c r="AW2024" s="306"/>
      <c r="AX2024" s="306"/>
      <c r="AY2024" s="306"/>
      <c r="AZ2024" s="306"/>
      <c r="BA2024" s="306"/>
      <c r="BB2024" s="306"/>
    </row>
    <row r="2025" spans="1:54" ht="15.75" customHeight="1">
      <c r="A2025" s="317"/>
      <c r="B2025" s="430"/>
      <c r="C2025" s="317"/>
      <c r="E2025" s="306"/>
      <c r="F2025" s="431"/>
      <c r="G2025" s="431"/>
      <c r="H2025" s="298"/>
      <c r="I2025" s="432"/>
      <c r="J2025" s="433"/>
      <c r="K2025" s="306"/>
      <c r="L2025" s="306"/>
      <c r="M2025" s="306"/>
      <c r="N2025" s="298"/>
      <c r="O2025" s="298"/>
      <c r="P2025" s="298"/>
      <c r="Q2025" s="306"/>
      <c r="R2025" s="1023"/>
      <c r="S2025" s="1023"/>
      <c r="T2025" s="306"/>
      <c r="U2025" s="306"/>
      <c r="V2025" s="306"/>
      <c r="W2025" s="306"/>
      <c r="X2025" s="306"/>
      <c r="Y2025" s="306"/>
      <c r="Z2025" s="306"/>
      <c r="AA2025" s="306"/>
      <c r="AB2025" s="306"/>
      <c r="AC2025" s="306"/>
      <c r="AD2025" s="306"/>
      <c r="AE2025" s="306"/>
      <c r="AF2025" s="306"/>
      <c r="AG2025" s="306"/>
      <c r="AH2025" s="306"/>
      <c r="AI2025" s="306"/>
      <c r="AJ2025" s="306"/>
      <c r="AK2025" s="306"/>
      <c r="AL2025" s="306"/>
      <c r="AM2025" s="418"/>
      <c r="AN2025" s="418"/>
      <c r="AO2025" s="306"/>
      <c r="AP2025" s="306"/>
      <c r="AQ2025" s="418"/>
      <c r="AR2025" s="306"/>
      <c r="AS2025" s="306"/>
      <c r="AT2025" s="418"/>
      <c r="AU2025" s="306"/>
      <c r="AV2025" s="306"/>
      <c r="AW2025" s="306"/>
      <c r="AX2025" s="306"/>
      <c r="AY2025" s="306"/>
      <c r="AZ2025" s="306"/>
      <c r="BA2025" s="306"/>
      <c r="BB2025" s="306"/>
    </row>
    <row r="2026" spans="1:54" ht="15.75" customHeight="1">
      <c r="A2026" s="317"/>
      <c r="B2026" s="430"/>
      <c r="C2026" s="317"/>
      <c r="E2026" s="306"/>
      <c r="F2026" s="431"/>
      <c r="G2026" s="431"/>
      <c r="H2026" s="298"/>
      <c r="I2026" s="432"/>
      <c r="J2026" s="433"/>
      <c r="K2026" s="306"/>
      <c r="L2026" s="306"/>
      <c r="M2026" s="306"/>
      <c r="N2026" s="298"/>
      <c r="O2026" s="298"/>
      <c r="P2026" s="298"/>
      <c r="Q2026" s="306"/>
      <c r="R2026" s="1023"/>
      <c r="S2026" s="1023"/>
      <c r="T2026" s="306"/>
      <c r="U2026" s="306"/>
      <c r="V2026" s="306"/>
      <c r="W2026" s="306"/>
      <c r="X2026" s="306"/>
      <c r="Y2026" s="306"/>
      <c r="Z2026" s="306"/>
      <c r="AA2026" s="306"/>
      <c r="AB2026" s="306"/>
      <c r="AC2026" s="306"/>
      <c r="AD2026" s="306"/>
      <c r="AE2026" s="306"/>
      <c r="AF2026" s="306"/>
      <c r="AG2026" s="306"/>
      <c r="AH2026" s="306"/>
      <c r="AI2026" s="306"/>
      <c r="AJ2026" s="306"/>
      <c r="AK2026" s="306"/>
      <c r="AL2026" s="306"/>
      <c r="AM2026" s="418"/>
      <c r="AN2026" s="418"/>
      <c r="AO2026" s="306"/>
      <c r="AP2026" s="306"/>
      <c r="AQ2026" s="418"/>
      <c r="AR2026" s="306"/>
      <c r="AS2026" s="306"/>
      <c r="AT2026" s="418"/>
      <c r="AU2026" s="306"/>
      <c r="AV2026" s="306"/>
      <c r="AW2026" s="306"/>
      <c r="AX2026" s="306"/>
      <c r="AY2026" s="306"/>
      <c r="AZ2026" s="306"/>
      <c r="BA2026" s="306"/>
      <c r="BB2026" s="306"/>
    </row>
    <row r="2027" spans="1:54" ht="15.75" customHeight="1">
      <c r="A2027" s="317"/>
      <c r="B2027" s="430"/>
      <c r="C2027" s="317"/>
      <c r="E2027" s="306"/>
      <c r="F2027" s="431"/>
      <c r="G2027" s="431"/>
      <c r="H2027" s="298"/>
      <c r="I2027" s="432"/>
      <c r="J2027" s="433"/>
      <c r="K2027" s="306"/>
      <c r="L2027" s="306"/>
      <c r="M2027" s="306"/>
      <c r="N2027" s="298"/>
      <c r="O2027" s="298"/>
      <c r="P2027" s="298"/>
      <c r="Q2027" s="306"/>
      <c r="R2027" s="1023"/>
      <c r="S2027" s="1023"/>
      <c r="T2027" s="306"/>
      <c r="U2027" s="306"/>
      <c r="V2027" s="306"/>
      <c r="W2027" s="306"/>
      <c r="X2027" s="306"/>
      <c r="Y2027" s="306"/>
      <c r="Z2027" s="306"/>
      <c r="AA2027" s="306"/>
      <c r="AB2027" s="306"/>
      <c r="AC2027" s="306"/>
      <c r="AD2027" s="306"/>
      <c r="AE2027" s="306"/>
      <c r="AF2027" s="306"/>
      <c r="AG2027" s="306"/>
      <c r="AH2027" s="306"/>
      <c r="AI2027" s="306"/>
      <c r="AJ2027" s="306"/>
      <c r="AK2027" s="306"/>
      <c r="AL2027" s="306"/>
      <c r="AM2027" s="418"/>
      <c r="AN2027" s="418"/>
      <c r="AO2027" s="306"/>
      <c r="AP2027" s="306"/>
      <c r="AQ2027" s="418"/>
      <c r="AR2027" s="306"/>
      <c r="AS2027" s="306"/>
      <c r="AT2027" s="418"/>
      <c r="AU2027" s="306"/>
      <c r="AV2027" s="306"/>
      <c r="AW2027" s="306"/>
      <c r="AX2027" s="306"/>
      <c r="AY2027" s="306"/>
      <c r="AZ2027" s="306"/>
      <c r="BA2027" s="306"/>
      <c r="BB2027" s="306"/>
    </row>
    <row r="2028" spans="1:54" ht="15.75" customHeight="1">
      <c r="A2028" s="317"/>
      <c r="B2028" s="430"/>
      <c r="C2028" s="317"/>
      <c r="E2028" s="306"/>
      <c r="F2028" s="431"/>
      <c r="G2028" s="431"/>
      <c r="H2028" s="298"/>
      <c r="I2028" s="432"/>
      <c r="J2028" s="433"/>
      <c r="K2028" s="306"/>
      <c r="L2028" s="306"/>
      <c r="M2028" s="306"/>
      <c r="N2028" s="298"/>
      <c r="O2028" s="298"/>
      <c r="P2028" s="298"/>
      <c r="Q2028" s="306"/>
      <c r="R2028" s="1023"/>
      <c r="S2028" s="1023"/>
      <c r="T2028" s="306"/>
      <c r="U2028" s="306"/>
      <c r="V2028" s="306"/>
      <c r="W2028" s="306"/>
      <c r="X2028" s="306"/>
      <c r="Y2028" s="306"/>
      <c r="Z2028" s="306"/>
      <c r="AA2028" s="306"/>
      <c r="AB2028" s="306"/>
      <c r="AC2028" s="306"/>
      <c r="AD2028" s="306"/>
      <c r="AE2028" s="306"/>
      <c r="AF2028" s="306"/>
      <c r="AG2028" s="306"/>
      <c r="AH2028" s="306"/>
      <c r="AI2028" s="306"/>
      <c r="AJ2028" s="306"/>
      <c r="AK2028" s="306"/>
      <c r="AL2028" s="306"/>
      <c r="AM2028" s="418"/>
      <c r="AN2028" s="418"/>
      <c r="AO2028" s="306"/>
      <c r="AP2028" s="306"/>
      <c r="AQ2028" s="418"/>
      <c r="AR2028" s="306"/>
      <c r="AS2028" s="306"/>
      <c r="AT2028" s="418"/>
      <c r="AU2028" s="306"/>
      <c r="AV2028" s="306"/>
      <c r="AW2028" s="306"/>
      <c r="AX2028" s="306"/>
      <c r="AY2028" s="306"/>
      <c r="AZ2028" s="306"/>
      <c r="BA2028" s="306"/>
      <c r="BB2028" s="306"/>
    </row>
    <row r="2029" spans="1:54" ht="15.75" customHeight="1">
      <c r="A2029" s="317"/>
      <c r="B2029" s="430"/>
      <c r="C2029" s="317"/>
      <c r="E2029" s="306"/>
      <c r="F2029" s="431"/>
      <c r="G2029" s="431"/>
      <c r="H2029" s="298"/>
      <c r="I2029" s="432"/>
      <c r="J2029" s="433"/>
      <c r="K2029" s="306"/>
      <c r="L2029" s="306"/>
      <c r="M2029" s="306"/>
      <c r="N2029" s="298"/>
      <c r="O2029" s="298"/>
      <c r="P2029" s="298"/>
      <c r="Q2029" s="306"/>
      <c r="R2029" s="1023"/>
      <c r="S2029" s="1023"/>
      <c r="T2029" s="306"/>
      <c r="U2029" s="306"/>
      <c r="V2029" s="306"/>
      <c r="W2029" s="306"/>
      <c r="X2029" s="306"/>
      <c r="Y2029" s="306"/>
      <c r="Z2029" s="306"/>
      <c r="AA2029" s="306"/>
      <c r="AB2029" s="306"/>
      <c r="AC2029" s="306"/>
      <c r="AD2029" s="306"/>
      <c r="AE2029" s="306"/>
      <c r="AF2029" s="306"/>
      <c r="AG2029" s="306"/>
      <c r="AH2029" s="306"/>
      <c r="AI2029" s="306"/>
      <c r="AJ2029" s="306"/>
      <c r="AK2029" s="306"/>
      <c r="AL2029" s="306"/>
      <c r="AM2029" s="418"/>
      <c r="AN2029" s="418"/>
      <c r="AO2029" s="306"/>
      <c r="AP2029" s="306"/>
      <c r="AQ2029" s="418"/>
      <c r="AR2029" s="306"/>
      <c r="AS2029" s="306"/>
      <c r="AT2029" s="418"/>
      <c r="AU2029" s="306"/>
      <c r="AV2029" s="306"/>
      <c r="AW2029" s="306"/>
      <c r="AX2029" s="306"/>
      <c r="AY2029" s="306"/>
      <c r="AZ2029" s="306"/>
      <c r="BA2029" s="306"/>
      <c r="BB2029" s="306"/>
    </row>
    <row r="2030" spans="1:54" ht="15.75" customHeight="1">
      <c r="A2030" s="317"/>
      <c r="B2030" s="430"/>
      <c r="C2030" s="317"/>
      <c r="E2030" s="306"/>
      <c r="F2030" s="431"/>
      <c r="G2030" s="431"/>
      <c r="H2030" s="298"/>
      <c r="I2030" s="432"/>
      <c r="J2030" s="433"/>
      <c r="K2030" s="306"/>
      <c r="L2030" s="306"/>
      <c r="M2030" s="306"/>
      <c r="N2030" s="298"/>
      <c r="O2030" s="298"/>
      <c r="P2030" s="298"/>
      <c r="Q2030" s="306"/>
      <c r="R2030" s="1023"/>
      <c r="S2030" s="1023"/>
      <c r="T2030" s="306"/>
      <c r="U2030" s="306"/>
      <c r="V2030" s="306"/>
      <c r="W2030" s="306"/>
      <c r="X2030" s="306"/>
      <c r="Y2030" s="306"/>
      <c r="Z2030" s="306"/>
      <c r="AA2030" s="306"/>
      <c r="AB2030" s="306"/>
      <c r="AC2030" s="306"/>
      <c r="AD2030" s="306"/>
      <c r="AE2030" s="306"/>
      <c r="AF2030" s="306"/>
      <c r="AG2030" s="306"/>
      <c r="AH2030" s="306"/>
      <c r="AI2030" s="306"/>
      <c r="AJ2030" s="306"/>
      <c r="AK2030" s="306"/>
      <c r="AL2030" s="306"/>
      <c r="AM2030" s="418"/>
      <c r="AN2030" s="418"/>
      <c r="AO2030" s="306"/>
      <c r="AP2030" s="306"/>
      <c r="AQ2030" s="418"/>
      <c r="AR2030" s="306"/>
      <c r="AS2030" s="306"/>
      <c r="AT2030" s="418"/>
      <c r="AU2030" s="306"/>
      <c r="AV2030" s="306"/>
      <c r="AW2030" s="306"/>
      <c r="AX2030" s="306"/>
      <c r="AY2030" s="306"/>
      <c r="AZ2030" s="306"/>
      <c r="BA2030" s="306"/>
      <c r="BB2030" s="306"/>
    </row>
    <row r="2031" spans="1:54" ht="15.75" customHeight="1">
      <c r="A2031" s="317"/>
      <c r="B2031" s="430"/>
      <c r="C2031" s="317"/>
      <c r="E2031" s="306"/>
      <c r="F2031" s="431"/>
      <c r="G2031" s="431"/>
      <c r="H2031" s="298"/>
      <c r="I2031" s="432"/>
      <c r="J2031" s="433"/>
      <c r="K2031" s="306"/>
      <c r="L2031" s="306"/>
      <c r="M2031" s="306"/>
      <c r="N2031" s="298"/>
      <c r="O2031" s="298"/>
      <c r="P2031" s="298"/>
      <c r="Q2031" s="306"/>
      <c r="R2031" s="1023"/>
      <c r="S2031" s="1023"/>
      <c r="T2031" s="306"/>
      <c r="U2031" s="306"/>
      <c r="V2031" s="306"/>
      <c r="W2031" s="306"/>
      <c r="X2031" s="306"/>
      <c r="Y2031" s="306"/>
      <c r="Z2031" s="306"/>
      <c r="AA2031" s="306"/>
      <c r="AB2031" s="306"/>
      <c r="AC2031" s="306"/>
      <c r="AD2031" s="306"/>
      <c r="AE2031" s="306"/>
      <c r="AF2031" s="306"/>
      <c r="AG2031" s="306"/>
      <c r="AH2031" s="306"/>
      <c r="AI2031" s="306"/>
      <c r="AJ2031" s="306"/>
      <c r="AK2031" s="306"/>
      <c r="AL2031" s="306"/>
      <c r="AM2031" s="418"/>
      <c r="AN2031" s="418"/>
      <c r="AO2031" s="306"/>
      <c r="AP2031" s="306"/>
      <c r="AQ2031" s="418"/>
      <c r="AR2031" s="306"/>
      <c r="AS2031" s="306"/>
      <c r="AT2031" s="418"/>
      <c r="AU2031" s="306"/>
      <c r="AV2031" s="306"/>
      <c r="AW2031" s="306"/>
      <c r="AX2031" s="306"/>
      <c r="AY2031" s="306"/>
      <c r="AZ2031" s="306"/>
      <c r="BA2031" s="306"/>
      <c r="BB2031" s="306"/>
    </row>
    <row r="2032" spans="1:54" ht="15.75" customHeight="1">
      <c r="A2032" s="317"/>
      <c r="B2032" s="430"/>
      <c r="C2032" s="317"/>
      <c r="E2032" s="306"/>
      <c r="F2032" s="431"/>
      <c r="G2032" s="431"/>
      <c r="H2032" s="298"/>
      <c r="I2032" s="432"/>
      <c r="J2032" s="433"/>
      <c r="K2032" s="306"/>
      <c r="L2032" s="306"/>
      <c r="M2032" s="306"/>
      <c r="N2032" s="298"/>
      <c r="O2032" s="298"/>
      <c r="P2032" s="298"/>
      <c r="Q2032" s="306"/>
      <c r="R2032" s="1023"/>
      <c r="S2032" s="1023"/>
      <c r="T2032" s="306"/>
      <c r="U2032" s="306"/>
      <c r="V2032" s="306"/>
      <c r="W2032" s="306"/>
      <c r="X2032" s="306"/>
      <c r="Y2032" s="306"/>
      <c r="Z2032" s="306"/>
      <c r="AA2032" s="306"/>
      <c r="AB2032" s="306"/>
      <c r="AC2032" s="306"/>
      <c r="AD2032" s="306"/>
      <c r="AE2032" s="306"/>
      <c r="AF2032" s="306"/>
      <c r="AG2032" s="306"/>
      <c r="AH2032" s="306"/>
      <c r="AI2032" s="306"/>
      <c r="AJ2032" s="306"/>
      <c r="AK2032" s="306"/>
      <c r="AL2032" s="306"/>
      <c r="AM2032" s="418"/>
      <c r="AN2032" s="418"/>
      <c r="AO2032" s="306"/>
      <c r="AP2032" s="306"/>
      <c r="AQ2032" s="418"/>
      <c r="AR2032" s="306"/>
      <c r="AS2032" s="306"/>
      <c r="AT2032" s="418"/>
      <c r="AU2032" s="306"/>
      <c r="AV2032" s="306"/>
      <c r="AW2032" s="306"/>
      <c r="AX2032" s="306"/>
      <c r="AY2032" s="306"/>
      <c r="AZ2032" s="306"/>
      <c r="BA2032" s="306"/>
      <c r="BB2032" s="306"/>
    </row>
    <row r="2033" spans="1:54" ht="15.75" customHeight="1">
      <c r="A2033" s="317"/>
      <c r="B2033" s="430"/>
      <c r="C2033" s="317"/>
      <c r="E2033" s="306"/>
      <c r="F2033" s="431"/>
      <c r="G2033" s="431"/>
      <c r="H2033" s="298"/>
      <c r="I2033" s="432"/>
      <c r="J2033" s="433"/>
      <c r="K2033" s="306"/>
      <c r="L2033" s="306"/>
      <c r="M2033" s="306"/>
      <c r="N2033" s="298"/>
      <c r="O2033" s="298"/>
      <c r="P2033" s="298"/>
      <c r="Q2033" s="306"/>
      <c r="R2033" s="1023"/>
      <c r="S2033" s="1023"/>
      <c r="T2033" s="306"/>
      <c r="U2033" s="306"/>
      <c r="V2033" s="306"/>
      <c r="W2033" s="306"/>
      <c r="X2033" s="306"/>
      <c r="Y2033" s="306"/>
      <c r="Z2033" s="306"/>
      <c r="AA2033" s="306"/>
      <c r="AB2033" s="306"/>
      <c r="AC2033" s="306"/>
      <c r="AD2033" s="306"/>
      <c r="AE2033" s="306"/>
      <c r="AF2033" s="306"/>
      <c r="AG2033" s="306"/>
      <c r="AH2033" s="306"/>
      <c r="AI2033" s="306"/>
      <c r="AJ2033" s="306"/>
      <c r="AK2033" s="306"/>
      <c r="AL2033" s="306"/>
      <c r="AM2033" s="418"/>
      <c r="AN2033" s="418"/>
      <c r="AO2033" s="306"/>
      <c r="AP2033" s="306"/>
      <c r="AQ2033" s="418"/>
      <c r="AR2033" s="306"/>
      <c r="AS2033" s="306"/>
      <c r="AT2033" s="418"/>
      <c r="AU2033" s="306"/>
      <c r="AV2033" s="306"/>
      <c r="AW2033" s="306"/>
      <c r="AX2033" s="306"/>
      <c r="AY2033" s="306"/>
      <c r="AZ2033" s="306"/>
      <c r="BA2033" s="306"/>
      <c r="BB2033" s="306"/>
    </row>
    <row r="2034" spans="1:54" ht="15.75" customHeight="1">
      <c r="A2034" s="317"/>
      <c r="B2034" s="430"/>
      <c r="C2034" s="317"/>
      <c r="E2034" s="306"/>
      <c r="F2034" s="431"/>
      <c r="G2034" s="431"/>
      <c r="H2034" s="298"/>
      <c r="I2034" s="432"/>
      <c r="J2034" s="433"/>
      <c r="K2034" s="306"/>
      <c r="L2034" s="306"/>
      <c r="M2034" s="306"/>
      <c r="N2034" s="298"/>
      <c r="O2034" s="298"/>
      <c r="P2034" s="298"/>
      <c r="Q2034" s="306"/>
      <c r="R2034" s="1023"/>
      <c r="S2034" s="1023"/>
      <c r="T2034" s="306"/>
      <c r="U2034" s="306"/>
      <c r="V2034" s="306"/>
      <c r="W2034" s="306"/>
      <c r="X2034" s="306"/>
      <c r="Y2034" s="306"/>
      <c r="Z2034" s="306"/>
      <c r="AA2034" s="306"/>
      <c r="AB2034" s="306"/>
      <c r="AC2034" s="306"/>
      <c r="AD2034" s="306"/>
      <c r="AE2034" s="306"/>
      <c r="AF2034" s="306"/>
      <c r="AG2034" s="306"/>
      <c r="AH2034" s="306"/>
      <c r="AI2034" s="306"/>
      <c r="AJ2034" s="306"/>
      <c r="AK2034" s="306"/>
      <c r="AL2034" s="306"/>
      <c r="AM2034" s="418"/>
      <c r="AN2034" s="418"/>
      <c r="AO2034" s="306"/>
      <c r="AP2034" s="306"/>
      <c r="AQ2034" s="418"/>
      <c r="AR2034" s="306"/>
      <c r="AS2034" s="306"/>
      <c r="AT2034" s="418"/>
      <c r="AU2034" s="306"/>
      <c r="AV2034" s="306"/>
      <c r="AW2034" s="306"/>
      <c r="AX2034" s="306"/>
      <c r="AY2034" s="306"/>
      <c r="AZ2034" s="306"/>
      <c r="BA2034" s="306"/>
      <c r="BB2034" s="306"/>
    </row>
    <row r="2035" spans="1:54" ht="15.75" customHeight="1">
      <c r="A2035" s="317"/>
      <c r="B2035" s="430"/>
      <c r="C2035" s="317"/>
      <c r="E2035" s="306"/>
      <c r="F2035" s="431"/>
      <c r="G2035" s="431"/>
      <c r="H2035" s="298"/>
      <c r="I2035" s="432"/>
      <c r="J2035" s="433"/>
      <c r="K2035" s="306"/>
      <c r="L2035" s="306"/>
      <c r="M2035" s="306"/>
      <c r="N2035" s="298"/>
      <c r="O2035" s="298"/>
      <c r="P2035" s="298"/>
      <c r="Q2035" s="306"/>
      <c r="R2035" s="1023"/>
      <c r="S2035" s="1023"/>
      <c r="T2035" s="306"/>
      <c r="U2035" s="306"/>
      <c r="V2035" s="306"/>
      <c r="W2035" s="306"/>
      <c r="X2035" s="306"/>
      <c r="Y2035" s="306"/>
      <c r="Z2035" s="306"/>
      <c r="AA2035" s="306"/>
      <c r="AB2035" s="306"/>
      <c r="AC2035" s="306"/>
      <c r="AD2035" s="306"/>
      <c r="AE2035" s="306"/>
      <c r="AF2035" s="306"/>
      <c r="AG2035" s="306"/>
      <c r="AH2035" s="306"/>
      <c r="AI2035" s="306"/>
      <c r="AJ2035" s="306"/>
      <c r="AK2035" s="306"/>
      <c r="AL2035" s="306"/>
      <c r="AM2035" s="418"/>
      <c r="AN2035" s="418"/>
      <c r="AO2035" s="306"/>
      <c r="AP2035" s="306"/>
      <c r="AQ2035" s="418"/>
      <c r="AR2035" s="306"/>
      <c r="AS2035" s="306"/>
      <c r="AT2035" s="418"/>
      <c r="AU2035" s="306"/>
      <c r="AV2035" s="306"/>
      <c r="AW2035" s="306"/>
      <c r="AX2035" s="306"/>
      <c r="AY2035" s="306"/>
      <c r="AZ2035" s="306"/>
      <c r="BA2035" s="306"/>
      <c r="BB2035" s="306"/>
    </row>
    <row r="2036" spans="1:54" ht="15.75" customHeight="1">
      <c r="A2036" s="317"/>
      <c r="B2036" s="430"/>
      <c r="C2036" s="317"/>
      <c r="E2036" s="306"/>
      <c r="F2036" s="431"/>
      <c r="G2036" s="431"/>
      <c r="H2036" s="298"/>
      <c r="I2036" s="432"/>
      <c r="J2036" s="433"/>
      <c r="K2036" s="306"/>
      <c r="L2036" s="306"/>
      <c r="M2036" s="306"/>
      <c r="N2036" s="298"/>
      <c r="O2036" s="298"/>
      <c r="P2036" s="298"/>
      <c r="Q2036" s="306"/>
      <c r="R2036" s="1023"/>
      <c r="S2036" s="1023"/>
      <c r="T2036" s="306"/>
      <c r="U2036" s="306"/>
      <c r="V2036" s="306"/>
      <c r="W2036" s="306"/>
      <c r="X2036" s="306"/>
      <c r="Y2036" s="306"/>
      <c r="Z2036" s="306"/>
      <c r="AA2036" s="306"/>
      <c r="AB2036" s="306"/>
      <c r="AC2036" s="306"/>
      <c r="AD2036" s="306"/>
      <c r="AE2036" s="306"/>
      <c r="AF2036" s="306"/>
      <c r="AG2036" s="306"/>
      <c r="AH2036" s="306"/>
      <c r="AI2036" s="306"/>
      <c r="AJ2036" s="306"/>
      <c r="AK2036" s="306"/>
      <c r="AL2036" s="306"/>
      <c r="AM2036" s="418"/>
      <c r="AN2036" s="418"/>
      <c r="AO2036" s="306"/>
      <c r="AP2036" s="306"/>
      <c r="AQ2036" s="418"/>
      <c r="AR2036" s="306"/>
      <c r="AS2036" s="306"/>
      <c r="AT2036" s="418"/>
      <c r="AU2036" s="306"/>
      <c r="AV2036" s="306"/>
      <c r="AW2036" s="306"/>
      <c r="AX2036" s="306"/>
      <c r="AY2036" s="306"/>
      <c r="AZ2036" s="306"/>
      <c r="BA2036" s="306"/>
      <c r="BB2036" s="306"/>
    </row>
    <row r="2037" spans="1:54" ht="15.75" customHeight="1">
      <c r="A2037" s="317"/>
      <c r="B2037" s="430"/>
      <c r="C2037" s="317"/>
      <c r="E2037" s="306"/>
      <c r="F2037" s="431"/>
      <c r="G2037" s="431"/>
      <c r="H2037" s="298"/>
      <c r="I2037" s="432"/>
      <c r="J2037" s="433"/>
      <c r="K2037" s="306"/>
      <c r="L2037" s="306"/>
      <c r="M2037" s="306"/>
      <c r="N2037" s="298"/>
      <c r="O2037" s="298"/>
      <c r="P2037" s="298"/>
      <c r="Q2037" s="306"/>
      <c r="R2037" s="1023"/>
      <c r="S2037" s="1023"/>
      <c r="T2037" s="306"/>
      <c r="U2037" s="306"/>
      <c r="V2037" s="306"/>
      <c r="W2037" s="306"/>
      <c r="X2037" s="306"/>
      <c r="Y2037" s="306"/>
      <c r="Z2037" s="306"/>
      <c r="AA2037" s="306"/>
      <c r="AB2037" s="306"/>
      <c r="AC2037" s="306"/>
      <c r="AD2037" s="306"/>
      <c r="AE2037" s="306"/>
      <c r="AF2037" s="306"/>
      <c r="AG2037" s="306"/>
      <c r="AH2037" s="306"/>
      <c r="AI2037" s="306"/>
      <c r="AJ2037" s="306"/>
      <c r="AK2037" s="306"/>
      <c r="AL2037" s="306"/>
      <c r="AM2037" s="418"/>
      <c r="AN2037" s="418"/>
      <c r="AO2037" s="306"/>
      <c r="AP2037" s="306"/>
      <c r="AQ2037" s="418"/>
      <c r="AR2037" s="306"/>
      <c r="AS2037" s="306"/>
      <c r="AT2037" s="418"/>
      <c r="AU2037" s="306"/>
      <c r="AV2037" s="306"/>
      <c r="AW2037" s="306"/>
      <c r="AX2037" s="306"/>
      <c r="AY2037" s="306"/>
      <c r="AZ2037" s="306"/>
      <c r="BA2037" s="306"/>
      <c r="BB2037" s="306"/>
    </row>
    <row r="2038" spans="1:54" ht="15.75" customHeight="1">
      <c r="A2038" s="317"/>
      <c r="B2038" s="430"/>
      <c r="C2038" s="317"/>
      <c r="E2038" s="306"/>
      <c r="F2038" s="431"/>
      <c r="G2038" s="431"/>
      <c r="H2038" s="298"/>
      <c r="I2038" s="432"/>
      <c r="J2038" s="433"/>
      <c r="K2038" s="306"/>
      <c r="L2038" s="306"/>
      <c r="M2038" s="306"/>
      <c r="N2038" s="298"/>
      <c r="O2038" s="298"/>
      <c r="P2038" s="298"/>
      <c r="Q2038" s="306"/>
      <c r="R2038" s="1023"/>
      <c r="S2038" s="1023"/>
      <c r="T2038" s="306"/>
      <c r="U2038" s="306"/>
      <c r="V2038" s="306"/>
      <c r="W2038" s="306"/>
      <c r="X2038" s="306"/>
      <c r="Y2038" s="306"/>
      <c r="Z2038" s="306"/>
      <c r="AA2038" s="306"/>
      <c r="AB2038" s="306"/>
      <c r="AC2038" s="306"/>
      <c r="AD2038" s="306"/>
      <c r="AE2038" s="306"/>
      <c r="AF2038" s="306"/>
      <c r="AG2038" s="306"/>
      <c r="AH2038" s="306"/>
      <c r="AI2038" s="306"/>
      <c r="AJ2038" s="306"/>
      <c r="AK2038" s="306"/>
      <c r="AL2038" s="306"/>
      <c r="AM2038" s="418"/>
      <c r="AN2038" s="418"/>
      <c r="AO2038" s="306"/>
      <c r="AP2038" s="306"/>
      <c r="AQ2038" s="418"/>
      <c r="AR2038" s="306"/>
      <c r="AS2038" s="306"/>
      <c r="AT2038" s="418"/>
      <c r="AU2038" s="306"/>
      <c r="AV2038" s="306"/>
      <c r="AW2038" s="306"/>
      <c r="AX2038" s="306"/>
      <c r="AY2038" s="306"/>
      <c r="AZ2038" s="306"/>
      <c r="BA2038" s="306"/>
      <c r="BB2038" s="306"/>
    </row>
    <row r="2039" spans="1:54" ht="15.75" customHeight="1">
      <c r="A2039" s="317"/>
      <c r="B2039" s="430"/>
      <c r="C2039" s="317"/>
      <c r="E2039" s="306"/>
      <c r="F2039" s="431"/>
      <c r="G2039" s="431"/>
      <c r="H2039" s="298"/>
      <c r="I2039" s="432"/>
      <c r="J2039" s="433"/>
      <c r="K2039" s="306"/>
      <c r="L2039" s="306"/>
      <c r="M2039" s="306"/>
      <c r="N2039" s="298"/>
      <c r="O2039" s="298"/>
      <c r="P2039" s="298"/>
      <c r="Q2039" s="306"/>
      <c r="R2039" s="1023"/>
      <c r="S2039" s="1023"/>
      <c r="T2039" s="306"/>
      <c r="U2039" s="306"/>
      <c r="V2039" s="306"/>
      <c r="W2039" s="306"/>
      <c r="X2039" s="306"/>
      <c r="Y2039" s="306"/>
      <c r="Z2039" s="306"/>
      <c r="AA2039" s="306"/>
      <c r="AB2039" s="306"/>
      <c r="AC2039" s="306"/>
      <c r="AD2039" s="306"/>
      <c r="AE2039" s="306"/>
      <c r="AF2039" s="306"/>
      <c r="AG2039" s="306"/>
      <c r="AH2039" s="306"/>
      <c r="AI2039" s="306"/>
      <c r="AJ2039" s="306"/>
      <c r="AK2039" s="306"/>
      <c r="AL2039" s="306"/>
      <c r="AM2039" s="418"/>
      <c r="AN2039" s="418"/>
      <c r="AO2039" s="306"/>
      <c r="AP2039" s="306"/>
      <c r="AQ2039" s="418"/>
      <c r="AR2039" s="306"/>
      <c r="AS2039" s="306"/>
      <c r="AT2039" s="418"/>
      <c r="AU2039" s="306"/>
      <c r="AV2039" s="306"/>
      <c r="AW2039" s="306"/>
      <c r="AX2039" s="306"/>
      <c r="AY2039" s="306"/>
      <c r="AZ2039" s="306"/>
      <c r="BA2039" s="306"/>
      <c r="BB2039" s="306"/>
    </row>
    <row r="2040" spans="1:54" ht="15.75" customHeight="1">
      <c r="A2040" s="317"/>
      <c r="B2040" s="430"/>
      <c r="C2040" s="317"/>
      <c r="E2040" s="306"/>
      <c r="F2040" s="431"/>
      <c r="G2040" s="431"/>
      <c r="H2040" s="298"/>
      <c r="I2040" s="432"/>
      <c r="J2040" s="433"/>
      <c r="K2040" s="306"/>
      <c r="L2040" s="306"/>
      <c r="M2040" s="306"/>
      <c r="N2040" s="298"/>
      <c r="O2040" s="298"/>
      <c r="P2040" s="298"/>
      <c r="Q2040" s="306"/>
      <c r="R2040" s="1023"/>
      <c r="S2040" s="1023"/>
      <c r="T2040" s="306"/>
      <c r="U2040" s="306"/>
      <c r="V2040" s="306"/>
      <c r="W2040" s="306"/>
      <c r="X2040" s="306"/>
      <c r="Y2040" s="306"/>
      <c r="Z2040" s="306"/>
      <c r="AA2040" s="306"/>
      <c r="AB2040" s="306"/>
      <c r="AC2040" s="306"/>
      <c r="AD2040" s="306"/>
      <c r="AE2040" s="306"/>
      <c r="AF2040" s="306"/>
      <c r="AG2040" s="306"/>
      <c r="AH2040" s="306"/>
      <c r="AI2040" s="306"/>
      <c r="AJ2040" s="306"/>
      <c r="AK2040" s="306"/>
      <c r="AL2040" s="306"/>
      <c r="AM2040" s="418"/>
      <c r="AN2040" s="418"/>
      <c r="AO2040" s="306"/>
      <c r="AP2040" s="306"/>
      <c r="AQ2040" s="418"/>
      <c r="AR2040" s="306"/>
      <c r="AS2040" s="306"/>
      <c r="AT2040" s="418"/>
      <c r="AU2040" s="306"/>
      <c r="AV2040" s="306"/>
      <c r="AW2040" s="306"/>
      <c r="AX2040" s="306"/>
      <c r="AY2040" s="306"/>
      <c r="AZ2040" s="306"/>
      <c r="BA2040" s="306"/>
      <c r="BB2040" s="306"/>
    </row>
    <row r="2041" spans="1:54" ht="15.75" customHeight="1">
      <c r="A2041" s="317"/>
      <c r="B2041" s="430"/>
      <c r="C2041" s="317"/>
      <c r="E2041" s="306"/>
      <c r="F2041" s="431"/>
      <c r="G2041" s="431"/>
      <c r="H2041" s="298"/>
      <c r="I2041" s="432"/>
      <c r="J2041" s="433"/>
      <c r="K2041" s="306"/>
      <c r="L2041" s="306"/>
      <c r="M2041" s="306"/>
      <c r="N2041" s="298"/>
      <c r="O2041" s="298"/>
      <c r="P2041" s="298"/>
      <c r="Q2041" s="306"/>
      <c r="R2041" s="1023"/>
      <c r="S2041" s="1023"/>
      <c r="T2041" s="306"/>
      <c r="U2041" s="306"/>
      <c r="V2041" s="306"/>
      <c r="W2041" s="306"/>
      <c r="X2041" s="306"/>
      <c r="Y2041" s="306"/>
      <c r="Z2041" s="306"/>
      <c r="AA2041" s="306"/>
      <c r="AB2041" s="306"/>
      <c r="AC2041" s="306"/>
      <c r="AD2041" s="306"/>
      <c r="AE2041" s="306"/>
      <c r="AF2041" s="306"/>
      <c r="AG2041" s="306"/>
      <c r="AH2041" s="306"/>
      <c r="AI2041" s="306"/>
      <c r="AJ2041" s="306"/>
      <c r="AK2041" s="306"/>
      <c r="AL2041" s="306"/>
      <c r="AM2041" s="418"/>
      <c r="AN2041" s="418"/>
      <c r="AO2041" s="306"/>
      <c r="AP2041" s="306"/>
      <c r="AQ2041" s="418"/>
      <c r="AR2041" s="306"/>
      <c r="AS2041" s="306"/>
      <c r="AT2041" s="418"/>
      <c r="AU2041" s="306"/>
      <c r="AV2041" s="306"/>
      <c r="AW2041" s="306"/>
      <c r="AX2041" s="306"/>
      <c r="AY2041" s="306"/>
      <c r="AZ2041" s="306"/>
      <c r="BA2041" s="306"/>
      <c r="BB2041" s="306"/>
    </row>
    <row r="2042" spans="1:54" ht="15.75" customHeight="1">
      <c r="A2042" s="317"/>
      <c r="B2042" s="430"/>
      <c r="C2042" s="317"/>
      <c r="E2042" s="306"/>
      <c r="F2042" s="431"/>
      <c r="G2042" s="431"/>
      <c r="H2042" s="298"/>
      <c r="I2042" s="432"/>
      <c r="J2042" s="433"/>
      <c r="K2042" s="306"/>
      <c r="L2042" s="306"/>
      <c r="M2042" s="306"/>
      <c r="N2042" s="298"/>
      <c r="O2042" s="298"/>
      <c r="P2042" s="298"/>
      <c r="Q2042" s="306"/>
      <c r="R2042" s="1023"/>
      <c r="S2042" s="1023"/>
      <c r="T2042" s="306"/>
      <c r="U2042" s="306"/>
      <c r="V2042" s="306"/>
      <c r="W2042" s="306"/>
      <c r="X2042" s="306"/>
      <c r="Y2042" s="306"/>
      <c r="Z2042" s="306"/>
      <c r="AA2042" s="306"/>
      <c r="AB2042" s="306"/>
      <c r="AC2042" s="306"/>
      <c r="AD2042" s="306"/>
      <c r="AE2042" s="306"/>
      <c r="AF2042" s="306"/>
      <c r="AG2042" s="306"/>
      <c r="AH2042" s="306"/>
      <c r="AI2042" s="306"/>
      <c r="AJ2042" s="306"/>
      <c r="AK2042" s="306"/>
      <c r="AL2042" s="306"/>
      <c r="AM2042" s="418"/>
      <c r="AN2042" s="418"/>
      <c r="AO2042" s="306"/>
      <c r="AP2042" s="306"/>
      <c r="AQ2042" s="418"/>
      <c r="AR2042" s="306"/>
      <c r="AS2042" s="306"/>
      <c r="AT2042" s="418"/>
      <c r="AU2042" s="306"/>
      <c r="AV2042" s="306"/>
      <c r="AW2042" s="306"/>
      <c r="AX2042" s="306"/>
      <c r="AY2042" s="306"/>
      <c r="AZ2042" s="306"/>
      <c r="BA2042" s="306"/>
      <c r="BB2042" s="306"/>
    </row>
    <row r="2043" spans="1:54" ht="15.75" customHeight="1">
      <c r="A2043" s="317"/>
      <c r="B2043" s="430"/>
      <c r="C2043" s="317"/>
      <c r="E2043" s="306"/>
      <c r="F2043" s="431"/>
      <c r="G2043" s="431"/>
      <c r="H2043" s="298"/>
      <c r="I2043" s="432"/>
      <c r="J2043" s="433"/>
      <c r="K2043" s="306"/>
      <c r="L2043" s="306"/>
      <c r="M2043" s="306"/>
      <c r="N2043" s="298"/>
      <c r="O2043" s="298"/>
      <c r="P2043" s="298"/>
      <c r="Q2043" s="306"/>
      <c r="R2043" s="1023"/>
      <c r="S2043" s="1023"/>
      <c r="T2043" s="306"/>
      <c r="U2043" s="306"/>
      <c r="V2043" s="306"/>
      <c r="W2043" s="306"/>
      <c r="X2043" s="306"/>
      <c r="Y2043" s="306"/>
      <c r="Z2043" s="306"/>
      <c r="AA2043" s="306"/>
      <c r="AB2043" s="306"/>
      <c r="AC2043" s="306"/>
      <c r="AD2043" s="306"/>
      <c r="AE2043" s="306"/>
      <c r="AF2043" s="306"/>
      <c r="AG2043" s="306"/>
      <c r="AH2043" s="306"/>
      <c r="AI2043" s="306"/>
      <c r="AJ2043" s="306"/>
      <c r="AK2043" s="306"/>
      <c r="AL2043" s="306"/>
      <c r="AM2043" s="418"/>
      <c r="AN2043" s="418"/>
      <c r="AO2043" s="306"/>
      <c r="AP2043" s="306"/>
      <c r="AQ2043" s="418"/>
      <c r="AR2043" s="306"/>
      <c r="AS2043" s="306"/>
      <c r="AT2043" s="418"/>
      <c r="AU2043" s="306"/>
      <c r="AV2043" s="306"/>
      <c r="AW2043" s="306"/>
      <c r="AX2043" s="306"/>
      <c r="AY2043" s="306"/>
      <c r="AZ2043" s="306"/>
      <c r="BA2043" s="306"/>
      <c r="BB2043" s="306"/>
    </row>
    <row r="2044" spans="1:54" ht="15.75" customHeight="1">
      <c r="A2044" s="317"/>
      <c r="B2044" s="430"/>
      <c r="C2044" s="317"/>
      <c r="E2044" s="306"/>
      <c r="F2044" s="431"/>
      <c r="G2044" s="431"/>
      <c r="H2044" s="298"/>
      <c r="I2044" s="432"/>
      <c r="J2044" s="433"/>
      <c r="K2044" s="306"/>
      <c r="L2044" s="306"/>
      <c r="M2044" s="306"/>
      <c r="N2044" s="298"/>
      <c r="O2044" s="298"/>
      <c r="P2044" s="298"/>
      <c r="Q2044" s="306"/>
      <c r="R2044" s="1023"/>
      <c r="S2044" s="1023"/>
      <c r="T2044" s="306"/>
      <c r="U2044" s="306"/>
      <c r="V2044" s="306"/>
      <c r="W2044" s="306"/>
      <c r="X2044" s="306"/>
      <c r="Y2044" s="306"/>
      <c r="Z2044" s="306"/>
      <c r="AA2044" s="306"/>
      <c r="AB2044" s="306"/>
      <c r="AC2044" s="306"/>
      <c r="AD2044" s="306"/>
      <c r="AE2044" s="306"/>
      <c r="AF2044" s="306"/>
      <c r="AG2044" s="306"/>
      <c r="AH2044" s="306"/>
      <c r="AI2044" s="306"/>
      <c r="AJ2044" s="306"/>
      <c r="AK2044" s="306"/>
      <c r="AL2044" s="306"/>
      <c r="AM2044" s="418"/>
      <c r="AN2044" s="418"/>
      <c r="AO2044" s="306"/>
      <c r="AP2044" s="306"/>
      <c r="AQ2044" s="418"/>
      <c r="AR2044" s="306"/>
      <c r="AS2044" s="306"/>
      <c r="AT2044" s="418"/>
      <c r="AU2044" s="306"/>
      <c r="AV2044" s="306"/>
      <c r="AW2044" s="306"/>
      <c r="AX2044" s="306"/>
      <c r="AY2044" s="306"/>
      <c r="AZ2044" s="306"/>
      <c r="BA2044" s="306"/>
      <c r="BB2044" s="306"/>
    </row>
    <row r="2045" spans="1:54" ht="15.75" customHeight="1">
      <c r="A2045" s="317"/>
      <c r="B2045" s="430"/>
      <c r="C2045" s="317"/>
      <c r="E2045" s="306"/>
      <c r="F2045" s="431"/>
      <c r="G2045" s="431"/>
      <c r="H2045" s="298"/>
      <c r="I2045" s="432"/>
      <c r="J2045" s="433"/>
      <c r="K2045" s="306"/>
      <c r="L2045" s="306"/>
      <c r="M2045" s="306"/>
      <c r="N2045" s="298"/>
      <c r="O2045" s="298"/>
      <c r="P2045" s="298"/>
      <c r="Q2045" s="306"/>
      <c r="R2045" s="1023"/>
      <c r="S2045" s="1023"/>
      <c r="T2045" s="306"/>
      <c r="U2045" s="306"/>
      <c r="V2045" s="306"/>
      <c r="W2045" s="306"/>
      <c r="X2045" s="306"/>
      <c r="Y2045" s="306"/>
      <c r="Z2045" s="306"/>
      <c r="AA2045" s="306"/>
      <c r="AB2045" s="306"/>
      <c r="AC2045" s="306"/>
      <c r="AD2045" s="306"/>
      <c r="AE2045" s="306"/>
      <c r="AF2045" s="306"/>
      <c r="AG2045" s="306"/>
      <c r="AH2045" s="306"/>
      <c r="AI2045" s="306"/>
      <c r="AJ2045" s="306"/>
      <c r="AK2045" s="306"/>
      <c r="AL2045" s="306"/>
      <c r="AM2045" s="418"/>
      <c r="AN2045" s="418"/>
      <c r="AO2045" s="306"/>
      <c r="AP2045" s="306"/>
      <c r="AQ2045" s="418"/>
      <c r="AR2045" s="306"/>
      <c r="AS2045" s="306"/>
      <c r="AT2045" s="418"/>
      <c r="AU2045" s="306"/>
      <c r="AV2045" s="306"/>
      <c r="AW2045" s="306"/>
      <c r="AX2045" s="306"/>
      <c r="AY2045" s="306"/>
      <c r="AZ2045" s="306"/>
      <c r="BA2045" s="306"/>
      <c r="BB2045" s="306"/>
    </row>
    <row r="2046" spans="1:54" ht="15.75" customHeight="1">
      <c r="A2046" s="317"/>
      <c r="B2046" s="430"/>
      <c r="C2046" s="317"/>
      <c r="E2046" s="306"/>
      <c r="F2046" s="431"/>
      <c r="G2046" s="431"/>
      <c r="H2046" s="298"/>
      <c r="I2046" s="432"/>
      <c r="J2046" s="433"/>
      <c r="K2046" s="306"/>
      <c r="L2046" s="306"/>
      <c r="M2046" s="306"/>
      <c r="N2046" s="298"/>
      <c r="O2046" s="298"/>
      <c r="P2046" s="298"/>
      <c r="Q2046" s="306"/>
      <c r="R2046" s="1023"/>
      <c r="S2046" s="1023"/>
      <c r="T2046" s="306"/>
      <c r="U2046" s="306"/>
      <c r="V2046" s="306"/>
      <c r="W2046" s="306"/>
      <c r="X2046" s="306"/>
      <c r="Y2046" s="306"/>
      <c r="Z2046" s="306"/>
      <c r="AA2046" s="306"/>
      <c r="AB2046" s="306"/>
      <c r="AC2046" s="306"/>
      <c r="AD2046" s="306"/>
      <c r="AE2046" s="306"/>
      <c r="AF2046" s="306"/>
      <c r="AG2046" s="306"/>
      <c r="AH2046" s="306"/>
      <c r="AI2046" s="306"/>
      <c r="AJ2046" s="306"/>
      <c r="AK2046" s="306"/>
      <c r="AL2046" s="306"/>
      <c r="AM2046" s="418"/>
      <c r="AN2046" s="418"/>
      <c r="AO2046" s="306"/>
      <c r="AP2046" s="306"/>
      <c r="AQ2046" s="418"/>
      <c r="AR2046" s="306"/>
      <c r="AS2046" s="306"/>
      <c r="AT2046" s="418"/>
      <c r="AU2046" s="306"/>
      <c r="AV2046" s="306"/>
      <c r="AW2046" s="306"/>
      <c r="AX2046" s="306"/>
      <c r="AY2046" s="306"/>
      <c r="AZ2046" s="306"/>
      <c r="BA2046" s="306"/>
      <c r="BB2046" s="306"/>
    </row>
    <row r="2047" spans="1:54" ht="15.75" customHeight="1">
      <c r="A2047" s="317"/>
      <c r="B2047" s="430"/>
      <c r="C2047" s="317"/>
      <c r="E2047" s="306"/>
      <c r="F2047" s="431"/>
      <c r="G2047" s="431"/>
      <c r="H2047" s="298"/>
      <c r="I2047" s="432"/>
      <c r="J2047" s="433"/>
      <c r="K2047" s="306"/>
      <c r="L2047" s="306"/>
      <c r="M2047" s="306"/>
      <c r="N2047" s="298"/>
      <c r="O2047" s="298"/>
      <c r="P2047" s="298"/>
      <c r="Q2047" s="306"/>
      <c r="R2047" s="1023"/>
      <c r="S2047" s="1023"/>
      <c r="T2047" s="306"/>
      <c r="U2047" s="306"/>
      <c r="V2047" s="306"/>
      <c r="W2047" s="306"/>
      <c r="X2047" s="306"/>
      <c r="Y2047" s="306"/>
      <c r="Z2047" s="306"/>
      <c r="AA2047" s="306"/>
      <c r="AB2047" s="306"/>
      <c r="AC2047" s="306"/>
      <c r="AD2047" s="306"/>
      <c r="AE2047" s="306"/>
      <c r="AF2047" s="306"/>
      <c r="AG2047" s="306"/>
      <c r="AH2047" s="306"/>
      <c r="AI2047" s="306"/>
      <c r="AJ2047" s="306"/>
      <c r="AK2047" s="306"/>
      <c r="AL2047" s="306"/>
      <c r="AM2047" s="418"/>
      <c r="AN2047" s="418"/>
      <c r="AO2047" s="306"/>
      <c r="AP2047" s="306"/>
      <c r="AQ2047" s="418"/>
      <c r="AR2047" s="306"/>
      <c r="AS2047" s="306"/>
      <c r="AT2047" s="418"/>
      <c r="AU2047" s="306"/>
      <c r="AV2047" s="306"/>
      <c r="AW2047" s="306"/>
      <c r="AX2047" s="306"/>
      <c r="AY2047" s="306"/>
      <c r="AZ2047" s="306"/>
      <c r="BA2047" s="306"/>
      <c r="BB2047" s="306"/>
    </row>
    <row r="2048" spans="1:54" ht="15.75" customHeight="1">
      <c r="A2048" s="317"/>
      <c r="B2048" s="430"/>
      <c r="C2048" s="317"/>
      <c r="E2048" s="306"/>
      <c r="F2048" s="431"/>
      <c r="G2048" s="431"/>
      <c r="H2048" s="298"/>
      <c r="I2048" s="432"/>
      <c r="J2048" s="433"/>
      <c r="K2048" s="306"/>
      <c r="L2048" s="306"/>
      <c r="M2048" s="306"/>
      <c r="N2048" s="298"/>
      <c r="O2048" s="298"/>
      <c r="P2048" s="298"/>
      <c r="Q2048" s="306"/>
      <c r="R2048" s="1023"/>
      <c r="S2048" s="1023"/>
      <c r="T2048" s="306"/>
      <c r="U2048" s="306"/>
      <c r="V2048" s="306"/>
      <c r="W2048" s="306"/>
      <c r="X2048" s="306"/>
      <c r="Y2048" s="306"/>
      <c r="Z2048" s="306"/>
      <c r="AA2048" s="306"/>
      <c r="AB2048" s="306"/>
      <c r="AC2048" s="306"/>
      <c r="AD2048" s="306"/>
      <c r="AE2048" s="306"/>
      <c r="AF2048" s="306"/>
      <c r="AG2048" s="306"/>
      <c r="AH2048" s="306"/>
      <c r="AI2048" s="306"/>
      <c r="AJ2048" s="306"/>
      <c r="AK2048" s="306"/>
      <c r="AL2048" s="306"/>
      <c r="AM2048" s="418"/>
      <c r="AN2048" s="418"/>
      <c r="AO2048" s="306"/>
      <c r="AP2048" s="306"/>
      <c r="AQ2048" s="418"/>
      <c r="AR2048" s="306"/>
      <c r="AS2048" s="306"/>
      <c r="AT2048" s="418"/>
      <c r="AU2048" s="306"/>
      <c r="AV2048" s="306"/>
      <c r="AW2048" s="306"/>
      <c r="AX2048" s="306"/>
      <c r="AY2048" s="306"/>
      <c r="AZ2048" s="306"/>
      <c r="BA2048" s="306"/>
      <c r="BB2048" s="306"/>
    </row>
    <row r="2049" spans="1:54" ht="15.75" customHeight="1">
      <c r="A2049" s="317"/>
      <c r="B2049" s="430"/>
      <c r="C2049" s="317"/>
      <c r="E2049" s="306"/>
      <c r="F2049" s="431"/>
      <c r="G2049" s="431"/>
      <c r="H2049" s="298"/>
      <c r="I2049" s="432"/>
      <c r="J2049" s="433"/>
      <c r="K2049" s="306"/>
      <c r="L2049" s="306"/>
      <c r="M2049" s="306"/>
      <c r="N2049" s="298"/>
      <c r="O2049" s="298"/>
      <c r="P2049" s="298"/>
      <c r="Q2049" s="306"/>
      <c r="R2049" s="1023"/>
      <c r="S2049" s="1023"/>
      <c r="T2049" s="306"/>
      <c r="U2049" s="306"/>
      <c r="V2049" s="306"/>
      <c r="W2049" s="306"/>
      <c r="X2049" s="306"/>
      <c r="Y2049" s="306"/>
      <c r="Z2049" s="306"/>
      <c r="AA2049" s="306"/>
      <c r="AB2049" s="306"/>
      <c r="AC2049" s="306"/>
      <c r="AD2049" s="306"/>
      <c r="AE2049" s="306"/>
      <c r="AF2049" s="306"/>
      <c r="AG2049" s="306"/>
      <c r="AH2049" s="306"/>
      <c r="AI2049" s="306"/>
      <c r="AJ2049" s="306"/>
      <c r="AK2049" s="306"/>
      <c r="AL2049" s="306"/>
      <c r="AM2049" s="418"/>
      <c r="AN2049" s="418"/>
      <c r="AO2049" s="306"/>
      <c r="AP2049" s="306"/>
      <c r="AQ2049" s="418"/>
      <c r="AR2049" s="306"/>
      <c r="AS2049" s="306"/>
      <c r="AT2049" s="418"/>
      <c r="AU2049" s="306"/>
      <c r="AV2049" s="306"/>
      <c r="AW2049" s="306"/>
      <c r="AX2049" s="306"/>
      <c r="AY2049" s="306"/>
      <c r="AZ2049" s="306"/>
      <c r="BA2049" s="306"/>
      <c r="BB2049" s="306"/>
    </row>
    <row r="2050" spans="1:54" ht="15.75" customHeight="1">
      <c r="A2050" s="317"/>
      <c r="B2050" s="430"/>
      <c r="C2050" s="317"/>
      <c r="E2050" s="306"/>
      <c r="F2050" s="431"/>
      <c r="G2050" s="431"/>
      <c r="H2050" s="298"/>
      <c r="I2050" s="432"/>
      <c r="J2050" s="433"/>
      <c r="K2050" s="306"/>
      <c r="L2050" s="306"/>
      <c r="M2050" s="306"/>
      <c r="N2050" s="298"/>
      <c r="O2050" s="298"/>
      <c r="P2050" s="298"/>
      <c r="Q2050" s="306"/>
      <c r="R2050" s="1023"/>
      <c r="S2050" s="1023"/>
      <c r="T2050" s="306"/>
      <c r="U2050" s="306"/>
      <c r="V2050" s="306"/>
      <c r="W2050" s="306"/>
      <c r="X2050" s="306"/>
      <c r="Y2050" s="306"/>
      <c r="Z2050" s="306"/>
      <c r="AA2050" s="306"/>
      <c r="AB2050" s="306"/>
      <c r="AC2050" s="306"/>
      <c r="AD2050" s="306"/>
      <c r="AE2050" s="306"/>
      <c r="AF2050" s="306"/>
      <c r="AG2050" s="306"/>
      <c r="AH2050" s="306"/>
      <c r="AI2050" s="306"/>
      <c r="AJ2050" s="306"/>
      <c r="AK2050" s="306"/>
      <c r="AL2050" s="306"/>
      <c r="AM2050" s="418"/>
      <c r="AN2050" s="418"/>
      <c r="AO2050" s="306"/>
      <c r="AP2050" s="306"/>
      <c r="AQ2050" s="418"/>
      <c r="AR2050" s="306"/>
      <c r="AS2050" s="306"/>
      <c r="AT2050" s="418"/>
      <c r="AU2050" s="306"/>
      <c r="AV2050" s="306"/>
      <c r="AW2050" s="306"/>
      <c r="AX2050" s="306"/>
      <c r="AY2050" s="306"/>
      <c r="AZ2050" s="306"/>
      <c r="BA2050" s="306"/>
      <c r="BB2050" s="306"/>
    </row>
    <row r="2051" spans="1:54" ht="15.75" customHeight="1">
      <c r="A2051" s="317"/>
      <c r="B2051" s="430"/>
      <c r="C2051" s="317"/>
      <c r="E2051" s="306"/>
      <c r="F2051" s="431"/>
      <c r="G2051" s="431"/>
      <c r="H2051" s="298"/>
      <c r="I2051" s="432"/>
      <c r="J2051" s="433"/>
      <c r="K2051" s="306"/>
      <c r="L2051" s="306"/>
      <c r="M2051" s="306"/>
      <c r="N2051" s="298"/>
      <c r="O2051" s="298"/>
      <c r="P2051" s="298"/>
      <c r="Q2051" s="306"/>
      <c r="R2051" s="1023"/>
      <c r="S2051" s="1023"/>
      <c r="T2051" s="306"/>
      <c r="U2051" s="306"/>
      <c r="V2051" s="306"/>
      <c r="W2051" s="306"/>
      <c r="X2051" s="306"/>
      <c r="Y2051" s="306"/>
      <c r="Z2051" s="306"/>
      <c r="AA2051" s="306"/>
      <c r="AB2051" s="306"/>
      <c r="AC2051" s="306"/>
      <c r="AD2051" s="306"/>
      <c r="AE2051" s="306"/>
      <c r="AF2051" s="306"/>
      <c r="AG2051" s="306"/>
      <c r="AH2051" s="306"/>
      <c r="AI2051" s="306"/>
      <c r="AJ2051" s="306"/>
      <c r="AK2051" s="306"/>
      <c r="AL2051" s="306"/>
      <c r="AM2051" s="418"/>
      <c r="AN2051" s="418"/>
      <c r="AO2051" s="306"/>
      <c r="AP2051" s="306"/>
      <c r="AQ2051" s="418"/>
      <c r="AR2051" s="306"/>
      <c r="AS2051" s="306"/>
      <c r="AT2051" s="418"/>
      <c r="AU2051" s="306"/>
      <c r="AV2051" s="306"/>
      <c r="AW2051" s="306"/>
      <c r="AX2051" s="306"/>
      <c r="AY2051" s="306"/>
      <c r="AZ2051" s="306"/>
      <c r="BA2051" s="306"/>
      <c r="BB2051" s="306"/>
    </row>
    <row r="2052" spans="1:54" ht="15.75" customHeight="1">
      <c r="A2052" s="317"/>
      <c r="B2052" s="430"/>
      <c r="C2052" s="317"/>
      <c r="E2052" s="306"/>
      <c r="F2052" s="431"/>
      <c r="G2052" s="431"/>
      <c r="H2052" s="298"/>
      <c r="I2052" s="432"/>
      <c r="J2052" s="433"/>
      <c r="K2052" s="306"/>
      <c r="L2052" s="306"/>
      <c r="M2052" s="306"/>
      <c r="N2052" s="298"/>
      <c r="O2052" s="298"/>
      <c r="P2052" s="298"/>
      <c r="Q2052" s="306"/>
      <c r="R2052" s="1023"/>
      <c r="S2052" s="1023"/>
      <c r="T2052" s="306"/>
      <c r="U2052" s="306"/>
      <c r="V2052" s="306"/>
      <c r="W2052" s="306"/>
      <c r="X2052" s="306"/>
      <c r="Y2052" s="306"/>
      <c r="Z2052" s="306"/>
      <c r="AA2052" s="306"/>
      <c r="AB2052" s="306"/>
      <c r="AC2052" s="306"/>
      <c r="AD2052" s="306"/>
      <c r="AE2052" s="306"/>
      <c r="AF2052" s="306"/>
      <c r="AG2052" s="306"/>
      <c r="AH2052" s="306"/>
      <c r="AI2052" s="306"/>
      <c r="AJ2052" s="306"/>
      <c r="AK2052" s="306"/>
      <c r="AL2052" s="306"/>
      <c r="AM2052" s="418"/>
      <c r="AN2052" s="418"/>
      <c r="AO2052" s="306"/>
      <c r="AP2052" s="306"/>
      <c r="AQ2052" s="418"/>
      <c r="AR2052" s="306"/>
      <c r="AS2052" s="306"/>
      <c r="AT2052" s="418"/>
      <c r="AU2052" s="306"/>
      <c r="AV2052" s="306"/>
      <c r="AW2052" s="306"/>
      <c r="AX2052" s="306"/>
      <c r="AY2052" s="306"/>
      <c r="AZ2052" s="306"/>
      <c r="BA2052" s="306"/>
      <c r="BB2052" s="306"/>
    </row>
    <row r="2053" spans="1:54" ht="15.75" customHeight="1">
      <c r="A2053" s="317"/>
      <c r="B2053" s="430"/>
      <c r="C2053" s="317"/>
      <c r="E2053" s="306"/>
      <c r="F2053" s="431"/>
      <c r="G2053" s="431"/>
      <c r="H2053" s="298"/>
      <c r="I2053" s="432"/>
      <c r="J2053" s="433"/>
      <c r="K2053" s="306"/>
      <c r="L2053" s="306"/>
      <c r="M2053" s="306"/>
      <c r="N2053" s="298"/>
      <c r="O2053" s="298"/>
      <c r="P2053" s="298"/>
      <c r="Q2053" s="306"/>
      <c r="R2053" s="1023"/>
      <c r="S2053" s="1023"/>
      <c r="T2053" s="306"/>
      <c r="U2053" s="306"/>
      <c r="V2053" s="306"/>
      <c r="W2053" s="306"/>
      <c r="X2053" s="306"/>
      <c r="Y2053" s="306"/>
      <c r="Z2053" s="306"/>
      <c r="AA2053" s="306"/>
      <c r="AB2053" s="306"/>
      <c r="AC2053" s="306"/>
      <c r="AD2053" s="306"/>
      <c r="AE2053" s="306"/>
      <c r="AF2053" s="306"/>
      <c r="AG2053" s="306"/>
      <c r="AH2053" s="306"/>
      <c r="AI2053" s="306"/>
      <c r="AJ2053" s="306"/>
      <c r="AK2053" s="306"/>
      <c r="AL2053" s="306"/>
      <c r="AM2053" s="418"/>
      <c r="AN2053" s="418"/>
      <c r="AO2053" s="306"/>
      <c r="AP2053" s="306"/>
      <c r="AQ2053" s="418"/>
      <c r="AR2053" s="306"/>
      <c r="AS2053" s="306"/>
      <c r="AT2053" s="418"/>
      <c r="AU2053" s="306"/>
      <c r="AV2053" s="306"/>
      <c r="AW2053" s="306"/>
      <c r="AX2053" s="306"/>
      <c r="AY2053" s="306"/>
      <c r="AZ2053" s="306"/>
      <c r="BA2053" s="306"/>
      <c r="BB2053" s="306"/>
    </row>
    <row r="2054" spans="1:54" ht="15.75" customHeight="1">
      <c r="A2054" s="317"/>
      <c r="B2054" s="430"/>
      <c r="C2054" s="317"/>
      <c r="E2054" s="306"/>
      <c r="F2054" s="431"/>
      <c r="G2054" s="431"/>
      <c r="H2054" s="298"/>
      <c r="I2054" s="432"/>
      <c r="J2054" s="433"/>
      <c r="K2054" s="306"/>
      <c r="L2054" s="306"/>
      <c r="M2054" s="306"/>
      <c r="N2054" s="298"/>
      <c r="O2054" s="298"/>
      <c r="P2054" s="298"/>
      <c r="Q2054" s="306"/>
      <c r="R2054" s="1023"/>
      <c r="S2054" s="1023"/>
      <c r="T2054" s="306"/>
      <c r="U2054" s="306"/>
      <c r="V2054" s="306"/>
      <c r="W2054" s="306"/>
      <c r="X2054" s="306"/>
      <c r="Y2054" s="306"/>
      <c r="Z2054" s="306"/>
      <c r="AA2054" s="306"/>
      <c r="AB2054" s="306"/>
      <c r="AC2054" s="306"/>
      <c r="AD2054" s="306"/>
      <c r="AE2054" s="306"/>
      <c r="AF2054" s="306"/>
      <c r="AG2054" s="306"/>
      <c r="AH2054" s="306"/>
      <c r="AI2054" s="306"/>
      <c r="AJ2054" s="306"/>
      <c r="AK2054" s="306"/>
      <c r="AL2054" s="306"/>
      <c r="AM2054" s="418"/>
      <c r="AN2054" s="418"/>
      <c r="AO2054" s="306"/>
      <c r="AP2054" s="306"/>
      <c r="AQ2054" s="418"/>
      <c r="AR2054" s="306"/>
      <c r="AS2054" s="306"/>
      <c r="AT2054" s="418"/>
      <c r="AU2054" s="306"/>
      <c r="AV2054" s="306"/>
      <c r="AW2054" s="306"/>
      <c r="AX2054" s="306"/>
      <c r="AY2054" s="306"/>
      <c r="AZ2054" s="306"/>
      <c r="BA2054" s="306"/>
      <c r="BB2054" s="306"/>
    </row>
    <row r="2055" spans="1:54" ht="15.75" customHeight="1">
      <c r="A2055" s="317"/>
      <c r="B2055" s="430"/>
      <c r="C2055" s="317"/>
      <c r="E2055" s="306"/>
      <c r="F2055" s="431"/>
      <c r="G2055" s="431"/>
      <c r="H2055" s="298"/>
      <c r="I2055" s="432"/>
      <c r="J2055" s="433"/>
      <c r="K2055" s="306"/>
      <c r="L2055" s="306"/>
      <c r="M2055" s="306"/>
      <c r="N2055" s="298"/>
      <c r="O2055" s="298"/>
      <c r="P2055" s="298"/>
      <c r="Q2055" s="306"/>
      <c r="R2055" s="1023"/>
      <c r="S2055" s="1023"/>
      <c r="T2055" s="306"/>
      <c r="U2055" s="306"/>
      <c r="V2055" s="306"/>
      <c r="W2055" s="306"/>
      <c r="X2055" s="306"/>
      <c r="Y2055" s="306"/>
      <c r="Z2055" s="306"/>
      <c r="AA2055" s="306"/>
      <c r="AB2055" s="306"/>
      <c r="AC2055" s="306"/>
      <c r="AD2055" s="306"/>
      <c r="AE2055" s="306"/>
      <c r="AF2055" s="306"/>
      <c r="AG2055" s="306"/>
      <c r="AH2055" s="306"/>
      <c r="AI2055" s="306"/>
      <c r="AJ2055" s="306"/>
      <c r="AK2055" s="306"/>
      <c r="AL2055" s="306"/>
      <c r="AM2055" s="418"/>
      <c r="AN2055" s="418"/>
      <c r="AO2055" s="306"/>
      <c r="AP2055" s="306"/>
      <c r="AQ2055" s="418"/>
      <c r="AR2055" s="306"/>
      <c r="AS2055" s="306"/>
      <c r="AT2055" s="418"/>
      <c r="AU2055" s="306"/>
      <c r="AV2055" s="306"/>
      <c r="AW2055" s="306"/>
      <c r="AX2055" s="306"/>
      <c r="AY2055" s="306"/>
      <c r="AZ2055" s="306"/>
      <c r="BA2055" s="306"/>
      <c r="BB2055" s="306"/>
    </row>
    <row r="2056" spans="1:54" ht="15.75" customHeight="1">
      <c r="A2056" s="317"/>
      <c r="B2056" s="430"/>
      <c r="C2056" s="317"/>
      <c r="E2056" s="306"/>
      <c r="F2056" s="431"/>
      <c r="G2056" s="431"/>
      <c r="H2056" s="298"/>
      <c r="I2056" s="432"/>
      <c r="J2056" s="433"/>
      <c r="K2056" s="306"/>
      <c r="L2056" s="306"/>
      <c r="M2056" s="306"/>
      <c r="N2056" s="298"/>
      <c r="O2056" s="298"/>
      <c r="P2056" s="298"/>
      <c r="Q2056" s="306"/>
      <c r="R2056" s="1023"/>
      <c r="S2056" s="1023"/>
      <c r="T2056" s="306"/>
      <c r="U2056" s="306"/>
      <c r="V2056" s="306"/>
      <c r="W2056" s="306"/>
      <c r="X2056" s="306"/>
      <c r="Y2056" s="306"/>
      <c r="Z2056" s="306"/>
      <c r="AA2056" s="306"/>
      <c r="AB2056" s="306"/>
      <c r="AC2056" s="306"/>
      <c r="AD2056" s="306"/>
      <c r="AE2056" s="306"/>
      <c r="AF2056" s="306"/>
      <c r="AG2056" s="306"/>
      <c r="AH2056" s="306"/>
      <c r="AI2056" s="306"/>
      <c r="AJ2056" s="306"/>
      <c r="AK2056" s="306"/>
      <c r="AL2056" s="306"/>
      <c r="AM2056" s="418"/>
      <c r="AN2056" s="418"/>
      <c r="AO2056" s="306"/>
      <c r="AP2056" s="306"/>
      <c r="AQ2056" s="418"/>
      <c r="AR2056" s="306"/>
      <c r="AS2056" s="306"/>
      <c r="AT2056" s="418"/>
      <c r="AU2056" s="306"/>
      <c r="AV2056" s="306"/>
      <c r="AW2056" s="306"/>
      <c r="AX2056" s="306"/>
      <c r="AY2056" s="306"/>
      <c r="AZ2056" s="306"/>
      <c r="BA2056" s="306"/>
      <c r="BB2056" s="306"/>
    </row>
    <row r="2057" spans="1:54" ht="15.75" customHeight="1">
      <c r="A2057" s="317"/>
      <c r="B2057" s="430"/>
      <c r="C2057" s="317"/>
      <c r="E2057" s="306"/>
      <c r="F2057" s="431"/>
      <c r="G2057" s="431"/>
      <c r="H2057" s="298"/>
      <c r="I2057" s="432"/>
      <c r="J2057" s="433"/>
      <c r="K2057" s="306"/>
      <c r="L2057" s="306"/>
      <c r="M2057" s="306"/>
      <c r="N2057" s="298"/>
      <c r="O2057" s="298"/>
      <c r="P2057" s="298"/>
      <c r="Q2057" s="306"/>
      <c r="R2057" s="1023"/>
      <c r="S2057" s="1023"/>
      <c r="T2057" s="306"/>
      <c r="U2057" s="306"/>
      <c r="V2057" s="306"/>
      <c r="W2057" s="306"/>
      <c r="X2057" s="306"/>
      <c r="Y2057" s="306"/>
      <c r="Z2057" s="306"/>
      <c r="AA2057" s="306"/>
      <c r="AB2057" s="306"/>
      <c r="AC2057" s="306"/>
      <c r="AD2057" s="306"/>
      <c r="AE2057" s="306"/>
      <c r="AF2057" s="306"/>
      <c r="AG2057" s="306"/>
      <c r="AH2057" s="306"/>
      <c r="AI2057" s="306"/>
      <c r="AJ2057" s="306"/>
      <c r="AK2057" s="306"/>
      <c r="AL2057" s="306"/>
      <c r="AM2057" s="418"/>
      <c r="AN2057" s="418"/>
      <c r="AO2057" s="306"/>
      <c r="AP2057" s="306"/>
      <c r="AQ2057" s="418"/>
      <c r="AR2057" s="306"/>
      <c r="AS2057" s="306"/>
      <c r="AT2057" s="418"/>
      <c r="AU2057" s="306"/>
      <c r="AV2057" s="306"/>
      <c r="AW2057" s="306"/>
      <c r="AX2057" s="306"/>
      <c r="AY2057" s="306"/>
      <c r="AZ2057" s="306"/>
      <c r="BA2057" s="306"/>
      <c r="BB2057" s="306"/>
    </row>
    <row r="2058" spans="1:54" ht="15.75" customHeight="1">
      <c r="A2058" s="317"/>
      <c r="B2058" s="430"/>
      <c r="C2058" s="317"/>
      <c r="E2058" s="306"/>
      <c r="F2058" s="431"/>
      <c r="G2058" s="431"/>
      <c r="H2058" s="298"/>
      <c r="I2058" s="432"/>
      <c r="J2058" s="433"/>
      <c r="K2058" s="306"/>
      <c r="L2058" s="306"/>
      <c r="M2058" s="306"/>
      <c r="N2058" s="298"/>
      <c r="O2058" s="298"/>
      <c r="P2058" s="298"/>
      <c r="Q2058" s="306"/>
      <c r="R2058" s="1023"/>
      <c r="S2058" s="1023"/>
      <c r="T2058" s="306"/>
      <c r="U2058" s="306"/>
      <c r="V2058" s="306"/>
      <c r="W2058" s="306"/>
      <c r="X2058" s="306"/>
      <c r="Y2058" s="306"/>
      <c r="Z2058" s="306"/>
      <c r="AA2058" s="306"/>
      <c r="AB2058" s="306"/>
      <c r="AC2058" s="306"/>
      <c r="AD2058" s="306"/>
      <c r="AE2058" s="306"/>
      <c r="AF2058" s="306"/>
      <c r="AG2058" s="306"/>
      <c r="AH2058" s="306"/>
      <c r="AI2058" s="306"/>
      <c r="AJ2058" s="306"/>
      <c r="AK2058" s="306"/>
      <c r="AL2058" s="306"/>
      <c r="AM2058" s="418"/>
      <c r="AN2058" s="418"/>
      <c r="AO2058" s="306"/>
      <c r="AP2058" s="306"/>
      <c r="AQ2058" s="418"/>
      <c r="AR2058" s="306"/>
      <c r="AS2058" s="306"/>
      <c r="AT2058" s="418"/>
      <c r="AU2058" s="306"/>
      <c r="AV2058" s="306"/>
      <c r="AW2058" s="306"/>
      <c r="AX2058" s="306"/>
      <c r="AY2058" s="306"/>
      <c r="AZ2058" s="306"/>
      <c r="BA2058" s="306"/>
      <c r="BB2058" s="306"/>
    </row>
    <row r="2059" spans="1:54" ht="15.75" customHeight="1">
      <c r="A2059" s="317"/>
      <c r="B2059" s="430"/>
      <c r="C2059" s="317"/>
      <c r="E2059" s="306"/>
      <c r="F2059" s="431"/>
      <c r="G2059" s="431"/>
      <c r="H2059" s="298"/>
      <c r="I2059" s="432"/>
      <c r="J2059" s="433"/>
      <c r="K2059" s="306"/>
      <c r="L2059" s="306"/>
      <c r="M2059" s="306"/>
      <c r="N2059" s="298"/>
      <c r="O2059" s="298"/>
      <c r="P2059" s="298"/>
      <c r="Q2059" s="306"/>
      <c r="R2059" s="1023"/>
      <c r="S2059" s="1023"/>
      <c r="T2059" s="306"/>
      <c r="U2059" s="306"/>
      <c r="V2059" s="306"/>
      <c r="W2059" s="306"/>
      <c r="X2059" s="306"/>
      <c r="Y2059" s="306"/>
      <c r="Z2059" s="306"/>
      <c r="AA2059" s="306"/>
      <c r="AB2059" s="306"/>
      <c r="AC2059" s="306"/>
      <c r="AD2059" s="306"/>
      <c r="AE2059" s="306"/>
      <c r="AF2059" s="306"/>
      <c r="AG2059" s="306"/>
      <c r="AH2059" s="306"/>
      <c r="AI2059" s="306"/>
      <c r="AJ2059" s="306"/>
      <c r="AK2059" s="306"/>
      <c r="AL2059" s="306"/>
      <c r="AM2059" s="418"/>
      <c r="AN2059" s="418"/>
      <c r="AO2059" s="306"/>
      <c r="AP2059" s="306"/>
      <c r="AQ2059" s="418"/>
      <c r="AR2059" s="306"/>
      <c r="AS2059" s="306"/>
      <c r="AT2059" s="418"/>
      <c r="AU2059" s="306"/>
      <c r="AV2059" s="306"/>
      <c r="AW2059" s="306"/>
      <c r="AX2059" s="306"/>
      <c r="AY2059" s="306"/>
      <c r="AZ2059" s="306"/>
      <c r="BA2059" s="306"/>
      <c r="BB2059" s="306"/>
    </row>
    <row r="2060" spans="1:54" ht="15.75" customHeight="1">
      <c r="A2060" s="317"/>
      <c r="B2060" s="430"/>
      <c r="C2060" s="317"/>
      <c r="E2060" s="306"/>
      <c r="F2060" s="431"/>
      <c r="G2060" s="431"/>
      <c r="H2060" s="298"/>
      <c r="I2060" s="432"/>
      <c r="J2060" s="433"/>
      <c r="K2060" s="306"/>
      <c r="L2060" s="306"/>
      <c r="M2060" s="306"/>
      <c r="N2060" s="298"/>
      <c r="O2060" s="298"/>
      <c r="P2060" s="298"/>
      <c r="Q2060" s="306"/>
      <c r="R2060" s="1023"/>
      <c r="S2060" s="1023"/>
      <c r="T2060" s="306"/>
      <c r="U2060" s="306"/>
      <c r="V2060" s="306"/>
      <c r="W2060" s="306"/>
      <c r="X2060" s="306"/>
      <c r="Y2060" s="306"/>
      <c r="Z2060" s="306"/>
      <c r="AA2060" s="306"/>
      <c r="AB2060" s="306"/>
      <c r="AC2060" s="306"/>
      <c r="AD2060" s="306"/>
      <c r="AE2060" s="306"/>
      <c r="AF2060" s="306"/>
      <c r="AG2060" s="306"/>
      <c r="AH2060" s="306"/>
      <c r="AI2060" s="306"/>
      <c r="AJ2060" s="306"/>
      <c r="AK2060" s="306"/>
      <c r="AL2060" s="306"/>
      <c r="AM2060" s="418"/>
      <c r="AN2060" s="418"/>
      <c r="AO2060" s="306"/>
      <c r="AP2060" s="306"/>
      <c r="AQ2060" s="418"/>
      <c r="AR2060" s="306"/>
      <c r="AS2060" s="306"/>
      <c r="AT2060" s="418"/>
      <c r="AU2060" s="306"/>
      <c r="AV2060" s="306"/>
      <c r="AW2060" s="306"/>
      <c r="AX2060" s="306"/>
      <c r="AY2060" s="306"/>
      <c r="AZ2060" s="306"/>
      <c r="BA2060" s="306"/>
      <c r="BB2060" s="306"/>
    </row>
    <row r="2061" spans="1:54" ht="15.75" customHeight="1">
      <c r="A2061" s="317"/>
      <c r="B2061" s="430"/>
      <c r="C2061" s="317"/>
      <c r="E2061" s="306"/>
      <c r="F2061" s="431"/>
      <c r="G2061" s="431"/>
      <c r="H2061" s="298"/>
      <c r="I2061" s="432"/>
      <c r="J2061" s="433"/>
      <c r="K2061" s="306"/>
      <c r="L2061" s="306"/>
      <c r="M2061" s="306"/>
      <c r="N2061" s="298"/>
      <c r="O2061" s="298"/>
      <c r="P2061" s="298"/>
      <c r="Q2061" s="306"/>
      <c r="R2061" s="1023"/>
      <c r="S2061" s="1023"/>
      <c r="T2061" s="306"/>
      <c r="U2061" s="306"/>
      <c r="V2061" s="306"/>
      <c r="W2061" s="306"/>
      <c r="X2061" s="306"/>
      <c r="Y2061" s="306"/>
      <c r="Z2061" s="306"/>
      <c r="AA2061" s="306"/>
      <c r="AB2061" s="306"/>
      <c r="AC2061" s="306"/>
      <c r="AD2061" s="306"/>
      <c r="AE2061" s="306"/>
      <c r="AF2061" s="306"/>
      <c r="AG2061" s="306"/>
      <c r="AH2061" s="306"/>
      <c r="AI2061" s="306"/>
      <c r="AJ2061" s="306"/>
      <c r="AK2061" s="306"/>
      <c r="AL2061" s="306"/>
      <c r="AM2061" s="418"/>
      <c r="AN2061" s="418"/>
      <c r="AO2061" s="306"/>
      <c r="AP2061" s="306"/>
      <c r="AQ2061" s="418"/>
      <c r="AR2061" s="306"/>
      <c r="AS2061" s="306"/>
      <c r="AT2061" s="418"/>
      <c r="AU2061" s="306"/>
      <c r="AV2061" s="306"/>
      <c r="AW2061" s="306"/>
      <c r="AX2061" s="306"/>
      <c r="AY2061" s="306"/>
      <c r="AZ2061" s="306"/>
      <c r="BA2061" s="306"/>
      <c r="BB2061" s="306"/>
    </row>
    <row r="2062" spans="1:54" ht="15.75" customHeight="1">
      <c r="A2062" s="317"/>
      <c r="B2062" s="430"/>
      <c r="C2062" s="317"/>
      <c r="E2062" s="306"/>
      <c r="F2062" s="431"/>
      <c r="G2062" s="431"/>
      <c r="H2062" s="298"/>
      <c r="I2062" s="432"/>
      <c r="J2062" s="433"/>
      <c r="K2062" s="306"/>
      <c r="L2062" s="306"/>
      <c r="M2062" s="306"/>
      <c r="N2062" s="298"/>
      <c r="O2062" s="298"/>
      <c r="P2062" s="298"/>
      <c r="Q2062" s="306"/>
      <c r="R2062" s="1023"/>
      <c r="S2062" s="1023"/>
      <c r="T2062" s="306"/>
      <c r="U2062" s="306"/>
      <c r="V2062" s="306"/>
      <c r="W2062" s="306"/>
      <c r="X2062" s="306"/>
      <c r="Y2062" s="306"/>
      <c r="Z2062" s="306"/>
      <c r="AA2062" s="306"/>
      <c r="AB2062" s="306"/>
      <c r="AC2062" s="306"/>
      <c r="AD2062" s="306"/>
      <c r="AE2062" s="306"/>
      <c r="AF2062" s="306"/>
      <c r="AG2062" s="306"/>
      <c r="AH2062" s="306"/>
      <c r="AI2062" s="306"/>
      <c r="AJ2062" s="306"/>
      <c r="AK2062" s="306"/>
      <c r="AL2062" s="306"/>
      <c r="AM2062" s="418"/>
      <c r="AN2062" s="418"/>
      <c r="AO2062" s="306"/>
      <c r="AP2062" s="306"/>
      <c r="AQ2062" s="418"/>
      <c r="AR2062" s="306"/>
      <c r="AS2062" s="306"/>
      <c r="AT2062" s="418"/>
      <c r="AU2062" s="306"/>
      <c r="AV2062" s="306"/>
      <c r="AW2062" s="306"/>
      <c r="AX2062" s="306"/>
      <c r="AY2062" s="306"/>
      <c r="AZ2062" s="306"/>
      <c r="BA2062" s="306"/>
      <c r="BB2062" s="306"/>
    </row>
    <row r="2063" spans="1:54" ht="15.75" customHeight="1">
      <c r="A2063" s="317"/>
      <c r="B2063" s="430"/>
      <c r="C2063" s="317"/>
      <c r="E2063" s="306"/>
      <c r="F2063" s="431"/>
      <c r="G2063" s="431"/>
      <c r="H2063" s="298"/>
      <c r="I2063" s="432"/>
      <c r="J2063" s="433"/>
      <c r="K2063" s="306"/>
      <c r="L2063" s="306"/>
      <c r="M2063" s="306"/>
      <c r="N2063" s="298"/>
      <c r="O2063" s="298"/>
      <c r="P2063" s="298"/>
      <c r="Q2063" s="306"/>
      <c r="R2063" s="1023"/>
      <c r="S2063" s="1023"/>
      <c r="T2063" s="306"/>
      <c r="U2063" s="306"/>
      <c r="V2063" s="306"/>
      <c r="W2063" s="306"/>
      <c r="X2063" s="306"/>
      <c r="Y2063" s="306"/>
      <c r="Z2063" s="306"/>
      <c r="AA2063" s="306"/>
      <c r="AB2063" s="306"/>
      <c r="AC2063" s="306"/>
      <c r="AD2063" s="306"/>
      <c r="AE2063" s="306"/>
      <c r="AF2063" s="306"/>
      <c r="AG2063" s="306"/>
      <c r="AH2063" s="306"/>
      <c r="AI2063" s="306"/>
      <c r="AJ2063" s="306"/>
      <c r="AK2063" s="306"/>
      <c r="AL2063" s="306"/>
      <c r="AM2063" s="418"/>
      <c r="AN2063" s="418"/>
      <c r="AO2063" s="306"/>
      <c r="AP2063" s="306"/>
      <c r="AQ2063" s="418"/>
      <c r="AR2063" s="306"/>
      <c r="AS2063" s="306"/>
      <c r="AT2063" s="418"/>
      <c r="AU2063" s="306"/>
      <c r="AV2063" s="306"/>
      <c r="AW2063" s="306"/>
      <c r="AX2063" s="306"/>
      <c r="AY2063" s="306"/>
      <c r="AZ2063" s="306"/>
      <c r="BA2063" s="306"/>
      <c r="BB2063" s="306"/>
    </row>
    <row r="2064" spans="1:54" ht="15.75" customHeight="1">
      <c r="A2064" s="317"/>
      <c r="B2064" s="430"/>
      <c r="C2064" s="317"/>
      <c r="E2064" s="306"/>
      <c r="F2064" s="431"/>
      <c r="G2064" s="431"/>
      <c r="H2064" s="298"/>
      <c r="I2064" s="432"/>
      <c r="J2064" s="433"/>
      <c r="K2064" s="306"/>
      <c r="L2064" s="306"/>
      <c r="M2064" s="306"/>
      <c r="N2064" s="298"/>
      <c r="O2064" s="298"/>
      <c r="P2064" s="298"/>
      <c r="Q2064" s="306"/>
      <c r="R2064" s="1023"/>
      <c r="S2064" s="1023"/>
      <c r="T2064" s="306"/>
      <c r="U2064" s="306"/>
      <c r="V2064" s="306"/>
      <c r="W2064" s="306"/>
      <c r="X2064" s="306"/>
      <c r="Y2064" s="306"/>
      <c r="Z2064" s="306"/>
      <c r="AA2064" s="306"/>
      <c r="AB2064" s="306"/>
      <c r="AC2064" s="306"/>
      <c r="AD2064" s="306"/>
      <c r="AE2064" s="306"/>
      <c r="AF2064" s="306"/>
      <c r="AG2064" s="306"/>
      <c r="AH2064" s="306"/>
      <c r="AI2064" s="306"/>
      <c r="AJ2064" s="306"/>
      <c r="AK2064" s="306"/>
      <c r="AL2064" s="306"/>
      <c r="AM2064" s="418"/>
      <c r="AN2064" s="418"/>
      <c r="AO2064" s="306"/>
      <c r="AP2064" s="306"/>
      <c r="AQ2064" s="418"/>
      <c r="AR2064" s="306"/>
      <c r="AS2064" s="306"/>
      <c r="AT2064" s="418"/>
      <c r="AU2064" s="306"/>
      <c r="AV2064" s="306"/>
      <c r="AW2064" s="306"/>
      <c r="AX2064" s="306"/>
      <c r="AY2064" s="306"/>
      <c r="AZ2064" s="306"/>
      <c r="BA2064" s="306"/>
      <c r="BB2064" s="306"/>
    </row>
    <row r="2065" spans="1:54" ht="15.75" customHeight="1">
      <c r="A2065" s="317"/>
      <c r="B2065" s="430"/>
      <c r="C2065" s="317"/>
      <c r="E2065" s="306"/>
      <c r="F2065" s="431"/>
      <c r="G2065" s="431"/>
      <c r="H2065" s="298"/>
      <c r="I2065" s="432"/>
      <c r="J2065" s="433"/>
      <c r="K2065" s="306"/>
      <c r="L2065" s="306"/>
      <c r="M2065" s="306"/>
      <c r="N2065" s="298"/>
      <c r="O2065" s="298"/>
      <c r="P2065" s="298"/>
      <c r="Q2065" s="306"/>
      <c r="R2065" s="1023"/>
      <c r="S2065" s="1023"/>
      <c r="T2065" s="306"/>
      <c r="U2065" s="306"/>
      <c r="V2065" s="306"/>
      <c r="W2065" s="306"/>
      <c r="X2065" s="306"/>
      <c r="Y2065" s="306"/>
      <c r="Z2065" s="306"/>
      <c r="AA2065" s="306"/>
      <c r="AB2065" s="306"/>
      <c r="AC2065" s="306"/>
      <c r="AD2065" s="306"/>
      <c r="AE2065" s="306"/>
      <c r="AF2065" s="306"/>
      <c r="AG2065" s="306"/>
      <c r="AH2065" s="306"/>
      <c r="AI2065" s="306"/>
      <c r="AJ2065" s="306"/>
      <c r="AK2065" s="306"/>
      <c r="AL2065" s="306"/>
      <c r="AM2065" s="418"/>
      <c r="AN2065" s="418"/>
      <c r="AO2065" s="306"/>
      <c r="AP2065" s="306"/>
      <c r="AQ2065" s="418"/>
      <c r="AR2065" s="306"/>
      <c r="AS2065" s="306"/>
      <c r="AT2065" s="418"/>
      <c r="AU2065" s="306"/>
      <c r="AV2065" s="306"/>
      <c r="AW2065" s="306"/>
      <c r="AX2065" s="306"/>
      <c r="AY2065" s="306"/>
      <c r="AZ2065" s="306"/>
      <c r="BA2065" s="306"/>
      <c r="BB2065" s="306"/>
    </row>
    <row r="2066" spans="1:54" ht="15.75" customHeight="1">
      <c r="A2066" s="317"/>
      <c r="B2066" s="430"/>
      <c r="C2066" s="317"/>
      <c r="E2066" s="306"/>
      <c r="F2066" s="431"/>
      <c r="G2066" s="431"/>
      <c r="H2066" s="298"/>
      <c r="I2066" s="432"/>
      <c r="J2066" s="433"/>
      <c r="K2066" s="306"/>
      <c r="L2066" s="306"/>
      <c r="M2066" s="306"/>
      <c r="N2066" s="298"/>
      <c r="O2066" s="298"/>
      <c r="P2066" s="298"/>
      <c r="Q2066" s="306"/>
      <c r="R2066" s="1023"/>
      <c r="S2066" s="1023"/>
      <c r="T2066" s="306"/>
      <c r="U2066" s="306"/>
      <c r="V2066" s="306"/>
      <c r="W2066" s="306"/>
      <c r="X2066" s="306"/>
      <c r="Y2066" s="306"/>
      <c r="Z2066" s="306"/>
      <c r="AA2066" s="306"/>
      <c r="AB2066" s="306"/>
      <c r="AC2066" s="306"/>
      <c r="AD2066" s="306"/>
      <c r="AE2066" s="306"/>
      <c r="AF2066" s="306"/>
      <c r="AG2066" s="306"/>
      <c r="AH2066" s="306"/>
      <c r="AI2066" s="306"/>
      <c r="AJ2066" s="306"/>
      <c r="AK2066" s="306"/>
      <c r="AL2066" s="306"/>
      <c r="AM2066" s="418"/>
      <c r="AN2066" s="418"/>
      <c r="AO2066" s="306"/>
      <c r="AP2066" s="306"/>
      <c r="AQ2066" s="418"/>
      <c r="AR2066" s="306"/>
      <c r="AS2066" s="306"/>
      <c r="AT2066" s="418"/>
      <c r="AU2066" s="306"/>
      <c r="AV2066" s="306"/>
      <c r="AW2066" s="306"/>
      <c r="AX2066" s="306"/>
      <c r="AY2066" s="306"/>
      <c r="AZ2066" s="306"/>
      <c r="BA2066" s="306"/>
      <c r="BB2066" s="306"/>
    </row>
    <row r="2067" spans="1:54" ht="15.75" customHeight="1">
      <c r="A2067" s="317"/>
      <c r="B2067" s="430"/>
      <c r="C2067" s="317"/>
      <c r="E2067" s="306"/>
      <c r="F2067" s="431"/>
      <c r="G2067" s="431"/>
      <c r="H2067" s="298"/>
      <c r="I2067" s="432"/>
      <c r="J2067" s="433"/>
      <c r="K2067" s="306"/>
      <c r="L2067" s="306"/>
      <c r="M2067" s="306"/>
      <c r="N2067" s="298"/>
      <c r="O2067" s="298"/>
      <c r="P2067" s="298"/>
      <c r="Q2067" s="306"/>
      <c r="R2067" s="1023"/>
      <c r="S2067" s="1023"/>
      <c r="T2067" s="306"/>
      <c r="U2067" s="306"/>
      <c r="V2067" s="306"/>
      <c r="W2067" s="306"/>
      <c r="X2067" s="306"/>
      <c r="Y2067" s="306"/>
      <c r="Z2067" s="306"/>
      <c r="AA2067" s="306"/>
      <c r="AB2067" s="306"/>
      <c r="AC2067" s="306"/>
      <c r="AD2067" s="306"/>
      <c r="AE2067" s="306"/>
      <c r="AF2067" s="306"/>
      <c r="AG2067" s="306"/>
      <c r="AH2067" s="306"/>
      <c r="AI2067" s="306"/>
      <c r="AJ2067" s="306"/>
      <c r="AK2067" s="306"/>
      <c r="AL2067" s="306"/>
      <c r="AM2067" s="418"/>
      <c r="AN2067" s="418"/>
      <c r="AO2067" s="306"/>
      <c r="AP2067" s="306"/>
      <c r="AQ2067" s="418"/>
      <c r="AR2067" s="306"/>
      <c r="AS2067" s="306"/>
      <c r="AT2067" s="418"/>
      <c r="AU2067" s="306"/>
      <c r="AV2067" s="306"/>
      <c r="AW2067" s="306"/>
      <c r="AX2067" s="306"/>
      <c r="AY2067" s="306"/>
      <c r="AZ2067" s="306"/>
      <c r="BA2067" s="306"/>
      <c r="BB2067" s="306"/>
    </row>
    <row r="2068" spans="1:54" ht="15.75" customHeight="1">
      <c r="A2068" s="317"/>
      <c r="B2068" s="430"/>
      <c r="C2068" s="317"/>
      <c r="E2068" s="306"/>
      <c r="F2068" s="431"/>
      <c r="G2068" s="431"/>
      <c r="H2068" s="298"/>
      <c r="I2068" s="432"/>
      <c r="J2068" s="433"/>
      <c r="K2068" s="306"/>
      <c r="L2068" s="306"/>
      <c r="M2068" s="306"/>
      <c r="N2068" s="298"/>
      <c r="O2068" s="298"/>
      <c r="P2068" s="298"/>
      <c r="Q2068" s="306"/>
      <c r="R2068" s="1023"/>
      <c r="S2068" s="1023"/>
      <c r="T2068" s="306"/>
      <c r="U2068" s="306"/>
      <c r="V2068" s="306"/>
      <c r="W2068" s="306"/>
      <c r="X2068" s="306"/>
      <c r="Y2068" s="306"/>
      <c r="Z2068" s="306"/>
      <c r="AA2068" s="306"/>
      <c r="AB2068" s="306"/>
      <c r="AC2068" s="306"/>
      <c r="AD2068" s="306"/>
      <c r="AE2068" s="306"/>
      <c r="AF2068" s="306"/>
      <c r="AG2068" s="306"/>
      <c r="AH2068" s="306"/>
      <c r="AI2068" s="306"/>
      <c r="AJ2068" s="306"/>
      <c r="AK2068" s="306"/>
      <c r="AL2068" s="306"/>
      <c r="AM2068" s="418"/>
      <c r="AN2068" s="418"/>
      <c r="AO2068" s="306"/>
      <c r="AP2068" s="306"/>
      <c r="AQ2068" s="418"/>
      <c r="AR2068" s="306"/>
      <c r="AS2068" s="306"/>
      <c r="AT2068" s="418"/>
      <c r="AU2068" s="306"/>
      <c r="AV2068" s="306"/>
      <c r="AW2068" s="306"/>
      <c r="AX2068" s="306"/>
      <c r="AY2068" s="306"/>
      <c r="AZ2068" s="306"/>
      <c r="BA2068" s="306"/>
      <c r="BB2068" s="306"/>
    </row>
    <row r="2069" spans="1:54" ht="15.75" customHeight="1">
      <c r="A2069" s="317"/>
      <c r="B2069" s="430"/>
      <c r="C2069" s="317"/>
      <c r="E2069" s="306"/>
      <c r="F2069" s="431"/>
      <c r="G2069" s="431"/>
      <c r="H2069" s="298"/>
      <c r="I2069" s="432"/>
      <c r="J2069" s="433"/>
      <c r="K2069" s="306"/>
      <c r="L2069" s="306"/>
      <c r="M2069" s="306"/>
      <c r="N2069" s="298"/>
      <c r="O2069" s="298"/>
      <c r="P2069" s="298"/>
      <c r="Q2069" s="306"/>
      <c r="R2069" s="1023"/>
      <c r="S2069" s="1023"/>
      <c r="T2069" s="306"/>
      <c r="U2069" s="306"/>
      <c r="V2069" s="306"/>
      <c r="W2069" s="306"/>
      <c r="X2069" s="306"/>
      <c r="Y2069" s="306"/>
      <c r="Z2069" s="306"/>
      <c r="AA2069" s="306"/>
      <c r="AB2069" s="306"/>
      <c r="AC2069" s="306"/>
      <c r="AD2069" s="306"/>
      <c r="AE2069" s="306"/>
      <c r="AF2069" s="306"/>
      <c r="AG2069" s="306"/>
      <c r="AH2069" s="306"/>
      <c r="AI2069" s="306"/>
      <c r="AJ2069" s="306"/>
      <c r="AK2069" s="306"/>
      <c r="AL2069" s="306"/>
      <c r="AM2069" s="418"/>
      <c r="AN2069" s="418"/>
      <c r="AO2069" s="306"/>
      <c r="AP2069" s="306"/>
      <c r="AQ2069" s="418"/>
      <c r="AR2069" s="306"/>
      <c r="AS2069" s="306"/>
      <c r="AT2069" s="418"/>
      <c r="AU2069" s="306"/>
      <c r="AV2069" s="306"/>
      <c r="AW2069" s="306"/>
      <c r="AX2069" s="306"/>
      <c r="AY2069" s="306"/>
      <c r="AZ2069" s="306"/>
      <c r="BA2069" s="306"/>
      <c r="BB2069" s="306"/>
    </row>
    <row r="2070" spans="1:54" ht="15.75" customHeight="1">
      <c r="A2070" s="317"/>
      <c r="B2070" s="430"/>
      <c r="C2070" s="317"/>
      <c r="E2070" s="306"/>
      <c r="F2070" s="431"/>
      <c r="G2070" s="431"/>
      <c r="H2070" s="298"/>
      <c r="I2070" s="432"/>
      <c r="J2070" s="433"/>
      <c r="K2070" s="306"/>
      <c r="L2070" s="306"/>
      <c r="M2070" s="306"/>
      <c r="N2070" s="298"/>
      <c r="O2070" s="298"/>
      <c r="P2070" s="298"/>
      <c r="Q2070" s="306"/>
      <c r="R2070" s="1023"/>
      <c r="S2070" s="1023"/>
      <c r="T2070" s="306"/>
      <c r="U2070" s="306"/>
      <c r="V2070" s="306"/>
      <c r="W2070" s="306"/>
      <c r="X2070" s="306"/>
      <c r="Y2070" s="306"/>
      <c r="Z2070" s="306"/>
      <c r="AA2070" s="306"/>
      <c r="AB2070" s="306"/>
      <c r="AC2070" s="306"/>
      <c r="AD2070" s="306"/>
      <c r="AE2070" s="306"/>
      <c r="AF2070" s="306"/>
      <c r="AG2070" s="306"/>
      <c r="AH2070" s="306"/>
      <c r="AI2070" s="306"/>
      <c r="AJ2070" s="306"/>
      <c r="AK2070" s="306"/>
      <c r="AL2070" s="306"/>
      <c r="AM2070" s="418"/>
      <c r="AN2070" s="418"/>
      <c r="AO2070" s="306"/>
      <c r="AP2070" s="306"/>
      <c r="AQ2070" s="418"/>
      <c r="AR2070" s="306"/>
      <c r="AS2070" s="306"/>
      <c r="AT2070" s="418"/>
      <c r="AU2070" s="306"/>
      <c r="AV2070" s="306"/>
      <c r="AW2070" s="306"/>
      <c r="AX2070" s="306"/>
      <c r="AY2070" s="306"/>
      <c r="AZ2070" s="306"/>
      <c r="BA2070" s="306"/>
      <c r="BB2070" s="306"/>
    </row>
    <row r="2071" spans="1:54" ht="15.75" customHeight="1">
      <c r="A2071" s="317"/>
      <c r="B2071" s="430"/>
      <c r="C2071" s="317"/>
      <c r="E2071" s="306"/>
      <c r="F2071" s="431"/>
      <c r="G2071" s="431"/>
      <c r="H2071" s="298"/>
      <c r="I2071" s="432"/>
      <c r="J2071" s="433"/>
      <c r="K2071" s="306"/>
      <c r="L2071" s="306"/>
      <c r="M2071" s="306"/>
      <c r="N2071" s="298"/>
      <c r="O2071" s="298"/>
      <c r="P2071" s="298"/>
      <c r="Q2071" s="306"/>
      <c r="R2071" s="1023"/>
      <c r="S2071" s="1023"/>
      <c r="T2071" s="306"/>
      <c r="U2071" s="306"/>
      <c r="V2071" s="306"/>
      <c r="W2071" s="306"/>
      <c r="X2071" s="306"/>
      <c r="Y2071" s="306"/>
      <c r="Z2071" s="306"/>
      <c r="AA2071" s="306"/>
      <c r="AB2071" s="306"/>
      <c r="AC2071" s="306"/>
      <c r="AD2071" s="306"/>
      <c r="AE2071" s="306"/>
      <c r="AF2071" s="306"/>
      <c r="AG2071" s="306"/>
      <c r="AH2071" s="306"/>
      <c r="AI2071" s="306"/>
      <c r="AJ2071" s="306"/>
      <c r="AK2071" s="306"/>
      <c r="AL2071" s="306"/>
      <c r="AM2071" s="418"/>
      <c r="AN2071" s="418"/>
      <c r="AO2071" s="306"/>
      <c r="AP2071" s="306"/>
      <c r="AQ2071" s="418"/>
      <c r="AR2071" s="306"/>
      <c r="AS2071" s="306"/>
      <c r="AT2071" s="418"/>
      <c r="AU2071" s="306"/>
      <c r="AV2071" s="306"/>
      <c r="AW2071" s="306"/>
      <c r="AX2071" s="306"/>
      <c r="AY2071" s="306"/>
      <c r="AZ2071" s="306"/>
      <c r="BA2071" s="306"/>
      <c r="BB2071" s="306"/>
    </row>
    <row r="2072" spans="1:54" ht="15.75" customHeight="1">
      <c r="A2072" s="317"/>
      <c r="B2072" s="430"/>
      <c r="C2072" s="317"/>
      <c r="E2072" s="306"/>
      <c r="F2072" s="431"/>
      <c r="G2072" s="431"/>
      <c r="H2072" s="298"/>
      <c r="I2072" s="432"/>
      <c r="J2072" s="433"/>
      <c r="K2072" s="306"/>
      <c r="L2072" s="306"/>
      <c r="M2072" s="306"/>
      <c r="N2072" s="298"/>
      <c r="O2072" s="298"/>
      <c r="P2072" s="298"/>
      <c r="Q2072" s="306"/>
      <c r="R2072" s="1023"/>
      <c r="S2072" s="1023"/>
      <c r="T2072" s="306"/>
      <c r="U2072" s="306"/>
      <c r="V2072" s="306"/>
      <c r="W2072" s="306"/>
      <c r="X2072" s="306"/>
      <c r="Y2072" s="306"/>
      <c r="Z2072" s="306"/>
      <c r="AA2072" s="306"/>
      <c r="AB2072" s="306"/>
      <c r="AC2072" s="306"/>
      <c r="AD2072" s="306"/>
      <c r="AE2072" s="306"/>
      <c r="AF2072" s="306"/>
      <c r="AG2072" s="306"/>
      <c r="AH2072" s="306"/>
      <c r="AI2072" s="306"/>
      <c r="AJ2072" s="306"/>
      <c r="AK2072" s="306"/>
      <c r="AL2072" s="306"/>
      <c r="AM2072" s="418"/>
      <c r="AN2072" s="418"/>
      <c r="AO2072" s="306"/>
      <c r="AP2072" s="306"/>
      <c r="AQ2072" s="418"/>
      <c r="AR2072" s="306"/>
      <c r="AS2072" s="306"/>
      <c r="AT2072" s="418"/>
      <c r="AU2072" s="306"/>
      <c r="AV2072" s="306"/>
      <c r="AW2072" s="306"/>
      <c r="AX2072" s="306"/>
      <c r="AY2072" s="306"/>
      <c r="AZ2072" s="306"/>
      <c r="BA2072" s="306"/>
      <c r="BB2072" s="306"/>
    </row>
    <row r="2073" spans="1:54" ht="15.75" customHeight="1">
      <c r="A2073" s="317"/>
      <c r="B2073" s="430"/>
      <c r="C2073" s="317"/>
      <c r="E2073" s="306"/>
      <c r="F2073" s="431"/>
      <c r="G2073" s="431"/>
      <c r="H2073" s="298"/>
      <c r="I2073" s="432"/>
      <c r="J2073" s="433"/>
      <c r="K2073" s="306"/>
      <c r="L2073" s="306"/>
      <c r="M2073" s="306"/>
      <c r="N2073" s="298"/>
      <c r="O2073" s="298"/>
      <c r="P2073" s="298"/>
      <c r="Q2073" s="306"/>
      <c r="R2073" s="1023"/>
      <c r="S2073" s="1023"/>
      <c r="T2073" s="306"/>
      <c r="U2073" s="306"/>
      <c r="V2073" s="306"/>
      <c r="W2073" s="306"/>
      <c r="X2073" s="306"/>
      <c r="Y2073" s="306"/>
      <c r="Z2073" s="306"/>
      <c r="AA2073" s="306"/>
      <c r="AB2073" s="306"/>
      <c r="AC2073" s="306"/>
      <c r="AD2073" s="306"/>
      <c r="AE2073" s="306"/>
      <c r="AF2073" s="306"/>
      <c r="AG2073" s="306"/>
      <c r="AH2073" s="306"/>
      <c r="AI2073" s="306"/>
      <c r="AJ2073" s="306"/>
      <c r="AK2073" s="306"/>
      <c r="AL2073" s="306"/>
      <c r="AM2073" s="418"/>
      <c r="AN2073" s="418"/>
      <c r="AO2073" s="306"/>
      <c r="AP2073" s="306"/>
      <c r="AQ2073" s="418"/>
      <c r="AR2073" s="306"/>
      <c r="AS2073" s="306"/>
      <c r="AT2073" s="418"/>
      <c r="AU2073" s="306"/>
      <c r="AV2073" s="306"/>
      <c r="AW2073" s="306"/>
      <c r="AX2073" s="306"/>
      <c r="AY2073" s="306"/>
      <c r="AZ2073" s="306"/>
      <c r="BA2073" s="306"/>
      <c r="BB2073" s="306"/>
    </row>
    <row r="2074" spans="1:54" ht="15.75" customHeight="1">
      <c r="A2074" s="317"/>
      <c r="B2074" s="430"/>
      <c r="C2074" s="317"/>
      <c r="E2074" s="306"/>
      <c r="F2074" s="431"/>
      <c r="G2074" s="431"/>
      <c r="H2074" s="298"/>
      <c r="I2074" s="432"/>
      <c r="J2074" s="433"/>
      <c r="K2074" s="306"/>
      <c r="L2074" s="306"/>
      <c r="M2074" s="306"/>
      <c r="N2074" s="298"/>
      <c r="O2074" s="298"/>
      <c r="P2074" s="298"/>
      <c r="Q2074" s="306"/>
      <c r="R2074" s="1023"/>
      <c r="S2074" s="1023"/>
      <c r="T2074" s="306"/>
      <c r="U2074" s="306"/>
      <c r="V2074" s="306"/>
      <c r="W2074" s="306"/>
      <c r="X2074" s="306"/>
      <c r="Y2074" s="306"/>
      <c r="Z2074" s="306"/>
      <c r="AA2074" s="306"/>
      <c r="AB2074" s="306"/>
      <c r="AC2074" s="306"/>
      <c r="AD2074" s="306"/>
      <c r="AE2074" s="306"/>
      <c r="AF2074" s="306"/>
      <c r="AG2074" s="306"/>
      <c r="AH2074" s="306"/>
      <c r="AI2074" s="306"/>
      <c r="AJ2074" s="306"/>
      <c r="AK2074" s="306"/>
      <c r="AL2074" s="306"/>
      <c r="AM2074" s="418"/>
      <c r="AN2074" s="418"/>
      <c r="AO2074" s="306"/>
      <c r="AP2074" s="306"/>
      <c r="AQ2074" s="418"/>
      <c r="AR2074" s="306"/>
      <c r="AS2074" s="306"/>
      <c r="AT2074" s="418"/>
      <c r="AU2074" s="306"/>
      <c r="AV2074" s="306"/>
      <c r="AW2074" s="306"/>
      <c r="AX2074" s="306"/>
      <c r="AY2074" s="306"/>
      <c r="AZ2074" s="306"/>
      <c r="BA2074" s="306"/>
      <c r="BB2074" s="306"/>
    </row>
    <row r="2075" spans="1:54" ht="15.75" customHeight="1">
      <c r="A2075" s="317"/>
      <c r="B2075" s="430"/>
      <c r="C2075" s="317"/>
      <c r="E2075" s="306"/>
      <c r="F2075" s="431"/>
      <c r="G2075" s="431"/>
      <c r="H2075" s="298"/>
      <c r="I2075" s="432"/>
      <c r="J2075" s="433"/>
      <c r="K2075" s="306"/>
      <c r="L2075" s="306"/>
      <c r="M2075" s="306"/>
      <c r="N2075" s="298"/>
      <c r="O2075" s="298"/>
      <c r="P2075" s="298"/>
      <c r="Q2075" s="306"/>
      <c r="R2075" s="1023"/>
      <c r="S2075" s="1023"/>
      <c r="T2075" s="306"/>
      <c r="U2075" s="306"/>
      <c r="V2075" s="306"/>
      <c r="W2075" s="306"/>
      <c r="X2075" s="306"/>
      <c r="Y2075" s="306"/>
      <c r="Z2075" s="306"/>
      <c r="AA2075" s="306"/>
      <c r="AB2075" s="306"/>
      <c r="AC2075" s="306"/>
      <c r="AD2075" s="306"/>
      <c r="AE2075" s="306"/>
      <c r="AF2075" s="306"/>
      <c r="AG2075" s="306"/>
      <c r="AH2075" s="306"/>
      <c r="AI2075" s="306"/>
      <c r="AJ2075" s="306"/>
      <c r="AK2075" s="306"/>
      <c r="AL2075" s="306"/>
      <c r="AM2075" s="418"/>
      <c r="AN2075" s="418"/>
      <c r="AO2075" s="306"/>
      <c r="AP2075" s="306"/>
      <c r="AQ2075" s="418"/>
      <c r="AR2075" s="306"/>
      <c r="AS2075" s="306"/>
      <c r="AT2075" s="418"/>
      <c r="AU2075" s="306"/>
      <c r="AV2075" s="306"/>
      <c r="AW2075" s="306"/>
      <c r="AX2075" s="306"/>
      <c r="AY2075" s="306"/>
      <c r="AZ2075" s="306"/>
      <c r="BA2075" s="306"/>
      <c r="BB2075" s="306"/>
    </row>
    <row r="2076" spans="1:54" ht="15.75" customHeight="1">
      <c r="A2076" s="317"/>
      <c r="B2076" s="430"/>
      <c r="C2076" s="317"/>
      <c r="E2076" s="306"/>
      <c r="F2076" s="431"/>
      <c r="G2076" s="431"/>
      <c r="H2076" s="298"/>
      <c r="I2076" s="432"/>
      <c r="J2076" s="433"/>
      <c r="K2076" s="306"/>
      <c r="L2076" s="306"/>
      <c r="M2076" s="306"/>
      <c r="N2076" s="298"/>
      <c r="O2076" s="298"/>
      <c r="P2076" s="298"/>
      <c r="Q2076" s="306"/>
      <c r="R2076" s="1023"/>
      <c r="S2076" s="1023"/>
      <c r="T2076" s="306"/>
      <c r="U2076" s="306"/>
      <c r="V2076" s="306"/>
      <c r="W2076" s="306"/>
      <c r="X2076" s="306"/>
      <c r="Y2076" s="306"/>
      <c r="Z2076" s="306"/>
      <c r="AA2076" s="306"/>
      <c r="AB2076" s="306"/>
      <c r="AC2076" s="306"/>
      <c r="AD2076" s="306"/>
      <c r="AE2076" s="306"/>
      <c r="AF2076" s="306"/>
      <c r="AG2076" s="306"/>
      <c r="AH2076" s="306"/>
      <c r="AI2076" s="306"/>
      <c r="AJ2076" s="306"/>
      <c r="AK2076" s="306"/>
      <c r="AL2076" s="306"/>
      <c r="AM2076" s="418"/>
      <c r="AN2076" s="418"/>
      <c r="AO2076" s="306"/>
      <c r="AP2076" s="306"/>
      <c r="AQ2076" s="418"/>
      <c r="AR2076" s="306"/>
      <c r="AS2076" s="306"/>
      <c r="AT2076" s="418"/>
      <c r="AU2076" s="306"/>
      <c r="AV2076" s="306"/>
      <c r="AW2076" s="306"/>
      <c r="AX2076" s="306"/>
      <c r="AY2076" s="306"/>
      <c r="AZ2076" s="306"/>
      <c r="BA2076" s="306"/>
      <c r="BB2076" s="306"/>
    </row>
    <row r="2077" spans="1:54" ht="15.75" customHeight="1">
      <c r="A2077" s="317"/>
      <c r="B2077" s="430"/>
      <c r="C2077" s="317"/>
      <c r="E2077" s="306"/>
      <c r="F2077" s="431"/>
      <c r="G2077" s="431"/>
      <c r="H2077" s="298"/>
      <c r="I2077" s="432"/>
      <c r="J2077" s="433"/>
      <c r="K2077" s="306"/>
      <c r="L2077" s="306"/>
      <c r="M2077" s="306"/>
      <c r="N2077" s="298"/>
      <c r="O2077" s="298"/>
      <c r="P2077" s="298"/>
      <c r="Q2077" s="306"/>
      <c r="R2077" s="1023"/>
      <c r="S2077" s="1023"/>
      <c r="T2077" s="306"/>
      <c r="U2077" s="306"/>
      <c r="V2077" s="306"/>
      <c r="W2077" s="306"/>
      <c r="X2077" s="306"/>
      <c r="Y2077" s="306"/>
      <c r="Z2077" s="306"/>
      <c r="AA2077" s="306"/>
      <c r="AB2077" s="306"/>
      <c r="AC2077" s="306"/>
      <c r="AD2077" s="306"/>
      <c r="AE2077" s="306"/>
      <c r="AF2077" s="306"/>
      <c r="AG2077" s="306"/>
      <c r="AH2077" s="306"/>
      <c r="AI2077" s="306"/>
      <c r="AJ2077" s="306"/>
      <c r="AK2077" s="306"/>
      <c r="AL2077" s="306"/>
      <c r="AM2077" s="418"/>
      <c r="AN2077" s="418"/>
      <c r="AO2077" s="306"/>
      <c r="AP2077" s="306"/>
      <c r="AQ2077" s="418"/>
      <c r="AR2077" s="306"/>
      <c r="AS2077" s="306"/>
      <c r="AT2077" s="418"/>
      <c r="AU2077" s="306"/>
      <c r="AV2077" s="306"/>
      <c r="AW2077" s="306"/>
      <c r="AX2077" s="306"/>
      <c r="AY2077" s="306"/>
      <c r="AZ2077" s="306"/>
      <c r="BA2077" s="306"/>
      <c r="BB2077" s="306"/>
    </row>
    <row r="2078" spans="1:54" ht="15.75" customHeight="1">
      <c r="A2078" s="317"/>
      <c r="B2078" s="430"/>
      <c r="C2078" s="317"/>
      <c r="E2078" s="306"/>
      <c r="F2078" s="431"/>
      <c r="G2078" s="431"/>
      <c r="H2078" s="298"/>
      <c r="I2078" s="432"/>
      <c r="J2078" s="433"/>
      <c r="K2078" s="306"/>
      <c r="L2078" s="306"/>
      <c r="M2078" s="306"/>
      <c r="N2078" s="298"/>
      <c r="O2078" s="306"/>
      <c r="P2078" s="298"/>
      <c r="Q2078" s="306"/>
      <c r="R2078" s="1023"/>
      <c r="S2078" s="1023"/>
      <c r="T2078" s="306"/>
      <c r="U2078" s="306"/>
      <c r="V2078" s="306"/>
      <c r="W2078" s="306"/>
      <c r="X2078" s="306"/>
      <c r="Y2078" s="306"/>
      <c r="Z2078" s="306"/>
      <c r="AA2078" s="306"/>
      <c r="AB2078" s="306"/>
      <c r="AC2078" s="306"/>
      <c r="AD2078" s="306"/>
      <c r="AE2078" s="306"/>
      <c r="AF2078" s="306"/>
      <c r="AG2078" s="306"/>
      <c r="AH2078" s="306"/>
      <c r="AI2078" s="306"/>
      <c r="AJ2078" s="306"/>
      <c r="AK2078" s="306"/>
      <c r="AL2078" s="306"/>
      <c r="AM2078" s="418"/>
      <c r="AN2078" s="418"/>
      <c r="AO2078" s="306"/>
      <c r="AP2078" s="306"/>
      <c r="AQ2078" s="418"/>
      <c r="AR2078" s="306"/>
      <c r="AS2078" s="306"/>
      <c r="AT2078" s="418"/>
      <c r="AU2078" s="306"/>
      <c r="AV2078" s="306"/>
      <c r="AW2078" s="306"/>
      <c r="AX2078" s="306"/>
      <c r="AY2078" s="306"/>
      <c r="AZ2078" s="306"/>
      <c r="BA2078" s="306"/>
      <c r="BB2078" s="306"/>
    </row>
    <row r="2079" spans="1:54" ht="15.75" customHeight="1">
      <c r="A2079" s="317"/>
      <c r="B2079" s="430"/>
      <c r="C2079" s="317"/>
      <c r="E2079" s="306"/>
      <c r="F2079" s="431"/>
      <c r="G2079" s="431"/>
      <c r="H2079" s="298"/>
      <c r="I2079" s="431"/>
      <c r="J2079" s="435"/>
      <c r="K2079" s="306"/>
      <c r="L2079" s="306"/>
      <c r="M2079" s="306"/>
      <c r="N2079" s="298"/>
      <c r="O2079" s="306"/>
      <c r="P2079" s="298"/>
      <c r="Q2079" s="306"/>
      <c r="R2079" s="1023"/>
      <c r="S2079" s="1023"/>
      <c r="T2079" s="306"/>
      <c r="U2079" s="306"/>
      <c r="V2079" s="306"/>
      <c r="W2079" s="306"/>
      <c r="X2079" s="306"/>
      <c r="Y2079" s="306"/>
      <c r="Z2079" s="306"/>
      <c r="AA2079" s="306"/>
      <c r="AB2079" s="306"/>
      <c r="AC2079" s="306"/>
      <c r="AD2079" s="306"/>
      <c r="AE2079" s="306"/>
      <c r="AF2079" s="306"/>
      <c r="AG2079" s="306"/>
      <c r="AH2079" s="306"/>
      <c r="AI2079" s="306"/>
      <c r="AJ2079" s="306"/>
      <c r="AK2079" s="306"/>
      <c r="AL2079" s="306"/>
      <c r="AM2079" s="418"/>
      <c r="AN2079" s="418"/>
      <c r="AO2079" s="306"/>
      <c r="AP2079" s="306"/>
      <c r="AQ2079" s="418"/>
      <c r="AR2079" s="306"/>
      <c r="AS2079" s="306"/>
      <c r="AT2079" s="418"/>
      <c r="AU2079" s="306"/>
      <c r="AV2079" s="306"/>
      <c r="AW2079" s="306"/>
      <c r="AX2079" s="306"/>
      <c r="AY2079" s="306"/>
      <c r="AZ2079" s="306"/>
      <c r="BA2079" s="306"/>
      <c r="BB2079" s="306"/>
    </row>
    <row r="2080" spans="1:54" ht="15.75" customHeight="1">
      <c r="A2080" s="317"/>
      <c r="B2080" s="430"/>
      <c r="C2080" s="317"/>
      <c r="E2080" s="306"/>
      <c r="F2080" s="431"/>
      <c r="G2080" s="431"/>
      <c r="H2080" s="298"/>
      <c r="I2080" s="431"/>
      <c r="J2080" s="435"/>
      <c r="K2080" s="306"/>
      <c r="L2080" s="306"/>
      <c r="M2080" s="306"/>
      <c r="N2080" s="298"/>
      <c r="O2080" s="306"/>
      <c r="P2080" s="298"/>
      <c r="Q2080" s="306"/>
      <c r="R2080" s="1023"/>
      <c r="S2080" s="1023"/>
      <c r="T2080" s="306"/>
      <c r="U2080" s="306"/>
      <c r="V2080" s="306"/>
      <c r="W2080" s="306"/>
      <c r="X2080" s="306"/>
      <c r="Y2080" s="306"/>
      <c r="Z2080" s="306"/>
      <c r="AA2080" s="306"/>
      <c r="AB2080" s="306"/>
      <c r="AC2080" s="306"/>
      <c r="AD2080" s="306"/>
      <c r="AE2080" s="306"/>
      <c r="AF2080" s="306"/>
      <c r="AG2080" s="306"/>
      <c r="AH2080" s="306"/>
      <c r="AI2080" s="306"/>
      <c r="AJ2080" s="306"/>
      <c r="AK2080" s="306"/>
      <c r="AL2080" s="306"/>
      <c r="AM2080" s="418"/>
      <c r="AN2080" s="418"/>
      <c r="AO2080" s="306"/>
      <c r="AP2080" s="306"/>
      <c r="AQ2080" s="418"/>
      <c r="AR2080" s="306"/>
      <c r="AS2080" s="306"/>
      <c r="AT2080" s="418"/>
      <c r="AU2080" s="306"/>
      <c r="AV2080" s="306"/>
      <c r="AW2080" s="306"/>
      <c r="AX2080" s="306"/>
      <c r="AY2080" s="306"/>
      <c r="AZ2080" s="306"/>
      <c r="BA2080" s="306"/>
      <c r="BB2080" s="306"/>
    </row>
    <row r="2081" spans="1:54" ht="15.75" customHeight="1">
      <c r="A2081" s="317"/>
      <c r="B2081" s="430"/>
      <c r="C2081" s="317"/>
      <c r="E2081" s="306"/>
      <c r="F2081" s="431"/>
      <c r="G2081" s="431"/>
      <c r="H2081" s="298"/>
      <c r="I2081" s="431"/>
      <c r="J2081" s="435"/>
      <c r="K2081" s="306"/>
      <c r="L2081" s="306"/>
      <c r="M2081" s="306"/>
      <c r="N2081" s="298"/>
      <c r="O2081" s="298"/>
      <c r="P2081" s="298"/>
      <c r="Q2081" s="306"/>
      <c r="R2081" s="1023"/>
      <c r="S2081" s="1023"/>
      <c r="T2081" s="306"/>
      <c r="U2081" s="306"/>
      <c r="V2081" s="306"/>
      <c r="W2081" s="306"/>
      <c r="X2081" s="306"/>
      <c r="Y2081" s="306"/>
      <c r="Z2081" s="306"/>
      <c r="AA2081" s="306"/>
      <c r="AB2081" s="306"/>
      <c r="AC2081" s="306"/>
      <c r="AD2081" s="306"/>
      <c r="AE2081" s="306"/>
      <c r="AF2081" s="306"/>
      <c r="AG2081" s="306"/>
      <c r="AH2081" s="306"/>
      <c r="AI2081" s="306"/>
      <c r="AJ2081" s="306"/>
      <c r="AK2081" s="306"/>
      <c r="AL2081" s="306"/>
      <c r="AM2081" s="418"/>
      <c r="AN2081" s="418"/>
      <c r="AO2081" s="306"/>
      <c r="AP2081" s="306"/>
      <c r="AQ2081" s="418"/>
      <c r="AR2081" s="306"/>
      <c r="AS2081" s="306"/>
      <c r="AT2081" s="418"/>
      <c r="AU2081" s="306"/>
      <c r="AV2081" s="306"/>
      <c r="AW2081" s="306"/>
      <c r="AX2081" s="306"/>
      <c r="AY2081" s="306"/>
      <c r="AZ2081" s="306"/>
      <c r="BA2081" s="306"/>
      <c r="BB2081" s="306"/>
    </row>
    <row r="2082" spans="1:54" ht="15.75" customHeight="1">
      <c r="A2082" s="317"/>
      <c r="B2082" s="430"/>
      <c r="C2082" s="317"/>
      <c r="E2082" s="306"/>
      <c r="F2082" s="431"/>
      <c r="G2082" s="431"/>
      <c r="H2082" s="298"/>
      <c r="I2082" s="432"/>
      <c r="J2082" s="433"/>
      <c r="K2082" s="306"/>
      <c r="L2082" s="306"/>
      <c r="M2082" s="306"/>
      <c r="N2082" s="298"/>
      <c r="O2082" s="298"/>
      <c r="P2082" s="298"/>
      <c r="Q2082" s="306"/>
      <c r="R2082" s="1023"/>
      <c r="S2082" s="1023"/>
      <c r="T2082" s="306"/>
      <c r="U2082" s="306"/>
      <c r="V2082" s="306"/>
      <c r="W2082" s="306"/>
      <c r="X2082" s="306"/>
      <c r="Y2082" s="306"/>
      <c r="Z2082" s="306"/>
      <c r="AA2082" s="306"/>
      <c r="AB2082" s="306"/>
      <c r="AC2082" s="306"/>
      <c r="AD2082" s="306"/>
      <c r="AE2082" s="306"/>
      <c r="AF2082" s="306"/>
      <c r="AG2082" s="306"/>
      <c r="AH2082" s="306"/>
      <c r="AI2082" s="306"/>
      <c r="AJ2082" s="306"/>
      <c r="AK2082" s="306"/>
      <c r="AL2082" s="306"/>
      <c r="AM2082" s="418"/>
      <c r="AN2082" s="418"/>
      <c r="AO2082" s="306"/>
      <c r="AP2082" s="306"/>
      <c r="AQ2082" s="418"/>
      <c r="AR2082" s="306"/>
      <c r="AS2082" s="306"/>
      <c r="AT2082" s="418"/>
      <c r="AU2082" s="306"/>
      <c r="AV2082" s="306"/>
      <c r="AW2082" s="306"/>
      <c r="AX2082" s="306"/>
      <c r="AY2082" s="306"/>
      <c r="AZ2082" s="306"/>
      <c r="BA2082" s="306"/>
      <c r="BB2082" s="306"/>
    </row>
    <row r="2083" spans="1:54" ht="15.75" customHeight="1">
      <c r="A2083" s="317"/>
      <c r="B2083" s="430"/>
      <c r="C2083" s="317"/>
      <c r="E2083" s="306"/>
      <c r="F2083" s="431"/>
      <c r="G2083" s="431"/>
      <c r="H2083" s="298"/>
      <c r="I2083" s="432"/>
      <c r="J2083" s="433"/>
      <c r="K2083" s="306"/>
      <c r="L2083" s="306"/>
      <c r="M2083" s="306"/>
      <c r="N2083" s="298"/>
      <c r="O2083" s="298"/>
      <c r="P2083" s="298"/>
      <c r="Q2083" s="306"/>
      <c r="R2083" s="1023"/>
      <c r="S2083" s="1023"/>
      <c r="T2083" s="306"/>
      <c r="U2083" s="306"/>
      <c r="V2083" s="306"/>
      <c r="W2083" s="306"/>
      <c r="X2083" s="306"/>
      <c r="Y2083" s="306"/>
      <c r="Z2083" s="306"/>
      <c r="AA2083" s="306"/>
      <c r="AB2083" s="306"/>
      <c r="AC2083" s="306"/>
      <c r="AD2083" s="306"/>
      <c r="AE2083" s="306"/>
      <c r="AF2083" s="306"/>
      <c r="AG2083" s="306"/>
      <c r="AH2083" s="306"/>
      <c r="AI2083" s="306"/>
      <c r="AJ2083" s="306"/>
      <c r="AK2083" s="306"/>
      <c r="AL2083" s="306"/>
      <c r="AM2083" s="418"/>
      <c r="AN2083" s="418"/>
      <c r="AO2083" s="306"/>
      <c r="AP2083" s="306"/>
      <c r="AQ2083" s="418"/>
      <c r="AR2083" s="306"/>
      <c r="AS2083" s="306"/>
      <c r="AT2083" s="418"/>
      <c r="AU2083" s="306"/>
      <c r="AV2083" s="306"/>
      <c r="AW2083" s="306"/>
      <c r="AX2083" s="306"/>
      <c r="AY2083" s="306"/>
      <c r="AZ2083" s="306"/>
      <c r="BA2083" s="306"/>
      <c r="BB2083" s="306"/>
    </row>
    <row r="2084" spans="1:54" ht="15.75" customHeight="1">
      <c r="A2084" s="317"/>
      <c r="B2084" s="430"/>
      <c r="C2084" s="317"/>
      <c r="E2084" s="306"/>
      <c r="F2084" s="431"/>
      <c r="G2084" s="431"/>
      <c r="H2084" s="298"/>
      <c r="I2084" s="432"/>
      <c r="J2084" s="433"/>
      <c r="K2084" s="306"/>
      <c r="L2084" s="306"/>
      <c r="M2084" s="306"/>
      <c r="N2084" s="298"/>
      <c r="O2084" s="298"/>
      <c r="P2084" s="298"/>
      <c r="Q2084" s="306"/>
      <c r="R2084" s="1023"/>
      <c r="S2084" s="1023"/>
      <c r="T2084" s="306"/>
      <c r="U2084" s="306"/>
      <c r="V2084" s="306"/>
      <c r="W2084" s="306"/>
      <c r="X2084" s="306"/>
      <c r="Y2084" s="306"/>
      <c r="Z2084" s="306"/>
      <c r="AA2084" s="306"/>
      <c r="AB2084" s="306"/>
      <c r="AC2084" s="306"/>
      <c r="AD2084" s="306"/>
      <c r="AE2084" s="306"/>
      <c r="AF2084" s="306"/>
      <c r="AG2084" s="306"/>
      <c r="AH2084" s="306"/>
      <c r="AI2084" s="306"/>
      <c r="AJ2084" s="306"/>
      <c r="AK2084" s="306"/>
      <c r="AL2084" s="306"/>
      <c r="AM2084" s="418"/>
      <c r="AN2084" s="418"/>
      <c r="AO2084" s="306"/>
      <c r="AP2084" s="306"/>
      <c r="AQ2084" s="418"/>
      <c r="AR2084" s="306"/>
      <c r="AS2084" s="306"/>
      <c r="AT2084" s="418"/>
      <c r="AU2084" s="306"/>
      <c r="AV2084" s="306"/>
      <c r="AW2084" s="306"/>
      <c r="AX2084" s="306"/>
      <c r="AY2084" s="306"/>
      <c r="AZ2084" s="306"/>
      <c r="BA2084" s="306"/>
      <c r="BB2084" s="306"/>
    </row>
    <row r="2085" spans="1:54" ht="15.75" customHeight="1">
      <c r="A2085" s="317"/>
      <c r="B2085" s="430"/>
      <c r="C2085" s="317"/>
      <c r="E2085" s="306"/>
      <c r="F2085" s="431"/>
      <c r="G2085" s="431"/>
      <c r="H2085" s="298"/>
      <c r="I2085" s="432"/>
      <c r="J2085" s="433"/>
      <c r="K2085" s="306"/>
      <c r="L2085" s="306"/>
      <c r="M2085" s="306"/>
      <c r="N2085" s="298"/>
      <c r="O2085" s="298"/>
      <c r="P2085" s="298"/>
      <c r="Q2085" s="306"/>
      <c r="R2085" s="1023"/>
      <c r="S2085" s="1023"/>
      <c r="T2085" s="306"/>
      <c r="U2085" s="306"/>
      <c r="V2085" s="306"/>
      <c r="W2085" s="306"/>
      <c r="X2085" s="306"/>
      <c r="Y2085" s="306"/>
      <c r="Z2085" s="306"/>
      <c r="AA2085" s="306"/>
      <c r="AB2085" s="306"/>
      <c r="AC2085" s="306"/>
      <c r="AD2085" s="306"/>
      <c r="AE2085" s="306"/>
      <c r="AF2085" s="306"/>
      <c r="AG2085" s="306"/>
      <c r="AH2085" s="306"/>
      <c r="AI2085" s="306"/>
      <c r="AJ2085" s="306"/>
      <c r="AK2085" s="306"/>
      <c r="AL2085" s="306"/>
      <c r="AM2085" s="418"/>
      <c r="AN2085" s="418"/>
      <c r="AO2085" s="306"/>
      <c r="AP2085" s="306"/>
      <c r="AQ2085" s="418"/>
      <c r="AR2085" s="306"/>
      <c r="AS2085" s="306"/>
      <c r="AT2085" s="418"/>
      <c r="AU2085" s="306"/>
      <c r="AV2085" s="306"/>
      <c r="AW2085" s="306"/>
      <c r="AX2085" s="306"/>
      <c r="AY2085" s="306"/>
      <c r="AZ2085" s="306"/>
      <c r="BA2085" s="306"/>
      <c r="BB2085" s="306"/>
    </row>
    <row r="2086" spans="1:54" ht="15.75" customHeight="1">
      <c r="A2086" s="317"/>
      <c r="B2086" s="430"/>
      <c r="C2086" s="317"/>
      <c r="E2086" s="306"/>
      <c r="F2086" s="431"/>
      <c r="G2086" s="431"/>
      <c r="H2086" s="298"/>
      <c r="I2086" s="432"/>
      <c r="J2086" s="433"/>
      <c r="K2086" s="306"/>
      <c r="L2086" s="306"/>
      <c r="M2086" s="306"/>
      <c r="N2086" s="298"/>
      <c r="O2086" s="298"/>
      <c r="P2086" s="298"/>
      <c r="Q2086" s="306"/>
      <c r="R2086" s="1023"/>
      <c r="S2086" s="1023"/>
      <c r="T2086" s="306"/>
      <c r="U2086" s="306"/>
      <c r="V2086" s="306"/>
      <c r="W2086" s="306"/>
      <c r="X2086" s="306"/>
      <c r="Y2086" s="306"/>
      <c r="Z2086" s="306"/>
      <c r="AA2086" s="306"/>
      <c r="AB2086" s="306"/>
      <c r="AC2086" s="306"/>
      <c r="AD2086" s="306"/>
      <c r="AE2086" s="306"/>
      <c r="AF2086" s="306"/>
      <c r="AG2086" s="306"/>
      <c r="AH2086" s="306"/>
      <c r="AI2086" s="306"/>
      <c r="AJ2086" s="306"/>
      <c r="AK2086" s="306"/>
      <c r="AL2086" s="306"/>
      <c r="AM2086" s="418"/>
      <c r="AN2086" s="418"/>
      <c r="AO2086" s="306"/>
      <c r="AP2086" s="306"/>
      <c r="AQ2086" s="418"/>
      <c r="AR2086" s="306"/>
      <c r="AS2086" s="306"/>
      <c r="AT2086" s="418"/>
      <c r="AU2086" s="306"/>
      <c r="AV2086" s="306"/>
      <c r="AW2086" s="306"/>
      <c r="AX2086" s="306"/>
      <c r="AY2086" s="306"/>
      <c r="AZ2086" s="306"/>
      <c r="BA2086" s="306"/>
      <c r="BB2086" s="306"/>
    </row>
    <row r="2087" spans="1:54" ht="15.75" customHeight="1">
      <c r="A2087" s="317"/>
      <c r="B2087" s="430"/>
      <c r="C2087" s="317"/>
      <c r="E2087" s="306"/>
      <c r="F2087" s="431"/>
      <c r="G2087" s="431"/>
      <c r="H2087" s="298"/>
      <c r="I2087" s="432"/>
      <c r="J2087" s="433"/>
      <c r="K2087" s="306"/>
      <c r="L2087" s="306"/>
      <c r="M2087" s="306"/>
      <c r="N2087" s="298"/>
      <c r="O2087" s="298"/>
      <c r="P2087" s="298"/>
      <c r="Q2087" s="306"/>
      <c r="R2087" s="1023"/>
      <c r="S2087" s="1023"/>
      <c r="T2087" s="306"/>
      <c r="U2087" s="306"/>
      <c r="V2087" s="306"/>
      <c r="W2087" s="306"/>
      <c r="X2087" s="306"/>
      <c r="Y2087" s="306"/>
      <c r="Z2087" s="306"/>
      <c r="AA2087" s="306"/>
      <c r="AB2087" s="306"/>
      <c r="AC2087" s="306"/>
      <c r="AD2087" s="306"/>
      <c r="AE2087" s="306"/>
      <c r="AF2087" s="306"/>
      <c r="AG2087" s="306"/>
      <c r="AH2087" s="306"/>
      <c r="AI2087" s="306"/>
      <c r="AJ2087" s="306"/>
      <c r="AK2087" s="306"/>
      <c r="AL2087" s="306"/>
      <c r="AM2087" s="418"/>
      <c r="AN2087" s="418"/>
      <c r="AO2087" s="306"/>
      <c r="AP2087" s="306"/>
      <c r="AQ2087" s="418"/>
      <c r="AR2087" s="306"/>
      <c r="AS2087" s="306"/>
      <c r="AT2087" s="418"/>
      <c r="AU2087" s="306"/>
      <c r="AV2087" s="306"/>
      <c r="AW2087" s="306"/>
      <c r="AX2087" s="306"/>
      <c r="AY2087" s="306"/>
      <c r="AZ2087" s="306"/>
      <c r="BA2087" s="306"/>
      <c r="BB2087" s="306"/>
    </row>
    <row r="2088" spans="1:54" ht="15.75" customHeight="1">
      <c r="A2088" s="317"/>
      <c r="B2088" s="430"/>
      <c r="C2088" s="317"/>
      <c r="E2088" s="306"/>
      <c r="F2088" s="431"/>
      <c r="G2088" s="431"/>
      <c r="H2088" s="298"/>
      <c r="I2088" s="432"/>
      <c r="J2088" s="433"/>
      <c r="K2088" s="306"/>
      <c r="L2088" s="306"/>
      <c r="M2088" s="306"/>
      <c r="N2088" s="298"/>
      <c r="O2088" s="298"/>
      <c r="P2088" s="298"/>
      <c r="Q2088" s="306"/>
      <c r="R2088" s="1023"/>
      <c r="S2088" s="1023"/>
      <c r="T2088" s="306"/>
      <c r="U2088" s="306"/>
      <c r="V2088" s="306"/>
      <c r="W2088" s="306"/>
      <c r="X2088" s="306"/>
      <c r="Y2088" s="306"/>
      <c r="Z2088" s="306"/>
      <c r="AA2088" s="306"/>
      <c r="AB2088" s="306"/>
      <c r="AC2088" s="306"/>
      <c r="AD2088" s="306"/>
      <c r="AE2088" s="306"/>
      <c r="AF2088" s="306"/>
      <c r="AG2088" s="306"/>
      <c r="AH2088" s="306"/>
      <c r="AI2088" s="306"/>
      <c r="AJ2088" s="306"/>
      <c r="AK2088" s="306"/>
      <c r="AL2088" s="306"/>
      <c r="AM2088" s="418"/>
      <c r="AN2088" s="418"/>
      <c r="AO2088" s="306"/>
      <c r="AP2088" s="306"/>
      <c r="AQ2088" s="418"/>
      <c r="AR2088" s="306"/>
      <c r="AS2088" s="306"/>
      <c r="AT2088" s="418"/>
      <c r="AU2088" s="306"/>
      <c r="AV2088" s="306"/>
      <c r="AW2088" s="306"/>
      <c r="AX2088" s="306"/>
      <c r="AY2088" s="306"/>
      <c r="AZ2088" s="306"/>
      <c r="BA2088" s="306"/>
      <c r="BB2088" s="306"/>
    </row>
    <row r="2089" spans="1:54" ht="15.75" customHeight="1">
      <c r="A2089" s="317"/>
      <c r="B2089" s="430"/>
      <c r="C2089" s="317"/>
      <c r="E2089" s="306"/>
      <c r="F2089" s="431"/>
      <c r="G2089" s="431"/>
      <c r="H2089" s="298"/>
      <c r="I2089" s="432"/>
      <c r="J2089" s="433"/>
      <c r="K2089" s="306"/>
      <c r="L2089" s="306"/>
      <c r="M2089" s="306"/>
      <c r="N2089" s="298"/>
      <c r="O2089" s="298"/>
      <c r="P2089" s="298"/>
      <c r="Q2089" s="306"/>
      <c r="R2089" s="1023"/>
      <c r="S2089" s="1023"/>
      <c r="T2089" s="306"/>
      <c r="U2089" s="306"/>
      <c r="V2089" s="306"/>
      <c r="W2089" s="306"/>
      <c r="X2089" s="306"/>
      <c r="Y2089" s="306"/>
      <c r="Z2089" s="306"/>
      <c r="AA2089" s="306"/>
      <c r="AB2089" s="306"/>
      <c r="AC2089" s="306"/>
      <c r="AD2089" s="306"/>
      <c r="AE2089" s="306"/>
      <c r="AF2089" s="306"/>
      <c r="AG2089" s="306"/>
      <c r="AH2089" s="306"/>
      <c r="AI2089" s="306"/>
      <c r="AJ2089" s="306"/>
      <c r="AK2089" s="306"/>
      <c r="AL2089" s="306"/>
      <c r="AM2089" s="418"/>
      <c r="AN2089" s="418"/>
      <c r="AO2089" s="306"/>
      <c r="AP2089" s="306"/>
      <c r="AQ2089" s="418"/>
      <c r="AR2089" s="306"/>
      <c r="AS2089" s="306"/>
      <c r="AT2089" s="418"/>
      <c r="AU2089" s="306"/>
      <c r="AV2089" s="306"/>
      <c r="AW2089" s="306"/>
      <c r="AX2089" s="306"/>
      <c r="AY2089" s="306"/>
      <c r="AZ2089" s="306"/>
      <c r="BA2089" s="306"/>
      <c r="BB2089" s="306"/>
    </row>
    <row r="2090" spans="1:54" ht="15.75" customHeight="1">
      <c r="A2090" s="317"/>
      <c r="B2090" s="430"/>
      <c r="C2090" s="317"/>
      <c r="E2090" s="306"/>
      <c r="F2090" s="431"/>
      <c r="G2090" s="431"/>
      <c r="H2090" s="298"/>
      <c r="I2090" s="432"/>
      <c r="J2090" s="433"/>
      <c r="K2090" s="306"/>
      <c r="L2090" s="306"/>
      <c r="M2090" s="306"/>
      <c r="N2090" s="298"/>
      <c r="O2090" s="298"/>
      <c r="P2090" s="298"/>
      <c r="Q2090" s="306"/>
      <c r="R2090" s="1023"/>
      <c r="S2090" s="1023"/>
      <c r="T2090" s="306"/>
      <c r="U2090" s="306"/>
      <c r="V2090" s="306"/>
      <c r="W2090" s="306"/>
      <c r="X2090" s="306"/>
      <c r="Y2090" s="306"/>
      <c r="Z2090" s="306"/>
      <c r="AA2090" s="306"/>
      <c r="AB2090" s="306"/>
      <c r="AC2090" s="306"/>
      <c r="AD2090" s="306"/>
      <c r="AE2090" s="306"/>
      <c r="AF2090" s="306"/>
      <c r="AG2090" s="306"/>
      <c r="AH2090" s="306"/>
      <c r="AI2090" s="306"/>
      <c r="AJ2090" s="306"/>
      <c r="AK2090" s="306"/>
      <c r="AL2090" s="306"/>
      <c r="AM2090" s="418"/>
      <c r="AN2090" s="418"/>
      <c r="AO2090" s="306"/>
      <c r="AP2090" s="306"/>
      <c r="AQ2090" s="418"/>
      <c r="AR2090" s="306"/>
      <c r="AS2090" s="306"/>
      <c r="AT2090" s="418"/>
      <c r="AU2090" s="306"/>
      <c r="AV2090" s="306"/>
      <c r="AW2090" s="306"/>
      <c r="AX2090" s="306"/>
      <c r="AY2090" s="306"/>
      <c r="AZ2090" s="306"/>
      <c r="BA2090" s="306"/>
      <c r="BB2090" s="306"/>
    </row>
    <row r="2091" spans="1:54" ht="15.75" customHeight="1">
      <c r="A2091" s="317"/>
      <c r="B2091" s="430"/>
      <c r="C2091" s="317"/>
      <c r="E2091" s="306"/>
      <c r="F2091" s="431"/>
      <c r="G2091" s="431"/>
      <c r="H2091" s="298"/>
      <c r="I2091" s="432"/>
      <c r="J2091" s="433"/>
      <c r="K2091" s="306"/>
      <c r="L2091" s="306"/>
      <c r="M2091" s="306"/>
      <c r="N2091" s="298"/>
      <c r="O2091" s="298"/>
      <c r="P2091" s="298"/>
      <c r="Q2091" s="306"/>
      <c r="R2091" s="1023"/>
      <c r="S2091" s="1023"/>
      <c r="T2091" s="306"/>
      <c r="U2091" s="306"/>
      <c r="V2091" s="306"/>
      <c r="W2091" s="306"/>
      <c r="X2091" s="306"/>
      <c r="Y2091" s="306"/>
      <c r="Z2091" s="306"/>
      <c r="AA2091" s="306"/>
      <c r="AB2091" s="306"/>
      <c r="AC2091" s="306"/>
      <c r="AD2091" s="306"/>
      <c r="AE2091" s="306"/>
      <c r="AF2091" s="306"/>
      <c r="AG2091" s="306"/>
      <c r="AH2091" s="306"/>
      <c r="AI2091" s="306"/>
      <c r="AJ2091" s="306"/>
      <c r="AK2091" s="306"/>
      <c r="AL2091" s="306"/>
      <c r="AM2091" s="418"/>
      <c r="AN2091" s="418"/>
      <c r="AO2091" s="306"/>
      <c r="AP2091" s="306"/>
      <c r="AQ2091" s="418"/>
      <c r="AR2091" s="306"/>
      <c r="AS2091" s="306"/>
      <c r="AT2091" s="418"/>
      <c r="AU2091" s="306"/>
      <c r="AV2091" s="306"/>
      <c r="AW2091" s="306"/>
      <c r="AX2091" s="306"/>
      <c r="AY2091" s="306"/>
      <c r="AZ2091" s="306"/>
      <c r="BA2091" s="306"/>
      <c r="BB2091" s="306"/>
    </row>
    <row r="2092" spans="1:54" ht="15.75" customHeight="1">
      <c r="A2092" s="317"/>
      <c r="B2092" s="430"/>
      <c r="C2092" s="317"/>
      <c r="E2092" s="306"/>
      <c r="F2092" s="431"/>
      <c r="G2092" s="431"/>
      <c r="H2092" s="298"/>
      <c r="I2092" s="432"/>
      <c r="J2092" s="433"/>
      <c r="K2092" s="306"/>
      <c r="L2092" s="306"/>
      <c r="M2092" s="306"/>
      <c r="N2092" s="298"/>
      <c r="O2092" s="298"/>
      <c r="P2092" s="298"/>
      <c r="Q2092" s="306"/>
      <c r="R2092" s="1023"/>
      <c r="S2092" s="1023"/>
      <c r="T2092" s="306"/>
      <c r="U2092" s="306"/>
      <c r="V2092" s="306"/>
      <c r="W2092" s="306"/>
      <c r="X2092" s="306"/>
      <c r="Y2092" s="306"/>
      <c r="Z2092" s="306"/>
      <c r="AA2092" s="306"/>
      <c r="AB2092" s="306"/>
      <c r="AC2092" s="306"/>
      <c r="AD2092" s="306"/>
      <c r="AE2092" s="306"/>
      <c r="AF2092" s="306"/>
      <c r="AG2092" s="306"/>
      <c r="AH2092" s="306"/>
      <c r="AI2092" s="306"/>
      <c r="AJ2092" s="306"/>
      <c r="AK2092" s="306"/>
      <c r="AL2092" s="306"/>
      <c r="AM2092" s="418"/>
      <c r="AN2092" s="418"/>
      <c r="AO2092" s="306"/>
      <c r="AP2092" s="306"/>
      <c r="AQ2092" s="418"/>
      <c r="AR2092" s="306"/>
      <c r="AS2092" s="306"/>
      <c r="AT2092" s="418"/>
      <c r="AU2092" s="306"/>
      <c r="AV2092" s="306"/>
      <c r="AW2092" s="306"/>
      <c r="AX2092" s="306"/>
      <c r="AY2092" s="306"/>
      <c r="AZ2092" s="306"/>
      <c r="BA2092" s="306"/>
      <c r="BB2092" s="306"/>
    </row>
    <row r="2093" spans="1:54" ht="15.75" customHeight="1">
      <c r="A2093" s="317"/>
      <c r="B2093" s="430"/>
      <c r="C2093" s="317"/>
      <c r="E2093" s="306"/>
      <c r="F2093" s="431"/>
      <c r="G2093" s="431"/>
      <c r="H2093" s="298"/>
      <c r="I2093" s="432"/>
      <c r="J2093" s="433"/>
      <c r="K2093" s="306"/>
      <c r="L2093" s="306"/>
      <c r="M2093" s="306"/>
      <c r="N2093" s="298"/>
      <c r="O2093" s="298"/>
      <c r="P2093" s="298"/>
      <c r="Q2093" s="306"/>
      <c r="R2093" s="1023"/>
      <c r="S2093" s="1023"/>
      <c r="T2093" s="306"/>
      <c r="U2093" s="306"/>
      <c r="V2093" s="306"/>
      <c r="W2093" s="306"/>
      <c r="X2093" s="306"/>
      <c r="Y2093" s="306"/>
      <c r="Z2093" s="306"/>
      <c r="AA2093" s="306"/>
      <c r="AB2093" s="306"/>
      <c r="AC2093" s="306"/>
      <c r="AD2093" s="306"/>
      <c r="AE2093" s="306"/>
      <c r="AF2093" s="306"/>
      <c r="AG2093" s="306"/>
      <c r="AH2093" s="306"/>
      <c r="AI2093" s="306"/>
      <c r="AJ2093" s="306"/>
      <c r="AK2093" s="306"/>
      <c r="AL2093" s="306"/>
      <c r="AM2093" s="418"/>
      <c r="AN2093" s="418"/>
      <c r="AO2093" s="306"/>
      <c r="AP2093" s="306"/>
      <c r="AQ2093" s="418"/>
      <c r="AR2093" s="306"/>
      <c r="AS2093" s="306"/>
      <c r="AT2093" s="418"/>
      <c r="AU2093" s="306"/>
      <c r="AV2093" s="306"/>
      <c r="AW2093" s="306"/>
      <c r="AX2093" s="306"/>
      <c r="AY2093" s="306"/>
      <c r="AZ2093" s="306"/>
      <c r="BA2093" s="306"/>
      <c r="BB2093" s="306"/>
    </row>
    <row r="2094" spans="1:54" ht="15.75" customHeight="1">
      <c r="A2094" s="317"/>
      <c r="B2094" s="430"/>
      <c r="C2094" s="317"/>
      <c r="E2094" s="306"/>
      <c r="F2094" s="431"/>
      <c r="G2094" s="431"/>
      <c r="H2094" s="298"/>
      <c r="I2094" s="432"/>
      <c r="J2094" s="433"/>
      <c r="K2094" s="306"/>
      <c r="L2094" s="306"/>
      <c r="M2094" s="306"/>
      <c r="N2094" s="298"/>
      <c r="O2094" s="298"/>
      <c r="P2094" s="298"/>
      <c r="Q2094" s="306"/>
      <c r="R2094" s="1023"/>
      <c r="S2094" s="1023"/>
      <c r="T2094" s="306"/>
      <c r="U2094" s="306"/>
      <c r="V2094" s="306"/>
      <c r="W2094" s="306"/>
      <c r="X2094" s="306"/>
      <c r="Y2094" s="306"/>
      <c r="Z2094" s="306"/>
      <c r="AA2094" s="306"/>
      <c r="AB2094" s="306"/>
      <c r="AC2094" s="306"/>
      <c r="AD2094" s="306"/>
      <c r="AE2094" s="306"/>
      <c r="AF2094" s="306"/>
      <c r="AG2094" s="306"/>
      <c r="AH2094" s="306"/>
      <c r="AI2094" s="306"/>
      <c r="AJ2094" s="306"/>
      <c r="AK2094" s="306"/>
      <c r="AL2094" s="306"/>
      <c r="AM2094" s="418"/>
      <c r="AN2094" s="418"/>
      <c r="AO2094" s="306"/>
      <c r="AP2094" s="306"/>
      <c r="AQ2094" s="418"/>
      <c r="AR2094" s="306"/>
      <c r="AS2094" s="306"/>
      <c r="AT2094" s="418"/>
      <c r="AU2094" s="306"/>
      <c r="AV2094" s="306"/>
      <c r="AW2094" s="306"/>
      <c r="AX2094" s="306"/>
      <c r="AY2094" s="306"/>
      <c r="AZ2094" s="306"/>
      <c r="BA2094" s="306"/>
      <c r="BB2094" s="306"/>
    </row>
    <row r="2095" spans="1:54" ht="15.75" customHeight="1">
      <c r="A2095" s="317"/>
      <c r="B2095" s="430"/>
      <c r="C2095" s="317"/>
      <c r="E2095" s="306"/>
      <c r="F2095" s="431"/>
      <c r="G2095" s="431"/>
      <c r="H2095" s="298"/>
      <c r="I2095" s="432"/>
      <c r="J2095" s="433"/>
      <c r="K2095" s="306"/>
      <c r="L2095" s="306"/>
      <c r="M2095" s="306"/>
      <c r="N2095" s="298"/>
      <c r="O2095" s="298"/>
      <c r="P2095" s="298"/>
      <c r="Q2095" s="306"/>
      <c r="R2095" s="1023"/>
      <c r="S2095" s="1023"/>
      <c r="T2095" s="306"/>
      <c r="U2095" s="306"/>
      <c r="V2095" s="306"/>
      <c r="W2095" s="306"/>
      <c r="X2095" s="306"/>
      <c r="Y2095" s="306"/>
      <c r="Z2095" s="306"/>
      <c r="AA2095" s="306"/>
      <c r="AB2095" s="306"/>
      <c r="AC2095" s="306"/>
      <c r="AD2095" s="306"/>
      <c r="AE2095" s="306"/>
      <c r="AF2095" s="306"/>
      <c r="AG2095" s="306"/>
      <c r="AH2095" s="306"/>
      <c r="AI2095" s="306"/>
      <c r="AJ2095" s="306"/>
      <c r="AK2095" s="306"/>
      <c r="AL2095" s="306"/>
      <c r="AM2095" s="418"/>
      <c r="AN2095" s="418"/>
      <c r="AO2095" s="306"/>
      <c r="AP2095" s="306"/>
      <c r="AQ2095" s="418"/>
      <c r="AR2095" s="306"/>
      <c r="AS2095" s="306"/>
      <c r="AT2095" s="418"/>
      <c r="AU2095" s="306"/>
      <c r="AV2095" s="306"/>
      <c r="AW2095" s="306"/>
      <c r="AX2095" s="306"/>
      <c r="AY2095" s="306"/>
      <c r="AZ2095" s="306"/>
      <c r="BA2095" s="306"/>
      <c r="BB2095" s="306"/>
    </row>
    <row r="2096" spans="1:54" ht="15.75" customHeight="1">
      <c r="A2096" s="317"/>
      <c r="B2096" s="430"/>
      <c r="C2096" s="317"/>
      <c r="E2096" s="306"/>
      <c r="F2096" s="431"/>
      <c r="G2096" s="431"/>
      <c r="H2096" s="298"/>
      <c r="I2096" s="432"/>
      <c r="J2096" s="433"/>
      <c r="K2096" s="306"/>
      <c r="L2096" s="306"/>
      <c r="M2096" s="306"/>
      <c r="N2096" s="298"/>
      <c r="O2096" s="298"/>
      <c r="P2096" s="298"/>
      <c r="Q2096" s="306"/>
      <c r="R2096" s="1023"/>
      <c r="S2096" s="1023"/>
      <c r="T2096" s="306"/>
      <c r="U2096" s="306"/>
      <c r="V2096" s="306"/>
      <c r="W2096" s="306"/>
      <c r="X2096" s="306"/>
      <c r="Y2096" s="306"/>
      <c r="Z2096" s="306"/>
      <c r="AA2096" s="306"/>
      <c r="AB2096" s="306"/>
      <c r="AC2096" s="306"/>
      <c r="AD2096" s="306"/>
      <c r="AE2096" s="306"/>
      <c r="AF2096" s="306"/>
      <c r="AG2096" s="306"/>
      <c r="AH2096" s="306"/>
      <c r="AI2096" s="306"/>
      <c r="AJ2096" s="306"/>
      <c r="AK2096" s="306"/>
      <c r="AL2096" s="306"/>
      <c r="AM2096" s="418"/>
      <c r="AN2096" s="418"/>
      <c r="AO2096" s="306"/>
      <c r="AP2096" s="306"/>
      <c r="AQ2096" s="418"/>
      <c r="AR2096" s="306"/>
      <c r="AS2096" s="306"/>
      <c r="AT2096" s="418"/>
      <c r="AU2096" s="306"/>
      <c r="AV2096" s="306"/>
      <c r="AW2096" s="306"/>
      <c r="AX2096" s="306"/>
      <c r="AY2096" s="306"/>
      <c r="AZ2096" s="306"/>
      <c r="BA2096" s="306"/>
      <c r="BB2096" s="306"/>
    </row>
    <row r="2097" spans="1:54" ht="15.75" customHeight="1">
      <c r="A2097" s="317"/>
      <c r="B2097" s="430"/>
      <c r="C2097" s="317"/>
      <c r="E2097" s="306"/>
      <c r="F2097" s="431"/>
      <c r="G2097" s="431"/>
      <c r="H2097" s="298"/>
      <c r="I2097" s="432"/>
      <c r="J2097" s="433"/>
      <c r="K2097" s="306"/>
      <c r="L2097" s="306"/>
      <c r="M2097" s="306"/>
      <c r="N2097" s="298"/>
      <c r="O2097" s="298"/>
      <c r="P2097" s="298"/>
      <c r="Q2097" s="306"/>
      <c r="R2097" s="1023"/>
      <c r="S2097" s="1023"/>
      <c r="T2097" s="306"/>
      <c r="U2097" s="306"/>
      <c r="V2097" s="306"/>
      <c r="W2097" s="306"/>
      <c r="X2097" s="306"/>
      <c r="Y2097" s="306"/>
      <c r="Z2097" s="306"/>
      <c r="AA2097" s="306"/>
      <c r="AB2097" s="306"/>
      <c r="AC2097" s="306"/>
      <c r="AD2097" s="306"/>
      <c r="AE2097" s="306"/>
      <c r="AF2097" s="306"/>
      <c r="AG2097" s="306"/>
      <c r="AH2097" s="306"/>
      <c r="AI2097" s="306"/>
      <c r="AJ2097" s="306"/>
      <c r="AK2097" s="306"/>
      <c r="AL2097" s="306"/>
      <c r="AM2097" s="418"/>
      <c r="AN2097" s="418"/>
      <c r="AO2097" s="306"/>
      <c r="AP2097" s="306"/>
      <c r="AQ2097" s="418"/>
      <c r="AR2097" s="306"/>
      <c r="AS2097" s="306"/>
      <c r="AT2097" s="418"/>
      <c r="AU2097" s="306"/>
      <c r="AV2097" s="306"/>
      <c r="AW2097" s="306"/>
      <c r="AX2097" s="306"/>
      <c r="AY2097" s="306"/>
      <c r="AZ2097" s="306"/>
      <c r="BA2097" s="306"/>
      <c r="BB2097" s="306"/>
    </row>
    <row r="2098" spans="1:54" ht="15.75" customHeight="1">
      <c r="A2098" s="317"/>
      <c r="B2098" s="430"/>
      <c r="C2098" s="317"/>
      <c r="E2098" s="306"/>
      <c r="F2098" s="431"/>
      <c r="G2098" s="431"/>
      <c r="H2098" s="298"/>
      <c r="I2098" s="431"/>
      <c r="J2098" s="435"/>
      <c r="K2098" s="306"/>
      <c r="L2098" s="306"/>
      <c r="M2098" s="306"/>
      <c r="N2098" s="298"/>
      <c r="O2098" s="298"/>
      <c r="P2098" s="298"/>
      <c r="Q2098" s="306"/>
      <c r="R2098" s="1023"/>
      <c r="S2098" s="1023"/>
      <c r="T2098" s="306"/>
      <c r="U2098" s="306"/>
      <c r="V2098" s="306"/>
      <c r="W2098" s="306"/>
      <c r="X2098" s="306"/>
      <c r="Y2098" s="306"/>
      <c r="Z2098" s="306"/>
      <c r="AA2098" s="306"/>
      <c r="AB2098" s="306"/>
      <c r="AC2098" s="306"/>
      <c r="AD2098" s="306"/>
      <c r="AE2098" s="306"/>
      <c r="AF2098" s="306"/>
      <c r="AG2098" s="306"/>
      <c r="AH2098" s="306"/>
      <c r="AI2098" s="306"/>
      <c r="AJ2098" s="306"/>
      <c r="AK2098" s="306"/>
      <c r="AL2098" s="306"/>
      <c r="AM2098" s="418"/>
      <c r="AN2098" s="418"/>
      <c r="AO2098" s="306"/>
      <c r="AP2098" s="306"/>
      <c r="AQ2098" s="418"/>
      <c r="AR2098" s="306"/>
      <c r="AS2098" s="306"/>
      <c r="AT2098" s="418"/>
      <c r="AU2098" s="306"/>
      <c r="AV2098" s="306"/>
      <c r="AW2098" s="306"/>
      <c r="AX2098" s="306"/>
      <c r="AY2098" s="306"/>
      <c r="AZ2098" s="306"/>
      <c r="BA2098" s="306"/>
      <c r="BB2098" s="306"/>
    </row>
    <row r="2099" spans="1:54" ht="15.75" customHeight="1">
      <c r="A2099" s="317"/>
      <c r="B2099" s="430"/>
      <c r="C2099" s="317"/>
      <c r="E2099" s="306"/>
      <c r="F2099" s="431"/>
      <c r="G2099" s="431"/>
      <c r="H2099" s="298"/>
      <c r="I2099" s="431"/>
      <c r="J2099" s="435"/>
      <c r="K2099" s="306"/>
      <c r="L2099" s="306"/>
      <c r="M2099" s="306"/>
      <c r="N2099" s="298"/>
      <c r="O2099" s="298"/>
      <c r="P2099" s="298"/>
      <c r="Q2099" s="306"/>
      <c r="R2099" s="1023"/>
      <c r="S2099" s="1023"/>
      <c r="T2099" s="306"/>
      <c r="U2099" s="306"/>
      <c r="V2099" s="306"/>
      <c r="W2099" s="306"/>
      <c r="X2099" s="306"/>
      <c r="Y2099" s="306"/>
      <c r="Z2099" s="306"/>
      <c r="AA2099" s="306"/>
      <c r="AB2099" s="306"/>
      <c r="AC2099" s="306"/>
      <c r="AD2099" s="306"/>
      <c r="AE2099" s="306"/>
      <c r="AF2099" s="306"/>
      <c r="AG2099" s="306"/>
      <c r="AH2099" s="306"/>
      <c r="AI2099" s="306"/>
      <c r="AJ2099" s="306"/>
      <c r="AK2099" s="306"/>
      <c r="AL2099" s="306"/>
      <c r="AM2099" s="418"/>
      <c r="AN2099" s="418"/>
      <c r="AO2099" s="306"/>
      <c r="AP2099" s="306"/>
      <c r="AQ2099" s="418"/>
      <c r="AR2099" s="306"/>
      <c r="AS2099" s="306"/>
      <c r="AT2099" s="418"/>
      <c r="AU2099" s="306"/>
      <c r="AV2099" s="306"/>
      <c r="AW2099" s="306"/>
      <c r="AX2099" s="306"/>
      <c r="AY2099" s="306"/>
      <c r="AZ2099" s="306"/>
      <c r="BA2099" s="306"/>
      <c r="BB2099" s="306"/>
    </row>
    <row r="2100" spans="1:54" ht="15.75" customHeight="1">
      <c r="A2100" s="317"/>
      <c r="B2100" s="430"/>
      <c r="C2100" s="317"/>
      <c r="E2100" s="306"/>
      <c r="F2100" s="431"/>
      <c r="G2100" s="431"/>
      <c r="H2100" s="298"/>
      <c r="I2100" s="431"/>
      <c r="J2100" s="435"/>
      <c r="K2100" s="306"/>
      <c r="L2100" s="306"/>
      <c r="M2100" s="306"/>
      <c r="N2100" s="298"/>
      <c r="O2100" s="298"/>
      <c r="P2100" s="298"/>
      <c r="Q2100" s="306"/>
      <c r="R2100" s="1023"/>
      <c r="S2100" s="1023"/>
      <c r="T2100" s="306"/>
      <c r="U2100" s="306"/>
      <c r="V2100" s="306"/>
      <c r="W2100" s="306"/>
      <c r="X2100" s="306"/>
      <c r="Y2100" s="306"/>
      <c r="Z2100" s="306"/>
      <c r="AA2100" s="306"/>
      <c r="AB2100" s="306"/>
      <c r="AC2100" s="306"/>
      <c r="AD2100" s="306"/>
      <c r="AE2100" s="306"/>
      <c r="AF2100" s="306"/>
      <c r="AG2100" s="306"/>
      <c r="AH2100" s="306"/>
      <c r="AI2100" s="306"/>
      <c r="AJ2100" s="306"/>
      <c r="AK2100" s="306"/>
      <c r="AL2100" s="306"/>
      <c r="AM2100" s="418"/>
      <c r="AN2100" s="418"/>
      <c r="AO2100" s="306"/>
      <c r="AP2100" s="306"/>
      <c r="AQ2100" s="418"/>
      <c r="AR2100" s="306"/>
      <c r="AS2100" s="306"/>
      <c r="AT2100" s="418"/>
      <c r="AU2100" s="306"/>
      <c r="AV2100" s="306"/>
      <c r="AW2100" s="306"/>
      <c r="AX2100" s="306"/>
      <c r="AY2100" s="306"/>
      <c r="AZ2100" s="306"/>
      <c r="BA2100" s="306"/>
      <c r="BB2100" s="306"/>
    </row>
    <row r="2101" spans="1:54" ht="15.75" customHeight="1">
      <c r="A2101" s="317"/>
      <c r="B2101" s="430"/>
      <c r="C2101" s="317"/>
      <c r="E2101" s="306"/>
      <c r="F2101" s="431"/>
      <c r="G2101" s="431"/>
      <c r="H2101" s="298"/>
      <c r="I2101" s="431"/>
      <c r="J2101" s="435"/>
      <c r="K2101" s="306"/>
      <c r="L2101" s="306"/>
      <c r="M2101" s="306"/>
      <c r="N2101" s="298"/>
      <c r="O2101" s="298"/>
      <c r="P2101" s="298"/>
      <c r="Q2101" s="306"/>
      <c r="R2101" s="1023"/>
      <c r="S2101" s="1023"/>
      <c r="T2101" s="306"/>
      <c r="U2101" s="306"/>
      <c r="V2101" s="306"/>
      <c r="W2101" s="306"/>
      <c r="X2101" s="306"/>
      <c r="Y2101" s="306"/>
      <c r="Z2101" s="306"/>
      <c r="AA2101" s="306"/>
      <c r="AB2101" s="306"/>
      <c r="AC2101" s="306"/>
      <c r="AD2101" s="306"/>
      <c r="AE2101" s="306"/>
      <c r="AF2101" s="306"/>
      <c r="AG2101" s="306"/>
      <c r="AH2101" s="306"/>
      <c r="AI2101" s="306"/>
      <c r="AJ2101" s="306"/>
      <c r="AK2101" s="306"/>
      <c r="AL2101" s="306"/>
      <c r="AM2101" s="418"/>
      <c r="AN2101" s="418"/>
      <c r="AO2101" s="306"/>
      <c r="AP2101" s="306"/>
      <c r="AQ2101" s="418"/>
      <c r="AR2101" s="306"/>
      <c r="AS2101" s="306"/>
      <c r="AT2101" s="418"/>
      <c r="AU2101" s="306"/>
      <c r="AV2101" s="306"/>
      <c r="AW2101" s="306"/>
      <c r="AX2101" s="306"/>
      <c r="AY2101" s="306"/>
      <c r="AZ2101" s="306"/>
      <c r="BA2101" s="306"/>
      <c r="BB2101" s="306"/>
    </row>
    <row r="2102" spans="1:54" ht="15.75" customHeight="1">
      <c r="A2102" s="317"/>
      <c r="B2102" s="430"/>
      <c r="C2102" s="317"/>
      <c r="E2102" s="306"/>
      <c r="F2102" s="431"/>
      <c r="G2102" s="431"/>
      <c r="H2102" s="298"/>
      <c r="I2102" s="431"/>
      <c r="J2102" s="435"/>
      <c r="K2102" s="306"/>
      <c r="L2102" s="306"/>
      <c r="M2102" s="306"/>
      <c r="N2102" s="298"/>
      <c r="O2102" s="298"/>
      <c r="P2102" s="298"/>
      <c r="Q2102" s="306"/>
      <c r="R2102" s="1023"/>
      <c r="S2102" s="1023"/>
      <c r="T2102" s="306"/>
      <c r="U2102" s="306"/>
      <c r="V2102" s="306"/>
      <c r="W2102" s="306"/>
      <c r="X2102" s="306"/>
      <c r="Y2102" s="306"/>
      <c r="Z2102" s="306"/>
      <c r="AA2102" s="306"/>
      <c r="AB2102" s="306"/>
      <c r="AC2102" s="306"/>
      <c r="AD2102" s="306"/>
      <c r="AE2102" s="306"/>
      <c r="AF2102" s="306"/>
      <c r="AG2102" s="306"/>
      <c r="AH2102" s="306"/>
      <c r="AI2102" s="306"/>
      <c r="AJ2102" s="306"/>
      <c r="AK2102" s="306"/>
      <c r="AL2102" s="306"/>
      <c r="AM2102" s="418"/>
      <c r="AN2102" s="418"/>
      <c r="AO2102" s="306"/>
      <c r="AP2102" s="306"/>
      <c r="AQ2102" s="418"/>
      <c r="AR2102" s="306"/>
      <c r="AS2102" s="306"/>
      <c r="AT2102" s="418"/>
      <c r="AU2102" s="306"/>
      <c r="AV2102" s="306"/>
      <c r="AW2102" s="306"/>
      <c r="AX2102" s="306"/>
      <c r="AY2102" s="306"/>
      <c r="AZ2102" s="306"/>
      <c r="BA2102" s="306"/>
      <c r="BB2102" s="306"/>
    </row>
    <row r="2103" spans="1:54" ht="15.75" customHeight="1">
      <c r="A2103" s="317"/>
      <c r="B2103" s="430"/>
      <c r="C2103" s="317"/>
      <c r="E2103" s="306"/>
      <c r="F2103" s="431"/>
      <c r="G2103" s="431"/>
      <c r="H2103" s="298"/>
      <c r="I2103" s="431"/>
      <c r="J2103" s="435"/>
      <c r="K2103" s="306"/>
      <c r="L2103" s="306"/>
      <c r="M2103" s="306"/>
      <c r="N2103" s="298"/>
      <c r="O2103" s="298"/>
      <c r="P2103" s="298"/>
      <c r="Q2103" s="306"/>
      <c r="R2103" s="1023"/>
      <c r="S2103" s="1023"/>
      <c r="T2103" s="306"/>
      <c r="U2103" s="306"/>
      <c r="V2103" s="306"/>
      <c r="W2103" s="306"/>
      <c r="X2103" s="306"/>
      <c r="Y2103" s="306"/>
      <c r="Z2103" s="306"/>
      <c r="AA2103" s="306"/>
      <c r="AB2103" s="306"/>
      <c r="AC2103" s="306"/>
      <c r="AD2103" s="306"/>
      <c r="AE2103" s="306"/>
      <c r="AF2103" s="306"/>
      <c r="AG2103" s="306"/>
      <c r="AH2103" s="306"/>
      <c r="AI2103" s="306"/>
      <c r="AJ2103" s="306"/>
      <c r="AK2103" s="306"/>
      <c r="AL2103" s="306"/>
      <c r="AM2103" s="418"/>
      <c r="AN2103" s="418"/>
      <c r="AO2103" s="306"/>
      <c r="AP2103" s="306"/>
      <c r="AQ2103" s="418"/>
      <c r="AR2103" s="306"/>
      <c r="AS2103" s="306"/>
      <c r="AT2103" s="418"/>
      <c r="AU2103" s="306"/>
      <c r="AV2103" s="306"/>
      <c r="AW2103" s="306"/>
      <c r="AX2103" s="306"/>
      <c r="AY2103" s="306"/>
      <c r="AZ2103" s="306"/>
      <c r="BA2103" s="306"/>
      <c r="BB2103" s="306"/>
    </row>
    <row r="2104" spans="1:54" ht="15.75" customHeight="1">
      <c r="A2104" s="317"/>
      <c r="B2104" s="430"/>
      <c r="C2104" s="317"/>
      <c r="E2104" s="306"/>
      <c r="F2104" s="431"/>
      <c r="G2104" s="431"/>
      <c r="H2104" s="298"/>
      <c r="I2104" s="432"/>
      <c r="J2104" s="433"/>
      <c r="K2104" s="306"/>
      <c r="L2104" s="306"/>
      <c r="M2104" s="306"/>
      <c r="N2104" s="298"/>
      <c r="O2104" s="298"/>
      <c r="P2104" s="298"/>
      <c r="Q2104" s="306"/>
      <c r="R2104" s="1023"/>
      <c r="S2104" s="1023"/>
      <c r="T2104" s="306"/>
      <c r="U2104" s="306"/>
      <c r="V2104" s="306"/>
      <c r="W2104" s="306"/>
      <c r="X2104" s="306"/>
      <c r="Y2104" s="306"/>
      <c r="Z2104" s="306"/>
      <c r="AA2104" s="306"/>
      <c r="AB2104" s="306"/>
      <c r="AC2104" s="306"/>
      <c r="AD2104" s="306"/>
      <c r="AE2104" s="306"/>
      <c r="AF2104" s="306"/>
      <c r="AG2104" s="306"/>
      <c r="AH2104" s="306"/>
      <c r="AI2104" s="306"/>
      <c r="AJ2104" s="306"/>
      <c r="AK2104" s="306"/>
      <c r="AL2104" s="306"/>
      <c r="AM2104" s="418"/>
      <c r="AN2104" s="418"/>
      <c r="AO2104" s="306"/>
      <c r="AP2104" s="306"/>
      <c r="AQ2104" s="418"/>
      <c r="AR2104" s="306"/>
      <c r="AS2104" s="306"/>
      <c r="AT2104" s="418"/>
      <c r="AU2104" s="306"/>
      <c r="AV2104" s="306"/>
      <c r="AW2104" s="306"/>
      <c r="AX2104" s="306"/>
      <c r="AY2104" s="306"/>
      <c r="AZ2104" s="306"/>
      <c r="BA2104" s="306"/>
      <c r="BB2104" s="306"/>
    </row>
    <row r="2105" spans="1:54" ht="15.75" customHeight="1">
      <c r="A2105" s="317"/>
      <c r="B2105" s="430"/>
      <c r="C2105" s="317"/>
      <c r="E2105" s="306"/>
      <c r="F2105" s="431"/>
      <c r="G2105" s="431"/>
      <c r="H2105" s="298"/>
      <c r="I2105" s="432"/>
      <c r="J2105" s="433"/>
      <c r="K2105" s="306"/>
      <c r="L2105" s="306"/>
      <c r="M2105" s="306"/>
      <c r="N2105" s="298"/>
      <c r="O2105" s="298"/>
      <c r="P2105" s="298"/>
      <c r="Q2105" s="306"/>
      <c r="R2105" s="1023"/>
      <c r="S2105" s="1023"/>
      <c r="T2105" s="306"/>
      <c r="U2105" s="306"/>
      <c r="V2105" s="306"/>
      <c r="W2105" s="306"/>
      <c r="X2105" s="306"/>
      <c r="Y2105" s="306"/>
      <c r="Z2105" s="306"/>
      <c r="AA2105" s="306"/>
      <c r="AB2105" s="306"/>
      <c r="AC2105" s="306"/>
      <c r="AD2105" s="306"/>
      <c r="AE2105" s="306"/>
      <c r="AF2105" s="306"/>
      <c r="AG2105" s="306"/>
      <c r="AH2105" s="306"/>
      <c r="AI2105" s="306"/>
      <c r="AJ2105" s="306"/>
      <c r="AK2105" s="306"/>
      <c r="AL2105" s="306"/>
      <c r="AM2105" s="418"/>
      <c r="AN2105" s="418"/>
      <c r="AO2105" s="306"/>
      <c r="AP2105" s="306"/>
      <c r="AQ2105" s="418"/>
      <c r="AR2105" s="306"/>
      <c r="AS2105" s="306"/>
      <c r="AT2105" s="418"/>
      <c r="AU2105" s="306"/>
      <c r="AV2105" s="306"/>
      <c r="AW2105" s="306"/>
      <c r="AX2105" s="306"/>
      <c r="AY2105" s="306"/>
      <c r="AZ2105" s="306"/>
      <c r="BA2105" s="306"/>
      <c r="BB2105" s="306"/>
    </row>
    <row r="2106" spans="1:54" ht="15.75" customHeight="1">
      <c r="A2106" s="317"/>
      <c r="B2106" s="430"/>
      <c r="C2106" s="317"/>
      <c r="E2106" s="306"/>
      <c r="F2106" s="431"/>
      <c r="G2106" s="431"/>
      <c r="H2106" s="298"/>
      <c r="I2106" s="432"/>
      <c r="J2106" s="433"/>
      <c r="K2106" s="306"/>
      <c r="L2106" s="306"/>
      <c r="M2106" s="306"/>
      <c r="N2106" s="298"/>
      <c r="O2106" s="298"/>
      <c r="P2106" s="298"/>
      <c r="Q2106" s="306"/>
      <c r="R2106" s="1023"/>
      <c r="S2106" s="1023"/>
      <c r="T2106" s="306"/>
      <c r="U2106" s="306"/>
      <c r="V2106" s="306"/>
      <c r="W2106" s="306"/>
      <c r="X2106" s="306"/>
      <c r="Y2106" s="306"/>
      <c r="Z2106" s="306"/>
      <c r="AA2106" s="306"/>
      <c r="AB2106" s="306"/>
      <c r="AC2106" s="306"/>
      <c r="AD2106" s="306"/>
      <c r="AE2106" s="306"/>
      <c r="AF2106" s="306"/>
      <c r="AG2106" s="306"/>
      <c r="AH2106" s="306"/>
      <c r="AI2106" s="306"/>
      <c r="AJ2106" s="306"/>
      <c r="AK2106" s="306"/>
      <c r="AL2106" s="306"/>
      <c r="AM2106" s="418"/>
      <c r="AN2106" s="418"/>
      <c r="AO2106" s="306"/>
      <c r="AP2106" s="306"/>
      <c r="AQ2106" s="418"/>
      <c r="AR2106" s="306"/>
      <c r="AS2106" s="306"/>
      <c r="AT2106" s="418"/>
      <c r="AU2106" s="306"/>
      <c r="AV2106" s="306"/>
      <c r="AW2106" s="306"/>
      <c r="AX2106" s="306"/>
      <c r="AY2106" s="306"/>
      <c r="AZ2106" s="306"/>
      <c r="BA2106" s="306"/>
      <c r="BB2106" s="306"/>
    </row>
    <row r="2107" spans="1:54" ht="15.75" customHeight="1">
      <c r="A2107" s="317"/>
      <c r="B2107" s="430"/>
      <c r="C2107" s="317"/>
      <c r="E2107" s="306"/>
      <c r="F2107" s="431"/>
      <c r="G2107" s="431"/>
      <c r="H2107" s="298"/>
      <c r="I2107" s="432"/>
      <c r="J2107" s="433"/>
      <c r="K2107" s="306"/>
      <c r="L2107" s="306"/>
      <c r="M2107" s="306"/>
      <c r="N2107" s="298"/>
      <c r="O2107" s="298"/>
      <c r="P2107" s="298"/>
      <c r="Q2107" s="306"/>
      <c r="R2107" s="1023"/>
      <c r="S2107" s="1023"/>
      <c r="T2107" s="306"/>
      <c r="U2107" s="306"/>
      <c r="V2107" s="306"/>
      <c r="W2107" s="306"/>
      <c r="X2107" s="306"/>
      <c r="Y2107" s="306"/>
      <c r="Z2107" s="306"/>
      <c r="AA2107" s="306"/>
      <c r="AB2107" s="306"/>
      <c r="AC2107" s="306"/>
      <c r="AD2107" s="306"/>
      <c r="AE2107" s="306"/>
      <c r="AF2107" s="306"/>
      <c r="AG2107" s="306"/>
      <c r="AH2107" s="306"/>
      <c r="AI2107" s="306"/>
      <c r="AJ2107" s="306"/>
      <c r="AK2107" s="306"/>
      <c r="AL2107" s="306"/>
      <c r="AM2107" s="418"/>
      <c r="AN2107" s="418"/>
      <c r="AO2107" s="306"/>
      <c r="AP2107" s="306"/>
      <c r="AQ2107" s="418"/>
      <c r="AR2107" s="306"/>
      <c r="AS2107" s="306"/>
      <c r="AT2107" s="418"/>
      <c r="AU2107" s="306"/>
      <c r="AV2107" s="306"/>
      <c r="AW2107" s="306"/>
      <c r="AX2107" s="306"/>
      <c r="AY2107" s="306"/>
      <c r="AZ2107" s="306"/>
      <c r="BA2107" s="306"/>
      <c r="BB2107" s="306"/>
    </row>
    <row r="2108" spans="1:54" ht="15.75" customHeight="1">
      <c r="A2108" s="317"/>
      <c r="B2108" s="430"/>
      <c r="C2108" s="317"/>
      <c r="E2108" s="306"/>
      <c r="F2108" s="431"/>
      <c r="G2108" s="431"/>
      <c r="H2108" s="298"/>
      <c r="I2108" s="432"/>
      <c r="J2108" s="433"/>
      <c r="K2108" s="306"/>
      <c r="L2108" s="306"/>
      <c r="M2108" s="306"/>
      <c r="N2108" s="298"/>
      <c r="O2108" s="298"/>
      <c r="P2108" s="298"/>
      <c r="Q2108" s="306"/>
      <c r="R2108" s="1023"/>
      <c r="S2108" s="1023"/>
      <c r="T2108" s="306"/>
      <c r="U2108" s="306"/>
      <c r="V2108" s="306"/>
      <c r="W2108" s="306"/>
      <c r="X2108" s="306"/>
      <c r="Y2108" s="306"/>
      <c r="Z2108" s="306"/>
      <c r="AA2108" s="306"/>
      <c r="AB2108" s="306"/>
      <c r="AC2108" s="306"/>
      <c r="AD2108" s="306"/>
      <c r="AE2108" s="306"/>
      <c r="AF2108" s="306"/>
      <c r="AG2108" s="306"/>
      <c r="AH2108" s="306"/>
      <c r="AI2108" s="306"/>
      <c r="AJ2108" s="306"/>
      <c r="AK2108" s="306"/>
      <c r="AL2108" s="306"/>
      <c r="AM2108" s="418"/>
      <c r="AN2108" s="418"/>
      <c r="AO2108" s="306"/>
      <c r="AP2108" s="306"/>
      <c r="AQ2108" s="418"/>
      <c r="AR2108" s="306"/>
      <c r="AS2108" s="306"/>
      <c r="AT2108" s="418"/>
      <c r="AU2108" s="306"/>
      <c r="AV2108" s="306"/>
      <c r="AW2108" s="306"/>
      <c r="AX2108" s="306"/>
      <c r="AY2108" s="306"/>
      <c r="AZ2108" s="306"/>
      <c r="BA2108" s="306"/>
      <c r="BB2108" s="306"/>
    </row>
    <row r="2109" spans="1:54" ht="15.75" customHeight="1">
      <c r="A2109" s="317"/>
      <c r="B2109" s="430"/>
      <c r="C2109" s="317"/>
      <c r="E2109" s="306"/>
      <c r="F2109" s="431"/>
      <c r="G2109" s="431"/>
      <c r="H2109" s="298"/>
      <c r="I2109" s="432"/>
      <c r="J2109" s="433"/>
      <c r="K2109" s="306"/>
      <c r="L2109" s="306"/>
      <c r="M2109" s="306"/>
      <c r="N2109" s="298"/>
      <c r="O2109" s="298"/>
      <c r="P2109" s="298"/>
      <c r="Q2109" s="306"/>
      <c r="R2109" s="1023"/>
      <c r="S2109" s="1023"/>
      <c r="T2109" s="306"/>
      <c r="U2109" s="306"/>
      <c r="V2109" s="306"/>
      <c r="W2109" s="306"/>
      <c r="X2109" s="306"/>
      <c r="Y2109" s="306"/>
      <c r="Z2109" s="306"/>
      <c r="AA2109" s="306"/>
      <c r="AB2109" s="306"/>
      <c r="AC2109" s="306"/>
      <c r="AD2109" s="306"/>
      <c r="AE2109" s="306"/>
      <c r="AF2109" s="306"/>
      <c r="AG2109" s="306"/>
      <c r="AH2109" s="306"/>
      <c r="AI2109" s="306"/>
      <c r="AJ2109" s="306"/>
      <c r="AK2109" s="306"/>
      <c r="AL2109" s="306"/>
      <c r="AM2109" s="418"/>
      <c r="AN2109" s="418"/>
      <c r="AO2109" s="306"/>
      <c r="AP2109" s="306"/>
      <c r="AQ2109" s="418"/>
      <c r="AR2109" s="306"/>
      <c r="AS2109" s="306"/>
      <c r="AT2109" s="418"/>
      <c r="AU2109" s="306"/>
      <c r="AV2109" s="306"/>
      <c r="AW2109" s="306"/>
      <c r="AX2109" s="306"/>
      <c r="AY2109" s="306"/>
      <c r="AZ2109" s="306"/>
      <c r="BA2109" s="306"/>
      <c r="BB2109" s="306"/>
    </row>
    <row r="2110" spans="1:54" ht="15.75" customHeight="1">
      <c r="A2110" s="317"/>
      <c r="B2110" s="430"/>
      <c r="C2110" s="317"/>
      <c r="E2110" s="306"/>
      <c r="F2110" s="431"/>
      <c r="G2110" s="431"/>
      <c r="H2110" s="298"/>
      <c r="I2110" s="432"/>
      <c r="J2110" s="433"/>
      <c r="K2110" s="306"/>
      <c r="L2110" s="306"/>
      <c r="M2110" s="306"/>
      <c r="N2110" s="298"/>
      <c r="O2110" s="298"/>
      <c r="P2110" s="298"/>
      <c r="Q2110" s="306"/>
      <c r="R2110" s="1023"/>
      <c r="S2110" s="1023"/>
      <c r="T2110" s="306"/>
      <c r="U2110" s="306"/>
      <c r="V2110" s="306"/>
      <c r="W2110" s="306"/>
      <c r="X2110" s="306"/>
      <c r="Y2110" s="306"/>
      <c r="Z2110" s="306"/>
      <c r="AA2110" s="306"/>
      <c r="AB2110" s="306"/>
      <c r="AC2110" s="306"/>
      <c r="AD2110" s="306"/>
      <c r="AE2110" s="306"/>
      <c r="AF2110" s="306"/>
      <c r="AG2110" s="306"/>
      <c r="AH2110" s="306"/>
      <c r="AI2110" s="306"/>
      <c r="AJ2110" s="306"/>
      <c r="AK2110" s="306"/>
      <c r="AL2110" s="306"/>
      <c r="AM2110" s="418"/>
      <c r="AN2110" s="418"/>
      <c r="AO2110" s="306"/>
      <c r="AP2110" s="306"/>
      <c r="AQ2110" s="418"/>
      <c r="AR2110" s="306"/>
      <c r="AS2110" s="306"/>
      <c r="AT2110" s="418"/>
      <c r="AU2110" s="306"/>
      <c r="AV2110" s="306"/>
      <c r="AW2110" s="306"/>
      <c r="AX2110" s="306"/>
      <c r="AY2110" s="306"/>
      <c r="AZ2110" s="306"/>
      <c r="BA2110" s="306"/>
      <c r="BB2110" s="306"/>
    </row>
    <row r="2111" spans="1:54" ht="15.75" customHeight="1">
      <c r="A2111" s="317"/>
      <c r="B2111" s="430"/>
      <c r="C2111" s="317"/>
      <c r="E2111" s="306"/>
      <c r="F2111" s="431"/>
      <c r="G2111" s="431"/>
      <c r="H2111" s="298"/>
      <c r="I2111" s="432"/>
      <c r="J2111" s="433"/>
      <c r="K2111" s="306"/>
      <c r="L2111" s="306"/>
      <c r="M2111" s="306"/>
      <c r="N2111" s="298"/>
      <c r="O2111" s="298"/>
      <c r="P2111" s="298"/>
      <c r="Q2111" s="306"/>
      <c r="R2111" s="1023"/>
      <c r="S2111" s="1023"/>
      <c r="T2111" s="306"/>
      <c r="U2111" s="306"/>
      <c r="V2111" s="306"/>
      <c r="W2111" s="306"/>
      <c r="X2111" s="306"/>
      <c r="Y2111" s="306"/>
      <c r="Z2111" s="306"/>
      <c r="AA2111" s="306"/>
      <c r="AB2111" s="306"/>
      <c r="AC2111" s="306"/>
      <c r="AD2111" s="306"/>
      <c r="AE2111" s="306"/>
      <c r="AF2111" s="306"/>
      <c r="AG2111" s="306"/>
      <c r="AH2111" s="306"/>
      <c r="AI2111" s="306"/>
      <c r="AJ2111" s="306"/>
      <c r="AK2111" s="306"/>
      <c r="AL2111" s="306"/>
      <c r="AM2111" s="418"/>
      <c r="AN2111" s="418"/>
      <c r="AO2111" s="306"/>
      <c r="AP2111" s="306"/>
      <c r="AQ2111" s="418"/>
      <c r="AR2111" s="306"/>
      <c r="AS2111" s="306"/>
      <c r="AT2111" s="418"/>
      <c r="AU2111" s="306"/>
      <c r="AV2111" s="306"/>
      <c r="AW2111" s="306"/>
      <c r="AX2111" s="306"/>
      <c r="AY2111" s="306"/>
      <c r="AZ2111" s="306"/>
      <c r="BA2111" s="306"/>
      <c r="BB2111" s="306"/>
    </row>
    <row r="2112" spans="1:54" ht="15.75" customHeight="1">
      <c r="A2112" s="317"/>
      <c r="B2112" s="430"/>
      <c r="C2112" s="317"/>
      <c r="E2112" s="306"/>
      <c r="F2112" s="431"/>
      <c r="G2112" s="431"/>
      <c r="H2112" s="298"/>
      <c r="I2112" s="432"/>
      <c r="J2112" s="433"/>
      <c r="K2112" s="306"/>
      <c r="L2112" s="306"/>
      <c r="M2112" s="306"/>
      <c r="N2112" s="298"/>
      <c r="O2112" s="298"/>
      <c r="P2112" s="298"/>
      <c r="Q2112" s="306"/>
      <c r="R2112" s="1023"/>
      <c r="S2112" s="1023"/>
      <c r="T2112" s="306"/>
      <c r="U2112" s="306"/>
      <c r="V2112" s="306"/>
      <c r="W2112" s="306"/>
      <c r="X2112" s="306"/>
      <c r="Y2112" s="306"/>
      <c r="Z2112" s="306"/>
      <c r="AA2112" s="306"/>
      <c r="AB2112" s="306"/>
      <c r="AC2112" s="306"/>
      <c r="AD2112" s="306"/>
      <c r="AE2112" s="306"/>
      <c r="AF2112" s="306"/>
      <c r="AG2112" s="306"/>
      <c r="AH2112" s="306"/>
      <c r="AI2112" s="306"/>
      <c r="AJ2112" s="306"/>
      <c r="AK2112" s="306"/>
      <c r="AL2112" s="306"/>
      <c r="AM2112" s="418"/>
      <c r="AN2112" s="418"/>
      <c r="AO2112" s="306"/>
      <c r="AP2112" s="306"/>
      <c r="AQ2112" s="418"/>
      <c r="AR2112" s="306"/>
      <c r="AS2112" s="306"/>
      <c r="AT2112" s="418"/>
      <c r="AU2112" s="306"/>
      <c r="AV2112" s="306"/>
      <c r="AW2112" s="306"/>
      <c r="AX2112" s="306"/>
      <c r="AY2112" s="306"/>
      <c r="AZ2112" s="306"/>
      <c r="BA2112" s="306"/>
      <c r="BB2112" s="306"/>
    </row>
    <row r="2113" spans="1:54" ht="15.75" customHeight="1">
      <c r="A2113" s="317"/>
      <c r="B2113" s="430"/>
      <c r="C2113" s="317"/>
      <c r="E2113" s="306"/>
      <c r="F2113" s="431"/>
      <c r="G2113" s="431"/>
      <c r="H2113" s="298"/>
      <c r="I2113" s="432"/>
      <c r="J2113" s="433"/>
      <c r="K2113" s="306"/>
      <c r="L2113" s="306"/>
      <c r="M2113" s="306"/>
      <c r="N2113" s="298"/>
      <c r="O2113" s="298"/>
      <c r="P2113" s="298"/>
      <c r="Q2113" s="306"/>
      <c r="R2113" s="1023"/>
      <c r="S2113" s="1023"/>
      <c r="T2113" s="306"/>
      <c r="U2113" s="306"/>
      <c r="V2113" s="306"/>
      <c r="W2113" s="306"/>
      <c r="X2113" s="306"/>
      <c r="Y2113" s="306"/>
      <c r="Z2113" s="306"/>
      <c r="AA2113" s="306"/>
      <c r="AB2113" s="306"/>
      <c r="AC2113" s="306"/>
      <c r="AD2113" s="306"/>
      <c r="AE2113" s="306"/>
      <c r="AF2113" s="306"/>
      <c r="AG2113" s="306"/>
      <c r="AH2113" s="306"/>
      <c r="AI2113" s="306"/>
      <c r="AJ2113" s="306"/>
      <c r="AK2113" s="306"/>
      <c r="AL2113" s="306"/>
      <c r="AM2113" s="418"/>
      <c r="AN2113" s="418"/>
      <c r="AO2113" s="306"/>
      <c r="AP2113" s="306"/>
      <c r="AQ2113" s="418"/>
      <c r="AR2113" s="306"/>
      <c r="AS2113" s="306"/>
      <c r="AT2113" s="418"/>
      <c r="AU2113" s="306"/>
      <c r="AV2113" s="306"/>
      <c r="AW2113" s="306"/>
      <c r="AX2113" s="306"/>
      <c r="AY2113" s="306"/>
      <c r="AZ2113" s="306"/>
      <c r="BA2113" s="306"/>
      <c r="BB2113" s="306"/>
    </row>
    <row r="2114" spans="1:54" ht="15.75" customHeight="1">
      <c r="A2114" s="317"/>
      <c r="B2114" s="430"/>
      <c r="C2114" s="317"/>
      <c r="E2114" s="306"/>
      <c r="F2114" s="431"/>
      <c r="G2114" s="431"/>
      <c r="H2114" s="298"/>
      <c r="I2114" s="432"/>
      <c r="J2114" s="433"/>
      <c r="K2114" s="306"/>
      <c r="L2114" s="306"/>
      <c r="M2114" s="306"/>
      <c r="N2114" s="298"/>
      <c r="O2114" s="298"/>
      <c r="P2114" s="298"/>
      <c r="Q2114" s="306"/>
      <c r="R2114" s="1023"/>
      <c r="S2114" s="1023"/>
      <c r="T2114" s="306"/>
      <c r="U2114" s="306"/>
      <c r="V2114" s="306"/>
      <c r="W2114" s="306"/>
      <c r="X2114" s="306"/>
      <c r="Y2114" s="306"/>
      <c r="Z2114" s="306"/>
      <c r="AA2114" s="306"/>
      <c r="AB2114" s="306"/>
      <c r="AC2114" s="306"/>
      <c r="AD2114" s="306"/>
      <c r="AE2114" s="306"/>
      <c r="AF2114" s="306"/>
      <c r="AG2114" s="306"/>
      <c r="AH2114" s="306"/>
      <c r="AI2114" s="306"/>
      <c r="AJ2114" s="306"/>
      <c r="AK2114" s="306"/>
      <c r="AL2114" s="306"/>
      <c r="AM2114" s="418"/>
      <c r="AN2114" s="418"/>
      <c r="AO2114" s="306"/>
      <c r="AP2114" s="306"/>
      <c r="AQ2114" s="418"/>
      <c r="AR2114" s="306"/>
      <c r="AS2114" s="306"/>
      <c r="AT2114" s="418"/>
      <c r="AU2114" s="306"/>
      <c r="AV2114" s="306"/>
      <c r="AW2114" s="306"/>
      <c r="AX2114" s="306"/>
      <c r="AY2114" s="306"/>
      <c r="AZ2114" s="306"/>
      <c r="BA2114" s="306"/>
      <c r="BB2114" s="306"/>
    </row>
    <row r="2115" spans="1:54" ht="15.75" customHeight="1">
      <c r="A2115" s="317"/>
      <c r="B2115" s="430"/>
      <c r="C2115" s="317"/>
      <c r="E2115" s="306"/>
      <c r="F2115" s="431"/>
      <c r="G2115" s="431"/>
      <c r="H2115" s="298"/>
      <c r="I2115" s="432"/>
      <c r="J2115" s="433"/>
      <c r="K2115" s="306"/>
      <c r="L2115" s="306"/>
      <c r="M2115" s="306"/>
      <c r="N2115" s="298"/>
      <c r="O2115" s="298"/>
      <c r="P2115" s="298"/>
      <c r="Q2115" s="306"/>
      <c r="R2115" s="1023"/>
      <c r="S2115" s="1023"/>
      <c r="T2115" s="306"/>
      <c r="U2115" s="306"/>
      <c r="V2115" s="306"/>
      <c r="W2115" s="306"/>
      <c r="X2115" s="306"/>
      <c r="Y2115" s="306"/>
      <c r="Z2115" s="306"/>
      <c r="AA2115" s="306"/>
      <c r="AB2115" s="306"/>
      <c r="AC2115" s="306"/>
      <c r="AD2115" s="306"/>
      <c r="AE2115" s="306"/>
      <c r="AF2115" s="306"/>
      <c r="AG2115" s="306"/>
      <c r="AH2115" s="306"/>
      <c r="AI2115" s="306"/>
      <c r="AJ2115" s="306"/>
      <c r="AK2115" s="306"/>
      <c r="AL2115" s="306"/>
      <c r="AM2115" s="418"/>
      <c r="AN2115" s="418"/>
      <c r="AO2115" s="306"/>
      <c r="AP2115" s="306"/>
      <c r="AQ2115" s="418"/>
      <c r="AR2115" s="306"/>
      <c r="AS2115" s="306"/>
      <c r="AT2115" s="418"/>
      <c r="AU2115" s="306"/>
      <c r="AV2115" s="306"/>
      <c r="AW2115" s="306"/>
      <c r="AX2115" s="306"/>
      <c r="AY2115" s="306"/>
      <c r="AZ2115" s="306"/>
      <c r="BA2115" s="306"/>
      <c r="BB2115" s="306"/>
    </row>
    <row r="2116" spans="1:54" ht="15.75" customHeight="1">
      <c r="A2116" s="317"/>
      <c r="B2116" s="430"/>
      <c r="C2116" s="317"/>
      <c r="E2116" s="306"/>
      <c r="F2116" s="431"/>
      <c r="G2116" s="431"/>
      <c r="H2116" s="298"/>
      <c r="I2116" s="432"/>
      <c r="J2116" s="433"/>
      <c r="K2116" s="306"/>
      <c r="L2116" s="306"/>
      <c r="M2116" s="306"/>
      <c r="N2116" s="298"/>
      <c r="O2116" s="306"/>
      <c r="P2116" s="298"/>
      <c r="Q2116" s="306"/>
      <c r="R2116" s="1023"/>
      <c r="S2116" s="1023"/>
      <c r="T2116" s="306"/>
      <c r="U2116" s="306"/>
      <c r="V2116" s="306"/>
      <c r="W2116" s="306"/>
      <c r="X2116" s="306"/>
      <c r="Y2116" s="306"/>
      <c r="Z2116" s="306"/>
      <c r="AA2116" s="306"/>
      <c r="AB2116" s="306"/>
      <c r="AC2116" s="306"/>
      <c r="AD2116" s="306"/>
      <c r="AE2116" s="306"/>
      <c r="AF2116" s="306"/>
      <c r="AG2116" s="306"/>
      <c r="AH2116" s="306"/>
      <c r="AI2116" s="306"/>
      <c r="AJ2116" s="306"/>
      <c r="AK2116" s="306"/>
      <c r="AL2116" s="306"/>
      <c r="AM2116" s="418"/>
      <c r="AN2116" s="418"/>
      <c r="AO2116" s="306"/>
      <c r="AP2116" s="306"/>
      <c r="AQ2116" s="418"/>
      <c r="AR2116" s="306"/>
      <c r="AS2116" s="306"/>
      <c r="AT2116" s="418"/>
      <c r="AU2116" s="306"/>
      <c r="AV2116" s="306"/>
      <c r="AW2116" s="306"/>
      <c r="AX2116" s="306"/>
      <c r="AY2116" s="306"/>
      <c r="AZ2116" s="306"/>
      <c r="BA2116" s="306"/>
      <c r="BB2116" s="306"/>
    </row>
    <row r="2117" spans="1:54" ht="15.75" customHeight="1">
      <c r="A2117" s="317"/>
      <c r="B2117" s="430"/>
      <c r="C2117" s="317"/>
      <c r="E2117" s="306"/>
      <c r="F2117" s="431"/>
      <c r="G2117" s="431"/>
      <c r="H2117" s="298"/>
      <c r="I2117" s="432"/>
      <c r="J2117" s="433"/>
      <c r="K2117" s="306"/>
      <c r="L2117" s="306"/>
      <c r="M2117" s="306"/>
      <c r="N2117" s="298"/>
      <c r="O2117" s="306"/>
      <c r="P2117" s="298"/>
      <c r="Q2117" s="306"/>
      <c r="R2117" s="1023"/>
      <c r="S2117" s="1023"/>
      <c r="T2117" s="306"/>
      <c r="U2117" s="306"/>
      <c r="V2117" s="306"/>
      <c r="W2117" s="306"/>
      <c r="X2117" s="306"/>
      <c r="Y2117" s="306"/>
      <c r="Z2117" s="306"/>
      <c r="AA2117" s="306"/>
      <c r="AB2117" s="306"/>
      <c r="AC2117" s="306"/>
      <c r="AD2117" s="306"/>
      <c r="AE2117" s="306"/>
      <c r="AF2117" s="306"/>
      <c r="AG2117" s="306"/>
      <c r="AH2117" s="306"/>
      <c r="AI2117" s="306"/>
      <c r="AJ2117" s="306"/>
      <c r="AK2117" s="306"/>
      <c r="AL2117" s="306"/>
      <c r="AM2117" s="418"/>
      <c r="AN2117" s="418"/>
      <c r="AO2117" s="306"/>
      <c r="AP2117" s="306"/>
      <c r="AQ2117" s="418"/>
      <c r="AR2117" s="306"/>
      <c r="AS2117" s="306"/>
      <c r="AT2117" s="418"/>
      <c r="AU2117" s="306"/>
      <c r="AV2117" s="306"/>
      <c r="AW2117" s="306"/>
      <c r="AX2117" s="306"/>
      <c r="AY2117" s="306"/>
      <c r="AZ2117" s="306"/>
      <c r="BA2117" s="306"/>
      <c r="BB2117" s="306"/>
    </row>
    <row r="2118" spans="1:54" ht="15.75" customHeight="1">
      <c r="A2118" s="317"/>
      <c r="B2118" s="430"/>
      <c r="C2118" s="317"/>
      <c r="E2118" s="306"/>
      <c r="F2118" s="431"/>
      <c r="G2118" s="431"/>
      <c r="H2118" s="298"/>
      <c r="I2118" s="432"/>
      <c r="J2118" s="433"/>
      <c r="K2118" s="306"/>
      <c r="L2118" s="306"/>
      <c r="M2118" s="306"/>
      <c r="N2118" s="298"/>
      <c r="O2118" s="298"/>
      <c r="P2118" s="298"/>
      <c r="Q2118" s="306"/>
      <c r="R2118" s="1023"/>
      <c r="S2118" s="1023"/>
      <c r="T2118" s="306"/>
      <c r="U2118" s="306"/>
      <c r="V2118" s="306"/>
      <c r="W2118" s="306"/>
      <c r="X2118" s="306"/>
      <c r="Y2118" s="306"/>
      <c r="Z2118" s="306"/>
      <c r="AA2118" s="306"/>
      <c r="AB2118" s="306"/>
      <c r="AC2118" s="306"/>
      <c r="AD2118" s="306"/>
      <c r="AE2118" s="306"/>
      <c r="AF2118" s="306"/>
      <c r="AG2118" s="306"/>
      <c r="AH2118" s="306"/>
      <c r="AI2118" s="306"/>
      <c r="AJ2118" s="306"/>
      <c r="AK2118" s="306"/>
      <c r="AL2118" s="306"/>
      <c r="AM2118" s="418"/>
      <c r="AN2118" s="418"/>
      <c r="AO2118" s="306"/>
      <c r="AP2118" s="306"/>
      <c r="AQ2118" s="418"/>
      <c r="AR2118" s="306"/>
      <c r="AS2118" s="306"/>
      <c r="AT2118" s="418"/>
      <c r="AU2118" s="306"/>
      <c r="AV2118" s="306"/>
      <c r="AW2118" s="306"/>
      <c r="AX2118" s="306"/>
      <c r="AY2118" s="306"/>
      <c r="AZ2118" s="306"/>
      <c r="BA2118" s="306"/>
      <c r="BB2118" s="306"/>
    </row>
    <row r="2119" spans="1:54" ht="15.75" customHeight="1">
      <c r="A2119" s="317"/>
      <c r="B2119" s="430"/>
      <c r="C2119" s="317"/>
      <c r="E2119" s="306"/>
      <c r="F2119" s="431"/>
      <c r="G2119" s="431"/>
      <c r="H2119" s="298"/>
      <c r="I2119" s="432"/>
      <c r="J2119" s="433"/>
      <c r="K2119" s="306"/>
      <c r="L2119" s="306"/>
      <c r="M2119" s="306"/>
      <c r="N2119" s="298"/>
      <c r="O2119" s="298"/>
      <c r="P2119" s="298"/>
      <c r="Q2119" s="306"/>
      <c r="R2119" s="1023"/>
      <c r="S2119" s="1023"/>
      <c r="T2119" s="306"/>
      <c r="U2119" s="306"/>
      <c r="V2119" s="306"/>
      <c r="W2119" s="306"/>
      <c r="X2119" s="306"/>
      <c r="Y2119" s="306"/>
      <c r="Z2119" s="306"/>
      <c r="AA2119" s="306"/>
      <c r="AB2119" s="306"/>
      <c r="AC2119" s="306"/>
      <c r="AD2119" s="306"/>
      <c r="AE2119" s="306"/>
      <c r="AF2119" s="306"/>
      <c r="AG2119" s="306"/>
      <c r="AH2119" s="306"/>
      <c r="AI2119" s="306"/>
      <c r="AJ2119" s="306"/>
      <c r="AK2119" s="306"/>
      <c r="AL2119" s="306"/>
      <c r="AM2119" s="418"/>
      <c r="AN2119" s="418"/>
      <c r="AO2119" s="306"/>
      <c r="AP2119" s="306"/>
      <c r="AQ2119" s="418"/>
      <c r="AR2119" s="306"/>
      <c r="AS2119" s="306"/>
      <c r="AT2119" s="418"/>
      <c r="AU2119" s="306"/>
      <c r="AV2119" s="306"/>
      <c r="AW2119" s="306"/>
      <c r="AX2119" s="306"/>
      <c r="AY2119" s="306"/>
      <c r="AZ2119" s="306"/>
      <c r="BA2119" s="306"/>
      <c r="BB2119" s="306"/>
    </row>
    <row r="2120" spans="1:54" ht="15.75" customHeight="1">
      <c r="A2120" s="317"/>
      <c r="B2120" s="430"/>
      <c r="C2120" s="317"/>
      <c r="E2120" s="306"/>
      <c r="F2120" s="431"/>
      <c r="G2120" s="431"/>
      <c r="H2120" s="298"/>
      <c r="I2120" s="432"/>
      <c r="J2120" s="433"/>
      <c r="K2120" s="306"/>
      <c r="L2120" s="306"/>
      <c r="M2120" s="306"/>
      <c r="N2120" s="298"/>
      <c r="O2120" s="298"/>
      <c r="P2120" s="298"/>
      <c r="Q2120" s="306"/>
      <c r="R2120" s="1023"/>
      <c r="S2120" s="1023"/>
      <c r="T2120" s="306"/>
      <c r="U2120" s="306"/>
      <c r="V2120" s="306"/>
      <c r="W2120" s="306"/>
      <c r="X2120" s="306"/>
      <c r="Y2120" s="306"/>
      <c r="Z2120" s="306"/>
      <c r="AA2120" s="306"/>
      <c r="AB2120" s="306"/>
      <c r="AC2120" s="306"/>
      <c r="AD2120" s="306"/>
      <c r="AE2120" s="306"/>
      <c r="AF2120" s="306"/>
      <c r="AG2120" s="306"/>
      <c r="AH2120" s="306"/>
      <c r="AI2120" s="306"/>
      <c r="AJ2120" s="306"/>
      <c r="AK2120" s="306"/>
      <c r="AL2120" s="306"/>
      <c r="AM2120" s="418"/>
      <c r="AN2120" s="418"/>
      <c r="AO2120" s="306"/>
      <c r="AP2120" s="306"/>
      <c r="AQ2120" s="418"/>
      <c r="AR2120" s="306"/>
      <c r="AS2120" s="306"/>
      <c r="AT2120" s="418"/>
      <c r="AU2120" s="306"/>
      <c r="AV2120" s="306"/>
      <c r="AW2120" s="306"/>
      <c r="AX2120" s="306"/>
      <c r="AY2120" s="306"/>
      <c r="AZ2120" s="306"/>
      <c r="BA2120" s="306"/>
      <c r="BB2120" s="306"/>
    </row>
    <row r="2121" spans="1:54" ht="15.75" customHeight="1">
      <c r="A2121" s="317"/>
      <c r="B2121" s="430"/>
      <c r="C2121" s="317"/>
      <c r="E2121" s="306"/>
      <c r="F2121" s="431"/>
      <c r="G2121" s="431"/>
      <c r="H2121" s="298"/>
      <c r="I2121" s="432"/>
      <c r="J2121" s="433"/>
      <c r="K2121" s="306"/>
      <c r="L2121" s="306"/>
      <c r="M2121" s="306"/>
      <c r="N2121" s="298"/>
      <c r="O2121" s="298"/>
      <c r="P2121" s="298"/>
      <c r="Q2121" s="306"/>
      <c r="R2121" s="1023"/>
      <c r="S2121" s="1023"/>
      <c r="T2121" s="306"/>
      <c r="U2121" s="306"/>
      <c r="V2121" s="306"/>
      <c r="W2121" s="306"/>
      <c r="X2121" s="306"/>
      <c r="Y2121" s="306"/>
      <c r="Z2121" s="306"/>
      <c r="AA2121" s="306"/>
      <c r="AB2121" s="306"/>
      <c r="AC2121" s="306"/>
      <c r="AD2121" s="306"/>
      <c r="AE2121" s="306"/>
      <c r="AF2121" s="306"/>
      <c r="AG2121" s="306"/>
      <c r="AH2121" s="306"/>
      <c r="AI2121" s="306"/>
      <c r="AJ2121" s="306"/>
      <c r="AK2121" s="306"/>
      <c r="AL2121" s="306"/>
      <c r="AM2121" s="418"/>
      <c r="AN2121" s="418"/>
      <c r="AO2121" s="306"/>
      <c r="AP2121" s="306"/>
      <c r="AQ2121" s="418"/>
      <c r="AR2121" s="306"/>
      <c r="AS2121" s="306"/>
      <c r="AT2121" s="418"/>
      <c r="AU2121" s="306"/>
      <c r="AV2121" s="306"/>
      <c r="AW2121" s="306"/>
      <c r="AX2121" s="306"/>
      <c r="AY2121" s="306"/>
      <c r="AZ2121" s="306"/>
      <c r="BA2121" s="306"/>
      <c r="BB2121" s="306"/>
    </row>
    <row r="2122" spans="1:54" ht="15.75" customHeight="1">
      <c r="A2122" s="317"/>
      <c r="B2122" s="430"/>
      <c r="C2122" s="317"/>
      <c r="E2122" s="306"/>
      <c r="F2122" s="431"/>
      <c r="G2122" s="431"/>
      <c r="H2122" s="298"/>
      <c r="I2122" s="432"/>
      <c r="J2122" s="433"/>
      <c r="K2122" s="306"/>
      <c r="L2122" s="306"/>
      <c r="M2122" s="306"/>
      <c r="N2122" s="298"/>
      <c r="O2122" s="298"/>
      <c r="P2122" s="298"/>
      <c r="Q2122" s="306"/>
      <c r="R2122" s="1023"/>
      <c r="S2122" s="1023"/>
      <c r="T2122" s="306"/>
      <c r="U2122" s="306"/>
      <c r="V2122" s="306"/>
      <c r="W2122" s="306"/>
      <c r="X2122" s="306"/>
      <c r="Y2122" s="306"/>
      <c r="Z2122" s="306"/>
      <c r="AA2122" s="306"/>
      <c r="AB2122" s="306"/>
      <c r="AC2122" s="306"/>
      <c r="AD2122" s="306"/>
      <c r="AE2122" s="306"/>
      <c r="AF2122" s="306"/>
      <c r="AG2122" s="306"/>
      <c r="AH2122" s="306"/>
      <c r="AI2122" s="306"/>
      <c r="AJ2122" s="306"/>
      <c r="AK2122" s="306"/>
      <c r="AL2122" s="306"/>
      <c r="AM2122" s="418"/>
      <c r="AN2122" s="418"/>
      <c r="AO2122" s="306"/>
      <c r="AP2122" s="306"/>
      <c r="AQ2122" s="418"/>
      <c r="AR2122" s="306"/>
      <c r="AS2122" s="306"/>
      <c r="AT2122" s="418"/>
      <c r="AU2122" s="306"/>
      <c r="AV2122" s="306"/>
      <c r="AW2122" s="306"/>
      <c r="AX2122" s="306"/>
      <c r="AY2122" s="306"/>
      <c r="AZ2122" s="306"/>
      <c r="BA2122" s="306"/>
      <c r="BB2122" s="306"/>
    </row>
    <row r="2123" spans="1:54" ht="15.75" customHeight="1">
      <c r="A2123" s="317"/>
      <c r="B2123" s="430"/>
      <c r="C2123" s="317"/>
      <c r="E2123" s="306"/>
      <c r="F2123" s="431"/>
      <c r="G2123" s="431"/>
      <c r="H2123" s="298"/>
      <c r="I2123" s="432"/>
      <c r="J2123" s="433"/>
      <c r="K2123" s="306"/>
      <c r="L2123" s="306"/>
      <c r="M2123" s="306"/>
      <c r="N2123" s="298"/>
      <c r="O2123" s="298"/>
      <c r="P2123" s="298"/>
      <c r="Q2123" s="306"/>
      <c r="R2123" s="1023"/>
      <c r="S2123" s="1023"/>
      <c r="T2123" s="306"/>
      <c r="U2123" s="306"/>
      <c r="V2123" s="306"/>
      <c r="W2123" s="306"/>
      <c r="X2123" s="306"/>
      <c r="Y2123" s="306"/>
      <c r="Z2123" s="306"/>
      <c r="AA2123" s="306"/>
      <c r="AB2123" s="306"/>
      <c r="AC2123" s="306"/>
      <c r="AD2123" s="306"/>
      <c r="AE2123" s="306"/>
      <c r="AF2123" s="306"/>
      <c r="AG2123" s="306"/>
      <c r="AH2123" s="306"/>
      <c r="AI2123" s="306"/>
      <c r="AJ2123" s="306"/>
      <c r="AK2123" s="306"/>
      <c r="AL2123" s="306"/>
      <c r="AM2123" s="418"/>
      <c r="AN2123" s="418"/>
      <c r="AO2123" s="306"/>
      <c r="AP2123" s="306"/>
      <c r="AQ2123" s="418"/>
      <c r="AR2123" s="306"/>
      <c r="AS2123" s="306"/>
      <c r="AT2123" s="418"/>
      <c r="AU2123" s="306"/>
      <c r="AV2123" s="306"/>
      <c r="AW2123" s="306"/>
      <c r="AX2123" s="306"/>
      <c r="AY2123" s="306"/>
      <c r="AZ2123" s="306"/>
      <c r="BA2123" s="306"/>
      <c r="BB2123" s="306"/>
    </row>
    <row r="2124" spans="1:54" ht="15.75" customHeight="1">
      <c r="A2124" s="317"/>
      <c r="B2124" s="430"/>
      <c r="C2124" s="317"/>
      <c r="E2124" s="306"/>
      <c r="F2124" s="431"/>
      <c r="G2124" s="431"/>
      <c r="H2124" s="298"/>
      <c r="I2124" s="432"/>
      <c r="J2124" s="433"/>
      <c r="K2124" s="306"/>
      <c r="L2124" s="306"/>
      <c r="M2124" s="306"/>
      <c r="N2124" s="298"/>
      <c r="O2124" s="298"/>
      <c r="P2124" s="298"/>
      <c r="Q2124" s="306"/>
      <c r="R2124" s="1023"/>
      <c r="S2124" s="1023"/>
      <c r="T2124" s="306"/>
      <c r="U2124" s="306"/>
      <c r="V2124" s="306"/>
      <c r="W2124" s="306"/>
      <c r="X2124" s="306"/>
      <c r="Y2124" s="306"/>
      <c r="Z2124" s="306"/>
      <c r="AA2124" s="306"/>
      <c r="AB2124" s="306"/>
      <c r="AC2124" s="306"/>
      <c r="AD2124" s="306"/>
      <c r="AE2124" s="306"/>
      <c r="AF2124" s="306"/>
      <c r="AG2124" s="306"/>
      <c r="AH2124" s="306"/>
      <c r="AI2124" s="306"/>
      <c r="AJ2124" s="306"/>
      <c r="AK2124" s="306"/>
      <c r="AL2124" s="306"/>
      <c r="AM2124" s="418"/>
      <c r="AN2124" s="418"/>
      <c r="AO2124" s="306"/>
      <c r="AP2124" s="306"/>
      <c r="AQ2124" s="418"/>
      <c r="AR2124" s="306"/>
      <c r="AS2124" s="306"/>
      <c r="AT2124" s="418"/>
      <c r="AU2124" s="306"/>
      <c r="AV2124" s="306"/>
      <c r="AW2124" s="306"/>
      <c r="AX2124" s="306"/>
      <c r="AY2124" s="306"/>
      <c r="AZ2124" s="306"/>
      <c r="BA2124" s="306"/>
      <c r="BB2124" s="306"/>
    </row>
    <row r="2125" spans="1:54" ht="15.75" customHeight="1">
      <c r="A2125" s="317"/>
      <c r="B2125" s="430"/>
      <c r="C2125" s="317"/>
      <c r="E2125" s="306"/>
      <c r="F2125" s="431"/>
      <c r="G2125" s="431"/>
      <c r="H2125" s="298"/>
      <c r="I2125" s="432"/>
      <c r="J2125" s="433"/>
      <c r="K2125" s="306"/>
      <c r="L2125" s="306"/>
      <c r="M2125" s="306"/>
      <c r="N2125" s="298"/>
      <c r="O2125" s="298"/>
      <c r="P2125" s="298"/>
      <c r="Q2125" s="306"/>
      <c r="R2125" s="1023"/>
      <c r="S2125" s="1023"/>
      <c r="T2125" s="306"/>
      <c r="U2125" s="306"/>
      <c r="V2125" s="306"/>
      <c r="W2125" s="306"/>
      <c r="X2125" s="306"/>
      <c r="Y2125" s="306"/>
      <c r="Z2125" s="306"/>
      <c r="AA2125" s="306"/>
      <c r="AB2125" s="306"/>
      <c r="AC2125" s="306"/>
      <c r="AD2125" s="306"/>
      <c r="AE2125" s="306"/>
      <c r="AF2125" s="306"/>
      <c r="AG2125" s="306"/>
      <c r="AH2125" s="306"/>
      <c r="AI2125" s="306"/>
      <c r="AJ2125" s="306"/>
      <c r="AK2125" s="306"/>
      <c r="AL2125" s="306"/>
      <c r="AM2125" s="418"/>
      <c r="AN2125" s="418"/>
      <c r="AO2125" s="306"/>
      <c r="AP2125" s="306"/>
      <c r="AQ2125" s="418"/>
      <c r="AR2125" s="306"/>
      <c r="AS2125" s="306"/>
      <c r="AT2125" s="418"/>
      <c r="AU2125" s="306"/>
      <c r="AV2125" s="306"/>
      <c r="AW2125" s="306"/>
      <c r="AX2125" s="306"/>
      <c r="AY2125" s="306"/>
      <c r="AZ2125" s="306"/>
      <c r="BA2125" s="306"/>
      <c r="BB2125" s="306"/>
    </row>
    <row r="2126" spans="1:54" ht="15.75" customHeight="1">
      <c r="A2126" s="317"/>
      <c r="B2126" s="430"/>
      <c r="C2126" s="317"/>
      <c r="E2126" s="306"/>
      <c r="F2126" s="431"/>
      <c r="G2126" s="431"/>
      <c r="H2126" s="298"/>
      <c r="I2126" s="432"/>
      <c r="J2126" s="433"/>
      <c r="K2126" s="306"/>
      <c r="L2126" s="306"/>
      <c r="M2126" s="306"/>
      <c r="N2126" s="298"/>
      <c r="O2126" s="298"/>
      <c r="P2126" s="298"/>
      <c r="Q2126" s="306"/>
      <c r="R2126" s="1023"/>
      <c r="S2126" s="1023"/>
      <c r="T2126" s="306"/>
      <c r="U2126" s="306"/>
      <c r="V2126" s="306"/>
      <c r="W2126" s="306"/>
      <c r="X2126" s="306"/>
      <c r="Y2126" s="306"/>
      <c r="Z2126" s="306"/>
      <c r="AA2126" s="306"/>
      <c r="AB2126" s="306"/>
      <c r="AC2126" s="306"/>
      <c r="AD2126" s="306"/>
      <c r="AE2126" s="306"/>
      <c r="AF2126" s="306"/>
      <c r="AG2126" s="306"/>
      <c r="AH2126" s="306"/>
      <c r="AI2126" s="306"/>
      <c r="AJ2126" s="306"/>
      <c r="AK2126" s="306"/>
      <c r="AL2126" s="306"/>
      <c r="AM2126" s="418"/>
      <c r="AN2126" s="418"/>
      <c r="AO2126" s="306"/>
      <c r="AP2126" s="306"/>
      <c r="AQ2126" s="418"/>
      <c r="AR2126" s="306"/>
      <c r="AS2126" s="306"/>
      <c r="AT2126" s="418"/>
      <c r="AU2126" s="306"/>
      <c r="AV2126" s="306"/>
      <c r="AW2126" s="306"/>
      <c r="AX2126" s="306"/>
      <c r="AY2126" s="306"/>
      <c r="AZ2126" s="306"/>
      <c r="BA2126" s="306"/>
      <c r="BB2126" s="306"/>
    </row>
    <row r="2127" spans="1:54" ht="15.75" customHeight="1">
      <c r="A2127" s="317"/>
      <c r="B2127" s="430"/>
      <c r="C2127" s="317"/>
      <c r="E2127" s="306"/>
      <c r="F2127" s="431"/>
      <c r="G2127" s="431"/>
      <c r="H2127" s="298"/>
      <c r="I2127" s="432"/>
      <c r="J2127" s="433"/>
      <c r="K2127" s="306"/>
      <c r="L2127" s="306"/>
      <c r="M2127" s="306"/>
      <c r="N2127" s="298"/>
      <c r="O2127" s="298"/>
      <c r="P2127" s="298"/>
      <c r="Q2127" s="306"/>
      <c r="R2127" s="1023"/>
      <c r="S2127" s="1023"/>
      <c r="T2127" s="306"/>
      <c r="U2127" s="306"/>
      <c r="V2127" s="306"/>
      <c r="W2127" s="306"/>
      <c r="X2127" s="306"/>
      <c r="Y2127" s="306"/>
      <c r="Z2127" s="306"/>
      <c r="AA2127" s="306"/>
      <c r="AB2127" s="306"/>
      <c r="AC2127" s="306"/>
      <c r="AD2127" s="306"/>
      <c r="AE2127" s="306"/>
      <c r="AF2127" s="306"/>
      <c r="AG2127" s="306"/>
      <c r="AH2127" s="306"/>
      <c r="AI2127" s="306"/>
      <c r="AJ2127" s="306"/>
      <c r="AK2127" s="306"/>
      <c r="AL2127" s="306"/>
      <c r="AM2127" s="418"/>
      <c r="AN2127" s="418"/>
      <c r="AO2127" s="306"/>
      <c r="AP2127" s="306"/>
      <c r="AQ2127" s="418"/>
      <c r="AR2127" s="306"/>
      <c r="AS2127" s="306"/>
      <c r="AT2127" s="418"/>
      <c r="AU2127" s="306"/>
      <c r="AV2127" s="306"/>
      <c r="AW2127" s="306"/>
      <c r="AX2127" s="306"/>
      <c r="AY2127" s="306"/>
      <c r="AZ2127" s="306"/>
      <c r="BA2127" s="306"/>
      <c r="BB2127" s="306"/>
    </row>
    <row r="2128" spans="1:54" ht="15.75" customHeight="1">
      <c r="A2128" s="317"/>
      <c r="B2128" s="430"/>
      <c r="C2128" s="317"/>
      <c r="E2128" s="306"/>
      <c r="F2128" s="431"/>
      <c r="G2128" s="431"/>
      <c r="H2128" s="298"/>
      <c r="I2128" s="432"/>
      <c r="J2128" s="433"/>
      <c r="K2128" s="306"/>
      <c r="L2128" s="306"/>
      <c r="M2128" s="306"/>
      <c r="N2128" s="298"/>
      <c r="O2128" s="298"/>
      <c r="P2128" s="298"/>
      <c r="Q2128" s="306"/>
      <c r="R2128" s="1023"/>
      <c r="S2128" s="1023"/>
      <c r="T2128" s="306"/>
      <c r="U2128" s="306"/>
      <c r="V2128" s="306"/>
      <c r="W2128" s="306"/>
      <c r="X2128" s="306"/>
      <c r="Y2128" s="306"/>
      <c r="Z2128" s="306"/>
      <c r="AA2128" s="306"/>
      <c r="AB2128" s="306"/>
      <c r="AC2128" s="306"/>
      <c r="AD2128" s="306"/>
      <c r="AE2128" s="306"/>
      <c r="AF2128" s="306"/>
      <c r="AG2128" s="306"/>
      <c r="AH2128" s="306"/>
      <c r="AI2128" s="306"/>
      <c r="AJ2128" s="306"/>
      <c r="AK2128" s="306"/>
      <c r="AL2128" s="306"/>
      <c r="AM2128" s="418"/>
      <c r="AN2128" s="418"/>
      <c r="AO2128" s="306"/>
      <c r="AP2128" s="306"/>
      <c r="AQ2128" s="418"/>
      <c r="AR2128" s="306"/>
      <c r="AS2128" s="306"/>
      <c r="AT2128" s="418"/>
      <c r="AU2128" s="306"/>
      <c r="AV2128" s="306"/>
      <c r="AW2128" s="306"/>
      <c r="AX2128" s="306"/>
      <c r="AY2128" s="306"/>
      <c r="AZ2128" s="306"/>
      <c r="BA2128" s="306"/>
      <c r="BB2128" s="306"/>
    </row>
    <row r="2129" spans="1:54" ht="15.75" customHeight="1">
      <c r="A2129" s="317"/>
      <c r="B2129" s="430"/>
      <c r="C2129" s="317"/>
      <c r="E2129" s="306"/>
      <c r="F2129" s="431"/>
      <c r="G2129" s="431"/>
      <c r="H2129" s="298"/>
      <c r="I2129" s="432"/>
      <c r="J2129" s="433"/>
      <c r="K2129" s="306"/>
      <c r="L2129" s="306"/>
      <c r="M2129" s="306"/>
      <c r="N2129" s="298"/>
      <c r="O2129" s="298"/>
      <c r="P2129" s="298"/>
      <c r="Q2129" s="306"/>
      <c r="R2129" s="1023"/>
      <c r="S2129" s="1023"/>
      <c r="T2129" s="306"/>
      <c r="U2129" s="306"/>
      <c r="V2129" s="306"/>
      <c r="W2129" s="306"/>
      <c r="X2129" s="306"/>
      <c r="Y2129" s="306"/>
      <c r="Z2129" s="306"/>
      <c r="AA2129" s="306"/>
      <c r="AB2129" s="306"/>
      <c r="AC2129" s="306"/>
      <c r="AD2129" s="306"/>
      <c r="AE2129" s="306"/>
      <c r="AF2129" s="306"/>
      <c r="AG2129" s="306"/>
      <c r="AH2129" s="306"/>
      <c r="AI2129" s="306"/>
      <c r="AJ2129" s="306"/>
      <c r="AK2129" s="306"/>
      <c r="AL2129" s="306"/>
      <c r="AM2129" s="418"/>
      <c r="AN2129" s="418"/>
      <c r="AO2129" s="306"/>
      <c r="AP2129" s="306"/>
      <c r="AQ2129" s="418"/>
      <c r="AR2129" s="306"/>
      <c r="AS2129" s="306"/>
      <c r="AT2129" s="418"/>
      <c r="AU2129" s="306"/>
      <c r="AV2129" s="306"/>
      <c r="AW2129" s="306"/>
      <c r="AX2129" s="306"/>
      <c r="AY2129" s="306"/>
      <c r="AZ2129" s="306"/>
      <c r="BA2129" s="306"/>
      <c r="BB2129" s="306"/>
    </row>
    <row r="2130" spans="1:54" ht="15.75" customHeight="1">
      <c r="A2130" s="317"/>
      <c r="B2130" s="430"/>
      <c r="C2130" s="317"/>
      <c r="E2130" s="306"/>
      <c r="F2130" s="431"/>
      <c r="G2130" s="431"/>
      <c r="H2130" s="298"/>
      <c r="I2130" s="432"/>
      <c r="J2130" s="433"/>
      <c r="K2130" s="306"/>
      <c r="L2130" s="306"/>
      <c r="M2130" s="306"/>
      <c r="N2130" s="298"/>
      <c r="O2130" s="298"/>
      <c r="P2130" s="298"/>
      <c r="Q2130" s="306"/>
      <c r="R2130" s="1023"/>
      <c r="S2130" s="1023"/>
      <c r="T2130" s="306"/>
      <c r="U2130" s="306"/>
      <c r="V2130" s="306"/>
      <c r="W2130" s="306"/>
      <c r="X2130" s="306"/>
      <c r="Y2130" s="306"/>
      <c r="Z2130" s="306"/>
      <c r="AA2130" s="306"/>
      <c r="AB2130" s="306"/>
      <c r="AC2130" s="306"/>
      <c r="AD2130" s="306"/>
      <c r="AE2130" s="306"/>
      <c r="AF2130" s="306"/>
      <c r="AG2130" s="306"/>
      <c r="AH2130" s="306"/>
      <c r="AI2130" s="306"/>
      <c r="AJ2130" s="306"/>
      <c r="AK2130" s="306"/>
      <c r="AL2130" s="306"/>
      <c r="AM2130" s="418"/>
      <c r="AN2130" s="418"/>
      <c r="AO2130" s="306"/>
      <c r="AP2130" s="306"/>
      <c r="AQ2130" s="418"/>
      <c r="AR2130" s="306"/>
      <c r="AS2130" s="306"/>
      <c r="AT2130" s="418"/>
      <c r="AU2130" s="306"/>
      <c r="AV2130" s="306"/>
      <c r="AW2130" s="306"/>
      <c r="AX2130" s="306"/>
      <c r="AY2130" s="306"/>
      <c r="AZ2130" s="306"/>
      <c r="BA2130" s="306"/>
      <c r="BB2130" s="306"/>
    </row>
    <row r="2131" spans="1:54" ht="15.75" customHeight="1">
      <c r="A2131" s="317"/>
      <c r="B2131" s="430"/>
      <c r="C2131" s="317"/>
      <c r="E2131" s="306"/>
      <c r="F2131" s="431"/>
      <c r="G2131" s="431"/>
      <c r="H2131" s="298"/>
      <c r="I2131" s="432"/>
      <c r="J2131" s="433"/>
      <c r="K2131" s="306"/>
      <c r="L2131" s="306"/>
      <c r="M2131" s="306"/>
      <c r="N2131" s="298"/>
      <c r="O2131" s="298"/>
      <c r="P2131" s="298"/>
      <c r="Q2131" s="306"/>
      <c r="R2131" s="1023"/>
      <c r="S2131" s="1023"/>
      <c r="T2131" s="306"/>
      <c r="U2131" s="306"/>
      <c r="V2131" s="306"/>
      <c r="W2131" s="306"/>
      <c r="X2131" s="306"/>
      <c r="Y2131" s="306"/>
      <c r="Z2131" s="306"/>
      <c r="AA2131" s="306"/>
      <c r="AB2131" s="306"/>
      <c r="AC2131" s="306"/>
      <c r="AD2131" s="306"/>
      <c r="AE2131" s="306"/>
      <c r="AF2131" s="306"/>
      <c r="AG2131" s="306"/>
      <c r="AH2131" s="306"/>
      <c r="AI2131" s="306"/>
      <c r="AJ2131" s="306"/>
      <c r="AK2131" s="306"/>
      <c r="AL2131" s="306"/>
      <c r="AM2131" s="418"/>
      <c r="AN2131" s="418"/>
      <c r="AO2131" s="306"/>
      <c r="AP2131" s="306"/>
      <c r="AQ2131" s="418"/>
      <c r="AR2131" s="306"/>
      <c r="AS2131" s="306"/>
      <c r="AT2131" s="418"/>
      <c r="AU2131" s="306"/>
      <c r="AV2131" s="306"/>
      <c r="AW2131" s="306"/>
      <c r="AX2131" s="306"/>
      <c r="AY2131" s="306"/>
      <c r="AZ2131" s="306"/>
      <c r="BA2131" s="306"/>
      <c r="BB2131" s="306"/>
    </row>
    <row r="2132" spans="1:54" ht="15.75" customHeight="1">
      <c r="A2132" s="317"/>
      <c r="B2132" s="430"/>
      <c r="C2132" s="317"/>
      <c r="E2132" s="306"/>
      <c r="F2132" s="431"/>
      <c r="G2132" s="431"/>
      <c r="H2132" s="298"/>
      <c r="I2132" s="432"/>
      <c r="J2132" s="433"/>
      <c r="K2132" s="306"/>
      <c r="L2132" s="306"/>
      <c r="M2132" s="306"/>
      <c r="N2132" s="298"/>
      <c r="O2132" s="298"/>
      <c r="P2132" s="298"/>
      <c r="Q2132" s="306"/>
      <c r="R2132" s="1023"/>
      <c r="S2132" s="1023"/>
      <c r="T2132" s="306"/>
      <c r="U2132" s="306"/>
      <c r="V2132" s="306"/>
      <c r="W2132" s="306"/>
      <c r="X2132" s="306"/>
      <c r="Y2132" s="306"/>
      <c r="Z2132" s="306"/>
      <c r="AA2132" s="306"/>
      <c r="AB2132" s="306"/>
      <c r="AC2132" s="306"/>
      <c r="AD2132" s="306"/>
      <c r="AE2132" s="306"/>
      <c r="AF2132" s="306"/>
      <c r="AG2132" s="306"/>
      <c r="AH2132" s="306"/>
      <c r="AI2132" s="306"/>
      <c r="AJ2132" s="306"/>
      <c r="AK2132" s="306"/>
      <c r="AL2132" s="306"/>
      <c r="AM2132" s="418"/>
      <c r="AN2132" s="418"/>
      <c r="AO2132" s="306"/>
      <c r="AP2132" s="306"/>
      <c r="AQ2132" s="418"/>
      <c r="AR2132" s="306"/>
      <c r="AS2132" s="306"/>
      <c r="AT2132" s="418"/>
      <c r="AU2132" s="306"/>
      <c r="AV2132" s="306"/>
      <c r="AW2132" s="306"/>
      <c r="AX2132" s="306"/>
      <c r="AY2132" s="306"/>
      <c r="AZ2132" s="306"/>
      <c r="BA2132" s="306"/>
      <c r="BB2132" s="306"/>
    </row>
    <row r="2133" spans="1:54" ht="15.75" customHeight="1">
      <c r="A2133" s="317"/>
      <c r="B2133" s="430"/>
      <c r="C2133" s="317"/>
      <c r="E2133" s="306"/>
      <c r="F2133" s="431"/>
      <c r="G2133" s="431"/>
      <c r="H2133" s="298"/>
      <c r="I2133" s="432"/>
      <c r="J2133" s="433"/>
      <c r="K2133" s="306"/>
      <c r="L2133" s="306"/>
      <c r="M2133" s="306"/>
      <c r="N2133" s="298"/>
      <c r="O2133" s="298"/>
      <c r="P2133" s="298"/>
      <c r="Q2133" s="306"/>
      <c r="R2133" s="1023"/>
      <c r="S2133" s="1023"/>
      <c r="T2133" s="306"/>
      <c r="U2133" s="306"/>
      <c r="V2133" s="306"/>
      <c r="W2133" s="306"/>
      <c r="X2133" s="306"/>
      <c r="Y2133" s="306"/>
      <c r="Z2133" s="306"/>
      <c r="AA2133" s="306"/>
      <c r="AB2133" s="306"/>
      <c r="AC2133" s="306"/>
      <c r="AD2133" s="306"/>
      <c r="AE2133" s="306"/>
      <c r="AF2133" s="306"/>
      <c r="AG2133" s="306"/>
      <c r="AH2133" s="306"/>
      <c r="AI2133" s="306"/>
      <c r="AJ2133" s="306"/>
      <c r="AK2133" s="306"/>
      <c r="AL2133" s="306"/>
      <c r="AM2133" s="418"/>
      <c r="AN2133" s="418"/>
      <c r="AO2133" s="306"/>
      <c r="AP2133" s="306"/>
      <c r="AQ2133" s="418"/>
      <c r="AR2133" s="306"/>
      <c r="AS2133" s="306"/>
      <c r="AT2133" s="418"/>
      <c r="AU2133" s="306"/>
      <c r="AV2133" s="306"/>
      <c r="AW2133" s="306"/>
      <c r="AX2133" s="306"/>
      <c r="AY2133" s="306"/>
      <c r="AZ2133" s="306"/>
      <c r="BA2133" s="306"/>
      <c r="BB2133" s="306"/>
    </row>
    <row r="2134" spans="1:54" ht="15.75" customHeight="1">
      <c r="A2134" s="317"/>
      <c r="B2134" s="430"/>
      <c r="C2134" s="317"/>
      <c r="E2134" s="306"/>
      <c r="F2134" s="431"/>
      <c r="G2134" s="431"/>
      <c r="H2134" s="298"/>
      <c r="I2134" s="432"/>
      <c r="J2134" s="433"/>
      <c r="K2134" s="306"/>
      <c r="L2134" s="306"/>
      <c r="M2134" s="306"/>
      <c r="N2134" s="298"/>
      <c r="O2134" s="298"/>
      <c r="P2134" s="298"/>
      <c r="Q2134" s="306"/>
      <c r="R2134" s="1023"/>
      <c r="S2134" s="1023"/>
      <c r="T2134" s="306"/>
      <c r="U2134" s="306"/>
      <c r="V2134" s="306"/>
      <c r="W2134" s="306"/>
      <c r="X2134" s="306"/>
      <c r="Y2134" s="306"/>
      <c r="Z2134" s="306"/>
      <c r="AA2134" s="306"/>
      <c r="AB2134" s="306"/>
      <c r="AC2134" s="306"/>
      <c r="AD2134" s="306"/>
      <c r="AE2134" s="306"/>
      <c r="AF2134" s="306"/>
      <c r="AG2134" s="306"/>
      <c r="AH2134" s="306"/>
      <c r="AI2134" s="306"/>
      <c r="AJ2134" s="306"/>
      <c r="AK2134" s="306"/>
      <c r="AL2134" s="306"/>
      <c r="AM2134" s="418"/>
      <c r="AN2134" s="418"/>
      <c r="AO2134" s="306"/>
      <c r="AP2134" s="306"/>
      <c r="AQ2134" s="418"/>
      <c r="AR2134" s="306"/>
      <c r="AS2134" s="306"/>
      <c r="AT2134" s="418"/>
      <c r="AU2134" s="306"/>
      <c r="AV2134" s="306"/>
      <c r="AW2134" s="306"/>
      <c r="AX2134" s="306"/>
      <c r="AY2134" s="306"/>
      <c r="AZ2134" s="306"/>
      <c r="BA2134" s="306"/>
      <c r="BB2134" s="306"/>
    </row>
    <row r="2135" spans="1:54" ht="15.75" customHeight="1">
      <c r="A2135" s="317"/>
      <c r="B2135" s="430"/>
      <c r="C2135" s="317"/>
      <c r="E2135" s="306"/>
      <c r="F2135" s="431"/>
      <c r="G2135" s="431"/>
      <c r="H2135" s="298"/>
      <c r="I2135" s="432"/>
      <c r="J2135" s="433"/>
      <c r="K2135" s="306"/>
      <c r="L2135" s="306"/>
      <c r="M2135" s="306"/>
      <c r="N2135" s="298"/>
      <c r="O2135" s="298"/>
      <c r="P2135" s="298"/>
      <c r="Q2135" s="306"/>
      <c r="R2135" s="1023"/>
      <c r="S2135" s="1023"/>
      <c r="T2135" s="306"/>
      <c r="U2135" s="306"/>
      <c r="V2135" s="306"/>
      <c r="W2135" s="306"/>
      <c r="X2135" s="306"/>
      <c r="Y2135" s="306"/>
      <c r="Z2135" s="306"/>
      <c r="AA2135" s="306"/>
      <c r="AB2135" s="306"/>
      <c r="AC2135" s="306"/>
      <c r="AD2135" s="306"/>
      <c r="AE2135" s="306"/>
      <c r="AF2135" s="306"/>
      <c r="AG2135" s="306"/>
      <c r="AH2135" s="306"/>
      <c r="AI2135" s="306"/>
      <c r="AJ2135" s="306"/>
      <c r="AK2135" s="306"/>
      <c r="AL2135" s="306"/>
      <c r="AM2135" s="418"/>
      <c r="AN2135" s="418"/>
      <c r="AO2135" s="306"/>
      <c r="AP2135" s="306"/>
      <c r="AQ2135" s="418"/>
      <c r="AR2135" s="306"/>
      <c r="AS2135" s="306"/>
      <c r="AT2135" s="418"/>
      <c r="AU2135" s="306"/>
      <c r="AV2135" s="306"/>
      <c r="AW2135" s="306"/>
      <c r="AX2135" s="306"/>
      <c r="AY2135" s="306"/>
      <c r="AZ2135" s="306"/>
      <c r="BA2135" s="306"/>
      <c r="BB2135" s="306"/>
    </row>
    <row r="2136" spans="1:54" ht="15.75" customHeight="1">
      <c r="A2136" s="317"/>
      <c r="B2136" s="430"/>
      <c r="C2136" s="317"/>
      <c r="E2136" s="306"/>
      <c r="F2136" s="431"/>
      <c r="G2136" s="431"/>
      <c r="H2136" s="298"/>
      <c r="I2136" s="432"/>
      <c r="J2136" s="433"/>
      <c r="K2136" s="306"/>
      <c r="L2136" s="306"/>
      <c r="M2136" s="306"/>
      <c r="N2136" s="298"/>
      <c r="O2136" s="298"/>
      <c r="P2136" s="298"/>
      <c r="Q2136" s="306"/>
      <c r="R2136" s="1023"/>
      <c r="S2136" s="1023"/>
      <c r="T2136" s="306"/>
      <c r="U2136" s="306"/>
      <c r="V2136" s="306"/>
      <c r="W2136" s="306"/>
      <c r="X2136" s="306"/>
      <c r="Y2136" s="306"/>
      <c r="Z2136" s="306"/>
      <c r="AA2136" s="306"/>
      <c r="AB2136" s="306"/>
      <c r="AC2136" s="306"/>
      <c r="AD2136" s="306"/>
      <c r="AE2136" s="306"/>
      <c r="AF2136" s="306"/>
      <c r="AG2136" s="306"/>
      <c r="AH2136" s="306"/>
      <c r="AI2136" s="306"/>
      <c r="AJ2136" s="306"/>
      <c r="AK2136" s="306"/>
      <c r="AL2136" s="306"/>
      <c r="AM2136" s="418"/>
      <c r="AN2136" s="418"/>
      <c r="AO2136" s="306"/>
      <c r="AP2136" s="306"/>
      <c r="AQ2136" s="418"/>
      <c r="AR2136" s="306"/>
      <c r="AS2136" s="306"/>
      <c r="AT2136" s="418"/>
      <c r="AU2136" s="306"/>
      <c r="AV2136" s="306"/>
      <c r="AW2136" s="306"/>
      <c r="AX2136" s="306"/>
      <c r="AY2136" s="306"/>
      <c r="AZ2136" s="306"/>
      <c r="BA2136" s="306"/>
      <c r="BB2136" s="306"/>
    </row>
    <row r="2137" spans="1:54" ht="15.75" customHeight="1">
      <c r="A2137" s="317"/>
      <c r="B2137" s="430"/>
      <c r="C2137" s="317"/>
      <c r="E2137" s="306"/>
      <c r="F2137" s="431"/>
      <c r="G2137" s="431"/>
      <c r="H2137" s="298"/>
      <c r="I2137" s="432"/>
      <c r="J2137" s="433"/>
      <c r="K2137" s="306"/>
      <c r="L2137" s="306"/>
      <c r="M2137" s="306"/>
      <c r="N2137" s="298"/>
      <c r="O2137" s="298"/>
      <c r="P2137" s="298"/>
      <c r="Q2137" s="306"/>
      <c r="R2137" s="1023"/>
      <c r="S2137" s="1023"/>
      <c r="T2137" s="306"/>
      <c r="U2137" s="306"/>
      <c r="V2137" s="306"/>
      <c r="W2137" s="306"/>
      <c r="X2137" s="306"/>
      <c r="Y2137" s="306"/>
      <c r="Z2137" s="306"/>
      <c r="AA2137" s="306"/>
      <c r="AB2137" s="306"/>
      <c r="AC2137" s="306"/>
      <c r="AD2137" s="306"/>
      <c r="AE2137" s="306"/>
      <c r="AF2137" s="306"/>
      <c r="AG2137" s="306"/>
      <c r="AH2137" s="306"/>
      <c r="AI2137" s="306"/>
      <c r="AJ2137" s="306"/>
      <c r="AK2137" s="306"/>
      <c r="AL2137" s="306"/>
      <c r="AM2137" s="418"/>
      <c r="AN2137" s="418"/>
      <c r="AO2137" s="306"/>
      <c r="AP2137" s="306"/>
      <c r="AQ2137" s="418"/>
      <c r="AR2137" s="306"/>
      <c r="AS2137" s="306"/>
      <c r="AT2137" s="418"/>
      <c r="AU2137" s="306"/>
      <c r="AV2137" s="306"/>
      <c r="AW2137" s="306"/>
      <c r="AX2137" s="306"/>
      <c r="AY2137" s="306"/>
      <c r="AZ2137" s="306"/>
      <c r="BA2137" s="306"/>
      <c r="BB2137" s="306"/>
    </row>
    <row r="2138" spans="1:54" ht="15.75" customHeight="1">
      <c r="A2138" s="317"/>
      <c r="B2138" s="430"/>
      <c r="C2138" s="317"/>
      <c r="E2138" s="306"/>
      <c r="F2138" s="431"/>
      <c r="G2138" s="431"/>
      <c r="H2138" s="298"/>
      <c r="I2138" s="432"/>
      <c r="J2138" s="433"/>
      <c r="K2138" s="306"/>
      <c r="L2138" s="306"/>
      <c r="M2138" s="306"/>
      <c r="N2138" s="298"/>
      <c r="O2138" s="298"/>
      <c r="P2138" s="298"/>
      <c r="Q2138" s="306"/>
      <c r="R2138" s="1023"/>
      <c r="S2138" s="1023"/>
      <c r="T2138" s="306"/>
      <c r="U2138" s="306"/>
      <c r="V2138" s="306"/>
      <c r="W2138" s="306"/>
      <c r="X2138" s="306"/>
      <c r="Y2138" s="306"/>
      <c r="Z2138" s="306"/>
      <c r="AA2138" s="306"/>
      <c r="AB2138" s="306"/>
      <c r="AC2138" s="306"/>
      <c r="AD2138" s="306"/>
      <c r="AE2138" s="306"/>
      <c r="AF2138" s="306"/>
      <c r="AG2138" s="306"/>
      <c r="AH2138" s="306"/>
      <c r="AI2138" s="306"/>
      <c r="AJ2138" s="306"/>
      <c r="AK2138" s="306"/>
      <c r="AL2138" s="306"/>
      <c r="AM2138" s="418"/>
      <c r="AN2138" s="418"/>
      <c r="AO2138" s="306"/>
      <c r="AP2138" s="306"/>
      <c r="AQ2138" s="418"/>
      <c r="AR2138" s="306"/>
      <c r="AS2138" s="306"/>
      <c r="AT2138" s="418"/>
      <c r="AU2138" s="306"/>
      <c r="AV2138" s="306"/>
      <c r="AW2138" s="306"/>
      <c r="AX2138" s="306"/>
      <c r="AY2138" s="306"/>
      <c r="AZ2138" s="306"/>
      <c r="BA2138" s="306"/>
      <c r="BB2138" s="306"/>
    </row>
    <row r="2139" spans="1:54" ht="15.75" customHeight="1">
      <c r="A2139" s="317"/>
      <c r="B2139" s="430"/>
      <c r="C2139" s="317"/>
      <c r="E2139" s="306"/>
      <c r="F2139" s="431"/>
      <c r="G2139" s="431"/>
      <c r="H2139" s="298"/>
      <c r="I2139" s="432"/>
      <c r="J2139" s="433"/>
      <c r="K2139" s="306"/>
      <c r="L2139" s="306"/>
      <c r="M2139" s="306"/>
      <c r="N2139" s="298"/>
      <c r="O2139" s="298"/>
      <c r="P2139" s="298"/>
      <c r="Q2139" s="306"/>
      <c r="R2139" s="1023"/>
      <c r="S2139" s="1023"/>
      <c r="T2139" s="306"/>
      <c r="U2139" s="306"/>
      <c r="V2139" s="306"/>
      <c r="W2139" s="306"/>
      <c r="X2139" s="306"/>
      <c r="Y2139" s="306"/>
      <c r="Z2139" s="306"/>
      <c r="AA2139" s="306"/>
      <c r="AB2139" s="306"/>
      <c r="AC2139" s="306"/>
      <c r="AD2139" s="306"/>
      <c r="AE2139" s="306"/>
      <c r="AF2139" s="306"/>
      <c r="AG2139" s="306"/>
      <c r="AH2139" s="306"/>
      <c r="AI2139" s="306"/>
      <c r="AJ2139" s="306"/>
      <c r="AK2139" s="306"/>
      <c r="AL2139" s="306"/>
      <c r="AM2139" s="418"/>
      <c r="AN2139" s="418"/>
      <c r="AO2139" s="306"/>
      <c r="AP2139" s="306"/>
      <c r="AQ2139" s="418"/>
      <c r="AR2139" s="306"/>
      <c r="AS2139" s="306"/>
      <c r="AT2139" s="418"/>
      <c r="AU2139" s="306"/>
      <c r="AV2139" s="306"/>
      <c r="AW2139" s="306"/>
      <c r="AX2139" s="306"/>
      <c r="AY2139" s="306"/>
      <c r="AZ2139" s="306"/>
      <c r="BA2139" s="306"/>
      <c r="BB2139" s="306"/>
    </row>
    <row r="2140" spans="1:54" ht="15.75" customHeight="1">
      <c r="A2140" s="317"/>
      <c r="B2140" s="430"/>
      <c r="C2140" s="317"/>
      <c r="E2140" s="306"/>
      <c r="F2140" s="431"/>
      <c r="G2140" s="431"/>
      <c r="H2140" s="298"/>
      <c r="I2140" s="432"/>
      <c r="J2140" s="433"/>
      <c r="K2140" s="306"/>
      <c r="L2140" s="306"/>
      <c r="M2140" s="306"/>
      <c r="N2140" s="298"/>
      <c r="O2140" s="298"/>
      <c r="P2140" s="298"/>
      <c r="Q2140" s="306"/>
      <c r="R2140" s="1023"/>
      <c r="S2140" s="1023"/>
      <c r="T2140" s="306"/>
      <c r="U2140" s="306"/>
      <c r="V2140" s="306"/>
      <c r="W2140" s="306"/>
      <c r="X2140" s="306"/>
      <c r="Y2140" s="306"/>
      <c r="Z2140" s="306"/>
      <c r="AA2140" s="306"/>
      <c r="AB2140" s="306"/>
      <c r="AC2140" s="306"/>
      <c r="AD2140" s="306"/>
      <c r="AE2140" s="306"/>
      <c r="AF2140" s="306"/>
      <c r="AG2140" s="306"/>
      <c r="AH2140" s="306"/>
      <c r="AI2140" s="306"/>
      <c r="AJ2140" s="306"/>
      <c r="AK2140" s="306"/>
      <c r="AL2140" s="306"/>
      <c r="AM2140" s="418"/>
      <c r="AN2140" s="418"/>
      <c r="AO2140" s="306"/>
      <c r="AP2140" s="306"/>
      <c r="AQ2140" s="418"/>
      <c r="AR2140" s="306"/>
      <c r="AS2140" s="306"/>
      <c r="AT2140" s="418"/>
      <c r="AU2140" s="306"/>
      <c r="AV2140" s="306"/>
      <c r="AW2140" s="306"/>
      <c r="AX2140" s="306"/>
      <c r="AY2140" s="306"/>
      <c r="AZ2140" s="306"/>
      <c r="BA2140" s="306"/>
      <c r="BB2140" s="306"/>
    </row>
    <row r="2141" spans="1:54" ht="15.75" customHeight="1">
      <c r="A2141" s="317"/>
      <c r="B2141" s="430"/>
      <c r="C2141" s="317"/>
      <c r="E2141" s="306"/>
      <c r="F2141" s="431"/>
      <c r="G2141" s="431"/>
      <c r="H2141" s="298"/>
      <c r="I2141" s="432"/>
      <c r="J2141" s="433"/>
      <c r="K2141" s="306"/>
      <c r="L2141" s="306"/>
      <c r="M2141" s="306"/>
      <c r="N2141" s="298"/>
      <c r="O2141" s="298"/>
      <c r="P2141" s="298"/>
      <c r="Q2141" s="306"/>
      <c r="R2141" s="1023"/>
      <c r="S2141" s="1023"/>
      <c r="T2141" s="306"/>
      <c r="U2141" s="306"/>
      <c r="V2141" s="306"/>
      <c r="W2141" s="306"/>
      <c r="X2141" s="306"/>
      <c r="Y2141" s="306"/>
      <c r="Z2141" s="306"/>
      <c r="AA2141" s="306"/>
      <c r="AB2141" s="306"/>
      <c r="AC2141" s="306"/>
      <c r="AD2141" s="306"/>
      <c r="AE2141" s="306"/>
      <c r="AF2141" s="306"/>
      <c r="AG2141" s="306"/>
      <c r="AH2141" s="306"/>
      <c r="AI2141" s="306"/>
      <c r="AJ2141" s="306"/>
      <c r="AK2141" s="306"/>
      <c r="AL2141" s="306"/>
      <c r="AM2141" s="418"/>
      <c r="AN2141" s="418"/>
      <c r="AO2141" s="306"/>
      <c r="AP2141" s="306"/>
      <c r="AQ2141" s="418"/>
      <c r="AR2141" s="306"/>
      <c r="AS2141" s="306"/>
      <c r="AT2141" s="418"/>
      <c r="AU2141" s="306"/>
      <c r="AV2141" s="306"/>
      <c r="AW2141" s="306"/>
      <c r="AX2141" s="306"/>
      <c r="AY2141" s="306"/>
      <c r="AZ2141" s="306"/>
      <c r="BA2141" s="306"/>
      <c r="BB2141" s="306"/>
    </row>
    <row r="2142" spans="1:54" ht="15.75" customHeight="1">
      <c r="A2142" s="317"/>
      <c r="B2142" s="430"/>
      <c r="C2142" s="317"/>
      <c r="E2142" s="306"/>
      <c r="F2142" s="431"/>
      <c r="G2142" s="431"/>
      <c r="H2142" s="298"/>
      <c r="I2142" s="432"/>
      <c r="J2142" s="433"/>
      <c r="K2142" s="306"/>
      <c r="L2142" s="306"/>
      <c r="M2142" s="306"/>
      <c r="N2142" s="298"/>
      <c r="O2142" s="298"/>
      <c r="P2142" s="298"/>
      <c r="Q2142" s="306"/>
      <c r="R2142" s="1023"/>
      <c r="S2142" s="1023"/>
      <c r="T2142" s="306"/>
      <c r="U2142" s="306"/>
      <c r="V2142" s="306"/>
      <c r="W2142" s="306"/>
      <c r="X2142" s="306"/>
      <c r="Y2142" s="306"/>
      <c r="Z2142" s="306"/>
      <c r="AA2142" s="306"/>
      <c r="AB2142" s="306"/>
      <c r="AC2142" s="306"/>
      <c r="AD2142" s="306"/>
      <c r="AE2142" s="306"/>
      <c r="AF2142" s="306"/>
      <c r="AG2142" s="306"/>
      <c r="AH2142" s="306"/>
      <c r="AI2142" s="306"/>
      <c r="AJ2142" s="306"/>
      <c r="AK2142" s="306"/>
      <c r="AL2142" s="306"/>
      <c r="AM2142" s="418"/>
      <c r="AN2142" s="418"/>
      <c r="AO2142" s="306"/>
      <c r="AP2142" s="306"/>
      <c r="AQ2142" s="418"/>
      <c r="AR2142" s="306"/>
      <c r="AS2142" s="306"/>
      <c r="AT2142" s="418"/>
      <c r="AU2142" s="306"/>
      <c r="AV2142" s="306"/>
      <c r="AW2142" s="306"/>
      <c r="AX2142" s="306"/>
      <c r="AY2142" s="306"/>
      <c r="AZ2142" s="306"/>
      <c r="BA2142" s="306"/>
      <c r="BB2142" s="306"/>
    </row>
    <row r="2143" spans="1:54" ht="15.75" customHeight="1">
      <c r="A2143" s="317"/>
      <c r="B2143" s="430"/>
      <c r="C2143" s="317"/>
      <c r="E2143" s="306"/>
      <c r="F2143" s="431"/>
      <c r="G2143" s="431"/>
      <c r="H2143" s="298"/>
      <c r="I2143" s="432"/>
      <c r="J2143" s="433"/>
      <c r="K2143" s="306"/>
      <c r="L2143" s="306"/>
      <c r="M2143" s="306"/>
      <c r="N2143" s="298"/>
      <c r="O2143" s="298"/>
      <c r="P2143" s="298"/>
      <c r="Q2143" s="306"/>
      <c r="R2143" s="1023"/>
      <c r="S2143" s="1023"/>
      <c r="T2143" s="306"/>
      <c r="U2143" s="306"/>
      <c r="V2143" s="306"/>
      <c r="W2143" s="306"/>
      <c r="X2143" s="306"/>
      <c r="Y2143" s="306"/>
      <c r="Z2143" s="306"/>
      <c r="AA2143" s="306"/>
      <c r="AB2143" s="306"/>
      <c r="AC2143" s="306"/>
      <c r="AD2143" s="306"/>
      <c r="AE2143" s="306"/>
      <c r="AF2143" s="306"/>
      <c r="AG2143" s="306"/>
      <c r="AH2143" s="306"/>
      <c r="AI2143" s="306"/>
      <c r="AJ2143" s="306"/>
      <c r="AK2143" s="306"/>
      <c r="AL2143" s="306"/>
      <c r="AM2143" s="418"/>
      <c r="AN2143" s="418"/>
      <c r="AO2143" s="306"/>
      <c r="AP2143" s="306"/>
      <c r="AQ2143" s="418"/>
      <c r="AR2143" s="306"/>
      <c r="AS2143" s="306"/>
      <c r="AT2143" s="418"/>
      <c r="AU2143" s="306"/>
      <c r="AV2143" s="306"/>
      <c r="AW2143" s="306"/>
      <c r="AX2143" s="306"/>
      <c r="AY2143" s="306"/>
      <c r="AZ2143" s="306"/>
      <c r="BA2143" s="306"/>
      <c r="BB2143" s="306"/>
    </row>
    <row r="2144" spans="1:54" ht="15.75" customHeight="1">
      <c r="A2144" s="317"/>
      <c r="B2144" s="430"/>
      <c r="C2144" s="317"/>
      <c r="E2144" s="306"/>
      <c r="F2144" s="431"/>
      <c r="G2144" s="431"/>
      <c r="H2144" s="298"/>
      <c r="I2144" s="432"/>
      <c r="J2144" s="433"/>
      <c r="K2144" s="306"/>
      <c r="L2144" s="306"/>
      <c r="M2144" s="306"/>
      <c r="N2144" s="298"/>
      <c r="O2144" s="298"/>
      <c r="P2144" s="298"/>
      <c r="Q2144" s="306"/>
      <c r="R2144" s="1023"/>
      <c r="S2144" s="1023"/>
      <c r="T2144" s="306"/>
      <c r="U2144" s="306"/>
      <c r="V2144" s="306"/>
      <c r="W2144" s="306"/>
      <c r="X2144" s="306"/>
      <c r="Y2144" s="306"/>
      <c r="Z2144" s="306"/>
      <c r="AA2144" s="306"/>
      <c r="AB2144" s="306"/>
      <c r="AC2144" s="306"/>
      <c r="AD2144" s="306"/>
      <c r="AE2144" s="306"/>
      <c r="AF2144" s="306"/>
      <c r="AG2144" s="306"/>
      <c r="AH2144" s="306"/>
      <c r="AI2144" s="306"/>
      <c r="AJ2144" s="306"/>
      <c r="AK2144" s="306"/>
      <c r="AL2144" s="306"/>
      <c r="AM2144" s="418"/>
      <c r="AN2144" s="418"/>
      <c r="AO2144" s="306"/>
      <c r="AP2144" s="306"/>
      <c r="AQ2144" s="418"/>
      <c r="AR2144" s="306"/>
      <c r="AS2144" s="306"/>
      <c r="AT2144" s="418"/>
      <c r="AU2144" s="306"/>
      <c r="AV2144" s="306"/>
      <c r="AW2144" s="306"/>
      <c r="AX2144" s="306"/>
      <c r="AY2144" s="306"/>
      <c r="AZ2144" s="306"/>
      <c r="BA2144" s="306"/>
      <c r="BB2144" s="306"/>
    </row>
    <row r="2145" spans="1:54" ht="15.75" customHeight="1">
      <c r="A2145" s="317"/>
      <c r="B2145" s="430"/>
      <c r="C2145" s="317"/>
      <c r="E2145" s="306"/>
      <c r="F2145" s="431"/>
      <c r="G2145" s="431"/>
      <c r="H2145" s="298"/>
      <c r="I2145" s="432"/>
      <c r="J2145" s="433"/>
      <c r="K2145" s="306"/>
      <c r="L2145" s="306"/>
      <c r="M2145" s="306"/>
      <c r="N2145" s="298"/>
      <c r="O2145" s="298"/>
      <c r="P2145" s="298"/>
      <c r="Q2145" s="306"/>
      <c r="R2145" s="1023"/>
      <c r="S2145" s="1023"/>
      <c r="T2145" s="306"/>
      <c r="U2145" s="306"/>
      <c r="V2145" s="306"/>
      <c r="W2145" s="306"/>
      <c r="X2145" s="306"/>
      <c r="Y2145" s="306"/>
      <c r="Z2145" s="306"/>
      <c r="AA2145" s="306"/>
      <c r="AB2145" s="306"/>
      <c r="AC2145" s="306"/>
      <c r="AD2145" s="306"/>
      <c r="AE2145" s="306"/>
      <c r="AF2145" s="306"/>
      <c r="AG2145" s="306"/>
      <c r="AH2145" s="306"/>
      <c r="AI2145" s="306"/>
      <c r="AJ2145" s="306"/>
      <c r="AK2145" s="306"/>
      <c r="AL2145" s="306"/>
      <c r="AM2145" s="418"/>
      <c r="AN2145" s="418"/>
      <c r="AO2145" s="306"/>
      <c r="AP2145" s="306"/>
      <c r="AQ2145" s="418"/>
      <c r="AR2145" s="306"/>
      <c r="AS2145" s="306"/>
      <c r="AT2145" s="418"/>
      <c r="AU2145" s="306"/>
      <c r="AV2145" s="306"/>
      <c r="AW2145" s="306"/>
      <c r="AX2145" s="306"/>
      <c r="AY2145" s="306"/>
      <c r="AZ2145" s="306"/>
      <c r="BA2145" s="306"/>
      <c r="BB2145" s="306"/>
    </row>
    <row r="2146" spans="1:54" ht="15.75" customHeight="1">
      <c r="A2146" s="317"/>
      <c r="B2146" s="430"/>
      <c r="C2146" s="317"/>
      <c r="E2146" s="306"/>
      <c r="F2146" s="431"/>
      <c r="G2146" s="431"/>
      <c r="H2146" s="298"/>
      <c r="I2146" s="432"/>
      <c r="J2146" s="433"/>
      <c r="K2146" s="306"/>
      <c r="L2146" s="306"/>
      <c r="M2146" s="306"/>
      <c r="N2146" s="298"/>
      <c r="O2146" s="298"/>
      <c r="P2146" s="298"/>
      <c r="Q2146" s="306"/>
      <c r="R2146" s="1023"/>
      <c r="S2146" s="1023"/>
      <c r="T2146" s="306"/>
      <c r="U2146" s="306"/>
      <c r="V2146" s="306"/>
      <c r="W2146" s="306"/>
      <c r="X2146" s="306"/>
      <c r="Y2146" s="306"/>
      <c r="Z2146" s="306"/>
      <c r="AA2146" s="306"/>
      <c r="AB2146" s="306"/>
      <c r="AC2146" s="306"/>
      <c r="AD2146" s="306"/>
      <c r="AE2146" s="306"/>
      <c r="AF2146" s="306"/>
      <c r="AG2146" s="306"/>
      <c r="AH2146" s="306"/>
      <c r="AI2146" s="306"/>
      <c r="AJ2146" s="306"/>
      <c r="AK2146" s="306"/>
      <c r="AL2146" s="306"/>
      <c r="AM2146" s="418"/>
      <c r="AN2146" s="418"/>
      <c r="AO2146" s="306"/>
      <c r="AP2146" s="306"/>
      <c r="AQ2146" s="418"/>
      <c r="AR2146" s="306"/>
      <c r="AS2146" s="306"/>
      <c r="AT2146" s="418"/>
      <c r="AU2146" s="306"/>
      <c r="AV2146" s="306"/>
      <c r="AW2146" s="306"/>
      <c r="AX2146" s="306"/>
      <c r="AY2146" s="306"/>
      <c r="AZ2146" s="306"/>
      <c r="BA2146" s="306"/>
      <c r="BB2146" s="306"/>
    </row>
    <row r="2147" spans="1:54" ht="15.75" customHeight="1">
      <c r="A2147" s="317"/>
      <c r="B2147" s="430"/>
      <c r="C2147" s="317"/>
      <c r="E2147" s="306"/>
      <c r="F2147" s="431"/>
      <c r="G2147" s="431"/>
      <c r="H2147" s="298"/>
      <c r="I2147" s="432"/>
      <c r="J2147" s="433"/>
      <c r="K2147" s="306"/>
      <c r="L2147" s="306"/>
      <c r="M2147" s="306"/>
      <c r="N2147" s="298"/>
      <c r="O2147" s="298"/>
      <c r="P2147" s="298"/>
      <c r="Q2147" s="306"/>
      <c r="R2147" s="1023"/>
      <c r="S2147" s="1023"/>
      <c r="T2147" s="306"/>
      <c r="U2147" s="306"/>
      <c r="V2147" s="306"/>
      <c r="W2147" s="306"/>
      <c r="X2147" s="306"/>
      <c r="Y2147" s="306"/>
      <c r="Z2147" s="306"/>
      <c r="AA2147" s="306"/>
      <c r="AB2147" s="306"/>
      <c r="AC2147" s="306"/>
      <c r="AD2147" s="306"/>
      <c r="AE2147" s="306"/>
      <c r="AF2147" s="306"/>
      <c r="AG2147" s="306"/>
      <c r="AH2147" s="306"/>
      <c r="AI2147" s="306"/>
      <c r="AJ2147" s="306"/>
      <c r="AK2147" s="306"/>
      <c r="AL2147" s="306"/>
      <c r="AM2147" s="418"/>
      <c r="AN2147" s="418"/>
      <c r="AO2147" s="306"/>
      <c r="AP2147" s="306"/>
      <c r="AQ2147" s="418"/>
      <c r="AR2147" s="306"/>
      <c r="AS2147" s="306"/>
      <c r="AT2147" s="418"/>
      <c r="AU2147" s="306"/>
      <c r="AV2147" s="306"/>
      <c r="AW2147" s="306"/>
      <c r="AX2147" s="306"/>
      <c r="AY2147" s="306"/>
      <c r="AZ2147" s="306"/>
      <c r="BA2147" s="306"/>
      <c r="BB2147" s="306"/>
    </row>
    <row r="2148" spans="1:54" ht="15.75" customHeight="1">
      <c r="A2148" s="317"/>
      <c r="B2148" s="430"/>
      <c r="C2148" s="317"/>
      <c r="E2148" s="306"/>
      <c r="F2148" s="431"/>
      <c r="G2148" s="431"/>
      <c r="H2148" s="298"/>
      <c r="I2148" s="432"/>
      <c r="J2148" s="433"/>
      <c r="K2148" s="306"/>
      <c r="L2148" s="306"/>
      <c r="M2148" s="306"/>
      <c r="N2148" s="298"/>
      <c r="O2148" s="298"/>
      <c r="P2148" s="298"/>
      <c r="Q2148" s="306"/>
      <c r="R2148" s="1023"/>
      <c r="S2148" s="1023"/>
      <c r="T2148" s="306"/>
      <c r="U2148" s="306"/>
      <c r="V2148" s="306"/>
      <c r="W2148" s="306"/>
      <c r="X2148" s="306"/>
      <c r="Y2148" s="306"/>
      <c r="Z2148" s="306"/>
      <c r="AA2148" s="306"/>
      <c r="AB2148" s="306"/>
      <c r="AC2148" s="306"/>
      <c r="AD2148" s="306"/>
      <c r="AE2148" s="306"/>
      <c r="AF2148" s="306"/>
      <c r="AG2148" s="306"/>
      <c r="AH2148" s="306"/>
      <c r="AI2148" s="306"/>
      <c r="AJ2148" s="306"/>
      <c r="AK2148" s="306"/>
      <c r="AL2148" s="306"/>
      <c r="AM2148" s="418"/>
      <c r="AN2148" s="418"/>
      <c r="AO2148" s="306"/>
      <c r="AP2148" s="306"/>
      <c r="AQ2148" s="418"/>
      <c r="AR2148" s="306"/>
      <c r="AS2148" s="306"/>
      <c r="AT2148" s="418"/>
      <c r="AU2148" s="306"/>
      <c r="AV2148" s="306"/>
      <c r="AW2148" s="306"/>
      <c r="AX2148" s="306"/>
      <c r="AY2148" s="306"/>
      <c r="AZ2148" s="306"/>
      <c r="BA2148" s="306"/>
      <c r="BB2148" s="306"/>
    </row>
    <row r="2149" spans="1:54" ht="15.75" customHeight="1">
      <c r="A2149" s="317"/>
      <c r="B2149" s="430"/>
      <c r="C2149" s="317"/>
      <c r="E2149" s="306"/>
      <c r="F2149" s="431"/>
      <c r="G2149" s="431"/>
      <c r="H2149" s="298"/>
      <c r="I2149" s="432"/>
      <c r="J2149" s="433"/>
      <c r="K2149" s="306"/>
      <c r="L2149" s="306"/>
      <c r="M2149" s="306"/>
      <c r="N2149" s="298"/>
      <c r="O2149" s="298"/>
      <c r="P2149" s="298"/>
      <c r="Q2149" s="306"/>
      <c r="R2149" s="1023"/>
      <c r="S2149" s="1023"/>
      <c r="T2149" s="306"/>
      <c r="U2149" s="306"/>
      <c r="V2149" s="306"/>
      <c r="W2149" s="306"/>
      <c r="X2149" s="306"/>
      <c r="Y2149" s="306"/>
      <c r="Z2149" s="306"/>
      <c r="AA2149" s="306"/>
      <c r="AB2149" s="306"/>
      <c r="AC2149" s="306"/>
      <c r="AD2149" s="306"/>
      <c r="AE2149" s="306"/>
      <c r="AF2149" s="306"/>
      <c r="AG2149" s="306"/>
      <c r="AH2149" s="306"/>
      <c r="AI2149" s="306"/>
      <c r="AJ2149" s="306"/>
      <c r="AK2149" s="306"/>
      <c r="AL2149" s="306"/>
      <c r="AM2149" s="418"/>
      <c r="AN2149" s="418"/>
      <c r="AO2149" s="306"/>
      <c r="AP2149" s="306"/>
      <c r="AQ2149" s="418"/>
      <c r="AR2149" s="306"/>
      <c r="AS2149" s="306"/>
      <c r="AT2149" s="418"/>
      <c r="AU2149" s="306"/>
      <c r="AV2149" s="306"/>
      <c r="AW2149" s="306"/>
      <c r="AX2149" s="306"/>
      <c r="AY2149" s="306"/>
      <c r="AZ2149" s="306"/>
      <c r="BA2149" s="306"/>
      <c r="BB2149" s="306"/>
    </row>
    <row r="2150" spans="1:54" ht="15.75" customHeight="1">
      <c r="A2150" s="317"/>
      <c r="B2150" s="430"/>
      <c r="C2150" s="317"/>
      <c r="E2150" s="306"/>
      <c r="F2150" s="431"/>
      <c r="G2150" s="431"/>
      <c r="H2150" s="298"/>
      <c r="I2150" s="432"/>
      <c r="J2150" s="433"/>
      <c r="K2150" s="306"/>
      <c r="L2150" s="306"/>
      <c r="M2150" s="306"/>
      <c r="N2150" s="298"/>
      <c r="O2150" s="298"/>
      <c r="P2150" s="298"/>
      <c r="Q2150" s="306"/>
      <c r="R2150" s="1023"/>
      <c r="S2150" s="1023"/>
      <c r="T2150" s="306"/>
      <c r="U2150" s="306"/>
      <c r="V2150" s="306"/>
      <c r="W2150" s="306"/>
      <c r="X2150" s="306"/>
      <c r="Y2150" s="306"/>
      <c r="Z2150" s="306"/>
      <c r="AA2150" s="306"/>
      <c r="AB2150" s="306"/>
      <c r="AC2150" s="306"/>
      <c r="AD2150" s="306"/>
      <c r="AE2150" s="306"/>
      <c r="AF2150" s="306"/>
      <c r="AG2150" s="306"/>
      <c r="AH2150" s="306"/>
      <c r="AI2150" s="306"/>
      <c r="AJ2150" s="306"/>
      <c r="AK2150" s="306"/>
      <c r="AL2150" s="306"/>
      <c r="AM2150" s="418"/>
      <c r="AN2150" s="418"/>
      <c r="AO2150" s="306"/>
      <c r="AP2150" s="306"/>
      <c r="AQ2150" s="418"/>
      <c r="AR2150" s="306"/>
      <c r="AS2150" s="306"/>
      <c r="AT2150" s="418"/>
      <c r="AU2150" s="306"/>
      <c r="AV2150" s="306"/>
      <c r="AW2150" s="306"/>
      <c r="AX2150" s="306"/>
      <c r="AY2150" s="306"/>
      <c r="AZ2150" s="306"/>
      <c r="BA2150" s="306"/>
      <c r="BB2150" s="306"/>
    </row>
    <row r="2151" spans="1:54" ht="15.75" customHeight="1">
      <c r="A2151" s="317"/>
      <c r="B2151" s="430"/>
      <c r="C2151" s="317"/>
      <c r="E2151" s="306"/>
      <c r="F2151" s="431"/>
      <c r="G2151" s="431"/>
      <c r="H2151" s="298"/>
      <c r="I2151" s="432"/>
      <c r="J2151" s="433"/>
      <c r="K2151" s="306"/>
      <c r="L2151" s="306"/>
      <c r="M2151" s="306"/>
      <c r="N2151" s="298"/>
      <c r="O2151" s="298"/>
      <c r="P2151" s="298"/>
      <c r="Q2151" s="306"/>
      <c r="R2151" s="1023"/>
      <c r="S2151" s="1023"/>
      <c r="T2151" s="306"/>
      <c r="U2151" s="306"/>
      <c r="V2151" s="306"/>
      <c r="W2151" s="306"/>
      <c r="X2151" s="306"/>
      <c r="Y2151" s="306"/>
      <c r="Z2151" s="306"/>
      <c r="AA2151" s="306"/>
      <c r="AB2151" s="306"/>
      <c r="AC2151" s="306"/>
      <c r="AD2151" s="306"/>
      <c r="AE2151" s="306"/>
      <c r="AF2151" s="306"/>
      <c r="AG2151" s="306"/>
      <c r="AH2151" s="306"/>
      <c r="AI2151" s="306"/>
      <c r="AJ2151" s="306"/>
      <c r="AK2151" s="306"/>
      <c r="AL2151" s="306"/>
      <c r="AM2151" s="418"/>
      <c r="AN2151" s="418"/>
      <c r="AO2151" s="306"/>
      <c r="AP2151" s="306"/>
      <c r="AQ2151" s="418"/>
      <c r="AR2151" s="306"/>
      <c r="AS2151" s="306"/>
      <c r="AT2151" s="418"/>
      <c r="AU2151" s="306"/>
      <c r="AV2151" s="306"/>
      <c r="AW2151" s="306"/>
      <c r="AX2151" s="306"/>
      <c r="AY2151" s="306"/>
      <c r="AZ2151" s="306"/>
      <c r="BA2151" s="306"/>
      <c r="BB2151" s="306"/>
    </row>
    <row r="2152" spans="1:54" ht="15.75" customHeight="1">
      <c r="A2152" s="317"/>
      <c r="B2152" s="430"/>
      <c r="C2152" s="317"/>
      <c r="E2152" s="306"/>
      <c r="F2152" s="431"/>
      <c r="G2152" s="431"/>
      <c r="H2152" s="298"/>
      <c r="I2152" s="432"/>
      <c r="J2152" s="433"/>
      <c r="K2152" s="306"/>
      <c r="L2152" s="306"/>
      <c r="M2152" s="306"/>
      <c r="N2152" s="298"/>
      <c r="O2152" s="298"/>
      <c r="P2152" s="298"/>
      <c r="Q2152" s="306"/>
      <c r="R2152" s="1023"/>
      <c r="S2152" s="1023"/>
      <c r="T2152" s="306"/>
      <c r="U2152" s="306"/>
      <c r="V2152" s="306"/>
      <c r="W2152" s="306"/>
      <c r="X2152" s="306"/>
      <c r="Y2152" s="306"/>
      <c r="Z2152" s="306"/>
      <c r="AA2152" s="306"/>
      <c r="AB2152" s="306"/>
      <c r="AC2152" s="306"/>
      <c r="AD2152" s="306"/>
      <c r="AE2152" s="306"/>
      <c r="AF2152" s="306"/>
      <c r="AG2152" s="306"/>
      <c r="AH2152" s="306"/>
      <c r="AI2152" s="306"/>
      <c r="AJ2152" s="306"/>
      <c r="AK2152" s="306"/>
      <c r="AL2152" s="306"/>
      <c r="AM2152" s="418"/>
      <c r="AN2152" s="418"/>
      <c r="AO2152" s="306"/>
      <c r="AP2152" s="306"/>
      <c r="AQ2152" s="418"/>
      <c r="AR2152" s="306"/>
      <c r="AS2152" s="306"/>
      <c r="AT2152" s="418"/>
      <c r="AU2152" s="306"/>
      <c r="AV2152" s="306"/>
      <c r="AW2152" s="306"/>
      <c r="AX2152" s="306"/>
      <c r="AY2152" s="306"/>
      <c r="AZ2152" s="306"/>
      <c r="BA2152" s="306"/>
      <c r="BB2152" s="306"/>
    </row>
    <row r="2153" spans="1:54" ht="15.75" customHeight="1">
      <c r="A2153" s="317"/>
      <c r="B2153" s="430"/>
      <c r="C2153" s="317"/>
      <c r="E2153" s="306"/>
      <c r="F2153" s="431"/>
      <c r="G2153" s="431"/>
      <c r="H2153" s="298"/>
      <c r="I2153" s="432"/>
      <c r="J2153" s="433"/>
      <c r="K2153" s="306"/>
      <c r="L2153" s="306"/>
      <c r="M2153" s="306"/>
      <c r="N2153" s="298"/>
      <c r="O2153" s="298"/>
      <c r="P2153" s="298"/>
      <c r="Q2153" s="306"/>
      <c r="R2153" s="1023"/>
      <c r="S2153" s="1023"/>
      <c r="T2153" s="306"/>
      <c r="U2153" s="306"/>
      <c r="V2153" s="306"/>
      <c r="W2153" s="306"/>
      <c r="X2153" s="306"/>
      <c r="Y2153" s="306"/>
      <c r="Z2153" s="306"/>
      <c r="AA2153" s="306"/>
      <c r="AB2153" s="306"/>
      <c r="AC2153" s="306"/>
      <c r="AD2153" s="306"/>
      <c r="AE2153" s="306"/>
      <c r="AF2153" s="306"/>
      <c r="AG2153" s="306"/>
      <c r="AH2153" s="306"/>
      <c r="AI2153" s="306"/>
      <c r="AJ2153" s="306"/>
      <c r="AK2153" s="306"/>
      <c r="AL2153" s="306"/>
      <c r="AM2153" s="418"/>
      <c r="AN2153" s="418"/>
      <c r="AO2153" s="306"/>
      <c r="AP2153" s="306"/>
      <c r="AQ2153" s="418"/>
      <c r="AR2153" s="306"/>
      <c r="AS2153" s="306"/>
      <c r="AT2153" s="418"/>
      <c r="AU2153" s="306"/>
      <c r="AV2153" s="306"/>
      <c r="AW2153" s="306"/>
      <c r="AX2153" s="306"/>
      <c r="AY2153" s="306"/>
      <c r="AZ2153" s="306"/>
      <c r="BA2153" s="306"/>
      <c r="BB2153" s="306"/>
    </row>
    <row r="2154" spans="1:54" ht="15.75" customHeight="1">
      <c r="A2154" s="317"/>
      <c r="B2154" s="430"/>
      <c r="C2154" s="317"/>
      <c r="E2154" s="306"/>
      <c r="F2154" s="431"/>
      <c r="G2154" s="431"/>
      <c r="H2154" s="298"/>
      <c r="I2154" s="432"/>
      <c r="J2154" s="433"/>
      <c r="K2154" s="306"/>
      <c r="L2154" s="306"/>
      <c r="M2154" s="306"/>
      <c r="N2154" s="298"/>
      <c r="O2154" s="298"/>
      <c r="P2154" s="298"/>
      <c r="Q2154" s="306"/>
      <c r="R2154" s="1023"/>
      <c r="S2154" s="1023"/>
      <c r="T2154" s="306"/>
      <c r="U2154" s="306"/>
      <c r="V2154" s="306"/>
      <c r="W2154" s="306"/>
      <c r="X2154" s="306"/>
      <c r="Y2154" s="306"/>
      <c r="Z2154" s="306"/>
      <c r="AA2154" s="306"/>
      <c r="AB2154" s="306"/>
      <c r="AC2154" s="306"/>
      <c r="AD2154" s="306"/>
      <c r="AE2154" s="306"/>
      <c r="AF2154" s="306"/>
      <c r="AG2154" s="306"/>
      <c r="AH2154" s="306"/>
      <c r="AI2154" s="306"/>
      <c r="AJ2154" s="306"/>
      <c r="AK2154" s="306"/>
      <c r="AL2154" s="306"/>
      <c r="AM2154" s="418"/>
      <c r="AN2154" s="418"/>
      <c r="AO2154" s="306"/>
      <c r="AP2154" s="306"/>
      <c r="AQ2154" s="418"/>
      <c r="AR2154" s="306"/>
      <c r="AS2154" s="306"/>
      <c r="AT2154" s="418"/>
      <c r="AU2154" s="306"/>
      <c r="AV2154" s="306"/>
      <c r="AW2154" s="306"/>
      <c r="AX2154" s="306"/>
      <c r="AY2154" s="306"/>
      <c r="AZ2154" s="306"/>
      <c r="BA2154" s="306"/>
      <c r="BB2154" s="306"/>
    </row>
    <row r="2155" spans="1:54" ht="15.75" customHeight="1">
      <c r="A2155" s="317"/>
      <c r="B2155" s="430"/>
      <c r="C2155" s="317"/>
      <c r="E2155" s="306"/>
      <c r="F2155" s="431"/>
      <c r="G2155" s="431"/>
      <c r="H2155" s="298"/>
      <c r="I2155" s="432"/>
      <c r="J2155" s="433"/>
      <c r="K2155" s="306"/>
      <c r="L2155" s="306"/>
      <c r="M2155" s="306"/>
      <c r="N2155" s="298"/>
      <c r="O2155" s="298"/>
      <c r="P2155" s="298"/>
      <c r="Q2155" s="306"/>
      <c r="R2155" s="1023"/>
      <c r="S2155" s="1023"/>
      <c r="T2155" s="306"/>
      <c r="U2155" s="306"/>
      <c r="V2155" s="306"/>
      <c r="W2155" s="306"/>
      <c r="X2155" s="306"/>
      <c r="Y2155" s="306"/>
      <c r="Z2155" s="306"/>
      <c r="AA2155" s="306"/>
      <c r="AB2155" s="306"/>
      <c r="AC2155" s="306"/>
      <c r="AD2155" s="306"/>
      <c r="AE2155" s="306"/>
      <c r="AF2155" s="306"/>
      <c r="AG2155" s="306"/>
      <c r="AH2155" s="306"/>
      <c r="AI2155" s="306"/>
      <c r="AJ2155" s="306"/>
      <c r="AK2155" s="306"/>
      <c r="AL2155" s="306"/>
      <c r="AM2155" s="418"/>
      <c r="AN2155" s="418"/>
      <c r="AO2155" s="306"/>
      <c r="AP2155" s="306"/>
      <c r="AQ2155" s="418"/>
      <c r="AR2155" s="306"/>
      <c r="AS2155" s="306"/>
      <c r="AT2155" s="418"/>
      <c r="AU2155" s="306"/>
      <c r="AV2155" s="306"/>
      <c r="AW2155" s="306"/>
      <c r="AX2155" s="306"/>
      <c r="AY2155" s="306"/>
      <c r="AZ2155" s="306"/>
      <c r="BA2155" s="306"/>
      <c r="BB2155" s="306"/>
    </row>
    <row r="2156" spans="1:54" ht="15.75" customHeight="1">
      <c r="A2156" s="317"/>
      <c r="B2156" s="430"/>
      <c r="C2156" s="317"/>
      <c r="E2156" s="306"/>
      <c r="F2156" s="431"/>
      <c r="G2156" s="431"/>
      <c r="H2156" s="298"/>
      <c r="I2156" s="431"/>
      <c r="J2156" s="435"/>
      <c r="K2156" s="306"/>
      <c r="L2156" s="306"/>
      <c r="M2156" s="306"/>
      <c r="N2156" s="298"/>
      <c r="O2156" s="298"/>
      <c r="P2156" s="298"/>
      <c r="Q2156" s="306"/>
      <c r="R2156" s="1023"/>
      <c r="S2156" s="1023"/>
      <c r="T2156" s="306"/>
      <c r="U2156" s="306"/>
      <c r="V2156" s="306"/>
      <c r="W2156" s="306"/>
      <c r="X2156" s="306"/>
      <c r="Y2156" s="306"/>
      <c r="Z2156" s="306"/>
      <c r="AA2156" s="306"/>
      <c r="AB2156" s="306"/>
      <c r="AC2156" s="306"/>
      <c r="AD2156" s="306"/>
      <c r="AE2156" s="306"/>
      <c r="AF2156" s="306"/>
      <c r="AG2156" s="306"/>
      <c r="AH2156" s="306"/>
      <c r="AI2156" s="306"/>
      <c r="AJ2156" s="306"/>
      <c r="AK2156" s="306"/>
      <c r="AL2156" s="306"/>
      <c r="AM2156" s="418"/>
      <c r="AN2156" s="418"/>
      <c r="AO2156" s="306"/>
      <c r="AP2156" s="306"/>
      <c r="AQ2156" s="418"/>
      <c r="AR2156" s="306"/>
      <c r="AS2156" s="306"/>
      <c r="AT2156" s="418"/>
      <c r="AU2156" s="306"/>
      <c r="AV2156" s="306"/>
      <c r="AW2156" s="306"/>
      <c r="AX2156" s="306"/>
      <c r="AY2156" s="306"/>
      <c r="AZ2156" s="306"/>
      <c r="BA2156" s="306"/>
      <c r="BB2156" s="306"/>
    </row>
    <row r="2157" spans="1:54" ht="15.75" customHeight="1">
      <c r="A2157" s="317"/>
      <c r="B2157" s="430"/>
      <c r="C2157" s="317"/>
      <c r="E2157" s="306"/>
      <c r="F2157" s="431"/>
      <c r="G2157" s="431"/>
      <c r="H2157" s="298"/>
      <c r="I2157" s="432"/>
      <c r="J2157" s="433"/>
      <c r="K2157" s="306"/>
      <c r="L2157" s="306"/>
      <c r="M2157" s="306"/>
      <c r="N2157" s="298"/>
      <c r="O2157" s="298"/>
      <c r="P2157" s="298"/>
      <c r="Q2157" s="306"/>
      <c r="R2157" s="1023"/>
      <c r="S2157" s="1023"/>
      <c r="T2157" s="306"/>
      <c r="U2157" s="306"/>
      <c r="V2157" s="306"/>
      <c r="W2157" s="306"/>
      <c r="X2157" s="306"/>
      <c r="Y2157" s="306"/>
      <c r="Z2157" s="306"/>
      <c r="AA2157" s="306"/>
      <c r="AB2157" s="306"/>
      <c r="AC2157" s="306"/>
      <c r="AD2157" s="306"/>
      <c r="AE2157" s="306"/>
      <c r="AF2157" s="306"/>
      <c r="AG2157" s="306"/>
      <c r="AH2157" s="306"/>
      <c r="AI2157" s="306"/>
      <c r="AJ2157" s="306"/>
      <c r="AK2157" s="306"/>
      <c r="AL2157" s="306"/>
      <c r="AM2157" s="418"/>
      <c r="AN2157" s="418"/>
      <c r="AO2157" s="306"/>
      <c r="AP2157" s="306"/>
      <c r="AQ2157" s="418"/>
      <c r="AR2157" s="306"/>
      <c r="AS2157" s="306"/>
      <c r="AT2157" s="418"/>
      <c r="AU2157" s="306"/>
      <c r="AV2157" s="306"/>
      <c r="AW2157" s="306"/>
      <c r="AX2157" s="306"/>
      <c r="AY2157" s="306"/>
      <c r="AZ2157" s="306"/>
      <c r="BA2157" s="306"/>
      <c r="BB2157" s="306"/>
    </row>
    <row r="2158" spans="1:54" ht="15.75" customHeight="1">
      <c r="A2158" s="317"/>
      <c r="B2158" s="430"/>
      <c r="C2158" s="317"/>
      <c r="E2158" s="306"/>
      <c r="F2158" s="431"/>
      <c r="G2158" s="431"/>
      <c r="H2158" s="298"/>
      <c r="I2158" s="431"/>
      <c r="J2158" s="435"/>
      <c r="K2158" s="306"/>
      <c r="L2158" s="306"/>
      <c r="M2158" s="306"/>
      <c r="N2158" s="298"/>
      <c r="O2158" s="298"/>
      <c r="P2158" s="298"/>
      <c r="Q2158" s="306"/>
      <c r="R2158" s="1023"/>
      <c r="S2158" s="1023"/>
      <c r="T2158" s="306"/>
      <c r="U2158" s="306"/>
      <c r="V2158" s="306"/>
      <c r="W2158" s="306"/>
      <c r="X2158" s="306"/>
      <c r="Y2158" s="306"/>
      <c r="Z2158" s="306"/>
      <c r="AA2158" s="306"/>
      <c r="AB2158" s="306"/>
      <c r="AC2158" s="306"/>
      <c r="AD2158" s="306"/>
      <c r="AE2158" s="306"/>
      <c r="AF2158" s="306"/>
      <c r="AG2158" s="306"/>
      <c r="AH2158" s="306"/>
      <c r="AI2158" s="306"/>
      <c r="AJ2158" s="306"/>
      <c r="AK2158" s="306"/>
      <c r="AL2158" s="306"/>
      <c r="AM2158" s="418"/>
      <c r="AN2158" s="418"/>
      <c r="AO2158" s="306"/>
      <c r="AP2158" s="306"/>
      <c r="AQ2158" s="418"/>
      <c r="AR2158" s="306"/>
      <c r="AS2158" s="306"/>
      <c r="AT2158" s="418"/>
      <c r="AU2158" s="306"/>
      <c r="AV2158" s="306"/>
      <c r="AW2158" s="306"/>
      <c r="AX2158" s="306"/>
      <c r="AY2158" s="306"/>
      <c r="AZ2158" s="306"/>
      <c r="BA2158" s="306"/>
      <c r="BB2158" s="306"/>
    </row>
    <row r="2159" spans="1:54" ht="15.75" customHeight="1">
      <c r="A2159" s="317"/>
      <c r="B2159" s="430"/>
      <c r="C2159" s="317"/>
      <c r="E2159" s="306"/>
      <c r="F2159" s="431"/>
      <c r="G2159" s="431"/>
      <c r="H2159" s="298"/>
      <c r="I2159" s="431"/>
      <c r="J2159" s="435"/>
      <c r="K2159" s="306"/>
      <c r="L2159" s="306"/>
      <c r="M2159" s="306"/>
      <c r="N2159" s="298"/>
      <c r="O2159" s="298"/>
      <c r="P2159" s="298"/>
      <c r="Q2159" s="306"/>
      <c r="R2159" s="1023"/>
      <c r="S2159" s="1023"/>
      <c r="T2159" s="306"/>
      <c r="U2159" s="306"/>
      <c r="V2159" s="306"/>
      <c r="W2159" s="306"/>
      <c r="X2159" s="306"/>
      <c r="Y2159" s="306"/>
      <c r="Z2159" s="306"/>
      <c r="AA2159" s="306"/>
      <c r="AB2159" s="306"/>
      <c r="AC2159" s="306"/>
      <c r="AD2159" s="306"/>
      <c r="AE2159" s="306"/>
      <c r="AF2159" s="306"/>
      <c r="AG2159" s="306"/>
      <c r="AH2159" s="306"/>
      <c r="AI2159" s="306"/>
      <c r="AJ2159" s="306"/>
      <c r="AK2159" s="306"/>
      <c r="AL2159" s="306"/>
      <c r="AM2159" s="418"/>
      <c r="AN2159" s="418"/>
      <c r="AO2159" s="306"/>
      <c r="AP2159" s="306"/>
      <c r="AQ2159" s="418"/>
      <c r="AR2159" s="306"/>
      <c r="AS2159" s="306"/>
      <c r="AT2159" s="418"/>
      <c r="AU2159" s="306"/>
      <c r="AV2159" s="306"/>
      <c r="AW2159" s="306"/>
      <c r="AX2159" s="306"/>
      <c r="AY2159" s="306"/>
      <c r="AZ2159" s="306"/>
      <c r="BA2159" s="306"/>
      <c r="BB2159" s="306"/>
    </row>
    <row r="2160" spans="1:54" ht="15.75" customHeight="1">
      <c r="A2160" s="317"/>
      <c r="B2160" s="430"/>
      <c r="C2160" s="317"/>
      <c r="E2160" s="306"/>
      <c r="F2160" s="431"/>
      <c r="G2160" s="431"/>
      <c r="H2160" s="298"/>
      <c r="I2160" s="431"/>
      <c r="J2160" s="435"/>
      <c r="K2160" s="306"/>
      <c r="L2160" s="306"/>
      <c r="M2160" s="306"/>
      <c r="N2160" s="298"/>
      <c r="O2160" s="298"/>
      <c r="P2160" s="298"/>
      <c r="Q2160" s="306"/>
      <c r="R2160" s="1023"/>
      <c r="S2160" s="1023"/>
      <c r="T2160" s="306"/>
      <c r="U2160" s="306"/>
      <c r="V2160" s="306"/>
      <c r="W2160" s="306"/>
      <c r="X2160" s="306"/>
      <c r="Y2160" s="306"/>
      <c r="Z2160" s="306"/>
      <c r="AA2160" s="306"/>
      <c r="AB2160" s="306"/>
      <c r="AC2160" s="306"/>
      <c r="AD2160" s="306"/>
      <c r="AE2160" s="306"/>
      <c r="AF2160" s="306"/>
      <c r="AG2160" s="306"/>
      <c r="AH2160" s="306"/>
      <c r="AI2160" s="306"/>
      <c r="AJ2160" s="306"/>
      <c r="AK2160" s="306"/>
      <c r="AL2160" s="306"/>
      <c r="AM2160" s="418"/>
      <c r="AN2160" s="418"/>
      <c r="AO2160" s="306"/>
      <c r="AP2160" s="306"/>
      <c r="AQ2160" s="418"/>
      <c r="AR2160" s="306"/>
      <c r="AS2160" s="306"/>
      <c r="AT2160" s="418"/>
      <c r="AU2160" s="306"/>
      <c r="AV2160" s="306"/>
      <c r="AW2160" s="306"/>
      <c r="AX2160" s="306"/>
      <c r="AY2160" s="306"/>
      <c r="AZ2160" s="306"/>
      <c r="BA2160" s="306"/>
      <c r="BB2160" s="306"/>
    </row>
    <row r="2161" spans="1:54" ht="15.75" customHeight="1">
      <c r="A2161" s="317"/>
      <c r="B2161" s="430"/>
      <c r="C2161" s="317"/>
      <c r="E2161" s="306"/>
      <c r="F2161" s="431"/>
      <c r="G2161" s="431"/>
      <c r="H2161" s="298"/>
      <c r="I2161" s="431"/>
      <c r="J2161" s="435"/>
      <c r="K2161" s="306"/>
      <c r="L2161" s="306"/>
      <c r="M2161" s="306"/>
      <c r="N2161" s="298"/>
      <c r="O2161" s="298"/>
      <c r="P2161" s="298"/>
      <c r="Q2161" s="306"/>
      <c r="R2161" s="1023"/>
      <c r="S2161" s="1023"/>
      <c r="T2161" s="306"/>
      <c r="U2161" s="306"/>
      <c r="V2161" s="306"/>
      <c r="W2161" s="306"/>
      <c r="X2161" s="306"/>
      <c r="Y2161" s="306"/>
      <c r="Z2161" s="306"/>
      <c r="AA2161" s="306"/>
      <c r="AB2161" s="306"/>
      <c r="AC2161" s="306"/>
      <c r="AD2161" s="306"/>
      <c r="AE2161" s="306"/>
      <c r="AF2161" s="306"/>
      <c r="AG2161" s="306"/>
      <c r="AH2161" s="306"/>
      <c r="AI2161" s="306"/>
      <c r="AJ2161" s="306"/>
      <c r="AK2161" s="306"/>
      <c r="AL2161" s="306"/>
      <c r="AM2161" s="418"/>
      <c r="AN2161" s="418"/>
      <c r="AO2161" s="306"/>
      <c r="AP2161" s="306"/>
      <c r="AQ2161" s="418"/>
      <c r="AR2161" s="306"/>
      <c r="AS2161" s="306"/>
      <c r="AT2161" s="418"/>
      <c r="AU2161" s="306"/>
      <c r="AV2161" s="306"/>
      <c r="AW2161" s="306"/>
      <c r="AX2161" s="306"/>
      <c r="AY2161" s="306"/>
      <c r="AZ2161" s="306"/>
      <c r="BA2161" s="306"/>
      <c r="BB2161" s="306"/>
    </row>
    <row r="2162" spans="1:54" ht="15.75" customHeight="1">
      <c r="A2162" s="317"/>
      <c r="B2162" s="430"/>
      <c r="C2162" s="317"/>
      <c r="E2162" s="306"/>
      <c r="F2162" s="431"/>
      <c r="G2162" s="431"/>
      <c r="H2162" s="298"/>
      <c r="I2162" s="431"/>
      <c r="J2162" s="435"/>
      <c r="K2162" s="306"/>
      <c r="L2162" s="306"/>
      <c r="M2162" s="306"/>
      <c r="N2162" s="298"/>
      <c r="O2162" s="298"/>
      <c r="P2162" s="298"/>
      <c r="Q2162" s="306"/>
      <c r="R2162" s="1023"/>
      <c r="S2162" s="1023"/>
      <c r="T2162" s="306"/>
      <c r="U2162" s="306"/>
      <c r="V2162" s="306"/>
      <c r="W2162" s="306"/>
      <c r="X2162" s="306"/>
      <c r="Y2162" s="306"/>
      <c r="Z2162" s="306"/>
      <c r="AA2162" s="306"/>
      <c r="AB2162" s="306"/>
      <c r="AC2162" s="306"/>
      <c r="AD2162" s="306"/>
      <c r="AE2162" s="306"/>
      <c r="AF2162" s="306"/>
      <c r="AG2162" s="306"/>
      <c r="AH2162" s="306"/>
      <c r="AI2162" s="306"/>
      <c r="AJ2162" s="306"/>
      <c r="AK2162" s="306"/>
      <c r="AL2162" s="306"/>
      <c r="AM2162" s="418"/>
      <c r="AN2162" s="418"/>
      <c r="AO2162" s="306"/>
      <c r="AP2162" s="306"/>
      <c r="AQ2162" s="418"/>
      <c r="AR2162" s="306"/>
      <c r="AS2162" s="306"/>
      <c r="AT2162" s="418"/>
      <c r="AU2162" s="306"/>
      <c r="AV2162" s="306"/>
      <c r="AW2162" s="306"/>
      <c r="AX2162" s="306"/>
      <c r="AY2162" s="306"/>
      <c r="AZ2162" s="306"/>
      <c r="BA2162" s="306"/>
      <c r="BB2162" s="306"/>
    </row>
    <row r="2163" spans="1:54" ht="15.75" customHeight="1">
      <c r="A2163" s="317"/>
      <c r="B2163" s="430"/>
      <c r="C2163" s="317"/>
      <c r="E2163" s="306"/>
      <c r="F2163" s="431"/>
      <c r="G2163" s="431"/>
      <c r="H2163" s="298"/>
      <c r="I2163" s="431"/>
      <c r="J2163" s="435"/>
      <c r="K2163" s="306"/>
      <c r="L2163" s="306"/>
      <c r="M2163" s="306"/>
      <c r="N2163" s="298"/>
      <c r="O2163" s="298"/>
      <c r="P2163" s="298"/>
      <c r="Q2163" s="306"/>
      <c r="R2163" s="1023"/>
      <c r="S2163" s="1023"/>
      <c r="T2163" s="306"/>
      <c r="U2163" s="306"/>
      <c r="V2163" s="306"/>
      <c r="W2163" s="306"/>
      <c r="X2163" s="306"/>
      <c r="Y2163" s="306"/>
      <c r="Z2163" s="306"/>
      <c r="AA2163" s="306"/>
      <c r="AB2163" s="306"/>
      <c r="AC2163" s="306"/>
      <c r="AD2163" s="306"/>
      <c r="AE2163" s="306"/>
      <c r="AF2163" s="306"/>
      <c r="AG2163" s="306"/>
      <c r="AH2163" s="306"/>
      <c r="AI2163" s="306"/>
      <c r="AJ2163" s="306"/>
      <c r="AK2163" s="306"/>
      <c r="AL2163" s="306"/>
      <c r="AM2163" s="418"/>
      <c r="AN2163" s="418"/>
      <c r="AO2163" s="306"/>
      <c r="AP2163" s="306"/>
      <c r="AQ2163" s="418"/>
      <c r="AR2163" s="306"/>
      <c r="AS2163" s="306"/>
      <c r="AT2163" s="418"/>
      <c r="AU2163" s="306"/>
      <c r="AV2163" s="306"/>
      <c r="AW2163" s="306"/>
      <c r="AX2163" s="306"/>
      <c r="AY2163" s="306"/>
      <c r="AZ2163" s="306"/>
      <c r="BA2163" s="306"/>
      <c r="BB2163" s="306"/>
    </row>
    <row r="2164" spans="1:54" ht="15.75" customHeight="1">
      <c r="A2164" s="317"/>
      <c r="B2164" s="430"/>
      <c r="C2164" s="317"/>
      <c r="E2164" s="306"/>
      <c r="F2164" s="431"/>
      <c r="G2164" s="431"/>
      <c r="H2164" s="298"/>
      <c r="I2164" s="431"/>
      <c r="J2164" s="435"/>
      <c r="K2164" s="306"/>
      <c r="L2164" s="306"/>
      <c r="M2164" s="306"/>
      <c r="N2164" s="298"/>
      <c r="O2164" s="298"/>
      <c r="P2164" s="298"/>
      <c r="Q2164" s="306"/>
      <c r="R2164" s="1023"/>
      <c r="S2164" s="1023"/>
      <c r="T2164" s="306"/>
      <c r="U2164" s="306"/>
      <c r="V2164" s="306"/>
      <c r="W2164" s="306"/>
      <c r="X2164" s="306"/>
      <c r="Y2164" s="306"/>
      <c r="Z2164" s="306"/>
      <c r="AA2164" s="306"/>
      <c r="AB2164" s="306"/>
      <c r="AC2164" s="306"/>
      <c r="AD2164" s="306"/>
      <c r="AE2164" s="306"/>
      <c r="AF2164" s="306"/>
      <c r="AG2164" s="306"/>
      <c r="AH2164" s="306"/>
      <c r="AI2164" s="306"/>
      <c r="AJ2164" s="306"/>
      <c r="AK2164" s="306"/>
      <c r="AL2164" s="306"/>
      <c r="AM2164" s="418"/>
      <c r="AN2164" s="418"/>
      <c r="AO2164" s="306"/>
      <c r="AP2164" s="306"/>
      <c r="AQ2164" s="418"/>
      <c r="AR2164" s="306"/>
      <c r="AS2164" s="306"/>
      <c r="AT2164" s="418"/>
      <c r="AU2164" s="306"/>
      <c r="AV2164" s="306"/>
      <c r="AW2164" s="306"/>
      <c r="AX2164" s="306"/>
      <c r="AY2164" s="306"/>
      <c r="AZ2164" s="306"/>
      <c r="BA2164" s="306"/>
      <c r="BB2164" s="306"/>
    </row>
    <row r="2165" spans="1:54" ht="15.75" customHeight="1">
      <c r="A2165" s="317"/>
      <c r="B2165" s="430"/>
      <c r="C2165" s="317"/>
      <c r="E2165" s="306"/>
      <c r="F2165" s="431"/>
      <c r="G2165" s="431"/>
      <c r="H2165" s="298"/>
      <c r="I2165" s="432"/>
      <c r="J2165" s="433"/>
      <c r="K2165" s="306"/>
      <c r="L2165" s="306"/>
      <c r="M2165" s="306"/>
      <c r="N2165" s="298"/>
      <c r="O2165" s="298"/>
      <c r="P2165" s="298"/>
      <c r="Q2165" s="306"/>
      <c r="R2165" s="1023"/>
      <c r="S2165" s="1023"/>
      <c r="T2165" s="306"/>
      <c r="U2165" s="306"/>
      <c r="V2165" s="306"/>
      <c r="W2165" s="306"/>
      <c r="X2165" s="306"/>
      <c r="Y2165" s="306"/>
      <c r="Z2165" s="306"/>
      <c r="AA2165" s="306"/>
      <c r="AB2165" s="306"/>
      <c r="AC2165" s="306"/>
      <c r="AD2165" s="306"/>
      <c r="AE2165" s="306"/>
      <c r="AF2165" s="306"/>
      <c r="AG2165" s="306"/>
      <c r="AH2165" s="306"/>
      <c r="AI2165" s="306"/>
      <c r="AJ2165" s="306"/>
      <c r="AK2165" s="306"/>
      <c r="AL2165" s="306"/>
      <c r="AM2165" s="418"/>
      <c r="AN2165" s="418"/>
      <c r="AO2165" s="306"/>
      <c r="AP2165" s="306"/>
      <c r="AQ2165" s="418"/>
      <c r="AR2165" s="306"/>
      <c r="AS2165" s="306"/>
      <c r="AT2165" s="418"/>
      <c r="AU2165" s="306"/>
      <c r="AV2165" s="306"/>
      <c r="AW2165" s="306"/>
      <c r="AX2165" s="306"/>
      <c r="AY2165" s="306"/>
      <c r="AZ2165" s="306"/>
      <c r="BA2165" s="306"/>
      <c r="BB2165" s="306"/>
    </row>
    <row r="2166" spans="1:54" ht="15.75" customHeight="1">
      <c r="A2166" s="317"/>
      <c r="B2166" s="430"/>
      <c r="C2166" s="317"/>
      <c r="E2166" s="306"/>
      <c r="F2166" s="431"/>
      <c r="G2166" s="431"/>
      <c r="H2166" s="298"/>
      <c r="I2166" s="432"/>
      <c r="J2166" s="433"/>
      <c r="K2166" s="306"/>
      <c r="L2166" s="306"/>
      <c r="M2166" s="306"/>
      <c r="N2166" s="298"/>
      <c r="O2166" s="298"/>
      <c r="P2166" s="298"/>
      <c r="Q2166" s="306"/>
      <c r="R2166" s="1023"/>
      <c r="S2166" s="1023"/>
      <c r="T2166" s="306"/>
      <c r="U2166" s="306"/>
      <c r="V2166" s="306"/>
      <c r="W2166" s="306"/>
      <c r="X2166" s="306"/>
      <c r="Y2166" s="306"/>
      <c r="Z2166" s="306"/>
      <c r="AA2166" s="306"/>
      <c r="AB2166" s="306"/>
      <c r="AC2166" s="306"/>
      <c r="AD2166" s="306"/>
      <c r="AE2166" s="306"/>
      <c r="AF2166" s="306"/>
      <c r="AG2166" s="306"/>
      <c r="AH2166" s="306"/>
      <c r="AI2166" s="306"/>
      <c r="AJ2166" s="306"/>
      <c r="AK2166" s="306"/>
      <c r="AL2166" s="306"/>
      <c r="AM2166" s="418"/>
      <c r="AN2166" s="418"/>
      <c r="AO2166" s="306"/>
      <c r="AP2166" s="306"/>
      <c r="AQ2166" s="418"/>
      <c r="AR2166" s="306"/>
      <c r="AS2166" s="306"/>
      <c r="AT2166" s="418"/>
      <c r="AU2166" s="306"/>
      <c r="AV2166" s="306"/>
      <c r="AW2166" s="306"/>
      <c r="AX2166" s="306"/>
      <c r="AY2166" s="306"/>
      <c r="AZ2166" s="306"/>
      <c r="BA2166" s="306"/>
      <c r="BB2166" s="306"/>
    </row>
    <row r="2167" spans="1:54" ht="15.75" customHeight="1">
      <c r="A2167" s="317"/>
      <c r="B2167" s="430"/>
      <c r="C2167" s="317"/>
      <c r="E2167" s="306"/>
      <c r="F2167" s="431"/>
      <c r="G2167" s="431"/>
      <c r="H2167" s="298"/>
      <c r="I2167" s="432"/>
      <c r="J2167" s="433"/>
      <c r="K2167" s="306"/>
      <c r="L2167" s="306"/>
      <c r="M2167" s="306"/>
      <c r="N2167" s="298"/>
      <c r="O2167" s="298"/>
      <c r="P2167" s="298"/>
      <c r="Q2167" s="306"/>
      <c r="R2167" s="1023"/>
      <c r="S2167" s="1023"/>
      <c r="T2167" s="306"/>
      <c r="U2167" s="306"/>
      <c r="V2167" s="306"/>
      <c r="W2167" s="306"/>
      <c r="X2167" s="306"/>
      <c r="Y2167" s="306"/>
      <c r="Z2167" s="306"/>
      <c r="AA2167" s="306"/>
      <c r="AB2167" s="306"/>
      <c r="AC2167" s="306"/>
      <c r="AD2167" s="306"/>
      <c r="AE2167" s="306"/>
      <c r="AF2167" s="306"/>
      <c r="AG2167" s="306"/>
      <c r="AH2167" s="306"/>
      <c r="AI2167" s="306"/>
      <c r="AJ2167" s="306"/>
      <c r="AK2167" s="306"/>
      <c r="AL2167" s="306"/>
      <c r="AM2167" s="418"/>
      <c r="AN2167" s="418"/>
      <c r="AO2167" s="306"/>
      <c r="AP2167" s="306"/>
      <c r="AQ2167" s="418"/>
      <c r="AR2167" s="306"/>
      <c r="AS2167" s="306"/>
      <c r="AT2167" s="418"/>
      <c r="AU2167" s="306"/>
      <c r="AV2167" s="306"/>
      <c r="AW2167" s="306"/>
      <c r="AX2167" s="306"/>
      <c r="AY2167" s="306"/>
      <c r="AZ2167" s="306"/>
      <c r="BA2167" s="306"/>
      <c r="BB2167" s="306"/>
    </row>
    <row r="2168" spans="1:54" ht="15.75" customHeight="1">
      <c r="A2168" s="317"/>
      <c r="B2168" s="430"/>
      <c r="C2168" s="317"/>
      <c r="E2168" s="306"/>
      <c r="F2168" s="431"/>
      <c r="G2168" s="431"/>
      <c r="H2168" s="298"/>
      <c r="I2168" s="432"/>
      <c r="J2168" s="433"/>
      <c r="K2168" s="306"/>
      <c r="L2168" s="306"/>
      <c r="M2168" s="306"/>
      <c r="N2168" s="298"/>
      <c r="O2168" s="298"/>
      <c r="P2168" s="298"/>
      <c r="Q2168" s="306"/>
      <c r="R2168" s="1023"/>
      <c r="S2168" s="1023"/>
      <c r="T2168" s="306"/>
      <c r="U2168" s="306"/>
      <c r="V2168" s="306"/>
      <c r="W2168" s="306"/>
      <c r="X2168" s="306"/>
      <c r="Y2168" s="306"/>
      <c r="Z2168" s="306"/>
      <c r="AA2168" s="306"/>
      <c r="AB2168" s="306"/>
      <c r="AC2168" s="306"/>
      <c r="AD2168" s="306"/>
      <c r="AE2168" s="306"/>
      <c r="AF2168" s="306"/>
      <c r="AG2168" s="306"/>
      <c r="AH2168" s="306"/>
      <c r="AI2168" s="306"/>
      <c r="AJ2168" s="306"/>
      <c r="AK2168" s="306"/>
      <c r="AL2168" s="306"/>
      <c r="AM2168" s="418"/>
      <c r="AN2168" s="418"/>
      <c r="AO2168" s="306"/>
      <c r="AP2168" s="306"/>
      <c r="AQ2168" s="418"/>
      <c r="AR2168" s="306"/>
      <c r="AS2168" s="306"/>
      <c r="AT2168" s="418"/>
      <c r="AU2168" s="306"/>
      <c r="AV2168" s="306"/>
      <c r="AW2168" s="306"/>
      <c r="AX2168" s="306"/>
      <c r="AY2168" s="306"/>
      <c r="AZ2168" s="306"/>
      <c r="BA2168" s="306"/>
      <c r="BB2168" s="306"/>
    </row>
    <row r="2169" spans="1:54" ht="15.75" customHeight="1">
      <c r="A2169" s="317"/>
      <c r="B2169" s="430"/>
      <c r="C2169" s="317"/>
      <c r="E2169" s="306"/>
      <c r="F2169" s="431"/>
      <c r="G2169" s="431"/>
      <c r="H2169" s="298"/>
      <c r="I2169" s="432"/>
      <c r="J2169" s="433"/>
      <c r="K2169" s="306"/>
      <c r="L2169" s="306"/>
      <c r="M2169" s="306"/>
      <c r="N2169" s="298"/>
      <c r="O2169" s="298"/>
      <c r="P2169" s="298"/>
      <c r="Q2169" s="306"/>
      <c r="R2169" s="1023"/>
      <c r="S2169" s="1023"/>
      <c r="T2169" s="306"/>
      <c r="U2169" s="306"/>
      <c r="V2169" s="306"/>
      <c r="W2169" s="306"/>
      <c r="X2169" s="306"/>
      <c r="Y2169" s="306"/>
      <c r="Z2169" s="306"/>
      <c r="AA2169" s="306"/>
      <c r="AB2169" s="306"/>
      <c r="AC2169" s="306"/>
      <c r="AD2169" s="306"/>
      <c r="AE2169" s="306"/>
      <c r="AF2169" s="306"/>
      <c r="AG2169" s="306"/>
      <c r="AH2169" s="306"/>
      <c r="AI2169" s="306"/>
      <c r="AJ2169" s="306"/>
      <c r="AK2169" s="306"/>
      <c r="AL2169" s="306"/>
      <c r="AM2169" s="418"/>
      <c r="AN2169" s="418"/>
      <c r="AO2169" s="306"/>
      <c r="AP2169" s="306"/>
      <c r="AQ2169" s="418"/>
      <c r="AR2169" s="306"/>
      <c r="AS2169" s="306"/>
      <c r="AT2169" s="418"/>
      <c r="AU2169" s="306"/>
      <c r="AV2169" s="306"/>
      <c r="AW2169" s="306"/>
      <c r="AX2169" s="306"/>
      <c r="AY2169" s="306"/>
      <c r="AZ2169" s="306"/>
      <c r="BA2169" s="306"/>
      <c r="BB2169" s="306"/>
    </row>
    <row r="2170" spans="1:54" ht="15.75" customHeight="1">
      <c r="A2170" s="317"/>
      <c r="B2170" s="430"/>
      <c r="C2170" s="317"/>
      <c r="E2170" s="306"/>
      <c r="F2170" s="431"/>
      <c r="G2170" s="431"/>
      <c r="H2170" s="298"/>
      <c r="I2170" s="432"/>
      <c r="J2170" s="433"/>
      <c r="K2170" s="306"/>
      <c r="L2170" s="306"/>
      <c r="M2170" s="306"/>
      <c r="N2170" s="298"/>
      <c r="O2170" s="298"/>
      <c r="P2170" s="298"/>
      <c r="Q2170" s="306"/>
      <c r="R2170" s="1023"/>
      <c r="S2170" s="1023"/>
      <c r="T2170" s="306"/>
      <c r="U2170" s="306"/>
      <c r="V2170" s="306"/>
      <c r="W2170" s="306"/>
      <c r="X2170" s="306"/>
      <c r="Y2170" s="306"/>
      <c r="Z2170" s="306"/>
      <c r="AA2170" s="306"/>
      <c r="AB2170" s="306"/>
      <c r="AC2170" s="306"/>
      <c r="AD2170" s="306"/>
      <c r="AE2170" s="306"/>
      <c r="AF2170" s="306"/>
      <c r="AG2170" s="306"/>
      <c r="AH2170" s="306"/>
      <c r="AI2170" s="306"/>
      <c r="AJ2170" s="306"/>
      <c r="AK2170" s="306"/>
      <c r="AL2170" s="306"/>
      <c r="AM2170" s="418"/>
      <c r="AN2170" s="418"/>
      <c r="AO2170" s="306"/>
      <c r="AP2170" s="306"/>
      <c r="AQ2170" s="418"/>
      <c r="AR2170" s="306"/>
      <c r="AS2170" s="306"/>
      <c r="AT2170" s="418"/>
      <c r="AU2170" s="306"/>
      <c r="AV2170" s="306"/>
      <c r="AW2170" s="306"/>
      <c r="AX2170" s="306"/>
      <c r="AY2170" s="306"/>
      <c r="AZ2170" s="306"/>
      <c r="BA2170" s="306"/>
      <c r="BB2170" s="306"/>
    </row>
    <row r="2171" spans="1:54" ht="15.75" customHeight="1">
      <c r="A2171" s="317"/>
      <c r="B2171" s="430"/>
      <c r="C2171" s="317"/>
      <c r="E2171" s="306"/>
      <c r="F2171" s="431"/>
      <c r="G2171" s="431"/>
      <c r="H2171" s="298"/>
      <c r="I2171" s="432"/>
      <c r="J2171" s="433"/>
      <c r="K2171" s="306"/>
      <c r="L2171" s="306"/>
      <c r="M2171" s="306"/>
      <c r="N2171" s="298"/>
      <c r="O2171" s="298"/>
      <c r="P2171" s="298"/>
      <c r="Q2171" s="306"/>
      <c r="R2171" s="1023"/>
      <c r="S2171" s="1023"/>
      <c r="T2171" s="306"/>
      <c r="U2171" s="306"/>
      <c r="V2171" s="306"/>
      <c r="W2171" s="306"/>
      <c r="X2171" s="306"/>
      <c r="Y2171" s="306"/>
      <c r="Z2171" s="306"/>
      <c r="AA2171" s="306"/>
      <c r="AB2171" s="306"/>
      <c r="AC2171" s="306"/>
      <c r="AD2171" s="306"/>
      <c r="AE2171" s="306"/>
      <c r="AF2171" s="306"/>
      <c r="AG2171" s="306"/>
      <c r="AH2171" s="306"/>
      <c r="AI2171" s="306"/>
      <c r="AJ2171" s="306"/>
      <c r="AK2171" s="306"/>
      <c r="AL2171" s="306"/>
      <c r="AM2171" s="418"/>
      <c r="AN2171" s="418"/>
      <c r="AO2171" s="306"/>
      <c r="AP2171" s="306"/>
      <c r="AQ2171" s="418"/>
      <c r="AR2171" s="306"/>
      <c r="AS2171" s="306"/>
      <c r="AT2171" s="418"/>
      <c r="AU2171" s="306"/>
      <c r="AV2171" s="306"/>
      <c r="AW2171" s="306"/>
      <c r="AX2171" s="306"/>
      <c r="AY2171" s="306"/>
      <c r="AZ2171" s="306"/>
      <c r="BA2171" s="306"/>
      <c r="BB2171" s="306"/>
    </row>
    <row r="2172" spans="1:54" ht="15.75" customHeight="1">
      <c r="A2172" s="317"/>
      <c r="B2172" s="430"/>
      <c r="C2172" s="317"/>
      <c r="E2172" s="306"/>
      <c r="F2172" s="431"/>
      <c r="G2172" s="431"/>
      <c r="H2172" s="298"/>
      <c r="I2172" s="432"/>
      <c r="J2172" s="433"/>
      <c r="K2172" s="306"/>
      <c r="L2172" s="306"/>
      <c r="M2172" s="306"/>
      <c r="N2172" s="298"/>
      <c r="O2172" s="298"/>
      <c r="P2172" s="298"/>
      <c r="Q2172" s="306"/>
      <c r="R2172" s="1023"/>
      <c r="S2172" s="1023"/>
      <c r="T2172" s="306"/>
      <c r="U2172" s="306"/>
      <c r="V2172" s="306"/>
      <c r="W2172" s="306"/>
      <c r="X2172" s="306"/>
      <c r="Y2172" s="306"/>
      <c r="Z2172" s="306"/>
      <c r="AA2172" s="306"/>
      <c r="AB2172" s="306"/>
      <c r="AC2172" s="306"/>
      <c r="AD2172" s="306"/>
      <c r="AE2172" s="306"/>
      <c r="AF2172" s="306"/>
      <c r="AG2172" s="306"/>
      <c r="AH2172" s="306"/>
      <c r="AI2172" s="306"/>
      <c r="AJ2172" s="306"/>
      <c r="AK2172" s="306"/>
      <c r="AL2172" s="306"/>
      <c r="AM2172" s="418"/>
      <c r="AN2172" s="418"/>
      <c r="AO2172" s="306"/>
      <c r="AP2172" s="306"/>
      <c r="AQ2172" s="418"/>
      <c r="AR2172" s="306"/>
      <c r="AS2172" s="306"/>
      <c r="AT2172" s="418"/>
      <c r="AU2172" s="306"/>
      <c r="AV2172" s="306"/>
      <c r="AW2172" s="306"/>
      <c r="AX2172" s="306"/>
      <c r="AY2172" s="306"/>
      <c r="AZ2172" s="306"/>
      <c r="BA2172" s="306"/>
      <c r="BB2172" s="306"/>
    </row>
    <row r="2173" spans="1:54" ht="15.75" customHeight="1">
      <c r="A2173" s="317"/>
      <c r="B2173" s="430"/>
      <c r="C2173" s="317"/>
      <c r="E2173" s="306"/>
      <c r="F2173" s="431"/>
      <c r="G2173" s="431"/>
      <c r="H2173" s="298"/>
      <c r="I2173" s="432"/>
      <c r="J2173" s="433"/>
      <c r="K2173" s="306"/>
      <c r="L2173" s="306"/>
      <c r="M2173" s="306"/>
      <c r="N2173" s="298"/>
      <c r="O2173" s="298"/>
      <c r="P2173" s="298"/>
      <c r="Q2173" s="306"/>
      <c r="R2173" s="1023"/>
      <c r="S2173" s="1023"/>
      <c r="T2173" s="306"/>
      <c r="U2173" s="306"/>
      <c r="V2173" s="306"/>
      <c r="W2173" s="306"/>
      <c r="X2173" s="306"/>
      <c r="Y2173" s="306"/>
      <c r="Z2173" s="306"/>
      <c r="AA2173" s="306"/>
      <c r="AB2173" s="306"/>
      <c r="AC2173" s="306"/>
      <c r="AD2173" s="306"/>
      <c r="AE2173" s="306"/>
      <c r="AF2173" s="306"/>
      <c r="AG2173" s="306"/>
      <c r="AH2173" s="306"/>
      <c r="AI2173" s="306"/>
      <c r="AJ2173" s="306"/>
      <c r="AK2173" s="306"/>
      <c r="AL2173" s="306"/>
      <c r="AM2173" s="418"/>
      <c r="AN2173" s="418"/>
      <c r="AO2173" s="306"/>
      <c r="AP2173" s="306"/>
      <c r="AQ2173" s="418"/>
      <c r="AR2173" s="306"/>
      <c r="AS2173" s="306"/>
      <c r="AT2173" s="418"/>
      <c r="AU2173" s="306"/>
      <c r="AV2173" s="306"/>
      <c r="AW2173" s="306"/>
      <c r="AX2173" s="306"/>
      <c r="AY2173" s="306"/>
      <c r="AZ2173" s="306"/>
      <c r="BA2173" s="306"/>
      <c r="BB2173" s="306"/>
    </row>
    <row r="2174" spans="1:54" ht="15.75" customHeight="1">
      <c r="A2174" s="317"/>
      <c r="B2174" s="430"/>
      <c r="C2174" s="317"/>
      <c r="E2174" s="306"/>
      <c r="F2174" s="431"/>
      <c r="G2174" s="431"/>
      <c r="H2174" s="298"/>
      <c r="I2174" s="431"/>
      <c r="J2174" s="435"/>
      <c r="K2174" s="306"/>
      <c r="L2174" s="306"/>
      <c r="M2174" s="306"/>
      <c r="N2174" s="298"/>
      <c r="O2174" s="298"/>
      <c r="P2174" s="298"/>
      <c r="Q2174" s="306"/>
      <c r="R2174" s="1023"/>
      <c r="S2174" s="1023"/>
      <c r="T2174" s="306"/>
      <c r="U2174" s="306"/>
      <c r="V2174" s="306"/>
      <c r="W2174" s="306"/>
      <c r="X2174" s="306"/>
      <c r="Y2174" s="306"/>
      <c r="Z2174" s="306"/>
      <c r="AA2174" s="306"/>
      <c r="AB2174" s="306"/>
      <c r="AC2174" s="306"/>
      <c r="AD2174" s="306"/>
      <c r="AE2174" s="306"/>
      <c r="AF2174" s="306"/>
      <c r="AG2174" s="306"/>
      <c r="AH2174" s="306"/>
      <c r="AI2174" s="306"/>
      <c r="AJ2174" s="306"/>
      <c r="AK2174" s="306"/>
      <c r="AL2174" s="306"/>
      <c r="AM2174" s="418"/>
      <c r="AN2174" s="418"/>
      <c r="AO2174" s="306"/>
      <c r="AP2174" s="306"/>
      <c r="AQ2174" s="418"/>
      <c r="AR2174" s="306"/>
      <c r="AS2174" s="306"/>
      <c r="AT2174" s="418"/>
      <c r="AU2174" s="306"/>
      <c r="AV2174" s="306"/>
      <c r="AW2174" s="306"/>
      <c r="AX2174" s="306"/>
      <c r="AY2174" s="306"/>
      <c r="AZ2174" s="306"/>
      <c r="BA2174" s="306"/>
      <c r="BB2174" s="306"/>
    </row>
    <row r="2175" spans="1:54" ht="15.75" customHeight="1">
      <c r="A2175" s="317"/>
      <c r="B2175" s="430"/>
      <c r="C2175" s="317"/>
      <c r="E2175" s="306"/>
      <c r="F2175" s="431"/>
      <c r="G2175" s="431"/>
      <c r="H2175" s="298"/>
      <c r="I2175" s="431"/>
      <c r="J2175" s="435"/>
      <c r="K2175" s="306"/>
      <c r="L2175" s="306"/>
      <c r="M2175" s="306"/>
      <c r="N2175" s="298"/>
      <c r="O2175" s="298"/>
      <c r="P2175" s="298"/>
      <c r="Q2175" s="306"/>
      <c r="R2175" s="1023"/>
      <c r="S2175" s="1023"/>
      <c r="T2175" s="306"/>
      <c r="U2175" s="306"/>
      <c r="V2175" s="306"/>
      <c r="W2175" s="306"/>
      <c r="X2175" s="306"/>
      <c r="Y2175" s="306"/>
      <c r="Z2175" s="306"/>
      <c r="AA2175" s="306"/>
      <c r="AB2175" s="306"/>
      <c r="AC2175" s="306"/>
      <c r="AD2175" s="306"/>
      <c r="AE2175" s="306"/>
      <c r="AF2175" s="306"/>
      <c r="AG2175" s="306"/>
      <c r="AH2175" s="306"/>
      <c r="AI2175" s="306"/>
      <c r="AJ2175" s="306"/>
      <c r="AK2175" s="306"/>
      <c r="AL2175" s="306"/>
      <c r="AM2175" s="418"/>
      <c r="AN2175" s="418"/>
      <c r="AO2175" s="306"/>
      <c r="AP2175" s="306"/>
      <c r="AQ2175" s="418"/>
      <c r="AR2175" s="306"/>
      <c r="AS2175" s="306"/>
      <c r="AT2175" s="418"/>
      <c r="AU2175" s="306"/>
      <c r="AV2175" s="306"/>
      <c r="AW2175" s="306"/>
      <c r="AX2175" s="306"/>
      <c r="AY2175" s="306"/>
      <c r="AZ2175" s="306"/>
      <c r="BA2175" s="306"/>
      <c r="BB2175" s="306"/>
    </row>
    <row r="2176" spans="1:54" ht="15.75" customHeight="1">
      <c r="A2176" s="317"/>
      <c r="B2176" s="430"/>
      <c r="C2176" s="317"/>
      <c r="E2176" s="306"/>
      <c r="F2176" s="431"/>
      <c r="G2176" s="431"/>
      <c r="H2176" s="298"/>
      <c r="I2176" s="431"/>
      <c r="J2176" s="435"/>
      <c r="K2176" s="306"/>
      <c r="L2176" s="306"/>
      <c r="M2176" s="306"/>
      <c r="N2176" s="298"/>
      <c r="O2176" s="298"/>
      <c r="P2176" s="298"/>
      <c r="Q2176" s="306"/>
      <c r="R2176" s="1023"/>
      <c r="S2176" s="1023"/>
      <c r="T2176" s="306"/>
      <c r="U2176" s="306"/>
      <c r="V2176" s="306"/>
      <c r="W2176" s="306"/>
      <c r="X2176" s="306"/>
      <c r="Y2176" s="306"/>
      <c r="Z2176" s="306"/>
      <c r="AA2176" s="306"/>
      <c r="AB2176" s="306"/>
      <c r="AC2176" s="306"/>
      <c r="AD2176" s="306"/>
      <c r="AE2176" s="306"/>
      <c r="AF2176" s="306"/>
      <c r="AG2176" s="306"/>
      <c r="AH2176" s="306"/>
      <c r="AI2176" s="306"/>
      <c r="AJ2176" s="306"/>
      <c r="AK2176" s="306"/>
      <c r="AL2176" s="306"/>
      <c r="AM2176" s="418"/>
      <c r="AN2176" s="418"/>
      <c r="AO2176" s="306"/>
      <c r="AP2176" s="306"/>
      <c r="AQ2176" s="418"/>
      <c r="AR2176" s="306"/>
      <c r="AS2176" s="306"/>
      <c r="AT2176" s="418"/>
      <c r="AU2176" s="306"/>
      <c r="AV2176" s="306"/>
      <c r="AW2176" s="306"/>
      <c r="AX2176" s="306"/>
      <c r="AY2176" s="306"/>
      <c r="AZ2176" s="306"/>
      <c r="BA2176" s="306"/>
      <c r="BB2176" s="306"/>
    </row>
    <row r="2177" spans="1:54" ht="15.75" customHeight="1">
      <c r="A2177" s="317"/>
      <c r="B2177" s="430"/>
      <c r="C2177" s="317"/>
      <c r="E2177" s="306"/>
      <c r="F2177" s="431"/>
      <c r="G2177" s="431"/>
      <c r="H2177" s="298"/>
      <c r="I2177" s="432"/>
      <c r="J2177" s="433"/>
      <c r="K2177" s="306"/>
      <c r="L2177" s="306"/>
      <c r="M2177" s="306"/>
      <c r="N2177" s="298"/>
      <c r="O2177" s="298"/>
      <c r="P2177" s="298"/>
      <c r="Q2177" s="306"/>
      <c r="R2177" s="1023"/>
      <c r="S2177" s="1023"/>
      <c r="T2177" s="306"/>
      <c r="U2177" s="306"/>
      <c r="V2177" s="306"/>
      <c r="W2177" s="306"/>
      <c r="X2177" s="306"/>
      <c r="Y2177" s="306"/>
      <c r="Z2177" s="306"/>
      <c r="AA2177" s="306"/>
      <c r="AB2177" s="306"/>
      <c r="AC2177" s="306"/>
      <c r="AD2177" s="306"/>
      <c r="AE2177" s="306"/>
      <c r="AF2177" s="306"/>
      <c r="AG2177" s="306"/>
      <c r="AH2177" s="306"/>
      <c r="AI2177" s="306"/>
      <c r="AJ2177" s="306"/>
      <c r="AK2177" s="306"/>
      <c r="AL2177" s="306"/>
      <c r="AM2177" s="418"/>
      <c r="AN2177" s="418"/>
      <c r="AO2177" s="306"/>
      <c r="AP2177" s="306"/>
      <c r="AQ2177" s="418"/>
      <c r="AR2177" s="306"/>
      <c r="AS2177" s="306"/>
      <c r="AT2177" s="418"/>
      <c r="AU2177" s="306"/>
      <c r="AV2177" s="306"/>
      <c r="AW2177" s="306"/>
      <c r="AX2177" s="306"/>
      <c r="AY2177" s="306"/>
      <c r="AZ2177" s="306"/>
      <c r="BA2177" s="306"/>
      <c r="BB2177" s="306"/>
    </row>
    <row r="2178" spans="1:54" ht="15.75" customHeight="1">
      <c r="A2178" s="317"/>
      <c r="B2178" s="430"/>
      <c r="C2178" s="317"/>
      <c r="E2178" s="306"/>
      <c r="F2178" s="431"/>
      <c r="G2178" s="431"/>
      <c r="H2178" s="298"/>
      <c r="I2178" s="432"/>
      <c r="J2178" s="433"/>
      <c r="K2178" s="306"/>
      <c r="L2178" s="306"/>
      <c r="M2178" s="306"/>
      <c r="N2178" s="298"/>
      <c r="O2178" s="298"/>
      <c r="P2178" s="298"/>
      <c r="Q2178" s="306"/>
      <c r="R2178" s="1023"/>
      <c r="S2178" s="1023"/>
      <c r="T2178" s="306"/>
      <c r="U2178" s="306"/>
      <c r="V2178" s="306"/>
      <c r="W2178" s="306"/>
      <c r="X2178" s="306"/>
      <c r="Y2178" s="306"/>
      <c r="Z2178" s="306"/>
      <c r="AA2178" s="306"/>
      <c r="AB2178" s="306"/>
      <c r="AC2178" s="306"/>
      <c r="AD2178" s="306"/>
      <c r="AE2178" s="306"/>
      <c r="AF2178" s="306"/>
      <c r="AG2178" s="306"/>
      <c r="AH2178" s="306"/>
      <c r="AI2178" s="306"/>
      <c r="AJ2178" s="306"/>
      <c r="AK2178" s="306"/>
      <c r="AL2178" s="306"/>
      <c r="AM2178" s="418"/>
      <c r="AN2178" s="418"/>
      <c r="AO2178" s="306"/>
      <c r="AP2178" s="306"/>
      <c r="AQ2178" s="418"/>
      <c r="AR2178" s="306"/>
      <c r="AS2178" s="306"/>
      <c r="AT2178" s="418"/>
      <c r="AU2178" s="306"/>
      <c r="AV2178" s="306"/>
      <c r="AW2178" s="306"/>
      <c r="AX2178" s="306"/>
      <c r="AY2178" s="306"/>
      <c r="AZ2178" s="306"/>
      <c r="BA2178" s="306"/>
      <c r="BB2178" s="306"/>
    </row>
    <row r="2179" spans="1:54" ht="15.75" customHeight="1">
      <c r="A2179" s="317"/>
      <c r="B2179" s="430"/>
      <c r="C2179" s="317"/>
      <c r="E2179" s="306"/>
      <c r="F2179" s="431"/>
      <c r="G2179" s="431"/>
      <c r="H2179" s="298"/>
      <c r="I2179" s="432"/>
      <c r="J2179" s="433"/>
      <c r="K2179" s="306"/>
      <c r="L2179" s="306"/>
      <c r="M2179" s="306"/>
      <c r="N2179" s="298"/>
      <c r="O2179" s="298"/>
      <c r="P2179" s="298"/>
      <c r="Q2179" s="306"/>
      <c r="R2179" s="1023"/>
      <c r="S2179" s="1023"/>
      <c r="T2179" s="306"/>
      <c r="U2179" s="306"/>
      <c r="V2179" s="306"/>
      <c r="W2179" s="306"/>
      <c r="X2179" s="306"/>
      <c r="Y2179" s="306"/>
      <c r="Z2179" s="306"/>
      <c r="AA2179" s="306"/>
      <c r="AB2179" s="306"/>
      <c r="AC2179" s="306"/>
      <c r="AD2179" s="306"/>
      <c r="AE2179" s="306"/>
      <c r="AF2179" s="306"/>
      <c r="AG2179" s="306"/>
      <c r="AH2179" s="306"/>
      <c r="AI2179" s="306"/>
      <c r="AJ2179" s="306"/>
      <c r="AK2179" s="306"/>
      <c r="AL2179" s="306"/>
      <c r="AM2179" s="418"/>
      <c r="AN2179" s="418"/>
      <c r="AO2179" s="306"/>
      <c r="AP2179" s="306"/>
      <c r="AQ2179" s="418"/>
      <c r="AR2179" s="306"/>
      <c r="AS2179" s="306"/>
      <c r="AT2179" s="418"/>
      <c r="AU2179" s="306"/>
      <c r="AV2179" s="306"/>
      <c r="AW2179" s="306"/>
      <c r="AX2179" s="306"/>
      <c r="AY2179" s="306"/>
      <c r="AZ2179" s="306"/>
      <c r="BA2179" s="306"/>
      <c r="BB2179" s="306"/>
    </row>
    <row r="2180" spans="1:54" ht="15.75" customHeight="1">
      <c r="A2180" s="317"/>
      <c r="B2180" s="430"/>
      <c r="C2180" s="317"/>
      <c r="E2180" s="306"/>
      <c r="F2180" s="431"/>
      <c r="G2180" s="431"/>
      <c r="H2180" s="298"/>
      <c r="I2180" s="432"/>
      <c r="J2180" s="433"/>
      <c r="K2180" s="306"/>
      <c r="L2180" s="306"/>
      <c r="M2180" s="306"/>
      <c r="N2180" s="298"/>
      <c r="O2180" s="298"/>
      <c r="P2180" s="298"/>
      <c r="Q2180" s="306"/>
      <c r="R2180" s="1023"/>
      <c r="S2180" s="1023"/>
      <c r="T2180" s="306"/>
      <c r="U2180" s="306"/>
      <c r="V2180" s="306"/>
      <c r="W2180" s="306"/>
      <c r="X2180" s="306"/>
      <c r="Y2180" s="306"/>
      <c r="Z2180" s="306"/>
      <c r="AA2180" s="306"/>
      <c r="AB2180" s="306"/>
      <c r="AC2180" s="306"/>
      <c r="AD2180" s="306"/>
      <c r="AE2180" s="306"/>
      <c r="AF2180" s="306"/>
      <c r="AG2180" s="306"/>
      <c r="AH2180" s="306"/>
      <c r="AI2180" s="306"/>
      <c r="AJ2180" s="306"/>
      <c r="AK2180" s="306"/>
      <c r="AL2180" s="306"/>
      <c r="AM2180" s="418"/>
      <c r="AN2180" s="418"/>
      <c r="AO2180" s="306"/>
      <c r="AP2180" s="306"/>
      <c r="AQ2180" s="418"/>
      <c r="AR2180" s="306"/>
      <c r="AS2180" s="306"/>
      <c r="AT2180" s="418"/>
      <c r="AU2180" s="306"/>
      <c r="AV2180" s="306"/>
      <c r="AW2180" s="306"/>
      <c r="AX2180" s="306"/>
      <c r="AY2180" s="306"/>
      <c r="AZ2180" s="306"/>
      <c r="BA2180" s="306"/>
      <c r="BB2180" s="306"/>
    </row>
    <row r="2181" spans="1:54" ht="15.75" customHeight="1">
      <c r="A2181" s="317"/>
      <c r="B2181" s="430"/>
      <c r="C2181" s="317"/>
      <c r="E2181" s="306"/>
      <c r="F2181" s="431"/>
      <c r="G2181" s="431"/>
      <c r="H2181" s="298"/>
      <c r="I2181" s="432"/>
      <c r="J2181" s="433"/>
      <c r="K2181" s="306"/>
      <c r="L2181" s="306"/>
      <c r="M2181" s="306"/>
      <c r="N2181" s="298"/>
      <c r="O2181" s="298"/>
      <c r="P2181" s="298"/>
      <c r="Q2181" s="306"/>
      <c r="R2181" s="1023"/>
      <c r="S2181" s="1023"/>
      <c r="T2181" s="306"/>
      <c r="U2181" s="306"/>
      <c r="V2181" s="306"/>
      <c r="W2181" s="306"/>
      <c r="X2181" s="306"/>
      <c r="Y2181" s="306"/>
      <c r="Z2181" s="306"/>
      <c r="AA2181" s="306"/>
      <c r="AB2181" s="306"/>
      <c r="AC2181" s="306"/>
      <c r="AD2181" s="306"/>
      <c r="AE2181" s="306"/>
      <c r="AF2181" s="306"/>
      <c r="AG2181" s="306"/>
      <c r="AH2181" s="306"/>
      <c r="AI2181" s="306"/>
      <c r="AJ2181" s="306"/>
      <c r="AK2181" s="306"/>
      <c r="AL2181" s="306"/>
      <c r="AM2181" s="418"/>
      <c r="AN2181" s="418"/>
      <c r="AO2181" s="306"/>
      <c r="AP2181" s="306"/>
      <c r="AQ2181" s="418"/>
      <c r="AR2181" s="306"/>
      <c r="AS2181" s="306"/>
      <c r="AT2181" s="418"/>
      <c r="AU2181" s="306"/>
      <c r="AV2181" s="306"/>
      <c r="AW2181" s="306"/>
      <c r="AX2181" s="306"/>
      <c r="AY2181" s="306"/>
      <c r="AZ2181" s="306"/>
      <c r="BA2181" s="306"/>
      <c r="BB2181" s="306"/>
    </row>
    <row r="2182" spans="1:54" ht="15.75" customHeight="1">
      <c r="A2182" s="317"/>
      <c r="B2182" s="430"/>
      <c r="C2182" s="317"/>
      <c r="E2182" s="306"/>
      <c r="F2182" s="431"/>
      <c r="G2182" s="431"/>
      <c r="H2182" s="298"/>
      <c r="I2182" s="432"/>
      <c r="J2182" s="433"/>
      <c r="K2182" s="306"/>
      <c r="L2182" s="306"/>
      <c r="M2182" s="306"/>
      <c r="N2182" s="298"/>
      <c r="O2182" s="298"/>
      <c r="P2182" s="298"/>
      <c r="Q2182" s="306"/>
      <c r="R2182" s="1023"/>
      <c r="S2182" s="1023"/>
      <c r="T2182" s="306"/>
      <c r="U2182" s="306"/>
      <c r="V2182" s="306"/>
      <c r="W2182" s="306"/>
      <c r="X2182" s="306"/>
      <c r="Y2182" s="306"/>
      <c r="Z2182" s="306"/>
      <c r="AA2182" s="306"/>
      <c r="AB2182" s="306"/>
      <c r="AC2182" s="306"/>
      <c r="AD2182" s="306"/>
      <c r="AE2182" s="306"/>
      <c r="AF2182" s="306"/>
      <c r="AG2182" s="306"/>
      <c r="AH2182" s="306"/>
      <c r="AI2182" s="306"/>
      <c r="AJ2182" s="306"/>
      <c r="AK2182" s="306"/>
      <c r="AL2182" s="306"/>
      <c r="AM2182" s="418"/>
      <c r="AN2182" s="418"/>
      <c r="AO2182" s="306"/>
      <c r="AP2182" s="306"/>
      <c r="AQ2182" s="418"/>
      <c r="AR2182" s="306"/>
      <c r="AS2182" s="306"/>
      <c r="AT2182" s="418"/>
      <c r="AU2182" s="306"/>
      <c r="AV2182" s="306"/>
      <c r="AW2182" s="306"/>
      <c r="AX2182" s="306"/>
      <c r="AY2182" s="306"/>
      <c r="AZ2182" s="306"/>
      <c r="BA2182" s="306"/>
      <c r="BB2182" s="306"/>
    </row>
    <row r="2183" spans="1:54" ht="15.75" customHeight="1">
      <c r="A2183" s="317"/>
      <c r="B2183" s="430"/>
      <c r="C2183" s="317"/>
      <c r="E2183" s="306"/>
      <c r="F2183" s="431"/>
      <c r="G2183" s="431"/>
      <c r="H2183" s="298"/>
      <c r="I2183" s="432"/>
      <c r="J2183" s="433"/>
      <c r="K2183" s="306"/>
      <c r="L2183" s="306"/>
      <c r="M2183" s="306"/>
      <c r="N2183" s="298"/>
      <c r="O2183" s="298"/>
      <c r="P2183" s="298"/>
      <c r="Q2183" s="306"/>
      <c r="R2183" s="1023"/>
      <c r="S2183" s="1023"/>
      <c r="T2183" s="306"/>
      <c r="U2183" s="306"/>
      <c r="V2183" s="306"/>
      <c r="W2183" s="306"/>
      <c r="X2183" s="306"/>
      <c r="Y2183" s="306"/>
      <c r="Z2183" s="306"/>
      <c r="AA2183" s="306"/>
      <c r="AB2183" s="306"/>
      <c r="AC2183" s="306"/>
      <c r="AD2183" s="306"/>
      <c r="AE2183" s="306"/>
      <c r="AF2183" s="306"/>
      <c r="AG2183" s="306"/>
      <c r="AH2183" s="306"/>
      <c r="AI2183" s="306"/>
      <c r="AJ2183" s="306"/>
      <c r="AK2183" s="306"/>
      <c r="AL2183" s="306"/>
      <c r="AM2183" s="418"/>
      <c r="AN2183" s="418"/>
      <c r="AO2183" s="306"/>
      <c r="AP2183" s="306"/>
      <c r="AQ2183" s="418"/>
      <c r="AR2183" s="306"/>
      <c r="AS2183" s="306"/>
      <c r="AT2183" s="418"/>
      <c r="AU2183" s="306"/>
      <c r="AV2183" s="306"/>
      <c r="AW2183" s="306"/>
      <c r="AX2183" s="306"/>
      <c r="AY2183" s="306"/>
      <c r="AZ2183" s="306"/>
      <c r="BA2183" s="306"/>
      <c r="BB2183" s="306"/>
    </row>
    <row r="2184" spans="1:54" ht="15.75" customHeight="1">
      <c r="A2184" s="317"/>
      <c r="B2184" s="430"/>
      <c r="C2184" s="317"/>
      <c r="E2184" s="306"/>
      <c r="F2184" s="431"/>
      <c r="G2184" s="431"/>
      <c r="H2184" s="298"/>
      <c r="I2184" s="432"/>
      <c r="J2184" s="433"/>
      <c r="K2184" s="306"/>
      <c r="L2184" s="306"/>
      <c r="M2184" s="306"/>
      <c r="N2184" s="298"/>
      <c r="O2184" s="298"/>
      <c r="P2184" s="298"/>
      <c r="Q2184" s="306"/>
      <c r="R2184" s="1023"/>
      <c r="S2184" s="1023"/>
      <c r="T2184" s="306"/>
      <c r="U2184" s="306"/>
      <c r="V2184" s="306"/>
      <c r="W2184" s="306"/>
      <c r="X2184" s="306"/>
      <c r="Y2184" s="306"/>
      <c r="Z2184" s="306"/>
      <c r="AA2184" s="306"/>
      <c r="AB2184" s="306"/>
      <c r="AC2184" s="306"/>
      <c r="AD2184" s="306"/>
      <c r="AE2184" s="306"/>
      <c r="AF2184" s="306"/>
      <c r="AG2184" s="306"/>
      <c r="AH2184" s="306"/>
      <c r="AI2184" s="306"/>
      <c r="AJ2184" s="306"/>
      <c r="AK2184" s="306"/>
      <c r="AL2184" s="306"/>
      <c r="AM2184" s="418"/>
      <c r="AN2184" s="418"/>
      <c r="AO2184" s="306"/>
      <c r="AP2184" s="306"/>
      <c r="AQ2184" s="418"/>
      <c r="AR2184" s="306"/>
      <c r="AS2184" s="306"/>
      <c r="AT2184" s="418"/>
      <c r="AU2184" s="306"/>
      <c r="AV2184" s="306"/>
      <c r="AW2184" s="306"/>
      <c r="AX2184" s="306"/>
      <c r="AY2184" s="306"/>
      <c r="AZ2184" s="306"/>
      <c r="BA2184" s="306"/>
      <c r="BB2184" s="306"/>
    </row>
    <row r="2185" spans="1:54" ht="15.75" customHeight="1">
      <c r="A2185" s="317"/>
      <c r="B2185" s="430"/>
      <c r="C2185" s="317"/>
      <c r="E2185" s="306"/>
      <c r="F2185" s="431"/>
      <c r="G2185" s="431"/>
      <c r="H2185" s="298"/>
      <c r="I2185" s="432"/>
      <c r="J2185" s="433"/>
      <c r="K2185" s="306"/>
      <c r="L2185" s="306"/>
      <c r="M2185" s="306"/>
      <c r="N2185" s="298"/>
      <c r="O2185" s="298"/>
      <c r="P2185" s="298"/>
      <c r="Q2185" s="306"/>
      <c r="R2185" s="1023"/>
      <c r="S2185" s="1023"/>
      <c r="T2185" s="306"/>
      <c r="U2185" s="306"/>
      <c r="V2185" s="306"/>
      <c r="W2185" s="306"/>
      <c r="X2185" s="306"/>
      <c r="Y2185" s="306"/>
      <c r="Z2185" s="306"/>
      <c r="AA2185" s="306"/>
      <c r="AB2185" s="306"/>
      <c r="AC2185" s="306"/>
      <c r="AD2185" s="306"/>
      <c r="AE2185" s="306"/>
      <c r="AF2185" s="306"/>
      <c r="AG2185" s="306"/>
      <c r="AH2185" s="306"/>
      <c r="AI2185" s="306"/>
      <c r="AJ2185" s="306"/>
      <c r="AK2185" s="306"/>
      <c r="AL2185" s="306"/>
      <c r="AM2185" s="418"/>
      <c r="AN2185" s="418"/>
      <c r="AO2185" s="306"/>
      <c r="AP2185" s="306"/>
      <c r="AQ2185" s="418"/>
      <c r="AR2185" s="306"/>
      <c r="AS2185" s="306"/>
      <c r="AT2185" s="418"/>
      <c r="AU2185" s="306"/>
      <c r="AV2185" s="306"/>
      <c r="AW2185" s="306"/>
      <c r="AX2185" s="306"/>
      <c r="AY2185" s="306"/>
      <c r="AZ2185" s="306"/>
      <c r="BA2185" s="306"/>
      <c r="BB2185" s="306"/>
    </row>
    <row r="2186" spans="1:54" ht="15.75" customHeight="1">
      <c r="A2186" s="317"/>
      <c r="B2186" s="430"/>
      <c r="C2186" s="317"/>
      <c r="E2186" s="306"/>
      <c r="F2186" s="431"/>
      <c r="G2186" s="431"/>
      <c r="H2186" s="298"/>
      <c r="I2186" s="432"/>
      <c r="J2186" s="433"/>
      <c r="K2186" s="306"/>
      <c r="L2186" s="306"/>
      <c r="M2186" s="306"/>
      <c r="N2186" s="298"/>
      <c r="O2186" s="298"/>
      <c r="P2186" s="298"/>
      <c r="Q2186" s="306"/>
      <c r="R2186" s="1023"/>
      <c r="S2186" s="1023"/>
      <c r="T2186" s="306"/>
      <c r="U2186" s="306"/>
      <c r="V2186" s="306"/>
      <c r="W2186" s="306"/>
      <c r="X2186" s="306"/>
      <c r="Y2186" s="306"/>
      <c r="Z2186" s="306"/>
      <c r="AA2186" s="306"/>
      <c r="AB2186" s="306"/>
      <c r="AC2186" s="306"/>
      <c r="AD2186" s="306"/>
      <c r="AE2186" s="306"/>
      <c r="AF2186" s="306"/>
      <c r="AG2186" s="306"/>
      <c r="AH2186" s="306"/>
      <c r="AI2186" s="306"/>
      <c r="AJ2186" s="306"/>
      <c r="AK2186" s="306"/>
      <c r="AL2186" s="306"/>
      <c r="AM2186" s="418"/>
      <c r="AN2186" s="418"/>
      <c r="AO2186" s="306"/>
      <c r="AP2186" s="306"/>
      <c r="AQ2186" s="418"/>
      <c r="AR2186" s="306"/>
      <c r="AS2186" s="306"/>
      <c r="AT2186" s="418"/>
      <c r="AU2186" s="306"/>
      <c r="AV2186" s="306"/>
      <c r="AW2186" s="306"/>
      <c r="AX2186" s="306"/>
      <c r="AY2186" s="306"/>
      <c r="AZ2186" s="306"/>
      <c r="BA2186" s="306"/>
      <c r="BB2186" s="306"/>
    </row>
    <row r="2187" spans="1:54" ht="15.75" customHeight="1">
      <c r="A2187" s="317"/>
      <c r="B2187" s="430"/>
      <c r="C2187" s="317"/>
      <c r="E2187" s="306"/>
      <c r="F2187" s="431"/>
      <c r="G2187" s="431"/>
      <c r="H2187" s="298"/>
      <c r="I2187" s="432"/>
      <c r="J2187" s="433"/>
      <c r="K2187" s="306"/>
      <c r="L2187" s="306"/>
      <c r="M2187" s="306"/>
      <c r="N2187" s="298"/>
      <c r="O2187" s="298"/>
      <c r="P2187" s="298"/>
      <c r="Q2187" s="306"/>
      <c r="R2187" s="1023"/>
      <c r="S2187" s="1023"/>
      <c r="T2187" s="306"/>
      <c r="U2187" s="306"/>
      <c r="V2187" s="306"/>
      <c r="W2187" s="306"/>
      <c r="X2187" s="306"/>
      <c r="Y2187" s="306"/>
      <c r="Z2187" s="306"/>
      <c r="AA2187" s="306"/>
      <c r="AB2187" s="306"/>
      <c r="AC2187" s="306"/>
      <c r="AD2187" s="306"/>
      <c r="AE2187" s="306"/>
      <c r="AF2187" s="306"/>
      <c r="AG2187" s="306"/>
      <c r="AH2187" s="306"/>
      <c r="AI2187" s="306"/>
      <c r="AJ2187" s="306"/>
      <c r="AK2187" s="306"/>
      <c r="AL2187" s="306"/>
      <c r="AM2187" s="418"/>
      <c r="AN2187" s="418"/>
      <c r="AO2187" s="306"/>
      <c r="AP2187" s="306"/>
      <c r="AQ2187" s="418"/>
      <c r="AR2187" s="306"/>
      <c r="AS2187" s="306"/>
      <c r="AT2187" s="418"/>
      <c r="AU2187" s="306"/>
      <c r="AV2187" s="306"/>
      <c r="AW2187" s="306"/>
      <c r="AX2187" s="306"/>
      <c r="AY2187" s="306"/>
      <c r="AZ2187" s="306"/>
      <c r="BA2187" s="306"/>
      <c r="BB2187" s="306"/>
    </row>
    <row r="2188" spans="1:54" ht="15.75" customHeight="1">
      <c r="A2188" s="317"/>
      <c r="B2188" s="430"/>
      <c r="C2188" s="317"/>
      <c r="E2188" s="306"/>
      <c r="F2188" s="431"/>
      <c r="G2188" s="431"/>
      <c r="H2188" s="298"/>
      <c r="I2188" s="432"/>
      <c r="J2188" s="433"/>
      <c r="K2188" s="306"/>
      <c r="L2188" s="306"/>
      <c r="M2188" s="306"/>
      <c r="N2188" s="298"/>
      <c r="O2188" s="298"/>
      <c r="P2188" s="298"/>
      <c r="Q2188" s="306"/>
      <c r="R2188" s="1023"/>
      <c r="S2188" s="1023"/>
      <c r="T2188" s="306"/>
      <c r="U2188" s="306"/>
      <c r="V2188" s="306"/>
      <c r="W2188" s="306"/>
      <c r="X2188" s="306"/>
      <c r="Y2188" s="306"/>
      <c r="Z2188" s="306"/>
      <c r="AA2188" s="306"/>
      <c r="AB2188" s="306"/>
      <c r="AC2188" s="306"/>
      <c r="AD2188" s="306"/>
      <c r="AE2188" s="306"/>
      <c r="AF2188" s="306"/>
      <c r="AG2188" s="306"/>
      <c r="AH2188" s="306"/>
      <c r="AI2188" s="306"/>
      <c r="AJ2188" s="306"/>
      <c r="AK2188" s="306"/>
      <c r="AL2188" s="306"/>
      <c r="AM2188" s="418"/>
      <c r="AN2188" s="418"/>
      <c r="AO2188" s="306"/>
      <c r="AP2188" s="306"/>
      <c r="AQ2188" s="418"/>
      <c r="AR2188" s="306"/>
      <c r="AS2188" s="306"/>
      <c r="AT2188" s="418"/>
      <c r="AU2188" s="306"/>
      <c r="AV2188" s="306"/>
      <c r="AW2188" s="306"/>
      <c r="AX2188" s="306"/>
      <c r="AY2188" s="306"/>
      <c r="AZ2188" s="306"/>
      <c r="BA2188" s="306"/>
      <c r="BB2188" s="306"/>
    </row>
    <row r="2189" spans="1:54" ht="15.75" customHeight="1">
      <c r="A2189" s="317"/>
      <c r="B2189" s="430"/>
      <c r="C2189" s="317"/>
      <c r="E2189" s="306"/>
      <c r="F2189" s="431"/>
      <c r="G2189" s="431"/>
      <c r="H2189" s="298"/>
      <c r="I2189" s="432"/>
      <c r="J2189" s="433"/>
      <c r="K2189" s="306"/>
      <c r="L2189" s="306"/>
      <c r="M2189" s="306"/>
      <c r="N2189" s="298"/>
      <c r="O2189" s="298"/>
      <c r="P2189" s="298"/>
      <c r="Q2189" s="306"/>
      <c r="R2189" s="1023"/>
      <c r="S2189" s="1023"/>
      <c r="T2189" s="306"/>
      <c r="U2189" s="306"/>
      <c r="V2189" s="306"/>
      <c r="W2189" s="306"/>
      <c r="X2189" s="306"/>
      <c r="Y2189" s="306"/>
      <c r="Z2189" s="306"/>
      <c r="AA2189" s="306"/>
      <c r="AB2189" s="306"/>
      <c r="AC2189" s="306"/>
      <c r="AD2189" s="306"/>
      <c r="AE2189" s="306"/>
      <c r="AF2189" s="306"/>
      <c r="AG2189" s="306"/>
      <c r="AH2189" s="306"/>
      <c r="AI2189" s="306"/>
      <c r="AJ2189" s="306"/>
      <c r="AK2189" s="306"/>
      <c r="AL2189" s="306"/>
      <c r="AM2189" s="418"/>
      <c r="AN2189" s="418"/>
      <c r="AO2189" s="306"/>
      <c r="AP2189" s="306"/>
      <c r="AQ2189" s="418"/>
      <c r="AR2189" s="306"/>
      <c r="AS2189" s="306"/>
      <c r="AT2189" s="418"/>
      <c r="AU2189" s="306"/>
      <c r="AV2189" s="306"/>
      <c r="AW2189" s="306"/>
      <c r="AX2189" s="306"/>
      <c r="AY2189" s="306"/>
      <c r="AZ2189" s="306"/>
      <c r="BA2189" s="306"/>
      <c r="BB2189" s="306"/>
    </row>
    <row r="2190" spans="1:54" ht="15.75" customHeight="1">
      <c r="A2190" s="317"/>
      <c r="B2190" s="430"/>
      <c r="C2190" s="317"/>
      <c r="E2190" s="306"/>
      <c r="F2190" s="431"/>
      <c r="G2190" s="431"/>
      <c r="H2190" s="298"/>
      <c r="I2190" s="432"/>
      <c r="J2190" s="433"/>
      <c r="K2190" s="306"/>
      <c r="L2190" s="306"/>
      <c r="M2190" s="306"/>
      <c r="N2190" s="298"/>
      <c r="O2190" s="298"/>
      <c r="P2190" s="298"/>
      <c r="Q2190" s="306"/>
      <c r="R2190" s="1023"/>
      <c r="S2190" s="1023"/>
      <c r="T2190" s="306"/>
      <c r="U2190" s="306"/>
      <c r="V2190" s="306"/>
      <c r="W2190" s="306"/>
      <c r="X2190" s="306"/>
      <c r="Y2190" s="306"/>
      <c r="Z2190" s="306"/>
      <c r="AA2190" s="306"/>
      <c r="AB2190" s="306"/>
      <c r="AC2190" s="306"/>
      <c r="AD2190" s="306"/>
      <c r="AE2190" s="306"/>
      <c r="AF2190" s="306"/>
      <c r="AG2190" s="306"/>
      <c r="AH2190" s="306"/>
      <c r="AI2190" s="306"/>
      <c r="AJ2190" s="306"/>
      <c r="AK2190" s="306"/>
      <c r="AL2190" s="306"/>
      <c r="AM2190" s="418"/>
      <c r="AN2190" s="418"/>
      <c r="AO2190" s="306"/>
      <c r="AP2190" s="306"/>
      <c r="AQ2190" s="418"/>
      <c r="AR2190" s="306"/>
      <c r="AS2190" s="306"/>
      <c r="AT2190" s="418"/>
      <c r="AU2190" s="306"/>
      <c r="AV2190" s="306"/>
      <c r="AW2190" s="306"/>
      <c r="AX2190" s="306"/>
      <c r="AY2190" s="306"/>
      <c r="AZ2190" s="306"/>
      <c r="BA2190" s="306"/>
      <c r="BB2190" s="306"/>
    </row>
    <row r="2191" spans="1:54" ht="15.75" customHeight="1">
      <c r="A2191" s="317"/>
      <c r="B2191" s="430"/>
      <c r="C2191" s="317"/>
      <c r="E2191" s="306"/>
      <c r="F2191" s="431"/>
      <c r="G2191" s="431"/>
      <c r="H2191" s="298"/>
      <c r="I2191" s="432"/>
      <c r="J2191" s="433"/>
      <c r="K2191" s="306"/>
      <c r="L2191" s="306"/>
      <c r="M2191" s="306"/>
      <c r="N2191" s="298"/>
      <c r="O2191" s="298"/>
      <c r="P2191" s="298"/>
      <c r="Q2191" s="306"/>
      <c r="R2191" s="1023"/>
      <c r="S2191" s="1023"/>
      <c r="T2191" s="306"/>
      <c r="U2191" s="306"/>
      <c r="V2191" s="306"/>
      <c r="W2191" s="306"/>
      <c r="X2191" s="306"/>
      <c r="Y2191" s="306"/>
      <c r="Z2191" s="306"/>
      <c r="AA2191" s="306"/>
      <c r="AB2191" s="306"/>
      <c r="AC2191" s="306"/>
      <c r="AD2191" s="306"/>
      <c r="AE2191" s="306"/>
      <c r="AF2191" s="306"/>
      <c r="AG2191" s="306"/>
      <c r="AH2191" s="306"/>
      <c r="AI2191" s="306"/>
      <c r="AJ2191" s="306"/>
      <c r="AK2191" s="306"/>
      <c r="AL2191" s="306"/>
      <c r="AM2191" s="418"/>
      <c r="AN2191" s="418"/>
      <c r="AO2191" s="306"/>
      <c r="AP2191" s="306"/>
      <c r="AQ2191" s="418"/>
      <c r="AR2191" s="306"/>
      <c r="AS2191" s="306"/>
      <c r="AT2191" s="418"/>
      <c r="AU2191" s="306"/>
      <c r="AV2191" s="306"/>
      <c r="AW2191" s="306"/>
      <c r="AX2191" s="306"/>
      <c r="AY2191" s="306"/>
      <c r="AZ2191" s="306"/>
      <c r="BA2191" s="306"/>
      <c r="BB2191" s="306"/>
    </row>
    <row r="2192" spans="1:54" ht="15.75" customHeight="1">
      <c r="A2192" s="317"/>
      <c r="B2192" s="430"/>
      <c r="C2192" s="317"/>
      <c r="E2192" s="306"/>
      <c r="F2192" s="431"/>
      <c r="G2192" s="431"/>
      <c r="H2192" s="298"/>
      <c r="I2192" s="432"/>
      <c r="J2192" s="433"/>
      <c r="K2192" s="306"/>
      <c r="L2192" s="306"/>
      <c r="M2192" s="306"/>
      <c r="N2192" s="298"/>
      <c r="O2192" s="298"/>
      <c r="P2192" s="298"/>
      <c r="Q2192" s="306"/>
      <c r="R2192" s="1023"/>
      <c r="S2192" s="1023"/>
      <c r="T2192" s="306"/>
      <c r="U2192" s="306"/>
      <c r="V2192" s="306"/>
      <c r="W2192" s="306"/>
      <c r="X2192" s="306"/>
      <c r="Y2192" s="306"/>
      <c r="Z2192" s="306"/>
      <c r="AA2192" s="306"/>
      <c r="AB2192" s="306"/>
      <c r="AC2192" s="306"/>
      <c r="AD2192" s="306"/>
      <c r="AE2192" s="306"/>
      <c r="AF2192" s="306"/>
      <c r="AG2192" s="306"/>
      <c r="AH2192" s="306"/>
      <c r="AI2192" s="306"/>
      <c r="AJ2192" s="306"/>
      <c r="AK2192" s="306"/>
      <c r="AL2192" s="306"/>
      <c r="AM2192" s="418"/>
      <c r="AN2192" s="418"/>
      <c r="AO2192" s="306"/>
      <c r="AP2192" s="306"/>
      <c r="AQ2192" s="418"/>
      <c r="AR2192" s="306"/>
      <c r="AS2192" s="306"/>
      <c r="AT2192" s="418"/>
      <c r="AU2192" s="306"/>
      <c r="AV2192" s="306"/>
      <c r="AW2192" s="306"/>
      <c r="AX2192" s="306"/>
      <c r="AY2192" s="306"/>
      <c r="AZ2192" s="306"/>
      <c r="BA2192" s="306"/>
      <c r="BB2192" s="306"/>
    </row>
    <row r="2193" spans="1:54" ht="15.75" customHeight="1">
      <c r="A2193" s="317"/>
      <c r="B2193" s="430"/>
      <c r="C2193" s="317"/>
      <c r="E2193" s="306"/>
      <c r="F2193" s="431"/>
      <c r="G2193" s="431"/>
      <c r="H2193" s="298"/>
      <c r="I2193" s="432"/>
      <c r="J2193" s="433"/>
      <c r="K2193" s="306"/>
      <c r="L2193" s="306"/>
      <c r="M2193" s="306"/>
      <c r="N2193" s="298"/>
      <c r="O2193" s="298"/>
      <c r="P2193" s="298"/>
      <c r="Q2193" s="306"/>
      <c r="R2193" s="1023"/>
      <c r="S2193" s="1023"/>
      <c r="T2193" s="306"/>
      <c r="U2193" s="306"/>
      <c r="V2193" s="306"/>
      <c r="W2193" s="306"/>
      <c r="X2193" s="306"/>
      <c r="Y2193" s="306"/>
      <c r="Z2193" s="306"/>
      <c r="AA2193" s="306"/>
      <c r="AB2193" s="306"/>
      <c r="AC2193" s="306"/>
      <c r="AD2193" s="306"/>
      <c r="AE2193" s="306"/>
      <c r="AF2193" s="306"/>
      <c r="AG2193" s="306"/>
      <c r="AH2193" s="306"/>
      <c r="AI2193" s="306"/>
      <c r="AJ2193" s="306"/>
      <c r="AK2193" s="306"/>
      <c r="AL2193" s="306"/>
      <c r="AM2193" s="418"/>
      <c r="AN2193" s="418"/>
      <c r="AO2193" s="306"/>
      <c r="AP2193" s="306"/>
      <c r="AQ2193" s="418"/>
      <c r="AR2193" s="306"/>
      <c r="AS2193" s="306"/>
      <c r="AT2193" s="418"/>
      <c r="AU2193" s="306"/>
      <c r="AV2193" s="306"/>
      <c r="AW2193" s="306"/>
      <c r="AX2193" s="306"/>
      <c r="AY2193" s="306"/>
      <c r="AZ2193" s="306"/>
      <c r="BA2193" s="306"/>
      <c r="BB2193" s="306"/>
    </row>
    <row r="2194" spans="1:54" ht="15.75" customHeight="1">
      <c r="A2194" s="317"/>
      <c r="B2194" s="430"/>
      <c r="C2194" s="317"/>
      <c r="E2194" s="306"/>
      <c r="F2194" s="431"/>
      <c r="G2194" s="431"/>
      <c r="H2194" s="298"/>
      <c r="I2194" s="432"/>
      <c r="J2194" s="433"/>
      <c r="K2194" s="306"/>
      <c r="L2194" s="306"/>
      <c r="M2194" s="306"/>
      <c r="N2194" s="298"/>
      <c r="O2194" s="298"/>
      <c r="P2194" s="298"/>
      <c r="Q2194" s="306"/>
      <c r="R2194" s="1023"/>
      <c r="S2194" s="1023"/>
      <c r="T2194" s="306"/>
      <c r="U2194" s="306"/>
      <c r="V2194" s="306"/>
      <c r="W2194" s="306"/>
      <c r="X2194" s="306"/>
      <c r="Y2194" s="306"/>
      <c r="Z2194" s="306"/>
      <c r="AA2194" s="306"/>
      <c r="AB2194" s="306"/>
      <c r="AC2194" s="306"/>
      <c r="AD2194" s="306"/>
      <c r="AE2194" s="306"/>
      <c r="AF2194" s="306"/>
      <c r="AG2194" s="306"/>
      <c r="AH2194" s="306"/>
      <c r="AI2194" s="306"/>
      <c r="AJ2194" s="306"/>
      <c r="AK2194" s="306"/>
      <c r="AL2194" s="306"/>
      <c r="AM2194" s="418"/>
      <c r="AN2194" s="418"/>
      <c r="AO2194" s="306"/>
      <c r="AP2194" s="306"/>
      <c r="AQ2194" s="418"/>
      <c r="AR2194" s="306"/>
      <c r="AS2194" s="306"/>
      <c r="AT2194" s="418"/>
      <c r="AU2194" s="306"/>
      <c r="AV2194" s="306"/>
      <c r="AW2194" s="306"/>
      <c r="AX2194" s="306"/>
      <c r="AY2194" s="306"/>
      <c r="AZ2194" s="306"/>
      <c r="BA2194" s="306"/>
      <c r="BB2194" s="306"/>
    </row>
    <row r="2195" spans="1:54" ht="15.75" customHeight="1">
      <c r="A2195" s="317"/>
      <c r="B2195" s="430"/>
      <c r="C2195" s="317"/>
      <c r="E2195" s="306"/>
      <c r="F2195" s="431"/>
      <c r="G2195" s="431"/>
      <c r="H2195" s="298"/>
      <c r="I2195" s="432"/>
      <c r="J2195" s="433"/>
      <c r="K2195" s="306"/>
      <c r="L2195" s="306"/>
      <c r="M2195" s="306"/>
      <c r="N2195" s="298"/>
      <c r="O2195" s="298"/>
      <c r="P2195" s="298"/>
      <c r="Q2195" s="306"/>
      <c r="R2195" s="1023"/>
      <c r="S2195" s="1023"/>
      <c r="T2195" s="306"/>
      <c r="U2195" s="306"/>
      <c r="V2195" s="306"/>
      <c r="W2195" s="306"/>
      <c r="X2195" s="306"/>
      <c r="Y2195" s="306"/>
      <c r="Z2195" s="306"/>
      <c r="AA2195" s="306"/>
      <c r="AB2195" s="306"/>
      <c r="AC2195" s="306"/>
      <c r="AD2195" s="306"/>
      <c r="AE2195" s="306"/>
      <c r="AF2195" s="306"/>
      <c r="AG2195" s="306"/>
      <c r="AH2195" s="306"/>
      <c r="AI2195" s="306"/>
      <c r="AJ2195" s="306"/>
      <c r="AK2195" s="306"/>
      <c r="AL2195" s="306"/>
      <c r="AM2195" s="418"/>
      <c r="AN2195" s="418"/>
      <c r="AO2195" s="306"/>
      <c r="AP2195" s="306"/>
      <c r="AQ2195" s="418"/>
      <c r="AR2195" s="306"/>
      <c r="AS2195" s="306"/>
      <c r="AT2195" s="418"/>
      <c r="AU2195" s="306"/>
      <c r="AV2195" s="306"/>
      <c r="AW2195" s="306"/>
      <c r="AX2195" s="306"/>
      <c r="AY2195" s="306"/>
      <c r="AZ2195" s="306"/>
      <c r="BA2195" s="306"/>
      <c r="BB2195" s="306"/>
    </row>
    <row r="2196" spans="1:54" ht="15.75" customHeight="1">
      <c r="A2196" s="317"/>
      <c r="B2196" s="430"/>
      <c r="C2196" s="317"/>
      <c r="E2196" s="306"/>
      <c r="F2196" s="431"/>
      <c r="G2196" s="431"/>
      <c r="H2196" s="298"/>
      <c r="I2196" s="432"/>
      <c r="J2196" s="433"/>
      <c r="K2196" s="306"/>
      <c r="L2196" s="306"/>
      <c r="M2196" s="306"/>
      <c r="N2196" s="298"/>
      <c r="O2196" s="298"/>
      <c r="P2196" s="298"/>
      <c r="Q2196" s="306"/>
      <c r="R2196" s="1023"/>
      <c r="S2196" s="1023"/>
      <c r="T2196" s="306"/>
      <c r="U2196" s="306"/>
      <c r="V2196" s="306"/>
      <c r="W2196" s="306"/>
      <c r="X2196" s="306"/>
      <c r="Y2196" s="306"/>
      <c r="Z2196" s="306"/>
      <c r="AA2196" s="306"/>
      <c r="AB2196" s="306"/>
      <c r="AC2196" s="306"/>
      <c r="AD2196" s="306"/>
      <c r="AE2196" s="306"/>
      <c r="AF2196" s="306"/>
      <c r="AG2196" s="306"/>
      <c r="AH2196" s="306"/>
      <c r="AI2196" s="306"/>
      <c r="AJ2196" s="306"/>
      <c r="AK2196" s="306"/>
      <c r="AL2196" s="306"/>
      <c r="AM2196" s="418"/>
      <c r="AN2196" s="418"/>
      <c r="AO2196" s="306"/>
      <c r="AP2196" s="306"/>
      <c r="AQ2196" s="418"/>
      <c r="AR2196" s="306"/>
      <c r="AS2196" s="306"/>
      <c r="AT2196" s="418"/>
      <c r="AU2196" s="306"/>
      <c r="AV2196" s="306"/>
      <c r="AW2196" s="306"/>
      <c r="AX2196" s="306"/>
      <c r="AY2196" s="306"/>
      <c r="AZ2196" s="306"/>
      <c r="BA2196" s="306"/>
      <c r="BB2196" s="306"/>
    </row>
    <row r="2197" spans="1:54" ht="15.75" customHeight="1">
      <c r="A2197" s="317"/>
      <c r="B2197" s="430"/>
      <c r="C2197" s="317"/>
      <c r="E2197" s="306"/>
      <c r="F2197" s="431"/>
      <c r="G2197" s="431"/>
      <c r="H2197" s="298"/>
      <c r="I2197" s="432"/>
      <c r="J2197" s="433"/>
      <c r="K2197" s="306"/>
      <c r="L2197" s="306"/>
      <c r="M2197" s="306"/>
      <c r="N2197" s="298"/>
      <c r="O2197" s="298"/>
      <c r="P2197" s="298"/>
      <c r="Q2197" s="306"/>
      <c r="R2197" s="1023"/>
      <c r="S2197" s="1023"/>
      <c r="T2197" s="306"/>
      <c r="U2197" s="306"/>
      <c r="V2197" s="306"/>
      <c r="W2197" s="306"/>
      <c r="X2197" s="306"/>
      <c r="Y2197" s="306"/>
      <c r="Z2197" s="306"/>
      <c r="AA2197" s="306"/>
      <c r="AB2197" s="306"/>
      <c r="AC2197" s="306"/>
      <c r="AD2197" s="306"/>
      <c r="AE2197" s="306"/>
      <c r="AF2197" s="306"/>
      <c r="AG2197" s="306"/>
      <c r="AH2197" s="306"/>
      <c r="AI2197" s="306"/>
      <c r="AJ2197" s="306"/>
      <c r="AK2197" s="306"/>
      <c r="AL2197" s="306"/>
      <c r="AM2197" s="418"/>
      <c r="AN2197" s="418"/>
      <c r="AO2197" s="306"/>
      <c r="AP2197" s="306"/>
      <c r="AQ2197" s="418"/>
      <c r="AR2197" s="306"/>
      <c r="AS2197" s="306"/>
      <c r="AT2197" s="418"/>
      <c r="AU2197" s="306"/>
      <c r="AV2197" s="306"/>
      <c r="AW2197" s="306"/>
      <c r="AX2197" s="306"/>
      <c r="AY2197" s="306"/>
      <c r="AZ2197" s="306"/>
      <c r="BA2197" s="306"/>
      <c r="BB2197" s="306"/>
    </row>
    <row r="2198" spans="1:54" ht="15.75" customHeight="1">
      <c r="A2198" s="317"/>
      <c r="B2198" s="430"/>
      <c r="C2198" s="317"/>
      <c r="E2198" s="306"/>
      <c r="F2198" s="431"/>
      <c r="G2198" s="431"/>
      <c r="H2198" s="298"/>
      <c r="I2198" s="432"/>
      <c r="J2198" s="433"/>
      <c r="K2198" s="306"/>
      <c r="L2198" s="306"/>
      <c r="M2198" s="306"/>
      <c r="N2198" s="298"/>
      <c r="O2198" s="298"/>
      <c r="P2198" s="298"/>
      <c r="Q2198" s="306"/>
      <c r="R2198" s="1023"/>
      <c r="S2198" s="1023"/>
      <c r="T2198" s="306"/>
      <c r="U2198" s="306"/>
      <c r="V2198" s="306"/>
      <c r="W2198" s="306"/>
      <c r="X2198" s="306"/>
      <c r="Y2198" s="306"/>
      <c r="Z2198" s="306"/>
      <c r="AA2198" s="306"/>
      <c r="AB2198" s="306"/>
      <c r="AC2198" s="306"/>
      <c r="AD2198" s="306"/>
      <c r="AE2198" s="306"/>
      <c r="AF2198" s="306"/>
      <c r="AG2198" s="306"/>
      <c r="AH2198" s="306"/>
      <c r="AI2198" s="306"/>
      <c r="AJ2198" s="306"/>
      <c r="AK2198" s="306"/>
      <c r="AL2198" s="306"/>
      <c r="AM2198" s="418"/>
      <c r="AN2198" s="418"/>
      <c r="AO2198" s="306"/>
      <c r="AP2198" s="306"/>
      <c r="AQ2198" s="418"/>
      <c r="AR2198" s="306"/>
      <c r="AS2198" s="306"/>
      <c r="AT2198" s="418"/>
      <c r="AU2198" s="306"/>
      <c r="AV2198" s="306"/>
      <c r="AW2198" s="306"/>
      <c r="AX2198" s="306"/>
      <c r="AY2198" s="306"/>
      <c r="AZ2198" s="306"/>
      <c r="BA2198" s="306"/>
      <c r="BB2198" s="306"/>
    </row>
    <row r="2199" spans="1:54" ht="15.75" customHeight="1">
      <c r="A2199" s="317"/>
      <c r="B2199" s="430"/>
      <c r="C2199" s="317"/>
      <c r="E2199" s="306"/>
      <c r="F2199" s="431"/>
      <c r="G2199" s="431"/>
      <c r="H2199" s="298"/>
      <c r="I2199" s="432"/>
      <c r="J2199" s="433"/>
      <c r="K2199" s="306"/>
      <c r="L2199" s="306"/>
      <c r="M2199" s="306"/>
      <c r="N2199" s="298"/>
      <c r="O2199" s="298"/>
      <c r="P2199" s="298"/>
      <c r="Q2199" s="306"/>
      <c r="R2199" s="1023"/>
      <c r="S2199" s="1023"/>
      <c r="T2199" s="306"/>
      <c r="U2199" s="306"/>
      <c r="V2199" s="306"/>
      <c r="W2199" s="306"/>
      <c r="X2199" s="306"/>
      <c r="Y2199" s="306"/>
      <c r="Z2199" s="306"/>
      <c r="AA2199" s="306"/>
      <c r="AB2199" s="306"/>
      <c r="AC2199" s="306"/>
      <c r="AD2199" s="306"/>
      <c r="AE2199" s="306"/>
      <c r="AF2199" s="306"/>
      <c r="AG2199" s="306"/>
      <c r="AH2199" s="306"/>
      <c r="AI2199" s="306"/>
      <c r="AJ2199" s="306"/>
      <c r="AK2199" s="306"/>
      <c r="AL2199" s="306"/>
      <c r="AM2199" s="418"/>
      <c r="AN2199" s="418"/>
      <c r="AO2199" s="306"/>
      <c r="AP2199" s="306"/>
      <c r="AQ2199" s="418"/>
      <c r="AR2199" s="306"/>
      <c r="AS2199" s="306"/>
      <c r="AT2199" s="418"/>
      <c r="AU2199" s="306"/>
      <c r="AV2199" s="306"/>
      <c r="AW2199" s="306"/>
      <c r="AX2199" s="306"/>
      <c r="AY2199" s="306"/>
      <c r="AZ2199" s="306"/>
      <c r="BA2199" s="306"/>
      <c r="BB2199" s="306"/>
    </row>
    <row r="2200" spans="1:54" ht="15.75" customHeight="1">
      <c r="A2200" s="317"/>
      <c r="B2200" s="430"/>
      <c r="C2200" s="317"/>
      <c r="E2200" s="306"/>
      <c r="F2200" s="431"/>
      <c r="G2200" s="431"/>
      <c r="H2200" s="298"/>
      <c r="I2200" s="432"/>
      <c r="J2200" s="433"/>
      <c r="K2200" s="306"/>
      <c r="L2200" s="306"/>
      <c r="M2200" s="306"/>
      <c r="N2200" s="298"/>
      <c r="O2200" s="298"/>
      <c r="P2200" s="298"/>
      <c r="Q2200" s="306"/>
      <c r="R2200" s="1023"/>
      <c r="S2200" s="1023"/>
      <c r="T2200" s="306"/>
      <c r="U2200" s="306"/>
      <c r="V2200" s="306"/>
      <c r="W2200" s="306"/>
      <c r="X2200" s="306"/>
      <c r="Y2200" s="306"/>
      <c r="Z2200" s="306"/>
      <c r="AA2200" s="306"/>
      <c r="AB2200" s="306"/>
      <c r="AC2200" s="306"/>
      <c r="AD2200" s="306"/>
      <c r="AE2200" s="306"/>
      <c r="AF2200" s="306"/>
      <c r="AG2200" s="306"/>
      <c r="AH2200" s="306"/>
      <c r="AI2200" s="306"/>
      <c r="AJ2200" s="306"/>
      <c r="AK2200" s="306"/>
      <c r="AL2200" s="306"/>
      <c r="AM2200" s="418"/>
      <c r="AN2200" s="418"/>
      <c r="AO2200" s="306"/>
      <c r="AP2200" s="306"/>
      <c r="AQ2200" s="418"/>
      <c r="AR2200" s="306"/>
      <c r="AS2200" s="306"/>
      <c r="AT2200" s="418"/>
      <c r="AU2200" s="306"/>
      <c r="AV2200" s="306"/>
      <c r="AW2200" s="306"/>
      <c r="AX2200" s="306"/>
      <c r="AY2200" s="306"/>
      <c r="AZ2200" s="306"/>
      <c r="BA2200" s="306"/>
      <c r="BB2200" s="306"/>
    </row>
    <row r="2201" spans="1:54" ht="15.75" customHeight="1">
      <c r="A2201" s="317"/>
      <c r="B2201" s="430"/>
      <c r="C2201" s="317"/>
      <c r="E2201" s="306"/>
      <c r="F2201" s="431"/>
      <c r="G2201" s="431"/>
      <c r="H2201" s="298"/>
      <c r="I2201" s="432"/>
      <c r="J2201" s="433"/>
      <c r="K2201" s="306"/>
      <c r="L2201" s="306"/>
      <c r="M2201" s="306"/>
      <c r="N2201" s="298"/>
      <c r="O2201" s="298"/>
      <c r="P2201" s="298"/>
      <c r="Q2201" s="306"/>
      <c r="R2201" s="1023"/>
      <c r="S2201" s="1023"/>
      <c r="T2201" s="306"/>
      <c r="U2201" s="306"/>
      <c r="V2201" s="306"/>
      <c r="W2201" s="306"/>
      <c r="X2201" s="306"/>
      <c r="Y2201" s="306"/>
      <c r="Z2201" s="306"/>
      <c r="AA2201" s="306"/>
      <c r="AB2201" s="306"/>
      <c r="AC2201" s="306"/>
      <c r="AD2201" s="306"/>
      <c r="AE2201" s="306"/>
      <c r="AF2201" s="306"/>
      <c r="AG2201" s="306"/>
      <c r="AH2201" s="306"/>
      <c r="AI2201" s="306"/>
      <c r="AJ2201" s="306"/>
      <c r="AK2201" s="306"/>
      <c r="AL2201" s="306"/>
      <c r="AM2201" s="418"/>
      <c r="AN2201" s="418"/>
      <c r="AO2201" s="306"/>
      <c r="AP2201" s="306"/>
      <c r="AQ2201" s="418"/>
      <c r="AR2201" s="306"/>
      <c r="AS2201" s="306"/>
      <c r="AT2201" s="418"/>
      <c r="AU2201" s="306"/>
      <c r="AV2201" s="306"/>
      <c r="AW2201" s="306"/>
      <c r="AX2201" s="306"/>
      <c r="AY2201" s="306"/>
      <c r="AZ2201" s="306"/>
      <c r="BA2201" s="306"/>
      <c r="BB2201" s="306"/>
    </row>
    <row r="2202" spans="1:54" ht="15.75" customHeight="1">
      <c r="A2202" s="317"/>
      <c r="B2202" s="430"/>
      <c r="C2202" s="317"/>
      <c r="E2202" s="306"/>
      <c r="F2202" s="431"/>
      <c r="G2202" s="431"/>
      <c r="H2202" s="298"/>
      <c r="I2202" s="432"/>
      <c r="J2202" s="433"/>
      <c r="K2202" s="306"/>
      <c r="L2202" s="306"/>
      <c r="M2202" s="306"/>
      <c r="N2202" s="298"/>
      <c r="O2202" s="298"/>
      <c r="P2202" s="298"/>
      <c r="Q2202" s="306"/>
      <c r="R2202" s="1023"/>
      <c r="S2202" s="1023"/>
      <c r="T2202" s="306"/>
      <c r="U2202" s="306"/>
      <c r="V2202" s="306"/>
      <c r="W2202" s="306"/>
      <c r="X2202" s="306"/>
      <c r="Y2202" s="306"/>
      <c r="Z2202" s="306"/>
      <c r="AA2202" s="306"/>
      <c r="AB2202" s="306"/>
      <c r="AC2202" s="306"/>
      <c r="AD2202" s="306"/>
      <c r="AE2202" s="306"/>
      <c r="AF2202" s="306"/>
      <c r="AG2202" s="306"/>
      <c r="AH2202" s="306"/>
      <c r="AI2202" s="306"/>
      <c r="AJ2202" s="306"/>
      <c r="AK2202" s="306"/>
      <c r="AL2202" s="306"/>
      <c r="AM2202" s="418"/>
      <c r="AN2202" s="418"/>
      <c r="AO2202" s="306"/>
      <c r="AP2202" s="306"/>
      <c r="AQ2202" s="418"/>
      <c r="AR2202" s="306"/>
      <c r="AS2202" s="306"/>
      <c r="AT2202" s="418"/>
      <c r="AU2202" s="306"/>
      <c r="AV2202" s="306"/>
      <c r="AW2202" s="306"/>
      <c r="AX2202" s="306"/>
      <c r="AY2202" s="306"/>
      <c r="AZ2202" s="306"/>
      <c r="BA2202" s="306"/>
      <c r="BB2202" s="306"/>
    </row>
    <row r="2203" spans="1:54" ht="15.75" customHeight="1">
      <c r="A2203" s="317"/>
      <c r="B2203" s="430"/>
      <c r="C2203" s="317"/>
      <c r="E2203" s="306"/>
      <c r="F2203" s="431"/>
      <c r="G2203" s="431"/>
      <c r="H2203" s="298"/>
      <c r="I2203" s="432"/>
      <c r="J2203" s="433"/>
      <c r="K2203" s="306"/>
      <c r="L2203" s="306"/>
      <c r="M2203" s="306"/>
      <c r="N2203" s="298"/>
      <c r="O2203" s="298"/>
      <c r="P2203" s="298"/>
      <c r="Q2203" s="306"/>
      <c r="R2203" s="1023"/>
      <c r="S2203" s="1023"/>
      <c r="T2203" s="306"/>
      <c r="U2203" s="306"/>
      <c r="V2203" s="306"/>
      <c r="W2203" s="306"/>
      <c r="X2203" s="306"/>
      <c r="Y2203" s="306"/>
      <c r="Z2203" s="306"/>
      <c r="AA2203" s="306"/>
      <c r="AB2203" s="306"/>
      <c r="AC2203" s="306"/>
      <c r="AD2203" s="306"/>
      <c r="AE2203" s="306"/>
      <c r="AF2203" s="306"/>
      <c r="AG2203" s="306"/>
      <c r="AH2203" s="306"/>
      <c r="AI2203" s="306"/>
      <c r="AJ2203" s="306"/>
      <c r="AK2203" s="306"/>
      <c r="AL2203" s="306"/>
      <c r="AM2203" s="418"/>
      <c r="AN2203" s="418"/>
      <c r="AO2203" s="306"/>
      <c r="AP2203" s="306"/>
      <c r="AQ2203" s="418"/>
      <c r="AR2203" s="306"/>
      <c r="AS2203" s="306"/>
      <c r="AT2203" s="418"/>
      <c r="AU2203" s="306"/>
      <c r="AV2203" s="306"/>
      <c r="AW2203" s="306"/>
      <c r="AX2203" s="306"/>
      <c r="AY2203" s="306"/>
      <c r="AZ2203" s="306"/>
      <c r="BA2203" s="306"/>
      <c r="BB2203" s="306"/>
    </row>
    <row r="2204" spans="1:54" ht="15.75" customHeight="1">
      <c r="A2204" s="317"/>
      <c r="B2204" s="430"/>
      <c r="C2204" s="317"/>
      <c r="E2204" s="306"/>
      <c r="F2204" s="431"/>
      <c r="G2204" s="431"/>
      <c r="H2204" s="298"/>
      <c r="I2204" s="432"/>
      <c r="J2204" s="433"/>
      <c r="K2204" s="306"/>
      <c r="L2204" s="306"/>
      <c r="M2204" s="306"/>
      <c r="N2204" s="298"/>
      <c r="O2204" s="298"/>
      <c r="P2204" s="298"/>
      <c r="Q2204" s="306"/>
      <c r="R2204" s="1023"/>
      <c r="S2204" s="1023"/>
      <c r="T2204" s="306"/>
      <c r="U2204" s="306"/>
      <c r="V2204" s="306"/>
      <c r="W2204" s="306"/>
      <c r="X2204" s="306"/>
      <c r="Y2204" s="306"/>
      <c r="Z2204" s="306"/>
      <c r="AA2204" s="306"/>
      <c r="AB2204" s="306"/>
      <c r="AC2204" s="306"/>
      <c r="AD2204" s="306"/>
      <c r="AE2204" s="306"/>
      <c r="AF2204" s="306"/>
      <c r="AG2204" s="306"/>
      <c r="AH2204" s="306"/>
      <c r="AI2204" s="306"/>
      <c r="AJ2204" s="306"/>
      <c r="AK2204" s="306"/>
      <c r="AL2204" s="306"/>
      <c r="AM2204" s="418"/>
      <c r="AN2204" s="418"/>
      <c r="AO2204" s="306"/>
      <c r="AP2204" s="306"/>
      <c r="AQ2204" s="418"/>
      <c r="AR2204" s="306"/>
      <c r="AS2204" s="306"/>
      <c r="AT2204" s="418"/>
      <c r="AU2204" s="306"/>
      <c r="AV2204" s="306"/>
      <c r="AW2204" s="306"/>
      <c r="AX2204" s="306"/>
      <c r="AY2204" s="306"/>
      <c r="AZ2204" s="306"/>
      <c r="BA2204" s="306"/>
      <c r="BB2204" s="306"/>
    </row>
    <row r="2205" spans="1:54" ht="15.75" customHeight="1">
      <c r="A2205" s="317"/>
      <c r="B2205" s="430"/>
      <c r="C2205" s="317"/>
      <c r="E2205" s="306"/>
      <c r="F2205" s="431"/>
      <c r="G2205" s="431"/>
      <c r="H2205" s="298"/>
      <c r="I2205" s="432"/>
      <c r="J2205" s="433"/>
      <c r="K2205" s="306"/>
      <c r="L2205" s="306"/>
      <c r="M2205" s="306"/>
      <c r="N2205" s="298"/>
      <c r="O2205" s="298"/>
      <c r="P2205" s="298"/>
      <c r="Q2205" s="306"/>
      <c r="R2205" s="1023"/>
      <c r="S2205" s="1023"/>
      <c r="T2205" s="306"/>
      <c r="U2205" s="306"/>
      <c r="V2205" s="306"/>
      <c r="W2205" s="306"/>
      <c r="X2205" s="306"/>
      <c r="Y2205" s="306"/>
      <c r="Z2205" s="306"/>
      <c r="AA2205" s="306"/>
      <c r="AB2205" s="306"/>
      <c r="AC2205" s="306"/>
      <c r="AD2205" s="306"/>
      <c r="AE2205" s="306"/>
      <c r="AF2205" s="306"/>
      <c r="AG2205" s="306"/>
      <c r="AH2205" s="306"/>
      <c r="AI2205" s="306"/>
      <c r="AJ2205" s="306"/>
      <c r="AK2205" s="306"/>
      <c r="AL2205" s="306"/>
      <c r="AM2205" s="418"/>
      <c r="AN2205" s="418"/>
      <c r="AO2205" s="306"/>
      <c r="AP2205" s="306"/>
      <c r="AQ2205" s="418"/>
      <c r="AR2205" s="306"/>
      <c r="AS2205" s="306"/>
      <c r="AT2205" s="418"/>
      <c r="AU2205" s="306"/>
      <c r="AV2205" s="306"/>
      <c r="AW2205" s="306"/>
      <c r="AX2205" s="306"/>
      <c r="AY2205" s="306"/>
      <c r="AZ2205" s="306"/>
      <c r="BA2205" s="306"/>
      <c r="BB2205" s="306"/>
    </row>
    <row r="2206" spans="1:54" ht="15.75" customHeight="1">
      <c r="A2206" s="317"/>
      <c r="B2206" s="430"/>
      <c r="C2206" s="317"/>
      <c r="E2206" s="306"/>
      <c r="F2206" s="431"/>
      <c r="G2206" s="431"/>
      <c r="H2206" s="298"/>
      <c r="I2206" s="432"/>
      <c r="J2206" s="433"/>
      <c r="K2206" s="306"/>
      <c r="L2206" s="306"/>
      <c r="M2206" s="306"/>
      <c r="N2206" s="298"/>
      <c r="O2206" s="298"/>
      <c r="P2206" s="298"/>
      <c r="Q2206" s="306"/>
      <c r="R2206" s="1023"/>
      <c r="S2206" s="1023"/>
      <c r="T2206" s="306"/>
      <c r="U2206" s="306"/>
      <c r="V2206" s="306"/>
      <c r="W2206" s="306"/>
      <c r="X2206" s="306"/>
      <c r="Y2206" s="306"/>
      <c r="Z2206" s="306"/>
      <c r="AA2206" s="306"/>
      <c r="AB2206" s="306"/>
      <c r="AC2206" s="306"/>
      <c r="AD2206" s="306"/>
      <c r="AE2206" s="306"/>
      <c r="AF2206" s="306"/>
      <c r="AG2206" s="306"/>
      <c r="AH2206" s="306"/>
      <c r="AI2206" s="306"/>
      <c r="AJ2206" s="306"/>
      <c r="AK2206" s="306"/>
      <c r="AL2206" s="306"/>
      <c r="AM2206" s="418"/>
      <c r="AN2206" s="418"/>
      <c r="AO2206" s="306"/>
      <c r="AP2206" s="306"/>
      <c r="AQ2206" s="418"/>
      <c r="AR2206" s="306"/>
      <c r="AS2206" s="306"/>
      <c r="AT2206" s="418"/>
      <c r="AU2206" s="306"/>
      <c r="AV2206" s="306"/>
      <c r="AW2206" s="306"/>
      <c r="AX2206" s="306"/>
      <c r="AY2206" s="306"/>
      <c r="AZ2206" s="306"/>
      <c r="BA2206" s="306"/>
      <c r="BB2206" s="306"/>
    </row>
    <row r="2207" spans="1:54" ht="15.75" customHeight="1">
      <c r="A2207" s="317"/>
      <c r="B2207" s="430"/>
      <c r="C2207" s="317"/>
      <c r="E2207" s="306"/>
      <c r="F2207" s="431"/>
      <c r="G2207" s="431"/>
      <c r="H2207" s="298"/>
      <c r="I2207" s="432"/>
      <c r="J2207" s="433"/>
      <c r="K2207" s="306"/>
      <c r="L2207" s="306"/>
      <c r="M2207" s="306"/>
      <c r="N2207" s="298"/>
      <c r="O2207" s="298"/>
      <c r="P2207" s="298"/>
      <c r="Q2207" s="306"/>
      <c r="R2207" s="1023"/>
      <c r="S2207" s="1023"/>
      <c r="T2207" s="306"/>
      <c r="U2207" s="306"/>
      <c r="V2207" s="306"/>
      <c r="W2207" s="306"/>
      <c r="X2207" s="306"/>
      <c r="Y2207" s="306"/>
      <c r="Z2207" s="306"/>
      <c r="AA2207" s="306"/>
      <c r="AB2207" s="306"/>
      <c r="AC2207" s="306"/>
      <c r="AD2207" s="306"/>
      <c r="AE2207" s="306"/>
      <c r="AF2207" s="306"/>
      <c r="AG2207" s="306"/>
      <c r="AH2207" s="306"/>
      <c r="AI2207" s="306"/>
      <c r="AJ2207" s="306"/>
      <c r="AK2207" s="306"/>
      <c r="AL2207" s="306"/>
      <c r="AM2207" s="418"/>
      <c r="AN2207" s="418"/>
      <c r="AO2207" s="306"/>
      <c r="AP2207" s="306"/>
      <c r="AQ2207" s="418"/>
      <c r="AR2207" s="306"/>
      <c r="AS2207" s="306"/>
      <c r="AT2207" s="418"/>
      <c r="AU2207" s="306"/>
      <c r="AV2207" s="306"/>
      <c r="AW2207" s="306"/>
      <c r="AX2207" s="306"/>
      <c r="AY2207" s="306"/>
      <c r="AZ2207" s="306"/>
      <c r="BA2207" s="306"/>
      <c r="BB2207" s="306"/>
    </row>
    <row r="2208" spans="1:54" ht="15.75" customHeight="1">
      <c r="A2208" s="317"/>
      <c r="B2208" s="430"/>
      <c r="C2208" s="317"/>
      <c r="E2208" s="306"/>
      <c r="F2208" s="431"/>
      <c r="G2208" s="431"/>
      <c r="H2208" s="298"/>
      <c r="I2208" s="432"/>
      <c r="J2208" s="433"/>
      <c r="K2208" s="306"/>
      <c r="L2208" s="306"/>
      <c r="M2208" s="306"/>
      <c r="N2208" s="298"/>
      <c r="O2208" s="298"/>
      <c r="P2208" s="298"/>
      <c r="Q2208" s="306"/>
      <c r="R2208" s="1023"/>
      <c r="S2208" s="1023"/>
      <c r="T2208" s="306"/>
      <c r="U2208" s="306"/>
      <c r="V2208" s="306"/>
      <c r="W2208" s="306"/>
      <c r="X2208" s="306"/>
      <c r="Y2208" s="306"/>
      <c r="Z2208" s="306"/>
      <c r="AA2208" s="306"/>
      <c r="AB2208" s="306"/>
      <c r="AC2208" s="306"/>
      <c r="AD2208" s="306"/>
      <c r="AE2208" s="306"/>
      <c r="AF2208" s="306"/>
      <c r="AG2208" s="306"/>
      <c r="AH2208" s="306"/>
      <c r="AI2208" s="306"/>
      <c r="AJ2208" s="306"/>
      <c r="AK2208" s="306"/>
      <c r="AL2208" s="306"/>
      <c r="AM2208" s="418"/>
      <c r="AN2208" s="418"/>
      <c r="AO2208" s="306"/>
      <c r="AP2208" s="306"/>
      <c r="AQ2208" s="418"/>
      <c r="AR2208" s="306"/>
      <c r="AS2208" s="306"/>
      <c r="AT2208" s="418"/>
      <c r="AU2208" s="306"/>
      <c r="AV2208" s="306"/>
      <c r="AW2208" s="306"/>
      <c r="AX2208" s="306"/>
      <c r="AY2208" s="306"/>
      <c r="AZ2208" s="306"/>
      <c r="BA2208" s="306"/>
      <c r="BB2208" s="306"/>
    </row>
    <row r="2209" spans="1:54" ht="15.75" customHeight="1">
      <c r="A2209" s="317"/>
      <c r="B2209" s="430"/>
      <c r="C2209" s="317"/>
      <c r="E2209" s="306"/>
      <c r="F2209" s="431"/>
      <c r="G2209" s="431"/>
      <c r="H2209" s="298"/>
      <c r="I2209" s="432"/>
      <c r="J2209" s="433"/>
      <c r="K2209" s="306"/>
      <c r="L2209" s="306"/>
      <c r="M2209" s="306"/>
      <c r="N2209" s="298"/>
      <c r="O2209" s="298"/>
      <c r="P2209" s="298"/>
      <c r="Q2209" s="306"/>
      <c r="R2209" s="1023"/>
      <c r="S2209" s="1023"/>
      <c r="T2209" s="306"/>
      <c r="U2209" s="306"/>
      <c r="V2209" s="306"/>
      <c r="W2209" s="306"/>
      <c r="X2209" s="306"/>
      <c r="Y2209" s="306"/>
      <c r="Z2209" s="306"/>
      <c r="AA2209" s="306"/>
      <c r="AB2209" s="306"/>
      <c r="AC2209" s="306"/>
      <c r="AD2209" s="306"/>
      <c r="AE2209" s="306"/>
      <c r="AF2209" s="306"/>
      <c r="AG2209" s="306"/>
      <c r="AH2209" s="306"/>
      <c r="AI2209" s="306"/>
      <c r="AJ2209" s="306"/>
      <c r="AK2209" s="306"/>
      <c r="AL2209" s="306"/>
      <c r="AM2209" s="418"/>
      <c r="AN2209" s="418"/>
      <c r="AO2209" s="306"/>
      <c r="AP2209" s="306"/>
      <c r="AQ2209" s="418"/>
      <c r="AR2209" s="306"/>
      <c r="AS2209" s="306"/>
      <c r="AT2209" s="418"/>
      <c r="AU2209" s="306"/>
      <c r="AV2209" s="306"/>
      <c r="AW2209" s="306"/>
      <c r="AX2209" s="306"/>
      <c r="AY2209" s="306"/>
      <c r="AZ2209" s="306"/>
      <c r="BA2209" s="306"/>
      <c r="BB2209" s="306"/>
    </row>
    <row r="2210" spans="1:54" ht="15.75" customHeight="1">
      <c r="A2210" s="317"/>
      <c r="B2210" s="430"/>
      <c r="C2210" s="317"/>
      <c r="E2210" s="306"/>
      <c r="F2210" s="431"/>
      <c r="G2210" s="431"/>
      <c r="H2210" s="298"/>
      <c r="I2210" s="432"/>
      <c r="J2210" s="433"/>
      <c r="K2210" s="306"/>
      <c r="L2210" s="306"/>
      <c r="M2210" s="306"/>
      <c r="N2210" s="298"/>
      <c r="O2210" s="298"/>
      <c r="P2210" s="298"/>
      <c r="Q2210" s="306"/>
      <c r="R2210" s="1023"/>
      <c r="S2210" s="1023"/>
      <c r="T2210" s="306"/>
      <c r="U2210" s="306"/>
      <c r="V2210" s="306"/>
      <c r="W2210" s="306"/>
      <c r="X2210" s="306"/>
      <c r="Y2210" s="306"/>
      <c r="Z2210" s="306"/>
      <c r="AA2210" s="306"/>
      <c r="AB2210" s="306"/>
      <c r="AC2210" s="306"/>
      <c r="AD2210" s="306"/>
      <c r="AE2210" s="306"/>
      <c r="AF2210" s="306"/>
      <c r="AG2210" s="306"/>
      <c r="AH2210" s="306"/>
      <c r="AI2210" s="306"/>
      <c r="AJ2210" s="306"/>
      <c r="AK2210" s="306"/>
      <c r="AL2210" s="306"/>
      <c r="AM2210" s="418"/>
      <c r="AN2210" s="418"/>
      <c r="AO2210" s="306"/>
      <c r="AP2210" s="306"/>
      <c r="AQ2210" s="418"/>
      <c r="AR2210" s="306"/>
      <c r="AS2210" s="306"/>
      <c r="AT2210" s="418"/>
      <c r="AU2210" s="306"/>
      <c r="AV2210" s="306"/>
      <c r="AW2210" s="306"/>
      <c r="AX2210" s="306"/>
      <c r="AY2210" s="306"/>
      <c r="AZ2210" s="306"/>
      <c r="BA2210" s="306"/>
      <c r="BB2210" s="306"/>
    </row>
    <row r="2211" spans="1:54" ht="15.75" customHeight="1">
      <c r="A2211" s="317"/>
      <c r="B2211" s="430"/>
      <c r="C2211" s="317"/>
      <c r="E2211" s="306"/>
      <c r="F2211" s="431"/>
      <c r="G2211" s="431"/>
      <c r="H2211" s="298"/>
      <c r="I2211" s="432"/>
      <c r="J2211" s="433"/>
      <c r="K2211" s="306"/>
      <c r="L2211" s="306"/>
      <c r="M2211" s="306"/>
      <c r="N2211" s="298"/>
      <c r="O2211" s="298"/>
      <c r="P2211" s="298"/>
      <c r="Q2211" s="306"/>
      <c r="R2211" s="1023"/>
      <c r="S2211" s="1023"/>
      <c r="T2211" s="306"/>
      <c r="U2211" s="306"/>
      <c r="V2211" s="306"/>
      <c r="W2211" s="306"/>
      <c r="X2211" s="306"/>
      <c r="Y2211" s="306"/>
      <c r="Z2211" s="306"/>
      <c r="AA2211" s="306"/>
      <c r="AB2211" s="306"/>
      <c r="AC2211" s="306"/>
      <c r="AD2211" s="306"/>
      <c r="AE2211" s="306"/>
      <c r="AF2211" s="306"/>
      <c r="AG2211" s="306"/>
      <c r="AH2211" s="306"/>
      <c r="AI2211" s="306"/>
      <c r="AJ2211" s="306"/>
      <c r="AK2211" s="306"/>
      <c r="AL2211" s="306"/>
      <c r="AM2211" s="418"/>
      <c r="AN2211" s="418"/>
      <c r="AO2211" s="306"/>
      <c r="AP2211" s="306"/>
      <c r="AQ2211" s="418"/>
      <c r="AR2211" s="306"/>
      <c r="AS2211" s="306"/>
      <c r="AT2211" s="418"/>
      <c r="AU2211" s="306"/>
      <c r="AV2211" s="306"/>
      <c r="AW2211" s="306"/>
      <c r="AX2211" s="306"/>
      <c r="AY2211" s="306"/>
      <c r="AZ2211" s="306"/>
      <c r="BA2211" s="306"/>
      <c r="BB2211" s="306"/>
    </row>
    <row r="2212" spans="1:54" ht="15.75" customHeight="1">
      <c r="A2212" s="317"/>
      <c r="B2212" s="430"/>
      <c r="C2212" s="317"/>
      <c r="E2212" s="306"/>
      <c r="F2212" s="431"/>
      <c r="G2212" s="431"/>
      <c r="H2212" s="298"/>
      <c r="I2212" s="432"/>
      <c r="J2212" s="433"/>
      <c r="K2212" s="306"/>
      <c r="L2212" s="306"/>
      <c r="M2212" s="306"/>
      <c r="N2212" s="298"/>
      <c r="O2212" s="298"/>
      <c r="P2212" s="298"/>
      <c r="Q2212" s="306"/>
      <c r="R2212" s="1023"/>
      <c r="S2212" s="1023"/>
      <c r="T2212" s="306"/>
      <c r="U2212" s="306"/>
      <c r="V2212" s="306"/>
      <c r="W2212" s="306"/>
      <c r="X2212" s="306"/>
      <c r="Y2212" s="306"/>
      <c r="Z2212" s="306"/>
      <c r="AA2212" s="306"/>
      <c r="AB2212" s="306"/>
      <c r="AC2212" s="306"/>
      <c r="AD2212" s="306"/>
      <c r="AE2212" s="306"/>
      <c r="AF2212" s="306"/>
      <c r="AG2212" s="306"/>
      <c r="AH2212" s="306"/>
      <c r="AI2212" s="306"/>
      <c r="AJ2212" s="306"/>
      <c r="AK2212" s="306"/>
      <c r="AL2212" s="306"/>
      <c r="AM2212" s="418"/>
      <c r="AN2212" s="418"/>
      <c r="AO2212" s="306"/>
      <c r="AP2212" s="306"/>
      <c r="AQ2212" s="418"/>
      <c r="AR2212" s="306"/>
      <c r="AS2212" s="306"/>
      <c r="AT2212" s="418"/>
      <c r="AU2212" s="306"/>
      <c r="AV2212" s="306"/>
      <c r="AW2212" s="306"/>
      <c r="AX2212" s="306"/>
      <c r="AY2212" s="306"/>
      <c r="AZ2212" s="306"/>
      <c r="BA2212" s="306"/>
      <c r="BB2212" s="306"/>
    </row>
    <row r="2213" spans="1:54" ht="15.75" customHeight="1">
      <c r="A2213" s="317"/>
      <c r="B2213" s="430"/>
      <c r="C2213" s="317"/>
      <c r="E2213" s="306"/>
      <c r="F2213" s="431"/>
      <c r="G2213" s="431"/>
      <c r="H2213" s="298"/>
      <c r="I2213" s="432"/>
      <c r="J2213" s="433"/>
      <c r="K2213" s="306"/>
      <c r="L2213" s="306"/>
      <c r="M2213" s="306"/>
      <c r="N2213" s="298"/>
      <c r="O2213" s="298"/>
      <c r="P2213" s="298"/>
      <c r="Q2213" s="306"/>
      <c r="R2213" s="1023"/>
      <c r="S2213" s="1023"/>
      <c r="T2213" s="306"/>
      <c r="U2213" s="306"/>
      <c r="V2213" s="306"/>
      <c r="W2213" s="306"/>
      <c r="X2213" s="306"/>
      <c r="Y2213" s="306"/>
      <c r="Z2213" s="306"/>
      <c r="AA2213" s="306"/>
      <c r="AB2213" s="306"/>
      <c r="AC2213" s="306"/>
      <c r="AD2213" s="306"/>
      <c r="AE2213" s="306"/>
      <c r="AF2213" s="306"/>
      <c r="AG2213" s="306"/>
      <c r="AH2213" s="306"/>
      <c r="AI2213" s="306"/>
      <c r="AJ2213" s="306"/>
      <c r="AK2213" s="306"/>
      <c r="AL2213" s="306"/>
      <c r="AM2213" s="418"/>
      <c r="AN2213" s="418"/>
      <c r="AO2213" s="306"/>
      <c r="AP2213" s="306"/>
      <c r="AQ2213" s="418"/>
      <c r="AR2213" s="306"/>
      <c r="AS2213" s="306"/>
      <c r="AT2213" s="418"/>
      <c r="AU2213" s="306"/>
      <c r="AV2213" s="306"/>
      <c r="AW2213" s="306"/>
      <c r="AX2213" s="306"/>
      <c r="AY2213" s="306"/>
      <c r="AZ2213" s="306"/>
      <c r="BA2213" s="306"/>
      <c r="BB2213" s="306"/>
    </row>
    <row r="2214" spans="1:54" ht="15.75" customHeight="1">
      <c r="A2214" s="317"/>
      <c r="B2214" s="430"/>
      <c r="C2214" s="317"/>
      <c r="E2214" s="306"/>
      <c r="F2214" s="431"/>
      <c r="G2214" s="431"/>
      <c r="H2214" s="298"/>
      <c r="I2214" s="432"/>
      <c r="J2214" s="433"/>
      <c r="K2214" s="306"/>
      <c r="L2214" s="306"/>
      <c r="M2214" s="306"/>
      <c r="N2214" s="298"/>
      <c r="O2214" s="298"/>
      <c r="P2214" s="298"/>
      <c r="Q2214" s="306"/>
      <c r="R2214" s="1023"/>
      <c r="S2214" s="1023"/>
      <c r="T2214" s="306"/>
      <c r="U2214" s="306"/>
      <c r="V2214" s="306"/>
      <c r="W2214" s="306"/>
      <c r="X2214" s="306"/>
      <c r="Y2214" s="306"/>
      <c r="Z2214" s="306"/>
      <c r="AA2214" s="306"/>
      <c r="AB2214" s="306"/>
      <c r="AC2214" s="306"/>
      <c r="AD2214" s="306"/>
      <c r="AE2214" s="306"/>
      <c r="AF2214" s="306"/>
      <c r="AG2214" s="306"/>
      <c r="AH2214" s="306"/>
      <c r="AI2214" s="306"/>
      <c r="AJ2214" s="306"/>
      <c r="AK2214" s="306"/>
      <c r="AL2214" s="306"/>
      <c r="AM2214" s="418"/>
      <c r="AN2214" s="418"/>
      <c r="AO2214" s="306"/>
      <c r="AP2214" s="306"/>
      <c r="AQ2214" s="418"/>
      <c r="AR2214" s="306"/>
      <c r="AS2214" s="306"/>
      <c r="AT2214" s="418"/>
      <c r="AU2214" s="306"/>
      <c r="AV2214" s="306"/>
      <c r="AW2214" s="306"/>
      <c r="AX2214" s="306"/>
      <c r="AY2214" s="306"/>
      <c r="AZ2214" s="306"/>
      <c r="BA2214" s="306"/>
      <c r="BB2214" s="306"/>
    </row>
    <row r="2215" spans="1:54" ht="15.75" customHeight="1">
      <c r="A2215" s="317"/>
      <c r="B2215" s="430"/>
      <c r="C2215" s="317"/>
      <c r="E2215" s="306"/>
      <c r="F2215" s="431"/>
      <c r="G2215" s="431"/>
      <c r="H2215" s="298"/>
      <c r="I2215" s="432"/>
      <c r="J2215" s="433"/>
      <c r="K2215" s="306"/>
      <c r="L2215" s="306"/>
      <c r="M2215" s="306"/>
      <c r="N2215" s="298"/>
      <c r="O2215" s="298"/>
      <c r="P2215" s="298"/>
      <c r="Q2215" s="306"/>
      <c r="R2215" s="1023"/>
      <c r="S2215" s="1023"/>
      <c r="T2215" s="306"/>
      <c r="U2215" s="306"/>
      <c r="V2215" s="306"/>
      <c r="W2215" s="306"/>
      <c r="X2215" s="306"/>
      <c r="Y2215" s="306"/>
      <c r="Z2215" s="306"/>
      <c r="AA2215" s="306"/>
      <c r="AB2215" s="306"/>
      <c r="AC2215" s="306"/>
      <c r="AD2215" s="306"/>
      <c r="AE2215" s="306"/>
      <c r="AF2215" s="306"/>
      <c r="AG2215" s="306"/>
      <c r="AH2215" s="306"/>
      <c r="AI2215" s="306"/>
      <c r="AJ2215" s="306"/>
      <c r="AK2215" s="306"/>
      <c r="AL2215" s="306"/>
      <c r="AM2215" s="418"/>
      <c r="AN2215" s="418"/>
      <c r="AO2215" s="306"/>
      <c r="AP2215" s="306"/>
      <c r="AQ2215" s="418"/>
      <c r="AR2215" s="306"/>
      <c r="AS2215" s="306"/>
      <c r="AT2215" s="418"/>
      <c r="AU2215" s="306"/>
      <c r="AV2215" s="306"/>
      <c r="AW2215" s="306"/>
      <c r="AX2215" s="306"/>
      <c r="AY2215" s="306"/>
      <c r="AZ2215" s="306"/>
      <c r="BA2215" s="306"/>
      <c r="BB2215" s="306"/>
    </row>
    <row r="2216" spans="1:54" ht="15.75" customHeight="1">
      <c r="A2216" s="317"/>
      <c r="B2216" s="430"/>
      <c r="C2216" s="317"/>
      <c r="E2216" s="306"/>
      <c r="F2216" s="431"/>
      <c r="G2216" s="431"/>
      <c r="H2216" s="298"/>
      <c r="I2216" s="432"/>
      <c r="J2216" s="433"/>
      <c r="K2216" s="306"/>
      <c r="L2216" s="306"/>
      <c r="M2216" s="306"/>
      <c r="N2216" s="298"/>
      <c r="O2216" s="298"/>
      <c r="P2216" s="298"/>
      <c r="Q2216" s="306"/>
      <c r="R2216" s="1023"/>
      <c r="S2216" s="1023"/>
      <c r="T2216" s="306"/>
      <c r="U2216" s="306"/>
      <c r="V2216" s="306"/>
      <c r="W2216" s="306"/>
      <c r="X2216" s="306"/>
      <c r="Y2216" s="306"/>
      <c r="Z2216" s="306"/>
      <c r="AA2216" s="306"/>
      <c r="AB2216" s="306"/>
      <c r="AC2216" s="306"/>
      <c r="AD2216" s="306"/>
      <c r="AE2216" s="306"/>
      <c r="AF2216" s="306"/>
      <c r="AG2216" s="306"/>
      <c r="AH2216" s="306"/>
      <c r="AI2216" s="306"/>
      <c r="AJ2216" s="306"/>
      <c r="AK2216" s="306"/>
      <c r="AL2216" s="306"/>
      <c r="AM2216" s="418"/>
      <c r="AN2216" s="418"/>
      <c r="AO2216" s="306"/>
      <c r="AP2216" s="306"/>
      <c r="AQ2216" s="418"/>
      <c r="AR2216" s="306"/>
      <c r="AS2216" s="306"/>
      <c r="AT2216" s="418"/>
      <c r="AU2216" s="306"/>
      <c r="AV2216" s="306"/>
      <c r="AW2216" s="306"/>
      <c r="AX2216" s="306"/>
      <c r="AY2216" s="306"/>
      <c r="AZ2216" s="306"/>
      <c r="BA2216" s="306"/>
      <c r="BB2216" s="306"/>
    </row>
    <row r="2217" spans="1:54" ht="15.75" customHeight="1">
      <c r="A2217" s="317"/>
      <c r="B2217" s="430"/>
      <c r="C2217" s="317"/>
      <c r="E2217" s="306"/>
      <c r="F2217" s="431"/>
      <c r="G2217" s="431"/>
      <c r="H2217" s="298"/>
      <c r="I2217" s="432"/>
      <c r="J2217" s="433"/>
      <c r="K2217" s="306"/>
      <c r="L2217" s="306"/>
      <c r="M2217" s="306"/>
      <c r="N2217" s="298"/>
      <c r="O2217" s="298"/>
      <c r="P2217" s="298"/>
      <c r="Q2217" s="306"/>
      <c r="R2217" s="1023"/>
      <c r="S2217" s="1023"/>
      <c r="T2217" s="306"/>
      <c r="U2217" s="306"/>
      <c r="V2217" s="306"/>
      <c r="W2217" s="306"/>
      <c r="X2217" s="306"/>
      <c r="Y2217" s="306"/>
      <c r="Z2217" s="306"/>
      <c r="AA2217" s="306"/>
      <c r="AB2217" s="306"/>
      <c r="AC2217" s="306"/>
      <c r="AD2217" s="306"/>
      <c r="AE2217" s="306"/>
      <c r="AF2217" s="306"/>
      <c r="AG2217" s="306"/>
      <c r="AH2217" s="306"/>
      <c r="AI2217" s="306"/>
      <c r="AJ2217" s="306"/>
      <c r="AK2217" s="306"/>
      <c r="AL2217" s="306"/>
      <c r="AM2217" s="418"/>
      <c r="AN2217" s="418"/>
      <c r="AO2217" s="306"/>
      <c r="AP2217" s="306"/>
      <c r="AQ2217" s="418"/>
      <c r="AR2217" s="306"/>
      <c r="AS2217" s="306"/>
      <c r="AT2217" s="418"/>
      <c r="AU2217" s="306"/>
      <c r="AV2217" s="306"/>
      <c r="AW2217" s="306"/>
      <c r="AX2217" s="306"/>
      <c r="AY2217" s="306"/>
      <c r="AZ2217" s="306"/>
      <c r="BA2217" s="306"/>
      <c r="BB2217" s="306"/>
    </row>
    <row r="2218" spans="1:54" ht="15.75" customHeight="1">
      <c r="A2218" s="317"/>
      <c r="B2218" s="430"/>
      <c r="C2218" s="317"/>
      <c r="E2218" s="306"/>
      <c r="F2218" s="431"/>
      <c r="G2218" s="431"/>
      <c r="H2218" s="298"/>
      <c r="I2218" s="432"/>
      <c r="J2218" s="433"/>
      <c r="K2218" s="306"/>
      <c r="L2218" s="306"/>
      <c r="M2218" s="306"/>
      <c r="N2218" s="298"/>
      <c r="O2218" s="298"/>
      <c r="P2218" s="298"/>
      <c r="Q2218" s="306"/>
      <c r="R2218" s="1023"/>
      <c r="S2218" s="1023"/>
      <c r="T2218" s="306"/>
      <c r="U2218" s="306"/>
      <c r="V2218" s="306"/>
      <c r="W2218" s="306"/>
      <c r="X2218" s="306"/>
      <c r="Y2218" s="306"/>
      <c r="Z2218" s="306"/>
      <c r="AA2218" s="306"/>
      <c r="AB2218" s="306"/>
      <c r="AC2218" s="306"/>
      <c r="AD2218" s="306"/>
      <c r="AE2218" s="306"/>
      <c r="AF2218" s="306"/>
      <c r="AG2218" s="306"/>
      <c r="AH2218" s="306"/>
      <c r="AI2218" s="306"/>
      <c r="AJ2218" s="306"/>
      <c r="AK2218" s="306"/>
      <c r="AL2218" s="306"/>
      <c r="AM2218" s="418"/>
      <c r="AN2218" s="418"/>
      <c r="AO2218" s="306"/>
      <c r="AP2218" s="306"/>
      <c r="AQ2218" s="418"/>
      <c r="AR2218" s="306"/>
      <c r="AS2218" s="306"/>
      <c r="AT2218" s="418"/>
      <c r="AU2218" s="306"/>
      <c r="AV2218" s="306"/>
      <c r="AW2218" s="306"/>
      <c r="AX2218" s="306"/>
      <c r="AY2218" s="306"/>
      <c r="AZ2218" s="306"/>
      <c r="BA2218" s="306"/>
      <c r="BB2218" s="306"/>
    </row>
    <row r="2219" spans="1:54" ht="15.75" customHeight="1">
      <c r="A2219" s="317"/>
      <c r="B2219" s="430"/>
      <c r="C2219" s="317"/>
      <c r="E2219" s="306"/>
      <c r="F2219" s="431"/>
      <c r="G2219" s="431"/>
      <c r="H2219" s="298"/>
      <c r="I2219" s="432"/>
      <c r="J2219" s="433"/>
      <c r="K2219" s="306"/>
      <c r="L2219" s="306"/>
      <c r="M2219" s="306"/>
      <c r="N2219" s="298"/>
      <c r="O2219" s="298"/>
      <c r="P2219" s="298"/>
      <c r="Q2219" s="306"/>
      <c r="R2219" s="1023"/>
      <c r="S2219" s="1023"/>
      <c r="T2219" s="306"/>
      <c r="U2219" s="306"/>
      <c r="V2219" s="306"/>
      <c r="W2219" s="306"/>
      <c r="X2219" s="306"/>
      <c r="Y2219" s="306"/>
      <c r="Z2219" s="306"/>
      <c r="AA2219" s="306"/>
      <c r="AB2219" s="306"/>
      <c r="AC2219" s="306"/>
      <c r="AD2219" s="306"/>
      <c r="AE2219" s="306"/>
      <c r="AF2219" s="306"/>
      <c r="AG2219" s="306"/>
      <c r="AH2219" s="306"/>
      <c r="AI2219" s="306"/>
      <c r="AJ2219" s="306"/>
      <c r="AK2219" s="306"/>
      <c r="AL2219" s="306"/>
      <c r="AM2219" s="418"/>
      <c r="AN2219" s="418"/>
      <c r="AO2219" s="306"/>
      <c r="AP2219" s="306"/>
      <c r="AQ2219" s="418"/>
      <c r="AR2219" s="306"/>
      <c r="AS2219" s="306"/>
      <c r="AT2219" s="418"/>
      <c r="AU2219" s="306"/>
      <c r="AV2219" s="306"/>
      <c r="AW2219" s="306"/>
      <c r="AX2219" s="306"/>
      <c r="AY2219" s="306"/>
      <c r="AZ2219" s="306"/>
      <c r="BA2219" s="306"/>
      <c r="BB2219" s="306"/>
    </row>
    <row r="2220" spans="1:54" ht="15.75" customHeight="1">
      <c r="A2220" s="317"/>
      <c r="B2220" s="430"/>
      <c r="C2220" s="317"/>
      <c r="E2220" s="306"/>
      <c r="F2220" s="431"/>
      <c r="G2220" s="431"/>
      <c r="H2220" s="298"/>
      <c r="I2220" s="432"/>
      <c r="J2220" s="433"/>
      <c r="K2220" s="306"/>
      <c r="L2220" s="306"/>
      <c r="M2220" s="306"/>
      <c r="N2220" s="298"/>
      <c r="O2220" s="298"/>
      <c r="P2220" s="298"/>
      <c r="Q2220" s="306"/>
      <c r="R2220" s="1023"/>
      <c r="S2220" s="1023"/>
      <c r="T2220" s="306"/>
      <c r="U2220" s="306"/>
      <c r="V2220" s="306"/>
      <c r="W2220" s="306"/>
      <c r="X2220" s="306"/>
      <c r="Y2220" s="306"/>
      <c r="Z2220" s="306"/>
      <c r="AA2220" s="306"/>
      <c r="AB2220" s="306"/>
      <c r="AC2220" s="306"/>
      <c r="AD2220" s="306"/>
      <c r="AE2220" s="306"/>
      <c r="AF2220" s="306"/>
      <c r="AG2220" s="306"/>
      <c r="AH2220" s="306"/>
      <c r="AI2220" s="306"/>
      <c r="AJ2220" s="306"/>
      <c r="AK2220" s="306"/>
      <c r="AL2220" s="306"/>
      <c r="AM2220" s="418"/>
      <c r="AN2220" s="418"/>
      <c r="AO2220" s="306"/>
      <c r="AP2220" s="306"/>
      <c r="AQ2220" s="418"/>
      <c r="AR2220" s="306"/>
      <c r="AS2220" s="306"/>
      <c r="AT2220" s="418"/>
      <c r="AU2220" s="306"/>
      <c r="AV2220" s="306"/>
      <c r="AW2220" s="306"/>
      <c r="AX2220" s="306"/>
      <c r="AY2220" s="306"/>
      <c r="AZ2220" s="306"/>
      <c r="BA2220" s="306"/>
      <c r="BB2220" s="306"/>
    </row>
    <row r="2221" spans="1:54" ht="15.75" customHeight="1">
      <c r="A2221" s="317"/>
      <c r="B2221" s="430"/>
      <c r="C2221" s="317"/>
      <c r="E2221" s="306"/>
      <c r="F2221" s="431"/>
      <c r="G2221" s="431"/>
      <c r="H2221" s="298"/>
      <c r="I2221" s="432"/>
      <c r="J2221" s="433"/>
      <c r="K2221" s="306"/>
      <c r="L2221" s="306"/>
      <c r="M2221" s="306"/>
      <c r="N2221" s="298"/>
      <c r="O2221" s="298"/>
      <c r="P2221" s="298"/>
      <c r="Q2221" s="306"/>
      <c r="R2221" s="1023"/>
      <c r="S2221" s="1023"/>
      <c r="T2221" s="306"/>
      <c r="U2221" s="306"/>
      <c r="V2221" s="306"/>
      <c r="W2221" s="306"/>
      <c r="X2221" s="306"/>
      <c r="Y2221" s="306"/>
      <c r="Z2221" s="306"/>
      <c r="AA2221" s="306"/>
      <c r="AB2221" s="306"/>
      <c r="AC2221" s="306"/>
      <c r="AD2221" s="306"/>
      <c r="AE2221" s="306"/>
      <c r="AF2221" s="306"/>
      <c r="AG2221" s="306"/>
      <c r="AH2221" s="306"/>
      <c r="AI2221" s="306"/>
      <c r="AJ2221" s="306"/>
      <c r="AK2221" s="306"/>
      <c r="AL2221" s="306"/>
      <c r="AM2221" s="418"/>
      <c r="AN2221" s="418"/>
      <c r="AO2221" s="306"/>
      <c r="AP2221" s="306"/>
      <c r="AQ2221" s="418"/>
      <c r="AR2221" s="306"/>
      <c r="AS2221" s="306"/>
      <c r="AT2221" s="418"/>
      <c r="AU2221" s="306"/>
      <c r="AV2221" s="306"/>
      <c r="AW2221" s="306"/>
      <c r="AX2221" s="306"/>
      <c r="AY2221" s="306"/>
      <c r="AZ2221" s="306"/>
      <c r="BA2221" s="306"/>
      <c r="BB2221" s="306"/>
    </row>
    <row r="2222" spans="1:54" ht="15.75" customHeight="1">
      <c r="A2222" s="317"/>
      <c r="B2222" s="430"/>
      <c r="C2222" s="317"/>
      <c r="E2222" s="306"/>
      <c r="F2222" s="431"/>
      <c r="G2222" s="431"/>
      <c r="H2222" s="298"/>
      <c r="I2222" s="431"/>
      <c r="J2222" s="435"/>
      <c r="K2222" s="306"/>
      <c r="L2222" s="306"/>
      <c r="M2222" s="306"/>
      <c r="N2222" s="298"/>
      <c r="O2222" s="298"/>
      <c r="P2222" s="298"/>
      <c r="Q2222" s="306"/>
      <c r="R2222" s="1023"/>
      <c r="S2222" s="1023"/>
      <c r="T2222" s="306"/>
      <c r="U2222" s="306"/>
      <c r="V2222" s="306"/>
      <c r="W2222" s="306"/>
      <c r="X2222" s="306"/>
      <c r="Y2222" s="306"/>
      <c r="Z2222" s="306"/>
      <c r="AA2222" s="306"/>
      <c r="AB2222" s="306"/>
      <c r="AC2222" s="306"/>
      <c r="AD2222" s="306"/>
      <c r="AE2222" s="306"/>
      <c r="AF2222" s="306"/>
      <c r="AG2222" s="306"/>
      <c r="AH2222" s="306"/>
      <c r="AI2222" s="306"/>
      <c r="AJ2222" s="306"/>
      <c r="AK2222" s="306"/>
      <c r="AL2222" s="306"/>
      <c r="AM2222" s="418"/>
      <c r="AN2222" s="418"/>
      <c r="AO2222" s="306"/>
      <c r="AP2222" s="306"/>
      <c r="AQ2222" s="418"/>
      <c r="AR2222" s="306"/>
      <c r="AS2222" s="306"/>
      <c r="AT2222" s="418"/>
      <c r="AU2222" s="306"/>
      <c r="AV2222" s="306"/>
      <c r="AW2222" s="306"/>
      <c r="AX2222" s="306"/>
      <c r="AY2222" s="306"/>
      <c r="AZ2222" s="306"/>
      <c r="BA2222" s="306"/>
      <c r="BB2222" s="306"/>
    </row>
    <row r="2223" spans="1:54" ht="15.75" customHeight="1">
      <c r="A2223" s="317"/>
      <c r="B2223" s="430"/>
      <c r="C2223" s="317"/>
      <c r="E2223" s="306"/>
      <c r="F2223" s="431"/>
      <c r="G2223" s="431"/>
      <c r="H2223" s="298"/>
      <c r="I2223" s="431"/>
      <c r="J2223" s="435"/>
      <c r="K2223" s="306"/>
      <c r="L2223" s="306"/>
      <c r="M2223" s="306"/>
      <c r="N2223" s="298"/>
      <c r="O2223" s="298"/>
      <c r="P2223" s="298"/>
      <c r="Q2223" s="306"/>
      <c r="R2223" s="1023"/>
      <c r="S2223" s="1023"/>
      <c r="T2223" s="306"/>
      <c r="U2223" s="306"/>
      <c r="V2223" s="306"/>
      <c r="W2223" s="306"/>
      <c r="X2223" s="306"/>
      <c r="Y2223" s="306"/>
      <c r="Z2223" s="306"/>
      <c r="AA2223" s="306"/>
      <c r="AB2223" s="306"/>
      <c r="AC2223" s="306"/>
      <c r="AD2223" s="306"/>
      <c r="AE2223" s="306"/>
      <c r="AF2223" s="306"/>
      <c r="AG2223" s="306"/>
      <c r="AH2223" s="306"/>
      <c r="AI2223" s="306"/>
      <c r="AJ2223" s="306"/>
      <c r="AK2223" s="306"/>
      <c r="AL2223" s="306"/>
      <c r="AM2223" s="418"/>
      <c r="AN2223" s="418"/>
      <c r="AO2223" s="306"/>
      <c r="AP2223" s="306"/>
      <c r="AQ2223" s="418"/>
      <c r="AR2223" s="306"/>
      <c r="AS2223" s="306"/>
      <c r="AT2223" s="418"/>
      <c r="AU2223" s="306"/>
      <c r="AV2223" s="306"/>
      <c r="AW2223" s="306"/>
      <c r="AX2223" s="306"/>
      <c r="AY2223" s="306"/>
      <c r="AZ2223" s="306"/>
      <c r="BA2223" s="306"/>
      <c r="BB2223" s="306"/>
    </row>
    <row r="2224" spans="1:54" ht="15.75" customHeight="1">
      <c r="A2224" s="317"/>
      <c r="B2224" s="430"/>
      <c r="C2224" s="317"/>
      <c r="E2224" s="306"/>
      <c r="F2224" s="431"/>
      <c r="G2224" s="431"/>
      <c r="H2224" s="298"/>
      <c r="I2224" s="431"/>
      <c r="J2224" s="435"/>
      <c r="K2224" s="306"/>
      <c r="L2224" s="306"/>
      <c r="M2224" s="306"/>
      <c r="N2224" s="298"/>
      <c r="O2224" s="298"/>
      <c r="P2224" s="298"/>
      <c r="Q2224" s="306"/>
      <c r="R2224" s="1023"/>
      <c r="S2224" s="1023"/>
      <c r="T2224" s="306"/>
      <c r="U2224" s="306"/>
      <c r="V2224" s="306"/>
      <c r="W2224" s="306"/>
      <c r="X2224" s="306"/>
      <c r="Y2224" s="306"/>
      <c r="Z2224" s="306"/>
      <c r="AA2224" s="306"/>
      <c r="AB2224" s="306"/>
      <c r="AC2224" s="306"/>
      <c r="AD2224" s="306"/>
      <c r="AE2224" s="306"/>
      <c r="AF2224" s="306"/>
      <c r="AG2224" s="306"/>
      <c r="AH2224" s="306"/>
      <c r="AI2224" s="306"/>
      <c r="AJ2224" s="306"/>
      <c r="AK2224" s="306"/>
      <c r="AL2224" s="306"/>
      <c r="AM2224" s="418"/>
      <c r="AN2224" s="418"/>
      <c r="AO2224" s="306"/>
      <c r="AP2224" s="306"/>
      <c r="AQ2224" s="418"/>
      <c r="AR2224" s="306"/>
      <c r="AS2224" s="306"/>
      <c r="AT2224" s="418"/>
      <c r="AU2224" s="306"/>
      <c r="AV2224" s="306"/>
      <c r="AW2224" s="306"/>
      <c r="AX2224" s="306"/>
      <c r="AY2224" s="306"/>
      <c r="AZ2224" s="306"/>
      <c r="BA2224" s="306"/>
      <c r="BB2224" s="306"/>
    </row>
    <row r="2225" spans="1:54" ht="15.75" customHeight="1">
      <c r="A2225" s="317"/>
      <c r="B2225" s="430"/>
      <c r="C2225" s="317"/>
      <c r="E2225" s="306"/>
      <c r="F2225" s="431"/>
      <c r="G2225" s="431"/>
      <c r="H2225" s="298"/>
      <c r="I2225" s="431"/>
      <c r="J2225" s="435"/>
      <c r="K2225" s="306"/>
      <c r="L2225" s="306"/>
      <c r="M2225" s="306"/>
      <c r="N2225" s="298"/>
      <c r="O2225" s="298"/>
      <c r="P2225" s="298"/>
      <c r="Q2225" s="306"/>
      <c r="R2225" s="1023"/>
      <c r="S2225" s="1023"/>
      <c r="T2225" s="306"/>
      <c r="U2225" s="306"/>
      <c r="V2225" s="306"/>
      <c r="W2225" s="306"/>
      <c r="X2225" s="306"/>
      <c r="Y2225" s="306"/>
      <c r="Z2225" s="306"/>
      <c r="AA2225" s="306"/>
      <c r="AB2225" s="306"/>
      <c r="AC2225" s="306"/>
      <c r="AD2225" s="306"/>
      <c r="AE2225" s="306"/>
      <c r="AF2225" s="306"/>
      <c r="AG2225" s="306"/>
      <c r="AH2225" s="306"/>
      <c r="AI2225" s="306"/>
      <c r="AJ2225" s="306"/>
      <c r="AK2225" s="306"/>
      <c r="AL2225" s="306"/>
      <c r="AM2225" s="418"/>
      <c r="AN2225" s="418"/>
      <c r="AO2225" s="306"/>
      <c r="AP2225" s="306"/>
      <c r="AQ2225" s="418"/>
      <c r="AR2225" s="306"/>
      <c r="AS2225" s="306"/>
      <c r="AT2225" s="418"/>
      <c r="AU2225" s="306"/>
      <c r="AV2225" s="306"/>
      <c r="AW2225" s="306"/>
      <c r="AX2225" s="306"/>
      <c r="AY2225" s="306"/>
      <c r="AZ2225" s="306"/>
      <c r="BA2225" s="306"/>
      <c r="BB2225" s="306"/>
    </row>
    <row r="2226" spans="1:54" ht="15.75" customHeight="1">
      <c r="A2226" s="317"/>
      <c r="B2226" s="430"/>
      <c r="C2226" s="317"/>
      <c r="E2226" s="306"/>
      <c r="F2226" s="431"/>
      <c r="G2226" s="431"/>
      <c r="H2226" s="298"/>
      <c r="I2226" s="432"/>
      <c r="J2226" s="433"/>
      <c r="K2226" s="306"/>
      <c r="L2226" s="306"/>
      <c r="M2226" s="306"/>
      <c r="N2226" s="298"/>
      <c r="O2226" s="298"/>
      <c r="P2226" s="298"/>
      <c r="Q2226" s="306"/>
      <c r="R2226" s="1023"/>
      <c r="S2226" s="1023"/>
      <c r="T2226" s="306"/>
      <c r="U2226" s="306"/>
      <c r="V2226" s="306"/>
      <c r="W2226" s="306"/>
      <c r="X2226" s="306"/>
      <c r="Y2226" s="306"/>
      <c r="Z2226" s="306"/>
      <c r="AA2226" s="306"/>
      <c r="AB2226" s="306"/>
      <c r="AC2226" s="306"/>
      <c r="AD2226" s="306"/>
      <c r="AE2226" s="306"/>
      <c r="AF2226" s="306"/>
      <c r="AG2226" s="306"/>
      <c r="AH2226" s="306"/>
      <c r="AI2226" s="306"/>
      <c r="AJ2226" s="306"/>
      <c r="AK2226" s="306"/>
      <c r="AL2226" s="306"/>
      <c r="AM2226" s="418"/>
      <c r="AN2226" s="418"/>
      <c r="AO2226" s="306"/>
      <c r="AP2226" s="306"/>
      <c r="AQ2226" s="418"/>
      <c r="AR2226" s="306"/>
      <c r="AS2226" s="306"/>
      <c r="AT2226" s="418"/>
      <c r="AU2226" s="306"/>
      <c r="AV2226" s="306"/>
      <c r="AW2226" s="306"/>
      <c r="AX2226" s="306"/>
      <c r="AY2226" s="306"/>
      <c r="AZ2226" s="306"/>
      <c r="BA2226" s="306"/>
      <c r="BB2226" s="306"/>
    </row>
    <row r="2227" spans="1:54" ht="15.75" customHeight="1">
      <c r="A2227" s="317"/>
      <c r="B2227" s="430"/>
      <c r="C2227" s="317"/>
      <c r="E2227" s="306"/>
      <c r="F2227" s="431"/>
      <c r="G2227" s="431"/>
      <c r="H2227" s="298"/>
      <c r="I2227" s="432"/>
      <c r="J2227" s="433"/>
      <c r="K2227" s="306"/>
      <c r="L2227" s="306"/>
      <c r="M2227" s="306"/>
      <c r="N2227" s="298"/>
      <c r="O2227" s="298"/>
      <c r="P2227" s="298"/>
      <c r="Q2227" s="306"/>
      <c r="R2227" s="1023"/>
      <c r="S2227" s="1023"/>
      <c r="T2227" s="306"/>
      <c r="U2227" s="306"/>
      <c r="V2227" s="306"/>
      <c r="W2227" s="306"/>
      <c r="X2227" s="306"/>
      <c r="Y2227" s="306"/>
      <c r="Z2227" s="306"/>
      <c r="AA2227" s="306"/>
      <c r="AB2227" s="306"/>
      <c r="AC2227" s="306"/>
      <c r="AD2227" s="306"/>
      <c r="AE2227" s="306"/>
      <c r="AF2227" s="306"/>
      <c r="AG2227" s="306"/>
      <c r="AH2227" s="306"/>
      <c r="AI2227" s="306"/>
      <c r="AJ2227" s="306"/>
      <c r="AK2227" s="306"/>
      <c r="AL2227" s="306"/>
      <c r="AM2227" s="418"/>
      <c r="AN2227" s="418"/>
      <c r="AO2227" s="306"/>
      <c r="AP2227" s="306"/>
      <c r="AQ2227" s="418"/>
      <c r="AR2227" s="306"/>
      <c r="AS2227" s="306"/>
      <c r="AT2227" s="418"/>
      <c r="AU2227" s="306"/>
      <c r="AV2227" s="306"/>
      <c r="AW2227" s="306"/>
      <c r="AX2227" s="306"/>
      <c r="AY2227" s="306"/>
      <c r="AZ2227" s="306"/>
      <c r="BA2227" s="306"/>
      <c r="BB2227" s="306"/>
    </row>
    <row r="2228" spans="1:54" ht="15.75" customHeight="1">
      <c r="A2228" s="317"/>
      <c r="B2228" s="430"/>
      <c r="C2228" s="317"/>
      <c r="E2228" s="306"/>
      <c r="F2228" s="431"/>
      <c r="G2228" s="431"/>
      <c r="H2228" s="298"/>
      <c r="I2228" s="432"/>
      <c r="J2228" s="433"/>
      <c r="K2228" s="306"/>
      <c r="L2228" s="306"/>
      <c r="M2228" s="306"/>
      <c r="N2228" s="298"/>
      <c r="O2228" s="298"/>
      <c r="P2228" s="298"/>
      <c r="Q2228" s="306"/>
      <c r="R2228" s="1023"/>
      <c r="S2228" s="1023"/>
      <c r="T2228" s="306"/>
      <c r="U2228" s="306"/>
      <c r="V2228" s="306"/>
      <c r="W2228" s="306"/>
      <c r="X2228" s="306"/>
      <c r="Y2228" s="306"/>
      <c r="Z2228" s="306"/>
      <c r="AA2228" s="306"/>
      <c r="AB2228" s="306"/>
      <c r="AC2228" s="306"/>
      <c r="AD2228" s="306"/>
      <c r="AE2228" s="306"/>
      <c r="AF2228" s="306"/>
      <c r="AG2228" s="306"/>
      <c r="AH2228" s="306"/>
      <c r="AI2228" s="306"/>
      <c r="AJ2228" s="306"/>
      <c r="AK2228" s="306"/>
      <c r="AL2228" s="306"/>
      <c r="AM2228" s="418"/>
      <c r="AN2228" s="418"/>
      <c r="AO2228" s="306"/>
      <c r="AP2228" s="306"/>
      <c r="AQ2228" s="418"/>
      <c r="AR2228" s="306"/>
      <c r="AS2228" s="306"/>
      <c r="AT2228" s="418"/>
      <c r="AU2228" s="306"/>
      <c r="AV2228" s="306"/>
      <c r="AW2228" s="306"/>
      <c r="AX2228" s="306"/>
      <c r="AY2228" s="306"/>
      <c r="AZ2228" s="306"/>
      <c r="BA2228" s="306"/>
      <c r="BB2228" s="306"/>
    </row>
    <row r="2229" spans="1:54" ht="15.75" customHeight="1">
      <c r="A2229" s="317"/>
      <c r="B2229" s="430"/>
      <c r="C2229" s="317"/>
      <c r="E2229" s="306"/>
      <c r="F2229" s="431"/>
      <c r="G2229" s="431"/>
      <c r="H2229" s="298"/>
      <c r="I2229" s="432"/>
      <c r="J2229" s="433"/>
      <c r="K2229" s="306"/>
      <c r="L2229" s="306"/>
      <c r="M2229" s="306"/>
      <c r="N2229" s="298"/>
      <c r="O2229" s="298"/>
      <c r="P2229" s="298"/>
      <c r="Q2229" s="306"/>
      <c r="R2229" s="1023"/>
      <c r="S2229" s="1023"/>
      <c r="T2229" s="306"/>
      <c r="U2229" s="306"/>
      <c r="V2229" s="306"/>
      <c r="W2229" s="306"/>
      <c r="X2229" s="306"/>
      <c r="Y2229" s="306"/>
      <c r="Z2229" s="306"/>
      <c r="AA2229" s="306"/>
      <c r="AB2229" s="306"/>
      <c r="AC2229" s="306"/>
      <c r="AD2229" s="306"/>
      <c r="AE2229" s="306"/>
      <c r="AF2229" s="306"/>
      <c r="AG2229" s="306"/>
      <c r="AH2229" s="306"/>
      <c r="AI2229" s="306"/>
      <c r="AJ2229" s="306"/>
      <c r="AK2229" s="306"/>
      <c r="AL2229" s="306"/>
      <c r="AM2229" s="418"/>
      <c r="AN2229" s="418"/>
      <c r="AO2229" s="306"/>
      <c r="AP2229" s="306"/>
      <c r="AQ2229" s="418"/>
      <c r="AR2229" s="306"/>
      <c r="AS2229" s="306"/>
      <c r="AT2229" s="418"/>
      <c r="AU2229" s="306"/>
      <c r="AV2229" s="306"/>
      <c r="AW2229" s="306"/>
      <c r="AX2229" s="306"/>
      <c r="AY2229" s="306"/>
      <c r="AZ2229" s="306"/>
      <c r="BA2229" s="306"/>
      <c r="BB2229" s="306"/>
    </row>
    <row r="2230" spans="1:54" ht="15.75" customHeight="1">
      <c r="A2230" s="317"/>
      <c r="B2230" s="430"/>
      <c r="C2230" s="317"/>
      <c r="E2230" s="306"/>
      <c r="F2230" s="431"/>
      <c r="G2230" s="431"/>
      <c r="H2230" s="298"/>
      <c r="I2230" s="432"/>
      <c r="J2230" s="433"/>
      <c r="K2230" s="306"/>
      <c r="L2230" s="306"/>
      <c r="M2230" s="306"/>
      <c r="N2230" s="298"/>
      <c r="O2230" s="298"/>
      <c r="P2230" s="298"/>
      <c r="Q2230" s="306"/>
      <c r="R2230" s="1023"/>
      <c r="S2230" s="1023"/>
      <c r="T2230" s="306"/>
      <c r="U2230" s="306"/>
      <c r="V2230" s="306"/>
      <c r="W2230" s="306"/>
      <c r="X2230" s="306"/>
      <c r="Y2230" s="306"/>
      <c r="Z2230" s="306"/>
      <c r="AA2230" s="306"/>
      <c r="AB2230" s="306"/>
      <c r="AC2230" s="306"/>
      <c r="AD2230" s="306"/>
      <c r="AE2230" s="306"/>
      <c r="AF2230" s="306"/>
      <c r="AG2230" s="306"/>
      <c r="AH2230" s="306"/>
      <c r="AI2230" s="306"/>
      <c r="AJ2230" s="306"/>
      <c r="AK2230" s="306"/>
      <c r="AL2230" s="306"/>
      <c r="AM2230" s="418"/>
      <c r="AN2230" s="418"/>
      <c r="AO2230" s="306"/>
      <c r="AP2230" s="306"/>
      <c r="AQ2230" s="418"/>
      <c r="AR2230" s="306"/>
      <c r="AS2230" s="306"/>
      <c r="AT2230" s="418"/>
      <c r="AU2230" s="306"/>
      <c r="AV2230" s="306"/>
      <c r="AW2230" s="306"/>
      <c r="AX2230" s="306"/>
      <c r="AY2230" s="306"/>
      <c r="AZ2230" s="306"/>
      <c r="BA2230" s="306"/>
      <c r="BB2230" s="306"/>
    </row>
    <row r="2231" spans="1:54" ht="15.75" customHeight="1">
      <c r="A2231" s="317"/>
      <c r="B2231" s="430"/>
      <c r="C2231" s="317"/>
      <c r="E2231" s="306"/>
      <c r="F2231" s="431"/>
      <c r="G2231" s="431"/>
      <c r="H2231" s="298"/>
      <c r="I2231" s="431"/>
      <c r="J2231" s="435"/>
      <c r="K2231" s="306"/>
      <c r="L2231" s="306"/>
      <c r="M2231" s="306"/>
      <c r="N2231" s="298"/>
      <c r="O2231" s="298"/>
      <c r="P2231" s="298"/>
      <c r="Q2231" s="306"/>
      <c r="R2231" s="1023"/>
      <c r="S2231" s="1023"/>
      <c r="T2231" s="306"/>
      <c r="U2231" s="306"/>
      <c r="V2231" s="306"/>
      <c r="W2231" s="306"/>
      <c r="X2231" s="306"/>
      <c r="Y2231" s="306"/>
      <c r="Z2231" s="306"/>
      <c r="AA2231" s="306"/>
      <c r="AB2231" s="306"/>
      <c r="AC2231" s="306"/>
      <c r="AD2231" s="306"/>
      <c r="AE2231" s="306"/>
      <c r="AF2231" s="306"/>
      <c r="AG2231" s="306"/>
      <c r="AH2231" s="306"/>
      <c r="AI2231" s="306"/>
      <c r="AJ2231" s="306"/>
      <c r="AK2231" s="306"/>
      <c r="AL2231" s="306"/>
      <c r="AM2231" s="418"/>
      <c r="AN2231" s="418"/>
      <c r="AO2231" s="306"/>
      <c r="AP2231" s="306"/>
      <c r="AQ2231" s="418"/>
      <c r="AR2231" s="306"/>
      <c r="AS2231" s="306"/>
      <c r="AT2231" s="418"/>
      <c r="AU2231" s="306"/>
      <c r="AV2231" s="306"/>
      <c r="AW2231" s="306"/>
      <c r="AX2231" s="306"/>
      <c r="AY2231" s="306"/>
      <c r="AZ2231" s="306"/>
      <c r="BA2231" s="306"/>
      <c r="BB2231" s="306"/>
    </row>
    <row r="2232" spans="1:54" ht="15.75" customHeight="1">
      <c r="A2232" s="317"/>
      <c r="B2232" s="430"/>
      <c r="C2232" s="317"/>
      <c r="E2232" s="306"/>
      <c r="F2232" s="431"/>
      <c r="G2232" s="431"/>
      <c r="H2232" s="298"/>
      <c r="I2232" s="431"/>
      <c r="J2232" s="435"/>
      <c r="K2232" s="306"/>
      <c r="L2232" s="306"/>
      <c r="M2232" s="306"/>
      <c r="N2232" s="298"/>
      <c r="O2232" s="298"/>
      <c r="P2232" s="298"/>
      <c r="Q2232" s="306"/>
      <c r="R2232" s="1023"/>
      <c r="S2232" s="1023"/>
      <c r="T2232" s="306"/>
      <c r="U2232" s="306"/>
      <c r="V2232" s="306"/>
      <c r="W2232" s="306"/>
      <c r="X2232" s="306"/>
      <c r="Y2232" s="306"/>
      <c r="Z2232" s="306"/>
      <c r="AA2232" s="306"/>
      <c r="AB2232" s="306"/>
      <c r="AC2232" s="306"/>
      <c r="AD2232" s="306"/>
      <c r="AE2232" s="306"/>
      <c r="AF2232" s="306"/>
      <c r="AG2232" s="306"/>
      <c r="AH2232" s="306"/>
      <c r="AI2232" s="306"/>
      <c r="AJ2232" s="306"/>
      <c r="AK2232" s="306"/>
      <c r="AL2232" s="306"/>
      <c r="AM2232" s="418"/>
      <c r="AN2232" s="418"/>
      <c r="AO2232" s="306"/>
      <c r="AP2232" s="306"/>
      <c r="AQ2232" s="418"/>
      <c r="AR2232" s="306"/>
      <c r="AS2232" s="306"/>
      <c r="AT2232" s="418"/>
      <c r="AU2232" s="306"/>
      <c r="AV2232" s="306"/>
      <c r="AW2232" s="306"/>
      <c r="AX2232" s="306"/>
      <c r="AY2232" s="306"/>
      <c r="AZ2232" s="306"/>
      <c r="BA2232" s="306"/>
      <c r="BB2232" s="306"/>
    </row>
    <row r="2233" spans="1:54" ht="15.75" customHeight="1">
      <c r="A2233" s="317"/>
      <c r="B2233" s="430"/>
      <c r="C2233" s="317"/>
      <c r="E2233" s="306"/>
      <c r="F2233" s="431"/>
      <c r="G2233" s="431"/>
      <c r="H2233" s="298"/>
      <c r="I2233" s="432"/>
      <c r="J2233" s="433"/>
      <c r="K2233" s="306"/>
      <c r="L2233" s="306"/>
      <c r="M2233" s="306"/>
      <c r="N2233" s="298"/>
      <c r="O2233" s="298"/>
      <c r="P2233" s="298"/>
      <c r="Q2233" s="306"/>
      <c r="R2233" s="1023"/>
      <c r="S2233" s="1023"/>
      <c r="T2233" s="306"/>
      <c r="U2233" s="306"/>
      <c r="V2233" s="306"/>
      <c r="W2233" s="306"/>
      <c r="X2233" s="306"/>
      <c r="Y2233" s="306"/>
      <c r="Z2233" s="306"/>
      <c r="AA2233" s="306"/>
      <c r="AB2233" s="306"/>
      <c r="AC2233" s="306"/>
      <c r="AD2233" s="306"/>
      <c r="AE2233" s="306"/>
      <c r="AF2233" s="306"/>
      <c r="AG2233" s="306"/>
      <c r="AH2233" s="306"/>
      <c r="AI2233" s="306"/>
      <c r="AJ2233" s="306"/>
      <c r="AK2233" s="306"/>
      <c r="AL2233" s="306"/>
      <c r="AM2233" s="418"/>
      <c r="AN2233" s="418"/>
      <c r="AO2233" s="306"/>
      <c r="AP2233" s="306"/>
      <c r="AQ2233" s="418"/>
      <c r="AR2233" s="306"/>
      <c r="AS2233" s="306"/>
      <c r="AT2233" s="418"/>
      <c r="AU2233" s="306"/>
      <c r="AV2233" s="306"/>
      <c r="AW2233" s="306"/>
      <c r="AX2233" s="306"/>
      <c r="AY2233" s="306"/>
      <c r="AZ2233" s="306"/>
      <c r="BA2233" s="306"/>
      <c r="BB2233" s="306"/>
    </row>
    <row r="2234" spans="1:54" ht="15.75" customHeight="1">
      <c r="A2234" s="317"/>
      <c r="B2234" s="430"/>
      <c r="C2234" s="317"/>
      <c r="E2234" s="306"/>
      <c r="F2234" s="431"/>
      <c r="G2234" s="431"/>
      <c r="H2234" s="298"/>
      <c r="I2234" s="432"/>
      <c r="J2234" s="433"/>
      <c r="K2234" s="306"/>
      <c r="L2234" s="306"/>
      <c r="M2234" s="306"/>
      <c r="N2234" s="298"/>
      <c r="O2234" s="298"/>
      <c r="P2234" s="298"/>
      <c r="Q2234" s="306"/>
      <c r="R2234" s="1023"/>
      <c r="S2234" s="1023"/>
      <c r="T2234" s="306"/>
      <c r="U2234" s="306"/>
      <c r="V2234" s="306"/>
      <c r="W2234" s="306"/>
      <c r="X2234" s="306"/>
      <c r="Y2234" s="306"/>
      <c r="Z2234" s="306"/>
      <c r="AA2234" s="306"/>
      <c r="AB2234" s="306"/>
      <c r="AC2234" s="306"/>
      <c r="AD2234" s="306"/>
      <c r="AE2234" s="306"/>
      <c r="AF2234" s="306"/>
      <c r="AG2234" s="306"/>
      <c r="AH2234" s="306"/>
      <c r="AI2234" s="306"/>
      <c r="AJ2234" s="306"/>
      <c r="AK2234" s="306"/>
      <c r="AL2234" s="306"/>
      <c r="AM2234" s="418"/>
      <c r="AN2234" s="418"/>
      <c r="AO2234" s="306"/>
      <c r="AP2234" s="306"/>
      <c r="AQ2234" s="418"/>
      <c r="AR2234" s="306"/>
      <c r="AS2234" s="306"/>
      <c r="AT2234" s="418"/>
      <c r="AU2234" s="306"/>
      <c r="AV2234" s="306"/>
      <c r="AW2234" s="306"/>
      <c r="AX2234" s="306"/>
      <c r="AY2234" s="306"/>
      <c r="AZ2234" s="306"/>
      <c r="BA2234" s="306"/>
      <c r="BB2234" s="306"/>
    </row>
    <row r="2235" spans="1:54" ht="15.75" customHeight="1">
      <c r="A2235" s="317"/>
      <c r="B2235" s="430"/>
      <c r="C2235" s="317"/>
      <c r="E2235" s="306"/>
      <c r="F2235" s="431"/>
      <c r="G2235" s="431"/>
      <c r="H2235" s="298"/>
      <c r="I2235" s="431"/>
      <c r="J2235" s="435"/>
      <c r="K2235" s="306"/>
      <c r="L2235" s="306"/>
      <c r="M2235" s="306"/>
      <c r="N2235" s="298"/>
      <c r="O2235" s="298"/>
      <c r="P2235" s="298"/>
      <c r="Q2235" s="306"/>
      <c r="R2235" s="1023"/>
      <c r="S2235" s="1023"/>
      <c r="T2235" s="306"/>
      <c r="U2235" s="306"/>
      <c r="V2235" s="306"/>
      <c r="W2235" s="306"/>
      <c r="X2235" s="306"/>
      <c r="Y2235" s="306"/>
      <c r="Z2235" s="306"/>
      <c r="AA2235" s="306"/>
      <c r="AB2235" s="306"/>
      <c r="AC2235" s="306"/>
      <c r="AD2235" s="306"/>
      <c r="AE2235" s="306"/>
      <c r="AF2235" s="306"/>
      <c r="AG2235" s="306"/>
      <c r="AH2235" s="306"/>
      <c r="AI2235" s="306"/>
      <c r="AJ2235" s="306"/>
      <c r="AK2235" s="306"/>
      <c r="AL2235" s="306"/>
      <c r="AM2235" s="418"/>
      <c r="AN2235" s="418"/>
      <c r="AO2235" s="306"/>
      <c r="AP2235" s="306"/>
      <c r="AQ2235" s="418"/>
      <c r="AR2235" s="306"/>
      <c r="AS2235" s="306"/>
      <c r="AT2235" s="418"/>
      <c r="AU2235" s="306"/>
      <c r="AV2235" s="306"/>
      <c r="AW2235" s="306"/>
      <c r="AX2235" s="306"/>
      <c r="AY2235" s="306"/>
      <c r="AZ2235" s="306"/>
      <c r="BA2235" s="306"/>
      <c r="BB2235" s="306"/>
    </row>
    <row r="2236" spans="1:54" ht="15.75" customHeight="1">
      <c r="A2236" s="317"/>
      <c r="B2236" s="430"/>
      <c r="C2236" s="317"/>
      <c r="E2236" s="306"/>
      <c r="F2236" s="431"/>
      <c r="G2236" s="431"/>
      <c r="H2236" s="298"/>
      <c r="I2236" s="431"/>
      <c r="J2236" s="435"/>
      <c r="K2236" s="306"/>
      <c r="L2236" s="306"/>
      <c r="M2236" s="306"/>
      <c r="N2236" s="298"/>
      <c r="O2236" s="298"/>
      <c r="P2236" s="298"/>
      <c r="Q2236" s="306"/>
      <c r="R2236" s="1023"/>
      <c r="S2236" s="1023"/>
      <c r="T2236" s="306"/>
      <c r="U2236" s="306"/>
      <c r="V2236" s="306"/>
      <c r="W2236" s="306"/>
      <c r="X2236" s="306"/>
      <c r="Y2236" s="306"/>
      <c r="Z2236" s="306"/>
      <c r="AA2236" s="306"/>
      <c r="AB2236" s="306"/>
      <c r="AC2236" s="306"/>
      <c r="AD2236" s="306"/>
      <c r="AE2236" s="306"/>
      <c r="AF2236" s="306"/>
      <c r="AG2236" s="306"/>
      <c r="AH2236" s="306"/>
      <c r="AI2236" s="306"/>
      <c r="AJ2236" s="306"/>
      <c r="AK2236" s="306"/>
      <c r="AL2236" s="306"/>
      <c r="AM2236" s="418"/>
      <c r="AN2236" s="418"/>
      <c r="AO2236" s="306"/>
      <c r="AP2236" s="306"/>
      <c r="AQ2236" s="418"/>
      <c r="AR2236" s="306"/>
      <c r="AS2236" s="306"/>
      <c r="AT2236" s="418"/>
      <c r="AU2236" s="306"/>
      <c r="AV2236" s="306"/>
      <c r="AW2236" s="306"/>
      <c r="AX2236" s="306"/>
      <c r="AY2236" s="306"/>
      <c r="AZ2236" s="306"/>
      <c r="BA2236" s="306"/>
      <c r="BB2236" s="306"/>
    </row>
    <row r="2237" spans="1:54" ht="15.75" customHeight="1">
      <c r="A2237" s="317"/>
      <c r="B2237" s="430"/>
      <c r="C2237" s="317"/>
      <c r="E2237" s="306"/>
      <c r="F2237" s="431"/>
      <c r="G2237" s="431"/>
      <c r="H2237" s="298"/>
      <c r="I2237" s="431"/>
      <c r="J2237" s="435"/>
      <c r="K2237" s="306"/>
      <c r="L2237" s="306"/>
      <c r="M2237" s="306"/>
      <c r="N2237" s="298"/>
      <c r="O2237" s="298"/>
      <c r="P2237" s="298"/>
      <c r="Q2237" s="306"/>
      <c r="R2237" s="1023"/>
      <c r="S2237" s="1023"/>
      <c r="T2237" s="306"/>
      <c r="U2237" s="306"/>
      <c r="V2237" s="306"/>
      <c r="W2237" s="306"/>
      <c r="X2237" s="306"/>
      <c r="Y2237" s="306"/>
      <c r="Z2237" s="306"/>
      <c r="AA2237" s="306"/>
      <c r="AB2237" s="306"/>
      <c r="AC2237" s="306"/>
      <c r="AD2237" s="306"/>
      <c r="AE2237" s="306"/>
      <c r="AF2237" s="306"/>
      <c r="AG2237" s="306"/>
      <c r="AH2237" s="306"/>
      <c r="AI2237" s="306"/>
      <c r="AJ2237" s="306"/>
      <c r="AK2237" s="306"/>
      <c r="AL2237" s="306"/>
      <c r="AM2237" s="418"/>
      <c r="AN2237" s="418"/>
      <c r="AO2237" s="306"/>
      <c r="AP2237" s="306"/>
      <c r="AQ2237" s="418"/>
      <c r="AR2237" s="306"/>
      <c r="AS2237" s="306"/>
      <c r="AT2237" s="418"/>
      <c r="AU2237" s="306"/>
      <c r="AV2237" s="306"/>
      <c r="AW2237" s="306"/>
      <c r="AX2237" s="306"/>
      <c r="AY2237" s="306"/>
      <c r="AZ2237" s="306"/>
      <c r="BA2237" s="306"/>
      <c r="BB2237" s="306"/>
    </row>
    <row r="2238" spans="1:54" ht="15.75" customHeight="1">
      <c r="A2238" s="317"/>
      <c r="B2238" s="430"/>
      <c r="C2238" s="317"/>
      <c r="E2238" s="306"/>
      <c r="F2238" s="431"/>
      <c r="G2238" s="431"/>
      <c r="H2238" s="298"/>
      <c r="I2238" s="431"/>
      <c r="J2238" s="435"/>
      <c r="K2238" s="306"/>
      <c r="L2238" s="306"/>
      <c r="M2238" s="306"/>
      <c r="N2238" s="298"/>
      <c r="O2238" s="298"/>
      <c r="P2238" s="298"/>
      <c r="Q2238" s="306"/>
      <c r="R2238" s="1023"/>
      <c r="S2238" s="1023"/>
      <c r="T2238" s="306"/>
      <c r="U2238" s="306"/>
      <c r="V2238" s="306"/>
      <c r="W2238" s="306"/>
      <c r="X2238" s="306"/>
      <c r="Y2238" s="306"/>
      <c r="Z2238" s="306"/>
      <c r="AA2238" s="306"/>
      <c r="AB2238" s="306"/>
      <c r="AC2238" s="306"/>
      <c r="AD2238" s="306"/>
      <c r="AE2238" s="306"/>
      <c r="AF2238" s="306"/>
      <c r="AG2238" s="306"/>
      <c r="AH2238" s="306"/>
      <c r="AI2238" s="306"/>
      <c r="AJ2238" s="306"/>
      <c r="AK2238" s="306"/>
      <c r="AL2238" s="306"/>
      <c r="AM2238" s="418"/>
      <c r="AN2238" s="418"/>
      <c r="AO2238" s="306"/>
      <c r="AP2238" s="306"/>
      <c r="AQ2238" s="418"/>
      <c r="AR2238" s="306"/>
      <c r="AS2238" s="306"/>
      <c r="AT2238" s="418"/>
      <c r="AU2238" s="306"/>
      <c r="AV2238" s="306"/>
      <c r="AW2238" s="306"/>
      <c r="AX2238" s="306"/>
      <c r="AY2238" s="306"/>
      <c r="AZ2238" s="306"/>
      <c r="BA2238" s="306"/>
      <c r="BB2238" s="306"/>
    </row>
    <row r="2239" spans="1:54" ht="15.75" customHeight="1">
      <c r="A2239" s="317"/>
      <c r="B2239" s="430"/>
      <c r="C2239" s="317"/>
      <c r="E2239" s="306"/>
      <c r="F2239" s="431"/>
      <c r="G2239" s="431"/>
      <c r="H2239" s="298"/>
      <c r="I2239" s="431"/>
      <c r="J2239" s="435"/>
      <c r="K2239" s="306"/>
      <c r="L2239" s="306"/>
      <c r="M2239" s="306"/>
      <c r="N2239" s="298"/>
      <c r="O2239" s="298"/>
      <c r="P2239" s="298"/>
      <c r="Q2239" s="306"/>
      <c r="R2239" s="1023"/>
      <c r="S2239" s="1023"/>
      <c r="T2239" s="306"/>
      <c r="U2239" s="306"/>
      <c r="V2239" s="306"/>
      <c r="W2239" s="306"/>
      <c r="X2239" s="306"/>
      <c r="Y2239" s="306"/>
      <c r="Z2239" s="306"/>
      <c r="AA2239" s="306"/>
      <c r="AB2239" s="306"/>
      <c r="AC2239" s="306"/>
      <c r="AD2239" s="306"/>
      <c r="AE2239" s="306"/>
      <c r="AF2239" s="306"/>
      <c r="AG2239" s="306"/>
      <c r="AH2239" s="306"/>
      <c r="AI2239" s="306"/>
      <c r="AJ2239" s="306"/>
      <c r="AK2239" s="306"/>
      <c r="AL2239" s="306"/>
      <c r="AM2239" s="418"/>
      <c r="AN2239" s="418"/>
      <c r="AO2239" s="306"/>
      <c r="AP2239" s="306"/>
      <c r="AQ2239" s="418"/>
      <c r="AR2239" s="306"/>
      <c r="AS2239" s="306"/>
      <c r="AT2239" s="418"/>
      <c r="AU2239" s="306"/>
      <c r="AV2239" s="306"/>
      <c r="AW2239" s="306"/>
      <c r="AX2239" s="306"/>
      <c r="AY2239" s="306"/>
      <c r="AZ2239" s="306"/>
      <c r="BA2239" s="306"/>
      <c r="BB2239" s="306"/>
    </row>
    <row r="2240" spans="1:54" ht="15.75" customHeight="1">
      <c r="A2240" s="317"/>
      <c r="B2240" s="430"/>
      <c r="C2240" s="317"/>
      <c r="E2240" s="306"/>
      <c r="F2240" s="431"/>
      <c r="G2240" s="431"/>
      <c r="H2240" s="298"/>
      <c r="I2240" s="431"/>
      <c r="J2240" s="435"/>
      <c r="K2240" s="306"/>
      <c r="L2240" s="306"/>
      <c r="M2240" s="306"/>
      <c r="N2240" s="298"/>
      <c r="O2240" s="298"/>
      <c r="P2240" s="298"/>
      <c r="Q2240" s="306"/>
      <c r="R2240" s="1023"/>
      <c r="S2240" s="1023"/>
      <c r="T2240" s="306"/>
      <c r="U2240" s="306"/>
      <c r="V2240" s="306"/>
      <c r="W2240" s="306"/>
      <c r="X2240" s="306"/>
      <c r="Y2240" s="306"/>
      <c r="Z2240" s="306"/>
      <c r="AA2240" s="306"/>
      <c r="AB2240" s="306"/>
      <c r="AC2240" s="306"/>
      <c r="AD2240" s="306"/>
      <c r="AE2240" s="306"/>
      <c r="AF2240" s="306"/>
      <c r="AG2240" s="306"/>
      <c r="AH2240" s="306"/>
      <c r="AI2240" s="306"/>
      <c r="AJ2240" s="306"/>
      <c r="AK2240" s="306"/>
      <c r="AL2240" s="306"/>
      <c r="AM2240" s="418"/>
      <c r="AN2240" s="418"/>
      <c r="AO2240" s="306"/>
      <c r="AP2240" s="306"/>
      <c r="AQ2240" s="418"/>
      <c r="AR2240" s="306"/>
      <c r="AS2240" s="306"/>
      <c r="AT2240" s="418"/>
      <c r="AU2240" s="306"/>
      <c r="AV2240" s="306"/>
      <c r="AW2240" s="306"/>
      <c r="AX2240" s="306"/>
      <c r="AY2240" s="306"/>
      <c r="AZ2240" s="306"/>
      <c r="BA2240" s="306"/>
      <c r="BB2240" s="306"/>
    </row>
    <row r="2241" spans="1:54" ht="15.75" customHeight="1">
      <c r="A2241" s="317"/>
      <c r="B2241" s="430"/>
      <c r="C2241" s="317"/>
      <c r="E2241" s="306"/>
      <c r="F2241" s="431"/>
      <c r="G2241" s="431"/>
      <c r="H2241" s="298"/>
      <c r="I2241" s="431"/>
      <c r="J2241" s="435"/>
      <c r="K2241" s="306"/>
      <c r="L2241" s="306"/>
      <c r="M2241" s="306"/>
      <c r="N2241" s="298"/>
      <c r="O2241" s="298"/>
      <c r="P2241" s="298"/>
      <c r="Q2241" s="306"/>
      <c r="R2241" s="1023"/>
      <c r="S2241" s="1023"/>
      <c r="T2241" s="306"/>
      <c r="U2241" s="306"/>
      <c r="V2241" s="306"/>
      <c r="W2241" s="306"/>
      <c r="X2241" s="306"/>
      <c r="Y2241" s="306"/>
      <c r="Z2241" s="306"/>
      <c r="AA2241" s="306"/>
      <c r="AB2241" s="306"/>
      <c r="AC2241" s="306"/>
      <c r="AD2241" s="306"/>
      <c r="AE2241" s="306"/>
      <c r="AF2241" s="306"/>
      <c r="AG2241" s="306"/>
      <c r="AH2241" s="306"/>
      <c r="AI2241" s="306"/>
      <c r="AJ2241" s="306"/>
      <c r="AK2241" s="306"/>
      <c r="AL2241" s="306"/>
      <c r="AM2241" s="418"/>
      <c r="AN2241" s="418"/>
      <c r="AO2241" s="306"/>
      <c r="AP2241" s="306"/>
      <c r="AQ2241" s="418"/>
      <c r="AR2241" s="306"/>
      <c r="AS2241" s="306"/>
      <c r="AT2241" s="418"/>
      <c r="AU2241" s="306"/>
      <c r="AV2241" s="306"/>
      <c r="AW2241" s="306"/>
      <c r="AX2241" s="306"/>
      <c r="AY2241" s="306"/>
      <c r="AZ2241" s="306"/>
      <c r="BA2241" s="306"/>
      <c r="BB2241" s="306"/>
    </row>
    <row r="2242" spans="1:54" ht="15.75" customHeight="1">
      <c r="A2242" s="317"/>
      <c r="B2242" s="430"/>
      <c r="C2242" s="317"/>
      <c r="E2242" s="306"/>
      <c r="F2242" s="431"/>
      <c r="G2242" s="431"/>
      <c r="H2242" s="298"/>
      <c r="I2242" s="431"/>
      <c r="J2242" s="435"/>
      <c r="K2242" s="306"/>
      <c r="L2242" s="306"/>
      <c r="M2242" s="306"/>
      <c r="N2242" s="298"/>
      <c r="O2242" s="298"/>
      <c r="P2242" s="298"/>
      <c r="Q2242" s="306"/>
      <c r="R2242" s="1023"/>
      <c r="S2242" s="1023"/>
      <c r="T2242" s="306"/>
      <c r="U2242" s="306"/>
      <c r="V2242" s="306"/>
      <c r="W2242" s="306"/>
      <c r="X2242" s="306"/>
      <c r="Y2242" s="306"/>
      <c r="Z2242" s="306"/>
      <c r="AA2242" s="306"/>
      <c r="AB2242" s="306"/>
      <c r="AC2242" s="306"/>
      <c r="AD2242" s="306"/>
      <c r="AE2242" s="306"/>
      <c r="AF2242" s="306"/>
      <c r="AG2242" s="306"/>
      <c r="AH2242" s="306"/>
      <c r="AI2242" s="306"/>
      <c r="AJ2242" s="306"/>
      <c r="AK2242" s="306"/>
      <c r="AL2242" s="306"/>
      <c r="AM2242" s="418"/>
      <c r="AN2242" s="418"/>
      <c r="AO2242" s="306"/>
      <c r="AP2242" s="306"/>
      <c r="AQ2242" s="418"/>
      <c r="AR2242" s="306"/>
      <c r="AS2242" s="306"/>
      <c r="AT2242" s="418"/>
      <c r="AU2242" s="306"/>
      <c r="AV2242" s="306"/>
      <c r="AW2242" s="306"/>
      <c r="AX2242" s="306"/>
      <c r="AY2242" s="306"/>
      <c r="AZ2242" s="306"/>
      <c r="BA2242" s="306"/>
      <c r="BB2242" s="306"/>
    </row>
    <row r="2243" spans="1:54" ht="15.75" customHeight="1">
      <c r="A2243" s="317"/>
      <c r="B2243" s="430"/>
      <c r="C2243" s="317"/>
      <c r="E2243" s="306"/>
      <c r="F2243" s="431"/>
      <c r="G2243" s="431"/>
      <c r="H2243" s="298"/>
      <c r="I2243" s="432"/>
      <c r="J2243" s="433"/>
      <c r="K2243" s="306"/>
      <c r="L2243" s="306"/>
      <c r="M2243" s="306"/>
      <c r="N2243" s="298"/>
      <c r="O2243" s="298"/>
      <c r="P2243" s="298"/>
      <c r="Q2243" s="306"/>
      <c r="R2243" s="1023"/>
      <c r="S2243" s="1023"/>
      <c r="T2243" s="306"/>
      <c r="U2243" s="306"/>
      <c r="V2243" s="306"/>
      <c r="W2243" s="306"/>
      <c r="X2243" s="306"/>
      <c r="Y2243" s="306"/>
      <c r="Z2243" s="306"/>
      <c r="AA2243" s="306"/>
      <c r="AB2243" s="306"/>
      <c r="AC2243" s="306"/>
      <c r="AD2243" s="306"/>
      <c r="AE2243" s="306"/>
      <c r="AF2243" s="306"/>
      <c r="AG2243" s="306"/>
      <c r="AH2243" s="306"/>
      <c r="AI2243" s="306"/>
      <c r="AJ2243" s="306"/>
      <c r="AK2243" s="306"/>
      <c r="AL2243" s="306"/>
      <c r="AM2243" s="418"/>
      <c r="AN2243" s="418"/>
      <c r="AO2243" s="306"/>
      <c r="AP2243" s="306"/>
      <c r="AQ2243" s="418"/>
      <c r="AR2243" s="306"/>
      <c r="AS2243" s="306"/>
      <c r="AT2243" s="418"/>
      <c r="AU2243" s="306"/>
      <c r="AV2243" s="306"/>
      <c r="AW2243" s="306"/>
      <c r="AX2243" s="306"/>
      <c r="AY2243" s="306"/>
      <c r="AZ2243" s="306"/>
      <c r="BA2243" s="306"/>
      <c r="BB2243" s="306"/>
    </row>
    <row r="2244" spans="1:54" ht="15.75" customHeight="1">
      <c r="A2244" s="317"/>
      <c r="B2244" s="430"/>
      <c r="C2244" s="317"/>
      <c r="E2244" s="306"/>
      <c r="F2244" s="431"/>
      <c r="G2244" s="431"/>
      <c r="H2244" s="298"/>
      <c r="I2244" s="432"/>
      <c r="J2244" s="433"/>
      <c r="K2244" s="306"/>
      <c r="L2244" s="306"/>
      <c r="M2244" s="306"/>
      <c r="N2244" s="298"/>
      <c r="O2244" s="298"/>
      <c r="P2244" s="298"/>
      <c r="Q2244" s="306"/>
      <c r="R2244" s="1023"/>
      <c r="S2244" s="1023"/>
      <c r="T2244" s="306"/>
      <c r="U2244" s="306"/>
      <c r="V2244" s="306"/>
      <c r="W2244" s="306"/>
      <c r="X2244" s="306"/>
      <c r="Y2244" s="306"/>
      <c r="Z2244" s="306"/>
      <c r="AA2244" s="306"/>
      <c r="AB2244" s="306"/>
      <c r="AC2244" s="306"/>
      <c r="AD2244" s="306"/>
      <c r="AE2244" s="306"/>
      <c r="AF2244" s="306"/>
      <c r="AG2244" s="306"/>
      <c r="AH2244" s="306"/>
      <c r="AI2244" s="306"/>
      <c r="AJ2244" s="306"/>
      <c r="AK2244" s="306"/>
      <c r="AL2244" s="306"/>
      <c r="AM2244" s="418"/>
      <c r="AN2244" s="418"/>
      <c r="AO2244" s="306"/>
      <c r="AP2244" s="306"/>
      <c r="AQ2244" s="418"/>
      <c r="AR2244" s="306"/>
      <c r="AS2244" s="306"/>
      <c r="AT2244" s="418"/>
      <c r="AU2244" s="306"/>
      <c r="AV2244" s="306"/>
      <c r="AW2244" s="306"/>
      <c r="AX2244" s="306"/>
      <c r="AY2244" s="306"/>
      <c r="AZ2244" s="306"/>
      <c r="BA2244" s="306"/>
      <c r="BB2244" s="306"/>
    </row>
    <row r="2245" spans="1:54" ht="15.75" customHeight="1">
      <c r="A2245" s="317"/>
      <c r="B2245" s="430"/>
      <c r="C2245" s="317"/>
      <c r="E2245" s="306"/>
      <c r="F2245" s="431"/>
      <c r="G2245" s="431"/>
      <c r="H2245" s="298"/>
      <c r="I2245" s="432"/>
      <c r="J2245" s="433"/>
      <c r="K2245" s="306"/>
      <c r="L2245" s="306"/>
      <c r="M2245" s="306"/>
      <c r="N2245" s="298"/>
      <c r="O2245" s="298"/>
      <c r="P2245" s="298"/>
      <c r="Q2245" s="306"/>
      <c r="R2245" s="1023"/>
      <c r="S2245" s="1023"/>
      <c r="T2245" s="306"/>
      <c r="U2245" s="306"/>
      <c r="V2245" s="306"/>
      <c r="W2245" s="306"/>
      <c r="X2245" s="306"/>
      <c r="Y2245" s="306"/>
      <c r="Z2245" s="306"/>
      <c r="AA2245" s="306"/>
      <c r="AB2245" s="306"/>
      <c r="AC2245" s="306"/>
      <c r="AD2245" s="306"/>
      <c r="AE2245" s="306"/>
      <c r="AF2245" s="306"/>
      <c r="AG2245" s="306"/>
      <c r="AH2245" s="306"/>
      <c r="AI2245" s="306"/>
      <c r="AJ2245" s="306"/>
      <c r="AK2245" s="306"/>
      <c r="AL2245" s="306"/>
      <c r="AM2245" s="418"/>
      <c r="AN2245" s="418"/>
      <c r="AO2245" s="306"/>
      <c r="AP2245" s="306"/>
      <c r="AQ2245" s="418"/>
      <c r="AR2245" s="306"/>
      <c r="AS2245" s="306"/>
      <c r="AT2245" s="418"/>
      <c r="AU2245" s="306"/>
      <c r="AV2245" s="306"/>
      <c r="AW2245" s="306"/>
      <c r="AX2245" s="306"/>
      <c r="AY2245" s="306"/>
      <c r="AZ2245" s="306"/>
      <c r="BA2245" s="306"/>
      <c r="BB2245" s="306"/>
    </row>
    <row r="2246" spans="1:54" ht="15.75" customHeight="1">
      <c r="A2246" s="317"/>
      <c r="B2246" s="430"/>
      <c r="C2246" s="317"/>
      <c r="E2246" s="306"/>
      <c r="F2246" s="431"/>
      <c r="G2246" s="431"/>
      <c r="H2246" s="298"/>
      <c r="I2246" s="432"/>
      <c r="J2246" s="433"/>
      <c r="K2246" s="306"/>
      <c r="L2246" s="306"/>
      <c r="M2246" s="306"/>
      <c r="N2246" s="298"/>
      <c r="O2246" s="298"/>
      <c r="P2246" s="298"/>
      <c r="Q2246" s="306"/>
      <c r="R2246" s="1023"/>
      <c r="S2246" s="1023"/>
      <c r="T2246" s="306"/>
      <c r="U2246" s="306"/>
      <c r="V2246" s="306"/>
      <c r="W2246" s="306"/>
      <c r="X2246" s="306"/>
      <c r="Y2246" s="306"/>
      <c r="Z2246" s="306"/>
      <c r="AA2246" s="306"/>
      <c r="AB2246" s="306"/>
      <c r="AC2246" s="306"/>
      <c r="AD2246" s="306"/>
      <c r="AE2246" s="306"/>
      <c r="AF2246" s="306"/>
      <c r="AG2246" s="306"/>
      <c r="AH2246" s="306"/>
      <c r="AI2246" s="306"/>
      <c r="AJ2246" s="306"/>
      <c r="AK2246" s="306"/>
      <c r="AL2246" s="306"/>
      <c r="AM2246" s="418"/>
      <c r="AN2246" s="418"/>
      <c r="AO2246" s="306"/>
      <c r="AP2246" s="306"/>
      <c r="AQ2246" s="418"/>
      <c r="AR2246" s="306"/>
      <c r="AS2246" s="306"/>
      <c r="AT2246" s="418"/>
      <c r="AU2246" s="306"/>
      <c r="AV2246" s="306"/>
      <c r="AW2246" s="306"/>
      <c r="AX2246" s="306"/>
      <c r="AY2246" s="306"/>
      <c r="AZ2246" s="306"/>
      <c r="BA2246" s="306"/>
      <c r="BB2246" s="306"/>
    </row>
    <row r="2247" spans="1:54" ht="15.75" customHeight="1">
      <c r="A2247" s="317"/>
      <c r="B2247" s="430"/>
      <c r="C2247" s="317"/>
      <c r="E2247" s="306"/>
      <c r="F2247" s="431"/>
      <c r="G2247" s="431"/>
      <c r="H2247" s="298"/>
      <c r="I2247" s="432"/>
      <c r="J2247" s="433"/>
      <c r="K2247" s="306"/>
      <c r="L2247" s="306"/>
      <c r="M2247" s="306"/>
      <c r="N2247" s="298"/>
      <c r="O2247" s="298"/>
      <c r="P2247" s="298"/>
      <c r="Q2247" s="306"/>
      <c r="R2247" s="1023"/>
      <c r="S2247" s="1023"/>
      <c r="T2247" s="306"/>
      <c r="U2247" s="306"/>
      <c r="V2247" s="306"/>
      <c r="W2247" s="306"/>
      <c r="X2247" s="306"/>
      <c r="Y2247" s="306"/>
      <c r="Z2247" s="306"/>
      <c r="AA2247" s="306"/>
      <c r="AB2247" s="306"/>
      <c r="AC2247" s="306"/>
      <c r="AD2247" s="306"/>
      <c r="AE2247" s="306"/>
      <c r="AF2247" s="306"/>
      <c r="AG2247" s="306"/>
      <c r="AH2247" s="306"/>
      <c r="AI2247" s="306"/>
      <c r="AJ2247" s="306"/>
      <c r="AK2247" s="306"/>
      <c r="AL2247" s="306"/>
      <c r="AM2247" s="418"/>
      <c r="AN2247" s="418"/>
      <c r="AO2247" s="306"/>
      <c r="AP2247" s="306"/>
      <c r="AQ2247" s="418"/>
      <c r="AR2247" s="306"/>
      <c r="AS2247" s="306"/>
      <c r="AT2247" s="418"/>
      <c r="AU2247" s="306"/>
      <c r="AV2247" s="306"/>
      <c r="AW2247" s="306"/>
      <c r="AX2247" s="306"/>
      <c r="AY2247" s="306"/>
      <c r="AZ2247" s="306"/>
      <c r="BA2247" s="306"/>
      <c r="BB2247" s="306"/>
    </row>
    <row r="2248" spans="1:54" ht="15.75" customHeight="1">
      <c r="A2248" s="317"/>
      <c r="B2248" s="430"/>
      <c r="C2248" s="317"/>
      <c r="E2248" s="306"/>
      <c r="F2248" s="431"/>
      <c r="G2248" s="431"/>
      <c r="H2248" s="298"/>
      <c r="I2248" s="432"/>
      <c r="J2248" s="433"/>
      <c r="K2248" s="306"/>
      <c r="L2248" s="306"/>
      <c r="M2248" s="306"/>
      <c r="N2248" s="298"/>
      <c r="O2248" s="298"/>
      <c r="P2248" s="298"/>
      <c r="Q2248" s="306"/>
      <c r="R2248" s="1023"/>
      <c r="S2248" s="1023"/>
      <c r="T2248" s="306"/>
      <c r="U2248" s="306"/>
      <c r="V2248" s="306"/>
      <c r="W2248" s="306"/>
      <c r="X2248" s="306"/>
      <c r="Y2248" s="306"/>
      <c r="Z2248" s="306"/>
      <c r="AA2248" s="306"/>
      <c r="AB2248" s="306"/>
      <c r="AC2248" s="306"/>
      <c r="AD2248" s="306"/>
      <c r="AE2248" s="306"/>
      <c r="AF2248" s="306"/>
      <c r="AG2248" s="306"/>
      <c r="AH2248" s="306"/>
      <c r="AI2248" s="306"/>
      <c r="AJ2248" s="306"/>
      <c r="AK2248" s="306"/>
      <c r="AL2248" s="306"/>
      <c r="AM2248" s="418"/>
      <c r="AN2248" s="418"/>
      <c r="AO2248" s="306"/>
      <c r="AP2248" s="306"/>
      <c r="AQ2248" s="418"/>
      <c r="AR2248" s="306"/>
      <c r="AS2248" s="306"/>
      <c r="AT2248" s="418"/>
      <c r="AU2248" s="306"/>
      <c r="AV2248" s="306"/>
      <c r="AW2248" s="306"/>
      <c r="AX2248" s="306"/>
      <c r="AY2248" s="306"/>
      <c r="AZ2248" s="306"/>
      <c r="BA2248" s="306"/>
      <c r="BB2248" s="306"/>
    </row>
    <row r="2249" spans="1:54" ht="15.75" customHeight="1">
      <c r="A2249" s="317"/>
      <c r="B2249" s="430"/>
      <c r="C2249" s="317"/>
      <c r="E2249" s="306"/>
      <c r="F2249" s="431"/>
      <c r="G2249" s="431"/>
      <c r="H2249" s="298"/>
      <c r="I2249" s="432"/>
      <c r="J2249" s="433"/>
      <c r="K2249" s="306"/>
      <c r="L2249" s="306"/>
      <c r="M2249" s="306"/>
      <c r="N2249" s="298"/>
      <c r="O2249" s="298"/>
      <c r="P2249" s="298"/>
      <c r="Q2249" s="306"/>
      <c r="R2249" s="1023"/>
      <c r="S2249" s="1023"/>
      <c r="T2249" s="306"/>
      <c r="U2249" s="306"/>
      <c r="V2249" s="306"/>
      <c r="W2249" s="306"/>
      <c r="X2249" s="306"/>
      <c r="Y2249" s="306"/>
      <c r="Z2249" s="306"/>
      <c r="AA2249" s="306"/>
      <c r="AB2249" s="306"/>
      <c r="AC2249" s="306"/>
      <c r="AD2249" s="306"/>
      <c r="AE2249" s="306"/>
      <c r="AF2249" s="306"/>
      <c r="AG2249" s="306"/>
      <c r="AH2249" s="306"/>
      <c r="AI2249" s="306"/>
      <c r="AJ2249" s="306"/>
      <c r="AK2249" s="306"/>
      <c r="AL2249" s="306"/>
      <c r="AM2249" s="418"/>
      <c r="AN2249" s="418"/>
      <c r="AO2249" s="306"/>
      <c r="AP2249" s="306"/>
      <c r="AQ2249" s="418"/>
      <c r="AR2249" s="306"/>
      <c r="AS2249" s="306"/>
      <c r="AT2249" s="418"/>
      <c r="AU2249" s="306"/>
      <c r="AV2249" s="306"/>
      <c r="AW2249" s="306"/>
      <c r="AX2249" s="306"/>
      <c r="AY2249" s="306"/>
      <c r="AZ2249" s="306"/>
      <c r="BA2249" s="306"/>
      <c r="BB2249" s="306"/>
    </row>
    <row r="2250" spans="1:54" ht="15.75" customHeight="1">
      <c r="A2250" s="317"/>
      <c r="B2250" s="430"/>
      <c r="C2250" s="317"/>
      <c r="E2250" s="306"/>
      <c r="F2250" s="431"/>
      <c r="G2250" s="431"/>
      <c r="H2250" s="298"/>
      <c r="I2250" s="432"/>
      <c r="J2250" s="433"/>
      <c r="K2250" s="306"/>
      <c r="L2250" s="306"/>
      <c r="M2250" s="306"/>
      <c r="N2250" s="298"/>
      <c r="O2250" s="298"/>
      <c r="P2250" s="298"/>
      <c r="Q2250" s="306"/>
      <c r="R2250" s="1023"/>
      <c r="S2250" s="1023"/>
      <c r="T2250" s="306"/>
      <c r="U2250" s="306"/>
      <c r="V2250" s="306"/>
      <c r="W2250" s="306"/>
      <c r="X2250" s="306"/>
      <c r="Y2250" s="306"/>
      <c r="Z2250" s="306"/>
      <c r="AA2250" s="306"/>
      <c r="AB2250" s="306"/>
      <c r="AC2250" s="306"/>
      <c r="AD2250" s="306"/>
      <c r="AE2250" s="306"/>
      <c r="AF2250" s="306"/>
      <c r="AG2250" s="306"/>
      <c r="AH2250" s="306"/>
      <c r="AI2250" s="306"/>
      <c r="AJ2250" s="306"/>
      <c r="AK2250" s="306"/>
      <c r="AL2250" s="306"/>
      <c r="AM2250" s="418"/>
      <c r="AN2250" s="418"/>
      <c r="AO2250" s="306"/>
      <c r="AP2250" s="306"/>
      <c r="AQ2250" s="418"/>
      <c r="AR2250" s="306"/>
      <c r="AS2250" s="306"/>
      <c r="AT2250" s="418"/>
      <c r="AU2250" s="306"/>
      <c r="AV2250" s="306"/>
      <c r="AW2250" s="306"/>
      <c r="AX2250" s="306"/>
      <c r="AY2250" s="306"/>
      <c r="AZ2250" s="306"/>
      <c r="BA2250" s="306"/>
      <c r="BB2250" s="306"/>
    </row>
    <row r="2251" spans="1:54" ht="15.75" customHeight="1">
      <c r="A2251" s="317"/>
      <c r="B2251" s="430"/>
      <c r="C2251" s="317"/>
      <c r="E2251" s="306"/>
      <c r="F2251" s="431"/>
      <c r="G2251" s="431"/>
      <c r="H2251" s="298"/>
      <c r="I2251" s="432"/>
      <c r="J2251" s="433"/>
      <c r="K2251" s="306"/>
      <c r="L2251" s="306"/>
      <c r="M2251" s="306"/>
      <c r="N2251" s="298"/>
      <c r="O2251" s="298"/>
      <c r="P2251" s="298"/>
      <c r="Q2251" s="306"/>
      <c r="R2251" s="1023"/>
      <c r="S2251" s="1023"/>
      <c r="T2251" s="306"/>
      <c r="U2251" s="306"/>
      <c r="V2251" s="306"/>
      <c r="W2251" s="306"/>
      <c r="X2251" s="306"/>
      <c r="Y2251" s="306"/>
      <c r="Z2251" s="306"/>
      <c r="AA2251" s="306"/>
      <c r="AB2251" s="306"/>
      <c r="AC2251" s="306"/>
      <c r="AD2251" s="306"/>
      <c r="AE2251" s="306"/>
      <c r="AF2251" s="306"/>
      <c r="AG2251" s="306"/>
      <c r="AH2251" s="306"/>
      <c r="AI2251" s="306"/>
      <c r="AJ2251" s="306"/>
      <c r="AK2251" s="306"/>
      <c r="AL2251" s="306"/>
      <c r="AM2251" s="418"/>
      <c r="AN2251" s="418"/>
      <c r="AO2251" s="306"/>
      <c r="AP2251" s="306"/>
      <c r="AQ2251" s="418"/>
      <c r="AR2251" s="306"/>
      <c r="AS2251" s="306"/>
      <c r="AT2251" s="418"/>
      <c r="AU2251" s="306"/>
      <c r="AV2251" s="306"/>
      <c r="AW2251" s="306"/>
      <c r="AX2251" s="306"/>
      <c r="AY2251" s="306"/>
      <c r="AZ2251" s="306"/>
      <c r="BA2251" s="306"/>
      <c r="BB2251" s="306"/>
    </row>
    <row r="2252" spans="1:54" ht="15.75" customHeight="1">
      <c r="A2252" s="317"/>
      <c r="B2252" s="430"/>
      <c r="C2252" s="317"/>
      <c r="E2252" s="306"/>
      <c r="F2252" s="431"/>
      <c r="G2252" s="431"/>
      <c r="H2252" s="298"/>
      <c r="I2252" s="431"/>
      <c r="J2252" s="435"/>
      <c r="K2252" s="306"/>
      <c r="L2252" s="306"/>
      <c r="M2252" s="306"/>
      <c r="N2252" s="298"/>
      <c r="O2252" s="298"/>
      <c r="P2252" s="298"/>
      <c r="Q2252" s="306"/>
      <c r="R2252" s="1023"/>
      <c r="S2252" s="1023"/>
      <c r="T2252" s="306"/>
      <c r="U2252" s="306"/>
      <c r="V2252" s="306"/>
      <c r="W2252" s="306"/>
      <c r="X2252" s="306"/>
      <c r="Y2252" s="306"/>
      <c r="Z2252" s="306"/>
      <c r="AA2252" s="306"/>
      <c r="AB2252" s="306"/>
      <c r="AC2252" s="306"/>
      <c r="AD2252" s="306"/>
      <c r="AE2252" s="306"/>
      <c r="AF2252" s="306"/>
      <c r="AG2252" s="306"/>
      <c r="AH2252" s="306"/>
      <c r="AI2252" s="306"/>
      <c r="AJ2252" s="306"/>
      <c r="AK2252" s="306"/>
      <c r="AL2252" s="306"/>
      <c r="AM2252" s="418"/>
      <c r="AN2252" s="418"/>
      <c r="AO2252" s="306"/>
      <c r="AP2252" s="306"/>
      <c r="AQ2252" s="418"/>
      <c r="AR2252" s="306"/>
      <c r="AS2252" s="306"/>
      <c r="AT2252" s="418"/>
      <c r="AU2252" s="306"/>
      <c r="AV2252" s="306"/>
      <c r="AW2252" s="306"/>
      <c r="AX2252" s="306"/>
      <c r="AY2252" s="306"/>
      <c r="AZ2252" s="306"/>
      <c r="BA2252" s="306"/>
      <c r="BB2252" s="306"/>
    </row>
    <row r="2253" spans="1:54" ht="15.75" customHeight="1">
      <c r="A2253" s="317"/>
      <c r="B2253" s="430"/>
      <c r="C2253" s="317"/>
      <c r="E2253" s="306"/>
      <c r="F2253" s="431"/>
      <c r="G2253" s="431"/>
      <c r="H2253" s="298"/>
      <c r="I2253" s="431"/>
      <c r="J2253" s="435"/>
      <c r="K2253" s="306"/>
      <c r="L2253" s="306"/>
      <c r="M2253" s="306"/>
      <c r="N2253" s="298"/>
      <c r="O2253" s="298"/>
      <c r="P2253" s="298"/>
      <c r="Q2253" s="306"/>
      <c r="R2253" s="1023"/>
      <c r="S2253" s="1023"/>
      <c r="T2253" s="306"/>
      <c r="U2253" s="306"/>
      <c r="V2253" s="306"/>
      <c r="W2253" s="306"/>
      <c r="X2253" s="306"/>
      <c r="Y2253" s="306"/>
      <c r="Z2253" s="306"/>
      <c r="AA2253" s="306"/>
      <c r="AB2253" s="306"/>
      <c r="AC2253" s="306"/>
      <c r="AD2253" s="306"/>
      <c r="AE2253" s="306"/>
      <c r="AF2253" s="306"/>
      <c r="AG2253" s="306"/>
      <c r="AH2253" s="306"/>
      <c r="AI2253" s="306"/>
      <c r="AJ2253" s="306"/>
      <c r="AK2253" s="306"/>
      <c r="AL2253" s="306"/>
      <c r="AM2253" s="418"/>
      <c r="AN2253" s="418"/>
      <c r="AO2253" s="306"/>
      <c r="AP2253" s="306"/>
      <c r="AQ2253" s="418"/>
      <c r="AR2253" s="306"/>
      <c r="AS2253" s="306"/>
      <c r="AT2253" s="418"/>
      <c r="AU2253" s="306"/>
      <c r="AV2253" s="306"/>
      <c r="AW2253" s="306"/>
      <c r="AX2253" s="306"/>
      <c r="AY2253" s="306"/>
      <c r="AZ2253" s="306"/>
      <c r="BA2253" s="306"/>
      <c r="BB2253" s="306"/>
    </row>
    <row r="2254" spans="1:54" ht="15.75" customHeight="1">
      <c r="A2254" s="317"/>
      <c r="B2254" s="430"/>
      <c r="C2254" s="317"/>
      <c r="E2254" s="306"/>
      <c r="F2254" s="431"/>
      <c r="G2254" s="431"/>
      <c r="H2254" s="298"/>
      <c r="I2254" s="432"/>
      <c r="J2254" s="433"/>
      <c r="K2254" s="306"/>
      <c r="L2254" s="306"/>
      <c r="M2254" s="306"/>
      <c r="N2254" s="298"/>
      <c r="O2254" s="298"/>
      <c r="P2254" s="298"/>
      <c r="Q2254" s="306"/>
      <c r="R2254" s="1023"/>
      <c r="S2254" s="1023"/>
      <c r="T2254" s="306"/>
      <c r="U2254" s="306"/>
      <c r="V2254" s="306"/>
      <c r="W2254" s="306"/>
      <c r="X2254" s="306"/>
      <c r="Y2254" s="306"/>
      <c r="Z2254" s="306"/>
      <c r="AA2254" s="306"/>
      <c r="AB2254" s="306"/>
      <c r="AC2254" s="306"/>
      <c r="AD2254" s="306"/>
      <c r="AE2254" s="306"/>
      <c r="AF2254" s="306"/>
      <c r="AG2254" s="306"/>
      <c r="AH2254" s="306"/>
      <c r="AI2254" s="306"/>
      <c r="AJ2254" s="306"/>
      <c r="AK2254" s="306"/>
      <c r="AL2254" s="306"/>
      <c r="AM2254" s="418"/>
      <c r="AN2254" s="418"/>
      <c r="AO2254" s="306"/>
      <c r="AP2254" s="306"/>
      <c r="AQ2254" s="418"/>
      <c r="AR2254" s="306"/>
      <c r="AS2254" s="306"/>
      <c r="AT2254" s="418"/>
      <c r="AU2254" s="306"/>
      <c r="AV2254" s="306"/>
      <c r="AW2254" s="306"/>
      <c r="AX2254" s="306"/>
      <c r="AY2254" s="306"/>
      <c r="AZ2254" s="306"/>
      <c r="BA2254" s="306"/>
      <c r="BB2254" s="306"/>
    </row>
    <row r="2255" spans="1:54" ht="15.75" customHeight="1">
      <c r="A2255" s="317"/>
      <c r="B2255" s="430"/>
      <c r="C2255" s="317"/>
      <c r="E2255" s="306"/>
      <c r="F2255" s="431"/>
      <c r="G2255" s="431"/>
      <c r="H2255" s="298"/>
      <c r="I2255" s="432"/>
      <c r="J2255" s="433"/>
      <c r="K2255" s="306"/>
      <c r="L2255" s="306"/>
      <c r="M2255" s="306"/>
      <c r="N2255" s="298"/>
      <c r="O2255" s="298"/>
      <c r="P2255" s="298"/>
      <c r="Q2255" s="306"/>
      <c r="R2255" s="1023"/>
      <c r="S2255" s="1023"/>
      <c r="T2255" s="306"/>
      <c r="U2255" s="306"/>
      <c r="V2255" s="306"/>
      <c r="W2255" s="306"/>
      <c r="X2255" s="306"/>
      <c r="Y2255" s="306"/>
      <c r="Z2255" s="306"/>
      <c r="AA2255" s="306"/>
      <c r="AB2255" s="306"/>
      <c r="AC2255" s="306"/>
      <c r="AD2255" s="306"/>
      <c r="AE2255" s="306"/>
      <c r="AF2255" s="306"/>
      <c r="AG2255" s="306"/>
      <c r="AH2255" s="306"/>
      <c r="AI2255" s="306"/>
      <c r="AJ2255" s="306"/>
      <c r="AK2255" s="306"/>
      <c r="AL2255" s="306"/>
      <c r="AM2255" s="418"/>
      <c r="AN2255" s="418"/>
      <c r="AO2255" s="306"/>
      <c r="AP2255" s="306"/>
      <c r="AQ2255" s="418"/>
      <c r="AR2255" s="306"/>
      <c r="AS2255" s="306"/>
      <c r="AT2255" s="418"/>
      <c r="AU2255" s="306"/>
      <c r="AV2255" s="306"/>
      <c r="AW2255" s="306"/>
      <c r="AX2255" s="306"/>
      <c r="AY2255" s="306"/>
      <c r="AZ2255" s="306"/>
      <c r="BA2255" s="306"/>
      <c r="BB2255" s="306"/>
    </row>
    <row r="2256" spans="1:54" ht="15.75" customHeight="1">
      <c r="A2256" s="317"/>
      <c r="B2256" s="430"/>
      <c r="C2256" s="317"/>
      <c r="E2256" s="306"/>
      <c r="F2256" s="431"/>
      <c r="G2256" s="431"/>
      <c r="H2256" s="298"/>
      <c r="I2256" s="432"/>
      <c r="J2256" s="433"/>
      <c r="K2256" s="306"/>
      <c r="L2256" s="306"/>
      <c r="M2256" s="306"/>
      <c r="N2256" s="298"/>
      <c r="O2256" s="298"/>
      <c r="P2256" s="298"/>
      <c r="Q2256" s="306"/>
      <c r="R2256" s="1023"/>
      <c r="S2256" s="1023"/>
      <c r="T2256" s="306"/>
      <c r="U2256" s="306"/>
      <c r="V2256" s="306"/>
      <c r="W2256" s="306"/>
      <c r="X2256" s="306"/>
      <c r="Y2256" s="306"/>
      <c r="Z2256" s="306"/>
      <c r="AA2256" s="306"/>
      <c r="AB2256" s="306"/>
      <c r="AC2256" s="306"/>
      <c r="AD2256" s="306"/>
      <c r="AE2256" s="306"/>
      <c r="AF2256" s="306"/>
      <c r="AG2256" s="306"/>
      <c r="AH2256" s="306"/>
      <c r="AI2256" s="306"/>
      <c r="AJ2256" s="306"/>
      <c r="AK2256" s="306"/>
      <c r="AL2256" s="306"/>
      <c r="AM2256" s="418"/>
      <c r="AN2256" s="418"/>
      <c r="AO2256" s="306"/>
      <c r="AP2256" s="306"/>
      <c r="AQ2256" s="418"/>
      <c r="AR2256" s="306"/>
      <c r="AS2256" s="306"/>
      <c r="AT2256" s="418"/>
      <c r="AU2256" s="306"/>
      <c r="AV2256" s="306"/>
      <c r="AW2256" s="306"/>
      <c r="AX2256" s="306"/>
      <c r="AY2256" s="306"/>
      <c r="AZ2256" s="306"/>
      <c r="BA2256" s="306"/>
      <c r="BB2256" s="306"/>
    </row>
    <row r="2257" spans="1:54" ht="15.75" customHeight="1">
      <c r="A2257" s="317"/>
      <c r="B2257" s="430"/>
      <c r="C2257" s="317"/>
      <c r="E2257" s="306"/>
      <c r="F2257" s="431"/>
      <c r="G2257" s="431"/>
      <c r="H2257" s="298"/>
      <c r="I2257" s="432"/>
      <c r="J2257" s="433"/>
      <c r="K2257" s="306"/>
      <c r="L2257" s="306"/>
      <c r="M2257" s="306"/>
      <c r="N2257" s="298"/>
      <c r="O2257" s="298"/>
      <c r="P2257" s="298"/>
      <c r="Q2257" s="306"/>
      <c r="R2257" s="1023"/>
      <c r="S2257" s="1023"/>
      <c r="T2257" s="306"/>
      <c r="U2257" s="306"/>
      <c r="V2257" s="306"/>
      <c r="W2257" s="306"/>
      <c r="X2257" s="306"/>
      <c r="Y2257" s="306"/>
      <c r="Z2257" s="306"/>
      <c r="AA2257" s="306"/>
      <c r="AB2257" s="306"/>
      <c r="AC2257" s="306"/>
      <c r="AD2257" s="306"/>
      <c r="AE2257" s="306"/>
      <c r="AF2257" s="306"/>
      <c r="AG2257" s="306"/>
      <c r="AH2257" s="306"/>
      <c r="AI2257" s="306"/>
      <c r="AJ2257" s="306"/>
      <c r="AK2257" s="306"/>
      <c r="AL2257" s="306"/>
      <c r="AM2257" s="418"/>
      <c r="AN2257" s="418"/>
      <c r="AO2257" s="306"/>
      <c r="AP2257" s="306"/>
      <c r="AQ2257" s="418"/>
      <c r="AR2257" s="306"/>
      <c r="AS2257" s="306"/>
      <c r="AT2257" s="418"/>
      <c r="AU2257" s="306"/>
      <c r="AV2257" s="306"/>
      <c r="AW2257" s="306"/>
      <c r="AX2257" s="306"/>
      <c r="AY2257" s="306"/>
      <c r="AZ2257" s="306"/>
      <c r="BA2257" s="306"/>
      <c r="BB2257" s="306"/>
    </row>
    <row r="2258" spans="1:54" ht="15.75" customHeight="1">
      <c r="A2258" s="317"/>
      <c r="B2258" s="430"/>
      <c r="C2258" s="317"/>
      <c r="E2258" s="306"/>
      <c r="F2258" s="431"/>
      <c r="G2258" s="431"/>
      <c r="H2258" s="298"/>
      <c r="I2258" s="432"/>
      <c r="J2258" s="433"/>
      <c r="K2258" s="306"/>
      <c r="L2258" s="306"/>
      <c r="M2258" s="306"/>
      <c r="N2258" s="298"/>
      <c r="O2258" s="298"/>
      <c r="P2258" s="298"/>
      <c r="Q2258" s="306"/>
      <c r="R2258" s="1023"/>
      <c r="S2258" s="1023"/>
      <c r="T2258" s="306"/>
      <c r="U2258" s="306"/>
      <c r="V2258" s="306"/>
      <c r="W2258" s="306"/>
      <c r="X2258" s="306"/>
      <c r="Y2258" s="306"/>
      <c r="Z2258" s="306"/>
      <c r="AA2258" s="306"/>
      <c r="AB2258" s="306"/>
      <c r="AC2258" s="306"/>
      <c r="AD2258" s="306"/>
      <c r="AE2258" s="306"/>
      <c r="AF2258" s="306"/>
      <c r="AG2258" s="306"/>
      <c r="AH2258" s="306"/>
      <c r="AI2258" s="306"/>
      <c r="AJ2258" s="306"/>
      <c r="AK2258" s="306"/>
      <c r="AL2258" s="306"/>
      <c r="AM2258" s="418"/>
      <c r="AN2258" s="418"/>
      <c r="AO2258" s="306"/>
      <c r="AP2258" s="306"/>
      <c r="AQ2258" s="418"/>
      <c r="AR2258" s="306"/>
      <c r="AS2258" s="306"/>
      <c r="AT2258" s="418"/>
      <c r="AU2258" s="306"/>
      <c r="AV2258" s="306"/>
      <c r="AW2258" s="306"/>
      <c r="AX2258" s="306"/>
      <c r="AY2258" s="306"/>
      <c r="AZ2258" s="306"/>
      <c r="BA2258" s="306"/>
      <c r="BB2258" s="306"/>
    </row>
    <row r="2259" spans="1:54" ht="15.75" customHeight="1">
      <c r="A2259" s="317"/>
      <c r="B2259" s="430"/>
      <c r="C2259" s="317"/>
      <c r="E2259" s="306"/>
      <c r="F2259" s="431"/>
      <c r="G2259" s="431"/>
      <c r="H2259" s="298"/>
      <c r="I2259" s="432"/>
      <c r="J2259" s="433"/>
      <c r="K2259" s="306"/>
      <c r="L2259" s="306"/>
      <c r="M2259" s="306"/>
      <c r="N2259" s="298"/>
      <c r="O2259" s="298"/>
      <c r="P2259" s="298"/>
      <c r="Q2259" s="306"/>
      <c r="R2259" s="1023"/>
      <c r="S2259" s="1023"/>
      <c r="T2259" s="306"/>
      <c r="U2259" s="306"/>
      <c r="V2259" s="306"/>
      <c r="W2259" s="306"/>
      <c r="X2259" s="306"/>
      <c r="Y2259" s="306"/>
      <c r="Z2259" s="306"/>
      <c r="AA2259" s="306"/>
      <c r="AB2259" s="306"/>
      <c r="AC2259" s="306"/>
      <c r="AD2259" s="306"/>
      <c r="AE2259" s="306"/>
      <c r="AF2259" s="306"/>
      <c r="AG2259" s="306"/>
      <c r="AH2259" s="306"/>
      <c r="AI2259" s="306"/>
      <c r="AJ2259" s="306"/>
      <c r="AK2259" s="306"/>
      <c r="AL2259" s="306"/>
      <c r="AM2259" s="418"/>
      <c r="AN2259" s="418"/>
      <c r="AO2259" s="306"/>
      <c r="AP2259" s="306"/>
      <c r="AQ2259" s="418"/>
      <c r="AR2259" s="306"/>
      <c r="AS2259" s="306"/>
      <c r="AT2259" s="418"/>
      <c r="AU2259" s="306"/>
      <c r="AV2259" s="306"/>
      <c r="AW2259" s="306"/>
      <c r="AX2259" s="306"/>
      <c r="AY2259" s="306"/>
      <c r="AZ2259" s="306"/>
      <c r="BA2259" s="306"/>
      <c r="BB2259" s="306"/>
    </row>
    <row r="2260" spans="1:54" ht="15.75" customHeight="1">
      <c r="A2260" s="317"/>
      <c r="B2260" s="430"/>
      <c r="C2260" s="317"/>
      <c r="E2260" s="306"/>
      <c r="F2260" s="431"/>
      <c r="G2260" s="431"/>
      <c r="H2260" s="298"/>
      <c r="I2260" s="432"/>
      <c r="J2260" s="433"/>
      <c r="K2260" s="306"/>
      <c r="L2260" s="306"/>
      <c r="M2260" s="306"/>
      <c r="N2260" s="298"/>
      <c r="O2260" s="298"/>
      <c r="P2260" s="298"/>
      <c r="Q2260" s="306"/>
      <c r="R2260" s="1023"/>
      <c r="S2260" s="1023"/>
      <c r="T2260" s="306"/>
      <c r="U2260" s="306"/>
      <c r="V2260" s="306"/>
      <c r="W2260" s="306"/>
      <c r="X2260" s="306"/>
      <c r="Y2260" s="306"/>
      <c r="Z2260" s="306"/>
      <c r="AA2260" s="306"/>
      <c r="AB2260" s="306"/>
      <c r="AC2260" s="306"/>
      <c r="AD2260" s="306"/>
      <c r="AE2260" s="306"/>
      <c r="AF2260" s="306"/>
      <c r="AG2260" s="306"/>
      <c r="AH2260" s="306"/>
      <c r="AI2260" s="306"/>
      <c r="AJ2260" s="306"/>
      <c r="AK2260" s="306"/>
      <c r="AL2260" s="306"/>
      <c r="AM2260" s="418"/>
      <c r="AN2260" s="418"/>
      <c r="AO2260" s="306"/>
      <c r="AP2260" s="306"/>
      <c r="AQ2260" s="418"/>
      <c r="AR2260" s="306"/>
      <c r="AS2260" s="306"/>
      <c r="AT2260" s="418"/>
      <c r="AU2260" s="306"/>
      <c r="AV2260" s="306"/>
      <c r="AW2260" s="306"/>
      <c r="AX2260" s="306"/>
      <c r="AY2260" s="306"/>
      <c r="AZ2260" s="306"/>
      <c r="BA2260" s="306"/>
      <c r="BB2260" s="306"/>
    </row>
    <row r="2261" spans="1:54" ht="15.75" customHeight="1">
      <c r="A2261" s="317"/>
      <c r="B2261" s="430"/>
      <c r="C2261" s="317"/>
      <c r="E2261" s="306"/>
      <c r="F2261" s="431"/>
      <c r="G2261" s="431"/>
      <c r="H2261" s="298"/>
      <c r="I2261" s="432"/>
      <c r="J2261" s="433"/>
      <c r="K2261" s="306"/>
      <c r="L2261" s="306"/>
      <c r="M2261" s="306"/>
      <c r="N2261" s="298"/>
      <c r="O2261" s="298"/>
      <c r="P2261" s="298"/>
      <c r="Q2261" s="306"/>
      <c r="R2261" s="1023"/>
      <c r="S2261" s="1023"/>
      <c r="T2261" s="306"/>
      <c r="U2261" s="306"/>
      <c r="V2261" s="306"/>
      <c r="W2261" s="306"/>
      <c r="X2261" s="306"/>
      <c r="Y2261" s="306"/>
      <c r="Z2261" s="306"/>
      <c r="AA2261" s="306"/>
      <c r="AB2261" s="306"/>
      <c r="AC2261" s="306"/>
      <c r="AD2261" s="306"/>
      <c r="AE2261" s="306"/>
      <c r="AF2261" s="306"/>
      <c r="AG2261" s="306"/>
      <c r="AH2261" s="306"/>
      <c r="AI2261" s="306"/>
      <c r="AJ2261" s="306"/>
      <c r="AK2261" s="306"/>
      <c r="AL2261" s="306"/>
      <c r="AM2261" s="418"/>
      <c r="AN2261" s="418"/>
      <c r="AO2261" s="306"/>
      <c r="AP2261" s="306"/>
      <c r="AQ2261" s="418"/>
      <c r="AR2261" s="306"/>
      <c r="AS2261" s="306"/>
      <c r="AT2261" s="418"/>
      <c r="AU2261" s="306"/>
      <c r="AV2261" s="306"/>
      <c r="AW2261" s="306"/>
      <c r="AX2261" s="306"/>
      <c r="AY2261" s="306"/>
      <c r="AZ2261" s="306"/>
      <c r="BA2261" s="306"/>
      <c r="BB2261" s="306"/>
    </row>
    <row r="2262" spans="1:54" ht="15.75" customHeight="1">
      <c r="A2262" s="317"/>
      <c r="B2262" s="430"/>
      <c r="C2262" s="317"/>
      <c r="E2262" s="306"/>
      <c r="F2262" s="431"/>
      <c r="G2262" s="431"/>
      <c r="H2262" s="298"/>
      <c r="I2262" s="432"/>
      <c r="J2262" s="433"/>
      <c r="K2262" s="306"/>
      <c r="L2262" s="306"/>
      <c r="M2262" s="306"/>
      <c r="N2262" s="298"/>
      <c r="O2262" s="298"/>
      <c r="P2262" s="298"/>
      <c r="Q2262" s="306"/>
      <c r="R2262" s="1023"/>
      <c r="S2262" s="1023"/>
      <c r="T2262" s="306"/>
      <c r="U2262" s="306"/>
      <c r="V2262" s="306"/>
      <c r="W2262" s="306"/>
      <c r="X2262" s="306"/>
      <c r="Y2262" s="306"/>
      <c r="Z2262" s="306"/>
      <c r="AA2262" s="306"/>
      <c r="AB2262" s="306"/>
      <c r="AC2262" s="306"/>
      <c r="AD2262" s="306"/>
      <c r="AE2262" s="306"/>
      <c r="AF2262" s="306"/>
      <c r="AG2262" s="306"/>
      <c r="AH2262" s="306"/>
      <c r="AI2262" s="306"/>
      <c r="AJ2262" s="306"/>
      <c r="AK2262" s="306"/>
      <c r="AL2262" s="306"/>
      <c r="AM2262" s="418"/>
      <c r="AN2262" s="418"/>
      <c r="AO2262" s="306"/>
      <c r="AP2262" s="306"/>
      <c r="AQ2262" s="418"/>
      <c r="AR2262" s="306"/>
      <c r="AS2262" s="306"/>
      <c r="AT2262" s="418"/>
      <c r="AU2262" s="306"/>
      <c r="AV2262" s="306"/>
      <c r="AW2262" s="306"/>
      <c r="AX2262" s="306"/>
      <c r="AY2262" s="306"/>
      <c r="AZ2262" s="306"/>
      <c r="BA2262" s="306"/>
      <c r="BB2262" s="306"/>
    </row>
    <row r="2263" spans="1:54" ht="15.75" customHeight="1">
      <c r="A2263" s="317"/>
      <c r="B2263" s="430"/>
      <c r="C2263" s="317"/>
      <c r="E2263" s="306"/>
      <c r="F2263" s="431"/>
      <c r="G2263" s="431"/>
      <c r="H2263" s="298"/>
      <c r="I2263" s="432"/>
      <c r="J2263" s="433"/>
      <c r="K2263" s="306"/>
      <c r="L2263" s="306"/>
      <c r="M2263" s="306"/>
      <c r="N2263" s="298"/>
      <c r="O2263" s="298"/>
      <c r="P2263" s="298"/>
      <c r="Q2263" s="306"/>
      <c r="R2263" s="1023"/>
      <c r="S2263" s="1023"/>
      <c r="T2263" s="306"/>
      <c r="U2263" s="306"/>
      <c r="V2263" s="306"/>
      <c r="W2263" s="306"/>
      <c r="X2263" s="306"/>
      <c r="Y2263" s="306"/>
      <c r="Z2263" s="306"/>
      <c r="AA2263" s="306"/>
      <c r="AB2263" s="306"/>
      <c r="AC2263" s="306"/>
      <c r="AD2263" s="306"/>
      <c r="AE2263" s="306"/>
      <c r="AF2263" s="306"/>
      <c r="AG2263" s="306"/>
      <c r="AH2263" s="306"/>
      <c r="AI2263" s="306"/>
      <c r="AJ2263" s="306"/>
      <c r="AK2263" s="306"/>
      <c r="AL2263" s="306"/>
      <c r="AM2263" s="418"/>
      <c r="AN2263" s="418"/>
      <c r="AO2263" s="306"/>
      <c r="AP2263" s="306"/>
      <c r="AQ2263" s="418"/>
      <c r="AR2263" s="306"/>
      <c r="AS2263" s="306"/>
      <c r="AT2263" s="418"/>
      <c r="AU2263" s="306"/>
      <c r="AV2263" s="306"/>
      <c r="AW2263" s="306"/>
      <c r="AX2263" s="306"/>
      <c r="AY2263" s="306"/>
      <c r="AZ2263" s="306"/>
      <c r="BA2263" s="306"/>
      <c r="BB2263" s="306"/>
    </row>
    <row r="2264" spans="1:54" ht="15.75" customHeight="1">
      <c r="A2264" s="317"/>
      <c r="B2264" s="430"/>
      <c r="C2264" s="317"/>
      <c r="E2264" s="306"/>
      <c r="F2264" s="431"/>
      <c r="G2264" s="431"/>
      <c r="H2264" s="298"/>
      <c r="I2264" s="431"/>
      <c r="J2264" s="435"/>
      <c r="K2264" s="306"/>
      <c r="L2264" s="306"/>
      <c r="M2264" s="306"/>
      <c r="N2264" s="298"/>
      <c r="O2264" s="298"/>
      <c r="P2264" s="298"/>
      <c r="Q2264" s="306"/>
      <c r="R2264" s="1023"/>
      <c r="S2264" s="1023"/>
      <c r="T2264" s="306"/>
      <c r="U2264" s="306"/>
      <c r="V2264" s="306"/>
      <c r="W2264" s="306"/>
      <c r="X2264" s="306"/>
      <c r="Y2264" s="306"/>
      <c r="Z2264" s="306"/>
      <c r="AA2264" s="306"/>
      <c r="AB2264" s="306"/>
      <c r="AC2264" s="306"/>
      <c r="AD2264" s="306"/>
      <c r="AE2264" s="306"/>
      <c r="AF2264" s="306"/>
      <c r="AG2264" s="306"/>
      <c r="AH2264" s="306"/>
      <c r="AI2264" s="306"/>
      <c r="AJ2264" s="306"/>
      <c r="AK2264" s="306"/>
      <c r="AL2264" s="306"/>
      <c r="AM2264" s="418"/>
      <c r="AN2264" s="418"/>
      <c r="AO2264" s="306"/>
      <c r="AP2264" s="306"/>
      <c r="AQ2264" s="418"/>
      <c r="AR2264" s="306"/>
      <c r="AS2264" s="306"/>
      <c r="AT2264" s="418"/>
      <c r="AU2264" s="306"/>
      <c r="AV2264" s="306"/>
      <c r="AW2264" s="306"/>
      <c r="AX2264" s="306"/>
      <c r="AY2264" s="306"/>
      <c r="AZ2264" s="306"/>
      <c r="BA2264" s="306"/>
      <c r="BB2264" s="306"/>
    </row>
    <row r="2265" spans="1:54" ht="15.75" customHeight="1">
      <c r="A2265" s="317"/>
      <c r="B2265" s="430"/>
      <c r="C2265" s="317"/>
      <c r="E2265" s="306"/>
      <c r="F2265" s="431"/>
      <c r="G2265" s="431"/>
      <c r="H2265" s="298"/>
      <c r="I2265" s="432"/>
      <c r="J2265" s="433"/>
      <c r="K2265" s="306"/>
      <c r="L2265" s="306"/>
      <c r="M2265" s="306"/>
      <c r="N2265" s="298"/>
      <c r="O2265" s="298"/>
      <c r="P2265" s="298"/>
      <c r="Q2265" s="306"/>
      <c r="R2265" s="1023"/>
      <c r="S2265" s="1023"/>
      <c r="T2265" s="306"/>
      <c r="U2265" s="306"/>
      <c r="V2265" s="306"/>
      <c r="W2265" s="306"/>
      <c r="X2265" s="306"/>
      <c r="Y2265" s="306"/>
      <c r="Z2265" s="306"/>
      <c r="AA2265" s="306"/>
      <c r="AB2265" s="306"/>
      <c r="AC2265" s="306"/>
      <c r="AD2265" s="306"/>
      <c r="AE2265" s="306"/>
      <c r="AF2265" s="306"/>
      <c r="AG2265" s="306"/>
      <c r="AH2265" s="306"/>
      <c r="AI2265" s="306"/>
      <c r="AJ2265" s="306"/>
      <c r="AK2265" s="306"/>
      <c r="AL2265" s="306"/>
      <c r="AM2265" s="418"/>
      <c r="AN2265" s="418"/>
      <c r="AO2265" s="306"/>
      <c r="AP2265" s="306"/>
      <c r="AQ2265" s="418"/>
      <c r="AR2265" s="306"/>
      <c r="AS2265" s="306"/>
      <c r="AT2265" s="418"/>
      <c r="AU2265" s="306"/>
      <c r="AV2265" s="306"/>
      <c r="AW2265" s="306"/>
      <c r="AX2265" s="306"/>
      <c r="AY2265" s="306"/>
      <c r="AZ2265" s="306"/>
      <c r="BA2265" s="306"/>
      <c r="BB2265" s="306"/>
    </row>
    <row r="2266" spans="1:54" ht="15.75" customHeight="1">
      <c r="A2266" s="317"/>
      <c r="B2266" s="430"/>
      <c r="C2266" s="317"/>
      <c r="E2266" s="306"/>
      <c r="F2266" s="431"/>
      <c r="G2266" s="431"/>
      <c r="H2266" s="298"/>
      <c r="I2266" s="432"/>
      <c r="J2266" s="433"/>
      <c r="K2266" s="306"/>
      <c r="L2266" s="306"/>
      <c r="M2266" s="306"/>
      <c r="N2266" s="298"/>
      <c r="O2266" s="298"/>
      <c r="P2266" s="298"/>
      <c r="Q2266" s="306"/>
      <c r="R2266" s="1023"/>
      <c r="S2266" s="1023"/>
      <c r="T2266" s="306"/>
      <c r="U2266" s="306"/>
      <c r="V2266" s="306"/>
      <c r="W2266" s="306"/>
      <c r="X2266" s="306"/>
      <c r="Y2266" s="306"/>
      <c r="Z2266" s="306"/>
      <c r="AA2266" s="306"/>
      <c r="AB2266" s="306"/>
      <c r="AC2266" s="306"/>
      <c r="AD2266" s="306"/>
      <c r="AE2266" s="306"/>
      <c r="AF2266" s="306"/>
      <c r="AG2266" s="306"/>
      <c r="AH2266" s="306"/>
      <c r="AI2266" s="306"/>
      <c r="AJ2266" s="306"/>
      <c r="AK2266" s="306"/>
      <c r="AL2266" s="306"/>
      <c r="AM2266" s="418"/>
      <c r="AN2266" s="418"/>
      <c r="AO2266" s="306"/>
      <c r="AP2266" s="306"/>
      <c r="AQ2266" s="418"/>
      <c r="AR2266" s="306"/>
      <c r="AS2266" s="306"/>
      <c r="AT2266" s="418"/>
      <c r="AU2266" s="306"/>
      <c r="AV2266" s="306"/>
      <c r="AW2266" s="306"/>
      <c r="AX2266" s="306"/>
      <c r="AY2266" s="306"/>
      <c r="AZ2266" s="306"/>
      <c r="BA2266" s="306"/>
      <c r="BB2266" s="306"/>
    </row>
    <row r="2267" spans="1:54" ht="15.75" customHeight="1">
      <c r="A2267" s="317"/>
      <c r="B2267" s="430"/>
      <c r="C2267" s="317"/>
      <c r="E2267" s="306"/>
      <c r="F2267" s="431"/>
      <c r="G2267" s="431"/>
      <c r="H2267" s="298"/>
      <c r="I2267" s="432"/>
      <c r="J2267" s="433"/>
      <c r="K2267" s="306"/>
      <c r="L2267" s="306"/>
      <c r="M2267" s="306"/>
      <c r="N2267" s="298"/>
      <c r="O2267" s="298"/>
      <c r="P2267" s="298"/>
      <c r="Q2267" s="306"/>
      <c r="R2267" s="1023"/>
      <c r="S2267" s="1023"/>
      <c r="T2267" s="306"/>
      <c r="U2267" s="306"/>
      <c r="V2267" s="306"/>
      <c r="W2267" s="306"/>
      <c r="X2267" s="306"/>
      <c r="Y2267" s="306"/>
      <c r="Z2267" s="306"/>
      <c r="AA2267" s="306"/>
      <c r="AB2267" s="306"/>
      <c r="AC2267" s="306"/>
      <c r="AD2267" s="306"/>
      <c r="AE2267" s="306"/>
      <c r="AF2267" s="306"/>
      <c r="AG2267" s="306"/>
      <c r="AH2267" s="306"/>
      <c r="AI2267" s="306"/>
      <c r="AJ2267" s="306"/>
      <c r="AK2267" s="306"/>
      <c r="AL2267" s="306"/>
      <c r="AM2267" s="418"/>
      <c r="AN2267" s="418"/>
      <c r="AO2267" s="306"/>
      <c r="AP2267" s="306"/>
      <c r="AQ2267" s="418"/>
      <c r="AR2267" s="306"/>
      <c r="AS2267" s="306"/>
      <c r="AT2267" s="418"/>
      <c r="AU2267" s="306"/>
      <c r="AV2267" s="306"/>
      <c r="AW2267" s="306"/>
      <c r="AX2267" s="306"/>
      <c r="AY2267" s="306"/>
      <c r="AZ2267" s="306"/>
      <c r="BA2267" s="306"/>
      <c r="BB2267" s="306"/>
    </row>
    <row r="2268" spans="1:54" ht="15.75" customHeight="1">
      <c r="A2268" s="317"/>
      <c r="B2268" s="430"/>
      <c r="C2268" s="317"/>
      <c r="E2268" s="306"/>
      <c r="F2268" s="431"/>
      <c r="G2268" s="431"/>
      <c r="H2268" s="298"/>
      <c r="I2268" s="432"/>
      <c r="J2268" s="433"/>
      <c r="K2268" s="306"/>
      <c r="L2268" s="306"/>
      <c r="M2268" s="306"/>
      <c r="N2268" s="298"/>
      <c r="O2268" s="298"/>
      <c r="P2268" s="298"/>
      <c r="Q2268" s="306"/>
      <c r="R2268" s="1023"/>
      <c r="S2268" s="1023"/>
      <c r="T2268" s="306"/>
      <c r="U2268" s="306"/>
      <c r="V2268" s="306"/>
      <c r="W2268" s="306"/>
      <c r="X2268" s="306"/>
      <c r="Y2268" s="306"/>
      <c r="Z2268" s="306"/>
      <c r="AA2268" s="306"/>
      <c r="AB2268" s="306"/>
      <c r="AC2268" s="306"/>
      <c r="AD2268" s="306"/>
      <c r="AE2268" s="306"/>
      <c r="AF2268" s="306"/>
      <c r="AG2268" s="306"/>
      <c r="AH2268" s="306"/>
      <c r="AI2268" s="306"/>
      <c r="AJ2268" s="306"/>
      <c r="AK2268" s="306"/>
      <c r="AL2268" s="306"/>
      <c r="AM2268" s="418"/>
      <c r="AN2268" s="418"/>
      <c r="AO2268" s="306"/>
      <c r="AP2268" s="306"/>
      <c r="AQ2268" s="418"/>
      <c r="AR2268" s="306"/>
      <c r="AS2268" s="306"/>
      <c r="AT2268" s="418"/>
      <c r="AU2268" s="306"/>
      <c r="AV2268" s="306"/>
      <c r="AW2268" s="306"/>
      <c r="AX2268" s="306"/>
      <c r="AY2268" s="306"/>
      <c r="AZ2268" s="306"/>
      <c r="BA2268" s="306"/>
      <c r="BB2268" s="306"/>
    </row>
    <row r="2269" spans="1:54" ht="15.75" customHeight="1">
      <c r="A2269" s="317"/>
      <c r="B2269" s="430"/>
      <c r="C2269" s="317"/>
      <c r="E2269" s="306"/>
      <c r="F2269" s="431"/>
      <c r="G2269" s="431"/>
      <c r="H2269" s="298"/>
      <c r="I2269" s="432"/>
      <c r="J2269" s="433"/>
      <c r="K2269" s="306"/>
      <c r="L2269" s="306"/>
      <c r="M2269" s="306"/>
      <c r="N2269" s="298"/>
      <c r="O2269" s="298"/>
      <c r="P2269" s="298"/>
      <c r="Q2269" s="306"/>
      <c r="R2269" s="1023"/>
      <c r="S2269" s="1023"/>
      <c r="T2269" s="306"/>
      <c r="U2269" s="306"/>
      <c r="V2269" s="306"/>
      <c r="W2269" s="306"/>
      <c r="X2269" s="306"/>
      <c r="Y2269" s="306"/>
      <c r="Z2269" s="306"/>
      <c r="AA2269" s="306"/>
      <c r="AB2269" s="306"/>
      <c r="AC2269" s="306"/>
      <c r="AD2269" s="306"/>
      <c r="AE2269" s="306"/>
      <c r="AF2269" s="306"/>
      <c r="AG2269" s="306"/>
      <c r="AH2269" s="306"/>
      <c r="AI2269" s="306"/>
      <c r="AJ2269" s="306"/>
      <c r="AK2269" s="306"/>
      <c r="AL2269" s="306"/>
      <c r="AM2269" s="418"/>
      <c r="AN2269" s="418"/>
      <c r="AO2269" s="306"/>
      <c r="AP2269" s="306"/>
      <c r="AQ2269" s="418"/>
      <c r="AR2269" s="306"/>
      <c r="AS2269" s="306"/>
      <c r="AT2269" s="418"/>
      <c r="AU2269" s="306"/>
      <c r="AV2269" s="306"/>
      <c r="AW2269" s="306"/>
      <c r="AX2269" s="306"/>
      <c r="AY2269" s="306"/>
      <c r="AZ2269" s="306"/>
      <c r="BA2269" s="306"/>
      <c r="BB2269" s="306"/>
    </row>
    <row r="2270" spans="1:54" ht="15.75" customHeight="1">
      <c r="A2270" s="317"/>
      <c r="B2270" s="430"/>
      <c r="C2270" s="317"/>
      <c r="E2270" s="306"/>
      <c r="F2270" s="431"/>
      <c r="G2270" s="431"/>
      <c r="H2270" s="298"/>
      <c r="I2270" s="432"/>
      <c r="J2270" s="433"/>
      <c r="K2270" s="306"/>
      <c r="L2270" s="306"/>
      <c r="M2270" s="306"/>
      <c r="N2270" s="298"/>
      <c r="O2270" s="298"/>
      <c r="P2270" s="298"/>
      <c r="Q2270" s="306"/>
      <c r="R2270" s="1023"/>
      <c r="S2270" s="1023"/>
      <c r="T2270" s="306"/>
      <c r="U2270" s="306"/>
      <c r="V2270" s="306"/>
      <c r="W2270" s="306"/>
      <c r="X2270" s="306"/>
      <c r="Y2270" s="306"/>
      <c r="Z2270" s="306"/>
      <c r="AA2270" s="306"/>
      <c r="AB2270" s="306"/>
      <c r="AC2270" s="306"/>
      <c r="AD2270" s="306"/>
      <c r="AE2270" s="306"/>
      <c r="AF2270" s="306"/>
      <c r="AG2270" s="306"/>
      <c r="AH2270" s="306"/>
      <c r="AI2270" s="306"/>
      <c r="AJ2270" s="306"/>
      <c r="AK2270" s="306"/>
      <c r="AL2270" s="306"/>
      <c r="AM2270" s="418"/>
      <c r="AN2270" s="418"/>
      <c r="AO2270" s="306"/>
      <c r="AP2270" s="306"/>
      <c r="AQ2270" s="418"/>
      <c r="AR2270" s="306"/>
      <c r="AS2270" s="306"/>
      <c r="AT2270" s="418"/>
      <c r="AU2270" s="306"/>
      <c r="AV2270" s="306"/>
      <c r="AW2270" s="306"/>
      <c r="AX2270" s="306"/>
      <c r="AY2270" s="306"/>
      <c r="AZ2270" s="306"/>
      <c r="BA2270" s="306"/>
      <c r="BB2270" s="306"/>
    </row>
    <row r="2271" spans="1:54" ht="15.75" customHeight="1">
      <c r="A2271" s="317"/>
      <c r="B2271" s="430"/>
      <c r="C2271" s="317"/>
      <c r="E2271" s="306"/>
      <c r="F2271" s="431"/>
      <c r="G2271" s="431"/>
      <c r="H2271" s="298"/>
      <c r="I2271" s="432"/>
      <c r="J2271" s="433"/>
      <c r="K2271" s="306"/>
      <c r="L2271" s="306"/>
      <c r="M2271" s="306"/>
      <c r="N2271" s="298"/>
      <c r="O2271" s="298"/>
      <c r="P2271" s="298"/>
      <c r="Q2271" s="306"/>
      <c r="R2271" s="1023"/>
      <c r="S2271" s="1023"/>
      <c r="T2271" s="306"/>
      <c r="U2271" s="306"/>
      <c r="V2271" s="306"/>
      <c r="W2271" s="306"/>
      <c r="X2271" s="306"/>
      <c r="Y2271" s="306"/>
      <c r="Z2271" s="306"/>
      <c r="AA2271" s="306"/>
      <c r="AB2271" s="306"/>
      <c r="AC2271" s="306"/>
      <c r="AD2271" s="306"/>
      <c r="AE2271" s="306"/>
      <c r="AF2271" s="306"/>
      <c r="AG2271" s="306"/>
      <c r="AH2271" s="306"/>
      <c r="AI2271" s="306"/>
      <c r="AJ2271" s="306"/>
      <c r="AK2271" s="306"/>
      <c r="AL2271" s="306"/>
      <c r="AM2271" s="418"/>
      <c r="AN2271" s="418"/>
      <c r="AO2271" s="306"/>
      <c r="AP2271" s="306"/>
      <c r="AQ2271" s="418"/>
      <c r="AR2271" s="306"/>
      <c r="AS2271" s="306"/>
      <c r="AT2271" s="418"/>
      <c r="AU2271" s="306"/>
      <c r="AV2271" s="306"/>
      <c r="AW2271" s="306"/>
      <c r="AX2271" s="306"/>
      <c r="AY2271" s="306"/>
      <c r="AZ2271" s="306"/>
      <c r="BA2271" s="306"/>
      <c r="BB2271" s="306"/>
    </row>
    <row r="2272" spans="1:54" ht="15.75" customHeight="1">
      <c r="A2272" s="317"/>
      <c r="B2272" s="430"/>
      <c r="C2272" s="317"/>
      <c r="E2272" s="306"/>
      <c r="F2272" s="431"/>
      <c r="G2272" s="431"/>
      <c r="H2272" s="298"/>
      <c r="I2272" s="432"/>
      <c r="J2272" s="433"/>
      <c r="K2272" s="306"/>
      <c r="L2272" s="306"/>
      <c r="M2272" s="306"/>
      <c r="N2272" s="298"/>
      <c r="O2272" s="298"/>
      <c r="P2272" s="298"/>
      <c r="Q2272" s="306"/>
      <c r="R2272" s="1023"/>
      <c r="S2272" s="1023"/>
      <c r="T2272" s="306"/>
      <c r="U2272" s="306"/>
      <c r="V2272" s="306"/>
      <c r="W2272" s="306"/>
      <c r="X2272" s="306"/>
      <c r="Y2272" s="306"/>
      <c r="Z2272" s="306"/>
      <c r="AA2272" s="306"/>
      <c r="AB2272" s="306"/>
      <c r="AC2272" s="306"/>
      <c r="AD2272" s="306"/>
      <c r="AE2272" s="306"/>
      <c r="AF2272" s="306"/>
      <c r="AG2272" s="306"/>
      <c r="AH2272" s="306"/>
      <c r="AI2272" s="306"/>
      <c r="AJ2272" s="306"/>
      <c r="AK2272" s="306"/>
      <c r="AL2272" s="306"/>
      <c r="AM2272" s="418"/>
      <c r="AN2272" s="418"/>
      <c r="AO2272" s="306"/>
      <c r="AP2272" s="306"/>
      <c r="AQ2272" s="418"/>
      <c r="AR2272" s="306"/>
      <c r="AS2272" s="306"/>
      <c r="AT2272" s="418"/>
      <c r="AU2272" s="306"/>
      <c r="AV2272" s="306"/>
      <c r="AW2272" s="306"/>
      <c r="AX2272" s="306"/>
      <c r="AY2272" s="306"/>
      <c r="AZ2272" s="306"/>
      <c r="BA2272" s="306"/>
      <c r="BB2272" s="306"/>
    </row>
    <row r="2273" spans="1:54" ht="15.75" customHeight="1">
      <c r="A2273" s="317"/>
      <c r="B2273" s="430"/>
      <c r="C2273" s="317"/>
      <c r="E2273" s="306"/>
      <c r="F2273" s="431"/>
      <c r="G2273" s="431"/>
      <c r="H2273" s="298"/>
      <c r="I2273" s="432"/>
      <c r="J2273" s="433"/>
      <c r="K2273" s="306"/>
      <c r="L2273" s="306"/>
      <c r="M2273" s="306"/>
      <c r="N2273" s="298"/>
      <c r="O2273" s="298"/>
      <c r="P2273" s="298"/>
      <c r="Q2273" s="306"/>
      <c r="R2273" s="1023"/>
      <c r="S2273" s="1023"/>
      <c r="T2273" s="306"/>
      <c r="U2273" s="306"/>
      <c r="V2273" s="306"/>
      <c r="W2273" s="306"/>
      <c r="X2273" s="306"/>
      <c r="Y2273" s="306"/>
      <c r="Z2273" s="306"/>
      <c r="AA2273" s="306"/>
      <c r="AB2273" s="306"/>
      <c r="AC2273" s="306"/>
      <c r="AD2273" s="306"/>
      <c r="AE2273" s="306"/>
      <c r="AF2273" s="306"/>
      <c r="AG2273" s="306"/>
      <c r="AH2273" s="306"/>
      <c r="AI2273" s="306"/>
      <c r="AJ2273" s="306"/>
      <c r="AK2273" s="306"/>
      <c r="AL2273" s="306"/>
      <c r="AM2273" s="418"/>
      <c r="AN2273" s="418"/>
      <c r="AO2273" s="306"/>
      <c r="AP2273" s="306"/>
      <c r="AQ2273" s="418"/>
      <c r="AR2273" s="306"/>
      <c r="AS2273" s="306"/>
      <c r="AT2273" s="418"/>
      <c r="AU2273" s="306"/>
      <c r="AV2273" s="306"/>
      <c r="AW2273" s="306"/>
      <c r="AX2273" s="306"/>
      <c r="AY2273" s="306"/>
      <c r="AZ2273" s="306"/>
      <c r="BA2273" s="306"/>
      <c r="BB2273" s="306"/>
    </row>
    <row r="2274" spans="1:54" ht="15.75" customHeight="1">
      <c r="A2274" s="317"/>
      <c r="B2274" s="430"/>
      <c r="C2274" s="317"/>
      <c r="E2274" s="306"/>
      <c r="F2274" s="431"/>
      <c r="G2274" s="431"/>
      <c r="H2274" s="298"/>
      <c r="I2274" s="432"/>
      <c r="J2274" s="433"/>
      <c r="K2274" s="306"/>
      <c r="L2274" s="306"/>
      <c r="M2274" s="306"/>
      <c r="N2274" s="298"/>
      <c r="O2274" s="298"/>
      <c r="P2274" s="298"/>
      <c r="Q2274" s="306"/>
      <c r="R2274" s="1023"/>
      <c r="S2274" s="1023"/>
      <c r="T2274" s="306"/>
      <c r="U2274" s="306"/>
      <c r="V2274" s="306"/>
      <c r="W2274" s="306"/>
      <c r="X2274" s="306"/>
      <c r="Y2274" s="306"/>
      <c r="Z2274" s="306"/>
      <c r="AA2274" s="306"/>
      <c r="AB2274" s="306"/>
      <c r="AC2274" s="306"/>
      <c r="AD2274" s="306"/>
      <c r="AE2274" s="306"/>
      <c r="AF2274" s="306"/>
      <c r="AG2274" s="306"/>
      <c r="AH2274" s="306"/>
      <c r="AI2274" s="306"/>
      <c r="AJ2274" s="306"/>
      <c r="AK2274" s="306"/>
      <c r="AL2274" s="306"/>
      <c r="AM2274" s="418"/>
      <c r="AN2274" s="418"/>
      <c r="AO2274" s="306"/>
      <c r="AP2274" s="306"/>
      <c r="AQ2274" s="418"/>
      <c r="AR2274" s="306"/>
      <c r="AS2274" s="306"/>
      <c r="AT2274" s="418"/>
      <c r="AU2274" s="306"/>
      <c r="AV2274" s="306"/>
      <c r="AW2274" s="306"/>
      <c r="AX2274" s="306"/>
      <c r="AY2274" s="306"/>
      <c r="AZ2274" s="306"/>
      <c r="BA2274" s="306"/>
      <c r="BB2274" s="306"/>
    </row>
    <row r="2275" spans="1:54" ht="15.75" customHeight="1">
      <c r="A2275" s="317"/>
      <c r="B2275" s="430"/>
      <c r="C2275" s="317"/>
      <c r="E2275" s="306"/>
      <c r="F2275" s="431"/>
      <c r="G2275" s="431"/>
      <c r="H2275" s="298"/>
      <c r="I2275" s="432"/>
      <c r="J2275" s="433"/>
      <c r="K2275" s="306"/>
      <c r="L2275" s="306"/>
      <c r="M2275" s="306"/>
      <c r="N2275" s="298"/>
      <c r="O2275" s="298"/>
      <c r="P2275" s="298"/>
      <c r="Q2275" s="306"/>
      <c r="R2275" s="1023"/>
      <c r="S2275" s="1023"/>
      <c r="T2275" s="306"/>
      <c r="U2275" s="306"/>
      <c r="V2275" s="306"/>
      <c r="W2275" s="306"/>
      <c r="X2275" s="306"/>
      <c r="Y2275" s="306"/>
      <c r="Z2275" s="306"/>
      <c r="AA2275" s="306"/>
      <c r="AB2275" s="306"/>
      <c r="AC2275" s="306"/>
      <c r="AD2275" s="306"/>
      <c r="AE2275" s="306"/>
      <c r="AF2275" s="306"/>
      <c r="AG2275" s="306"/>
      <c r="AH2275" s="306"/>
      <c r="AI2275" s="306"/>
      <c r="AJ2275" s="306"/>
      <c r="AK2275" s="306"/>
      <c r="AL2275" s="306"/>
      <c r="AM2275" s="418"/>
      <c r="AN2275" s="418"/>
      <c r="AO2275" s="306"/>
      <c r="AP2275" s="306"/>
      <c r="AQ2275" s="418"/>
      <c r="AR2275" s="306"/>
      <c r="AS2275" s="306"/>
      <c r="AT2275" s="418"/>
      <c r="AU2275" s="306"/>
      <c r="AV2275" s="306"/>
      <c r="AW2275" s="306"/>
      <c r="AX2275" s="306"/>
      <c r="AY2275" s="306"/>
      <c r="AZ2275" s="306"/>
      <c r="BA2275" s="306"/>
      <c r="BB2275" s="306"/>
    </row>
    <row r="2276" spans="1:54" ht="15.75" customHeight="1">
      <c r="A2276" s="317"/>
      <c r="B2276" s="430"/>
      <c r="C2276" s="317"/>
      <c r="E2276" s="306"/>
      <c r="F2276" s="431"/>
      <c r="G2276" s="431"/>
      <c r="H2276" s="298"/>
      <c r="I2276" s="432"/>
      <c r="J2276" s="433"/>
      <c r="K2276" s="306"/>
      <c r="L2276" s="306"/>
      <c r="M2276" s="306"/>
      <c r="N2276" s="298"/>
      <c r="O2276" s="298"/>
      <c r="P2276" s="298"/>
      <c r="Q2276" s="306"/>
      <c r="R2276" s="1023"/>
      <c r="S2276" s="1023"/>
      <c r="T2276" s="306"/>
      <c r="U2276" s="306"/>
      <c r="V2276" s="306"/>
      <c r="W2276" s="306"/>
      <c r="X2276" s="306"/>
      <c r="Y2276" s="306"/>
      <c r="Z2276" s="306"/>
      <c r="AA2276" s="306"/>
      <c r="AB2276" s="306"/>
      <c r="AC2276" s="306"/>
      <c r="AD2276" s="306"/>
      <c r="AE2276" s="306"/>
      <c r="AF2276" s="306"/>
      <c r="AG2276" s="306"/>
      <c r="AH2276" s="306"/>
      <c r="AI2276" s="306"/>
      <c r="AJ2276" s="306"/>
      <c r="AK2276" s="306"/>
      <c r="AL2276" s="306"/>
      <c r="AM2276" s="418"/>
      <c r="AN2276" s="418"/>
      <c r="AO2276" s="306"/>
      <c r="AP2276" s="306"/>
      <c r="AQ2276" s="418"/>
      <c r="AR2276" s="306"/>
      <c r="AS2276" s="306"/>
      <c r="AT2276" s="418"/>
      <c r="AU2276" s="306"/>
      <c r="AV2276" s="306"/>
      <c r="AW2276" s="306"/>
      <c r="AX2276" s="306"/>
      <c r="AY2276" s="306"/>
      <c r="AZ2276" s="306"/>
      <c r="BA2276" s="306"/>
      <c r="BB2276" s="306"/>
    </row>
    <row r="2277" spans="1:54" ht="15.75" customHeight="1">
      <c r="A2277" s="317"/>
      <c r="B2277" s="430"/>
      <c r="C2277" s="317"/>
      <c r="E2277" s="306"/>
      <c r="F2277" s="431"/>
      <c r="G2277" s="431"/>
      <c r="H2277" s="298"/>
      <c r="I2277" s="432"/>
      <c r="J2277" s="433"/>
      <c r="K2277" s="306"/>
      <c r="L2277" s="306"/>
      <c r="M2277" s="306"/>
      <c r="N2277" s="298"/>
      <c r="O2277" s="298"/>
      <c r="P2277" s="298"/>
      <c r="Q2277" s="306"/>
      <c r="R2277" s="1023"/>
      <c r="S2277" s="1023"/>
      <c r="T2277" s="306"/>
      <c r="U2277" s="306"/>
      <c r="V2277" s="306"/>
      <c r="W2277" s="306"/>
      <c r="X2277" s="306"/>
      <c r="Y2277" s="306"/>
      <c r="Z2277" s="306"/>
      <c r="AA2277" s="306"/>
      <c r="AB2277" s="306"/>
      <c r="AC2277" s="306"/>
      <c r="AD2277" s="306"/>
      <c r="AE2277" s="306"/>
      <c r="AF2277" s="306"/>
      <c r="AG2277" s="306"/>
      <c r="AH2277" s="306"/>
      <c r="AI2277" s="306"/>
      <c r="AJ2277" s="306"/>
      <c r="AK2277" s="306"/>
      <c r="AL2277" s="306"/>
      <c r="AM2277" s="418"/>
      <c r="AN2277" s="418"/>
      <c r="AO2277" s="306"/>
      <c r="AP2277" s="306"/>
      <c r="AQ2277" s="418"/>
      <c r="AR2277" s="306"/>
      <c r="AS2277" s="306"/>
      <c r="AT2277" s="418"/>
      <c r="AU2277" s="306"/>
      <c r="AV2277" s="306"/>
      <c r="AW2277" s="306"/>
      <c r="AX2277" s="306"/>
      <c r="AY2277" s="306"/>
      <c r="AZ2277" s="306"/>
      <c r="BA2277" s="306"/>
      <c r="BB2277" s="306"/>
    </row>
    <row r="2278" spans="1:54" ht="15.75" customHeight="1">
      <c r="A2278" s="317"/>
      <c r="B2278" s="430"/>
      <c r="C2278" s="317"/>
      <c r="E2278" s="306"/>
      <c r="F2278" s="431"/>
      <c r="G2278" s="431"/>
      <c r="H2278" s="298"/>
      <c r="I2278" s="432"/>
      <c r="J2278" s="433"/>
      <c r="K2278" s="306"/>
      <c r="L2278" s="306"/>
      <c r="M2278" s="306"/>
      <c r="N2278" s="298"/>
      <c r="O2278" s="298"/>
      <c r="P2278" s="298"/>
      <c r="Q2278" s="306"/>
      <c r="R2278" s="1023"/>
      <c r="S2278" s="1023"/>
      <c r="T2278" s="306"/>
      <c r="U2278" s="306"/>
      <c r="V2278" s="306"/>
      <c r="W2278" s="306"/>
      <c r="X2278" s="306"/>
      <c r="Y2278" s="306"/>
      <c r="Z2278" s="306"/>
      <c r="AA2278" s="306"/>
      <c r="AB2278" s="306"/>
      <c r="AC2278" s="306"/>
      <c r="AD2278" s="306"/>
      <c r="AE2278" s="306"/>
      <c r="AF2278" s="306"/>
      <c r="AG2278" s="306"/>
      <c r="AH2278" s="306"/>
      <c r="AI2278" s="306"/>
      <c r="AJ2278" s="306"/>
      <c r="AK2278" s="306"/>
      <c r="AL2278" s="306"/>
      <c r="AM2278" s="418"/>
      <c r="AN2278" s="418"/>
      <c r="AO2278" s="306"/>
      <c r="AP2278" s="306"/>
      <c r="AQ2278" s="418"/>
      <c r="AR2278" s="306"/>
      <c r="AS2278" s="306"/>
      <c r="AT2278" s="418"/>
      <c r="AU2278" s="306"/>
      <c r="AV2278" s="306"/>
      <c r="AW2278" s="306"/>
      <c r="AX2278" s="306"/>
      <c r="AY2278" s="306"/>
      <c r="AZ2278" s="306"/>
      <c r="BA2278" s="306"/>
      <c r="BB2278" s="306"/>
    </row>
    <row r="2279" spans="1:54" ht="15.75" customHeight="1">
      <c r="A2279" s="317"/>
      <c r="B2279" s="430"/>
      <c r="C2279" s="317"/>
      <c r="E2279" s="306"/>
      <c r="F2279" s="431"/>
      <c r="G2279" s="431"/>
      <c r="H2279" s="298"/>
      <c r="I2279" s="432"/>
      <c r="J2279" s="433"/>
      <c r="K2279" s="306"/>
      <c r="L2279" s="306"/>
      <c r="M2279" s="306"/>
      <c r="N2279" s="298"/>
      <c r="O2279" s="298"/>
      <c r="P2279" s="298"/>
      <c r="Q2279" s="306"/>
      <c r="R2279" s="1023"/>
      <c r="S2279" s="1023"/>
      <c r="T2279" s="306"/>
      <c r="U2279" s="306"/>
      <c r="V2279" s="306"/>
      <c r="W2279" s="306"/>
      <c r="X2279" s="306"/>
      <c r="Y2279" s="306"/>
      <c r="Z2279" s="306"/>
      <c r="AA2279" s="306"/>
      <c r="AB2279" s="306"/>
      <c r="AC2279" s="306"/>
      <c r="AD2279" s="306"/>
      <c r="AE2279" s="306"/>
      <c r="AF2279" s="306"/>
      <c r="AG2279" s="306"/>
      <c r="AH2279" s="306"/>
      <c r="AI2279" s="306"/>
      <c r="AJ2279" s="306"/>
      <c r="AK2279" s="306"/>
      <c r="AL2279" s="306"/>
      <c r="AM2279" s="418"/>
      <c r="AN2279" s="418"/>
      <c r="AO2279" s="306"/>
      <c r="AP2279" s="306"/>
      <c r="AQ2279" s="418"/>
      <c r="AR2279" s="306"/>
      <c r="AS2279" s="306"/>
      <c r="AT2279" s="418"/>
      <c r="AU2279" s="306"/>
      <c r="AV2279" s="306"/>
      <c r="AW2279" s="306"/>
      <c r="AX2279" s="306"/>
      <c r="AY2279" s="306"/>
      <c r="AZ2279" s="306"/>
      <c r="BA2279" s="306"/>
      <c r="BB2279" s="306"/>
    </row>
    <row r="2280" spans="1:54" ht="15.75" customHeight="1">
      <c r="A2280" s="317"/>
      <c r="B2280" s="430"/>
      <c r="C2280" s="317"/>
      <c r="E2280" s="306"/>
      <c r="F2280" s="431"/>
      <c r="G2280" s="431"/>
      <c r="H2280" s="298"/>
      <c r="I2280" s="432"/>
      <c r="J2280" s="433"/>
      <c r="K2280" s="306"/>
      <c r="L2280" s="306"/>
      <c r="M2280" s="306"/>
      <c r="N2280" s="298"/>
      <c r="O2280" s="298"/>
      <c r="P2280" s="298"/>
      <c r="Q2280" s="306"/>
      <c r="R2280" s="1023"/>
      <c r="S2280" s="1023"/>
      <c r="T2280" s="306"/>
      <c r="U2280" s="306"/>
      <c r="V2280" s="306"/>
      <c r="W2280" s="306"/>
      <c r="X2280" s="306"/>
      <c r="Y2280" s="306"/>
      <c r="Z2280" s="306"/>
      <c r="AA2280" s="306"/>
      <c r="AB2280" s="306"/>
      <c r="AC2280" s="306"/>
      <c r="AD2280" s="306"/>
      <c r="AE2280" s="306"/>
      <c r="AF2280" s="306"/>
      <c r="AG2280" s="306"/>
      <c r="AH2280" s="306"/>
      <c r="AI2280" s="306"/>
      <c r="AJ2280" s="306"/>
      <c r="AK2280" s="306"/>
      <c r="AL2280" s="306"/>
      <c r="AM2280" s="418"/>
      <c r="AN2280" s="418"/>
      <c r="AO2280" s="306"/>
      <c r="AP2280" s="306"/>
      <c r="AQ2280" s="418"/>
      <c r="AR2280" s="306"/>
      <c r="AS2280" s="306"/>
      <c r="AT2280" s="418"/>
      <c r="AU2280" s="306"/>
      <c r="AV2280" s="306"/>
      <c r="AW2280" s="306"/>
      <c r="AX2280" s="306"/>
      <c r="AY2280" s="306"/>
      <c r="AZ2280" s="306"/>
      <c r="BA2280" s="306"/>
      <c r="BB2280" s="306"/>
    </row>
    <row r="2281" spans="1:54" ht="15.75" customHeight="1">
      <c r="A2281" s="317"/>
      <c r="B2281" s="430"/>
      <c r="C2281" s="317"/>
      <c r="E2281" s="306"/>
      <c r="F2281" s="431"/>
      <c r="G2281" s="431"/>
      <c r="H2281" s="298"/>
      <c r="I2281" s="432"/>
      <c r="J2281" s="433"/>
      <c r="K2281" s="306"/>
      <c r="L2281" s="306"/>
      <c r="M2281" s="306"/>
      <c r="N2281" s="298"/>
      <c r="O2281" s="298"/>
      <c r="P2281" s="298"/>
      <c r="Q2281" s="306"/>
      <c r="R2281" s="1023"/>
      <c r="S2281" s="1023"/>
      <c r="T2281" s="306"/>
      <c r="U2281" s="306"/>
      <c r="V2281" s="306"/>
      <c r="W2281" s="306"/>
      <c r="X2281" s="306"/>
      <c r="Y2281" s="306"/>
      <c r="Z2281" s="306"/>
      <c r="AA2281" s="306"/>
      <c r="AB2281" s="306"/>
      <c r="AC2281" s="306"/>
      <c r="AD2281" s="306"/>
      <c r="AE2281" s="306"/>
      <c r="AF2281" s="306"/>
      <c r="AG2281" s="306"/>
      <c r="AH2281" s="306"/>
      <c r="AI2281" s="306"/>
      <c r="AJ2281" s="306"/>
      <c r="AK2281" s="306"/>
      <c r="AL2281" s="306"/>
      <c r="AM2281" s="418"/>
      <c r="AN2281" s="418"/>
      <c r="AO2281" s="306"/>
      <c r="AP2281" s="306"/>
      <c r="AQ2281" s="418"/>
      <c r="AR2281" s="306"/>
      <c r="AS2281" s="306"/>
      <c r="AT2281" s="418"/>
      <c r="AU2281" s="306"/>
      <c r="AV2281" s="306"/>
      <c r="AW2281" s="306"/>
      <c r="AX2281" s="306"/>
      <c r="AY2281" s="306"/>
      <c r="AZ2281" s="306"/>
      <c r="BA2281" s="306"/>
      <c r="BB2281" s="306"/>
    </row>
    <row r="2282" spans="1:54" ht="15.75" customHeight="1">
      <c r="A2282" s="317"/>
      <c r="B2282" s="430"/>
      <c r="C2282" s="317"/>
      <c r="E2282" s="306"/>
      <c r="F2282" s="431"/>
      <c r="G2282" s="431"/>
      <c r="H2282" s="298"/>
      <c r="I2282" s="432"/>
      <c r="J2282" s="433"/>
      <c r="K2282" s="306"/>
      <c r="L2282" s="306"/>
      <c r="M2282" s="306"/>
      <c r="N2282" s="298"/>
      <c r="O2282" s="298"/>
      <c r="P2282" s="298"/>
      <c r="Q2282" s="306"/>
      <c r="R2282" s="1023"/>
      <c r="S2282" s="1023"/>
      <c r="T2282" s="306"/>
      <c r="U2282" s="306"/>
      <c r="V2282" s="306"/>
      <c r="W2282" s="306"/>
      <c r="X2282" s="306"/>
      <c r="Y2282" s="306"/>
      <c r="Z2282" s="306"/>
      <c r="AA2282" s="306"/>
      <c r="AB2282" s="306"/>
      <c r="AC2282" s="306"/>
      <c r="AD2282" s="306"/>
      <c r="AE2282" s="306"/>
      <c r="AF2282" s="306"/>
      <c r="AG2282" s="306"/>
      <c r="AH2282" s="306"/>
      <c r="AI2282" s="306"/>
      <c r="AJ2282" s="306"/>
      <c r="AK2282" s="306"/>
      <c r="AL2282" s="306"/>
      <c r="AM2282" s="418"/>
      <c r="AN2282" s="418"/>
      <c r="AO2282" s="306"/>
      <c r="AP2282" s="306"/>
      <c r="AQ2282" s="418"/>
      <c r="AR2282" s="306"/>
      <c r="AS2282" s="306"/>
      <c r="AT2282" s="418"/>
      <c r="AU2282" s="306"/>
      <c r="AV2282" s="306"/>
      <c r="AW2282" s="306"/>
      <c r="AX2282" s="306"/>
      <c r="AY2282" s="306"/>
      <c r="AZ2282" s="306"/>
      <c r="BA2282" s="306"/>
      <c r="BB2282" s="306"/>
    </row>
    <row r="2283" spans="1:54" ht="15.75" customHeight="1">
      <c r="A2283" s="317"/>
      <c r="B2283" s="430"/>
      <c r="C2283" s="317"/>
      <c r="E2283" s="306"/>
      <c r="F2283" s="431"/>
      <c r="G2283" s="431"/>
      <c r="H2283" s="298"/>
      <c r="I2283" s="432"/>
      <c r="J2283" s="433"/>
      <c r="K2283" s="306"/>
      <c r="L2283" s="306"/>
      <c r="M2283" s="306"/>
      <c r="N2283" s="298"/>
      <c r="O2283" s="298"/>
      <c r="P2283" s="298"/>
      <c r="Q2283" s="306"/>
      <c r="R2283" s="1023"/>
      <c r="S2283" s="1023"/>
      <c r="T2283" s="306"/>
      <c r="U2283" s="306"/>
      <c r="V2283" s="306"/>
      <c r="W2283" s="306"/>
      <c r="X2283" s="306"/>
      <c r="Y2283" s="306"/>
      <c r="Z2283" s="306"/>
      <c r="AA2283" s="306"/>
      <c r="AB2283" s="306"/>
      <c r="AC2283" s="306"/>
      <c r="AD2283" s="306"/>
      <c r="AE2283" s="306"/>
      <c r="AF2283" s="306"/>
      <c r="AG2283" s="306"/>
      <c r="AH2283" s="306"/>
      <c r="AI2283" s="306"/>
      <c r="AJ2283" s="306"/>
      <c r="AK2283" s="306"/>
      <c r="AL2283" s="306"/>
      <c r="AM2283" s="418"/>
      <c r="AN2283" s="418"/>
      <c r="AO2283" s="306"/>
      <c r="AP2283" s="306"/>
      <c r="AQ2283" s="418"/>
      <c r="AR2283" s="306"/>
      <c r="AS2283" s="306"/>
      <c r="AT2283" s="418"/>
      <c r="AU2283" s="306"/>
      <c r="AV2283" s="306"/>
      <c r="AW2283" s="306"/>
      <c r="AX2283" s="306"/>
      <c r="AY2283" s="306"/>
      <c r="AZ2283" s="306"/>
      <c r="BA2283" s="306"/>
      <c r="BB2283" s="306"/>
    </row>
    <row r="2284" spans="1:54" ht="15.75" customHeight="1">
      <c r="A2284" s="317"/>
      <c r="B2284" s="430"/>
      <c r="C2284" s="317"/>
      <c r="E2284" s="306"/>
      <c r="F2284" s="431"/>
      <c r="G2284" s="431"/>
      <c r="H2284" s="298"/>
      <c r="I2284" s="432"/>
      <c r="J2284" s="433"/>
      <c r="K2284" s="306"/>
      <c r="L2284" s="306"/>
      <c r="M2284" s="306"/>
      <c r="N2284" s="298"/>
      <c r="O2284" s="298"/>
      <c r="P2284" s="298"/>
      <c r="Q2284" s="306"/>
      <c r="R2284" s="1023"/>
      <c r="S2284" s="1023"/>
      <c r="T2284" s="306"/>
      <c r="U2284" s="306"/>
      <c r="V2284" s="306"/>
      <c r="W2284" s="306"/>
      <c r="X2284" s="306"/>
      <c r="Y2284" s="306"/>
      <c r="Z2284" s="306"/>
      <c r="AA2284" s="306"/>
      <c r="AB2284" s="306"/>
      <c r="AC2284" s="306"/>
      <c r="AD2284" s="306"/>
      <c r="AE2284" s="306"/>
      <c r="AF2284" s="306"/>
      <c r="AG2284" s="306"/>
      <c r="AH2284" s="306"/>
      <c r="AI2284" s="306"/>
      <c r="AJ2284" s="306"/>
      <c r="AK2284" s="306"/>
      <c r="AL2284" s="306"/>
      <c r="AM2284" s="418"/>
      <c r="AN2284" s="418"/>
      <c r="AO2284" s="306"/>
      <c r="AP2284" s="306"/>
      <c r="AQ2284" s="418"/>
      <c r="AR2284" s="306"/>
      <c r="AS2284" s="306"/>
      <c r="AT2284" s="418"/>
      <c r="AU2284" s="306"/>
      <c r="AV2284" s="306"/>
      <c r="AW2284" s="306"/>
      <c r="AX2284" s="306"/>
      <c r="AY2284" s="306"/>
      <c r="AZ2284" s="306"/>
      <c r="BA2284" s="306"/>
      <c r="BB2284" s="306"/>
    </row>
    <row r="2285" spans="1:54" ht="15.75" customHeight="1">
      <c r="A2285" s="317"/>
      <c r="B2285" s="430"/>
      <c r="C2285" s="317"/>
      <c r="E2285" s="306"/>
      <c r="F2285" s="431"/>
      <c r="G2285" s="431"/>
      <c r="H2285" s="298"/>
      <c r="I2285" s="432"/>
      <c r="J2285" s="433"/>
      <c r="K2285" s="306"/>
      <c r="L2285" s="306"/>
      <c r="M2285" s="306"/>
      <c r="N2285" s="298"/>
      <c r="O2285" s="298"/>
      <c r="P2285" s="298"/>
      <c r="Q2285" s="306"/>
      <c r="R2285" s="1023"/>
      <c r="S2285" s="1023"/>
      <c r="T2285" s="306"/>
      <c r="U2285" s="306"/>
      <c r="V2285" s="306"/>
      <c r="W2285" s="306"/>
      <c r="X2285" s="306"/>
      <c r="Y2285" s="306"/>
      <c r="Z2285" s="306"/>
      <c r="AA2285" s="306"/>
      <c r="AB2285" s="306"/>
      <c r="AC2285" s="306"/>
      <c r="AD2285" s="306"/>
      <c r="AE2285" s="306"/>
      <c r="AF2285" s="306"/>
      <c r="AG2285" s="306"/>
      <c r="AH2285" s="306"/>
      <c r="AI2285" s="306"/>
      <c r="AJ2285" s="306"/>
      <c r="AK2285" s="306"/>
      <c r="AL2285" s="306"/>
      <c r="AM2285" s="418"/>
      <c r="AN2285" s="418"/>
      <c r="AO2285" s="306"/>
      <c r="AP2285" s="306"/>
      <c r="AQ2285" s="418"/>
      <c r="AR2285" s="306"/>
      <c r="AS2285" s="306"/>
      <c r="AT2285" s="418"/>
      <c r="AU2285" s="306"/>
      <c r="AV2285" s="306"/>
      <c r="AW2285" s="306"/>
      <c r="AX2285" s="306"/>
      <c r="AY2285" s="306"/>
      <c r="AZ2285" s="306"/>
      <c r="BA2285" s="306"/>
      <c r="BB2285" s="306"/>
    </row>
    <row r="2286" spans="1:54" ht="15.75" customHeight="1">
      <c r="A2286" s="317"/>
      <c r="B2286" s="430"/>
      <c r="C2286" s="317"/>
      <c r="E2286" s="306"/>
      <c r="F2286" s="431"/>
      <c r="G2286" s="431"/>
      <c r="H2286" s="298"/>
      <c r="I2286" s="432"/>
      <c r="J2286" s="433"/>
      <c r="K2286" s="306"/>
      <c r="L2286" s="306"/>
      <c r="M2286" s="306"/>
      <c r="N2286" s="298"/>
      <c r="O2286" s="298"/>
      <c r="P2286" s="298"/>
      <c r="Q2286" s="306"/>
      <c r="R2286" s="1023"/>
      <c r="S2286" s="1023"/>
      <c r="T2286" s="306"/>
      <c r="U2286" s="306"/>
      <c r="V2286" s="306"/>
      <c r="W2286" s="306"/>
      <c r="X2286" s="306"/>
      <c r="Y2286" s="306"/>
      <c r="Z2286" s="306"/>
      <c r="AA2286" s="306"/>
      <c r="AB2286" s="306"/>
      <c r="AC2286" s="306"/>
      <c r="AD2286" s="306"/>
      <c r="AE2286" s="306"/>
      <c r="AF2286" s="306"/>
      <c r="AG2286" s="306"/>
      <c r="AH2286" s="306"/>
      <c r="AI2286" s="306"/>
      <c r="AJ2286" s="306"/>
      <c r="AK2286" s="306"/>
      <c r="AL2286" s="306"/>
      <c r="AM2286" s="418"/>
      <c r="AN2286" s="418"/>
      <c r="AO2286" s="306"/>
      <c r="AP2286" s="306"/>
      <c r="AQ2286" s="418"/>
      <c r="AR2286" s="306"/>
      <c r="AS2286" s="306"/>
      <c r="AT2286" s="418"/>
      <c r="AU2286" s="306"/>
      <c r="AV2286" s="306"/>
      <c r="AW2286" s="306"/>
      <c r="AX2286" s="306"/>
      <c r="AY2286" s="306"/>
      <c r="AZ2286" s="306"/>
      <c r="BA2286" s="306"/>
      <c r="BB2286" s="306"/>
    </row>
    <row r="2287" spans="1:54" ht="15.75" customHeight="1">
      <c r="A2287" s="317"/>
      <c r="B2287" s="430"/>
      <c r="C2287" s="317"/>
      <c r="E2287" s="306"/>
      <c r="F2287" s="431"/>
      <c r="G2287" s="431"/>
      <c r="H2287" s="298"/>
      <c r="I2287" s="432"/>
      <c r="J2287" s="433"/>
      <c r="K2287" s="306"/>
      <c r="L2287" s="306"/>
      <c r="M2287" s="306"/>
      <c r="N2287" s="298"/>
      <c r="O2287" s="298"/>
      <c r="P2287" s="298"/>
      <c r="Q2287" s="306"/>
      <c r="R2287" s="1023"/>
      <c r="S2287" s="1023"/>
      <c r="T2287" s="306"/>
      <c r="U2287" s="306"/>
      <c r="V2287" s="306"/>
      <c r="W2287" s="306"/>
      <c r="X2287" s="306"/>
      <c r="Y2287" s="306"/>
      <c r="Z2287" s="306"/>
      <c r="AA2287" s="306"/>
      <c r="AB2287" s="306"/>
      <c r="AC2287" s="306"/>
      <c r="AD2287" s="306"/>
      <c r="AE2287" s="306"/>
      <c r="AF2287" s="306"/>
      <c r="AG2287" s="306"/>
      <c r="AH2287" s="306"/>
      <c r="AI2287" s="306"/>
      <c r="AJ2287" s="306"/>
      <c r="AK2287" s="306"/>
      <c r="AL2287" s="306"/>
      <c r="AM2287" s="418"/>
      <c r="AN2287" s="418"/>
      <c r="AO2287" s="306"/>
      <c r="AP2287" s="306"/>
      <c r="AQ2287" s="418"/>
      <c r="AR2287" s="306"/>
      <c r="AS2287" s="306"/>
      <c r="AT2287" s="418"/>
      <c r="AU2287" s="306"/>
      <c r="AV2287" s="306"/>
      <c r="AW2287" s="306"/>
      <c r="AX2287" s="306"/>
      <c r="AY2287" s="306"/>
      <c r="AZ2287" s="306"/>
      <c r="BA2287" s="306"/>
      <c r="BB2287" s="306"/>
    </row>
    <row r="2288" spans="1:54" ht="15.75" customHeight="1">
      <c r="A2288" s="317"/>
      <c r="B2288" s="430"/>
      <c r="C2288" s="317"/>
      <c r="E2288" s="306"/>
      <c r="F2288" s="431"/>
      <c r="G2288" s="431"/>
      <c r="H2288" s="298"/>
      <c r="I2288" s="432"/>
      <c r="J2288" s="433"/>
      <c r="K2288" s="306"/>
      <c r="L2288" s="306"/>
      <c r="M2288" s="306"/>
      <c r="N2288" s="298"/>
      <c r="O2288" s="298"/>
      <c r="P2288" s="298"/>
      <c r="Q2288" s="306"/>
      <c r="R2288" s="1023"/>
      <c r="S2288" s="1023"/>
      <c r="T2288" s="306"/>
      <c r="U2288" s="306"/>
      <c r="V2288" s="306"/>
      <c r="W2288" s="306"/>
      <c r="X2288" s="306"/>
      <c r="Y2288" s="306"/>
      <c r="Z2288" s="306"/>
      <c r="AA2288" s="306"/>
      <c r="AB2288" s="306"/>
      <c r="AC2288" s="306"/>
      <c r="AD2288" s="306"/>
      <c r="AE2288" s="306"/>
      <c r="AF2288" s="306"/>
      <c r="AG2288" s="306"/>
      <c r="AH2288" s="306"/>
      <c r="AI2288" s="306"/>
      <c r="AJ2288" s="306"/>
      <c r="AK2288" s="306"/>
      <c r="AL2288" s="306"/>
      <c r="AM2288" s="418"/>
      <c r="AN2288" s="418"/>
      <c r="AO2288" s="306"/>
      <c r="AP2288" s="306"/>
      <c r="AQ2288" s="418"/>
      <c r="AR2288" s="306"/>
      <c r="AS2288" s="306"/>
      <c r="AT2288" s="418"/>
      <c r="AU2288" s="306"/>
      <c r="AV2288" s="306"/>
      <c r="AW2288" s="306"/>
      <c r="AX2288" s="306"/>
      <c r="AY2288" s="306"/>
      <c r="AZ2288" s="306"/>
      <c r="BA2288" s="306"/>
      <c r="BB2288" s="306"/>
    </row>
    <row r="2289" spans="1:54" ht="15.75" customHeight="1">
      <c r="A2289" s="317"/>
      <c r="B2289" s="430"/>
      <c r="C2289" s="317"/>
      <c r="E2289" s="306"/>
      <c r="F2289" s="431"/>
      <c r="G2289" s="431"/>
      <c r="H2289" s="298"/>
      <c r="I2289" s="432"/>
      <c r="J2289" s="433"/>
      <c r="K2289" s="306"/>
      <c r="L2289" s="306"/>
      <c r="M2289" s="306"/>
      <c r="N2289" s="298"/>
      <c r="O2289" s="298"/>
      <c r="P2289" s="298"/>
      <c r="Q2289" s="306"/>
      <c r="R2289" s="1023"/>
      <c r="S2289" s="1023"/>
      <c r="T2289" s="306"/>
      <c r="U2289" s="306"/>
      <c r="V2289" s="306"/>
      <c r="W2289" s="306"/>
      <c r="X2289" s="306"/>
      <c r="Y2289" s="306"/>
      <c r="Z2289" s="306"/>
      <c r="AA2289" s="306"/>
      <c r="AB2289" s="306"/>
      <c r="AC2289" s="306"/>
      <c r="AD2289" s="306"/>
      <c r="AE2289" s="306"/>
      <c r="AF2289" s="306"/>
      <c r="AG2289" s="306"/>
      <c r="AH2289" s="306"/>
      <c r="AI2289" s="306"/>
      <c r="AJ2289" s="306"/>
      <c r="AK2289" s="306"/>
      <c r="AL2289" s="306"/>
      <c r="AM2289" s="418"/>
      <c r="AN2289" s="418"/>
      <c r="AO2289" s="306"/>
      <c r="AP2289" s="306"/>
      <c r="AQ2289" s="418"/>
      <c r="AR2289" s="306"/>
      <c r="AS2289" s="306"/>
      <c r="AT2289" s="418"/>
      <c r="AU2289" s="306"/>
      <c r="AV2289" s="306"/>
      <c r="AW2289" s="306"/>
      <c r="AX2289" s="306"/>
      <c r="AY2289" s="306"/>
      <c r="AZ2289" s="306"/>
      <c r="BA2289" s="306"/>
      <c r="BB2289" s="306"/>
    </row>
    <row r="2290" spans="1:54" ht="15.75" customHeight="1">
      <c r="A2290" s="317"/>
      <c r="B2290" s="430"/>
      <c r="C2290" s="317"/>
      <c r="E2290" s="306"/>
      <c r="F2290" s="431"/>
      <c r="G2290" s="431"/>
      <c r="H2290" s="298"/>
      <c r="I2290" s="432"/>
      <c r="J2290" s="433"/>
      <c r="K2290" s="306"/>
      <c r="L2290" s="306"/>
      <c r="M2290" s="306"/>
      <c r="N2290" s="298"/>
      <c r="O2290" s="298"/>
      <c r="P2290" s="298"/>
      <c r="Q2290" s="306"/>
      <c r="R2290" s="1023"/>
      <c r="S2290" s="1023"/>
      <c r="T2290" s="306"/>
      <c r="U2290" s="306"/>
      <c r="V2290" s="306"/>
      <c r="W2290" s="306"/>
      <c r="X2290" s="306"/>
      <c r="Y2290" s="306"/>
      <c r="Z2290" s="306"/>
      <c r="AA2290" s="306"/>
      <c r="AB2290" s="306"/>
      <c r="AC2290" s="306"/>
      <c r="AD2290" s="306"/>
      <c r="AE2290" s="306"/>
      <c r="AF2290" s="306"/>
      <c r="AG2290" s="306"/>
      <c r="AH2290" s="306"/>
      <c r="AI2290" s="306"/>
      <c r="AJ2290" s="306"/>
      <c r="AK2290" s="306"/>
      <c r="AL2290" s="306"/>
      <c r="AM2290" s="418"/>
      <c r="AN2290" s="418"/>
      <c r="AO2290" s="306"/>
      <c r="AP2290" s="306"/>
      <c r="AQ2290" s="418"/>
      <c r="AR2290" s="306"/>
      <c r="AS2290" s="306"/>
      <c r="AT2290" s="418"/>
      <c r="AU2290" s="306"/>
      <c r="AV2290" s="306"/>
      <c r="AW2290" s="306"/>
      <c r="AX2290" s="306"/>
      <c r="AY2290" s="306"/>
      <c r="AZ2290" s="306"/>
      <c r="BA2290" s="306"/>
      <c r="BB2290" s="306"/>
    </row>
    <row r="2291" spans="1:54" ht="15.75" customHeight="1">
      <c r="A2291" s="317"/>
      <c r="B2291" s="430"/>
      <c r="C2291" s="317"/>
      <c r="E2291" s="306"/>
      <c r="F2291" s="431"/>
      <c r="G2291" s="431"/>
      <c r="H2291" s="298"/>
      <c r="I2291" s="432"/>
      <c r="J2291" s="433"/>
      <c r="K2291" s="306"/>
      <c r="L2291" s="306"/>
      <c r="M2291" s="306"/>
      <c r="N2291" s="298"/>
      <c r="O2291" s="298"/>
      <c r="P2291" s="298"/>
      <c r="Q2291" s="306"/>
      <c r="R2291" s="1023"/>
      <c r="S2291" s="1023"/>
      <c r="T2291" s="306"/>
      <c r="U2291" s="306"/>
      <c r="V2291" s="306"/>
      <c r="W2291" s="306"/>
      <c r="X2291" s="306"/>
      <c r="Y2291" s="306"/>
      <c r="Z2291" s="306"/>
      <c r="AA2291" s="306"/>
      <c r="AB2291" s="306"/>
      <c r="AC2291" s="306"/>
      <c r="AD2291" s="306"/>
      <c r="AE2291" s="306"/>
      <c r="AF2291" s="306"/>
      <c r="AG2291" s="306"/>
      <c r="AH2291" s="306"/>
      <c r="AI2291" s="306"/>
      <c r="AJ2291" s="306"/>
      <c r="AK2291" s="306"/>
      <c r="AL2291" s="306"/>
      <c r="AM2291" s="418"/>
      <c r="AN2291" s="418"/>
      <c r="AO2291" s="306"/>
      <c r="AP2291" s="306"/>
      <c r="AQ2291" s="418"/>
      <c r="AR2291" s="306"/>
      <c r="AS2291" s="306"/>
      <c r="AT2291" s="418"/>
      <c r="AU2291" s="306"/>
      <c r="AV2291" s="306"/>
      <c r="AW2291" s="306"/>
      <c r="AX2291" s="306"/>
      <c r="AY2291" s="306"/>
      <c r="AZ2291" s="306"/>
      <c r="BA2291" s="306"/>
      <c r="BB2291" s="306"/>
    </row>
    <row r="2292" spans="1:54" ht="15.75" customHeight="1">
      <c r="A2292" s="317"/>
      <c r="B2292" s="430"/>
      <c r="C2292" s="317"/>
      <c r="E2292" s="306"/>
      <c r="F2292" s="431"/>
      <c r="G2292" s="431"/>
      <c r="H2292" s="298"/>
      <c r="I2292" s="432"/>
      <c r="J2292" s="433"/>
      <c r="K2292" s="306"/>
      <c r="L2292" s="306"/>
      <c r="M2292" s="306"/>
      <c r="N2292" s="298"/>
      <c r="O2292" s="298"/>
      <c r="P2292" s="298"/>
      <c r="Q2292" s="306"/>
      <c r="R2292" s="1023"/>
      <c r="S2292" s="1023"/>
      <c r="T2292" s="306"/>
      <c r="U2292" s="306"/>
      <c r="V2292" s="306"/>
      <c r="W2292" s="306"/>
      <c r="X2292" s="306"/>
      <c r="Y2292" s="306"/>
      <c r="Z2292" s="306"/>
      <c r="AA2292" s="306"/>
      <c r="AB2292" s="306"/>
      <c r="AC2292" s="306"/>
      <c r="AD2292" s="306"/>
      <c r="AE2292" s="306"/>
      <c r="AF2292" s="306"/>
      <c r="AG2292" s="306"/>
      <c r="AH2292" s="306"/>
      <c r="AI2292" s="306"/>
      <c r="AJ2292" s="306"/>
      <c r="AK2292" s="306"/>
      <c r="AL2292" s="306"/>
      <c r="AM2292" s="418"/>
      <c r="AN2292" s="418"/>
      <c r="AO2292" s="306"/>
      <c r="AP2292" s="306"/>
      <c r="AQ2292" s="418"/>
      <c r="AR2292" s="306"/>
      <c r="AS2292" s="306"/>
      <c r="AT2292" s="418"/>
      <c r="AU2292" s="306"/>
      <c r="AV2292" s="306"/>
      <c r="AW2292" s="306"/>
      <c r="AX2292" s="306"/>
      <c r="AY2292" s="306"/>
      <c r="AZ2292" s="306"/>
      <c r="BA2292" s="306"/>
      <c r="BB2292" s="306"/>
    </row>
    <row r="2293" spans="1:54" ht="15.75" customHeight="1">
      <c r="A2293" s="317"/>
      <c r="B2293" s="430"/>
      <c r="C2293" s="317"/>
      <c r="E2293" s="306"/>
      <c r="F2293" s="431"/>
      <c r="G2293" s="431"/>
      <c r="H2293" s="298"/>
      <c r="I2293" s="432"/>
      <c r="J2293" s="433"/>
      <c r="K2293" s="306"/>
      <c r="L2293" s="306"/>
      <c r="M2293" s="306"/>
      <c r="N2293" s="298"/>
      <c r="O2293" s="298"/>
      <c r="P2293" s="298"/>
      <c r="Q2293" s="306"/>
      <c r="R2293" s="1023"/>
      <c r="S2293" s="1023"/>
      <c r="T2293" s="306"/>
      <c r="U2293" s="306"/>
      <c r="V2293" s="306"/>
      <c r="W2293" s="306"/>
      <c r="X2293" s="306"/>
      <c r="Y2293" s="306"/>
      <c r="Z2293" s="306"/>
      <c r="AA2293" s="306"/>
      <c r="AB2293" s="306"/>
      <c r="AC2293" s="306"/>
      <c r="AD2293" s="306"/>
      <c r="AE2293" s="306"/>
      <c r="AF2293" s="306"/>
      <c r="AG2293" s="306"/>
      <c r="AH2293" s="306"/>
      <c r="AI2293" s="306"/>
      <c r="AJ2293" s="306"/>
      <c r="AK2293" s="306"/>
      <c r="AL2293" s="306"/>
      <c r="AM2293" s="418"/>
      <c r="AN2293" s="418"/>
      <c r="AO2293" s="306"/>
      <c r="AP2293" s="306"/>
      <c r="AQ2293" s="418"/>
      <c r="AR2293" s="306"/>
      <c r="AS2293" s="306"/>
      <c r="AT2293" s="418"/>
      <c r="AU2293" s="306"/>
      <c r="AV2293" s="306"/>
      <c r="AW2293" s="306"/>
      <c r="AX2293" s="306"/>
      <c r="AY2293" s="306"/>
      <c r="AZ2293" s="306"/>
      <c r="BA2293" s="306"/>
      <c r="BB2293" s="306"/>
    </row>
    <row r="2294" spans="1:54" ht="15.75" customHeight="1">
      <c r="A2294" s="317"/>
      <c r="B2294" s="430"/>
      <c r="C2294" s="317"/>
      <c r="E2294" s="306"/>
      <c r="F2294" s="431"/>
      <c r="G2294" s="431"/>
      <c r="H2294" s="298"/>
      <c r="I2294" s="432"/>
      <c r="J2294" s="433"/>
      <c r="K2294" s="306"/>
      <c r="L2294" s="306"/>
      <c r="M2294" s="306"/>
      <c r="N2294" s="298"/>
      <c r="O2294" s="298"/>
      <c r="P2294" s="298"/>
      <c r="Q2294" s="306"/>
      <c r="R2294" s="1023"/>
      <c r="S2294" s="1023"/>
      <c r="T2294" s="306"/>
      <c r="U2294" s="306"/>
      <c r="V2294" s="306"/>
      <c r="W2294" s="306"/>
      <c r="X2294" s="306"/>
      <c r="Y2294" s="306"/>
      <c r="Z2294" s="306"/>
      <c r="AA2294" s="306"/>
      <c r="AB2294" s="306"/>
      <c r="AC2294" s="306"/>
      <c r="AD2294" s="306"/>
      <c r="AE2294" s="306"/>
      <c r="AF2294" s="306"/>
      <c r="AG2294" s="306"/>
      <c r="AH2294" s="306"/>
      <c r="AI2294" s="306"/>
      <c r="AJ2294" s="306"/>
      <c r="AK2294" s="306"/>
      <c r="AL2294" s="306"/>
      <c r="AM2294" s="418"/>
      <c r="AN2294" s="418"/>
      <c r="AO2294" s="306"/>
      <c r="AP2294" s="306"/>
      <c r="AQ2294" s="418"/>
      <c r="AR2294" s="306"/>
      <c r="AS2294" s="306"/>
      <c r="AT2294" s="418"/>
      <c r="AU2294" s="306"/>
      <c r="AV2294" s="306"/>
      <c r="AW2294" s="306"/>
      <c r="AX2294" s="306"/>
      <c r="AY2294" s="306"/>
      <c r="AZ2294" s="306"/>
      <c r="BA2294" s="306"/>
      <c r="BB2294" s="306"/>
    </row>
    <row r="2295" spans="1:54" ht="15.75" customHeight="1">
      <c r="A2295" s="317"/>
      <c r="B2295" s="430"/>
      <c r="C2295" s="317"/>
      <c r="E2295" s="306"/>
      <c r="F2295" s="431"/>
      <c r="G2295" s="431"/>
      <c r="H2295" s="298"/>
      <c r="I2295" s="432"/>
      <c r="J2295" s="433"/>
      <c r="K2295" s="306"/>
      <c r="L2295" s="306"/>
      <c r="M2295" s="306"/>
      <c r="N2295" s="298"/>
      <c r="O2295" s="298"/>
      <c r="P2295" s="298"/>
      <c r="Q2295" s="306"/>
      <c r="R2295" s="1023"/>
      <c r="S2295" s="1023"/>
      <c r="T2295" s="306"/>
      <c r="U2295" s="306"/>
      <c r="V2295" s="306"/>
      <c r="W2295" s="306"/>
      <c r="X2295" s="306"/>
      <c r="Y2295" s="306"/>
      <c r="Z2295" s="306"/>
      <c r="AA2295" s="306"/>
      <c r="AB2295" s="306"/>
      <c r="AC2295" s="306"/>
      <c r="AD2295" s="306"/>
      <c r="AE2295" s="306"/>
      <c r="AF2295" s="306"/>
      <c r="AG2295" s="306"/>
      <c r="AH2295" s="306"/>
      <c r="AI2295" s="306"/>
      <c r="AJ2295" s="306"/>
      <c r="AK2295" s="306"/>
      <c r="AL2295" s="306"/>
      <c r="AM2295" s="418"/>
      <c r="AN2295" s="418"/>
      <c r="AO2295" s="306"/>
      <c r="AP2295" s="306"/>
      <c r="AQ2295" s="418"/>
      <c r="AR2295" s="306"/>
      <c r="AS2295" s="306"/>
      <c r="AT2295" s="418"/>
      <c r="AU2295" s="306"/>
      <c r="AV2295" s="306"/>
      <c r="AW2295" s="306"/>
      <c r="AX2295" s="306"/>
      <c r="AY2295" s="306"/>
      <c r="AZ2295" s="306"/>
      <c r="BA2295" s="306"/>
      <c r="BB2295" s="306"/>
    </row>
    <row r="2296" spans="1:54" ht="15.75" customHeight="1">
      <c r="A2296" s="317"/>
      <c r="B2296" s="430"/>
      <c r="C2296" s="317"/>
      <c r="E2296" s="306"/>
      <c r="F2296" s="431"/>
      <c r="G2296" s="431"/>
      <c r="H2296" s="298"/>
      <c r="I2296" s="432"/>
      <c r="J2296" s="433"/>
      <c r="K2296" s="306"/>
      <c r="L2296" s="306"/>
      <c r="M2296" s="306"/>
      <c r="N2296" s="298"/>
      <c r="O2296" s="298"/>
      <c r="P2296" s="298"/>
      <c r="Q2296" s="306"/>
      <c r="R2296" s="1023"/>
      <c r="S2296" s="1023"/>
      <c r="T2296" s="306"/>
      <c r="U2296" s="306"/>
      <c r="V2296" s="306"/>
      <c r="W2296" s="306"/>
      <c r="X2296" s="306"/>
      <c r="Y2296" s="306"/>
      <c r="Z2296" s="306"/>
      <c r="AA2296" s="306"/>
      <c r="AB2296" s="306"/>
      <c r="AC2296" s="306"/>
      <c r="AD2296" s="306"/>
      <c r="AE2296" s="306"/>
      <c r="AF2296" s="306"/>
      <c r="AG2296" s="306"/>
      <c r="AH2296" s="306"/>
      <c r="AI2296" s="306"/>
      <c r="AJ2296" s="306"/>
      <c r="AK2296" s="306"/>
      <c r="AL2296" s="306"/>
      <c r="AM2296" s="418"/>
      <c r="AN2296" s="418"/>
      <c r="AO2296" s="306"/>
      <c r="AP2296" s="306"/>
      <c r="AQ2296" s="418"/>
      <c r="AR2296" s="306"/>
      <c r="AS2296" s="306"/>
      <c r="AT2296" s="418"/>
      <c r="AU2296" s="306"/>
      <c r="AV2296" s="306"/>
      <c r="AW2296" s="306"/>
      <c r="AX2296" s="306"/>
      <c r="AY2296" s="306"/>
      <c r="AZ2296" s="306"/>
      <c r="BA2296" s="306"/>
      <c r="BB2296" s="306"/>
    </row>
    <row r="2297" spans="1:54" ht="15.75" customHeight="1">
      <c r="A2297" s="317"/>
      <c r="B2297" s="430"/>
      <c r="C2297" s="317"/>
      <c r="E2297" s="306"/>
      <c r="F2297" s="431"/>
      <c r="G2297" s="431"/>
      <c r="H2297" s="298"/>
      <c r="I2297" s="432"/>
      <c r="J2297" s="433"/>
      <c r="K2297" s="306"/>
      <c r="L2297" s="306"/>
      <c r="M2297" s="306"/>
      <c r="N2297" s="298"/>
      <c r="O2297" s="298"/>
      <c r="P2297" s="298"/>
      <c r="Q2297" s="306"/>
      <c r="R2297" s="1023"/>
      <c r="S2297" s="1023"/>
      <c r="T2297" s="306"/>
      <c r="U2297" s="306"/>
      <c r="V2297" s="306"/>
      <c r="W2297" s="306"/>
      <c r="X2297" s="306"/>
      <c r="Y2297" s="306"/>
      <c r="Z2297" s="306"/>
      <c r="AA2297" s="306"/>
      <c r="AB2297" s="306"/>
      <c r="AC2297" s="306"/>
      <c r="AD2297" s="306"/>
      <c r="AE2297" s="306"/>
      <c r="AF2297" s="306"/>
      <c r="AG2297" s="306"/>
      <c r="AH2297" s="306"/>
      <c r="AI2297" s="306"/>
      <c r="AJ2297" s="306"/>
      <c r="AK2297" s="306"/>
      <c r="AL2297" s="306"/>
      <c r="AM2297" s="418"/>
      <c r="AN2297" s="418"/>
      <c r="AO2297" s="306"/>
      <c r="AP2297" s="306"/>
      <c r="AQ2297" s="418"/>
      <c r="AR2297" s="306"/>
      <c r="AS2297" s="306"/>
      <c r="AT2297" s="418"/>
      <c r="AU2297" s="306"/>
      <c r="AV2297" s="306"/>
      <c r="AW2297" s="306"/>
      <c r="AX2297" s="306"/>
      <c r="AY2297" s="306"/>
      <c r="AZ2297" s="306"/>
      <c r="BA2297" s="306"/>
      <c r="BB2297" s="306"/>
    </row>
    <row r="2298" spans="1:54" ht="15.75" customHeight="1">
      <c r="A2298" s="317"/>
      <c r="B2298" s="430"/>
      <c r="C2298" s="317"/>
      <c r="E2298" s="306"/>
      <c r="F2298" s="431"/>
      <c r="G2298" s="431"/>
      <c r="H2298" s="298"/>
      <c r="I2298" s="432"/>
      <c r="J2298" s="433"/>
      <c r="K2298" s="306"/>
      <c r="L2298" s="306"/>
      <c r="M2298" s="306"/>
      <c r="N2298" s="298"/>
      <c r="O2298" s="298"/>
      <c r="P2298" s="298"/>
      <c r="Q2298" s="306"/>
      <c r="R2298" s="1023"/>
      <c r="S2298" s="1023"/>
      <c r="T2298" s="306"/>
      <c r="U2298" s="306"/>
      <c r="V2298" s="306"/>
      <c r="W2298" s="306"/>
      <c r="X2298" s="306"/>
      <c r="Y2298" s="306"/>
      <c r="Z2298" s="306"/>
      <c r="AA2298" s="306"/>
      <c r="AB2298" s="306"/>
      <c r="AC2298" s="306"/>
      <c r="AD2298" s="306"/>
      <c r="AE2298" s="306"/>
      <c r="AF2298" s="306"/>
      <c r="AG2298" s="306"/>
      <c r="AH2298" s="306"/>
      <c r="AI2298" s="306"/>
      <c r="AJ2298" s="306"/>
      <c r="AK2298" s="306"/>
      <c r="AL2298" s="306"/>
      <c r="AM2298" s="418"/>
      <c r="AN2298" s="418"/>
      <c r="AO2298" s="306"/>
      <c r="AP2298" s="306"/>
      <c r="AQ2298" s="418"/>
      <c r="AR2298" s="306"/>
      <c r="AS2298" s="306"/>
      <c r="AT2298" s="418"/>
      <c r="AU2298" s="306"/>
      <c r="AV2298" s="306"/>
      <c r="AW2298" s="306"/>
      <c r="AX2298" s="306"/>
      <c r="AY2298" s="306"/>
      <c r="AZ2298" s="306"/>
      <c r="BA2298" s="306"/>
      <c r="BB2298" s="306"/>
    </row>
    <row r="2299" spans="1:54" ht="15.75" customHeight="1">
      <c r="A2299" s="317"/>
      <c r="B2299" s="430"/>
      <c r="C2299" s="317"/>
      <c r="E2299" s="306"/>
      <c r="F2299" s="431"/>
      <c r="G2299" s="431"/>
      <c r="H2299" s="298"/>
      <c r="I2299" s="432"/>
      <c r="J2299" s="433"/>
      <c r="K2299" s="306"/>
      <c r="L2299" s="306"/>
      <c r="M2299" s="306"/>
      <c r="N2299" s="298"/>
      <c r="O2299" s="298"/>
      <c r="P2299" s="298"/>
      <c r="Q2299" s="306"/>
      <c r="R2299" s="1023"/>
      <c r="S2299" s="1023"/>
      <c r="T2299" s="306"/>
      <c r="U2299" s="306"/>
      <c r="V2299" s="306"/>
      <c r="W2299" s="306"/>
      <c r="X2299" s="306"/>
      <c r="Y2299" s="306"/>
      <c r="Z2299" s="306"/>
      <c r="AA2299" s="306"/>
      <c r="AB2299" s="306"/>
      <c r="AC2299" s="306"/>
      <c r="AD2299" s="306"/>
      <c r="AE2299" s="306"/>
      <c r="AF2299" s="306"/>
      <c r="AG2299" s="306"/>
      <c r="AH2299" s="306"/>
      <c r="AI2299" s="306"/>
      <c r="AJ2299" s="306"/>
      <c r="AK2299" s="306"/>
      <c r="AL2299" s="306"/>
      <c r="AM2299" s="418"/>
      <c r="AN2299" s="418"/>
      <c r="AO2299" s="306"/>
      <c r="AP2299" s="306"/>
      <c r="AQ2299" s="418"/>
      <c r="AR2299" s="306"/>
      <c r="AS2299" s="306"/>
      <c r="AT2299" s="418"/>
      <c r="AU2299" s="306"/>
      <c r="AV2299" s="306"/>
      <c r="AW2299" s="306"/>
      <c r="AX2299" s="306"/>
      <c r="AY2299" s="306"/>
      <c r="AZ2299" s="306"/>
      <c r="BA2299" s="306"/>
      <c r="BB2299" s="306"/>
    </row>
    <row r="2300" spans="1:54" ht="15.75" customHeight="1">
      <c r="A2300" s="317"/>
      <c r="B2300" s="430"/>
      <c r="C2300" s="317"/>
      <c r="E2300" s="306"/>
      <c r="F2300" s="431"/>
      <c r="G2300" s="431"/>
      <c r="H2300" s="298"/>
      <c r="I2300" s="432"/>
      <c r="J2300" s="433"/>
      <c r="K2300" s="306"/>
      <c r="L2300" s="306"/>
      <c r="M2300" s="306"/>
      <c r="N2300" s="298"/>
      <c r="O2300" s="298"/>
      <c r="P2300" s="298"/>
      <c r="Q2300" s="306"/>
      <c r="R2300" s="1023"/>
      <c r="S2300" s="1023"/>
      <c r="T2300" s="306"/>
      <c r="U2300" s="306"/>
      <c r="V2300" s="306"/>
      <c r="W2300" s="306"/>
      <c r="X2300" s="306"/>
      <c r="Y2300" s="306"/>
      <c r="Z2300" s="306"/>
      <c r="AA2300" s="306"/>
      <c r="AB2300" s="306"/>
      <c r="AC2300" s="306"/>
      <c r="AD2300" s="306"/>
      <c r="AE2300" s="306"/>
      <c r="AF2300" s="306"/>
      <c r="AG2300" s="306"/>
      <c r="AH2300" s="306"/>
      <c r="AI2300" s="306"/>
      <c r="AJ2300" s="306"/>
      <c r="AK2300" s="306"/>
      <c r="AL2300" s="306"/>
      <c r="AM2300" s="418"/>
      <c r="AN2300" s="418"/>
      <c r="AO2300" s="306"/>
      <c r="AP2300" s="306"/>
      <c r="AQ2300" s="418"/>
      <c r="AR2300" s="306"/>
      <c r="AS2300" s="306"/>
      <c r="AT2300" s="418"/>
      <c r="AU2300" s="306"/>
      <c r="AV2300" s="306"/>
      <c r="AW2300" s="306"/>
      <c r="AX2300" s="306"/>
      <c r="AY2300" s="306"/>
      <c r="AZ2300" s="306"/>
      <c r="BA2300" s="306"/>
      <c r="BB2300" s="306"/>
    </row>
    <row r="2301" spans="1:54" ht="15.75" customHeight="1">
      <c r="A2301" s="317"/>
      <c r="B2301" s="430"/>
      <c r="C2301" s="317"/>
      <c r="E2301" s="306"/>
      <c r="F2301" s="431"/>
      <c r="G2301" s="431"/>
      <c r="H2301" s="298"/>
      <c r="I2301" s="432"/>
      <c r="J2301" s="433"/>
      <c r="K2301" s="306"/>
      <c r="L2301" s="306"/>
      <c r="M2301" s="306"/>
      <c r="N2301" s="298"/>
      <c r="O2301" s="298"/>
      <c r="P2301" s="298"/>
      <c r="Q2301" s="306"/>
      <c r="R2301" s="1023"/>
      <c r="S2301" s="1023"/>
      <c r="T2301" s="306"/>
      <c r="U2301" s="306"/>
      <c r="V2301" s="306"/>
      <c r="W2301" s="306"/>
      <c r="X2301" s="306"/>
      <c r="Y2301" s="306"/>
      <c r="Z2301" s="306"/>
      <c r="AA2301" s="306"/>
      <c r="AB2301" s="306"/>
      <c r="AC2301" s="306"/>
      <c r="AD2301" s="306"/>
      <c r="AE2301" s="306"/>
      <c r="AF2301" s="306"/>
      <c r="AG2301" s="306"/>
      <c r="AH2301" s="306"/>
      <c r="AI2301" s="306"/>
      <c r="AJ2301" s="306"/>
      <c r="AK2301" s="306"/>
      <c r="AL2301" s="306"/>
      <c r="AM2301" s="418"/>
      <c r="AN2301" s="418"/>
      <c r="AO2301" s="306"/>
      <c r="AP2301" s="306"/>
      <c r="AQ2301" s="418"/>
      <c r="AR2301" s="306"/>
      <c r="AS2301" s="306"/>
      <c r="AT2301" s="418"/>
      <c r="AU2301" s="306"/>
      <c r="AV2301" s="306"/>
      <c r="AW2301" s="306"/>
      <c r="AX2301" s="306"/>
      <c r="AY2301" s="306"/>
      <c r="AZ2301" s="306"/>
      <c r="BA2301" s="306"/>
      <c r="BB2301" s="306"/>
    </row>
    <row r="2302" spans="1:54" ht="15.75" customHeight="1">
      <c r="A2302" s="317"/>
      <c r="B2302" s="430"/>
      <c r="C2302" s="317"/>
      <c r="E2302" s="306"/>
      <c r="F2302" s="431"/>
      <c r="G2302" s="431"/>
      <c r="H2302" s="298"/>
      <c r="I2302" s="432"/>
      <c r="J2302" s="433"/>
      <c r="K2302" s="306"/>
      <c r="L2302" s="306"/>
      <c r="M2302" s="306"/>
      <c r="N2302" s="298"/>
      <c r="O2302" s="298"/>
      <c r="P2302" s="298"/>
      <c r="Q2302" s="306"/>
      <c r="R2302" s="1023"/>
      <c r="S2302" s="1023"/>
      <c r="T2302" s="306"/>
      <c r="U2302" s="306"/>
      <c r="V2302" s="306"/>
      <c r="W2302" s="306"/>
      <c r="X2302" s="306"/>
      <c r="Y2302" s="306"/>
      <c r="Z2302" s="306"/>
      <c r="AA2302" s="306"/>
      <c r="AB2302" s="306"/>
      <c r="AC2302" s="306"/>
      <c r="AD2302" s="306"/>
      <c r="AE2302" s="306"/>
      <c r="AF2302" s="306"/>
      <c r="AG2302" s="306"/>
      <c r="AH2302" s="306"/>
      <c r="AI2302" s="306"/>
      <c r="AJ2302" s="306"/>
      <c r="AK2302" s="306"/>
      <c r="AL2302" s="306"/>
      <c r="AM2302" s="418"/>
      <c r="AN2302" s="418"/>
      <c r="AO2302" s="306"/>
      <c r="AP2302" s="306"/>
      <c r="AQ2302" s="418"/>
      <c r="AR2302" s="306"/>
      <c r="AS2302" s="306"/>
      <c r="AT2302" s="418"/>
      <c r="AU2302" s="306"/>
      <c r="AV2302" s="306"/>
      <c r="AW2302" s="306"/>
      <c r="AX2302" s="306"/>
      <c r="AY2302" s="306"/>
      <c r="AZ2302" s="306"/>
      <c r="BA2302" s="306"/>
      <c r="BB2302" s="306"/>
    </row>
    <row r="2303" spans="1:54" ht="15.75" customHeight="1">
      <c r="A2303" s="317"/>
      <c r="B2303" s="430"/>
      <c r="C2303" s="317"/>
      <c r="E2303" s="306"/>
      <c r="F2303" s="431"/>
      <c r="G2303" s="431"/>
      <c r="H2303" s="298"/>
      <c r="I2303" s="432"/>
      <c r="J2303" s="433"/>
      <c r="K2303" s="306"/>
      <c r="L2303" s="306"/>
      <c r="M2303" s="306"/>
      <c r="N2303" s="298"/>
      <c r="O2303" s="298"/>
      <c r="P2303" s="298"/>
      <c r="Q2303" s="306"/>
      <c r="R2303" s="1023"/>
      <c r="S2303" s="1023"/>
      <c r="T2303" s="306"/>
      <c r="U2303" s="306"/>
      <c r="V2303" s="306"/>
      <c r="W2303" s="306"/>
      <c r="X2303" s="306"/>
      <c r="Y2303" s="306"/>
      <c r="Z2303" s="306"/>
      <c r="AA2303" s="306"/>
      <c r="AB2303" s="306"/>
      <c r="AC2303" s="306"/>
      <c r="AD2303" s="306"/>
      <c r="AE2303" s="306"/>
      <c r="AF2303" s="306"/>
      <c r="AG2303" s="306"/>
      <c r="AH2303" s="306"/>
      <c r="AI2303" s="306"/>
      <c r="AJ2303" s="306"/>
      <c r="AK2303" s="306"/>
      <c r="AL2303" s="306"/>
      <c r="AM2303" s="418"/>
      <c r="AN2303" s="418"/>
      <c r="AO2303" s="306"/>
      <c r="AP2303" s="306"/>
      <c r="AQ2303" s="418"/>
      <c r="AR2303" s="306"/>
      <c r="AS2303" s="306"/>
      <c r="AT2303" s="418"/>
      <c r="AU2303" s="306"/>
      <c r="AV2303" s="306"/>
      <c r="AW2303" s="306"/>
      <c r="AX2303" s="306"/>
      <c r="AY2303" s="306"/>
      <c r="AZ2303" s="306"/>
      <c r="BA2303" s="306"/>
      <c r="BB2303" s="306"/>
    </row>
    <row r="2304" spans="1:54" ht="15.75" customHeight="1">
      <c r="A2304" s="317"/>
      <c r="B2304" s="430"/>
      <c r="C2304" s="317"/>
      <c r="E2304" s="306"/>
      <c r="F2304" s="431"/>
      <c r="G2304" s="431"/>
      <c r="H2304" s="298"/>
      <c r="I2304" s="432"/>
      <c r="J2304" s="433"/>
      <c r="K2304" s="306"/>
      <c r="L2304" s="306"/>
      <c r="M2304" s="306"/>
      <c r="N2304" s="298"/>
      <c r="O2304" s="298"/>
      <c r="P2304" s="298"/>
      <c r="Q2304" s="306"/>
      <c r="R2304" s="1023"/>
      <c r="S2304" s="1023"/>
      <c r="T2304" s="306"/>
      <c r="U2304" s="306"/>
      <c r="V2304" s="306"/>
      <c r="W2304" s="306"/>
      <c r="X2304" s="306"/>
      <c r="Y2304" s="306"/>
      <c r="Z2304" s="306"/>
      <c r="AA2304" s="306"/>
      <c r="AB2304" s="306"/>
      <c r="AC2304" s="306"/>
      <c r="AD2304" s="306"/>
      <c r="AE2304" s="306"/>
      <c r="AF2304" s="306"/>
      <c r="AG2304" s="306"/>
      <c r="AH2304" s="306"/>
      <c r="AI2304" s="306"/>
      <c r="AJ2304" s="306"/>
      <c r="AK2304" s="306"/>
      <c r="AL2304" s="306"/>
      <c r="AM2304" s="418"/>
      <c r="AN2304" s="418"/>
      <c r="AO2304" s="306"/>
      <c r="AP2304" s="306"/>
      <c r="AQ2304" s="418"/>
      <c r="AR2304" s="306"/>
      <c r="AS2304" s="306"/>
      <c r="AT2304" s="418"/>
      <c r="AU2304" s="306"/>
      <c r="AV2304" s="306"/>
      <c r="AW2304" s="306"/>
      <c r="AX2304" s="306"/>
      <c r="AY2304" s="306"/>
      <c r="AZ2304" s="306"/>
      <c r="BA2304" s="306"/>
      <c r="BB2304" s="306"/>
    </row>
    <row r="2305" spans="1:54" ht="15.75" customHeight="1">
      <c r="A2305" s="317"/>
      <c r="B2305" s="430"/>
      <c r="C2305" s="317"/>
      <c r="E2305" s="306"/>
      <c r="F2305" s="431"/>
      <c r="G2305" s="431"/>
      <c r="H2305" s="298"/>
      <c r="I2305" s="432"/>
      <c r="J2305" s="433"/>
      <c r="K2305" s="306"/>
      <c r="L2305" s="306"/>
      <c r="M2305" s="306"/>
      <c r="N2305" s="298"/>
      <c r="O2305" s="298"/>
      <c r="P2305" s="298"/>
      <c r="Q2305" s="306"/>
      <c r="R2305" s="1023"/>
      <c r="S2305" s="1023"/>
      <c r="T2305" s="306"/>
      <c r="U2305" s="306"/>
      <c r="V2305" s="306"/>
      <c r="W2305" s="306"/>
      <c r="X2305" s="306"/>
      <c r="Y2305" s="306"/>
      <c r="Z2305" s="306"/>
      <c r="AA2305" s="306"/>
      <c r="AB2305" s="306"/>
      <c r="AC2305" s="306"/>
      <c r="AD2305" s="306"/>
      <c r="AE2305" s="306"/>
      <c r="AF2305" s="306"/>
      <c r="AG2305" s="306"/>
      <c r="AH2305" s="306"/>
      <c r="AI2305" s="306"/>
      <c r="AJ2305" s="306"/>
      <c r="AK2305" s="306"/>
      <c r="AL2305" s="306"/>
      <c r="AM2305" s="418"/>
      <c r="AN2305" s="418"/>
      <c r="AO2305" s="306"/>
      <c r="AP2305" s="306"/>
      <c r="AQ2305" s="418"/>
      <c r="AR2305" s="306"/>
      <c r="AS2305" s="306"/>
      <c r="AT2305" s="418"/>
      <c r="AU2305" s="306"/>
      <c r="AV2305" s="306"/>
      <c r="AW2305" s="306"/>
      <c r="AX2305" s="306"/>
      <c r="AY2305" s="306"/>
      <c r="AZ2305" s="306"/>
      <c r="BA2305" s="306"/>
      <c r="BB2305" s="306"/>
    </row>
    <row r="2306" spans="1:54" ht="15.75" customHeight="1">
      <c r="A2306" s="317"/>
      <c r="B2306" s="430"/>
      <c r="C2306" s="317"/>
      <c r="E2306" s="306"/>
      <c r="F2306" s="431"/>
      <c r="G2306" s="431"/>
      <c r="H2306" s="298"/>
      <c r="I2306" s="432"/>
      <c r="J2306" s="433"/>
      <c r="K2306" s="306"/>
      <c r="L2306" s="306"/>
      <c r="M2306" s="306"/>
      <c r="N2306" s="298"/>
      <c r="O2306" s="298"/>
      <c r="P2306" s="298"/>
      <c r="Q2306" s="306"/>
      <c r="R2306" s="1023"/>
      <c r="S2306" s="1023"/>
      <c r="T2306" s="306"/>
      <c r="U2306" s="306"/>
      <c r="V2306" s="306"/>
      <c r="W2306" s="306"/>
      <c r="X2306" s="306"/>
      <c r="Y2306" s="306"/>
      <c r="Z2306" s="306"/>
      <c r="AA2306" s="306"/>
      <c r="AB2306" s="306"/>
      <c r="AC2306" s="306"/>
      <c r="AD2306" s="306"/>
      <c r="AE2306" s="306"/>
      <c r="AF2306" s="306"/>
      <c r="AG2306" s="306"/>
      <c r="AH2306" s="306"/>
      <c r="AI2306" s="306"/>
      <c r="AJ2306" s="306"/>
      <c r="AK2306" s="306"/>
      <c r="AL2306" s="306"/>
      <c r="AM2306" s="418"/>
      <c r="AN2306" s="418"/>
      <c r="AO2306" s="306"/>
      <c r="AP2306" s="306"/>
      <c r="AQ2306" s="418"/>
      <c r="AR2306" s="306"/>
      <c r="AS2306" s="306"/>
      <c r="AT2306" s="418"/>
      <c r="AU2306" s="306"/>
      <c r="AV2306" s="306"/>
      <c r="AW2306" s="306"/>
      <c r="AX2306" s="306"/>
      <c r="AY2306" s="306"/>
      <c r="AZ2306" s="306"/>
      <c r="BA2306" s="306"/>
      <c r="BB2306" s="306"/>
    </row>
    <row r="2307" spans="1:54" ht="15.75" customHeight="1">
      <c r="A2307" s="317"/>
      <c r="B2307" s="430"/>
      <c r="C2307" s="317"/>
      <c r="E2307" s="306"/>
      <c r="F2307" s="431"/>
      <c r="G2307" s="431"/>
      <c r="H2307" s="298"/>
      <c r="I2307" s="432"/>
      <c r="J2307" s="433"/>
      <c r="K2307" s="306"/>
      <c r="L2307" s="306"/>
      <c r="M2307" s="306"/>
      <c r="N2307" s="298"/>
      <c r="O2307" s="298"/>
      <c r="P2307" s="298"/>
      <c r="Q2307" s="306"/>
      <c r="R2307" s="1023"/>
      <c r="S2307" s="1023"/>
      <c r="T2307" s="306"/>
      <c r="U2307" s="306"/>
      <c r="V2307" s="306"/>
      <c r="W2307" s="306"/>
      <c r="X2307" s="306"/>
      <c r="Y2307" s="306"/>
      <c r="Z2307" s="306"/>
      <c r="AA2307" s="306"/>
      <c r="AB2307" s="306"/>
      <c r="AC2307" s="306"/>
      <c r="AD2307" s="306"/>
      <c r="AE2307" s="306"/>
      <c r="AF2307" s="306"/>
      <c r="AG2307" s="306"/>
      <c r="AH2307" s="306"/>
      <c r="AI2307" s="306"/>
      <c r="AJ2307" s="306"/>
      <c r="AK2307" s="306"/>
      <c r="AL2307" s="306"/>
      <c r="AM2307" s="418"/>
      <c r="AN2307" s="418"/>
      <c r="AO2307" s="306"/>
      <c r="AP2307" s="306"/>
      <c r="AQ2307" s="418"/>
      <c r="AR2307" s="306"/>
      <c r="AS2307" s="306"/>
      <c r="AT2307" s="418"/>
      <c r="AU2307" s="306"/>
      <c r="AV2307" s="306"/>
      <c r="AW2307" s="306"/>
      <c r="AX2307" s="306"/>
      <c r="AY2307" s="306"/>
      <c r="AZ2307" s="306"/>
      <c r="BA2307" s="306"/>
      <c r="BB2307" s="306"/>
    </row>
    <row r="2308" spans="1:54" ht="15.75" customHeight="1">
      <c r="A2308" s="317"/>
      <c r="B2308" s="430"/>
      <c r="C2308" s="317"/>
      <c r="E2308" s="306"/>
      <c r="F2308" s="431"/>
      <c r="G2308" s="431"/>
      <c r="H2308" s="298"/>
      <c r="I2308" s="432"/>
      <c r="J2308" s="433"/>
      <c r="K2308" s="306"/>
      <c r="L2308" s="306"/>
      <c r="M2308" s="306"/>
      <c r="N2308" s="298"/>
      <c r="O2308" s="298"/>
      <c r="P2308" s="298"/>
      <c r="Q2308" s="306"/>
      <c r="R2308" s="1023"/>
      <c r="S2308" s="1023"/>
      <c r="T2308" s="306"/>
      <c r="U2308" s="306"/>
      <c r="V2308" s="306"/>
      <c r="W2308" s="306"/>
      <c r="X2308" s="306"/>
      <c r="Y2308" s="306"/>
      <c r="Z2308" s="306"/>
      <c r="AA2308" s="306"/>
      <c r="AB2308" s="306"/>
      <c r="AC2308" s="306"/>
      <c r="AD2308" s="306"/>
      <c r="AE2308" s="306"/>
      <c r="AF2308" s="306"/>
      <c r="AG2308" s="306"/>
      <c r="AH2308" s="306"/>
      <c r="AI2308" s="306"/>
      <c r="AJ2308" s="306"/>
      <c r="AK2308" s="306"/>
      <c r="AL2308" s="306"/>
      <c r="AM2308" s="418"/>
      <c r="AN2308" s="418"/>
      <c r="AO2308" s="306"/>
      <c r="AP2308" s="306"/>
      <c r="AQ2308" s="418"/>
      <c r="AR2308" s="306"/>
      <c r="AS2308" s="306"/>
      <c r="AT2308" s="418"/>
      <c r="AU2308" s="306"/>
      <c r="AV2308" s="306"/>
      <c r="AW2308" s="306"/>
      <c r="AX2308" s="306"/>
      <c r="AY2308" s="306"/>
      <c r="AZ2308" s="306"/>
      <c r="BA2308" s="306"/>
      <c r="BB2308" s="306"/>
    </row>
    <row r="2309" spans="1:54" ht="15.75" customHeight="1">
      <c r="A2309" s="317"/>
      <c r="B2309" s="430"/>
      <c r="C2309" s="317"/>
      <c r="E2309" s="306"/>
      <c r="F2309" s="431"/>
      <c r="G2309" s="431"/>
      <c r="H2309" s="298"/>
      <c r="I2309" s="432"/>
      <c r="J2309" s="433"/>
      <c r="K2309" s="306"/>
      <c r="L2309" s="306"/>
      <c r="M2309" s="306"/>
      <c r="N2309" s="298"/>
      <c r="O2309" s="298"/>
      <c r="P2309" s="298"/>
      <c r="Q2309" s="306"/>
      <c r="R2309" s="1023"/>
      <c r="S2309" s="1023"/>
      <c r="T2309" s="306"/>
      <c r="U2309" s="306"/>
      <c r="V2309" s="306"/>
      <c r="W2309" s="306"/>
      <c r="X2309" s="306"/>
      <c r="Y2309" s="306"/>
      <c r="Z2309" s="306"/>
      <c r="AA2309" s="306"/>
      <c r="AB2309" s="306"/>
      <c r="AC2309" s="306"/>
      <c r="AD2309" s="306"/>
      <c r="AE2309" s="306"/>
      <c r="AF2309" s="306"/>
      <c r="AG2309" s="306"/>
      <c r="AH2309" s="306"/>
      <c r="AI2309" s="306"/>
      <c r="AJ2309" s="306"/>
      <c r="AK2309" s="306"/>
      <c r="AL2309" s="306"/>
      <c r="AM2309" s="418"/>
      <c r="AN2309" s="418"/>
      <c r="AO2309" s="306"/>
      <c r="AP2309" s="306"/>
      <c r="AQ2309" s="418"/>
      <c r="AR2309" s="306"/>
      <c r="AS2309" s="306"/>
      <c r="AT2309" s="418"/>
      <c r="AU2309" s="306"/>
      <c r="AV2309" s="306"/>
      <c r="AW2309" s="306"/>
      <c r="AX2309" s="306"/>
      <c r="AY2309" s="306"/>
      <c r="AZ2309" s="306"/>
      <c r="BA2309" s="306"/>
      <c r="BB2309" s="306"/>
    </row>
    <row r="2310" spans="1:54" ht="15.75" customHeight="1">
      <c r="A2310" s="317"/>
      <c r="B2310" s="430"/>
      <c r="C2310" s="317"/>
      <c r="E2310" s="306"/>
      <c r="F2310" s="431"/>
      <c r="G2310" s="431"/>
      <c r="H2310" s="298"/>
      <c r="I2310" s="432"/>
      <c r="J2310" s="433"/>
      <c r="K2310" s="306"/>
      <c r="L2310" s="306"/>
      <c r="M2310" s="306"/>
      <c r="N2310" s="298"/>
      <c r="O2310" s="298"/>
      <c r="P2310" s="298"/>
      <c r="Q2310" s="306"/>
      <c r="R2310" s="1023"/>
      <c r="S2310" s="1023"/>
      <c r="T2310" s="306"/>
      <c r="U2310" s="306"/>
      <c r="V2310" s="306"/>
      <c r="W2310" s="306"/>
      <c r="X2310" s="306"/>
      <c r="Y2310" s="306"/>
      <c r="Z2310" s="306"/>
      <c r="AA2310" s="306"/>
      <c r="AB2310" s="306"/>
      <c r="AC2310" s="306"/>
      <c r="AD2310" s="306"/>
      <c r="AE2310" s="306"/>
      <c r="AF2310" s="306"/>
      <c r="AG2310" s="306"/>
      <c r="AH2310" s="306"/>
      <c r="AI2310" s="306"/>
      <c r="AJ2310" s="306"/>
      <c r="AK2310" s="306"/>
      <c r="AL2310" s="306"/>
      <c r="AM2310" s="418"/>
      <c r="AN2310" s="418"/>
      <c r="AO2310" s="306"/>
      <c r="AP2310" s="306"/>
      <c r="AQ2310" s="418"/>
      <c r="AR2310" s="306"/>
      <c r="AS2310" s="306"/>
      <c r="AT2310" s="418"/>
      <c r="AU2310" s="306"/>
      <c r="AV2310" s="306"/>
      <c r="AW2310" s="306"/>
      <c r="AX2310" s="306"/>
      <c r="AY2310" s="306"/>
      <c r="AZ2310" s="306"/>
      <c r="BA2310" s="306"/>
      <c r="BB2310" s="306"/>
    </row>
    <row r="2311" spans="1:54" ht="15.75" customHeight="1">
      <c r="A2311" s="317"/>
      <c r="B2311" s="430"/>
      <c r="C2311" s="317"/>
      <c r="E2311" s="306"/>
      <c r="F2311" s="431"/>
      <c r="G2311" s="431"/>
      <c r="H2311" s="298"/>
      <c r="I2311" s="432"/>
      <c r="J2311" s="433"/>
      <c r="K2311" s="306"/>
      <c r="L2311" s="306"/>
      <c r="M2311" s="306"/>
      <c r="N2311" s="298"/>
      <c r="O2311" s="298"/>
      <c r="P2311" s="298"/>
      <c r="Q2311" s="306"/>
      <c r="R2311" s="1023"/>
      <c r="S2311" s="1023"/>
      <c r="T2311" s="306"/>
      <c r="U2311" s="306"/>
      <c r="V2311" s="306"/>
      <c r="W2311" s="306"/>
      <c r="X2311" s="306"/>
      <c r="Y2311" s="306"/>
      <c r="Z2311" s="306"/>
      <c r="AA2311" s="306"/>
      <c r="AB2311" s="306"/>
      <c r="AC2311" s="306"/>
      <c r="AD2311" s="306"/>
      <c r="AE2311" s="306"/>
      <c r="AF2311" s="306"/>
      <c r="AG2311" s="306"/>
      <c r="AH2311" s="306"/>
      <c r="AI2311" s="306"/>
      <c r="AJ2311" s="306"/>
      <c r="AK2311" s="306"/>
      <c r="AL2311" s="306"/>
      <c r="AM2311" s="418"/>
      <c r="AN2311" s="418"/>
      <c r="AO2311" s="306"/>
      <c r="AP2311" s="306"/>
      <c r="AQ2311" s="418"/>
      <c r="AR2311" s="306"/>
      <c r="AS2311" s="306"/>
      <c r="AT2311" s="418"/>
      <c r="AU2311" s="306"/>
      <c r="AV2311" s="306"/>
      <c r="AW2311" s="306"/>
      <c r="AX2311" s="306"/>
      <c r="AY2311" s="306"/>
      <c r="AZ2311" s="306"/>
      <c r="BA2311" s="306"/>
      <c r="BB2311" s="306"/>
    </row>
    <row r="2312" spans="1:54" ht="15.75" customHeight="1">
      <c r="A2312" s="317"/>
      <c r="B2312" s="430"/>
      <c r="C2312" s="317"/>
      <c r="E2312" s="306"/>
      <c r="F2312" s="431"/>
      <c r="G2312" s="431"/>
      <c r="H2312" s="298"/>
      <c r="I2312" s="432"/>
      <c r="J2312" s="433"/>
      <c r="K2312" s="306"/>
      <c r="L2312" s="306"/>
      <c r="M2312" s="306"/>
      <c r="N2312" s="298"/>
      <c r="O2312" s="298"/>
      <c r="P2312" s="298"/>
      <c r="Q2312" s="306"/>
      <c r="R2312" s="1023"/>
      <c r="S2312" s="1023"/>
      <c r="T2312" s="306"/>
      <c r="U2312" s="306"/>
      <c r="V2312" s="306"/>
      <c r="W2312" s="306"/>
      <c r="X2312" s="306"/>
      <c r="Y2312" s="306"/>
      <c r="Z2312" s="306"/>
      <c r="AA2312" s="306"/>
      <c r="AB2312" s="306"/>
      <c r="AC2312" s="306"/>
      <c r="AD2312" s="306"/>
      <c r="AE2312" s="306"/>
      <c r="AF2312" s="306"/>
      <c r="AG2312" s="306"/>
      <c r="AH2312" s="306"/>
      <c r="AI2312" s="306"/>
      <c r="AJ2312" s="306"/>
      <c r="AK2312" s="306"/>
      <c r="AL2312" s="306"/>
      <c r="AM2312" s="418"/>
      <c r="AN2312" s="418"/>
      <c r="AO2312" s="306"/>
      <c r="AP2312" s="306"/>
      <c r="AQ2312" s="418"/>
      <c r="AR2312" s="306"/>
      <c r="AS2312" s="306"/>
      <c r="AT2312" s="418"/>
      <c r="AU2312" s="306"/>
      <c r="AV2312" s="306"/>
      <c r="AW2312" s="306"/>
      <c r="AX2312" s="306"/>
      <c r="AY2312" s="306"/>
      <c r="AZ2312" s="306"/>
      <c r="BA2312" s="306"/>
      <c r="BB2312" s="306"/>
    </row>
    <row r="2313" spans="1:54" ht="15.75" customHeight="1">
      <c r="A2313" s="317"/>
      <c r="B2313" s="430"/>
      <c r="C2313" s="317"/>
      <c r="E2313" s="306"/>
      <c r="F2313" s="431"/>
      <c r="G2313" s="431"/>
      <c r="H2313" s="298"/>
      <c r="I2313" s="432"/>
      <c r="J2313" s="433"/>
      <c r="K2313" s="306"/>
      <c r="L2313" s="306"/>
      <c r="M2313" s="306"/>
      <c r="N2313" s="298"/>
      <c r="O2313" s="298"/>
      <c r="P2313" s="298"/>
      <c r="Q2313" s="306"/>
      <c r="R2313" s="1023"/>
      <c r="S2313" s="1023"/>
      <c r="T2313" s="306"/>
      <c r="U2313" s="306"/>
      <c r="V2313" s="306"/>
      <c r="W2313" s="306"/>
      <c r="X2313" s="306"/>
      <c r="Y2313" s="306"/>
      <c r="Z2313" s="306"/>
      <c r="AA2313" s="306"/>
      <c r="AB2313" s="306"/>
      <c r="AC2313" s="306"/>
      <c r="AD2313" s="306"/>
      <c r="AE2313" s="306"/>
      <c r="AF2313" s="306"/>
      <c r="AG2313" s="306"/>
      <c r="AH2313" s="306"/>
      <c r="AI2313" s="306"/>
      <c r="AJ2313" s="306"/>
      <c r="AK2313" s="306"/>
      <c r="AL2313" s="306"/>
      <c r="AM2313" s="418"/>
      <c r="AN2313" s="418"/>
      <c r="AO2313" s="306"/>
      <c r="AP2313" s="306"/>
      <c r="AQ2313" s="418"/>
      <c r="AR2313" s="306"/>
      <c r="AS2313" s="306"/>
      <c r="AT2313" s="418"/>
      <c r="AU2313" s="306"/>
      <c r="AV2313" s="306"/>
      <c r="AW2313" s="306"/>
      <c r="AX2313" s="306"/>
      <c r="AY2313" s="306"/>
      <c r="AZ2313" s="306"/>
      <c r="BA2313" s="306"/>
      <c r="BB2313" s="306"/>
    </row>
    <row r="2314" spans="1:54" ht="15.75" customHeight="1">
      <c r="A2314" s="317"/>
      <c r="B2314" s="430"/>
      <c r="C2314" s="317"/>
      <c r="E2314" s="306"/>
      <c r="F2314" s="431"/>
      <c r="G2314" s="431"/>
      <c r="H2314" s="298"/>
      <c r="I2314" s="432"/>
      <c r="J2314" s="433"/>
      <c r="K2314" s="306"/>
      <c r="L2314" s="306"/>
      <c r="M2314" s="306"/>
      <c r="N2314" s="298"/>
      <c r="O2314" s="298"/>
      <c r="P2314" s="298"/>
      <c r="Q2314" s="306"/>
      <c r="R2314" s="1023"/>
      <c r="S2314" s="1023"/>
      <c r="T2314" s="306"/>
      <c r="U2314" s="306"/>
      <c r="V2314" s="306"/>
      <c r="W2314" s="306"/>
      <c r="X2314" s="306"/>
      <c r="Y2314" s="306"/>
      <c r="Z2314" s="306"/>
      <c r="AA2314" s="306"/>
      <c r="AB2314" s="306"/>
      <c r="AC2314" s="306"/>
      <c r="AD2314" s="306"/>
      <c r="AE2314" s="306"/>
      <c r="AF2314" s="306"/>
      <c r="AG2314" s="306"/>
      <c r="AH2314" s="306"/>
      <c r="AI2314" s="306"/>
      <c r="AJ2314" s="306"/>
      <c r="AK2314" s="306"/>
      <c r="AL2314" s="306"/>
      <c r="AM2314" s="418"/>
      <c r="AN2314" s="418"/>
      <c r="AO2314" s="306"/>
      <c r="AP2314" s="306"/>
      <c r="AQ2314" s="418"/>
      <c r="AR2314" s="306"/>
      <c r="AS2314" s="306"/>
      <c r="AT2314" s="418"/>
      <c r="AU2314" s="306"/>
      <c r="AV2314" s="306"/>
      <c r="AW2314" s="306"/>
      <c r="AX2314" s="306"/>
      <c r="AY2314" s="306"/>
      <c r="AZ2314" s="306"/>
      <c r="BA2314" s="306"/>
      <c r="BB2314" s="306"/>
    </row>
    <row r="2315" spans="1:54" ht="15.75" customHeight="1">
      <c r="A2315" s="317"/>
      <c r="B2315" s="430"/>
      <c r="C2315" s="317"/>
      <c r="E2315" s="306"/>
      <c r="F2315" s="431"/>
      <c r="G2315" s="431"/>
      <c r="H2315" s="298"/>
      <c r="I2315" s="432"/>
      <c r="J2315" s="433"/>
      <c r="K2315" s="306"/>
      <c r="L2315" s="306"/>
      <c r="M2315" s="306"/>
      <c r="N2315" s="298"/>
      <c r="O2315" s="298"/>
      <c r="P2315" s="298"/>
      <c r="Q2315" s="306"/>
      <c r="R2315" s="1023"/>
      <c r="S2315" s="1023"/>
      <c r="T2315" s="306"/>
      <c r="U2315" s="306"/>
      <c r="V2315" s="306"/>
      <c r="W2315" s="306"/>
      <c r="X2315" s="306"/>
      <c r="Y2315" s="306"/>
      <c r="Z2315" s="306"/>
      <c r="AA2315" s="306"/>
      <c r="AB2315" s="306"/>
      <c r="AC2315" s="306"/>
      <c r="AD2315" s="306"/>
      <c r="AE2315" s="306"/>
      <c r="AF2315" s="306"/>
      <c r="AG2315" s="306"/>
      <c r="AH2315" s="306"/>
      <c r="AI2315" s="306"/>
      <c r="AJ2315" s="306"/>
      <c r="AK2315" s="306"/>
      <c r="AL2315" s="306"/>
      <c r="AM2315" s="418"/>
      <c r="AN2315" s="418"/>
      <c r="AO2315" s="306"/>
      <c r="AP2315" s="306"/>
      <c r="AQ2315" s="418"/>
      <c r="AR2315" s="306"/>
      <c r="AS2315" s="306"/>
      <c r="AT2315" s="418"/>
      <c r="AU2315" s="306"/>
      <c r="AV2315" s="306"/>
      <c r="AW2315" s="306"/>
      <c r="AX2315" s="306"/>
      <c r="AY2315" s="306"/>
      <c r="AZ2315" s="306"/>
      <c r="BA2315" s="306"/>
      <c r="BB2315" s="306"/>
    </row>
    <row r="2316" spans="1:54" ht="15.75" customHeight="1">
      <c r="A2316" s="317"/>
      <c r="B2316" s="430"/>
      <c r="C2316" s="317"/>
      <c r="E2316" s="306"/>
      <c r="F2316" s="431"/>
      <c r="G2316" s="431"/>
      <c r="H2316" s="298"/>
      <c r="I2316" s="432"/>
      <c r="J2316" s="433"/>
      <c r="K2316" s="306"/>
      <c r="L2316" s="306"/>
      <c r="M2316" s="306"/>
      <c r="N2316" s="298"/>
      <c r="O2316" s="298"/>
      <c r="P2316" s="298"/>
      <c r="Q2316" s="306"/>
      <c r="R2316" s="1023"/>
      <c r="S2316" s="1023"/>
      <c r="T2316" s="306"/>
      <c r="U2316" s="306"/>
      <c r="V2316" s="306"/>
      <c r="W2316" s="306"/>
      <c r="X2316" s="306"/>
      <c r="Y2316" s="306"/>
      <c r="Z2316" s="306"/>
      <c r="AA2316" s="306"/>
      <c r="AB2316" s="306"/>
      <c r="AC2316" s="306"/>
      <c r="AD2316" s="306"/>
      <c r="AE2316" s="306"/>
      <c r="AF2316" s="306"/>
      <c r="AG2316" s="306"/>
      <c r="AH2316" s="306"/>
      <c r="AI2316" s="306"/>
      <c r="AJ2316" s="306"/>
      <c r="AK2316" s="306"/>
      <c r="AL2316" s="306"/>
      <c r="AM2316" s="418"/>
      <c r="AN2316" s="418"/>
      <c r="AO2316" s="306"/>
      <c r="AP2316" s="306"/>
      <c r="AQ2316" s="418"/>
      <c r="AR2316" s="306"/>
      <c r="AS2316" s="306"/>
      <c r="AT2316" s="418"/>
      <c r="AU2316" s="306"/>
      <c r="AV2316" s="306"/>
      <c r="AW2316" s="306"/>
      <c r="AX2316" s="306"/>
      <c r="AY2316" s="306"/>
      <c r="AZ2316" s="306"/>
      <c r="BA2316" s="306"/>
      <c r="BB2316" s="306"/>
    </row>
    <row r="2317" spans="1:54" ht="15.75" customHeight="1">
      <c r="A2317" s="317"/>
      <c r="B2317" s="430"/>
      <c r="C2317" s="317"/>
      <c r="E2317" s="306"/>
      <c r="F2317" s="431"/>
      <c r="G2317" s="431"/>
      <c r="H2317" s="298"/>
      <c r="I2317" s="432"/>
      <c r="J2317" s="433"/>
      <c r="K2317" s="306"/>
      <c r="L2317" s="306"/>
      <c r="M2317" s="306"/>
      <c r="N2317" s="298"/>
      <c r="O2317" s="298"/>
      <c r="P2317" s="298"/>
      <c r="Q2317" s="306"/>
      <c r="R2317" s="1023"/>
      <c r="S2317" s="1023"/>
      <c r="T2317" s="306"/>
      <c r="U2317" s="306"/>
      <c r="V2317" s="306"/>
      <c r="W2317" s="306"/>
      <c r="X2317" s="306"/>
      <c r="Y2317" s="306"/>
      <c r="Z2317" s="306"/>
      <c r="AA2317" s="306"/>
      <c r="AB2317" s="306"/>
      <c r="AC2317" s="306"/>
      <c r="AD2317" s="306"/>
      <c r="AE2317" s="306"/>
      <c r="AF2317" s="306"/>
      <c r="AG2317" s="306"/>
      <c r="AH2317" s="306"/>
      <c r="AI2317" s="306"/>
      <c r="AJ2317" s="306"/>
      <c r="AK2317" s="306"/>
      <c r="AL2317" s="306"/>
      <c r="AM2317" s="418"/>
      <c r="AN2317" s="418"/>
      <c r="AO2317" s="306"/>
      <c r="AP2317" s="306"/>
      <c r="AQ2317" s="418"/>
      <c r="AR2317" s="306"/>
      <c r="AS2317" s="306"/>
      <c r="AT2317" s="418"/>
      <c r="AU2317" s="306"/>
      <c r="AV2317" s="306"/>
      <c r="AW2317" s="306"/>
      <c r="AX2317" s="306"/>
      <c r="AY2317" s="306"/>
      <c r="AZ2317" s="306"/>
      <c r="BA2317" s="306"/>
      <c r="BB2317" s="306"/>
    </row>
    <row r="2318" spans="1:54" ht="15.75" customHeight="1">
      <c r="A2318" s="317"/>
      <c r="B2318" s="430"/>
      <c r="C2318" s="317"/>
      <c r="E2318" s="306"/>
      <c r="F2318" s="431"/>
      <c r="G2318" s="431"/>
      <c r="H2318" s="298"/>
      <c r="I2318" s="432"/>
      <c r="J2318" s="433"/>
      <c r="K2318" s="306"/>
      <c r="L2318" s="306"/>
      <c r="M2318" s="306"/>
      <c r="N2318" s="298"/>
      <c r="O2318" s="298"/>
      <c r="P2318" s="298"/>
      <c r="Q2318" s="306"/>
      <c r="R2318" s="1023"/>
      <c r="S2318" s="1023"/>
      <c r="T2318" s="306"/>
      <c r="U2318" s="306"/>
      <c r="V2318" s="306"/>
      <c r="W2318" s="306"/>
      <c r="X2318" s="306"/>
      <c r="Y2318" s="306"/>
      <c r="Z2318" s="306"/>
      <c r="AA2318" s="306"/>
      <c r="AB2318" s="306"/>
      <c r="AC2318" s="306"/>
      <c r="AD2318" s="306"/>
      <c r="AE2318" s="306"/>
      <c r="AF2318" s="306"/>
      <c r="AG2318" s="306"/>
      <c r="AH2318" s="306"/>
      <c r="AI2318" s="306"/>
      <c r="AJ2318" s="306"/>
      <c r="AK2318" s="306"/>
      <c r="AL2318" s="306"/>
      <c r="AM2318" s="418"/>
      <c r="AN2318" s="418"/>
      <c r="AO2318" s="306"/>
      <c r="AP2318" s="306"/>
      <c r="AQ2318" s="418"/>
      <c r="AR2318" s="306"/>
      <c r="AS2318" s="306"/>
      <c r="AT2318" s="418"/>
      <c r="AU2318" s="306"/>
      <c r="AV2318" s="306"/>
      <c r="AW2318" s="306"/>
      <c r="AX2318" s="306"/>
      <c r="AY2318" s="306"/>
      <c r="AZ2318" s="306"/>
      <c r="BA2318" s="306"/>
      <c r="BB2318" s="306"/>
    </row>
    <row r="2319" spans="1:54" ht="15.75" customHeight="1">
      <c r="A2319" s="317"/>
      <c r="B2319" s="430"/>
      <c r="C2319" s="317"/>
      <c r="E2319" s="306"/>
      <c r="F2319" s="431"/>
      <c r="G2319" s="431"/>
      <c r="H2319" s="298"/>
      <c r="I2319" s="432"/>
      <c r="J2319" s="433"/>
      <c r="K2319" s="306"/>
      <c r="L2319" s="306"/>
      <c r="M2319" s="306"/>
      <c r="N2319" s="298"/>
      <c r="O2319" s="298"/>
      <c r="P2319" s="298"/>
      <c r="Q2319" s="306"/>
      <c r="R2319" s="1023"/>
      <c r="S2319" s="1023"/>
      <c r="T2319" s="306"/>
      <c r="U2319" s="306"/>
      <c r="V2319" s="306"/>
      <c r="W2319" s="306"/>
      <c r="X2319" s="306"/>
      <c r="Y2319" s="306"/>
      <c r="Z2319" s="306"/>
      <c r="AA2319" s="306"/>
      <c r="AB2319" s="306"/>
      <c r="AC2319" s="306"/>
      <c r="AD2319" s="306"/>
      <c r="AE2319" s="306"/>
      <c r="AF2319" s="306"/>
      <c r="AG2319" s="306"/>
      <c r="AH2319" s="306"/>
      <c r="AI2319" s="306"/>
      <c r="AJ2319" s="306"/>
      <c r="AK2319" s="306"/>
      <c r="AL2319" s="306"/>
      <c r="AM2319" s="418"/>
      <c r="AN2319" s="418"/>
      <c r="AO2319" s="306"/>
      <c r="AP2319" s="306"/>
      <c r="AQ2319" s="418"/>
      <c r="AR2319" s="306"/>
      <c r="AS2319" s="306"/>
      <c r="AT2319" s="418"/>
      <c r="AU2319" s="306"/>
      <c r="AV2319" s="306"/>
      <c r="AW2319" s="306"/>
      <c r="AX2319" s="306"/>
      <c r="AY2319" s="306"/>
      <c r="AZ2319" s="306"/>
      <c r="BA2319" s="306"/>
      <c r="BB2319" s="306"/>
    </row>
    <row r="2320" spans="1:54" ht="15.75" customHeight="1">
      <c r="A2320" s="317"/>
      <c r="B2320" s="430"/>
      <c r="C2320" s="317"/>
      <c r="E2320" s="306"/>
      <c r="F2320" s="431"/>
      <c r="G2320" s="431"/>
      <c r="H2320" s="298"/>
      <c r="I2320" s="432"/>
      <c r="J2320" s="433"/>
      <c r="K2320" s="306"/>
      <c r="L2320" s="306"/>
      <c r="M2320" s="306"/>
      <c r="N2320" s="298"/>
      <c r="O2320" s="298"/>
      <c r="P2320" s="298"/>
      <c r="Q2320" s="306"/>
      <c r="R2320" s="1023"/>
      <c r="S2320" s="1023"/>
      <c r="T2320" s="306"/>
      <c r="U2320" s="306"/>
      <c r="V2320" s="306"/>
      <c r="W2320" s="306"/>
      <c r="X2320" s="306"/>
      <c r="Y2320" s="306"/>
      <c r="Z2320" s="306"/>
      <c r="AA2320" s="306"/>
      <c r="AB2320" s="306"/>
      <c r="AC2320" s="306"/>
      <c r="AD2320" s="306"/>
      <c r="AE2320" s="306"/>
      <c r="AF2320" s="306"/>
      <c r="AG2320" s="306"/>
      <c r="AH2320" s="306"/>
      <c r="AI2320" s="306"/>
      <c r="AJ2320" s="306"/>
      <c r="AK2320" s="306"/>
      <c r="AL2320" s="306"/>
      <c r="AM2320" s="418"/>
      <c r="AN2320" s="418"/>
      <c r="AO2320" s="306"/>
      <c r="AP2320" s="306"/>
      <c r="AQ2320" s="418"/>
      <c r="AR2320" s="306"/>
      <c r="AS2320" s="306"/>
      <c r="AT2320" s="418"/>
      <c r="AU2320" s="306"/>
      <c r="AV2320" s="306"/>
      <c r="AW2320" s="306"/>
      <c r="AX2320" s="306"/>
      <c r="AY2320" s="306"/>
      <c r="AZ2320" s="306"/>
      <c r="BA2320" s="306"/>
      <c r="BB2320" s="306"/>
    </row>
    <row r="2321" spans="1:54" ht="15.75" customHeight="1">
      <c r="A2321" s="317"/>
      <c r="B2321" s="430"/>
      <c r="C2321" s="317"/>
      <c r="E2321" s="306"/>
      <c r="F2321" s="431"/>
      <c r="G2321" s="431"/>
      <c r="H2321" s="298"/>
      <c r="I2321" s="432"/>
      <c r="J2321" s="433"/>
      <c r="K2321" s="306"/>
      <c r="L2321" s="306"/>
      <c r="M2321" s="306"/>
      <c r="N2321" s="298"/>
      <c r="O2321" s="298"/>
      <c r="P2321" s="298"/>
      <c r="Q2321" s="306"/>
      <c r="R2321" s="1023"/>
      <c r="S2321" s="1023"/>
      <c r="T2321" s="306"/>
      <c r="U2321" s="306"/>
      <c r="V2321" s="306"/>
      <c r="W2321" s="306"/>
      <c r="X2321" s="306"/>
      <c r="Y2321" s="306"/>
      <c r="Z2321" s="306"/>
      <c r="AA2321" s="306"/>
      <c r="AB2321" s="306"/>
      <c r="AC2321" s="306"/>
      <c r="AD2321" s="306"/>
      <c r="AE2321" s="306"/>
      <c r="AF2321" s="306"/>
      <c r="AG2321" s="306"/>
      <c r="AH2321" s="306"/>
      <c r="AI2321" s="306"/>
      <c r="AJ2321" s="306"/>
      <c r="AK2321" s="306"/>
      <c r="AL2321" s="306"/>
      <c r="AM2321" s="418"/>
      <c r="AN2321" s="418"/>
      <c r="AO2321" s="306"/>
      <c r="AP2321" s="306"/>
      <c r="AQ2321" s="418"/>
      <c r="AR2321" s="306"/>
      <c r="AS2321" s="306"/>
      <c r="AT2321" s="418"/>
      <c r="AU2321" s="306"/>
      <c r="AV2321" s="306"/>
      <c r="AW2321" s="306"/>
      <c r="AX2321" s="306"/>
      <c r="AY2321" s="306"/>
      <c r="AZ2321" s="306"/>
      <c r="BA2321" s="306"/>
      <c r="BB2321" s="306"/>
    </row>
    <row r="2322" spans="1:54" ht="15.75" customHeight="1">
      <c r="A2322" s="317"/>
      <c r="B2322" s="430"/>
      <c r="C2322" s="317"/>
      <c r="E2322" s="306"/>
      <c r="F2322" s="431"/>
      <c r="G2322" s="431"/>
      <c r="H2322" s="298"/>
      <c r="I2322" s="432"/>
      <c r="J2322" s="433"/>
      <c r="K2322" s="306"/>
      <c r="L2322" s="306"/>
      <c r="M2322" s="306"/>
      <c r="N2322" s="298"/>
      <c r="O2322" s="298"/>
      <c r="P2322" s="298"/>
      <c r="Q2322" s="306"/>
      <c r="R2322" s="1023"/>
      <c r="S2322" s="1023"/>
      <c r="T2322" s="306"/>
      <c r="U2322" s="306"/>
      <c r="V2322" s="306"/>
      <c r="W2322" s="306"/>
      <c r="X2322" s="306"/>
      <c r="Y2322" s="306"/>
      <c r="Z2322" s="306"/>
      <c r="AA2322" s="306"/>
      <c r="AB2322" s="306"/>
      <c r="AC2322" s="306"/>
      <c r="AD2322" s="306"/>
      <c r="AE2322" s="306"/>
      <c r="AF2322" s="306"/>
      <c r="AG2322" s="306"/>
      <c r="AH2322" s="306"/>
      <c r="AI2322" s="306"/>
      <c r="AJ2322" s="306"/>
      <c r="AK2322" s="306"/>
      <c r="AL2322" s="306"/>
      <c r="AM2322" s="418"/>
      <c r="AN2322" s="418"/>
      <c r="AO2322" s="306"/>
      <c r="AP2322" s="306"/>
      <c r="AQ2322" s="418"/>
      <c r="AR2322" s="306"/>
      <c r="AS2322" s="306"/>
      <c r="AT2322" s="418"/>
      <c r="AU2322" s="306"/>
      <c r="AV2322" s="306"/>
      <c r="AW2322" s="306"/>
      <c r="AX2322" s="306"/>
      <c r="AY2322" s="306"/>
      <c r="AZ2322" s="306"/>
      <c r="BA2322" s="306"/>
      <c r="BB2322" s="306"/>
    </row>
    <row r="2323" spans="1:54" ht="15.75" customHeight="1">
      <c r="A2323" s="317"/>
      <c r="B2323" s="430"/>
      <c r="C2323" s="317"/>
      <c r="E2323" s="306"/>
      <c r="F2323" s="431"/>
      <c r="G2323" s="431"/>
      <c r="H2323" s="298"/>
      <c r="I2323" s="432"/>
      <c r="J2323" s="433"/>
      <c r="K2323" s="306"/>
      <c r="L2323" s="306"/>
      <c r="M2323" s="306"/>
      <c r="N2323" s="298"/>
      <c r="O2323" s="298"/>
      <c r="P2323" s="298"/>
      <c r="Q2323" s="306"/>
      <c r="R2323" s="1023"/>
      <c r="S2323" s="1023"/>
      <c r="T2323" s="306"/>
      <c r="U2323" s="306"/>
      <c r="V2323" s="306"/>
      <c r="W2323" s="306"/>
      <c r="X2323" s="306"/>
      <c r="Y2323" s="306"/>
      <c r="Z2323" s="306"/>
      <c r="AA2323" s="306"/>
      <c r="AB2323" s="306"/>
      <c r="AC2323" s="306"/>
      <c r="AD2323" s="306"/>
      <c r="AE2323" s="306"/>
      <c r="AF2323" s="306"/>
      <c r="AG2323" s="306"/>
      <c r="AH2323" s="306"/>
      <c r="AI2323" s="306"/>
      <c r="AJ2323" s="306"/>
      <c r="AK2323" s="306"/>
      <c r="AL2323" s="306"/>
      <c r="AM2323" s="418"/>
      <c r="AN2323" s="418"/>
      <c r="AO2323" s="306"/>
      <c r="AP2323" s="306"/>
      <c r="AQ2323" s="418"/>
      <c r="AR2323" s="306"/>
      <c r="AS2323" s="306"/>
      <c r="AT2323" s="418"/>
      <c r="AU2323" s="306"/>
      <c r="AV2323" s="306"/>
      <c r="AW2323" s="306"/>
      <c r="AX2323" s="306"/>
      <c r="AY2323" s="306"/>
      <c r="AZ2323" s="306"/>
      <c r="BA2323" s="306"/>
      <c r="BB2323" s="306"/>
    </row>
    <row r="2324" spans="1:54" ht="15.75" customHeight="1">
      <c r="A2324" s="317"/>
      <c r="B2324" s="430"/>
      <c r="C2324" s="317"/>
      <c r="E2324" s="306"/>
      <c r="F2324" s="431"/>
      <c r="G2324" s="431"/>
      <c r="H2324" s="298"/>
      <c r="I2324" s="432"/>
      <c r="J2324" s="433"/>
      <c r="K2324" s="306"/>
      <c r="L2324" s="306"/>
      <c r="M2324" s="306"/>
      <c r="N2324" s="298"/>
      <c r="O2324" s="298"/>
      <c r="P2324" s="298"/>
      <c r="Q2324" s="306"/>
      <c r="R2324" s="1023"/>
      <c r="S2324" s="1023"/>
      <c r="T2324" s="306"/>
      <c r="U2324" s="306"/>
      <c r="V2324" s="306"/>
      <c r="W2324" s="306"/>
      <c r="X2324" s="306"/>
      <c r="Y2324" s="306"/>
      <c r="Z2324" s="306"/>
      <c r="AA2324" s="306"/>
      <c r="AB2324" s="306"/>
      <c r="AC2324" s="306"/>
      <c r="AD2324" s="306"/>
      <c r="AE2324" s="306"/>
      <c r="AF2324" s="306"/>
      <c r="AG2324" s="306"/>
      <c r="AH2324" s="306"/>
      <c r="AI2324" s="306"/>
      <c r="AJ2324" s="306"/>
      <c r="AK2324" s="306"/>
      <c r="AL2324" s="306"/>
      <c r="AM2324" s="418"/>
      <c r="AN2324" s="418"/>
      <c r="AO2324" s="306"/>
      <c r="AP2324" s="306"/>
      <c r="AQ2324" s="418"/>
      <c r="AR2324" s="306"/>
      <c r="AS2324" s="306"/>
      <c r="AT2324" s="418"/>
      <c r="AU2324" s="306"/>
      <c r="AV2324" s="306"/>
      <c r="AW2324" s="306"/>
      <c r="AX2324" s="306"/>
      <c r="AY2324" s="306"/>
      <c r="AZ2324" s="306"/>
      <c r="BA2324" s="306"/>
      <c r="BB2324" s="306"/>
    </row>
    <row r="2325" spans="1:54" ht="15.75" customHeight="1">
      <c r="A2325" s="317"/>
      <c r="B2325" s="430"/>
      <c r="C2325" s="317"/>
      <c r="E2325" s="306"/>
      <c r="F2325" s="431"/>
      <c r="G2325" s="431"/>
      <c r="H2325" s="298"/>
      <c r="I2325" s="432"/>
      <c r="J2325" s="433"/>
      <c r="K2325" s="306"/>
      <c r="L2325" s="306"/>
      <c r="M2325" s="306"/>
      <c r="N2325" s="298"/>
      <c r="O2325" s="298"/>
      <c r="P2325" s="298"/>
      <c r="Q2325" s="306"/>
      <c r="R2325" s="1023"/>
      <c r="S2325" s="1023"/>
      <c r="T2325" s="306"/>
      <c r="U2325" s="306"/>
      <c r="V2325" s="306"/>
      <c r="W2325" s="306"/>
      <c r="X2325" s="306"/>
      <c r="Y2325" s="306"/>
      <c r="Z2325" s="306"/>
      <c r="AA2325" s="306"/>
      <c r="AB2325" s="306"/>
      <c r="AC2325" s="306"/>
      <c r="AD2325" s="306"/>
      <c r="AE2325" s="306"/>
      <c r="AF2325" s="306"/>
      <c r="AG2325" s="306"/>
      <c r="AH2325" s="306"/>
      <c r="AI2325" s="306"/>
      <c r="AJ2325" s="306"/>
      <c r="AK2325" s="306"/>
      <c r="AL2325" s="306"/>
      <c r="AM2325" s="418"/>
      <c r="AN2325" s="418"/>
      <c r="AO2325" s="306"/>
      <c r="AP2325" s="306"/>
      <c r="AQ2325" s="418"/>
      <c r="AR2325" s="306"/>
      <c r="AS2325" s="306"/>
      <c r="AT2325" s="418"/>
      <c r="AU2325" s="306"/>
      <c r="AV2325" s="306"/>
      <c r="AW2325" s="306"/>
      <c r="AX2325" s="306"/>
      <c r="AY2325" s="306"/>
      <c r="AZ2325" s="306"/>
      <c r="BA2325" s="306"/>
      <c r="BB2325" s="306"/>
    </row>
    <row r="2326" spans="1:54" ht="15.75" customHeight="1">
      <c r="A2326" s="317"/>
      <c r="B2326" s="430"/>
      <c r="C2326" s="317"/>
      <c r="E2326" s="306"/>
      <c r="F2326" s="431"/>
      <c r="G2326" s="431"/>
      <c r="H2326" s="298"/>
      <c r="I2326" s="432"/>
      <c r="J2326" s="433"/>
      <c r="K2326" s="306"/>
      <c r="L2326" s="306"/>
      <c r="M2326" s="306"/>
      <c r="N2326" s="298"/>
      <c r="O2326" s="298"/>
      <c r="P2326" s="298"/>
      <c r="Q2326" s="306"/>
      <c r="R2326" s="1023"/>
      <c r="S2326" s="1023"/>
      <c r="T2326" s="306"/>
      <c r="U2326" s="306"/>
      <c r="V2326" s="306"/>
      <c r="W2326" s="306"/>
      <c r="X2326" s="306"/>
      <c r="Y2326" s="306"/>
      <c r="Z2326" s="306"/>
      <c r="AA2326" s="306"/>
      <c r="AB2326" s="306"/>
      <c r="AC2326" s="306"/>
      <c r="AD2326" s="306"/>
      <c r="AE2326" s="306"/>
      <c r="AF2326" s="306"/>
      <c r="AG2326" s="306"/>
      <c r="AH2326" s="306"/>
      <c r="AI2326" s="306"/>
      <c r="AJ2326" s="306"/>
      <c r="AK2326" s="306"/>
      <c r="AL2326" s="306"/>
      <c r="AM2326" s="418"/>
      <c r="AN2326" s="418"/>
      <c r="AO2326" s="306"/>
      <c r="AP2326" s="306"/>
      <c r="AQ2326" s="418"/>
      <c r="AR2326" s="306"/>
      <c r="AS2326" s="306"/>
      <c r="AT2326" s="418"/>
      <c r="AU2326" s="306"/>
      <c r="AV2326" s="306"/>
      <c r="AW2326" s="306"/>
      <c r="AX2326" s="306"/>
      <c r="AY2326" s="306"/>
      <c r="AZ2326" s="306"/>
      <c r="BA2326" s="306"/>
      <c r="BB2326" s="306"/>
    </row>
    <row r="2327" spans="1:54" ht="15.75" customHeight="1">
      <c r="A2327" s="317"/>
      <c r="B2327" s="430"/>
      <c r="C2327" s="317"/>
      <c r="E2327" s="306"/>
      <c r="F2327" s="431"/>
      <c r="G2327" s="431"/>
      <c r="H2327" s="298"/>
      <c r="I2327" s="432"/>
      <c r="J2327" s="433"/>
      <c r="K2327" s="306"/>
      <c r="L2327" s="306"/>
      <c r="M2327" s="306"/>
      <c r="N2327" s="298"/>
      <c r="O2327" s="298"/>
      <c r="P2327" s="298"/>
      <c r="Q2327" s="306"/>
      <c r="R2327" s="1023"/>
      <c r="S2327" s="1023"/>
      <c r="T2327" s="306"/>
      <c r="U2327" s="306"/>
      <c r="V2327" s="306"/>
      <c r="W2327" s="306"/>
      <c r="X2327" s="306"/>
      <c r="Y2327" s="306"/>
      <c r="Z2327" s="306"/>
      <c r="AA2327" s="306"/>
      <c r="AB2327" s="306"/>
      <c r="AC2327" s="306"/>
      <c r="AD2327" s="306"/>
      <c r="AE2327" s="306"/>
      <c r="AF2327" s="306"/>
      <c r="AG2327" s="306"/>
      <c r="AH2327" s="306"/>
      <c r="AI2327" s="306"/>
      <c r="AJ2327" s="306"/>
      <c r="AK2327" s="306"/>
      <c r="AL2327" s="306"/>
      <c r="AM2327" s="418"/>
      <c r="AN2327" s="418"/>
      <c r="AO2327" s="306"/>
      <c r="AP2327" s="306"/>
      <c r="AQ2327" s="418"/>
      <c r="AR2327" s="306"/>
      <c r="AS2327" s="306"/>
      <c r="AT2327" s="418"/>
      <c r="AU2327" s="306"/>
      <c r="AV2327" s="306"/>
      <c r="AW2327" s="306"/>
      <c r="AX2327" s="306"/>
      <c r="AY2327" s="306"/>
      <c r="AZ2327" s="306"/>
      <c r="BA2327" s="306"/>
      <c r="BB2327" s="306"/>
    </row>
    <row r="2328" spans="1:54" ht="15.75" customHeight="1">
      <c r="A2328" s="317"/>
      <c r="B2328" s="430"/>
      <c r="C2328" s="317"/>
      <c r="E2328" s="306"/>
      <c r="F2328" s="431"/>
      <c r="G2328" s="431"/>
      <c r="H2328" s="298"/>
      <c r="I2328" s="432"/>
      <c r="J2328" s="433"/>
      <c r="K2328" s="306"/>
      <c r="L2328" s="306"/>
      <c r="M2328" s="306"/>
      <c r="N2328" s="298"/>
      <c r="O2328" s="298"/>
      <c r="P2328" s="298"/>
      <c r="Q2328" s="306"/>
      <c r="R2328" s="1023"/>
      <c r="S2328" s="1023"/>
      <c r="T2328" s="306"/>
      <c r="U2328" s="306"/>
      <c r="V2328" s="306"/>
      <c r="W2328" s="306"/>
      <c r="X2328" s="306"/>
      <c r="Y2328" s="306"/>
      <c r="Z2328" s="306"/>
      <c r="AA2328" s="306"/>
      <c r="AB2328" s="306"/>
      <c r="AC2328" s="306"/>
      <c r="AD2328" s="306"/>
      <c r="AE2328" s="306"/>
      <c r="AF2328" s="306"/>
      <c r="AG2328" s="306"/>
      <c r="AH2328" s="306"/>
      <c r="AI2328" s="306"/>
      <c r="AJ2328" s="306"/>
      <c r="AK2328" s="306"/>
      <c r="AL2328" s="306"/>
      <c r="AM2328" s="418"/>
      <c r="AN2328" s="418"/>
      <c r="AO2328" s="306"/>
      <c r="AP2328" s="306"/>
      <c r="AQ2328" s="418"/>
      <c r="AR2328" s="306"/>
      <c r="AS2328" s="306"/>
      <c r="AT2328" s="418"/>
      <c r="AU2328" s="306"/>
      <c r="AV2328" s="306"/>
      <c r="AW2328" s="306"/>
      <c r="AX2328" s="306"/>
      <c r="AY2328" s="306"/>
      <c r="AZ2328" s="306"/>
      <c r="BA2328" s="306"/>
      <c r="BB2328" s="306"/>
    </row>
    <row r="2329" spans="1:54" ht="15.75" customHeight="1">
      <c r="A2329" s="317"/>
      <c r="B2329" s="430"/>
      <c r="C2329" s="317"/>
      <c r="E2329" s="306"/>
      <c r="F2329" s="431"/>
      <c r="G2329" s="431"/>
      <c r="H2329" s="298"/>
      <c r="I2329" s="432"/>
      <c r="J2329" s="433"/>
      <c r="K2329" s="306"/>
      <c r="L2329" s="306"/>
      <c r="M2329" s="306"/>
      <c r="N2329" s="298"/>
      <c r="O2329" s="298"/>
      <c r="P2329" s="298"/>
      <c r="Q2329" s="306"/>
      <c r="R2329" s="1023"/>
      <c r="S2329" s="1023"/>
      <c r="T2329" s="306"/>
      <c r="U2329" s="306"/>
      <c r="V2329" s="306"/>
      <c r="W2329" s="306"/>
      <c r="X2329" s="306"/>
      <c r="Y2329" s="306"/>
      <c r="Z2329" s="306"/>
      <c r="AA2329" s="306"/>
      <c r="AB2329" s="306"/>
      <c r="AC2329" s="306"/>
      <c r="AD2329" s="306"/>
      <c r="AE2329" s="306"/>
      <c r="AF2329" s="306"/>
      <c r="AG2329" s="306"/>
      <c r="AH2329" s="306"/>
      <c r="AI2329" s="306"/>
      <c r="AJ2329" s="306"/>
      <c r="AK2329" s="306"/>
      <c r="AL2329" s="306"/>
      <c r="AM2329" s="418"/>
      <c r="AN2329" s="418"/>
      <c r="AO2329" s="306"/>
      <c r="AP2329" s="306"/>
      <c r="AQ2329" s="418"/>
      <c r="AR2329" s="306"/>
      <c r="AS2329" s="306"/>
      <c r="AT2329" s="418"/>
      <c r="AU2329" s="306"/>
      <c r="AV2329" s="306"/>
      <c r="AW2329" s="306"/>
      <c r="AX2329" s="306"/>
      <c r="AY2329" s="306"/>
      <c r="AZ2329" s="306"/>
      <c r="BA2329" s="306"/>
      <c r="BB2329" s="306"/>
    </row>
    <row r="2330" spans="1:54" ht="15.75" customHeight="1">
      <c r="A2330" s="317"/>
      <c r="B2330" s="430"/>
      <c r="C2330" s="317"/>
      <c r="E2330" s="306"/>
      <c r="F2330" s="431"/>
      <c r="G2330" s="431"/>
      <c r="H2330" s="298"/>
      <c r="I2330" s="432"/>
      <c r="J2330" s="433"/>
      <c r="K2330" s="306"/>
      <c r="L2330" s="306"/>
      <c r="M2330" s="306"/>
      <c r="N2330" s="298"/>
      <c r="O2330" s="298"/>
      <c r="P2330" s="298"/>
      <c r="Q2330" s="306"/>
      <c r="R2330" s="1023"/>
      <c r="S2330" s="1023"/>
      <c r="T2330" s="306"/>
      <c r="U2330" s="306"/>
      <c r="V2330" s="306"/>
      <c r="W2330" s="306"/>
      <c r="X2330" s="306"/>
      <c r="Y2330" s="306"/>
      <c r="Z2330" s="306"/>
      <c r="AA2330" s="306"/>
      <c r="AB2330" s="306"/>
      <c r="AC2330" s="306"/>
      <c r="AD2330" s="306"/>
      <c r="AE2330" s="306"/>
      <c r="AF2330" s="306"/>
      <c r="AG2330" s="306"/>
      <c r="AH2330" s="306"/>
      <c r="AI2330" s="306"/>
      <c r="AJ2330" s="306"/>
      <c r="AK2330" s="306"/>
      <c r="AL2330" s="306"/>
      <c r="AM2330" s="418"/>
      <c r="AN2330" s="418"/>
      <c r="AO2330" s="306"/>
      <c r="AP2330" s="306"/>
      <c r="AQ2330" s="418"/>
      <c r="AR2330" s="306"/>
      <c r="AS2330" s="306"/>
      <c r="AT2330" s="418"/>
      <c r="AU2330" s="306"/>
      <c r="AV2330" s="306"/>
      <c r="AW2330" s="306"/>
      <c r="AX2330" s="306"/>
      <c r="AY2330" s="306"/>
      <c r="AZ2330" s="306"/>
      <c r="BA2330" s="306"/>
      <c r="BB2330" s="306"/>
    </row>
    <row r="2331" spans="1:54" ht="15.75" customHeight="1">
      <c r="A2331" s="317"/>
      <c r="B2331" s="430"/>
      <c r="C2331" s="317"/>
      <c r="E2331" s="306"/>
      <c r="F2331" s="431"/>
      <c r="G2331" s="431"/>
      <c r="H2331" s="298"/>
      <c r="I2331" s="432"/>
      <c r="J2331" s="433"/>
      <c r="K2331" s="306"/>
      <c r="L2331" s="306"/>
      <c r="M2331" s="306"/>
      <c r="N2331" s="298"/>
      <c r="O2331" s="298"/>
      <c r="P2331" s="298"/>
      <c r="Q2331" s="306"/>
      <c r="R2331" s="1023"/>
      <c r="S2331" s="1023"/>
      <c r="T2331" s="306"/>
      <c r="U2331" s="306"/>
      <c r="V2331" s="306"/>
      <c r="W2331" s="306"/>
      <c r="X2331" s="306"/>
      <c r="Y2331" s="306"/>
      <c r="Z2331" s="306"/>
      <c r="AA2331" s="306"/>
      <c r="AB2331" s="306"/>
      <c r="AC2331" s="306"/>
      <c r="AD2331" s="306"/>
      <c r="AE2331" s="306"/>
      <c r="AF2331" s="306"/>
      <c r="AG2331" s="306"/>
      <c r="AH2331" s="306"/>
      <c r="AI2331" s="306"/>
      <c r="AJ2331" s="306"/>
      <c r="AK2331" s="306"/>
      <c r="AL2331" s="306"/>
      <c r="AM2331" s="418"/>
      <c r="AN2331" s="418"/>
      <c r="AO2331" s="306"/>
      <c r="AP2331" s="306"/>
      <c r="AQ2331" s="418"/>
      <c r="AR2331" s="306"/>
      <c r="AS2331" s="306"/>
      <c r="AT2331" s="418"/>
      <c r="AU2331" s="306"/>
      <c r="AV2331" s="306"/>
      <c r="AW2331" s="306"/>
      <c r="AX2331" s="306"/>
      <c r="AY2331" s="306"/>
      <c r="AZ2331" s="306"/>
      <c r="BA2331" s="306"/>
      <c r="BB2331" s="306"/>
    </row>
    <row r="2332" spans="1:54" ht="15.75" customHeight="1">
      <c r="A2332" s="317"/>
      <c r="B2332" s="430"/>
      <c r="C2332" s="317"/>
      <c r="E2332" s="306"/>
      <c r="F2332" s="431"/>
      <c r="G2332" s="431"/>
      <c r="H2332" s="298"/>
      <c r="I2332" s="432"/>
      <c r="J2332" s="433"/>
      <c r="K2332" s="306"/>
      <c r="L2332" s="306"/>
      <c r="M2332" s="306"/>
      <c r="N2332" s="298"/>
      <c r="O2332" s="298"/>
      <c r="P2332" s="298"/>
      <c r="Q2332" s="306"/>
      <c r="R2332" s="1023"/>
      <c r="S2332" s="1023"/>
      <c r="T2332" s="306"/>
      <c r="U2332" s="306"/>
      <c r="V2332" s="306"/>
      <c r="W2332" s="306"/>
      <c r="X2332" s="306"/>
      <c r="Y2332" s="306"/>
      <c r="Z2332" s="306"/>
      <c r="AA2332" s="306"/>
      <c r="AB2332" s="306"/>
      <c r="AC2332" s="306"/>
      <c r="AD2332" s="306"/>
      <c r="AE2332" s="306"/>
      <c r="AF2332" s="306"/>
      <c r="AG2332" s="306"/>
      <c r="AH2332" s="306"/>
      <c r="AI2332" s="306"/>
      <c r="AJ2332" s="306"/>
      <c r="AK2332" s="306"/>
      <c r="AL2332" s="306"/>
      <c r="AM2332" s="418"/>
      <c r="AN2332" s="418"/>
      <c r="AO2332" s="306"/>
      <c r="AP2332" s="306"/>
      <c r="AQ2332" s="418"/>
      <c r="AR2332" s="306"/>
      <c r="AS2332" s="306"/>
      <c r="AT2332" s="418"/>
      <c r="AU2332" s="306"/>
      <c r="AV2332" s="306"/>
      <c r="AW2332" s="306"/>
      <c r="AX2332" s="306"/>
      <c r="AY2332" s="306"/>
      <c r="AZ2332" s="306"/>
      <c r="BA2332" s="306"/>
      <c r="BB2332" s="306"/>
    </row>
    <row r="2333" spans="1:54" ht="15.75" customHeight="1">
      <c r="A2333" s="317"/>
      <c r="B2333" s="430"/>
      <c r="C2333" s="317"/>
      <c r="E2333" s="306"/>
      <c r="F2333" s="431"/>
      <c r="G2333" s="431"/>
      <c r="H2333" s="298"/>
      <c r="I2333" s="432"/>
      <c r="J2333" s="433"/>
      <c r="K2333" s="306"/>
      <c r="L2333" s="306"/>
      <c r="M2333" s="306"/>
      <c r="N2333" s="298"/>
      <c r="O2333" s="298"/>
      <c r="P2333" s="298"/>
      <c r="Q2333" s="306"/>
      <c r="R2333" s="1023"/>
      <c r="S2333" s="1023"/>
      <c r="T2333" s="306"/>
      <c r="U2333" s="306"/>
      <c r="V2333" s="306"/>
      <c r="W2333" s="306"/>
      <c r="X2333" s="306"/>
      <c r="Y2333" s="306"/>
      <c r="Z2333" s="306"/>
      <c r="AA2333" s="306"/>
      <c r="AB2333" s="306"/>
      <c r="AC2333" s="306"/>
      <c r="AD2333" s="306"/>
      <c r="AE2333" s="306"/>
      <c r="AF2333" s="306"/>
      <c r="AG2333" s="306"/>
      <c r="AH2333" s="306"/>
      <c r="AI2333" s="306"/>
      <c r="AJ2333" s="306"/>
      <c r="AK2333" s="306"/>
      <c r="AL2333" s="306"/>
      <c r="AM2333" s="418"/>
      <c r="AN2333" s="418"/>
      <c r="AO2333" s="306"/>
      <c r="AP2333" s="306"/>
      <c r="AQ2333" s="418"/>
      <c r="AR2333" s="306"/>
      <c r="AS2333" s="306"/>
      <c r="AT2333" s="418"/>
      <c r="AU2333" s="306"/>
      <c r="AV2333" s="306"/>
      <c r="AW2333" s="306"/>
      <c r="AX2333" s="306"/>
      <c r="AY2333" s="306"/>
      <c r="AZ2333" s="306"/>
      <c r="BA2333" s="306"/>
      <c r="BB2333" s="306"/>
    </row>
    <row r="2334" spans="1:54" ht="15.75" customHeight="1">
      <c r="A2334" s="317"/>
      <c r="B2334" s="430"/>
      <c r="C2334" s="317"/>
      <c r="E2334" s="306"/>
      <c r="F2334" s="431"/>
      <c r="G2334" s="431"/>
      <c r="H2334" s="298"/>
      <c r="I2334" s="432"/>
      <c r="J2334" s="433"/>
      <c r="K2334" s="306"/>
      <c r="L2334" s="306"/>
      <c r="M2334" s="306"/>
      <c r="N2334" s="298"/>
      <c r="O2334" s="298"/>
      <c r="P2334" s="298"/>
      <c r="Q2334" s="306"/>
      <c r="R2334" s="1023"/>
      <c r="S2334" s="1023"/>
      <c r="T2334" s="306"/>
      <c r="U2334" s="306"/>
      <c r="V2334" s="306"/>
      <c r="W2334" s="306"/>
      <c r="X2334" s="306"/>
      <c r="Y2334" s="306"/>
      <c r="Z2334" s="306"/>
      <c r="AA2334" s="306"/>
      <c r="AB2334" s="306"/>
      <c r="AC2334" s="306"/>
      <c r="AD2334" s="306"/>
      <c r="AE2334" s="306"/>
      <c r="AF2334" s="306"/>
      <c r="AG2334" s="306"/>
      <c r="AH2334" s="306"/>
      <c r="AI2334" s="306"/>
      <c r="AJ2334" s="306"/>
      <c r="AK2334" s="306"/>
      <c r="AL2334" s="306"/>
      <c r="AM2334" s="418"/>
      <c r="AN2334" s="418"/>
      <c r="AO2334" s="306"/>
      <c r="AP2334" s="306"/>
      <c r="AQ2334" s="418"/>
      <c r="AR2334" s="306"/>
      <c r="AS2334" s="306"/>
      <c r="AT2334" s="418"/>
      <c r="AU2334" s="306"/>
      <c r="AV2334" s="306"/>
      <c r="AW2334" s="306"/>
      <c r="AX2334" s="306"/>
      <c r="AY2334" s="306"/>
      <c r="AZ2334" s="306"/>
      <c r="BA2334" s="306"/>
      <c r="BB2334" s="306"/>
    </row>
    <row r="2335" spans="1:54" ht="15.75" customHeight="1">
      <c r="A2335" s="317"/>
      <c r="B2335" s="430"/>
      <c r="C2335" s="317"/>
      <c r="E2335" s="306"/>
      <c r="F2335" s="431"/>
      <c r="G2335" s="431"/>
      <c r="H2335" s="298"/>
      <c r="I2335" s="432"/>
      <c r="J2335" s="433"/>
      <c r="K2335" s="306"/>
      <c r="L2335" s="306"/>
      <c r="M2335" s="306"/>
      <c r="N2335" s="298"/>
      <c r="O2335" s="298"/>
      <c r="P2335" s="298"/>
      <c r="Q2335" s="306"/>
      <c r="R2335" s="1023"/>
      <c r="S2335" s="1023"/>
      <c r="T2335" s="306"/>
      <c r="U2335" s="306"/>
      <c r="V2335" s="306"/>
      <c r="W2335" s="306"/>
      <c r="X2335" s="306"/>
      <c r="Y2335" s="306"/>
      <c r="Z2335" s="306"/>
      <c r="AA2335" s="306"/>
      <c r="AB2335" s="306"/>
      <c r="AC2335" s="306"/>
      <c r="AD2335" s="306"/>
      <c r="AE2335" s="306"/>
      <c r="AF2335" s="306"/>
      <c r="AG2335" s="306"/>
      <c r="AH2335" s="306"/>
      <c r="AI2335" s="306"/>
      <c r="AJ2335" s="306"/>
      <c r="AK2335" s="306"/>
      <c r="AL2335" s="306"/>
      <c r="AM2335" s="418"/>
      <c r="AN2335" s="418"/>
      <c r="AO2335" s="306"/>
      <c r="AP2335" s="306"/>
      <c r="AQ2335" s="418"/>
      <c r="AR2335" s="306"/>
      <c r="AS2335" s="306"/>
      <c r="AT2335" s="418"/>
      <c r="AU2335" s="306"/>
      <c r="AV2335" s="306"/>
      <c r="AW2335" s="306"/>
      <c r="AX2335" s="306"/>
      <c r="AY2335" s="306"/>
      <c r="AZ2335" s="306"/>
      <c r="BA2335" s="306"/>
      <c r="BB2335" s="306"/>
    </row>
    <row r="2336" spans="1:54" ht="15.75" customHeight="1">
      <c r="A2336" s="317"/>
      <c r="B2336" s="430"/>
      <c r="C2336" s="317"/>
      <c r="E2336" s="306"/>
      <c r="F2336" s="431"/>
      <c r="G2336" s="431"/>
      <c r="H2336" s="298"/>
      <c r="I2336" s="432"/>
      <c r="J2336" s="433"/>
      <c r="K2336" s="306"/>
      <c r="L2336" s="306"/>
      <c r="M2336" s="306"/>
      <c r="N2336" s="298"/>
      <c r="O2336" s="298"/>
      <c r="P2336" s="298"/>
      <c r="Q2336" s="306"/>
      <c r="R2336" s="1023"/>
      <c r="S2336" s="1023"/>
      <c r="T2336" s="306"/>
      <c r="U2336" s="306"/>
      <c r="V2336" s="306"/>
      <c r="W2336" s="306"/>
      <c r="X2336" s="306"/>
      <c r="Y2336" s="306"/>
      <c r="Z2336" s="306"/>
      <c r="AA2336" s="306"/>
      <c r="AB2336" s="306"/>
      <c r="AC2336" s="306"/>
      <c r="AD2336" s="306"/>
      <c r="AE2336" s="306"/>
      <c r="AF2336" s="306"/>
      <c r="AG2336" s="306"/>
      <c r="AH2336" s="306"/>
      <c r="AI2336" s="306"/>
      <c r="AJ2336" s="306"/>
      <c r="AK2336" s="306"/>
      <c r="AL2336" s="306"/>
      <c r="AM2336" s="418"/>
      <c r="AN2336" s="418"/>
      <c r="AO2336" s="306"/>
      <c r="AP2336" s="306"/>
      <c r="AQ2336" s="418"/>
      <c r="AR2336" s="306"/>
      <c r="AS2336" s="306"/>
      <c r="AT2336" s="418"/>
      <c r="AU2336" s="306"/>
      <c r="AV2336" s="306"/>
      <c r="AW2336" s="306"/>
      <c r="AX2336" s="306"/>
      <c r="AY2336" s="306"/>
      <c r="AZ2336" s="306"/>
      <c r="BA2336" s="306"/>
      <c r="BB2336" s="306"/>
    </row>
    <row r="2337" spans="1:54" ht="15.75" customHeight="1">
      <c r="A2337" s="317"/>
      <c r="B2337" s="430"/>
      <c r="C2337" s="317"/>
      <c r="E2337" s="306"/>
      <c r="F2337" s="431"/>
      <c r="G2337" s="431"/>
      <c r="H2337" s="298"/>
      <c r="I2337" s="432"/>
      <c r="J2337" s="433"/>
      <c r="K2337" s="306"/>
      <c r="L2337" s="306"/>
      <c r="M2337" s="306"/>
      <c r="N2337" s="298"/>
      <c r="O2337" s="298"/>
      <c r="P2337" s="298"/>
      <c r="Q2337" s="306"/>
      <c r="R2337" s="1023"/>
      <c r="S2337" s="1023"/>
      <c r="T2337" s="306"/>
      <c r="U2337" s="306"/>
      <c r="V2337" s="306"/>
      <c r="W2337" s="306"/>
      <c r="X2337" s="306"/>
      <c r="Y2337" s="306"/>
      <c r="Z2337" s="306"/>
      <c r="AA2337" s="306"/>
      <c r="AB2337" s="306"/>
      <c r="AC2337" s="306"/>
      <c r="AD2337" s="306"/>
      <c r="AE2337" s="306"/>
      <c r="AF2337" s="306"/>
      <c r="AG2337" s="306"/>
      <c r="AH2337" s="306"/>
      <c r="AI2337" s="306"/>
      <c r="AJ2337" s="306"/>
      <c r="AK2337" s="306"/>
      <c r="AL2337" s="306"/>
      <c r="AM2337" s="418"/>
      <c r="AN2337" s="418"/>
      <c r="AO2337" s="306"/>
      <c r="AP2337" s="306"/>
      <c r="AQ2337" s="418"/>
      <c r="AR2337" s="306"/>
      <c r="AS2337" s="306"/>
      <c r="AT2337" s="418"/>
      <c r="AU2337" s="306"/>
      <c r="AV2337" s="306"/>
      <c r="AW2337" s="306"/>
      <c r="AX2337" s="306"/>
      <c r="AY2337" s="306"/>
      <c r="AZ2337" s="306"/>
      <c r="BA2337" s="306"/>
      <c r="BB2337" s="306"/>
    </row>
    <row r="2338" spans="1:54" ht="15.75" customHeight="1">
      <c r="A2338" s="317"/>
      <c r="B2338" s="430"/>
      <c r="C2338" s="317"/>
      <c r="E2338" s="306"/>
      <c r="F2338" s="431"/>
      <c r="G2338" s="431"/>
      <c r="H2338" s="298"/>
      <c r="I2338" s="432"/>
      <c r="J2338" s="433"/>
      <c r="K2338" s="306"/>
      <c r="L2338" s="306"/>
      <c r="M2338" s="306"/>
      <c r="N2338" s="298"/>
      <c r="O2338" s="298"/>
      <c r="P2338" s="298"/>
      <c r="Q2338" s="306"/>
      <c r="R2338" s="1023"/>
      <c r="S2338" s="1023"/>
      <c r="T2338" s="306"/>
      <c r="U2338" s="306"/>
      <c r="V2338" s="306"/>
      <c r="W2338" s="306"/>
      <c r="X2338" s="306"/>
      <c r="Y2338" s="306"/>
      <c r="Z2338" s="306"/>
      <c r="AA2338" s="306"/>
      <c r="AB2338" s="306"/>
      <c r="AC2338" s="306"/>
      <c r="AD2338" s="306"/>
      <c r="AE2338" s="306"/>
      <c r="AF2338" s="306"/>
      <c r="AG2338" s="306"/>
      <c r="AH2338" s="306"/>
      <c r="AI2338" s="306"/>
      <c r="AJ2338" s="306"/>
      <c r="AK2338" s="306"/>
      <c r="AL2338" s="306"/>
      <c r="AM2338" s="418"/>
      <c r="AN2338" s="418"/>
      <c r="AO2338" s="306"/>
      <c r="AP2338" s="306"/>
      <c r="AQ2338" s="418"/>
      <c r="AR2338" s="306"/>
      <c r="AS2338" s="306"/>
      <c r="AT2338" s="418"/>
      <c r="AU2338" s="306"/>
      <c r="AV2338" s="306"/>
      <c r="AW2338" s="306"/>
      <c r="AX2338" s="306"/>
      <c r="AY2338" s="306"/>
      <c r="AZ2338" s="306"/>
      <c r="BA2338" s="306"/>
      <c r="BB2338" s="306"/>
    </row>
    <row r="2339" spans="1:54" ht="15.75" customHeight="1">
      <c r="A2339" s="317"/>
      <c r="B2339" s="430"/>
      <c r="C2339" s="317"/>
      <c r="E2339" s="306"/>
      <c r="F2339" s="431"/>
      <c r="G2339" s="431"/>
      <c r="H2339" s="298"/>
      <c r="I2339" s="432"/>
      <c r="J2339" s="433"/>
      <c r="K2339" s="306"/>
      <c r="L2339" s="306"/>
      <c r="M2339" s="306"/>
      <c r="N2339" s="298"/>
      <c r="O2339" s="298"/>
      <c r="P2339" s="298"/>
      <c r="Q2339" s="306"/>
      <c r="R2339" s="1023"/>
      <c r="S2339" s="1023"/>
      <c r="T2339" s="306"/>
      <c r="U2339" s="306"/>
      <c r="V2339" s="306"/>
      <c r="W2339" s="306"/>
      <c r="X2339" s="306"/>
      <c r="Y2339" s="306"/>
      <c r="Z2339" s="306"/>
      <c r="AA2339" s="306"/>
      <c r="AB2339" s="306"/>
      <c r="AC2339" s="306"/>
      <c r="AD2339" s="306"/>
      <c r="AE2339" s="306"/>
      <c r="AF2339" s="306"/>
      <c r="AG2339" s="306"/>
      <c r="AH2339" s="306"/>
      <c r="AI2339" s="306"/>
      <c r="AJ2339" s="306"/>
      <c r="AK2339" s="306"/>
      <c r="AL2339" s="306"/>
      <c r="AM2339" s="418"/>
      <c r="AN2339" s="418"/>
      <c r="AO2339" s="306"/>
      <c r="AP2339" s="306"/>
      <c r="AQ2339" s="418"/>
      <c r="AR2339" s="306"/>
      <c r="AS2339" s="306"/>
      <c r="AT2339" s="418"/>
      <c r="AU2339" s="306"/>
      <c r="AV2339" s="306"/>
      <c r="AW2339" s="306"/>
      <c r="AX2339" s="306"/>
      <c r="AY2339" s="306"/>
      <c r="AZ2339" s="306"/>
      <c r="BA2339" s="306"/>
      <c r="BB2339" s="306"/>
    </row>
    <row r="2340" spans="1:54" ht="15.75" customHeight="1">
      <c r="A2340" s="317"/>
      <c r="B2340" s="430"/>
      <c r="C2340" s="317"/>
      <c r="E2340" s="306"/>
      <c r="F2340" s="431"/>
      <c r="G2340" s="431"/>
      <c r="H2340" s="298"/>
      <c r="I2340" s="432"/>
      <c r="J2340" s="433"/>
      <c r="K2340" s="306"/>
      <c r="L2340" s="306"/>
      <c r="M2340" s="306"/>
      <c r="N2340" s="298"/>
      <c r="O2340" s="298"/>
      <c r="P2340" s="298"/>
      <c r="Q2340" s="306"/>
      <c r="R2340" s="1023"/>
      <c r="S2340" s="1023"/>
      <c r="T2340" s="306"/>
      <c r="U2340" s="306"/>
      <c r="V2340" s="306"/>
      <c r="W2340" s="306"/>
      <c r="X2340" s="306"/>
      <c r="Y2340" s="306"/>
      <c r="Z2340" s="306"/>
      <c r="AA2340" s="306"/>
      <c r="AB2340" s="306"/>
      <c r="AC2340" s="306"/>
      <c r="AD2340" s="306"/>
      <c r="AE2340" s="306"/>
      <c r="AF2340" s="306"/>
      <c r="AG2340" s="306"/>
      <c r="AH2340" s="306"/>
      <c r="AI2340" s="306"/>
      <c r="AJ2340" s="306"/>
      <c r="AK2340" s="306"/>
      <c r="AL2340" s="306"/>
      <c r="AM2340" s="418"/>
      <c r="AN2340" s="418"/>
      <c r="AO2340" s="306"/>
      <c r="AP2340" s="306"/>
      <c r="AQ2340" s="418"/>
      <c r="AR2340" s="306"/>
      <c r="AS2340" s="306"/>
      <c r="AT2340" s="418"/>
      <c r="AU2340" s="306"/>
      <c r="AV2340" s="306"/>
      <c r="AW2340" s="306"/>
      <c r="AX2340" s="306"/>
      <c r="AY2340" s="306"/>
      <c r="AZ2340" s="306"/>
      <c r="BA2340" s="306"/>
      <c r="BB2340" s="306"/>
    </row>
    <row r="2341" spans="1:54" ht="15.75" customHeight="1">
      <c r="A2341" s="317"/>
      <c r="B2341" s="430"/>
      <c r="C2341" s="317"/>
      <c r="E2341" s="306"/>
      <c r="F2341" s="431"/>
      <c r="G2341" s="431"/>
      <c r="H2341" s="298"/>
      <c r="I2341" s="432"/>
      <c r="J2341" s="433"/>
      <c r="K2341" s="306"/>
      <c r="L2341" s="306"/>
      <c r="M2341" s="306"/>
      <c r="N2341" s="298"/>
      <c r="O2341" s="298"/>
      <c r="P2341" s="298"/>
      <c r="Q2341" s="306"/>
      <c r="R2341" s="1023"/>
      <c r="S2341" s="1023"/>
      <c r="T2341" s="306"/>
      <c r="U2341" s="306"/>
      <c r="V2341" s="306"/>
      <c r="W2341" s="306"/>
      <c r="X2341" s="306"/>
      <c r="Y2341" s="306"/>
      <c r="Z2341" s="306"/>
      <c r="AA2341" s="306"/>
      <c r="AB2341" s="306"/>
      <c r="AC2341" s="306"/>
      <c r="AD2341" s="306"/>
      <c r="AE2341" s="306"/>
      <c r="AF2341" s="306"/>
      <c r="AG2341" s="306"/>
      <c r="AH2341" s="306"/>
      <c r="AI2341" s="306"/>
      <c r="AJ2341" s="306"/>
      <c r="AK2341" s="306"/>
      <c r="AL2341" s="306"/>
      <c r="AM2341" s="418"/>
      <c r="AN2341" s="418"/>
      <c r="AO2341" s="306"/>
      <c r="AP2341" s="306"/>
      <c r="AQ2341" s="418"/>
      <c r="AR2341" s="306"/>
      <c r="AS2341" s="306"/>
      <c r="AT2341" s="418"/>
      <c r="AU2341" s="306"/>
      <c r="AV2341" s="306"/>
      <c r="AW2341" s="306"/>
      <c r="AX2341" s="306"/>
      <c r="AY2341" s="306"/>
      <c r="AZ2341" s="306"/>
      <c r="BA2341" s="306"/>
      <c r="BB2341" s="306"/>
    </row>
    <row r="2342" spans="1:54" ht="15.75" customHeight="1">
      <c r="A2342" s="317"/>
      <c r="B2342" s="430"/>
      <c r="C2342" s="317"/>
      <c r="E2342" s="306"/>
      <c r="F2342" s="431"/>
      <c r="G2342" s="431"/>
      <c r="H2342" s="298"/>
      <c r="I2342" s="432"/>
      <c r="J2342" s="433"/>
      <c r="K2342" s="306"/>
      <c r="L2342" s="306"/>
      <c r="M2342" s="306"/>
      <c r="N2342" s="298"/>
      <c r="O2342" s="298"/>
      <c r="P2342" s="298"/>
      <c r="Q2342" s="306"/>
      <c r="R2342" s="1023"/>
      <c r="S2342" s="1023"/>
      <c r="T2342" s="306"/>
      <c r="U2342" s="306"/>
      <c r="V2342" s="306"/>
      <c r="W2342" s="306"/>
      <c r="X2342" s="306"/>
      <c r="Y2342" s="306"/>
      <c r="Z2342" s="306"/>
      <c r="AA2342" s="306"/>
      <c r="AB2342" s="306"/>
      <c r="AC2342" s="306"/>
      <c r="AD2342" s="306"/>
      <c r="AE2342" s="306"/>
      <c r="AF2342" s="306"/>
      <c r="AG2342" s="306"/>
      <c r="AH2342" s="306"/>
      <c r="AI2342" s="306"/>
      <c r="AJ2342" s="306"/>
      <c r="AK2342" s="306"/>
      <c r="AL2342" s="306"/>
      <c r="AM2342" s="418"/>
      <c r="AN2342" s="418"/>
      <c r="AO2342" s="306"/>
      <c r="AP2342" s="306"/>
      <c r="AQ2342" s="418"/>
      <c r="AR2342" s="306"/>
      <c r="AS2342" s="306"/>
      <c r="AT2342" s="418"/>
      <c r="AU2342" s="306"/>
      <c r="AV2342" s="306"/>
      <c r="AW2342" s="306"/>
      <c r="AX2342" s="306"/>
      <c r="AY2342" s="306"/>
      <c r="AZ2342" s="306"/>
      <c r="BA2342" s="306"/>
      <c r="BB2342" s="306"/>
    </row>
    <row r="2343" spans="1:54" ht="15.75" customHeight="1">
      <c r="A2343" s="317"/>
      <c r="B2343" s="430"/>
      <c r="C2343" s="317"/>
      <c r="E2343" s="306"/>
      <c r="F2343" s="431"/>
      <c r="G2343" s="431"/>
      <c r="H2343" s="298"/>
      <c r="I2343" s="432"/>
      <c r="J2343" s="433"/>
      <c r="K2343" s="306"/>
      <c r="L2343" s="306"/>
      <c r="M2343" s="306"/>
      <c r="N2343" s="298"/>
      <c r="O2343" s="298"/>
      <c r="P2343" s="298"/>
      <c r="Q2343" s="306"/>
      <c r="R2343" s="1023"/>
      <c r="S2343" s="1023"/>
      <c r="T2343" s="306"/>
      <c r="U2343" s="306"/>
      <c r="V2343" s="306"/>
      <c r="W2343" s="306"/>
      <c r="X2343" s="306"/>
      <c r="Y2343" s="306"/>
      <c r="Z2343" s="306"/>
      <c r="AA2343" s="306"/>
      <c r="AB2343" s="306"/>
      <c r="AC2343" s="306"/>
      <c r="AD2343" s="306"/>
      <c r="AE2343" s="306"/>
      <c r="AF2343" s="306"/>
      <c r="AG2343" s="306"/>
      <c r="AH2343" s="306"/>
      <c r="AI2343" s="306"/>
      <c r="AJ2343" s="306"/>
      <c r="AK2343" s="306"/>
      <c r="AL2343" s="306"/>
      <c r="AM2343" s="418"/>
      <c r="AN2343" s="418"/>
      <c r="AO2343" s="306"/>
      <c r="AP2343" s="306"/>
      <c r="AQ2343" s="418"/>
      <c r="AR2343" s="306"/>
      <c r="AS2343" s="306"/>
      <c r="AT2343" s="418"/>
      <c r="AU2343" s="306"/>
      <c r="AV2343" s="306"/>
      <c r="AW2343" s="306"/>
      <c r="AX2343" s="306"/>
      <c r="AY2343" s="306"/>
      <c r="AZ2343" s="306"/>
      <c r="BA2343" s="306"/>
      <c r="BB2343" s="306"/>
    </row>
    <row r="2344" spans="1:54" ht="15.75" customHeight="1">
      <c r="A2344" s="317"/>
      <c r="B2344" s="430"/>
      <c r="C2344" s="317"/>
      <c r="E2344" s="306"/>
      <c r="F2344" s="431"/>
      <c r="G2344" s="431"/>
      <c r="H2344" s="298"/>
      <c r="I2344" s="432"/>
      <c r="J2344" s="433"/>
      <c r="K2344" s="306"/>
      <c r="L2344" s="306"/>
      <c r="M2344" s="306"/>
      <c r="N2344" s="298"/>
      <c r="O2344" s="298"/>
      <c r="P2344" s="298"/>
      <c r="Q2344" s="306"/>
      <c r="R2344" s="1023"/>
      <c r="S2344" s="1023"/>
      <c r="T2344" s="306"/>
      <c r="U2344" s="306"/>
      <c r="V2344" s="306"/>
      <c r="W2344" s="306"/>
      <c r="X2344" s="306"/>
      <c r="Y2344" s="306"/>
      <c r="Z2344" s="306"/>
      <c r="AA2344" s="306"/>
      <c r="AB2344" s="306"/>
      <c r="AC2344" s="306"/>
      <c r="AD2344" s="306"/>
      <c r="AE2344" s="306"/>
      <c r="AF2344" s="306"/>
      <c r="AG2344" s="306"/>
      <c r="AH2344" s="306"/>
      <c r="AI2344" s="306"/>
      <c r="AJ2344" s="306"/>
      <c r="AK2344" s="306"/>
      <c r="AL2344" s="306"/>
      <c r="AM2344" s="418"/>
      <c r="AN2344" s="418"/>
      <c r="AO2344" s="306"/>
      <c r="AP2344" s="306"/>
      <c r="AQ2344" s="418"/>
      <c r="AR2344" s="306"/>
      <c r="AS2344" s="306"/>
      <c r="AT2344" s="418"/>
      <c r="AU2344" s="306"/>
      <c r="AV2344" s="306"/>
      <c r="AW2344" s="306"/>
      <c r="AX2344" s="306"/>
      <c r="AY2344" s="306"/>
      <c r="AZ2344" s="306"/>
      <c r="BA2344" s="306"/>
      <c r="BB2344" s="306"/>
    </row>
    <row r="2345" spans="1:54" ht="15.75" customHeight="1">
      <c r="A2345" s="317"/>
      <c r="B2345" s="430"/>
      <c r="C2345" s="317"/>
      <c r="E2345" s="306"/>
      <c r="F2345" s="431"/>
      <c r="G2345" s="431"/>
      <c r="H2345" s="298"/>
      <c r="I2345" s="432"/>
      <c r="J2345" s="433"/>
      <c r="K2345" s="306"/>
      <c r="L2345" s="306"/>
      <c r="M2345" s="306"/>
      <c r="N2345" s="298"/>
      <c r="O2345" s="298"/>
      <c r="P2345" s="298"/>
      <c r="Q2345" s="306"/>
      <c r="R2345" s="1023"/>
      <c r="S2345" s="1023"/>
      <c r="T2345" s="306"/>
      <c r="U2345" s="306"/>
      <c r="V2345" s="306"/>
      <c r="W2345" s="306"/>
      <c r="X2345" s="306"/>
      <c r="Y2345" s="306"/>
      <c r="Z2345" s="306"/>
      <c r="AA2345" s="306"/>
      <c r="AB2345" s="306"/>
      <c r="AC2345" s="306"/>
      <c r="AD2345" s="306"/>
      <c r="AE2345" s="306"/>
      <c r="AF2345" s="306"/>
      <c r="AG2345" s="306"/>
      <c r="AH2345" s="306"/>
      <c r="AI2345" s="306"/>
      <c r="AJ2345" s="306"/>
      <c r="AK2345" s="306"/>
      <c r="AL2345" s="306"/>
      <c r="AM2345" s="418"/>
      <c r="AN2345" s="418"/>
      <c r="AO2345" s="306"/>
      <c r="AP2345" s="306"/>
      <c r="AQ2345" s="418"/>
      <c r="AR2345" s="306"/>
      <c r="AS2345" s="306"/>
      <c r="AT2345" s="418"/>
      <c r="AU2345" s="306"/>
      <c r="AV2345" s="306"/>
      <c r="AW2345" s="306"/>
      <c r="AX2345" s="306"/>
      <c r="AY2345" s="306"/>
      <c r="AZ2345" s="306"/>
      <c r="BA2345" s="306"/>
      <c r="BB2345" s="306"/>
    </row>
    <row r="2346" spans="1:54" ht="15.75" customHeight="1">
      <c r="A2346" s="317"/>
      <c r="B2346" s="430"/>
      <c r="C2346" s="317"/>
      <c r="E2346" s="306"/>
      <c r="F2346" s="431"/>
      <c r="G2346" s="431"/>
      <c r="H2346" s="298"/>
      <c r="I2346" s="432"/>
      <c r="J2346" s="433"/>
      <c r="K2346" s="306"/>
      <c r="L2346" s="306"/>
      <c r="M2346" s="306"/>
      <c r="N2346" s="298"/>
      <c r="O2346" s="298"/>
      <c r="P2346" s="298"/>
      <c r="Q2346" s="306"/>
      <c r="R2346" s="1023"/>
      <c r="S2346" s="1023"/>
      <c r="T2346" s="306"/>
      <c r="U2346" s="306"/>
      <c r="V2346" s="306"/>
      <c r="W2346" s="306"/>
      <c r="X2346" s="306"/>
      <c r="Y2346" s="306"/>
      <c r="Z2346" s="306"/>
      <c r="AA2346" s="306"/>
      <c r="AB2346" s="306"/>
      <c r="AC2346" s="306"/>
      <c r="AD2346" s="306"/>
      <c r="AE2346" s="306"/>
      <c r="AF2346" s="306"/>
      <c r="AG2346" s="306"/>
      <c r="AH2346" s="306"/>
      <c r="AI2346" s="306"/>
      <c r="AJ2346" s="306"/>
      <c r="AK2346" s="306"/>
      <c r="AL2346" s="306"/>
      <c r="AM2346" s="418"/>
      <c r="AN2346" s="418"/>
      <c r="AO2346" s="306"/>
      <c r="AP2346" s="306"/>
      <c r="AQ2346" s="418"/>
      <c r="AR2346" s="306"/>
      <c r="AS2346" s="306"/>
      <c r="AT2346" s="418"/>
      <c r="AU2346" s="306"/>
      <c r="AV2346" s="306"/>
      <c r="AW2346" s="306"/>
      <c r="AX2346" s="306"/>
      <c r="AY2346" s="306"/>
      <c r="AZ2346" s="306"/>
      <c r="BA2346" s="306"/>
      <c r="BB2346" s="306"/>
    </row>
    <row r="2347" spans="1:54" ht="15.75" customHeight="1">
      <c r="A2347" s="317"/>
      <c r="B2347" s="430"/>
      <c r="C2347" s="317"/>
      <c r="E2347" s="306"/>
      <c r="F2347" s="431"/>
      <c r="G2347" s="431"/>
      <c r="H2347" s="298"/>
      <c r="I2347" s="432"/>
      <c r="J2347" s="433"/>
      <c r="K2347" s="306"/>
      <c r="L2347" s="306"/>
      <c r="M2347" s="306"/>
      <c r="N2347" s="298"/>
      <c r="O2347" s="298"/>
      <c r="P2347" s="298"/>
      <c r="Q2347" s="306"/>
      <c r="R2347" s="1023"/>
      <c r="S2347" s="1023"/>
      <c r="T2347" s="306"/>
      <c r="U2347" s="306"/>
      <c r="V2347" s="306"/>
      <c r="W2347" s="306"/>
      <c r="X2347" s="306"/>
      <c r="Y2347" s="306"/>
      <c r="Z2347" s="306"/>
      <c r="AA2347" s="306"/>
      <c r="AB2347" s="306"/>
      <c r="AC2347" s="306"/>
      <c r="AD2347" s="306"/>
      <c r="AE2347" s="306"/>
      <c r="AF2347" s="306"/>
      <c r="AG2347" s="306"/>
      <c r="AH2347" s="306"/>
      <c r="AI2347" s="306"/>
      <c r="AJ2347" s="306"/>
      <c r="AK2347" s="306"/>
      <c r="AL2347" s="306"/>
      <c r="AM2347" s="418"/>
      <c r="AN2347" s="418"/>
      <c r="AO2347" s="306"/>
      <c r="AP2347" s="306"/>
      <c r="AQ2347" s="418"/>
      <c r="AR2347" s="306"/>
      <c r="AS2347" s="306"/>
      <c r="AT2347" s="418"/>
      <c r="AU2347" s="306"/>
      <c r="AV2347" s="306"/>
      <c r="AW2347" s="306"/>
      <c r="AX2347" s="306"/>
      <c r="AY2347" s="306"/>
      <c r="AZ2347" s="306"/>
      <c r="BA2347" s="306"/>
      <c r="BB2347" s="306"/>
    </row>
    <row r="2348" spans="1:54" ht="15.75" customHeight="1">
      <c r="A2348" s="317"/>
      <c r="B2348" s="430"/>
      <c r="C2348" s="317"/>
      <c r="E2348" s="306"/>
      <c r="F2348" s="431"/>
      <c r="G2348" s="431"/>
      <c r="H2348" s="298"/>
      <c r="I2348" s="432"/>
      <c r="J2348" s="433"/>
      <c r="K2348" s="306"/>
      <c r="L2348" s="306"/>
      <c r="M2348" s="306"/>
      <c r="N2348" s="298"/>
      <c r="O2348" s="298"/>
      <c r="P2348" s="298"/>
      <c r="Q2348" s="306"/>
      <c r="R2348" s="1023"/>
      <c r="S2348" s="1023"/>
      <c r="T2348" s="306"/>
      <c r="U2348" s="306"/>
      <c r="V2348" s="306"/>
      <c r="W2348" s="306"/>
      <c r="X2348" s="306"/>
      <c r="Y2348" s="306"/>
      <c r="Z2348" s="306"/>
      <c r="AA2348" s="306"/>
      <c r="AB2348" s="306"/>
      <c r="AC2348" s="306"/>
      <c r="AD2348" s="306"/>
      <c r="AE2348" s="306"/>
      <c r="AF2348" s="306"/>
      <c r="AG2348" s="306"/>
      <c r="AH2348" s="306"/>
      <c r="AI2348" s="306"/>
      <c r="AJ2348" s="306"/>
      <c r="AK2348" s="306"/>
      <c r="AL2348" s="306"/>
      <c r="AM2348" s="418"/>
      <c r="AN2348" s="418"/>
      <c r="AO2348" s="306"/>
      <c r="AP2348" s="306"/>
      <c r="AQ2348" s="418"/>
      <c r="AR2348" s="306"/>
      <c r="AS2348" s="306"/>
      <c r="AT2348" s="418"/>
      <c r="AU2348" s="306"/>
      <c r="AV2348" s="306"/>
      <c r="AW2348" s="306"/>
      <c r="AX2348" s="306"/>
      <c r="AY2348" s="306"/>
      <c r="AZ2348" s="306"/>
      <c r="BA2348" s="306"/>
      <c r="BB2348" s="306"/>
    </row>
    <row r="2349" spans="1:54" ht="15.75" customHeight="1">
      <c r="A2349" s="317"/>
      <c r="B2349" s="430"/>
      <c r="C2349" s="317"/>
      <c r="E2349" s="306"/>
      <c r="F2349" s="431"/>
      <c r="G2349" s="431"/>
      <c r="H2349" s="298"/>
      <c r="I2349" s="432"/>
      <c r="J2349" s="433"/>
      <c r="K2349" s="306"/>
      <c r="L2349" s="306"/>
      <c r="M2349" s="306"/>
      <c r="N2349" s="298"/>
      <c r="O2349" s="298"/>
      <c r="P2349" s="298"/>
      <c r="Q2349" s="306"/>
      <c r="R2349" s="1023"/>
      <c r="S2349" s="1023"/>
      <c r="T2349" s="306"/>
      <c r="U2349" s="306"/>
      <c r="V2349" s="306"/>
      <c r="W2349" s="306"/>
      <c r="X2349" s="306"/>
      <c r="Y2349" s="306"/>
      <c r="Z2349" s="306"/>
      <c r="AA2349" s="306"/>
      <c r="AB2349" s="306"/>
      <c r="AC2349" s="306"/>
      <c r="AD2349" s="306"/>
      <c r="AE2349" s="306"/>
      <c r="AF2349" s="306"/>
      <c r="AG2349" s="306"/>
      <c r="AH2349" s="306"/>
      <c r="AI2349" s="306"/>
      <c r="AJ2349" s="306"/>
      <c r="AK2349" s="306"/>
      <c r="AL2349" s="306"/>
      <c r="AM2349" s="418"/>
      <c r="AN2349" s="418"/>
      <c r="AO2349" s="306"/>
      <c r="AP2349" s="306"/>
      <c r="AQ2349" s="418"/>
      <c r="AR2349" s="306"/>
      <c r="AS2349" s="306"/>
      <c r="AT2349" s="418"/>
      <c r="AU2349" s="306"/>
      <c r="AV2349" s="306"/>
      <c r="AW2349" s="306"/>
      <c r="AX2349" s="306"/>
      <c r="AY2349" s="306"/>
      <c r="AZ2349" s="306"/>
      <c r="BA2349" s="306"/>
      <c r="BB2349" s="306"/>
    </row>
    <row r="2350" spans="1:54" ht="15.75" customHeight="1">
      <c r="A2350" s="317"/>
      <c r="B2350" s="430"/>
      <c r="C2350" s="317"/>
      <c r="E2350" s="306"/>
      <c r="F2350" s="431"/>
      <c r="G2350" s="431"/>
      <c r="H2350" s="298"/>
      <c r="I2350" s="432"/>
      <c r="J2350" s="433"/>
      <c r="K2350" s="306"/>
      <c r="L2350" s="306"/>
      <c r="M2350" s="306"/>
      <c r="N2350" s="298"/>
      <c r="O2350" s="298"/>
      <c r="P2350" s="298"/>
      <c r="Q2350" s="306"/>
      <c r="R2350" s="1023"/>
      <c r="S2350" s="1023"/>
      <c r="T2350" s="306"/>
      <c r="U2350" s="306"/>
      <c r="V2350" s="306"/>
      <c r="W2350" s="306"/>
      <c r="X2350" s="306"/>
      <c r="Y2350" s="306"/>
      <c r="Z2350" s="306"/>
      <c r="AA2350" s="306"/>
      <c r="AB2350" s="306"/>
      <c r="AC2350" s="306"/>
      <c r="AD2350" s="306"/>
      <c r="AE2350" s="306"/>
      <c r="AF2350" s="306"/>
      <c r="AG2350" s="306"/>
      <c r="AH2350" s="306"/>
      <c r="AI2350" s="306"/>
      <c r="AJ2350" s="306"/>
      <c r="AK2350" s="306"/>
      <c r="AL2350" s="306"/>
      <c r="AM2350" s="418"/>
      <c r="AN2350" s="418"/>
      <c r="AO2350" s="306"/>
      <c r="AP2350" s="306"/>
      <c r="AQ2350" s="418"/>
      <c r="AR2350" s="306"/>
      <c r="AS2350" s="306"/>
      <c r="AT2350" s="418"/>
      <c r="AU2350" s="306"/>
      <c r="AV2350" s="306"/>
      <c r="AW2350" s="306"/>
      <c r="AX2350" s="306"/>
      <c r="AY2350" s="306"/>
      <c r="AZ2350" s="306"/>
      <c r="BA2350" s="306"/>
      <c r="BB2350" s="306"/>
    </row>
    <row r="2351" spans="1:54" ht="15.75" customHeight="1">
      <c r="A2351" s="317"/>
      <c r="B2351" s="430"/>
      <c r="C2351" s="317"/>
      <c r="E2351" s="306"/>
      <c r="F2351" s="431"/>
      <c r="G2351" s="431"/>
      <c r="H2351" s="298"/>
      <c r="I2351" s="432"/>
      <c r="J2351" s="433"/>
      <c r="K2351" s="306"/>
      <c r="L2351" s="306"/>
      <c r="M2351" s="306"/>
      <c r="N2351" s="298"/>
      <c r="O2351" s="298"/>
      <c r="P2351" s="298"/>
      <c r="Q2351" s="306"/>
      <c r="R2351" s="1023"/>
      <c r="S2351" s="1023"/>
      <c r="T2351" s="306"/>
      <c r="U2351" s="306"/>
      <c r="V2351" s="306"/>
      <c r="W2351" s="306"/>
      <c r="X2351" s="306"/>
      <c r="Y2351" s="306"/>
      <c r="Z2351" s="306"/>
      <c r="AA2351" s="306"/>
      <c r="AB2351" s="306"/>
      <c r="AC2351" s="306"/>
      <c r="AD2351" s="306"/>
      <c r="AE2351" s="306"/>
      <c r="AF2351" s="306"/>
      <c r="AG2351" s="306"/>
      <c r="AH2351" s="306"/>
      <c r="AI2351" s="306"/>
      <c r="AJ2351" s="306"/>
      <c r="AK2351" s="306"/>
      <c r="AL2351" s="306"/>
      <c r="AM2351" s="418"/>
      <c r="AN2351" s="418"/>
      <c r="AO2351" s="306"/>
      <c r="AP2351" s="306"/>
      <c r="AQ2351" s="418"/>
      <c r="AR2351" s="306"/>
      <c r="AS2351" s="306"/>
      <c r="AT2351" s="418"/>
      <c r="AU2351" s="306"/>
      <c r="AV2351" s="306"/>
      <c r="AW2351" s="306"/>
      <c r="AX2351" s="306"/>
      <c r="AY2351" s="306"/>
      <c r="AZ2351" s="306"/>
      <c r="BA2351" s="306"/>
      <c r="BB2351" s="306"/>
    </row>
    <row r="2352" spans="1:54" ht="15.75" customHeight="1">
      <c r="A2352" s="317"/>
      <c r="B2352" s="430"/>
      <c r="C2352" s="317"/>
      <c r="E2352" s="306"/>
      <c r="F2352" s="431"/>
      <c r="G2352" s="431"/>
      <c r="H2352" s="298"/>
      <c r="I2352" s="432"/>
      <c r="J2352" s="433"/>
      <c r="K2352" s="306"/>
      <c r="L2352" s="306"/>
      <c r="M2352" s="306"/>
      <c r="N2352" s="298"/>
      <c r="O2352" s="298"/>
      <c r="P2352" s="298"/>
      <c r="Q2352" s="306"/>
      <c r="R2352" s="1023"/>
      <c r="S2352" s="1023"/>
      <c r="T2352" s="306"/>
      <c r="U2352" s="306"/>
      <c r="V2352" s="306"/>
      <c r="W2352" s="306"/>
      <c r="X2352" s="306"/>
      <c r="Y2352" s="306"/>
      <c r="Z2352" s="306"/>
      <c r="AA2352" s="306"/>
      <c r="AB2352" s="306"/>
      <c r="AC2352" s="306"/>
      <c r="AD2352" s="306"/>
      <c r="AE2352" s="306"/>
      <c r="AF2352" s="306"/>
      <c r="AG2352" s="306"/>
      <c r="AH2352" s="306"/>
      <c r="AI2352" s="306"/>
      <c r="AJ2352" s="306"/>
      <c r="AK2352" s="306"/>
      <c r="AL2352" s="306"/>
      <c r="AM2352" s="418"/>
      <c r="AN2352" s="418"/>
      <c r="AO2352" s="306"/>
      <c r="AP2352" s="306"/>
      <c r="AQ2352" s="418"/>
      <c r="AR2352" s="306"/>
      <c r="AS2352" s="306"/>
      <c r="AT2352" s="418"/>
      <c r="AU2352" s="306"/>
      <c r="AV2352" s="306"/>
      <c r="AW2352" s="306"/>
      <c r="AX2352" s="306"/>
      <c r="AY2352" s="306"/>
      <c r="AZ2352" s="306"/>
      <c r="BA2352" s="306"/>
      <c r="BB2352" s="306"/>
    </row>
    <row r="2353" spans="1:54" ht="15.75" customHeight="1">
      <c r="A2353" s="317"/>
      <c r="B2353" s="430"/>
      <c r="C2353" s="317"/>
      <c r="E2353" s="306"/>
      <c r="F2353" s="431"/>
      <c r="G2353" s="431"/>
      <c r="H2353" s="298"/>
      <c r="I2353" s="432"/>
      <c r="J2353" s="433"/>
      <c r="K2353" s="306"/>
      <c r="L2353" s="306"/>
      <c r="M2353" s="306"/>
      <c r="N2353" s="298"/>
      <c r="O2353" s="298"/>
      <c r="P2353" s="298"/>
      <c r="Q2353" s="306"/>
      <c r="R2353" s="1023"/>
      <c r="S2353" s="1023"/>
      <c r="T2353" s="306"/>
      <c r="U2353" s="306"/>
      <c r="V2353" s="306"/>
      <c r="W2353" s="306"/>
      <c r="X2353" s="306"/>
      <c r="Y2353" s="306"/>
      <c r="Z2353" s="306"/>
      <c r="AA2353" s="306"/>
      <c r="AB2353" s="306"/>
      <c r="AC2353" s="306"/>
      <c r="AD2353" s="306"/>
      <c r="AE2353" s="306"/>
      <c r="AF2353" s="306"/>
      <c r="AG2353" s="306"/>
      <c r="AH2353" s="306"/>
      <c r="AI2353" s="306"/>
      <c r="AJ2353" s="306"/>
      <c r="AK2353" s="306"/>
      <c r="AL2353" s="306"/>
      <c r="AM2353" s="418"/>
      <c r="AN2353" s="418"/>
      <c r="AO2353" s="306"/>
      <c r="AP2353" s="306"/>
      <c r="AQ2353" s="418"/>
      <c r="AR2353" s="306"/>
      <c r="AS2353" s="306"/>
      <c r="AT2353" s="418"/>
      <c r="AU2353" s="306"/>
      <c r="AV2353" s="306"/>
      <c r="AW2353" s="306"/>
      <c r="AX2353" s="306"/>
      <c r="AY2353" s="306"/>
      <c r="AZ2353" s="306"/>
      <c r="BA2353" s="306"/>
      <c r="BB2353" s="306"/>
    </row>
    <row r="2354" spans="1:54" ht="15.75" customHeight="1">
      <c r="A2354" s="317"/>
      <c r="B2354" s="430"/>
      <c r="C2354" s="317"/>
      <c r="E2354" s="306"/>
      <c r="F2354" s="431"/>
      <c r="G2354" s="431"/>
      <c r="H2354" s="298"/>
      <c r="I2354" s="431"/>
      <c r="J2354" s="435"/>
      <c r="K2354" s="306"/>
      <c r="L2354" s="306"/>
      <c r="M2354" s="306"/>
      <c r="N2354" s="298"/>
      <c r="O2354" s="306"/>
      <c r="P2354" s="298"/>
      <c r="Q2354" s="306"/>
      <c r="R2354" s="1023"/>
      <c r="S2354" s="1023"/>
      <c r="T2354" s="306"/>
      <c r="U2354" s="306"/>
      <c r="V2354" s="306"/>
      <c r="W2354" s="306"/>
      <c r="X2354" s="306"/>
      <c r="Y2354" s="306"/>
      <c r="Z2354" s="306"/>
      <c r="AA2354" s="306"/>
      <c r="AB2354" s="306"/>
      <c r="AC2354" s="306"/>
      <c r="AD2354" s="306"/>
      <c r="AE2354" s="306"/>
      <c r="AF2354" s="306"/>
      <c r="AG2354" s="306"/>
      <c r="AH2354" s="306"/>
      <c r="AI2354" s="306"/>
      <c r="AJ2354" s="306"/>
      <c r="AK2354" s="306"/>
      <c r="AL2354" s="306"/>
      <c r="AM2354" s="418"/>
      <c r="AN2354" s="418"/>
      <c r="AO2354" s="306"/>
      <c r="AP2354" s="306"/>
      <c r="AQ2354" s="418"/>
      <c r="AR2354" s="306"/>
      <c r="AS2354" s="306"/>
      <c r="AT2354" s="418"/>
      <c r="AU2354" s="306"/>
      <c r="AV2354" s="306"/>
      <c r="AW2354" s="306"/>
      <c r="AX2354" s="306"/>
      <c r="AY2354" s="306"/>
      <c r="AZ2354" s="306"/>
      <c r="BA2354" s="306"/>
      <c r="BB2354" s="306"/>
    </row>
    <row r="2355" spans="1:54" ht="15.75" customHeight="1">
      <c r="A2355" s="317"/>
      <c r="B2355" s="430"/>
      <c r="C2355" s="317"/>
      <c r="E2355" s="306"/>
      <c r="F2355" s="431"/>
      <c r="G2355" s="431"/>
      <c r="H2355" s="298"/>
      <c r="I2355" s="431"/>
      <c r="J2355" s="435"/>
      <c r="K2355" s="306"/>
      <c r="L2355" s="306"/>
      <c r="M2355" s="306"/>
      <c r="N2355" s="298"/>
      <c r="O2355" s="306"/>
      <c r="P2355" s="298"/>
      <c r="Q2355" s="306"/>
      <c r="R2355" s="1023"/>
      <c r="S2355" s="1023"/>
      <c r="T2355" s="306"/>
      <c r="U2355" s="306"/>
      <c r="V2355" s="306"/>
      <c r="W2355" s="306"/>
      <c r="X2355" s="306"/>
      <c r="Y2355" s="306"/>
      <c r="Z2355" s="306"/>
      <c r="AA2355" s="306"/>
      <c r="AB2355" s="306"/>
      <c r="AC2355" s="306"/>
      <c r="AD2355" s="306"/>
      <c r="AE2355" s="306"/>
      <c r="AF2355" s="306"/>
      <c r="AG2355" s="306"/>
      <c r="AH2355" s="306"/>
      <c r="AI2355" s="306"/>
      <c r="AJ2355" s="306"/>
      <c r="AK2355" s="306"/>
      <c r="AL2355" s="306"/>
      <c r="AM2355" s="418"/>
      <c r="AN2355" s="418"/>
      <c r="AO2355" s="306"/>
      <c r="AP2355" s="306"/>
      <c r="AQ2355" s="418"/>
      <c r="AR2355" s="306"/>
      <c r="AS2355" s="306"/>
      <c r="AT2355" s="418"/>
      <c r="AU2355" s="306"/>
      <c r="AV2355" s="306"/>
      <c r="AW2355" s="306"/>
      <c r="AX2355" s="306"/>
      <c r="AY2355" s="306"/>
      <c r="AZ2355" s="306"/>
      <c r="BA2355" s="306"/>
      <c r="BB2355" s="306"/>
    </row>
    <row r="2356" spans="1:54" ht="15.75" customHeight="1">
      <c r="A2356" s="317"/>
      <c r="B2356" s="430"/>
      <c r="C2356" s="317"/>
      <c r="E2356" s="306"/>
      <c r="F2356" s="431"/>
      <c r="G2356" s="431"/>
      <c r="H2356" s="298"/>
      <c r="I2356" s="431"/>
      <c r="J2356" s="435"/>
      <c r="K2356" s="306"/>
      <c r="L2356" s="306"/>
      <c r="M2356" s="306"/>
      <c r="N2356" s="298"/>
      <c r="O2356" s="306"/>
      <c r="P2356" s="298"/>
      <c r="Q2356" s="306"/>
      <c r="R2356" s="1023"/>
      <c r="S2356" s="1023"/>
      <c r="T2356" s="306"/>
      <c r="U2356" s="306"/>
      <c r="V2356" s="306"/>
      <c r="W2356" s="306"/>
      <c r="X2356" s="306"/>
      <c r="Y2356" s="306"/>
      <c r="Z2356" s="306"/>
      <c r="AA2356" s="306"/>
      <c r="AB2356" s="306"/>
      <c r="AC2356" s="306"/>
      <c r="AD2356" s="306"/>
      <c r="AE2356" s="306"/>
      <c r="AF2356" s="306"/>
      <c r="AG2356" s="306"/>
      <c r="AH2356" s="306"/>
      <c r="AI2356" s="306"/>
      <c r="AJ2356" s="306"/>
      <c r="AK2356" s="306"/>
      <c r="AL2356" s="306"/>
      <c r="AM2356" s="418"/>
      <c r="AN2356" s="418"/>
      <c r="AO2356" s="306"/>
      <c r="AP2356" s="306"/>
      <c r="AQ2356" s="418"/>
      <c r="AR2356" s="306"/>
      <c r="AS2356" s="306"/>
      <c r="AT2356" s="418"/>
      <c r="AU2356" s="306"/>
      <c r="AV2356" s="306"/>
      <c r="AW2356" s="306"/>
      <c r="AX2356" s="306"/>
      <c r="AY2356" s="306"/>
      <c r="AZ2356" s="306"/>
      <c r="BA2356" s="306"/>
      <c r="BB2356" s="306"/>
    </row>
    <row r="2357" spans="1:54" ht="15.75" customHeight="1">
      <c r="A2357" s="317"/>
      <c r="B2357" s="430"/>
      <c r="C2357" s="317"/>
      <c r="E2357" s="306"/>
      <c r="F2357" s="431"/>
      <c r="G2357" s="431"/>
      <c r="H2357" s="298"/>
      <c r="I2357" s="431"/>
      <c r="J2357" s="435"/>
      <c r="K2357" s="306"/>
      <c r="L2357" s="306"/>
      <c r="M2357" s="306"/>
      <c r="N2357" s="298"/>
      <c r="O2357" s="306"/>
      <c r="P2357" s="298"/>
      <c r="Q2357" s="306"/>
      <c r="R2357" s="1023"/>
      <c r="S2357" s="1023"/>
      <c r="T2357" s="306"/>
      <c r="U2357" s="306"/>
      <c r="V2357" s="306"/>
      <c r="W2357" s="306"/>
      <c r="X2357" s="306"/>
      <c r="Y2357" s="306"/>
      <c r="Z2357" s="306"/>
      <c r="AA2357" s="306"/>
      <c r="AB2357" s="306"/>
      <c r="AC2357" s="306"/>
      <c r="AD2357" s="306"/>
      <c r="AE2357" s="306"/>
      <c r="AF2357" s="306"/>
      <c r="AG2357" s="306"/>
      <c r="AH2357" s="306"/>
      <c r="AI2357" s="306"/>
      <c r="AJ2357" s="306"/>
      <c r="AK2357" s="306"/>
      <c r="AL2357" s="306"/>
      <c r="AM2357" s="418"/>
      <c r="AN2357" s="418"/>
      <c r="AO2357" s="306"/>
      <c r="AP2357" s="306"/>
      <c r="AQ2357" s="418"/>
      <c r="AR2357" s="306"/>
      <c r="AS2357" s="306"/>
      <c r="AT2357" s="418"/>
      <c r="AU2357" s="306"/>
      <c r="AV2357" s="306"/>
      <c r="AW2357" s="306"/>
      <c r="AX2357" s="306"/>
      <c r="AY2357" s="306"/>
      <c r="AZ2357" s="306"/>
      <c r="BA2357" s="306"/>
      <c r="BB2357" s="306"/>
    </row>
    <row r="2358" spans="1:54" ht="15.75" customHeight="1">
      <c r="A2358" s="317"/>
      <c r="B2358" s="430"/>
      <c r="C2358" s="317"/>
      <c r="E2358" s="306"/>
      <c r="F2358" s="431"/>
      <c r="G2358" s="431"/>
      <c r="H2358" s="298"/>
      <c r="I2358" s="431"/>
      <c r="J2358" s="435"/>
      <c r="K2358" s="306"/>
      <c r="L2358" s="306"/>
      <c r="M2358" s="306"/>
      <c r="N2358" s="298"/>
      <c r="O2358" s="306"/>
      <c r="P2358" s="298"/>
      <c r="Q2358" s="306"/>
      <c r="R2358" s="1023"/>
      <c r="S2358" s="1023"/>
      <c r="T2358" s="306"/>
      <c r="U2358" s="306"/>
      <c r="V2358" s="306"/>
      <c r="W2358" s="306"/>
      <c r="X2358" s="306"/>
      <c r="Y2358" s="306"/>
      <c r="Z2358" s="306"/>
      <c r="AA2358" s="306"/>
      <c r="AB2358" s="306"/>
      <c r="AC2358" s="306"/>
      <c r="AD2358" s="306"/>
      <c r="AE2358" s="306"/>
      <c r="AF2358" s="306"/>
      <c r="AG2358" s="306"/>
      <c r="AH2358" s="306"/>
      <c r="AI2358" s="306"/>
      <c r="AJ2358" s="306"/>
      <c r="AK2358" s="306"/>
      <c r="AL2358" s="306"/>
      <c r="AM2358" s="418"/>
      <c r="AN2358" s="418"/>
      <c r="AO2358" s="306"/>
      <c r="AP2358" s="306"/>
      <c r="AQ2358" s="418"/>
      <c r="AR2358" s="306"/>
      <c r="AS2358" s="306"/>
      <c r="AT2358" s="418"/>
      <c r="AU2358" s="306"/>
      <c r="AV2358" s="306"/>
      <c r="AW2358" s="306"/>
      <c r="AX2358" s="306"/>
      <c r="AY2358" s="306"/>
      <c r="AZ2358" s="306"/>
      <c r="BA2358" s="306"/>
      <c r="BB2358" s="306"/>
    </row>
    <row r="2359" spans="1:54" ht="15.75" customHeight="1">
      <c r="A2359" s="317"/>
      <c r="B2359" s="430"/>
      <c r="C2359" s="317"/>
      <c r="E2359" s="306"/>
      <c r="F2359" s="431"/>
      <c r="G2359" s="431"/>
      <c r="H2359" s="298"/>
      <c r="I2359" s="431"/>
      <c r="J2359" s="435"/>
      <c r="K2359" s="306"/>
      <c r="L2359" s="306"/>
      <c r="M2359" s="306"/>
      <c r="N2359" s="306"/>
      <c r="O2359" s="306"/>
      <c r="P2359" s="298"/>
      <c r="Q2359" s="306"/>
      <c r="R2359" s="1023"/>
      <c r="S2359" s="1023"/>
      <c r="T2359" s="306"/>
      <c r="U2359" s="306"/>
      <c r="V2359" s="306"/>
      <c r="W2359" s="306"/>
      <c r="X2359" s="306"/>
      <c r="Y2359" s="306"/>
      <c r="Z2359" s="306"/>
      <c r="AA2359" s="306"/>
      <c r="AB2359" s="306"/>
      <c r="AC2359" s="306"/>
      <c r="AD2359" s="306"/>
      <c r="AE2359" s="306"/>
      <c r="AF2359" s="306"/>
      <c r="AG2359" s="306"/>
      <c r="AH2359" s="306"/>
      <c r="AI2359" s="306"/>
      <c r="AJ2359" s="306"/>
      <c r="AK2359" s="306"/>
      <c r="AL2359" s="306"/>
      <c r="AM2359" s="418"/>
      <c r="AN2359" s="418"/>
      <c r="AO2359" s="306"/>
      <c r="AP2359" s="306"/>
      <c r="AQ2359" s="418"/>
      <c r="AR2359" s="306"/>
      <c r="AS2359" s="306"/>
      <c r="AT2359" s="418"/>
      <c r="AU2359" s="306"/>
      <c r="AV2359" s="306"/>
      <c r="AW2359" s="306"/>
      <c r="AX2359" s="306"/>
      <c r="AY2359" s="306"/>
      <c r="AZ2359" s="306"/>
      <c r="BA2359" s="306"/>
      <c r="BB2359" s="306"/>
    </row>
    <row r="2360" spans="1:54" ht="15.75" customHeight="1">
      <c r="A2360" s="317"/>
      <c r="B2360" s="430"/>
      <c r="C2360" s="317"/>
      <c r="E2360" s="306"/>
      <c r="F2360" s="431"/>
      <c r="G2360" s="431"/>
      <c r="H2360" s="298"/>
      <c r="I2360" s="432"/>
      <c r="J2360" s="433"/>
      <c r="K2360" s="306"/>
      <c r="L2360" s="306"/>
      <c r="M2360" s="306"/>
      <c r="N2360" s="298"/>
      <c r="O2360" s="298"/>
      <c r="P2360" s="298"/>
      <c r="Q2360" s="306"/>
      <c r="R2360" s="1023"/>
      <c r="S2360" s="1023"/>
      <c r="T2360" s="306"/>
      <c r="U2360" s="306"/>
      <c r="V2360" s="306"/>
      <c r="W2360" s="306"/>
      <c r="X2360" s="306"/>
      <c r="Y2360" s="306"/>
      <c r="Z2360" s="306"/>
      <c r="AA2360" s="306"/>
      <c r="AB2360" s="306"/>
      <c r="AC2360" s="306"/>
      <c r="AD2360" s="306"/>
      <c r="AE2360" s="306"/>
      <c r="AF2360" s="306"/>
      <c r="AG2360" s="306"/>
      <c r="AH2360" s="306"/>
      <c r="AI2360" s="306"/>
      <c r="AJ2360" s="306"/>
      <c r="AK2360" s="306"/>
      <c r="AL2360" s="306"/>
      <c r="AM2360" s="418"/>
      <c r="AN2360" s="418"/>
      <c r="AO2360" s="306"/>
      <c r="AP2360" s="306"/>
      <c r="AQ2360" s="418"/>
      <c r="AR2360" s="306"/>
      <c r="AS2360" s="306"/>
      <c r="AT2360" s="418"/>
      <c r="AU2360" s="306"/>
      <c r="AV2360" s="306"/>
      <c r="AW2360" s="306"/>
      <c r="AX2360" s="306"/>
      <c r="AY2360" s="306"/>
      <c r="AZ2360" s="306"/>
      <c r="BA2360" s="306"/>
      <c r="BB2360" s="306"/>
    </row>
    <row r="2361" spans="1:54" ht="15.75" customHeight="1">
      <c r="A2361" s="317"/>
      <c r="B2361" s="430"/>
      <c r="C2361" s="317"/>
      <c r="E2361" s="306"/>
      <c r="F2361" s="431"/>
      <c r="G2361" s="431"/>
      <c r="H2361" s="298"/>
      <c r="I2361" s="432"/>
      <c r="J2361" s="433"/>
      <c r="K2361" s="306"/>
      <c r="L2361" s="306"/>
      <c r="M2361" s="306"/>
      <c r="N2361" s="298"/>
      <c r="O2361" s="298"/>
      <c r="P2361" s="298"/>
      <c r="Q2361" s="306"/>
      <c r="R2361" s="1023"/>
      <c r="S2361" s="1023"/>
      <c r="T2361" s="306"/>
      <c r="U2361" s="306"/>
      <c r="V2361" s="306"/>
      <c r="W2361" s="306"/>
      <c r="X2361" s="306"/>
      <c r="Y2361" s="306"/>
      <c r="Z2361" s="306"/>
      <c r="AA2361" s="306"/>
      <c r="AB2361" s="306"/>
      <c r="AC2361" s="306"/>
      <c r="AD2361" s="306"/>
      <c r="AE2361" s="306"/>
      <c r="AF2361" s="306"/>
      <c r="AG2361" s="306"/>
      <c r="AH2361" s="306"/>
      <c r="AI2361" s="306"/>
      <c r="AJ2361" s="306"/>
      <c r="AK2361" s="306"/>
      <c r="AL2361" s="306"/>
      <c r="AM2361" s="418"/>
      <c r="AN2361" s="418"/>
      <c r="AO2361" s="306"/>
      <c r="AP2361" s="306"/>
      <c r="AQ2361" s="418"/>
      <c r="AR2361" s="306"/>
      <c r="AS2361" s="306"/>
      <c r="AT2361" s="418"/>
      <c r="AU2361" s="306"/>
      <c r="AV2361" s="306"/>
      <c r="AW2361" s="306"/>
      <c r="AX2361" s="306"/>
      <c r="AY2361" s="306"/>
      <c r="AZ2361" s="306"/>
      <c r="BA2361" s="306"/>
      <c r="BB2361" s="306"/>
    </row>
    <row r="2362" spans="1:54" ht="15.75" customHeight="1">
      <c r="A2362" s="317"/>
      <c r="B2362" s="430"/>
      <c r="C2362" s="317"/>
      <c r="E2362" s="306"/>
      <c r="F2362" s="431"/>
      <c r="G2362" s="431"/>
      <c r="H2362" s="298"/>
      <c r="I2362" s="432"/>
      <c r="J2362" s="433"/>
      <c r="K2362" s="306"/>
      <c r="L2362" s="306"/>
      <c r="M2362" s="306"/>
      <c r="N2362" s="298"/>
      <c r="O2362" s="298"/>
      <c r="P2362" s="298"/>
      <c r="Q2362" s="306"/>
      <c r="R2362" s="1023"/>
      <c r="S2362" s="1023"/>
      <c r="T2362" s="306"/>
      <c r="U2362" s="306"/>
      <c r="V2362" s="306"/>
      <c r="W2362" s="306"/>
      <c r="X2362" s="306"/>
      <c r="Y2362" s="306"/>
      <c r="Z2362" s="306"/>
      <c r="AA2362" s="306"/>
      <c r="AB2362" s="306"/>
      <c r="AC2362" s="306"/>
      <c r="AD2362" s="306"/>
      <c r="AE2362" s="306"/>
      <c r="AF2362" s="306"/>
      <c r="AG2362" s="306"/>
      <c r="AH2362" s="306"/>
      <c r="AI2362" s="306"/>
      <c r="AJ2362" s="306"/>
      <c r="AK2362" s="306"/>
      <c r="AL2362" s="306"/>
      <c r="AM2362" s="418"/>
      <c r="AN2362" s="418"/>
      <c r="AO2362" s="306"/>
      <c r="AP2362" s="306"/>
      <c r="AQ2362" s="418"/>
      <c r="AR2362" s="306"/>
      <c r="AS2362" s="306"/>
      <c r="AT2362" s="418"/>
      <c r="AU2362" s="306"/>
      <c r="AV2362" s="306"/>
      <c r="AW2362" s="306"/>
      <c r="AX2362" s="306"/>
      <c r="AY2362" s="306"/>
      <c r="AZ2362" s="306"/>
      <c r="BA2362" s="306"/>
      <c r="BB2362" s="306"/>
    </row>
    <row r="2363" spans="1:54" ht="15.75" customHeight="1">
      <c r="A2363" s="317"/>
      <c r="B2363" s="430"/>
      <c r="C2363" s="317"/>
      <c r="E2363" s="306"/>
      <c r="F2363" s="431"/>
      <c r="G2363" s="431"/>
      <c r="H2363" s="298"/>
      <c r="I2363" s="432"/>
      <c r="J2363" s="433"/>
      <c r="K2363" s="306"/>
      <c r="L2363" s="306"/>
      <c r="M2363" s="306"/>
      <c r="N2363" s="298"/>
      <c r="O2363" s="298"/>
      <c r="P2363" s="298"/>
      <c r="Q2363" s="306"/>
      <c r="R2363" s="1023"/>
      <c r="S2363" s="1023"/>
      <c r="T2363" s="306"/>
      <c r="U2363" s="306"/>
      <c r="V2363" s="306"/>
      <c r="W2363" s="306"/>
      <c r="X2363" s="306"/>
      <c r="Y2363" s="306"/>
      <c r="Z2363" s="306"/>
      <c r="AA2363" s="306"/>
      <c r="AB2363" s="306"/>
      <c r="AC2363" s="306"/>
      <c r="AD2363" s="306"/>
      <c r="AE2363" s="306"/>
      <c r="AF2363" s="306"/>
      <c r="AG2363" s="306"/>
      <c r="AH2363" s="306"/>
      <c r="AI2363" s="306"/>
      <c r="AJ2363" s="306"/>
      <c r="AK2363" s="306"/>
      <c r="AL2363" s="306"/>
      <c r="AM2363" s="418"/>
      <c r="AN2363" s="418"/>
      <c r="AO2363" s="306"/>
      <c r="AP2363" s="306"/>
      <c r="AQ2363" s="418"/>
      <c r="AR2363" s="306"/>
      <c r="AS2363" s="306"/>
      <c r="AT2363" s="418"/>
      <c r="AU2363" s="306"/>
      <c r="AV2363" s="306"/>
      <c r="AW2363" s="306"/>
      <c r="AX2363" s="306"/>
      <c r="AY2363" s="306"/>
      <c r="AZ2363" s="306"/>
      <c r="BA2363" s="306"/>
      <c r="BB2363" s="306"/>
    </row>
    <row r="2364" spans="1:54" ht="15.75" customHeight="1">
      <c r="A2364" s="317"/>
      <c r="B2364" s="430"/>
      <c r="C2364" s="317"/>
      <c r="E2364" s="306"/>
      <c r="F2364" s="431"/>
      <c r="G2364" s="431"/>
      <c r="H2364" s="298"/>
      <c r="I2364" s="432"/>
      <c r="J2364" s="433"/>
      <c r="K2364" s="306"/>
      <c r="L2364" s="306"/>
      <c r="M2364" s="306"/>
      <c r="N2364" s="298"/>
      <c r="O2364" s="298"/>
      <c r="P2364" s="298"/>
      <c r="Q2364" s="306"/>
      <c r="R2364" s="1023"/>
      <c r="S2364" s="1023"/>
      <c r="T2364" s="306"/>
      <c r="U2364" s="306"/>
      <c r="V2364" s="306"/>
      <c r="W2364" s="306"/>
      <c r="X2364" s="306"/>
      <c r="Y2364" s="306"/>
      <c r="Z2364" s="306"/>
      <c r="AA2364" s="306"/>
      <c r="AB2364" s="306"/>
      <c r="AC2364" s="306"/>
      <c r="AD2364" s="306"/>
      <c r="AE2364" s="306"/>
      <c r="AF2364" s="306"/>
      <c r="AG2364" s="306"/>
      <c r="AH2364" s="306"/>
      <c r="AI2364" s="306"/>
      <c r="AJ2364" s="306"/>
      <c r="AK2364" s="306"/>
      <c r="AL2364" s="306"/>
      <c r="AM2364" s="418"/>
      <c r="AN2364" s="418"/>
      <c r="AO2364" s="306"/>
      <c r="AP2364" s="306"/>
      <c r="AQ2364" s="418"/>
      <c r="AR2364" s="306"/>
      <c r="AS2364" s="306"/>
      <c r="AT2364" s="418"/>
      <c r="AU2364" s="306"/>
      <c r="AV2364" s="306"/>
      <c r="AW2364" s="306"/>
      <c r="AX2364" s="306"/>
      <c r="AY2364" s="306"/>
      <c r="AZ2364" s="306"/>
      <c r="BA2364" s="306"/>
      <c r="BB2364" s="306"/>
    </row>
    <row r="2365" spans="1:54" ht="15.75" customHeight="1">
      <c r="A2365" s="317"/>
      <c r="B2365" s="430"/>
      <c r="C2365" s="317"/>
      <c r="E2365" s="306"/>
      <c r="F2365" s="431"/>
      <c r="G2365" s="431"/>
      <c r="H2365" s="298"/>
      <c r="I2365" s="432"/>
      <c r="J2365" s="433"/>
      <c r="K2365" s="306"/>
      <c r="L2365" s="306"/>
      <c r="M2365" s="306"/>
      <c r="N2365" s="298"/>
      <c r="O2365" s="298"/>
      <c r="P2365" s="298"/>
      <c r="Q2365" s="306"/>
      <c r="R2365" s="1023"/>
      <c r="S2365" s="1023"/>
      <c r="T2365" s="306"/>
      <c r="U2365" s="306"/>
      <c r="V2365" s="306"/>
      <c r="W2365" s="306"/>
      <c r="X2365" s="306"/>
      <c r="Y2365" s="306"/>
      <c r="Z2365" s="306"/>
      <c r="AA2365" s="306"/>
      <c r="AB2365" s="306"/>
      <c r="AC2365" s="306"/>
      <c r="AD2365" s="306"/>
      <c r="AE2365" s="306"/>
      <c r="AF2365" s="306"/>
      <c r="AG2365" s="306"/>
      <c r="AH2365" s="306"/>
      <c r="AI2365" s="306"/>
      <c r="AJ2365" s="306"/>
      <c r="AK2365" s="306"/>
      <c r="AL2365" s="306"/>
      <c r="AM2365" s="418"/>
      <c r="AN2365" s="418"/>
      <c r="AO2365" s="306"/>
      <c r="AP2365" s="306"/>
      <c r="AQ2365" s="418"/>
      <c r="AR2365" s="306"/>
      <c r="AS2365" s="306"/>
      <c r="AT2365" s="418"/>
      <c r="AU2365" s="306"/>
      <c r="AV2365" s="306"/>
      <c r="AW2365" s="306"/>
      <c r="AX2365" s="306"/>
      <c r="AY2365" s="306"/>
      <c r="AZ2365" s="306"/>
      <c r="BA2365" s="306"/>
      <c r="BB2365" s="306"/>
    </row>
    <row r="2366" spans="1:54" ht="15.75" customHeight="1">
      <c r="A2366" s="317"/>
      <c r="B2366" s="430"/>
      <c r="C2366" s="317"/>
      <c r="E2366" s="306"/>
      <c r="F2366" s="431"/>
      <c r="G2366" s="431"/>
      <c r="H2366" s="298"/>
      <c r="I2366" s="432"/>
      <c r="J2366" s="433"/>
      <c r="K2366" s="306"/>
      <c r="L2366" s="306"/>
      <c r="M2366" s="306"/>
      <c r="N2366" s="298"/>
      <c r="O2366" s="298"/>
      <c r="P2366" s="298"/>
      <c r="Q2366" s="306"/>
      <c r="R2366" s="1023"/>
      <c r="S2366" s="1023"/>
      <c r="T2366" s="306"/>
      <c r="U2366" s="306"/>
      <c r="V2366" s="306"/>
      <c r="W2366" s="306"/>
      <c r="X2366" s="306"/>
      <c r="Y2366" s="306"/>
      <c r="Z2366" s="306"/>
      <c r="AA2366" s="306"/>
      <c r="AB2366" s="306"/>
      <c r="AC2366" s="306"/>
      <c r="AD2366" s="306"/>
      <c r="AE2366" s="306"/>
      <c r="AF2366" s="306"/>
      <c r="AG2366" s="306"/>
      <c r="AH2366" s="306"/>
      <c r="AI2366" s="306"/>
      <c r="AJ2366" s="306"/>
      <c r="AK2366" s="306"/>
      <c r="AL2366" s="306"/>
      <c r="AM2366" s="418"/>
      <c r="AN2366" s="418"/>
      <c r="AO2366" s="306"/>
      <c r="AP2366" s="306"/>
      <c r="AQ2366" s="418"/>
      <c r="AR2366" s="306"/>
      <c r="AS2366" s="306"/>
      <c r="AT2366" s="418"/>
      <c r="AU2366" s="306"/>
      <c r="AV2366" s="306"/>
      <c r="AW2366" s="306"/>
      <c r="AX2366" s="306"/>
      <c r="AY2366" s="306"/>
      <c r="AZ2366" s="306"/>
      <c r="BA2366" s="306"/>
      <c r="BB2366" s="306"/>
    </row>
    <row r="2367" spans="1:54" ht="15.75" customHeight="1">
      <c r="A2367" s="317"/>
      <c r="B2367" s="430"/>
      <c r="C2367" s="317"/>
      <c r="E2367" s="306"/>
      <c r="F2367" s="431"/>
      <c r="G2367" s="431"/>
      <c r="H2367" s="298"/>
      <c r="I2367" s="432"/>
      <c r="J2367" s="433"/>
      <c r="K2367" s="306"/>
      <c r="L2367" s="306"/>
      <c r="M2367" s="306"/>
      <c r="N2367" s="298"/>
      <c r="O2367" s="298"/>
      <c r="P2367" s="298"/>
      <c r="Q2367" s="306"/>
      <c r="R2367" s="1023"/>
      <c r="S2367" s="1023"/>
      <c r="T2367" s="306"/>
      <c r="U2367" s="306"/>
      <c r="V2367" s="306"/>
      <c r="W2367" s="306"/>
      <c r="X2367" s="306"/>
      <c r="Y2367" s="306"/>
      <c r="Z2367" s="306"/>
      <c r="AA2367" s="306"/>
      <c r="AB2367" s="306"/>
      <c r="AC2367" s="306"/>
      <c r="AD2367" s="306"/>
      <c r="AE2367" s="306"/>
      <c r="AF2367" s="306"/>
      <c r="AG2367" s="306"/>
      <c r="AH2367" s="306"/>
      <c r="AI2367" s="306"/>
      <c r="AJ2367" s="306"/>
      <c r="AK2367" s="306"/>
      <c r="AL2367" s="306"/>
      <c r="AM2367" s="418"/>
      <c r="AN2367" s="418"/>
      <c r="AO2367" s="306"/>
      <c r="AP2367" s="306"/>
      <c r="AQ2367" s="418"/>
      <c r="AR2367" s="306"/>
      <c r="AS2367" s="306"/>
      <c r="AT2367" s="418"/>
      <c r="AU2367" s="306"/>
      <c r="AV2367" s="306"/>
      <c r="AW2367" s="306"/>
      <c r="AX2367" s="306"/>
      <c r="AY2367" s="306"/>
      <c r="AZ2367" s="306"/>
      <c r="BA2367" s="306"/>
      <c r="BB2367" s="306"/>
    </row>
    <row r="2368" spans="1:54" ht="15.75" customHeight="1">
      <c r="A2368" s="317"/>
      <c r="B2368" s="430"/>
      <c r="C2368" s="317"/>
      <c r="E2368" s="306"/>
      <c r="F2368" s="431"/>
      <c r="G2368" s="431"/>
      <c r="H2368" s="298"/>
      <c r="I2368" s="432"/>
      <c r="J2368" s="433"/>
      <c r="K2368" s="306"/>
      <c r="L2368" s="306"/>
      <c r="M2368" s="306"/>
      <c r="N2368" s="298"/>
      <c r="O2368" s="298"/>
      <c r="P2368" s="298"/>
      <c r="Q2368" s="306"/>
      <c r="R2368" s="1023"/>
      <c r="S2368" s="1023"/>
      <c r="T2368" s="306"/>
      <c r="U2368" s="306"/>
      <c r="V2368" s="306"/>
      <c r="W2368" s="306"/>
      <c r="X2368" s="306"/>
      <c r="Y2368" s="306"/>
      <c r="Z2368" s="306"/>
      <c r="AA2368" s="306"/>
      <c r="AB2368" s="306"/>
      <c r="AC2368" s="306"/>
      <c r="AD2368" s="306"/>
      <c r="AE2368" s="306"/>
      <c r="AF2368" s="306"/>
      <c r="AG2368" s="306"/>
      <c r="AH2368" s="306"/>
      <c r="AI2368" s="306"/>
      <c r="AJ2368" s="306"/>
      <c r="AK2368" s="306"/>
      <c r="AL2368" s="306"/>
      <c r="AM2368" s="418"/>
      <c r="AN2368" s="418"/>
      <c r="AO2368" s="306"/>
      <c r="AP2368" s="306"/>
      <c r="AQ2368" s="418"/>
      <c r="AR2368" s="306"/>
      <c r="AS2368" s="306"/>
      <c r="AT2368" s="418"/>
      <c r="AU2368" s="306"/>
      <c r="AV2368" s="306"/>
      <c r="AW2368" s="306"/>
      <c r="AX2368" s="306"/>
      <c r="AY2368" s="306"/>
      <c r="AZ2368" s="306"/>
      <c r="BA2368" s="306"/>
      <c r="BB2368" s="306"/>
    </row>
    <row r="2369" spans="1:54" ht="15.75" customHeight="1">
      <c r="A2369" s="317"/>
      <c r="B2369" s="430"/>
      <c r="C2369" s="317"/>
      <c r="E2369" s="306"/>
      <c r="F2369" s="431"/>
      <c r="G2369" s="431"/>
      <c r="H2369" s="298"/>
      <c r="I2369" s="432"/>
      <c r="J2369" s="433"/>
      <c r="K2369" s="306"/>
      <c r="L2369" s="306"/>
      <c r="M2369" s="306"/>
      <c r="N2369" s="298"/>
      <c r="O2369" s="298"/>
      <c r="P2369" s="298"/>
      <c r="Q2369" s="306"/>
      <c r="R2369" s="1023"/>
      <c r="S2369" s="1023"/>
      <c r="T2369" s="306"/>
      <c r="U2369" s="306"/>
      <c r="V2369" s="306"/>
      <c r="W2369" s="306"/>
      <c r="X2369" s="306"/>
      <c r="Y2369" s="306"/>
      <c r="Z2369" s="306"/>
      <c r="AA2369" s="306"/>
      <c r="AB2369" s="306"/>
      <c r="AC2369" s="306"/>
      <c r="AD2369" s="306"/>
      <c r="AE2369" s="306"/>
      <c r="AF2369" s="306"/>
      <c r="AG2369" s="306"/>
      <c r="AH2369" s="306"/>
      <c r="AI2369" s="306"/>
      <c r="AJ2369" s="306"/>
      <c r="AK2369" s="306"/>
      <c r="AL2369" s="306"/>
      <c r="AM2369" s="418"/>
      <c r="AN2369" s="418"/>
      <c r="AO2369" s="306"/>
      <c r="AP2369" s="306"/>
      <c r="AQ2369" s="418"/>
      <c r="AR2369" s="306"/>
      <c r="AS2369" s="306"/>
      <c r="AT2369" s="418"/>
      <c r="AU2369" s="306"/>
      <c r="AV2369" s="306"/>
      <c r="AW2369" s="306"/>
      <c r="AX2369" s="306"/>
      <c r="AY2369" s="306"/>
      <c r="AZ2369" s="306"/>
      <c r="BA2369" s="306"/>
      <c r="BB2369" s="306"/>
    </row>
    <row r="2370" spans="1:54" ht="15.75" customHeight="1">
      <c r="A2370" s="317"/>
      <c r="B2370" s="430"/>
      <c r="C2370" s="317"/>
      <c r="E2370" s="306"/>
      <c r="F2370" s="431"/>
      <c r="G2370" s="431"/>
      <c r="H2370" s="298"/>
      <c r="I2370" s="432"/>
      <c r="J2370" s="433"/>
      <c r="K2370" s="306"/>
      <c r="L2370" s="306"/>
      <c r="M2370" s="306"/>
      <c r="N2370" s="298"/>
      <c r="O2370" s="298"/>
      <c r="P2370" s="298"/>
      <c r="Q2370" s="306"/>
      <c r="R2370" s="1023"/>
      <c r="S2370" s="1023"/>
      <c r="T2370" s="306"/>
      <c r="U2370" s="306"/>
      <c r="V2370" s="306"/>
      <c r="W2370" s="306"/>
      <c r="X2370" s="306"/>
      <c r="Y2370" s="306"/>
      <c r="Z2370" s="306"/>
      <c r="AA2370" s="306"/>
      <c r="AB2370" s="306"/>
      <c r="AC2370" s="306"/>
      <c r="AD2370" s="306"/>
      <c r="AE2370" s="306"/>
      <c r="AF2370" s="306"/>
      <c r="AG2370" s="306"/>
      <c r="AH2370" s="306"/>
      <c r="AI2370" s="306"/>
      <c r="AJ2370" s="306"/>
      <c r="AK2370" s="306"/>
      <c r="AL2370" s="306"/>
      <c r="AM2370" s="418"/>
      <c r="AN2370" s="418"/>
      <c r="AO2370" s="306"/>
      <c r="AP2370" s="306"/>
      <c r="AQ2370" s="418"/>
      <c r="AR2370" s="306"/>
      <c r="AS2370" s="306"/>
      <c r="AT2370" s="418"/>
      <c r="AU2370" s="306"/>
      <c r="AV2370" s="306"/>
      <c r="AW2370" s="306"/>
      <c r="AX2370" s="306"/>
      <c r="AY2370" s="306"/>
      <c r="AZ2370" s="306"/>
      <c r="BA2370" s="306"/>
      <c r="BB2370" s="306"/>
    </row>
    <row r="2371" spans="1:54" ht="15.75" customHeight="1">
      <c r="A2371" s="317"/>
      <c r="B2371" s="430"/>
      <c r="C2371" s="317"/>
      <c r="E2371" s="306"/>
      <c r="F2371" s="431"/>
      <c r="G2371" s="431"/>
      <c r="H2371" s="298"/>
      <c r="I2371" s="432"/>
      <c r="J2371" s="433"/>
      <c r="K2371" s="306"/>
      <c r="L2371" s="306"/>
      <c r="M2371" s="306"/>
      <c r="N2371" s="298"/>
      <c r="O2371" s="298"/>
      <c r="P2371" s="298"/>
      <c r="Q2371" s="306"/>
      <c r="R2371" s="1023"/>
      <c r="S2371" s="1023"/>
      <c r="T2371" s="306"/>
      <c r="U2371" s="306"/>
      <c r="V2371" s="306"/>
      <c r="W2371" s="306"/>
      <c r="X2371" s="306"/>
      <c r="Y2371" s="306"/>
      <c r="Z2371" s="306"/>
      <c r="AA2371" s="306"/>
      <c r="AB2371" s="306"/>
      <c r="AC2371" s="306"/>
      <c r="AD2371" s="306"/>
      <c r="AE2371" s="306"/>
      <c r="AF2371" s="306"/>
      <c r="AG2371" s="306"/>
      <c r="AH2371" s="306"/>
      <c r="AI2371" s="306"/>
      <c r="AJ2371" s="306"/>
      <c r="AK2371" s="306"/>
      <c r="AL2371" s="306"/>
      <c r="AM2371" s="418"/>
      <c r="AN2371" s="418"/>
      <c r="AO2371" s="306"/>
      <c r="AP2371" s="306"/>
      <c r="AQ2371" s="418"/>
      <c r="AR2371" s="306"/>
      <c r="AS2371" s="306"/>
      <c r="AT2371" s="418"/>
      <c r="AU2371" s="306"/>
      <c r="AV2371" s="306"/>
      <c r="AW2371" s="306"/>
      <c r="AX2371" s="306"/>
      <c r="AY2371" s="306"/>
      <c r="AZ2371" s="306"/>
      <c r="BA2371" s="306"/>
      <c r="BB2371" s="306"/>
    </row>
    <row r="2372" spans="1:54" ht="15.75" customHeight="1">
      <c r="A2372" s="317"/>
      <c r="B2372" s="430"/>
      <c r="C2372" s="317"/>
      <c r="E2372" s="306"/>
      <c r="F2372" s="431"/>
      <c r="G2372" s="431"/>
      <c r="H2372" s="298"/>
      <c r="I2372" s="432"/>
      <c r="J2372" s="433"/>
      <c r="K2372" s="306"/>
      <c r="L2372" s="306"/>
      <c r="M2372" s="306"/>
      <c r="N2372" s="298"/>
      <c r="O2372" s="298"/>
      <c r="P2372" s="298"/>
      <c r="Q2372" s="306"/>
      <c r="R2372" s="1023"/>
      <c r="S2372" s="1023"/>
      <c r="T2372" s="306"/>
      <c r="U2372" s="306"/>
      <c r="V2372" s="306"/>
      <c r="W2372" s="306"/>
      <c r="X2372" s="306"/>
      <c r="Y2372" s="306"/>
      <c r="Z2372" s="306"/>
      <c r="AA2372" s="306"/>
      <c r="AB2372" s="306"/>
      <c r="AC2372" s="306"/>
      <c r="AD2372" s="306"/>
      <c r="AE2372" s="306"/>
      <c r="AF2372" s="306"/>
      <c r="AG2372" s="306"/>
      <c r="AH2372" s="306"/>
      <c r="AI2372" s="306"/>
      <c r="AJ2372" s="306"/>
      <c r="AK2372" s="306"/>
      <c r="AL2372" s="306"/>
      <c r="AM2372" s="418"/>
      <c r="AN2372" s="418"/>
      <c r="AO2372" s="306"/>
      <c r="AP2372" s="306"/>
      <c r="AQ2372" s="418"/>
      <c r="AR2372" s="306"/>
      <c r="AS2372" s="306"/>
      <c r="AT2372" s="418"/>
      <c r="AU2372" s="306"/>
      <c r="AV2372" s="306"/>
      <c r="AW2372" s="306"/>
      <c r="AX2372" s="306"/>
      <c r="AY2372" s="306"/>
      <c r="AZ2372" s="306"/>
      <c r="BA2372" s="306"/>
      <c r="BB2372" s="306"/>
    </row>
    <row r="2373" spans="1:54" ht="15.75" customHeight="1">
      <c r="A2373" s="317"/>
      <c r="B2373" s="430"/>
      <c r="C2373" s="317"/>
      <c r="E2373" s="306"/>
      <c r="F2373" s="431"/>
      <c r="G2373" s="431"/>
      <c r="H2373" s="298"/>
      <c r="I2373" s="432"/>
      <c r="J2373" s="433"/>
      <c r="K2373" s="306"/>
      <c r="L2373" s="306"/>
      <c r="M2373" s="306"/>
      <c r="N2373" s="298"/>
      <c r="O2373" s="298"/>
      <c r="P2373" s="298"/>
      <c r="Q2373" s="306"/>
      <c r="R2373" s="1023"/>
      <c r="S2373" s="1023"/>
      <c r="T2373" s="306"/>
      <c r="U2373" s="306"/>
      <c r="V2373" s="306"/>
      <c r="W2373" s="306"/>
      <c r="X2373" s="306"/>
      <c r="Y2373" s="306"/>
      <c r="Z2373" s="306"/>
      <c r="AA2373" s="306"/>
      <c r="AB2373" s="306"/>
      <c r="AC2373" s="306"/>
      <c r="AD2373" s="306"/>
      <c r="AE2373" s="306"/>
      <c r="AF2373" s="306"/>
      <c r="AG2373" s="306"/>
      <c r="AH2373" s="306"/>
      <c r="AI2373" s="306"/>
      <c r="AJ2373" s="306"/>
      <c r="AK2373" s="306"/>
      <c r="AL2373" s="306"/>
      <c r="AM2373" s="418"/>
      <c r="AN2373" s="418"/>
      <c r="AO2373" s="306"/>
      <c r="AP2373" s="306"/>
      <c r="AQ2373" s="418"/>
      <c r="AR2373" s="306"/>
      <c r="AS2373" s="306"/>
      <c r="AT2373" s="418"/>
      <c r="AU2373" s="306"/>
      <c r="AV2373" s="306"/>
      <c r="AW2373" s="306"/>
      <c r="AX2373" s="306"/>
      <c r="AY2373" s="306"/>
      <c r="AZ2373" s="306"/>
      <c r="BA2373" s="306"/>
      <c r="BB2373" s="306"/>
    </row>
    <row r="2374" spans="1:54" ht="15.75" customHeight="1">
      <c r="A2374" s="317"/>
      <c r="B2374" s="430"/>
      <c r="C2374" s="317"/>
      <c r="E2374" s="306"/>
      <c r="F2374" s="431"/>
      <c r="G2374" s="431"/>
      <c r="H2374" s="298"/>
      <c r="I2374" s="432"/>
      <c r="J2374" s="433"/>
      <c r="K2374" s="306"/>
      <c r="L2374" s="306"/>
      <c r="M2374" s="306"/>
      <c r="N2374" s="298"/>
      <c r="O2374" s="298"/>
      <c r="P2374" s="298"/>
      <c r="Q2374" s="306"/>
      <c r="R2374" s="1023"/>
      <c r="S2374" s="1023"/>
      <c r="T2374" s="306"/>
      <c r="U2374" s="306"/>
      <c r="V2374" s="306"/>
      <c r="W2374" s="306"/>
      <c r="X2374" s="306"/>
      <c r="Y2374" s="306"/>
      <c r="Z2374" s="306"/>
      <c r="AA2374" s="306"/>
      <c r="AB2374" s="306"/>
      <c r="AC2374" s="306"/>
      <c r="AD2374" s="306"/>
      <c r="AE2374" s="306"/>
      <c r="AF2374" s="306"/>
      <c r="AG2374" s="306"/>
      <c r="AH2374" s="306"/>
      <c r="AI2374" s="306"/>
      <c r="AJ2374" s="306"/>
      <c r="AK2374" s="306"/>
      <c r="AL2374" s="306"/>
      <c r="AM2374" s="418"/>
      <c r="AN2374" s="418"/>
      <c r="AO2374" s="306"/>
      <c r="AP2374" s="306"/>
      <c r="AQ2374" s="418"/>
      <c r="AR2374" s="306"/>
      <c r="AS2374" s="306"/>
      <c r="AT2374" s="418"/>
      <c r="AU2374" s="306"/>
      <c r="AV2374" s="306"/>
      <c r="AW2374" s="306"/>
      <c r="AX2374" s="306"/>
      <c r="AY2374" s="306"/>
      <c r="AZ2374" s="306"/>
      <c r="BA2374" s="306"/>
      <c r="BB2374" s="306"/>
    </row>
    <row r="2375" spans="1:54" ht="15.75" customHeight="1">
      <c r="A2375" s="317"/>
      <c r="B2375" s="430"/>
      <c r="C2375" s="317"/>
      <c r="E2375" s="306"/>
      <c r="F2375" s="431"/>
      <c r="G2375" s="431"/>
      <c r="H2375" s="298"/>
      <c r="I2375" s="432"/>
      <c r="J2375" s="433"/>
      <c r="K2375" s="306"/>
      <c r="L2375" s="306"/>
      <c r="M2375" s="306"/>
      <c r="N2375" s="298"/>
      <c r="O2375" s="298"/>
      <c r="P2375" s="298"/>
      <c r="Q2375" s="306"/>
      <c r="R2375" s="1023"/>
      <c r="S2375" s="1023"/>
      <c r="T2375" s="306"/>
      <c r="U2375" s="306"/>
      <c r="V2375" s="306"/>
      <c r="W2375" s="306"/>
      <c r="X2375" s="306"/>
      <c r="Y2375" s="306"/>
      <c r="Z2375" s="306"/>
      <c r="AA2375" s="306"/>
      <c r="AB2375" s="306"/>
      <c r="AC2375" s="306"/>
      <c r="AD2375" s="306"/>
      <c r="AE2375" s="306"/>
      <c r="AF2375" s="306"/>
      <c r="AG2375" s="306"/>
      <c r="AH2375" s="306"/>
      <c r="AI2375" s="306"/>
      <c r="AJ2375" s="306"/>
      <c r="AK2375" s="306"/>
      <c r="AL2375" s="306"/>
      <c r="AM2375" s="418"/>
      <c r="AN2375" s="418"/>
      <c r="AO2375" s="306"/>
      <c r="AP2375" s="306"/>
      <c r="AQ2375" s="418"/>
      <c r="AR2375" s="306"/>
      <c r="AS2375" s="306"/>
      <c r="AT2375" s="418"/>
      <c r="AU2375" s="306"/>
      <c r="AV2375" s="306"/>
      <c r="AW2375" s="306"/>
      <c r="AX2375" s="306"/>
      <c r="AY2375" s="306"/>
      <c r="AZ2375" s="306"/>
      <c r="BA2375" s="306"/>
      <c r="BB2375" s="306"/>
    </row>
    <row r="2376" spans="1:54" ht="15.75" customHeight="1">
      <c r="A2376" s="317"/>
      <c r="B2376" s="430"/>
      <c r="C2376" s="317"/>
      <c r="E2376" s="306"/>
      <c r="F2376" s="431"/>
      <c r="G2376" s="431"/>
      <c r="H2376" s="298"/>
      <c r="I2376" s="432"/>
      <c r="J2376" s="433"/>
      <c r="K2376" s="306"/>
      <c r="L2376" s="306"/>
      <c r="M2376" s="306"/>
      <c r="N2376" s="298"/>
      <c r="O2376" s="298"/>
      <c r="P2376" s="298"/>
      <c r="Q2376" s="306"/>
      <c r="R2376" s="1023"/>
      <c r="S2376" s="1023"/>
      <c r="T2376" s="306"/>
      <c r="U2376" s="306"/>
      <c r="V2376" s="306"/>
      <c r="W2376" s="306"/>
      <c r="X2376" s="306"/>
      <c r="Y2376" s="306"/>
      <c r="Z2376" s="306"/>
      <c r="AA2376" s="306"/>
      <c r="AB2376" s="306"/>
      <c r="AC2376" s="306"/>
      <c r="AD2376" s="306"/>
      <c r="AE2376" s="306"/>
      <c r="AF2376" s="306"/>
      <c r="AG2376" s="306"/>
      <c r="AH2376" s="306"/>
      <c r="AI2376" s="306"/>
      <c r="AJ2376" s="306"/>
      <c r="AK2376" s="306"/>
      <c r="AL2376" s="306"/>
      <c r="AM2376" s="418"/>
      <c r="AN2376" s="418"/>
      <c r="AO2376" s="306"/>
      <c r="AP2376" s="306"/>
      <c r="AQ2376" s="418"/>
      <c r="AR2376" s="306"/>
      <c r="AS2376" s="306"/>
      <c r="AT2376" s="418"/>
      <c r="AU2376" s="306"/>
      <c r="AV2376" s="306"/>
      <c r="AW2376" s="306"/>
      <c r="AX2376" s="306"/>
      <c r="AY2376" s="306"/>
      <c r="AZ2376" s="306"/>
      <c r="BA2376" s="306"/>
      <c r="BB2376" s="306"/>
    </row>
    <row r="2377" spans="1:54" ht="15.75" customHeight="1">
      <c r="A2377" s="317"/>
      <c r="B2377" s="430"/>
      <c r="C2377" s="317"/>
      <c r="E2377" s="306"/>
      <c r="F2377" s="431"/>
      <c r="G2377" s="431"/>
      <c r="H2377" s="298"/>
      <c r="I2377" s="432"/>
      <c r="J2377" s="433"/>
      <c r="K2377" s="306"/>
      <c r="L2377" s="306"/>
      <c r="M2377" s="306"/>
      <c r="N2377" s="298"/>
      <c r="O2377" s="298"/>
      <c r="P2377" s="298"/>
      <c r="Q2377" s="306"/>
      <c r="R2377" s="1023"/>
      <c r="S2377" s="1023"/>
      <c r="T2377" s="306"/>
      <c r="U2377" s="306"/>
      <c r="V2377" s="306"/>
      <c r="W2377" s="306"/>
      <c r="X2377" s="306"/>
      <c r="Y2377" s="306"/>
      <c r="Z2377" s="306"/>
      <c r="AA2377" s="306"/>
      <c r="AB2377" s="306"/>
      <c r="AC2377" s="306"/>
      <c r="AD2377" s="306"/>
      <c r="AE2377" s="306"/>
      <c r="AF2377" s="306"/>
      <c r="AG2377" s="306"/>
      <c r="AH2377" s="306"/>
      <c r="AI2377" s="306"/>
      <c r="AJ2377" s="306"/>
      <c r="AK2377" s="306"/>
      <c r="AL2377" s="306"/>
      <c r="AM2377" s="418"/>
      <c r="AN2377" s="418"/>
      <c r="AO2377" s="306"/>
      <c r="AP2377" s="306"/>
      <c r="AQ2377" s="418"/>
      <c r="AR2377" s="306"/>
      <c r="AS2377" s="306"/>
      <c r="AT2377" s="418"/>
      <c r="AU2377" s="306"/>
      <c r="AV2377" s="306"/>
      <c r="AW2377" s="306"/>
      <c r="AX2377" s="306"/>
      <c r="AY2377" s="306"/>
      <c r="AZ2377" s="306"/>
      <c r="BA2377" s="306"/>
      <c r="BB2377" s="306"/>
    </row>
    <row r="2378" spans="1:54" ht="15.75" customHeight="1">
      <c r="A2378" s="317"/>
      <c r="B2378" s="430"/>
      <c r="C2378" s="317"/>
      <c r="E2378" s="306"/>
      <c r="F2378" s="431"/>
      <c r="G2378" s="431"/>
      <c r="H2378" s="298"/>
      <c r="I2378" s="432"/>
      <c r="J2378" s="433"/>
      <c r="K2378" s="306"/>
      <c r="L2378" s="306"/>
      <c r="M2378" s="306"/>
      <c r="N2378" s="298"/>
      <c r="O2378" s="298"/>
      <c r="P2378" s="298"/>
      <c r="Q2378" s="306"/>
      <c r="R2378" s="1023"/>
      <c r="S2378" s="1023"/>
      <c r="T2378" s="306"/>
      <c r="U2378" s="306"/>
      <c r="V2378" s="306"/>
      <c r="W2378" s="306"/>
      <c r="X2378" s="306"/>
      <c r="Y2378" s="306"/>
      <c r="Z2378" s="306"/>
      <c r="AA2378" s="306"/>
      <c r="AB2378" s="306"/>
      <c r="AC2378" s="306"/>
      <c r="AD2378" s="306"/>
      <c r="AE2378" s="306"/>
      <c r="AF2378" s="306"/>
      <c r="AG2378" s="306"/>
      <c r="AH2378" s="306"/>
      <c r="AI2378" s="306"/>
      <c r="AJ2378" s="306"/>
      <c r="AK2378" s="306"/>
      <c r="AL2378" s="306"/>
      <c r="AM2378" s="418"/>
      <c r="AN2378" s="418"/>
      <c r="AO2378" s="306"/>
      <c r="AP2378" s="306"/>
      <c r="AQ2378" s="418"/>
      <c r="AR2378" s="306"/>
      <c r="AS2378" s="306"/>
      <c r="AT2378" s="418"/>
      <c r="AU2378" s="306"/>
      <c r="AV2378" s="306"/>
      <c r="AW2378" s="306"/>
      <c r="AX2378" s="306"/>
      <c r="AY2378" s="306"/>
      <c r="AZ2378" s="306"/>
      <c r="BA2378" s="306"/>
      <c r="BB2378" s="306"/>
    </row>
    <row r="2379" spans="1:54" ht="15.75" customHeight="1">
      <c r="A2379" s="317"/>
      <c r="B2379" s="430"/>
      <c r="C2379" s="317"/>
      <c r="E2379" s="306"/>
      <c r="F2379" s="431"/>
      <c r="G2379" s="431"/>
      <c r="H2379" s="298"/>
      <c r="I2379" s="432"/>
      <c r="J2379" s="433"/>
      <c r="K2379" s="306"/>
      <c r="L2379" s="306"/>
      <c r="M2379" s="306"/>
      <c r="N2379" s="298"/>
      <c r="O2379" s="298"/>
      <c r="P2379" s="298"/>
      <c r="Q2379" s="306"/>
      <c r="R2379" s="1023"/>
      <c r="S2379" s="1023"/>
      <c r="T2379" s="306"/>
      <c r="U2379" s="306"/>
      <c r="V2379" s="306"/>
      <c r="W2379" s="306"/>
      <c r="X2379" s="306"/>
      <c r="Y2379" s="306"/>
      <c r="Z2379" s="306"/>
      <c r="AA2379" s="306"/>
      <c r="AB2379" s="306"/>
      <c r="AC2379" s="306"/>
      <c r="AD2379" s="306"/>
      <c r="AE2379" s="306"/>
      <c r="AF2379" s="306"/>
      <c r="AG2379" s="306"/>
      <c r="AH2379" s="306"/>
      <c r="AI2379" s="306"/>
      <c r="AJ2379" s="306"/>
      <c r="AK2379" s="306"/>
      <c r="AL2379" s="306"/>
      <c r="AM2379" s="418"/>
      <c r="AN2379" s="418"/>
      <c r="AO2379" s="306"/>
      <c r="AP2379" s="306"/>
      <c r="AQ2379" s="418"/>
      <c r="AR2379" s="306"/>
      <c r="AS2379" s="306"/>
      <c r="AT2379" s="418"/>
      <c r="AU2379" s="306"/>
      <c r="AV2379" s="306"/>
      <c r="AW2379" s="306"/>
      <c r="AX2379" s="306"/>
      <c r="AY2379" s="306"/>
      <c r="AZ2379" s="306"/>
      <c r="BA2379" s="306"/>
      <c r="BB2379" s="306"/>
    </row>
    <row r="2380" spans="1:54" ht="15.75" customHeight="1">
      <c r="A2380" s="317"/>
      <c r="B2380" s="430"/>
      <c r="C2380" s="317"/>
      <c r="E2380" s="306"/>
      <c r="F2380" s="431"/>
      <c r="G2380" s="431"/>
      <c r="H2380" s="298"/>
      <c r="I2380" s="432"/>
      <c r="J2380" s="433"/>
      <c r="K2380" s="306"/>
      <c r="L2380" s="306"/>
      <c r="M2380" s="306"/>
      <c r="N2380" s="298"/>
      <c r="O2380" s="298"/>
      <c r="P2380" s="298"/>
      <c r="Q2380" s="306"/>
      <c r="R2380" s="1023"/>
      <c r="S2380" s="1023"/>
      <c r="T2380" s="306"/>
      <c r="U2380" s="306"/>
      <c r="V2380" s="306"/>
      <c r="W2380" s="306"/>
      <c r="X2380" s="306"/>
      <c r="Y2380" s="306"/>
      <c r="Z2380" s="306"/>
      <c r="AA2380" s="306"/>
      <c r="AB2380" s="306"/>
      <c r="AC2380" s="306"/>
      <c r="AD2380" s="306"/>
      <c r="AE2380" s="306"/>
      <c r="AF2380" s="306"/>
      <c r="AG2380" s="306"/>
      <c r="AH2380" s="306"/>
      <c r="AI2380" s="306"/>
      <c r="AJ2380" s="306"/>
      <c r="AK2380" s="306"/>
      <c r="AL2380" s="306"/>
      <c r="AM2380" s="418"/>
      <c r="AN2380" s="418"/>
      <c r="AO2380" s="306"/>
      <c r="AP2380" s="306"/>
      <c r="AQ2380" s="418"/>
      <c r="AR2380" s="306"/>
      <c r="AS2380" s="306"/>
      <c r="AT2380" s="418"/>
      <c r="AU2380" s="306"/>
      <c r="AV2380" s="306"/>
      <c r="AW2380" s="306"/>
      <c r="AX2380" s="306"/>
      <c r="AY2380" s="306"/>
      <c r="AZ2380" s="306"/>
      <c r="BA2380" s="306"/>
      <c r="BB2380" s="306"/>
    </row>
    <row r="2381" spans="1:54" ht="15.75" customHeight="1">
      <c r="A2381" s="317"/>
      <c r="B2381" s="430"/>
      <c r="C2381" s="317"/>
      <c r="E2381" s="306"/>
      <c r="F2381" s="431"/>
      <c r="G2381" s="431"/>
      <c r="H2381" s="298"/>
      <c r="I2381" s="432"/>
      <c r="J2381" s="433"/>
      <c r="K2381" s="306"/>
      <c r="L2381" s="306"/>
      <c r="M2381" s="306"/>
      <c r="N2381" s="298"/>
      <c r="O2381" s="298"/>
      <c r="P2381" s="298"/>
      <c r="Q2381" s="306"/>
      <c r="R2381" s="1023"/>
      <c r="S2381" s="1023"/>
      <c r="T2381" s="306"/>
      <c r="U2381" s="306"/>
      <c r="V2381" s="306"/>
      <c r="W2381" s="306"/>
      <c r="X2381" s="306"/>
      <c r="Y2381" s="306"/>
      <c r="Z2381" s="306"/>
      <c r="AA2381" s="306"/>
      <c r="AB2381" s="306"/>
      <c r="AC2381" s="306"/>
      <c r="AD2381" s="306"/>
      <c r="AE2381" s="306"/>
      <c r="AF2381" s="306"/>
      <c r="AG2381" s="306"/>
      <c r="AH2381" s="306"/>
      <c r="AI2381" s="306"/>
      <c r="AJ2381" s="306"/>
      <c r="AK2381" s="306"/>
      <c r="AL2381" s="306"/>
      <c r="AM2381" s="418"/>
      <c r="AN2381" s="418"/>
      <c r="AO2381" s="306"/>
      <c r="AP2381" s="306"/>
      <c r="AQ2381" s="418"/>
      <c r="AR2381" s="306"/>
      <c r="AS2381" s="306"/>
      <c r="AT2381" s="418"/>
      <c r="AU2381" s="306"/>
      <c r="AV2381" s="306"/>
      <c r="AW2381" s="306"/>
      <c r="AX2381" s="306"/>
      <c r="AY2381" s="306"/>
      <c r="AZ2381" s="306"/>
      <c r="BA2381" s="306"/>
      <c r="BB2381" s="306"/>
    </row>
    <row r="2382" spans="1:54" ht="15.75" customHeight="1">
      <c r="A2382" s="317"/>
      <c r="B2382" s="430"/>
      <c r="C2382" s="317"/>
      <c r="E2382" s="306"/>
      <c r="F2382" s="431"/>
      <c r="G2382" s="431"/>
      <c r="H2382" s="298"/>
      <c r="I2382" s="432"/>
      <c r="J2382" s="433"/>
      <c r="K2382" s="306"/>
      <c r="L2382" s="306"/>
      <c r="M2382" s="306"/>
      <c r="N2382" s="298"/>
      <c r="O2382" s="298"/>
      <c r="P2382" s="298"/>
      <c r="Q2382" s="306"/>
      <c r="R2382" s="1023"/>
      <c r="S2382" s="1023"/>
      <c r="T2382" s="306"/>
      <c r="U2382" s="306"/>
      <c r="V2382" s="306"/>
      <c r="W2382" s="306"/>
      <c r="X2382" s="306"/>
      <c r="Y2382" s="306"/>
      <c r="Z2382" s="306"/>
      <c r="AA2382" s="306"/>
      <c r="AB2382" s="306"/>
      <c r="AC2382" s="306"/>
      <c r="AD2382" s="306"/>
      <c r="AE2382" s="306"/>
      <c r="AF2382" s="306"/>
      <c r="AG2382" s="306"/>
      <c r="AH2382" s="306"/>
      <c r="AI2382" s="306"/>
      <c r="AJ2382" s="306"/>
      <c r="AK2382" s="306"/>
      <c r="AL2382" s="306"/>
      <c r="AM2382" s="418"/>
      <c r="AN2382" s="418"/>
      <c r="AO2382" s="306"/>
      <c r="AP2382" s="306"/>
      <c r="AQ2382" s="418"/>
      <c r="AR2382" s="306"/>
      <c r="AS2382" s="306"/>
      <c r="AT2382" s="418"/>
      <c r="AU2382" s="306"/>
      <c r="AV2382" s="306"/>
      <c r="AW2382" s="306"/>
      <c r="AX2382" s="306"/>
      <c r="AY2382" s="306"/>
      <c r="AZ2382" s="306"/>
      <c r="BA2382" s="306"/>
      <c r="BB2382" s="306"/>
    </row>
    <row r="2383" spans="1:54" ht="15.75" customHeight="1">
      <c r="A2383" s="317"/>
      <c r="B2383" s="430"/>
      <c r="C2383" s="317"/>
      <c r="E2383" s="306"/>
      <c r="F2383" s="431"/>
      <c r="G2383" s="431"/>
      <c r="H2383" s="298"/>
      <c r="I2383" s="432"/>
      <c r="J2383" s="433"/>
      <c r="K2383" s="306"/>
      <c r="L2383" s="306"/>
      <c r="M2383" s="306"/>
      <c r="N2383" s="298"/>
      <c r="O2383" s="298"/>
      <c r="P2383" s="298"/>
      <c r="Q2383" s="306"/>
      <c r="R2383" s="1023"/>
      <c r="S2383" s="1023"/>
      <c r="T2383" s="306"/>
      <c r="U2383" s="306"/>
      <c r="V2383" s="306"/>
      <c r="W2383" s="306"/>
      <c r="X2383" s="306"/>
      <c r="Y2383" s="306"/>
      <c r="Z2383" s="306"/>
      <c r="AA2383" s="306"/>
      <c r="AB2383" s="306"/>
      <c r="AC2383" s="306"/>
      <c r="AD2383" s="306"/>
      <c r="AE2383" s="306"/>
      <c r="AF2383" s="306"/>
      <c r="AG2383" s="306"/>
      <c r="AH2383" s="306"/>
      <c r="AI2383" s="306"/>
      <c r="AJ2383" s="306"/>
      <c r="AK2383" s="306"/>
      <c r="AL2383" s="306"/>
      <c r="AM2383" s="418"/>
      <c r="AN2383" s="418"/>
      <c r="AO2383" s="306"/>
      <c r="AP2383" s="306"/>
      <c r="AQ2383" s="418"/>
      <c r="AR2383" s="306"/>
      <c r="AS2383" s="306"/>
      <c r="AT2383" s="418"/>
      <c r="AU2383" s="306"/>
      <c r="AV2383" s="306"/>
      <c r="AW2383" s="306"/>
      <c r="AX2383" s="306"/>
      <c r="AY2383" s="306"/>
      <c r="AZ2383" s="306"/>
      <c r="BA2383" s="306"/>
      <c r="BB2383" s="306"/>
    </row>
    <row r="2384" spans="1:54" ht="15.75" customHeight="1">
      <c r="A2384" s="317"/>
      <c r="B2384" s="430"/>
      <c r="C2384" s="317"/>
      <c r="E2384" s="306"/>
      <c r="F2384" s="431"/>
      <c r="G2384" s="431"/>
      <c r="H2384" s="298"/>
      <c r="I2384" s="432"/>
      <c r="J2384" s="433"/>
      <c r="K2384" s="306"/>
      <c r="L2384" s="306"/>
      <c r="M2384" s="306"/>
      <c r="N2384" s="298"/>
      <c r="O2384" s="298"/>
      <c r="P2384" s="298"/>
      <c r="Q2384" s="306"/>
      <c r="R2384" s="1023"/>
      <c r="S2384" s="1023"/>
      <c r="T2384" s="306"/>
      <c r="U2384" s="306"/>
      <c r="V2384" s="306"/>
      <c r="W2384" s="306"/>
      <c r="X2384" s="306"/>
      <c r="Y2384" s="306"/>
      <c r="Z2384" s="306"/>
      <c r="AA2384" s="306"/>
      <c r="AB2384" s="306"/>
      <c r="AC2384" s="306"/>
      <c r="AD2384" s="306"/>
      <c r="AE2384" s="306"/>
      <c r="AF2384" s="306"/>
      <c r="AG2384" s="306"/>
      <c r="AH2384" s="306"/>
      <c r="AI2384" s="306"/>
      <c r="AJ2384" s="306"/>
      <c r="AK2384" s="306"/>
      <c r="AL2384" s="306"/>
      <c r="AM2384" s="418"/>
      <c r="AN2384" s="418"/>
      <c r="AO2384" s="306"/>
      <c r="AP2384" s="306"/>
      <c r="AQ2384" s="418"/>
      <c r="AR2384" s="306"/>
      <c r="AS2384" s="306"/>
      <c r="AT2384" s="418"/>
      <c r="AU2384" s="306"/>
      <c r="AV2384" s="306"/>
      <c r="AW2384" s="306"/>
      <c r="AX2384" s="306"/>
      <c r="AY2384" s="306"/>
      <c r="AZ2384" s="306"/>
      <c r="BA2384" s="306"/>
      <c r="BB2384" s="306"/>
    </row>
    <row r="2385" spans="1:54" ht="15.75" customHeight="1">
      <c r="A2385" s="317"/>
      <c r="B2385" s="430"/>
      <c r="C2385" s="317"/>
      <c r="E2385" s="306"/>
      <c r="F2385" s="431"/>
      <c r="G2385" s="431"/>
      <c r="H2385" s="298"/>
      <c r="I2385" s="432"/>
      <c r="J2385" s="433"/>
      <c r="K2385" s="306"/>
      <c r="L2385" s="306"/>
      <c r="M2385" s="306"/>
      <c r="N2385" s="298"/>
      <c r="O2385" s="298"/>
      <c r="P2385" s="298"/>
      <c r="Q2385" s="306"/>
      <c r="R2385" s="1023"/>
      <c r="S2385" s="1023"/>
      <c r="T2385" s="306"/>
      <c r="U2385" s="306"/>
      <c r="V2385" s="306"/>
      <c r="W2385" s="306"/>
      <c r="X2385" s="306"/>
      <c r="Y2385" s="306"/>
      <c r="Z2385" s="306"/>
      <c r="AA2385" s="306"/>
      <c r="AB2385" s="306"/>
      <c r="AC2385" s="306"/>
      <c r="AD2385" s="306"/>
      <c r="AE2385" s="306"/>
      <c r="AF2385" s="306"/>
      <c r="AG2385" s="306"/>
      <c r="AH2385" s="306"/>
      <c r="AI2385" s="306"/>
      <c r="AJ2385" s="306"/>
      <c r="AK2385" s="306"/>
      <c r="AL2385" s="306"/>
      <c r="AM2385" s="418"/>
      <c r="AN2385" s="418"/>
      <c r="AO2385" s="306"/>
      <c r="AP2385" s="306"/>
      <c r="AQ2385" s="418"/>
      <c r="AR2385" s="306"/>
      <c r="AS2385" s="306"/>
      <c r="AT2385" s="418"/>
      <c r="AU2385" s="306"/>
      <c r="AV2385" s="306"/>
      <c r="AW2385" s="306"/>
      <c r="AX2385" s="306"/>
      <c r="AY2385" s="306"/>
      <c r="AZ2385" s="306"/>
      <c r="BA2385" s="306"/>
      <c r="BB2385" s="306"/>
    </row>
    <row r="2386" spans="1:54" ht="15.75" customHeight="1">
      <c r="A2386" s="317"/>
      <c r="B2386" s="430"/>
      <c r="C2386" s="317"/>
      <c r="E2386" s="306"/>
      <c r="F2386" s="431"/>
      <c r="G2386" s="431"/>
      <c r="H2386" s="298"/>
      <c r="I2386" s="432"/>
      <c r="J2386" s="433"/>
      <c r="K2386" s="306"/>
      <c r="L2386" s="306"/>
      <c r="M2386" s="306"/>
      <c r="N2386" s="298"/>
      <c r="O2386" s="298"/>
      <c r="P2386" s="298"/>
      <c r="Q2386" s="306"/>
      <c r="R2386" s="1023"/>
      <c r="S2386" s="1023"/>
      <c r="T2386" s="306"/>
      <c r="U2386" s="306"/>
      <c r="V2386" s="306"/>
      <c r="W2386" s="306"/>
      <c r="X2386" s="306"/>
      <c r="Y2386" s="306"/>
      <c r="Z2386" s="306"/>
      <c r="AA2386" s="306"/>
      <c r="AB2386" s="306"/>
      <c r="AC2386" s="306"/>
      <c r="AD2386" s="306"/>
      <c r="AE2386" s="306"/>
      <c r="AF2386" s="306"/>
      <c r="AG2386" s="306"/>
      <c r="AH2386" s="306"/>
      <c r="AI2386" s="306"/>
      <c r="AJ2386" s="306"/>
      <c r="AK2386" s="306"/>
      <c r="AL2386" s="306"/>
      <c r="AM2386" s="418"/>
      <c r="AN2386" s="418"/>
      <c r="AO2386" s="306"/>
      <c r="AP2386" s="306"/>
      <c r="AQ2386" s="418"/>
      <c r="AR2386" s="306"/>
      <c r="AS2386" s="306"/>
      <c r="AT2386" s="418"/>
      <c r="AU2386" s="306"/>
      <c r="AV2386" s="306"/>
      <c r="AW2386" s="306"/>
      <c r="AX2386" s="306"/>
      <c r="AY2386" s="306"/>
      <c r="AZ2386" s="306"/>
      <c r="BA2386" s="306"/>
      <c r="BB2386" s="306"/>
    </row>
    <row r="2387" spans="1:54" ht="15.75" customHeight="1">
      <c r="A2387" s="317"/>
      <c r="B2387" s="430"/>
      <c r="C2387" s="317"/>
      <c r="E2387" s="306"/>
      <c r="F2387" s="431"/>
      <c r="G2387" s="431"/>
      <c r="H2387" s="298"/>
      <c r="I2387" s="432"/>
      <c r="J2387" s="433"/>
      <c r="K2387" s="306"/>
      <c r="L2387" s="306"/>
      <c r="M2387" s="306"/>
      <c r="N2387" s="298"/>
      <c r="O2387" s="298"/>
      <c r="P2387" s="298"/>
      <c r="Q2387" s="306"/>
      <c r="R2387" s="1023"/>
      <c r="S2387" s="1023"/>
      <c r="T2387" s="306"/>
      <c r="U2387" s="306"/>
      <c r="V2387" s="306"/>
      <c r="W2387" s="306"/>
      <c r="X2387" s="306"/>
      <c r="Y2387" s="306"/>
      <c r="Z2387" s="306"/>
      <c r="AA2387" s="306"/>
      <c r="AB2387" s="306"/>
      <c r="AC2387" s="306"/>
      <c r="AD2387" s="306"/>
      <c r="AE2387" s="306"/>
      <c r="AF2387" s="306"/>
      <c r="AG2387" s="306"/>
      <c r="AH2387" s="306"/>
      <c r="AI2387" s="306"/>
      <c r="AJ2387" s="306"/>
      <c r="AK2387" s="306"/>
      <c r="AL2387" s="306"/>
      <c r="AM2387" s="418"/>
      <c r="AN2387" s="418"/>
      <c r="AO2387" s="306"/>
      <c r="AP2387" s="306"/>
      <c r="AQ2387" s="418"/>
      <c r="AR2387" s="306"/>
      <c r="AS2387" s="306"/>
      <c r="AT2387" s="418"/>
      <c r="AU2387" s="306"/>
      <c r="AV2387" s="306"/>
      <c r="AW2387" s="306"/>
      <c r="AX2387" s="306"/>
      <c r="AY2387" s="306"/>
      <c r="AZ2387" s="306"/>
      <c r="BA2387" s="306"/>
      <c r="BB2387" s="306"/>
    </row>
    <row r="2388" spans="1:54" ht="15.75" customHeight="1">
      <c r="A2388" s="317"/>
      <c r="B2388" s="430"/>
      <c r="C2388" s="317"/>
      <c r="E2388" s="306"/>
      <c r="F2388" s="431"/>
      <c r="G2388" s="431"/>
      <c r="H2388" s="298"/>
      <c r="I2388" s="432"/>
      <c r="J2388" s="433"/>
      <c r="K2388" s="306"/>
      <c r="L2388" s="306"/>
      <c r="M2388" s="306"/>
      <c r="N2388" s="298"/>
      <c r="O2388" s="298"/>
      <c r="P2388" s="298"/>
      <c r="Q2388" s="306"/>
      <c r="R2388" s="1023"/>
      <c r="S2388" s="1023"/>
      <c r="T2388" s="306"/>
      <c r="U2388" s="306"/>
      <c r="V2388" s="306"/>
      <c r="W2388" s="306"/>
      <c r="X2388" s="306"/>
      <c r="Y2388" s="306"/>
      <c r="Z2388" s="306"/>
      <c r="AA2388" s="306"/>
      <c r="AB2388" s="306"/>
      <c r="AC2388" s="306"/>
      <c r="AD2388" s="306"/>
      <c r="AE2388" s="306"/>
      <c r="AF2388" s="306"/>
      <c r="AG2388" s="306"/>
      <c r="AH2388" s="306"/>
      <c r="AI2388" s="306"/>
      <c r="AJ2388" s="306"/>
      <c r="AK2388" s="306"/>
      <c r="AL2388" s="306"/>
      <c r="AM2388" s="418"/>
      <c r="AN2388" s="418"/>
      <c r="AO2388" s="306"/>
      <c r="AP2388" s="306"/>
      <c r="AQ2388" s="418"/>
      <c r="AR2388" s="306"/>
      <c r="AS2388" s="306"/>
      <c r="AT2388" s="418"/>
      <c r="AU2388" s="306"/>
      <c r="AV2388" s="306"/>
      <c r="AW2388" s="306"/>
      <c r="AX2388" s="306"/>
      <c r="AY2388" s="306"/>
      <c r="AZ2388" s="306"/>
      <c r="BA2388" s="306"/>
      <c r="BB2388" s="306"/>
    </row>
    <row r="2389" spans="1:54" ht="15.75" customHeight="1">
      <c r="A2389" s="317"/>
      <c r="B2389" s="430"/>
      <c r="C2389" s="317"/>
      <c r="E2389" s="306"/>
      <c r="F2389" s="431"/>
      <c r="G2389" s="431"/>
      <c r="H2389" s="298"/>
      <c r="I2389" s="432"/>
      <c r="J2389" s="433"/>
      <c r="K2389" s="306"/>
      <c r="L2389" s="306"/>
      <c r="M2389" s="306"/>
      <c r="N2389" s="298"/>
      <c r="O2389" s="298"/>
      <c r="P2389" s="298"/>
      <c r="Q2389" s="306"/>
      <c r="R2389" s="1023"/>
      <c r="S2389" s="1023"/>
      <c r="T2389" s="306"/>
      <c r="U2389" s="306"/>
      <c r="V2389" s="306"/>
      <c r="W2389" s="306"/>
      <c r="X2389" s="306"/>
      <c r="Y2389" s="306"/>
      <c r="Z2389" s="306"/>
      <c r="AA2389" s="306"/>
      <c r="AB2389" s="306"/>
      <c r="AC2389" s="306"/>
      <c r="AD2389" s="306"/>
      <c r="AE2389" s="306"/>
      <c r="AF2389" s="306"/>
      <c r="AG2389" s="306"/>
      <c r="AH2389" s="306"/>
      <c r="AI2389" s="306"/>
      <c r="AJ2389" s="306"/>
      <c r="AK2389" s="306"/>
      <c r="AL2389" s="306"/>
      <c r="AM2389" s="418"/>
      <c r="AN2389" s="418"/>
      <c r="AO2389" s="306"/>
      <c r="AP2389" s="306"/>
      <c r="AQ2389" s="418"/>
      <c r="AR2389" s="306"/>
      <c r="AS2389" s="306"/>
      <c r="AT2389" s="418"/>
      <c r="AU2389" s="306"/>
      <c r="AV2389" s="306"/>
      <c r="AW2389" s="306"/>
      <c r="AX2389" s="306"/>
      <c r="AY2389" s="306"/>
      <c r="AZ2389" s="306"/>
      <c r="BA2389" s="306"/>
      <c r="BB2389" s="306"/>
    </row>
    <row r="2390" spans="1:54" ht="15.75" customHeight="1">
      <c r="A2390" s="317"/>
      <c r="B2390" s="430"/>
      <c r="C2390" s="317"/>
      <c r="E2390" s="306"/>
      <c r="F2390" s="431"/>
      <c r="G2390" s="431"/>
      <c r="H2390" s="298"/>
      <c r="I2390" s="432"/>
      <c r="J2390" s="433"/>
      <c r="K2390" s="306"/>
      <c r="L2390" s="306"/>
      <c r="M2390" s="306"/>
      <c r="N2390" s="298"/>
      <c r="O2390" s="298"/>
      <c r="P2390" s="298"/>
      <c r="Q2390" s="306"/>
      <c r="R2390" s="1023"/>
      <c r="S2390" s="1023"/>
      <c r="T2390" s="306"/>
      <c r="U2390" s="306"/>
      <c r="V2390" s="306"/>
      <c r="W2390" s="306"/>
      <c r="X2390" s="306"/>
      <c r="Y2390" s="306"/>
      <c r="Z2390" s="306"/>
      <c r="AA2390" s="306"/>
      <c r="AB2390" s="306"/>
      <c r="AC2390" s="306"/>
      <c r="AD2390" s="306"/>
      <c r="AE2390" s="306"/>
      <c r="AF2390" s="306"/>
      <c r="AG2390" s="306"/>
      <c r="AH2390" s="306"/>
      <c r="AI2390" s="306"/>
      <c r="AJ2390" s="306"/>
      <c r="AK2390" s="306"/>
      <c r="AL2390" s="306"/>
      <c r="AM2390" s="418"/>
      <c r="AN2390" s="418"/>
      <c r="AO2390" s="306"/>
      <c r="AP2390" s="306"/>
      <c r="AQ2390" s="418"/>
      <c r="AR2390" s="306"/>
      <c r="AS2390" s="306"/>
      <c r="AT2390" s="418"/>
      <c r="AU2390" s="306"/>
      <c r="AV2390" s="306"/>
      <c r="AW2390" s="306"/>
      <c r="AX2390" s="306"/>
      <c r="AY2390" s="306"/>
      <c r="AZ2390" s="306"/>
      <c r="BA2390" s="306"/>
      <c r="BB2390" s="306"/>
    </row>
    <row r="2391" spans="1:54" ht="15.75" customHeight="1">
      <c r="A2391" s="317"/>
      <c r="B2391" s="430"/>
      <c r="C2391" s="317"/>
      <c r="E2391" s="306"/>
      <c r="F2391" s="431"/>
      <c r="G2391" s="431"/>
      <c r="H2391" s="298"/>
      <c r="I2391" s="432"/>
      <c r="J2391" s="433"/>
      <c r="K2391" s="306"/>
      <c r="L2391" s="306"/>
      <c r="M2391" s="306"/>
      <c r="N2391" s="298"/>
      <c r="O2391" s="298"/>
      <c r="P2391" s="298"/>
      <c r="Q2391" s="306"/>
      <c r="R2391" s="1023"/>
      <c r="S2391" s="1023"/>
      <c r="T2391" s="306"/>
      <c r="U2391" s="306"/>
      <c r="V2391" s="306"/>
      <c r="W2391" s="306"/>
      <c r="X2391" s="306"/>
      <c r="Y2391" s="306"/>
      <c r="Z2391" s="306"/>
      <c r="AA2391" s="306"/>
      <c r="AB2391" s="306"/>
      <c r="AC2391" s="306"/>
      <c r="AD2391" s="306"/>
      <c r="AE2391" s="306"/>
      <c r="AF2391" s="306"/>
      <c r="AG2391" s="306"/>
      <c r="AH2391" s="306"/>
      <c r="AI2391" s="306"/>
      <c r="AJ2391" s="306"/>
      <c r="AK2391" s="306"/>
      <c r="AL2391" s="306"/>
      <c r="AM2391" s="418"/>
      <c r="AN2391" s="418"/>
      <c r="AO2391" s="306"/>
      <c r="AP2391" s="306"/>
      <c r="AQ2391" s="418"/>
      <c r="AR2391" s="306"/>
      <c r="AS2391" s="306"/>
      <c r="AT2391" s="418"/>
      <c r="AU2391" s="306"/>
      <c r="AV2391" s="306"/>
      <c r="AW2391" s="306"/>
      <c r="AX2391" s="306"/>
      <c r="AY2391" s="306"/>
      <c r="AZ2391" s="306"/>
      <c r="BA2391" s="306"/>
      <c r="BB2391" s="306"/>
    </row>
    <row r="2392" spans="1:54" ht="15.75" customHeight="1">
      <c r="A2392" s="317"/>
      <c r="B2392" s="430"/>
      <c r="C2392" s="317"/>
      <c r="E2392" s="306"/>
      <c r="F2392" s="431"/>
      <c r="G2392" s="431"/>
      <c r="H2392" s="298"/>
      <c r="I2392" s="432"/>
      <c r="J2392" s="433"/>
      <c r="K2392" s="306"/>
      <c r="L2392" s="306"/>
      <c r="M2392" s="306"/>
      <c r="N2392" s="298"/>
      <c r="O2392" s="298"/>
      <c r="P2392" s="298"/>
      <c r="Q2392" s="306"/>
      <c r="R2392" s="1023"/>
      <c r="S2392" s="1023"/>
      <c r="T2392" s="306"/>
      <c r="U2392" s="306"/>
      <c r="V2392" s="306"/>
      <c r="W2392" s="306"/>
      <c r="X2392" s="306"/>
      <c r="Y2392" s="306"/>
      <c r="Z2392" s="306"/>
      <c r="AA2392" s="306"/>
      <c r="AB2392" s="306"/>
      <c r="AC2392" s="306"/>
      <c r="AD2392" s="306"/>
      <c r="AE2392" s="306"/>
      <c r="AF2392" s="306"/>
      <c r="AG2392" s="306"/>
      <c r="AH2392" s="306"/>
      <c r="AI2392" s="306"/>
      <c r="AJ2392" s="306"/>
      <c r="AK2392" s="306"/>
      <c r="AL2392" s="306"/>
      <c r="AM2392" s="418"/>
      <c r="AN2392" s="418"/>
      <c r="AO2392" s="306"/>
      <c r="AP2392" s="306"/>
      <c r="AQ2392" s="418"/>
      <c r="AR2392" s="306"/>
      <c r="AS2392" s="306"/>
      <c r="AT2392" s="418"/>
      <c r="AU2392" s="306"/>
      <c r="AV2392" s="306"/>
      <c r="AW2392" s="306"/>
      <c r="AX2392" s="306"/>
      <c r="AY2392" s="306"/>
      <c r="AZ2392" s="306"/>
      <c r="BA2392" s="306"/>
      <c r="BB2392" s="306"/>
    </row>
    <row r="2393" spans="1:54" ht="15.75" customHeight="1">
      <c r="A2393" s="317"/>
      <c r="B2393" s="430"/>
      <c r="C2393" s="317"/>
      <c r="E2393" s="306"/>
      <c r="F2393" s="431"/>
      <c r="G2393" s="431"/>
      <c r="H2393" s="298"/>
      <c r="I2393" s="432"/>
      <c r="J2393" s="433"/>
      <c r="K2393" s="306"/>
      <c r="L2393" s="306"/>
      <c r="M2393" s="306"/>
      <c r="N2393" s="298"/>
      <c r="O2393" s="298"/>
      <c r="P2393" s="298"/>
      <c r="Q2393" s="306"/>
      <c r="R2393" s="1023"/>
      <c r="S2393" s="1023"/>
      <c r="T2393" s="306"/>
      <c r="U2393" s="306"/>
      <c r="V2393" s="306"/>
      <c r="W2393" s="306"/>
      <c r="X2393" s="306"/>
      <c r="Y2393" s="306"/>
      <c r="Z2393" s="306"/>
      <c r="AA2393" s="306"/>
      <c r="AB2393" s="306"/>
      <c r="AC2393" s="306"/>
      <c r="AD2393" s="306"/>
      <c r="AE2393" s="306"/>
      <c r="AF2393" s="306"/>
      <c r="AG2393" s="306"/>
      <c r="AH2393" s="306"/>
      <c r="AI2393" s="306"/>
      <c r="AJ2393" s="306"/>
      <c r="AK2393" s="306"/>
      <c r="AL2393" s="306"/>
      <c r="AM2393" s="418"/>
      <c r="AN2393" s="418"/>
      <c r="AO2393" s="306"/>
      <c r="AP2393" s="306"/>
      <c r="AQ2393" s="418"/>
      <c r="AR2393" s="306"/>
      <c r="AS2393" s="306"/>
      <c r="AT2393" s="418"/>
      <c r="AU2393" s="306"/>
      <c r="AV2393" s="306"/>
      <c r="AW2393" s="306"/>
      <c r="AX2393" s="306"/>
      <c r="AY2393" s="306"/>
      <c r="AZ2393" s="306"/>
      <c r="BA2393" s="306"/>
      <c r="BB2393" s="306"/>
    </row>
    <row r="2394" spans="1:54" ht="15.75" customHeight="1">
      <c r="A2394" s="317"/>
      <c r="B2394" s="430"/>
      <c r="C2394" s="317"/>
      <c r="E2394" s="306"/>
      <c r="F2394" s="431"/>
      <c r="G2394" s="431"/>
      <c r="H2394" s="298"/>
      <c r="I2394" s="432"/>
      <c r="J2394" s="433"/>
      <c r="K2394" s="306"/>
      <c r="L2394" s="306"/>
      <c r="M2394" s="306"/>
      <c r="N2394" s="298"/>
      <c r="O2394" s="298"/>
      <c r="P2394" s="298"/>
      <c r="Q2394" s="306"/>
      <c r="R2394" s="1023"/>
      <c r="S2394" s="1023"/>
      <c r="T2394" s="306"/>
      <c r="U2394" s="306"/>
      <c r="V2394" s="306"/>
      <c r="W2394" s="306"/>
      <c r="X2394" s="306"/>
      <c r="Y2394" s="306"/>
      <c r="Z2394" s="306"/>
      <c r="AA2394" s="306"/>
      <c r="AB2394" s="306"/>
      <c r="AC2394" s="306"/>
      <c r="AD2394" s="306"/>
      <c r="AE2394" s="306"/>
      <c r="AF2394" s="306"/>
      <c r="AG2394" s="306"/>
      <c r="AH2394" s="306"/>
      <c r="AI2394" s="306"/>
      <c r="AJ2394" s="306"/>
      <c r="AK2394" s="306"/>
      <c r="AL2394" s="306"/>
      <c r="AM2394" s="418"/>
      <c r="AN2394" s="418"/>
      <c r="AO2394" s="306"/>
      <c r="AP2394" s="306"/>
      <c r="AQ2394" s="418"/>
      <c r="AR2394" s="306"/>
      <c r="AS2394" s="306"/>
      <c r="AT2394" s="418"/>
      <c r="AU2394" s="306"/>
      <c r="AV2394" s="306"/>
      <c r="AW2394" s="306"/>
      <c r="AX2394" s="306"/>
      <c r="AY2394" s="306"/>
      <c r="AZ2394" s="306"/>
      <c r="BA2394" s="306"/>
      <c r="BB2394" s="306"/>
    </row>
    <row r="2395" spans="1:54" ht="15.75" customHeight="1">
      <c r="A2395" s="317"/>
      <c r="B2395" s="430"/>
      <c r="C2395" s="317"/>
      <c r="E2395" s="306"/>
      <c r="F2395" s="431"/>
      <c r="G2395" s="431"/>
      <c r="H2395" s="298"/>
      <c r="I2395" s="432"/>
      <c r="J2395" s="433"/>
      <c r="K2395" s="306"/>
      <c r="L2395" s="306"/>
      <c r="M2395" s="306"/>
      <c r="N2395" s="298"/>
      <c r="O2395" s="298"/>
      <c r="P2395" s="298"/>
      <c r="Q2395" s="306"/>
      <c r="R2395" s="1023"/>
      <c r="S2395" s="1023"/>
      <c r="T2395" s="306"/>
      <c r="U2395" s="306"/>
      <c r="V2395" s="306"/>
      <c r="W2395" s="306"/>
      <c r="X2395" s="306"/>
      <c r="Y2395" s="306"/>
      <c r="Z2395" s="306"/>
      <c r="AA2395" s="306"/>
      <c r="AB2395" s="306"/>
      <c r="AC2395" s="306"/>
      <c r="AD2395" s="306"/>
      <c r="AE2395" s="306"/>
      <c r="AF2395" s="306"/>
      <c r="AG2395" s="306"/>
      <c r="AH2395" s="306"/>
      <c r="AI2395" s="306"/>
      <c r="AJ2395" s="306"/>
      <c r="AK2395" s="306"/>
      <c r="AL2395" s="306"/>
      <c r="AM2395" s="418"/>
      <c r="AN2395" s="418"/>
      <c r="AO2395" s="306"/>
      <c r="AP2395" s="306"/>
      <c r="AQ2395" s="418"/>
      <c r="AR2395" s="306"/>
      <c r="AS2395" s="306"/>
      <c r="AT2395" s="418"/>
      <c r="AU2395" s="306"/>
      <c r="AV2395" s="306"/>
      <c r="AW2395" s="306"/>
      <c r="AX2395" s="306"/>
      <c r="AY2395" s="306"/>
      <c r="AZ2395" s="306"/>
      <c r="BA2395" s="306"/>
      <c r="BB2395" s="306"/>
    </row>
    <row r="2396" spans="1:54" ht="15.75" customHeight="1">
      <c r="A2396" s="317"/>
      <c r="B2396" s="430"/>
      <c r="C2396" s="317"/>
      <c r="E2396" s="306"/>
      <c r="F2396" s="431"/>
      <c r="G2396" s="431"/>
      <c r="H2396" s="298"/>
      <c r="I2396" s="432"/>
      <c r="J2396" s="433"/>
      <c r="K2396" s="306"/>
      <c r="L2396" s="306"/>
      <c r="M2396" s="306"/>
      <c r="N2396" s="298"/>
      <c r="O2396" s="298"/>
      <c r="P2396" s="298"/>
      <c r="Q2396" s="306"/>
      <c r="R2396" s="1023"/>
      <c r="S2396" s="1023"/>
      <c r="T2396" s="306"/>
      <c r="U2396" s="306"/>
      <c r="V2396" s="306"/>
      <c r="W2396" s="306"/>
      <c r="X2396" s="306"/>
      <c r="Y2396" s="306"/>
      <c r="Z2396" s="306"/>
      <c r="AA2396" s="306"/>
      <c r="AB2396" s="306"/>
      <c r="AC2396" s="306"/>
      <c r="AD2396" s="306"/>
      <c r="AE2396" s="306"/>
      <c r="AF2396" s="306"/>
      <c r="AG2396" s="306"/>
      <c r="AH2396" s="306"/>
      <c r="AI2396" s="306"/>
      <c r="AJ2396" s="306"/>
      <c r="AK2396" s="306"/>
      <c r="AL2396" s="306"/>
      <c r="AM2396" s="418"/>
      <c r="AN2396" s="418"/>
      <c r="AO2396" s="306"/>
      <c r="AP2396" s="306"/>
      <c r="AQ2396" s="418"/>
      <c r="AR2396" s="306"/>
      <c r="AS2396" s="306"/>
      <c r="AT2396" s="418"/>
      <c r="AU2396" s="306"/>
      <c r="AV2396" s="306"/>
      <c r="AW2396" s="306"/>
      <c r="AX2396" s="306"/>
      <c r="AY2396" s="306"/>
      <c r="AZ2396" s="306"/>
      <c r="BA2396" s="306"/>
      <c r="BB2396" s="306"/>
    </row>
    <row r="2397" spans="1:54" ht="15.75" customHeight="1">
      <c r="A2397" s="317"/>
      <c r="B2397" s="430"/>
      <c r="C2397" s="317"/>
      <c r="E2397" s="306"/>
      <c r="F2397" s="431"/>
      <c r="G2397" s="431"/>
      <c r="H2397" s="298"/>
      <c r="I2397" s="432"/>
      <c r="J2397" s="433"/>
      <c r="K2397" s="306"/>
      <c r="L2397" s="306"/>
      <c r="M2397" s="306"/>
      <c r="N2397" s="298"/>
      <c r="O2397" s="298"/>
      <c r="P2397" s="298"/>
      <c r="Q2397" s="306"/>
      <c r="R2397" s="1023"/>
      <c r="S2397" s="1023"/>
      <c r="T2397" s="306"/>
      <c r="U2397" s="306"/>
      <c r="V2397" s="306"/>
      <c r="W2397" s="306"/>
      <c r="X2397" s="306"/>
      <c r="Y2397" s="306"/>
      <c r="Z2397" s="306"/>
      <c r="AA2397" s="306"/>
      <c r="AB2397" s="306"/>
      <c r="AC2397" s="306"/>
      <c r="AD2397" s="306"/>
      <c r="AE2397" s="306"/>
      <c r="AF2397" s="306"/>
      <c r="AG2397" s="306"/>
      <c r="AH2397" s="306"/>
      <c r="AI2397" s="306"/>
      <c r="AJ2397" s="306"/>
      <c r="AK2397" s="306"/>
      <c r="AL2397" s="306"/>
      <c r="AM2397" s="418"/>
      <c r="AN2397" s="418"/>
      <c r="AO2397" s="306"/>
      <c r="AP2397" s="306"/>
      <c r="AQ2397" s="418"/>
      <c r="AR2397" s="306"/>
      <c r="AS2397" s="306"/>
      <c r="AT2397" s="418"/>
      <c r="AU2397" s="306"/>
      <c r="AV2397" s="306"/>
      <c r="AW2397" s="306"/>
      <c r="AX2397" s="306"/>
      <c r="AY2397" s="306"/>
      <c r="AZ2397" s="306"/>
      <c r="BA2397" s="306"/>
      <c r="BB2397" s="306"/>
    </row>
    <row r="2398" spans="1:54" ht="15.75" customHeight="1">
      <c r="A2398" s="317"/>
      <c r="B2398" s="430"/>
      <c r="C2398" s="317"/>
      <c r="E2398" s="306"/>
      <c r="F2398" s="431"/>
      <c r="G2398" s="431"/>
      <c r="H2398" s="298"/>
      <c r="I2398" s="432"/>
      <c r="J2398" s="433"/>
      <c r="K2398" s="306"/>
      <c r="L2398" s="306"/>
      <c r="M2398" s="306"/>
      <c r="N2398" s="298"/>
      <c r="O2398" s="298"/>
      <c r="P2398" s="298"/>
      <c r="Q2398" s="306"/>
      <c r="R2398" s="1023"/>
      <c r="S2398" s="1023"/>
      <c r="T2398" s="306"/>
      <c r="U2398" s="306"/>
      <c r="V2398" s="306"/>
      <c r="W2398" s="306"/>
      <c r="X2398" s="306"/>
      <c r="Y2398" s="306"/>
      <c r="Z2398" s="306"/>
      <c r="AA2398" s="306"/>
      <c r="AB2398" s="306"/>
      <c r="AC2398" s="306"/>
      <c r="AD2398" s="306"/>
      <c r="AE2398" s="306"/>
      <c r="AF2398" s="306"/>
      <c r="AG2398" s="306"/>
      <c r="AH2398" s="306"/>
      <c r="AI2398" s="306"/>
      <c r="AJ2398" s="306"/>
      <c r="AK2398" s="306"/>
      <c r="AL2398" s="306"/>
      <c r="AM2398" s="418"/>
      <c r="AN2398" s="418"/>
      <c r="AO2398" s="306"/>
      <c r="AP2398" s="306"/>
      <c r="AQ2398" s="418"/>
      <c r="AR2398" s="306"/>
      <c r="AS2398" s="306"/>
      <c r="AT2398" s="418"/>
      <c r="AU2398" s="306"/>
      <c r="AV2398" s="306"/>
      <c r="AW2398" s="306"/>
      <c r="AX2398" s="306"/>
      <c r="AY2398" s="306"/>
      <c r="AZ2398" s="306"/>
      <c r="BA2398" s="306"/>
      <c r="BB2398" s="306"/>
    </row>
    <row r="2399" spans="1:54" ht="15.75" customHeight="1">
      <c r="A2399" s="317"/>
      <c r="B2399" s="430"/>
      <c r="C2399" s="317"/>
      <c r="E2399" s="306"/>
      <c r="F2399" s="431"/>
      <c r="G2399" s="431"/>
      <c r="H2399" s="298"/>
      <c r="I2399" s="432"/>
      <c r="J2399" s="433"/>
      <c r="K2399" s="306"/>
      <c r="L2399" s="306"/>
      <c r="M2399" s="306"/>
      <c r="N2399" s="298"/>
      <c r="O2399" s="298"/>
      <c r="P2399" s="298"/>
      <c r="Q2399" s="306"/>
      <c r="R2399" s="1023"/>
      <c r="S2399" s="1023"/>
      <c r="T2399" s="306"/>
      <c r="U2399" s="306"/>
      <c r="V2399" s="306"/>
      <c r="W2399" s="306"/>
      <c r="X2399" s="306"/>
      <c r="Y2399" s="306"/>
      <c r="Z2399" s="306"/>
      <c r="AA2399" s="306"/>
      <c r="AB2399" s="306"/>
      <c r="AC2399" s="306"/>
      <c r="AD2399" s="306"/>
      <c r="AE2399" s="306"/>
      <c r="AF2399" s="306"/>
      <c r="AG2399" s="306"/>
      <c r="AH2399" s="306"/>
      <c r="AI2399" s="306"/>
      <c r="AJ2399" s="306"/>
      <c r="AK2399" s="306"/>
      <c r="AL2399" s="306"/>
      <c r="AM2399" s="418"/>
      <c r="AN2399" s="418"/>
      <c r="AO2399" s="306"/>
      <c r="AP2399" s="306"/>
      <c r="AQ2399" s="418"/>
      <c r="AR2399" s="306"/>
      <c r="AS2399" s="306"/>
      <c r="AT2399" s="418"/>
      <c r="AU2399" s="306"/>
      <c r="AV2399" s="306"/>
      <c r="AW2399" s="306"/>
      <c r="AX2399" s="306"/>
      <c r="AY2399" s="306"/>
      <c r="AZ2399" s="306"/>
      <c r="BA2399" s="306"/>
      <c r="BB2399" s="306"/>
    </row>
    <row r="2400" spans="1:54" ht="15.75" customHeight="1">
      <c r="A2400" s="317"/>
      <c r="B2400" s="430"/>
      <c r="C2400" s="317"/>
      <c r="E2400" s="306"/>
      <c r="F2400" s="431"/>
      <c r="G2400" s="431"/>
      <c r="H2400" s="298"/>
      <c r="I2400" s="432"/>
      <c r="J2400" s="433"/>
      <c r="K2400" s="306"/>
      <c r="L2400" s="306"/>
      <c r="M2400" s="306"/>
      <c r="N2400" s="298"/>
      <c r="O2400" s="298"/>
      <c r="P2400" s="298"/>
      <c r="Q2400" s="306"/>
      <c r="R2400" s="1023"/>
      <c r="S2400" s="1023"/>
      <c r="T2400" s="306"/>
      <c r="U2400" s="306"/>
      <c r="V2400" s="306"/>
      <c r="W2400" s="306"/>
      <c r="X2400" s="306"/>
      <c r="Y2400" s="306"/>
      <c r="Z2400" s="306"/>
      <c r="AA2400" s="306"/>
      <c r="AB2400" s="306"/>
      <c r="AC2400" s="306"/>
      <c r="AD2400" s="306"/>
      <c r="AE2400" s="306"/>
      <c r="AF2400" s="306"/>
      <c r="AG2400" s="306"/>
      <c r="AH2400" s="306"/>
      <c r="AI2400" s="306"/>
      <c r="AJ2400" s="306"/>
      <c r="AK2400" s="306"/>
      <c r="AL2400" s="306"/>
      <c r="AM2400" s="418"/>
      <c r="AN2400" s="418"/>
      <c r="AO2400" s="306"/>
      <c r="AP2400" s="306"/>
      <c r="AQ2400" s="418"/>
      <c r="AR2400" s="306"/>
      <c r="AS2400" s="306"/>
      <c r="AT2400" s="418"/>
      <c r="AU2400" s="306"/>
      <c r="AV2400" s="306"/>
      <c r="AW2400" s="306"/>
      <c r="AX2400" s="306"/>
      <c r="AY2400" s="306"/>
      <c r="AZ2400" s="306"/>
      <c r="BA2400" s="306"/>
      <c r="BB2400" s="306"/>
    </row>
    <row r="2401" spans="1:54" ht="15.75" customHeight="1">
      <c r="A2401" s="317"/>
      <c r="B2401" s="430"/>
      <c r="C2401" s="317"/>
      <c r="E2401" s="306"/>
      <c r="F2401" s="431"/>
      <c r="G2401" s="431"/>
      <c r="H2401" s="298"/>
      <c r="I2401" s="432"/>
      <c r="J2401" s="433"/>
      <c r="K2401" s="306"/>
      <c r="L2401" s="306"/>
      <c r="M2401" s="306"/>
      <c r="N2401" s="298"/>
      <c r="O2401" s="298"/>
      <c r="P2401" s="298"/>
      <c r="Q2401" s="306"/>
      <c r="R2401" s="1023"/>
      <c r="S2401" s="1023"/>
      <c r="T2401" s="306"/>
      <c r="U2401" s="306"/>
      <c r="V2401" s="306"/>
      <c r="W2401" s="306"/>
      <c r="X2401" s="306"/>
      <c r="Y2401" s="306"/>
      <c r="Z2401" s="306"/>
      <c r="AA2401" s="306"/>
      <c r="AB2401" s="306"/>
      <c r="AC2401" s="306"/>
      <c r="AD2401" s="306"/>
      <c r="AE2401" s="306"/>
      <c r="AF2401" s="306"/>
      <c r="AG2401" s="306"/>
      <c r="AH2401" s="306"/>
      <c r="AI2401" s="306"/>
      <c r="AJ2401" s="306"/>
      <c r="AK2401" s="306"/>
      <c r="AL2401" s="306"/>
      <c r="AM2401" s="418"/>
      <c r="AN2401" s="418"/>
      <c r="AO2401" s="306"/>
      <c r="AP2401" s="306"/>
      <c r="AQ2401" s="418"/>
      <c r="AR2401" s="306"/>
      <c r="AS2401" s="306"/>
      <c r="AT2401" s="418"/>
      <c r="AU2401" s="306"/>
      <c r="AV2401" s="306"/>
      <c r="AW2401" s="306"/>
      <c r="AX2401" s="306"/>
      <c r="AY2401" s="306"/>
      <c r="AZ2401" s="306"/>
      <c r="BA2401" s="306"/>
      <c r="BB2401" s="306"/>
    </row>
    <row r="2402" spans="1:54" ht="15.75" customHeight="1">
      <c r="A2402" s="317"/>
      <c r="B2402" s="430"/>
      <c r="C2402" s="317"/>
      <c r="E2402" s="306"/>
      <c r="F2402" s="431"/>
      <c r="G2402" s="431"/>
      <c r="H2402" s="298"/>
      <c r="I2402" s="432"/>
      <c r="J2402" s="433"/>
      <c r="K2402" s="306"/>
      <c r="L2402" s="306"/>
      <c r="M2402" s="306"/>
      <c r="N2402" s="298"/>
      <c r="O2402" s="298"/>
      <c r="P2402" s="298"/>
      <c r="Q2402" s="306"/>
      <c r="R2402" s="1023"/>
      <c r="S2402" s="1023"/>
      <c r="T2402" s="306"/>
      <c r="U2402" s="306"/>
      <c r="V2402" s="306"/>
      <c r="W2402" s="306"/>
      <c r="X2402" s="306"/>
      <c r="Y2402" s="306"/>
      <c r="Z2402" s="306"/>
      <c r="AA2402" s="306"/>
      <c r="AB2402" s="306"/>
      <c r="AC2402" s="306"/>
      <c r="AD2402" s="306"/>
      <c r="AE2402" s="306"/>
      <c r="AF2402" s="306"/>
      <c r="AG2402" s="306"/>
      <c r="AH2402" s="306"/>
      <c r="AI2402" s="306"/>
      <c r="AJ2402" s="306"/>
      <c r="AK2402" s="306"/>
      <c r="AL2402" s="306"/>
      <c r="AM2402" s="418"/>
      <c r="AN2402" s="418"/>
      <c r="AO2402" s="306"/>
      <c r="AP2402" s="306"/>
      <c r="AQ2402" s="418"/>
      <c r="AR2402" s="306"/>
      <c r="AS2402" s="306"/>
      <c r="AT2402" s="418"/>
      <c r="AU2402" s="306"/>
      <c r="AV2402" s="306"/>
      <c r="AW2402" s="306"/>
      <c r="AX2402" s="306"/>
      <c r="AY2402" s="306"/>
      <c r="AZ2402" s="306"/>
      <c r="BA2402" s="306"/>
      <c r="BB2402" s="306"/>
    </row>
    <row r="2403" spans="1:54" ht="15.75" customHeight="1">
      <c r="A2403" s="317"/>
      <c r="B2403" s="430"/>
      <c r="C2403" s="317"/>
      <c r="E2403" s="306"/>
      <c r="F2403" s="431"/>
      <c r="G2403" s="431"/>
      <c r="H2403" s="298"/>
      <c r="I2403" s="432"/>
      <c r="J2403" s="433"/>
      <c r="K2403" s="306"/>
      <c r="L2403" s="306"/>
      <c r="M2403" s="306"/>
      <c r="N2403" s="298"/>
      <c r="O2403" s="298"/>
      <c r="P2403" s="298"/>
      <c r="Q2403" s="306"/>
      <c r="R2403" s="1023"/>
      <c r="S2403" s="1023"/>
      <c r="T2403" s="306"/>
      <c r="U2403" s="306"/>
      <c r="V2403" s="306"/>
      <c r="W2403" s="306"/>
      <c r="X2403" s="306"/>
      <c r="Y2403" s="306"/>
      <c r="Z2403" s="306"/>
      <c r="AA2403" s="306"/>
      <c r="AB2403" s="306"/>
      <c r="AC2403" s="306"/>
      <c r="AD2403" s="306"/>
      <c r="AE2403" s="306"/>
      <c r="AF2403" s="306"/>
      <c r="AG2403" s="306"/>
      <c r="AH2403" s="306"/>
      <c r="AI2403" s="306"/>
      <c r="AJ2403" s="306"/>
      <c r="AK2403" s="306"/>
      <c r="AL2403" s="306"/>
      <c r="AM2403" s="418"/>
      <c r="AN2403" s="418"/>
      <c r="AO2403" s="306"/>
      <c r="AP2403" s="306"/>
      <c r="AQ2403" s="418"/>
      <c r="AR2403" s="306"/>
      <c r="AS2403" s="306"/>
      <c r="AT2403" s="418"/>
      <c r="AU2403" s="306"/>
      <c r="AV2403" s="306"/>
      <c r="AW2403" s="306"/>
      <c r="AX2403" s="306"/>
      <c r="AY2403" s="306"/>
      <c r="AZ2403" s="306"/>
      <c r="BA2403" s="306"/>
      <c r="BB2403" s="306"/>
    </row>
    <row r="2404" spans="1:54" ht="15.75" customHeight="1">
      <c r="A2404" s="317"/>
      <c r="B2404" s="430"/>
      <c r="C2404" s="317"/>
      <c r="E2404" s="306"/>
      <c r="F2404" s="431"/>
      <c r="G2404" s="431"/>
      <c r="H2404" s="306"/>
      <c r="I2404" s="431"/>
      <c r="J2404" s="435"/>
      <c r="K2404" s="306"/>
      <c r="L2404" s="306"/>
      <c r="M2404" s="306"/>
      <c r="N2404" s="298"/>
      <c r="O2404" s="298"/>
      <c r="P2404" s="298"/>
      <c r="Q2404" s="306"/>
      <c r="R2404" s="1023"/>
      <c r="S2404" s="1023"/>
      <c r="T2404" s="306"/>
      <c r="U2404" s="306"/>
      <c r="V2404" s="306"/>
      <c r="W2404" s="306"/>
      <c r="X2404" s="306"/>
      <c r="Y2404" s="306"/>
      <c r="Z2404" s="306"/>
      <c r="AA2404" s="306"/>
      <c r="AB2404" s="306"/>
      <c r="AC2404" s="306"/>
      <c r="AD2404" s="306"/>
      <c r="AE2404" s="306"/>
      <c r="AF2404" s="306"/>
      <c r="AG2404" s="306"/>
      <c r="AH2404" s="306"/>
      <c r="AI2404" s="306"/>
      <c r="AJ2404" s="306"/>
      <c r="AK2404" s="306"/>
      <c r="AL2404" s="306"/>
      <c r="AM2404" s="418"/>
      <c r="AN2404" s="418"/>
      <c r="AO2404" s="306"/>
      <c r="AP2404" s="306"/>
      <c r="AQ2404" s="418"/>
      <c r="AR2404" s="306"/>
      <c r="AS2404" s="306"/>
      <c r="AT2404" s="418"/>
      <c r="AU2404" s="306"/>
      <c r="AV2404" s="306"/>
      <c r="AW2404" s="306"/>
      <c r="AX2404" s="306"/>
      <c r="AY2404" s="306"/>
      <c r="AZ2404" s="306"/>
      <c r="BA2404" s="306"/>
      <c r="BB2404" s="306"/>
    </row>
    <row r="2405" spans="1:54" ht="15.75" customHeight="1">
      <c r="A2405" s="317"/>
      <c r="B2405" s="430"/>
      <c r="C2405" s="317"/>
      <c r="E2405" s="306"/>
      <c r="F2405" s="431"/>
      <c r="G2405" s="431"/>
      <c r="H2405" s="306"/>
      <c r="I2405" s="431"/>
      <c r="J2405" s="435"/>
      <c r="K2405" s="306"/>
      <c r="L2405" s="306"/>
      <c r="M2405" s="306"/>
      <c r="N2405" s="298"/>
      <c r="O2405" s="298"/>
      <c r="P2405" s="298"/>
      <c r="Q2405" s="306"/>
      <c r="R2405" s="1023"/>
      <c r="S2405" s="1023"/>
      <c r="T2405" s="306"/>
      <c r="U2405" s="306"/>
      <c r="V2405" s="306"/>
      <c r="W2405" s="306"/>
      <c r="X2405" s="306"/>
      <c r="Y2405" s="306"/>
      <c r="Z2405" s="306"/>
      <c r="AA2405" s="306"/>
      <c r="AB2405" s="306"/>
      <c r="AC2405" s="306"/>
      <c r="AD2405" s="306"/>
      <c r="AE2405" s="306"/>
      <c r="AF2405" s="306"/>
      <c r="AG2405" s="306"/>
      <c r="AH2405" s="306"/>
      <c r="AI2405" s="306"/>
      <c r="AJ2405" s="306"/>
      <c r="AK2405" s="306"/>
      <c r="AL2405" s="306"/>
      <c r="AM2405" s="418"/>
      <c r="AN2405" s="418"/>
      <c r="AO2405" s="306"/>
      <c r="AP2405" s="306"/>
      <c r="AQ2405" s="418"/>
      <c r="AR2405" s="306"/>
      <c r="AS2405" s="306"/>
      <c r="AT2405" s="418"/>
      <c r="AU2405" s="306"/>
      <c r="AV2405" s="306"/>
      <c r="AW2405" s="306"/>
      <c r="AX2405" s="306"/>
      <c r="AY2405" s="306"/>
      <c r="AZ2405" s="306"/>
      <c r="BA2405" s="306"/>
      <c r="BB2405" s="306"/>
    </row>
    <row r="2406" spans="1:54" ht="15.75" customHeight="1">
      <c r="A2406" s="317"/>
      <c r="B2406" s="430"/>
      <c r="C2406" s="317"/>
      <c r="E2406" s="306"/>
      <c r="F2406" s="431"/>
      <c r="G2406" s="431"/>
      <c r="H2406" s="306"/>
      <c r="I2406" s="431"/>
      <c r="J2406" s="435"/>
      <c r="K2406" s="306"/>
      <c r="L2406" s="306"/>
      <c r="M2406" s="306"/>
      <c r="N2406" s="298"/>
      <c r="O2406" s="298"/>
      <c r="P2406" s="298"/>
      <c r="Q2406" s="306"/>
      <c r="R2406" s="1023"/>
      <c r="S2406" s="1023"/>
      <c r="T2406" s="306"/>
      <c r="U2406" s="306"/>
      <c r="V2406" s="306"/>
      <c r="W2406" s="306"/>
      <c r="X2406" s="306"/>
      <c r="Y2406" s="306"/>
      <c r="Z2406" s="306"/>
      <c r="AA2406" s="306"/>
      <c r="AB2406" s="306"/>
      <c r="AC2406" s="306"/>
      <c r="AD2406" s="306"/>
      <c r="AE2406" s="306"/>
      <c r="AF2406" s="306"/>
      <c r="AG2406" s="306"/>
      <c r="AH2406" s="306"/>
      <c r="AI2406" s="306"/>
      <c r="AJ2406" s="306"/>
      <c r="AK2406" s="306"/>
      <c r="AL2406" s="306"/>
      <c r="AM2406" s="418"/>
      <c r="AN2406" s="418"/>
      <c r="AO2406" s="306"/>
      <c r="AP2406" s="306"/>
      <c r="AQ2406" s="418"/>
      <c r="AR2406" s="306"/>
      <c r="AS2406" s="306"/>
      <c r="AT2406" s="418"/>
      <c r="AU2406" s="306"/>
      <c r="AV2406" s="306"/>
      <c r="AW2406" s="306"/>
      <c r="AX2406" s="306"/>
      <c r="AY2406" s="306"/>
      <c r="AZ2406" s="306"/>
      <c r="BA2406" s="306"/>
      <c r="BB2406" s="306"/>
    </row>
    <row r="2407" spans="1:54" ht="15.75" customHeight="1">
      <c r="A2407" s="317"/>
      <c r="B2407" s="430"/>
      <c r="C2407" s="317"/>
      <c r="E2407" s="306"/>
      <c r="F2407" s="431"/>
      <c r="G2407" s="431"/>
      <c r="H2407" s="306"/>
      <c r="I2407" s="431"/>
      <c r="J2407" s="435"/>
      <c r="K2407" s="306"/>
      <c r="L2407" s="306"/>
      <c r="M2407" s="306"/>
      <c r="N2407" s="298"/>
      <c r="O2407" s="298"/>
      <c r="P2407" s="298"/>
      <c r="Q2407" s="306"/>
      <c r="R2407" s="1023"/>
      <c r="S2407" s="1023"/>
      <c r="T2407" s="306"/>
      <c r="U2407" s="306"/>
      <c r="V2407" s="306"/>
      <c r="W2407" s="306"/>
      <c r="X2407" s="306"/>
      <c r="Y2407" s="306"/>
      <c r="Z2407" s="306"/>
      <c r="AA2407" s="306"/>
      <c r="AB2407" s="306"/>
      <c r="AC2407" s="306"/>
      <c r="AD2407" s="306"/>
      <c r="AE2407" s="306"/>
      <c r="AF2407" s="306"/>
      <c r="AG2407" s="306"/>
      <c r="AH2407" s="306"/>
      <c r="AI2407" s="306"/>
      <c r="AJ2407" s="306"/>
      <c r="AK2407" s="306"/>
      <c r="AL2407" s="306"/>
      <c r="AM2407" s="418"/>
      <c r="AN2407" s="418"/>
      <c r="AO2407" s="306"/>
      <c r="AP2407" s="306"/>
      <c r="AQ2407" s="418"/>
      <c r="AR2407" s="306"/>
      <c r="AS2407" s="306"/>
      <c r="AT2407" s="418"/>
      <c r="AU2407" s="306"/>
      <c r="AV2407" s="306"/>
      <c r="AW2407" s="306"/>
      <c r="AX2407" s="306"/>
      <c r="AY2407" s="306"/>
      <c r="AZ2407" s="306"/>
      <c r="BA2407" s="306"/>
      <c r="BB2407" s="306"/>
    </row>
    <row r="2408" spans="1:54" ht="15.75" customHeight="1">
      <c r="A2408" s="317"/>
      <c r="B2408" s="430"/>
      <c r="C2408" s="317"/>
      <c r="E2408" s="306"/>
      <c r="F2408" s="431"/>
      <c r="G2408" s="431"/>
      <c r="H2408" s="298"/>
      <c r="I2408" s="432"/>
      <c r="J2408" s="433"/>
      <c r="K2408" s="306"/>
      <c r="L2408" s="306"/>
      <c r="M2408" s="306"/>
      <c r="N2408" s="298"/>
      <c r="O2408" s="298"/>
      <c r="P2408" s="298"/>
      <c r="Q2408" s="306"/>
      <c r="R2408" s="1023"/>
      <c r="S2408" s="1023"/>
      <c r="T2408" s="306"/>
      <c r="U2408" s="306"/>
      <c r="V2408" s="306"/>
      <c r="W2408" s="306"/>
      <c r="X2408" s="306"/>
      <c r="Y2408" s="306"/>
      <c r="Z2408" s="306"/>
      <c r="AA2408" s="306"/>
      <c r="AB2408" s="306"/>
      <c r="AC2408" s="306"/>
      <c r="AD2408" s="306"/>
      <c r="AE2408" s="306"/>
      <c r="AF2408" s="306"/>
      <c r="AG2408" s="306"/>
      <c r="AH2408" s="306"/>
      <c r="AI2408" s="306"/>
      <c r="AJ2408" s="306"/>
      <c r="AK2408" s="306"/>
      <c r="AL2408" s="306"/>
      <c r="AM2408" s="418"/>
      <c r="AN2408" s="418"/>
      <c r="AO2408" s="306"/>
      <c r="AP2408" s="306"/>
      <c r="AQ2408" s="418"/>
      <c r="AR2408" s="306"/>
      <c r="AS2408" s="306"/>
      <c r="AT2408" s="418"/>
      <c r="AU2408" s="306"/>
      <c r="AV2408" s="306"/>
      <c r="AW2408" s="306"/>
      <c r="AX2408" s="306"/>
      <c r="AY2408" s="306"/>
      <c r="AZ2408" s="306"/>
      <c r="BA2408" s="306"/>
      <c r="BB2408" s="306"/>
    </row>
    <row r="2409" spans="1:54" ht="15.75" customHeight="1">
      <c r="A2409" s="317"/>
      <c r="B2409" s="430"/>
      <c r="C2409" s="317"/>
      <c r="E2409" s="306"/>
      <c r="F2409" s="431"/>
      <c r="G2409" s="431"/>
      <c r="H2409" s="298"/>
      <c r="I2409" s="432"/>
      <c r="J2409" s="433"/>
      <c r="K2409" s="306"/>
      <c r="L2409" s="306"/>
      <c r="M2409" s="306"/>
      <c r="N2409" s="298"/>
      <c r="O2409" s="298"/>
      <c r="P2409" s="298"/>
      <c r="Q2409" s="306"/>
      <c r="R2409" s="1023"/>
      <c r="S2409" s="1023"/>
      <c r="T2409" s="306"/>
      <c r="U2409" s="306"/>
      <c r="V2409" s="306"/>
      <c r="W2409" s="306"/>
      <c r="X2409" s="306"/>
      <c r="Y2409" s="306"/>
      <c r="Z2409" s="306"/>
      <c r="AA2409" s="306"/>
      <c r="AB2409" s="306"/>
      <c r="AC2409" s="306"/>
      <c r="AD2409" s="306"/>
      <c r="AE2409" s="306"/>
      <c r="AF2409" s="306"/>
      <c r="AG2409" s="306"/>
      <c r="AH2409" s="306"/>
      <c r="AI2409" s="306"/>
      <c r="AJ2409" s="306"/>
      <c r="AK2409" s="306"/>
      <c r="AL2409" s="306"/>
      <c r="AM2409" s="418"/>
      <c r="AN2409" s="418"/>
      <c r="AO2409" s="306"/>
      <c r="AP2409" s="306"/>
      <c r="AQ2409" s="418"/>
      <c r="AR2409" s="306"/>
      <c r="AS2409" s="306"/>
      <c r="AT2409" s="418"/>
      <c r="AU2409" s="306"/>
      <c r="AV2409" s="306"/>
      <c r="AW2409" s="306"/>
      <c r="AX2409" s="306"/>
      <c r="AY2409" s="306"/>
      <c r="AZ2409" s="306"/>
      <c r="BA2409" s="306"/>
      <c r="BB2409" s="306"/>
    </row>
    <row r="2410" spans="1:54" ht="15.75" customHeight="1">
      <c r="A2410" s="317"/>
      <c r="B2410" s="430"/>
      <c r="C2410" s="317"/>
      <c r="E2410" s="306"/>
      <c r="F2410" s="431"/>
      <c r="G2410" s="431"/>
      <c r="H2410" s="298"/>
      <c r="I2410" s="432"/>
      <c r="J2410" s="433"/>
      <c r="K2410" s="306"/>
      <c r="L2410" s="306"/>
      <c r="M2410" s="306"/>
      <c r="N2410" s="298"/>
      <c r="O2410" s="298"/>
      <c r="P2410" s="298"/>
      <c r="Q2410" s="306"/>
      <c r="R2410" s="1023"/>
      <c r="S2410" s="1023"/>
      <c r="T2410" s="306"/>
      <c r="U2410" s="306"/>
      <c r="V2410" s="306"/>
      <c r="W2410" s="306"/>
      <c r="X2410" s="306"/>
      <c r="Y2410" s="306"/>
      <c r="Z2410" s="306"/>
      <c r="AA2410" s="306"/>
      <c r="AB2410" s="306"/>
      <c r="AC2410" s="306"/>
      <c r="AD2410" s="306"/>
      <c r="AE2410" s="306"/>
      <c r="AF2410" s="306"/>
      <c r="AG2410" s="306"/>
      <c r="AH2410" s="306"/>
      <c r="AI2410" s="306"/>
      <c r="AJ2410" s="306"/>
      <c r="AK2410" s="306"/>
      <c r="AL2410" s="306"/>
      <c r="AM2410" s="418"/>
      <c r="AN2410" s="418"/>
      <c r="AO2410" s="306"/>
      <c r="AP2410" s="306"/>
      <c r="AQ2410" s="418"/>
      <c r="AR2410" s="306"/>
      <c r="AS2410" s="306"/>
      <c r="AT2410" s="418"/>
      <c r="AU2410" s="306"/>
      <c r="AV2410" s="306"/>
      <c r="AW2410" s="306"/>
      <c r="AX2410" s="306"/>
      <c r="AY2410" s="306"/>
      <c r="AZ2410" s="306"/>
      <c r="BA2410" s="306"/>
      <c r="BB2410" s="306"/>
    </row>
    <row r="2411" spans="1:54" ht="15.75" customHeight="1">
      <c r="A2411" s="317"/>
      <c r="B2411" s="430"/>
      <c r="C2411" s="317"/>
      <c r="E2411" s="306"/>
      <c r="F2411" s="431"/>
      <c r="G2411" s="431"/>
      <c r="H2411" s="298"/>
      <c r="I2411" s="432"/>
      <c r="J2411" s="433"/>
      <c r="K2411" s="306"/>
      <c r="L2411" s="306"/>
      <c r="M2411" s="306"/>
      <c r="N2411" s="298"/>
      <c r="O2411" s="298"/>
      <c r="P2411" s="298"/>
      <c r="Q2411" s="306"/>
      <c r="R2411" s="1023"/>
      <c r="S2411" s="1023"/>
      <c r="T2411" s="306"/>
      <c r="U2411" s="306"/>
      <c r="V2411" s="306"/>
      <c r="W2411" s="306"/>
      <c r="X2411" s="306"/>
      <c r="Y2411" s="306"/>
      <c r="Z2411" s="306"/>
      <c r="AA2411" s="306"/>
      <c r="AB2411" s="306"/>
      <c r="AC2411" s="306"/>
      <c r="AD2411" s="306"/>
      <c r="AE2411" s="306"/>
      <c r="AF2411" s="306"/>
      <c r="AG2411" s="306"/>
      <c r="AH2411" s="306"/>
      <c r="AI2411" s="306"/>
      <c r="AJ2411" s="306"/>
      <c r="AK2411" s="306"/>
      <c r="AL2411" s="306"/>
      <c r="AM2411" s="418"/>
      <c r="AN2411" s="418"/>
      <c r="AO2411" s="306"/>
      <c r="AP2411" s="306"/>
      <c r="AQ2411" s="418"/>
      <c r="AR2411" s="306"/>
      <c r="AS2411" s="306"/>
      <c r="AT2411" s="418"/>
      <c r="AU2411" s="306"/>
      <c r="AV2411" s="306"/>
      <c r="AW2411" s="306"/>
      <c r="AX2411" s="306"/>
      <c r="AY2411" s="306"/>
      <c r="AZ2411" s="306"/>
      <c r="BA2411" s="306"/>
      <c r="BB2411" s="306"/>
    </row>
    <row r="2412" spans="1:54" ht="15.75" customHeight="1">
      <c r="A2412" s="317"/>
      <c r="B2412" s="430"/>
      <c r="C2412" s="317"/>
      <c r="E2412" s="306"/>
      <c r="F2412" s="431"/>
      <c r="G2412" s="431"/>
      <c r="H2412" s="298"/>
      <c r="I2412" s="432"/>
      <c r="J2412" s="433"/>
      <c r="K2412" s="306"/>
      <c r="L2412" s="306"/>
      <c r="M2412" s="306"/>
      <c r="N2412" s="298"/>
      <c r="O2412" s="298"/>
      <c r="P2412" s="298"/>
      <c r="Q2412" s="306"/>
      <c r="R2412" s="1023"/>
      <c r="S2412" s="1023"/>
      <c r="T2412" s="306"/>
      <c r="U2412" s="306"/>
      <c r="V2412" s="306"/>
      <c r="W2412" s="306"/>
      <c r="X2412" s="306"/>
      <c r="Y2412" s="306"/>
      <c r="Z2412" s="306"/>
      <c r="AA2412" s="306"/>
      <c r="AB2412" s="306"/>
      <c r="AC2412" s="306"/>
      <c r="AD2412" s="306"/>
      <c r="AE2412" s="306"/>
      <c r="AF2412" s="306"/>
      <c r="AG2412" s="306"/>
      <c r="AH2412" s="306"/>
      <c r="AI2412" s="306"/>
      <c r="AJ2412" s="306"/>
      <c r="AK2412" s="306"/>
      <c r="AL2412" s="306"/>
      <c r="AM2412" s="418"/>
      <c r="AN2412" s="418"/>
      <c r="AO2412" s="306"/>
      <c r="AP2412" s="306"/>
      <c r="AQ2412" s="418"/>
      <c r="AR2412" s="306"/>
      <c r="AS2412" s="306"/>
      <c r="AT2412" s="418"/>
      <c r="AU2412" s="306"/>
      <c r="AV2412" s="306"/>
      <c r="AW2412" s="306"/>
      <c r="AX2412" s="306"/>
      <c r="AY2412" s="306"/>
      <c r="AZ2412" s="306"/>
      <c r="BA2412" s="306"/>
      <c r="BB2412" s="306"/>
    </row>
    <row r="2413" spans="1:54" ht="15.75" customHeight="1">
      <c r="A2413" s="317"/>
      <c r="B2413" s="430"/>
      <c r="C2413" s="317"/>
      <c r="E2413" s="306"/>
      <c r="F2413" s="431"/>
      <c r="G2413" s="431"/>
      <c r="H2413" s="298"/>
      <c r="I2413" s="432"/>
      <c r="J2413" s="433"/>
      <c r="K2413" s="306"/>
      <c r="L2413" s="306"/>
      <c r="M2413" s="306"/>
      <c r="N2413" s="298"/>
      <c r="O2413" s="298"/>
      <c r="P2413" s="298"/>
      <c r="Q2413" s="306"/>
      <c r="R2413" s="1023"/>
      <c r="S2413" s="1023"/>
      <c r="T2413" s="306"/>
      <c r="U2413" s="306"/>
      <c r="V2413" s="306"/>
      <c r="W2413" s="306"/>
      <c r="X2413" s="306"/>
      <c r="Y2413" s="306"/>
      <c r="Z2413" s="306"/>
      <c r="AA2413" s="306"/>
      <c r="AB2413" s="306"/>
      <c r="AC2413" s="306"/>
      <c r="AD2413" s="306"/>
      <c r="AE2413" s="306"/>
      <c r="AF2413" s="306"/>
      <c r="AG2413" s="306"/>
      <c r="AH2413" s="306"/>
      <c r="AI2413" s="306"/>
      <c r="AJ2413" s="306"/>
      <c r="AK2413" s="306"/>
      <c r="AL2413" s="306"/>
      <c r="AM2413" s="418"/>
      <c r="AN2413" s="418"/>
      <c r="AO2413" s="306"/>
      <c r="AP2413" s="306"/>
      <c r="AQ2413" s="418"/>
      <c r="AR2413" s="306"/>
      <c r="AS2413" s="306"/>
      <c r="AT2413" s="418"/>
      <c r="AU2413" s="306"/>
      <c r="AV2413" s="306"/>
      <c r="AW2413" s="306"/>
      <c r="AX2413" s="306"/>
      <c r="AY2413" s="306"/>
      <c r="AZ2413" s="306"/>
      <c r="BA2413" s="306"/>
      <c r="BB2413" s="306"/>
    </row>
    <row r="2414" spans="1:54" ht="15.75" customHeight="1">
      <c r="A2414" s="317"/>
      <c r="B2414" s="430"/>
      <c r="C2414" s="317"/>
      <c r="E2414" s="306"/>
      <c r="F2414" s="431"/>
      <c r="G2414" s="431"/>
      <c r="H2414" s="298"/>
      <c r="I2414" s="432"/>
      <c r="J2414" s="433"/>
      <c r="K2414" s="306"/>
      <c r="L2414" s="306"/>
      <c r="M2414" s="306"/>
      <c r="N2414" s="298"/>
      <c r="O2414" s="298"/>
      <c r="P2414" s="298"/>
      <c r="Q2414" s="306"/>
      <c r="R2414" s="1023"/>
      <c r="S2414" s="1023"/>
      <c r="T2414" s="306"/>
      <c r="U2414" s="306"/>
      <c r="V2414" s="306"/>
      <c r="W2414" s="306"/>
      <c r="X2414" s="306"/>
      <c r="Y2414" s="306"/>
      <c r="Z2414" s="306"/>
      <c r="AA2414" s="306"/>
      <c r="AB2414" s="306"/>
      <c r="AC2414" s="306"/>
      <c r="AD2414" s="306"/>
      <c r="AE2414" s="306"/>
      <c r="AF2414" s="306"/>
      <c r="AG2414" s="306"/>
      <c r="AH2414" s="306"/>
      <c r="AI2414" s="306"/>
      <c r="AJ2414" s="306"/>
      <c r="AK2414" s="306"/>
      <c r="AL2414" s="306"/>
      <c r="AM2414" s="418"/>
      <c r="AN2414" s="418"/>
      <c r="AO2414" s="306"/>
      <c r="AP2414" s="306"/>
      <c r="AQ2414" s="418"/>
      <c r="AR2414" s="306"/>
      <c r="AS2414" s="306"/>
      <c r="AT2414" s="418"/>
      <c r="AU2414" s="306"/>
      <c r="AV2414" s="306"/>
      <c r="AW2414" s="306"/>
      <c r="AX2414" s="306"/>
      <c r="AY2414" s="306"/>
      <c r="AZ2414" s="306"/>
      <c r="BA2414" s="306"/>
      <c r="BB2414" s="306"/>
    </row>
    <row r="2415" spans="1:54" ht="15.75" customHeight="1">
      <c r="A2415" s="317"/>
      <c r="B2415" s="430"/>
      <c r="C2415" s="317"/>
      <c r="E2415" s="306"/>
      <c r="F2415" s="431"/>
      <c r="G2415" s="431"/>
      <c r="H2415" s="298"/>
      <c r="I2415" s="432"/>
      <c r="J2415" s="433"/>
      <c r="K2415" s="306"/>
      <c r="L2415" s="306"/>
      <c r="M2415" s="306"/>
      <c r="N2415" s="298"/>
      <c r="O2415" s="298"/>
      <c r="P2415" s="298"/>
      <c r="Q2415" s="306"/>
      <c r="R2415" s="1023"/>
      <c r="S2415" s="1023"/>
      <c r="T2415" s="306"/>
      <c r="U2415" s="306"/>
      <c r="V2415" s="306"/>
      <c r="W2415" s="306"/>
      <c r="X2415" s="306"/>
      <c r="Y2415" s="306"/>
      <c r="Z2415" s="306"/>
      <c r="AA2415" s="306"/>
      <c r="AB2415" s="306"/>
      <c r="AC2415" s="306"/>
      <c r="AD2415" s="306"/>
      <c r="AE2415" s="306"/>
      <c r="AF2415" s="306"/>
      <c r="AG2415" s="306"/>
      <c r="AH2415" s="306"/>
      <c r="AI2415" s="306"/>
      <c r="AJ2415" s="306"/>
      <c r="AK2415" s="306"/>
      <c r="AL2415" s="306"/>
      <c r="AM2415" s="418"/>
      <c r="AN2415" s="418"/>
      <c r="AO2415" s="306"/>
      <c r="AP2415" s="306"/>
      <c r="AQ2415" s="418"/>
      <c r="AR2415" s="306"/>
      <c r="AS2415" s="306"/>
      <c r="AT2415" s="418"/>
      <c r="AU2415" s="306"/>
      <c r="AV2415" s="306"/>
      <c r="AW2415" s="306"/>
      <c r="AX2415" s="306"/>
      <c r="AY2415" s="306"/>
      <c r="AZ2415" s="306"/>
      <c r="BA2415" s="306"/>
      <c r="BB2415" s="306"/>
    </row>
    <row r="2416" spans="1:54" ht="15.75" customHeight="1">
      <c r="A2416" s="317"/>
      <c r="B2416" s="430"/>
      <c r="C2416" s="317"/>
      <c r="E2416" s="306"/>
      <c r="F2416" s="431"/>
      <c r="G2416" s="431"/>
      <c r="H2416" s="298"/>
      <c r="I2416" s="432"/>
      <c r="J2416" s="433"/>
      <c r="K2416" s="306"/>
      <c r="L2416" s="306"/>
      <c r="M2416" s="306"/>
      <c r="N2416" s="298"/>
      <c r="O2416" s="298"/>
      <c r="P2416" s="298"/>
      <c r="Q2416" s="306"/>
      <c r="R2416" s="1023"/>
      <c r="S2416" s="1023"/>
      <c r="T2416" s="306"/>
      <c r="U2416" s="306"/>
      <c r="V2416" s="306"/>
      <c r="W2416" s="306"/>
      <c r="X2416" s="306"/>
      <c r="Y2416" s="306"/>
      <c r="Z2416" s="306"/>
      <c r="AA2416" s="306"/>
      <c r="AB2416" s="306"/>
      <c r="AC2416" s="306"/>
      <c r="AD2416" s="306"/>
      <c r="AE2416" s="306"/>
      <c r="AF2416" s="306"/>
      <c r="AG2416" s="306"/>
      <c r="AH2416" s="306"/>
      <c r="AI2416" s="306"/>
      <c r="AJ2416" s="306"/>
      <c r="AK2416" s="306"/>
      <c r="AL2416" s="306"/>
      <c r="AM2416" s="418"/>
      <c r="AN2416" s="418"/>
      <c r="AO2416" s="306"/>
      <c r="AP2416" s="306"/>
      <c r="AQ2416" s="418"/>
      <c r="AR2416" s="306"/>
      <c r="AS2416" s="306"/>
      <c r="AT2416" s="418"/>
      <c r="AU2416" s="306"/>
      <c r="AV2416" s="306"/>
      <c r="AW2416" s="306"/>
      <c r="AX2416" s="306"/>
      <c r="AY2416" s="306"/>
      <c r="AZ2416" s="306"/>
      <c r="BA2416" s="306"/>
      <c r="BB2416" s="306"/>
    </row>
    <row r="2417" spans="1:54" ht="15.75" customHeight="1">
      <c r="A2417" s="317"/>
      <c r="B2417" s="430"/>
      <c r="C2417" s="317"/>
      <c r="E2417" s="306"/>
      <c r="F2417" s="431"/>
      <c r="G2417" s="431"/>
      <c r="H2417" s="298"/>
      <c r="I2417" s="432"/>
      <c r="J2417" s="433"/>
      <c r="K2417" s="306"/>
      <c r="L2417" s="306"/>
      <c r="M2417" s="306"/>
      <c r="N2417" s="298"/>
      <c r="O2417" s="298"/>
      <c r="P2417" s="298"/>
      <c r="Q2417" s="306"/>
      <c r="R2417" s="1023"/>
      <c r="S2417" s="1023"/>
      <c r="T2417" s="306"/>
      <c r="U2417" s="306"/>
      <c r="V2417" s="306"/>
      <c r="W2417" s="306"/>
      <c r="X2417" s="306"/>
      <c r="Y2417" s="306"/>
      <c r="Z2417" s="306"/>
      <c r="AA2417" s="306"/>
      <c r="AB2417" s="306"/>
      <c r="AC2417" s="306"/>
      <c r="AD2417" s="306"/>
      <c r="AE2417" s="306"/>
      <c r="AF2417" s="306"/>
      <c r="AG2417" s="306"/>
      <c r="AH2417" s="306"/>
      <c r="AI2417" s="306"/>
      <c r="AJ2417" s="306"/>
      <c r="AK2417" s="306"/>
      <c r="AL2417" s="306"/>
      <c r="AM2417" s="418"/>
      <c r="AN2417" s="418"/>
      <c r="AO2417" s="306"/>
      <c r="AP2417" s="306"/>
      <c r="AQ2417" s="418"/>
      <c r="AR2417" s="306"/>
      <c r="AS2417" s="306"/>
      <c r="AT2417" s="418"/>
      <c r="AU2417" s="306"/>
      <c r="AV2417" s="306"/>
      <c r="AW2417" s="306"/>
      <c r="AX2417" s="306"/>
      <c r="AY2417" s="306"/>
      <c r="AZ2417" s="306"/>
      <c r="BA2417" s="306"/>
      <c r="BB2417" s="306"/>
    </row>
    <row r="2418" spans="1:54" ht="15.75" customHeight="1">
      <c r="A2418" s="317"/>
      <c r="B2418" s="430"/>
      <c r="C2418" s="317"/>
      <c r="E2418" s="306"/>
      <c r="F2418" s="431"/>
      <c r="G2418" s="431"/>
      <c r="H2418" s="298"/>
      <c r="I2418" s="432"/>
      <c r="J2418" s="433"/>
      <c r="K2418" s="306"/>
      <c r="L2418" s="306"/>
      <c r="M2418" s="306"/>
      <c r="N2418" s="298"/>
      <c r="O2418" s="298"/>
      <c r="P2418" s="298"/>
      <c r="Q2418" s="306"/>
      <c r="R2418" s="1023"/>
      <c r="S2418" s="1023"/>
      <c r="T2418" s="306"/>
      <c r="U2418" s="306"/>
      <c r="V2418" s="306"/>
      <c r="W2418" s="306"/>
      <c r="X2418" s="306"/>
      <c r="Y2418" s="306"/>
      <c r="Z2418" s="306"/>
      <c r="AA2418" s="306"/>
      <c r="AB2418" s="306"/>
      <c r="AC2418" s="306"/>
      <c r="AD2418" s="306"/>
      <c r="AE2418" s="306"/>
      <c r="AF2418" s="306"/>
      <c r="AG2418" s="306"/>
      <c r="AH2418" s="306"/>
      <c r="AI2418" s="306"/>
      <c r="AJ2418" s="306"/>
      <c r="AK2418" s="306"/>
      <c r="AL2418" s="306"/>
      <c r="AM2418" s="418"/>
      <c r="AN2418" s="418"/>
      <c r="AO2418" s="306"/>
      <c r="AP2418" s="306"/>
      <c r="AQ2418" s="418"/>
      <c r="AR2418" s="306"/>
      <c r="AS2418" s="306"/>
      <c r="AT2418" s="418"/>
      <c r="AU2418" s="306"/>
      <c r="AV2418" s="306"/>
      <c r="AW2418" s="306"/>
      <c r="AX2418" s="306"/>
      <c r="AY2418" s="306"/>
      <c r="AZ2418" s="306"/>
      <c r="BA2418" s="306"/>
      <c r="BB2418" s="306"/>
    </row>
    <row r="2419" spans="1:54" ht="15.75" customHeight="1">
      <c r="A2419" s="317"/>
      <c r="B2419" s="430"/>
      <c r="C2419" s="317"/>
      <c r="E2419" s="306"/>
      <c r="F2419" s="431"/>
      <c r="G2419" s="431"/>
      <c r="H2419" s="298"/>
      <c r="I2419" s="432"/>
      <c r="J2419" s="433"/>
      <c r="K2419" s="306"/>
      <c r="L2419" s="306"/>
      <c r="M2419" s="306"/>
      <c r="N2419" s="298"/>
      <c r="O2419" s="298"/>
      <c r="P2419" s="298"/>
      <c r="Q2419" s="306"/>
      <c r="R2419" s="1023"/>
      <c r="S2419" s="1023"/>
      <c r="T2419" s="306"/>
      <c r="U2419" s="306"/>
      <c r="V2419" s="306"/>
      <c r="W2419" s="306"/>
      <c r="X2419" s="306"/>
      <c r="Y2419" s="306"/>
      <c r="Z2419" s="306"/>
      <c r="AA2419" s="306"/>
      <c r="AB2419" s="306"/>
      <c r="AC2419" s="306"/>
      <c r="AD2419" s="306"/>
      <c r="AE2419" s="306"/>
      <c r="AF2419" s="306"/>
      <c r="AG2419" s="306"/>
      <c r="AH2419" s="306"/>
      <c r="AI2419" s="306"/>
      <c r="AJ2419" s="306"/>
      <c r="AK2419" s="306"/>
      <c r="AL2419" s="306"/>
      <c r="AM2419" s="418"/>
      <c r="AN2419" s="418"/>
      <c r="AO2419" s="306"/>
      <c r="AP2419" s="306"/>
      <c r="AQ2419" s="418"/>
      <c r="AR2419" s="306"/>
      <c r="AS2419" s="306"/>
      <c r="AT2419" s="418"/>
      <c r="AU2419" s="306"/>
      <c r="AV2419" s="306"/>
      <c r="AW2419" s="306"/>
      <c r="AX2419" s="306"/>
      <c r="AY2419" s="306"/>
      <c r="AZ2419" s="306"/>
      <c r="BA2419" s="306"/>
      <c r="BB2419" s="306"/>
    </row>
    <row r="2420" spans="1:54" ht="15.75" customHeight="1">
      <c r="A2420" s="317"/>
      <c r="B2420" s="430"/>
      <c r="C2420" s="317"/>
      <c r="E2420" s="306"/>
      <c r="F2420" s="431"/>
      <c r="G2420" s="431"/>
      <c r="H2420" s="298"/>
      <c r="I2420" s="432"/>
      <c r="J2420" s="433"/>
      <c r="K2420" s="306"/>
      <c r="L2420" s="306"/>
      <c r="M2420" s="306"/>
      <c r="N2420" s="298"/>
      <c r="O2420" s="298"/>
      <c r="P2420" s="298"/>
      <c r="Q2420" s="306"/>
      <c r="R2420" s="1023"/>
      <c r="S2420" s="1023"/>
      <c r="T2420" s="306"/>
      <c r="U2420" s="306"/>
      <c r="V2420" s="306"/>
      <c r="W2420" s="306"/>
      <c r="X2420" s="306"/>
      <c r="Y2420" s="306"/>
      <c r="Z2420" s="306"/>
      <c r="AA2420" s="306"/>
      <c r="AB2420" s="306"/>
      <c r="AC2420" s="306"/>
      <c r="AD2420" s="306"/>
      <c r="AE2420" s="306"/>
      <c r="AF2420" s="306"/>
      <c r="AG2420" s="306"/>
      <c r="AH2420" s="306"/>
      <c r="AI2420" s="306"/>
      <c r="AJ2420" s="306"/>
      <c r="AK2420" s="306"/>
      <c r="AL2420" s="306"/>
      <c r="AM2420" s="418"/>
      <c r="AN2420" s="418"/>
      <c r="AO2420" s="306"/>
      <c r="AP2420" s="306"/>
      <c r="AQ2420" s="418"/>
      <c r="AR2420" s="306"/>
      <c r="AS2420" s="306"/>
      <c r="AT2420" s="418"/>
      <c r="AU2420" s="306"/>
      <c r="AV2420" s="306"/>
      <c r="AW2420" s="306"/>
      <c r="AX2420" s="306"/>
      <c r="AY2420" s="306"/>
      <c r="AZ2420" s="306"/>
      <c r="BA2420" s="306"/>
      <c r="BB2420" s="306"/>
    </row>
    <row r="2421" spans="1:54" ht="15.75" customHeight="1">
      <c r="A2421" s="317"/>
      <c r="B2421" s="430"/>
      <c r="C2421" s="317"/>
      <c r="E2421" s="306"/>
      <c r="F2421" s="431"/>
      <c r="G2421" s="431"/>
      <c r="H2421" s="306"/>
      <c r="I2421" s="431"/>
      <c r="J2421" s="435"/>
      <c r="K2421" s="306"/>
      <c r="L2421" s="306"/>
      <c r="M2421" s="306"/>
      <c r="N2421" s="298"/>
      <c r="O2421" s="298"/>
      <c r="P2421" s="298"/>
      <c r="Q2421" s="306"/>
      <c r="R2421" s="1023"/>
      <c r="S2421" s="1023"/>
      <c r="T2421" s="306"/>
      <c r="U2421" s="306"/>
      <c r="V2421" s="306"/>
      <c r="W2421" s="306"/>
      <c r="X2421" s="306"/>
      <c r="Y2421" s="306"/>
      <c r="Z2421" s="306"/>
      <c r="AA2421" s="306"/>
      <c r="AB2421" s="306"/>
      <c r="AC2421" s="306"/>
      <c r="AD2421" s="306"/>
      <c r="AE2421" s="306"/>
      <c r="AF2421" s="306"/>
      <c r="AG2421" s="306"/>
      <c r="AH2421" s="306"/>
      <c r="AI2421" s="306"/>
      <c r="AJ2421" s="306"/>
      <c r="AK2421" s="306"/>
      <c r="AL2421" s="306"/>
      <c r="AM2421" s="418"/>
      <c r="AN2421" s="418"/>
      <c r="AO2421" s="306"/>
      <c r="AP2421" s="306"/>
      <c r="AQ2421" s="418"/>
      <c r="AR2421" s="306"/>
      <c r="AS2421" s="306"/>
      <c r="AT2421" s="418"/>
      <c r="AU2421" s="306"/>
      <c r="AV2421" s="306"/>
      <c r="AW2421" s="306"/>
      <c r="AX2421" s="306"/>
      <c r="AY2421" s="306"/>
      <c r="AZ2421" s="306"/>
      <c r="BA2421" s="306"/>
      <c r="BB2421" s="306"/>
    </row>
    <row r="2422" spans="1:54" ht="15.75" customHeight="1">
      <c r="A2422" s="317"/>
      <c r="B2422" s="430"/>
      <c r="C2422" s="317"/>
      <c r="E2422" s="306"/>
      <c r="F2422" s="431"/>
      <c r="G2422" s="431"/>
      <c r="H2422" s="306"/>
      <c r="I2422" s="431"/>
      <c r="J2422" s="435"/>
      <c r="K2422" s="306"/>
      <c r="L2422" s="306"/>
      <c r="M2422" s="306"/>
      <c r="N2422" s="298"/>
      <c r="O2422" s="306"/>
      <c r="P2422" s="298"/>
      <c r="Q2422" s="306"/>
      <c r="R2422" s="1023"/>
      <c r="S2422" s="1023"/>
      <c r="T2422" s="306"/>
      <c r="U2422" s="306"/>
      <c r="V2422" s="306"/>
      <c r="W2422" s="306"/>
      <c r="X2422" s="306"/>
      <c r="Y2422" s="306"/>
      <c r="Z2422" s="306"/>
      <c r="AA2422" s="306"/>
      <c r="AB2422" s="306"/>
      <c r="AC2422" s="306"/>
      <c r="AD2422" s="306"/>
      <c r="AE2422" s="306"/>
      <c r="AF2422" s="306"/>
      <c r="AG2422" s="306"/>
      <c r="AH2422" s="306"/>
      <c r="AI2422" s="306"/>
      <c r="AJ2422" s="306"/>
      <c r="AK2422" s="306"/>
      <c r="AL2422" s="306"/>
      <c r="AM2422" s="418"/>
      <c r="AN2422" s="418"/>
      <c r="AO2422" s="306"/>
      <c r="AP2422" s="306"/>
      <c r="AQ2422" s="418"/>
      <c r="AR2422" s="306"/>
      <c r="AS2422" s="306"/>
      <c r="AT2422" s="418"/>
      <c r="AU2422" s="306"/>
      <c r="AV2422" s="306"/>
      <c r="AW2422" s="306"/>
      <c r="AX2422" s="306"/>
      <c r="AY2422" s="306"/>
      <c r="AZ2422" s="306"/>
      <c r="BA2422" s="306"/>
      <c r="BB2422" s="306"/>
    </row>
    <row r="2423" spans="1:54" ht="15.75" customHeight="1">
      <c r="A2423" s="317"/>
      <c r="B2423" s="430"/>
      <c r="C2423" s="317"/>
      <c r="E2423" s="306"/>
      <c r="F2423" s="431"/>
      <c r="G2423" s="431"/>
      <c r="H2423" s="306"/>
      <c r="I2423" s="431"/>
      <c r="J2423" s="435"/>
      <c r="K2423" s="306"/>
      <c r="L2423" s="306"/>
      <c r="M2423" s="306"/>
      <c r="N2423" s="298"/>
      <c r="O2423" s="306"/>
      <c r="P2423" s="298"/>
      <c r="Q2423" s="306"/>
      <c r="R2423" s="1023"/>
      <c r="S2423" s="1023"/>
      <c r="T2423" s="306"/>
      <c r="U2423" s="306"/>
      <c r="V2423" s="306"/>
      <c r="W2423" s="306"/>
      <c r="X2423" s="306"/>
      <c r="Y2423" s="306"/>
      <c r="Z2423" s="306"/>
      <c r="AA2423" s="306"/>
      <c r="AB2423" s="306"/>
      <c r="AC2423" s="306"/>
      <c r="AD2423" s="306"/>
      <c r="AE2423" s="306"/>
      <c r="AF2423" s="306"/>
      <c r="AG2423" s="306"/>
      <c r="AH2423" s="306"/>
      <c r="AI2423" s="306"/>
      <c r="AJ2423" s="306"/>
      <c r="AK2423" s="306"/>
      <c r="AL2423" s="306"/>
      <c r="AM2423" s="418"/>
      <c r="AN2423" s="418"/>
      <c r="AO2423" s="306"/>
      <c r="AP2423" s="306"/>
      <c r="AQ2423" s="418"/>
      <c r="AR2423" s="306"/>
      <c r="AS2423" s="306"/>
      <c r="AT2423" s="418"/>
      <c r="AU2423" s="306"/>
      <c r="AV2423" s="306"/>
      <c r="AW2423" s="306"/>
      <c r="AX2423" s="306"/>
      <c r="AY2423" s="306"/>
      <c r="AZ2423" s="306"/>
      <c r="BA2423" s="306"/>
      <c r="BB2423" s="306"/>
    </row>
    <row r="2424" spans="1:54" ht="15.75" customHeight="1">
      <c r="A2424" s="317"/>
      <c r="B2424" s="430"/>
      <c r="C2424" s="317"/>
      <c r="E2424" s="306"/>
      <c r="F2424" s="431"/>
      <c r="G2424" s="431"/>
      <c r="H2424" s="306"/>
      <c r="I2424" s="431"/>
      <c r="J2424" s="435"/>
      <c r="K2424" s="306"/>
      <c r="L2424" s="306"/>
      <c r="M2424" s="306"/>
      <c r="N2424" s="298"/>
      <c r="O2424" s="306"/>
      <c r="P2424" s="298"/>
      <c r="Q2424" s="306"/>
      <c r="R2424" s="1023"/>
      <c r="S2424" s="1023"/>
      <c r="T2424" s="306"/>
      <c r="U2424" s="306"/>
      <c r="V2424" s="306"/>
      <c r="W2424" s="306"/>
      <c r="X2424" s="306"/>
      <c r="Y2424" s="306"/>
      <c r="Z2424" s="306"/>
      <c r="AA2424" s="306"/>
      <c r="AB2424" s="306"/>
      <c r="AC2424" s="306"/>
      <c r="AD2424" s="306"/>
      <c r="AE2424" s="306"/>
      <c r="AF2424" s="306"/>
      <c r="AG2424" s="306"/>
      <c r="AH2424" s="306"/>
      <c r="AI2424" s="306"/>
      <c r="AJ2424" s="306"/>
      <c r="AK2424" s="306"/>
      <c r="AL2424" s="306"/>
      <c r="AM2424" s="418"/>
      <c r="AN2424" s="418"/>
      <c r="AO2424" s="306"/>
      <c r="AP2424" s="306"/>
      <c r="AQ2424" s="418"/>
      <c r="AR2424" s="306"/>
      <c r="AS2424" s="306"/>
      <c r="AT2424" s="418"/>
      <c r="AU2424" s="306"/>
      <c r="AV2424" s="306"/>
      <c r="AW2424" s="306"/>
      <c r="AX2424" s="306"/>
      <c r="AY2424" s="306"/>
      <c r="AZ2424" s="306"/>
      <c r="BA2424" s="306"/>
      <c r="BB2424" s="306"/>
    </row>
    <row r="2425" spans="1:54" ht="15.75" customHeight="1">
      <c r="A2425" s="317"/>
      <c r="B2425" s="430"/>
      <c r="C2425" s="317"/>
      <c r="E2425" s="306"/>
      <c r="F2425" s="431"/>
      <c r="G2425" s="431"/>
      <c r="H2425" s="306"/>
      <c r="I2425" s="431"/>
      <c r="J2425" s="435"/>
      <c r="K2425" s="306"/>
      <c r="L2425" s="306"/>
      <c r="M2425" s="306"/>
      <c r="N2425" s="298"/>
      <c r="O2425" s="298"/>
      <c r="P2425" s="298"/>
      <c r="Q2425" s="306"/>
      <c r="R2425" s="1023"/>
      <c r="S2425" s="1023"/>
      <c r="T2425" s="306"/>
      <c r="U2425" s="306"/>
      <c r="V2425" s="306"/>
      <c r="W2425" s="306"/>
      <c r="X2425" s="306"/>
      <c r="Y2425" s="306"/>
      <c r="Z2425" s="306"/>
      <c r="AA2425" s="306"/>
      <c r="AB2425" s="306"/>
      <c r="AC2425" s="306"/>
      <c r="AD2425" s="306"/>
      <c r="AE2425" s="306"/>
      <c r="AF2425" s="306"/>
      <c r="AG2425" s="306"/>
      <c r="AH2425" s="306"/>
      <c r="AI2425" s="306"/>
      <c r="AJ2425" s="306"/>
      <c r="AK2425" s="306"/>
      <c r="AL2425" s="306"/>
      <c r="AM2425" s="418"/>
      <c r="AN2425" s="418"/>
      <c r="AO2425" s="306"/>
      <c r="AP2425" s="306"/>
      <c r="AQ2425" s="418"/>
      <c r="AR2425" s="306"/>
      <c r="AS2425" s="306"/>
      <c r="AT2425" s="418"/>
      <c r="AU2425" s="306"/>
      <c r="AV2425" s="306"/>
      <c r="AW2425" s="306"/>
      <c r="AX2425" s="306"/>
      <c r="AY2425" s="306"/>
      <c r="AZ2425" s="306"/>
      <c r="BA2425" s="306"/>
      <c r="BB2425" s="306"/>
    </row>
    <row r="2426" spans="1:54" ht="15.75" customHeight="1">
      <c r="A2426" s="317"/>
      <c r="B2426" s="430"/>
      <c r="C2426" s="317"/>
      <c r="E2426" s="306"/>
      <c r="F2426" s="431"/>
      <c r="G2426" s="431"/>
      <c r="H2426" s="306"/>
      <c r="I2426" s="431"/>
      <c r="J2426" s="435"/>
      <c r="K2426" s="306"/>
      <c r="L2426" s="306"/>
      <c r="M2426" s="306"/>
      <c r="N2426" s="298"/>
      <c r="O2426" s="298"/>
      <c r="P2426" s="298"/>
      <c r="Q2426" s="306"/>
      <c r="R2426" s="1023"/>
      <c r="S2426" s="1023"/>
      <c r="T2426" s="306"/>
      <c r="U2426" s="306"/>
      <c r="V2426" s="306"/>
      <c r="W2426" s="306"/>
      <c r="X2426" s="306"/>
      <c r="Y2426" s="306"/>
      <c r="Z2426" s="306"/>
      <c r="AA2426" s="306"/>
      <c r="AB2426" s="306"/>
      <c r="AC2426" s="306"/>
      <c r="AD2426" s="306"/>
      <c r="AE2426" s="306"/>
      <c r="AF2426" s="306"/>
      <c r="AG2426" s="306"/>
      <c r="AH2426" s="306"/>
      <c r="AI2426" s="306"/>
      <c r="AJ2426" s="306"/>
      <c r="AK2426" s="306"/>
      <c r="AL2426" s="306"/>
      <c r="AM2426" s="418"/>
      <c r="AN2426" s="418"/>
      <c r="AO2426" s="306"/>
      <c r="AP2426" s="306"/>
      <c r="AQ2426" s="418"/>
      <c r="AR2426" s="306"/>
      <c r="AS2426" s="306"/>
      <c r="AT2426" s="418"/>
      <c r="AU2426" s="306"/>
      <c r="AV2426" s="306"/>
      <c r="AW2426" s="306"/>
      <c r="AX2426" s="306"/>
      <c r="AY2426" s="306"/>
      <c r="AZ2426" s="306"/>
      <c r="BA2426" s="306"/>
      <c r="BB2426" s="306"/>
    </row>
    <row r="2427" spans="1:54" ht="15.75" customHeight="1">
      <c r="A2427" s="317"/>
      <c r="B2427" s="430"/>
      <c r="C2427" s="317"/>
      <c r="E2427" s="306"/>
      <c r="F2427" s="431"/>
      <c r="G2427" s="431"/>
      <c r="H2427" s="306"/>
      <c r="I2427" s="431"/>
      <c r="J2427" s="435"/>
      <c r="K2427" s="306"/>
      <c r="L2427" s="306"/>
      <c r="M2427" s="306"/>
      <c r="N2427" s="298"/>
      <c r="O2427" s="298"/>
      <c r="P2427" s="298"/>
      <c r="Q2427" s="306"/>
      <c r="R2427" s="1023"/>
      <c r="S2427" s="1023"/>
      <c r="T2427" s="306"/>
      <c r="U2427" s="306"/>
      <c r="V2427" s="306"/>
      <c r="W2427" s="306"/>
      <c r="X2427" s="306"/>
      <c r="Y2427" s="306"/>
      <c r="Z2427" s="306"/>
      <c r="AA2427" s="306"/>
      <c r="AB2427" s="306"/>
      <c r="AC2427" s="306"/>
      <c r="AD2427" s="306"/>
      <c r="AE2427" s="306"/>
      <c r="AF2427" s="306"/>
      <c r="AG2427" s="306"/>
      <c r="AH2427" s="306"/>
      <c r="AI2427" s="306"/>
      <c r="AJ2427" s="306"/>
      <c r="AK2427" s="306"/>
      <c r="AL2427" s="306"/>
      <c r="AM2427" s="418"/>
      <c r="AN2427" s="418"/>
      <c r="AO2427" s="306"/>
      <c r="AP2427" s="306"/>
      <c r="AQ2427" s="418"/>
      <c r="AR2427" s="306"/>
      <c r="AS2427" s="306"/>
      <c r="AT2427" s="418"/>
      <c r="AU2427" s="306"/>
      <c r="AV2427" s="306"/>
      <c r="AW2427" s="306"/>
      <c r="AX2427" s="306"/>
      <c r="AY2427" s="306"/>
      <c r="AZ2427" s="306"/>
      <c r="BA2427" s="306"/>
      <c r="BB2427" s="306"/>
    </row>
    <row r="2428" spans="1:54" ht="15.75" customHeight="1">
      <c r="A2428" s="317"/>
      <c r="B2428" s="430"/>
      <c r="C2428" s="317"/>
      <c r="E2428" s="306"/>
      <c r="F2428" s="431"/>
      <c r="G2428" s="431"/>
      <c r="H2428" s="306"/>
      <c r="I2428" s="431"/>
      <c r="J2428" s="435"/>
      <c r="K2428" s="306"/>
      <c r="L2428" s="306"/>
      <c r="M2428" s="306"/>
      <c r="N2428" s="298"/>
      <c r="O2428" s="298"/>
      <c r="P2428" s="298"/>
      <c r="Q2428" s="306"/>
      <c r="R2428" s="1023"/>
      <c r="S2428" s="1023"/>
      <c r="T2428" s="306"/>
      <c r="U2428" s="306"/>
      <c r="V2428" s="306"/>
      <c r="W2428" s="306"/>
      <c r="X2428" s="306"/>
      <c r="Y2428" s="306"/>
      <c r="Z2428" s="306"/>
      <c r="AA2428" s="306"/>
      <c r="AB2428" s="306"/>
      <c r="AC2428" s="306"/>
      <c r="AD2428" s="306"/>
      <c r="AE2428" s="306"/>
      <c r="AF2428" s="306"/>
      <c r="AG2428" s="306"/>
      <c r="AH2428" s="306"/>
      <c r="AI2428" s="306"/>
      <c r="AJ2428" s="306"/>
      <c r="AK2428" s="306"/>
      <c r="AL2428" s="306"/>
      <c r="AM2428" s="418"/>
      <c r="AN2428" s="418"/>
      <c r="AO2428" s="306"/>
      <c r="AP2428" s="306"/>
      <c r="AQ2428" s="418"/>
      <c r="AR2428" s="306"/>
      <c r="AS2428" s="306"/>
      <c r="AT2428" s="418"/>
      <c r="AU2428" s="306"/>
      <c r="AV2428" s="306"/>
      <c r="AW2428" s="306"/>
      <c r="AX2428" s="306"/>
      <c r="AY2428" s="306"/>
      <c r="AZ2428" s="306"/>
      <c r="BA2428" s="306"/>
      <c r="BB2428" s="306"/>
    </row>
    <row r="2429" spans="1:54" ht="15.75" customHeight="1">
      <c r="A2429" s="317"/>
      <c r="B2429" s="430"/>
      <c r="C2429" s="317"/>
      <c r="E2429" s="306"/>
      <c r="F2429" s="431"/>
      <c r="G2429" s="431"/>
      <c r="H2429" s="306"/>
      <c r="I2429" s="431"/>
      <c r="J2429" s="435"/>
      <c r="K2429" s="306"/>
      <c r="L2429" s="306"/>
      <c r="M2429" s="306"/>
      <c r="N2429" s="298"/>
      <c r="O2429" s="298"/>
      <c r="P2429" s="298"/>
      <c r="Q2429" s="306"/>
      <c r="R2429" s="1023"/>
      <c r="S2429" s="1023"/>
      <c r="T2429" s="306"/>
      <c r="U2429" s="306"/>
      <c r="V2429" s="306"/>
      <c r="W2429" s="306"/>
      <c r="X2429" s="306"/>
      <c r="Y2429" s="306"/>
      <c r="Z2429" s="306"/>
      <c r="AA2429" s="306"/>
      <c r="AB2429" s="306"/>
      <c r="AC2429" s="306"/>
      <c r="AD2429" s="306"/>
      <c r="AE2429" s="306"/>
      <c r="AF2429" s="306"/>
      <c r="AG2429" s="306"/>
      <c r="AH2429" s="306"/>
      <c r="AI2429" s="306"/>
      <c r="AJ2429" s="306"/>
      <c r="AK2429" s="306"/>
      <c r="AL2429" s="306"/>
      <c r="AM2429" s="418"/>
      <c r="AN2429" s="418"/>
      <c r="AO2429" s="306"/>
      <c r="AP2429" s="306"/>
      <c r="AQ2429" s="418"/>
      <c r="AR2429" s="306"/>
      <c r="AS2429" s="306"/>
      <c r="AT2429" s="418"/>
      <c r="AU2429" s="306"/>
      <c r="AV2429" s="306"/>
      <c r="AW2429" s="306"/>
      <c r="AX2429" s="306"/>
      <c r="AY2429" s="306"/>
      <c r="AZ2429" s="306"/>
      <c r="BA2429" s="306"/>
      <c r="BB2429" s="306"/>
    </row>
    <row r="2430" spans="1:54" ht="15.75" customHeight="1">
      <c r="A2430" s="317"/>
      <c r="B2430" s="430"/>
      <c r="C2430" s="317"/>
      <c r="E2430" s="306"/>
      <c r="F2430" s="431"/>
      <c r="G2430" s="431"/>
      <c r="H2430" s="306"/>
      <c r="I2430" s="431"/>
      <c r="J2430" s="435"/>
      <c r="K2430" s="306"/>
      <c r="L2430" s="306"/>
      <c r="M2430" s="306"/>
      <c r="N2430" s="298"/>
      <c r="O2430" s="298"/>
      <c r="P2430" s="298"/>
      <c r="Q2430" s="306"/>
      <c r="R2430" s="1023"/>
      <c r="S2430" s="1023"/>
      <c r="T2430" s="306"/>
      <c r="U2430" s="306"/>
      <c r="V2430" s="306"/>
      <c r="W2430" s="306"/>
      <c r="X2430" s="306"/>
      <c r="Y2430" s="306"/>
      <c r="Z2430" s="306"/>
      <c r="AA2430" s="306"/>
      <c r="AB2430" s="306"/>
      <c r="AC2430" s="306"/>
      <c r="AD2430" s="306"/>
      <c r="AE2430" s="306"/>
      <c r="AF2430" s="306"/>
      <c r="AG2430" s="306"/>
      <c r="AH2430" s="306"/>
      <c r="AI2430" s="306"/>
      <c r="AJ2430" s="306"/>
      <c r="AK2430" s="306"/>
      <c r="AL2430" s="306"/>
      <c r="AM2430" s="418"/>
      <c r="AN2430" s="418"/>
      <c r="AO2430" s="306"/>
      <c r="AP2430" s="306"/>
      <c r="AQ2430" s="418"/>
      <c r="AR2430" s="306"/>
      <c r="AS2430" s="306"/>
      <c r="AT2430" s="418"/>
      <c r="AU2430" s="306"/>
      <c r="AV2430" s="306"/>
      <c r="AW2430" s="306"/>
      <c r="AX2430" s="306"/>
      <c r="AY2430" s="306"/>
      <c r="AZ2430" s="306"/>
      <c r="BA2430" s="306"/>
      <c r="BB2430" s="306"/>
    </row>
    <row r="2431" spans="1:54" ht="15.75" customHeight="1">
      <c r="A2431" s="317"/>
      <c r="B2431" s="430"/>
      <c r="C2431" s="317"/>
      <c r="E2431" s="306"/>
      <c r="F2431" s="431"/>
      <c r="G2431" s="431"/>
      <c r="H2431" s="298"/>
      <c r="I2431" s="432"/>
      <c r="J2431" s="433"/>
      <c r="K2431" s="306"/>
      <c r="L2431" s="306"/>
      <c r="M2431" s="306"/>
      <c r="N2431" s="298"/>
      <c r="O2431" s="298"/>
      <c r="P2431" s="298"/>
      <c r="Q2431" s="306"/>
      <c r="R2431" s="1023"/>
      <c r="S2431" s="1023"/>
      <c r="T2431" s="306"/>
      <c r="U2431" s="306"/>
      <c r="V2431" s="306"/>
      <c r="W2431" s="306"/>
      <c r="X2431" s="306"/>
      <c r="Y2431" s="306"/>
      <c r="Z2431" s="306"/>
      <c r="AA2431" s="306"/>
      <c r="AB2431" s="306"/>
      <c r="AC2431" s="306"/>
      <c r="AD2431" s="306"/>
      <c r="AE2431" s="306"/>
      <c r="AF2431" s="306"/>
      <c r="AG2431" s="306"/>
      <c r="AH2431" s="306"/>
      <c r="AI2431" s="306"/>
      <c r="AJ2431" s="306"/>
      <c r="AK2431" s="306"/>
      <c r="AL2431" s="306"/>
      <c r="AM2431" s="418"/>
      <c r="AN2431" s="418"/>
      <c r="AO2431" s="306"/>
      <c r="AP2431" s="306"/>
      <c r="AQ2431" s="418"/>
      <c r="AR2431" s="306"/>
      <c r="AS2431" s="306"/>
      <c r="AT2431" s="418"/>
      <c r="AU2431" s="306"/>
      <c r="AV2431" s="306"/>
      <c r="AW2431" s="306"/>
      <c r="AX2431" s="306"/>
      <c r="AY2431" s="306"/>
      <c r="AZ2431" s="306"/>
      <c r="BA2431" s="306"/>
      <c r="BB2431" s="306"/>
    </row>
    <row r="2432" spans="1:54" ht="15.75" customHeight="1">
      <c r="A2432" s="317"/>
      <c r="B2432" s="430"/>
      <c r="C2432" s="317"/>
      <c r="E2432" s="306"/>
      <c r="F2432" s="431"/>
      <c r="G2432" s="431"/>
      <c r="H2432" s="298"/>
      <c r="I2432" s="432"/>
      <c r="J2432" s="433"/>
      <c r="K2432" s="306"/>
      <c r="L2432" s="306"/>
      <c r="M2432" s="306"/>
      <c r="N2432" s="298"/>
      <c r="O2432" s="298"/>
      <c r="P2432" s="298"/>
      <c r="Q2432" s="306"/>
      <c r="R2432" s="1023"/>
      <c r="S2432" s="1023"/>
      <c r="T2432" s="306"/>
      <c r="U2432" s="306"/>
      <c r="V2432" s="306"/>
      <c r="W2432" s="306"/>
      <c r="X2432" s="306"/>
      <c r="Y2432" s="306"/>
      <c r="Z2432" s="306"/>
      <c r="AA2432" s="306"/>
      <c r="AB2432" s="306"/>
      <c r="AC2432" s="306"/>
      <c r="AD2432" s="306"/>
      <c r="AE2432" s="306"/>
      <c r="AF2432" s="306"/>
      <c r="AG2432" s="306"/>
      <c r="AH2432" s="306"/>
      <c r="AI2432" s="306"/>
      <c r="AJ2432" s="306"/>
      <c r="AK2432" s="306"/>
      <c r="AL2432" s="306"/>
      <c r="AM2432" s="418"/>
      <c r="AN2432" s="418"/>
      <c r="AO2432" s="306"/>
      <c r="AP2432" s="306"/>
      <c r="AQ2432" s="418"/>
      <c r="AR2432" s="306"/>
      <c r="AS2432" s="306"/>
      <c r="AT2432" s="418"/>
      <c r="AU2432" s="306"/>
      <c r="AV2432" s="306"/>
      <c r="AW2432" s="306"/>
      <c r="AX2432" s="306"/>
      <c r="AY2432" s="306"/>
      <c r="AZ2432" s="306"/>
      <c r="BA2432" s="306"/>
      <c r="BB2432" s="306"/>
    </row>
    <row r="2433" spans="1:54" ht="15.75" customHeight="1">
      <c r="A2433" s="317"/>
      <c r="B2433" s="430"/>
      <c r="C2433" s="317"/>
      <c r="E2433" s="306"/>
      <c r="F2433" s="431"/>
      <c r="G2433" s="431"/>
      <c r="H2433" s="298"/>
      <c r="I2433" s="432"/>
      <c r="J2433" s="433"/>
      <c r="K2433" s="306"/>
      <c r="L2433" s="306"/>
      <c r="M2433" s="306"/>
      <c r="N2433" s="298"/>
      <c r="O2433" s="298"/>
      <c r="P2433" s="298"/>
      <c r="Q2433" s="306"/>
      <c r="R2433" s="1023"/>
      <c r="S2433" s="1023"/>
      <c r="T2433" s="306"/>
      <c r="U2433" s="306"/>
      <c r="V2433" s="306"/>
      <c r="W2433" s="306"/>
      <c r="X2433" s="306"/>
      <c r="Y2433" s="306"/>
      <c r="Z2433" s="306"/>
      <c r="AA2433" s="306"/>
      <c r="AB2433" s="306"/>
      <c r="AC2433" s="306"/>
      <c r="AD2433" s="306"/>
      <c r="AE2433" s="306"/>
      <c r="AF2433" s="306"/>
      <c r="AG2433" s="306"/>
      <c r="AH2433" s="306"/>
      <c r="AI2433" s="306"/>
      <c r="AJ2433" s="306"/>
      <c r="AK2433" s="306"/>
      <c r="AL2433" s="306"/>
      <c r="AM2433" s="418"/>
      <c r="AN2433" s="418"/>
      <c r="AO2433" s="306"/>
      <c r="AP2433" s="306"/>
      <c r="AQ2433" s="418"/>
      <c r="AR2433" s="306"/>
      <c r="AS2433" s="306"/>
      <c r="AT2433" s="418"/>
      <c r="AU2433" s="306"/>
      <c r="AV2433" s="306"/>
      <c r="AW2433" s="306"/>
      <c r="AX2433" s="306"/>
      <c r="AY2433" s="306"/>
      <c r="AZ2433" s="306"/>
      <c r="BA2433" s="306"/>
      <c r="BB2433" s="306"/>
    </row>
    <row r="2434" spans="1:54" ht="15.75" customHeight="1">
      <c r="A2434" s="317"/>
      <c r="B2434" s="430"/>
      <c r="C2434" s="317"/>
      <c r="E2434" s="306"/>
      <c r="F2434" s="431"/>
      <c r="G2434" s="431"/>
      <c r="H2434" s="298"/>
      <c r="I2434" s="432"/>
      <c r="J2434" s="433"/>
      <c r="K2434" s="306"/>
      <c r="L2434" s="306"/>
      <c r="M2434" s="306"/>
      <c r="N2434" s="298"/>
      <c r="O2434" s="298"/>
      <c r="P2434" s="298"/>
      <c r="Q2434" s="306"/>
      <c r="R2434" s="1023"/>
      <c r="S2434" s="1023"/>
      <c r="T2434" s="306"/>
      <c r="U2434" s="306"/>
      <c r="V2434" s="306"/>
      <c r="W2434" s="306"/>
      <c r="X2434" s="306"/>
      <c r="Y2434" s="306"/>
      <c r="Z2434" s="306"/>
      <c r="AA2434" s="306"/>
      <c r="AB2434" s="306"/>
      <c r="AC2434" s="306"/>
      <c r="AD2434" s="306"/>
      <c r="AE2434" s="306"/>
      <c r="AF2434" s="306"/>
      <c r="AG2434" s="306"/>
      <c r="AH2434" s="306"/>
      <c r="AI2434" s="306"/>
      <c r="AJ2434" s="306"/>
      <c r="AK2434" s="306"/>
      <c r="AL2434" s="306"/>
      <c r="AM2434" s="418"/>
      <c r="AN2434" s="418"/>
      <c r="AO2434" s="306"/>
      <c r="AP2434" s="306"/>
      <c r="AQ2434" s="418"/>
      <c r="AR2434" s="306"/>
      <c r="AS2434" s="306"/>
      <c r="AT2434" s="418"/>
      <c r="AU2434" s="306"/>
      <c r="AV2434" s="306"/>
      <c r="AW2434" s="306"/>
      <c r="AX2434" s="306"/>
      <c r="AY2434" s="306"/>
      <c r="AZ2434" s="306"/>
      <c r="BA2434" s="306"/>
      <c r="BB2434" s="306"/>
    </row>
    <row r="2435" spans="1:54" ht="15.75" customHeight="1">
      <c r="A2435" s="317"/>
      <c r="B2435" s="430"/>
      <c r="C2435" s="317"/>
      <c r="E2435" s="306"/>
      <c r="F2435" s="431"/>
      <c r="G2435" s="431"/>
      <c r="H2435" s="298"/>
      <c r="I2435" s="432"/>
      <c r="J2435" s="433"/>
      <c r="K2435" s="306"/>
      <c r="L2435" s="306"/>
      <c r="M2435" s="306"/>
      <c r="N2435" s="298"/>
      <c r="O2435" s="298"/>
      <c r="P2435" s="298"/>
      <c r="Q2435" s="306"/>
      <c r="R2435" s="1023"/>
      <c r="S2435" s="1023"/>
      <c r="T2435" s="306"/>
      <c r="U2435" s="306"/>
      <c r="V2435" s="306"/>
      <c r="W2435" s="306"/>
      <c r="X2435" s="306"/>
      <c r="Y2435" s="306"/>
      <c r="Z2435" s="306"/>
      <c r="AA2435" s="306"/>
      <c r="AB2435" s="306"/>
      <c r="AC2435" s="306"/>
      <c r="AD2435" s="306"/>
      <c r="AE2435" s="306"/>
      <c r="AF2435" s="306"/>
      <c r="AG2435" s="306"/>
      <c r="AH2435" s="306"/>
      <c r="AI2435" s="306"/>
      <c r="AJ2435" s="306"/>
      <c r="AK2435" s="306"/>
      <c r="AL2435" s="306"/>
      <c r="AM2435" s="418"/>
      <c r="AN2435" s="418"/>
      <c r="AO2435" s="306"/>
      <c r="AP2435" s="306"/>
      <c r="AQ2435" s="418"/>
      <c r="AR2435" s="306"/>
      <c r="AS2435" s="306"/>
      <c r="AT2435" s="418"/>
      <c r="AU2435" s="306"/>
      <c r="AV2435" s="306"/>
      <c r="AW2435" s="306"/>
      <c r="AX2435" s="306"/>
      <c r="AY2435" s="306"/>
      <c r="AZ2435" s="306"/>
      <c r="BA2435" s="306"/>
      <c r="BB2435" s="306"/>
    </row>
    <row r="2436" spans="1:54" ht="15.75" customHeight="1">
      <c r="A2436" s="317"/>
      <c r="B2436" s="430"/>
      <c r="C2436" s="317"/>
      <c r="E2436" s="306"/>
      <c r="F2436" s="431"/>
      <c r="G2436" s="431"/>
      <c r="H2436" s="298"/>
      <c r="I2436" s="432"/>
      <c r="J2436" s="433"/>
      <c r="K2436" s="306"/>
      <c r="L2436" s="306"/>
      <c r="M2436" s="306"/>
      <c r="N2436" s="298"/>
      <c r="O2436" s="298"/>
      <c r="P2436" s="298"/>
      <c r="Q2436" s="306"/>
      <c r="R2436" s="1023"/>
      <c r="S2436" s="1023"/>
      <c r="T2436" s="306"/>
      <c r="U2436" s="306"/>
      <c r="V2436" s="306"/>
      <c r="W2436" s="306"/>
      <c r="X2436" s="306"/>
      <c r="Y2436" s="306"/>
      <c r="Z2436" s="306"/>
      <c r="AA2436" s="306"/>
      <c r="AB2436" s="306"/>
      <c r="AC2436" s="306"/>
      <c r="AD2436" s="306"/>
      <c r="AE2436" s="306"/>
      <c r="AF2436" s="306"/>
      <c r="AG2436" s="306"/>
      <c r="AH2436" s="306"/>
      <c r="AI2436" s="306"/>
      <c r="AJ2436" s="306"/>
      <c r="AK2436" s="306"/>
      <c r="AL2436" s="306"/>
      <c r="AM2436" s="418"/>
      <c r="AN2436" s="418"/>
      <c r="AO2436" s="306"/>
      <c r="AP2436" s="306"/>
      <c r="AQ2436" s="418"/>
      <c r="AR2436" s="306"/>
      <c r="AS2436" s="306"/>
      <c r="AT2436" s="418"/>
      <c r="AU2436" s="306"/>
      <c r="AV2436" s="306"/>
      <c r="AW2436" s="306"/>
      <c r="AX2436" s="306"/>
      <c r="AY2436" s="306"/>
      <c r="AZ2436" s="306"/>
      <c r="BA2436" s="306"/>
      <c r="BB2436" s="306"/>
    </row>
    <row r="2437" spans="1:54" ht="15.75" customHeight="1">
      <c r="A2437" s="317"/>
      <c r="B2437" s="430"/>
      <c r="C2437" s="317"/>
      <c r="E2437" s="306"/>
      <c r="F2437" s="431"/>
      <c r="G2437" s="431"/>
      <c r="H2437" s="298"/>
      <c r="I2437" s="432"/>
      <c r="J2437" s="433"/>
      <c r="K2437" s="306"/>
      <c r="L2437" s="306"/>
      <c r="M2437" s="306"/>
      <c r="N2437" s="298"/>
      <c r="O2437" s="298"/>
      <c r="P2437" s="298"/>
      <c r="Q2437" s="306"/>
      <c r="R2437" s="1023"/>
      <c r="S2437" s="1023"/>
      <c r="T2437" s="306"/>
      <c r="U2437" s="306"/>
      <c r="V2437" s="306"/>
      <c r="W2437" s="306"/>
      <c r="X2437" s="306"/>
      <c r="Y2437" s="306"/>
      <c r="Z2437" s="306"/>
      <c r="AA2437" s="306"/>
      <c r="AB2437" s="306"/>
      <c r="AC2437" s="306"/>
      <c r="AD2437" s="306"/>
      <c r="AE2437" s="306"/>
      <c r="AF2437" s="306"/>
      <c r="AG2437" s="306"/>
      <c r="AH2437" s="306"/>
      <c r="AI2437" s="306"/>
      <c r="AJ2437" s="306"/>
      <c r="AK2437" s="306"/>
      <c r="AL2437" s="306"/>
      <c r="AM2437" s="418"/>
      <c r="AN2437" s="418"/>
      <c r="AO2437" s="306"/>
      <c r="AP2437" s="306"/>
      <c r="AQ2437" s="418"/>
      <c r="AR2437" s="306"/>
      <c r="AS2437" s="306"/>
      <c r="AT2437" s="418"/>
      <c r="AU2437" s="306"/>
      <c r="AV2437" s="306"/>
      <c r="AW2437" s="306"/>
      <c r="AX2437" s="306"/>
      <c r="AY2437" s="306"/>
      <c r="AZ2437" s="306"/>
      <c r="BA2437" s="306"/>
      <c r="BB2437" s="306"/>
    </row>
    <row r="2438" spans="1:54" ht="15.75" customHeight="1">
      <c r="A2438" s="317"/>
      <c r="B2438" s="430"/>
      <c r="C2438" s="317"/>
      <c r="E2438" s="306"/>
      <c r="F2438" s="431"/>
      <c r="G2438" s="431"/>
      <c r="H2438" s="298"/>
      <c r="I2438" s="432"/>
      <c r="J2438" s="433"/>
      <c r="K2438" s="306"/>
      <c r="L2438" s="306"/>
      <c r="M2438" s="306"/>
      <c r="N2438" s="298"/>
      <c r="O2438" s="298"/>
      <c r="P2438" s="298"/>
      <c r="Q2438" s="306"/>
      <c r="R2438" s="1023"/>
      <c r="S2438" s="1023"/>
      <c r="T2438" s="306"/>
      <c r="U2438" s="306"/>
      <c r="V2438" s="306"/>
      <c r="W2438" s="306"/>
      <c r="X2438" s="306"/>
      <c r="Y2438" s="306"/>
      <c r="Z2438" s="306"/>
      <c r="AA2438" s="306"/>
      <c r="AB2438" s="306"/>
      <c r="AC2438" s="306"/>
      <c r="AD2438" s="306"/>
      <c r="AE2438" s="306"/>
      <c r="AF2438" s="306"/>
      <c r="AG2438" s="306"/>
      <c r="AH2438" s="306"/>
      <c r="AI2438" s="306"/>
      <c r="AJ2438" s="306"/>
      <c r="AK2438" s="306"/>
      <c r="AL2438" s="306"/>
      <c r="AM2438" s="418"/>
      <c r="AN2438" s="418"/>
      <c r="AO2438" s="306"/>
      <c r="AP2438" s="306"/>
      <c r="AQ2438" s="418"/>
      <c r="AR2438" s="306"/>
      <c r="AS2438" s="306"/>
      <c r="AT2438" s="418"/>
      <c r="AU2438" s="306"/>
      <c r="AV2438" s="306"/>
      <c r="AW2438" s="306"/>
      <c r="AX2438" s="306"/>
      <c r="AY2438" s="306"/>
      <c r="AZ2438" s="306"/>
      <c r="BA2438" s="306"/>
      <c r="BB2438" s="306"/>
    </row>
    <row r="2439" spans="1:54" ht="15.75" customHeight="1">
      <c r="A2439" s="317"/>
      <c r="B2439" s="430"/>
      <c r="C2439" s="317"/>
      <c r="E2439" s="306"/>
      <c r="F2439" s="431"/>
      <c r="G2439" s="431"/>
      <c r="H2439" s="298"/>
      <c r="I2439" s="432"/>
      <c r="J2439" s="433"/>
      <c r="K2439" s="306"/>
      <c r="L2439" s="306"/>
      <c r="M2439" s="306"/>
      <c r="N2439" s="298"/>
      <c r="O2439" s="298"/>
      <c r="P2439" s="298"/>
      <c r="Q2439" s="306"/>
      <c r="R2439" s="1023"/>
      <c r="S2439" s="1023"/>
      <c r="T2439" s="306"/>
      <c r="U2439" s="306"/>
      <c r="V2439" s="306"/>
      <c r="W2439" s="306"/>
      <c r="X2439" s="306"/>
      <c r="Y2439" s="306"/>
      <c r="Z2439" s="306"/>
      <c r="AA2439" s="306"/>
      <c r="AB2439" s="306"/>
      <c r="AC2439" s="306"/>
      <c r="AD2439" s="306"/>
      <c r="AE2439" s="306"/>
      <c r="AF2439" s="306"/>
      <c r="AG2439" s="306"/>
      <c r="AH2439" s="306"/>
      <c r="AI2439" s="306"/>
      <c r="AJ2439" s="306"/>
      <c r="AK2439" s="306"/>
      <c r="AL2439" s="306"/>
      <c r="AM2439" s="418"/>
      <c r="AN2439" s="418"/>
      <c r="AO2439" s="306"/>
      <c r="AP2439" s="306"/>
      <c r="AQ2439" s="418"/>
      <c r="AR2439" s="306"/>
      <c r="AS2439" s="306"/>
      <c r="AT2439" s="418"/>
      <c r="AU2439" s="306"/>
      <c r="AV2439" s="306"/>
      <c r="AW2439" s="306"/>
      <c r="AX2439" s="306"/>
      <c r="AY2439" s="306"/>
      <c r="AZ2439" s="306"/>
      <c r="BA2439" s="306"/>
      <c r="BB2439" s="306"/>
    </row>
    <row r="2440" spans="1:54" ht="15.75" customHeight="1">
      <c r="A2440" s="317"/>
      <c r="B2440" s="430"/>
      <c r="C2440" s="317"/>
      <c r="E2440" s="306"/>
      <c r="F2440" s="431"/>
      <c r="G2440" s="431"/>
      <c r="H2440" s="298"/>
      <c r="I2440" s="432"/>
      <c r="J2440" s="433"/>
      <c r="K2440" s="306"/>
      <c r="L2440" s="306"/>
      <c r="M2440" s="306"/>
      <c r="N2440" s="298"/>
      <c r="O2440" s="298"/>
      <c r="P2440" s="298"/>
      <c r="Q2440" s="306"/>
      <c r="R2440" s="1023"/>
      <c r="S2440" s="1023"/>
      <c r="T2440" s="306"/>
      <c r="U2440" s="306"/>
      <c r="V2440" s="306"/>
      <c r="W2440" s="306"/>
      <c r="X2440" s="306"/>
      <c r="Y2440" s="306"/>
      <c r="Z2440" s="306"/>
      <c r="AA2440" s="306"/>
      <c r="AB2440" s="306"/>
      <c r="AC2440" s="306"/>
      <c r="AD2440" s="306"/>
      <c r="AE2440" s="306"/>
      <c r="AF2440" s="306"/>
      <c r="AG2440" s="306"/>
      <c r="AH2440" s="306"/>
      <c r="AI2440" s="306"/>
      <c r="AJ2440" s="306"/>
      <c r="AK2440" s="306"/>
      <c r="AL2440" s="306"/>
      <c r="AM2440" s="418"/>
      <c r="AN2440" s="418"/>
      <c r="AO2440" s="306"/>
      <c r="AP2440" s="306"/>
      <c r="AQ2440" s="418"/>
      <c r="AR2440" s="306"/>
      <c r="AS2440" s="306"/>
      <c r="AT2440" s="418"/>
      <c r="AU2440" s="306"/>
      <c r="AV2440" s="306"/>
      <c r="AW2440" s="306"/>
      <c r="AX2440" s="306"/>
      <c r="AY2440" s="306"/>
      <c r="AZ2440" s="306"/>
      <c r="BA2440" s="306"/>
      <c r="BB2440" s="306"/>
    </row>
    <row r="2441" spans="1:54" ht="15.75" customHeight="1">
      <c r="A2441" s="317"/>
      <c r="B2441" s="430"/>
      <c r="C2441" s="317"/>
      <c r="E2441" s="306"/>
      <c r="F2441" s="431"/>
      <c r="G2441" s="431"/>
      <c r="H2441" s="298"/>
      <c r="I2441" s="432"/>
      <c r="J2441" s="433"/>
      <c r="K2441" s="306"/>
      <c r="L2441" s="306"/>
      <c r="M2441" s="306"/>
      <c r="N2441" s="298"/>
      <c r="O2441" s="298"/>
      <c r="P2441" s="298"/>
      <c r="Q2441" s="306"/>
      <c r="R2441" s="1023"/>
      <c r="S2441" s="1023"/>
      <c r="T2441" s="306"/>
      <c r="U2441" s="306"/>
      <c r="V2441" s="306"/>
      <c r="W2441" s="306"/>
      <c r="X2441" s="306"/>
      <c r="Y2441" s="306"/>
      <c r="Z2441" s="306"/>
      <c r="AA2441" s="306"/>
      <c r="AB2441" s="306"/>
      <c r="AC2441" s="306"/>
      <c r="AD2441" s="306"/>
      <c r="AE2441" s="306"/>
      <c r="AF2441" s="306"/>
      <c r="AG2441" s="306"/>
      <c r="AH2441" s="306"/>
      <c r="AI2441" s="306"/>
      <c r="AJ2441" s="306"/>
      <c r="AK2441" s="306"/>
      <c r="AL2441" s="306"/>
      <c r="AM2441" s="418"/>
      <c r="AN2441" s="418"/>
      <c r="AO2441" s="306"/>
      <c r="AP2441" s="306"/>
      <c r="AQ2441" s="418"/>
      <c r="AR2441" s="306"/>
      <c r="AS2441" s="306"/>
      <c r="AT2441" s="418"/>
      <c r="AU2441" s="306"/>
      <c r="AV2441" s="306"/>
      <c r="AW2441" s="306"/>
      <c r="AX2441" s="306"/>
      <c r="AY2441" s="306"/>
      <c r="AZ2441" s="306"/>
      <c r="BA2441" s="306"/>
      <c r="BB2441" s="306"/>
    </row>
    <row r="2442" spans="1:54" ht="15.75" customHeight="1">
      <c r="A2442" s="317"/>
      <c r="B2442" s="430"/>
      <c r="C2442" s="317"/>
      <c r="E2442" s="306"/>
      <c r="F2442" s="431"/>
      <c r="G2442" s="431"/>
      <c r="H2442" s="298"/>
      <c r="I2442" s="432"/>
      <c r="J2442" s="433"/>
      <c r="K2442" s="306"/>
      <c r="L2442" s="306"/>
      <c r="M2442" s="306"/>
      <c r="N2442" s="298"/>
      <c r="O2442" s="298"/>
      <c r="P2442" s="298"/>
      <c r="Q2442" s="306"/>
      <c r="R2442" s="1023"/>
      <c r="S2442" s="1023"/>
      <c r="T2442" s="306"/>
      <c r="U2442" s="306"/>
      <c r="V2442" s="306"/>
      <c r="W2442" s="306"/>
      <c r="X2442" s="306"/>
      <c r="Y2442" s="306"/>
      <c r="Z2442" s="306"/>
      <c r="AA2442" s="306"/>
      <c r="AB2442" s="306"/>
      <c r="AC2442" s="306"/>
      <c r="AD2442" s="306"/>
      <c r="AE2442" s="306"/>
      <c r="AF2442" s="306"/>
      <c r="AG2442" s="306"/>
      <c r="AH2442" s="306"/>
      <c r="AI2442" s="306"/>
      <c r="AJ2442" s="306"/>
      <c r="AK2442" s="306"/>
      <c r="AL2442" s="306"/>
      <c r="AM2442" s="418"/>
      <c r="AN2442" s="418"/>
      <c r="AO2442" s="306"/>
      <c r="AP2442" s="306"/>
      <c r="AQ2442" s="418"/>
      <c r="AR2442" s="306"/>
      <c r="AS2442" s="306"/>
      <c r="AT2442" s="418"/>
      <c r="AU2442" s="306"/>
      <c r="AV2442" s="306"/>
      <c r="AW2442" s="306"/>
      <c r="AX2442" s="306"/>
      <c r="AY2442" s="306"/>
      <c r="AZ2442" s="306"/>
      <c r="BA2442" s="306"/>
      <c r="BB2442" s="306"/>
    </row>
    <row r="2443" spans="1:54" ht="15.75" customHeight="1">
      <c r="A2443" s="317"/>
      <c r="B2443" s="430"/>
      <c r="C2443" s="317"/>
      <c r="E2443" s="306"/>
      <c r="F2443" s="431"/>
      <c r="G2443" s="431"/>
      <c r="H2443" s="298"/>
      <c r="I2443" s="432"/>
      <c r="J2443" s="433"/>
      <c r="K2443" s="306"/>
      <c r="L2443" s="306"/>
      <c r="M2443" s="306"/>
      <c r="N2443" s="298"/>
      <c r="O2443" s="298"/>
      <c r="P2443" s="298"/>
      <c r="Q2443" s="306"/>
      <c r="R2443" s="1023"/>
      <c r="S2443" s="1023"/>
      <c r="T2443" s="306"/>
      <c r="U2443" s="306"/>
      <c r="V2443" s="306"/>
      <c r="W2443" s="306"/>
      <c r="X2443" s="306"/>
      <c r="Y2443" s="306"/>
      <c r="Z2443" s="306"/>
      <c r="AA2443" s="306"/>
      <c r="AB2443" s="306"/>
      <c r="AC2443" s="306"/>
      <c r="AD2443" s="306"/>
      <c r="AE2443" s="306"/>
      <c r="AF2443" s="306"/>
      <c r="AG2443" s="306"/>
      <c r="AH2443" s="306"/>
      <c r="AI2443" s="306"/>
      <c r="AJ2443" s="306"/>
      <c r="AK2443" s="306"/>
      <c r="AL2443" s="306"/>
      <c r="AM2443" s="418"/>
      <c r="AN2443" s="418"/>
      <c r="AO2443" s="306"/>
      <c r="AP2443" s="306"/>
      <c r="AQ2443" s="418"/>
      <c r="AR2443" s="306"/>
      <c r="AS2443" s="306"/>
      <c r="AT2443" s="418"/>
      <c r="AU2443" s="306"/>
      <c r="AV2443" s="306"/>
      <c r="AW2443" s="306"/>
      <c r="AX2443" s="306"/>
      <c r="AY2443" s="306"/>
      <c r="AZ2443" s="306"/>
      <c r="BA2443" s="306"/>
      <c r="BB2443" s="306"/>
    </row>
    <row r="2444" spans="1:54" ht="15.75" customHeight="1">
      <c r="A2444" s="317"/>
      <c r="B2444" s="430"/>
      <c r="C2444" s="317"/>
      <c r="E2444" s="306"/>
      <c r="F2444" s="431"/>
      <c r="G2444" s="431"/>
      <c r="H2444" s="298"/>
      <c r="I2444" s="432"/>
      <c r="J2444" s="433"/>
      <c r="K2444" s="306"/>
      <c r="L2444" s="306"/>
      <c r="M2444" s="306"/>
      <c r="N2444" s="298"/>
      <c r="O2444" s="298"/>
      <c r="P2444" s="298"/>
      <c r="Q2444" s="306"/>
      <c r="R2444" s="1023"/>
      <c r="S2444" s="1023"/>
      <c r="T2444" s="306"/>
      <c r="U2444" s="306"/>
      <c r="V2444" s="306"/>
      <c r="W2444" s="306"/>
      <c r="X2444" s="306"/>
      <c r="Y2444" s="306"/>
      <c r="Z2444" s="306"/>
      <c r="AA2444" s="306"/>
      <c r="AB2444" s="306"/>
      <c r="AC2444" s="306"/>
      <c r="AD2444" s="306"/>
      <c r="AE2444" s="306"/>
      <c r="AF2444" s="306"/>
      <c r="AG2444" s="306"/>
      <c r="AH2444" s="306"/>
      <c r="AI2444" s="306"/>
      <c r="AJ2444" s="306"/>
      <c r="AK2444" s="306"/>
      <c r="AL2444" s="306"/>
      <c r="AM2444" s="418"/>
      <c r="AN2444" s="418"/>
      <c r="AO2444" s="306"/>
      <c r="AP2444" s="306"/>
      <c r="AQ2444" s="418"/>
      <c r="AR2444" s="306"/>
      <c r="AS2444" s="306"/>
      <c r="AT2444" s="418"/>
      <c r="AU2444" s="306"/>
      <c r="AV2444" s="306"/>
      <c r="AW2444" s="306"/>
      <c r="AX2444" s="306"/>
      <c r="AY2444" s="306"/>
      <c r="AZ2444" s="306"/>
      <c r="BA2444" s="306"/>
      <c r="BB2444" s="306"/>
    </row>
    <row r="2445" spans="1:54" ht="15.75" customHeight="1">
      <c r="A2445" s="317"/>
      <c r="B2445" s="430"/>
      <c r="C2445" s="317"/>
      <c r="E2445" s="306"/>
      <c r="F2445" s="431"/>
      <c r="G2445" s="431"/>
      <c r="H2445" s="298"/>
      <c r="I2445" s="432"/>
      <c r="J2445" s="433"/>
      <c r="K2445" s="306"/>
      <c r="L2445" s="306"/>
      <c r="M2445" s="306"/>
      <c r="N2445" s="298"/>
      <c r="O2445" s="298"/>
      <c r="P2445" s="298"/>
      <c r="Q2445" s="306"/>
      <c r="R2445" s="1023"/>
      <c r="S2445" s="1023"/>
      <c r="T2445" s="306"/>
      <c r="U2445" s="306"/>
      <c r="V2445" s="306"/>
      <c r="W2445" s="306"/>
      <c r="X2445" s="306"/>
      <c r="Y2445" s="306"/>
      <c r="Z2445" s="306"/>
      <c r="AA2445" s="306"/>
      <c r="AB2445" s="306"/>
      <c r="AC2445" s="306"/>
      <c r="AD2445" s="306"/>
      <c r="AE2445" s="306"/>
      <c r="AF2445" s="306"/>
      <c r="AG2445" s="306"/>
      <c r="AH2445" s="306"/>
      <c r="AI2445" s="306"/>
      <c r="AJ2445" s="306"/>
      <c r="AK2445" s="306"/>
      <c r="AL2445" s="306"/>
      <c r="AM2445" s="418"/>
      <c r="AN2445" s="418"/>
      <c r="AO2445" s="306"/>
      <c r="AP2445" s="306"/>
      <c r="AQ2445" s="418"/>
      <c r="AR2445" s="306"/>
      <c r="AS2445" s="306"/>
      <c r="AT2445" s="418"/>
      <c r="AU2445" s="306"/>
      <c r="AV2445" s="306"/>
      <c r="AW2445" s="306"/>
      <c r="AX2445" s="306"/>
      <c r="AY2445" s="306"/>
      <c r="AZ2445" s="306"/>
      <c r="BA2445" s="306"/>
      <c r="BB2445" s="306"/>
    </row>
    <row r="2446" spans="1:54" ht="15.75" customHeight="1">
      <c r="A2446" s="317"/>
      <c r="B2446" s="430"/>
      <c r="C2446" s="317"/>
      <c r="E2446" s="306"/>
      <c r="F2446" s="431"/>
      <c r="G2446" s="431"/>
      <c r="H2446" s="298"/>
      <c r="I2446" s="432"/>
      <c r="J2446" s="433"/>
      <c r="K2446" s="306"/>
      <c r="L2446" s="306"/>
      <c r="M2446" s="306"/>
      <c r="N2446" s="298"/>
      <c r="O2446" s="298"/>
      <c r="P2446" s="298"/>
      <c r="Q2446" s="306"/>
      <c r="R2446" s="1023"/>
      <c r="S2446" s="1023"/>
      <c r="T2446" s="306"/>
      <c r="U2446" s="306"/>
      <c r="V2446" s="306"/>
      <c r="W2446" s="306"/>
      <c r="X2446" s="306"/>
      <c r="Y2446" s="306"/>
      <c r="Z2446" s="306"/>
      <c r="AA2446" s="306"/>
      <c r="AB2446" s="306"/>
      <c r="AC2446" s="306"/>
      <c r="AD2446" s="306"/>
      <c r="AE2446" s="306"/>
      <c r="AF2446" s="306"/>
      <c r="AG2446" s="306"/>
      <c r="AH2446" s="306"/>
      <c r="AI2446" s="306"/>
      <c r="AJ2446" s="306"/>
      <c r="AK2446" s="306"/>
      <c r="AL2446" s="306"/>
      <c r="AM2446" s="418"/>
      <c r="AN2446" s="418"/>
      <c r="AO2446" s="306"/>
      <c r="AP2446" s="306"/>
      <c r="AQ2446" s="418"/>
      <c r="AR2446" s="306"/>
      <c r="AS2446" s="306"/>
      <c r="AT2446" s="418"/>
      <c r="AU2446" s="306"/>
      <c r="AV2446" s="306"/>
      <c r="AW2446" s="306"/>
      <c r="AX2446" s="306"/>
      <c r="AY2446" s="306"/>
      <c r="AZ2446" s="306"/>
      <c r="BA2446" s="306"/>
      <c r="BB2446" s="306"/>
    </row>
    <row r="2447" spans="1:54" ht="15.75" customHeight="1">
      <c r="A2447" s="317"/>
      <c r="B2447" s="430"/>
      <c r="C2447" s="317"/>
      <c r="E2447" s="306"/>
      <c r="F2447" s="431"/>
      <c r="G2447" s="431"/>
      <c r="H2447" s="298"/>
      <c r="I2447" s="432"/>
      <c r="J2447" s="433"/>
      <c r="K2447" s="306"/>
      <c r="L2447" s="306"/>
      <c r="M2447" s="306"/>
      <c r="N2447" s="298"/>
      <c r="O2447" s="298"/>
      <c r="P2447" s="298"/>
      <c r="Q2447" s="306"/>
      <c r="R2447" s="1023"/>
      <c r="S2447" s="1023"/>
      <c r="T2447" s="306"/>
      <c r="U2447" s="306"/>
      <c r="V2447" s="306"/>
      <c r="W2447" s="306"/>
      <c r="X2447" s="306"/>
      <c r="Y2447" s="306"/>
      <c r="Z2447" s="306"/>
      <c r="AA2447" s="306"/>
      <c r="AB2447" s="306"/>
      <c r="AC2447" s="306"/>
      <c r="AD2447" s="306"/>
      <c r="AE2447" s="306"/>
      <c r="AF2447" s="306"/>
      <c r="AG2447" s="306"/>
      <c r="AH2447" s="306"/>
      <c r="AI2447" s="306"/>
      <c r="AJ2447" s="306"/>
      <c r="AK2447" s="306"/>
      <c r="AL2447" s="306"/>
      <c r="AM2447" s="418"/>
      <c r="AN2447" s="418"/>
      <c r="AO2447" s="306"/>
      <c r="AP2447" s="306"/>
      <c r="AQ2447" s="418"/>
      <c r="AR2447" s="306"/>
      <c r="AS2447" s="306"/>
      <c r="AT2447" s="418"/>
      <c r="AU2447" s="306"/>
      <c r="AV2447" s="306"/>
      <c r="AW2447" s="306"/>
      <c r="AX2447" s="306"/>
      <c r="AY2447" s="306"/>
      <c r="AZ2447" s="306"/>
      <c r="BA2447" s="306"/>
      <c r="BB2447" s="306"/>
    </row>
    <row r="2448" spans="1:54" ht="15.75" customHeight="1">
      <c r="A2448" s="317"/>
      <c r="B2448" s="430"/>
      <c r="C2448" s="317"/>
      <c r="E2448" s="306"/>
      <c r="F2448" s="431"/>
      <c r="G2448" s="431"/>
      <c r="H2448" s="298"/>
      <c r="I2448" s="432"/>
      <c r="J2448" s="433"/>
      <c r="K2448" s="306"/>
      <c r="L2448" s="306"/>
      <c r="M2448" s="306"/>
      <c r="N2448" s="298"/>
      <c r="O2448" s="298"/>
      <c r="P2448" s="298"/>
      <c r="Q2448" s="306"/>
      <c r="R2448" s="1023"/>
      <c r="S2448" s="1023"/>
      <c r="T2448" s="306"/>
      <c r="U2448" s="306"/>
      <c r="V2448" s="306"/>
      <c r="W2448" s="306"/>
      <c r="X2448" s="306"/>
      <c r="Y2448" s="306"/>
      <c r="Z2448" s="306"/>
      <c r="AA2448" s="306"/>
      <c r="AB2448" s="306"/>
      <c r="AC2448" s="306"/>
      <c r="AD2448" s="306"/>
      <c r="AE2448" s="306"/>
      <c r="AF2448" s="306"/>
      <c r="AG2448" s="306"/>
      <c r="AH2448" s="306"/>
      <c r="AI2448" s="306"/>
      <c r="AJ2448" s="306"/>
      <c r="AK2448" s="306"/>
      <c r="AL2448" s="306"/>
      <c r="AM2448" s="418"/>
      <c r="AN2448" s="418"/>
      <c r="AO2448" s="306"/>
      <c r="AP2448" s="306"/>
      <c r="AQ2448" s="418"/>
      <c r="AR2448" s="306"/>
      <c r="AS2448" s="306"/>
      <c r="AT2448" s="418"/>
      <c r="AU2448" s="306"/>
      <c r="AV2448" s="306"/>
      <c r="AW2448" s="306"/>
      <c r="AX2448" s="306"/>
      <c r="AY2448" s="306"/>
      <c r="AZ2448" s="306"/>
      <c r="BA2448" s="306"/>
      <c r="BB2448" s="306"/>
    </row>
    <row r="2449" spans="1:54" ht="15.75" customHeight="1">
      <c r="A2449" s="317"/>
      <c r="B2449" s="430"/>
      <c r="C2449" s="317"/>
      <c r="E2449" s="306"/>
      <c r="F2449" s="431"/>
      <c r="G2449" s="431"/>
      <c r="H2449" s="298"/>
      <c r="I2449" s="432"/>
      <c r="J2449" s="433"/>
      <c r="K2449" s="306"/>
      <c r="L2449" s="306"/>
      <c r="M2449" s="306"/>
      <c r="N2449" s="298"/>
      <c r="O2449" s="298"/>
      <c r="P2449" s="298"/>
      <c r="Q2449" s="306"/>
      <c r="R2449" s="1023"/>
      <c r="S2449" s="1023"/>
      <c r="T2449" s="306"/>
      <c r="U2449" s="306"/>
      <c r="V2449" s="306"/>
      <c r="W2449" s="306"/>
      <c r="X2449" s="306"/>
      <c r="Y2449" s="306"/>
      <c r="Z2449" s="306"/>
      <c r="AA2449" s="306"/>
      <c r="AB2449" s="306"/>
      <c r="AC2449" s="306"/>
      <c r="AD2449" s="306"/>
      <c r="AE2449" s="306"/>
      <c r="AF2449" s="306"/>
      <c r="AG2449" s="306"/>
      <c r="AH2449" s="306"/>
      <c r="AI2449" s="306"/>
      <c r="AJ2449" s="306"/>
      <c r="AK2449" s="306"/>
      <c r="AL2449" s="306"/>
      <c r="AM2449" s="418"/>
      <c r="AN2449" s="418"/>
      <c r="AO2449" s="306"/>
      <c r="AP2449" s="306"/>
      <c r="AQ2449" s="418"/>
      <c r="AR2449" s="306"/>
      <c r="AS2449" s="306"/>
      <c r="AT2449" s="418"/>
      <c r="AU2449" s="306"/>
      <c r="AV2449" s="306"/>
      <c r="AW2449" s="306"/>
      <c r="AX2449" s="306"/>
      <c r="AY2449" s="306"/>
      <c r="AZ2449" s="306"/>
      <c r="BA2449" s="306"/>
      <c r="BB2449" s="306"/>
    </row>
    <row r="2450" spans="1:54" ht="15.75" customHeight="1">
      <c r="A2450" s="317"/>
      <c r="B2450" s="430"/>
      <c r="C2450" s="317"/>
      <c r="E2450" s="306"/>
      <c r="F2450" s="431"/>
      <c r="G2450" s="431"/>
      <c r="H2450" s="298"/>
      <c r="I2450" s="432"/>
      <c r="J2450" s="433"/>
      <c r="K2450" s="306"/>
      <c r="L2450" s="306"/>
      <c r="M2450" s="306"/>
      <c r="N2450" s="298"/>
      <c r="O2450" s="298"/>
      <c r="P2450" s="298"/>
      <c r="Q2450" s="306"/>
      <c r="R2450" s="1023"/>
      <c r="S2450" s="1023"/>
      <c r="T2450" s="306"/>
      <c r="U2450" s="306"/>
      <c r="V2450" s="306"/>
      <c r="W2450" s="306"/>
      <c r="X2450" s="306"/>
      <c r="Y2450" s="306"/>
      <c r="Z2450" s="306"/>
      <c r="AA2450" s="306"/>
      <c r="AB2450" s="306"/>
      <c r="AC2450" s="306"/>
      <c r="AD2450" s="306"/>
      <c r="AE2450" s="306"/>
      <c r="AF2450" s="306"/>
      <c r="AG2450" s="306"/>
      <c r="AH2450" s="306"/>
      <c r="AI2450" s="306"/>
      <c r="AJ2450" s="306"/>
      <c r="AK2450" s="306"/>
      <c r="AL2450" s="306"/>
      <c r="AM2450" s="418"/>
      <c r="AN2450" s="418"/>
      <c r="AO2450" s="306"/>
      <c r="AP2450" s="306"/>
      <c r="AQ2450" s="418"/>
      <c r="AR2450" s="306"/>
      <c r="AS2450" s="306"/>
      <c r="AT2450" s="418"/>
      <c r="AU2450" s="306"/>
      <c r="AV2450" s="306"/>
      <c r="AW2450" s="306"/>
      <c r="AX2450" s="306"/>
      <c r="AY2450" s="306"/>
      <c r="AZ2450" s="306"/>
      <c r="BA2450" s="306"/>
      <c r="BB2450" s="306"/>
    </row>
    <row r="2451" spans="1:54" ht="15.75" customHeight="1">
      <c r="A2451" s="317"/>
      <c r="B2451" s="430"/>
      <c r="C2451" s="317"/>
      <c r="E2451" s="306"/>
      <c r="F2451" s="431"/>
      <c r="G2451" s="431"/>
      <c r="H2451" s="306"/>
      <c r="I2451" s="431"/>
      <c r="J2451" s="435"/>
      <c r="K2451" s="306"/>
      <c r="L2451" s="306"/>
      <c r="M2451" s="306"/>
      <c r="N2451" s="298"/>
      <c r="O2451" s="306"/>
      <c r="P2451" s="306"/>
      <c r="Q2451" s="306"/>
      <c r="R2451" s="1023"/>
      <c r="S2451" s="1023"/>
      <c r="T2451" s="306"/>
      <c r="U2451" s="306"/>
      <c r="V2451" s="306"/>
      <c r="W2451" s="306"/>
      <c r="X2451" s="306"/>
      <c r="Y2451" s="306"/>
      <c r="Z2451" s="306"/>
      <c r="AA2451" s="306"/>
      <c r="AB2451" s="306"/>
      <c r="AC2451" s="306"/>
      <c r="AD2451" s="306"/>
      <c r="AE2451" s="306"/>
      <c r="AF2451" s="306"/>
      <c r="AG2451" s="306"/>
      <c r="AH2451" s="306"/>
      <c r="AI2451" s="306"/>
      <c r="AJ2451" s="306"/>
      <c r="AK2451" s="306"/>
      <c r="AL2451" s="306"/>
      <c r="AM2451" s="418"/>
      <c r="AN2451" s="418"/>
      <c r="AO2451" s="306"/>
      <c r="AP2451" s="306"/>
      <c r="AQ2451" s="418"/>
      <c r="AR2451" s="306"/>
      <c r="AS2451" s="306"/>
      <c r="AT2451" s="418"/>
      <c r="AU2451" s="306"/>
      <c r="AV2451" s="306"/>
      <c r="AW2451" s="306"/>
      <c r="AX2451" s="306"/>
      <c r="AY2451" s="306"/>
      <c r="AZ2451" s="306"/>
      <c r="BA2451" s="306"/>
      <c r="BB2451" s="306"/>
    </row>
    <row r="2452" spans="1:54" ht="15.75" customHeight="1">
      <c r="A2452" s="317"/>
      <c r="B2452" s="430"/>
      <c r="C2452" s="317"/>
      <c r="E2452" s="306"/>
      <c r="F2452" s="431"/>
      <c r="G2452" s="431"/>
      <c r="H2452" s="298"/>
      <c r="I2452" s="432"/>
      <c r="J2452" s="433"/>
      <c r="K2452" s="306"/>
      <c r="L2452" s="306"/>
      <c r="M2452" s="306"/>
      <c r="N2452" s="298"/>
      <c r="O2452" s="298"/>
      <c r="P2452" s="298"/>
      <c r="Q2452" s="306"/>
      <c r="R2452" s="1023"/>
      <c r="S2452" s="1023"/>
      <c r="T2452" s="306"/>
      <c r="U2452" s="306"/>
      <c r="V2452" s="306"/>
      <c r="W2452" s="306"/>
      <c r="X2452" s="306"/>
      <c r="Y2452" s="306"/>
      <c r="Z2452" s="306"/>
      <c r="AA2452" s="306"/>
      <c r="AB2452" s="306"/>
      <c r="AC2452" s="306"/>
      <c r="AD2452" s="306"/>
      <c r="AE2452" s="306"/>
      <c r="AF2452" s="306"/>
      <c r="AG2452" s="306"/>
      <c r="AH2452" s="306"/>
      <c r="AI2452" s="306"/>
      <c r="AJ2452" s="306"/>
      <c r="AK2452" s="306"/>
      <c r="AL2452" s="306"/>
      <c r="AM2452" s="418"/>
      <c r="AN2452" s="418"/>
      <c r="AO2452" s="306"/>
      <c r="AP2452" s="306"/>
      <c r="AQ2452" s="418"/>
      <c r="AR2452" s="306"/>
      <c r="AS2452" s="306"/>
      <c r="AT2452" s="418"/>
      <c r="AU2452" s="306"/>
      <c r="AV2452" s="306"/>
      <c r="AW2452" s="306"/>
      <c r="AX2452" s="306"/>
      <c r="AY2452" s="306"/>
      <c r="AZ2452" s="306"/>
      <c r="BA2452" s="306"/>
      <c r="BB2452" s="306"/>
    </row>
    <row r="2453" spans="1:54" ht="15.75" customHeight="1">
      <c r="A2453" s="317"/>
      <c r="B2453" s="430"/>
      <c r="C2453" s="317"/>
      <c r="E2453" s="306"/>
      <c r="F2453" s="431"/>
      <c r="G2453" s="431"/>
      <c r="H2453" s="298"/>
      <c r="I2453" s="432"/>
      <c r="J2453" s="433"/>
      <c r="K2453" s="306"/>
      <c r="L2453" s="306"/>
      <c r="M2453" s="306"/>
      <c r="N2453" s="298"/>
      <c r="O2453" s="298"/>
      <c r="P2453" s="298"/>
      <c r="Q2453" s="306"/>
      <c r="R2453" s="1023"/>
      <c r="S2453" s="1023"/>
      <c r="T2453" s="306"/>
      <c r="U2453" s="306"/>
      <c r="V2453" s="306"/>
      <c r="W2453" s="306"/>
      <c r="X2453" s="306"/>
      <c r="Y2453" s="306"/>
      <c r="Z2453" s="306"/>
      <c r="AA2453" s="306"/>
      <c r="AB2453" s="306"/>
      <c r="AC2453" s="306"/>
      <c r="AD2453" s="306"/>
      <c r="AE2453" s="306"/>
      <c r="AF2453" s="306"/>
      <c r="AG2453" s="306"/>
      <c r="AH2453" s="306"/>
      <c r="AI2453" s="306"/>
      <c r="AJ2453" s="306"/>
      <c r="AK2453" s="306"/>
      <c r="AL2453" s="306"/>
      <c r="AM2453" s="418"/>
      <c r="AN2453" s="418"/>
      <c r="AO2453" s="306"/>
      <c r="AP2453" s="306"/>
      <c r="AQ2453" s="418"/>
      <c r="AR2453" s="306"/>
      <c r="AS2453" s="306"/>
      <c r="AT2453" s="418"/>
      <c r="AU2453" s="306"/>
      <c r="AV2453" s="306"/>
      <c r="AW2453" s="306"/>
      <c r="AX2453" s="306"/>
      <c r="AY2453" s="306"/>
      <c r="AZ2453" s="306"/>
      <c r="BA2453" s="306"/>
      <c r="BB2453" s="306"/>
    </row>
    <row r="2454" spans="1:54" ht="15.75" customHeight="1">
      <c r="A2454" s="317"/>
      <c r="B2454" s="430"/>
      <c r="C2454" s="317"/>
      <c r="E2454" s="306"/>
      <c r="F2454" s="431"/>
      <c r="G2454" s="431"/>
      <c r="H2454" s="298"/>
      <c r="I2454" s="432"/>
      <c r="J2454" s="433"/>
      <c r="K2454" s="306"/>
      <c r="L2454" s="306"/>
      <c r="M2454" s="306"/>
      <c r="N2454" s="298"/>
      <c r="O2454" s="298"/>
      <c r="P2454" s="298"/>
      <c r="Q2454" s="306"/>
      <c r="R2454" s="1023"/>
      <c r="S2454" s="1023"/>
      <c r="T2454" s="306"/>
      <c r="U2454" s="306"/>
      <c r="V2454" s="306"/>
      <c r="W2454" s="306"/>
      <c r="X2454" s="306"/>
      <c r="Y2454" s="306"/>
      <c r="Z2454" s="306"/>
      <c r="AA2454" s="306"/>
      <c r="AB2454" s="306"/>
      <c r="AC2454" s="306"/>
      <c r="AD2454" s="306"/>
      <c r="AE2454" s="306"/>
      <c r="AF2454" s="306"/>
      <c r="AG2454" s="306"/>
      <c r="AH2454" s="306"/>
      <c r="AI2454" s="306"/>
      <c r="AJ2454" s="306"/>
      <c r="AK2454" s="306"/>
      <c r="AL2454" s="306"/>
      <c r="AM2454" s="418"/>
      <c r="AN2454" s="418"/>
      <c r="AO2454" s="306"/>
      <c r="AP2454" s="306"/>
      <c r="AQ2454" s="418"/>
      <c r="AR2454" s="306"/>
      <c r="AS2454" s="306"/>
      <c r="AT2454" s="418"/>
      <c r="AU2454" s="306"/>
      <c r="AV2454" s="306"/>
      <c r="AW2454" s="306"/>
      <c r="AX2454" s="306"/>
      <c r="AY2454" s="306"/>
      <c r="AZ2454" s="306"/>
      <c r="BA2454" s="306"/>
      <c r="BB2454" s="306"/>
    </row>
    <row r="2455" spans="1:54" ht="15.75" customHeight="1">
      <c r="A2455" s="317"/>
      <c r="B2455" s="430"/>
      <c r="C2455" s="317"/>
      <c r="E2455" s="306"/>
      <c r="F2455" s="431"/>
      <c r="G2455" s="431"/>
      <c r="H2455" s="298"/>
      <c r="I2455" s="432"/>
      <c r="J2455" s="433"/>
      <c r="K2455" s="306"/>
      <c r="L2455" s="306"/>
      <c r="M2455" s="306"/>
      <c r="N2455" s="298"/>
      <c r="O2455" s="298"/>
      <c r="P2455" s="298"/>
      <c r="Q2455" s="306"/>
      <c r="R2455" s="1023"/>
      <c r="S2455" s="1023"/>
      <c r="T2455" s="306"/>
      <c r="U2455" s="306"/>
      <c r="V2455" s="306"/>
      <c r="W2455" s="306"/>
      <c r="X2455" s="306"/>
      <c r="Y2455" s="306"/>
      <c r="Z2455" s="306"/>
      <c r="AA2455" s="306"/>
      <c r="AB2455" s="306"/>
      <c r="AC2455" s="306"/>
      <c r="AD2455" s="306"/>
      <c r="AE2455" s="306"/>
      <c r="AF2455" s="306"/>
      <c r="AG2455" s="306"/>
      <c r="AH2455" s="306"/>
      <c r="AI2455" s="306"/>
      <c r="AJ2455" s="306"/>
      <c r="AK2455" s="306"/>
      <c r="AL2455" s="306"/>
      <c r="AM2455" s="418"/>
      <c r="AN2455" s="418"/>
      <c r="AO2455" s="306"/>
      <c r="AP2455" s="306"/>
      <c r="AQ2455" s="418"/>
      <c r="AR2455" s="306"/>
      <c r="AS2455" s="306"/>
      <c r="AT2455" s="418"/>
      <c r="AU2455" s="306"/>
      <c r="AV2455" s="306"/>
      <c r="AW2455" s="306"/>
      <c r="AX2455" s="306"/>
      <c r="AY2455" s="306"/>
      <c r="AZ2455" s="306"/>
      <c r="BA2455" s="306"/>
      <c r="BB2455" s="306"/>
    </row>
    <row r="2456" spans="1:54" ht="15.75" customHeight="1">
      <c r="A2456" s="317"/>
      <c r="B2456" s="430"/>
      <c r="C2456" s="317"/>
      <c r="E2456" s="306"/>
      <c r="F2456" s="431"/>
      <c r="G2456" s="431"/>
      <c r="H2456" s="298"/>
      <c r="I2456" s="432"/>
      <c r="J2456" s="433"/>
      <c r="K2456" s="306"/>
      <c r="L2456" s="306"/>
      <c r="M2456" s="306"/>
      <c r="N2456" s="298"/>
      <c r="O2456" s="298"/>
      <c r="P2456" s="298"/>
      <c r="Q2456" s="306"/>
      <c r="R2456" s="1023"/>
      <c r="S2456" s="1023"/>
      <c r="T2456" s="306"/>
      <c r="U2456" s="306"/>
      <c r="V2456" s="306"/>
      <c r="W2456" s="306"/>
      <c r="X2456" s="306"/>
      <c r="Y2456" s="306"/>
      <c r="Z2456" s="306"/>
      <c r="AA2456" s="306"/>
      <c r="AB2456" s="306"/>
      <c r="AC2456" s="306"/>
      <c r="AD2456" s="306"/>
      <c r="AE2456" s="306"/>
      <c r="AF2456" s="306"/>
      <c r="AG2456" s="306"/>
      <c r="AH2456" s="306"/>
      <c r="AI2456" s="306"/>
      <c r="AJ2456" s="306"/>
      <c r="AK2456" s="306"/>
      <c r="AL2456" s="306"/>
      <c r="AM2456" s="418"/>
      <c r="AN2456" s="418"/>
      <c r="AO2456" s="306"/>
      <c r="AP2456" s="306"/>
      <c r="AQ2456" s="418"/>
      <c r="AR2456" s="306"/>
      <c r="AS2456" s="306"/>
      <c r="AT2456" s="418"/>
      <c r="AU2456" s="306"/>
      <c r="AV2456" s="306"/>
      <c r="AW2456" s="306"/>
      <c r="AX2456" s="306"/>
      <c r="AY2456" s="306"/>
      <c r="AZ2456" s="306"/>
      <c r="BA2456" s="306"/>
      <c r="BB2456" s="306"/>
    </row>
    <row r="2457" spans="1:54" ht="15.75" customHeight="1">
      <c r="A2457" s="317"/>
      <c r="B2457" s="430"/>
      <c r="C2457" s="317"/>
      <c r="E2457" s="306"/>
      <c r="F2457" s="431"/>
      <c r="G2457" s="431"/>
      <c r="H2457" s="298"/>
      <c r="I2457" s="432"/>
      <c r="J2457" s="433"/>
      <c r="K2457" s="306"/>
      <c r="L2457" s="306"/>
      <c r="M2457" s="306"/>
      <c r="N2457" s="298"/>
      <c r="O2457" s="298"/>
      <c r="P2457" s="298"/>
      <c r="Q2457" s="306"/>
      <c r="R2457" s="1023"/>
      <c r="S2457" s="1023"/>
      <c r="T2457" s="306"/>
      <c r="U2457" s="306"/>
      <c r="V2457" s="306"/>
      <c r="W2457" s="306"/>
      <c r="X2457" s="306"/>
      <c r="Y2457" s="306"/>
      <c r="Z2457" s="306"/>
      <c r="AA2457" s="306"/>
      <c r="AB2457" s="306"/>
      <c r="AC2457" s="306"/>
      <c r="AD2457" s="306"/>
      <c r="AE2457" s="306"/>
      <c r="AF2457" s="306"/>
      <c r="AG2457" s="306"/>
      <c r="AH2457" s="306"/>
      <c r="AI2457" s="306"/>
      <c r="AJ2457" s="306"/>
      <c r="AK2457" s="306"/>
      <c r="AL2457" s="306"/>
      <c r="AM2457" s="418"/>
      <c r="AN2457" s="418"/>
      <c r="AO2457" s="306"/>
      <c r="AP2457" s="306"/>
      <c r="AQ2457" s="418"/>
      <c r="AR2457" s="306"/>
      <c r="AS2457" s="306"/>
      <c r="AT2457" s="418"/>
      <c r="AU2457" s="306"/>
      <c r="AV2457" s="306"/>
      <c r="AW2457" s="306"/>
      <c r="AX2457" s="306"/>
      <c r="AY2457" s="306"/>
      <c r="AZ2457" s="306"/>
      <c r="BA2457" s="306"/>
      <c r="BB2457" s="306"/>
    </row>
    <row r="2458" spans="1:54" ht="15.75" customHeight="1">
      <c r="A2458" s="317"/>
      <c r="B2458" s="430"/>
      <c r="C2458" s="317"/>
      <c r="E2458" s="306"/>
      <c r="F2458" s="431"/>
      <c r="G2458" s="431"/>
      <c r="H2458" s="298"/>
      <c r="I2458" s="432"/>
      <c r="J2458" s="433"/>
      <c r="K2458" s="306"/>
      <c r="L2458" s="306"/>
      <c r="M2458" s="306"/>
      <c r="N2458" s="298"/>
      <c r="O2458" s="298"/>
      <c r="P2458" s="298"/>
      <c r="Q2458" s="306"/>
      <c r="R2458" s="1023"/>
      <c r="S2458" s="1023"/>
      <c r="T2458" s="306"/>
      <c r="U2458" s="306"/>
      <c r="V2458" s="306"/>
      <c r="W2458" s="306"/>
      <c r="X2458" s="306"/>
      <c r="Y2458" s="306"/>
      <c r="Z2458" s="306"/>
      <c r="AA2458" s="306"/>
      <c r="AB2458" s="306"/>
      <c r="AC2458" s="306"/>
      <c r="AD2458" s="306"/>
      <c r="AE2458" s="306"/>
      <c r="AF2458" s="306"/>
      <c r="AG2458" s="306"/>
      <c r="AH2458" s="306"/>
      <c r="AI2458" s="306"/>
      <c r="AJ2458" s="306"/>
      <c r="AK2458" s="306"/>
      <c r="AL2458" s="306"/>
      <c r="AM2458" s="418"/>
      <c r="AN2458" s="418"/>
      <c r="AO2458" s="306"/>
      <c r="AP2458" s="306"/>
      <c r="AQ2458" s="418"/>
      <c r="AR2458" s="306"/>
      <c r="AS2458" s="306"/>
      <c r="AT2458" s="418"/>
      <c r="AU2458" s="306"/>
      <c r="AV2458" s="306"/>
      <c r="AW2458" s="306"/>
      <c r="AX2458" s="306"/>
      <c r="AY2458" s="306"/>
      <c r="AZ2458" s="306"/>
      <c r="BA2458" s="306"/>
      <c r="BB2458" s="306"/>
    </row>
    <row r="2459" spans="1:54" ht="15.75" customHeight="1">
      <c r="A2459" s="317"/>
      <c r="B2459" s="430"/>
      <c r="C2459" s="317"/>
      <c r="E2459" s="306"/>
      <c r="F2459" s="431"/>
      <c r="G2459" s="431"/>
      <c r="H2459" s="298"/>
      <c r="I2459" s="432"/>
      <c r="J2459" s="433"/>
      <c r="K2459" s="306"/>
      <c r="L2459" s="306"/>
      <c r="M2459" s="306"/>
      <c r="N2459" s="298"/>
      <c r="O2459" s="298"/>
      <c r="P2459" s="298"/>
      <c r="Q2459" s="306"/>
      <c r="R2459" s="1023"/>
      <c r="S2459" s="1023"/>
      <c r="T2459" s="306"/>
      <c r="U2459" s="306"/>
      <c r="V2459" s="306"/>
      <c r="W2459" s="306"/>
      <c r="X2459" s="306"/>
      <c r="Y2459" s="306"/>
      <c r="Z2459" s="306"/>
      <c r="AA2459" s="306"/>
      <c r="AB2459" s="306"/>
      <c r="AC2459" s="306"/>
      <c r="AD2459" s="306"/>
      <c r="AE2459" s="306"/>
      <c r="AF2459" s="306"/>
      <c r="AG2459" s="306"/>
      <c r="AH2459" s="306"/>
      <c r="AI2459" s="306"/>
      <c r="AJ2459" s="306"/>
      <c r="AK2459" s="306"/>
      <c r="AL2459" s="306"/>
      <c r="AM2459" s="418"/>
      <c r="AN2459" s="418"/>
      <c r="AO2459" s="306"/>
      <c r="AP2459" s="306"/>
      <c r="AQ2459" s="418"/>
      <c r="AR2459" s="306"/>
      <c r="AS2459" s="306"/>
      <c r="AT2459" s="418"/>
      <c r="AU2459" s="306"/>
      <c r="AV2459" s="306"/>
      <c r="AW2459" s="306"/>
      <c r="AX2459" s="306"/>
      <c r="AY2459" s="306"/>
      <c r="AZ2459" s="306"/>
      <c r="BA2459" s="306"/>
      <c r="BB2459" s="306"/>
    </row>
    <row r="2460" spans="1:54" ht="15.75" customHeight="1">
      <c r="A2460" s="317"/>
      <c r="B2460" s="430"/>
      <c r="C2460" s="317"/>
      <c r="E2460" s="306"/>
      <c r="F2460" s="431"/>
      <c r="G2460" s="431"/>
      <c r="H2460" s="298"/>
      <c r="I2460" s="432"/>
      <c r="J2460" s="433"/>
      <c r="K2460" s="306"/>
      <c r="L2460" s="306"/>
      <c r="M2460" s="306"/>
      <c r="N2460" s="298"/>
      <c r="O2460" s="298"/>
      <c r="P2460" s="298"/>
      <c r="Q2460" s="306"/>
      <c r="R2460" s="1023"/>
      <c r="S2460" s="1023"/>
      <c r="T2460" s="306"/>
      <c r="U2460" s="306"/>
      <c r="V2460" s="306"/>
      <c r="W2460" s="306"/>
      <c r="X2460" s="306"/>
      <c r="Y2460" s="306"/>
      <c r="Z2460" s="306"/>
      <c r="AA2460" s="306"/>
      <c r="AB2460" s="306"/>
      <c r="AC2460" s="306"/>
      <c r="AD2460" s="306"/>
      <c r="AE2460" s="306"/>
      <c r="AF2460" s="306"/>
      <c r="AG2460" s="306"/>
      <c r="AH2460" s="306"/>
      <c r="AI2460" s="306"/>
      <c r="AJ2460" s="306"/>
      <c r="AK2460" s="306"/>
      <c r="AL2460" s="306"/>
      <c r="AM2460" s="418"/>
      <c r="AN2460" s="418"/>
      <c r="AO2460" s="306"/>
      <c r="AP2460" s="306"/>
      <c r="AQ2460" s="418"/>
      <c r="AR2460" s="306"/>
      <c r="AS2460" s="306"/>
      <c r="AT2460" s="418"/>
      <c r="AU2460" s="306"/>
      <c r="AV2460" s="306"/>
      <c r="AW2460" s="306"/>
      <c r="AX2460" s="306"/>
      <c r="AY2460" s="306"/>
      <c r="AZ2460" s="306"/>
      <c r="BA2460" s="306"/>
      <c r="BB2460" s="306"/>
    </row>
    <row r="2461" spans="1:54" ht="15.75" customHeight="1">
      <c r="A2461" s="317"/>
      <c r="B2461" s="430"/>
      <c r="C2461" s="317"/>
      <c r="E2461" s="306"/>
      <c r="F2461" s="431"/>
      <c r="G2461" s="431"/>
      <c r="H2461" s="298"/>
      <c r="I2461" s="432"/>
      <c r="J2461" s="433"/>
      <c r="K2461" s="306"/>
      <c r="L2461" s="306"/>
      <c r="M2461" s="306"/>
      <c r="N2461" s="298"/>
      <c r="O2461" s="298"/>
      <c r="P2461" s="298"/>
      <c r="Q2461" s="306"/>
      <c r="R2461" s="1023"/>
      <c r="S2461" s="1023"/>
      <c r="T2461" s="306"/>
      <c r="U2461" s="306"/>
      <c r="V2461" s="306"/>
      <c r="W2461" s="306"/>
      <c r="X2461" s="306"/>
      <c r="Y2461" s="306"/>
      <c r="Z2461" s="306"/>
      <c r="AA2461" s="306"/>
      <c r="AB2461" s="306"/>
      <c r="AC2461" s="306"/>
      <c r="AD2461" s="306"/>
      <c r="AE2461" s="306"/>
      <c r="AF2461" s="306"/>
      <c r="AG2461" s="306"/>
      <c r="AH2461" s="306"/>
      <c r="AI2461" s="306"/>
      <c r="AJ2461" s="306"/>
      <c r="AK2461" s="306"/>
      <c r="AL2461" s="306"/>
      <c r="AM2461" s="418"/>
      <c r="AN2461" s="418"/>
      <c r="AO2461" s="306"/>
      <c r="AP2461" s="306"/>
      <c r="AQ2461" s="418"/>
      <c r="AR2461" s="306"/>
      <c r="AS2461" s="306"/>
      <c r="AT2461" s="418"/>
      <c r="AU2461" s="306"/>
      <c r="AV2461" s="306"/>
      <c r="AW2461" s="306"/>
      <c r="AX2461" s="306"/>
      <c r="AY2461" s="306"/>
      <c r="AZ2461" s="306"/>
      <c r="BA2461" s="306"/>
      <c r="BB2461" s="306"/>
    </row>
    <row r="2462" spans="1:54" ht="15.75" customHeight="1">
      <c r="A2462" s="317"/>
      <c r="B2462" s="430"/>
      <c r="C2462" s="317"/>
      <c r="E2462" s="306"/>
      <c r="F2462" s="431"/>
      <c r="G2462" s="431"/>
      <c r="H2462" s="298"/>
      <c r="I2462" s="432"/>
      <c r="J2462" s="433"/>
      <c r="K2462" s="306"/>
      <c r="L2462" s="306"/>
      <c r="M2462" s="306"/>
      <c r="N2462" s="298"/>
      <c r="O2462" s="298"/>
      <c r="P2462" s="298"/>
      <c r="Q2462" s="306"/>
      <c r="R2462" s="1023"/>
      <c r="S2462" s="1023"/>
      <c r="T2462" s="306"/>
      <c r="U2462" s="306"/>
      <c r="V2462" s="306"/>
      <c r="W2462" s="306"/>
      <c r="X2462" s="306"/>
      <c r="Y2462" s="306"/>
      <c r="Z2462" s="306"/>
      <c r="AA2462" s="306"/>
      <c r="AB2462" s="306"/>
      <c r="AC2462" s="306"/>
      <c r="AD2462" s="306"/>
      <c r="AE2462" s="306"/>
      <c r="AF2462" s="306"/>
      <c r="AG2462" s="306"/>
      <c r="AH2462" s="306"/>
      <c r="AI2462" s="306"/>
      <c r="AJ2462" s="306"/>
      <c r="AK2462" s="306"/>
      <c r="AL2462" s="306"/>
      <c r="AM2462" s="418"/>
      <c r="AN2462" s="418"/>
      <c r="AO2462" s="306"/>
      <c r="AP2462" s="306"/>
      <c r="AQ2462" s="418"/>
      <c r="AR2462" s="306"/>
      <c r="AS2462" s="306"/>
      <c r="AT2462" s="418"/>
      <c r="AU2462" s="306"/>
      <c r="AV2462" s="306"/>
      <c r="AW2462" s="306"/>
      <c r="AX2462" s="306"/>
      <c r="AY2462" s="306"/>
      <c r="AZ2462" s="306"/>
      <c r="BA2462" s="306"/>
      <c r="BB2462" s="306"/>
    </row>
    <row r="2463" spans="1:54" ht="15.75" customHeight="1">
      <c r="A2463" s="317"/>
      <c r="B2463" s="430"/>
      <c r="C2463" s="317"/>
      <c r="E2463" s="306"/>
      <c r="F2463" s="431"/>
      <c r="G2463" s="431"/>
      <c r="H2463" s="298"/>
      <c r="I2463" s="432"/>
      <c r="J2463" s="433"/>
      <c r="K2463" s="306"/>
      <c r="L2463" s="306"/>
      <c r="M2463" s="306"/>
      <c r="N2463" s="298"/>
      <c r="O2463" s="298"/>
      <c r="P2463" s="298"/>
      <c r="Q2463" s="306"/>
      <c r="R2463" s="1023"/>
      <c r="S2463" s="1023"/>
      <c r="T2463" s="306"/>
      <c r="U2463" s="306"/>
      <c r="V2463" s="306"/>
      <c r="W2463" s="306"/>
      <c r="X2463" s="306"/>
      <c r="Y2463" s="306"/>
      <c r="Z2463" s="306"/>
      <c r="AA2463" s="306"/>
      <c r="AB2463" s="306"/>
      <c r="AC2463" s="306"/>
      <c r="AD2463" s="306"/>
      <c r="AE2463" s="306"/>
      <c r="AF2463" s="306"/>
      <c r="AG2463" s="306"/>
      <c r="AH2463" s="306"/>
      <c r="AI2463" s="306"/>
      <c r="AJ2463" s="306"/>
      <c r="AK2463" s="306"/>
      <c r="AL2463" s="306"/>
      <c r="AM2463" s="418"/>
      <c r="AN2463" s="418"/>
      <c r="AO2463" s="306"/>
      <c r="AP2463" s="306"/>
      <c r="AQ2463" s="418"/>
      <c r="AR2463" s="306"/>
      <c r="AS2463" s="306"/>
      <c r="AT2463" s="418"/>
      <c r="AU2463" s="306"/>
      <c r="AV2463" s="306"/>
      <c r="AW2463" s="306"/>
      <c r="AX2463" s="306"/>
      <c r="AY2463" s="306"/>
      <c r="AZ2463" s="306"/>
      <c r="BA2463" s="306"/>
      <c r="BB2463" s="306"/>
    </row>
    <row r="2464" spans="1:54" ht="15.75" customHeight="1">
      <c r="A2464" s="317"/>
      <c r="B2464" s="430"/>
      <c r="C2464" s="317"/>
      <c r="E2464" s="306"/>
      <c r="F2464" s="431"/>
      <c r="G2464" s="431"/>
      <c r="H2464" s="306"/>
      <c r="I2464" s="431"/>
      <c r="J2464" s="435"/>
      <c r="K2464" s="306"/>
      <c r="L2464" s="306"/>
      <c r="M2464" s="306"/>
      <c r="N2464" s="298"/>
      <c r="O2464" s="298"/>
      <c r="P2464" s="298"/>
      <c r="Q2464" s="306"/>
      <c r="R2464" s="1023"/>
      <c r="S2464" s="1023"/>
      <c r="T2464" s="306"/>
      <c r="U2464" s="306"/>
      <c r="V2464" s="306"/>
      <c r="W2464" s="306"/>
      <c r="X2464" s="306"/>
      <c r="Y2464" s="306"/>
      <c r="Z2464" s="306"/>
      <c r="AA2464" s="306"/>
      <c r="AB2464" s="306"/>
      <c r="AC2464" s="306"/>
      <c r="AD2464" s="306"/>
      <c r="AE2464" s="306"/>
      <c r="AF2464" s="306"/>
      <c r="AG2464" s="306"/>
      <c r="AH2464" s="306"/>
      <c r="AI2464" s="306"/>
      <c r="AJ2464" s="306"/>
      <c r="AK2464" s="306"/>
      <c r="AL2464" s="306"/>
      <c r="AM2464" s="418"/>
      <c r="AN2464" s="418"/>
      <c r="AO2464" s="306"/>
      <c r="AP2464" s="306"/>
      <c r="AQ2464" s="418"/>
      <c r="AR2464" s="306"/>
      <c r="AS2464" s="306"/>
      <c r="AT2464" s="418"/>
      <c r="AU2464" s="306"/>
      <c r="AV2464" s="306"/>
      <c r="AW2464" s="306"/>
      <c r="AX2464" s="306"/>
      <c r="AY2464" s="306"/>
      <c r="AZ2464" s="306"/>
      <c r="BA2464" s="306"/>
      <c r="BB2464" s="306"/>
    </row>
    <row r="2465" spans="1:54" ht="15.75" customHeight="1">
      <c r="A2465" s="317"/>
      <c r="B2465" s="430"/>
      <c r="C2465" s="317"/>
      <c r="E2465" s="306"/>
      <c r="F2465" s="431"/>
      <c r="G2465" s="431"/>
      <c r="H2465" s="298"/>
      <c r="I2465" s="432"/>
      <c r="J2465" s="433"/>
      <c r="K2465" s="306"/>
      <c r="L2465" s="306"/>
      <c r="M2465" s="306"/>
      <c r="N2465" s="298"/>
      <c r="O2465" s="298"/>
      <c r="P2465" s="298"/>
      <c r="Q2465" s="306"/>
      <c r="R2465" s="1023"/>
      <c r="S2465" s="1023"/>
      <c r="T2465" s="306"/>
      <c r="U2465" s="306"/>
      <c r="V2465" s="306"/>
      <c r="W2465" s="306"/>
      <c r="X2465" s="306"/>
      <c r="Y2465" s="306"/>
      <c r="Z2465" s="306"/>
      <c r="AA2465" s="306"/>
      <c r="AB2465" s="306"/>
      <c r="AC2465" s="306"/>
      <c r="AD2465" s="306"/>
      <c r="AE2465" s="306"/>
      <c r="AF2465" s="306"/>
      <c r="AG2465" s="306"/>
      <c r="AH2465" s="306"/>
      <c r="AI2465" s="306"/>
      <c r="AJ2465" s="306"/>
      <c r="AK2465" s="306"/>
      <c r="AL2465" s="306"/>
      <c r="AM2465" s="418"/>
      <c r="AN2465" s="418"/>
      <c r="AO2465" s="306"/>
      <c r="AP2465" s="306"/>
      <c r="AQ2465" s="418"/>
      <c r="AR2465" s="306"/>
      <c r="AS2465" s="306"/>
      <c r="AT2465" s="418"/>
      <c r="AU2465" s="306"/>
      <c r="AV2465" s="306"/>
      <c r="AW2465" s="306"/>
      <c r="AX2465" s="306"/>
      <c r="AY2465" s="306"/>
      <c r="AZ2465" s="306"/>
      <c r="BA2465" s="306"/>
      <c r="BB2465" s="306"/>
    </row>
    <row r="2466" spans="1:54" ht="15.75" customHeight="1">
      <c r="A2466" s="317"/>
      <c r="B2466" s="430"/>
      <c r="C2466" s="317"/>
      <c r="E2466" s="306"/>
      <c r="F2466" s="431"/>
      <c r="G2466" s="431"/>
      <c r="H2466" s="298"/>
      <c r="I2466" s="432"/>
      <c r="J2466" s="433"/>
      <c r="K2466" s="306"/>
      <c r="L2466" s="306"/>
      <c r="M2466" s="306"/>
      <c r="N2466" s="298"/>
      <c r="O2466" s="298"/>
      <c r="P2466" s="298"/>
      <c r="Q2466" s="306"/>
      <c r="R2466" s="1023"/>
      <c r="S2466" s="1023"/>
      <c r="T2466" s="306"/>
      <c r="U2466" s="306"/>
      <c r="V2466" s="306"/>
      <c r="W2466" s="306"/>
      <c r="X2466" s="306"/>
      <c r="Y2466" s="306"/>
      <c r="Z2466" s="306"/>
      <c r="AA2466" s="306"/>
      <c r="AB2466" s="306"/>
      <c r="AC2466" s="306"/>
      <c r="AD2466" s="306"/>
      <c r="AE2466" s="306"/>
      <c r="AF2466" s="306"/>
      <c r="AG2466" s="306"/>
      <c r="AH2466" s="306"/>
      <c r="AI2466" s="306"/>
      <c r="AJ2466" s="306"/>
      <c r="AK2466" s="306"/>
      <c r="AL2466" s="306"/>
      <c r="AM2466" s="418"/>
      <c r="AN2466" s="418"/>
      <c r="AO2466" s="306"/>
      <c r="AP2466" s="306"/>
      <c r="AQ2466" s="418"/>
      <c r="AR2466" s="306"/>
      <c r="AS2466" s="306"/>
      <c r="AT2466" s="418"/>
      <c r="AU2466" s="306"/>
      <c r="AV2466" s="306"/>
      <c r="AW2466" s="306"/>
      <c r="AX2466" s="306"/>
      <c r="AY2466" s="306"/>
      <c r="AZ2466" s="306"/>
      <c r="BA2466" s="306"/>
      <c r="BB2466" s="306"/>
    </row>
    <row r="2467" spans="1:54" ht="15.75" customHeight="1">
      <c r="A2467" s="317"/>
      <c r="B2467" s="430"/>
      <c r="C2467" s="317"/>
      <c r="E2467" s="306"/>
      <c r="F2467" s="431"/>
      <c r="G2467" s="431"/>
      <c r="H2467" s="298"/>
      <c r="I2467" s="432"/>
      <c r="J2467" s="433"/>
      <c r="K2467" s="306"/>
      <c r="L2467" s="306"/>
      <c r="M2467" s="306"/>
      <c r="N2467" s="298"/>
      <c r="O2467" s="298"/>
      <c r="P2467" s="298"/>
      <c r="Q2467" s="306"/>
      <c r="R2467" s="1023"/>
      <c r="S2467" s="1023"/>
      <c r="T2467" s="306"/>
      <c r="U2467" s="306"/>
      <c r="V2467" s="306"/>
      <c r="W2467" s="306"/>
      <c r="X2467" s="306"/>
      <c r="Y2467" s="306"/>
      <c r="Z2467" s="306"/>
      <c r="AA2467" s="306"/>
      <c r="AB2467" s="306"/>
      <c r="AC2467" s="306"/>
      <c r="AD2467" s="306"/>
      <c r="AE2467" s="306"/>
      <c r="AF2467" s="306"/>
      <c r="AG2467" s="306"/>
      <c r="AH2467" s="306"/>
      <c r="AI2467" s="306"/>
      <c r="AJ2467" s="306"/>
      <c r="AK2467" s="306"/>
      <c r="AL2467" s="306"/>
      <c r="AM2467" s="418"/>
      <c r="AN2467" s="418"/>
      <c r="AO2467" s="306"/>
      <c r="AP2467" s="306"/>
      <c r="AQ2467" s="418"/>
      <c r="AR2467" s="306"/>
      <c r="AS2467" s="306"/>
      <c r="AT2467" s="418"/>
      <c r="AU2467" s="306"/>
      <c r="AV2467" s="306"/>
      <c r="AW2467" s="306"/>
      <c r="AX2467" s="306"/>
      <c r="AY2467" s="306"/>
      <c r="AZ2467" s="306"/>
      <c r="BA2467" s="306"/>
      <c r="BB2467" s="306"/>
    </row>
    <row r="2468" spans="1:54" ht="15.75" customHeight="1">
      <c r="A2468" s="317"/>
      <c r="B2468" s="430"/>
      <c r="C2468" s="317"/>
      <c r="E2468" s="306"/>
      <c r="F2468" s="431"/>
      <c r="G2468" s="431"/>
      <c r="H2468" s="298"/>
      <c r="I2468" s="432"/>
      <c r="J2468" s="433"/>
      <c r="K2468" s="306"/>
      <c r="L2468" s="306"/>
      <c r="M2468" s="306"/>
      <c r="N2468" s="298"/>
      <c r="O2468" s="298"/>
      <c r="P2468" s="298"/>
      <c r="Q2468" s="306"/>
      <c r="R2468" s="1023"/>
      <c r="S2468" s="1023"/>
      <c r="T2468" s="306"/>
      <c r="U2468" s="306"/>
      <c r="V2468" s="306"/>
      <c r="W2468" s="306"/>
      <c r="X2468" s="306"/>
      <c r="Y2468" s="306"/>
      <c r="Z2468" s="306"/>
      <c r="AA2468" s="306"/>
      <c r="AB2468" s="306"/>
      <c r="AC2468" s="306"/>
      <c r="AD2468" s="306"/>
      <c r="AE2468" s="306"/>
      <c r="AF2468" s="306"/>
      <c r="AG2468" s="306"/>
      <c r="AH2468" s="306"/>
      <c r="AI2468" s="306"/>
      <c r="AJ2468" s="306"/>
      <c r="AK2468" s="306"/>
      <c r="AL2468" s="306"/>
      <c r="AM2468" s="418"/>
      <c r="AN2468" s="418"/>
      <c r="AO2468" s="306"/>
      <c r="AP2468" s="306"/>
      <c r="AQ2468" s="418"/>
      <c r="AR2468" s="306"/>
      <c r="AS2468" s="306"/>
      <c r="AT2468" s="418"/>
      <c r="AU2468" s="306"/>
      <c r="AV2468" s="306"/>
      <c r="AW2468" s="306"/>
      <c r="AX2468" s="306"/>
      <c r="AY2468" s="306"/>
      <c r="AZ2468" s="306"/>
      <c r="BA2468" s="306"/>
      <c r="BB2468" s="306"/>
    </row>
    <row r="2469" spans="1:54" ht="15.75" customHeight="1">
      <c r="A2469" s="317"/>
      <c r="B2469" s="430"/>
      <c r="C2469" s="317"/>
      <c r="E2469" s="306"/>
      <c r="F2469" s="431"/>
      <c r="G2469" s="431"/>
      <c r="H2469" s="298"/>
      <c r="I2469" s="432"/>
      <c r="J2469" s="433"/>
      <c r="K2469" s="306"/>
      <c r="L2469" s="306"/>
      <c r="M2469" s="306"/>
      <c r="N2469" s="298"/>
      <c r="O2469" s="298"/>
      <c r="P2469" s="298"/>
      <c r="Q2469" s="306"/>
      <c r="R2469" s="1023"/>
      <c r="S2469" s="1023"/>
      <c r="T2469" s="306"/>
      <c r="U2469" s="306"/>
      <c r="V2469" s="306"/>
      <c r="W2469" s="306"/>
      <c r="X2469" s="306"/>
      <c r="Y2469" s="306"/>
      <c r="Z2469" s="306"/>
      <c r="AA2469" s="306"/>
      <c r="AB2469" s="306"/>
      <c r="AC2469" s="306"/>
      <c r="AD2469" s="306"/>
      <c r="AE2469" s="306"/>
      <c r="AF2469" s="306"/>
      <c r="AG2469" s="306"/>
      <c r="AH2469" s="306"/>
      <c r="AI2469" s="306"/>
      <c r="AJ2469" s="306"/>
      <c r="AK2469" s="306"/>
      <c r="AL2469" s="306"/>
      <c r="AM2469" s="418"/>
      <c r="AN2469" s="418"/>
      <c r="AO2469" s="306"/>
      <c r="AP2469" s="306"/>
      <c r="AQ2469" s="418"/>
      <c r="AR2469" s="306"/>
      <c r="AS2469" s="306"/>
      <c r="AT2469" s="418"/>
      <c r="AU2469" s="306"/>
      <c r="AV2469" s="306"/>
      <c r="AW2469" s="306"/>
      <c r="AX2469" s="306"/>
      <c r="AY2469" s="306"/>
      <c r="AZ2469" s="306"/>
      <c r="BA2469" s="306"/>
      <c r="BB2469" s="306"/>
    </row>
    <row r="2470" spans="1:54" ht="15.75" customHeight="1">
      <c r="A2470" s="317"/>
      <c r="B2470" s="430"/>
      <c r="C2470" s="317"/>
      <c r="E2470" s="306"/>
      <c r="F2470" s="431"/>
      <c r="G2470" s="431"/>
      <c r="H2470" s="298"/>
      <c r="I2470" s="432"/>
      <c r="J2470" s="433"/>
      <c r="K2470" s="306"/>
      <c r="L2470" s="306"/>
      <c r="M2470" s="306"/>
      <c r="N2470" s="298"/>
      <c r="O2470" s="298"/>
      <c r="P2470" s="298"/>
      <c r="Q2470" s="306"/>
      <c r="R2470" s="1023"/>
      <c r="S2470" s="1023"/>
      <c r="T2470" s="306"/>
      <c r="U2470" s="306"/>
      <c r="V2470" s="306"/>
      <c r="W2470" s="306"/>
      <c r="X2470" s="306"/>
      <c r="Y2470" s="306"/>
      <c r="Z2470" s="306"/>
      <c r="AA2470" s="306"/>
      <c r="AB2470" s="306"/>
      <c r="AC2470" s="306"/>
      <c r="AD2470" s="306"/>
      <c r="AE2470" s="306"/>
      <c r="AF2470" s="306"/>
      <c r="AG2470" s="306"/>
      <c r="AH2470" s="306"/>
      <c r="AI2470" s="306"/>
      <c r="AJ2470" s="306"/>
      <c r="AK2470" s="306"/>
      <c r="AL2470" s="306"/>
      <c r="AM2470" s="418"/>
      <c r="AN2470" s="418"/>
      <c r="AO2470" s="306"/>
      <c r="AP2470" s="306"/>
      <c r="AQ2470" s="418"/>
      <c r="AR2470" s="306"/>
      <c r="AS2470" s="306"/>
      <c r="AT2470" s="418"/>
      <c r="AU2470" s="306"/>
      <c r="AV2470" s="306"/>
      <c r="AW2470" s="306"/>
      <c r="AX2470" s="306"/>
      <c r="AY2470" s="306"/>
      <c r="AZ2470" s="306"/>
      <c r="BA2470" s="306"/>
      <c r="BB2470" s="306"/>
    </row>
    <row r="2471" spans="1:54" ht="15.75" customHeight="1">
      <c r="A2471" s="317"/>
      <c r="B2471" s="430"/>
      <c r="C2471" s="317"/>
      <c r="E2471" s="306"/>
      <c r="F2471" s="431"/>
      <c r="G2471" s="431"/>
      <c r="H2471" s="298"/>
      <c r="I2471" s="432"/>
      <c r="J2471" s="433"/>
      <c r="K2471" s="306"/>
      <c r="L2471" s="306"/>
      <c r="M2471" s="306"/>
      <c r="N2471" s="298"/>
      <c r="O2471" s="298"/>
      <c r="P2471" s="298"/>
      <c r="Q2471" s="306"/>
      <c r="R2471" s="1023"/>
      <c r="S2471" s="1023"/>
      <c r="T2471" s="306"/>
      <c r="U2471" s="306"/>
      <c r="V2471" s="306"/>
      <c r="W2471" s="306"/>
      <c r="X2471" s="306"/>
      <c r="Y2471" s="306"/>
      <c r="Z2471" s="306"/>
      <c r="AA2471" s="306"/>
      <c r="AB2471" s="306"/>
      <c r="AC2471" s="306"/>
      <c r="AD2471" s="306"/>
      <c r="AE2471" s="306"/>
      <c r="AF2471" s="306"/>
      <c r="AG2471" s="306"/>
      <c r="AH2471" s="306"/>
      <c r="AI2471" s="306"/>
      <c r="AJ2471" s="306"/>
      <c r="AK2471" s="306"/>
      <c r="AL2471" s="306"/>
      <c r="AM2471" s="418"/>
      <c r="AN2471" s="418"/>
      <c r="AO2471" s="306"/>
      <c r="AP2471" s="306"/>
      <c r="AQ2471" s="418"/>
      <c r="AR2471" s="306"/>
      <c r="AS2471" s="306"/>
      <c r="AT2471" s="418"/>
      <c r="AU2471" s="306"/>
      <c r="AV2471" s="306"/>
      <c r="AW2471" s="306"/>
      <c r="AX2471" s="306"/>
      <c r="AY2471" s="306"/>
      <c r="AZ2471" s="306"/>
      <c r="BA2471" s="306"/>
      <c r="BB2471" s="306"/>
    </row>
    <row r="2472" spans="1:54" ht="15.75" customHeight="1">
      <c r="A2472" s="317"/>
      <c r="B2472" s="430"/>
      <c r="C2472" s="317"/>
      <c r="E2472" s="306"/>
      <c r="F2472" s="431"/>
      <c r="G2472" s="431"/>
      <c r="H2472" s="298"/>
      <c r="I2472" s="432"/>
      <c r="J2472" s="433"/>
      <c r="K2472" s="306"/>
      <c r="L2472" s="306"/>
      <c r="M2472" s="306"/>
      <c r="N2472" s="298"/>
      <c r="O2472" s="298"/>
      <c r="P2472" s="298"/>
      <c r="Q2472" s="306"/>
      <c r="R2472" s="1023"/>
      <c r="S2472" s="1023"/>
      <c r="T2472" s="306"/>
      <c r="U2472" s="306"/>
      <c r="V2472" s="306"/>
      <c r="W2472" s="306"/>
      <c r="X2472" s="306"/>
      <c r="Y2472" s="306"/>
      <c r="Z2472" s="306"/>
      <c r="AA2472" s="306"/>
      <c r="AB2472" s="306"/>
      <c r="AC2472" s="306"/>
      <c r="AD2472" s="306"/>
      <c r="AE2472" s="306"/>
      <c r="AF2472" s="306"/>
      <c r="AG2472" s="306"/>
      <c r="AH2472" s="306"/>
      <c r="AI2472" s="306"/>
      <c r="AJ2472" s="306"/>
      <c r="AK2472" s="306"/>
      <c r="AL2472" s="306"/>
      <c r="AM2472" s="418"/>
      <c r="AN2472" s="418"/>
      <c r="AO2472" s="306"/>
      <c r="AP2472" s="306"/>
      <c r="AQ2472" s="418"/>
      <c r="AR2472" s="306"/>
      <c r="AS2472" s="306"/>
      <c r="AT2472" s="418"/>
      <c r="AU2472" s="306"/>
      <c r="AV2472" s="306"/>
      <c r="AW2472" s="306"/>
      <c r="AX2472" s="306"/>
      <c r="AY2472" s="306"/>
      <c r="AZ2472" s="306"/>
      <c r="BA2472" s="306"/>
      <c r="BB2472" s="306"/>
    </row>
    <row r="2473" spans="1:54" ht="15.75" customHeight="1">
      <c r="A2473" s="317"/>
      <c r="B2473" s="430"/>
      <c r="C2473" s="317"/>
      <c r="E2473" s="306"/>
      <c r="F2473" s="431"/>
      <c r="G2473" s="431"/>
      <c r="H2473" s="298"/>
      <c r="I2473" s="432"/>
      <c r="J2473" s="433"/>
      <c r="K2473" s="306"/>
      <c r="L2473" s="306"/>
      <c r="M2473" s="306"/>
      <c r="N2473" s="298"/>
      <c r="O2473" s="298"/>
      <c r="P2473" s="298"/>
      <c r="Q2473" s="306"/>
      <c r="R2473" s="1023"/>
      <c r="S2473" s="1023"/>
      <c r="T2473" s="306"/>
      <c r="U2473" s="306"/>
      <c r="V2473" s="306"/>
      <c r="W2473" s="306"/>
      <c r="X2473" s="306"/>
      <c r="Y2473" s="306"/>
      <c r="Z2473" s="306"/>
      <c r="AA2473" s="306"/>
      <c r="AB2473" s="306"/>
      <c r="AC2473" s="306"/>
      <c r="AD2473" s="306"/>
      <c r="AE2473" s="306"/>
      <c r="AF2473" s="306"/>
      <c r="AG2473" s="306"/>
      <c r="AH2473" s="306"/>
      <c r="AI2473" s="306"/>
      <c r="AJ2473" s="306"/>
      <c r="AK2473" s="306"/>
      <c r="AL2473" s="306"/>
      <c r="AM2473" s="418"/>
      <c r="AN2473" s="418"/>
      <c r="AO2473" s="306"/>
      <c r="AP2473" s="306"/>
      <c r="AQ2473" s="418"/>
      <c r="AR2473" s="306"/>
      <c r="AS2473" s="306"/>
      <c r="AT2473" s="418"/>
      <c r="AU2473" s="306"/>
      <c r="AV2473" s="306"/>
      <c r="AW2473" s="306"/>
      <c r="AX2473" s="306"/>
      <c r="AY2473" s="306"/>
      <c r="AZ2473" s="306"/>
      <c r="BA2473" s="306"/>
      <c r="BB2473" s="306"/>
    </row>
    <row r="2474" spans="1:54" ht="15.75" customHeight="1">
      <c r="A2474" s="317"/>
      <c r="B2474" s="430"/>
      <c r="C2474" s="317"/>
      <c r="E2474" s="306"/>
      <c r="F2474" s="431"/>
      <c r="G2474" s="431"/>
      <c r="H2474" s="298"/>
      <c r="I2474" s="432"/>
      <c r="J2474" s="433"/>
      <c r="K2474" s="306"/>
      <c r="L2474" s="306"/>
      <c r="M2474" s="306"/>
      <c r="N2474" s="298"/>
      <c r="O2474" s="298"/>
      <c r="P2474" s="298"/>
      <c r="Q2474" s="306"/>
      <c r="R2474" s="1023"/>
      <c r="S2474" s="1023"/>
      <c r="T2474" s="306"/>
      <c r="U2474" s="306"/>
      <c r="V2474" s="306"/>
      <c r="W2474" s="306"/>
      <c r="X2474" s="306"/>
      <c r="Y2474" s="306"/>
      <c r="Z2474" s="306"/>
      <c r="AA2474" s="306"/>
      <c r="AB2474" s="306"/>
      <c r="AC2474" s="306"/>
      <c r="AD2474" s="306"/>
      <c r="AE2474" s="306"/>
      <c r="AF2474" s="306"/>
      <c r="AG2474" s="306"/>
      <c r="AH2474" s="306"/>
      <c r="AI2474" s="306"/>
      <c r="AJ2474" s="306"/>
      <c r="AK2474" s="306"/>
      <c r="AL2474" s="306"/>
      <c r="AM2474" s="418"/>
      <c r="AN2474" s="418"/>
      <c r="AO2474" s="306"/>
      <c r="AP2474" s="306"/>
      <c r="AQ2474" s="418"/>
      <c r="AR2474" s="306"/>
      <c r="AS2474" s="306"/>
      <c r="AT2474" s="418"/>
      <c r="AU2474" s="306"/>
      <c r="AV2474" s="306"/>
      <c r="AW2474" s="306"/>
      <c r="AX2474" s="306"/>
      <c r="AY2474" s="306"/>
      <c r="AZ2474" s="306"/>
      <c r="BA2474" s="306"/>
      <c r="BB2474" s="306"/>
    </row>
    <row r="2475" spans="1:54" ht="15.75" customHeight="1">
      <c r="A2475" s="317"/>
      <c r="B2475" s="430"/>
      <c r="C2475" s="317"/>
      <c r="E2475" s="306"/>
      <c r="F2475" s="431"/>
      <c r="G2475" s="431"/>
      <c r="H2475" s="298"/>
      <c r="I2475" s="432"/>
      <c r="J2475" s="433"/>
      <c r="K2475" s="306"/>
      <c r="L2475" s="306"/>
      <c r="M2475" s="306"/>
      <c r="N2475" s="298"/>
      <c r="O2475" s="298"/>
      <c r="P2475" s="298"/>
      <c r="Q2475" s="306"/>
      <c r="R2475" s="1023"/>
      <c r="S2475" s="1023"/>
      <c r="T2475" s="306"/>
      <c r="U2475" s="306"/>
      <c r="V2475" s="306"/>
      <c r="W2475" s="306"/>
      <c r="X2475" s="306"/>
      <c r="Y2475" s="306"/>
      <c r="Z2475" s="306"/>
      <c r="AA2475" s="306"/>
      <c r="AB2475" s="306"/>
      <c r="AC2475" s="306"/>
      <c r="AD2475" s="306"/>
      <c r="AE2475" s="306"/>
      <c r="AF2475" s="306"/>
      <c r="AG2475" s="306"/>
      <c r="AH2475" s="306"/>
      <c r="AI2475" s="306"/>
      <c r="AJ2475" s="306"/>
      <c r="AK2475" s="306"/>
      <c r="AL2475" s="306"/>
      <c r="AM2475" s="418"/>
      <c r="AN2475" s="418"/>
      <c r="AO2475" s="306"/>
      <c r="AP2475" s="306"/>
      <c r="AQ2475" s="418"/>
      <c r="AR2475" s="306"/>
      <c r="AS2475" s="306"/>
      <c r="AT2475" s="418"/>
      <c r="AU2475" s="306"/>
      <c r="AV2475" s="306"/>
      <c r="AW2475" s="306"/>
      <c r="AX2475" s="306"/>
      <c r="AY2475" s="306"/>
      <c r="AZ2475" s="306"/>
      <c r="BA2475" s="306"/>
      <c r="BB2475" s="306"/>
    </row>
    <row r="2476" spans="1:54" ht="15.75" customHeight="1">
      <c r="A2476" s="317"/>
      <c r="B2476" s="430"/>
      <c r="C2476" s="317"/>
      <c r="E2476" s="306"/>
      <c r="F2476" s="431"/>
      <c r="G2476" s="431"/>
      <c r="H2476" s="298"/>
      <c r="I2476" s="432"/>
      <c r="J2476" s="433"/>
      <c r="K2476" s="306"/>
      <c r="L2476" s="306"/>
      <c r="M2476" s="306"/>
      <c r="N2476" s="298"/>
      <c r="O2476" s="298"/>
      <c r="P2476" s="298"/>
      <c r="Q2476" s="306"/>
      <c r="R2476" s="1023"/>
      <c r="S2476" s="1023"/>
      <c r="T2476" s="306"/>
      <c r="U2476" s="306"/>
      <c r="V2476" s="306"/>
      <c r="W2476" s="306"/>
      <c r="X2476" s="306"/>
      <c r="Y2476" s="306"/>
      <c r="Z2476" s="306"/>
      <c r="AA2476" s="306"/>
      <c r="AB2476" s="306"/>
      <c r="AC2476" s="306"/>
      <c r="AD2476" s="306"/>
      <c r="AE2476" s="306"/>
      <c r="AF2476" s="306"/>
      <c r="AG2476" s="306"/>
      <c r="AH2476" s="306"/>
      <c r="AI2476" s="306"/>
      <c r="AJ2476" s="306"/>
      <c r="AK2476" s="306"/>
      <c r="AL2476" s="306"/>
      <c r="AM2476" s="418"/>
      <c r="AN2476" s="418"/>
      <c r="AO2476" s="306"/>
      <c r="AP2476" s="306"/>
      <c r="AQ2476" s="418"/>
      <c r="AR2476" s="306"/>
      <c r="AS2476" s="306"/>
      <c r="AT2476" s="418"/>
      <c r="AU2476" s="306"/>
      <c r="AV2476" s="306"/>
      <c r="AW2476" s="306"/>
      <c r="AX2476" s="306"/>
      <c r="AY2476" s="306"/>
      <c r="AZ2476" s="306"/>
      <c r="BA2476" s="306"/>
      <c r="BB2476" s="306"/>
    </row>
    <row r="2477" spans="1:54" ht="15.75" customHeight="1">
      <c r="A2477" s="317"/>
      <c r="B2477" s="430"/>
      <c r="C2477" s="317"/>
      <c r="E2477" s="306"/>
      <c r="F2477" s="431"/>
      <c r="G2477" s="431"/>
      <c r="H2477" s="298"/>
      <c r="I2477" s="432"/>
      <c r="J2477" s="433"/>
      <c r="K2477" s="306"/>
      <c r="L2477" s="306"/>
      <c r="M2477" s="306"/>
      <c r="N2477" s="298"/>
      <c r="O2477" s="298"/>
      <c r="P2477" s="298"/>
      <c r="Q2477" s="306"/>
      <c r="R2477" s="1023"/>
      <c r="S2477" s="1023"/>
      <c r="T2477" s="306"/>
      <c r="U2477" s="306"/>
      <c r="V2477" s="306"/>
      <c r="W2477" s="306"/>
      <c r="X2477" s="306"/>
      <c r="Y2477" s="306"/>
      <c r="Z2477" s="306"/>
      <c r="AA2477" s="306"/>
      <c r="AB2477" s="306"/>
      <c r="AC2477" s="306"/>
      <c r="AD2477" s="306"/>
      <c r="AE2477" s="306"/>
      <c r="AF2477" s="306"/>
      <c r="AG2477" s="306"/>
      <c r="AH2477" s="306"/>
      <c r="AI2477" s="306"/>
      <c r="AJ2477" s="306"/>
      <c r="AK2477" s="306"/>
      <c r="AL2477" s="306"/>
      <c r="AM2477" s="418"/>
      <c r="AN2477" s="418"/>
      <c r="AO2477" s="306"/>
      <c r="AP2477" s="306"/>
      <c r="AQ2477" s="418"/>
      <c r="AR2477" s="306"/>
      <c r="AS2477" s="306"/>
      <c r="AT2477" s="418"/>
      <c r="AU2477" s="306"/>
      <c r="AV2477" s="306"/>
      <c r="BB2477" s="306"/>
    </row>
    <row r="2478" spans="1:54" ht="15.75" customHeight="1">
      <c r="A2478" s="317"/>
      <c r="B2478" s="430"/>
      <c r="C2478" s="317"/>
      <c r="E2478" s="306"/>
      <c r="F2478" s="431"/>
      <c r="G2478" s="431"/>
      <c r="H2478" s="298"/>
      <c r="I2478" s="432"/>
      <c r="J2478" s="433"/>
      <c r="K2478" s="306"/>
      <c r="L2478" s="306"/>
      <c r="M2478" s="306"/>
      <c r="N2478" s="298"/>
      <c r="O2478" s="298"/>
      <c r="P2478" s="298"/>
      <c r="Q2478" s="306"/>
      <c r="R2478" s="1023"/>
      <c r="S2478" s="1023"/>
      <c r="T2478" s="306"/>
      <c r="U2478" s="306"/>
      <c r="V2478" s="306"/>
      <c r="W2478" s="306"/>
      <c r="X2478" s="306"/>
      <c r="Y2478" s="306"/>
      <c r="Z2478" s="306"/>
      <c r="AA2478" s="306"/>
      <c r="AB2478" s="306"/>
      <c r="AC2478" s="306"/>
      <c r="AD2478" s="306"/>
      <c r="AE2478" s="306"/>
      <c r="AF2478" s="306"/>
      <c r="AG2478" s="306"/>
      <c r="AH2478" s="306"/>
      <c r="AI2478" s="306"/>
      <c r="AJ2478" s="306"/>
      <c r="AK2478" s="306"/>
      <c r="AL2478" s="306"/>
      <c r="AM2478" s="418"/>
      <c r="AN2478" s="418"/>
      <c r="AO2478" s="306"/>
      <c r="AP2478" s="306"/>
      <c r="AQ2478" s="418"/>
      <c r="AR2478" s="306"/>
      <c r="AS2478" s="306"/>
      <c r="AT2478" s="418"/>
      <c r="AU2478" s="306"/>
      <c r="AV2478" s="306"/>
      <c r="BB2478" s="306"/>
    </row>
    <row r="2479" spans="1:54" ht="15.75" customHeight="1">
      <c r="A2479" s="317"/>
      <c r="BB2479" s="306"/>
    </row>
    <row r="2480" spans="1:54" ht="15.75" customHeight="1">
      <c r="A2480" s="317"/>
      <c r="B2480" s="437"/>
      <c r="C2480" s="317"/>
      <c r="G2480" s="431"/>
      <c r="H2480" s="438"/>
      <c r="I2480" s="439"/>
      <c r="J2480" s="440"/>
      <c r="K2480" s="307"/>
      <c r="L2480" s="307"/>
      <c r="M2480" s="307"/>
      <c r="N2480" s="438"/>
      <c r="O2480" s="438"/>
      <c r="P2480" s="438"/>
      <c r="AG2480" s="306"/>
      <c r="BB2480" s="306"/>
    </row>
    <row r="2481" spans="1:54" ht="15.75" customHeight="1">
      <c r="A2481" s="441"/>
      <c r="B2481" s="437"/>
      <c r="C2481" s="317"/>
      <c r="G2481" s="431"/>
      <c r="H2481" s="438"/>
      <c r="I2481" s="439"/>
      <c r="J2481" s="440"/>
      <c r="K2481" s="307"/>
      <c r="L2481" s="307"/>
      <c r="M2481" s="307"/>
      <c r="N2481" s="438"/>
      <c r="O2481" s="438"/>
      <c r="P2481" s="438"/>
      <c r="AG2481" s="306"/>
      <c r="BB2481" s="306"/>
    </row>
    <row r="2482" spans="1:54" ht="15.75" customHeight="1">
      <c r="A2482" s="441"/>
      <c r="B2482" s="437"/>
      <c r="C2482" s="317"/>
      <c r="G2482" s="431"/>
      <c r="H2482" s="438"/>
      <c r="I2482" s="439"/>
      <c r="J2482" s="440"/>
      <c r="K2482" s="307"/>
      <c r="L2482" s="307"/>
      <c r="M2482" s="307"/>
      <c r="N2482" s="438"/>
      <c r="O2482" s="438"/>
      <c r="P2482" s="438"/>
      <c r="AG2482" s="306"/>
      <c r="BB2482" s="306"/>
    </row>
    <row r="2483" spans="1:54" ht="15.75" customHeight="1">
      <c r="A2483" s="441"/>
      <c r="B2483" s="437"/>
      <c r="C2483" s="317"/>
      <c r="G2483" s="431"/>
      <c r="H2483" s="438"/>
      <c r="I2483" s="439"/>
      <c r="J2483" s="440"/>
      <c r="K2483" s="307"/>
      <c r="L2483" s="307"/>
      <c r="M2483" s="307"/>
      <c r="N2483" s="438"/>
      <c r="O2483" s="438"/>
      <c r="P2483" s="438"/>
      <c r="AG2483" s="306"/>
      <c r="BB2483" s="306"/>
    </row>
    <row r="2484" spans="1:54" ht="15.75" customHeight="1">
      <c r="A2484" s="441"/>
      <c r="B2484" s="437"/>
      <c r="C2484" s="317"/>
      <c r="G2484" s="431"/>
      <c r="H2484" s="438"/>
      <c r="I2484" s="439"/>
      <c r="J2484" s="440"/>
      <c r="K2484" s="307"/>
      <c r="L2484" s="307"/>
      <c r="M2484" s="307"/>
      <c r="N2484" s="438"/>
      <c r="O2484" s="438"/>
      <c r="P2484" s="438"/>
      <c r="AG2484" s="306"/>
      <c r="BB2484" s="306"/>
    </row>
    <row r="2485" spans="1:54" ht="15.75" customHeight="1">
      <c r="A2485" s="441"/>
      <c r="B2485" s="437"/>
      <c r="C2485" s="317"/>
      <c r="G2485" s="431"/>
      <c r="H2485" s="438"/>
      <c r="I2485" s="439"/>
      <c r="J2485" s="440"/>
      <c r="K2485" s="307"/>
      <c r="L2485" s="307"/>
      <c r="M2485" s="307"/>
      <c r="N2485" s="438"/>
      <c r="O2485" s="438"/>
      <c r="P2485" s="438"/>
      <c r="AG2485" s="306"/>
      <c r="BB2485" s="306"/>
    </row>
    <row r="2486" spans="1:54" ht="15.75" customHeight="1">
      <c r="A2486" s="441"/>
      <c r="B2486" s="437"/>
      <c r="C2486" s="317"/>
      <c r="G2486" s="431"/>
      <c r="H2486" s="438"/>
      <c r="I2486" s="439"/>
      <c r="J2486" s="440"/>
      <c r="K2486" s="307"/>
      <c r="L2486" s="307"/>
      <c r="M2486" s="307"/>
      <c r="N2486" s="438"/>
      <c r="O2486" s="438"/>
      <c r="P2486" s="438"/>
      <c r="AG2486" s="306"/>
      <c r="BB2486" s="306"/>
    </row>
    <row r="2487" spans="1:54" ht="15.75" customHeight="1">
      <c r="A2487" s="441"/>
      <c r="B2487" s="437"/>
      <c r="C2487" s="317"/>
      <c r="G2487" s="431"/>
      <c r="H2487" s="438"/>
      <c r="I2487" s="439"/>
      <c r="J2487" s="440"/>
      <c r="K2487" s="307"/>
      <c r="L2487" s="307"/>
      <c r="M2487" s="307"/>
      <c r="N2487" s="438"/>
      <c r="O2487" s="438"/>
      <c r="P2487" s="298"/>
      <c r="AG2487" s="306"/>
      <c r="BB2487" s="306"/>
    </row>
    <row r="2488" spans="1:54" ht="15.75" customHeight="1">
      <c r="A2488" s="441"/>
      <c r="B2488" s="437"/>
      <c r="C2488" s="317"/>
      <c r="G2488" s="431"/>
      <c r="H2488" s="438"/>
      <c r="I2488" s="439"/>
      <c r="J2488" s="440"/>
      <c r="K2488" s="307"/>
      <c r="L2488" s="307"/>
      <c r="M2488" s="307"/>
      <c r="N2488" s="438"/>
      <c r="O2488" s="438"/>
      <c r="P2488" s="438"/>
      <c r="AG2488" s="306"/>
      <c r="BB2488" s="306"/>
    </row>
    <row r="2489" spans="1:54" ht="15.75" customHeight="1">
      <c r="A2489" s="441"/>
      <c r="B2489" s="437"/>
      <c r="C2489" s="317"/>
      <c r="G2489" s="431"/>
      <c r="H2489" s="438"/>
      <c r="I2489" s="439"/>
      <c r="J2489" s="440"/>
      <c r="K2489" s="307"/>
      <c r="L2489" s="307"/>
      <c r="M2489" s="307"/>
      <c r="N2489" s="438"/>
      <c r="O2489" s="438"/>
      <c r="P2489" s="438"/>
      <c r="AG2489" s="306"/>
      <c r="BB2489" s="306"/>
    </row>
    <row r="2490" spans="1:54" ht="15.75" customHeight="1">
      <c r="A2490" s="441"/>
      <c r="B2490" s="437"/>
      <c r="C2490" s="317"/>
      <c r="G2490" s="431"/>
      <c r="H2490" s="438"/>
      <c r="I2490" s="439"/>
      <c r="J2490" s="440"/>
      <c r="K2490" s="307"/>
      <c r="L2490" s="307"/>
      <c r="M2490" s="307"/>
      <c r="N2490" s="438"/>
      <c r="O2490" s="438"/>
      <c r="P2490" s="438"/>
      <c r="AG2490" s="306"/>
      <c r="BB2490" s="306"/>
    </row>
    <row r="2491" spans="1:54" ht="15.75" customHeight="1">
      <c r="A2491" s="441"/>
      <c r="B2491" s="437"/>
      <c r="C2491" s="317"/>
      <c r="G2491" s="431"/>
      <c r="H2491" s="438"/>
      <c r="I2491" s="439"/>
      <c r="J2491" s="440"/>
      <c r="K2491" s="307"/>
      <c r="L2491" s="307"/>
      <c r="M2491" s="307"/>
      <c r="N2491" s="438"/>
      <c r="O2491" s="438"/>
      <c r="P2491" s="438"/>
      <c r="AG2491" s="306"/>
      <c r="BB2491" s="306"/>
    </row>
    <row r="2492" spans="1:54" ht="15.75" customHeight="1">
      <c r="A2492" s="441"/>
      <c r="B2492" s="437"/>
      <c r="C2492" s="317"/>
      <c r="G2492" s="431"/>
      <c r="H2492" s="298"/>
      <c r="I2492" s="432"/>
      <c r="J2492" s="440"/>
      <c r="K2492" s="307"/>
      <c r="L2492" s="307"/>
      <c r="M2492" s="307"/>
      <c r="N2492" s="438"/>
      <c r="O2492" s="298"/>
      <c r="P2492" s="438"/>
      <c r="AG2492" s="306"/>
      <c r="BB2492" s="306"/>
    </row>
    <row r="2493" spans="1:54" ht="15.75" customHeight="1">
      <c r="A2493" s="441"/>
      <c r="B2493" s="437"/>
      <c r="C2493" s="317"/>
      <c r="G2493" s="431"/>
      <c r="H2493" s="438"/>
      <c r="I2493" s="439"/>
      <c r="J2493" s="440"/>
      <c r="K2493" s="307"/>
      <c r="L2493" s="307"/>
      <c r="M2493" s="307"/>
      <c r="N2493" s="438"/>
      <c r="O2493" s="438"/>
      <c r="P2493" s="438"/>
      <c r="AG2493" s="306"/>
      <c r="BB2493" s="306"/>
    </row>
    <row r="2494" spans="1:54" ht="15.75" customHeight="1">
      <c r="A2494" s="441"/>
      <c r="B2494" s="437"/>
      <c r="C2494" s="317"/>
      <c r="G2494" s="431"/>
      <c r="H2494" s="298"/>
      <c r="I2494" s="432"/>
      <c r="J2494" s="440"/>
      <c r="K2494" s="307"/>
      <c r="L2494" s="307"/>
      <c r="M2494" s="307"/>
      <c r="N2494" s="438"/>
      <c r="O2494" s="298"/>
      <c r="P2494" s="438"/>
      <c r="AG2494" s="306"/>
      <c r="BB2494" s="306"/>
    </row>
    <row r="2495" spans="1:54" ht="15.75" customHeight="1">
      <c r="A2495" s="441"/>
      <c r="B2495" s="437"/>
      <c r="C2495" s="317"/>
      <c r="G2495" s="431"/>
      <c r="H2495" s="438"/>
      <c r="I2495" s="439"/>
      <c r="J2495" s="440"/>
      <c r="K2495" s="307"/>
      <c r="L2495" s="307"/>
      <c r="M2495" s="307"/>
      <c r="N2495" s="438"/>
      <c r="O2495" s="438"/>
      <c r="P2495" s="438"/>
      <c r="AG2495" s="306"/>
      <c r="BB2495" s="306"/>
    </row>
    <row r="2496" spans="1:54" ht="15.75" customHeight="1">
      <c r="A2496" s="441"/>
      <c r="B2496" s="437"/>
      <c r="C2496" s="317"/>
      <c r="G2496" s="431"/>
      <c r="H2496" s="298"/>
      <c r="I2496" s="432"/>
      <c r="J2496" s="440"/>
      <c r="K2496" s="307"/>
      <c r="L2496" s="307"/>
      <c r="M2496" s="307"/>
      <c r="N2496" s="438"/>
      <c r="O2496" s="298"/>
      <c r="P2496" s="438"/>
      <c r="AG2496" s="306"/>
      <c r="BB2496" s="306"/>
    </row>
    <row r="2497" spans="1:54" ht="15.75" customHeight="1">
      <c r="A2497" s="441"/>
      <c r="B2497" s="437"/>
      <c r="C2497" s="317"/>
      <c r="G2497" s="431"/>
      <c r="H2497" s="298"/>
      <c r="I2497" s="432"/>
      <c r="J2497" s="440"/>
      <c r="K2497" s="307"/>
      <c r="L2497" s="307"/>
      <c r="M2497" s="307"/>
      <c r="N2497" s="438"/>
      <c r="O2497" s="298"/>
      <c r="P2497" s="438"/>
      <c r="AG2497" s="306"/>
      <c r="BB2497" s="306"/>
    </row>
    <row r="2498" spans="1:54" ht="15.75" customHeight="1">
      <c r="A2498" s="441"/>
      <c r="B2498" s="437"/>
      <c r="C2498" s="317"/>
      <c r="G2498" s="431"/>
      <c r="H2498" s="438"/>
      <c r="I2498" s="439"/>
      <c r="J2498" s="440"/>
      <c r="K2498" s="307"/>
      <c r="L2498" s="307"/>
      <c r="M2498" s="307"/>
      <c r="N2498" s="438"/>
      <c r="O2498" s="438"/>
      <c r="P2498" s="438"/>
      <c r="AG2498" s="306"/>
      <c r="BB2498" s="306"/>
    </row>
    <row r="2499" spans="1:54" ht="15.75" customHeight="1">
      <c r="A2499" s="441"/>
      <c r="B2499" s="437"/>
      <c r="C2499" s="317"/>
      <c r="G2499" s="431"/>
      <c r="H2499" s="438"/>
      <c r="I2499" s="439"/>
      <c r="J2499" s="440"/>
      <c r="K2499" s="307"/>
      <c r="L2499" s="307"/>
      <c r="M2499" s="307"/>
      <c r="N2499" s="438"/>
      <c r="O2499" s="438"/>
      <c r="P2499" s="438"/>
      <c r="AG2499" s="306"/>
      <c r="BB2499" s="306"/>
    </row>
    <row r="2500" spans="1:54" ht="15.75" customHeight="1">
      <c r="A2500" s="441"/>
      <c r="B2500" s="437"/>
      <c r="C2500" s="317"/>
      <c r="G2500" s="431"/>
      <c r="H2500" s="438"/>
      <c r="I2500" s="439"/>
      <c r="J2500" s="440"/>
      <c r="K2500" s="307"/>
      <c r="L2500" s="307"/>
      <c r="M2500" s="307"/>
      <c r="N2500" s="438"/>
      <c r="O2500" s="438"/>
      <c r="P2500" s="438"/>
      <c r="AG2500" s="306"/>
      <c r="BB2500" s="306"/>
    </row>
    <row r="2501" spans="1:54" ht="15.75" customHeight="1">
      <c r="A2501" s="441"/>
      <c r="B2501" s="437"/>
      <c r="C2501" s="317"/>
      <c r="G2501" s="431"/>
      <c r="H2501" s="438"/>
      <c r="I2501" s="439"/>
      <c r="J2501" s="440"/>
      <c r="K2501" s="307"/>
      <c r="L2501" s="307"/>
      <c r="M2501" s="307"/>
      <c r="N2501" s="438"/>
      <c r="O2501" s="438"/>
      <c r="P2501" s="438"/>
      <c r="AG2501" s="306"/>
      <c r="BB2501" s="306"/>
    </row>
    <row r="2502" spans="1:54" ht="15.75" customHeight="1">
      <c r="A2502" s="441"/>
      <c r="B2502" s="437"/>
      <c r="C2502" s="317"/>
      <c r="G2502" s="431"/>
      <c r="H2502" s="438"/>
      <c r="I2502" s="439"/>
      <c r="J2502" s="440"/>
      <c r="K2502" s="307"/>
      <c r="L2502" s="307"/>
      <c r="M2502" s="307"/>
      <c r="N2502" s="438"/>
      <c r="O2502" s="438"/>
      <c r="P2502" s="438"/>
      <c r="AG2502" s="306"/>
      <c r="BB2502" s="306"/>
    </row>
    <row r="2503" spans="1:54" ht="15.75" customHeight="1">
      <c r="A2503" s="441"/>
      <c r="B2503" s="437"/>
      <c r="C2503" s="317"/>
      <c r="G2503" s="431"/>
      <c r="H2503" s="438"/>
      <c r="I2503" s="439"/>
      <c r="J2503" s="440"/>
      <c r="K2503" s="307"/>
      <c r="L2503" s="307"/>
      <c r="M2503" s="307"/>
      <c r="N2503" s="438"/>
      <c r="O2503" s="438"/>
      <c r="P2503" s="438"/>
      <c r="AG2503" s="306"/>
      <c r="BB2503" s="306"/>
    </row>
    <row r="2504" spans="1:54" ht="15.75" customHeight="1">
      <c r="A2504" s="441"/>
      <c r="B2504" s="437"/>
      <c r="C2504" s="317"/>
      <c r="G2504" s="431"/>
      <c r="H2504" s="438"/>
      <c r="I2504" s="439"/>
      <c r="J2504" s="440"/>
      <c r="K2504" s="307"/>
      <c r="L2504" s="307"/>
      <c r="M2504" s="307"/>
      <c r="N2504" s="438"/>
      <c r="O2504" s="438"/>
      <c r="P2504" s="438"/>
      <c r="AG2504" s="306"/>
      <c r="BB2504" s="306"/>
    </row>
    <row r="2505" spans="1:54" ht="15.75" customHeight="1">
      <c r="A2505" s="441"/>
      <c r="B2505" s="437"/>
      <c r="C2505" s="317"/>
      <c r="G2505" s="431"/>
      <c r="H2505" s="438"/>
      <c r="I2505" s="439"/>
      <c r="J2505" s="440"/>
      <c r="K2505" s="307"/>
      <c r="L2505" s="307"/>
      <c r="M2505" s="307"/>
      <c r="N2505" s="438"/>
      <c r="O2505" s="438"/>
      <c r="P2505" s="298"/>
      <c r="AG2505" s="306"/>
      <c r="BB2505" s="306"/>
    </row>
    <row r="2506" spans="1:54" ht="15.75" customHeight="1">
      <c r="A2506" s="441"/>
      <c r="B2506" s="437"/>
      <c r="C2506" s="317"/>
      <c r="G2506" s="431"/>
      <c r="H2506" s="438"/>
      <c r="I2506" s="439"/>
      <c r="J2506" s="440"/>
      <c r="K2506" s="307"/>
      <c r="L2506" s="307"/>
      <c r="M2506" s="307"/>
      <c r="N2506" s="438"/>
      <c r="O2506" s="438"/>
      <c r="P2506" s="438"/>
      <c r="AG2506" s="306"/>
      <c r="BB2506" s="306"/>
    </row>
    <row r="2507" spans="1:54" ht="15.75" customHeight="1">
      <c r="A2507" s="441"/>
      <c r="B2507" s="437"/>
      <c r="C2507" s="317"/>
      <c r="G2507" s="431"/>
      <c r="H2507" s="438"/>
      <c r="I2507" s="439"/>
      <c r="J2507" s="440"/>
      <c r="K2507" s="307"/>
      <c r="L2507" s="307"/>
      <c r="M2507" s="307"/>
      <c r="N2507" s="438"/>
      <c r="O2507" s="438"/>
      <c r="P2507" s="298"/>
      <c r="AG2507" s="306"/>
      <c r="BB2507" s="306"/>
    </row>
    <row r="2508" spans="1:54" ht="15.75" customHeight="1">
      <c r="A2508" s="441"/>
      <c r="B2508" s="437"/>
      <c r="C2508" s="317"/>
      <c r="G2508" s="431"/>
      <c r="H2508" s="438"/>
      <c r="I2508" s="439"/>
      <c r="J2508" s="440"/>
      <c r="K2508" s="307"/>
      <c r="L2508" s="307"/>
      <c r="M2508" s="307"/>
      <c r="N2508" s="438"/>
      <c r="O2508" s="438"/>
      <c r="P2508" s="438"/>
      <c r="AG2508" s="306"/>
      <c r="BB2508" s="306"/>
    </row>
    <row r="2509" spans="1:54" ht="15.75" customHeight="1">
      <c r="A2509" s="441"/>
      <c r="B2509" s="437"/>
      <c r="C2509" s="317"/>
      <c r="G2509" s="431"/>
      <c r="H2509" s="438"/>
      <c r="I2509" s="439"/>
      <c r="J2509" s="440"/>
      <c r="K2509" s="307"/>
      <c r="L2509" s="307"/>
      <c r="M2509" s="307"/>
      <c r="N2509" s="438"/>
      <c r="O2509" s="438"/>
      <c r="P2509" s="298"/>
      <c r="AG2509" s="306"/>
      <c r="BB2509" s="306"/>
    </row>
    <row r="2510" spans="1:54" ht="15.75" customHeight="1">
      <c r="A2510" s="441"/>
      <c r="B2510" s="437"/>
      <c r="C2510" s="317"/>
      <c r="G2510" s="431"/>
      <c r="H2510" s="298"/>
      <c r="I2510" s="439"/>
      <c r="J2510" s="440"/>
      <c r="K2510" s="307"/>
      <c r="L2510" s="307"/>
      <c r="M2510" s="307"/>
      <c r="N2510" s="438"/>
      <c r="O2510" s="298"/>
      <c r="P2510" s="298"/>
      <c r="AG2510" s="306"/>
      <c r="BB2510" s="306"/>
    </row>
    <row r="2511" spans="1:54" ht="15.75" customHeight="1">
      <c r="A2511" s="441"/>
      <c r="B2511" s="437"/>
      <c r="C2511" s="317"/>
      <c r="G2511" s="431"/>
      <c r="H2511" s="438"/>
      <c r="I2511" s="439"/>
      <c r="J2511" s="440"/>
      <c r="K2511" s="307"/>
      <c r="L2511" s="307"/>
      <c r="M2511" s="307"/>
      <c r="N2511" s="438"/>
      <c r="O2511" s="438"/>
      <c r="P2511" s="438"/>
      <c r="AG2511" s="306"/>
      <c r="BB2511" s="306"/>
    </row>
    <row r="2512" spans="1:54" ht="15.75" customHeight="1">
      <c r="A2512" s="441"/>
      <c r="B2512" s="437"/>
      <c r="C2512" s="317"/>
      <c r="G2512" s="431"/>
      <c r="H2512" s="438"/>
      <c r="I2512" s="439"/>
      <c r="J2512" s="440"/>
      <c r="K2512" s="307"/>
      <c r="L2512" s="307"/>
      <c r="M2512" s="307"/>
      <c r="N2512" s="438"/>
      <c r="O2512" s="438"/>
      <c r="P2512" s="438"/>
      <c r="AG2512" s="306"/>
      <c r="BB2512" s="306"/>
    </row>
    <row r="2513" spans="1:54" ht="15.75" customHeight="1">
      <c r="A2513" s="441"/>
      <c r="B2513" s="437"/>
      <c r="C2513" s="317"/>
      <c r="G2513" s="431"/>
      <c r="H2513" s="438"/>
      <c r="I2513" s="439"/>
      <c r="J2513" s="440"/>
      <c r="K2513" s="307"/>
      <c r="L2513" s="307"/>
      <c r="M2513" s="307"/>
      <c r="N2513" s="438"/>
      <c r="O2513" s="438"/>
      <c r="P2513" s="438"/>
      <c r="AG2513" s="306"/>
      <c r="BB2513" s="306"/>
    </row>
    <row r="2514" spans="1:54" ht="15.75" customHeight="1">
      <c r="A2514" s="441"/>
      <c r="B2514" s="437"/>
      <c r="C2514" s="317"/>
      <c r="G2514" s="431"/>
      <c r="H2514" s="298"/>
      <c r="I2514" s="432"/>
      <c r="J2514" s="440"/>
      <c r="K2514" s="307"/>
      <c r="L2514" s="307"/>
      <c r="M2514" s="307"/>
      <c r="N2514" s="438"/>
      <c r="O2514" s="298"/>
      <c r="P2514" s="438"/>
      <c r="AG2514" s="306"/>
      <c r="BB2514" s="306"/>
    </row>
    <row r="2515" spans="1:54" ht="15.75" customHeight="1">
      <c r="A2515" s="441"/>
      <c r="B2515" s="437"/>
      <c r="C2515" s="317"/>
      <c r="G2515" s="431"/>
      <c r="H2515" s="438"/>
      <c r="I2515" s="439"/>
      <c r="J2515" s="440"/>
      <c r="K2515" s="307"/>
      <c r="L2515" s="307"/>
      <c r="M2515" s="307"/>
      <c r="N2515" s="438"/>
      <c r="O2515" s="438"/>
      <c r="P2515" s="438"/>
      <c r="AG2515" s="306"/>
      <c r="BB2515" s="306"/>
    </row>
    <row r="2516" spans="1:54" ht="15.75" customHeight="1">
      <c r="A2516" s="441"/>
      <c r="B2516" s="437"/>
      <c r="C2516" s="317"/>
      <c r="G2516" s="431"/>
      <c r="H2516" s="438"/>
      <c r="I2516" s="439"/>
      <c r="J2516" s="440"/>
      <c r="K2516" s="307"/>
      <c r="L2516" s="307"/>
      <c r="M2516" s="307"/>
      <c r="N2516" s="438"/>
      <c r="O2516" s="438"/>
      <c r="P2516" s="438"/>
      <c r="AG2516" s="306"/>
      <c r="BB2516" s="306"/>
    </row>
    <row r="2517" spans="1:54" ht="15.75" customHeight="1">
      <c r="A2517" s="441"/>
      <c r="B2517" s="437"/>
      <c r="C2517" s="317"/>
      <c r="G2517" s="431"/>
      <c r="H2517" s="438"/>
      <c r="I2517" s="439"/>
      <c r="J2517" s="440"/>
      <c r="K2517" s="307"/>
      <c r="L2517" s="307"/>
      <c r="M2517" s="307"/>
      <c r="N2517" s="438"/>
      <c r="O2517" s="438"/>
      <c r="P2517" s="438"/>
      <c r="AG2517" s="306"/>
      <c r="BB2517" s="306"/>
    </row>
    <row r="2518" spans="1:54" ht="15.75" customHeight="1">
      <c r="A2518" s="441"/>
      <c r="B2518" s="437"/>
      <c r="C2518" s="317"/>
      <c r="G2518" s="431"/>
      <c r="H2518" s="438"/>
      <c r="I2518" s="439"/>
      <c r="J2518" s="440"/>
      <c r="K2518" s="307"/>
      <c r="L2518" s="307"/>
      <c r="M2518" s="307"/>
      <c r="N2518" s="438"/>
      <c r="O2518" s="438"/>
      <c r="P2518" s="438"/>
      <c r="AG2518" s="306"/>
      <c r="BB2518" s="306"/>
    </row>
    <row r="2519" spans="1:54" ht="15.75" customHeight="1">
      <c r="A2519" s="441"/>
      <c r="B2519" s="437"/>
      <c r="C2519" s="317"/>
      <c r="G2519" s="431"/>
      <c r="H2519" s="438"/>
      <c r="I2519" s="439"/>
      <c r="J2519" s="440"/>
      <c r="K2519" s="307"/>
      <c r="L2519" s="307"/>
      <c r="M2519" s="307"/>
      <c r="N2519" s="438"/>
      <c r="O2519" s="438"/>
      <c r="P2519" s="438"/>
      <c r="AG2519" s="306"/>
      <c r="BB2519" s="306"/>
    </row>
    <row r="2520" spans="1:54" ht="15.75" customHeight="1">
      <c r="A2520" s="441"/>
      <c r="B2520" s="437"/>
      <c r="C2520" s="317"/>
      <c r="G2520" s="431"/>
      <c r="H2520" s="438"/>
      <c r="I2520" s="439"/>
      <c r="J2520" s="440"/>
      <c r="K2520" s="307"/>
      <c r="L2520" s="307"/>
      <c r="M2520" s="307"/>
      <c r="N2520" s="438"/>
      <c r="O2520" s="438"/>
      <c r="P2520" s="438"/>
      <c r="AG2520" s="306"/>
      <c r="BB2520" s="306"/>
    </row>
    <row r="2521" spans="1:54" ht="15.75" customHeight="1">
      <c r="A2521" s="441"/>
      <c r="B2521" s="437"/>
      <c r="C2521" s="317"/>
      <c r="G2521" s="431"/>
      <c r="H2521" s="438"/>
      <c r="I2521" s="439"/>
      <c r="J2521" s="440"/>
      <c r="K2521" s="307"/>
      <c r="L2521" s="307"/>
      <c r="M2521" s="307"/>
      <c r="N2521" s="438"/>
      <c r="O2521" s="438"/>
      <c r="P2521" s="438"/>
      <c r="AG2521" s="306"/>
      <c r="BB2521" s="306"/>
    </row>
    <row r="2522" spans="1:54" ht="15.75" customHeight="1">
      <c r="A2522" s="441"/>
      <c r="B2522" s="437"/>
      <c r="C2522" s="317"/>
      <c r="G2522" s="431"/>
      <c r="H2522" s="438"/>
      <c r="I2522" s="439"/>
      <c r="J2522" s="440"/>
      <c r="K2522" s="307"/>
      <c r="L2522" s="307"/>
      <c r="M2522" s="307"/>
      <c r="N2522" s="438"/>
      <c r="O2522" s="438"/>
      <c r="P2522" s="438"/>
      <c r="AG2522" s="306"/>
      <c r="BB2522" s="306"/>
    </row>
    <row r="2523" spans="1:54" ht="15.75" customHeight="1">
      <c r="A2523" s="441"/>
      <c r="B2523" s="437"/>
      <c r="C2523" s="317"/>
      <c r="G2523" s="431"/>
      <c r="H2523" s="438"/>
      <c r="I2523" s="439"/>
      <c r="J2523" s="440"/>
      <c r="K2523" s="307"/>
      <c r="L2523" s="307"/>
      <c r="M2523" s="307"/>
      <c r="N2523" s="438"/>
      <c r="O2523" s="438"/>
      <c r="P2523" s="298"/>
      <c r="AG2523" s="306"/>
      <c r="BB2523" s="306"/>
    </row>
    <row r="2524" spans="1:54" ht="15.75" customHeight="1">
      <c r="A2524" s="441"/>
      <c r="B2524" s="437"/>
      <c r="C2524" s="317"/>
      <c r="G2524" s="431"/>
      <c r="H2524" s="438"/>
      <c r="I2524" s="439"/>
      <c r="J2524" s="440"/>
      <c r="K2524" s="307"/>
      <c r="L2524" s="307"/>
      <c r="M2524" s="307"/>
      <c r="N2524" s="438"/>
      <c r="O2524" s="438"/>
      <c r="P2524" s="438"/>
      <c r="AG2524" s="306"/>
      <c r="BB2524" s="306"/>
    </row>
    <row r="2525" spans="1:54" ht="15.75" customHeight="1">
      <c r="A2525" s="441"/>
      <c r="B2525" s="437"/>
      <c r="C2525" s="317"/>
      <c r="G2525" s="431"/>
      <c r="H2525" s="438"/>
      <c r="I2525" s="439"/>
      <c r="J2525" s="440"/>
      <c r="K2525" s="307"/>
      <c r="L2525" s="307"/>
      <c r="M2525" s="307"/>
      <c r="N2525" s="438"/>
      <c r="O2525" s="438"/>
      <c r="P2525" s="438"/>
      <c r="AG2525" s="306"/>
      <c r="BB2525" s="306"/>
    </row>
    <row r="2526" spans="1:54" ht="15.75" customHeight="1">
      <c r="A2526" s="441"/>
      <c r="B2526" s="437"/>
      <c r="C2526" s="317"/>
      <c r="G2526" s="431"/>
      <c r="H2526" s="438"/>
      <c r="I2526" s="439"/>
      <c r="J2526" s="440"/>
      <c r="K2526" s="307"/>
      <c r="L2526" s="307"/>
      <c r="M2526" s="307"/>
      <c r="N2526" s="438"/>
      <c r="O2526" s="438"/>
      <c r="P2526" s="438"/>
      <c r="AG2526" s="306"/>
      <c r="BB2526" s="306"/>
    </row>
    <row r="2527" spans="1:54" ht="15.75" customHeight="1">
      <c r="A2527" s="441"/>
      <c r="B2527" s="437"/>
      <c r="C2527" s="317"/>
      <c r="G2527" s="431"/>
      <c r="H2527" s="438"/>
      <c r="I2527" s="439"/>
      <c r="J2527" s="440"/>
      <c r="K2527" s="307"/>
      <c r="L2527" s="307"/>
      <c r="M2527" s="307"/>
      <c r="N2527" s="438"/>
      <c r="O2527" s="438"/>
      <c r="P2527" s="298"/>
      <c r="AG2527" s="306"/>
      <c r="BB2527" s="306"/>
    </row>
    <row r="2528" spans="1:54" ht="15.75" customHeight="1">
      <c r="A2528" s="441"/>
      <c r="B2528" s="437"/>
      <c r="C2528" s="317"/>
      <c r="G2528" s="431"/>
      <c r="H2528" s="438"/>
      <c r="I2528" s="439"/>
      <c r="J2528" s="440"/>
      <c r="K2528" s="307"/>
      <c r="L2528" s="307"/>
      <c r="M2528" s="307"/>
      <c r="N2528" s="438"/>
      <c r="O2528" s="438"/>
      <c r="P2528" s="438"/>
      <c r="AG2528" s="306"/>
      <c r="BB2528" s="306"/>
    </row>
    <row r="2529" spans="1:54" ht="15.75" customHeight="1">
      <c r="A2529" s="441"/>
      <c r="B2529" s="437"/>
      <c r="C2529" s="317"/>
      <c r="G2529" s="431"/>
      <c r="H2529" s="438"/>
      <c r="I2529" s="439"/>
      <c r="J2529" s="440"/>
      <c r="K2529" s="307"/>
      <c r="L2529" s="307"/>
      <c r="M2529" s="307"/>
      <c r="N2529" s="438"/>
      <c r="O2529" s="438"/>
      <c r="P2529" s="438"/>
      <c r="AG2529" s="306"/>
      <c r="BB2529" s="306"/>
    </row>
    <row r="2530" spans="1:54" ht="15.75" customHeight="1">
      <c r="A2530" s="441"/>
      <c r="B2530" s="437"/>
      <c r="C2530" s="317"/>
      <c r="G2530" s="431"/>
      <c r="H2530" s="298"/>
      <c r="I2530" s="432"/>
      <c r="J2530" s="440"/>
      <c r="K2530" s="307"/>
      <c r="L2530" s="307"/>
      <c r="M2530" s="307"/>
      <c r="N2530" s="438"/>
      <c r="O2530" s="298"/>
      <c r="P2530" s="438"/>
      <c r="AG2530" s="306"/>
      <c r="BB2530" s="306"/>
    </row>
    <row r="2531" spans="1:54" ht="15.75" customHeight="1">
      <c r="A2531" s="441"/>
      <c r="B2531" s="437"/>
      <c r="C2531" s="317"/>
      <c r="G2531" s="431"/>
      <c r="H2531" s="438"/>
      <c r="I2531" s="439"/>
      <c r="J2531" s="440"/>
      <c r="K2531" s="307"/>
      <c r="L2531" s="307"/>
      <c r="M2531" s="307"/>
      <c r="N2531" s="438"/>
      <c r="O2531" s="438"/>
      <c r="P2531" s="438"/>
      <c r="AG2531" s="306"/>
      <c r="BB2531" s="306"/>
    </row>
    <row r="2532" spans="1:54" ht="15.75" customHeight="1">
      <c r="A2532" s="441"/>
      <c r="B2532" s="437"/>
      <c r="C2532" s="317"/>
      <c r="G2532" s="431"/>
      <c r="H2532" s="298"/>
      <c r="I2532" s="432"/>
      <c r="J2532" s="440"/>
      <c r="K2532" s="307"/>
      <c r="L2532" s="307"/>
      <c r="M2532" s="307"/>
      <c r="N2532" s="438"/>
      <c r="O2532" s="298"/>
      <c r="P2532" s="438"/>
      <c r="AG2532" s="306"/>
      <c r="BB2532" s="306"/>
    </row>
    <row r="2533" spans="1:54" ht="15.75" customHeight="1">
      <c r="A2533" s="441"/>
      <c r="B2533" s="437"/>
      <c r="C2533" s="317"/>
      <c r="G2533" s="431"/>
      <c r="H2533" s="298"/>
      <c r="I2533" s="432"/>
      <c r="J2533" s="440"/>
      <c r="K2533" s="307"/>
      <c r="L2533" s="307"/>
      <c r="M2533" s="307"/>
      <c r="N2533" s="438"/>
      <c r="O2533" s="298"/>
      <c r="P2533" s="438"/>
      <c r="AG2533" s="306"/>
      <c r="BB2533" s="306"/>
    </row>
    <row r="2534" spans="1:54" ht="15.75" customHeight="1">
      <c r="A2534" s="441"/>
      <c r="B2534" s="437"/>
      <c r="C2534" s="317"/>
      <c r="G2534" s="431"/>
      <c r="H2534" s="438"/>
      <c r="I2534" s="439"/>
      <c r="J2534" s="440"/>
      <c r="K2534" s="307"/>
      <c r="L2534" s="307"/>
      <c r="M2534" s="307"/>
      <c r="N2534" s="438"/>
      <c r="O2534" s="438"/>
      <c r="P2534" s="438"/>
      <c r="AG2534" s="306"/>
      <c r="BB2534" s="306"/>
    </row>
    <row r="2535" spans="1:54" ht="15.75" customHeight="1">
      <c r="A2535" s="441"/>
      <c r="B2535" s="437"/>
      <c r="C2535" s="317"/>
      <c r="G2535" s="431"/>
      <c r="H2535" s="438"/>
      <c r="I2535" s="439"/>
      <c r="J2535" s="440"/>
      <c r="K2535" s="307"/>
      <c r="L2535" s="307"/>
      <c r="M2535" s="307"/>
      <c r="N2535" s="438"/>
      <c r="O2535" s="438"/>
      <c r="P2535" s="438"/>
      <c r="AG2535" s="306"/>
      <c r="BB2535" s="306"/>
    </row>
    <row r="2536" spans="1:54" ht="15.75" customHeight="1">
      <c r="A2536" s="441"/>
      <c r="B2536" s="437"/>
      <c r="C2536" s="317"/>
      <c r="G2536" s="431"/>
      <c r="H2536" s="438"/>
      <c r="I2536" s="439"/>
      <c r="J2536" s="440"/>
      <c r="K2536" s="307"/>
      <c r="L2536" s="307"/>
      <c r="M2536" s="307"/>
      <c r="N2536" s="438"/>
      <c r="O2536" s="438"/>
      <c r="P2536" s="438"/>
      <c r="AG2536" s="306"/>
      <c r="BB2536" s="306"/>
    </row>
    <row r="2537" spans="1:54" ht="15.75" customHeight="1">
      <c r="A2537" s="441"/>
      <c r="B2537" s="437"/>
      <c r="C2537" s="317"/>
      <c r="G2537" s="431"/>
      <c r="H2537" s="438"/>
      <c r="I2537" s="439"/>
      <c r="J2537" s="440"/>
      <c r="K2537" s="307"/>
      <c r="L2537" s="307"/>
      <c r="M2537" s="307"/>
      <c r="N2537" s="438"/>
      <c r="O2537" s="438"/>
      <c r="P2537" s="438"/>
      <c r="AG2537" s="306"/>
      <c r="BB2537" s="306"/>
    </row>
    <row r="2538" spans="1:54" ht="15.75" customHeight="1">
      <c r="A2538" s="441"/>
      <c r="B2538" s="437"/>
      <c r="C2538" s="317"/>
      <c r="G2538" s="431"/>
      <c r="H2538" s="438"/>
      <c r="I2538" s="439"/>
      <c r="J2538" s="440"/>
      <c r="K2538" s="307"/>
      <c r="L2538" s="307"/>
      <c r="M2538" s="307"/>
      <c r="N2538" s="438"/>
      <c r="O2538" s="438"/>
      <c r="P2538" s="438"/>
      <c r="AG2538" s="306"/>
      <c r="BB2538" s="306"/>
    </row>
    <row r="2539" spans="1:54" ht="15.75" customHeight="1">
      <c r="A2539" s="441"/>
      <c r="B2539" s="437"/>
      <c r="C2539" s="317"/>
      <c r="G2539" s="431"/>
      <c r="H2539" s="298"/>
      <c r="I2539" s="432"/>
      <c r="J2539" s="440"/>
      <c r="K2539" s="307"/>
      <c r="L2539" s="307"/>
      <c r="M2539" s="307"/>
      <c r="N2539" s="438"/>
      <c r="O2539" s="298"/>
      <c r="P2539" s="438"/>
      <c r="AG2539" s="306"/>
      <c r="BB2539" s="306"/>
    </row>
    <row r="2540" spans="1:54" ht="15.75" customHeight="1">
      <c r="A2540" s="441"/>
      <c r="B2540" s="437"/>
      <c r="C2540" s="317"/>
      <c r="G2540" s="431"/>
      <c r="H2540" s="438"/>
      <c r="I2540" s="439"/>
      <c r="J2540" s="440"/>
      <c r="K2540" s="307"/>
      <c r="L2540" s="307"/>
      <c r="M2540" s="307"/>
      <c r="N2540" s="438"/>
      <c r="O2540" s="438"/>
      <c r="P2540" s="438"/>
      <c r="AG2540" s="306"/>
      <c r="BB2540" s="306"/>
    </row>
    <row r="2541" spans="1:54" ht="15.75" customHeight="1">
      <c r="A2541" s="441"/>
      <c r="B2541" s="437"/>
      <c r="C2541" s="317"/>
      <c r="G2541" s="431"/>
      <c r="H2541" s="438"/>
      <c r="I2541" s="439"/>
      <c r="J2541" s="440"/>
      <c r="K2541" s="307"/>
      <c r="L2541" s="307"/>
      <c r="M2541" s="307"/>
      <c r="N2541" s="438"/>
      <c r="O2541" s="438"/>
      <c r="P2541" s="438"/>
      <c r="AG2541" s="306"/>
      <c r="BB2541" s="306"/>
    </row>
    <row r="2542" spans="1:54" ht="15.75" customHeight="1">
      <c r="A2542" s="441"/>
      <c r="B2542" s="437"/>
      <c r="C2542" s="317"/>
      <c r="G2542" s="431"/>
      <c r="H2542" s="438"/>
      <c r="I2542" s="439"/>
      <c r="J2542" s="440"/>
      <c r="K2542" s="307"/>
      <c r="L2542" s="307"/>
      <c r="M2542" s="307"/>
      <c r="N2542" s="438"/>
      <c r="O2542" s="438"/>
      <c r="P2542" s="438"/>
      <c r="AG2542" s="306"/>
      <c r="BB2542" s="306"/>
    </row>
    <row r="2543" spans="1:54" ht="15.75" customHeight="1">
      <c r="A2543" s="441"/>
      <c r="B2543" s="437"/>
      <c r="C2543" s="317"/>
      <c r="G2543" s="431"/>
      <c r="H2543" s="438"/>
      <c r="I2543" s="439"/>
      <c r="J2543" s="440"/>
      <c r="K2543" s="307"/>
      <c r="L2543" s="307"/>
      <c r="M2543" s="307"/>
      <c r="N2543" s="438"/>
      <c r="O2543" s="438"/>
      <c r="P2543" s="298"/>
      <c r="AG2543" s="306"/>
      <c r="BB2543" s="306"/>
    </row>
    <row r="2544" spans="1:54" ht="15.75" customHeight="1">
      <c r="A2544" s="441"/>
      <c r="B2544" s="437"/>
      <c r="C2544" s="317"/>
      <c r="G2544" s="431"/>
      <c r="H2544" s="438"/>
      <c r="I2544" s="439"/>
      <c r="J2544" s="440"/>
      <c r="K2544" s="307"/>
      <c r="L2544" s="307"/>
      <c r="M2544" s="307"/>
      <c r="N2544" s="438"/>
      <c r="O2544" s="438"/>
      <c r="P2544" s="438"/>
      <c r="AG2544" s="306"/>
      <c r="BB2544" s="306"/>
    </row>
    <row r="2545" spans="1:54" ht="15.75" customHeight="1">
      <c r="A2545" s="441"/>
      <c r="B2545" s="437"/>
      <c r="C2545" s="317"/>
      <c r="G2545" s="431"/>
      <c r="H2545" s="438"/>
      <c r="I2545" s="439"/>
      <c r="J2545" s="440"/>
      <c r="K2545" s="307"/>
      <c r="L2545" s="307"/>
      <c r="M2545" s="307"/>
      <c r="N2545" s="438"/>
      <c r="O2545" s="438"/>
      <c r="P2545" s="298"/>
      <c r="AG2545" s="306"/>
      <c r="BB2545" s="306"/>
    </row>
    <row r="2546" spans="1:54" ht="15.75" customHeight="1">
      <c r="A2546" s="441"/>
      <c r="B2546" s="437"/>
      <c r="C2546" s="317"/>
      <c r="G2546" s="431"/>
      <c r="H2546" s="438"/>
      <c r="I2546" s="439"/>
      <c r="J2546" s="440"/>
      <c r="K2546" s="307"/>
      <c r="L2546" s="307"/>
      <c r="M2546" s="307"/>
      <c r="N2546" s="438"/>
      <c r="O2546" s="438"/>
      <c r="P2546" s="298"/>
      <c r="AG2546" s="306"/>
      <c r="BB2546" s="306"/>
    </row>
    <row r="2547" spans="1:54" ht="15.75" customHeight="1">
      <c r="A2547" s="441"/>
      <c r="B2547" s="437"/>
      <c r="C2547" s="317"/>
      <c r="G2547" s="431"/>
      <c r="H2547" s="438"/>
      <c r="I2547" s="439"/>
      <c r="J2547" s="440"/>
      <c r="K2547" s="307"/>
      <c r="L2547" s="307"/>
      <c r="M2547" s="307"/>
      <c r="N2547" s="438"/>
      <c r="O2547" s="438"/>
      <c r="P2547" s="438"/>
      <c r="AG2547" s="306"/>
      <c r="BB2547" s="306"/>
    </row>
    <row r="2548" spans="1:54" ht="15.75" customHeight="1">
      <c r="A2548" s="441"/>
      <c r="B2548" s="437"/>
      <c r="C2548" s="317"/>
      <c r="G2548" s="431"/>
      <c r="H2548" s="438"/>
      <c r="I2548" s="439"/>
      <c r="J2548" s="440"/>
      <c r="K2548" s="307"/>
      <c r="L2548" s="307"/>
      <c r="M2548" s="307"/>
      <c r="N2548" s="438"/>
      <c r="O2548" s="438"/>
      <c r="P2548" s="438"/>
      <c r="AG2548" s="306"/>
      <c r="BB2548" s="306"/>
    </row>
    <row r="2549" spans="1:54" ht="15.75" customHeight="1">
      <c r="A2549" s="441"/>
      <c r="B2549" s="437"/>
      <c r="C2549" s="317"/>
      <c r="G2549" s="431"/>
      <c r="H2549" s="438"/>
      <c r="I2549" s="439"/>
      <c r="J2549" s="440"/>
      <c r="K2549" s="307"/>
      <c r="L2549" s="307"/>
      <c r="M2549" s="307"/>
      <c r="N2549" s="438"/>
      <c r="O2549" s="438"/>
      <c r="P2549" s="438"/>
      <c r="AG2549" s="306"/>
      <c r="BB2549" s="306"/>
    </row>
    <row r="2550" spans="1:54" ht="15.75" customHeight="1">
      <c r="A2550" s="441"/>
      <c r="B2550" s="437"/>
      <c r="C2550" s="317"/>
      <c r="G2550" s="431"/>
      <c r="H2550" s="438"/>
      <c r="I2550" s="439"/>
      <c r="J2550" s="440"/>
      <c r="K2550" s="307"/>
      <c r="L2550" s="307"/>
      <c r="M2550" s="307"/>
      <c r="N2550" s="438"/>
      <c r="O2550" s="438"/>
      <c r="P2550" s="438"/>
      <c r="AG2550" s="306"/>
      <c r="BB2550" s="306"/>
    </row>
    <row r="2551" spans="1:54" ht="15.75" customHeight="1">
      <c r="A2551" s="441"/>
      <c r="B2551" s="437"/>
      <c r="C2551" s="317"/>
      <c r="G2551" s="431"/>
      <c r="H2551" s="438"/>
      <c r="I2551" s="439"/>
      <c r="J2551" s="440"/>
      <c r="K2551" s="307"/>
      <c r="L2551" s="307"/>
      <c r="M2551" s="307"/>
      <c r="N2551" s="438"/>
      <c r="O2551" s="438"/>
      <c r="P2551" s="438"/>
      <c r="AG2551" s="306"/>
      <c r="BB2551" s="306"/>
    </row>
    <row r="2552" spans="1:54" ht="15.75" customHeight="1">
      <c r="A2552" s="441"/>
      <c r="B2552" s="437"/>
      <c r="C2552" s="317"/>
      <c r="G2552" s="431"/>
      <c r="H2552" s="438"/>
      <c r="I2552" s="439"/>
      <c r="J2552" s="440"/>
      <c r="K2552" s="307"/>
      <c r="L2552" s="307"/>
      <c r="M2552" s="307"/>
      <c r="N2552" s="438"/>
      <c r="O2552" s="438"/>
      <c r="P2552" s="298"/>
      <c r="AG2552" s="306"/>
      <c r="BB2552" s="306"/>
    </row>
    <row r="2553" spans="1:54" ht="15.75" customHeight="1">
      <c r="A2553" s="441"/>
      <c r="B2553" s="437"/>
      <c r="C2553" s="317"/>
      <c r="G2553" s="431"/>
      <c r="H2553" s="298"/>
      <c r="I2553" s="432"/>
      <c r="J2553" s="440"/>
      <c r="K2553" s="307"/>
      <c r="L2553" s="307"/>
      <c r="M2553" s="307"/>
      <c r="N2553" s="438"/>
      <c r="O2553" s="298"/>
      <c r="P2553" s="438"/>
      <c r="AG2553" s="306"/>
      <c r="BB2553" s="306"/>
    </row>
    <row r="2554" spans="1:54" ht="15.75" customHeight="1">
      <c r="A2554" s="441"/>
      <c r="B2554" s="437"/>
      <c r="C2554" s="317"/>
      <c r="G2554" s="431"/>
      <c r="H2554" s="438"/>
      <c r="I2554" s="439"/>
      <c r="J2554" s="440"/>
      <c r="K2554" s="307"/>
      <c r="L2554" s="307"/>
      <c r="M2554" s="307"/>
      <c r="N2554" s="438"/>
      <c r="O2554" s="438"/>
      <c r="P2554" s="438"/>
      <c r="AG2554" s="306"/>
      <c r="BB2554" s="306"/>
    </row>
    <row r="2555" spans="1:54" ht="15.75" customHeight="1">
      <c r="A2555" s="441"/>
      <c r="B2555" s="437"/>
      <c r="C2555" s="317"/>
      <c r="G2555" s="431"/>
      <c r="H2555" s="298"/>
      <c r="I2555" s="432"/>
      <c r="J2555" s="440"/>
      <c r="K2555" s="307"/>
      <c r="L2555" s="307"/>
      <c r="M2555" s="307"/>
      <c r="N2555" s="438"/>
      <c r="O2555" s="298"/>
      <c r="P2555" s="438"/>
      <c r="AG2555" s="306"/>
      <c r="BB2555" s="306"/>
    </row>
    <row r="2556" spans="1:54" ht="15.75" customHeight="1">
      <c r="A2556" s="441"/>
      <c r="B2556" s="437"/>
      <c r="C2556" s="317"/>
      <c r="G2556" s="431"/>
      <c r="H2556" s="298"/>
      <c r="I2556" s="432"/>
      <c r="J2556" s="440"/>
      <c r="K2556" s="307"/>
      <c r="L2556" s="307"/>
      <c r="M2556" s="307"/>
      <c r="N2556" s="438"/>
      <c r="O2556" s="298"/>
      <c r="P2556" s="438"/>
      <c r="AG2556" s="306"/>
      <c r="BB2556" s="306"/>
    </row>
    <row r="2557" spans="1:54" ht="15.75" customHeight="1">
      <c r="A2557" s="441"/>
      <c r="B2557" s="437"/>
      <c r="C2557" s="317"/>
      <c r="G2557" s="431"/>
      <c r="H2557" s="298"/>
      <c r="I2557" s="432"/>
      <c r="J2557" s="433"/>
      <c r="K2557" s="307"/>
      <c r="L2557" s="307"/>
      <c r="M2557" s="307"/>
      <c r="N2557" s="438"/>
      <c r="O2557" s="298"/>
      <c r="P2557" s="438"/>
      <c r="AG2557" s="306"/>
      <c r="BB2557" s="306"/>
    </row>
    <row r="2558" spans="1:54" ht="15.75" customHeight="1">
      <c r="A2558" s="441"/>
      <c r="B2558" s="437"/>
      <c r="C2558" s="317"/>
      <c r="G2558" s="431"/>
      <c r="H2558" s="298"/>
      <c r="I2558" s="432"/>
      <c r="J2558" s="433"/>
      <c r="K2558" s="307"/>
      <c r="L2558" s="307"/>
      <c r="M2558" s="307"/>
      <c r="N2558" s="438"/>
      <c r="O2558" s="298"/>
      <c r="P2558" s="438"/>
      <c r="AG2558" s="306"/>
      <c r="BB2558" s="306"/>
    </row>
    <row r="2559" spans="1:54" ht="15.75" customHeight="1">
      <c r="A2559" s="441"/>
      <c r="B2559" s="437"/>
      <c r="C2559" s="317"/>
      <c r="G2559" s="431"/>
      <c r="H2559" s="298"/>
      <c r="I2559" s="432"/>
      <c r="J2559" s="433"/>
      <c r="K2559" s="307"/>
      <c r="L2559" s="307"/>
      <c r="M2559" s="307"/>
      <c r="N2559" s="438"/>
      <c r="O2559" s="298"/>
      <c r="P2559" s="438"/>
      <c r="AG2559" s="306"/>
      <c r="BB2559" s="306"/>
    </row>
    <row r="2560" spans="1:54" ht="15.75" customHeight="1">
      <c r="A2560" s="441"/>
      <c r="B2560" s="437"/>
      <c r="C2560" s="317"/>
      <c r="G2560" s="431"/>
      <c r="H2560" s="298"/>
      <c r="I2560" s="432"/>
      <c r="J2560" s="440"/>
      <c r="K2560" s="307"/>
      <c r="L2560" s="307"/>
      <c r="M2560" s="307"/>
      <c r="N2560" s="438"/>
      <c r="O2560" s="298"/>
      <c r="P2560" s="438"/>
      <c r="AG2560" s="306"/>
      <c r="BB2560" s="306"/>
    </row>
    <row r="2561" spans="1:54" ht="15.75" customHeight="1">
      <c r="A2561" s="441"/>
      <c r="B2561" s="437"/>
      <c r="C2561" s="317"/>
      <c r="G2561" s="431"/>
      <c r="H2561" s="298"/>
      <c r="I2561" s="432"/>
      <c r="J2561" s="440"/>
      <c r="K2561" s="307"/>
      <c r="L2561" s="307"/>
      <c r="M2561" s="307"/>
      <c r="N2561" s="438"/>
      <c r="O2561" s="298"/>
      <c r="P2561" s="438"/>
      <c r="AG2561" s="306"/>
      <c r="BB2561" s="306"/>
    </row>
    <row r="2562" spans="1:54" ht="15.75" customHeight="1">
      <c r="A2562" s="441"/>
      <c r="B2562" s="437"/>
      <c r="C2562" s="317"/>
      <c r="G2562" s="431"/>
      <c r="H2562" s="298"/>
      <c r="I2562" s="432"/>
      <c r="J2562" s="440"/>
      <c r="K2562" s="307"/>
      <c r="L2562" s="307"/>
      <c r="M2562" s="307"/>
      <c r="N2562" s="438"/>
      <c r="O2562" s="298"/>
      <c r="P2562" s="438"/>
      <c r="AG2562" s="306"/>
      <c r="BB2562" s="306"/>
    </row>
    <row r="2563" spans="1:54" ht="15.75" customHeight="1">
      <c r="A2563" s="441"/>
      <c r="B2563" s="437"/>
      <c r="C2563" s="317"/>
      <c r="G2563" s="431"/>
      <c r="H2563" s="298"/>
      <c r="I2563" s="432"/>
      <c r="J2563" s="440"/>
      <c r="K2563" s="307"/>
      <c r="L2563" s="307"/>
      <c r="M2563" s="307"/>
      <c r="N2563" s="438"/>
      <c r="O2563" s="298"/>
      <c r="P2563" s="438"/>
      <c r="AG2563" s="306"/>
      <c r="BB2563" s="306"/>
    </row>
    <row r="2564" spans="1:54" ht="15.75" customHeight="1">
      <c r="A2564" s="441"/>
      <c r="B2564" s="437"/>
      <c r="C2564" s="317"/>
      <c r="G2564" s="431"/>
      <c r="H2564" s="298"/>
      <c r="I2564" s="432"/>
      <c r="J2564" s="440"/>
      <c r="K2564" s="307"/>
      <c r="L2564" s="307"/>
      <c r="M2564" s="307"/>
      <c r="N2564" s="438"/>
      <c r="O2564" s="298"/>
      <c r="P2564" s="438"/>
      <c r="AG2564" s="306"/>
      <c r="BB2564" s="306"/>
    </row>
    <row r="2565" spans="1:54" ht="15.75" customHeight="1">
      <c r="A2565" s="441"/>
      <c r="B2565" s="437"/>
      <c r="C2565" s="317"/>
      <c r="G2565" s="431"/>
      <c r="H2565" s="298"/>
      <c r="I2565" s="432"/>
      <c r="J2565" s="440"/>
      <c r="K2565" s="307"/>
      <c r="L2565" s="307"/>
      <c r="M2565" s="307"/>
      <c r="N2565" s="438"/>
      <c r="O2565" s="298"/>
      <c r="P2565" s="438"/>
      <c r="AG2565" s="306"/>
      <c r="BB2565" s="306"/>
    </row>
    <row r="2566" spans="1:54" ht="15.75" customHeight="1">
      <c r="A2566" s="441"/>
      <c r="B2566" s="437"/>
      <c r="C2566" s="317"/>
      <c r="G2566" s="431"/>
      <c r="H2566" s="438"/>
      <c r="I2566" s="439"/>
      <c r="J2566" s="440"/>
      <c r="K2566" s="307"/>
      <c r="L2566" s="307"/>
      <c r="M2566" s="307"/>
      <c r="N2566" s="438"/>
      <c r="O2566" s="438"/>
      <c r="P2566" s="298"/>
      <c r="AG2566" s="306"/>
      <c r="BB2566" s="306"/>
    </row>
    <row r="2567" spans="1:54" ht="15.75" customHeight="1">
      <c r="A2567" s="441"/>
      <c r="B2567" s="437"/>
      <c r="C2567" s="317"/>
      <c r="G2567" s="431"/>
      <c r="H2567" s="438"/>
      <c r="I2567" s="439"/>
      <c r="J2567" s="440"/>
      <c r="K2567" s="307"/>
      <c r="L2567" s="307"/>
      <c r="M2567" s="307"/>
      <c r="N2567" s="438"/>
      <c r="O2567" s="438"/>
      <c r="P2567" s="438"/>
      <c r="AG2567" s="306"/>
      <c r="BB2567" s="306"/>
    </row>
    <row r="2568" spans="1:54" ht="15.75" customHeight="1">
      <c r="A2568" s="441"/>
      <c r="B2568" s="437"/>
      <c r="C2568" s="317"/>
      <c r="G2568" s="431"/>
      <c r="H2568" s="438"/>
      <c r="I2568" s="439"/>
      <c r="J2568" s="440"/>
      <c r="K2568" s="307"/>
      <c r="L2568" s="307"/>
      <c r="M2568" s="307"/>
      <c r="N2568" s="438"/>
      <c r="O2568" s="438"/>
      <c r="P2568" s="298"/>
      <c r="AG2568" s="306"/>
      <c r="BB2568" s="306"/>
    </row>
    <row r="2569" spans="1:54" ht="15.75" customHeight="1">
      <c r="A2569" s="441"/>
      <c r="B2569" s="437"/>
      <c r="C2569" s="317"/>
      <c r="G2569" s="431"/>
      <c r="H2569" s="298"/>
      <c r="I2569" s="432"/>
      <c r="J2569" s="440"/>
      <c r="K2569" s="307"/>
      <c r="L2569" s="307"/>
      <c r="M2569" s="307"/>
      <c r="N2569" s="438"/>
      <c r="O2569" s="298"/>
      <c r="P2569" s="298"/>
      <c r="AG2569" s="306"/>
      <c r="BB2569" s="306"/>
    </row>
    <row r="2570" spans="1:54" ht="15.75" customHeight="1">
      <c r="A2570" s="441"/>
      <c r="B2570" s="437"/>
      <c r="C2570" s="317"/>
      <c r="G2570" s="431"/>
      <c r="H2570" s="438"/>
      <c r="I2570" s="439"/>
      <c r="J2570" s="440"/>
      <c r="K2570" s="307"/>
      <c r="L2570" s="307"/>
      <c r="M2570" s="307"/>
      <c r="N2570" s="438"/>
      <c r="O2570" s="438"/>
      <c r="P2570" s="298"/>
      <c r="AG2570" s="306"/>
      <c r="BB2570" s="306"/>
    </row>
    <row r="2571" spans="1:54" ht="15.75" customHeight="1">
      <c r="A2571" s="441"/>
      <c r="B2571" s="437"/>
      <c r="C2571" s="317"/>
      <c r="G2571" s="431"/>
      <c r="H2571" s="298"/>
      <c r="I2571" s="432"/>
      <c r="J2571" s="440"/>
      <c r="K2571" s="307"/>
      <c r="L2571" s="307"/>
      <c r="M2571" s="307"/>
      <c r="N2571" s="438"/>
      <c r="O2571" s="298"/>
      <c r="P2571" s="298"/>
      <c r="AG2571" s="306"/>
      <c r="BB2571" s="306"/>
    </row>
    <row r="2572" spans="1:54" ht="15.75" customHeight="1">
      <c r="A2572" s="441"/>
      <c r="B2572" s="437"/>
      <c r="C2572" s="317"/>
      <c r="G2572" s="431"/>
      <c r="H2572" s="298"/>
      <c r="I2572" s="432"/>
      <c r="J2572" s="440"/>
      <c r="K2572" s="307"/>
      <c r="L2572" s="307"/>
      <c r="M2572" s="307"/>
      <c r="N2572" s="438"/>
      <c r="O2572" s="298"/>
      <c r="P2572" s="298"/>
      <c r="AG2572" s="306"/>
      <c r="BB2572" s="306"/>
    </row>
    <row r="2573" spans="1:54" ht="15.75" customHeight="1">
      <c r="A2573" s="441"/>
      <c r="B2573" s="437"/>
      <c r="C2573" s="317"/>
      <c r="G2573" s="431"/>
      <c r="H2573" s="298"/>
      <c r="I2573" s="432"/>
      <c r="J2573" s="440"/>
      <c r="K2573" s="307"/>
      <c r="L2573" s="307"/>
      <c r="M2573" s="307"/>
      <c r="N2573" s="438"/>
      <c r="O2573" s="298"/>
      <c r="P2573" s="298"/>
      <c r="AG2573" s="306"/>
      <c r="BB2573" s="306"/>
    </row>
    <row r="2574" spans="1:54" ht="15.75" customHeight="1">
      <c r="A2574" s="441"/>
      <c r="B2574" s="437"/>
      <c r="C2574" s="317"/>
      <c r="G2574" s="431"/>
      <c r="H2574" s="298"/>
      <c r="I2574" s="432"/>
      <c r="J2574" s="440"/>
      <c r="K2574" s="307"/>
      <c r="L2574" s="307"/>
      <c r="M2574" s="307"/>
      <c r="N2574" s="438"/>
      <c r="O2574" s="298"/>
      <c r="P2574" s="298"/>
      <c r="AG2574" s="306"/>
      <c r="BB2574" s="306"/>
    </row>
    <row r="2575" spans="1:54" ht="15.75" customHeight="1">
      <c r="A2575" s="441"/>
      <c r="B2575" s="437"/>
      <c r="C2575" s="317"/>
      <c r="G2575" s="431"/>
      <c r="H2575" s="298"/>
      <c r="I2575" s="432"/>
      <c r="J2575" s="440"/>
      <c r="K2575" s="307"/>
      <c r="L2575" s="307"/>
      <c r="M2575" s="307"/>
      <c r="N2575" s="438"/>
      <c r="O2575" s="298"/>
      <c r="P2575" s="298"/>
      <c r="AG2575" s="306"/>
      <c r="BB2575" s="306"/>
    </row>
    <row r="2576" spans="1:54" ht="15.75" customHeight="1">
      <c r="A2576" s="441"/>
      <c r="B2576" s="437"/>
      <c r="C2576" s="317"/>
      <c r="G2576" s="431"/>
      <c r="H2576" s="298"/>
      <c r="I2576" s="432"/>
      <c r="J2576" s="440"/>
      <c r="K2576" s="307"/>
      <c r="L2576" s="307"/>
      <c r="M2576" s="307"/>
      <c r="N2576" s="438"/>
      <c r="O2576" s="298"/>
      <c r="P2576" s="298"/>
      <c r="AG2576" s="306"/>
      <c r="BB2576" s="306"/>
    </row>
    <row r="2577" spans="1:54" ht="15.75" customHeight="1">
      <c r="A2577" s="441"/>
      <c r="B2577" s="437"/>
      <c r="C2577" s="317"/>
      <c r="G2577" s="431"/>
      <c r="H2577" s="298"/>
      <c r="I2577" s="432"/>
      <c r="J2577" s="440"/>
      <c r="K2577" s="307"/>
      <c r="L2577" s="307"/>
      <c r="M2577" s="307"/>
      <c r="N2577" s="438"/>
      <c r="O2577" s="298"/>
      <c r="P2577" s="298"/>
      <c r="AG2577" s="306"/>
      <c r="BB2577" s="306"/>
    </row>
    <row r="2578" spans="1:54" ht="15.75" customHeight="1">
      <c r="A2578" s="441"/>
      <c r="B2578" s="437"/>
      <c r="C2578" s="317"/>
      <c r="G2578" s="431"/>
      <c r="H2578" s="298"/>
      <c r="I2578" s="432"/>
      <c r="J2578" s="440"/>
      <c r="K2578" s="307"/>
      <c r="L2578" s="307"/>
      <c r="M2578" s="307"/>
      <c r="N2578" s="438"/>
      <c r="O2578" s="298"/>
      <c r="P2578" s="298"/>
      <c r="AG2578" s="306"/>
      <c r="BB2578" s="306"/>
    </row>
    <row r="2579" spans="1:54" ht="15.75" customHeight="1">
      <c r="A2579" s="441"/>
      <c r="B2579" s="437"/>
      <c r="C2579" s="317"/>
      <c r="G2579" s="431"/>
      <c r="H2579" s="298"/>
      <c r="I2579" s="432"/>
      <c r="J2579" s="440"/>
      <c r="K2579" s="307"/>
      <c r="L2579" s="307"/>
      <c r="M2579" s="307"/>
      <c r="N2579" s="438"/>
      <c r="O2579" s="298"/>
      <c r="P2579" s="438"/>
      <c r="AG2579" s="306"/>
      <c r="BB2579" s="306"/>
    </row>
    <row r="2580" spans="1:54" ht="15.75" customHeight="1">
      <c r="A2580" s="441"/>
      <c r="B2580" s="437"/>
      <c r="C2580" s="317"/>
      <c r="G2580" s="431"/>
      <c r="H2580" s="438"/>
      <c r="I2580" s="439"/>
      <c r="J2580" s="440"/>
      <c r="K2580" s="307"/>
      <c r="L2580" s="307"/>
      <c r="M2580" s="307"/>
      <c r="N2580" s="438"/>
      <c r="O2580" s="438"/>
      <c r="P2580" s="438"/>
      <c r="AG2580" s="306"/>
      <c r="BB2580" s="306"/>
    </row>
    <row r="2581" spans="1:54" ht="15.75" customHeight="1">
      <c r="A2581" s="441"/>
      <c r="B2581" s="437"/>
      <c r="C2581" s="317"/>
      <c r="G2581" s="431"/>
      <c r="H2581" s="438"/>
      <c r="I2581" s="439"/>
      <c r="J2581" s="440"/>
      <c r="K2581" s="307"/>
      <c r="L2581" s="307"/>
      <c r="M2581" s="307"/>
      <c r="N2581" s="438"/>
      <c r="O2581" s="438"/>
      <c r="P2581" s="438"/>
      <c r="AG2581" s="306"/>
      <c r="BB2581" s="306"/>
    </row>
    <row r="2582" spans="1:54" ht="15.75" customHeight="1">
      <c r="A2582" s="441"/>
      <c r="B2582" s="437"/>
      <c r="C2582" s="317"/>
      <c r="G2582" s="431"/>
      <c r="H2582" s="438"/>
      <c r="I2582" s="439"/>
      <c r="J2582" s="440"/>
      <c r="K2582" s="307"/>
      <c r="L2582" s="307"/>
      <c r="M2582" s="307"/>
      <c r="N2582" s="438"/>
      <c r="O2582" s="438"/>
      <c r="P2582" s="298"/>
      <c r="AG2582" s="306"/>
      <c r="BB2582" s="306"/>
    </row>
    <row r="2583" spans="1:54" ht="15.75" customHeight="1">
      <c r="A2583" s="441"/>
      <c r="B2583" s="437"/>
      <c r="C2583" s="317"/>
      <c r="G2583" s="431"/>
      <c r="H2583" s="438"/>
      <c r="I2583" s="439"/>
      <c r="J2583" s="440"/>
      <c r="K2583" s="307"/>
      <c r="L2583" s="307"/>
      <c r="M2583" s="307"/>
      <c r="N2583" s="438"/>
      <c r="O2583" s="438"/>
      <c r="P2583" s="438"/>
      <c r="AG2583" s="306"/>
      <c r="BB2583" s="306"/>
    </row>
    <row r="2584" spans="1:54" ht="15.75" customHeight="1">
      <c r="A2584" s="441"/>
      <c r="B2584" s="437"/>
      <c r="C2584" s="317"/>
      <c r="G2584" s="431"/>
      <c r="H2584" s="438"/>
      <c r="I2584" s="439"/>
      <c r="J2584" s="440"/>
      <c r="K2584" s="307"/>
      <c r="L2584" s="307"/>
      <c r="M2584" s="307"/>
      <c r="N2584" s="438"/>
      <c r="O2584" s="438"/>
      <c r="P2584" s="298"/>
      <c r="AG2584" s="306"/>
      <c r="BB2584" s="306"/>
    </row>
    <row r="2585" spans="1:54" ht="15.75" customHeight="1">
      <c r="A2585" s="441"/>
      <c r="B2585" s="437"/>
      <c r="C2585" s="317"/>
      <c r="G2585" s="431"/>
      <c r="H2585" s="298"/>
      <c r="I2585" s="432"/>
      <c r="J2585" s="440"/>
      <c r="K2585" s="307"/>
      <c r="L2585" s="307"/>
      <c r="M2585" s="307"/>
      <c r="N2585" s="438"/>
      <c r="O2585" s="298"/>
      <c r="P2585" s="298"/>
      <c r="AG2585" s="306"/>
      <c r="BB2585" s="306"/>
    </row>
    <row r="2586" spans="1:54" ht="15.75" customHeight="1">
      <c r="A2586" s="441"/>
      <c r="B2586" s="437"/>
      <c r="C2586" s="317"/>
      <c r="G2586" s="431"/>
      <c r="H2586" s="298"/>
      <c r="I2586" s="432"/>
      <c r="J2586" s="433"/>
      <c r="K2586" s="307"/>
      <c r="L2586" s="307"/>
      <c r="M2586" s="307"/>
      <c r="N2586" s="438"/>
      <c r="O2586" s="298"/>
      <c r="P2586" s="298"/>
      <c r="AG2586" s="306"/>
      <c r="BB2586" s="306"/>
    </row>
    <row r="2587" spans="1:54" ht="15.75" customHeight="1">
      <c r="A2587" s="441"/>
      <c r="B2587" s="437"/>
      <c r="C2587" s="317"/>
      <c r="G2587" s="431"/>
      <c r="H2587" s="298"/>
      <c r="I2587" s="432"/>
      <c r="J2587" s="433"/>
      <c r="K2587" s="307"/>
      <c r="L2587" s="307"/>
      <c r="M2587" s="307"/>
      <c r="N2587" s="438"/>
      <c r="O2587" s="298"/>
      <c r="P2587" s="298"/>
      <c r="AG2587" s="306"/>
      <c r="BB2587" s="306"/>
    </row>
    <row r="2588" spans="1:54" ht="15.75" customHeight="1">
      <c r="A2588" s="441"/>
      <c r="B2588" s="437"/>
      <c r="C2588" s="317"/>
      <c r="G2588" s="431"/>
      <c r="H2588" s="298"/>
      <c r="I2588" s="432"/>
      <c r="J2588" s="433"/>
      <c r="K2588" s="307"/>
      <c r="L2588" s="307"/>
      <c r="M2588" s="307"/>
      <c r="N2588" s="438"/>
      <c r="O2588" s="298"/>
      <c r="P2588" s="298"/>
      <c r="AG2588" s="306"/>
      <c r="BB2588" s="306"/>
    </row>
    <row r="2589" spans="1:54" ht="15.75" customHeight="1">
      <c r="A2589" s="441"/>
      <c r="B2589" s="437"/>
      <c r="C2589" s="317"/>
      <c r="G2589" s="431"/>
      <c r="H2589" s="298"/>
      <c r="I2589" s="432"/>
      <c r="J2589" s="433"/>
      <c r="K2589" s="307"/>
      <c r="L2589" s="307"/>
      <c r="M2589" s="307"/>
      <c r="N2589" s="438"/>
      <c r="O2589" s="298"/>
      <c r="P2589" s="298"/>
      <c r="AG2589" s="306"/>
      <c r="BB2589" s="306"/>
    </row>
    <row r="2590" spans="1:54" ht="15.75" customHeight="1">
      <c r="A2590" s="441"/>
      <c r="B2590" s="437"/>
      <c r="C2590" s="317"/>
      <c r="G2590" s="431"/>
      <c r="H2590" s="298"/>
      <c r="I2590" s="432"/>
      <c r="J2590" s="433"/>
      <c r="K2590" s="307"/>
      <c r="L2590" s="307"/>
      <c r="M2590" s="307"/>
      <c r="N2590" s="438"/>
      <c r="O2590" s="298"/>
      <c r="P2590" s="298"/>
      <c r="AG2590" s="306"/>
      <c r="BB2590" s="306"/>
    </row>
    <row r="2591" spans="1:54" ht="15.75" customHeight="1">
      <c r="A2591" s="441"/>
      <c r="B2591" s="437"/>
      <c r="C2591" s="317"/>
      <c r="G2591" s="431"/>
      <c r="H2591" s="298"/>
      <c r="I2591" s="432"/>
      <c r="J2591" s="433"/>
      <c r="K2591" s="307"/>
      <c r="L2591" s="307"/>
      <c r="M2591" s="307"/>
      <c r="N2591" s="438"/>
      <c r="O2591" s="298"/>
      <c r="P2591" s="298"/>
      <c r="AG2591" s="306"/>
      <c r="BB2591" s="306"/>
    </row>
    <row r="2592" spans="1:54" ht="15.75" customHeight="1">
      <c r="A2592" s="441"/>
      <c r="B2592" s="437"/>
      <c r="C2592" s="317"/>
      <c r="G2592" s="431"/>
      <c r="H2592" s="298"/>
      <c r="I2592" s="432"/>
      <c r="J2592" s="440"/>
      <c r="K2592" s="307"/>
      <c r="L2592" s="307"/>
      <c r="M2592" s="307"/>
      <c r="N2592" s="438"/>
      <c r="O2592" s="298"/>
      <c r="P2592" s="298"/>
      <c r="AG2592" s="306"/>
      <c r="BB2592" s="306"/>
    </row>
    <row r="2593" spans="1:54" ht="15.75" customHeight="1">
      <c r="A2593" s="441"/>
      <c r="B2593" s="437"/>
      <c r="C2593" s="317"/>
      <c r="G2593" s="431"/>
      <c r="H2593" s="298"/>
      <c r="I2593" s="432"/>
      <c r="J2593" s="440"/>
      <c r="K2593" s="307"/>
      <c r="L2593" s="307"/>
      <c r="M2593" s="307"/>
      <c r="N2593" s="438"/>
      <c r="O2593" s="298"/>
      <c r="P2593" s="438"/>
      <c r="AG2593" s="306"/>
      <c r="BB2593" s="306"/>
    </row>
    <row r="2594" spans="1:54" ht="15.75" customHeight="1">
      <c r="A2594" s="441"/>
      <c r="B2594" s="437"/>
      <c r="C2594" s="317"/>
      <c r="G2594" s="431"/>
      <c r="H2594" s="298"/>
      <c r="I2594" s="432"/>
      <c r="J2594" s="440"/>
      <c r="K2594" s="307"/>
      <c r="L2594" s="307"/>
      <c r="M2594" s="307"/>
      <c r="N2594" s="438"/>
      <c r="O2594" s="298"/>
      <c r="P2594" s="438"/>
      <c r="AG2594" s="306"/>
      <c r="BB2594" s="306"/>
    </row>
    <row r="2595" spans="1:54" ht="15.75" customHeight="1">
      <c r="A2595" s="441"/>
      <c r="B2595" s="437"/>
      <c r="C2595" s="317"/>
      <c r="G2595" s="431"/>
      <c r="H2595" s="438"/>
      <c r="I2595" s="439"/>
      <c r="J2595" s="433"/>
      <c r="K2595" s="307"/>
      <c r="L2595" s="307"/>
      <c r="M2595" s="307"/>
      <c r="N2595" s="438"/>
      <c r="O2595" s="438"/>
      <c r="P2595" s="438"/>
      <c r="AG2595" s="306"/>
      <c r="BB2595" s="306"/>
    </row>
    <row r="2596" spans="1:54" ht="15.75" customHeight="1">
      <c r="A2596" s="441"/>
      <c r="B2596" s="442"/>
      <c r="C2596" s="317"/>
      <c r="G2596" s="431"/>
      <c r="H2596" s="438"/>
      <c r="I2596" s="439"/>
      <c r="J2596" s="433"/>
      <c r="K2596" s="307"/>
      <c r="L2596" s="307"/>
      <c r="M2596" s="307"/>
      <c r="N2596" s="438"/>
      <c r="O2596" s="438"/>
      <c r="P2596" s="438"/>
      <c r="AG2596" s="306"/>
      <c r="BB2596" s="306"/>
    </row>
    <row r="2597" spans="1:54" ht="15.75" customHeight="1">
      <c r="A2597" s="441"/>
      <c r="B2597" s="442"/>
      <c r="C2597" s="317"/>
      <c r="G2597" s="431"/>
      <c r="H2597" s="438"/>
      <c r="I2597" s="439"/>
      <c r="J2597" s="433"/>
      <c r="K2597" s="307"/>
      <c r="L2597" s="307"/>
      <c r="M2597" s="307"/>
      <c r="N2597" s="438"/>
      <c r="O2597" s="438"/>
      <c r="P2597" s="438"/>
      <c r="AG2597" s="306"/>
      <c r="BB2597" s="306"/>
    </row>
    <row r="2598" spans="1:54" ht="15.75" customHeight="1">
      <c r="A2598" s="441"/>
      <c r="B2598" s="442"/>
      <c r="C2598" s="317"/>
      <c r="G2598" s="431"/>
      <c r="H2598" s="438"/>
      <c r="I2598" s="439"/>
      <c r="J2598" s="433"/>
      <c r="K2598" s="307"/>
      <c r="L2598" s="307"/>
      <c r="M2598" s="307"/>
      <c r="N2598" s="438"/>
      <c r="O2598" s="438"/>
      <c r="P2598" s="298"/>
      <c r="AG2598" s="306"/>
      <c r="BB2598" s="306"/>
    </row>
    <row r="2599" spans="1:54" ht="15.75" customHeight="1">
      <c r="A2599" s="441"/>
      <c r="B2599" s="442"/>
      <c r="C2599" s="317"/>
      <c r="G2599" s="431"/>
      <c r="H2599" s="438"/>
      <c r="I2599" s="439"/>
      <c r="J2599" s="433"/>
      <c r="K2599" s="307"/>
      <c r="L2599" s="307"/>
      <c r="M2599" s="307"/>
      <c r="N2599" s="438"/>
      <c r="O2599" s="438"/>
      <c r="P2599" s="298"/>
      <c r="AG2599" s="306"/>
      <c r="BB2599" s="306"/>
    </row>
    <row r="2600" spans="1:54" ht="15.75" customHeight="1">
      <c r="A2600" s="441"/>
      <c r="B2600" s="442"/>
      <c r="C2600" s="317"/>
      <c r="G2600" s="431"/>
      <c r="H2600" s="438"/>
      <c r="I2600" s="439"/>
      <c r="J2600" s="433"/>
      <c r="K2600" s="307"/>
      <c r="L2600" s="307"/>
      <c r="M2600" s="307"/>
      <c r="N2600" s="438"/>
      <c r="O2600" s="438"/>
      <c r="P2600" s="298"/>
      <c r="AG2600" s="306"/>
      <c r="BB2600" s="306"/>
    </row>
    <row r="2601" spans="1:54" ht="15.75" customHeight="1">
      <c r="A2601" s="441"/>
      <c r="B2601" s="442"/>
      <c r="C2601" s="317"/>
      <c r="G2601" s="431"/>
      <c r="H2601" s="438"/>
      <c r="I2601" s="439"/>
      <c r="J2601" s="433"/>
      <c r="K2601" s="307"/>
      <c r="L2601" s="307"/>
      <c r="M2601" s="307"/>
      <c r="N2601" s="438"/>
      <c r="O2601" s="438"/>
      <c r="P2601" s="298"/>
      <c r="AG2601" s="306"/>
      <c r="BB2601" s="306"/>
    </row>
    <row r="2602" spans="1:54" ht="15.75" customHeight="1">
      <c r="A2602" s="441"/>
      <c r="B2602" s="442"/>
      <c r="C2602" s="317"/>
      <c r="G2602" s="431"/>
      <c r="H2602" s="438"/>
      <c r="I2602" s="439"/>
      <c r="J2602" s="433"/>
      <c r="K2602" s="307"/>
      <c r="L2602" s="307"/>
      <c r="M2602" s="307"/>
      <c r="N2602" s="438"/>
      <c r="O2602" s="438"/>
      <c r="P2602" s="298"/>
      <c r="AG2602" s="306"/>
      <c r="BB2602" s="306"/>
    </row>
    <row r="2603" spans="1:54" ht="15.75" customHeight="1">
      <c r="A2603" s="441"/>
      <c r="B2603" s="442"/>
      <c r="C2603" s="317"/>
      <c r="G2603" s="431"/>
      <c r="H2603" s="438"/>
      <c r="I2603" s="439"/>
      <c r="J2603" s="433"/>
      <c r="K2603" s="307"/>
      <c r="L2603" s="307"/>
      <c r="M2603" s="307"/>
      <c r="N2603" s="438"/>
      <c r="O2603" s="438"/>
      <c r="P2603" s="298"/>
      <c r="AG2603" s="306"/>
      <c r="BB2603" s="306"/>
    </row>
    <row r="2604" spans="1:54" ht="15.75" customHeight="1">
      <c r="A2604" s="441"/>
      <c r="B2604" s="442"/>
      <c r="C2604" s="317"/>
      <c r="G2604" s="431"/>
      <c r="H2604" s="438"/>
      <c r="I2604" s="439"/>
      <c r="J2604" s="433"/>
      <c r="K2604" s="307"/>
      <c r="L2604" s="307"/>
      <c r="M2604" s="307"/>
      <c r="N2604" s="438"/>
      <c r="O2604" s="438"/>
      <c r="P2604" s="298"/>
      <c r="AG2604" s="306"/>
      <c r="BB2604" s="306"/>
    </row>
    <row r="2605" spans="1:54" ht="15.75" customHeight="1">
      <c r="A2605" s="441"/>
      <c r="B2605" s="442"/>
      <c r="C2605" s="317"/>
      <c r="G2605" s="431"/>
      <c r="H2605" s="438"/>
      <c r="I2605" s="439"/>
      <c r="J2605" s="433"/>
      <c r="K2605" s="307"/>
      <c r="L2605" s="307"/>
      <c r="M2605" s="307"/>
      <c r="N2605" s="438"/>
      <c r="O2605" s="438"/>
      <c r="P2605" s="298"/>
      <c r="AG2605" s="306"/>
      <c r="BB2605" s="306"/>
    </row>
    <row r="2606" spans="1:54" ht="15.75" customHeight="1">
      <c r="A2606" s="441"/>
      <c r="B2606" s="442"/>
      <c r="C2606" s="317"/>
      <c r="G2606" s="431"/>
      <c r="H2606" s="438"/>
      <c r="I2606" s="439"/>
      <c r="J2606" s="433"/>
      <c r="K2606" s="307"/>
      <c r="L2606" s="307"/>
      <c r="M2606" s="307"/>
      <c r="N2606" s="438"/>
      <c r="O2606" s="438"/>
      <c r="P2606" s="298"/>
      <c r="AG2606" s="306"/>
      <c r="BB2606" s="306"/>
    </row>
    <row r="2607" spans="1:54" ht="15.75" customHeight="1">
      <c r="A2607" s="441"/>
      <c r="B2607" s="442"/>
      <c r="C2607" s="317"/>
      <c r="G2607" s="431"/>
      <c r="H2607" s="438"/>
      <c r="I2607" s="439"/>
      <c r="J2607" s="433"/>
      <c r="K2607" s="307"/>
      <c r="L2607" s="307"/>
      <c r="M2607" s="307"/>
      <c r="N2607" s="438"/>
      <c r="O2607" s="438"/>
      <c r="P2607" s="298"/>
      <c r="AG2607" s="306"/>
      <c r="BB2607" s="306"/>
    </row>
    <row r="2608" spans="1:54" ht="15.75" customHeight="1">
      <c r="A2608" s="441"/>
      <c r="B2608" s="442"/>
      <c r="C2608" s="317"/>
      <c r="G2608" s="431"/>
      <c r="H2608" s="438"/>
      <c r="I2608" s="439"/>
      <c r="J2608" s="433"/>
      <c r="K2608" s="307"/>
      <c r="L2608" s="307"/>
      <c r="M2608" s="307"/>
      <c r="N2608" s="438"/>
      <c r="O2608" s="438"/>
      <c r="P2608" s="438"/>
      <c r="AG2608" s="306"/>
      <c r="BB2608" s="306"/>
    </row>
    <row r="2609" spans="1:54" ht="15.75" customHeight="1">
      <c r="A2609" s="441"/>
      <c r="B2609" s="442"/>
      <c r="C2609" s="317"/>
      <c r="G2609" s="431"/>
      <c r="H2609" s="438"/>
      <c r="I2609" s="439"/>
      <c r="J2609" s="433"/>
      <c r="K2609" s="307"/>
      <c r="L2609" s="307"/>
      <c r="M2609" s="307"/>
      <c r="N2609" s="438"/>
      <c r="O2609" s="438"/>
      <c r="P2609" s="438"/>
      <c r="AG2609" s="306"/>
      <c r="BB2609" s="306"/>
    </row>
    <row r="2610" spans="1:54" ht="15.75" customHeight="1">
      <c r="A2610" s="441"/>
      <c r="B2610" s="442"/>
      <c r="C2610" s="317"/>
      <c r="G2610" s="431"/>
      <c r="H2610" s="438"/>
      <c r="I2610" s="439"/>
      <c r="J2610" s="433"/>
      <c r="K2610" s="307"/>
      <c r="L2610" s="307"/>
      <c r="M2610" s="307"/>
      <c r="N2610" s="438"/>
      <c r="O2610" s="438"/>
      <c r="P2610" s="438"/>
      <c r="AG2610" s="306"/>
      <c r="BB2610" s="336"/>
    </row>
    <row r="2611" spans="1:54" ht="15.75" customHeight="1">
      <c r="A2611" s="441"/>
      <c r="B2611" s="442"/>
      <c r="C2611" s="317"/>
      <c r="G2611" s="431"/>
      <c r="H2611" s="438"/>
      <c r="I2611" s="439"/>
      <c r="J2611" s="433"/>
      <c r="K2611" s="307"/>
      <c r="L2611" s="307"/>
      <c r="M2611" s="307"/>
      <c r="N2611" s="438"/>
      <c r="O2611" s="438"/>
      <c r="P2611" s="438"/>
      <c r="AG2611" s="306"/>
    </row>
    <row r="2612" spans="1:54" ht="15.75" customHeight="1">
      <c r="A2612" s="441"/>
      <c r="B2612" s="442"/>
      <c r="C2612" s="317"/>
      <c r="G2612" s="431"/>
      <c r="H2612" s="438"/>
      <c r="I2612" s="439"/>
      <c r="J2612" s="433"/>
      <c r="K2612" s="307"/>
      <c r="L2612" s="307"/>
      <c r="M2612" s="307"/>
      <c r="N2612" s="438"/>
      <c r="O2612" s="438"/>
      <c r="P2612" s="438"/>
      <c r="AG2612" s="306"/>
    </row>
    <row r="2613" spans="1:54" ht="15.75" customHeight="1">
      <c r="A2613" s="441"/>
      <c r="B2613" s="442"/>
      <c r="C2613" s="317"/>
      <c r="G2613" s="431"/>
      <c r="H2613" s="438"/>
      <c r="I2613" s="439"/>
      <c r="J2613" s="433"/>
      <c r="K2613" s="307"/>
      <c r="L2613" s="307"/>
      <c r="M2613" s="307"/>
      <c r="N2613" s="438"/>
      <c r="O2613" s="438"/>
      <c r="P2613" s="438"/>
      <c r="AG2613" s="306"/>
    </row>
    <row r="2614" spans="1:54" ht="15.75" customHeight="1">
      <c r="A2614" s="441"/>
      <c r="B2614" s="442"/>
      <c r="C2614" s="317"/>
      <c r="G2614" s="431"/>
      <c r="H2614" s="438"/>
      <c r="I2614" s="439"/>
      <c r="J2614" s="433"/>
      <c r="K2614" s="307"/>
      <c r="L2614" s="307"/>
      <c r="M2614" s="307"/>
      <c r="N2614" s="438"/>
      <c r="O2614" s="438"/>
      <c r="P2614" s="438"/>
      <c r="AG2614" s="306"/>
    </row>
    <row r="2615" spans="1:54" ht="15.75" customHeight="1">
      <c r="A2615" s="441"/>
      <c r="B2615" s="442"/>
      <c r="C2615" s="317"/>
      <c r="G2615" s="431"/>
      <c r="H2615" s="438"/>
      <c r="I2615" s="439"/>
      <c r="J2615" s="433"/>
      <c r="K2615" s="307"/>
      <c r="L2615" s="307"/>
      <c r="M2615" s="307"/>
      <c r="N2615" s="438"/>
      <c r="O2615" s="438"/>
      <c r="P2615" s="438"/>
      <c r="AG2615" s="306"/>
    </row>
    <row r="2616" spans="1:54" ht="15.75" customHeight="1">
      <c r="A2616" s="441"/>
      <c r="B2616" s="442"/>
      <c r="C2616" s="317"/>
      <c r="G2616" s="431"/>
      <c r="H2616" s="438"/>
      <c r="I2616" s="439"/>
      <c r="J2616" s="433"/>
      <c r="K2616" s="307"/>
      <c r="L2616" s="307"/>
      <c r="M2616" s="307"/>
      <c r="N2616" s="438"/>
      <c r="O2616" s="438"/>
      <c r="P2616" s="438"/>
      <c r="AG2616" s="306"/>
    </row>
    <row r="2617" spans="1:54" ht="15.75" customHeight="1">
      <c r="A2617" s="441"/>
      <c r="B2617" s="442"/>
      <c r="C2617" s="317"/>
      <c r="G2617" s="431"/>
      <c r="H2617" s="438"/>
      <c r="I2617" s="439"/>
      <c r="J2617" s="433"/>
      <c r="K2617" s="307"/>
      <c r="L2617" s="307"/>
      <c r="M2617" s="307"/>
      <c r="N2617" s="438"/>
      <c r="O2617" s="438"/>
      <c r="P2617" s="438"/>
      <c r="AG2617" s="306"/>
    </row>
    <row r="2618" spans="1:54" ht="15.75" customHeight="1">
      <c r="A2618" s="441"/>
      <c r="B2618" s="442"/>
      <c r="C2618" s="317"/>
      <c r="G2618" s="431"/>
      <c r="H2618" s="438"/>
      <c r="I2618" s="439"/>
      <c r="J2618" s="433"/>
      <c r="K2618" s="307"/>
      <c r="L2618" s="307"/>
      <c r="M2618" s="307"/>
      <c r="N2618" s="438"/>
      <c r="O2618" s="438"/>
      <c r="P2618" s="438"/>
      <c r="AG2618" s="306"/>
    </row>
    <row r="2619" spans="1:54" ht="15.75" customHeight="1">
      <c r="A2619" s="441"/>
      <c r="B2619" s="442"/>
      <c r="C2619" s="317"/>
      <c r="G2619" s="431"/>
      <c r="H2619" s="438"/>
      <c r="I2619" s="439"/>
      <c r="J2619" s="433"/>
      <c r="K2619" s="307"/>
      <c r="L2619" s="307"/>
      <c r="M2619" s="307"/>
      <c r="N2619" s="438"/>
      <c r="O2619" s="438"/>
      <c r="P2619" s="438"/>
      <c r="AG2619" s="306"/>
    </row>
    <row r="2620" spans="1:54" ht="15.75" customHeight="1">
      <c r="A2620" s="441"/>
      <c r="B2620" s="442"/>
      <c r="C2620" s="317"/>
      <c r="G2620" s="431"/>
      <c r="H2620" s="438"/>
      <c r="I2620" s="439"/>
      <c r="J2620" s="433"/>
      <c r="K2620" s="307"/>
      <c r="L2620" s="307"/>
      <c r="M2620" s="307"/>
      <c r="N2620" s="438"/>
      <c r="O2620" s="438"/>
      <c r="P2620" s="438"/>
      <c r="AG2620" s="306"/>
    </row>
    <row r="2621" spans="1:54" ht="15.75" customHeight="1">
      <c r="A2621" s="441"/>
      <c r="B2621" s="442"/>
      <c r="C2621" s="317"/>
      <c r="G2621" s="431"/>
      <c r="H2621" s="438"/>
      <c r="I2621" s="439"/>
      <c r="J2621" s="433"/>
      <c r="K2621" s="307"/>
      <c r="L2621" s="307"/>
      <c r="M2621" s="307"/>
      <c r="N2621" s="438"/>
      <c r="O2621" s="438"/>
      <c r="P2621" s="438"/>
      <c r="AG2621" s="306"/>
    </row>
    <row r="2622" spans="1:54" ht="15.75" customHeight="1">
      <c r="A2622" s="441"/>
      <c r="B2622" s="442"/>
      <c r="C2622" s="317"/>
      <c r="G2622" s="431"/>
      <c r="H2622" s="438"/>
      <c r="I2622" s="439"/>
      <c r="J2622" s="433"/>
      <c r="K2622" s="307"/>
      <c r="L2622" s="307"/>
      <c r="M2622" s="307"/>
      <c r="N2622" s="438"/>
      <c r="O2622" s="438"/>
      <c r="P2622" s="438"/>
      <c r="AG2622" s="306"/>
    </row>
    <row r="2623" spans="1:54" ht="15.75" customHeight="1">
      <c r="A2623" s="441"/>
      <c r="B2623" s="442"/>
      <c r="C2623" s="317"/>
      <c r="G2623" s="431"/>
      <c r="H2623" s="438"/>
      <c r="I2623" s="439"/>
      <c r="J2623" s="433"/>
      <c r="K2623" s="307"/>
      <c r="L2623" s="307"/>
      <c r="M2623" s="307"/>
      <c r="N2623" s="438"/>
      <c r="O2623" s="438"/>
      <c r="P2623" s="438"/>
      <c r="AG2623" s="306"/>
    </row>
    <row r="2624" spans="1:54" ht="15.75" customHeight="1">
      <c r="A2624" s="441"/>
      <c r="B2624" s="442"/>
      <c r="C2624" s="317"/>
      <c r="G2624" s="431"/>
      <c r="H2624" s="438"/>
      <c r="I2624" s="439"/>
      <c r="J2624" s="433"/>
      <c r="K2624" s="307"/>
      <c r="L2624" s="307"/>
      <c r="M2624" s="307"/>
      <c r="N2624" s="438"/>
      <c r="O2624" s="438"/>
      <c r="P2624" s="438"/>
      <c r="AG2624" s="306"/>
    </row>
    <row r="2625" spans="1:33" ht="15.75" customHeight="1">
      <c r="A2625" s="441"/>
      <c r="B2625" s="442"/>
      <c r="C2625" s="317"/>
      <c r="G2625" s="431"/>
      <c r="H2625" s="438"/>
      <c r="I2625" s="439"/>
      <c r="J2625" s="433"/>
      <c r="K2625" s="307"/>
      <c r="L2625" s="307"/>
      <c r="M2625" s="307"/>
      <c r="N2625" s="438"/>
      <c r="O2625" s="438"/>
      <c r="P2625" s="438"/>
      <c r="AG2625" s="306"/>
    </row>
    <row r="2626" spans="1:33" ht="15.75" customHeight="1">
      <c r="A2626" s="441"/>
      <c r="B2626" s="442"/>
      <c r="C2626" s="317"/>
      <c r="G2626" s="431"/>
      <c r="H2626" s="438"/>
      <c r="I2626" s="439"/>
      <c r="J2626" s="433"/>
      <c r="K2626" s="307"/>
      <c r="L2626" s="307"/>
      <c r="M2626" s="307"/>
      <c r="N2626" s="438"/>
      <c r="O2626" s="438"/>
      <c r="P2626" s="438"/>
      <c r="AG2626" s="306"/>
    </row>
    <row r="2627" spans="1:33" ht="15.75" customHeight="1">
      <c r="A2627" s="441"/>
      <c r="B2627" s="442"/>
      <c r="C2627" s="317"/>
      <c r="G2627" s="431"/>
      <c r="H2627" s="438"/>
      <c r="I2627" s="439"/>
      <c r="J2627" s="433"/>
      <c r="K2627" s="307"/>
      <c r="L2627" s="307"/>
      <c r="M2627" s="307"/>
      <c r="N2627" s="438"/>
      <c r="O2627" s="438"/>
      <c r="P2627" s="438"/>
      <c r="AG2627" s="306"/>
    </row>
    <row r="2628" spans="1:33" ht="15.75" customHeight="1">
      <c r="A2628" s="441"/>
      <c r="B2628" s="442"/>
      <c r="C2628" s="317"/>
      <c r="G2628" s="431"/>
      <c r="H2628" s="438"/>
      <c r="I2628" s="439"/>
      <c r="J2628" s="433"/>
      <c r="K2628" s="307"/>
      <c r="L2628" s="307"/>
      <c r="M2628" s="307"/>
      <c r="N2628" s="438"/>
      <c r="O2628" s="438"/>
      <c r="P2628" s="438"/>
      <c r="AG2628" s="306"/>
    </row>
    <row r="2629" spans="1:33" ht="15.75" customHeight="1">
      <c r="A2629" s="441"/>
      <c r="B2629" s="442"/>
      <c r="C2629" s="317"/>
      <c r="G2629" s="431"/>
      <c r="H2629" s="438"/>
      <c r="I2629" s="439"/>
      <c r="J2629" s="433"/>
      <c r="K2629" s="307"/>
      <c r="L2629" s="307"/>
      <c r="M2629" s="307"/>
      <c r="N2629" s="438"/>
      <c r="O2629" s="438"/>
      <c r="P2629" s="438"/>
      <c r="AG2629" s="306"/>
    </row>
    <row r="2630" spans="1:33" ht="15.75" customHeight="1">
      <c r="A2630" s="441"/>
      <c r="B2630" s="442"/>
      <c r="C2630" s="317"/>
      <c r="G2630" s="431"/>
      <c r="H2630" s="438"/>
      <c r="I2630" s="439"/>
      <c r="J2630" s="433"/>
      <c r="K2630" s="307"/>
      <c r="L2630" s="307"/>
      <c r="M2630" s="307"/>
      <c r="N2630" s="438"/>
      <c r="O2630" s="438"/>
      <c r="P2630" s="438"/>
      <c r="AG2630" s="306"/>
    </row>
    <row r="2631" spans="1:33" ht="15.75" customHeight="1">
      <c r="A2631" s="441"/>
      <c r="B2631" s="442"/>
      <c r="C2631" s="317"/>
      <c r="G2631" s="431"/>
      <c r="H2631" s="438"/>
      <c r="I2631" s="439"/>
      <c r="J2631" s="433"/>
      <c r="K2631" s="307"/>
      <c r="L2631" s="307"/>
      <c r="M2631" s="307"/>
      <c r="N2631" s="438"/>
      <c r="O2631" s="438"/>
      <c r="P2631" s="438"/>
      <c r="AG2631" s="306"/>
    </row>
    <row r="2632" spans="1:33" ht="15.75" customHeight="1">
      <c r="A2632" s="441"/>
      <c r="B2632" s="442"/>
      <c r="C2632" s="317"/>
      <c r="G2632" s="431"/>
      <c r="H2632" s="438"/>
      <c r="I2632" s="439"/>
      <c r="J2632" s="433"/>
      <c r="K2632" s="307"/>
      <c r="L2632" s="307"/>
      <c r="M2632" s="307"/>
      <c r="N2632" s="438"/>
      <c r="O2632" s="438"/>
      <c r="P2632" s="438"/>
      <c r="AG2632" s="306"/>
    </row>
    <row r="2633" spans="1:33" ht="15.75" customHeight="1">
      <c r="A2633" s="441"/>
      <c r="B2633" s="442"/>
      <c r="C2633" s="317"/>
      <c r="G2633" s="431"/>
      <c r="H2633" s="438"/>
      <c r="I2633" s="439"/>
      <c r="J2633" s="433"/>
      <c r="K2633" s="307"/>
      <c r="L2633" s="307"/>
      <c r="M2633" s="307"/>
      <c r="N2633" s="438"/>
      <c r="O2633" s="438"/>
      <c r="P2633" s="438"/>
      <c r="AG2633" s="306"/>
    </row>
    <row r="2634" spans="1:33" ht="15.75" customHeight="1">
      <c r="A2634" s="441"/>
      <c r="B2634" s="442"/>
      <c r="C2634" s="317"/>
      <c r="G2634" s="431"/>
      <c r="H2634" s="438"/>
      <c r="I2634" s="439"/>
      <c r="J2634" s="433"/>
      <c r="K2634" s="307"/>
      <c r="L2634" s="307"/>
      <c r="M2634" s="307"/>
      <c r="N2634" s="438"/>
      <c r="O2634" s="438"/>
      <c r="P2634" s="438"/>
      <c r="AG2634" s="306"/>
    </row>
    <row r="2635" spans="1:33" ht="15.75" customHeight="1">
      <c r="A2635" s="441"/>
      <c r="B2635" s="442"/>
      <c r="C2635" s="317"/>
      <c r="G2635" s="431"/>
      <c r="H2635" s="438"/>
      <c r="I2635" s="439"/>
      <c r="J2635" s="433"/>
      <c r="K2635" s="307"/>
      <c r="L2635" s="307"/>
      <c r="M2635" s="307"/>
      <c r="N2635" s="438"/>
      <c r="O2635" s="438"/>
      <c r="P2635" s="438"/>
      <c r="AG2635" s="306"/>
    </row>
    <row r="2636" spans="1:33" ht="15.75" customHeight="1">
      <c r="A2636" s="441"/>
      <c r="B2636" s="442"/>
      <c r="C2636" s="317"/>
      <c r="G2636" s="431"/>
      <c r="H2636" s="438"/>
      <c r="I2636" s="439"/>
      <c r="J2636" s="433"/>
      <c r="K2636" s="307"/>
      <c r="L2636" s="307"/>
      <c r="M2636" s="307"/>
      <c r="N2636" s="438"/>
      <c r="O2636" s="438"/>
      <c r="P2636" s="438"/>
      <c r="AG2636" s="306"/>
    </row>
    <row r="2637" spans="1:33" ht="15.75" customHeight="1">
      <c r="A2637" s="441"/>
      <c r="B2637" s="442"/>
      <c r="C2637" s="317"/>
      <c r="G2637" s="431"/>
      <c r="H2637" s="438"/>
      <c r="I2637" s="439"/>
      <c r="J2637" s="433"/>
      <c r="K2637" s="307"/>
      <c r="L2637" s="307"/>
      <c r="M2637" s="307"/>
      <c r="N2637" s="438"/>
      <c r="O2637" s="438"/>
      <c r="P2637" s="438"/>
      <c r="AG2637" s="306"/>
    </row>
    <row r="2638" spans="1:33" ht="15.75" customHeight="1">
      <c r="A2638" s="441"/>
      <c r="B2638" s="442"/>
      <c r="C2638" s="317"/>
      <c r="G2638" s="431"/>
      <c r="H2638" s="438"/>
      <c r="I2638" s="439"/>
      <c r="J2638" s="433"/>
      <c r="K2638" s="307"/>
      <c r="L2638" s="307"/>
      <c r="M2638" s="307"/>
      <c r="N2638" s="438"/>
      <c r="O2638" s="438"/>
      <c r="P2638" s="438"/>
      <c r="AG2638" s="306"/>
    </row>
    <row r="2639" spans="1:33" ht="15.75" customHeight="1">
      <c r="A2639" s="441"/>
      <c r="B2639" s="442"/>
      <c r="C2639" s="317"/>
      <c r="G2639" s="431"/>
      <c r="H2639" s="438"/>
      <c r="I2639" s="439"/>
      <c r="J2639" s="433"/>
      <c r="K2639" s="307"/>
      <c r="L2639" s="307"/>
      <c r="M2639" s="307"/>
      <c r="N2639" s="438"/>
      <c r="O2639" s="438"/>
      <c r="P2639" s="438"/>
      <c r="AG2639" s="306"/>
    </row>
    <row r="2640" spans="1:33" ht="15.75" customHeight="1">
      <c r="A2640" s="441"/>
      <c r="B2640" s="442"/>
      <c r="C2640" s="317"/>
      <c r="G2640" s="431"/>
      <c r="H2640" s="438"/>
      <c r="I2640" s="439"/>
      <c r="J2640" s="433"/>
      <c r="K2640" s="307"/>
      <c r="L2640" s="307"/>
      <c r="M2640" s="307"/>
      <c r="N2640" s="438"/>
      <c r="O2640" s="438"/>
      <c r="P2640" s="438"/>
      <c r="AG2640" s="306"/>
    </row>
    <row r="2641" spans="1:33" ht="15.75" customHeight="1">
      <c r="A2641" s="441"/>
      <c r="B2641" s="442"/>
      <c r="C2641" s="317"/>
      <c r="G2641" s="431"/>
      <c r="H2641" s="438"/>
      <c r="I2641" s="439"/>
      <c r="J2641" s="433"/>
      <c r="K2641" s="307"/>
      <c r="L2641" s="307"/>
      <c r="M2641" s="307"/>
      <c r="N2641" s="438"/>
      <c r="O2641" s="438"/>
      <c r="P2641" s="438"/>
      <c r="AG2641" s="306"/>
    </row>
    <row r="2642" spans="1:33" ht="15.75" customHeight="1">
      <c r="A2642" s="441"/>
      <c r="B2642" s="442"/>
      <c r="C2642" s="317"/>
      <c r="G2642" s="431"/>
      <c r="H2642" s="438"/>
      <c r="I2642" s="439"/>
      <c r="J2642" s="433"/>
      <c r="K2642" s="307"/>
      <c r="L2642" s="307"/>
      <c r="M2642" s="307"/>
      <c r="N2642" s="438"/>
      <c r="O2642" s="438"/>
      <c r="P2642" s="438"/>
      <c r="AG2642" s="306"/>
    </row>
    <row r="2643" spans="1:33" ht="15.75" customHeight="1">
      <c r="A2643" s="441"/>
      <c r="B2643" s="442"/>
      <c r="C2643" s="317"/>
      <c r="G2643" s="431"/>
      <c r="H2643" s="438"/>
      <c r="I2643" s="439"/>
      <c r="J2643" s="433"/>
      <c r="K2643" s="307"/>
      <c r="L2643" s="307"/>
      <c r="M2643" s="307"/>
      <c r="N2643" s="438"/>
      <c r="O2643" s="438"/>
      <c r="P2643" s="438"/>
      <c r="AG2643" s="306"/>
    </row>
    <row r="2644" spans="1:33" ht="15.75" customHeight="1">
      <c r="A2644" s="441"/>
      <c r="B2644" s="442"/>
      <c r="C2644" s="317"/>
      <c r="G2644" s="431"/>
      <c r="H2644" s="438"/>
      <c r="I2644" s="439"/>
      <c r="J2644" s="433"/>
      <c r="K2644" s="307"/>
      <c r="L2644" s="307"/>
      <c r="M2644" s="307"/>
      <c r="N2644" s="438"/>
      <c r="O2644" s="438"/>
      <c r="P2644" s="438"/>
      <c r="AG2644" s="306"/>
    </row>
    <row r="2645" spans="1:33" ht="15.75" customHeight="1">
      <c r="A2645" s="441"/>
      <c r="B2645" s="442"/>
      <c r="C2645" s="317"/>
      <c r="G2645" s="431"/>
      <c r="H2645" s="438"/>
      <c r="I2645" s="439"/>
      <c r="J2645" s="433"/>
      <c r="K2645" s="307"/>
      <c r="L2645" s="307"/>
      <c r="M2645" s="307"/>
      <c r="N2645" s="438"/>
      <c r="O2645" s="438"/>
      <c r="P2645" s="438"/>
      <c r="AG2645" s="306"/>
    </row>
    <row r="2646" spans="1:33" ht="15.75" customHeight="1">
      <c r="A2646" s="441"/>
      <c r="B2646" s="442"/>
      <c r="C2646" s="317"/>
      <c r="G2646" s="431"/>
      <c r="H2646" s="438"/>
      <c r="I2646" s="439"/>
      <c r="J2646" s="433"/>
      <c r="K2646" s="307"/>
      <c r="L2646" s="307"/>
      <c r="M2646" s="307"/>
      <c r="N2646" s="438"/>
      <c r="O2646" s="438"/>
      <c r="P2646" s="438"/>
      <c r="AG2646" s="306"/>
    </row>
    <row r="2647" spans="1:33" ht="15.75" customHeight="1">
      <c r="A2647" s="441"/>
      <c r="B2647" s="442"/>
      <c r="C2647" s="317"/>
      <c r="G2647" s="431"/>
      <c r="H2647" s="438"/>
      <c r="I2647" s="439"/>
      <c r="J2647" s="433"/>
      <c r="K2647" s="307"/>
      <c r="L2647" s="307"/>
      <c r="M2647" s="307"/>
      <c r="N2647" s="438"/>
      <c r="O2647" s="438"/>
      <c r="P2647" s="438"/>
      <c r="AG2647" s="306"/>
    </row>
    <row r="2648" spans="1:33" ht="15.75" customHeight="1">
      <c r="A2648" s="441"/>
      <c r="B2648" s="442"/>
      <c r="C2648" s="317"/>
      <c r="G2648" s="431"/>
      <c r="H2648" s="438"/>
      <c r="I2648" s="439"/>
      <c r="J2648" s="433"/>
      <c r="K2648" s="307"/>
      <c r="L2648" s="307"/>
      <c r="M2648" s="307"/>
      <c r="N2648" s="438"/>
      <c r="O2648" s="438"/>
      <c r="P2648" s="438"/>
      <c r="AG2648" s="306"/>
    </row>
    <row r="2649" spans="1:33" ht="15.75" customHeight="1">
      <c r="A2649" s="441"/>
      <c r="B2649" s="442"/>
      <c r="C2649" s="317"/>
      <c r="G2649" s="431"/>
      <c r="H2649" s="438"/>
      <c r="I2649" s="439"/>
      <c r="J2649" s="433"/>
      <c r="K2649" s="307"/>
      <c r="L2649" s="307"/>
      <c r="M2649" s="307"/>
      <c r="N2649" s="438"/>
      <c r="O2649" s="438"/>
      <c r="P2649" s="438"/>
      <c r="AG2649" s="306"/>
    </row>
    <row r="2650" spans="1:33" ht="15.75" customHeight="1">
      <c r="A2650" s="441"/>
      <c r="B2650" s="442"/>
      <c r="C2650" s="317"/>
      <c r="G2650" s="431"/>
      <c r="H2650" s="438"/>
      <c r="I2650" s="439"/>
      <c r="J2650" s="433"/>
      <c r="K2650" s="307"/>
      <c r="L2650" s="307"/>
      <c r="M2650" s="307"/>
      <c r="N2650" s="438"/>
      <c r="O2650" s="438"/>
      <c r="P2650" s="438"/>
      <c r="AG2650" s="306"/>
    </row>
    <row r="2651" spans="1:33" ht="15.75" customHeight="1">
      <c r="A2651" s="441"/>
      <c r="B2651" s="442"/>
      <c r="C2651" s="317"/>
      <c r="G2651" s="431"/>
      <c r="H2651" s="438"/>
      <c r="I2651" s="439"/>
      <c r="J2651" s="433"/>
      <c r="K2651" s="307"/>
      <c r="L2651" s="307"/>
      <c r="M2651" s="307"/>
      <c r="N2651" s="438"/>
      <c r="O2651" s="438"/>
      <c r="P2651" s="438"/>
      <c r="AG2651" s="306"/>
    </row>
    <row r="2652" spans="1:33" ht="15.75" customHeight="1">
      <c r="A2652" s="441"/>
      <c r="B2652" s="442"/>
      <c r="C2652" s="317"/>
      <c r="G2652" s="431"/>
      <c r="H2652" s="438"/>
      <c r="I2652" s="439"/>
      <c r="J2652" s="433"/>
      <c r="K2652" s="307"/>
      <c r="L2652" s="307"/>
      <c r="M2652" s="307"/>
      <c r="N2652" s="438"/>
      <c r="O2652" s="438"/>
      <c r="P2652" s="438"/>
      <c r="AG2652" s="306"/>
    </row>
    <row r="2653" spans="1:33" ht="15.75" customHeight="1">
      <c r="A2653" s="441"/>
      <c r="B2653" s="442"/>
      <c r="C2653" s="317"/>
      <c r="G2653" s="431"/>
      <c r="H2653" s="438"/>
      <c r="I2653" s="439"/>
      <c r="J2653" s="433"/>
      <c r="K2653" s="307"/>
      <c r="L2653" s="307"/>
      <c r="M2653" s="307"/>
      <c r="N2653" s="438"/>
      <c r="O2653" s="438"/>
      <c r="P2653" s="438"/>
      <c r="AG2653" s="306"/>
    </row>
    <row r="2654" spans="1:33" ht="15.75" customHeight="1">
      <c r="A2654" s="441"/>
      <c r="B2654" s="442"/>
      <c r="C2654" s="317"/>
      <c r="G2654" s="431"/>
      <c r="H2654" s="438"/>
      <c r="I2654" s="439"/>
      <c r="J2654" s="433"/>
      <c r="K2654" s="307"/>
      <c r="L2654" s="307"/>
      <c r="M2654" s="307"/>
      <c r="N2654" s="438"/>
      <c r="O2654" s="438"/>
      <c r="P2654" s="438"/>
      <c r="AG2654" s="306"/>
    </row>
    <row r="2655" spans="1:33" ht="15.75" customHeight="1">
      <c r="A2655" s="441"/>
      <c r="B2655" s="442"/>
      <c r="C2655" s="317"/>
      <c r="G2655" s="431"/>
      <c r="H2655" s="438"/>
      <c r="I2655" s="439"/>
      <c r="J2655" s="433"/>
      <c r="K2655" s="307"/>
      <c r="L2655" s="307"/>
      <c r="M2655" s="307"/>
      <c r="N2655" s="438"/>
      <c r="O2655" s="438"/>
      <c r="P2655" s="438"/>
      <c r="AG2655" s="306"/>
    </row>
    <row r="2656" spans="1:33" ht="15.75" customHeight="1">
      <c r="A2656" s="441"/>
      <c r="B2656" s="442"/>
      <c r="C2656" s="317"/>
      <c r="G2656" s="431"/>
      <c r="H2656" s="438"/>
      <c r="I2656" s="439"/>
      <c r="J2656" s="433"/>
      <c r="K2656" s="307"/>
      <c r="L2656" s="307"/>
      <c r="M2656" s="307"/>
      <c r="N2656" s="438"/>
      <c r="O2656" s="438"/>
      <c r="P2656" s="438"/>
      <c r="AG2656" s="306"/>
    </row>
    <row r="2657" spans="1:33" ht="15.75" customHeight="1">
      <c r="A2657" s="441"/>
      <c r="B2657" s="442"/>
      <c r="C2657" s="317"/>
      <c r="G2657" s="431"/>
      <c r="H2657" s="438"/>
      <c r="I2657" s="439"/>
      <c r="J2657" s="433"/>
      <c r="K2657" s="307"/>
      <c r="L2657" s="307"/>
      <c r="M2657" s="307"/>
      <c r="N2657" s="438"/>
      <c r="O2657" s="438"/>
      <c r="P2657" s="438"/>
      <c r="AG2657" s="306"/>
    </row>
    <row r="2658" spans="1:33" ht="15.75" customHeight="1">
      <c r="A2658" s="441"/>
      <c r="B2658" s="442"/>
      <c r="C2658" s="317"/>
      <c r="G2658" s="431"/>
      <c r="H2658" s="438"/>
      <c r="I2658" s="439"/>
      <c r="J2658" s="433"/>
      <c r="K2658" s="307"/>
      <c r="L2658" s="307"/>
      <c r="M2658" s="307"/>
      <c r="N2658" s="438"/>
      <c r="O2658" s="438"/>
      <c r="P2658" s="438"/>
      <c r="AG2658" s="306"/>
    </row>
    <row r="2659" spans="1:33" ht="15.75" customHeight="1">
      <c r="A2659" s="441"/>
      <c r="B2659" s="442"/>
      <c r="C2659" s="317"/>
      <c r="G2659" s="431"/>
      <c r="H2659" s="438"/>
      <c r="I2659" s="439"/>
      <c r="J2659" s="433"/>
      <c r="K2659" s="307"/>
      <c r="L2659" s="307"/>
      <c r="M2659" s="307"/>
      <c r="N2659" s="438"/>
      <c r="O2659" s="438"/>
      <c r="P2659" s="438"/>
      <c r="AG2659" s="306"/>
    </row>
    <row r="2660" spans="1:33" ht="15.75" customHeight="1">
      <c r="A2660" s="441"/>
      <c r="B2660" s="442"/>
      <c r="C2660" s="317"/>
      <c r="G2660" s="431"/>
      <c r="H2660" s="438"/>
      <c r="I2660" s="439"/>
      <c r="J2660" s="433"/>
      <c r="K2660" s="307"/>
      <c r="L2660" s="307"/>
      <c r="M2660" s="307"/>
      <c r="N2660" s="438"/>
      <c r="O2660" s="438"/>
      <c r="P2660" s="438"/>
      <c r="AG2660" s="306"/>
    </row>
    <row r="2661" spans="1:33" ht="15.75" customHeight="1">
      <c r="A2661" s="441"/>
      <c r="B2661" s="442"/>
      <c r="C2661" s="317"/>
      <c r="G2661" s="431"/>
      <c r="H2661" s="438"/>
      <c r="I2661" s="439"/>
      <c r="J2661" s="433"/>
      <c r="K2661" s="307"/>
      <c r="L2661" s="307"/>
      <c r="M2661" s="307"/>
      <c r="N2661" s="438"/>
      <c r="O2661" s="438"/>
      <c r="P2661" s="438"/>
      <c r="AG2661" s="306"/>
    </row>
    <row r="2662" spans="1:33" ht="15.75" customHeight="1">
      <c r="A2662" s="441"/>
      <c r="B2662" s="442"/>
      <c r="C2662" s="317"/>
      <c r="G2662" s="431"/>
      <c r="H2662" s="438"/>
      <c r="I2662" s="439"/>
      <c r="J2662" s="433"/>
      <c r="K2662" s="307"/>
      <c r="L2662" s="307"/>
      <c r="M2662" s="307"/>
      <c r="N2662" s="438"/>
      <c r="O2662" s="438"/>
      <c r="P2662" s="438"/>
      <c r="AG2662" s="306"/>
    </row>
    <row r="2663" spans="1:33" ht="15.75" customHeight="1">
      <c r="A2663" s="441"/>
      <c r="B2663" s="442"/>
      <c r="C2663" s="317"/>
      <c r="G2663" s="431"/>
      <c r="H2663" s="438"/>
      <c r="I2663" s="439"/>
      <c r="J2663" s="433"/>
      <c r="K2663" s="307"/>
      <c r="L2663" s="307"/>
      <c r="M2663" s="307"/>
      <c r="N2663" s="438"/>
      <c r="O2663" s="438"/>
      <c r="P2663" s="438"/>
      <c r="AG2663" s="306"/>
    </row>
    <row r="2664" spans="1:33" ht="15.75" customHeight="1">
      <c r="A2664" s="441"/>
      <c r="B2664" s="442"/>
      <c r="C2664" s="317"/>
      <c r="G2664" s="431"/>
      <c r="H2664" s="438"/>
      <c r="I2664" s="439"/>
      <c r="J2664" s="433"/>
      <c r="K2664" s="307"/>
      <c r="L2664" s="307"/>
      <c r="M2664" s="307"/>
      <c r="N2664" s="438"/>
      <c r="O2664" s="438"/>
      <c r="P2664" s="438"/>
      <c r="AG2664" s="306"/>
    </row>
    <row r="2665" spans="1:33" ht="15.75" customHeight="1">
      <c r="A2665" s="441"/>
      <c r="B2665" s="442"/>
      <c r="C2665" s="317"/>
      <c r="G2665" s="443"/>
      <c r="H2665" s="438"/>
      <c r="I2665" s="439"/>
      <c r="J2665" s="433"/>
      <c r="K2665" s="307"/>
      <c r="L2665" s="307"/>
      <c r="M2665" s="307"/>
      <c r="N2665" s="438"/>
      <c r="O2665" s="438"/>
      <c r="P2665" s="438"/>
      <c r="AG2665" s="306"/>
    </row>
    <row r="2666" spans="1:33" ht="15.75" customHeight="1">
      <c r="A2666" s="441"/>
      <c r="B2666" s="442"/>
      <c r="C2666" s="317"/>
      <c r="G2666" s="290"/>
      <c r="H2666" s="438"/>
      <c r="I2666" s="439"/>
      <c r="J2666" s="433"/>
      <c r="K2666" s="307"/>
      <c r="L2666" s="307"/>
      <c r="M2666" s="307"/>
      <c r="N2666" s="438"/>
      <c r="O2666" s="438"/>
      <c r="P2666" s="438"/>
      <c r="AG2666" s="306"/>
    </row>
    <row r="2667" spans="1:33" ht="15.75" customHeight="1">
      <c r="A2667" s="441"/>
      <c r="B2667" s="442"/>
      <c r="C2667" s="317"/>
      <c r="G2667" s="290"/>
      <c r="H2667" s="438"/>
      <c r="I2667" s="439"/>
      <c r="J2667" s="433"/>
      <c r="K2667" s="307"/>
      <c r="L2667" s="307"/>
      <c r="M2667" s="307"/>
      <c r="N2667" s="438"/>
      <c r="O2667" s="438"/>
      <c r="P2667" s="438"/>
      <c r="AG2667" s="306"/>
    </row>
    <row r="2668" spans="1:33" ht="15.75" customHeight="1">
      <c r="A2668" s="441"/>
      <c r="B2668" s="442"/>
      <c r="C2668" s="317"/>
      <c r="G2668" s="290"/>
      <c r="H2668" s="438"/>
      <c r="I2668" s="439"/>
      <c r="J2668" s="433"/>
      <c r="K2668" s="307"/>
      <c r="L2668" s="307"/>
      <c r="M2668" s="307"/>
      <c r="N2668" s="438"/>
      <c r="O2668" s="438"/>
      <c r="P2668" s="438"/>
      <c r="AG2668" s="306"/>
    </row>
    <row r="2669" spans="1:33" ht="15.75" customHeight="1">
      <c r="A2669" s="441"/>
      <c r="B2669" s="442"/>
      <c r="C2669" s="317"/>
      <c r="G2669" s="290"/>
      <c r="H2669" s="438"/>
      <c r="I2669" s="439"/>
      <c r="J2669" s="433"/>
      <c r="K2669" s="307"/>
      <c r="L2669" s="307"/>
      <c r="M2669" s="307"/>
      <c r="N2669" s="438"/>
      <c r="O2669" s="438"/>
      <c r="P2669" s="438"/>
      <c r="AG2669" s="306"/>
    </row>
    <row r="2670" spans="1:33" ht="15.75" customHeight="1">
      <c r="A2670" s="441"/>
      <c r="B2670" s="442"/>
      <c r="C2670" s="317"/>
      <c r="G2670" s="290"/>
      <c r="H2670" s="438"/>
      <c r="I2670" s="439"/>
      <c r="J2670" s="433"/>
      <c r="K2670" s="307"/>
      <c r="L2670" s="307"/>
      <c r="M2670" s="307"/>
      <c r="N2670" s="438"/>
      <c r="O2670" s="438"/>
      <c r="P2670" s="438"/>
      <c r="AG2670" s="306"/>
    </row>
    <row r="2671" spans="1:33" ht="15.75" customHeight="1">
      <c r="A2671" s="441"/>
      <c r="B2671" s="442"/>
      <c r="C2671" s="317"/>
      <c r="G2671" s="290"/>
      <c r="H2671" s="438"/>
      <c r="I2671" s="439"/>
      <c r="J2671" s="433"/>
      <c r="K2671" s="307"/>
      <c r="L2671" s="307"/>
      <c r="M2671" s="307"/>
      <c r="N2671" s="438"/>
      <c r="O2671" s="438"/>
      <c r="P2671" s="438"/>
      <c r="AG2671" s="306"/>
    </row>
    <row r="2672" spans="1:33" ht="15.75" customHeight="1">
      <c r="A2672" s="441"/>
      <c r="B2672" s="442"/>
      <c r="C2672" s="317"/>
      <c r="G2672" s="290"/>
      <c r="H2672" s="438"/>
      <c r="I2672" s="439"/>
      <c r="J2672" s="433"/>
      <c r="K2672" s="307"/>
      <c r="L2672" s="307"/>
      <c r="M2672" s="307"/>
      <c r="N2672" s="438"/>
      <c r="O2672" s="438"/>
      <c r="P2672" s="438"/>
      <c r="AG2672" s="306"/>
    </row>
    <row r="2673" spans="1:33" ht="15.75" customHeight="1">
      <c r="A2673" s="441"/>
      <c r="B2673" s="442"/>
      <c r="C2673" s="317"/>
      <c r="G2673" s="290"/>
      <c r="H2673" s="438"/>
      <c r="I2673" s="439"/>
      <c r="J2673" s="433"/>
      <c r="K2673" s="307"/>
      <c r="L2673" s="307"/>
      <c r="M2673" s="307"/>
      <c r="N2673" s="438"/>
      <c r="O2673" s="438"/>
      <c r="P2673" s="438"/>
      <c r="AG2673" s="306"/>
    </row>
    <row r="2674" spans="1:33" ht="15.75" customHeight="1">
      <c r="A2674" s="441"/>
      <c r="B2674" s="442"/>
      <c r="C2674" s="317"/>
      <c r="G2674" s="290"/>
      <c r="H2674" s="438"/>
      <c r="I2674" s="439"/>
      <c r="J2674" s="433"/>
      <c r="K2674" s="307"/>
      <c r="L2674" s="307"/>
      <c r="M2674" s="307"/>
      <c r="N2674" s="438"/>
      <c r="O2674" s="438"/>
      <c r="P2674" s="438"/>
      <c r="AG2674" s="336"/>
    </row>
    <row r="2675" spans="1:33" ht="15.75" customHeight="1">
      <c r="A2675" s="441"/>
      <c r="B2675" s="442"/>
      <c r="C2675" s="317"/>
      <c r="G2675" s="290"/>
      <c r="H2675" s="438"/>
      <c r="I2675" s="439"/>
      <c r="J2675" s="433"/>
      <c r="K2675" s="307"/>
      <c r="L2675" s="307"/>
      <c r="M2675" s="307"/>
      <c r="N2675" s="438"/>
      <c r="O2675" s="438"/>
      <c r="P2675" s="438"/>
    </row>
    <row r="2676" spans="1:33" ht="15.75" customHeight="1">
      <c r="A2676" s="441"/>
      <c r="B2676" s="442"/>
      <c r="C2676" s="317"/>
      <c r="G2676" s="290"/>
      <c r="H2676" s="438"/>
      <c r="I2676" s="439"/>
      <c r="J2676" s="433"/>
      <c r="K2676" s="307"/>
      <c r="L2676" s="307"/>
      <c r="M2676" s="307"/>
      <c r="N2676" s="438"/>
      <c r="O2676" s="438"/>
      <c r="P2676" s="438"/>
    </row>
    <row r="2677" spans="1:33" ht="15.75" customHeight="1">
      <c r="A2677" s="441"/>
      <c r="B2677" s="442"/>
      <c r="C2677" s="317"/>
      <c r="G2677" s="290"/>
      <c r="H2677" s="438"/>
      <c r="I2677" s="439"/>
      <c r="J2677" s="433"/>
      <c r="K2677" s="307"/>
      <c r="L2677" s="307"/>
      <c r="M2677" s="307"/>
      <c r="N2677" s="438"/>
      <c r="O2677" s="438"/>
      <c r="P2677" s="438"/>
    </row>
    <row r="2678" spans="1:33" ht="15.75" customHeight="1">
      <c r="A2678" s="441"/>
      <c r="B2678" s="442"/>
      <c r="C2678" s="317"/>
      <c r="G2678" s="290"/>
      <c r="H2678" s="438"/>
      <c r="I2678" s="439"/>
      <c r="J2678" s="433"/>
      <c r="K2678" s="307"/>
      <c r="L2678" s="307"/>
      <c r="M2678" s="307"/>
      <c r="N2678" s="438"/>
      <c r="O2678" s="438"/>
      <c r="P2678" s="438"/>
    </row>
    <row r="2679" spans="1:33" ht="15.75" customHeight="1">
      <c r="A2679" s="441"/>
      <c r="B2679" s="442"/>
      <c r="C2679" s="317"/>
      <c r="G2679" s="290"/>
      <c r="H2679" s="438"/>
      <c r="I2679" s="439"/>
      <c r="J2679" s="433"/>
      <c r="K2679" s="307"/>
      <c r="L2679" s="307"/>
      <c r="M2679" s="307"/>
      <c r="N2679" s="438"/>
      <c r="O2679" s="438"/>
      <c r="P2679" s="438"/>
    </row>
    <row r="2680" spans="1:33" ht="15.75" customHeight="1">
      <c r="A2680" s="441"/>
      <c r="B2680" s="442"/>
      <c r="C2680" s="317"/>
      <c r="G2680" s="290"/>
      <c r="H2680" s="438"/>
      <c r="I2680" s="439"/>
      <c r="J2680" s="444"/>
      <c r="K2680" s="307"/>
      <c r="L2680" s="307"/>
      <c r="M2680" s="307"/>
      <c r="N2680" s="438"/>
      <c r="O2680" s="438"/>
      <c r="P2680" s="438"/>
    </row>
    <row r="2681" spans="1:33" ht="15.75" customHeight="1">
      <c r="A2681" s="441"/>
      <c r="B2681" s="442"/>
      <c r="C2681" s="317"/>
      <c r="G2681" s="290"/>
      <c r="H2681" s="438"/>
      <c r="I2681" s="439"/>
      <c r="J2681" s="440"/>
      <c r="K2681" s="307"/>
      <c r="L2681" s="307"/>
      <c r="M2681" s="307"/>
      <c r="N2681" s="438"/>
      <c r="O2681" s="438"/>
      <c r="P2681" s="438"/>
    </row>
    <row r="2682" spans="1:33" ht="15.75" customHeight="1">
      <c r="A2682" s="441"/>
      <c r="B2682" s="442"/>
      <c r="C2682" s="317"/>
      <c r="G2682" s="290"/>
      <c r="H2682" s="438"/>
      <c r="I2682" s="439"/>
      <c r="J2682" s="440"/>
      <c r="K2682" s="307"/>
      <c r="L2682" s="307"/>
      <c r="M2682" s="307"/>
      <c r="N2682" s="438"/>
      <c r="O2682" s="438"/>
      <c r="P2682" s="438"/>
    </row>
    <row r="2683" spans="1:33" ht="15.75" customHeight="1">
      <c r="A2683" s="441"/>
      <c r="B2683" s="442"/>
      <c r="C2683" s="317"/>
      <c r="G2683" s="290"/>
      <c r="H2683" s="438"/>
      <c r="I2683" s="439"/>
      <c r="J2683" s="440"/>
      <c r="K2683" s="307"/>
      <c r="L2683" s="307"/>
      <c r="M2683" s="307"/>
      <c r="N2683" s="438"/>
      <c r="O2683" s="438"/>
      <c r="P2683" s="438"/>
    </row>
    <row r="2684" spans="1:33" ht="15.75" customHeight="1">
      <c r="A2684" s="441"/>
      <c r="B2684" s="442"/>
      <c r="C2684" s="317"/>
      <c r="G2684" s="290"/>
      <c r="H2684" s="438"/>
      <c r="I2684" s="439"/>
      <c r="J2684" s="440"/>
      <c r="K2684" s="307"/>
      <c r="L2684" s="307"/>
      <c r="M2684" s="307"/>
      <c r="N2684" s="438"/>
      <c r="O2684" s="438"/>
      <c r="P2684" s="438"/>
    </row>
    <row r="2685" spans="1:33" ht="15.75" customHeight="1">
      <c r="A2685" s="441"/>
      <c r="B2685" s="442"/>
      <c r="C2685" s="317"/>
      <c r="G2685" s="290"/>
      <c r="H2685" s="438"/>
      <c r="I2685" s="439"/>
      <c r="J2685" s="440"/>
      <c r="K2685" s="307"/>
      <c r="L2685" s="307"/>
      <c r="M2685" s="307"/>
      <c r="N2685" s="438"/>
      <c r="O2685" s="438"/>
      <c r="P2685" s="438"/>
    </row>
    <row r="2686" spans="1:33" ht="15.75" customHeight="1">
      <c r="A2686" s="441"/>
      <c r="B2686" s="442"/>
      <c r="C2686" s="317"/>
      <c r="G2686" s="290"/>
      <c r="H2686" s="438"/>
      <c r="I2686" s="439"/>
      <c r="J2686" s="440"/>
      <c r="K2686" s="307"/>
      <c r="L2686" s="307"/>
      <c r="M2686" s="307"/>
      <c r="N2686" s="438"/>
      <c r="O2686" s="438"/>
      <c r="P2686" s="438"/>
    </row>
    <row r="2687" spans="1:33" ht="15.75" customHeight="1">
      <c r="A2687" s="441"/>
      <c r="B2687" s="442"/>
      <c r="C2687" s="317"/>
      <c r="G2687" s="290"/>
      <c r="H2687" s="438"/>
      <c r="I2687" s="439"/>
      <c r="J2687" s="440"/>
      <c r="K2687" s="307"/>
      <c r="L2687" s="307"/>
      <c r="M2687" s="307"/>
      <c r="N2687" s="438"/>
      <c r="O2687" s="438"/>
      <c r="P2687" s="438"/>
    </row>
    <row r="2688" spans="1:33" ht="15.75" customHeight="1">
      <c r="A2688" s="441"/>
      <c r="B2688" s="442"/>
      <c r="C2688" s="317"/>
      <c r="G2688" s="290"/>
      <c r="H2688" s="438"/>
      <c r="I2688" s="439"/>
      <c r="J2688" s="440"/>
      <c r="K2688" s="307"/>
      <c r="L2688" s="307"/>
      <c r="M2688" s="307"/>
      <c r="N2688" s="438"/>
      <c r="O2688" s="438"/>
      <c r="P2688" s="438"/>
    </row>
    <row r="2689" spans="1:16" ht="15.75" customHeight="1">
      <c r="A2689" s="441"/>
      <c r="B2689" s="442"/>
      <c r="C2689" s="317"/>
      <c r="G2689" s="290"/>
      <c r="H2689" s="438"/>
      <c r="I2689" s="439"/>
      <c r="J2689" s="440"/>
      <c r="K2689" s="307"/>
      <c r="L2689" s="307"/>
      <c r="M2689" s="307"/>
      <c r="N2689" s="438"/>
      <c r="O2689" s="438"/>
      <c r="P2689" s="438"/>
    </row>
    <row r="2690" spans="1:16" ht="15.75" customHeight="1">
      <c r="A2690" s="441"/>
      <c r="B2690" s="442"/>
      <c r="C2690" s="317"/>
      <c r="G2690" s="290"/>
      <c r="H2690" s="438"/>
      <c r="I2690" s="439"/>
      <c r="J2690" s="440"/>
      <c r="K2690" s="307"/>
      <c r="L2690" s="307"/>
      <c r="M2690" s="307"/>
      <c r="N2690" s="438"/>
      <c r="O2690" s="438"/>
      <c r="P2690" s="438"/>
    </row>
    <row r="2691" spans="1:16" ht="15.75" customHeight="1">
      <c r="A2691" s="441"/>
      <c r="B2691" s="442"/>
      <c r="C2691" s="317"/>
      <c r="G2691" s="290"/>
      <c r="H2691" s="438"/>
      <c r="I2691" s="439"/>
      <c r="J2691" s="440"/>
      <c r="K2691" s="307"/>
      <c r="L2691" s="307"/>
      <c r="M2691" s="307"/>
      <c r="N2691" s="438"/>
      <c r="O2691" s="438"/>
      <c r="P2691" s="438"/>
    </row>
    <row r="2692" spans="1:16" ht="15.75" customHeight="1">
      <c r="A2692" s="441"/>
      <c r="B2692" s="442"/>
      <c r="C2692" s="317"/>
      <c r="G2692" s="290"/>
      <c r="H2692" s="438"/>
      <c r="I2692" s="439"/>
      <c r="J2692" s="440"/>
      <c r="K2692" s="307"/>
      <c r="L2692" s="307"/>
      <c r="M2692" s="307"/>
      <c r="N2692" s="438"/>
      <c r="O2692" s="438"/>
      <c r="P2692" s="438"/>
    </row>
    <row r="2693" spans="1:16" ht="15.75" customHeight="1">
      <c r="A2693" s="441"/>
      <c r="B2693" s="442"/>
      <c r="C2693" s="317"/>
      <c r="G2693" s="290"/>
      <c r="H2693" s="438"/>
      <c r="I2693" s="439"/>
      <c r="J2693" s="440"/>
      <c r="K2693" s="307"/>
      <c r="L2693" s="307"/>
      <c r="M2693" s="307"/>
      <c r="N2693" s="438"/>
      <c r="O2693" s="438"/>
      <c r="P2693" s="438"/>
    </row>
    <row r="2694" spans="1:16" ht="15.75" customHeight="1">
      <c r="A2694" s="441"/>
      <c r="B2694" s="442"/>
      <c r="C2694" s="317"/>
      <c r="G2694" s="290"/>
      <c r="H2694" s="438"/>
      <c r="I2694" s="439"/>
      <c r="J2694" s="440"/>
      <c r="K2694" s="307"/>
      <c r="L2694" s="307"/>
      <c r="M2694" s="307"/>
      <c r="N2694" s="438"/>
      <c r="O2694" s="438"/>
      <c r="P2694" s="438"/>
    </row>
    <row r="2695" spans="1:16" ht="15.75" customHeight="1">
      <c r="A2695" s="441"/>
      <c r="B2695" s="442"/>
      <c r="C2695" s="317"/>
      <c r="G2695" s="290"/>
      <c r="H2695" s="438"/>
      <c r="I2695" s="439"/>
      <c r="J2695" s="440"/>
      <c r="K2695" s="307"/>
      <c r="L2695" s="307"/>
      <c r="M2695" s="307"/>
      <c r="N2695" s="438"/>
      <c r="O2695" s="438"/>
      <c r="P2695" s="438"/>
    </row>
    <row r="2696" spans="1:16" ht="15.75" customHeight="1">
      <c r="A2696" s="441"/>
      <c r="B2696" s="442"/>
      <c r="C2696" s="317"/>
      <c r="G2696" s="290"/>
      <c r="H2696" s="438"/>
      <c r="I2696" s="439"/>
      <c r="J2696" s="440"/>
      <c r="K2696" s="307"/>
      <c r="L2696" s="307"/>
      <c r="M2696" s="307"/>
      <c r="N2696" s="438"/>
      <c r="O2696" s="438"/>
      <c r="P2696" s="438"/>
    </row>
    <row r="2697" spans="1:16" ht="15.75" customHeight="1">
      <c r="A2697" s="441"/>
      <c r="B2697" s="442"/>
      <c r="C2697" s="317"/>
      <c r="G2697" s="290"/>
      <c r="H2697" s="438"/>
      <c r="I2697" s="439"/>
      <c r="J2697" s="440"/>
      <c r="K2697" s="307"/>
      <c r="L2697" s="307"/>
      <c r="M2697" s="307"/>
      <c r="N2697" s="438"/>
      <c r="O2697" s="438"/>
      <c r="P2697" s="438"/>
    </row>
    <row r="2698" spans="1:16" ht="15.75" customHeight="1">
      <c r="A2698" s="441"/>
      <c r="B2698" s="442"/>
      <c r="C2698" s="317"/>
      <c r="G2698" s="290"/>
      <c r="H2698" s="438"/>
      <c r="I2698" s="439"/>
      <c r="J2698" s="440"/>
      <c r="K2698" s="307"/>
      <c r="L2698" s="307"/>
      <c r="M2698" s="307"/>
      <c r="N2698" s="438"/>
      <c r="O2698" s="438"/>
      <c r="P2698" s="438"/>
    </row>
    <row r="2699" spans="1:16" ht="15.75" customHeight="1">
      <c r="A2699" s="441"/>
      <c r="B2699" s="442"/>
      <c r="C2699" s="317"/>
      <c r="G2699" s="290"/>
      <c r="H2699" s="438"/>
      <c r="I2699" s="439"/>
      <c r="J2699" s="440"/>
      <c r="K2699" s="307"/>
      <c r="L2699" s="307"/>
      <c r="M2699" s="307"/>
      <c r="N2699" s="438"/>
      <c r="O2699" s="438"/>
      <c r="P2699" s="438"/>
    </row>
    <row r="2700" spans="1:16" ht="15.75" customHeight="1">
      <c r="A2700" s="441"/>
      <c r="B2700" s="442"/>
      <c r="C2700" s="317"/>
      <c r="G2700" s="290"/>
      <c r="H2700" s="438"/>
      <c r="I2700" s="439"/>
      <c r="J2700" s="440"/>
      <c r="K2700" s="307"/>
      <c r="L2700" s="307"/>
      <c r="M2700" s="307"/>
      <c r="N2700" s="438"/>
      <c r="O2700" s="438"/>
      <c r="P2700" s="438"/>
    </row>
    <row r="2701" spans="1:16" ht="15.75" customHeight="1">
      <c r="A2701" s="441"/>
      <c r="B2701" s="442"/>
      <c r="C2701" s="317"/>
      <c r="G2701" s="290"/>
      <c r="H2701" s="438"/>
      <c r="I2701" s="439"/>
      <c r="J2701" s="440"/>
      <c r="K2701" s="307"/>
      <c r="L2701" s="307"/>
      <c r="M2701" s="307"/>
      <c r="N2701" s="438"/>
      <c r="O2701" s="438"/>
      <c r="P2701" s="438"/>
    </row>
    <row r="2702" spans="1:16" ht="15.75" customHeight="1">
      <c r="A2702" s="441"/>
      <c r="B2702" s="442"/>
      <c r="C2702" s="317"/>
      <c r="G2702" s="290"/>
      <c r="H2702" s="438"/>
      <c r="I2702" s="439"/>
      <c r="J2702" s="440"/>
      <c r="K2702" s="307"/>
      <c r="L2702" s="307"/>
      <c r="M2702" s="307"/>
      <c r="N2702" s="438"/>
      <c r="O2702" s="438"/>
      <c r="P2702" s="438"/>
    </row>
    <row r="2703" spans="1:16" ht="15.75" customHeight="1">
      <c r="A2703" s="441"/>
      <c r="B2703" s="442"/>
      <c r="C2703" s="317"/>
      <c r="G2703" s="290"/>
      <c r="H2703" s="438"/>
      <c r="I2703" s="439"/>
      <c r="J2703" s="440"/>
      <c r="K2703" s="307"/>
      <c r="L2703" s="307"/>
      <c r="M2703" s="307"/>
      <c r="N2703" s="438"/>
      <c r="O2703" s="438"/>
      <c r="P2703" s="438"/>
    </row>
    <row r="2704" spans="1:16" ht="15.75" customHeight="1">
      <c r="A2704" s="441"/>
      <c r="B2704" s="442"/>
      <c r="C2704" s="317"/>
      <c r="G2704" s="290"/>
      <c r="H2704" s="438"/>
      <c r="I2704" s="439"/>
      <c r="J2704" s="440"/>
      <c r="K2704" s="307"/>
      <c r="L2704" s="307"/>
      <c r="M2704" s="307"/>
      <c r="N2704" s="438"/>
      <c r="O2704" s="438"/>
      <c r="P2704" s="438"/>
    </row>
    <row r="2705" spans="1:16" ht="15.75" customHeight="1">
      <c r="A2705" s="441"/>
      <c r="B2705" s="442"/>
      <c r="C2705" s="317"/>
      <c r="G2705" s="290"/>
      <c r="H2705" s="438"/>
      <c r="I2705" s="439"/>
      <c r="J2705" s="440"/>
      <c r="K2705" s="307"/>
      <c r="L2705" s="307"/>
      <c r="M2705" s="307"/>
      <c r="N2705" s="438"/>
      <c r="O2705" s="438"/>
      <c r="P2705" s="438"/>
    </row>
    <row r="2706" spans="1:16" ht="15.75" customHeight="1">
      <c r="A2706" s="441"/>
      <c r="B2706" s="442"/>
      <c r="C2706" s="317"/>
      <c r="G2706" s="290"/>
      <c r="H2706" s="438"/>
      <c r="I2706" s="439"/>
      <c r="J2706" s="440"/>
      <c r="K2706" s="307"/>
      <c r="L2706" s="307"/>
      <c r="M2706" s="307"/>
      <c r="N2706" s="438"/>
      <c r="O2706" s="438"/>
      <c r="P2706" s="438"/>
    </row>
    <row r="2707" spans="1:16" ht="15.75" customHeight="1">
      <c r="A2707" s="441"/>
      <c r="B2707" s="442"/>
      <c r="C2707" s="317"/>
      <c r="G2707" s="290"/>
      <c r="H2707" s="438"/>
      <c r="I2707" s="439"/>
      <c r="J2707" s="440"/>
      <c r="K2707" s="307"/>
      <c r="L2707" s="307"/>
      <c r="M2707" s="307"/>
      <c r="N2707" s="438"/>
      <c r="O2707" s="438"/>
      <c r="P2707" s="438"/>
    </row>
    <row r="2708" spans="1:16" ht="15.75" customHeight="1">
      <c r="A2708" s="441"/>
      <c r="B2708" s="442"/>
      <c r="C2708" s="317"/>
      <c r="G2708" s="290"/>
      <c r="H2708" s="438"/>
      <c r="I2708" s="439"/>
      <c r="J2708" s="440"/>
      <c r="K2708" s="307"/>
      <c r="L2708" s="307"/>
      <c r="M2708" s="307"/>
      <c r="N2708" s="438"/>
      <c r="O2708" s="438"/>
      <c r="P2708" s="438"/>
    </row>
    <row r="2709" spans="1:16" ht="15.75" customHeight="1">
      <c r="A2709" s="441"/>
      <c r="B2709" s="442"/>
      <c r="C2709" s="317"/>
      <c r="G2709" s="290"/>
      <c r="H2709" s="438"/>
      <c r="I2709" s="439"/>
      <c r="J2709" s="440"/>
      <c r="K2709" s="307"/>
      <c r="L2709" s="307"/>
      <c r="M2709" s="307"/>
      <c r="N2709" s="438"/>
      <c r="O2709" s="438"/>
      <c r="P2709" s="438"/>
    </row>
    <row r="2710" spans="1:16" ht="15.75" customHeight="1">
      <c r="A2710" s="441"/>
      <c r="B2710" s="442"/>
      <c r="C2710" s="317"/>
      <c r="G2710" s="290"/>
      <c r="H2710" s="438"/>
      <c r="I2710" s="439"/>
      <c r="J2710" s="440"/>
      <c r="K2710" s="307"/>
      <c r="L2710" s="307"/>
      <c r="M2710" s="307"/>
      <c r="N2710" s="438"/>
      <c r="O2710" s="438"/>
      <c r="P2710" s="438"/>
    </row>
    <row r="2711" spans="1:16" ht="15.75" customHeight="1">
      <c r="A2711" s="441"/>
      <c r="B2711" s="442"/>
      <c r="C2711" s="317"/>
      <c r="G2711" s="290"/>
      <c r="H2711" s="438"/>
      <c r="I2711" s="439"/>
      <c r="J2711" s="440"/>
      <c r="K2711" s="307"/>
      <c r="L2711" s="307"/>
      <c r="M2711" s="307"/>
      <c r="N2711" s="438"/>
      <c r="O2711" s="438"/>
      <c r="P2711" s="438"/>
    </row>
    <row r="2712" spans="1:16" ht="15.75" customHeight="1">
      <c r="A2712" s="441"/>
      <c r="B2712" s="442"/>
      <c r="C2712" s="317"/>
      <c r="G2712" s="290"/>
      <c r="H2712" s="438"/>
      <c r="I2712" s="439"/>
      <c r="J2712" s="440"/>
      <c r="K2712" s="307"/>
      <c r="L2712" s="307"/>
      <c r="M2712" s="307"/>
      <c r="N2712" s="438"/>
      <c r="O2712" s="438"/>
      <c r="P2712" s="438"/>
    </row>
    <row r="2713" spans="1:16" ht="15.75" customHeight="1">
      <c r="A2713" s="441"/>
      <c r="B2713" s="442"/>
      <c r="C2713" s="317"/>
      <c r="G2713" s="290"/>
      <c r="H2713" s="438"/>
      <c r="I2713" s="439"/>
      <c r="J2713" s="440"/>
      <c r="K2713" s="307"/>
      <c r="L2713" s="307"/>
      <c r="M2713" s="307"/>
      <c r="N2713" s="438"/>
      <c r="O2713" s="438"/>
      <c r="P2713" s="438"/>
    </row>
    <row r="2714" spans="1:16" ht="15.75" customHeight="1">
      <c r="A2714" s="441"/>
      <c r="B2714" s="442"/>
      <c r="C2714" s="317"/>
      <c r="G2714" s="290"/>
      <c r="H2714" s="438"/>
      <c r="I2714" s="439"/>
      <c r="J2714" s="440"/>
      <c r="K2714" s="307"/>
      <c r="L2714" s="307"/>
      <c r="M2714" s="307"/>
      <c r="N2714" s="438"/>
      <c r="O2714" s="438"/>
      <c r="P2714" s="438"/>
    </row>
    <row r="2715" spans="1:16" ht="15.75" customHeight="1">
      <c r="A2715" s="441"/>
      <c r="B2715" s="442"/>
      <c r="C2715" s="317"/>
      <c r="G2715" s="290"/>
      <c r="H2715" s="438"/>
      <c r="I2715" s="439"/>
      <c r="J2715" s="440"/>
      <c r="K2715" s="307"/>
      <c r="L2715" s="307"/>
      <c r="M2715" s="307"/>
      <c r="N2715" s="438"/>
      <c r="O2715" s="438"/>
      <c r="P2715" s="438"/>
    </row>
    <row r="2716" spans="1:16" ht="15.75" customHeight="1">
      <c r="A2716" s="441"/>
      <c r="B2716" s="442"/>
      <c r="C2716" s="317"/>
      <c r="G2716" s="290"/>
      <c r="H2716" s="438"/>
      <c r="I2716" s="439"/>
      <c r="J2716" s="440"/>
      <c r="K2716" s="307"/>
      <c r="L2716" s="307"/>
      <c r="M2716" s="307"/>
      <c r="N2716" s="438"/>
      <c r="O2716" s="438"/>
      <c r="P2716" s="438"/>
    </row>
    <row r="2717" spans="1:16" ht="15.75" customHeight="1">
      <c r="A2717" s="441"/>
      <c r="B2717" s="442"/>
      <c r="C2717" s="317"/>
      <c r="G2717" s="290"/>
      <c r="H2717" s="438"/>
      <c r="I2717" s="439"/>
      <c r="J2717" s="440"/>
      <c r="K2717" s="307"/>
      <c r="L2717" s="307"/>
      <c r="M2717" s="307"/>
      <c r="N2717" s="438"/>
      <c r="O2717" s="438"/>
      <c r="P2717" s="438"/>
    </row>
    <row r="2718" spans="1:16" ht="15.75" customHeight="1">
      <c r="A2718" s="441"/>
      <c r="B2718" s="442"/>
      <c r="C2718" s="317"/>
      <c r="G2718" s="290"/>
      <c r="H2718" s="438"/>
      <c r="I2718" s="439"/>
      <c r="J2718" s="440"/>
      <c r="K2718" s="307"/>
      <c r="L2718" s="307"/>
      <c r="M2718" s="307"/>
      <c r="N2718" s="438"/>
      <c r="O2718" s="438"/>
      <c r="P2718" s="438"/>
    </row>
    <row r="2719" spans="1:16" ht="15.75" customHeight="1">
      <c r="A2719" s="441"/>
      <c r="B2719" s="442"/>
      <c r="C2719" s="317"/>
      <c r="G2719" s="290"/>
      <c r="H2719" s="438"/>
      <c r="I2719" s="439"/>
      <c r="J2719" s="440"/>
      <c r="K2719" s="307"/>
      <c r="L2719" s="307"/>
      <c r="M2719" s="307"/>
      <c r="N2719" s="438"/>
      <c r="O2719" s="438"/>
      <c r="P2719" s="438"/>
    </row>
    <row r="2720" spans="1:16" ht="15.75" customHeight="1">
      <c r="A2720" s="441"/>
      <c r="B2720" s="442"/>
      <c r="C2720" s="317"/>
      <c r="G2720" s="290"/>
      <c r="H2720" s="438"/>
      <c r="I2720" s="439"/>
      <c r="J2720" s="440"/>
      <c r="K2720" s="307"/>
      <c r="L2720" s="307"/>
      <c r="M2720" s="307"/>
      <c r="N2720" s="438"/>
      <c r="O2720" s="438"/>
      <c r="P2720" s="438"/>
    </row>
    <row r="2721" spans="1:16" ht="15.75" customHeight="1">
      <c r="A2721" s="441"/>
      <c r="B2721" s="442"/>
      <c r="C2721" s="317"/>
      <c r="G2721" s="290"/>
      <c r="H2721" s="438"/>
      <c r="I2721" s="439"/>
      <c r="J2721" s="440"/>
      <c r="K2721" s="307"/>
      <c r="L2721" s="307"/>
      <c r="M2721" s="307"/>
      <c r="N2721" s="438"/>
      <c r="O2721" s="438"/>
      <c r="P2721" s="438"/>
    </row>
    <row r="2722" spans="1:16" ht="15.75" customHeight="1">
      <c r="A2722" s="441"/>
      <c r="B2722" s="442"/>
      <c r="C2722" s="317"/>
      <c r="G2722" s="290"/>
      <c r="H2722" s="438"/>
      <c r="I2722" s="439"/>
      <c r="J2722" s="440"/>
      <c r="K2722" s="307"/>
      <c r="L2722" s="307"/>
      <c r="M2722" s="307"/>
      <c r="N2722" s="438"/>
      <c r="O2722" s="438"/>
      <c r="P2722" s="438"/>
    </row>
    <row r="2723" spans="1:16" ht="15.75" customHeight="1">
      <c r="A2723" s="441"/>
      <c r="B2723" s="442"/>
      <c r="C2723" s="317"/>
      <c r="G2723" s="290"/>
      <c r="H2723" s="438"/>
      <c r="I2723" s="439"/>
      <c r="J2723" s="440"/>
      <c r="K2723" s="307"/>
      <c r="L2723" s="307"/>
      <c r="M2723" s="307"/>
      <c r="N2723" s="438"/>
      <c r="O2723" s="438"/>
      <c r="P2723" s="438"/>
    </row>
    <row r="2724" spans="1:16" ht="15.75" customHeight="1">
      <c r="A2724" s="441"/>
      <c r="B2724" s="442"/>
      <c r="C2724" s="317"/>
      <c r="G2724" s="290"/>
      <c r="H2724" s="438"/>
      <c r="I2724" s="439"/>
      <c r="J2724" s="440"/>
      <c r="K2724" s="307"/>
      <c r="L2724" s="307"/>
      <c r="M2724" s="307"/>
      <c r="N2724" s="438"/>
      <c r="O2724" s="438"/>
      <c r="P2724" s="438"/>
    </row>
    <row r="2725" spans="1:16" ht="15.75" customHeight="1">
      <c r="A2725" s="441"/>
      <c r="B2725" s="442"/>
      <c r="C2725" s="317"/>
      <c r="G2725" s="290"/>
      <c r="H2725" s="438"/>
      <c r="I2725" s="439"/>
      <c r="J2725" s="440"/>
      <c r="K2725" s="307"/>
      <c r="L2725" s="307"/>
      <c r="M2725" s="307"/>
      <c r="N2725" s="438"/>
      <c r="O2725" s="438"/>
      <c r="P2725" s="438"/>
    </row>
    <row r="2726" spans="1:16" ht="15.75" customHeight="1">
      <c r="A2726" s="441"/>
      <c r="B2726" s="442"/>
      <c r="C2726" s="317"/>
      <c r="G2726" s="290"/>
      <c r="H2726" s="438"/>
      <c r="I2726" s="439"/>
      <c r="J2726" s="440"/>
      <c r="K2726" s="307"/>
      <c r="L2726" s="307"/>
      <c r="M2726" s="307"/>
      <c r="N2726" s="438"/>
      <c r="O2726" s="438"/>
      <c r="P2726" s="438"/>
    </row>
    <row r="2727" spans="1:16" ht="15.75" customHeight="1">
      <c r="A2727" s="441"/>
      <c r="B2727" s="442"/>
      <c r="C2727" s="317"/>
      <c r="G2727" s="290"/>
      <c r="H2727" s="438"/>
      <c r="I2727" s="439"/>
      <c r="J2727" s="440"/>
      <c r="K2727" s="307"/>
      <c r="L2727" s="307"/>
      <c r="M2727" s="307"/>
      <c r="N2727" s="438"/>
      <c r="O2727" s="438"/>
      <c r="P2727" s="438"/>
    </row>
    <row r="2728" spans="1:16" ht="15.75" customHeight="1">
      <c r="A2728" s="441"/>
      <c r="B2728" s="442"/>
      <c r="C2728" s="317"/>
      <c r="G2728" s="290"/>
      <c r="H2728" s="438"/>
      <c r="I2728" s="439"/>
      <c r="J2728" s="440"/>
      <c r="K2728" s="307"/>
      <c r="L2728" s="307"/>
      <c r="M2728" s="307"/>
      <c r="N2728" s="438"/>
      <c r="O2728" s="438"/>
      <c r="P2728" s="438"/>
    </row>
    <row r="2729" spans="1:16" ht="15.75" customHeight="1">
      <c r="A2729" s="441"/>
      <c r="B2729" s="442"/>
      <c r="C2729" s="317"/>
      <c r="G2729" s="290"/>
      <c r="H2729" s="438"/>
      <c r="I2729" s="439"/>
      <c r="J2729" s="440"/>
      <c r="K2729" s="307"/>
      <c r="L2729" s="307"/>
      <c r="M2729" s="307"/>
      <c r="N2729" s="438"/>
      <c r="O2729" s="438"/>
      <c r="P2729" s="438"/>
    </row>
    <row r="2730" spans="1:16" ht="15.75" customHeight="1">
      <c r="A2730" s="441"/>
      <c r="B2730" s="442"/>
      <c r="C2730" s="317"/>
      <c r="G2730" s="290"/>
      <c r="H2730" s="438"/>
      <c r="I2730" s="439"/>
      <c r="J2730" s="440"/>
      <c r="K2730" s="307"/>
      <c r="L2730" s="307"/>
      <c r="M2730" s="307"/>
      <c r="N2730" s="438"/>
      <c r="O2730" s="438"/>
      <c r="P2730" s="438"/>
    </row>
    <row r="2731" spans="1:16" ht="15.75" customHeight="1">
      <c r="A2731" s="441"/>
      <c r="B2731" s="442"/>
      <c r="C2731" s="317"/>
      <c r="G2731" s="290"/>
      <c r="H2731" s="438"/>
      <c r="I2731" s="439"/>
      <c r="J2731" s="440"/>
      <c r="K2731" s="307"/>
      <c r="L2731" s="307"/>
      <c r="M2731" s="307"/>
      <c r="N2731" s="438"/>
      <c r="O2731" s="438"/>
      <c r="P2731" s="438"/>
    </row>
    <row r="2732" spans="1:16" ht="15.75" customHeight="1">
      <c r="A2732" s="441"/>
      <c r="B2732" s="442"/>
      <c r="C2732" s="317"/>
      <c r="G2732" s="290"/>
      <c r="H2732" s="438"/>
      <c r="I2732" s="439"/>
      <c r="J2732" s="440"/>
      <c r="K2732" s="307"/>
      <c r="L2732" s="307"/>
      <c r="M2732" s="307"/>
      <c r="N2732" s="438"/>
      <c r="O2732" s="438"/>
      <c r="P2732" s="438"/>
    </row>
    <row r="2733" spans="1:16" ht="15.75" customHeight="1">
      <c r="A2733" s="441"/>
      <c r="B2733" s="442"/>
      <c r="C2733" s="317"/>
      <c r="G2733" s="290"/>
      <c r="H2733" s="438"/>
      <c r="I2733" s="439"/>
      <c r="J2733" s="440"/>
      <c r="K2733" s="307"/>
      <c r="L2733" s="307"/>
      <c r="M2733" s="307"/>
      <c r="N2733" s="438"/>
      <c r="O2733" s="438"/>
      <c r="P2733" s="438"/>
    </row>
    <row r="2734" spans="1:16" ht="15.75" customHeight="1">
      <c r="A2734" s="441"/>
      <c r="B2734" s="442"/>
      <c r="C2734" s="317"/>
      <c r="G2734" s="290"/>
      <c r="H2734" s="438"/>
      <c r="I2734" s="439"/>
      <c r="J2734" s="440"/>
      <c r="K2734" s="307"/>
      <c r="L2734" s="307"/>
      <c r="M2734" s="307"/>
      <c r="N2734" s="438"/>
      <c r="O2734" s="438"/>
      <c r="P2734" s="438"/>
    </row>
    <row r="2735" spans="1:16" ht="15.75" customHeight="1">
      <c r="A2735" s="441"/>
      <c r="B2735" s="442"/>
      <c r="C2735" s="317"/>
      <c r="G2735" s="290"/>
      <c r="H2735" s="438"/>
      <c r="I2735" s="439"/>
      <c r="J2735" s="440"/>
      <c r="K2735" s="307"/>
      <c r="L2735" s="307"/>
      <c r="M2735" s="307"/>
      <c r="N2735" s="438"/>
      <c r="O2735" s="438"/>
      <c r="P2735" s="438"/>
    </row>
    <row r="2736" spans="1:16" ht="15.75" customHeight="1">
      <c r="A2736" s="441"/>
      <c r="B2736" s="442"/>
      <c r="C2736" s="317"/>
      <c r="G2736" s="290"/>
      <c r="H2736" s="438"/>
      <c r="I2736" s="439"/>
      <c r="J2736" s="440"/>
      <c r="K2736" s="307"/>
      <c r="L2736" s="307"/>
      <c r="M2736" s="307"/>
      <c r="N2736" s="438"/>
      <c r="O2736" s="438"/>
      <c r="P2736" s="438"/>
    </row>
    <row r="2737" spans="1:16" ht="15.75" customHeight="1">
      <c r="A2737" s="441"/>
      <c r="B2737" s="442"/>
      <c r="C2737" s="317"/>
      <c r="G2737" s="290"/>
      <c r="H2737" s="438"/>
      <c r="I2737" s="439"/>
      <c r="J2737" s="440"/>
      <c r="K2737" s="307"/>
      <c r="L2737" s="307"/>
      <c r="M2737" s="307"/>
      <c r="N2737" s="438"/>
      <c r="O2737" s="438"/>
      <c r="P2737" s="438"/>
    </row>
    <row r="2738" spans="1:16" ht="15.75" customHeight="1">
      <c r="A2738" s="441"/>
      <c r="B2738" s="442"/>
      <c r="C2738" s="317"/>
      <c r="G2738" s="290"/>
      <c r="H2738" s="438"/>
      <c r="I2738" s="439"/>
      <c r="J2738" s="440"/>
      <c r="K2738" s="307"/>
      <c r="L2738" s="307"/>
      <c r="M2738" s="307"/>
      <c r="N2738" s="438"/>
      <c r="O2738" s="438"/>
      <c r="P2738" s="438"/>
    </row>
    <row r="2739" spans="1:16" ht="15.75" customHeight="1">
      <c r="A2739" s="441"/>
      <c r="B2739" s="442"/>
      <c r="C2739" s="317"/>
      <c r="G2739" s="290"/>
      <c r="H2739" s="438"/>
      <c r="I2739" s="439"/>
      <c r="J2739" s="440"/>
      <c r="K2739" s="307"/>
      <c r="L2739" s="307"/>
      <c r="M2739" s="307"/>
      <c r="N2739" s="438"/>
      <c r="O2739" s="438"/>
      <c r="P2739" s="438"/>
    </row>
    <row r="2740" spans="1:16" ht="15.75" customHeight="1">
      <c r="A2740" s="441"/>
      <c r="B2740" s="442"/>
      <c r="C2740" s="317"/>
      <c r="G2740" s="290"/>
      <c r="H2740" s="438"/>
      <c r="I2740" s="439"/>
      <c r="J2740" s="440"/>
      <c r="K2740" s="307"/>
      <c r="L2740" s="307"/>
      <c r="M2740" s="307"/>
      <c r="N2740" s="438"/>
      <c r="O2740" s="438"/>
      <c r="P2740" s="438"/>
    </row>
    <row r="2741" spans="1:16" ht="15.75" customHeight="1">
      <c r="A2741" s="441"/>
      <c r="B2741" s="442"/>
      <c r="C2741" s="317"/>
      <c r="G2741" s="290"/>
      <c r="H2741" s="438"/>
      <c r="I2741" s="439"/>
      <c r="J2741" s="440"/>
      <c r="K2741" s="307"/>
      <c r="L2741" s="307"/>
      <c r="M2741" s="307"/>
      <c r="N2741" s="438"/>
      <c r="O2741" s="438"/>
      <c r="P2741" s="438"/>
    </row>
    <row r="2742" spans="1:16" ht="15.75" customHeight="1">
      <c r="A2742" s="441"/>
      <c r="B2742" s="442"/>
      <c r="C2742" s="317"/>
      <c r="G2742" s="290"/>
      <c r="H2742" s="438"/>
      <c r="I2742" s="439"/>
      <c r="J2742" s="440"/>
      <c r="K2742" s="307"/>
      <c r="L2742" s="307"/>
      <c r="M2742" s="307"/>
      <c r="N2742" s="438"/>
      <c r="O2742" s="438"/>
      <c r="P2742" s="438"/>
    </row>
    <row r="2743" spans="1:16" ht="15.75" customHeight="1">
      <c r="A2743" s="441"/>
      <c r="B2743" s="442"/>
      <c r="C2743" s="317"/>
      <c r="G2743" s="290"/>
      <c r="H2743" s="438"/>
      <c r="I2743" s="439"/>
      <c r="J2743" s="440"/>
      <c r="K2743" s="307"/>
      <c r="L2743" s="307"/>
      <c r="M2743" s="307"/>
      <c r="N2743" s="438"/>
      <c r="O2743" s="438"/>
      <c r="P2743" s="438"/>
    </row>
    <row r="2744" spans="1:16" ht="15.75" customHeight="1">
      <c r="A2744" s="441"/>
      <c r="B2744" s="442"/>
      <c r="C2744" s="317"/>
      <c r="G2744" s="290"/>
      <c r="H2744" s="438"/>
      <c r="I2744" s="439"/>
      <c r="J2744" s="440"/>
      <c r="K2744" s="307"/>
      <c r="L2744" s="307"/>
      <c r="M2744" s="307"/>
      <c r="N2744" s="438"/>
      <c r="O2744" s="438"/>
      <c r="P2744" s="438"/>
    </row>
    <row r="2745" spans="1:16" ht="15.75" customHeight="1">
      <c r="A2745" s="441"/>
      <c r="B2745" s="442"/>
      <c r="C2745" s="317"/>
      <c r="G2745" s="290"/>
      <c r="H2745" s="438"/>
      <c r="I2745" s="439"/>
      <c r="J2745" s="440"/>
      <c r="K2745" s="307"/>
      <c r="L2745" s="307"/>
      <c r="M2745" s="307"/>
      <c r="N2745" s="438"/>
      <c r="O2745" s="438"/>
      <c r="P2745" s="438"/>
    </row>
    <row r="2746" spans="1:16" ht="15.75" customHeight="1">
      <c r="A2746" s="441"/>
      <c r="B2746" s="442"/>
      <c r="C2746" s="317"/>
      <c r="G2746" s="290"/>
      <c r="H2746" s="438"/>
      <c r="I2746" s="439"/>
      <c r="J2746" s="440"/>
      <c r="K2746" s="307"/>
      <c r="L2746" s="307"/>
      <c r="M2746" s="307"/>
      <c r="N2746" s="438"/>
      <c r="O2746" s="438"/>
      <c r="P2746" s="438"/>
    </row>
    <row r="2747" spans="1:16" ht="15.75" customHeight="1">
      <c r="A2747" s="441"/>
      <c r="B2747" s="442"/>
      <c r="C2747" s="317"/>
      <c r="G2747" s="290"/>
      <c r="H2747" s="438"/>
      <c r="I2747" s="439"/>
      <c r="J2747" s="440"/>
      <c r="K2747" s="307"/>
      <c r="L2747" s="307"/>
      <c r="M2747" s="307"/>
      <c r="N2747" s="438"/>
      <c r="O2747" s="438"/>
      <c r="P2747" s="438"/>
    </row>
    <row r="2748" spans="1:16" ht="15.75" customHeight="1">
      <c r="A2748" s="441"/>
      <c r="B2748" s="442"/>
      <c r="C2748" s="317"/>
      <c r="G2748" s="290"/>
      <c r="H2748" s="438"/>
      <c r="I2748" s="439"/>
      <c r="J2748" s="440"/>
      <c r="K2748" s="307"/>
      <c r="L2748" s="307"/>
      <c r="M2748" s="307"/>
      <c r="N2748" s="438"/>
      <c r="O2748" s="438"/>
      <c r="P2748" s="438"/>
    </row>
    <row r="2749" spans="1:16" ht="15.75" customHeight="1">
      <c r="A2749" s="441"/>
      <c r="B2749" s="442"/>
      <c r="C2749" s="317"/>
      <c r="G2749" s="290"/>
      <c r="H2749" s="438"/>
      <c r="I2749" s="439"/>
      <c r="J2749" s="440"/>
      <c r="K2749" s="307"/>
      <c r="L2749" s="307"/>
      <c r="M2749" s="307"/>
      <c r="N2749" s="438"/>
      <c r="O2749" s="438"/>
      <c r="P2749" s="438"/>
    </row>
    <row r="2750" spans="1:16" ht="15.75" customHeight="1">
      <c r="A2750" s="441"/>
      <c r="B2750" s="442"/>
      <c r="C2750" s="317"/>
      <c r="G2750" s="290"/>
      <c r="H2750" s="438"/>
      <c r="I2750" s="439"/>
      <c r="J2750" s="440"/>
      <c r="K2750" s="307"/>
      <c r="L2750" s="307"/>
      <c r="M2750" s="307"/>
      <c r="N2750" s="438"/>
      <c r="O2750" s="438"/>
      <c r="P2750" s="438"/>
    </row>
    <row r="2751" spans="1:16" ht="15.75" customHeight="1">
      <c r="A2751" s="441"/>
      <c r="B2751" s="442"/>
      <c r="C2751" s="317"/>
      <c r="G2751" s="290"/>
      <c r="H2751" s="438"/>
      <c r="I2751" s="439"/>
      <c r="J2751" s="440"/>
      <c r="K2751" s="307"/>
      <c r="L2751" s="307"/>
      <c r="M2751" s="307"/>
      <c r="N2751" s="438"/>
      <c r="O2751" s="438"/>
      <c r="P2751" s="438"/>
    </row>
    <row r="2752" spans="1:16" ht="15.75" customHeight="1">
      <c r="A2752" s="441"/>
      <c r="B2752" s="442"/>
      <c r="C2752" s="317"/>
      <c r="G2752" s="290"/>
      <c r="H2752" s="438"/>
      <c r="I2752" s="439"/>
      <c r="J2752" s="440"/>
      <c r="K2752" s="307"/>
      <c r="L2752" s="307"/>
      <c r="M2752" s="307"/>
      <c r="N2752" s="438"/>
      <c r="O2752" s="438"/>
      <c r="P2752" s="438"/>
    </row>
    <row r="2753" spans="1:16" ht="15.75" customHeight="1">
      <c r="A2753" s="441"/>
      <c r="B2753" s="442"/>
      <c r="C2753" s="317"/>
      <c r="G2753" s="290"/>
      <c r="H2753" s="438"/>
      <c r="I2753" s="439"/>
      <c r="J2753" s="440"/>
      <c r="K2753" s="307"/>
      <c r="L2753" s="307"/>
      <c r="M2753" s="307"/>
      <c r="N2753" s="438"/>
      <c r="O2753" s="438"/>
      <c r="P2753" s="438"/>
    </row>
    <row r="2754" spans="1:16" ht="15.75" customHeight="1">
      <c r="A2754" s="441"/>
      <c r="B2754" s="442"/>
      <c r="C2754" s="317"/>
      <c r="G2754" s="290"/>
      <c r="H2754" s="438"/>
      <c r="I2754" s="439"/>
      <c r="J2754" s="440"/>
      <c r="K2754" s="307"/>
      <c r="L2754" s="307"/>
      <c r="M2754" s="307"/>
      <c r="N2754" s="438"/>
      <c r="O2754" s="438"/>
      <c r="P2754" s="438"/>
    </row>
    <row r="2755" spans="1:16" ht="15.75" customHeight="1">
      <c r="A2755" s="441"/>
      <c r="B2755" s="442"/>
      <c r="C2755" s="317"/>
      <c r="G2755" s="290"/>
      <c r="H2755" s="438"/>
      <c r="I2755" s="439"/>
      <c r="J2755" s="440"/>
      <c r="K2755" s="307"/>
      <c r="L2755" s="307"/>
      <c r="M2755" s="307"/>
      <c r="N2755" s="438"/>
      <c r="O2755" s="438"/>
      <c r="P2755" s="438"/>
    </row>
    <row r="2756" spans="1:16" ht="15.75" customHeight="1">
      <c r="A2756" s="441"/>
      <c r="B2756" s="442"/>
      <c r="C2756" s="317"/>
      <c r="G2756" s="290"/>
      <c r="H2756" s="438"/>
      <c r="I2756" s="439"/>
      <c r="J2756" s="440"/>
      <c r="K2756" s="307"/>
      <c r="L2756" s="307"/>
      <c r="M2756" s="307"/>
      <c r="N2756" s="438"/>
      <c r="O2756" s="438"/>
      <c r="P2756" s="438"/>
    </row>
    <row r="2757" spans="1:16" ht="15.75" customHeight="1">
      <c r="A2757" s="441"/>
      <c r="B2757" s="442"/>
      <c r="C2757" s="317"/>
      <c r="G2757" s="290"/>
      <c r="H2757" s="438"/>
      <c r="I2757" s="439"/>
      <c r="J2757" s="440"/>
      <c r="K2757" s="307"/>
      <c r="L2757" s="307"/>
      <c r="M2757" s="307"/>
      <c r="N2757" s="438"/>
      <c r="O2757" s="438"/>
      <c r="P2757" s="438"/>
    </row>
    <row r="2758" spans="1:16" ht="15.75" customHeight="1">
      <c r="A2758" s="441"/>
      <c r="B2758" s="442"/>
      <c r="C2758" s="317"/>
      <c r="G2758" s="290"/>
      <c r="H2758" s="438"/>
      <c r="I2758" s="439"/>
      <c r="J2758" s="440"/>
      <c r="K2758" s="307"/>
      <c r="L2758" s="307"/>
      <c r="M2758" s="307"/>
      <c r="N2758" s="438"/>
      <c r="O2758" s="438"/>
      <c r="P2758" s="438"/>
    </row>
    <row r="2759" spans="1:16" ht="15.75" customHeight="1">
      <c r="A2759" s="441"/>
      <c r="B2759" s="442"/>
      <c r="C2759" s="317"/>
      <c r="G2759" s="290"/>
      <c r="H2759" s="438"/>
      <c r="I2759" s="439"/>
      <c r="J2759" s="440"/>
      <c r="K2759" s="307"/>
      <c r="L2759" s="307"/>
      <c r="M2759" s="307"/>
      <c r="N2759" s="438"/>
      <c r="O2759" s="438"/>
      <c r="P2759" s="438"/>
    </row>
    <row r="2760" spans="1:16" ht="15.75" customHeight="1">
      <c r="A2760" s="441"/>
      <c r="B2760" s="442"/>
      <c r="C2760" s="317"/>
      <c r="G2760" s="290"/>
      <c r="H2760" s="438"/>
      <c r="I2760" s="439"/>
      <c r="J2760" s="440"/>
      <c r="K2760" s="307"/>
      <c r="L2760" s="307"/>
      <c r="M2760" s="307"/>
      <c r="N2760" s="438"/>
      <c r="O2760" s="438"/>
      <c r="P2760" s="438"/>
    </row>
    <row r="2761" spans="1:16" ht="15.75" customHeight="1">
      <c r="A2761" s="441"/>
      <c r="B2761" s="442"/>
      <c r="C2761" s="317"/>
      <c r="G2761" s="290"/>
      <c r="H2761" s="438"/>
      <c r="I2761" s="439"/>
      <c r="J2761" s="440"/>
      <c r="K2761" s="307"/>
      <c r="L2761" s="307"/>
      <c r="M2761" s="307"/>
      <c r="N2761" s="438"/>
      <c r="O2761" s="438"/>
      <c r="P2761" s="438"/>
    </row>
    <row r="2762" spans="1:16" ht="15.75" customHeight="1">
      <c r="A2762" s="441"/>
      <c r="B2762" s="442"/>
      <c r="C2762" s="317"/>
      <c r="G2762" s="290"/>
      <c r="H2762" s="438"/>
      <c r="I2762" s="439"/>
      <c r="J2762" s="440"/>
      <c r="K2762" s="307"/>
      <c r="L2762" s="307"/>
      <c r="M2762" s="307"/>
      <c r="N2762" s="438"/>
      <c r="O2762" s="438"/>
      <c r="P2762" s="438"/>
    </row>
    <row r="2763" spans="1:16" ht="15.75" customHeight="1">
      <c r="A2763" s="441"/>
      <c r="B2763" s="442"/>
      <c r="C2763" s="317"/>
      <c r="G2763" s="290"/>
      <c r="H2763" s="438"/>
      <c r="I2763" s="439"/>
      <c r="J2763" s="440"/>
      <c r="K2763" s="307"/>
      <c r="L2763" s="307"/>
      <c r="M2763" s="307"/>
      <c r="N2763" s="438"/>
      <c r="O2763" s="438"/>
      <c r="P2763" s="438"/>
    </row>
    <row r="2764" spans="1:16" ht="15.75" customHeight="1">
      <c r="A2764" s="441"/>
      <c r="B2764" s="442"/>
      <c r="C2764" s="317"/>
      <c r="G2764" s="290"/>
      <c r="H2764" s="438"/>
      <c r="I2764" s="439"/>
      <c r="J2764" s="440"/>
      <c r="K2764" s="307"/>
      <c r="L2764" s="307"/>
      <c r="M2764" s="307"/>
      <c r="N2764" s="438"/>
      <c r="O2764" s="438"/>
      <c r="P2764" s="438"/>
    </row>
    <row r="2765" spans="1:16" ht="15.75" customHeight="1">
      <c r="A2765" s="441"/>
      <c r="B2765" s="442"/>
      <c r="C2765" s="317"/>
      <c r="G2765" s="290"/>
      <c r="H2765" s="438"/>
      <c r="I2765" s="439"/>
      <c r="J2765" s="440"/>
      <c r="K2765" s="307"/>
      <c r="L2765" s="307"/>
      <c r="M2765" s="307"/>
      <c r="N2765" s="438"/>
      <c r="O2765" s="438"/>
      <c r="P2765" s="438"/>
    </row>
    <row r="2766" spans="1:16" ht="15.75" customHeight="1">
      <c r="A2766" s="441"/>
      <c r="B2766" s="442"/>
      <c r="C2766" s="317"/>
      <c r="G2766" s="290"/>
      <c r="H2766" s="438"/>
      <c r="I2766" s="439"/>
      <c r="J2766" s="440"/>
      <c r="K2766" s="307"/>
      <c r="L2766" s="307"/>
      <c r="M2766" s="307"/>
      <c r="N2766" s="438"/>
      <c r="O2766" s="438"/>
      <c r="P2766" s="438"/>
    </row>
    <row r="2767" spans="1:16" ht="15.75" customHeight="1">
      <c r="A2767" s="441"/>
      <c r="B2767" s="442"/>
      <c r="C2767" s="317"/>
      <c r="G2767" s="290"/>
      <c r="H2767" s="438"/>
      <c r="I2767" s="439"/>
      <c r="J2767" s="440"/>
      <c r="K2767" s="307"/>
      <c r="L2767" s="307"/>
      <c r="M2767" s="307"/>
      <c r="N2767" s="438"/>
      <c r="O2767" s="438"/>
      <c r="P2767" s="438"/>
    </row>
    <row r="2768" spans="1:16" ht="15.75" customHeight="1">
      <c r="A2768" s="441"/>
      <c r="B2768" s="442"/>
      <c r="C2768" s="317"/>
      <c r="G2768" s="290"/>
      <c r="H2768" s="438"/>
      <c r="I2768" s="439"/>
      <c r="J2768" s="440"/>
      <c r="K2768" s="307"/>
      <c r="L2768" s="307"/>
      <c r="M2768" s="307"/>
      <c r="N2768" s="438"/>
      <c r="O2768" s="438"/>
      <c r="P2768" s="438"/>
    </row>
    <row r="2769" spans="1:16" ht="15.75" customHeight="1">
      <c r="A2769" s="441"/>
      <c r="B2769" s="442"/>
      <c r="C2769" s="317"/>
      <c r="G2769" s="290"/>
      <c r="H2769" s="438"/>
      <c r="I2769" s="439"/>
      <c r="J2769" s="440"/>
      <c r="K2769" s="307"/>
      <c r="L2769" s="307"/>
      <c r="M2769" s="307"/>
      <c r="N2769" s="438"/>
      <c r="O2769" s="438"/>
      <c r="P2769" s="438"/>
    </row>
    <row r="2770" spans="1:16" ht="15.75" customHeight="1">
      <c r="A2770" s="441"/>
      <c r="B2770" s="442"/>
      <c r="C2770" s="317"/>
      <c r="G2770" s="290"/>
      <c r="H2770" s="438"/>
      <c r="I2770" s="439"/>
      <c r="J2770" s="440"/>
      <c r="K2770" s="307"/>
      <c r="L2770" s="307"/>
      <c r="M2770" s="307"/>
      <c r="N2770" s="438"/>
      <c r="O2770" s="438"/>
      <c r="P2770" s="438"/>
    </row>
    <row r="2771" spans="1:16" ht="15.75" customHeight="1">
      <c r="A2771" s="441"/>
      <c r="B2771" s="442"/>
      <c r="C2771" s="317"/>
      <c r="G2771" s="290"/>
      <c r="H2771" s="438"/>
      <c r="I2771" s="439"/>
      <c r="J2771" s="440"/>
      <c r="K2771" s="307"/>
      <c r="L2771" s="307"/>
      <c r="M2771" s="307"/>
      <c r="N2771" s="438"/>
      <c r="O2771" s="438"/>
      <c r="P2771" s="438"/>
    </row>
    <row r="2772" spans="1:16" ht="15.75" customHeight="1">
      <c r="A2772" s="441"/>
      <c r="B2772" s="442"/>
      <c r="C2772" s="317"/>
      <c r="G2772" s="290"/>
      <c r="H2772" s="438"/>
      <c r="I2772" s="439"/>
      <c r="J2772" s="440"/>
      <c r="K2772" s="307"/>
      <c r="L2772" s="307"/>
      <c r="M2772" s="307"/>
      <c r="N2772" s="438"/>
      <c r="O2772" s="438"/>
      <c r="P2772" s="438"/>
    </row>
    <row r="2773" spans="1:16" ht="15.75" customHeight="1">
      <c r="A2773" s="441"/>
      <c r="B2773" s="442"/>
      <c r="C2773" s="317"/>
      <c r="G2773" s="290"/>
      <c r="H2773" s="438"/>
      <c r="I2773" s="439"/>
      <c r="J2773" s="440"/>
      <c r="K2773" s="307"/>
      <c r="L2773" s="307"/>
      <c r="M2773" s="307"/>
      <c r="N2773" s="438"/>
      <c r="O2773" s="438"/>
      <c r="P2773" s="438"/>
    </row>
    <row r="2774" spans="1:16" ht="15.75" customHeight="1">
      <c r="A2774" s="441"/>
      <c r="B2774" s="442"/>
      <c r="C2774" s="317"/>
      <c r="G2774" s="290"/>
      <c r="H2774" s="438"/>
      <c r="I2774" s="439"/>
      <c r="J2774" s="440"/>
      <c r="K2774" s="307"/>
      <c r="L2774" s="307"/>
      <c r="M2774" s="307"/>
      <c r="N2774" s="438"/>
      <c r="O2774" s="438"/>
      <c r="P2774" s="438"/>
    </row>
    <row r="2775" spans="1:16" ht="15.75" customHeight="1">
      <c r="A2775" s="441"/>
      <c r="B2775" s="442"/>
      <c r="C2775" s="317"/>
      <c r="G2775" s="290"/>
      <c r="H2775" s="438"/>
      <c r="I2775" s="439"/>
      <c r="J2775" s="440"/>
      <c r="K2775" s="307"/>
      <c r="L2775" s="307"/>
      <c r="M2775" s="307"/>
      <c r="N2775" s="438"/>
      <c r="O2775" s="438"/>
      <c r="P2775" s="438"/>
    </row>
    <row r="2776" spans="1:16" ht="15.75" customHeight="1">
      <c r="A2776" s="441"/>
      <c r="B2776" s="442"/>
      <c r="C2776" s="317"/>
      <c r="G2776" s="290"/>
      <c r="H2776" s="438"/>
      <c r="I2776" s="439"/>
      <c r="J2776" s="440"/>
      <c r="K2776" s="307"/>
      <c r="L2776" s="307"/>
      <c r="M2776" s="307"/>
      <c r="N2776" s="438"/>
      <c r="O2776" s="438"/>
      <c r="P2776" s="438"/>
    </row>
    <row r="2777" spans="1:16" ht="15.75" customHeight="1">
      <c r="A2777" s="441"/>
      <c r="B2777" s="442"/>
      <c r="C2777" s="317"/>
      <c r="G2777" s="290"/>
      <c r="H2777" s="438"/>
      <c r="I2777" s="439"/>
      <c r="J2777" s="440"/>
      <c r="K2777" s="307"/>
      <c r="L2777" s="307"/>
      <c r="M2777" s="307"/>
      <c r="N2777" s="438"/>
      <c r="O2777" s="438"/>
      <c r="P2777" s="438"/>
    </row>
    <row r="2778" spans="1:16" ht="15.75" customHeight="1">
      <c r="A2778" s="441"/>
      <c r="B2778" s="442"/>
      <c r="C2778" s="317"/>
      <c r="G2778" s="290"/>
      <c r="H2778" s="438"/>
      <c r="I2778" s="439"/>
      <c r="J2778" s="440"/>
      <c r="K2778" s="307"/>
      <c r="L2778" s="307"/>
      <c r="M2778" s="307"/>
      <c r="N2778" s="438"/>
      <c r="O2778" s="438"/>
      <c r="P2778" s="438"/>
    </row>
    <row r="2779" spans="1:16" ht="15.75" customHeight="1">
      <c r="A2779" s="441"/>
      <c r="B2779" s="442"/>
      <c r="C2779" s="317"/>
      <c r="G2779" s="290"/>
      <c r="H2779" s="438"/>
      <c r="I2779" s="439"/>
      <c r="J2779" s="440"/>
      <c r="K2779" s="307"/>
      <c r="L2779" s="307"/>
      <c r="M2779" s="307"/>
      <c r="N2779" s="438"/>
      <c r="O2779" s="438"/>
      <c r="P2779" s="438"/>
    </row>
    <row r="2780" spans="1:16" ht="15.75" customHeight="1">
      <c r="A2780" s="441"/>
      <c r="B2780" s="442"/>
      <c r="C2780" s="317"/>
      <c r="G2780" s="290"/>
      <c r="H2780" s="438"/>
      <c r="I2780" s="439"/>
      <c r="J2780" s="440"/>
      <c r="K2780" s="307"/>
      <c r="L2780" s="307"/>
      <c r="M2780" s="307"/>
      <c r="N2780" s="438"/>
      <c r="O2780" s="438"/>
      <c r="P2780" s="438"/>
    </row>
    <row r="2781" spans="1:16" ht="15.75" customHeight="1">
      <c r="A2781" s="441"/>
      <c r="B2781" s="442"/>
      <c r="C2781" s="317"/>
      <c r="G2781" s="290"/>
      <c r="H2781" s="438"/>
      <c r="I2781" s="439"/>
      <c r="J2781" s="440"/>
      <c r="K2781" s="307"/>
      <c r="L2781" s="307"/>
      <c r="M2781" s="307"/>
      <c r="N2781" s="438"/>
      <c r="O2781" s="438"/>
      <c r="P2781" s="438"/>
    </row>
    <row r="2782" spans="1:16" ht="15.75" customHeight="1">
      <c r="A2782" s="441"/>
      <c r="B2782" s="442"/>
      <c r="C2782" s="317"/>
      <c r="G2782" s="290"/>
      <c r="H2782" s="438"/>
      <c r="I2782" s="439"/>
      <c r="J2782" s="440"/>
      <c r="K2782" s="307"/>
      <c r="L2782" s="307"/>
      <c r="M2782" s="307"/>
      <c r="N2782" s="438"/>
      <c r="O2782" s="438"/>
      <c r="P2782" s="438"/>
    </row>
    <row r="2783" spans="1:16" ht="15.75" customHeight="1">
      <c r="A2783" s="441"/>
      <c r="B2783" s="442"/>
      <c r="C2783" s="317"/>
      <c r="G2783" s="290"/>
      <c r="H2783" s="438"/>
      <c r="I2783" s="439"/>
      <c r="J2783" s="440"/>
      <c r="K2783" s="307"/>
      <c r="L2783" s="307"/>
      <c r="M2783" s="307"/>
      <c r="N2783" s="438"/>
      <c r="O2783" s="438"/>
      <c r="P2783" s="438"/>
    </row>
    <row r="2784" spans="1:16" ht="15.75" customHeight="1">
      <c r="A2784" s="441"/>
      <c r="B2784" s="442"/>
      <c r="C2784" s="317"/>
      <c r="G2784" s="290"/>
      <c r="H2784" s="438"/>
      <c r="I2784" s="439"/>
      <c r="J2784" s="440"/>
      <c r="K2784" s="307"/>
      <c r="L2784" s="307"/>
      <c r="M2784" s="307"/>
      <c r="N2784" s="438"/>
      <c r="O2784" s="438"/>
      <c r="P2784" s="438"/>
    </row>
    <row r="2785" spans="1:16" ht="15.75" customHeight="1">
      <c r="A2785" s="441"/>
      <c r="B2785" s="442"/>
      <c r="C2785" s="317"/>
      <c r="G2785" s="290"/>
      <c r="H2785" s="438"/>
      <c r="I2785" s="439"/>
      <c r="J2785" s="440"/>
      <c r="K2785" s="307"/>
      <c r="L2785" s="307"/>
      <c r="M2785" s="307"/>
      <c r="N2785" s="438"/>
      <c r="O2785" s="438"/>
      <c r="P2785" s="438"/>
    </row>
    <row r="2786" spans="1:16" ht="15.75" customHeight="1">
      <c r="A2786" s="441"/>
      <c r="B2786" s="442"/>
      <c r="C2786" s="317"/>
      <c r="G2786" s="290"/>
      <c r="H2786" s="438"/>
      <c r="I2786" s="439"/>
      <c r="J2786" s="440"/>
      <c r="K2786" s="307"/>
      <c r="L2786" s="307"/>
      <c r="M2786" s="307"/>
      <c r="N2786" s="438"/>
      <c r="O2786" s="438"/>
      <c r="P2786" s="438"/>
    </row>
    <row r="2787" spans="1:16" ht="15.75" customHeight="1">
      <c r="A2787" s="441"/>
      <c r="B2787" s="442"/>
      <c r="C2787" s="317"/>
      <c r="G2787" s="290"/>
      <c r="H2787" s="438"/>
      <c r="I2787" s="439"/>
      <c r="J2787" s="440"/>
      <c r="K2787" s="307"/>
      <c r="L2787" s="307"/>
      <c r="M2787" s="307"/>
      <c r="N2787" s="438"/>
      <c r="O2787" s="438"/>
      <c r="P2787" s="438"/>
    </row>
    <row r="2788" spans="1:16" ht="15.75" customHeight="1">
      <c r="A2788" s="441"/>
      <c r="B2788" s="442"/>
      <c r="C2788" s="317"/>
      <c r="G2788" s="290"/>
      <c r="H2788" s="438"/>
      <c r="I2788" s="439"/>
      <c r="J2788" s="440"/>
      <c r="K2788" s="307"/>
      <c r="L2788" s="307"/>
      <c r="M2788" s="307"/>
      <c r="N2788" s="438"/>
      <c r="O2788" s="438"/>
      <c r="P2788" s="438"/>
    </row>
    <row r="2789" spans="1:16" ht="15.75" customHeight="1">
      <c r="A2789" s="441"/>
      <c r="B2789" s="442"/>
      <c r="C2789" s="317"/>
      <c r="G2789" s="290"/>
      <c r="H2789" s="438"/>
      <c r="I2789" s="439"/>
      <c r="J2789" s="440"/>
      <c r="K2789" s="307"/>
      <c r="L2789" s="307"/>
      <c r="M2789" s="307"/>
      <c r="N2789" s="438"/>
      <c r="O2789" s="438"/>
      <c r="P2789" s="438"/>
    </row>
    <row r="2790" spans="1:16" ht="15.75" customHeight="1">
      <c r="A2790" s="441"/>
      <c r="B2790" s="442"/>
      <c r="C2790" s="317"/>
      <c r="G2790" s="290"/>
      <c r="H2790" s="438"/>
      <c r="I2790" s="439"/>
      <c r="J2790" s="440"/>
      <c r="K2790" s="307"/>
      <c r="L2790" s="307"/>
      <c r="M2790" s="307"/>
      <c r="N2790" s="438"/>
      <c r="O2790" s="438"/>
      <c r="P2790" s="438"/>
    </row>
    <row r="2791" spans="1:16" ht="15.75" customHeight="1">
      <c r="A2791" s="441"/>
      <c r="B2791" s="442"/>
      <c r="C2791" s="317"/>
      <c r="G2791" s="290"/>
      <c r="H2791" s="438"/>
      <c r="I2791" s="439"/>
      <c r="J2791" s="440"/>
      <c r="K2791" s="307"/>
      <c r="L2791" s="307"/>
      <c r="M2791" s="307"/>
      <c r="N2791" s="438"/>
      <c r="O2791" s="438"/>
      <c r="P2791" s="438"/>
    </row>
    <row r="2792" spans="1:16" ht="15.75" customHeight="1">
      <c r="A2792" s="441"/>
      <c r="B2792" s="442"/>
      <c r="C2792" s="317"/>
      <c r="G2792" s="290"/>
      <c r="H2792" s="438"/>
      <c r="I2792" s="439"/>
      <c r="J2792" s="440"/>
      <c r="K2792" s="307"/>
      <c r="L2792" s="307"/>
      <c r="M2792" s="307"/>
      <c r="N2792" s="438"/>
      <c r="O2792" s="438"/>
      <c r="P2792" s="438"/>
    </row>
    <row r="2793" spans="1:16" ht="15.75" customHeight="1">
      <c r="A2793" s="441"/>
      <c r="B2793" s="442"/>
      <c r="C2793" s="317"/>
      <c r="G2793" s="290"/>
      <c r="H2793" s="438"/>
      <c r="I2793" s="439"/>
      <c r="J2793" s="440"/>
      <c r="K2793" s="307"/>
      <c r="L2793" s="307"/>
      <c r="M2793" s="307"/>
      <c r="N2793" s="438"/>
      <c r="O2793" s="438"/>
      <c r="P2793" s="438"/>
    </row>
    <row r="2794" spans="1:16" ht="15.75" customHeight="1">
      <c r="A2794" s="441"/>
      <c r="B2794" s="442"/>
      <c r="C2794" s="317"/>
      <c r="G2794" s="290"/>
      <c r="H2794" s="438"/>
      <c r="I2794" s="439"/>
      <c r="J2794" s="440"/>
      <c r="K2794" s="307"/>
      <c r="L2794" s="307"/>
      <c r="M2794" s="307"/>
      <c r="N2794" s="438"/>
      <c r="O2794" s="438"/>
      <c r="P2794" s="438"/>
    </row>
    <row r="2795" spans="1:16" ht="15.75" customHeight="1">
      <c r="A2795" s="441"/>
      <c r="B2795" s="442"/>
      <c r="C2795" s="317"/>
      <c r="G2795" s="290"/>
      <c r="H2795" s="438"/>
      <c r="I2795" s="439"/>
      <c r="J2795" s="440"/>
      <c r="K2795" s="307"/>
      <c r="L2795" s="307"/>
      <c r="M2795" s="307"/>
      <c r="N2795" s="438"/>
      <c r="O2795" s="438"/>
      <c r="P2795" s="438"/>
    </row>
    <row r="2796" spans="1:16" ht="15.75" customHeight="1">
      <c r="A2796" s="441"/>
      <c r="B2796" s="442"/>
      <c r="C2796" s="317"/>
      <c r="G2796" s="290"/>
      <c r="H2796" s="438"/>
      <c r="I2796" s="439"/>
      <c r="J2796" s="440"/>
      <c r="K2796" s="307"/>
      <c r="L2796" s="307"/>
      <c r="M2796" s="307"/>
      <c r="N2796" s="438"/>
      <c r="O2796" s="438"/>
      <c r="P2796" s="438"/>
    </row>
    <row r="2797" spans="1:16" ht="15.75" customHeight="1">
      <c r="A2797" s="441"/>
      <c r="B2797" s="442"/>
      <c r="C2797" s="317"/>
      <c r="G2797" s="290"/>
      <c r="H2797" s="438"/>
      <c r="I2797" s="439"/>
      <c r="J2797" s="440"/>
      <c r="K2797" s="307"/>
      <c r="L2797" s="307"/>
      <c r="M2797" s="307"/>
      <c r="N2797" s="438"/>
      <c r="O2797" s="438"/>
      <c r="P2797" s="438"/>
    </row>
    <row r="2798" spans="1:16" ht="15.75" customHeight="1">
      <c r="A2798" s="441"/>
      <c r="B2798" s="442"/>
      <c r="C2798" s="317"/>
      <c r="G2798" s="290"/>
      <c r="H2798" s="438"/>
      <c r="I2798" s="439"/>
      <c r="J2798" s="440"/>
      <c r="K2798" s="307"/>
      <c r="L2798" s="307"/>
      <c r="M2798" s="307"/>
      <c r="N2798" s="438"/>
      <c r="O2798" s="438"/>
      <c r="P2798" s="438"/>
    </row>
    <row r="2799" spans="1:16" ht="15.75" customHeight="1">
      <c r="A2799" s="441"/>
      <c r="B2799" s="442"/>
      <c r="C2799" s="317"/>
      <c r="G2799" s="290"/>
      <c r="H2799" s="438"/>
      <c r="I2799" s="439"/>
      <c r="J2799" s="440"/>
      <c r="K2799" s="307"/>
      <c r="L2799" s="307"/>
      <c r="M2799" s="307"/>
      <c r="N2799" s="438"/>
      <c r="O2799" s="438"/>
      <c r="P2799" s="438"/>
    </row>
    <row r="2800" spans="1:16" ht="15.75" customHeight="1">
      <c r="A2800" s="441"/>
      <c r="B2800" s="442"/>
      <c r="C2800" s="317"/>
      <c r="G2800" s="290"/>
      <c r="H2800" s="438"/>
      <c r="I2800" s="439"/>
      <c r="J2800" s="440"/>
      <c r="K2800" s="307"/>
      <c r="L2800" s="307"/>
      <c r="M2800" s="307"/>
      <c r="N2800" s="438"/>
      <c r="O2800" s="438"/>
      <c r="P2800" s="438"/>
    </row>
    <row r="2801" spans="1:16" ht="15.75" customHeight="1">
      <c r="A2801" s="441"/>
      <c r="B2801" s="442"/>
      <c r="C2801" s="317"/>
      <c r="G2801" s="290"/>
      <c r="H2801" s="438"/>
      <c r="I2801" s="439"/>
      <c r="J2801" s="440"/>
      <c r="K2801" s="307"/>
      <c r="L2801" s="307"/>
      <c r="M2801" s="307"/>
      <c r="N2801" s="438"/>
      <c r="O2801" s="438"/>
      <c r="P2801" s="438"/>
    </row>
    <row r="2802" spans="1:16" ht="15.75" customHeight="1">
      <c r="A2802" s="441"/>
      <c r="B2802" s="442"/>
      <c r="C2802" s="317"/>
      <c r="G2802" s="290"/>
      <c r="H2802" s="438"/>
      <c r="I2802" s="439"/>
      <c r="J2802" s="440"/>
      <c r="K2802" s="307"/>
      <c r="L2802" s="307"/>
      <c r="M2802" s="307"/>
      <c r="N2802" s="438"/>
      <c r="O2802" s="438"/>
      <c r="P2802" s="438"/>
    </row>
    <row r="2803" spans="1:16" ht="15.75" customHeight="1">
      <c r="A2803" s="441"/>
      <c r="B2803" s="442"/>
      <c r="C2803" s="317"/>
      <c r="G2803" s="290"/>
      <c r="H2803" s="438"/>
      <c r="I2803" s="439"/>
      <c r="J2803" s="440"/>
      <c r="K2803" s="307"/>
      <c r="L2803" s="307"/>
      <c r="M2803" s="307"/>
      <c r="N2803" s="438"/>
      <c r="O2803" s="438"/>
      <c r="P2803" s="438"/>
    </row>
    <row r="2804" spans="1:16" ht="15.75" customHeight="1">
      <c r="A2804" s="441"/>
      <c r="B2804" s="442"/>
      <c r="C2804" s="317"/>
      <c r="G2804" s="290"/>
      <c r="H2804" s="438"/>
      <c r="I2804" s="439"/>
      <c r="J2804" s="440"/>
      <c r="K2804" s="307"/>
      <c r="L2804" s="307"/>
      <c r="M2804" s="307"/>
      <c r="N2804" s="438"/>
      <c r="O2804" s="438"/>
      <c r="P2804" s="438"/>
    </row>
    <row r="2805" spans="1:16" ht="15.75" customHeight="1">
      <c r="A2805" s="441"/>
      <c r="B2805" s="442"/>
      <c r="C2805" s="317"/>
      <c r="G2805" s="290"/>
      <c r="H2805" s="438"/>
      <c r="I2805" s="439"/>
      <c r="J2805" s="440"/>
      <c r="K2805" s="307"/>
      <c r="L2805" s="307"/>
      <c r="M2805" s="307"/>
      <c r="N2805" s="438"/>
      <c r="O2805" s="438"/>
      <c r="P2805" s="438"/>
    </row>
    <row r="2806" spans="1:16" ht="15.75" customHeight="1">
      <c r="A2806" s="441"/>
      <c r="B2806" s="442"/>
      <c r="C2806" s="317"/>
      <c r="G2806" s="290"/>
      <c r="H2806" s="438"/>
      <c r="I2806" s="439"/>
      <c r="J2806" s="440"/>
      <c r="K2806" s="307"/>
      <c r="L2806" s="307"/>
      <c r="M2806" s="307"/>
      <c r="N2806" s="438"/>
      <c r="O2806" s="438"/>
      <c r="P2806" s="438"/>
    </row>
    <row r="2807" spans="1:16" ht="15.75" customHeight="1">
      <c r="A2807" s="441"/>
      <c r="B2807" s="442"/>
      <c r="C2807" s="317"/>
      <c r="G2807" s="290"/>
      <c r="H2807" s="438"/>
      <c r="I2807" s="439"/>
      <c r="J2807" s="440"/>
      <c r="K2807" s="307"/>
      <c r="L2807" s="307"/>
      <c r="M2807" s="307"/>
      <c r="N2807" s="438"/>
      <c r="O2807" s="438"/>
      <c r="P2807" s="438"/>
    </row>
    <row r="2808" spans="1:16" ht="15.75" customHeight="1">
      <c r="A2808" s="441"/>
      <c r="B2808" s="442"/>
      <c r="C2808" s="317"/>
      <c r="G2808" s="290"/>
      <c r="H2808" s="438"/>
      <c r="I2808" s="439"/>
      <c r="J2808" s="440"/>
      <c r="K2808" s="307"/>
      <c r="L2808" s="307"/>
      <c r="M2808" s="307"/>
      <c r="N2808" s="438"/>
      <c r="O2808" s="438"/>
      <c r="P2808" s="438"/>
    </row>
    <row r="2809" spans="1:16" ht="15.75" customHeight="1">
      <c r="A2809" s="441"/>
      <c r="B2809" s="442"/>
      <c r="C2809" s="317"/>
      <c r="G2809" s="290"/>
      <c r="H2809" s="438"/>
      <c r="I2809" s="439"/>
      <c r="J2809" s="440"/>
      <c r="K2809" s="307"/>
      <c r="L2809" s="307"/>
      <c r="M2809" s="307"/>
      <c r="N2809" s="438"/>
      <c r="O2809" s="438"/>
      <c r="P2809" s="438"/>
    </row>
    <row r="2810" spans="1:16" ht="15.75" customHeight="1">
      <c r="A2810" s="441"/>
      <c r="B2810" s="442"/>
      <c r="C2810" s="317"/>
      <c r="G2810" s="290"/>
      <c r="H2810" s="438"/>
      <c r="I2810" s="439"/>
      <c r="J2810" s="440"/>
      <c r="K2810" s="307"/>
      <c r="L2810" s="307"/>
      <c r="M2810" s="307"/>
      <c r="N2810" s="438"/>
      <c r="O2810" s="438"/>
      <c r="P2810" s="438"/>
    </row>
    <row r="2811" spans="1:16" ht="15.75" customHeight="1">
      <c r="A2811" s="441"/>
      <c r="B2811" s="442"/>
      <c r="C2811" s="317"/>
      <c r="G2811" s="290"/>
      <c r="H2811" s="438"/>
      <c r="I2811" s="439"/>
      <c r="J2811" s="440"/>
      <c r="K2811" s="307"/>
      <c r="L2811" s="307"/>
      <c r="M2811" s="307"/>
      <c r="N2811" s="438"/>
      <c r="O2811" s="438"/>
      <c r="P2811" s="438"/>
    </row>
    <row r="2812" spans="1:16" ht="15.75" customHeight="1">
      <c r="A2812" s="441"/>
      <c r="B2812" s="442"/>
      <c r="C2812" s="317"/>
      <c r="G2812" s="290"/>
      <c r="H2812" s="438"/>
      <c r="I2812" s="439"/>
      <c r="J2812" s="440"/>
      <c r="K2812" s="307"/>
      <c r="L2812" s="307"/>
      <c r="M2812" s="307"/>
      <c r="N2812" s="438"/>
      <c r="O2812" s="438"/>
      <c r="P2812" s="438"/>
    </row>
    <row r="2813" spans="1:16" ht="15.75" customHeight="1">
      <c r="A2813" s="441"/>
      <c r="B2813" s="442"/>
      <c r="C2813" s="317"/>
      <c r="G2813" s="290"/>
      <c r="H2813" s="438"/>
      <c r="I2813" s="439"/>
      <c r="J2813" s="440"/>
      <c r="K2813" s="307"/>
      <c r="L2813" s="307"/>
      <c r="M2813" s="307"/>
      <c r="N2813" s="438"/>
      <c r="O2813" s="438"/>
      <c r="P2813" s="438"/>
    </row>
    <row r="2814" spans="1:16" ht="15.75" customHeight="1">
      <c r="A2814" s="441"/>
      <c r="B2814" s="442"/>
      <c r="C2814" s="317"/>
      <c r="G2814" s="290"/>
      <c r="H2814" s="438"/>
      <c r="I2814" s="439"/>
      <c r="J2814" s="440"/>
      <c r="K2814" s="307"/>
      <c r="L2814" s="307"/>
      <c r="M2814" s="307"/>
      <c r="N2814" s="438"/>
      <c r="O2814" s="438"/>
      <c r="P2814" s="438"/>
    </row>
    <row r="2815" spans="1:16" ht="15.75" customHeight="1">
      <c r="A2815" s="441"/>
      <c r="B2815" s="442"/>
      <c r="C2815" s="317"/>
      <c r="G2815" s="290"/>
      <c r="H2815" s="438"/>
      <c r="I2815" s="439"/>
      <c r="J2815" s="440"/>
      <c r="K2815" s="307"/>
      <c r="L2815" s="307"/>
      <c r="M2815" s="307"/>
      <c r="N2815" s="438"/>
      <c r="O2815" s="438"/>
      <c r="P2815" s="438"/>
    </row>
    <row r="2816" spans="1:16" ht="15.75" customHeight="1">
      <c r="A2816" s="441"/>
      <c r="B2816" s="442"/>
      <c r="C2816" s="317"/>
      <c r="G2816" s="290"/>
      <c r="H2816" s="438"/>
      <c r="I2816" s="439"/>
      <c r="J2816" s="440"/>
      <c r="K2816" s="307"/>
      <c r="L2816" s="307"/>
      <c r="M2816" s="307"/>
      <c r="N2816" s="438"/>
      <c r="O2816" s="438"/>
      <c r="P2816" s="438"/>
    </row>
    <row r="2817" spans="1:16" ht="15.75" customHeight="1">
      <c r="A2817" s="441"/>
      <c r="B2817" s="442"/>
      <c r="C2817" s="317"/>
      <c r="G2817" s="290"/>
      <c r="H2817" s="438"/>
      <c r="I2817" s="439"/>
      <c r="J2817" s="440"/>
      <c r="K2817" s="307"/>
      <c r="L2817" s="307"/>
      <c r="M2817" s="307"/>
      <c r="N2817" s="438"/>
      <c r="O2817" s="438"/>
      <c r="P2817" s="438"/>
    </row>
    <row r="2818" spans="1:16" ht="15.75" customHeight="1">
      <c r="A2818" s="441"/>
      <c r="B2818" s="442"/>
      <c r="C2818" s="317"/>
      <c r="G2818" s="290"/>
      <c r="H2818" s="438"/>
      <c r="I2818" s="439"/>
      <c r="J2818" s="440"/>
      <c r="K2818" s="307"/>
      <c r="L2818" s="307"/>
      <c r="M2818" s="307"/>
      <c r="N2818" s="438"/>
      <c r="O2818" s="438"/>
      <c r="P2818" s="438"/>
    </row>
    <row r="2819" spans="1:16" ht="15.75" customHeight="1">
      <c r="A2819" s="441"/>
      <c r="B2819" s="442"/>
      <c r="C2819" s="317"/>
      <c r="G2819" s="290"/>
      <c r="H2819" s="438"/>
      <c r="I2819" s="439"/>
      <c r="J2819" s="440"/>
      <c r="K2819" s="307"/>
      <c r="L2819" s="307"/>
      <c r="M2819" s="307"/>
      <c r="N2819" s="438"/>
      <c r="O2819" s="438"/>
      <c r="P2819" s="438"/>
    </row>
    <row r="2820" spans="1:16" ht="15.75" customHeight="1">
      <c r="A2820" s="441"/>
      <c r="B2820" s="442"/>
      <c r="C2820" s="317"/>
      <c r="G2820" s="290"/>
      <c r="H2820" s="438"/>
      <c r="I2820" s="439"/>
      <c r="J2820" s="440"/>
      <c r="K2820" s="307"/>
      <c r="L2820" s="307"/>
      <c r="M2820" s="307"/>
      <c r="N2820" s="438"/>
      <c r="O2820" s="438"/>
      <c r="P2820" s="438"/>
    </row>
    <row r="2821" spans="1:16" ht="15.75" customHeight="1">
      <c r="A2821" s="441"/>
      <c r="B2821" s="442"/>
      <c r="C2821" s="317"/>
      <c r="G2821" s="290"/>
      <c r="H2821" s="438"/>
      <c r="I2821" s="439"/>
      <c r="J2821" s="440"/>
      <c r="K2821" s="307"/>
      <c r="L2821" s="307"/>
      <c r="M2821" s="307"/>
      <c r="N2821" s="438"/>
      <c r="O2821" s="438"/>
      <c r="P2821" s="438"/>
    </row>
    <row r="2822" spans="1:16" ht="15.75" customHeight="1">
      <c r="A2822" s="441"/>
      <c r="B2822" s="442"/>
      <c r="C2822" s="317"/>
      <c r="G2822" s="290"/>
      <c r="H2822" s="438"/>
      <c r="I2822" s="439"/>
      <c r="J2822" s="440"/>
      <c r="K2822" s="307"/>
      <c r="L2822" s="307"/>
      <c r="M2822" s="307"/>
      <c r="N2822" s="438"/>
      <c r="O2822" s="438"/>
      <c r="P2822" s="438"/>
    </row>
    <row r="2823" spans="1:16" ht="15.75" customHeight="1">
      <c r="A2823" s="441"/>
      <c r="B2823" s="442"/>
      <c r="C2823" s="317"/>
      <c r="G2823" s="290"/>
      <c r="H2823" s="438"/>
      <c r="I2823" s="439"/>
      <c r="J2823" s="440"/>
      <c r="K2823" s="307"/>
      <c r="L2823" s="307"/>
      <c r="M2823" s="307"/>
      <c r="N2823" s="438"/>
      <c r="O2823" s="438"/>
      <c r="P2823" s="438"/>
    </row>
    <row r="2824" spans="1:16" ht="15.75" customHeight="1">
      <c r="A2824" s="441"/>
      <c r="B2824" s="442"/>
      <c r="C2824" s="317"/>
      <c r="G2824" s="290"/>
      <c r="H2824" s="438"/>
      <c r="I2824" s="439"/>
      <c r="J2824" s="440"/>
      <c r="K2824" s="307"/>
      <c r="L2824" s="307"/>
      <c r="M2824" s="307"/>
      <c r="N2824" s="438"/>
      <c r="O2824" s="438"/>
      <c r="P2824" s="438"/>
    </row>
    <row r="2825" spans="1:16" ht="15.75" customHeight="1">
      <c r="A2825" s="441"/>
      <c r="B2825" s="442"/>
      <c r="C2825" s="317"/>
      <c r="G2825" s="290"/>
      <c r="H2825" s="438"/>
      <c r="I2825" s="439"/>
      <c r="J2825" s="440"/>
      <c r="K2825" s="307"/>
      <c r="L2825" s="307"/>
      <c r="M2825" s="307"/>
      <c r="N2825" s="438"/>
      <c r="O2825" s="438"/>
      <c r="P2825" s="438"/>
    </row>
    <row r="2826" spans="1:16" ht="15.75" customHeight="1">
      <c r="A2826" s="441"/>
      <c r="B2826" s="442"/>
      <c r="C2826" s="317"/>
      <c r="G2826" s="290"/>
      <c r="H2826" s="438"/>
      <c r="I2826" s="439"/>
      <c r="J2826" s="440"/>
      <c r="K2826" s="307"/>
      <c r="L2826" s="307"/>
      <c r="M2826" s="307"/>
      <c r="N2826" s="438"/>
      <c r="O2826" s="438"/>
      <c r="P2826" s="438"/>
    </row>
    <row r="2827" spans="1:16" ht="15.75" customHeight="1">
      <c r="A2827" s="441"/>
      <c r="B2827" s="442"/>
      <c r="C2827" s="317"/>
      <c r="G2827" s="290"/>
      <c r="H2827" s="438"/>
      <c r="I2827" s="439"/>
      <c r="J2827" s="440"/>
      <c r="K2827" s="307"/>
      <c r="L2827" s="307"/>
      <c r="M2827" s="307"/>
      <c r="N2827" s="438"/>
      <c r="O2827" s="438"/>
      <c r="P2827" s="438"/>
    </row>
    <row r="2828" spans="1:16" ht="15.75" customHeight="1">
      <c r="A2828" s="441"/>
      <c r="B2828" s="442"/>
      <c r="C2828" s="317"/>
      <c r="G2828" s="290"/>
      <c r="H2828" s="438"/>
      <c r="I2828" s="439"/>
      <c r="J2828" s="440"/>
      <c r="K2828" s="307"/>
      <c r="L2828" s="307"/>
      <c r="M2828" s="307"/>
      <c r="N2828" s="438"/>
      <c r="O2828" s="438"/>
      <c r="P2828" s="438"/>
    </row>
    <row r="2829" spans="1:16" ht="15.75" customHeight="1">
      <c r="A2829" s="441"/>
      <c r="B2829" s="442"/>
      <c r="C2829" s="317"/>
      <c r="G2829" s="290"/>
      <c r="H2829" s="438"/>
      <c r="I2829" s="439"/>
      <c r="J2829" s="440"/>
      <c r="K2829" s="307"/>
      <c r="L2829" s="307"/>
      <c r="M2829" s="307"/>
      <c r="N2829" s="438"/>
      <c r="O2829" s="438"/>
      <c r="P2829" s="438"/>
    </row>
    <row r="2830" spans="1:16" ht="15.75" customHeight="1">
      <c r="A2830" s="441"/>
      <c r="B2830" s="442"/>
      <c r="C2830" s="317"/>
      <c r="G2830" s="290"/>
      <c r="H2830" s="438"/>
      <c r="I2830" s="439"/>
      <c r="J2830" s="440"/>
      <c r="K2830" s="307"/>
      <c r="L2830" s="307"/>
      <c r="M2830" s="307"/>
      <c r="N2830" s="438"/>
      <c r="O2830" s="438"/>
      <c r="P2830" s="438"/>
    </row>
    <row r="2831" spans="1:16" ht="15.75" customHeight="1">
      <c r="A2831" s="441"/>
      <c r="B2831" s="442"/>
      <c r="C2831" s="317"/>
      <c r="G2831" s="290"/>
      <c r="H2831" s="438"/>
      <c r="I2831" s="439"/>
      <c r="J2831" s="440"/>
      <c r="K2831" s="307"/>
      <c r="L2831" s="307"/>
      <c r="M2831" s="307"/>
      <c r="N2831" s="438"/>
      <c r="O2831" s="438"/>
      <c r="P2831" s="438"/>
    </row>
    <row r="2832" spans="1:16" ht="15.75" customHeight="1">
      <c r="A2832" s="441"/>
      <c r="B2832" s="442"/>
      <c r="C2832" s="317"/>
      <c r="G2832" s="290"/>
      <c r="H2832" s="438"/>
      <c r="I2832" s="439"/>
      <c r="J2832" s="440"/>
      <c r="K2832" s="307"/>
      <c r="L2832" s="307"/>
      <c r="M2832" s="307"/>
      <c r="N2832" s="438"/>
      <c r="O2832" s="438"/>
      <c r="P2832" s="438"/>
    </row>
    <row r="2833" spans="1:16" ht="15.75" customHeight="1">
      <c r="A2833" s="441"/>
      <c r="B2833" s="442"/>
      <c r="C2833" s="317"/>
      <c r="G2833" s="290"/>
      <c r="H2833" s="438"/>
      <c r="I2833" s="439"/>
      <c r="J2833" s="440"/>
      <c r="K2833" s="307"/>
      <c r="L2833" s="307"/>
      <c r="M2833" s="307"/>
      <c r="N2833" s="438"/>
      <c r="O2833" s="438"/>
      <c r="P2833" s="438"/>
    </row>
    <row r="2834" spans="1:16" ht="15.75" customHeight="1">
      <c r="A2834" s="441"/>
      <c r="B2834" s="442"/>
      <c r="C2834" s="317"/>
      <c r="G2834" s="290"/>
      <c r="H2834" s="438"/>
      <c r="I2834" s="439"/>
      <c r="J2834" s="440"/>
      <c r="K2834" s="307"/>
      <c r="L2834" s="307"/>
      <c r="M2834" s="307"/>
      <c r="N2834" s="438"/>
      <c r="O2834" s="438"/>
      <c r="P2834" s="438"/>
    </row>
    <row r="2835" spans="1:16" ht="15.75" customHeight="1">
      <c r="A2835" s="441"/>
      <c r="B2835" s="442"/>
      <c r="C2835" s="317"/>
      <c r="G2835" s="290"/>
      <c r="H2835" s="438"/>
      <c r="I2835" s="439"/>
      <c r="J2835" s="440"/>
      <c r="K2835" s="307"/>
      <c r="L2835" s="307"/>
      <c r="M2835" s="307"/>
      <c r="N2835" s="438"/>
      <c r="O2835" s="438"/>
      <c r="P2835" s="438"/>
    </row>
    <row r="2836" spans="1:16" ht="15.75" customHeight="1">
      <c r="A2836" s="441"/>
      <c r="B2836" s="442"/>
      <c r="C2836" s="317"/>
      <c r="G2836" s="290"/>
      <c r="H2836" s="438"/>
      <c r="I2836" s="439"/>
      <c r="J2836" s="440"/>
      <c r="K2836" s="307"/>
      <c r="L2836" s="307"/>
      <c r="M2836" s="307"/>
      <c r="N2836" s="438"/>
      <c r="O2836" s="438"/>
      <c r="P2836" s="438"/>
    </row>
    <row r="2837" spans="1:16" ht="15.75" customHeight="1">
      <c r="A2837" s="441"/>
      <c r="B2837" s="442"/>
      <c r="C2837" s="317"/>
      <c r="G2837" s="290"/>
      <c r="H2837" s="438"/>
      <c r="I2837" s="439"/>
      <c r="J2837" s="440"/>
      <c r="K2837" s="307"/>
      <c r="L2837" s="307"/>
      <c r="M2837" s="307"/>
      <c r="N2837" s="438"/>
      <c r="O2837" s="438"/>
      <c r="P2837" s="438"/>
    </row>
    <row r="2838" spans="1:16" ht="15.75" customHeight="1">
      <c r="A2838" s="441"/>
      <c r="B2838" s="442"/>
      <c r="C2838" s="317"/>
      <c r="G2838" s="290"/>
      <c r="H2838" s="438"/>
      <c r="I2838" s="439"/>
      <c r="J2838" s="440"/>
      <c r="K2838" s="307"/>
      <c r="L2838" s="307"/>
      <c r="M2838" s="307"/>
      <c r="N2838" s="438"/>
      <c r="O2838" s="438"/>
      <c r="P2838" s="438"/>
    </row>
    <row r="2839" spans="1:16" ht="15.75" customHeight="1">
      <c r="A2839" s="441"/>
      <c r="B2839" s="442"/>
      <c r="C2839" s="317"/>
      <c r="G2839" s="290"/>
      <c r="H2839" s="438"/>
      <c r="I2839" s="439"/>
      <c r="J2839" s="440"/>
      <c r="K2839" s="307"/>
      <c r="L2839" s="307"/>
      <c r="M2839" s="307"/>
      <c r="N2839" s="438"/>
      <c r="O2839" s="438"/>
      <c r="P2839" s="438"/>
    </row>
    <row r="2840" spans="1:16" ht="15.75" customHeight="1">
      <c r="A2840" s="441"/>
      <c r="B2840" s="442"/>
      <c r="C2840" s="317"/>
      <c r="G2840" s="290"/>
      <c r="H2840" s="438"/>
      <c r="I2840" s="439"/>
      <c r="J2840" s="440"/>
      <c r="K2840" s="307"/>
      <c r="L2840" s="307"/>
      <c r="M2840" s="307"/>
      <c r="N2840" s="438"/>
      <c r="O2840" s="438"/>
      <c r="P2840" s="438"/>
    </row>
    <row r="2841" spans="1:16" ht="15.75" customHeight="1">
      <c r="A2841" s="441"/>
      <c r="B2841" s="442"/>
      <c r="C2841" s="317"/>
      <c r="G2841" s="290"/>
      <c r="H2841" s="438"/>
      <c r="I2841" s="439"/>
      <c r="J2841" s="440"/>
      <c r="K2841" s="307"/>
      <c r="L2841" s="307"/>
      <c r="M2841" s="307"/>
      <c r="N2841" s="438"/>
      <c r="O2841" s="438"/>
      <c r="P2841" s="438"/>
    </row>
    <row r="2842" spans="1:16" ht="15.75" customHeight="1">
      <c r="A2842" s="441"/>
      <c r="B2842" s="442"/>
      <c r="C2842" s="317"/>
      <c r="G2842" s="290"/>
      <c r="H2842" s="438"/>
      <c r="I2842" s="439"/>
      <c r="J2842" s="440"/>
      <c r="K2842" s="307"/>
      <c r="L2842" s="307"/>
      <c r="M2842" s="307"/>
      <c r="N2842" s="438"/>
      <c r="O2842" s="438"/>
      <c r="P2842" s="438"/>
    </row>
    <row r="2843" spans="1:16" ht="15.75" customHeight="1">
      <c r="A2843" s="441"/>
      <c r="B2843" s="442"/>
      <c r="C2843" s="317"/>
      <c r="G2843" s="290"/>
      <c r="H2843" s="438"/>
      <c r="I2843" s="439"/>
      <c r="J2843" s="440"/>
      <c r="K2843" s="307"/>
      <c r="L2843" s="307"/>
      <c r="M2843" s="307"/>
      <c r="N2843" s="438"/>
      <c r="O2843" s="438"/>
      <c r="P2843" s="438"/>
    </row>
    <row r="2844" spans="1:16" ht="15.75" customHeight="1">
      <c r="A2844" s="441"/>
      <c r="B2844" s="442"/>
      <c r="C2844" s="317"/>
      <c r="G2844" s="290"/>
      <c r="H2844" s="438"/>
      <c r="I2844" s="439"/>
      <c r="J2844" s="440"/>
      <c r="K2844" s="307"/>
      <c r="L2844" s="307"/>
      <c r="M2844" s="307"/>
      <c r="N2844" s="438"/>
      <c r="O2844" s="438"/>
      <c r="P2844" s="438"/>
    </row>
    <row r="2845" spans="1:16" ht="15.75" customHeight="1">
      <c r="A2845" s="441"/>
      <c r="B2845" s="442"/>
      <c r="C2845" s="317"/>
      <c r="G2845" s="290"/>
      <c r="H2845" s="438"/>
      <c r="I2845" s="439"/>
      <c r="J2845" s="440"/>
      <c r="K2845" s="307"/>
      <c r="L2845" s="307"/>
      <c r="M2845" s="307"/>
      <c r="N2845" s="438"/>
      <c r="O2845" s="438"/>
      <c r="P2845" s="438"/>
    </row>
    <row r="2846" spans="1:16" ht="15.75" customHeight="1">
      <c r="A2846" s="441"/>
      <c r="B2846" s="442"/>
      <c r="C2846" s="317"/>
      <c r="G2846" s="290"/>
      <c r="H2846" s="438"/>
      <c r="I2846" s="439"/>
      <c r="J2846" s="440"/>
      <c r="K2846" s="307"/>
      <c r="L2846" s="307"/>
      <c r="M2846" s="307"/>
      <c r="N2846" s="438"/>
      <c r="O2846" s="438"/>
      <c r="P2846" s="438"/>
    </row>
    <row r="2847" spans="1:16" ht="15.75" customHeight="1">
      <c r="A2847" s="441"/>
      <c r="B2847" s="442"/>
      <c r="C2847" s="317"/>
      <c r="G2847" s="290"/>
      <c r="H2847" s="438"/>
      <c r="I2847" s="439"/>
      <c r="J2847" s="440"/>
      <c r="K2847" s="307"/>
      <c r="L2847" s="307"/>
      <c r="M2847" s="307"/>
      <c r="N2847" s="438"/>
      <c r="O2847" s="438"/>
      <c r="P2847" s="438"/>
    </row>
    <row r="2848" spans="1:16" ht="15.75" customHeight="1">
      <c r="A2848" s="441"/>
      <c r="B2848" s="442"/>
      <c r="C2848" s="317"/>
      <c r="G2848" s="290"/>
      <c r="H2848" s="438"/>
      <c r="I2848" s="439"/>
      <c r="J2848" s="440"/>
      <c r="K2848" s="307"/>
      <c r="L2848" s="307"/>
      <c r="M2848" s="307"/>
      <c r="N2848" s="438"/>
      <c r="O2848" s="438"/>
      <c r="P2848" s="438"/>
    </row>
    <row r="2849" spans="1:16" ht="15.75" customHeight="1">
      <c r="A2849" s="441"/>
      <c r="B2849" s="442"/>
      <c r="C2849" s="317"/>
      <c r="G2849" s="290"/>
      <c r="H2849" s="438"/>
      <c r="I2849" s="439"/>
      <c r="J2849" s="440"/>
      <c r="K2849" s="307"/>
      <c r="L2849" s="307"/>
      <c r="M2849" s="307"/>
      <c r="N2849" s="438"/>
      <c r="O2849" s="438"/>
      <c r="P2849" s="438"/>
    </row>
    <row r="2850" spans="1:16" ht="15.75" customHeight="1">
      <c r="A2850" s="441"/>
      <c r="B2850" s="442"/>
      <c r="C2850" s="317"/>
      <c r="G2850" s="290"/>
      <c r="H2850" s="438"/>
      <c r="I2850" s="439"/>
      <c r="J2850" s="440"/>
      <c r="K2850" s="307"/>
      <c r="L2850" s="307"/>
      <c r="M2850" s="307"/>
      <c r="N2850" s="438"/>
      <c r="O2850" s="438"/>
      <c r="P2850" s="438"/>
    </row>
    <row r="2851" spans="1:16" ht="15.75" customHeight="1">
      <c r="A2851" s="441"/>
      <c r="B2851" s="442"/>
      <c r="C2851" s="317"/>
      <c r="G2851" s="290"/>
      <c r="H2851" s="438"/>
      <c r="I2851" s="439"/>
      <c r="J2851" s="440"/>
      <c r="K2851" s="307"/>
      <c r="L2851" s="307"/>
      <c r="M2851" s="307"/>
      <c r="N2851" s="438"/>
      <c r="O2851" s="438"/>
      <c r="P2851" s="438"/>
    </row>
    <row r="2852" spans="1:16" ht="15.75" customHeight="1">
      <c r="A2852" s="441"/>
      <c r="B2852" s="442"/>
      <c r="C2852" s="317"/>
      <c r="G2852" s="290"/>
      <c r="H2852" s="438"/>
      <c r="I2852" s="439"/>
      <c r="J2852" s="440"/>
      <c r="K2852" s="307"/>
      <c r="L2852" s="307"/>
      <c r="M2852" s="307"/>
      <c r="N2852" s="438"/>
      <c r="O2852" s="438"/>
      <c r="P2852" s="438"/>
    </row>
    <row r="2853" spans="1:16" ht="15.75" customHeight="1">
      <c r="A2853" s="441"/>
      <c r="B2853" s="442"/>
      <c r="C2853" s="317"/>
      <c r="G2853" s="290"/>
      <c r="H2853" s="438"/>
      <c r="I2853" s="439"/>
      <c r="J2853" s="440"/>
      <c r="K2853" s="307"/>
      <c r="L2853" s="307"/>
      <c r="M2853" s="307"/>
      <c r="N2853" s="438"/>
      <c r="O2853" s="438"/>
      <c r="P2853" s="438"/>
    </row>
    <row r="2854" spans="1:16" ht="15.75" customHeight="1">
      <c r="A2854" s="441"/>
      <c r="B2854" s="442"/>
      <c r="C2854" s="317"/>
      <c r="G2854" s="290"/>
      <c r="H2854" s="438"/>
      <c r="I2854" s="439"/>
      <c r="J2854" s="440"/>
      <c r="K2854" s="307"/>
      <c r="L2854" s="307"/>
      <c r="M2854" s="307"/>
      <c r="N2854" s="438"/>
      <c r="O2854" s="438"/>
      <c r="P2854" s="438"/>
    </row>
    <row r="2855" spans="1:16" ht="15.75" customHeight="1">
      <c r="A2855" s="441"/>
      <c r="B2855" s="442"/>
      <c r="C2855" s="317"/>
      <c r="G2855" s="290"/>
      <c r="H2855" s="438"/>
      <c r="I2855" s="439"/>
      <c r="J2855" s="440"/>
      <c r="K2855" s="307"/>
      <c r="L2855" s="307"/>
      <c r="M2855" s="307"/>
      <c r="N2855" s="438"/>
      <c r="O2855" s="438"/>
      <c r="P2855" s="438"/>
    </row>
    <row r="2856" spans="1:16" ht="15.75" customHeight="1">
      <c r="A2856" s="441"/>
      <c r="B2856" s="442"/>
      <c r="C2856" s="317"/>
      <c r="G2856" s="290"/>
      <c r="H2856" s="438"/>
      <c r="I2856" s="439"/>
      <c r="J2856" s="440"/>
      <c r="K2856" s="307"/>
      <c r="L2856" s="307"/>
      <c r="M2856" s="307"/>
      <c r="N2856" s="438"/>
      <c r="O2856" s="438"/>
      <c r="P2856" s="438"/>
    </row>
    <row r="2857" spans="1:16" ht="15.75" customHeight="1">
      <c r="A2857" s="441"/>
      <c r="B2857" s="442"/>
      <c r="C2857" s="317"/>
      <c r="G2857" s="290"/>
      <c r="H2857" s="438"/>
      <c r="I2857" s="439"/>
      <c r="J2857" s="440"/>
      <c r="K2857" s="307"/>
      <c r="L2857" s="307"/>
      <c r="M2857" s="307"/>
      <c r="N2857" s="438"/>
      <c r="O2857" s="438"/>
      <c r="P2857" s="438"/>
    </row>
    <row r="2858" spans="1:16" ht="15.75" customHeight="1">
      <c r="A2858" s="441"/>
      <c r="B2858" s="442"/>
      <c r="C2858" s="317"/>
      <c r="G2858" s="290"/>
      <c r="H2858" s="438"/>
      <c r="I2858" s="439"/>
      <c r="J2858" s="440"/>
      <c r="K2858" s="307"/>
      <c r="L2858" s="307"/>
      <c r="M2858" s="307"/>
      <c r="N2858" s="438"/>
      <c r="O2858" s="438"/>
      <c r="P2858" s="438"/>
    </row>
    <row r="2859" spans="1:16" ht="15.75" customHeight="1">
      <c r="A2859" s="441"/>
      <c r="B2859" s="442"/>
      <c r="C2859" s="317"/>
      <c r="G2859" s="290"/>
      <c r="H2859" s="438"/>
      <c r="I2859" s="439"/>
      <c r="J2859" s="440"/>
      <c r="K2859" s="307"/>
      <c r="L2859" s="307"/>
      <c r="M2859" s="307"/>
      <c r="N2859" s="438"/>
      <c r="O2859" s="438"/>
      <c r="P2859" s="438"/>
    </row>
    <row r="2860" spans="1:16" ht="15.75" customHeight="1">
      <c r="A2860" s="441"/>
      <c r="B2860" s="442"/>
      <c r="C2860" s="317"/>
      <c r="G2860" s="290"/>
      <c r="H2860" s="438"/>
      <c r="I2860" s="439"/>
      <c r="J2860" s="440"/>
      <c r="K2860" s="307"/>
      <c r="L2860" s="307"/>
      <c r="M2860" s="307"/>
      <c r="N2860" s="438"/>
      <c r="O2860" s="438"/>
      <c r="P2860" s="438"/>
    </row>
    <row r="2861" spans="1:16" ht="15.75" customHeight="1">
      <c r="A2861" s="441"/>
      <c r="B2861" s="442"/>
      <c r="C2861" s="317"/>
      <c r="G2861" s="290"/>
      <c r="H2861" s="438"/>
      <c r="I2861" s="439"/>
      <c r="J2861" s="440"/>
      <c r="K2861" s="307"/>
      <c r="L2861" s="307"/>
      <c r="M2861" s="307"/>
      <c r="N2861" s="438"/>
      <c r="O2861" s="438"/>
      <c r="P2861" s="438"/>
    </row>
    <row r="2862" spans="1:16" ht="15.75" customHeight="1">
      <c r="A2862" s="441"/>
      <c r="B2862" s="442"/>
      <c r="C2862" s="317"/>
      <c r="G2862" s="290"/>
      <c r="H2862" s="438"/>
      <c r="I2862" s="439"/>
      <c r="J2862" s="440"/>
      <c r="K2862" s="307"/>
      <c r="L2862" s="307"/>
      <c r="M2862" s="307"/>
      <c r="N2862" s="438"/>
      <c r="O2862" s="438"/>
      <c r="P2862" s="438"/>
    </row>
    <row r="2863" spans="1:16" ht="15.75" customHeight="1">
      <c r="A2863" s="441"/>
      <c r="B2863" s="442"/>
      <c r="C2863" s="317"/>
      <c r="G2863" s="290"/>
      <c r="H2863" s="438"/>
      <c r="I2863" s="439"/>
      <c r="J2863" s="440"/>
      <c r="K2863" s="307"/>
      <c r="L2863" s="307"/>
      <c r="M2863" s="307"/>
      <c r="N2863" s="438"/>
      <c r="O2863" s="438"/>
      <c r="P2863" s="438"/>
    </row>
    <row r="2864" spans="1:16" ht="15.75" customHeight="1">
      <c r="A2864" s="441"/>
      <c r="B2864" s="442"/>
      <c r="C2864" s="317"/>
      <c r="G2864" s="290"/>
      <c r="H2864" s="438"/>
      <c r="I2864" s="439"/>
      <c r="J2864" s="440"/>
      <c r="K2864" s="307"/>
      <c r="L2864" s="307"/>
      <c r="M2864" s="307"/>
      <c r="N2864" s="438"/>
      <c r="O2864" s="438"/>
      <c r="P2864" s="438"/>
    </row>
    <row r="2865" spans="1:16" ht="15.75" customHeight="1">
      <c r="A2865" s="441"/>
      <c r="B2865" s="442"/>
      <c r="C2865" s="317"/>
      <c r="G2865" s="290"/>
      <c r="H2865" s="438"/>
      <c r="I2865" s="439"/>
      <c r="J2865" s="440"/>
      <c r="K2865" s="307"/>
      <c r="L2865" s="307"/>
      <c r="M2865" s="307"/>
      <c r="N2865" s="438"/>
      <c r="O2865" s="438"/>
      <c r="P2865" s="438"/>
    </row>
    <row r="2866" spans="1:16" ht="15.75" customHeight="1">
      <c r="A2866" s="441"/>
      <c r="B2866" s="442"/>
      <c r="C2866" s="317"/>
      <c r="G2866" s="290"/>
      <c r="H2866" s="438"/>
      <c r="I2866" s="439"/>
      <c r="J2866" s="440"/>
      <c r="K2866" s="307"/>
      <c r="L2866" s="307"/>
      <c r="M2866" s="307"/>
      <c r="N2866" s="438"/>
      <c r="O2866" s="438"/>
      <c r="P2866" s="438"/>
    </row>
    <row r="2867" spans="1:16" ht="15.75" customHeight="1">
      <c r="A2867" s="441"/>
      <c r="B2867" s="442"/>
      <c r="C2867" s="317"/>
      <c r="G2867" s="290"/>
      <c r="H2867" s="438"/>
      <c r="I2867" s="439"/>
      <c r="J2867" s="440"/>
      <c r="K2867" s="307"/>
      <c r="L2867" s="307"/>
      <c r="M2867" s="307"/>
      <c r="N2867" s="438"/>
      <c r="O2867" s="438"/>
      <c r="P2867" s="438"/>
    </row>
    <row r="2868" spans="1:16" ht="15.75" customHeight="1">
      <c r="A2868" s="441"/>
      <c r="B2868" s="442"/>
      <c r="C2868" s="317"/>
      <c r="G2868" s="290"/>
      <c r="H2868" s="438"/>
      <c r="I2868" s="439"/>
      <c r="J2868" s="440"/>
      <c r="K2868" s="307"/>
      <c r="L2868" s="307"/>
      <c r="M2868" s="307"/>
      <c r="N2868" s="438"/>
      <c r="O2868" s="438"/>
      <c r="P2868" s="438"/>
    </row>
    <row r="2869" spans="1:16" ht="15.75" customHeight="1">
      <c r="A2869" s="441"/>
      <c r="B2869" s="442"/>
      <c r="C2869" s="317"/>
      <c r="G2869" s="290"/>
      <c r="H2869" s="438"/>
      <c r="I2869" s="439"/>
      <c r="J2869" s="440"/>
      <c r="K2869" s="307"/>
      <c r="L2869" s="307"/>
      <c r="M2869" s="307"/>
      <c r="N2869" s="438"/>
      <c r="O2869" s="438"/>
      <c r="P2869" s="438"/>
    </row>
    <row r="2870" spans="1:16" ht="15.75" customHeight="1">
      <c r="A2870" s="441"/>
      <c r="B2870" s="442"/>
      <c r="C2870" s="317"/>
      <c r="G2870" s="290"/>
      <c r="H2870" s="438"/>
      <c r="I2870" s="439"/>
      <c r="J2870" s="440"/>
      <c r="K2870" s="307"/>
      <c r="L2870" s="307"/>
      <c r="M2870" s="307"/>
      <c r="N2870" s="438"/>
      <c r="O2870" s="438"/>
      <c r="P2870" s="438"/>
    </row>
    <row r="2871" spans="1:16" ht="15.75" customHeight="1">
      <c r="A2871" s="441"/>
      <c r="B2871" s="442"/>
      <c r="C2871" s="317"/>
      <c r="G2871" s="290"/>
      <c r="H2871" s="438"/>
      <c r="I2871" s="439"/>
      <c r="J2871" s="440"/>
      <c r="K2871" s="307"/>
      <c r="L2871" s="307"/>
      <c r="M2871" s="307"/>
      <c r="N2871" s="438"/>
      <c r="O2871" s="438"/>
      <c r="P2871" s="438"/>
    </row>
    <row r="2872" spans="1:16" ht="15.75" customHeight="1">
      <c r="A2872" s="441"/>
      <c r="B2872" s="442"/>
      <c r="C2872" s="317"/>
      <c r="G2872" s="290"/>
      <c r="H2872" s="438"/>
      <c r="I2872" s="439"/>
      <c r="J2872" s="440"/>
      <c r="K2872" s="307"/>
      <c r="L2872" s="307"/>
      <c r="M2872" s="307"/>
      <c r="N2872" s="438"/>
      <c r="O2872" s="438"/>
      <c r="P2872" s="438"/>
    </row>
    <row r="2873" spans="1:16" ht="15.75" customHeight="1">
      <c r="A2873" s="441"/>
      <c r="B2873" s="442"/>
      <c r="C2873" s="317"/>
      <c r="G2873" s="290"/>
      <c r="H2873" s="438"/>
      <c r="I2873" s="439"/>
      <c r="J2873" s="440"/>
      <c r="K2873" s="307"/>
      <c r="L2873" s="307"/>
      <c r="M2873" s="307"/>
      <c r="N2873" s="438"/>
      <c r="O2873" s="438"/>
      <c r="P2873" s="438"/>
    </row>
    <row r="2874" spans="1:16" ht="15.75" customHeight="1">
      <c r="A2874" s="441"/>
      <c r="B2874" s="442"/>
      <c r="C2874" s="317"/>
      <c r="G2874" s="290"/>
      <c r="H2874" s="438"/>
      <c r="I2874" s="439"/>
      <c r="J2874" s="440"/>
      <c r="K2874" s="307"/>
      <c r="L2874" s="307"/>
      <c r="M2874" s="307"/>
      <c r="N2874" s="438"/>
      <c r="O2874" s="438"/>
      <c r="P2874" s="438"/>
    </row>
    <row r="2875" spans="1:16" ht="15.75" customHeight="1">
      <c r="A2875" s="441"/>
      <c r="B2875" s="442"/>
      <c r="C2875" s="317"/>
      <c r="G2875" s="290"/>
      <c r="H2875" s="438"/>
      <c r="I2875" s="439"/>
      <c r="J2875" s="440"/>
      <c r="K2875" s="307"/>
      <c r="L2875" s="307"/>
      <c r="M2875" s="307"/>
      <c r="N2875" s="438"/>
      <c r="O2875" s="438"/>
      <c r="P2875" s="438"/>
    </row>
    <row r="2876" spans="1:16" ht="15.75" customHeight="1">
      <c r="A2876" s="441"/>
      <c r="B2876" s="442"/>
      <c r="C2876" s="317"/>
      <c r="G2876" s="290"/>
      <c r="H2876" s="438"/>
      <c r="I2876" s="439"/>
      <c r="J2876" s="440"/>
      <c r="K2876" s="307"/>
      <c r="L2876" s="307"/>
      <c r="M2876" s="307"/>
      <c r="N2876" s="438"/>
      <c r="O2876" s="438"/>
      <c r="P2876" s="438"/>
    </row>
    <row r="2877" spans="1:16" ht="15.75" customHeight="1">
      <c r="A2877" s="441"/>
      <c r="B2877" s="442"/>
      <c r="C2877" s="317"/>
      <c r="G2877" s="290"/>
      <c r="H2877" s="438"/>
      <c r="I2877" s="439"/>
      <c r="J2877" s="440"/>
      <c r="K2877" s="307"/>
      <c r="L2877" s="307"/>
      <c r="M2877" s="307"/>
      <c r="N2877" s="438"/>
      <c r="O2877" s="438"/>
      <c r="P2877" s="438"/>
    </row>
    <row r="2878" spans="1:16" ht="15.75" customHeight="1">
      <c r="A2878" s="441"/>
      <c r="B2878" s="442"/>
      <c r="C2878" s="317"/>
      <c r="G2878" s="290"/>
      <c r="H2878" s="438"/>
      <c r="I2878" s="439"/>
      <c r="J2878" s="440"/>
      <c r="K2878" s="307"/>
      <c r="L2878" s="307"/>
      <c r="M2878" s="307"/>
      <c r="N2878" s="438"/>
      <c r="O2878" s="438"/>
      <c r="P2878" s="438"/>
    </row>
    <row r="2879" spans="1:16" ht="15.75" customHeight="1">
      <c r="A2879" s="441"/>
      <c r="B2879" s="442"/>
      <c r="C2879" s="317"/>
      <c r="G2879" s="290"/>
      <c r="H2879" s="438"/>
      <c r="I2879" s="439"/>
      <c r="J2879" s="440"/>
      <c r="K2879" s="307"/>
      <c r="L2879" s="307"/>
      <c r="M2879" s="307"/>
      <c r="N2879" s="438"/>
      <c r="O2879" s="438"/>
      <c r="P2879" s="438"/>
    </row>
    <row r="2880" spans="1:16" ht="15.75" customHeight="1">
      <c r="A2880" s="441"/>
      <c r="B2880" s="442"/>
      <c r="C2880" s="317"/>
      <c r="G2880" s="290"/>
      <c r="H2880" s="438"/>
      <c r="I2880" s="439"/>
      <c r="J2880" s="440"/>
      <c r="K2880" s="307"/>
      <c r="L2880" s="307"/>
      <c r="M2880" s="307"/>
      <c r="N2880" s="438"/>
      <c r="O2880" s="438"/>
      <c r="P2880" s="438"/>
    </row>
    <row r="2881" spans="1:16" ht="15.75" customHeight="1">
      <c r="A2881" s="441"/>
      <c r="B2881" s="442"/>
      <c r="C2881" s="317"/>
      <c r="G2881" s="290"/>
      <c r="H2881" s="438"/>
      <c r="I2881" s="439"/>
      <c r="J2881" s="440"/>
      <c r="K2881" s="307"/>
      <c r="L2881" s="307"/>
      <c r="M2881" s="307"/>
      <c r="N2881" s="438"/>
      <c r="O2881" s="438"/>
      <c r="P2881" s="438"/>
    </row>
    <row r="2882" spans="1:16" ht="15.75" customHeight="1">
      <c r="A2882" s="441"/>
      <c r="B2882" s="442"/>
      <c r="C2882" s="317"/>
      <c r="G2882" s="290"/>
      <c r="H2882" s="438"/>
      <c r="I2882" s="439"/>
      <c r="J2882" s="440"/>
      <c r="K2882" s="307"/>
      <c r="L2882" s="307"/>
      <c r="M2882" s="307"/>
      <c r="N2882" s="438"/>
      <c r="O2882" s="438"/>
      <c r="P2882" s="438"/>
    </row>
    <row r="2883" spans="1:16" ht="15.75" customHeight="1">
      <c r="A2883" s="441"/>
      <c r="B2883" s="442"/>
      <c r="C2883" s="317"/>
      <c r="G2883" s="290"/>
      <c r="H2883" s="438"/>
      <c r="I2883" s="439"/>
      <c r="J2883" s="440"/>
      <c r="K2883" s="307"/>
      <c r="L2883" s="307"/>
      <c r="M2883" s="307"/>
      <c r="N2883" s="438"/>
      <c r="O2883" s="438"/>
      <c r="P2883" s="438"/>
    </row>
    <row r="2884" spans="1:16" ht="15.75" customHeight="1">
      <c r="A2884" s="441"/>
      <c r="B2884" s="442"/>
      <c r="C2884" s="317"/>
      <c r="G2884" s="290"/>
      <c r="H2884" s="438"/>
      <c r="I2884" s="439"/>
      <c r="J2884" s="440"/>
      <c r="K2884" s="307"/>
      <c r="L2884" s="307"/>
      <c r="M2884" s="307"/>
      <c r="N2884" s="438"/>
      <c r="O2884" s="438"/>
      <c r="P2884" s="438"/>
    </row>
    <row r="2885" spans="1:16" ht="15.75" customHeight="1">
      <c r="A2885" s="441"/>
      <c r="B2885" s="442"/>
      <c r="C2885" s="317"/>
      <c r="G2885" s="290"/>
      <c r="H2885" s="438"/>
      <c r="I2885" s="439"/>
      <c r="J2885" s="440"/>
      <c r="K2885" s="307"/>
      <c r="L2885" s="307"/>
      <c r="M2885" s="307"/>
      <c r="N2885" s="438"/>
      <c r="O2885" s="438"/>
      <c r="P2885" s="438"/>
    </row>
    <row r="2886" spans="1:16" ht="15.75" customHeight="1">
      <c r="A2886" s="441"/>
      <c r="B2886" s="442"/>
      <c r="C2886" s="317"/>
      <c r="G2886" s="290"/>
      <c r="H2886" s="438"/>
      <c r="I2886" s="439"/>
      <c r="J2886" s="440"/>
      <c r="K2886" s="307"/>
      <c r="L2886" s="307"/>
      <c r="M2886" s="307"/>
      <c r="N2886" s="438"/>
      <c r="O2886" s="438"/>
      <c r="P2886" s="438"/>
    </row>
    <row r="2887" spans="1:16" ht="15.75" customHeight="1">
      <c r="A2887" s="441"/>
      <c r="B2887" s="442"/>
      <c r="C2887" s="317"/>
      <c r="G2887" s="290"/>
      <c r="H2887" s="438"/>
      <c r="I2887" s="439"/>
      <c r="J2887" s="440"/>
      <c r="K2887" s="307"/>
      <c r="L2887" s="307"/>
      <c r="M2887" s="307"/>
      <c r="N2887" s="438"/>
      <c r="O2887" s="438"/>
      <c r="P2887" s="438"/>
    </row>
    <row r="2888" spans="1:16" ht="15.75" customHeight="1">
      <c r="A2888" s="441"/>
      <c r="B2888" s="442"/>
      <c r="C2888" s="317"/>
      <c r="G2888" s="290"/>
      <c r="H2888" s="438"/>
      <c r="I2888" s="439"/>
      <c r="J2888" s="440"/>
      <c r="K2888" s="307"/>
      <c r="L2888" s="307"/>
      <c r="M2888" s="307"/>
      <c r="N2888" s="438"/>
      <c r="O2888" s="438"/>
      <c r="P2888" s="438"/>
    </row>
    <row r="2889" spans="1:16" ht="15.75" customHeight="1">
      <c r="A2889" s="441"/>
      <c r="B2889" s="442"/>
      <c r="C2889" s="317"/>
      <c r="G2889" s="290"/>
      <c r="H2889" s="438"/>
      <c r="I2889" s="439"/>
      <c r="J2889" s="440"/>
      <c r="K2889" s="307"/>
      <c r="L2889" s="307"/>
      <c r="M2889" s="307"/>
      <c r="N2889" s="438"/>
      <c r="O2889" s="438"/>
      <c r="P2889" s="438"/>
    </row>
    <row r="2890" spans="1:16" ht="15.75" customHeight="1">
      <c r="A2890" s="441"/>
      <c r="B2890" s="442"/>
      <c r="C2890" s="317"/>
      <c r="G2890" s="290"/>
      <c r="H2890" s="438"/>
      <c r="I2890" s="439"/>
      <c r="J2890" s="440"/>
      <c r="K2890" s="307"/>
      <c r="L2890" s="307"/>
      <c r="M2890" s="307"/>
      <c r="N2890" s="438"/>
      <c r="O2890" s="438"/>
      <c r="P2890" s="438"/>
    </row>
    <row r="2891" spans="1:16" ht="15.75" customHeight="1">
      <c r="A2891" s="441"/>
      <c r="B2891" s="442"/>
      <c r="C2891" s="317"/>
      <c r="G2891" s="290"/>
      <c r="H2891" s="438"/>
      <c r="I2891" s="439"/>
      <c r="J2891" s="440"/>
      <c r="K2891" s="307"/>
      <c r="L2891" s="307"/>
      <c r="M2891" s="307"/>
      <c r="N2891" s="438"/>
      <c r="O2891" s="438"/>
      <c r="P2891" s="438"/>
    </row>
    <row r="2892" spans="1:16" ht="15.75" customHeight="1">
      <c r="A2892" s="441"/>
      <c r="B2892" s="442"/>
      <c r="C2892" s="317"/>
      <c r="G2892" s="290"/>
      <c r="H2892" s="438"/>
      <c r="I2892" s="439"/>
      <c r="J2892" s="440"/>
      <c r="K2892" s="307"/>
      <c r="L2892" s="307"/>
      <c r="M2892" s="307"/>
      <c r="N2892" s="438"/>
      <c r="O2892" s="438"/>
      <c r="P2892" s="438"/>
    </row>
    <row r="2893" spans="1:16" ht="15.75" customHeight="1">
      <c r="A2893" s="441"/>
      <c r="B2893" s="442"/>
      <c r="C2893" s="317"/>
      <c r="G2893" s="290"/>
      <c r="H2893" s="438"/>
      <c r="I2893" s="439"/>
      <c r="J2893" s="440"/>
      <c r="K2893" s="307"/>
      <c r="L2893" s="307"/>
      <c r="M2893" s="307"/>
      <c r="N2893" s="438"/>
      <c r="O2893" s="438"/>
      <c r="P2893" s="438"/>
    </row>
    <row r="2894" spans="1:16" ht="15.75" customHeight="1">
      <c r="A2894" s="441"/>
      <c r="B2894" s="442"/>
      <c r="C2894" s="317"/>
      <c r="G2894" s="290"/>
      <c r="H2894" s="438"/>
      <c r="I2894" s="439"/>
      <c r="J2894" s="440"/>
      <c r="K2894" s="307"/>
      <c r="L2894" s="307"/>
      <c r="M2894" s="307"/>
      <c r="N2894" s="438"/>
      <c r="O2894" s="438"/>
      <c r="P2894" s="438"/>
    </row>
    <row r="2895" spans="1:16" ht="15.75" customHeight="1">
      <c r="A2895" s="441"/>
      <c r="B2895" s="442"/>
      <c r="C2895" s="317"/>
      <c r="G2895" s="290"/>
      <c r="H2895" s="438"/>
      <c r="I2895" s="439"/>
      <c r="J2895" s="440"/>
      <c r="K2895" s="307"/>
      <c r="L2895" s="307"/>
      <c r="M2895" s="307"/>
      <c r="N2895" s="438"/>
      <c r="O2895" s="438"/>
      <c r="P2895" s="438"/>
    </row>
    <row r="2896" spans="1:16" ht="15.75" customHeight="1">
      <c r="A2896" s="441"/>
      <c r="B2896" s="442"/>
      <c r="C2896" s="317"/>
      <c r="G2896" s="290"/>
      <c r="H2896" s="438"/>
      <c r="I2896" s="439"/>
      <c r="J2896" s="440"/>
      <c r="K2896" s="307"/>
      <c r="L2896" s="307"/>
      <c r="M2896" s="307"/>
      <c r="N2896" s="438"/>
      <c r="O2896" s="438"/>
      <c r="P2896" s="438"/>
    </row>
    <row r="2897" spans="1:16" ht="15.75" customHeight="1">
      <c r="A2897" s="441"/>
      <c r="B2897" s="442"/>
      <c r="C2897" s="317"/>
      <c r="G2897" s="290"/>
      <c r="H2897" s="438"/>
      <c r="I2897" s="439"/>
      <c r="J2897" s="440"/>
      <c r="K2897" s="307"/>
      <c r="L2897" s="307"/>
      <c r="M2897" s="307"/>
      <c r="N2897" s="438"/>
      <c r="O2897" s="438"/>
      <c r="P2897" s="438"/>
    </row>
    <row r="2898" spans="1:16" ht="15.75" customHeight="1">
      <c r="A2898" s="441"/>
      <c r="B2898" s="442"/>
      <c r="C2898" s="317"/>
      <c r="G2898" s="290"/>
      <c r="H2898" s="438"/>
      <c r="I2898" s="439"/>
      <c r="J2898" s="440"/>
      <c r="K2898" s="307"/>
      <c r="L2898" s="307"/>
      <c r="M2898" s="307"/>
      <c r="N2898" s="438"/>
      <c r="O2898" s="438"/>
      <c r="P2898" s="438"/>
    </row>
    <row r="2899" spans="1:16" ht="15.75" customHeight="1">
      <c r="A2899" s="441"/>
      <c r="B2899" s="442"/>
      <c r="C2899" s="317"/>
      <c r="G2899" s="290"/>
      <c r="H2899" s="438"/>
      <c r="I2899" s="439"/>
      <c r="J2899" s="440"/>
      <c r="K2899" s="307"/>
      <c r="L2899" s="307"/>
      <c r="M2899" s="307"/>
      <c r="N2899" s="438"/>
      <c r="O2899" s="438"/>
      <c r="P2899" s="438"/>
    </row>
    <row r="2900" spans="1:16" ht="15.75" customHeight="1">
      <c r="A2900" s="441"/>
      <c r="B2900" s="442"/>
      <c r="C2900" s="317"/>
      <c r="G2900" s="290"/>
      <c r="H2900" s="438"/>
      <c r="I2900" s="439"/>
      <c r="J2900" s="440"/>
      <c r="K2900" s="307"/>
      <c r="L2900" s="307"/>
      <c r="M2900" s="307"/>
      <c r="N2900" s="438"/>
      <c r="O2900" s="438"/>
      <c r="P2900" s="438"/>
    </row>
    <row r="2901" spans="1:16" ht="15.75" customHeight="1">
      <c r="A2901" s="441"/>
      <c r="B2901" s="442"/>
      <c r="C2901" s="317"/>
      <c r="G2901" s="290"/>
      <c r="H2901" s="438"/>
      <c r="I2901" s="439"/>
      <c r="J2901" s="440"/>
      <c r="K2901" s="307"/>
      <c r="L2901" s="307"/>
      <c r="M2901" s="307"/>
      <c r="N2901" s="438"/>
      <c r="O2901" s="438"/>
      <c r="P2901" s="438"/>
    </row>
    <row r="2902" spans="1:16" ht="15.75" customHeight="1">
      <c r="A2902" s="441"/>
      <c r="B2902" s="442"/>
      <c r="C2902" s="317"/>
      <c r="G2902" s="290"/>
      <c r="H2902" s="438"/>
      <c r="I2902" s="439"/>
      <c r="J2902" s="440"/>
      <c r="K2902" s="307"/>
      <c r="L2902" s="307"/>
      <c r="M2902" s="307"/>
      <c r="N2902" s="438"/>
      <c r="O2902" s="438"/>
      <c r="P2902" s="438"/>
    </row>
    <row r="2903" spans="1:16" ht="15.75" customHeight="1">
      <c r="A2903" s="441"/>
      <c r="B2903" s="442"/>
      <c r="C2903" s="317"/>
      <c r="G2903" s="290"/>
      <c r="H2903" s="438"/>
      <c r="I2903" s="439"/>
      <c r="J2903" s="440"/>
      <c r="K2903" s="307"/>
      <c r="L2903" s="307"/>
      <c r="M2903" s="307"/>
      <c r="N2903" s="438"/>
      <c r="O2903" s="438"/>
      <c r="P2903" s="438"/>
    </row>
    <row r="2904" spans="1:16" ht="15.75" customHeight="1">
      <c r="A2904" s="441"/>
      <c r="B2904" s="442"/>
      <c r="C2904" s="317"/>
      <c r="G2904" s="290"/>
      <c r="H2904" s="438"/>
      <c r="I2904" s="439"/>
      <c r="J2904" s="440"/>
      <c r="K2904" s="307"/>
      <c r="L2904" s="307"/>
      <c r="M2904" s="307"/>
      <c r="N2904" s="438"/>
      <c r="O2904" s="438"/>
      <c r="P2904" s="438"/>
    </row>
    <row r="2905" spans="1:16" ht="15.75" customHeight="1">
      <c r="A2905" s="441"/>
      <c r="B2905" s="442"/>
      <c r="C2905" s="317"/>
      <c r="G2905" s="290"/>
      <c r="H2905" s="438"/>
      <c r="I2905" s="439"/>
      <c r="J2905" s="440"/>
      <c r="K2905" s="307"/>
      <c r="L2905" s="307"/>
      <c r="M2905" s="307"/>
      <c r="N2905" s="438"/>
      <c r="O2905" s="438"/>
      <c r="P2905" s="438"/>
    </row>
    <row r="2906" spans="1:16" ht="15.75" customHeight="1">
      <c r="A2906" s="441"/>
      <c r="B2906" s="442"/>
      <c r="C2906" s="317"/>
      <c r="G2906" s="290"/>
      <c r="H2906" s="438"/>
      <c r="I2906" s="439"/>
      <c r="J2906" s="440"/>
      <c r="K2906" s="307"/>
      <c r="L2906" s="307"/>
      <c r="M2906" s="307"/>
      <c r="N2906" s="438"/>
      <c r="O2906" s="438"/>
      <c r="P2906" s="438"/>
    </row>
    <row r="2907" spans="1:16" ht="15.75" customHeight="1">
      <c r="A2907" s="441"/>
      <c r="B2907" s="442"/>
      <c r="C2907" s="317"/>
      <c r="G2907" s="290"/>
      <c r="H2907" s="438"/>
      <c r="I2907" s="439"/>
      <c r="J2907" s="440"/>
      <c r="K2907" s="307"/>
      <c r="L2907" s="307"/>
      <c r="M2907" s="307"/>
      <c r="N2907" s="438"/>
      <c r="O2907" s="438"/>
      <c r="P2907" s="438"/>
    </row>
    <row r="2908" spans="1:16" ht="15.75" customHeight="1">
      <c r="A2908" s="441"/>
      <c r="B2908" s="442"/>
      <c r="C2908" s="317"/>
      <c r="G2908" s="290"/>
      <c r="H2908" s="438"/>
      <c r="I2908" s="439"/>
      <c r="J2908" s="440"/>
      <c r="K2908" s="307"/>
      <c r="L2908" s="307"/>
      <c r="M2908" s="307"/>
      <c r="N2908" s="438"/>
      <c r="O2908" s="438"/>
      <c r="P2908" s="438"/>
    </row>
    <row r="2909" spans="1:16" ht="15.75" customHeight="1">
      <c r="A2909" s="441"/>
      <c r="B2909" s="442"/>
      <c r="C2909" s="317"/>
      <c r="G2909" s="290"/>
      <c r="H2909" s="438"/>
      <c r="I2909" s="439"/>
      <c r="J2909" s="440"/>
      <c r="K2909" s="307"/>
      <c r="L2909" s="307"/>
      <c r="M2909" s="307"/>
      <c r="N2909" s="438"/>
      <c r="O2909" s="438"/>
      <c r="P2909" s="438"/>
    </row>
    <row r="2910" spans="1:16" ht="15.75" customHeight="1">
      <c r="A2910" s="441"/>
      <c r="B2910" s="442"/>
      <c r="C2910" s="317"/>
      <c r="G2910" s="290"/>
      <c r="H2910" s="438"/>
      <c r="I2910" s="439"/>
      <c r="J2910" s="440"/>
      <c r="K2910" s="307"/>
      <c r="L2910" s="307"/>
      <c r="M2910" s="307"/>
      <c r="N2910" s="438"/>
      <c r="O2910" s="438"/>
      <c r="P2910" s="438"/>
    </row>
    <row r="2911" spans="1:16" ht="15.75" customHeight="1">
      <c r="A2911" s="441"/>
      <c r="B2911" s="442"/>
      <c r="C2911" s="317"/>
      <c r="G2911" s="290"/>
      <c r="H2911" s="438"/>
      <c r="I2911" s="439"/>
      <c r="J2911" s="440"/>
      <c r="K2911" s="307"/>
      <c r="L2911" s="307"/>
      <c r="M2911" s="307"/>
      <c r="N2911" s="438"/>
      <c r="O2911" s="438"/>
      <c r="P2911" s="438"/>
    </row>
    <row r="2912" spans="1:16" ht="15.75" customHeight="1">
      <c r="A2912" s="441"/>
      <c r="B2912" s="442"/>
      <c r="C2912" s="317"/>
      <c r="G2912" s="290"/>
      <c r="H2912" s="438"/>
      <c r="I2912" s="439"/>
      <c r="J2912" s="440"/>
      <c r="K2912" s="307"/>
      <c r="L2912" s="307"/>
      <c r="M2912" s="307"/>
      <c r="N2912" s="438"/>
      <c r="O2912" s="438"/>
      <c r="P2912" s="438"/>
    </row>
    <row r="2913" spans="1:16" ht="15.75" customHeight="1">
      <c r="A2913" s="441"/>
      <c r="B2913" s="442"/>
      <c r="C2913" s="317"/>
      <c r="G2913" s="290"/>
      <c r="H2913" s="438"/>
      <c r="I2913" s="439"/>
      <c r="J2913" s="440"/>
      <c r="K2913" s="307"/>
      <c r="L2913" s="307"/>
      <c r="M2913" s="307"/>
      <c r="N2913" s="438"/>
      <c r="O2913" s="438"/>
      <c r="P2913" s="438"/>
    </row>
    <row r="2914" spans="1:16" ht="15.75" customHeight="1">
      <c r="A2914" s="441"/>
      <c r="B2914" s="442"/>
      <c r="C2914" s="317"/>
      <c r="G2914" s="290"/>
      <c r="H2914" s="438"/>
      <c r="I2914" s="439"/>
      <c r="J2914" s="440"/>
      <c r="K2914" s="307"/>
      <c r="L2914" s="307"/>
      <c r="M2914" s="307"/>
      <c r="N2914" s="438"/>
      <c r="O2914" s="438"/>
      <c r="P2914" s="438"/>
    </row>
    <row r="2915" spans="1:16" ht="15.75" customHeight="1">
      <c r="A2915" s="441"/>
      <c r="B2915" s="442"/>
      <c r="C2915" s="317"/>
      <c r="G2915" s="290"/>
      <c r="H2915" s="438"/>
      <c r="I2915" s="439"/>
      <c r="J2915" s="440"/>
      <c r="K2915" s="307"/>
      <c r="L2915" s="307"/>
      <c r="M2915" s="307"/>
      <c r="N2915" s="438"/>
      <c r="O2915" s="438"/>
      <c r="P2915" s="438"/>
    </row>
    <row r="2916" spans="1:16" ht="15.75" customHeight="1">
      <c r="A2916" s="441"/>
      <c r="B2916" s="442"/>
      <c r="C2916" s="317"/>
      <c r="G2916" s="290"/>
      <c r="H2916" s="438"/>
      <c r="I2916" s="439"/>
      <c r="J2916" s="440"/>
      <c r="K2916" s="307"/>
      <c r="L2916" s="307"/>
      <c r="M2916" s="307"/>
      <c r="N2916" s="438"/>
      <c r="O2916" s="438"/>
      <c r="P2916" s="438"/>
    </row>
    <row r="2917" spans="1:16" ht="15.75" customHeight="1">
      <c r="A2917" s="441"/>
      <c r="B2917" s="442"/>
      <c r="C2917" s="317"/>
      <c r="G2917" s="290"/>
      <c r="H2917" s="438"/>
      <c r="I2917" s="439"/>
      <c r="J2917" s="440"/>
      <c r="K2917" s="307"/>
      <c r="L2917" s="307"/>
      <c r="M2917" s="307"/>
      <c r="N2917" s="438"/>
      <c r="O2917" s="438"/>
      <c r="P2917" s="438"/>
    </row>
    <row r="2918" spans="1:16" ht="15.75" customHeight="1">
      <c r="A2918" s="441"/>
      <c r="B2918" s="442"/>
      <c r="C2918" s="317"/>
      <c r="G2918" s="290"/>
      <c r="H2918" s="438"/>
      <c r="I2918" s="439"/>
      <c r="J2918" s="440"/>
      <c r="K2918" s="307"/>
      <c r="L2918" s="307"/>
      <c r="M2918" s="307"/>
      <c r="N2918" s="438"/>
      <c r="O2918" s="438"/>
      <c r="P2918" s="438"/>
    </row>
    <row r="2919" spans="1:16" ht="15.75" customHeight="1">
      <c r="A2919" s="441"/>
      <c r="B2919" s="442"/>
      <c r="C2919" s="317"/>
      <c r="G2919" s="290"/>
      <c r="H2919" s="438"/>
      <c r="I2919" s="439"/>
      <c r="J2919" s="440"/>
      <c r="K2919" s="307"/>
      <c r="L2919" s="307"/>
      <c r="M2919" s="307"/>
      <c r="N2919" s="438"/>
      <c r="O2919" s="438"/>
      <c r="P2919" s="438"/>
    </row>
    <row r="2920" spans="1:16" ht="15.75" customHeight="1">
      <c r="A2920" s="441"/>
      <c r="B2920" s="442"/>
      <c r="C2920" s="317"/>
      <c r="G2920" s="290"/>
      <c r="H2920" s="438"/>
      <c r="I2920" s="439"/>
      <c r="J2920" s="440"/>
      <c r="K2920" s="307"/>
      <c r="L2920" s="307"/>
      <c r="M2920" s="307"/>
      <c r="N2920" s="438"/>
      <c r="O2920" s="438"/>
      <c r="P2920" s="438"/>
    </row>
    <row r="2921" spans="1:16" ht="15.75" customHeight="1">
      <c r="A2921" s="441"/>
      <c r="B2921" s="442"/>
      <c r="C2921" s="317"/>
      <c r="G2921" s="290"/>
      <c r="H2921" s="438"/>
      <c r="I2921" s="439"/>
      <c r="J2921" s="440"/>
      <c r="K2921" s="307"/>
      <c r="L2921" s="307"/>
      <c r="M2921" s="307"/>
      <c r="N2921" s="438"/>
      <c r="O2921" s="438"/>
      <c r="P2921" s="438"/>
    </row>
    <row r="2922" spans="1:16" ht="15.75" customHeight="1">
      <c r="A2922" s="441"/>
      <c r="B2922" s="442"/>
      <c r="C2922" s="317"/>
      <c r="G2922" s="290"/>
      <c r="H2922" s="438"/>
      <c r="I2922" s="439"/>
      <c r="J2922" s="440"/>
      <c r="K2922" s="307"/>
      <c r="L2922" s="307"/>
      <c r="M2922" s="307"/>
      <c r="N2922" s="438"/>
      <c r="O2922" s="438"/>
      <c r="P2922" s="438"/>
    </row>
    <row r="2923" spans="1:16" ht="15.75" customHeight="1">
      <c r="A2923" s="441"/>
      <c r="B2923" s="442"/>
      <c r="C2923" s="317"/>
      <c r="G2923" s="290"/>
      <c r="H2923" s="438"/>
      <c r="I2923" s="439"/>
      <c r="J2923" s="440"/>
      <c r="K2923" s="307"/>
      <c r="L2923" s="307"/>
      <c r="M2923" s="307"/>
      <c r="N2923" s="438"/>
      <c r="O2923" s="438"/>
      <c r="P2923" s="438"/>
    </row>
    <row r="2924" spans="1:16" ht="15.75" customHeight="1">
      <c r="A2924" s="441"/>
      <c r="B2924" s="442"/>
      <c r="C2924" s="317"/>
      <c r="G2924" s="290"/>
      <c r="H2924" s="438"/>
      <c r="I2924" s="439"/>
      <c r="J2924" s="440"/>
      <c r="K2924" s="307"/>
      <c r="L2924" s="307"/>
      <c r="M2924" s="307"/>
      <c r="N2924" s="438"/>
      <c r="O2924" s="438"/>
      <c r="P2924" s="438"/>
    </row>
    <row r="2925" spans="1:16" ht="15.75" customHeight="1">
      <c r="A2925" s="441"/>
      <c r="B2925" s="442"/>
      <c r="C2925" s="317"/>
      <c r="G2925" s="290"/>
      <c r="H2925" s="438"/>
      <c r="I2925" s="439"/>
      <c r="J2925" s="440"/>
      <c r="K2925" s="307"/>
      <c r="L2925" s="307"/>
      <c r="M2925" s="307"/>
      <c r="N2925" s="438"/>
      <c r="O2925" s="438"/>
      <c r="P2925" s="438"/>
    </row>
    <row r="2926" spans="1:16" ht="15.75" customHeight="1">
      <c r="A2926" s="441"/>
      <c r="B2926" s="442"/>
      <c r="C2926" s="317"/>
      <c r="G2926" s="290"/>
      <c r="H2926" s="438"/>
      <c r="I2926" s="439"/>
      <c r="J2926" s="440"/>
      <c r="K2926" s="307"/>
      <c r="L2926" s="307"/>
      <c r="M2926" s="307"/>
      <c r="N2926" s="438"/>
      <c r="O2926" s="438"/>
      <c r="P2926" s="438"/>
    </row>
    <row r="2927" spans="1:16" ht="15.75" customHeight="1">
      <c r="A2927" s="441"/>
      <c r="B2927" s="442"/>
      <c r="C2927" s="317"/>
      <c r="G2927" s="290"/>
      <c r="H2927" s="438"/>
      <c r="I2927" s="439"/>
      <c r="J2927" s="440"/>
      <c r="K2927" s="307"/>
      <c r="L2927" s="307"/>
      <c r="M2927" s="307"/>
      <c r="N2927" s="438"/>
      <c r="O2927" s="438"/>
      <c r="P2927" s="438"/>
    </row>
    <row r="2928" spans="1:16" ht="15.75" customHeight="1">
      <c r="A2928" s="441"/>
      <c r="B2928" s="442"/>
      <c r="C2928" s="317"/>
      <c r="G2928" s="290"/>
      <c r="H2928" s="438"/>
      <c r="I2928" s="439"/>
      <c r="J2928" s="440"/>
      <c r="K2928" s="307"/>
      <c r="L2928" s="307"/>
      <c r="M2928" s="307"/>
      <c r="N2928" s="438"/>
      <c r="O2928" s="438"/>
      <c r="P2928" s="438"/>
    </row>
    <row r="2929" spans="1:16" ht="15.75" customHeight="1">
      <c r="A2929" s="441"/>
      <c r="B2929" s="442"/>
      <c r="C2929" s="317"/>
      <c r="G2929" s="290"/>
      <c r="H2929" s="438"/>
      <c r="I2929" s="439"/>
      <c r="J2929" s="440"/>
      <c r="K2929" s="307"/>
      <c r="L2929" s="307"/>
      <c r="M2929" s="307"/>
      <c r="N2929" s="438"/>
      <c r="O2929" s="438"/>
      <c r="P2929" s="438"/>
    </row>
    <row r="2930" spans="1:16" ht="15.75" customHeight="1">
      <c r="A2930" s="441"/>
      <c r="B2930" s="442"/>
      <c r="C2930" s="317"/>
      <c r="G2930" s="290"/>
      <c r="H2930" s="438"/>
      <c r="I2930" s="439"/>
      <c r="J2930" s="440"/>
      <c r="K2930" s="307"/>
      <c r="L2930" s="307"/>
      <c r="M2930" s="307"/>
      <c r="N2930" s="438"/>
      <c r="O2930" s="438"/>
      <c r="P2930" s="438"/>
    </row>
    <row r="2931" spans="1:16" ht="15.75" customHeight="1">
      <c r="A2931" s="441"/>
      <c r="B2931" s="442"/>
      <c r="C2931" s="317"/>
      <c r="G2931" s="290"/>
      <c r="H2931" s="438"/>
      <c r="I2931" s="439"/>
      <c r="J2931" s="440"/>
      <c r="K2931" s="307"/>
      <c r="L2931" s="307"/>
      <c r="M2931" s="307"/>
      <c r="N2931" s="438"/>
      <c r="O2931" s="438"/>
      <c r="P2931" s="438"/>
    </row>
    <row r="2932" spans="1:16" ht="15.75" customHeight="1">
      <c r="A2932" s="441"/>
      <c r="B2932" s="442"/>
      <c r="C2932" s="317"/>
      <c r="G2932" s="290"/>
      <c r="H2932" s="438"/>
      <c r="I2932" s="439"/>
      <c r="J2932" s="440"/>
      <c r="K2932" s="307"/>
      <c r="L2932" s="307"/>
      <c r="M2932" s="307"/>
      <c r="N2932" s="438"/>
      <c r="O2932" s="438"/>
      <c r="P2932" s="438"/>
    </row>
    <row r="2933" spans="1:16" ht="15.75" customHeight="1">
      <c r="A2933" s="441"/>
      <c r="B2933" s="442"/>
      <c r="C2933" s="317"/>
      <c r="G2933" s="290"/>
      <c r="H2933" s="438"/>
      <c r="I2933" s="439"/>
      <c r="J2933" s="440"/>
      <c r="K2933" s="307"/>
      <c r="L2933" s="307"/>
      <c r="M2933" s="307"/>
      <c r="N2933" s="438"/>
      <c r="O2933" s="438"/>
      <c r="P2933" s="438"/>
    </row>
    <row r="2934" spans="1:16" ht="15.75" customHeight="1">
      <c r="A2934" s="441"/>
      <c r="B2934" s="442"/>
      <c r="C2934" s="317"/>
      <c r="G2934" s="290"/>
      <c r="H2934" s="438"/>
      <c r="I2934" s="439"/>
      <c r="J2934" s="440"/>
      <c r="K2934" s="307"/>
      <c r="L2934" s="307"/>
      <c r="M2934" s="307"/>
      <c r="N2934" s="438"/>
      <c r="O2934" s="438"/>
      <c r="P2934" s="438"/>
    </row>
    <row r="2935" spans="1:16" ht="15.75" customHeight="1">
      <c r="A2935" s="441"/>
      <c r="B2935" s="442"/>
      <c r="C2935" s="317"/>
      <c r="G2935" s="290"/>
      <c r="H2935" s="438"/>
      <c r="I2935" s="439"/>
      <c r="J2935" s="440"/>
      <c r="K2935" s="307"/>
      <c r="L2935" s="307"/>
      <c r="M2935" s="307"/>
      <c r="N2935" s="438"/>
      <c r="O2935" s="438"/>
      <c r="P2935" s="438"/>
    </row>
    <row r="2936" spans="1:16" ht="15.75" customHeight="1">
      <c r="A2936" s="441"/>
      <c r="B2936" s="442"/>
      <c r="C2936" s="317"/>
      <c r="G2936" s="290"/>
      <c r="H2936" s="438"/>
      <c r="I2936" s="439"/>
      <c r="J2936" s="440"/>
      <c r="K2936" s="307"/>
      <c r="L2936" s="307"/>
      <c r="M2936" s="307"/>
      <c r="N2936" s="438"/>
      <c r="O2936" s="438"/>
      <c r="P2936" s="438"/>
    </row>
    <row r="2937" spans="1:16" ht="15.75" customHeight="1">
      <c r="A2937" s="441"/>
      <c r="B2937" s="442"/>
      <c r="C2937" s="317"/>
      <c r="G2937" s="290"/>
      <c r="H2937" s="438"/>
      <c r="I2937" s="439"/>
      <c r="J2937" s="440"/>
      <c r="K2937" s="307"/>
      <c r="L2937" s="307"/>
      <c r="M2937" s="307"/>
      <c r="N2937" s="438"/>
      <c r="O2937" s="438"/>
      <c r="P2937" s="438"/>
    </row>
    <row r="2938" spans="1:16" ht="15.75" customHeight="1">
      <c r="A2938" s="441"/>
      <c r="B2938" s="442"/>
      <c r="C2938" s="317"/>
      <c r="G2938" s="290"/>
      <c r="H2938" s="438"/>
      <c r="I2938" s="439"/>
      <c r="J2938" s="440"/>
      <c r="K2938" s="307"/>
      <c r="L2938" s="307"/>
      <c r="M2938" s="307"/>
      <c r="N2938" s="438"/>
      <c r="O2938" s="438"/>
      <c r="P2938" s="438"/>
    </row>
    <row r="2939" spans="1:16" ht="15.75" customHeight="1">
      <c r="A2939" s="441"/>
      <c r="B2939" s="442"/>
      <c r="C2939" s="317"/>
      <c r="G2939" s="290"/>
      <c r="H2939" s="438"/>
      <c r="I2939" s="439"/>
      <c r="J2939" s="440"/>
      <c r="K2939" s="307"/>
      <c r="L2939" s="307"/>
      <c r="M2939" s="307"/>
      <c r="N2939" s="438"/>
      <c r="O2939" s="438"/>
      <c r="P2939" s="438"/>
    </row>
    <row r="2940" spans="1:16" ht="15.75" customHeight="1">
      <c r="A2940" s="441"/>
      <c r="B2940" s="442"/>
      <c r="C2940" s="317"/>
      <c r="G2940" s="290"/>
      <c r="H2940" s="438"/>
      <c r="I2940" s="439"/>
      <c r="J2940" s="440"/>
      <c r="K2940" s="307"/>
      <c r="L2940" s="307"/>
      <c r="M2940" s="307"/>
      <c r="N2940" s="438"/>
      <c r="O2940" s="438"/>
      <c r="P2940" s="438"/>
    </row>
    <row r="2941" spans="1:16" ht="15.75" customHeight="1">
      <c r="A2941" s="441"/>
      <c r="B2941" s="442"/>
      <c r="C2941" s="317"/>
      <c r="G2941" s="290"/>
      <c r="H2941" s="438"/>
      <c r="I2941" s="439"/>
      <c r="J2941" s="440"/>
      <c r="K2941" s="307"/>
      <c r="L2941" s="307"/>
      <c r="M2941" s="307"/>
      <c r="N2941" s="438"/>
      <c r="O2941" s="438"/>
      <c r="P2941" s="438"/>
    </row>
    <row r="2942" spans="1:16" ht="15.75" customHeight="1">
      <c r="A2942" s="441"/>
      <c r="B2942" s="442"/>
      <c r="C2942" s="317"/>
      <c r="G2942" s="290"/>
      <c r="H2942" s="438"/>
      <c r="I2942" s="439"/>
      <c r="J2942" s="440"/>
      <c r="K2942" s="307"/>
      <c r="L2942" s="307"/>
      <c r="M2942" s="307"/>
      <c r="N2942" s="438"/>
      <c r="O2942" s="438"/>
      <c r="P2942" s="438"/>
    </row>
    <row r="2943" spans="1:16" ht="15.75" customHeight="1">
      <c r="A2943" s="441"/>
      <c r="B2943" s="442"/>
      <c r="C2943" s="317"/>
      <c r="G2943" s="290"/>
      <c r="H2943" s="438"/>
      <c r="I2943" s="439"/>
      <c r="J2943" s="440"/>
      <c r="K2943" s="307"/>
      <c r="L2943" s="307"/>
      <c r="M2943" s="307"/>
      <c r="N2943" s="438"/>
      <c r="O2943" s="438"/>
      <c r="P2943" s="438"/>
    </row>
    <row r="2944" spans="1:16" ht="15.75" customHeight="1">
      <c r="A2944" s="441"/>
      <c r="B2944" s="442"/>
      <c r="C2944" s="317"/>
      <c r="G2944" s="290"/>
      <c r="H2944" s="438"/>
      <c r="I2944" s="439"/>
      <c r="J2944" s="440"/>
      <c r="K2944" s="307"/>
      <c r="L2944" s="307"/>
      <c r="M2944" s="307"/>
      <c r="N2944" s="438"/>
      <c r="O2944" s="438"/>
      <c r="P2944" s="438"/>
    </row>
    <row r="2945" spans="1:16" ht="15.75" customHeight="1">
      <c r="A2945" s="441"/>
      <c r="B2945" s="442"/>
      <c r="C2945" s="317"/>
      <c r="G2945" s="290"/>
      <c r="H2945" s="438"/>
      <c r="I2945" s="439"/>
      <c r="J2945" s="440"/>
      <c r="K2945" s="307"/>
      <c r="L2945" s="307"/>
      <c r="M2945" s="307"/>
      <c r="N2945" s="438"/>
      <c r="O2945" s="438"/>
      <c r="P2945" s="438"/>
    </row>
    <row r="2946" spans="1:16" ht="15.75" customHeight="1">
      <c r="A2946" s="441"/>
      <c r="B2946" s="442"/>
      <c r="C2946" s="317"/>
      <c r="G2946" s="290"/>
      <c r="H2946" s="438"/>
      <c r="I2946" s="439"/>
      <c r="J2946" s="440"/>
      <c r="K2946" s="307"/>
      <c r="L2946" s="307"/>
      <c r="M2946" s="307"/>
      <c r="N2946" s="438"/>
      <c r="O2946" s="438"/>
      <c r="P2946" s="438"/>
    </row>
    <row r="2947" spans="1:16" ht="15.75" customHeight="1">
      <c r="A2947" s="441"/>
      <c r="B2947" s="442"/>
      <c r="C2947" s="317"/>
      <c r="G2947" s="290"/>
      <c r="H2947" s="438"/>
      <c r="I2947" s="439"/>
      <c r="J2947" s="440"/>
      <c r="K2947" s="307"/>
      <c r="L2947" s="307"/>
      <c r="M2947" s="307"/>
      <c r="N2947" s="438"/>
      <c r="O2947" s="438"/>
      <c r="P2947" s="438"/>
    </row>
    <row r="2948" spans="1:16" ht="15.75" customHeight="1">
      <c r="A2948" s="441"/>
      <c r="B2948" s="442"/>
      <c r="C2948" s="317"/>
      <c r="G2948" s="290"/>
      <c r="H2948" s="438"/>
      <c r="I2948" s="439"/>
      <c r="J2948" s="440"/>
      <c r="K2948" s="307"/>
      <c r="L2948" s="307"/>
      <c r="M2948" s="307"/>
      <c r="N2948" s="438"/>
      <c r="O2948" s="438"/>
      <c r="P2948" s="438"/>
    </row>
    <row r="2949" spans="1:16" ht="15.75" customHeight="1">
      <c r="A2949" s="441"/>
      <c r="B2949" s="442"/>
      <c r="C2949" s="317"/>
      <c r="G2949" s="290"/>
      <c r="H2949" s="438"/>
      <c r="I2949" s="439"/>
      <c r="J2949" s="440"/>
      <c r="K2949" s="307"/>
      <c r="L2949" s="307"/>
      <c r="M2949" s="307"/>
      <c r="N2949" s="438"/>
      <c r="O2949" s="438"/>
      <c r="P2949" s="438"/>
    </row>
    <row r="2950" spans="1:16" ht="15.75" customHeight="1">
      <c r="A2950" s="441"/>
      <c r="B2950" s="442"/>
      <c r="C2950" s="317"/>
      <c r="G2950" s="290"/>
      <c r="H2950" s="438"/>
      <c r="I2950" s="439"/>
      <c r="J2950" s="440"/>
      <c r="K2950" s="307"/>
      <c r="L2950" s="307"/>
      <c r="M2950" s="307"/>
      <c r="N2950" s="438"/>
      <c r="O2950" s="438"/>
      <c r="P2950" s="438"/>
    </row>
    <row r="2951" spans="1:16" ht="15.75" customHeight="1">
      <c r="A2951" s="441"/>
      <c r="B2951" s="442"/>
      <c r="C2951" s="317"/>
      <c r="G2951" s="290"/>
      <c r="H2951" s="438"/>
      <c r="I2951" s="439"/>
      <c r="J2951" s="440"/>
      <c r="K2951" s="307"/>
      <c r="L2951" s="307"/>
      <c r="M2951" s="307"/>
      <c r="N2951" s="438"/>
      <c r="O2951" s="438"/>
      <c r="P2951" s="438"/>
    </row>
    <row r="2952" spans="1:16" ht="15.75" customHeight="1">
      <c r="A2952" s="441"/>
      <c r="B2952" s="442"/>
      <c r="C2952" s="317"/>
      <c r="G2952" s="290"/>
      <c r="H2952" s="438"/>
      <c r="I2952" s="439"/>
      <c r="J2952" s="440"/>
      <c r="K2952" s="307"/>
      <c r="L2952" s="307"/>
      <c r="M2952" s="307"/>
      <c r="N2952" s="438"/>
      <c r="O2952" s="438"/>
      <c r="P2952" s="438"/>
    </row>
    <row r="2953" spans="1:16" ht="15.75" customHeight="1">
      <c r="A2953" s="441"/>
      <c r="B2953" s="442"/>
      <c r="C2953" s="317"/>
      <c r="G2953" s="290"/>
      <c r="H2953" s="438"/>
      <c r="I2953" s="439"/>
      <c r="J2953" s="440"/>
      <c r="K2953" s="307"/>
      <c r="L2953" s="307"/>
      <c r="M2953" s="307"/>
      <c r="N2953" s="438"/>
      <c r="O2953" s="438"/>
      <c r="P2953" s="438"/>
    </row>
    <row r="2954" spans="1:16" ht="15.75" customHeight="1">
      <c r="A2954" s="441"/>
      <c r="B2954" s="442"/>
      <c r="C2954" s="317"/>
      <c r="G2954" s="290"/>
      <c r="H2954" s="438"/>
      <c r="I2954" s="439"/>
      <c r="J2954" s="440"/>
      <c r="K2954" s="307"/>
      <c r="L2954" s="307"/>
      <c r="M2954" s="307"/>
      <c r="N2954" s="438"/>
      <c r="O2954" s="438"/>
      <c r="P2954" s="438"/>
    </row>
    <row r="2955" spans="1:16" ht="15.75" customHeight="1">
      <c r="A2955" s="441"/>
      <c r="B2955" s="442"/>
      <c r="C2955" s="317"/>
      <c r="G2955" s="290"/>
      <c r="H2955" s="438"/>
      <c r="I2955" s="439"/>
      <c r="J2955" s="440"/>
      <c r="K2955" s="307"/>
      <c r="L2955" s="307"/>
      <c r="M2955" s="307"/>
      <c r="N2955" s="438"/>
      <c r="O2955" s="438"/>
      <c r="P2955" s="438"/>
    </row>
    <row r="2956" spans="1:16" ht="15.75" customHeight="1">
      <c r="A2956" s="441"/>
      <c r="B2956" s="442"/>
      <c r="C2956" s="317"/>
      <c r="G2956" s="290"/>
      <c r="H2956" s="438"/>
      <c r="I2956" s="439"/>
      <c r="J2956" s="440"/>
      <c r="K2956" s="307"/>
      <c r="L2956" s="307"/>
      <c r="M2956" s="307"/>
      <c r="N2956" s="438"/>
      <c r="O2956" s="438"/>
      <c r="P2956" s="438"/>
    </row>
    <row r="2957" spans="1:16" ht="15.75" customHeight="1">
      <c r="A2957" s="441"/>
      <c r="B2957" s="442"/>
      <c r="C2957" s="317"/>
      <c r="G2957" s="290"/>
      <c r="H2957" s="438"/>
      <c r="I2957" s="439"/>
      <c r="J2957" s="440"/>
      <c r="K2957" s="307"/>
      <c r="L2957" s="307"/>
      <c r="M2957" s="307"/>
      <c r="N2957" s="438"/>
      <c r="O2957" s="438"/>
      <c r="P2957" s="438"/>
    </row>
    <row r="2958" spans="1:16" ht="15.75" customHeight="1">
      <c r="A2958" s="441"/>
      <c r="B2958" s="442"/>
      <c r="C2958" s="317"/>
      <c r="G2958" s="290"/>
      <c r="H2958" s="438"/>
      <c r="I2958" s="439"/>
      <c r="J2958" s="440"/>
      <c r="K2958" s="307"/>
      <c r="L2958" s="307"/>
      <c r="M2958" s="307"/>
      <c r="N2958" s="438"/>
      <c r="O2958" s="438"/>
      <c r="P2958" s="438"/>
    </row>
    <row r="2959" spans="1:16" ht="15.75" customHeight="1">
      <c r="A2959" s="441"/>
      <c r="B2959" s="442"/>
      <c r="C2959" s="317"/>
      <c r="G2959" s="290"/>
      <c r="H2959" s="438"/>
      <c r="I2959" s="439"/>
      <c r="J2959" s="440"/>
      <c r="K2959" s="307"/>
      <c r="L2959" s="307"/>
      <c r="M2959" s="307"/>
      <c r="N2959" s="438"/>
      <c r="O2959" s="438"/>
      <c r="P2959" s="438"/>
    </row>
    <row r="2960" spans="1:16" ht="15.75" customHeight="1">
      <c r="A2960" s="441"/>
      <c r="B2960" s="442"/>
      <c r="C2960" s="317"/>
      <c r="G2960" s="290"/>
      <c r="H2960" s="438"/>
      <c r="I2960" s="439"/>
      <c r="J2960" s="440"/>
      <c r="K2960" s="307"/>
      <c r="L2960" s="307"/>
      <c r="M2960" s="307"/>
      <c r="N2960" s="438"/>
      <c r="O2960" s="438"/>
      <c r="P2960" s="438"/>
    </row>
    <row r="2961" spans="1:16" ht="15.75" customHeight="1">
      <c r="A2961" s="441"/>
      <c r="B2961" s="442"/>
      <c r="C2961" s="317"/>
      <c r="G2961" s="290"/>
      <c r="H2961" s="438"/>
      <c r="I2961" s="439"/>
      <c r="J2961" s="440"/>
      <c r="K2961" s="307"/>
      <c r="L2961" s="307"/>
      <c r="M2961" s="307"/>
      <c r="N2961" s="438"/>
      <c r="O2961" s="438"/>
      <c r="P2961" s="438"/>
    </row>
    <row r="2962" spans="1:16" ht="15.75" customHeight="1">
      <c r="A2962" s="441"/>
      <c r="B2962" s="442"/>
      <c r="C2962" s="317"/>
      <c r="G2962" s="290"/>
      <c r="H2962" s="438"/>
      <c r="I2962" s="439"/>
      <c r="J2962" s="440"/>
      <c r="K2962" s="307"/>
      <c r="L2962" s="307"/>
      <c r="M2962" s="307"/>
      <c r="N2962" s="438"/>
      <c r="O2962" s="438"/>
      <c r="P2962" s="438"/>
    </row>
    <row r="2963" spans="1:16" ht="15.75" customHeight="1">
      <c r="A2963" s="441"/>
      <c r="B2963" s="442"/>
      <c r="C2963" s="317"/>
      <c r="G2963" s="290"/>
      <c r="H2963" s="438"/>
      <c r="I2963" s="439"/>
      <c r="J2963" s="440"/>
      <c r="K2963" s="307"/>
      <c r="L2963" s="307"/>
      <c r="M2963" s="307"/>
      <c r="N2963" s="438"/>
      <c r="O2963" s="438"/>
      <c r="P2963" s="438"/>
    </row>
    <row r="2964" spans="1:16" ht="15.75" customHeight="1">
      <c r="A2964" s="441"/>
      <c r="B2964" s="442"/>
      <c r="C2964" s="317"/>
      <c r="G2964" s="290"/>
      <c r="H2964" s="438"/>
      <c r="I2964" s="439"/>
      <c r="J2964" s="440"/>
      <c r="K2964" s="307"/>
      <c r="L2964" s="307"/>
      <c r="M2964" s="307"/>
      <c r="N2964" s="438"/>
      <c r="O2964" s="438"/>
      <c r="P2964" s="438"/>
    </row>
    <row r="2965" spans="1:16" ht="15.75" customHeight="1">
      <c r="A2965" s="441"/>
      <c r="B2965" s="442"/>
      <c r="C2965" s="317"/>
      <c r="G2965" s="290"/>
      <c r="H2965" s="438"/>
      <c r="I2965" s="439"/>
      <c r="J2965" s="440"/>
      <c r="K2965" s="307"/>
      <c r="L2965" s="307"/>
      <c r="M2965" s="307"/>
      <c r="N2965" s="438"/>
      <c r="O2965" s="438"/>
      <c r="P2965" s="438"/>
    </row>
    <row r="2966" spans="1:16" ht="15.75" customHeight="1">
      <c r="A2966" s="441"/>
      <c r="B2966" s="442"/>
      <c r="C2966" s="317"/>
      <c r="G2966" s="290"/>
      <c r="H2966" s="438"/>
      <c r="I2966" s="439"/>
      <c r="J2966" s="440"/>
      <c r="K2966" s="307"/>
      <c r="L2966" s="307"/>
      <c r="M2966" s="307"/>
      <c r="N2966" s="438"/>
      <c r="O2966" s="438"/>
      <c r="P2966" s="438"/>
    </row>
    <row r="2967" spans="1:16" ht="15.75" customHeight="1">
      <c r="A2967" s="441"/>
      <c r="B2967" s="442"/>
      <c r="C2967" s="317"/>
      <c r="G2967" s="290"/>
      <c r="H2967" s="438"/>
      <c r="I2967" s="439"/>
      <c r="J2967" s="440"/>
      <c r="K2967" s="307"/>
      <c r="L2967" s="307"/>
      <c r="M2967" s="307"/>
      <c r="N2967" s="438"/>
      <c r="O2967" s="438"/>
      <c r="P2967" s="438"/>
    </row>
    <row r="2968" spans="1:16" ht="15.75" customHeight="1">
      <c r="A2968" s="441"/>
      <c r="B2968" s="442"/>
      <c r="C2968" s="317"/>
      <c r="G2968" s="290"/>
      <c r="H2968" s="438"/>
      <c r="I2968" s="439"/>
      <c r="J2968" s="440"/>
      <c r="K2968" s="307"/>
      <c r="L2968" s="307"/>
      <c r="M2968" s="307"/>
      <c r="N2968" s="438"/>
      <c r="O2968" s="438"/>
      <c r="P2968" s="438"/>
    </row>
    <row r="2969" spans="1:16" ht="15.75" customHeight="1">
      <c r="A2969" s="441"/>
      <c r="B2969" s="442"/>
      <c r="C2969" s="317"/>
      <c r="G2969" s="290"/>
      <c r="H2969" s="438"/>
      <c r="I2969" s="439"/>
      <c r="J2969" s="440"/>
      <c r="K2969" s="307"/>
      <c r="L2969" s="307"/>
      <c r="M2969" s="307"/>
      <c r="N2969" s="438"/>
      <c r="O2969" s="438"/>
      <c r="P2969" s="438"/>
    </row>
    <row r="2970" spans="1:16" ht="15.75" customHeight="1">
      <c r="A2970" s="441"/>
      <c r="B2970" s="442"/>
      <c r="C2970" s="317"/>
      <c r="G2970" s="290"/>
      <c r="H2970" s="438"/>
      <c r="I2970" s="439"/>
      <c r="J2970" s="440"/>
      <c r="K2970" s="307"/>
      <c r="L2970" s="307"/>
      <c r="M2970" s="307"/>
      <c r="N2970" s="438"/>
      <c r="O2970" s="438"/>
      <c r="P2970" s="438"/>
    </row>
    <row r="2971" spans="1:16" ht="15.75" customHeight="1">
      <c r="A2971" s="441"/>
      <c r="B2971" s="442"/>
      <c r="C2971" s="317"/>
      <c r="G2971" s="290"/>
      <c r="H2971" s="438"/>
      <c r="I2971" s="439"/>
      <c r="J2971" s="440"/>
      <c r="K2971" s="307"/>
      <c r="L2971" s="307"/>
      <c r="M2971" s="307"/>
      <c r="N2971" s="438"/>
      <c r="O2971" s="438"/>
      <c r="P2971" s="438"/>
    </row>
    <row r="2972" spans="1:16" ht="15.75" customHeight="1">
      <c r="A2972" s="441"/>
      <c r="B2972" s="442"/>
      <c r="C2972" s="317"/>
      <c r="G2972" s="290"/>
      <c r="H2972" s="438"/>
      <c r="I2972" s="439"/>
      <c r="J2972" s="440"/>
      <c r="K2972" s="307"/>
      <c r="L2972" s="307"/>
      <c r="M2972" s="307"/>
      <c r="N2972" s="438"/>
      <c r="O2972" s="438"/>
      <c r="P2972" s="438"/>
    </row>
    <row r="2973" spans="1:16" ht="15.75" customHeight="1">
      <c r="A2973" s="441"/>
      <c r="B2973" s="442"/>
      <c r="C2973" s="317"/>
      <c r="G2973" s="290"/>
      <c r="H2973" s="438"/>
      <c r="I2973" s="439"/>
      <c r="J2973" s="440"/>
      <c r="K2973" s="307"/>
      <c r="L2973" s="307"/>
      <c r="M2973" s="307"/>
      <c r="N2973" s="438"/>
      <c r="O2973" s="438"/>
      <c r="P2973" s="438"/>
    </row>
    <row r="2974" spans="1:16" ht="15.75" customHeight="1">
      <c r="A2974" s="441"/>
      <c r="B2974" s="442"/>
      <c r="C2974" s="317"/>
      <c r="G2974" s="290"/>
      <c r="H2974" s="438"/>
      <c r="I2974" s="439"/>
      <c r="J2974" s="440"/>
      <c r="K2974" s="307"/>
      <c r="L2974" s="307"/>
      <c r="M2974" s="307"/>
      <c r="N2974" s="438"/>
      <c r="O2974" s="438"/>
      <c r="P2974" s="438"/>
    </row>
    <row r="2975" spans="1:16" ht="15.75" customHeight="1">
      <c r="A2975" s="441"/>
      <c r="B2975" s="442"/>
      <c r="C2975" s="317"/>
      <c r="G2975" s="290"/>
      <c r="H2975" s="438"/>
      <c r="I2975" s="439"/>
      <c r="J2975" s="440"/>
      <c r="K2975" s="307"/>
      <c r="L2975" s="307"/>
      <c r="M2975" s="307"/>
      <c r="N2975" s="438"/>
      <c r="O2975" s="438"/>
      <c r="P2975" s="438"/>
    </row>
    <row r="2976" spans="1:16" ht="15.75" customHeight="1">
      <c r="A2976" s="441"/>
      <c r="B2976" s="442"/>
      <c r="C2976" s="317"/>
      <c r="G2976" s="290"/>
      <c r="H2976" s="438"/>
      <c r="I2976" s="439"/>
      <c r="J2976" s="440"/>
      <c r="K2976" s="307"/>
      <c r="L2976" s="307"/>
      <c r="M2976" s="307"/>
      <c r="N2976" s="438"/>
      <c r="O2976" s="438"/>
      <c r="P2976" s="438"/>
    </row>
    <row r="2977" spans="1:16" ht="15.75" customHeight="1">
      <c r="A2977" s="441"/>
      <c r="B2977" s="442"/>
      <c r="C2977" s="317"/>
      <c r="G2977" s="290"/>
      <c r="H2977" s="438"/>
      <c r="I2977" s="439"/>
      <c r="J2977" s="440"/>
      <c r="K2977" s="307"/>
      <c r="L2977" s="307"/>
      <c r="M2977" s="307"/>
      <c r="N2977" s="438"/>
      <c r="O2977" s="438"/>
      <c r="P2977" s="438"/>
    </row>
    <row r="2978" spans="1:16" ht="15.75" customHeight="1">
      <c r="A2978" s="441"/>
      <c r="B2978" s="442"/>
      <c r="C2978" s="317"/>
      <c r="G2978" s="290"/>
      <c r="H2978" s="438"/>
      <c r="I2978" s="439"/>
      <c r="J2978" s="440"/>
      <c r="K2978" s="307"/>
      <c r="L2978" s="307"/>
      <c r="M2978" s="307"/>
      <c r="N2978" s="438"/>
      <c r="O2978" s="438"/>
      <c r="P2978" s="438"/>
    </row>
    <row r="2979" spans="1:16" ht="15.75" customHeight="1">
      <c r="A2979" s="441"/>
      <c r="B2979" s="442"/>
      <c r="C2979" s="317"/>
      <c r="G2979" s="290"/>
      <c r="H2979" s="438"/>
      <c r="I2979" s="439"/>
      <c r="J2979" s="440"/>
      <c r="K2979" s="307"/>
      <c r="L2979" s="307"/>
      <c r="M2979" s="307"/>
      <c r="N2979" s="438"/>
      <c r="O2979" s="438"/>
      <c r="P2979" s="438"/>
    </row>
    <row r="2980" spans="1:16" ht="15.75" customHeight="1">
      <c r="A2980" s="441"/>
      <c r="B2980" s="442"/>
      <c r="C2980" s="317"/>
      <c r="G2980" s="290"/>
      <c r="H2980" s="438"/>
      <c r="I2980" s="439"/>
      <c r="J2980" s="440"/>
      <c r="K2980" s="307"/>
      <c r="L2980" s="307"/>
      <c r="M2980" s="307"/>
      <c r="N2980" s="438"/>
      <c r="O2980" s="438"/>
      <c r="P2980" s="438"/>
    </row>
    <row r="2981" spans="1:16" ht="15.75" customHeight="1">
      <c r="A2981" s="441"/>
      <c r="B2981" s="442"/>
      <c r="C2981" s="317"/>
      <c r="G2981" s="290"/>
      <c r="H2981" s="438"/>
      <c r="I2981" s="439"/>
      <c r="J2981" s="440"/>
      <c r="K2981" s="307"/>
      <c r="L2981" s="307"/>
      <c r="M2981" s="307"/>
      <c r="N2981" s="438"/>
      <c r="O2981" s="438"/>
      <c r="P2981" s="438"/>
    </row>
    <row r="2982" spans="1:16" ht="15.75" customHeight="1">
      <c r="A2982" s="441"/>
      <c r="B2982" s="442"/>
      <c r="C2982" s="317"/>
      <c r="G2982" s="290"/>
      <c r="H2982" s="438"/>
      <c r="I2982" s="439"/>
      <c r="J2982" s="440"/>
      <c r="K2982" s="307"/>
      <c r="L2982" s="307"/>
      <c r="M2982" s="307"/>
      <c r="N2982" s="438"/>
      <c r="O2982" s="438"/>
      <c r="P2982" s="438"/>
    </row>
    <row r="2983" spans="1:16" ht="15.75" customHeight="1">
      <c r="A2983" s="441"/>
      <c r="B2983" s="442"/>
      <c r="C2983" s="317"/>
      <c r="G2983" s="290"/>
      <c r="H2983" s="438"/>
      <c r="I2983" s="439"/>
      <c r="J2983" s="440"/>
      <c r="K2983" s="307"/>
      <c r="L2983" s="307"/>
      <c r="M2983" s="307"/>
      <c r="N2983" s="438"/>
      <c r="O2983" s="438"/>
      <c r="P2983" s="438"/>
    </row>
    <row r="2984" spans="1:16" ht="15.75" customHeight="1">
      <c r="A2984" s="441"/>
      <c r="B2984" s="442"/>
      <c r="C2984" s="317"/>
      <c r="G2984" s="290"/>
      <c r="H2984" s="438"/>
      <c r="I2984" s="439"/>
      <c r="J2984" s="440"/>
      <c r="K2984" s="307"/>
      <c r="L2984" s="307"/>
      <c r="M2984" s="307"/>
      <c r="N2984" s="438"/>
      <c r="O2984" s="438"/>
      <c r="P2984" s="438"/>
    </row>
    <row r="2985" spans="1:16" ht="15.75" customHeight="1">
      <c r="A2985" s="441"/>
      <c r="B2985" s="442"/>
      <c r="C2985" s="317"/>
      <c r="G2985" s="290"/>
      <c r="H2985" s="438"/>
      <c r="I2985" s="439"/>
      <c r="J2985" s="440"/>
      <c r="K2985" s="307"/>
      <c r="L2985" s="307"/>
      <c r="M2985" s="307"/>
      <c r="N2985" s="438"/>
      <c r="O2985" s="438"/>
      <c r="P2985" s="438"/>
    </row>
    <row r="2986" spans="1:16" ht="15.75" customHeight="1">
      <c r="A2986" s="441"/>
      <c r="B2986" s="442"/>
      <c r="C2986" s="317"/>
      <c r="G2986" s="290"/>
      <c r="H2986" s="438"/>
      <c r="I2986" s="439"/>
      <c r="J2986" s="440"/>
      <c r="K2986" s="307"/>
      <c r="L2986" s="307"/>
      <c r="M2986" s="307"/>
      <c r="N2986" s="438"/>
      <c r="O2986" s="438"/>
      <c r="P2986" s="438"/>
    </row>
    <row r="2987" spans="1:16" ht="15.75" customHeight="1">
      <c r="A2987" s="441"/>
      <c r="B2987" s="442"/>
      <c r="C2987" s="317"/>
      <c r="G2987" s="290"/>
      <c r="H2987" s="438"/>
      <c r="I2987" s="439"/>
      <c r="J2987" s="440"/>
      <c r="K2987" s="307"/>
      <c r="L2987" s="307"/>
      <c r="M2987" s="307"/>
      <c r="N2987" s="438"/>
      <c r="O2987" s="438"/>
      <c r="P2987" s="438"/>
    </row>
    <row r="2988" spans="1:16" ht="15.75" customHeight="1">
      <c r="A2988" s="441"/>
      <c r="B2988" s="442"/>
      <c r="C2988" s="317"/>
      <c r="G2988" s="290"/>
      <c r="H2988" s="438"/>
      <c r="I2988" s="439"/>
      <c r="J2988" s="440"/>
      <c r="K2988" s="307"/>
      <c r="L2988" s="307"/>
      <c r="M2988" s="307"/>
      <c r="N2988" s="438"/>
      <c r="O2988" s="438"/>
      <c r="P2988" s="438"/>
    </row>
    <row r="2989" spans="1:16" ht="15.75" customHeight="1">
      <c r="A2989" s="441"/>
      <c r="B2989" s="442"/>
      <c r="C2989" s="317"/>
      <c r="G2989" s="290"/>
      <c r="H2989" s="438"/>
      <c r="I2989" s="439"/>
      <c r="J2989" s="440"/>
      <c r="K2989" s="307"/>
      <c r="L2989" s="307"/>
      <c r="M2989" s="307"/>
      <c r="N2989" s="438"/>
      <c r="O2989" s="438"/>
      <c r="P2989" s="438"/>
    </row>
    <row r="2990" spans="1:16" ht="15.75" customHeight="1">
      <c r="A2990" s="441"/>
      <c r="B2990" s="442"/>
      <c r="C2990" s="317"/>
      <c r="G2990" s="290"/>
      <c r="H2990" s="438"/>
      <c r="I2990" s="439"/>
      <c r="J2990" s="440"/>
      <c r="K2990" s="307"/>
      <c r="L2990" s="307"/>
      <c r="M2990" s="307"/>
      <c r="N2990" s="438"/>
      <c r="O2990" s="438"/>
      <c r="P2990" s="438"/>
    </row>
    <row r="2991" spans="1:16" ht="15.75" customHeight="1">
      <c r="A2991" s="441"/>
      <c r="B2991" s="442"/>
      <c r="C2991" s="317"/>
      <c r="G2991" s="290"/>
      <c r="H2991" s="438"/>
      <c r="I2991" s="439"/>
      <c r="J2991" s="440"/>
      <c r="K2991" s="307"/>
      <c r="L2991" s="307"/>
      <c r="M2991" s="307"/>
      <c r="N2991" s="438"/>
      <c r="O2991" s="438"/>
      <c r="P2991" s="438"/>
    </row>
    <row r="2992" spans="1:16" ht="15.75" customHeight="1">
      <c r="A2992" s="441"/>
      <c r="B2992" s="442"/>
      <c r="C2992" s="317"/>
      <c r="G2992" s="290"/>
      <c r="H2992" s="438"/>
      <c r="I2992" s="439"/>
      <c r="J2992" s="440"/>
      <c r="K2992" s="307"/>
      <c r="L2992" s="307"/>
      <c r="M2992" s="307"/>
      <c r="N2992" s="438"/>
      <c r="O2992" s="438"/>
      <c r="P2992" s="438"/>
    </row>
    <row r="2993" spans="1:16" ht="15.75" customHeight="1">
      <c r="A2993" s="441"/>
      <c r="B2993" s="442"/>
      <c r="C2993" s="317"/>
      <c r="G2993" s="290"/>
      <c r="H2993" s="438"/>
      <c r="I2993" s="439"/>
      <c r="J2993" s="440"/>
      <c r="K2993" s="307"/>
      <c r="L2993" s="307"/>
      <c r="M2993" s="307"/>
      <c r="N2993" s="438"/>
      <c r="O2993" s="438"/>
      <c r="P2993" s="438"/>
    </row>
    <row r="2994" spans="1:16" ht="15.75" customHeight="1">
      <c r="A2994" s="441"/>
      <c r="B2994" s="442"/>
      <c r="C2994" s="317"/>
      <c r="G2994" s="290"/>
      <c r="H2994" s="438"/>
      <c r="I2994" s="439"/>
      <c r="J2994" s="440"/>
      <c r="K2994" s="307"/>
      <c r="L2994" s="307"/>
      <c r="M2994" s="307"/>
      <c r="N2994" s="438"/>
      <c r="O2994" s="438"/>
      <c r="P2994" s="438"/>
    </row>
    <row r="2995" spans="1:16" ht="15.75" customHeight="1">
      <c r="A2995" s="441"/>
      <c r="B2995" s="442"/>
      <c r="C2995" s="317"/>
      <c r="G2995" s="290"/>
      <c r="H2995" s="438"/>
      <c r="I2995" s="439"/>
      <c r="J2995" s="440"/>
      <c r="K2995" s="307"/>
      <c r="L2995" s="307"/>
      <c r="M2995" s="307"/>
      <c r="N2995" s="438"/>
      <c r="O2995" s="438"/>
      <c r="P2995" s="438"/>
    </row>
    <row r="2996" spans="1:16" ht="15.75" customHeight="1">
      <c r="A2996" s="441"/>
      <c r="B2996" s="442"/>
      <c r="C2996" s="317"/>
      <c r="G2996" s="290"/>
      <c r="H2996" s="438"/>
      <c r="I2996" s="439"/>
      <c r="J2996" s="440"/>
      <c r="K2996" s="307"/>
      <c r="L2996" s="307"/>
      <c r="M2996" s="307"/>
      <c r="N2996" s="438"/>
      <c r="O2996" s="438"/>
      <c r="P2996" s="438"/>
    </row>
    <row r="2997" spans="1:16" ht="15.75" customHeight="1">
      <c r="A2997" s="441"/>
      <c r="B2997" s="442"/>
      <c r="C2997" s="317"/>
      <c r="G2997" s="290"/>
      <c r="H2997" s="438"/>
      <c r="I2997" s="439"/>
      <c r="J2997" s="440"/>
      <c r="K2997" s="307"/>
      <c r="L2997" s="307"/>
      <c r="M2997" s="307"/>
      <c r="N2997" s="438"/>
      <c r="O2997" s="438"/>
      <c r="P2997" s="438"/>
    </row>
    <row r="2998" spans="1:16" ht="15.75" customHeight="1">
      <c r="A2998" s="441"/>
      <c r="B2998" s="442"/>
      <c r="C2998" s="317"/>
      <c r="G2998" s="290"/>
      <c r="H2998" s="438"/>
      <c r="I2998" s="439"/>
      <c r="J2998" s="440"/>
      <c r="K2998" s="307"/>
      <c r="L2998" s="307"/>
      <c r="M2998" s="307"/>
      <c r="N2998" s="438"/>
      <c r="O2998" s="438"/>
      <c r="P2998" s="438"/>
    </row>
    <row r="2999" spans="1:16" ht="15.75" customHeight="1">
      <c r="A2999" s="441"/>
      <c r="B2999" s="442"/>
      <c r="C2999" s="317"/>
      <c r="G2999" s="290"/>
      <c r="H2999" s="438"/>
      <c r="I2999" s="439"/>
      <c r="J2999" s="440"/>
      <c r="K2999" s="307"/>
      <c r="L2999" s="307"/>
      <c r="M2999" s="307"/>
      <c r="N2999" s="438"/>
      <c r="O2999" s="438"/>
      <c r="P2999" s="438"/>
    </row>
    <row r="3000" spans="1:16" ht="15.75" customHeight="1">
      <c r="A3000" s="441"/>
      <c r="B3000" s="442"/>
      <c r="C3000" s="317"/>
      <c r="G3000" s="290"/>
      <c r="H3000" s="438"/>
      <c r="I3000" s="439"/>
      <c r="J3000" s="440"/>
      <c r="K3000" s="307"/>
      <c r="L3000" s="307"/>
      <c r="M3000" s="307"/>
      <c r="N3000" s="438"/>
      <c r="O3000" s="438"/>
      <c r="P3000" s="438"/>
    </row>
    <row r="3001" spans="1:16" ht="15.75" customHeight="1">
      <c r="A3001" s="441"/>
      <c r="B3001" s="442"/>
      <c r="C3001" s="317"/>
      <c r="G3001" s="290"/>
      <c r="H3001" s="438"/>
      <c r="I3001" s="439"/>
      <c r="J3001" s="440"/>
      <c r="K3001" s="307"/>
      <c r="L3001" s="307"/>
      <c r="M3001" s="307"/>
      <c r="N3001" s="438"/>
      <c r="O3001" s="438"/>
      <c r="P3001" s="438"/>
    </row>
    <row r="3002" spans="1:16" ht="15.75" customHeight="1">
      <c r="A3002" s="441"/>
      <c r="B3002" s="442"/>
      <c r="C3002" s="317"/>
      <c r="G3002" s="290"/>
      <c r="H3002" s="438"/>
      <c r="I3002" s="439"/>
      <c r="J3002" s="440"/>
      <c r="K3002" s="307"/>
      <c r="L3002" s="307"/>
      <c r="M3002" s="307"/>
      <c r="N3002" s="438"/>
      <c r="O3002" s="438"/>
      <c r="P3002" s="438"/>
    </row>
    <row r="3003" spans="1:16" ht="15.75" customHeight="1">
      <c r="A3003" s="441"/>
      <c r="B3003" s="442"/>
      <c r="C3003" s="317"/>
      <c r="G3003" s="290"/>
      <c r="H3003" s="438"/>
      <c r="I3003" s="439"/>
      <c r="J3003" s="440"/>
      <c r="K3003" s="307"/>
      <c r="L3003" s="307"/>
      <c r="M3003" s="307"/>
      <c r="N3003" s="438"/>
      <c r="O3003" s="438"/>
      <c r="P3003" s="438"/>
    </row>
    <row r="3004" spans="1:16" ht="15.75" customHeight="1">
      <c r="A3004" s="441"/>
      <c r="B3004" s="442"/>
      <c r="C3004" s="317"/>
      <c r="G3004" s="290"/>
      <c r="H3004" s="438"/>
      <c r="I3004" s="439"/>
      <c r="J3004" s="440"/>
      <c r="K3004" s="307"/>
      <c r="L3004" s="307"/>
      <c r="M3004" s="307"/>
      <c r="N3004" s="438"/>
      <c r="O3004" s="438"/>
      <c r="P3004" s="438"/>
    </row>
    <row r="3005" spans="1:16" ht="15.75" customHeight="1">
      <c r="A3005" s="441"/>
      <c r="B3005" s="442"/>
      <c r="C3005" s="317"/>
      <c r="G3005" s="290"/>
      <c r="H3005" s="438"/>
      <c r="I3005" s="439"/>
      <c r="J3005" s="440"/>
      <c r="K3005" s="307"/>
      <c r="L3005" s="307"/>
      <c r="M3005" s="307"/>
      <c r="N3005" s="438"/>
      <c r="O3005" s="438"/>
      <c r="P3005" s="438"/>
    </row>
    <row r="3006" spans="1:16" ht="15.75" customHeight="1">
      <c r="A3006" s="441"/>
      <c r="B3006" s="442"/>
      <c r="C3006" s="317"/>
      <c r="G3006" s="290"/>
      <c r="H3006" s="438"/>
      <c r="I3006" s="439"/>
      <c r="J3006" s="440"/>
      <c r="K3006" s="307"/>
      <c r="L3006" s="307"/>
      <c r="M3006" s="307"/>
      <c r="N3006" s="438"/>
      <c r="O3006" s="438"/>
      <c r="P3006" s="438"/>
    </row>
    <row r="3007" spans="1:16" ht="15.75" customHeight="1">
      <c r="A3007" s="441"/>
      <c r="B3007" s="442"/>
      <c r="C3007" s="317"/>
      <c r="G3007" s="290"/>
      <c r="H3007" s="438"/>
      <c r="I3007" s="439"/>
      <c r="J3007" s="440"/>
      <c r="K3007" s="307"/>
      <c r="L3007" s="307"/>
      <c r="M3007" s="307"/>
      <c r="N3007" s="438"/>
      <c r="O3007" s="438"/>
      <c r="P3007" s="438"/>
    </row>
    <row r="3008" spans="1:16" ht="15.75" customHeight="1">
      <c r="A3008" s="441"/>
      <c r="B3008" s="442"/>
      <c r="C3008" s="317"/>
      <c r="G3008" s="290"/>
      <c r="H3008" s="438"/>
      <c r="I3008" s="439"/>
      <c r="J3008" s="440"/>
      <c r="K3008" s="307"/>
      <c r="L3008" s="307"/>
      <c r="M3008" s="307"/>
      <c r="N3008" s="438"/>
      <c r="O3008" s="438"/>
      <c r="P3008" s="438"/>
    </row>
    <row r="3009" spans="1:16" ht="15.75" customHeight="1">
      <c r="A3009" s="441"/>
      <c r="B3009" s="442"/>
      <c r="C3009" s="317"/>
      <c r="G3009" s="290"/>
      <c r="H3009" s="438"/>
      <c r="I3009" s="439"/>
      <c r="J3009" s="440"/>
      <c r="K3009" s="307"/>
      <c r="L3009" s="307"/>
      <c r="M3009" s="307"/>
      <c r="N3009" s="438"/>
      <c r="O3009" s="438"/>
      <c r="P3009" s="438"/>
    </row>
    <row r="3010" spans="1:16" ht="15.75" customHeight="1">
      <c r="A3010" s="441"/>
      <c r="B3010" s="442"/>
      <c r="C3010" s="317"/>
      <c r="G3010" s="290"/>
      <c r="H3010" s="438"/>
      <c r="I3010" s="439"/>
      <c r="J3010" s="440"/>
      <c r="K3010" s="307"/>
      <c r="L3010" s="307"/>
      <c r="M3010" s="307"/>
      <c r="N3010" s="438"/>
      <c r="O3010" s="438"/>
      <c r="P3010" s="438"/>
    </row>
    <row r="3011" spans="1:16" ht="15.75" customHeight="1">
      <c r="A3011" s="441"/>
      <c r="B3011" s="442"/>
      <c r="C3011" s="317"/>
      <c r="G3011" s="290"/>
      <c r="H3011" s="438"/>
      <c r="I3011" s="439"/>
      <c r="J3011" s="440"/>
      <c r="K3011" s="307"/>
      <c r="L3011" s="307"/>
      <c r="M3011" s="307"/>
      <c r="N3011" s="438"/>
      <c r="O3011" s="438"/>
      <c r="P3011" s="438"/>
    </row>
    <row r="3012" spans="1:16" ht="15.75" customHeight="1">
      <c r="A3012" s="441"/>
      <c r="B3012" s="442"/>
      <c r="C3012" s="317"/>
      <c r="G3012" s="290"/>
      <c r="H3012" s="438"/>
      <c r="I3012" s="439"/>
      <c r="J3012" s="440"/>
      <c r="K3012" s="307"/>
      <c r="L3012" s="307"/>
      <c r="M3012" s="307"/>
      <c r="N3012" s="438"/>
      <c r="O3012" s="438"/>
      <c r="P3012" s="438"/>
    </row>
    <row r="3013" spans="1:16" ht="15.75" customHeight="1">
      <c r="A3013" s="441"/>
      <c r="B3013" s="442"/>
      <c r="C3013" s="317"/>
      <c r="G3013" s="290"/>
      <c r="H3013" s="438"/>
      <c r="I3013" s="439"/>
      <c r="J3013" s="440"/>
      <c r="K3013" s="307"/>
      <c r="L3013" s="307"/>
      <c r="M3013" s="307"/>
      <c r="N3013" s="438"/>
      <c r="O3013" s="438"/>
      <c r="P3013" s="438"/>
    </row>
    <row r="3014" spans="1:16" ht="15.75" customHeight="1">
      <c r="A3014" s="441"/>
      <c r="B3014" s="442"/>
      <c r="C3014" s="317"/>
      <c r="G3014" s="290"/>
      <c r="H3014" s="438"/>
      <c r="I3014" s="439"/>
      <c r="J3014" s="440"/>
      <c r="K3014" s="307"/>
      <c r="L3014" s="307"/>
      <c r="M3014" s="307"/>
      <c r="N3014" s="438"/>
      <c r="O3014" s="438"/>
      <c r="P3014" s="438"/>
    </row>
    <row r="3015" spans="1:16" ht="15.75" customHeight="1">
      <c r="A3015" s="441"/>
      <c r="B3015" s="442"/>
      <c r="C3015" s="317"/>
      <c r="G3015" s="290"/>
      <c r="H3015" s="438"/>
      <c r="I3015" s="439"/>
      <c r="J3015" s="440"/>
      <c r="K3015" s="307"/>
      <c r="L3015" s="307"/>
      <c r="M3015" s="307"/>
      <c r="N3015" s="438"/>
      <c r="O3015" s="438"/>
      <c r="P3015" s="438"/>
    </row>
    <row r="3016" spans="1:16" ht="15.75" customHeight="1">
      <c r="A3016" s="441"/>
      <c r="B3016" s="442"/>
      <c r="C3016" s="317"/>
      <c r="G3016" s="290"/>
      <c r="H3016" s="438"/>
      <c r="I3016" s="439"/>
      <c r="J3016" s="440"/>
      <c r="K3016" s="307"/>
      <c r="L3016" s="307"/>
      <c r="M3016" s="307"/>
      <c r="N3016" s="438"/>
      <c r="O3016" s="438"/>
      <c r="P3016" s="438"/>
    </row>
    <row r="3017" spans="1:16" ht="15.75" customHeight="1">
      <c r="A3017" s="441"/>
      <c r="B3017" s="442"/>
      <c r="C3017" s="317"/>
      <c r="G3017" s="290"/>
      <c r="H3017" s="438"/>
      <c r="I3017" s="439"/>
      <c r="J3017" s="440"/>
      <c r="K3017" s="307"/>
      <c r="L3017" s="307"/>
      <c r="M3017" s="307"/>
      <c r="N3017" s="438"/>
      <c r="O3017" s="438"/>
      <c r="P3017" s="438"/>
    </row>
    <row r="3018" spans="1:16" ht="15.75" customHeight="1">
      <c r="A3018" s="441"/>
      <c r="B3018" s="442"/>
      <c r="C3018" s="317"/>
      <c r="G3018" s="290"/>
      <c r="H3018" s="438"/>
      <c r="I3018" s="439"/>
      <c r="J3018" s="440"/>
      <c r="K3018" s="307"/>
      <c r="L3018" s="307"/>
      <c r="M3018" s="307"/>
      <c r="N3018" s="438"/>
      <c r="O3018" s="438"/>
      <c r="P3018" s="438"/>
    </row>
    <row r="3019" spans="1:16" ht="15.75" customHeight="1">
      <c r="A3019" s="441"/>
      <c r="B3019" s="442"/>
      <c r="C3019" s="317"/>
      <c r="G3019" s="290"/>
      <c r="H3019" s="438"/>
      <c r="I3019" s="439"/>
      <c r="J3019" s="440"/>
      <c r="K3019" s="307"/>
      <c r="L3019" s="307"/>
      <c r="M3019" s="307"/>
      <c r="N3019" s="438"/>
      <c r="O3019" s="438"/>
      <c r="P3019" s="438"/>
    </row>
    <row r="3020" spans="1:16" ht="15.75" customHeight="1">
      <c r="A3020" s="441"/>
      <c r="B3020" s="442"/>
      <c r="C3020" s="317"/>
      <c r="G3020" s="290"/>
      <c r="H3020" s="438"/>
      <c r="I3020" s="439"/>
      <c r="J3020" s="440"/>
      <c r="K3020" s="307"/>
      <c r="L3020" s="307"/>
      <c r="M3020" s="307"/>
      <c r="N3020" s="438"/>
      <c r="O3020" s="438"/>
      <c r="P3020" s="438"/>
    </row>
    <row r="3021" spans="1:16" ht="15.75" customHeight="1">
      <c r="A3021" s="441"/>
      <c r="B3021" s="442"/>
      <c r="C3021" s="317"/>
      <c r="G3021" s="290"/>
      <c r="H3021" s="438"/>
      <c r="I3021" s="439"/>
      <c r="J3021" s="440"/>
      <c r="K3021" s="307"/>
      <c r="L3021" s="307"/>
      <c r="M3021" s="307"/>
      <c r="N3021" s="438"/>
      <c r="O3021" s="438"/>
      <c r="P3021" s="438"/>
    </row>
    <row r="3022" spans="1:16" ht="15.75" customHeight="1">
      <c r="A3022" s="441"/>
      <c r="B3022" s="442"/>
      <c r="C3022" s="317"/>
      <c r="G3022" s="290"/>
      <c r="H3022" s="438"/>
      <c r="I3022" s="439"/>
      <c r="J3022" s="440"/>
      <c r="K3022" s="307"/>
      <c r="L3022" s="307"/>
      <c r="M3022" s="307"/>
      <c r="N3022" s="438"/>
      <c r="O3022" s="438"/>
      <c r="P3022" s="438"/>
    </row>
    <row r="3023" spans="1:16" ht="15.75" customHeight="1">
      <c r="A3023" s="441"/>
      <c r="B3023" s="442"/>
      <c r="C3023" s="317"/>
      <c r="G3023" s="290"/>
      <c r="H3023" s="438"/>
      <c r="I3023" s="439"/>
      <c r="J3023" s="440"/>
      <c r="K3023" s="307"/>
      <c r="L3023" s="307"/>
      <c r="M3023" s="307"/>
      <c r="N3023" s="438"/>
      <c r="O3023" s="438"/>
      <c r="P3023" s="438"/>
    </row>
    <row r="3024" spans="1:16" ht="15.75" customHeight="1">
      <c r="A3024" s="441"/>
      <c r="B3024" s="442"/>
      <c r="C3024" s="317"/>
      <c r="G3024" s="290"/>
      <c r="H3024" s="438"/>
      <c r="I3024" s="439"/>
      <c r="J3024" s="440"/>
      <c r="K3024" s="307"/>
      <c r="L3024" s="307"/>
      <c r="M3024" s="307"/>
      <c r="N3024" s="438"/>
      <c r="O3024" s="438"/>
      <c r="P3024" s="438"/>
    </row>
    <row r="3025" spans="1:16" ht="15.75" customHeight="1">
      <c r="A3025" s="441"/>
      <c r="B3025" s="442"/>
      <c r="C3025" s="317"/>
      <c r="G3025" s="290"/>
      <c r="H3025" s="438"/>
      <c r="I3025" s="439"/>
      <c r="J3025" s="440"/>
      <c r="K3025" s="307"/>
      <c r="L3025" s="307"/>
      <c r="M3025" s="307"/>
      <c r="N3025" s="438"/>
      <c r="O3025" s="438"/>
      <c r="P3025" s="438"/>
    </row>
    <row r="3026" spans="1:16" ht="15.75" customHeight="1">
      <c r="A3026" s="441"/>
      <c r="B3026" s="442"/>
      <c r="C3026" s="317"/>
      <c r="G3026" s="290"/>
      <c r="H3026" s="438"/>
      <c r="I3026" s="439"/>
      <c r="J3026" s="440"/>
      <c r="K3026" s="307"/>
      <c r="L3026" s="307"/>
      <c r="M3026" s="307"/>
      <c r="N3026" s="438"/>
      <c r="O3026" s="438"/>
      <c r="P3026" s="438"/>
    </row>
    <row r="3027" spans="1:16" ht="15.75" customHeight="1">
      <c r="A3027" s="441"/>
      <c r="B3027" s="442"/>
      <c r="C3027" s="317"/>
      <c r="G3027" s="290"/>
      <c r="H3027" s="438"/>
      <c r="I3027" s="439"/>
      <c r="J3027" s="440"/>
      <c r="K3027" s="307"/>
      <c r="L3027" s="307"/>
      <c r="M3027" s="307"/>
      <c r="N3027" s="438"/>
      <c r="O3027" s="438"/>
      <c r="P3027" s="438"/>
    </row>
    <row r="3028" spans="1:16" ht="15.75" customHeight="1">
      <c r="A3028" s="441"/>
      <c r="B3028" s="442"/>
      <c r="C3028" s="317"/>
      <c r="G3028" s="290"/>
      <c r="H3028" s="438"/>
      <c r="I3028" s="439"/>
      <c r="J3028" s="440"/>
      <c r="K3028" s="307"/>
      <c r="L3028" s="307"/>
      <c r="M3028" s="307"/>
      <c r="N3028" s="438"/>
      <c r="O3028" s="438"/>
      <c r="P3028" s="438"/>
    </row>
    <row r="3029" spans="1:16" ht="15.75" customHeight="1">
      <c r="A3029" s="441"/>
      <c r="B3029" s="442"/>
      <c r="C3029" s="317"/>
      <c r="G3029" s="290"/>
      <c r="H3029" s="438"/>
      <c r="I3029" s="439"/>
      <c r="J3029" s="440"/>
      <c r="K3029" s="307"/>
      <c r="L3029" s="307"/>
      <c r="M3029" s="307"/>
      <c r="N3029" s="438"/>
      <c r="O3029" s="438"/>
      <c r="P3029" s="438"/>
    </row>
    <row r="3030" spans="1:16" ht="15.75" customHeight="1">
      <c r="A3030" s="441"/>
      <c r="B3030" s="442"/>
      <c r="C3030" s="317"/>
      <c r="G3030" s="290"/>
      <c r="H3030" s="438"/>
      <c r="I3030" s="439"/>
      <c r="J3030" s="440"/>
      <c r="K3030" s="307"/>
      <c r="L3030" s="307"/>
      <c r="M3030" s="307"/>
      <c r="N3030" s="438"/>
      <c r="O3030" s="438"/>
      <c r="P3030" s="438"/>
    </row>
    <row r="3031" spans="1:16" ht="15.75" customHeight="1">
      <c r="A3031" s="441"/>
      <c r="B3031" s="442"/>
      <c r="C3031" s="317"/>
      <c r="G3031" s="290"/>
      <c r="H3031" s="438"/>
      <c r="I3031" s="439"/>
      <c r="J3031" s="440"/>
      <c r="K3031" s="307"/>
      <c r="L3031" s="307"/>
      <c r="M3031" s="307"/>
      <c r="N3031" s="438"/>
      <c r="O3031" s="438"/>
      <c r="P3031" s="438"/>
    </row>
    <row r="3032" spans="1:16" ht="15.75" customHeight="1">
      <c r="A3032" s="441"/>
      <c r="B3032" s="442"/>
      <c r="C3032" s="317"/>
      <c r="G3032" s="290"/>
      <c r="H3032" s="438"/>
      <c r="I3032" s="439"/>
      <c r="J3032" s="440"/>
      <c r="K3032" s="307"/>
      <c r="L3032" s="307"/>
      <c r="M3032" s="307"/>
      <c r="N3032" s="438"/>
      <c r="O3032" s="438"/>
      <c r="P3032" s="438"/>
    </row>
    <row r="3033" spans="1:16" ht="15.75" customHeight="1">
      <c r="A3033" s="441"/>
      <c r="B3033" s="442"/>
      <c r="C3033" s="317"/>
      <c r="G3033" s="290"/>
      <c r="H3033" s="438"/>
      <c r="I3033" s="439"/>
      <c r="J3033" s="440"/>
      <c r="K3033" s="307"/>
      <c r="L3033" s="307"/>
      <c r="M3033" s="307"/>
      <c r="N3033" s="438"/>
      <c r="O3033" s="438"/>
      <c r="P3033" s="438"/>
    </row>
    <row r="3034" spans="1:16" ht="15.75" customHeight="1">
      <c r="A3034" s="441"/>
      <c r="B3034" s="442"/>
      <c r="C3034" s="317"/>
      <c r="G3034" s="290"/>
      <c r="H3034" s="438"/>
      <c r="I3034" s="439"/>
      <c r="J3034" s="440"/>
      <c r="K3034" s="307"/>
      <c r="L3034" s="307"/>
      <c r="M3034" s="307"/>
      <c r="N3034" s="438"/>
      <c r="O3034" s="438"/>
      <c r="P3034" s="438"/>
    </row>
    <row r="3035" spans="1:16" ht="15.75" customHeight="1">
      <c r="A3035" s="441"/>
      <c r="B3035" s="442"/>
      <c r="C3035" s="317"/>
      <c r="G3035" s="290"/>
      <c r="H3035" s="438"/>
      <c r="I3035" s="439"/>
      <c r="J3035" s="440"/>
      <c r="K3035" s="307"/>
      <c r="L3035" s="307"/>
      <c r="M3035" s="307"/>
      <c r="N3035" s="438"/>
      <c r="O3035" s="438"/>
      <c r="P3035" s="438"/>
    </row>
    <row r="3036" spans="1:16" ht="15.75" customHeight="1">
      <c r="A3036" s="441"/>
      <c r="B3036" s="442"/>
      <c r="C3036" s="317"/>
      <c r="G3036" s="290"/>
      <c r="H3036" s="438"/>
      <c r="I3036" s="439"/>
      <c r="J3036" s="440"/>
      <c r="K3036" s="307"/>
      <c r="L3036" s="307"/>
      <c r="M3036" s="307"/>
      <c r="N3036" s="438"/>
      <c r="O3036" s="438"/>
      <c r="P3036" s="438"/>
    </row>
    <row r="3037" spans="1:16" ht="15.75" customHeight="1">
      <c r="A3037" s="441"/>
      <c r="B3037" s="442"/>
      <c r="C3037" s="317"/>
      <c r="G3037" s="290"/>
      <c r="H3037" s="438"/>
      <c r="I3037" s="439"/>
      <c r="J3037" s="440"/>
      <c r="K3037" s="307"/>
      <c r="L3037" s="307"/>
      <c r="M3037" s="307"/>
      <c r="N3037" s="438"/>
      <c r="O3037" s="438"/>
      <c r="P3037" s="438"/>
    </row>
    <row r="3038" spans="1:16" ht="15.75" customHeight="1">
      <c r="A3038" s="441"/>
      <c r="B3038" s="442"/>
      <c r="C3038" s="317"/>
      <c r="G3038" s="290"/>
      <c r="H3038" s="438"/>
      <c r="I3038" s="439"/>
      <c r="J3038" s="440"/>
      <c r="K3038" s="307"/>
      <c r="L3038" s="307"/>
      <c r="M3038" s="307"/>
      <c r="N3038" s="438"/>
      <c r="O3038" s="438"/>
      <c r="P3038" s="438"/>
    </row>
    <row r="3039" spans="1:16" ht="15.75" customHeight="1">
      <c r="A3039" s="441"/>
      <c r="B3039" s="442"/>
      <c r="C3039" s="317"/>
      <c r="G3039" s="290"/>
      <c r="H3039" s="438"/>
      <c r="I3039" s="439"/>
      <c r="J3039" s="440"/>
      <c r="K3039" s="307"/>
      <c r="L3039" s="307"/>
      <c r="M3039" s="307"/>
      <c r="N3039" s="438"/>
      <c r="O3039" s="438"/>
      <c r="P3039" s="438"/>
    </row>
    <row r="3040" spans="1:16" ht="15.75" customHeight="1">
      <c r="A3040" s="441"/>
      <c r="B3040" s="442"/>
      <c r="C3040" s="317"/>
      <c r="G3040" s="290"/>
      <c r="H3040" s="438"/>
      <c r="I3040" s="439"/>
      <c r="J3040" s="440"/>
      <c r="K3040" s="307"/>
      <c r="L3040" s="307"/>
      <c r="M3040" s="307"/>
      <c r="N3040" s="438"/>
      <c r="O3040" s="438"/>
      <c r="P3040" s="438"/>
    </row>
    <row r="3041" spans="1:16" ht="15.75" customHeight="1">
      <c r="A3041" s="441"/>
      <c r="B3041" s="442"/>
      <c r="C3041" s="317"/>
      <c r="G3041" s="290"/>
      <c r="H3041" s="438"/>
      <c r="I3041" s="439"/>
      <c r="J3041" s="440"/>
      <c r="K3041" s="307"/>
      <c r="L3041" s="307"/>
      <c r="M3041" s="307"/>
      <c r="N3041" s="438"/>
      <c r="O3041" s="438"/>
      <c r="P3041" s="438"/>
    </row>
    <row r="3042" spans="1:16" ht="15.75" customHeight="1">
      <c r="A3042" s="441"/>
      <c r="B3042" s="442"/>
      <c r="C3042" s="317"/>
      <c r="G3042" s="290"/>
      <c r="H3042" s="438"/>
      <c r="I3042" s="439"/>
      <c r="J3042" s="440"/>
      <c r="K3042" s="307"/>
      <c r="L3042" s="307"/>
      <c r="M3042" s="307"/>
      <c r="N3042" s="438"/>
      <c r="O3042" s="438"/>
      <c r="P3042" s="438"/>
    </row>
    <row r="3043" spans="1:16" ht="15.75" customHeight="1">
      <c r="A3043" s="441"/>
      <c r="B3043" s="442"/>
      <c r="C3043" s="317"/>
      <c r="G3043" s="290"/>
      <c r="H3043" s="438"/>
      <c r="I3043" s="439"/>
      <c r="J3043" s="440"/>
      <c r="K3043" s="307"/>
      <c r="L3043" s="307"/>
      <c r="M3043" s="307"/>
      <c r="N3043" s="438"/>
      <c r="O3043" s="438"/>
      <c r="P3043" s="438"/>
    </row>
    <row r="3044" spans="1:16" ht="15.75" customHeight="1">
      <c r="A3044" s="441"/>
      <c r="B3044" s="442"/>
      <c r="C3044" s="317"/>
      <c r="G3044" s="290"/>
      <c r="H3044" s="438"/>
      <c r="I3044" s="439"/>
      <c r="J3044" s="440"/>
      <c r="K3044" s="307"/>
      <c r="L3044" s="307"/>
      <c r="M3044" s="307"/>
      <c r="N3044" s="438"/>
      <c r="O3044" s="438"/>
      <c r="P3044" s="438"/>
    </row>
    <row r="3045" spans="1:16" ht="15.75" customHeight="1">
      <c r="A3045" s="441"/>
      <c r="B3045" s="442"/>
      <c r="C3045" s="317"/>
      <c r="G3045" s="290"/>
      <c r="H3045" s="438"/>
      <c r="I3045" s="439"/>
      <c r="J3045" s="440"/>
      <c r="K3045" s="307"/>
      <c r="L3045" s="307"/>
      <c r="M3045" s="307"/>
      <c r="N3045" s="438"/>
      <c r="O3045" s="438"/>
      <c r="P3045" s="438"/>
    </row>
    <row r="3046" spans="1:16" ht="15.75" customHeight="1">
      <c r="A3046" s="441"/>
      <c r="B3046" s="442"/>
      <c r="C3046" s="317"/>
      <c r="G3046" s="290"/>
      <c r="H3046" s="438"/>
      <c r="I3046" s="439"/>
      <c r="J3046" s="440"/>
      <c r="K3046" s="307"/>
      <c r="L3046" s="307"/>
      <c r="M3046" s="307"/>
      <c r="N3046" s="438"/>
      <c r="O3046" s="438"/>
      <c r="P3046" s="438"/>
    </row>
    <row r="3047" spans="1:16" ht="15.75" customHeight="1">
      <c r="A3047" s="441"/>
      <c r="B3047" s="442"/>
      <c r="C3047" s="317"/>
      <c r="G3047" s="290"/>
      <c r="H3047" s="438"/>
      <c r="I3047" s="439"/>
      <c r="J3047" s="440"/>
      <c r="K3047" s="307"/>
      <c r="L3047" s="307"/>
      <c r="M3047" s="307"/>
      <c r="N3047" s="438"/>
      <c r="O3047" s="438"/>
      <c r="P3047" s="438"/>
    </row>
    <row r="3048" spans="1:16" ht="15.75" customHeight="1">
      <c r="A3048" s="441"/>
      <c r="B3048" s="442"/>
      <c r="C3048" s="317"/>
      <c r="G3048" s="290"/>
      <c r="H3048" s="438"/>
      <c r="I3048" s="439"/>
      <c r="J3048" s="440"/>
      <c r="K3048" s="307"/>
      <c r="L3048" s="307"/>
      <c r="M3048" s="307"/>
      <c r="N3048" s="438"/>
      <c r="O3048" s="438"/>
      <c r="P3048" s="438"/>
    </row>
    <row r="3049" spans="1:16" ht="15.75" customHeight="1">
      <c r="A3049" s="441"/>
      <c r="B3049" s="442"/>
      <c r="C3049" s="317"/>
      <c r="G3049" s="290"/>
      <c r="H3049" s="438"/>
      <c r="I3049" s="439"/>
      <c r="J3049" s="440"/>
      <c r="K3049" s="307"/>
      <c r="L3049" s="307"/>
      <c r="M3049" s="307"/>
      <c r="N3049" s="438"/>
      <c r="O3049" s="438"/>
      <c r="P3049" s="438"/>
    </row>
    <row r="3050" spans="1:16" ht="15.75" customHeight="1">
      <c r="A3050" s="441"/>
      <c r="B3050" s="442"/>
      <c r="C3050" s="317"/>
      <c r="G3050" s="290"/>
      <c r="H3050" s="438"/>
      <c r="I3050" s="439"/>
      <c r="J3050" s="440"/>
      <c r="K3050" s="307"/>
      <c r="L3050" s="307"/>
      <c r="M3050" s="307"/>
      <c r="N3050" s="438"/>
      <c r="O3050" s="438"/>
      <c r="P3050" s="438"/>
    </row>
    <row r="3051" spans="1:16" ht="15.75" customHeight="1">
      <c r="A3051" s="441"/>
      <c r="B3051" s="442"/>
      <c r="C3051" s="317"/>
      <c r="G3051" s="290"/>
      <c r="H3051" s="438"/>
      <c r="I3051" s="439"/>
      <c r="J3051" s="440"/>
      <c r="K3051" s="307"/>
      <c r="L3051" s="307"/>
      <c r="M3051" s="307"/>
      <c r="N3051" s="438"/>
      <c r="O3051" s="438"/>
      <c r="P3051" s="438"/>
    </row>
    <row r="3052" spans="1:16" ht="15.75" customHeight="1">
      <c r="A3052" s="441"/>
      <c r="B3052" s="442"/>
      <c r="C3052" s="317"/>
      <c r="G3052" s="290"/>
      <c r="H3052" s="438"/>
      <c r="I3052" s="439"/>
      <c r="J3052" s="440"/>
      <c r="K3052" s="307"/>
      <c r="L3052" s="307"/>
      <c r="M3052" s="307"/>
      <c r="N3052" s="438"/>
      <c r="O3052" s="438"/>
      <c r="P3052" s="438"/>
    </row>
    <row r="3053" spans="1:16" ht="15.75" customHeight="1">
      <c r="A3053" s="441"/>
      <c r="B3053" s="442"/>
      <c r="C3053" s="317"/>
      <c r="G3053" s="290"/>
      <c r="H3053" s="438"/>
      <c r="I3053" s="439"/>
      <c r="J3053" s="440"/>
      <c r="K3053" s="307"/>
      <c r="L3053" s="307"/>
      <c r="M3053" s="307"/>
      <c r="N3053" s="438"/>
      <c r="O3053" s="438"/>
      <c r="P3053" s="438"/>
    </row>
    <row r="3054" spans="1:16" ht="15.75" customHeight="1">
      <c r="A3054" s="441"/>
      <c r="B3054" s="442"/>
      <c r="C3054" s="317"/>
      <c r="G3054" s="290"/>
      <c r="H3054" s="438"/>
      <c r="I3054" s="439"/>
      <c r="J3054" s="440"/>
      <c r="K3054" s="307"/>
      <c r="L3054" s="307"/>
      <c r="M3054" s="307"/>
      <c r="N3054" s="438"/>
      <c r="O3054" s="438"/>
      <c r="P3054" s="438"/>
    </row>
    <row r="3055" spans="1:16" ht="15.75" customHeight="1">
      <c r="A3055" s="441"/>
      <c r="B3055" s="442"/>
      <c r="C3055" s="317"/>
      <c r="G3055" s="290"/>
      <c r="H3055" s="438"/>
      <c r="I3055" s="439"/>
      <c r="J3055" s="440"/>
      <c r="K3055" s="307"/>
      <c r="L3055" s="307"/>
      <c r="M3055" s="307"/>
      <c r="N3055" s="438"/>
      <c r="O3055" s="438"/>
      <c r="P3055" s="438"/>
    </row>
    <row r="3056" spans="1:16" ht="15.75" customHeight="1">
      <c r="A3056" s="441"/>
      <c r="B3056" s="442"/>
      <c r="C3056" s="317"/>
      <c r="G3056" s="290"/>
      <c r="H3056" s="438"/>
      <c r="I3056" s="439"/>
      <c r="J3056" s="440"/>
      <c r="K3056" s="307"/>
      <c r="L3056" s="307"/>
      <c r="M3056" s="307"/>
      <c r="N3056" s="438"/>
      <c r="O3056" s="438"/>
      <c r="P3056" s="438"/>
    </row>
    <row r="3057" spans="1:16" ht="15.75" customHeight="1">
      <c r="A3057" s="441"/>
      <c r="B3057" s="442"/>
      <c r="C3057" s="317"/>
      <c r="G3057" s="290"/>
      <c r="H3057" s="438"/>
      <c r="I3057" s="439"/>
      <c r="J3057" s="440"/>
      <c r="K3057" s="307"/>
      <c r="L3057" s="307"/>
      <c r="M3057" s="307"/>
      <c r="N3057" s="438"/>
      <c r="O3057" s="438"/>
      <c r="P3057" s="438"/>
    </row>
    <row r="3058" spans="1:16" ht="15.75" customHeight="1">
      <c r="A3058" s="441"/>
      <c r="B3058" s="442"/>
      <c r="C3058" s="317"/>
      <c r="G3058" s="290"/>
      <c r="H3058" s="438"/>
      <c r="I3058" s="439"/>
      <c r="J3058" s="440"/>
      <c r="K3058" s="307"/>
      <c r="L3058" s="307"/>
      <c r="M3058" s="307"/>
      <c r="N3058" s="438"/>
      <c r="O3058" s="438"/>
      <c r="P3058" s="438"/>
    </row>
    <row r="3059" spans="1:16" ht="15.75" customHeight="1">
      <c r="A3059" s="441"/>
      <c r="B3059" s="442"/>
      <c r="C3059" s="317"/>
      <c r="G3059" s="290"/>
      <c r="H3059" s="438"/>
      <c r="I3059" s="439"/>
      <c r="J3059" s="440"/>
      <c r="K3059" s="307"/>
      <c r="L3059" s="307"/>
      <c r="M3059" s="307"/>
      <c r="N3059" s="438"/>
      <c r="O3059" s="438"/>
      <c r="P3059" s="438"/>
    </row>
    <row r="3060" spans="1:16" ht="15.75" customHeight="1">
      <c r="A3060" s="441"/>
      <c r="B3060" s="442"/>
      <c r="C3060" s="317"/>
      <c r="G3060" s="290"/>
      <c r="H3060" s="438"/>
      <c r="I3060" s="439"/>
      <c r="J3060" s="440"/>
      <c r="K3060" s="307"/>
      <c r="L3060" s="307"/>
      <c r="M3060" s="307"/>
      <c r="N3060" s="438"/>
      <c r="O3060" s="438"/>
      <c r="P3060" s="438"/>
    </row>
    <row r="3061" spans="1:16" ht="15.75" customHeight="1">
      <c r="A3061" s="441"/>
      <c r="B3061" s="442"/>
      <c r="C3061" s="317"/>
      <c r="G3061" s="290"/>
      <c r="H3061" s="438"/>
      <c r="I3061" s="439"/>
      <c r="J3061" s="440"/>
      <c r="K3061" s="307"/>
      <c r="L3061" s="307"/>
      <c r="M3061" s="307"/>
      <c r="N3061" s="438"/>
      <c r="O3061" s="438"/>
      <c r="P3061" s="438"/>
    </row>
    <row r="3062" spans="1:16" ht="15.75" customHeight="1">
      <c r="A3062" s="441"/>
      <c r="B3062" s="442"/>
      <c r="C3062" s="317"/>
      <c r="G3062" s="290"/>
      <c r="H3062" s="438"/>
      <c r="I3062" s="439"/>
      <c r="J3062" s="440"/>
      <c r="K3062" s="307"/>
      <c r="L3062" s="307"/>
      <c r="M3062" s="307"/>
      <c r="N3062" s="438"/>
      <c r="O3062" s="438"/>
      <c r="P3062" s="438"/>
    </row>
    <row r="3063" spans="1:16" ht="15.75" customHeight="1">
      <c r="A3063" s="441"/>
      <c r="B3063" s="442"/>
      <c r="C3063" s="317"/>
      <c r="G3063" s="290"/>
      <c r="H3063" s="438"/>
      <c r="I3063" s="439"/>
      <c r="J3063" s="440"/>
      <c r="K3063" s="307"/>
      <c r="L3063" s="307"/>
      <c r="M3063" s="307"/>
      <c r="N3063" s="438"/>
      <c r="O3063" s="438"/>
      <c r="P3063" s="438"/>
    </row>
    <row r="3064" spans="1:16" ht="15.75" customHeight="1">
      <c r="A3064" s="441"/>
      <c r="B3064" s="442"/>
      <c r="C3064" s="317"/>
      <c r="G3064" s="290"/>
      <c r="H3064" s="438"/>
      <c r="I3064" s="439"/>
      <c r="J3064" s="440"/>
      <c r="K3064" s="307"/>
      <c r="L3064" s="307"/>
      <c r="M3064" s="307"/>
      <c r="N3064" s="438"/>
      <c r="O3064" s="438"/>
      <c r="P3064" s="438"/>
    </row>
    <row r="3065" spans="1:16" ht="15.75" customHeight="1">
      <c r="A3065" s="441"/>
      <c r="B3065" s="442"/>
      <c r="C3065" s="317"/>
      <c r="G3065" s="290"/>
      <c r="H3065" s="438"/>
      <c r="I3065" s="439"/>
      <c r="J3065" s="440"/>
      <c r="K3065" s="307"/>
      <c r="L3065" s="307"/>
      <c r="M3065" s="307"/>
      <c r="N3065" s="438"/>
      <c r="O3065" s="438"/>
      <c r="P3065" s="438"/>
    </row>
    <row r="3066" spans="1:16" ht="15.75" customHeight="1">
      <c r="A3066" s="441"/>
      <c r="B3066" s="442"/>
      <c r="C3066" s="317"/>
      <c r="G3066" s="290"/>
      <c r="H3066" s="438"/>
      <c r="I3066" s="439"/>
      <c r="J3066" s="440"/>
      <c r="K3066" s="307"/>
      <c r="L3066" s="307"/>
      <c r="M3066" s="307"/>
      <c r="N3066" s="438"/>
      <c r="O3066" s="438"/>
      <c r="P3066" s="438"/>
    </row>
    <row r="3067" spans="1:16" ht="15.75" customHeight="1">
      <c r="A3067" s="441"/>
      <c r="B3067" s="442"/>
      <c r="C3067" s="317"/>
      <c r="G3067" s="290"/>
      <c r="H3067" s="438"/>
      <c r="I3067" s="439"/>
      <c r="J3067" s="440"/>
      <c r="K3067" s="307"/>
      <c r="L3067" s="307"/>
      <c r="M3067" s="307"/>
      <c r="N3067" s="438"/>
      <c r="O3067" s="438"/>
      <c r="P3067" s="438"/>
    </row>
    <row r="3068" spans="1:16" ht="15.75" customHeight="1">
      <c r="A3068" s="441"/>
      <c r="B3068" s="442"/>
      <c r="C3068" s="317"/>
      <c r="G3068" s="290"/>
      <c r="H3068" s="438"/>
      <c r="I3068" s="439"/>
      <c r="J3068" s="440"/>
      <c r="K3068" s="307"/>
      <c r="L3068" s="307"/>
      <c r="M3068" s="307"/>
      <c r="N3068" s="438"/>
      <c r="O3068" s="438"/>
      <c r="P3068" s="438"/>
    </row>
    <row r="3069" spans="1:16" ht="15.75" customHeight="1">
      <c r="A3069" s="441"/>
      <c r="B3069" s="442"/>
      <c r="C3069" s="317"/>
      <c r="G3069" s="290"/>
      <c r="H3069" s="438"/>
      <c r="I3069" s="439"/>
      <c r="J3069" s="440"/>
      <c r="K3069" s="307"/>
      <c r="L3069" s="307"/>
      <c r="M3069" s="307"/>
      <c r="N3069" s="438"/>
      <c r="O3069" s="438"/>
      <c r="P3069" s="438"/>
    </row>
    <row r="3070" spans="1:16" ht="15.75" customHeight="1">
      <c r="A3070" s="441"/>
      <c r="B3070" s="442"/>
      <c r="C3070" s="317"/>
      <c r="G3070" s="290"/>
      <c r="H3070" s="438"/>
      <c r="I3070" s="439"/>
      <c r="J3070" s="440"/>
      <c r="K3070" s="307"/>
      <c r="L3070" s="307"/>
      <c r="M3070" s="307"/>
      <c r="N3070" s="438"/>
      <c r="O3070" s="438"/>
      <c r="P3070" s="438"/>
    </row>
    <row r="3071" spans="1:16" ht="15.75" customHeight="1">
      <c r="A3071" s="441"/>
      <c r="B3071" s="442"/>
      <c r="C3071" s="317"/>
      <c r="G3071" s="290"/>
      <c r="H3071" s="438"/>
      <c r="I3071" s="439"/>
      <c r="J3071" s="440"/>
      <c r="K3071" s="307"/>
      <c r="L3071" s="307"/>
      <c r="M3071" s="307"/>
      <c r="N3071" s="438"/>
      <c r="O3071" s="438"/>
      <c r="P3071" s="438"/>
    </row>
    <row r="3072" spans="1:16" ht="15.75" customHeight="1">
      <c r="A3072" s="441"/>
      <c r="B3072" s="442"/>
      <c r="C3072" s="317"/>
      <c r="G3072" s="290"/>
      <c r="H3072" s="438"/>
      <c r="I3072" s="439"/>
      <c r="J3072" s="440"/>
      <c r="K3072" s="307"/>
      <c r="L3072" s="307"/>
      <c r="M3072" s="307"/>
      <c r="N3072" s="438"/>
      <c r="O3072" s="438"/>
      <c r="P3072" s="438"/>
    </row>
    <row r="3073" spans="1:16" ht="15.75" customHeight="1">
      <c r="A3073" s="441"/>
      <c r="B3073" s="442"/>
      <c r="C3073" s="317"/>
      <c r="G3073" s="290"/>
      <c r="H3073" s="438"/>
      <c r="I3073" s="439"/>
      <c r="J3073" s="440"/>
      <c r="K3073" s="307"/>
      <c r="L3073" s="307"/>
      <c r="M3073" s="307"/>
      <c r="N3073" s="438"/>
      <c r="O3073" s="438"/>
      <c r="P3073" s="438"/>
    </row>
    <row r="3074" spans="1:16" ht="15.75" customHeight="1">
      <c r="A3074" s="441"/>
      <c r="B3074" s="442"/>
      <c r="C3074" s="317"/>
      <c r="G3074" s="290"/>
      <c r="H3074" s="438"/>
      <c r="I3074" s="439"/>
      <c r="J3074" s="440"/>
      <c r="K3074" s="307"/>
      <c r="L3074" s="307"/>
      <c r="M3074" s="307"/>
      <c r="N3074" s="438"/>
      <c r="O3074" s="438"/>
      <c r="P3074" s="438"/>
    </row>
    <row r="3075" spans="1:16" ht="15.75" customHeight="1">
      <c r="A3075" s="441"/>
      <c r="B3075" s="442"/>
      <c r="C3075" s="317"/>
      <c r="G3075" s="290"/>
      <c r="H3075" s="438"/>
      <c r="I3075" s="439"/>
      <c r="J3075" s="440"/>
      <c r="K3075" s="307"/>
      <c r="L3075" s="307"/>
      <c r="M3075" s="307"/>
      <c r="N3075" s="438"/>
      <c r="O3075" s="438"/>
      <c r="P3075" s="438"/>
    </row>
    <row r="3076" spans="1:16" ht="15.75" customHeight="1">
      <c r="A3076" s="441"/>
      <c r="B3076" s="442"/>
      <c r="C3076" s="317"/>
      <c r="G3076" s="290"/>
      <c r="H3076" s="438"/>
      <c r="I3076" s="439"/>
      <c r="J3076" s="440"/>
      <c r="K3076" s="307"/>
      <c r="L3076" s="307"/>
      <c r="M3076" s="307"/>
      <c r="N3076" s="438"/>
      <c r="O3076" s="438"/>
      <c r="P3076" s="438"/>
    </row>
    <row r="3077" spans="1:16" ht="15.75" customHeight="1">
      <c r="A3077" s="441"/>
      <c r="B3077" s="442"/>
      <c r="C3077" s="317"/>
      <c r="G3077" s="290"/>
      <c r="H3077" s="438"/>
      <c r="I3077" s="439"/>
      <c r="J3077" s="440"/>
      <c r="K3077" s="307"/>
      <c r="L3077" s="307"/>
      <c r="M3077" s="307"/>
      <c r="N3077" s="438"/>
      <c r="O3077" s="438"/>
      <c r="P3077" s="438"/>
    </row>
    <row r="3078" spans="1:16" ht="15.75" customHeight="1">
      <c r="A3078" s="441"/>
      <c r="B3078" s="442"/>
      <c r="C3078" s="317"/>
      <c r="G3078" s="290"/>
      <c r="H3078" s="438"/>
      <c r="I3078" s="439"/>
      <c r="J3078" s="440"/>
      <c r="K3078" s="307"/>
      <c r="L3078" s="307"/>
      <c r="M3078" s="307"/>
      <c r="N3078" s="438"/>
      <c r="O3078" s="438"/>
      <c r="P3078" s="438"/>
    </row>
    <row r="3079" spans="1:16" ht="15.75" customHeight="1">
      <c r="A3079" s="441"/>
      <c r="B3079" s="442"/>
      <c r="C3079" s="317"/>
      <c r="G3079" s="290"/>
      <c r="H3079" s="438"/>
      <c r="I3079" s="439"/>
      <c r="J3079" s="440"/>
      <c r="K3079" s="307"/>
      <c r="L3079" s="307"/>
      <c r="M3079" s="307"/>
      <c r="N3079" s="438"/>
      <c r="O3079" s="438"/>
      <c r="P3079" s="438"/>
    </row>
    <row r="3080" spans="1:16" ht="15.75" customHeight="1">
      <c r="A3080" s="441"/>
      <c r="B3080" s="442"/>
      <c r="C3080" s="317"/>
      <c r="G3080" s="290"/>
      <c r="H3080" s="438"/>
      <c r="I3080" s="439"/>
      <c r="J3080" s="440"/>
      <c r="K3080" s="307"/>
      <c r="L3080" s="307"/>
      <c r="M3080" s="307"/>
      <c r="N3080" s="438"/>
      <c r="O3080" s="438"/>
      <c r="P3080" s="438"/>
    </row>
    <row r="3081" spans="1:16" ht="15.75" customHeight="1">
      <c r="A3081" s="441"/>
      <c r="B3081" s="442"/>
      <c r="C3081" s="317"/>
      <c r="G3081" s="290"/>
      <c r="H3081" s="438"/>
      <c r="I3081" s="439"/>
      <c r="J3081" s="440"/>
      <c r="K3081" s="307"/>
      <c r="L3081" s="307"/>
      <c r="M3081" s="307"/>
      <c r="N3081" s="438"/>
      <c r="O3081" s="438"/>
      <c r="P3081" s="438"/>
    </row>
    <row r="3082" spans="1:16" ht="15.75" customHeight="1">
      <c r="A3082" s="441"/>
      <c r="B3082" s="442"/>
      <c r="C3082" s="317"/>
      <c r="G3082" s="290"/>
      <c r="H3082" s="438"/>
      <c r="I3082" s="439"/>
      <c r="J3082" s="440"/>
      <c r="K3082" s="307"/>
      <c r="L3082" s="307"/>
      <c r="M3082" s="307"/>
      <c r="N3082" s="438"/>
      <c r="O3082" s="438"/>
      <c r="P3082" s="438"/>
    </row>
    <row r="3083" spans="1:16" ht="15.75" customHeight="1">
      <c r="A3083" s="441"/>
      <c r="B3083" s="442"/>
      <c r="C3083" s="317"/>
      <c r="G3083" s="290"/>
      <c r="H3083" s="438"/>
      <c r="I3083" s="439"/>
      <c r="J3083" s="440"/>
      <c r="K3083" s="307"/>
      <c r="L3083" s="307"/>
      <c r="M3083" s="307"/>
      <c r="N3083" s="438"/>
      <c r="O3083" s="438"/>
      <c r="P3083" s="438"/>
    </row>
    <row r="3084" spans="1:16" ht="15.75" customHeight="1">
      <c r="A3084" s="441"/>
      <c r="B3084" s="442"/>
      <c r="C3084" s="317"/>
      <c r="G3084" s="290"/>
      <c r="H3084" s="438"/>
      <c r="I3084" s="439"/>
      <c r="J3084" s="440"/>
      <c r="K3084" s="307"/>
      <c r="L3084" s="307"/>
      <c r="M3084" s="307"/>
      <c r="N3084" s="438"/>
      <c r="O3084" s="438"/>
      <c r="P3084" s="438"/>
    </row>
    <row r="3085" spans="1:16" ht="15.75" customHeight="1">
      <c r="A3085" s="441"/>
      <c r="B3085" s="442"/>
      <c r="C3085" s="317"/>
      <c r="G3085" s="290"/>
      <c r="H3085" s="438"/>
      <c r="I3085" s="439"/>
      <c r="J3085" s="440"/>
      <c r="K3085" s="307"/>
      <c r="L3085" s="307"/>
      <c r="M3085" s="307"/>
      <c r="N3085" s="438"/>
      <c r="O3085" s="438"/>
      <c r="P3085" s="438"/>
    </row>
    <row r="3086" spans="1:16" ht="15.75" customHeight="1">
      <c r="A3086" s="441"/>
      <c r="B3086" s="442"/>
      <c r="C3086" s="317"/>
      <c r="G3086" s="290"/>
      <c r="H3086" s="438"/>
      <c r="I3086" s="439"/>
      <c r="J3086" s="440"/>
      <c r="K3086" s="307"/>
      <c r="L3086" s="307"/>
      <c r="M3086" s="307"/>
      <c r="N3086" s="438"/>
      <c r="O3086" s="438"/>
      <c r="P3086" s="438"/>
    </row>
    <row r="3087" spans="1:16" ht="15.75" customHeight="1">
      <c r="A3087" s="441"/>
      <c r="B3087" s="442"/>
      <c r="C3087" s="317"/>
      <c r="G3087" s="290"/>
      <c r="H3087" s="438"/>
      <c r="I3087" s="439"/>
      <c r="J3087" s="440"/>
      <c r="K3087" s="307"/>
      <c r="L3087" s="307"/>
      <c r="M3087" s="307"/>
      <c r="N3087" s="438"/>
      <c r="O3087" s="438"/>
      <c r="P3087" s="438"/>
    </row>
    <row r="3088" spans="1:16" ht="15.75" customHeight="1">
      <c r="A3088" s="441"/>
      <c r="B3088" s="442"/>
      <c r="C3088" s="317"/>
      <c r="G3088" s="290"/>
      <c r="H3088" s="438"/>
      <c r="I3088" s="439"/>
      <c r="J3088" s="440"/>
      <c r="K3088" s="307"/>
      <c r="L3088" s="307"/>
      <c r="M3088" s="307"/>
      <c r="N3088" s="438"/>
      <c r="O3088" s="438"/>
      <c r="P3088" s="438"/>
    </row>
    <row r="3089" spans="1:16" ht="15.75" customHeight="1">
      <c r="A3089" s="441"/>
      <c r="B3089" s="442"/>
      <c r="C3089" s="317"/>
      <c r="G3089" s="290"/>
      <c r="H3089" s="438"/>
      <c r="I3089" s="439"/>
      <c r="J3089" s="440"/>
      <c r="K3089" s="307"/>
      <c r="L3089" s="307"/>
      <c r="M3089" s="307"/>
      <c r="N3089" s="438"/>
      <c r="O3089" s="438"/>
      <c r="P3089" s="438"/>
    </row>
    <row r="3090" spans="1:16" ht="15.75" customHeight="1">
      <c r="A3090" s="441"/>
      <c r="B3090" s="442"/>
      <c r="C3090" s="317"/>
      <c r="G3090" s="290"/>
      <c r="H3090" s="438"/>
      <c r="I3090" s="439"/>
      <c r="J3090" s="440"/>
      <c r="K3090" s="307"/>
      <c r="L3090" s="307"/>
      <c r="M3090" s="307"/>
      <c r="N3090" s="438"/>
      <c r="O3090" s="438"/>
      <c r="P3090" s="438"/>
    </row>
    <row r="3091" spans="1:16" ht="15.75" customHeight="1">
      <c r="A3091" s="441"/>
      <c r="B3091" s="442"/>
      <c r="C3091" s="317"/>
      <c r="G3091" s="290"/>
      <c r="H3091" s="438"/>
      <c r="I3091" s="439"/>
      <c r="J3091" s="440"/>
      <c r="K3091" s="307"/>
      <c r="L3091" s="307"/>
      <c r="M3091" s="307"/>
      <c r="N3091" s="438"/>
      <c r="O3091" s="438"/>
      <c r="P3091" s="438"/>
    </row>
    <row r="3092" spans="1:16" ht="15.75" customHeight="1">
      <c r="A3092" s="441"/>
      <c r="B3092" s="442"/>
      <c r="C3092" s="317"/>
      <c r="G3092" s="290"/>
      <c r="H3092" s="438"/>
      <c r="I3092" s="439"/>
      <c r="J3092" s="440"/>
      <c r="K3092" s="307"/>
      <c r="L3092" s="307"/>
      <c r="M3092" s="307"/>
      <c r="N3092" s="438"/>
      <c r="O3092" s="438"/>
      <c r="P3092" s="438"/>
    </row>
    <row r="3093" spans="1:16" ht="15.75" customHeight="1">
      <c r="A3093" s="441"/>
      <c r="B3093" s="442"/>
      <c r="C3093" s="317"/>
      <c r="G3093" s="290"/>
      <c r="H3093" s="438"/>
      <c r="I3093" s="439"/>
      <c r="J3093" s="440"/>
      <c r="K3093" s="307"/>
      <c r="L3093" s="307"/>
      <c r="M3093" s="307"/>
      <c r="N3093" s="438"/>
      <c r="O3093" s="438"/>
      <c r="P3093" s="438"/>
    </row>
    <row r="3094" spans="1:16" ht="15.75" customHeight="1">
      <c r="A3094" s="441"/>
      <c r="B3094" s="442"/>
      <c r="C3094" s="317"/>
      <c r="G3094" s="290"/>
      <c r="H3094" s="438"/>
      <c r="I3094" s="439"/>
      <c r="J3094" s="440"/>
      <c r="K3094" s="307"/>
      <c r="L3094" s="307"/>
      <c r="M3094" s="307"/>
      <c r="N3094" s="438"/>
      <c r="O3094" s="438"/>
      <c r="P3094" s="438"/>
    </row>
    <row r="3095" spans="1:16" ht="15.75" customHeight="1">
      <c r="A3095" s="441"/>
      <c r="B3095" s="442"/>
      <c r="C3095" s="317"/>
      <c r="G3095" s="290"/>
      <c r="H3095" s="438"/>
      <c r="I3095" s="439"/>
      <c r="J3095" s="440"/>
      <c r="K3095" s="307"/>
      <c r="L3095" s="307"/>
      <c r="M3095" s="307"/>
      <c r="N3095" s="438"/>
      <c r="O3095" s="438"/>
      <c r="P3095" s="438"/>
    </row>
    <row r="3096" spans="1:16" ht="15.75" customHeight="1">
      <c r="A3096" s="441"/>
      <c r="B3096" s="442"/>
      <c r="C3096" s="317"/>
      <c r="G3096" s="290"/>
      <c r="H3096" s="438"/>
      <c r="I3096" s="439"/>
      <c r="J3096" s="440"/>
      <c r="K3096" s="307"/>
      <c r="L3096" s="307"/>
      <c r="M3096" s="307"/>
      <c r="N3096" s="438"/>
      <c r="O3096" s="438"/>
      <c r="P3096" s="438"/>
    </row>
    <row r="3097" spans="1:16" ht="15.75" customHeight="1">
      <c r="A3097" s="441"/>
      <c r="B3097" s="442"/>
      <c r="C3097" s="317"/>
      <c r="G3097" s="290"/>
      <c r="H3097" s="438"/>
      <c r="I3097" s="439"/>
      <c r="J3097" s="440"/>
      <c r="K3097" s="307"/>
      <c r="L3097" s="307"/>
      <c r="M3097" s="307"/>
      <c r="N3097" s="438"/>
      <c r="O3097" s="438"/>
      <c r="P3097" s="438"/>
    </row>
    <row r="3098" spans="1:16" ht="15.75" customHeight="1">
      <c r="A3098" s="441"/>
      <c r="B3098" s="442"/>
      <c r="C3098" s="317"/>
      <c r="G3098" s="290"/>
      <c r="H3098" s="438"/>
      <c r="I3098" s="439"/>
      <c r="J3098" s="440"/>
      <c r="K3098" s="307"/>
      <c r="L3098" s="307"/>
      <c r="M3098" s="307"/>
      <c r="N3098" s="438"/>
      <c r="O3098" s="438"/>
      <c r="P3098" s="438"/>
    </row>
    <row r="3099" spans="1:16" ht="15.75" customHeight="1">
      <c r="A3099" s="441"/>
      <c r="B3099" s="442"/>
      <c r="C3099" s="317"/>
      <c r="G3099" s="290"/>
      <c r="H3099" s="438"/>
      <c r="I3099" s="439"/>
      <c r="J3099" s="440"/>
      <c r="K3099" s="307"/>
      <c r="L3099" s="307"/>
      <c r="M3099" s="307"/>
      <c r="N3099" s="438"/>
      <c r="O3099" s="438"/>
      <c r="P3099" s="438"/>
    </row>
    <row r="3100" spans="1:16" ht="15.75" customHeight="1">
      <c r="A3100" s="441"/>
      <c r="B3100" s="442"/>
      <c r="C3100" s="317"/>
      <c r="G3100" s="290"/>
      <c r="H3100" s="438"/>
      <c r="I3100" s="439"/>
      <c r="J3100" s="440"/>
      <c r="K3100" s="307"/>
      <c r="L3100" s="307"/>
      <c r="M3100" s="307"/>
      <c r="N3100" s="438"/>
      <c r="O3100" s="438"/>
      <c r="P3100" s="438"/>
    </row>
    <row r="3101" spans="1:16" ht="15.75" customHeight="1">
      <c r="A3101" s="441"/>
      <c r="B3101" s="442"/>
      <c r="C3101" s="317"/>
      <c r="G3101" s="290"/>
      <c r="H3101" s="438"/>
      <c r="I3101" s="439"/>
      <c r="J3101" s="440"/>
      <c r="K3101" s="307"/>
      <c r="L3101" s="307"/>
      <c r="M3101" s="307"/>
      <c r="N3101" s="438"/>
      <c r="O3101" s="438"/>
      <c r="P3101" s="438"/>
    </row>
    <row r="3102" spans="1:16" ht="15.75" customHeight="1">
      <c r="A3102" s="441"/>
      <c r="B3102" s="442"/>
      <c r="C3102" s="317"/>
      <c r="G3102" s="290"/>
      <c r="H3102" s="438"/>
      <c r="I3102" s="439"/>
      <c r="J3102" s="440"/>
      <c r="K3102" s="307"/>
      <c r="L3102" s="307"/>
      <c r="M3102" s="307"/>
      <c r="N3102" s="438"/>
      <c r="O3102" s="438"/>
      <c r="P3102" s="438"/>
    </row>
    <row r="3103" spans="1:16" ht="15.75" customHeight="1">
      <c r="A3103" s="441"/>
      <c r="B3103" s="442"/>
      <c r="C3103" s="317"/>
      <c r="G3103" s="290"/>
      <c r="H3103" s="438"/>
      <c r="I3103" s="439"/>
      <c r="J3103" s="440"/>
      <c r="K3103" s="307"/>
      <c r="L3103" s="307"/>
      <c r="M3103" s="307"/>
      <c r="N3103" s="438"/>
      <c r="O3103" s="438"/>
      <c r="P3103" s="438"/>
    </row>
    <row r="3104" spans="1:16" ht="15.75" customHeight="1">
      <c r="A3104" s="441"/>
      <c r="B3104" s="442"/>
      <c r="C3104" s="317"/>
      <c r="G3104" s="290"/>
      <c r="H3104" s="438"/>
      <c r="I3104" s="439"/>
      <c r="J3104" s="440"/>
      <c r="K3104" s="307"/>
      <c r="L3104" s="307"/>
      <c r="M3104" s="307"/>
      <c r="N3104" s="438"/>
      <c r="O3104" s="438"/>
      <c r="P3104" s="438"/>
    </row>
    <row r="3105" spans="1:16" ht="15.75" customHeight="1">
      <c r="A3105" s="441"/>
      <c r="B3105" s="442"/>
      <c r="C3105" s="317"/>
      <c r="G3105" s="290"/>
      <c r="H3105" s="438"/>
      <c r="I3105" s="439"/>
      <c r="J3105" s="440"/>
      <c r="K3105" s="307"/>
      <c r="L3105" s="307"/>
      <c r="M3105" s="307"/>
      <c r="N3105" s="438"/>
      <c r="O3105" s="438"/>
      <c r="P3105" s="438"/>
    </row>
    <row r="3106" spans="1:16" ht="15.75" customHeight="1">
      <c r="A3106" s="441"/>
      <c r="B3106" s="442"/>
      <c r="C3106" s="317"/>
      <c r="G3106" s="290"/>
      <c r="H3106" s="438"/>
      <c r="I3106" s="439"/>
      <c r="J3106" s="440"/>
      <c r="K3106" s="307"/>
      <c r="L3106" s="307"/>
      <c r="M3106" s="307"/>
      <c r="N3106" s="438"/>
      <c r="O3106" s="438"/>
      <c r="P3106" s="438"/>
    </row>
    <row r="3107" spans="1:16" ht="15.75" customHeight="1">
      <c r="A3107" s="441"/>
      <c r="B3107" s="442"/>
      <c r="C3107" s="317"/>
      <c r="G3107" s="290"/>
      <c r="H3107" s="438"/>
      <c r="I3107" s="439"/>
      <c r="J3107" s="440"/>
      <c r="K3107" s="307"/>
      <c r="L3107" s="307"/>
      <c r="M3107" s="307"/>
      <c r="N3107" s="438"/>
      <c r="O3107" s="438"/>
      <c r="P3107" s="438"/>
    </row>
    <row r="3108" spans="1:16" ht="15.75" customHeight="1">
      <c r="A3108" s="441"/>
      <c r="B3108" s="442"/>
      <c r="C3108" s="317"/>
      <c r="G3108" s="290"/>
      <c r="H3108" s="438"/>
      <c r="I3108" s="439"/>
      <c r="J3108" s="440"/>
      <c r="K3108" s="307"/>
      <c r="L3108" s="307"/>
      <c r="M3108" s="307"/>
      <c r="N3108" s="438"/>
      <c r="O3108" s="438"/>
      <c r="P3108" s="438"/>
    </row>
    <row r="3109" spans="1:16" ht="15.75" customHeight="1">
      <c r="A3109" s="441"/>
      <c r="B3109" s="442"/>
      <c r="C3109" s="317"/>
      <c r="G3109" s="290"/>
      <c r="H3109" s="438"/>
      <c r="I3109" s="439"/>
      <c r="J3109" s="440"/>
      <c r="K3109" s="307"/>
      <c r="L3109" s="307"/>
      <c r="M3109" s="307"/>
      <c r="N3109" s="438"/>
      <c r="O3109" s="438"/>
      <c r="P3109" s="438"/>
    </row>
    <row r="3110" spans="1:16" ht="15.75" customHeight="1">
      <c r="A3110" s="441"/>
      <c r="B3110" s="442"/>
      <c r="C3110" s="317"/>
      <c r="G3110" s="290"/>
      <c r="H3110" s="438"/>
      <c r="I3110" s="439"/>
      <c r="J3110" s="440"/>
      <c r="K3110" s="307"/>
      <c r="L3110" s="307"/>
      <c r="M3110" s="307"/>
      <c r="N3110" s="438"/>
      <c r="O3110" s="438"/>
      <c r="P3110" s="438"/>
    </row>
    <row r="3111" spans="1:16" ht="15.75" customHeight="1">
      <c r="A3111" s="441"/>
      <c r="B3111" s="442"/>
      <c r="C3111" s="317"/>
      <c r="G3111" s="290"/>
      <c r="H3111" s="438"/>
      <c r="I3111" s="439"/>
      <c r="J3111" s="440"/>
      <c r="K3111" s="307"/>
      <c r="L3111" s="307"/>
      <c r="M3111" s="307"/>
      <c r="N3111" s="438"/>
      <c r="O3111" s="438"/>
      <c r="P3111" s="438"/>
    </row>
    <row r="3112" spans="1:16" ht="15.75" customHeight="1">
      <c r="A3112" s="441"/>
      <c r="B3112" s="442"/>
      <c r="C3112" s="317"/>
      <c r="G3112" s="290"/>
      <c r="H3112" s="438"/>
      <c r="I3112" s="439"/>
      <c r="J3112" s="440"/>
      <c r="K3112" s="307"/>
      <c r="L3112" s="307"/>
      <c r="M3112" s="307"/>
      <c r="N3112" s="438"/>
      <c r="O3112" s="438"/>
      <c r="P3112" s="438"/>
    </row>
    <row r="3113" spans="1:16" ht="15.75" customHeight="1">
      <c r="A3113" s="441"/>
      <c r="B3113" s="442"/>
      <c r="C3113" s="317"/>
      <c r="G3113" s="290"/>
      <c r="H3113" s="438"/>
      <c r="I3113" s="439"/>
      <c r="J3113" s="440"/>
      <c r="K3113" s="307"/>
      <c r="L3113" s="307"/>
      <c r="M3113" s="307"/>
      <c r="N3113" s="438"/>
      <c r="O3113" s="438"/>
      <c r="P3113" s="438"/>
    </row>
    <row r="3114" spans="1:16" ht="15.75" customHeight="1">
      <c r="A3114" s="441"/>
      <c r="B3114" s="442"/>
      <c r="C3114" s="317"/>
      <c r="G3114" s="290"/>
      <c r="H3114" s="438"/>
      <c r="I3114" s="439"/>
      <c r="J3114" s="440"/>
      <c r="K3114" s="307"/>
      <c r="L3114" s="307"/>
      <c r="M3114" s="307"/>
      <c r="N3114" s="438"/>
      <c r="O3114" s="438"/>
      <c r="P3114" s="438"/>
    </row>
    <row r="3115" spans="1:16" ht="15.75" customHeight="1">
      <c r="A3115" s="441"/>
      <c r="B3115" s="442"/>
      <c r="C3115" s="317"/>
      <c r="G3115" s="290"/>
      <c r="H3115" s="438"/>
      <c r="I3115" s="439"/>
      <c r="J3115" s="440"/>
      <c r="K3115" s="307"/>
      <c r="L3115" s="307"/>
      <c r="M3115" s="307"/>
      <c r="N3115" s="438"/>
      <c r="O3115" s="438"/>
      <c r="P3115" s="438"/>
    </row>
    <row r="3116" spans="1:16" ht="15.75" customHeight="1">
      <c r="A3116" s="441"/>
      <c r="B3116" s="442"/>
      <c r="C3116" s="317"/>
      <c r="G3116" s="290"/>
      <c r="H3116" s="438"/>
      <c r="I3116" s="439"/>
      <c r="J3116" s="440"/>
      <c r="K3116" s="307"/>
      <c r="L3116" s="307"/>
      <c r="M3116" s="307"/>
      <c r="N3116" s="438"/>
      <c r="O3116" s="438"/>
      <c r="P3116" s="438"/>
    </row>
    <row r="3117" spans="1:16" ht="15.75" customHeight="1">
      <c r="A3117" s="441"/>
      <c r="B3117" s="442"/>
      <c r="C3117" s="317"/>
      <c r="G3117" s="290"/>
      <c r="H3117" s="438"/>
      <c r="I3117" s="439"/>
      <c r="J3117" s="440"/>
      <c r="K3117" s="307"/>
      <c r="L3117" s="307"/>
      <c r="M3117" s="307"/>
      <c r="N3117" s="438"/>
      <c r="O3117" s="438"/>
      <c r="P3117" s="438"/>
    </row>
    <row r="3118" spans="1:16" ht="15.75" customHeight="1">
      <c r="A3118" s="441"/>
      <c r="B3118" s="442"/>
      <c r="C3118" s="317"/>
      <c r="G3118" s="290"/>
      <c r="H3118" s="438"/>
      <c r="I3118" s="439"/>
      <c r="J3118" s="440"/>
      <c r="K3118" s="307"/>
      <c r="L3118" s="307"/>
      <c r="M3118" s="307"/>
      <c r="N3118" s="438"/>
      <c r="O3118" s="438"/>
      <c r="P3118" s="438"/>
    </row>
    <row r="3119" spans="1:16" ht="15.75" customHeight="1">
      <c r="A3119" s="441"/>
      <c r="B3119" s="442"/>
      <c r="C3119" s="317"/>
      <c r="G3119" s="290"/>
      <c r="H3119" s="438"/>
      <c r="I3119" s="439"/>
      <c r="J3119" s="440"/>
      <c r="K3119" s="307"/>
      <c r="L3119" s="307"/>
      <c r="M3119" s="307"/>
      <c r="N3119" s="438"/>
      <c r="O3119" s="438"/>
      <c r="P3119" s="438"/>
    </row>
    <row r="3120" spans="1:16" ht="15.75" customHeight="1">
      <c r="A3120" s="441"/>
      <c r="B3120" s="442"/>
      <c r="C3120" s="317"/>
      <c r="G3120" s="290"/>
      <c r="H3120" s="438"/>
      <c r="I3120" s="439"/>
      <c r="J3120" s="440"/>
      <c r="K3120" s="307"/>
      <c r="L3120" s="307"/>
      <c r="M3120" s="307"/>
      <c r="N3120" s="438"/>
      <c r="O3120" s="438"/>
      <c r="P3120" s="438"/>
    </row>
    <row r="3121" spans="1:16" ht="15.75" customHeight="1">
      <c r="A3121" s="441"/>
      <c r="B3121" s="442"/>
      <c r="C3121" s="317"/>
      <c r="G3121" s="290"/>
      <c r="H3121" s="438"/>
      <c r="I3121" s="439"/>
      <c r="J3121" s="440"/>
      <c r="K3121" s="307"/>
      <c r="L3121" s="307"/>
      <c r="M3121" s="307"/>
      <c r="N3121" s="438"/>
      <c r="O3121" s="438"/>
      <c r="P3121" s="438"/>
    </row>
    <row r="3122" spans="1:16" ht="15.75" customHeight="1">
      <c r="A3122" s="441"/>
      <c r="B3122" s="442"/>
      <c r="C3122" s="317"/>
      <c r="G3122" s="290"/>
      <c r="H3122" s="438"/>
      <c r="I3122" s="439"/>
      <c r="J3122" s="440"/>
      <c r="K3122" s="307"/>
      <c r="L3122" s="307"/>
      <c r="M3122" s="307"/>
      <c r="N3122" s="438"/>
      <c r="O3122" s="438"/>
      <c r="P3122" s="438"/>
    </row>
    <row r="3123" spans="1:16" ht="15.75" customHeight="1">
      <c r="A3123" s="441"/>
      <c r="B3123" s="442"/>
      <c r="C3123" s="317"/>
      <c r="G3123" s="290"/>
      <c r="H3123" s="438"/>
      <c r="I3123" s="439"/>
      <c r="J3123" s="440"/>
      <c r="K3123" s="307"/>
      <c r="L3123" s="307"/>
      <c r="M3123" s="307"/>
      <c r="N3123" s="438"/>
      <c r="O3123" s="438"/>
      <c r="P3123" s="438"/>
    </row>
    <row r="3124" spans="1:16" ht="15.75" customHeight="1">
      <c r="A3124" s="441"/>
      <c r="B3124" s="442"/>
      <c r="C3124" s="317"/>
      <c r="G3124" s="290"/>
      <c r="H3124" s="438"/>
      <c r="I3124" s="439"/>
      <c r="J3124" s="440"/>
      <c r="K3124" s="307"/>
      <c r="L3124" s="307"/>
      <c r="M3124" s="307"/>
      <c r="N3124" s="438"/>
      <c r="O3124" s="438"/>
      <c r="P3124" s="438"/>
    </row>
    <row r="3125" spans="1:16" ht="15.75" customHeight="1">
      <c r="A3125" s="441"/>
      <c r="B3125" s="442"/>
      <c r="C3125" s="317"/>
      <c r="G3125" s="290"/>
      <c r="H3125" s="438"/>
      <c r="I3125" s="439"/>
      <c r="J3125" s="440"/>
      <c r="K3125" s="307"/>
      <c r="L3125" s="307"/>
      <c r="M3125" s="307"/>
      <c r="N3125" s="438"/>
      <c r="O3125" s="438"/>
      <c r="P3125" s="438"/>
    </row>
    <row r="3126" spans="1:16" ht="15.75" customHeight="1">
      <c r="A3126" s="441"/>
      <c r="B3126" s="442"/>
      <c r="C3126" s="317"/>
      <c r="G3126" s="290"/>
      <c r="H3126" s="438"/>
      <c r="I3126" s="439"/>
      <c r="J3126" s="440"/>
      <c r="K3126" s="307"/>
      <c r="L3126" s="307"/>
      <c r="M3126" s="307"/>
      <c r="N3126" s="438"/>
      <c r="O3126" s="438"/>
      <c r="P3126" s="438"/>
    </row>
    <row r="3127" spans="1:16" ht="15.75" customHeight="1">
      <c r="A3127" s="441"/>
      <c r="B3127" s="442"/>
      <c r="C3127" s="317"/>
      <c r="G3127" s="290"/>
      <c r="H3127" s="438"/>
      <c r="I3127" s="439"/>
      <c r="J3127" s="440"/>
      <c r="K3127" s="307"/>
      <c r="L3127" s="307"/>
      <c r="M3127" s="307"/>
      <c r="N3127" s="438"/>
      <c r="O3127" s="438"/>
      <c r="P3127" s="438"/>
    </row>
    <row r="3128" spans="1:16" ht="15.75" customHeight="1">
      <c r="A3128" s="441"/>
      <c r="B3128" s="442"/>
      <c r="C3128" s="317"/>
      <c r="G3128" s="290"/>
      <c r="H3128" s="438"/>
      <c r="I3128" s="439"/>
      <c r="J3128" s="440"/>
      <c r="K3128" s="307"/>
      <c r="L3128" s="307"/>
      <c r="M3128" s="307"/>
      <c r="N3128" s="438"/>
      <c r="O3128" s="438"/>
      <c r="P3128" s="438"/>
    </row>
    <row r="3129" spans="1:16" ht="15.75" customHeight="1">
      <c r="A3129" s="441"/>
      <c r="B3129" s="442"/>
      <c r="C3129" s="317"/>
      <c r="G3129" s="290"/>
      <c r="H3129" s="438"/>
      <c r="I3129" s="439"/>
      <c r="J3129" s="440"/>
      <c r="K3129" s="307"/>
      <c r="L3129" s="307"/>
      <c r="M3129" s="307"/>
      <c r="N3129" s="438"/>
      <c r="O3129" s="438"/>
      <c r="P3129" s="438"/>
    </row>
    <row r="3130" spans="1:16" ht="15.75" customHeight="1">
      <c r="A3130" s="441"/>
      <c r="B3130" s="442"/>
      <c r="C3130" s="317"/>
      <c r="G3130" s="290"/>
      <c r="H3130" s="438"/>
      <c r="I3130" s="439"/>
      <c r="J3130" s="440"/>
      <c r="K3130" s="307"/>
      <c r="L3130" s="307"/>
      <c r="M3130" s="307"/>
      <c r="N3130" s="438"/>
      <c r="O3130" s="438"/>
      <c r="P3130" s="438"/>
    </row>
    <row r="3131" spans="1:16" ht="15.75" customHeight="1">
      <c r="A3131" s="441"/>
      <c r="B3131" s="442"/>
      <c r="C3131" s="317"/>
      <c r="G3131" s="290"/>
      <c r="H3131" s="438"/>
      <c r="I3131" s="439"/>
      <c r="J3131" s="440"/>
      <c r="K3131" s="307"/>
      <c r="L3131" s="307"/>
      <c r="M3131" s="307"/>
      <c r="N3131" s="438"/>
      <c r="O3131" s="438"/>
      <c r="P3131" s="438"/>
    </row>
    <row r="3132" spans="1:16" ht="15.75" customHeight="1">
      <c r="A3132" s="441"/>
      <c r="B3132" s="442"/>
      <c r="C3132" s="317"/>
      <c r="G3132" s="290"/>
      <c r="H3132" s="438"/>
      <c r="I3132" s="439"/>
      <c r="J3132" s="440"/>
      <c r="K3132" s="307"/>
      <c r="L3132" s="307"/>
      <c r="M3132" s="307"/>
      <c r="N3132" s="438"/>
      <c r="O3132" s="438"/>
      <c r="P3132" s="438"/>
    </row>
    <row r="3133" spans="1:16" ht="15.75" customHeight="1">
      <c r="A3133" s="441"/>
      <c r="B3133" s="442"/>
      <c r="C3133" s="317"/>
      <c r="G3133" s="290"/>
      <c r="H3133" s="438"/>
      <c r="I3133" s="439"/>
      <c r="J3133" s="440"/>
      <c r="K3133" s="307"/>
      <c r="L3133" s="307"/>
      <c r="M3133" s="307"/>
      <c r="N3133" s="438"/>
      <c r="O3133" s="438"/>
      <c r="P3133" s="438"/>
    </row>
    <row r="3134" spans="1:16" ht="15.75" customHeight="1">
      <c r="A3134" s="441"/>
      <c r="B3134" s="442"/>
      <c r="C3134" s="317"/>
      <c r="G3134" s="290"/>
      <c r="H3134" s="438"/>
      <c r="I3134" s="439"/>
      <c r="J3134" s="440"/>
      <c r="K3134" s="307"/>
      <c r="L3134" s="307"/>
      <c r="M3134" s="307"/>
      <c r="N3134" s="438"/>
      <c r="O3134" s="438"/>
      <c r="P3134" s="438"/>
    </row>
    <row r="3135" spans="1:16" ht="15.75" customHeight="1">
      <c r="A3135" s="441"/>
      <c r="B3135" s="442"/>
      <c r="C3135" s="317"/>
      <c r="G3135" s="290"/>
      <c r="H3135" s="438"/>
      <c r="I3135" s="439"/>
      <c r="J3135" s="440"/>
      <c r="K3135" s="307"/>
      <c r="L3135" s="307"/>
      <c r="M3135" s="307"/>
      <c r="N3135" s="438"/>
      <c r="O3135" s="438"/>
      <c r="P3135" s="438"/>
    </row>
    <row r="3136" spans="1:16" ht="15.75" customHeight="1">
      <c r="A3136" s="441"/>
      <c r="B3136" s="442"/>
      <c r="C3136" s="317"/>
      <c r="G3136" s="290"/>
      <c r="H3136" s="438"/>
      <c r="I3136" s="439"/>
      <c r="J3136" s="440"/>
      <c r="K3136" s="307"/>
      <c r="L3136" s="307"/>
      <c r="M3136" s="307"/>
      <c r="N3136" s="438"/>
      <c r="O3136" s="438"/>
      <c r="P3136" s="438"/>
    </row>
    <row r="3137" spans="1:16" ht="15.75" customHeight="1">
      <c r="A3137" s="441"/>
      <c r="B3137" s="442"/>
      <c r="C3137" s="317"/>
      <c r="G3137" s="290"/>
      <c r="H3137" s="438"/>
      <c r="I3137" s="439"/>
      <c r="J3137" s="440"/>
      <c r="K3137" s="307"/>
      <c r="L3137" s="307"/>
      <c r="M3137" s="307"/>
      <c r="N3137" s="438"/>
      <c r="O3137" s="438"/>
      <c r="P3137" s="438"/>
    </row>
    <row r="3138" spans="1:16" ht="15.75" customHeight="1">
      <c r="A3138" s="441"/>
      <c r="B3138" s="442"/>
      <c r="C3138" s="317"/>
      <c r="G3138" s="290"/>
      <c r="H3138" s="438"/>
      <c r="I3138" s="439"/>
      <c r="J3138" s="440"/>
      <c r="K3138" s="307"/>
      <c r="L3138" s="307"/>
      <c r="M3138" s="307"/>
      <c r="N3138" s="438"/>
      <c r="O3138" s="438"/>
      <c r="P3138" s="438"/>
    </row>
    <row r="3139" spans="1:16" ht="15.75" customHeight="1">
      <c r="A3139" s="441"/>
      <c r="B3139" s="442"/>
      <c r="C3139" s="317"/>
      <c r="G3139" s="290"/>
      <c r="H3139" s="438"/>
      <c r="I3139" s="439"/>
      <c r="J3139" s="440"/>
      <c r="K3139" s="307"/>
      <c r="L3139" s="307"/>
      <c r="M3139" s="307"/>
      <c r="N3139" s="438"/>
      <c r="O3139" s="438"/>
      <c r="P3139" s="438"/>
    </row>
    <row r="3140" spans="1:16" ht="15.75" customHeight="1">
      <c r="A3140" s="441"/>
      <c r="B3140" s="442"/>
      <c r="C3140" s="317"/>
      <c r="G3140" s="290"/>
      <c r="H3140" s="438"/>
      <c r="I3140" s="439"/>
      <c r="J3140" s="440"/>
      <c r="K3140" s="307"/>
      <c r="L3140" s="307"/>
      <c r="M3140" s="307"/>
      <c r="N3140" s="438"/>
      <c r="O3140" s="438"/>
      <c r="P3140" s="438"/>
    </row>
    <row r="3141" spans="1:16" ht="15.75" customHeight="1">
      <c r="A3141" s="441"/>
      <c r="B3141" s="442"/>
      <c r="C3141" s="317"/>
      <c r="G3141" s="290"/>
      <c r="H3141" s="438"/>
      <c r="I3141" s="439"/>
      <c r="J3141" s="440"/>
      <c r="K3141" s="307"/>
      <c r="L3141" s="307"/>
      <c r="M3141" s="307"/>
      <c r="N3141" s="438"/>
      <c r="O3141" s="438"/>
      <c r="P3141" s="438"/>
    </row>
    <row r="3142" spans="1:16" ht="15.75" customHeight="1">
      <c r="A3142" s="441"/>
      <c r="B3142" s="442"/>
      <c r="C3142" s="317"/>
      <c r="G3142" s="290"/>
      <c r="H3142" s="438"/>
      <c r="I3142" s="439"/>
      <c r="J3142" s="440"/>
      <c r="K3142" s="307"/>
      <c r="L3142" s="307"/>
      <c r="M3142" s="307"/>
      <c r="N3142" s="438"/>
      <c r="O3142" s="438"/>
      <c r="P3142" s="438"/>
    </row>
    <row r="3143" spans="1:16" ht="15.75" customHeight="1">
      <c r="A3143" s="441"/>
      <c r="B3143" s="442"/>
      <c r="C3143" s="317"/>
      <c r="G3143" s="290"/>
      <c r="H3143" s="438"/>
      <c r="I3143" s="439"/>
      <c r="J3143" s="440"/>
      <c r="K3143" s="307"/>
      <c r="L3143" s="307"/>
      <c r="M3143" s="307"/>
      <c r="N3143" s="438"/>
      <c r="O3143" s="438"/>
      <c r="P3143" s="438"/>
    </row>
    <row r="3144" spans="1:16" ht="15.75" customHeight="1">
      <c r="A3144" s="441"/>
      <c r="B3144" s="442"/>
      <c r="C3144" s="317"/>
      <c r="G3144" s="290"/>
      <c r="H3144" s="438"/>
      <c r="I3144" s="439"/>
      <c r="J3144" s="440"/>
      <c r="K3144" s="307"/>
      <c r="L3144" s="307"/>
      <c r="M3144" s="307"/>
      <c r="N3144" s="438"/>
      <c r="O3144" s="438"/>
      <c r="P3144" s="438"/>
    </row>
    <row r="3145" spans="1:16" ht="15.75" customHeight="1">
      <c r="A3145" s="441"/>
      <c r="B3145" s="442"/>
      <c r="C3145" s="317"/>
      <c r="G3145" s="290"/>
      <c r="H3145" s="438"/>
      <c r="I3145" s="439"/>
      <c r="J3145" s="440"/>
      <c r="K3145" s="307"/>
      <c r="L3145" s="307"/>
      <c r="M3145" s="307"/>
      <c r="N3145" s="438"/>
      <c r="O3145" s="438"/>
      <c r="P3145" s="438"/>
    </row>
    <row r="3146" spans="1:16" ht="15.75" customHeight="1">
      <c r="A3146" s="441"/>
      <c r="B3146" s="442"/>
      <c r="C3146" s="317"/>
      <c r="G3146" s="290"/>
      <c r="H3146" s="438"/>
      <c r="I3146" s="439"/>
      <c r="J3146" s="440"/>
      <c r="K3146" s="307"/>
      <c r="L3146" s="307"/>
      <c r="M3146" s="307"/>
      <c r="N3146" s="438"/>
      <c r="O3146" s="438"/>
      <c r="P3146" s="438"/>
    </row>
    <row r="3147" spans="1:16" ht="15.75" customHeight="1">
      <c r="A3147" s="441"/>
      <c r="B3147" s="442"/>
      <c r="C3147" s="317"/>
      <c r="G3147" s="290"/>
      <c r="H3147" s="438"/>
      <c r="I3147" s="439"/>
      <c r="J3147" s="440"/>
      <c r="K3147" s="307"/>
      <c r="L3147" s="307"/>
      <c r="M3147" s="307"/>
      <c r="N3147" s="438"/>
      <c r="O3147" s="438"/>
      <c r="P3147" s="438"/>
    </row>
    <row r="3148" spans="1:16" ht="15.75" customHeight="1">
      <c r="A3148" s="441"/>
      <c r="B3148" s="442"/>
      <c r="C3148" s="317"/>
      <c r="G3148" s="290"/>
      <c r="H3148" s="438"/>
      <c r="I3148" s="439"/>
      <c r="J3148" s="440"/>
      <c r="K3148" s="307"/>
      <c r="L3148" s="307"/>
      <c r="M3148" s="307"/>
      <c r="N3148" s="438"/>
      <c r="O3148" s="438"/>
      <c r="P3148" s="438"/>
    </row>
    <row r="3149" spans="1:16" ht="15.75" customHeight="1">
      <c r="A3149" s="441"/>
      <c r="B3149" s="442"/>
      <c r="C3149" s="317"/>
      <c r="G3149" s="290"/>
      <c r="H3149" s="438"/>
      <c r="I3149" s="439"/>
      <c r="J3149" s="440"/>
      <c r="K3149" s="307"/>
      <c r="L3149" s="307"/>
      <c r="M3149" s="307"/>
      <c r="N3149" s="438"/>
      <c r="O3149" s="438"/>
      <c r="P3149" s="438"/>
    </row>
    <row r="3150" spans="1:16" ht="15.75" customHeight="1">
      <c r="A3150" s="441"/>
      <c r="B3150" s="442"/>
      <c r="C3150" s="317"/>
      <c r="G3150" s="290"/>
      <c r="H3150" s="438"/>
      <c r="I3150" s="439"/>
      <c r="J3150" s="440"/>
      <c r="K3150" s="307"/>
      <c r="L3150" s="307"/>
      <c r="M3150" s="307"/>
      <c r="N3150" s="438"/>
      <c r="O3150" s="438"/>
      <c r="P3150" s="438"/>
    </row>
    <row r="3151" spans="1:16" ht="15.75" customHeight="1">
      <c r="A3151" s="441"/>
      <c r="B3151" s="442"/>
      <c r="C3151" s="317"/>
      <c r="G3151" s="290"/>
      <c r="H3151" s="438"/>
      <c r="I3151" s="439"/>
      <c r="J3151" s="440"/>
      <c r="K3151" s="307"/>
      <c r="L3151" s="307"/>
      <c r="M3151" s="307"/>
      <c r="N3151" s="438"/>
      <c r="O3151" s="438"/>
      <c r="P3151" s="438"/>
    </row>
    <row r="3152" spans="1:16" ht="15.75" customHeight="1">
      <c r="A3152" s="441"/>
      <c r="B3152" s="442"/>
      <c r="C3152" s="317"/>
      <c r="G3152" s="290"/>
      <c r="H3152" s="438"/>
      <c r="I3152" s="439"/>
      <c r="J3152" s="440"/>
      <c r="K3152" s="307"/>
      <c r="L3152" s="307"/>
      <c r="M3152" s="307"/>
      <c r="N3152" s="438"/>
      <c r="O3152" s="438"/>
      <c r="P3152" s="438"/>
    </row>
    <row r="3153" spans="1:16" ht="15.75" customHeight="1">
      <c r="A3153" s="441"/>
      <c r="B3153" s="442"/>
      <c r="C3153" s="317"/>
      <c r="G3153" s="290"/>
      <c r="H3153" s="438"/>
      <c r="I3153" s="439"/>
      <c r="J3153" s="440"/>
      <c r="K3153" s="307"/>
      <c r="L3153" s="307"/>
      <c r="M3153" s="307"/>
      <c r="N3153" s="438"/>
      <c r="O3153" s="438"/>
      <c r="P3153" s="438"/>
    </row>
    <row r="3154" spans="1:16" ht="15.75" customHeight="1">
      <c r="A3154" s="441"/>
      <c r="B3154" s="442"/>
      <c r="C3154" s="317"/>
      <c r="G3154" s="290"/>
      <c r="H3154" s="438"/>
      <c r="I3154" s="439"/>
      <c r="J3154" s="440"/>
      <c r="K3154" s="307"/>
      <c r="L3154" s="307"/>
      <c r="M3154" s="307"/>
      <c r="N3154" s="438"/>
      <c r="O3154" s="438"/>
      <c r="P3154" s="438"/>
    </row>
    <row r="3155" spans="1:16" ht="15.75" customHeight="1">
      <c r="A3155" s="441"/>
      <c r="B3155" s="442"/>
      <c r="C3155" s="317"/>
      <c r="G3155" s="290"/>
      <c r="H3155" s="438"/>
      <c r="I3155" s="439"/>
      <c r="J3155" s="440"/>
      <c r="K3155" s="307"/>
      <c r="L3155" s="307"/>
      <c r="M3155" s="307"/>
      <c r="N3155" s="438"/>
      <c r="O3155" s="438"/>
      <c r="P3155" s="438"/>
    </row>
    <row r="3156" spans="1:16" ht="15.75" customHeight="1">
      <c r="A3156" s="441"/>
      <c r="B3156" s="442"/>
      <c r="C3156" s="317"/>
      <c r="G3156" s="290"/>
      <c r="H3156" s="438"/>
      <c r="I3156" s="439"/>
      <c r="J3156" s="440"/>
      <c r="K3156" s="307"/>
      <c r="L3156" s="307"/>
      <c r="M3156" s="307"/>
      <c r="N3156" s="438"/>
      <c r="O3156" s="438"/>
      <c r="P3156" s="438"/>
    </row>
    <row r="3157" spans="1:16" ht="15.75" customHeight="1">
      <c r="A3157" s="441"/>
      <c r="B3157" s="442"/>
      <c r="C3157" s="317"/>
      <c r="G3157" s="290"/>
      <c r="H3157" s="438"/>
      <c r="I3157" s="439"/>
      <c r="J3157" s="440"/>
      <c r="K3157" s="307"/>
      <c r="L3157" s="307"/>
      <c r="M3157" s="307"/>
      <c r="N3157" s="438"/>
      <c r="O3157" s="438"/>
      <c r="P3157" s="438"/>
    </row>
    <row r="3158" spans="1:16" ht="15.75" customHeight="1">
      <c r="A3158" s="441"/>
      <c r="B3158" s="442"/>
      <c r="C3158" s="317"/>
      <c r="G3158" s="290"/>
      <c r="H3158" s="438"/>
      <c r="I3158" s="439"/>
      <c r="J3158" s="440"/>
      <c r="K3158" s="307"/>
      <c r="L3158" s="307"/>
      <c r="M3158" s="307"/>
      <c r="N3158" s="438"/>
      <c r="O3158" s="438"/>
      <c r="P3158" s="438"/>
    </row>
    <row r="3159" spans="1:16" ht="15.75" customHeight="1">
      <c r="A3159" s="441"/>
      <c r="B3159" s="442"/>
      <c r="C3159" s="317"/>
      <c r="G3159" s="290"/>
      <c r="H3159" s="438"/>
      <c r="I3159" s="439"/>
      <c r="J3159" s="440"/>
      <c r="K3159" s="307"/>
      <c r="L3159" s="307"/>
      <c r="M3159" s="307"/>
      <c r="N3159" s="438"/>
      <c r="O3159" s="438"/>
      <c r="P3159" s="438"/>
    </row>
    <row r="3160" spans="1:16" ht="15.75" customHeight="1">
      <c r="A3160" s="441"/>
      <c r="B3160" s="442"/>
      <c r="C3160" s="317"/>
      <c r="G3160" s="290"/>
      <c r="H3160" s="438"/>
      <c r="I3160" s="439"/>
      <c r="J3160" s="440"/>
      <c r="K3160" s="307"/>
      <c r="L3160" s="307"/>
      <c r="M3160" s="307"/>
      <c r="N3160" s="438"/>
      <c r="O3160" s="438"/>
      <c r="P3160" s="438"/>
    </row>
    <row r="3161" spans="1:16" ht="15.75" customHeight="1">
      <c r="A3161" s="441"/>
      <c r="B3161" s="442"/>
      <c r="C3161" s="317"/>
      <c r="G3161" s="290"/>
      <c r="H3161" s="438"/>
      <c r="I3161" s="439"/>
      <c r="J3161" s="440"/>
      <c r="K3161" s="307"/>
      <c r="L3161" s="307"/>
      <c r="M3161" s="307"/>
      <c r="N3161" s="438"/>
      <c r="O3161" s="438"/>
      <c r="P3161" s="438"/>
    </row>
    <row r="3162" spans="1:16" ht="15.75" customHeight="1">
      <c r="A3162" s="441"/>
      <c r="B3162" s="442"/>
      <c r="C3162" s="317"/>
      <c r="G3162" s="290"/>
      <c r="H3162" s="438"/>
      <c r="I3162" s="439"/>
      <c r="J3162" s="440"/>
      <c r="K3162" s="307"/>
      <c r="L3162" s="307"/>
      <c r="M3162" s="307"/>
      <c r="N3162" s="438"/>
      <c r="O3162" s="438"/>
      <c r="P3162" s="438"/>
    </row>
    <row r="3163" spans="1:16" ht="15.75" customHeight="1">
      <c r="A3163" s="441"/>
      <c r="B3163" s="442"/>
      <c r="C3163" s="317"/>
      <c r="G3163" s="290"/>
      <c r="H3163" s="438"/>
      <c r="I3163" s="439"/>
      <c r="J3163" s="440"/>
      <c r="K3163" s="307"/>
      <c r="L3163" s="307"/>
      <c r="M3163" s="307"/>
      <c r="N3163" s="438"/>
      <c r="O3163" s="438"/>
      <c r="P3163" s="438"/>
    </row>
    <row r="3164" spans="1:16" ht="15.75" customHeight="1">
      <c r="A3164" s="441"/>
      <c r="B3164" s="442"/>
      <c r="C3164" s="317"/>
      <c r="G3164" s="290"/>
      <c r="H3164" s="438"/>
      <c r="I3164" s="439"/>
      <c r="J3164" s="440"/>
      <c r="K3164" s="307"/>
      <c r="L3164" s="307"/>
      <c r="M3164" s="307"/>
      <c r="N3164" s="438"/>
      <c r="O3164" s="438"/>
      <c r="P3164" s="438"/>
    </row>
    <row r="3165" spans="1:16" ht="15.75" customHeight="1">
      <c r="A3165" s="441"/>
      <c r="B3165" s="442"/>
      <c r="C3165" s="317"/>
      <c r="G3165" s="290"/>
      <c r="H3165" s="438"/>
      <c r="I3165" s="439"/>
      <c r="J3165" s="440"/>
      <c r="K3165" s="307"/>
      <c r="L3165" s="307"/>
      <c r="M3165" s="307"/>
      <c r="N3165" s="438"/>
      <c r="O3165" s="438"/>
      <c r="P3165" s="438"/>
    </row>
    <row r="3166" spans="1:16" ht="15.75" customHeight="1">
      <c r="A3166" s="441"/>
      <c r="B3166" s="442"/>
      <c r="C3166" s="317"/>
      <c r="G3166" s="290"/>
      <c r="H3166" s="438"/>
      <c r="I3166" s="439"/>
      <c r="J3166" s="440"/>
      <c r="K3166" s="307"/>
      <c r="L3166" s="307"/>
      <c r="M3166" s="307"/>
      <c r="N3166" s="438"/>
      <c r="O3166" s="438"/>
      <c r="P3166" s="438"/>
    </row>
    <row r="3167" spans="1:16" ht="15.75" customHeight="1">
      <c r="A3167" s="441"/>
      <c r="B3167" s="442"/>
      <c r="C3167" s="317"/>
      <c r="G3167" s="290"/>
      <c r="H3167" s="438"/>
      <c r="I3167" s="439"/>
      <c r="J3167" s="440"/>
      <c r="K3167" s="307"/>
      <c r="L3167" s="307"/>
      <c r="M3167" s="307"/>
      <c r="N3167" s="438"/>
      <c r="O3167" s="438"/>
      <c r="P3167" s="438"/>
    </row>
    <row r="3168" spans="1:16" ht="15.75" customHeight="1">
      <c r="A3168" s="441"/>
      <c r="B3168" s="442"/>
      <c r="C3168" s="317"/>
      <c r="G3168" s="290"/>
      <c r="H3168" s="438"/>
      <c r="I3168" s="439"/>
      <c r="J3168" s="440"/>
      <c r="K3168" s="307"/>
      <c r="L3168" s="307"/>
      <c r="M3168" s="307"/>
      <c r="N3168" s="438"/>
      <c r="O3168" s="438"/>
      <c r="P3168" s="438"/>
    </row>
    <row r="3169" spans="1:16" ht="15.75" customHeight="1">
      <c r="A3169" s="441"/>
      <c r="B3169" s="442"/>
      <c r="C3169" s="317"/>
      <c r="G3169" s="290"/>
      <c r="H3169" s="438"/>
      <c r="I3169" s="439"/>
      <c r="J3169" s="440"/>
      <c r="K3169" s="307"/>
      <c r="L3169" s="307"/>
      <c r="M3169" s="307"/>
      <c r="N3169" s="438"/>
      <c r="O3169" s="438"/>
      <c r="P3169" s="438"/>
    </row>
    <row r="3170" spans="1:16" ht="15.75" customHeight="1">
      <c r="A3170" s="441"/>
      <c r="B3170" s="442"/>
      <c r="C3170" s="317"/>
      <c r="G3170" s="290"/>
      <c r="H3170" s="438"/>
      <c r="I3170" s="439"/>
      <c r="J3170" s="440"/>
      <c r="K3170" s="307"/>
      <c r="L3170" s="307"/>
      <c r="M3170" s="307"/>
      <c r="N3170" s="438"/>
      <c r="O3170" s="438"/>
      <c r="P3170" s="438"/>
    </row>
    <row r="3171" spans="1:16" ht="15.75" customHeight="1">
      <c r="A3171" s="441"/>
      <c r="B3171" s="442"/>
      <c r="C3171" s="317"/>
      <c r="G3171" s="290"/>
      <c r="H3171" s="438"/>
      <c r="I3171" s="439"/>
      <c r="J3171" s="440"/>
      <c r="K3171" s="307"/>
      <c r="L3171" s="307"/>
      <c r="M3171" s="307"/>
      <c r="N3171" s="438"/>
      <c r="O3171" s="438"/>
      <c r="P3171" s="438"/>
    </row>
    <row r="3172" spans="1:16" ht="15.75" customHeight="1">
      <c r="A3172" s="441"/>
      <c r="B3172" s="442"/>
      <c r="C3172" s="317"/>
      <c r="G3172" s="290"/>
      <c r="H3172" s="438"/>
      <c r="I3172" s="439"/>
      <c r="J3172" s="440"/>
      <c r="K3172" s="307"/>
      <c r="L3172" s="307"/>
      <c r="M3172" s="307"/>
      <c r="N3172" s="438"/>
      <c r="O3172" s="438"/>
      <c r="P3172" s="438"/>
    </row>
    <row r="3173" spans="1:16" ht="15.75" customHeight="1">
      <c r="A3173" s="441"/>
      <c r="B3173" s="442"/>
      <c r="C3173" s="317"/>
      <c r="G3173" s="290"/>
      <c r="H3173" s="438"/>
      <c r="I3173" s="439"/>
      <c r="J3173" s="440"/>
      <c r="K3173" s="307"/>
      <c r="L3173" s="307"/>
      <c r="M3173" s="307"/>
      <c r="N3173" s="438"/>
      <c r="O3173" s="438"/>
      <c r="P3173" s="438"/>
    </row>
    <row r="3174" spans="1:16" ht="15.75" customHeight="1">
      <c r="A3174" s="441"/>
      <c r="B3174" s="442"/>
      <c r="C3174" s="317"/>
      <c r="G3174" s="290"/>
      <c r="H3174" s="438"/>
      <c r="I3174" s="439"/>
      <c r="J3174" s="440"/>
      <c r="K3174" s="307"/>
      <c r="L3174" s="307"/>
      <c r="M3174" s="307"/>
      <c r="N3174" s="438"/>
      <c r="O3174" s="438"/>
      <c r="P3174" s="438"/>
    </row>
    <row r="3175" spans="1:16" ht="15.75" customHeight="1">
      <c r="A3175" s="441"/>
      <c r="B3175" s="442"/>
      <c r="C3175" s="317"/>
      <c r="G3175" s="290"/>
      <c r="H3175" s="438"/>
      <c r="I3175" s="439"/>
      <c r="J3175" s="440"/>
      <c r="K3175" s="307"/>
      <c r="L3175" s="307"/>
      <c r="M3175" s="307"/>
      <c r="N3175" s="438"/>
      <c r="O3175" s="438"/>
      <c r="P3175" s="438"/>
    </row>
    <row r="3176" spans="1:16" ht="15.75" customHeight="1">
      <c r="A3176" s="441"/>
      <c r="B3176" s="442"/>
      <c r="C3176" s="317"/>
      <c r="G3176" s="290"/>
      <c r="H3176" s="438"/>
      <c r="I3176" s="439"/>
      <c r="J3176" s="440"/>
      <c r="K3176" s="307"/>
      <c r="L3176" s="307"/>
      <c r="M3176" s="307"/>
      <c r="N3176" s="438"/>
      <c r="O3176" s="438"/>
      <c r="P3176" s="438"/>
    </row>
    <row r="3177" spans="1:16" ht="15.75" customHeight="1">
      <c r="A3177" s="441"/>
      <c r="B3177" s="442"/>
      <c r="C3177" s="317"/>
      <c r="G3177" s="290"/>
      <c r="H3177" s="438"/>
      <c r="I3177" s="439"/>
      <c r="J3177" s="440"/>
      <c r="K3177" s="307"/>
      <c r="L3177" s="307"/>
      <c r="M3177" s="307"/>
      <c r="N3177" s="438"/>
      <c r="O3177" s="438"/>
      <c r="P3177" s="438"/>
    </row>
    <row r="3178" spans="1:16" ht="15.75" customHeight="1">
      <c r="A3178" s="441"/>
      <c r="B3178" s="442"/>
      <c r="C3178" s="317"/>
      <c r="G3178" s="290"/>
      <c r="H3178" s="438"/>
      <c r="I3178" s="439"/>
      <c r="J3178" s="440"/>
      <c r="K3178" s="307"/>
      <c r="L3178" s="307"/>
      <c r="M3178" s="307"/>
      <c r="N3178" s="438"/>
      <c r="O3178" s="438"/>
      <c r="P3178" s="438"/>
    </row>
    <row r="3179" spans="1:16" ht="15.75" customHeight="1">
      <c r="A3179" s="441"/>
      <c r="B3179" s="442"/>
      <c r="C3179" s="317"/>
      <c r="G3179" s="290"/>
      <c r="H3179" s="438"/>
      <c r="I3179" s="439"/>
      <c r="J3179" s="440"/>
      <c r="K3179" s="307"/>
      <c r="L3179" s="307"/>
      <c r="M3179" s="307"/>
      <c r="N3179" s="438"/>
      <c r="O3179" s="438"/>
      <c r="P3179" s="438"/>
    </row>
    <row r="3180" spans="1:16" ht="15.75" customHeight="1">
      <c r="A3180" s="441"/>
      <c r="B3180" s="442"/>
      <c r="C3180" s="317"/>
      <c r="G3180" s="290"/>
      <c r="H3180" s="438"/>
      <c r="I3180" s="439"/>
      <c r="J3180" s="440"/>
      <c r="K3180" s="307"/>
      <c r="L3180" s="307"/>
      <c r="M3180" s="307"/>
      <c r="N3180" s="438"/>
      <c r="O3180" s="438"/>
      <c r="P3180" s="438"/>
    </row>
    <row r="3181" spans="1:16" ht="15.75" customHeight="1">
      <c r="A3181" s="441"/>
      <c r="B3181" s="442"/>
      <c r="C3181" s="317"/>
      <c r="G3181" s="290"/>
      <c r="H3181" s="438"/>
      <c r="I3181" s="439"/>
      <c r="J3181" s="440"/>
      <c r="K3181" s="307"/>
      <c r="L3181" s="307"/>
      <c r="M3181" s="307"/>
      <c r="N3181" s="438"/>
      <c r="O3181" s="438"/>
      <c r="P3181" s="438"/>
    </row>
    <row r="3182" spans="1:16" ht="15.75" customHeight="1">
      <c r="A3182" s="441"/>
      <c r="B3182" s="442"/>
      <c r="C3182" s="317"/>
      <c r="G3182" s="290"/>
      <c r="H3182" s="438"/>
      <c r="I3182" s="439"/>
      <c r="J3182" s="440"/>
      <c r="K3182" s="307"/>
      <c r="L3182" s="307"/>
      <c r="M3182" s="307"/>
      <c r="N3182" s="438"/>
      <c r="O3182" s="438"/>
      <c r="P3182" s="438"/>
    </row>
    <row r="3183" spans="1:16" ht="15.75" customHeight="1">
      <c r="A3183" s="441"/>
      <c r="B3183" s="442"/>
      <c r="C3183" s="317"/>
      <c r="G3183" s="290"/>
      <c r="H3183" s="438"/>
      <c r="I3183" s="439"/>
      <c r="J3183" s="440"/>
      <c r="K3183" s="307"/>
      <c r="L3183" s="307"/>
      <c r="M3183" s="307"/>
      <c r="N3183" s="438"/>
      <c r="O3183" s="438"/>
      <c r="P3183" s="438"/>
    </row>
    <row r="3184" spans="1:16" ht="15.75" customHeight="1">
      <c r="A3184" s="441"/>
      <c r="B3184" s="442"/>
      <c r="C3184" s="317"/>
      <c r="G3184" s="290"/>
      <c r="H3184" s="438"/>
      <c r="I3184" s="439"/>
      <c r="J3184" s="440"/>
      <c r="K3184" s="307"/>
      <c r="L3184" s="307"/>
      <c r="M3184" s="307"/>
      <c r="N3184" s="438"/>
      <c r="O3184" s="438"/>
      <c r="P3184" s="438"/>
    </row>
    <row r="3185" spans="1:16" ht="15.75" customHeight="1">
      <c r="A3185" s="441"/>
      <c r="B3185" s="442"/>
      <c r="C3185" s="317"/>
      <c r="G3185" s="290"/>
      <c r="H3185" s="438"/>
      <c r="I3185" s="439"/>
      <c r="J3185" s="440"/>
      <c r="K3185" s="307"/>
      <c r="L3185" s="307"/>
      <c r="M3185" s="307"/>
      <c r="N3185" s="438"/>
      <c r="O3185" s="438"/>
      <c r="P3185" s="438"/>
    </row>
    <row r="3186" spans="1:16" ht="15.75" customHeight="1">
      <c r="A3186" s="441"/>
      <c r="B3186" s="442"/>
      <c r="C3186" s="317"/>
      <c r="G3186" s="290"/>
      <c r="H3186" s="438"/>
      <c r="I3186" s="439"/>
      <c r="J3186" s="440"/>
      <c r="K3186" s="307"/>
      <c r="L3186" s="307"/>
      <c r="M3186" s="307"/>
      <c r="N3186" s="438"/>
      <c r="O3186" s="438"/>
      <c r="P3186" s="438"/>
    </row>
    <row r="3187" spans="1:16" ht="15.75" customHeight="1">
      <c r="A3187" s="441"/>
      <c r="B3187" s="442"/>
      <c r="C3187" s="317"/>
      <c r="G3187" s="290"/>
      <c r="H3187" s="438"/>
      <c r="I3187" s="439"/>
      <c r="J3187" s="440"/>
      <c r="K3187" s="307"/>
      <c r="L3187" s="307"/>
      <c r="M3187" s="307"/>
      <c r="N3187" s="438"/>
      <c r="O3187" s="438"/>
      <c r="P3187" s="438"/>
    </row>
    <row r="3188" spans="1:16" ht="15.75" customHeight="1">
      <c r="A3188" s="441"/>
      <c r="B3188" s="442"/>
      <c r="C3188" s="317"/>
      <c r="G3188" s="290"/>
      <c r="H3188" s="438"/>
      <c r="I3188" s="439"/>
      <c r="J3188" s="440"/>
      <c r="K3188" s="307"/>
      <c r="L3188" s="307"/>
      <c r="M3188" s="307"/>
      <c r="N3188" s="438"/>
      <c r="O3188" s="438"/>
      <c r="P3188" s="438"/>
    </row>
    <row r="3189" spans="1:16" ht="15.75" customHeight="1">
      <c r="A3189" s="441"/>
      <c r="B3189" s="442"/>
      <c r="C3189" s="317"/>
      <c r="G3189" s="290"/>
      <c r="H3189" s="438"/>
      <c r="I3189" s="439"/>
      <c r="J3189" s="440"/>
      <c r="K3189" s="307"/>
      <c r="L3189" s="307"/>
      <c r="M3189" s="307"/>
      <c r="N3189" s="438"/>
      <c r="O3189" s="438"/>
      <c r="P3189" s="438"/>
    </row>
    <row r="3190" spans="1:16" ht="15.75" customHeight="1">
      <c r="A3190" s="441"/>
      <c r="B3190" s="442"/>
      <c r="C3190" s="317"/>
      <c r="G3190" s="290"/>
      <c r="H3190" s="438"/>
      <c r="I3190" s="439"/>
      <c r="J3190" s="440"/>
      <c r="K3190" s="307"/>
      <c r="L3190" s="307"/>
      <c r="M3190" s="307"/>
      <c r="N3190" s="438"/>
      <c r="O3190" s="438"/>
      <c r="P3190" s="438"/>
    </row>
    <row r="3191" spans="1:16" ht="15.75" customHeight="1">
      <c r="A3191" s="441"/>
      <c r="B3191" s="442"/>
      <c r="C3191" s="317"/>
      <c r="G3191" s="290"/>
      <c r="H3191" s="438"/>
      <c r="I3191" s="439"/>
      <c r="J3191" s="440"/>
      <c r="K3191" s="307"/>
      <c r="L3191" s="307"/>
      <c r="M3191" s="307"/>
      <c r="N3191" s="438"/>
      <c r="O3191" s="438"/>
      <c r="P3191" s="438"/>
    </row>
    <row r="3192" spans="1:16" ht="15.75" customHeight="1">
      <c r="A3192" s="441"/>
      <c r="B3192" s="442"/>
      <c r="C3192" s="317"/>
      <c r="G3192" s="290"/>
      <c r="H3192" s="438"/>
      <c r="I3192" s="439"/>
      <c r="J3192" s="440"/>
      <c r="K3192" s="307"/>
      <c r="L3192" s="307"/>
      <c r="M3192" s="307"/>
      <c r="N3192" s="438"/>
      <c r="O3192" s="438"/>
      <c r="P3192" s="438"/>
    </row>
    <row r="3193" spans="1:16" ht="15.75" customHeight="1">
      <c r="A3193" s="441"/>
      <c r="B3193" s="442"/>
      <c r="C3193" s="317"/>
      <c r="G3193" s="290"/>
      <c r="H3193" s="438"/>
      <c r="I3193" s="439"/>
      <c r="J3193" s="440"/>
      <c r="K3193" s="307"/>
      <c r="L3193" s="307"/>
      <c r="M3193" s="307"/>
      <c r="N3193" s="438"/>
      <c r="O3193" s="438"/>
      <c r="P3193" s="438"/>
    </row>
    <row r="3194" spans="1:16" ht="15.75" customHeight="1">
      <c r="A3194" s="441"/>
      <c r="B3194" s="442"/>
      <c r="C3194" s="317"/>
      <c r="G3194" s="290"/>
      <c r="H3194" s="438"/>
      <c r="I3194" s="439"/>
      <c r="J3194" s="440"/>
      <c r="K3194" s="307"/>
      <c r="L3194" s="307"/>
      <c r="M3194" s="307"/>
      <c r="N3194" s="438"/>
      <c r="O3194" s="438"/>
      <c r="P3194" s="438"/>
    </row>
    <row r="3195" spans="1:16" ht="15.75" customHeight="1">
      <c r="A3195" s="441"/>
      <c r="B3195" s="442"/>
      <c r="C3195" s="317"/>
      <c r="G3195" s="290"/>
      <c r="H3195" s="438"/>
      <c r="I3195" s="439"/>
      <c r="J3195" s="440"/>
      <c r="K3195" s="307"/>
      <c r="L3195" s="307"/>
      <c r="M3195" s="307"/>
      <c r="N3195" s="438"/>
      <c r="O3195" s="438"/>
      <c r="P3195" s="438"/>
    </row>
    <row r="3196" spans="1:16" ht="15.75" customHeight="1">
      <c r="A3196" s="441"/>
      <c r="B3196" s="442"/>
      <c r="C3196" s="317"/>
      <c r="G3196" s="290"/>
      <c r="H3196" s="438"/>
      <c r="I3196" s="439"/>
      <c r="J3196" s="440"/>
      <c r="K3196" s="307"/>
      <c r="L3196" s="307"/>
      <c r="M3196" s="307"/>
      <c r="N3196" s="438"/>
      <c r="O3196" s="438"/>
      <c r="P3196" s="438"/>
    </row>
    <row r="3197" spans="1:16" ht="15.75" customHeight="1">
      <c r="A3197" s="441"/>
      <c r="B3197" s="442"/>
      <c r="C3197" s="317"/>
      <c r="G3197" s="290"/>
      <c r="H3197" s="438"/>
      <c r="I3197" s="439"/>
      <c r="J3197" s="440"/>
      <c r="K3197" s="307"/>
      <c r="L3197" s="307"/>
      <c r="M3197" s="307"/>
      <c r="N3197" s="438"/>
      <c r="O3197" s="438"/>
      <c r="P3197" s="438"/>
    </row>
    <row r="3198" spans="1:16" ht="15.75" customHeight="1">
      <c r="A3198" s="441"/>
      <c r="B3198" s="442"/>
      <c r="C3198" s="317"/>
      <c r="G3198" s="290"/>
      <c r="H3198" s="438"/>
      <c r="I3198" s="439"/>
      <c r="J3198" s="440"/>
      <c r="K3198" s="307"/>
      <c r="L3198" s="307"/>
      <c r="M3198" s="307"/>
      <c r="N3198" s="438"/>
      <c r="O3198" s="438"/>
      <c r="P3198" s="438"/>
    </row>
    <row r="3199" spans="1:16" ht="15.75" customHeight="1">
      <c r="A3199" s="441"/>
      <c r="B3199" s="442"/>
      <c r="C3199" s="317"/>
      <c r="G3199" s="290"/>
      <c r="H3199" s="438"/>
      <c r="I3199" s="439"/>
      <c r="J3199" s="440"/>
      <c r="K3199" s="307"/>
      <c r="L3199" s="307"/>
      <c r="M3199" s="307"/>
      <c r="N3199" s="438"/>
      <c r="O3199" s="438"/>
      <c r="P3199" s="438"/>
    </row>
    <row r="3200" spans="1:16" ht="15.75" customHeight="1">
      <c r="A3200" s="441"/>
      <c r="B3200" s="442"/>
      <c r="C3200" s="317"/>
      <c r="G3200" s="290"/>
      <c r="H3200" s="438"/>
      <c r="I3200" s="439"/>
      <c r="J3200" s="440"/>
      <c r="K3200" s="307"/>
      <c r="L3200" s="307"/>
      <c r="M3200" s="307"/>
      <c r="N3200" s="438"/>
      <c r="O3200" s="438"/>
      <c r="P3200" s="438"/>
    </row>
    <row r="3201" spans="1:16" ht="15.75" customHeight="1">
      <c r="A3201" s="441"/>
      <c r="B3201" s="442"/>
      <c r="C3201" s="317"/>
      <c r="G3201" s="290"/>
      <c r="H3201" s="438"/>
      <c r="I3201" s="439"/>
      <c r="J3201" s="440"/>
      <c r="K3201" s="307"/>
      <c r="L3201" s="307"/>
      <c r="M3201" s="307"/>
      <c r="N3201" s="438"/>
      <c r="O3201" s="438"/>
      <c r="P3201" s="438"/>
    </row>
    <row r="3202" spans="1:16" ht="15.75" customHeight="1">
      <c r="A3202" s="441"/>
      <c r="B3202" s="442"/>
      <c r="C3202" s="317"/>
      <c r="G3202" s="290"/>
      <c r="H3202" s="438"/>
      <c r="I3202" s="439"/>
      <c r="J3202" s="440"/>
      <c r="K3202" s="307"/>
      <c r="L3202" s="307"/>
      <c r="M3202" s="307"/>
      <c r="N3202" s="438"/>
      <c r="O3202" s="438"/>
      <c r="P3202" s="438"/>
    </row>
    <row r="3203" spans="1:16" ht="15.75" customHeight="1">
      <c r="A3203" s="441"/>
      <c r="B3203" s="442"/>
      <c r="C3203" s="317"/>
      <c r="G3203" s="290"/>
      <c r="H3203" s="438"/>
      <c r="I3203" s="439"/>
      <c r="J3203" s="440"/>
      <c r="K3203" s="307"/>
      <c r="L3203" s="307"/>
      <c r="M3203" s="307"/>
      <c r="N3203" s="438"/>
      <c r="O3203" s="438"/>
      <c r="P3203" s="438"/>
    </row>
    <row r="3204" spans="1:16" ht="15.75" customHeight="1">
      <c r="A3204" s="441"/>
      <c r="B3204" s="442"/>
      <c r="C3204" s="317"/>
      <c r="G3204" s="290"/>
      <c r="H3204" s="438"/>
      <c r="I3204" s="439"/>
      <c r="J3204" s="440"/>
      <c r="K3204" s="307"/>
      <c r="L3204" s="307"/>
      <c r="M3204" s="307"/>
      <c r="N3204" s="438"/>
      <c r="O3204" s="438"/>
      <c r="P3204" s="438"/>
    </row>
    <row r="3205" spans="1:16" ht="15.75" customHeight="1">
      <c r="A3205" s="441"/>
      <c r="B3205" s="442"/>
      <c r="C3205" s="317"/>
      <c r="G3205" s="290"/>
      <c r="H3205" s="438"/>
      <c r="I3205" s="439"/>
      <c r="J3205" s="440"/>
      <c r="K3205" s="307"/>
      <c r="L3205" s="307"/>
      <c r="M3205" s="307"/>
      <c r="N3205" s="438"/>
      <c r="O3205" s="438"/>
      <c r="P3205" s="438"/>
    </row>
    <row r="3206" spans="1:16" ht="15.75" customHeight="1">
      <c r="A3206" s="441"/>
      <c r="B3206" s="442"/>
      <c r="C3206" s="317"/>
      <c r="G3206" s="290"/>
      <c r="H3206" s="438"/>
      <c r="I3206" s="439"/>
      <c r="J3206" s="440"/>
      <c r="K3206" s="307"/>
      <c r="L3206" s="307"/>
      <c r="M3206" s="307"/>
      <c r="N3206" s="438"/>
      <c r="O3206" s="438"/>
      <c r="P3206" s="438"/>
    </row>
    <row r="3207" spans="1:16" ht="15.75" customHeight="1">
      <c r="A3207" s="441"/>
      <c r="B3207" s="442"/>
      <c r="C3207" s="317"/>
      <c r="G3207" s="290"/>
      <c r="H3207" s="438"/>
      <c r="I3207" s="439"/>
      <c r="J3207" s="440"/>
      <c r="K3207" s="307"/>
      <c r="L3207" s="307"/>
      <c r="M3207" s="307"/>
      <c r="N3207" s="438"/>
      <c r="O3207" s="438"/>
      <c r="P3207" s="438"/>
    </row>
    <row r="3208" spans="1:16" ht="15.75" customHeight="1">
      <c r="A3208" s="441"/>
      <c r="B3208" s="442"/>
      <c r="C3208" s="317"/>
      <c r="G3208" s="290"/>
      <c r="H3208" s="438"/>
      <c r="I3208" s="439"/>
      <c r="J3208" s="440"/>
      <c r="K3208" s="307"/>
      <c r="L3208" s="307"/>
      <c r="M3208" s="307"/>
      <c r="N3208" s="438"/>
      <c r="O3208" s="438"/>
      <c r="P3208" s="438"/>
    </row>
    <row r="3209" spans="1:16" ht="15.75" customHeight="1">
      <c r="A3209" s="441"/>
      <c r="B3209" s="442"/>
      <c r="C3209" s="317"/>
      <c r="G3209" s="290"/>
      <c r="H3209" s="438"/>
      <c r="I3209" s="439"/>
      <c r="J3209" s="440"/>
      <c r="K3209" s="307"/>
      <c r="L3209" s="307"/>
      <c r="M3209" s="307"/>
      <c r="N3209" s="438"/>
      <c r="O3209" s="438"/>
      <c r="P3209" s="438"/>
    </row>
    <row r="3210" spans="1:16" ht="15.75" customHeight="1">
      <c r="A3210" s="441"/>
      <c r="B3210" s="442"/>
      <c r="C3210" s="317"/>
      <c r="G3210" s="290"/>
      <c r="H3210" s="438"/>
      <c r="I3210" s="439"/>
      <c r="J3210" s="440"/>
      <c r="K3210" s="307"/>
      <c r="L3210" s="307"/>
      <c r="M3210" s="307"/>
      <c r="N3210" s="438"/>
      <c r="O3210" s="438"/>
      <c r="P3210" s="438"/>
    </row>
    <row r="3211" spans="1:16" ht="15.75" customHeight="1">
      <c r="A3211" s="441"/>
      <c r="B3211" s="442"/>
      <c r="C3211" s="317"/>
      <c r="G3211" s="290"/>
      <c r="H3211" s="438"/>
      <c r="I3211" s="439"/>
      <c r="J3211" s="440"/>
      <c r="K3211" s="307"/>
      <c r="L3211" s="307"/>
      <c r="M3211" s="307"/>
      <c r="N3211" s="438"/>
      <c r="O3211" s="438"/>
      <c r="P3211" s="438"/>
    </row>
    <row r="3212" spans="1:16" ht="15.75" customHeight="1">
      <c r="A3212" s="441"/>
      <c r="B3212" s="442"/>
      <c r="C3212" s="317"/>
      <c r="G3212" s="290"/>
      <c r="H3212" s="438"/>
      <c r="I3212" s="439"/>
      <c r="J3212" s="440"/>
      <c r="K3212" s="307"/>
      <c r="L3212" s="307"/>
      <c r="M3212" s="307"/>
      <c r="N3212" s="438"/>
      <c r="O3212" s="438"/>
      <c r="P3212" s="438"/>
    </row>
    <row r="3213" spans="1:16" ht="15.75" customHeight="1">
      <c r="A3213" s="441"/>
      <c r="B3213" s="442"/>
      <c r="C3213" s="317"/>
      <c r="G3213" s="290"/>
      <c r="H3213" s="438"/>
      <c r="I3213" s="439"/>
      <c r="J3213" s="440"/>
      <c r="K3213" s="307"/>
      <c r="L3213" s="307"/>
      <c r="M3213" s="307"/>
      <c r="N3213" s="438"/>
      <c r="O3213" s="438"/>
      <c r="P3213" s="438"/>
    </row>
    <row r="3214" spans="1:16" ht="15.75" customHeight="1">
      <c r="A3214" s="441"/>
      <c r="B3214" s="442"/>
      <c r="C3214" s="317"/>
      <c r="G3214" s="290"/>
      <c r="H3214" s="438"/>
      <c r="I3214" s="439"/>
      <c r="J3214" s="440"/>
      <c r="K3214" s="307"/>
      <c r="L3214" s="307"/>
      <c r="M3214" s="307"/>
      <c r="N3214" s="438"/>
      <c r="O3214" s="438"/>
      <c r="P3214" s="438"/>
    </row>
    <row r="3215" spans="1:16" ht="15.75" customHeight="1">
      <c r="A3215" s="441"/>
      <c r="B3215" s="442"/>
      <c r="C3215" s="317"/>
      <c r="G3215" s="290"/>
      <c r="H3215" s="438"/>
      <c r="I3215" s="439"/>
      <c r="J3215" s="440"/>
      <c r="K3215" s="307"/>
      <c r="L3215" s="307"/>
      <c r="M3215" s="307"/>
      <c r="N3215" s="438"/>
      <c r="O3215" s="438"/>
      <c r="P3215" s="438"/>
    </row>
    <row r="3216" spans="1:16" ht="15.75" customHeight="1">
      <c r="A3216" s="441"/>
      <c r="B3216" s="442"/>
      <c r="C3216" s="317"/>
      <c r="G3216" s="290"/>
      <c r="H3216" s="438"/>
      <c r="I3216" s="439"/>
      <c r="J3216" s="440"/>
      <c r="K3216" s="307"/>
      <c r="L3216" s="307"/>
      <c r="M3216" s="307"/>
      <c r="N3216" s="438"/>
      <c r="O3216" s="438"/>
      <c r="P3216" s="438"/>
    </row>
    <row r="3217" spans="1:16" ht="15.75" customHeight="1">
      <c r="A3217" s="441"/>
      <c r="B3217" s="442"/>
      <c r="C3217" s="317"/>
      <c r="G3217" s="290"/>
      <c r="H3217" s="438"/>
      <c r="I3217" s="439"/>
      <c r="J3217" s="440"/>
      <c r="K3217" s="307"/>
      <c r="L3217" s="307"/>
      <c r="M3217" s="307"/>
      <c r="N3217" s="438"/>
      <c r="O3217" s="438"/>
      <c r="P3217" s="438"/>
    </row>
    <row r="3218" spans="1:16" ht="15.75" customHeight="1">
      <c r="A3218" s="441"/>
      <c r="B3218" s="442"/>
      <c r="C3218" s="317"/>
      <c r="G3218" s="290"/>
      <c r="H3218" s="438"/>
      <c r="I3218" s="439"/>
      <c r="J3218" s="440"/>
      <c r="K3218" s="307"/>
      <c r="L3218" s="307"/>
      <c r="M3218" s="307"/>
      <c r="N3218" s="438"/>
      <c r="O3218" s="438"/>
      <c r="P3218" s="438"/>
    </row>
    <row r="3219" spans="1:16" ht="15.75" customHeight="1">
      <c r="A3219" s="441"/>
      <c r="B3219" s="442"/>
      <c r="C3219" s="317"/>
      <c r="G3219" s="290"/>
      <c r="H3219" s="438"/>
      <c r="I3219" s="439"/>
      <c r="J3219" s="440"/>
      <c r="K3219" s="307"/>
      <c r="L3219" s="307"/>
      <c r="M3219" s="307"/>
      <c r="N3219" s="438"/>
      <c r="O3219" s="438"/>
      <c r="P3219" s="438"/>
    </row>
    <row r="3220" spans="1:16" ht="15.75" customHeight="1">
      <c r="A3220" s="441"/>
      <c r="B3220" s="442"/>
      <c r="C3220" s="317"/>
      <c r="G3220" s="290"/>
      <c r="H3220" s="438"/>
      <c r="I3220" s="439"/>
      <c r="J3220" s="440"/>
      <c r="K3220" s="307"/>
      <c r="L3220" s="307"/>
      <c r="M3220" s="307"/>
      <c r="N3220" s="438"/>
      <c r="O3220" s="438"/>
      <c r="P3220" s="438"/>
    </row>
    <row r="3221" spans="1:16" ht="15.75" customHeight="1">
      <c r="A3221" s="441"/>
      <c r="B3221" s="442"/>
      <c r="C3221" s="317"/>
      <c r="G3221" s="290"/>
      <c r="H3221" s="438"/>
      <c r="I3221" s="439"/>
      <c r="J3221" s="440"/>
      <c r="K3221" s="307"/>
      <c r="L3221" s="307"/>
      <c r="M3221" s="307"/>
      <c r="N3221" s="438"/>
      <c r="O3221" s="438"/>
      <c r="P3221" s="438"/>
    </row>
    <row r="3222" spans="1:16" ht="15.75" customHeight="1">
      <c r="A3222" s="441"/>
      <c r="B3222" s="442"/>
      <c r="C3222" s="317"/>
      <c r="G3222" s="290"/>
      <c r="H3222" s="438"/>
      <c r="I3222" s="439"/>
      <c r="J3222" s="440"/>
      <c r="K3222" s="307"/>
      <c r="L3222" s="307"/>
      <c r="M3222" s="307"/>
      <c r="N3222" s="438"/>
      <c r="O3222" s="438"/>
      <c r="P3222" s="438"/>
    </row>
    <row r="3223" spans="1:16" ht="15.75" customHeight="1">
      <c r="A3223" s="441"/>
      <c r="B3223" s="442"/>
      <c r="C3223" s="317"/>
      <c r="G3223" s="290"/>
      <c r="H3223" s="438"/>
      <c r="I3223" s="439"/>
      <c r="J3223" s="440"/>
      <c r="K3223" s="307"/>
      <c r="L3223" s="307"/>
      <c r="M3223" s="307"/>
      <c r="N3223" s="438"/>
      <c r="O3223" s="438"/>
      <c r="P3223" s="438"/>
    </row>
    <row r="3224" spans="1:16" ht="15.75" customHeight="1">
      <c r="A3224" s="441"/>
      <c r="B3224" s="442"/>
      <c r="C3224" s="317"/>
      <c r="G3224" s="290"/>
      <c r="H3224" s="438"/>
      <c r="I3224" s="439"/>
      <c r="J3224" s="440"/>
      <c r="K3224" s="307"/>
      <c r="L3224" s="307"/>
      <c r="M3224" s="307"/>
      <c r="N3224" s="438"/>
      <c r="O3224" s="438"/>
      <c r="P3224" s="438"/>
    </row>
    <row r="3225" spans="1:16" ht="15.75" customHeight="1">
      <c r="A3225" s="441"/>
      <c r="B3225" s="442"/>
      <c r="C3225" s="317"/>
      <c r="G3225" s="290"/>
      <c r="H3225" s="438"/>
      <c r="I3225" s="439"/>
      <c r="J3225" s="440"/>
      <c r="K3225" s="307"/>
      <c r="L3225" s="307"/>
      <c r="M3225" s="307"/>
      <c r="N3225" s="438"/>
      <c r="O3225" s="438"/>
      <c r="P3225" s="438"/>
    </row>
    <row r="3226" spans="1:16" ht="15.75" customHeight="1">
      <c r="A3226" s="441"/>
      <c r="B3226" s="442"/>
      <c r="C3226" s="317"/>
      <c r="G3226" s="290"/>
      <c r="H3226" s="438"/>
      <c r="I3226" s="439"/>
      <c r="J3226" s="440"/>
      <c r="K3226" s="307"/>
      <c r="L3226" s="307"/>
      <c r="M3226" s="307"/>
      <c r="N3226" s="438"/>
      <c r="O3226" s="438"/>
      <c r="P3226" s="438"/>
    </row>
    <row r="3227" spans="1:16" ht="15.75" customHeight="1">
      <c r="A3227" s="441"/>
      <c r="B3227" s="442"/>
      <c r="C3227" s="317"/>
      <c r="G3227" s="290"/>
      <c r="H3227" s="438"/>
      <c r="I3227" s="439"/>
      <c r="J3227" s="440"/>
      <c r="K3227" s="307"/>
      <c r="L3227" s="307"/>
      <c r="M3227" s="307"/>
      <c r="N3227" s="438"/>
      <c r="O3227" s="438"/>
      <c r="P3227" s="438"/>
    </row>
    <row r="3228" spans="1:16" ht="15.75" customHeight="1">
      <c r="A3228" s="441"/>
      <c r="B3228" s="442"/>
      <c r="C3228" s="317"/>
      <c r="G3228" s="290"/>
      <c r="H3228" s="438"/>
      <c r="I3228" s="439"/>
      <c r="J3228" s="440"/>
      <c r="K3228" s="307"/>
      <c r="L3228" s="307"/>
      <c r="M3228" s="307"/>
      <c r="N3228" s="438"/>
      <c r="O3228" s="438"/>
      <c r="P3228" s="438"/>
    </row>
    <row r="3229" spans="1:16" ht="15.75" customHeight="1">
      <c r="A3229" s="441"/>
      <c r="B3229" s="442"/>
      <c r="C3229" s="317"/>
      <c r="G3229" s="290"/>
      <c r="H3229" s="438"/>
      <c r="I3229" s="439"/>
      <c r="J3229" s="440"/>
      <c r="K3229" s="307"/>
      <c r="L3229" s="307"/>
      <c r="M3229" s="307"/>
      <c r="N3229" s="438"/>
      <c r="O3229" s="438"/>
      <c r="P3229" s="438"/>
    </row>
    <row r="3230" spans="1:16" ht="15.75" customHeight="1">
      <c r="A3230" s="441"/>
      <c r="B3230" s="442"/>
      <c r="C3230" s="317"/>
      <c r="G3230" s="290"/>
      <c r="H3230" s="438"/>
      <c r="I3230" s="439"/>
      <c r="J3230" s="440"/>
      <c r="K3230" s="307"/>
      <c r="L3230" s="307"/>
      <c r="M3230" s="307"/>
      <c r="N3230" s="438"/>
      <c r="O3230" s="438"/>
      <c r="P3230" s="438"/>
    </row>
    <row r="3231" spans="1:16" ht="15.75" customHeight="1">
      <c r="A3231" s="441"/>
      <c r="B3231" s="442"/>
      <c r="C3231" s="317"/>
      <c r="G3231" s="290"/>
      <c r="H3231" s="438"/>
      <c r="I3231" s="439"/>
      <c r="J3231" s="440"/>
      <c r="K3231" s="307"/>
      <c r="L3231" s="307"/>
      <c r="M3231" s="307"/>
      <c r="N3231" s="438"/>
      <c r="O3231" s="438"/>
      <c r="P3231" s="438"/>
    </row>
    <row r="3232" spans="1:16" ht="15.75" customHeight="1">
      <c r="A3232" s="441"/>
      <c r="B3232" s="442"/>
      <c r="C3232" s="317"/>
      <c r="G3232" s="290"/>
      <c r="H3232" s="438"/>
      <c r="I3232" s="439"/>
      <c r="J3232" s="440"/>
      <c r="K3232" s="307"/>
      <c r="L3232" s="307"/>
      <c r="M3232" s="307"/>
      <c r="N3232" s="438"/>
      <c r="O3232" s="438"/>
      <c r="P3232" s="438"/>
    </row>
    <row r="3233" spans="1:16" ht="15.75" customHeight="1">
      <c r="A3233" s="441"/>
      <c r="B3233" s="442"/>
      <c r="C3233" s="317"/>
      <c r="G3233" s="290"/>
      <c r="H3233" s="438"/>
      <c r="I3233" s="439"/>
      <c r="J3233" s="440"/>
      <c r="K3233" s="307"/>
      <c r="L3233" s="307"/>
      <c r="M3233" s="307"/>
      <c r="N3233" s="438"/>
      <c r="O3233" s="438"/>
      <c r="P3233" s="438"/>
    </row>
    <row r="3234" spans="1:16" ht="15.75" customHeight="1">
      <c r="A3234" s="441"/>
      <c r="B3234" s="442"/>
      <c r="C3234" s="317"/>
      <c r="G3234" s="290"/>
      <c r="H3234" s="438"/>
      <c r="I3234" s="439"/>
      <c r="J3234" s="440"/>
      <c r="K3234" s="307"/>
      <c r="L3234" s="307"/>
      <c r="M3234" s="307"/>
      <c r="N3234" s="438"/>
      <c r="O3234" s="438"/>
      <c r="P3234" s="438"/>
    </row>
    <row r="3235" spans="1:16" ht="15.75" customHeight="1">
      <c r="A3235" s="441"/>
      <c r="B3235" s="442"/>
      <c r="C3235" s="317"/>
      <c r="G3235" s="290"/>
      <c r="H3235" s="438"/>
      <c r="I3235" s="439"/>
      <c r="J3235" s="440"/>
      <c r="K3235" s="307"/>
      <c r="L3235" s="307"/>
      <c r="M3235" s="307"/>
      <c r="N3235" s="438"/>
      <c r="O3235" s="438"/>
      <c r="P3235" s="438"/>
    </row>
    <row r="3236" spans="1:16" ht="15.75" customHeight="1">
      <c r="A3236" s="441"/>
      <c r="B3236" s="442"/>
      <c r="C3236" s="317"/>
      <c r="G3236" s="290"/>
      <c r="H3236" s="438"/>
      <c r="I3236" s="439"/>
      <c r="J3236" s="440"/>
      <c r="K3236" s="307"/>
      <c r="L3236" s="307"/>
      <c r="M3236" s="307"/>
      <c r="N3236" s="438"/>
      <c r="O3236" s="438"/>
      <c r="P3236" s="438"/>
    </row>
    <row r="3237" spans="1:16" ht="15.75" customHeight="1">
      <c r="A3237" s="441"/>
      <c r="B3237" s="442"/>
      <c r="C3237" s="317"/>
      <c r="G3237" s="290"/>
      <c r="H3237" s="438"/>
      <c r="I3237" s="439"/>
      <c r="J3237" s="440"/>
      <c r="K3237" s="307"/>
      <c r="L3237" s="307"/>
      <c r="M3237" s="307"/>
      <c r="N3237" s="438"/>
      <c r="O3237" s="438"/>
      <c r="P3237" s="438"/>
    </row>
    <row r="3238" spans="1:16" ht="15.75" customHeight="1">
      <c r="A3238" s="441"/>
      <c r="B3238" s="442"/>
      <c r="C3238" s="317"/>
      <c r="G3238" s="290"/>
      <c r="H3238" s="438"/>
      <c r="I3238" s="439"/>
      <c r="J3238" s="440"/>
      <c r="K3238" s="307"/>
      <c r="L3238" s="307"/>
      <c r="M3238" s="307"/>
      <c r="N3238" s="438"/>
      <c r="O3238" s="438"/>
      <c r="P3238" s="438"/>
    </row>
    <row r="3239" spans="1:16" ht="15.75" customHeight="1">
      <c r="A3239" s="441"/>
      <c r="B3239" s="442"/>
      <c r="C3239" s="317"/>
      <c r="G3239" s="290"/>
      <c r="H3239" s="438"/>
      <c r="I3239" s="439"/>
      <c r="J3239" s="440"/>
      <c r="K3239" s="307"/>
      <c r="L3239" s="307"/>
      <c r="M3239" s="307"/>
      <c r="N3239" s="438"/>
      <c r="O3239" s="438"/>
      <c r="P3239" s="438"/>
    </row>
    <row r="3240" spans="1:16" ht="15.75" customHeight="1">
      <c r="A3240" s="441"/>
      <c r="B3240" s="442"/>
      <c r="C3240" s="317"/>
      <c r="G3240" s="290"/>
      <c r="H3240" s="438"/>
      <c r="I3240" s="439"/>
      <c r="J3240" s="440"/>
      <c r="K3240" s="307"/>
      <c r="L3240" s="307"/>
      <c r="M3240" s="307"/>
      <c r="N3240" s="438"/>
      <c r="O3240" s="438"/>
      <c r="P3240" s="438"/>
    </row>
    <row r="3241" spans="1:16" ht="15.75" customHeight="1">
      <c r="A3241" s="441"/>
      <c r="B3241" s="442"/>
      <c r="C3241" s="317"/>
      <c r="G3241" s="290"/>
      <c r="H3241" s="438"/>
      <c r="I3241" s="439"/>
      <c r="J3241" s="440"/>
      <c r="K3241" s="307"/>
      <c r="L3241" s="307"/>
      <c r="M3241" s="307"/>
      <c r="N3241" s="438"/>
      <c r="O3241" s="438"/>
      <c r="P3241" s="438"/>
    </row>
    <row r="3242" spans="1:16" ht="15.75" customHeight="1">
      <c r="A3242" s="441"/>
      <c r="B3242" s="442"/>
      <c r="C3242" s="317"/>
      <c r="G3242" s="290"/>
      <c r="H3242" s="438"/>
      <c r="I3242" s="439"/>
      <c r="J3242" s="440"/>
      <c r="K3242" s="307"/>
      <c r="L3242" s="307"/>
      <c r="M3242" s="307"/>
      <c r="N3242" s="438"/>
      <c r="O3242" s="438"/>
      <c r="P3242" s="438"/>
    </row>
    <row r="3243" spans="1:16" ht="15.75" customHeight="1">
      <c r="A3243" s="441"/>
      <c r="B3243" s="442"/>
      <c r="C3243" s="317"/>
      <c r="G3243" s="290"/>
      <c r="H3243" s="438"/>
      <c r="I3243" s="439"/>
      <c r="J3243" s="440"/>
      <c r="K3243" s="307"/>
      <c r="L3243" s="307"/>
      <c r="M3243" s="307"/>
      <c r="N3243" s="438"/>
      <c r="O3243" s="438"/>
      <c r="P3243" s="438"/>
    </row>
    <row r="3244" spans="1:16" ht="15.75" customHeight="1">
      <c r="A3244" s="441"/>
      <c r="B3244" s="442"/>
      <c r="C3244" s="317"/>
      <c r="G3244" s="290"/>
      <c r="H3244" s="438"/>
      <c r="I3244" s="439"/>
      <c r="J3244" s="440"/>
      <c r="K3244" s="307"/>
      <c r="L3244" s="307"/>
      <c r="M3244" s="307"/>
      <c r="N3244" s="438"/>
      <c r="O3244" s="438"/>
      <c r="P3244" s="438"/>
    </row>
    <row r="3245" spans="1:16" ht="15.75" customHeight="1">
      <c r="A3245" s="441"/>
      <c r="B3245" s="442"/>
      <c r="C3245" s="317"/>
      <c r="G3245" s="290"/>
      <c r="H3245" s="438"/>
      <c r="I3245" s="439"/>
      <c r="J3245" s="440"/>
      <c r="K3245" s="307"/>
      <c r="L3245" s="307"/>
      <c r="M3245" s="307"/>
      <c r="N3245" s="438"/>
      <c r="O3245" s="438"/>
      <c r="P3245" s="438"/>
    </row>
    <row r="3246" spans="1:16" ht="15.75" customHeight="1">
      <c r="A3246" s="441"/>
      <c r="B3246" s="442"/>
      <c r="C3246" s="317"/>
      <c r="G3246" s="290"/>
      <c r="H3246" s="438"/>
      <c r="I3246" s="439"/>
      <c r="J3246" s="440"/>
      <c r="K3246" s="307"/>
      <c r="L3246" s="307"/>
      <c r="M3246" s="307"/>
      <c r="N3246" s="438"/>
      <c r="O3246" s="438"/>
      <c r="P3246" s="438"/>
    </row>
    <row r="3247" spans="1:16" ht="15.75" customHeight="1">
      <c r="A3247" s="441"/>
      <c r="B3247" s="442"/>
      <c r="C3247" s="317"/>
      <c r="G3247" s="290"/>
      <c r="H3247" s="438"/>
      <c r="I3247" s="439"/>
      <c r="J3247" s="440"/>
      <c r="K3247" s="307"/>
      <c r="L3247" s="307"/>
      <c r="M3247" s="307"/>
      <c r="N3247" s="438"/>
      <c r="O3247" s="438"/>
      <c r="P3247" s="438"/>
    </row>
    <row r="3248" spans="1:16" ht="15.75" customHeight="1">
      <c r="A3248" s="441"/>
      <c r="B3248" s="442"/>
      <c r="C3248" s="317"/>
      <c r="G3248" s="290"/>
      <c r="H3248" s="438"/>
      <c r="I3248" s="439"/>
      <c r="J3248" s="440"/>
      <c r="K3248" s="307"/>
      <c r="L3248" s="307"/>
      <c r="M3248" s="307"/>
      <c r="N3248" s="438"/>
      <c r="O3248" s="438"/>
      <c r="P3248" s="438"/>
    </row>
    <row r="3249" spans="1:16" ht="15.75" customHeight="1">
      <c r="A3249" s="441"/>
      <c r="B3249" s="442"/>
      <c r="C3249" s="317"/>
      <c r="G3249" s="290"/>
      <c r="H3249" s="438"/>
      <c r="I3249" s="439"/>
      <c r="J3249" s="440"/>
      <c r="K3249" s="307"/>
      <c r="L3249" s="307"/>
      <c r="M3249" s="307"/>
      <c r="N3249" s="438"/>
      <c r="O3249" s="438"/>
      <c r="P3249" s="438"/>
    </row>
    <row r="3250" spans="1:16" ht="15.75" customHeight="1">
      <c r="A3250" s="441"/>
      <c r="B3250" s="442"/>
      <c r="C3250" s="317"/>
      <c r="G3250" s="290"/>
      <c r="H3250" s="438"/>
      <c r="I3250" s="439"/>
      <c r="J3250" s="440"/>
      <c r="K3250" s="307"/>
      <c r="L3250" s="307"/>
      <c r="M3250" s="307"/>
      <c r="N3250" s="438"/>
      <c r="O3250" s="438"/>
      <c r="P3250" s="438"/>
    </row>
    <row r="3251" spans="1:16" ht="15.75" customHeight="1">
      <c r="A3251" s="441"/>
      <c r="B3251" s="442"/>
      <c r="C3251" s="317"/>
      <c r="G3251" s="290"/>
      <c r="H3251" s="438"/>
      <c r="I3251" s="439"/>
      <c r="J3251" s="440"/>
      <c r="K3251" s="307"/>
      <c r="L3251" s="307"/>
      <c r="M3251" s="307"/>
      <c r="N3251" s="438"/>
      <c r="O3251" s="438"/>
      <c r="P3251" s="438"/>
    </row>
    <row r="3252" spans="1:16" ht="15.75" customHeight="1">
      <c r="A3252" s="441"/>
      <c r="B3252" s="442"/>
      <c r="C3252" s="317"/>
      <c r="G3252" s="290"/>
      <c r="H3252" s="438"/>
      <c r="I3252" s="439"/>
      <c r="J3252" s="440"/>
      <c r="K3252" s="307"/>
      <c r="L3252" s="307"/>
      <c r="M3252" s="307"/>
      <c r="N3252" s="438"/>
      <c r="O3252" s="438"/>
      <c r="P3252" s="438"/>
    </row>
    <row r="3253" spans="1:16" ht="15.75" customHeight="1">
      <c r="A3253" s="441"/>
      <c r="B3253" s="442"/>
      <c r="C3253" s="317"/>
      <c r="G3253" s="290"/>
      <c r="H3253" s="438"/>
      <c r="I3253" s="439"/>
      <c r="J3253" s="440"/>
      <c r="K3253" s="307"/>
      <c r="L3253" s="307"/>
      <c r="M3253" s="307"/>
      <c r="N3253" s="438"/>
      <c r="O3253" s="438"/>
      <c r="P3253" s="438"/>
    </row>
    <row r="3254" spans="1:16" ht="15.75" customHeight="1">
      <c r="A3254" s="441"/>
      <c r="B3254" s="442"/>
      <c r="C3254" s="317"/>
      <c r="G3254" s="290"/>
      <c r="H3254" s="438"/>
      <c r="I3254" s="439"/>
      <c r="J3254" s="440"/>
      <c r="K3254" s="307"/>
      <c r="L3254" s="307"/>
      <c r="M3254" s="307"/>
      <c r="N3254" s="438"/>
      <c r="O3254" s="438"/>
      <c r="P3254" s="438"/>
    </row>
    <row r="3255" spans="1:16" ht="15.75" customHeight="1">
      <c r="A3255" s="441"/>
      <c r="B3255" s="442"/>
      <c r="C3255" s="317"/>
      <c r="G3255" s="290"/>
      <c r="H3255" s="438"/>
      <c r="I3255" s="439"/>
      <c r="J3255" s="440"/>
      <c r="K3255" s="307"/>
      <c r="L3255" s="307"/>
      <c r="M3255" s="307"/>
      <c r="N3255" s="438"/>
      <c r="O3255" s="438"/>
      <c r="P3255" s="438"/>
    </row>
    <row r="3256" spans="1:16" ht="15.75" customHeight="1">
      <c r="A3256" s="441"/>
      <c r="B3256" s="442"/>
      <c r="C3256" s="317"/>
      <c r="G3256" s="290"/>
      <c r="H3256" s="438"/>
      <c r="I3256" s="439"/>
      <c r="J3256" s="440"/>
      <c r="K3256" s="307"/>
      <c r="L3256" s="307"/>
      <c r="M3256" s="307"/>
      <c r="N3256" s="438"/>
      <c r="O3256" s="438"/>
      <c r="P3256" s="438"/>
    </row>
    <row r="3257" spans="1:16" ht="15.75" customHeight="1">
      <c r="A3257" s="441"/>
      <c r="B3257" s="442"/>
      <c r="C3257" s="317"/>
      <c r="G3257" s="290"/>
      <c r="H3257" s="438"/>
      <c r="I3257" s="439"/>
      <c r="J3257" s="440"/>
      <c r="K3257" s="307"/>
      <c r="L3257" s="307"/>
      <c r="M3257" s="307"/>
      <c r="N3257" s="438"/>
      <c r="O3257" s="438"/>
      <c r="P3257" s="438"/>
    </row>
    <row r="3258" spans="1:16" ht="15.75" customHeight="1">
      <c r="A3258" s="441"/>
      <c r="B3258" s="442"/>
      <c r="C3258" s="317"/>
      <c r="G3258" s="290"/>
      <c r="H3258" s="438"/>
      <c r="I3258" s="439"/>
      <c r="J3258" s="440"/>
      <c r="K3258" s="307"/>
      <c r="L3258" s="307"/>
      <c r="M3258" s="307"/>
      <c r="N3258" s="438"/>
      <c r="O3258" s="438"/>
      <c r="P3258" s="438"/>
    </row>
    <row r="3259" spans="1:16" ht="15.75" customHeight="1">
      <c r="A3259" s="441"/>
      <c r="B3259" s="442"/>
      <c r="C3259" s="317"/>
      <c r="G3259" s="290"/>
      <c r="H3259" s="438"/>
      <c r="I3259" s="439"/>
      <c r="J3259" s="440"/>
      <c r="K3259" s="307"/>
      <c r="L3259" s="307"/>
      <c r="M3259" s="307"/>
      <c r="N3259" s="438"/>
      <c r="O3259" s="438"/>
      <c r="P3259" s="438"/>
    </row>
    <row r="3260" spans="1:16" ht="15.75" customHeight="1">
      <c r="A3260" s="441"/>
      <c r="B3260" s="442"/>
      <c r="C3260" s="317"/>
      <c r="G3260" s="290"/>
      <c r="H3260" s="438"/>
      <c r="I3260" s="439"/>
      <c r="J3260" s="440"/>
      <c r="K3260" s="307"/>
      <c r="L3260" s="307"/>
      <c r="M3260" s="307"/>
      <c r="N3260" s="438"/>
      <c r="O3260" s="438"/>
      <c r="P3260" s="438"/>
    </row>
    <row r="3261" spans="1:16" ht="15.75" customHeight="1">
      <c r="A3261" s="441"/>
      <c r="B3261" s="442"/>
      <c r="C3261" s="317"/>
      <c r="G3261" s="290"/>
      <c r="H3261" s="438"/>
      <c r="I3261" s="439"/>
      <c r="J3261" s="440"/>
      <c r="K3261" s="307"/>
      <c r="L3261" s="307"/>
      <c r="M3261" s="307"/>
      <c r="N3261" s="438"/>
      <c r="O3261" s="438"/>
      <c r="P3261" s="438"/>
    </row>
    <row r="3262" spans="1:16" ht="15.75" customHeight="1">
      <c r="A3262" s="441"/>
      <c r="B3262" s="442"/>
      <c r="C3262" s="317"/>
      <c r="G3262" s="290"/>
      <c r="H3262" s="438"/>
      <c r="I3262" s="439"/>
      <c r="J3262" s="440"/>
      <c r="K3262" s="307"/>
      <c r="L3262" s="307"/>
      <c r="M3262" s="307"/>
      <c r="N3262" s="438"/>
      <c r="O3262" s="438"/>
      <c r="P3262" s="438"/>
    </row>
    <row r="3263" spans="1:16" ht="15.75" customHeight="1">
      <c r="A3263" s="441"/>
      <c r="B3263" s="442"/>
      <c r="C3263" s="317"/>
      <c r="G3263" s="290"/>
      <c r="H3263" s="438"/>
      <c r="I3263" s="439"/>
      <c r="J3263" s="440"/>
      <c r="K3263" s="307"/>
      <c r="L3263" s="307"/>
      <c r="M3263" s="307"/>
      <c r="N3263" s="438"/>
      <c r="O3263" s="438"/>
      <c r="P3263" s="438"/>
    </row>
    <row r="3264" spans="1:16" ht="15.75" customHeight="1">
      <c r="A3264" s="441"/>
      <c r="B3264" s="442"/>
      <c r="C3264" s="317"/>
      <c r="G3264" s="290"/>
      <c r="H3264" s="438"/>
      <c r="I3264" s="439"/>
      <c r="J3264" s="440"/>
      <c r="K3264" s="307"/>
      <c r="L3264" s="307"/>
      <c r="M3264" s="307"/>
      <c r="N3264" s="438"/>
      <c r="O3264" s="438"/>
      <c r="P3264" s="438"/>
    </row>
    <row r="3265" spans="1:16" ht="15.75" customHeight="1">
      <c r="A3265" s="441"/>
      <c r="B3265" s="442"/>
      <c r="C3265" s="317"/>
      <c r="G3265" s="290"/>
      <c r="H3265" s="438"/>
      <c r="I3265" s="439"/>
      <c r="J3265" s="440"/>
      <c r="K3265" s="307"/>
      <c r="L3265" s="307"/>
      <c r="M3265" s="307"/>
      <c r="N3265" s="438"/>
      <c r="O3265" s="438"/>
      <c r="P3265" s="438"/>
    </row>
    <row r="3266" spans="1:16" ht="15.75" customHeight="1">
      <c r="A3266" s="441"/>
      <c r="B3266" s="442"/>
      <c r="C3266" s="317"/>
      <c r="G3266" s="290"/>
      <c r="H3266" s="438"/>
      <c r="I3266" s="439"/>
      <c r="J3266" s="440"/>
      <c r="K3266" s="307"/>
      <c r="L3266" s="307"/>
      <c r="M3266" s="307"/>
      <c r="N3266" s="438"/>
      <c r="O3266" s="438"/>
      <c r="P3266" s="438"/>
    </row>
    <row r="3267" spans="1:16" ht="15.75" customHeight="1">
      <c r="A3267" s="441"/>
      <c r="B3267" s="442"/>
      <c r="C3267" s="317"/>
      <c r="G3267" s="290"/>
      <c r="H3267" s="438"/>
      <c r="I3267" s="439"/>
      <c r="J3267" s="440"/>
      <c r="K3267" s="307"/>
      <c r="L3267" s="307"/>
      <c r="M3267" s="307"/>
      <c r="N3267" s="438"/>
      <c r="O3267" s="438"/>
      <c r="P3267" s="438"/>
    </row>
    <row r="3268" spans="1:16" ht="15.75" customHeight="1">
      <c r="A3268" s="441"/>
      <c r="B3268" s="442"/>
      <c r="C3268" s="317"/>
      <c r="G3268" s="290"/>
      <c r="H3268" s="438"/>
      <c r="I3268" s="439"/>
      <c r="J3268" s="440"/>
      <c r="K3268" s="307"/>
      <c r="L3268" s="307"/>
      <c r="M3268" s="307"/>
      <c r="N3268" s="438"/>
      <c r="O3268" s="438"/>
      <c r="P3268" s="438"/>
    </row>
    <row r="3269" spans="1:16" ht="15.75" customHeight="1">
      <c r="A3269" s="441"/>
      <c r="B3269" s="442"/>
      <c r="C3269" s="317"/>
      <c r="G3269" s="290"/>
      <c r="H3269" s="438"/>
      <c r="I3269" s="439"/>
      <c r="J3269" s="440"/>
      <c r="K3269" s="307"/>
      <c r="L3269" s="307"/>
      <c r="M3269" s="307"/>
      <c r="N3269" s="438"/>
      <c r="O3269" s="438"/>
      <c r="P3269" s="438"/>
    </row>
    <row r="3270" spans="1:16" ht="15.75" customHeight="1">
      <c r="A3270" s="441"/>
      <c r="B3270" s="442"/>
      <c r="C3270" s="317"/>
      <c r="G3270" s="290"/>
      <c r="H3270" s="438"/>
      <c r="I3270" s="439"/>
      <c r="J3270" s="440"/>
      <c r="K3270" s="307"/>
      <c r="L3270" s="307"/>
      <c r="M3270" s="307"/>
      <c r="N3270" s="438"/>
      <c r="O3270" s="438"/>
      <c r="P3270" s="438"/>
    </row>
    <row r="3271" spans="1:16" ht="15.75" customHeight="1">
      <c r="A3271" s="441"/>
      <c r="B3271" s="442"/>
      <c r="C3271" s="317"/>
      <c r="G3271" s="290"/>
      <c r="H3271" s="438"/>
      <c r="I3271" s="439"/>
      <c r="J3271" s="440"/>
      <c r="K3271" s="307"/>
      <c r="L3271" s="307"/>
      <c r="M3271" s="307"/>
      <c r="N3271" s="438"/>
      <c r="O3271" s="438"/>
      <c r="P3271" s="438"/>
    </row>
    <row r="3272" spans="1:16" ht="15.75" customHeight="1">
      <c r="A3272" s="441"/>
      <c r="B3272" s="442"/>
      <c r="C3272" s="317"/>
      <c r="G3272" s="290"/>
      <c r="H3272" s="438"/>
      <c r="I3272" s="439"/>
      <c r="J3272" s="440"/>
      <c r="K3272" s="307"/>
      <c r="L3272" s="307"/>
      <c r="M3272" s="307"/>
      <c r="N3272" s="438"/>
      <c r="O3272" s="438"/>
      <c r="P3272" s="438"/>
    </row>
    <row r="3273" spans="1:16" ht="15.75" customHeight="1">
      <c r="A3273" s="441"/>
      <c r="B3273" s="442"/>
      <c r="C3273" s="317"/>
      <c r="G3273" s="290"/>
      <c r="H3273" s="438"/>
      <c r="I3273" s="439"/>
      <c r="J3273" s="440"/>
      <c r="K3273" s="307"/>
      <c r="L3273" s="307"/>
      <c r="M3273" s="307"/>
      <c r="N3273" s="438"/>
      <c r="O3273" s="438"/>
      <c r="P3273" s="438"/>
    </row>
    <row r="3274" spans="1:16" ht="15.75" customHeight="1">
      <c r="A3274" s="441"/>
      <c r="B3274" s="442"/>
      <c r="C3274" s="317"/>
      <c r="G3274" s="290"/>
      <c r="H3274" s="438"/>
      <c r="I3274" s="439"/>
      <c r="J3274" s="440"/>
      <c r="K3274" s="307"/>
      <c r="L3274" s="307"/>
      <c r="M3274" s="307"/>
      <c r="N3274" s="438"/>
      <c r="O3274" s="438"/>
      <c r="P3274" s="438"/>
    </row>
    <row r="3275" spans="1:16" ht="15.75" customHeight="1">
      <c r="A3275" s="441"/>
      <c r="B3275" s="442"/>
      <c r="C3275" s="317"/>
      <c r="G3275" s="290"/>
      <c r="H3275" s="438"/>
      <c r="I3275" s="439"/>
      <c r="J3275" s="440"/>
      <c r="K3275" s="307"/>
      <c r="L3275" s="307"/>
      <c r="M3275" s="307"/>
      <c r="N3275" s="438"/>
      <c r="O3275" s="438"/>
      <c r="P3275" s="438"/>
    </row>
    <row r="3276" spans="1:16" ht="15.75" customHeight="1">
      <c r="A3276" s="441"/>
      <c r="B3276" s="442"/>
      <c r="C3276" s="317"/>
      <c r="G3276" s="290"/>
      <c r="H3276" s="438"/>
      <c r="I3276" s="439"/>
      <c r="J3276" s="440"/>
      <c r="K3276" s="307"/>
      <c r="L3276" s="307"/>
      <c r="M3276" s="307"/>
      <c r="N3276" s="438"/>
      <c r="O3276" s="438"/>
      <c r="P3276" s="438"/>
    </row>
    <row r="3277" spans="1:16" ht="15.75" customHeight="1">
      <c r="A3277" s="441"/>
      <c r="B3277" s="442"/>
      <c r="C3277" s="317"/>
      <c r="G3277" s="290"/>
      <c r="H3277" s="438"/>
      <c r="I3277" s="439"/>
      <c r="J3277" s="440"/>
      <c r="K3277" s="307"/>
      <c r="L3277" s="307"/>
      <c r="M3277" s="307"/>
      <c r="N3277" s="438"/>
      <c r="O3277" s="438"/>
      <c r="P3277" s="438"/>
    </row>
    <row r="3278" spans="1:16" ht="15.75" customHeight="1">
      <c r="A3278" s="441"/>
      <c r="B3278" s="442"/>
      <c r="C3278" s="317"/>
      <c r="G3278" s="290"/>
      <c r="H3278" s="438"/>
      <c r="I3278" s="439"/>
      <c r="J3278" s="440"/>
      <c r="K3278" s="307"/>
      <c r="L3278" s="307"/>
      <c r="M3278" s="307"/>
      <c r="N3278" s="438"/>
      <c r="O3278" s="438"/>
      <c r="P3278" s="438"/>
    </row>
    <row r="3279" spans="1:16" ht="15.75" customHeight="1">
      <c r="A3279" s="441"/>
      <c r="B3279" s="442"/>
      <c r="C3279" s="317"/>
      <c r="G3279" s="290"/>
      <c r="H3279" s="438"/>
      <c r="I3279" s="439"/>
      <c r="J3279" s="440"/>
      <c r="K3279" s="307"/>
      <c r="L3279" s="307"/>
      <c r="M3279" s="307"/>
      <c r="N3279" s="438"/>
      <c r="O3279" s="438"/>
      <c r="P3279" s="438"/>
    </row>
    <row r="3280" spans="1:16" ht="15.75" customHeight="1">
      <c r="A3280" s="441"/>
      <c r="B3280" s="442"/>
      <c r="C3280" s="317"/>
      <c r="G3280" s="290"/>
      <c r="H3280" s="438"/>
      <c r="I3280" s="439"/>
      <c r="J3280" s="440"/>
      <c r="K3280" s="307"/>
      <c r="L3280" s="307"/>
      <c r="M3280" s="307"/>
      <c r="N3280" s="438"/>
      <c r="O3280" s="438"/>
      <c r="P3280" s="438"/>
    </row>
    <row r="3281" spans="1:16" ht="15.75" customHeight="1">
      <c r="A3281" s="441"/>
      <c r="B3281" s="442"/>
      <c r="C3281" s="317"/>
      <c r="G3281" s="290"/>
      <c r="H3281" s="438"/>
      <c r="I3281" s="439"/>
      <c r="J3281" s="440"/>
      <c r="K3281" s="307"/>
      <c r="L3281" s="307"/>
      <c r="M3281" s="307"/>
      <c r="N3281" s="438"/>
      <c r="O3281" s="438"/>
      <c r="P3281" s="438"/>
    </row>
    <row r="3282" spans="1:16" ht="15.75" customHeight="1">
      <c r="A3282" s="441"/>
      <c r="B3282" s="442"/>
      <c r="C3282" s="317"/>
      <c r="G3282" s="290"/>
      <c r="H3282" s="438"/>
      <c r="I3282" s="439"/>
      <c r="J3282" s="440"/>
      <c r="K3282" s="307"/>
      <c r="L3282" s="307"/>
      <c r="M3282" s="307"/>
      <c r="N3282" s="438"/>
      <c r="O3282" s="438"/>
      <c r="P3282" s="438"/>
    </row>
    <row r="3283" spans="1:16" ht="15.75" customHeight="1">
      <c r="A3283" s="441"/>
      <c r="B3283" s="442"/>
      <c r="C3283" s="317"/>
      <c r="G3283" s="290"/>
      <c r="H3283" s="438"/>
      <c r="I3283" s="439"/>
      <c r="J3283" s="440"/>
      <c r="K3283" s="307"/>
      <c r="L3283" s="307"/>
      <c r="M3283" s="307"/>
      <c r="N3283" s="438"/>
      <c r="O3283" s="438"/>
      <c r="P3283" s="438"/>
    </row>
    <row r="3284" spans="1:16" ht="15.75" customHeight="1">
      <c r="A3284" s="441"/>
      <c r="B3284" s="442"/>
      <c r="C3284" s="317"/>
      <c r="G3284" s="290"/>
      <c r="H3284" s="438"/>
      <c r="I3284" s="439"/>
      <c r="J3284" s="440"/>
      <c r="K3284" s="307"/>
      <c r="L3284" s="307"/>
      <c r="M3284" s="307"/>
      <c r="N3284" s="438"/>
      <c r="O3284" s="438"/>
      <c r="P3284" s="438"/>
    </row>
    <row r="3285" spans="1:16" ht="15.75" customHeight="1">
      <c r="A3285" s="441"/>
      <c r="B3285" s="442"/>
      <c r="C3285" s="317"/>
      <c r="G3285" s="290"/>
      <c r="H3285" s="438"/>
      <c r="I3285" s="439"/>
      <c r="J3285" s="440"/>
      <c r="K3285" s="307"/>
      <c r="L3285" s="307"/>
      <c r="M3285" s="307"/>
      <c r="N3285" s="438"/>
      <c r="O3285" s="438"/>
      <c r="P3285" s="438"/>
    </row>
    <row r="3286" spans="1:16" ht="15.75" customHeight="1">
      <c r="A3286" s="441"/>
      <c r="B3286" s="442"/>
      <c r="C3286" s="317"/>
      <c r="G3286" s="290"/>
      <c r="H3286" s="438"/>
      <c r="I3286" s="439"/>
      <c r="J3286" s="440"/>
      <c r="K3286" s="307"/>
      <c r="L3286" s="307"/>
      <c r="M3286" s="307"/>
      <c r="N3286" s="438"/>
      <c r="O3286" s="438"/>
      <c r="P3286" s="438"/>
    </row>
    <row r="3287" spans="1:16" ht="15.75" customHeight="1">
      <c r="A3287" s="441"/>
      <c r="B3287" s="442"/>
      <c r="C3287" s="317"/>
      <c r="G3287" s="290"/>
      <c r="H3287" s="438"/>
      <c r="I3287" s="439"/>
      <c r="J3287" s="440"/>
      <c r="K3287" s="307"/>
      <c r="L3287" s="307"/>
      <c r="M3287" s="307"/>
      <c r="N3287" s="438"/>
      <c r="O3287" s="438"/>
      <c r="P3287" s="438"/>
    </row>
    <row r="3288" spans="1:16" ht="15.75" customHeight="1">
      <c r="A3288" s="441"/>
      <c r="B3288" s="442"/>
      <c r="C3288" s="317"/>
      <c r="G3288" s="290"/>
      <c r="H3288" s="438"/>
      <c r="I3288" s="439"/>
      <c r="J3288" s="440"/>
      <c r="K3288" s="307"/>
      <c r="L3288" s="307"/>
      <c r="M3288" s="307"/>
      <c r="N3288" s="438"/>
      <c r="O3288" s="438"/>
      <c r="P3288" s="438"/>
    </row>
    <row r="3289" spans="1:16" ht="15.75" customHeight="1">
      <c r="A3289" s="441"/>
      <c r="B3289" s="442"/>
      <c r="C3289" s="317"/>
      <c r="G3289" s="290"/>
      <c r="H3289" s="438"/>
      <c r="I3289" s="439"/>
      <c r="J3289" s="440"/>
      <c r="K3289" s="307"/>
      <c r="L3289" s="307"/>
      <c r="M3289" s="307"/>
      <c r="N3289" s="438"/>
      <c r="O3289" s="438"/>
      <c r="P3289" s="438"/>
    </row>
    <row r="3290" spans="1:16" ht="15.75" customHeight="1">
      <c r="A3290" s="441"/>
      <c r="B3290" s="442"/>
      <c r="C3290" s="317"/>
      <c r="G3290" s="290"/>
      <c r="H3290" s="438"/>
      <c r="I3290" s="439"/>
      <c r="J3290" s="440"/>
      <c r="K3290" s="307"/>
      <c r="L3290" s="307"/>
      <c r="M3290" s="307"/>
      <c r="N3290" s="438"/>
      <c r="O3290" s="438"/>
      <c r="P3290" s="438"/>
    </row>
    <row r="3291" spans="1:16" ht="15.75" customHeight="1">
      <c r="A3291" s="441"/>
      <c r="B3291" s="442"/>
      <c r="C3291" s="317"/>
      <c r="G3291" s="290"/>
      <c r="H3291" s="438"/>
      <c r="I3291" s="439"/>
      <c r="J3291" s="440"/>
      <c r="K3291" s="307"/>
      <c r="L3291" s="307"/>
      <c r="M3291" s="307"/>
      <c r="N3291" s="438"/>
      <c r="O3291" s="438"/>
      <c r="P3291" s="438"/>
    </row>
    <row r="3292" spans="1:16" ht="15.75" customHeight="1">
      <c r="A3292" s="441"/>
      <c r="B3292" s="442"/>
      <c r="C3292" s="317"/>
      <c r="G3292" s="290"/>
      <c r="H3292" s="438"/>
      <c r="I3292" s="439"/>
      <c r="J3292" s="440"/>
      <c r="K3292" s="307"/>
      <c r="L3292" s="307"/>
      <c r="M3292" s="307"/>
      <c r="N3292" s="438"/>
      <c r="O3292" s="438"/>
      <c r="P3292" s="438"/>
    </row>
    <row r="3293" spans="1:16" ht="15.75" customHeight="1">
      <c r="A3293" s="441"/>
      <c r="B3293" s="442"/>
      <c r="C3293" s="317"/>
      <c r="G3293" s="290"/>
      <c r="H3293" s="438"/>
      <c r="I3293" s="439"/>
      <c r="J3293" s="440"/>
      <c r="K3293" s="307"/>
      <c r="L3293" s="307"/>
      <c r="M3293" s="307"/>
      <c r="N3293" s="438"/>
      <c r="O3293" s="438"/>
      <c r="P3293" s="438"/>
    </row>
    <row r="3294" spans="1:16" ht="15.75" customHeight="1">
      <c r="A3294" s="441"/>
      <c r="B3294" s="442"/>
      <c r="C3294" s="317"/>
      <c r="G3294" s="290"/>
      <c r="H3294" s="438"/>
      <c r="I3294" s="439"/>
      <c r="J3294" s="440"/>
      <c r="K3294" s="307"/>
      <c r="L3294" s="307"/>
      <c r="M3294" s="307"/>
      <c r="N3294" s="438"/>
      <c r="O3294" s="438"/>
      <c r="P3294" s="438"/>
    </row>
    <row r="3295" spans="1:16" ht="15.75" customHeight="1">
      <c r="A3295" s="441"/>
      <c r="B3295" s="442"/>
      <c r="C3295" s="317"/>
      <c r="G3295" s="290"/>
      <c r="H3295" s="438"/>
      <c r="I3295" s="439"/>
      <c r="J3295" s="440"/>
      <c r="K3295" s="307"/>
      <c r="L3295" s="307"/>
      <c r="M3295" s="307"/>
      <c r="N3295" s="438"/>
      <c r="O3295" s="438"/>
      <c r="P3295" s="438"/>
    </row>
    <row r="3296" spans="1:16" ht="15.75" customHeight="1">
      <c r="A3296" s="441"/>
      <c r="B3296" s="442"/>
      <c r="C3296" s="317"/>
      <c r="G3296" s="290"/>
      <c r="H3296" s="438"/>
      <c r="I3296" s="439"/>
      <c r="J3296" s="440"/>
      <c r="K3296" s="307"/>
      <c r="L3296" s="307"/>
      <c r="M3296" s="307"/>
      <c r="N3296" s="438"/>
      <c r="O3296" s="438"/>
      <c r="P3296" s="438"/>
    </row>
    <row r="3297" spans="1:16" ht="15.75" customHeight="1">
      <c r="A3297" s="441"/>
      <c r="B3297" s="442"/>
      <c r="C3297" s="317"/>
      <c r="G3297" s="290"/>
      <c r="H3297" s="438"/>
      <c r="I3297" s="439"/>
      <c r="J3297" s="440"/>
      <c r="K3297" s="307"/>
      <c r="L3297" s="307"/>
      <c r="M3297" s="307"/>
      <c r="N3297" s="438"/>
      <c r="O3297" s="438"/>
      <c r="P3297" s="438"/>
    </row>
    <row r="3298" spans="1:16" ht="15.75" customHeight="1">
      <c r="A3298" s="441"/>
      <c r="B3298" s="442"/>
      <c r="C3298" s="317"/>
      <c r="G3298" s="290"/>
      <c r="H3298" s="438"/>
      <c r="I3298" s="439"/>
      <c r="J3298" s="440"/>
      <c r="K3298" s="307"/>
      <c r="L3298" s="307"/>
      <c r="M3298" s="307"/>
      <c r="N3298" s="438"/>
      <c r="O3298" s="438"/>
      <c r="P3298" s="438"/>
    </row>
    <row r="3299" spans="1:16" ht="15.75" customHeight="1">
      <c r="A3299" s="441"/>
      <c r="B3299" s="442"/>
      <c r="C3299" s="317"/>
      <c r="G3299" s="290"/>
      <c r="H3299" s="438"/>
      <c r="I3299" s="439"/>
      <c r="J3299" s="440"/>
      <c r="K3299" s="307"/>
      <c r="L3299" s="307"/>
      <c r="M3299" s="307"/>
      <c r="N3299" s="438"/>
      <c r="O3299" s="438"/>
      <c r="P3299" s="438"/>
    </row>
    <row r="3300" spans="1:16" ht="15.75" customHeight="1">
      <c r="A3300" s="441"/>
      <c r="B3300" s="442"/>
      <c r="C3300" s="317"/>
      <c r="G3300" s="290"/>
      <c r="H3300" s="438"/>
      <c r="I3300" s="439"/>
      <c r="J3300" s="440"/>
      <c r="K3300" s="307"/>
      <c r="L3300" s="307"/>
      <c r="M3300" s="307"/>
      <c r="N3300" s="438"/>
      <c r="O3300" s="438"/>
      <c r="P3300" s="438"/>
    </row>
    <row r="3301" spans="1:16" ht="15.75" customHeight="1">
      <c r="A3301" s="441"/>
      <c r="B3301" s="442"/>
      <c r="C3301" s="317"/>
      <c r="G3301" s="290"/>
      <c r="H3301" s="438"/>
      <c r="I3301" s="439"/>
      <c r="J3301" s="440"/>
      <c r="K3301" s="307"/>
      <c r="L3301" s="307"/>
      <c r="M3301" s="307"/>
      <c r="N3301" s="438"/>
      <c r="O3301" s="438"/>
      <c r="P3301" s="438"/>
    </row>
    <row r="3302" spans="1:16" ht="15.75" customHeight="1">
      <c r="A3302" s="441"/>
      <c r="B3302" s="442"/>
      <c r="C3302" s="317"/>
      <c r="G3302" s="290"/>
      <c r="H3302" s="438"/>
      <c r="I3302" s="439"/>
      <c r="J3302" s="440"/>
      <c r="K3302" s="307"/>
      <c r="L3302" s="307"/>
      <c r="M3302" s="307"/>
      <c r="N3302" s="438"/>
      <c r="O3302" s="438"/>
      <c r="P3302" s="438"/>
    </row>
    <row r="3303" spans="1:16" ht="15.75" customHeight="1">
      <c r="A3303" s="441"/>
      <c r="B3303" s="442"/>
      <c r="C3303" s="317"/>
      <c r="G3303" s="290"/>
      <c r="H3303" s="438"/>
      <c r="I3303" s="439"/>
      <c r="J3303" s="440"/>
      <c r="K3303" s="307"/>
      <c r="L3303" s="307"/>
      <c r="M3303" s="307"/>
      <c r="N3303" s="438"/>
      <c r="O3303" s="438"/>
      <c r="P3303" s="438"/>
    </row>
    <row r="3304" spans="1:16" ht="15.75" customHeight="1">
      <c r="A3304" s="441"/>
      <c r="B3304" s="442"/>
      <c r="C3304" s="317"/>
      <c r="G3304" s="290"/>
      <c r="H3304" s="438"/>
      <c r="I3304" s="439"/>
      <c r="J3304" s="440"/>
      <c r="K3304" s="307"/>
      <c r="L3304" s="307"/>
      <c r="M3304" s="307"/>
      <c r="N3304" s="438"/>
      <c r="O3304" s="438"/>
      <c r="P3304" s="438"/>
    </row>
    <row r="3305" spans="1:16" ht="15.75" customHeight="1">
      <c r="A3305" s="441"/>
      <c r="B3305" s="442"/>
      <c r="C3305" s="317"/>
      <c r="G3305" s="290"/>
      <c r="H3305" s="438"/>
      <c r="I3305" s="439"/>
      <c r="J3305" s="440"/>
      <c r="K3305" s="307"/>
      <c r="L3305" s="307"/>
      <c r="M3305" s="307"/>
      <c r="N3305" s="438"/>
      <c r="O3305" s="438"/>
      <c r="P3305" s="438"/>
    </row>
    <row r="3306" spans="1:16" ht="15.75" customHeight="1">
      <c r="A3306" s="441"/>
      <c r="B3306" s="442"/>
      <c r="C3306" s="317"/>
      <c r="G3306" s="290"/>
      <c r="H3306" s="438"/>
      <c r="I3306" s="439"/>
      <c r="J3306" s="440"/>
      <c r="K3306" s="307"/>
      <c r="L3306" s="307"/>
      <c r="M3306" s="307"/>
      <c r="N3306" s="438"/>
      <c r="O3306" s="438"/>
      <c r="P3306" s="438"/>
    </row>
    <row r="3307" spans="1:16" ht="15.75" customHeight="1">
      <c r="A3307" s="441"/>
      <c r="B3307" s="442"/>
      <c r="C3307" s="317"/>
      <c r="G3307" s="290"/>
      <c r="H3307" s="438"/>
      <c r="I3307" s="439"/>
      <c r="J3307" s="440"/>
      <c r="K3307" s="307"/>
      <c r="L3307" s="307"/>
      <c r="M3307" s="307"/>
      <c r="N3307" s="438"/>
      <c r="O3307" s="438"/>
      <c r="P3307" s="438"/>
    </row>
    <row r="3308" spans="1:16" ht="15.75" customHeight="1">
      <c r="A3308" s="441"/>
      <c r="B3308" s="442"/>
      <c r="C3308" s="317"/>
      <c r="G3308" s="290"/>
      <c r="H3308" s="438"/>
      <c r="I3308" s="439"/>
      <c r="J3308" s="440"/>
      <c r="K3308" s="307"/>
      <c r="L3308" s="307"/>
      <c r="M3308" s="307"/>
      <c r="N3308" s="438"/>
      <c r="O3308" s="438"/>
      <c r="P3308" s="438"/>
    </row>
    <row r="3309" spans="1:16" ht="15.75" customHeight="1">
      <c r="A3309" s="441"/>
      <c r="B3309" s="442"/>
      <c r="C3309" s="317"/>
      <c r="G3309" s="290"/>
      <c r="H3309" s="438"/>
      <c r="I3309" s="439"/>
      <c r="J3309" s="440"/>
      <c r="K3309" s="307"/>
      <c r="L3309" s="307"/>
      <c r="M3309" s="307"/>
      <c r="N3309" s="438"/>
      <c r="O3309" s="438"/>
      <c r="P3309" s="438"/>
    </row>
    <row r="3310" spans="1:16" ht="15.75" customHeight="1">
      <c r="A3310" s="441"/>
      <c r="B3310" s="442"/>
      <c r="C3310" s="317"/>
      <c r="G3310" s="290"/>
      <c r="H3310" s="438"/>
      <c r="I3310" s="439"/>
      <c r="J3310" s="440"/>
      <c r="K3310" s="307"/>
      <c r="L3310" s="307"/>
      <c r="M3310" s="307"/>
      <c r="N3310" s="438"/>
      <c r="O3310" s="438"/>
      <c r="P3310" s="438"/>
    </row>
    <row r="3311" spans="1:16" ht="15.75" customHeight="1">
      <c r="A3311" s="441"/>
      <c r="B3311" s="442"/>
      <c r="C3311" s="317"/>
      <c r="G3311" s="290"/>
      <c r="H3311" s="438"/>
      <c r="I3311" s="439"/>
      <c r="J3311" s="440"/>
      <c r="K3311" s="307"/>
      <c r="L3311" s="307"/>
      <c r="M3311" s="307"/>
      <c r="N3311" s="438"/>
      <c r="O3311" s="438"/>
      <c r="P3311" s="438"/>
    </row>
    <row r="3312" spans="1:16" ht="15.75" customHeight="1">
      <c r="A3312" s="441"/>
      <c r="B3312" s="442"/>
      <c r="C3312" s="317"/>
      <c r="G3312" s="290"/>
      <c r="H3312" s="438"/>
      <c r="I3312" s="439"/>
      <c r="J3312" s="440"/>
      <c r="K3312" s="307"/>
      <c r="L3312" s="307"/>
      <c r="M3312" s="307"/>
      <c r="N3312" s="438"/>
      <c r="O3312" s="438"/>
      <c r="P3312" s="438"/>
    </row>
    <row r="3313" spans="1:16" ht="15.75" customHeight="1">
      <c r="A3313" s="441"/>
      <c r="B3313" s="442"/>
      <c r="C3313" s="317"/>
      <c r="G3313" s="290"/>
      <c r="H3313" s="438"/>
      <c r="I3313" s="439"/>
      <c r="J3313" s="440"/>
      <c r="K3313" s="307"/>
      <c r="L3313" s="307"/>
      <c r="M3313" s="307"/>
      <c r="N3313" s="438"/>
      <c r="O3313" s="438"/>
      <c r="P3313" s="438"/>
    </row>
    <row r="3314" spans="1:16" ht="15.75" customHeight="1">
      <c r="A3314" s="441"/>
      <c r="B3314" s="442"/>
      <c r="C3314" s="317"/>
      <c r="G3314" s="290"/>
      <c r="H3314" s="438"/>
      <c r="I3314" s="439"/>
      <c r="J3314" s="440"/>
      <c r="K3314" s="307"/>
      <c r="L3314" s="307"/>
      <c r="M3314" s="307"/>
      <c r="N3314" s="438"/>
      <c r="O3314" s="438"/>
      <c r="P3314" s="438"/>
    </row>
    <row r="3315" spans="1:16" ht="15.75" customHeight="1">
      <c r="A3315" s="441"/>
      <c r="B3315" s="442"/>
      <c r="C3315" s="317"/>
      <c r="G3315" s="290"/>
      <c r="H3315" s="438"/>
      <c r="I3315" s="439"/>
      <c r="J3315" s="440"/>
      <c r="K3315" s="307"/>
      <c r="L3315" s="307"/>
      <c r="M3315" s="307"/>
      <c r="N3315" s="438"/>
      <c r="O3315" s="438"/>
      <c r="P3315" s="438"/>
    </row>
    <row r="3316" spans="1:16" ht="15.75" customHeight="1">
      <c r="A3316" s="441"/>
      <c r="B3316" s="442"/>
      <c r="C3316" s="317"/>
      <c r="G3316" s="290"/>
      <c r="H3316" s="438"/>
      <c r="I3316" s="439"/>
      <c r="J3316" s="440"/>
      <c r="K3316" s="307"/>
      <c r="L3316" s="307"/>
      <c r="M3316" s="307"/>
      <c r="N3316" s="438"/>
      <c r="O3316" s="438"/>
      <c r="P3316" s="438"/>
    </row>
    <row r="3317" spans="1:16" ht="15.75" customHeight="1">
      <c r="A3317" s="441"/>
      <c r="B3317" s="442"/>
      <c r="C3317" s="317"/>
      <c r="G3317" s="290"/>
      <c r="H3317" s="438"/>
      <c r="I3317" s="439"/>
      <c r="J3317" s="440"/>
      <c r="K3317" s="307"/>
      <c r="L3317" s="307"/>
      <c r="M3317" s="307"/>
      <c r="N3317" s="438"/>
      <c r="O3317" s="438"/>
      <c r="P3317" s="438"/>
    </row>
    <row r="3318" spans="1:16" ht="15.75" customHeight="1">
      <c r="A3318" s="441"/>
      <c r="B3318" s="442"/>
      <c r="C3318" s="317"/>
      <c r="G3318" s="290"/>
      <c r="H3318" s="438"/>
      <c r="I3318" s="439"/>
      <c r="J3318" s="440"/>
      <c r="K3318" s="307"/>
      <c r="L3318" s="307"/>
      <c r="M3318" s="307"/>
      <c r="N3318" s="438"/>
      <c r="O3318" s="438"/>
      <c r="P3318" s="438"/>
    </row>
    <row r="3319" spans="1:16" ht="15.75" customHeight="1">
      <c r="A3319" s="441"/>
      <c r="B3319" s="442"/>
      <c r="C3319" s="317"/>
      <c r="G3319" s="290"/>
      <c r="H3319" s="438"/>
      <c r="I3319" s="439"/>
      <c r="J3319" s="440"/>
      <c r="K3319" s="307"/>
      <c r="L3319" s="307"/>
      <c r="M3319" s="307"/>
      <c r="N3319" s="438"/>
      <c r="O3319" s="438"/>
      <c r="P3319" s="438"/>
    </row>
    <row r="3320" spans="1:16" ht="15.75" customHeight="1">
      <c r="A3320" s="441"/>
      <c r="B3320" s="442"/>
      <c r="C3320" s="317"/>
      <c r="G3320" s="290"/>
      <c r="H3320" s="438"/>
      <c r="I3320" s="439"/>
      <c r="J3320" s="440"/>
      <c r="K3320" s="307"/>
      <c r="L3320" s="307"/>
      <c r="M3320" s="307"/>
      <c r="N3320" s="438"/>
      <c r="O3320" s="438"/>
      <c r="P3320" s="438"/>
    </row>
    <row r="3321" spans="1:16" ht="15.75" customHeight="1">
      <c r="A3321" s="441"/>
      <c r="B3321" s="442"/>
      <c r="C3321" s="317"/>
      <c r="G3321" s="290"/>
      <c r="H3321" s="438"/>
      <c r="I3321" s="439"/>
      <c r="J3321" s="440"/>
      <c r="K3321" s="307"/>
      <c r="L3321" s="307"/>
      <c r="M3321" s="307"/>
      <c r="N3321" s="438"/>
      <c r="O3321" s="438"/>
      <c r="P3321" s="438"/>
    </row>
    <row r="3322" spans="1:16" ht="15.75" customHeight="1">
      <c r="A3322" s="441"/>
      <c r="B3322" s="442"/>
      <c r="C3322" s="317"/>
      <c r="G3322" s="290"/>
      <c r="H3322" s="438"/>
      <c r="I3322" s="439"/>
      <c r="J3322" s="440"/>
      <c r="K3322" s="307"/>
      <c r="L3322" s="307"/>
      <c r="M3322" s="307"/>
      <c r="N3322" s="438"/>
      <c r="O3322" s="438"/>
      <c r="P3322" s="438"/>
    </row>
    <row r="3323" spans="1:16" ht="15.75" customHeight="1">
      <c r="A3323" s="441"/>
      <c r="B3323" s="442"/>
      <c r="C3323" s="317"/>
      <c r="G3323" s="290"/>
      <c r="H3323" s="438"/>
      <c r="I3323" s="439"/>
      <c r="J3323" s="440"/>
      <c r="K3323" s="307"/>
      <c r="L3323" s="307"/>
      <c r="M3323" s="307"/>
      <c r="N3323" s="438"/>
      <c r="O3323" s="438"/>
      <c r="P3323" s="438"/>
    </row>
    <row r="3324" spans="1:16" ht="15.75" customHeight="1">
      <c r="A3324" s="441"/>
      <c r="B3324" s="442"/>
      <c r="C3324" s="317"/>
      <c r="G3324" s="290"/>
      <c r="H3324" s="438"/>
      <c r="I3324" s="439"/>
      <c r="J3324" s="440"/>
      <c r="K3324" s="307"/>
      <c r="L3324" s="307"/>
      <c r="M3324" s="307"/>
      <c r="N3324" s="438"/>
      <c r="O3324" s="438"/>
      <c r="P3324" s="438"/>
    </row>
    <row r="3325" spans="1:16" ht="15.75" customHeight="1">
      <c r="A3325" s="441"/>
      <c r="B3325" s="442"/>
      <c r="C3325" s="317"/>
      <c r="G3325" s="290"/>
      <c r="H3325" s="438"/>
      <c r="I3325" s="439"/>
      <c r="J3325" s="440"/>
      <c r="K3325" s="307"/>
      <c r="L3325" s="307"/>
      <c r="M3325" s="307"/>
      <c r="N3325" s="438"/>
      <c r="O3325" s="438"/>
      <c r="P3325" s="438"/>
    </row>
    <row r="3326" spans="1:16" ht="15.75" customHeight="1">
      <c r="A3326" s="441"/>
      <c r="B3326" s="442"/>
      <c r="C3326" s="317"/>
      <c r="G3326" s="290"/>
      <c r="H3326" s="438"/>
      <c r="I3326" s="439"/>
      <c r="J3326" s="440"/>
      <c r="K3326" s="307"/>
      <c r="L3326" s="307"/>
      <c r="M3326" s="307"/>
      <c r="N3326" s="438"/>
      <c r="O3326" s="438"/>
      <c r="P3326" s="438"/>
    </row>
    <row r="3327" spans="1:16" ht="15.75" customHeight="1">
      <c r="A3327" s="441"/>
      <c r="B3327" s="442"/>
      <c r="C3327" s="317"/>
      <c r="G3327" s="290"/>
      <c r="H3327" s="438"/>
      <c r="I3327" s="439"/>
      <c r="J3327" s="440"/>
      <c r="K3327" s="307"/>
      <c r="L3327" s="307"/>
      <c r="M3327" s="307"/>
      <c r="N3327" s="438"/>
      <c r="O3327" s="438"/>
      <c r="P3327" s="438"/>
    </row>
    <row r="3328" spans="1:16" ht="15.75" customHeight="1">
      <c r="A3328" s="441"/>
      <c r="B3328" s="442"/>
      <c r="C3328" s="317"/>
      <c r="G3328" s="290"/>
      <c r="H3328" s="438"/>
      <c r="I3328" s="439"/>
      <c r="J3328" s="440"/>
      <c r="K3328" s="307"/>
      <c r="L3328" s="307"/>
      <c r="M3328" s="307"/>
      <c r="N3328" s="438"/>
      <c r="O3328" s="438"/>
      <c r="P3328" s="438"/>
    </row>
    <row r="3329" spans="1:16" ht="15.75" customHeight="1">
      <c r="A3329" s="441"/>
      <c r="B3329" s="442"/>
      <c r="C3329" s="317"/>
      <c r="G3329" s="290"/>
      <c r="H3329" s="438"/>
      <c r="I3329" s="439"/>
      <c r="J3329" s="440"/>
      <c r="K3329" s="307"/>
      <c r="L3329" s="307"/>
      <c r="M3329" s="307"/>
      <c r="N3329" s="438"/>
      <c r="O3329" s="438"/>
      <c r="P3329" s="438"/>
    </row>
    <row r="3330" spans="1:16" ht="15.75" customHeight="1">
      <c r="A3330" s="441"/>
      <c r="B3330" s="442"/>
      <c r="C3330" s="317"/>
      <c r="G3330" s="290"/>
      <c r="H3330" s="438"/>
      <c r="I3330" s="439"/>
      <c r="J3330" s="440"/>
      <c r="K3330" s="307"/>
      <c r="L3330" s="307"/>
      <c r="M3330" s="307"/>
      <c r="N3330" s="438"/>
      <c r="O3330" s="438"/>
      <c r="P3330" s="438"/>
    </row>
    <row r="3331" spans="1:16" ht="15.75" customHeight="1">
      <c r="A3331" s="441"/>
      <c r="B3331" s="442"/>
      <c r="C3331" s="317"/>
      <c r="G3331" s="290"/>
      <c r="H3331" s="438"/>
      <c r="I3331" s="439"/>
      <c r="J3331" s="440"/>
      <c r="K3331" s="307"/>
      <c r="L3331" s="307"/>
      <c r="M3331" s="307"/>
      <c r="N3331" s="438"/>
      <c r="O3331" s="438"/>
      <c r="P3331" s="438"/>
    </row>
    <row r="3332" spans="1:16" ht="15.75" customHeight="1">
      <c r="A3332" s="441"/>
      <c r="B3332" s="442"/>
      <c r="C3332" s="317"/>
      <c r="G3332" s="290"/>
      <c r="H3332" s="438"/>
      <c r="I3332" s="439"/>
      <c r="J3332" s="440"/>
      <c r="K3332" s="307"/>
      <c r="L3332" s="307"/>
      <c r="M3332" s="307"/>
      <c r="N3332" s="438"/>
      <c r="O3332" s="438"/>
      <c r="P3332" s="438"/>
    </row>
    <row r="3333" spans="1:16" ht="15.75" customHeight="1">
      <c r="A3333" s="441"/>
      <c r="B3333" s="442"/>
      <c r="C3333" s="317"/>
      <c r="G3333" s="290"/>
      <c r="H3333" s="438"/>
      <c r="I3333" s="439"/>
      <c r="J3333" s="440"/>
      <c r="K3333" s="307"/>
      <c r="L3333" s="307"/>
      <c r="M3333" s="307"/>
      <c r="N3333" s="438"/>
      <c r="O3333" s="438"/>
      <c r="P3333" s="438"/>
    </row>
    <row r="3334" spans="1:16" ht="15.75" customHeight="1">
      <c r="A3334" s="441"/>
      <c r="B3334" s="442"/>
      <c r="C3334" s="317"/>
      <c r="G3334" s="290"/>
      <c r="H3334" s="438"/>
      <c r="I3334" s="439"/>
      <c r="J3334" s="440"/>
      <c r="K3334" s="307"/>
      <c r="L3334" s="307"/>
      <c r="M3334" s="307"/>
      <c r="N3334" s="438"/>
      <c r="O3334" s="438"/>
      <c r="P3334" s="438"/>
    </row>
    <row r="3335" spans="1:16" ht="15.75" customHeight="1">
      <c r="A3335" s="441"/>
      <c r="B3335" s="442"/>
      <c r="C3335" s="317"/>
      <c r="G3335" s="290"/>
      <c r="H3335" s="438"/>
      <c r="I3335" s="439"/>
      <c r="J3335" s="440"/>
      <c r="K3335" s="307"/>
      <c r="L3335" s="307"/>
      <c r="M3335" s="307"/>
      <c r="N3335" s="438"/>
      <c r="O3335" s="438"/>
      <c r="P3335" s="438"/>
    </row>
    <row r="3336" spans="1:16" ht="15.75" customHeight="1">
      <c r="A3336" s="441"/>
      <c r="B3336" s="442"/>
      <c r="C3336" s="317"/>
      <c r="G3336" s="290"/>
      <c r="H3336" s="438"/>
      <c r="I3336" s="439"/>
      <c r="J3336" s="440"/>
      <c r="K3336" s="307"/>
      <c r="L3336" s="307"/>
      <c r="M3336" s="307"/>
      <c r="N3336" s="438"/>
      <c r="O3336" s="438"/>
      <c r="P3336" s="438"/>
    </row>
    <row r="3337" spans="1:16" ht="15.75" customHeight="1">
      <c r="A3337" s="441"/>
      <c r="B3337" s="442"/>
      <c r="C3337" s="317"/>
      <c r="G3337" s="290"/>
      <c r="H3337" s="438"/>
      <c r="I3337" s="439"/>
      <c r="J3337" s="440"/>
      <c r="K3337" s="307"/>
      <c r="L3337" s="307"/>
      <c r="M3337" s="307"/>
      <c r="N3337" s="438"/>
      <c r="O3337" s="438"/>
      <c r="P3337" s="438"/>
    </row>
    <row r="3338" spans="1:16" ht="15.75" customHeight="1">
      <c r="A3338" s="441"/>
      <c r="B3338" s="442"/>
      <c r="C3338" s="317"/>
      <c r="G3338" s="290"/>
      <c r="H3338" s="438"/>
      <c r="I3338" s="439"/>
      <c r="J3338" s="440"/>
      <c r="K3338" s="307"/>
      <c r="L3338" s="307"/>
      <c r="M3338" s="307"/>
      <c r="N3338" s="438"/>
      <c r="O3338" s="438"/>
      <c r="P3338" s="438"/>
    </row>
    <row r="3339" spans="1:16" ht="15.75" customHeight="1">
      <c r="A3339" s="441"/>
      <c r="B3339" s="442"/>
      <c r="C3339" s="317"/>
      <c r="G3339" s="290"/>
      <c r="H3339" s="438"/>
      <c r="I3339" s="439"/>
      <c r="J3339" s="440"/>
      <c r="K3339" s="307"/>
      <c r="L3339" s="307"/>
      <c r="M3339" s="307"/>
      <c r="N3339" s="438"/>
      <c r="O3339" s="438"/>
      <c r="P3339" s="438"/>
    </row>
    <row r="3340" spans="1:16" ht="15.75" customHeight="1">
      <c r="A3340" s="441"/>
      <c r="B3340" s="442"/>
      <c r="C3340" s="317"/>
      <c r="G3340" s="290"/>
      <c r="H3340" s="438"/>
      <c r="I3340" s="439"/>
      <c r="J3340" s="440"/>
      <c r="K3340" s="307"/>
      <c r="L3340" s="307"/>
      <c r="M3340" s="307"/>
      <c r="N3340" s="438"/>
      <c r="O3340" s="438"/>
      <c r="P3340" s="438"/>
    </row>
    <row r="3341" spans="1:16" ht="15.75" customHeight="1">
      <c r="A3341" s="441"/>
      <c r="B3341" s="442"/>
      <c r="C3341" s="317"/>
      <c r="G3341" s="290"/>
      <c r="H3341" s="438"/>
      <c r="I3341" s="439"/>
      <c r="J3341" s="440"/>
      <c r="K3341" s="307"/>
      <c r="L3341" s="307"/>
      <c r="M3341" s="307"/>
      <c r="N3341" s="438"/>
      <c r="O3341" s="438"/>
      <c r="P3341" s="438"/>
    </row>
    <row r="3342" spans="1:16" ht="15.75" customHeight="1">
      <c r="A3342" s="441"/>
      <c r="B3342" s="442"/>
      <c r="C3342" s="317"/>
      <c r="G3342" s="290"/>
      <c r="H3342" s="438"/>
      <c r="I3342" s="439"/>
      <c r="J3342" s="440"/>
      <c r="K3342" s="307"/>
      <c r="L3342" s="307"/>
      <c r="M3342" s="307"/>
      <c r="N3342" s="438"/>
      <c r="O3342" s="438"/>
      <c r="P3342" s="438"/>
    </row>
    <row r="3343" spans="1:16" ht="15.75" customHeight="1">
      <c r="A3343" s="441"/>
      <c r="B3343" s="442"/>
      <c r="C3343" s="317"/>
      <c r="G3343" s="290"/>
      <c r="H3343" s="438"/>
      <c r="I3343" s="439"/>
      <c r="J3343" s="440"/>
      <c r="K3343" s="307"/>
      <c r="L3343" s="307"/>
      <c r="M3343" s="307"/>
      <c r="N3343" s="438"/>
      <c r="O3343" s="438"/>
      <c r="P3343" s="438"/>
    </row>
    <row r="3344" spans="1:16" ht="15.75" customHeight="1">
      <c r="A3344" s="441"/>
      <c r="B3344" s="307"/>
      <c r="C3344" s="317"/>
      <c r="G3344" s="290"/>
      <c r="H3344" s="438"/>
      <c r="I3344" s="439"/>
      <c r="J3344" s="440"/>
      <c r="K3344" s="307"/>
      <c r="L3344" s="307"/>
      <c r="M3344" s="307"/>
      <c r="N3344" s="438"/>
      <c r="O3344" s="438"/>
      <c r="P3344" s="438"/>
    </row>
    <row r="3345" spans="1:16" ht="15.75" customHeight="1">
      <c r="A3345" s="441"/>
      <c r="B3345" s="307"/>
      <c r="C3345" s="317"/>
      <c r="G3345" s="290"/>
      <c r="H3345" s="438"/>
      <c r="I3345" s="439"/>
      <c r="J3345" s="440"/>
      <c r="K3345" s="307"/>
      <c r="L3345" s="307"/>
      <c r="M3345" s="307"/>
      <c r="N3345" s="438"/>
      <c r="O3345" s="438"/>
      <c r="P3345" s="438"/>
    </row>
    <row r="3346" spans="1:16" ht="15.75" customHeight="1">
      <c r="A3346" s="441"/>
      <c r="B3346" s="307"/>
      <c r="C3346" s="317"/>
      <c r="G3346" s="290"/>
      <c r="H3346" s="438"/>
      <c r="I3346" s="439"/>
      <c r="J3346" s="440"/>
      <c r="K3346" s="307"/>
      <c r="L3346" s="307"/>
      <c r="M3346" s="307"/>
      <c r="N3346" s="438"/>
      <c r="O3346" s="438"/>
      <c r="P3346" s="438"/>
    </row>
    <row r="3347" spans="1:16" ht="15.75" customHeight="1">
      <c r="A3347" s="441"/>
      <c r="B3347" s="307"/>
      <c r="C3347" s="317"/>
      <c r="G3347" s="290"/>
      <c r="H3347" s="438"/>
      <c r="I3347" s="439"/>
      <c r="J3347" s="440"/>
      <c r="K3347" s="307"/>
      <c r="L3347" s="307"/>
      <c r="M3347" s="307"/>
      <c r="N3347" s="438"/>
      <c r="O3347" s="438"/>
      <c r="P3347" s="438"/>
    </row>
    <row r="3348" spans="1:16" ht="15.75" customHeight="1">
      <c r="A3348" s="441"/>
      <c r="B3348" s="307"/>
      <c r="C3348" s="317"/>
      <c r="G3348" s="290"/>
      <c r="H3348" s="438"/>
      <c r="I3348" s="439"/>
      <c r="J3348" s="440"/>
      <c r="K3348" s="307"/>
      <c r="L3348" s="307"/>
      <c r="M3348" s="307"/>
      <c r="N3348" s="438"/>
      <c r="O3348" s="438"/>
      <c r="P3348" s="438"/>
    </row>
    <row r="3349" spans="1:16" ht="15.75" customHeight="1">
      <c r="A3349" s="441"/>
      <c r="B3349" s="307"/>
      <c r="C3349" s="317"/>
      <c r="G3349" s="290"/>
      <c r="H3349" s="438"/>
      <c r="I3349" s="439"/>
      <c r="J3349" s="440"/>
      <c r="K3349" s="307"/>
      <c r="L3349" s="307"/>
      <c r="M3349" s="307"/>
      <c r="N3349" s="438"/>
      <c r="O3349" s="438"/>
      <c r="P3349" s="438"/>
    </row>
    <row r="3350" spans="1:16" ht="15.75" customHeight="1">
      <c r="A3350" s="441"/>
      <c r="B3350" s="307"/>
      <c r="C3350" s="317"/>
      <c r="G3350" s="290"/>
      <c r="H3350" s="438"/>
      <c r="I3350" s="439"/>
      <c r="J3350" s="440"/>
      <c r="K3350" s="307"/>
      <c r="L3350" s="307"/>
      <c r="M3350" s="307"/>
      <c r="N3350" s="438"/>
      <c r="O3350" s="438"/>
      <c r="P3350" s="438"/>
    </row>
    <row r="3351" spans="1:16" ht="15.75" customHeight="1">
      <c r="A3351" s="441"/>
      <c r="B3351" s="307"/>
      <c r="C3351" s="317"/>
      <c r="G3351" s="290"/>
      <c r="H3351" s="438"/>
      <c r="I3351" s="439"/>
      <c r="J3351" s="440"/>
      <c r="K3351" s="307"/>
      <c r="L3351" s="307"/>
      <c r="M3351" s="307"/>
      <c r="N3351" s="438"/>
      <c r="O3351" s="438"/>
      <c r="P3351" s="438"/>
    </row>
    <row r="3352" spans="1:16" ht="15.75" customHeight="1">
      <c r="A3352" s="441"/>
      <c r="B3352" s="307"/>
      <c r="C3352" s="317"/>
      <c r="G3352" s="290"/>
      <c r="H3352" s="438"/>
      <c r="I3352" s="439"/>
      <c r="J3352" s="440"/>
      <c r="K3352" s="307"/>
      <c r="L3352" s="307"/>
      <c r="M3352" s="307"/>
      <c r="N3352" s="438"/>
      <c r="O3352" s="438"/>
      <c r="P3352" s="438"/>
    </row>
    <row r="3353" spans="1:16" ht="15.75" customHeight="1">
      <c r="A3353" s="441"/>
      <c r="B3353" s="307"/>
      <c r="C3353" s="317"/>
      <c r="G3353" s="290"/>
      <c r="H3353" s="438"/>
      <c r="I3353" s="439"/>
      <c r="J3353" s="440"/>
      <c r="K3353" s="307"/>
      <c r="L3353" s="307"/>
      <c r="M3353" s="307"/>
      <c r="N3353" s="438"/>
      <c r="O3353" s="438"/>
      <c r="P3353" s="438"/>
    </row>
    <row r="3354" spans="1:16" ht="15.75" customHeight="1">
      <c r="A3354" s="441"/>
      <c r="B3354" s="307"/>
      <c r="C3354" s="317"/>
      <c r="G3354" s="290"/>
      <c r="H3354" s="438"/>
      <c r="I3354" s="439"/>
      <c r="J3354" s="440"/>
      <c r="K3354" s="307"/>
      <c r="L3354" s="307"/>
      <c r="M3354" s="307"/>
      <c r="N3354" s="438"/>
      <c r="O3354" s="438"/>
      <c r="P3354" s="438"/>
    </row>
    <row r="3355" spans="1:16" ht="15.75" customHeight="1">
      <c r="A3355" s="441"/>
      <c r="B3355" s="307"/>
      <c r="C3355" s="317"/>
      <c r="G3355" s="290"/>
      <c r="H3355" s="438"/>
      <c r="I3355" s="439"/>
      <c r="J3355" s="440"/>
      <c r="K3355" s="307"/>
      <c r="L3355" s="307"/>
      <c r="M3355" s="307"/>
      <c r="N3355" s="438"/>
      <c r="O3355" s="438"/>
      <c r="P3355" s="438"/>
    </row>
    <row r="3356" spans="1:16" ht="15.75" customHeight="1">
      <c r="A3356" s="441"/>
      <c r="B3356" s="307"/>
      <c r="C3356" s="317"/>
      <c r="G3356" s="290"/>
      <c r="H3356" s="438"/>
      <c r="I3356" s="439"/>
      <c r="J3356" s="440"/>
      <c r="K3356" s="307"/>
      <c r="L3356" s="307"/>
      <c r="M3356" s="307"/>
      <c r="N3356" s="438"/>
      <c r="O3356" s="438"/>
      <c r="P3356" s="438"/>
    </row>
    <row r="3357" spans="1:16" ht="15.75" customHeight="1">
      <c r="A3357" s="441"/>
      <c r="B3357" s="307"/>
      <c r="C3357" s="317"/>
      <c r="G3357" s="290"/>
      <c r="H3357" s="438"/>
      <c r="I3357" s="439"/>
      <c r="J3357" s="440"/>
      <c r="K3357" s="307"/>
      <c r="L3357" s="307"/>
      <c r="M3357" s="307"/>
      <c r="N3357" s="438"/>
      <c r="O3357" s="438"/>
      <c r="P3357" s="438"/>
    </row>
    <row r="3358" spans="1:16" ht="15.75" customHeight="1">
      <c r="A3358" s="441"/>
      <c r="B3358" s="307"/>
      <c r="C3358" s="317"/>
      <c r="G3358" s="290"/>
      <c r="H3358" s="438"/>
      <c r="I3358" s="439"/>
      <c r="J3358" s="440"/>
      <c r="K3358" s="307"/>
      <c r="L3358" s="307"/>
      <c r="M3358" s="307"/>
      <c r="N3358" s="438"/>
      <c r="O3358" s="438"/>
      <c r="P3358" s="438"/>
    </row>
    <row r="3359" spans="1:16" ht="15.75" customHeight="1">
      <c r="A3359" s="441"/>
      <c r="B3359" s="307"/>
      <c r="C3359" s="317"/>
      <c r="G3359" s="290"/>
      <c r="H3359" s="438"/>
      <c r="I3359" s="439"/>
      <c r="J3359" s="440"/>
      <c r="K3359" s="307"/>
      <c r="L3359" s="307"/>
      <c r="M3359" s="307"/>
      <c r="N3359" s="438"/>
      <c r="O3359" s="438"/>
      <c r="P3359" s="438"/>
    </row>
    <row r="3360" spans="1:16" ht="15.75" customHeight="1">
      <c r="A3360" s="441"/>
      <c r="B3360" s="307"/>
      <c r="C3360" s="317"/>
      <c r="G3360" s="290"/>
      <c r="H3360" s="438"/>
      <c r="I3360" s="439"/>
      <c r="J3360" s="440"/>
      <c r="K3360" s="307"/>
      <c r="L3360" s="307"/>
      <c r="M3360" s="307"/>
      <c r="N3360" s="438"/>
      <c r="O3360" s="438"/>
      <c r="P3360" s="438"/>
    </row>
    <row r="3361" spans="1:16" ht="15.75" customHeight="1">
      <c r="A3361" s="441"/>
      <c r="B3361" s="307"/>
      <c r="C3361" s="317"/>
      <c r="G3361" s="290"/>
      <c r="H3361" s="438"/>
      <c r="I3361" s="439"/>
      <c r="J3361" s="440"/>
      <c r="K3361" s="307"/>
      <c r="L3361" s="307"/>
      <c r="M3361" s="307"/>
      <c r="N3361" s="438"/>
      <c r="O3361" s="438"/>
      <c r="P3361" s="438"/>
    </row>
    <row r="3362" spans="1:16" ht="15.75" customHeight="1">
      <c r="A3362" s="441"/>
      <c r="B3362" s="307"/>
      <c r="C3362" s="317"/>
      <c r="G3362" s="290"/>
      <c r="H3362" s="438"/>
      <c r="I3362" s="439"/>
      <c r="J3362" s="440"/>
      <c r="K3362" s="307"/>
      <c r="L3362" s="307"/>
      <c r="M3362" s="307"/>
      <c r="N3362" s="438"/>
      <c r="O3362" s="438"/>
      <c r="P3362" s="438"/>
    </row>
    <row r="3363" spans="1:16" ht="15.75" customHeight="1">
      <c r="A3363" s="441"/>
      <c r="B3363" s="307"/>
      <c r="C3363" s="317"/>
      <c r="G3363" s="290"/>
      <c r="H3363" s="438"/>
      <c r="I3363" s="439"/>
      <c r="J3363" s="440"/>
      <c r="K3363" s="307"/>
      <c r="L3363" s="307"/>
      <c r="M3363" s="307"/>
      <c r="N3363" s="438"/>
      <c r="O3363" s="438"/>
      <c r="P3363" s="438"/>
    </row>
    <row r="3364" spans="1:16" ht="15.75" customHeight="1">
      <c r="A3364" s="441"/>
      <c r="B3364" s="307"/>
      <c r="C3364" s="317"/>
      <c r="G3364" s="290"/>
      <c r="H3364" s="438"/>
      <c r="I3364" s="439"/>
      <c r="J3364" s="440"/>
      <c r="K3364" s="307"/>
      <c r="L3364" s="307"/>
      <c r="M3364" s="307"/>
      <c r="N3364" s="438"/>
      <c r="O3364" s="438"/>
      <c r="P3364" s="438"/>
    </row>
    <row r="3365" spans="1:16" ht="15.75" customHeight="1">
      <c r="A3365" s="441"/>
      <c r="B3365" s="307"/>
      <c r="C3365" s="317"/>
      <c r="G3365" s="290"/>
      <c r="H3365" s="438"/>
      <c r="I3365" s="439"/>
      <c r="J3365" s="440"/>
      <c r="K3365" s="307"/>
      <c r="L3365" s="307"/>
      <c r="M3365" s="307"/>
      <c r="N3365" s="438"/>
      <c r="O3365" s="438"/>
      <c r="P3365" s="438"/>
    </row>
    <row r="3366" spans="1:16" ht="15.75" customHeight="1">
      <c r="A3366" s="441"/>
      <c r="B3366" s="307"/>
      <c r="C3366" s="317"/>
      <c r="G3366" s="290"/>
      <c r="H3366" s="438"/>
      <c r="I3366" s="439"/>
      <c r="J3366" s="440"/>
      <c r="K3366" s="307"/>
      <c r="L3366" s="307"/>
      <c r="M3366" s="307"/>
      <c r="N3366" s="438"/>
      <c r="O3366" s="438"/>
      <c r="P3366" s="438"/>
    </row>
    <row r="3367" spans="1:16" ht="15.75" customHeight="1">
      <c r="A3367" s="441"/>
      <c r="B3367" s="307"/>
      <c r="C3367" s="317"/>
      <c r="G3367" s="290"/>
      <c r="H3367" s="438"/>
      <c r="I3367" s="439"/>
      <c r="J3367" s="440"/>
      <c r="K3367" s="307"/>
      <c r="L3367" s="307"/>
      <c r="M3367" s="307"/>
      <c r="N3367" s="438"/>
      <c r="O3367" s="438"/>
      <c r="P3367" s="438"/>
    </row>
    <row r="3368" spans="1:16" ht="15.75" customHeight="1">
      <c r="A3368" s="441"/>
      <c r="B3368" s="307"/>
      <c r="C3368" s="317"/>
      <c r="G3368" s="290"/>
      <c r="H3368" s="438"/>
      <c r="I3368" s="439"/>
      <c r="J3368" s="440"/>
      <c r="K3368" s="307"/>
      <c r="L3368" s="307"/>
      <c r="M3368" s="307"/>
      <c r="N3368" s="438"/>
      <c r="O3368" s="438"/>
      <c r="P3368" s="438"/>
    </row>
    <row r="3369" spans="1:16" ht="15.75" customHeight="1">
      <c r="A3369" s="441"/>
      <c r="B3369" s="307"/>
      <c r="C3369" s="317"/>
      <c r="G3369" s="290"/>
      <c r="H3369" s="438"/>
      <c r="I3369" s="439"/>
      <c r="J3369" s="440"/>
      <c r="K3369" s="307"/>
      <c r="L3369" s="307"/>
      <c r="M3369" s="307"/>
      <c r="N3369" s="438"/>
      <c r="O3369" s="438"/>
      <c r="P3369" s="438"/>
    </row>
    <row r="3370" spans="1:16" ht="15.75" customHeight="1">
      <c r="A3370" s="441"/>
      <c r="B3370" s="307"/>
      <c r="C3370" s="317"/>
      <c r="G3370" s="290"/>
      <c r="H3370" s="438"/>
      <c r="I3370" s="439"/>
      <c r="J3370" s="440"/>
      <c r="K3370" s="307"/>
      <c r="L3370" s="307"/>
      <c r="M3370" s="307"/>
      <c r="N3370" s="438"/>
      <c r="O3370" s="438"/>
      <c r="P3370" s="438"/>
    </row>
    <row r="3371" spans="1:16" ht="15.75" customHeight="1">
      <c r="A3371" s="441"/>
      <c r="B3371" s="307"/>
      <c r="C3371" s="317"/>
      <c r="G3371" s="290"/>
      <c r="H3371" s="438"/>
      <c r="I3371" s="439"/>
      <c r="J3371" s="440"/>
      <c r="K3371" s="307"/>
      <c r="L3371" s="307"/>
      <c r="M3371" s="307"/>
      <c r="N3371" s="438"/>
      <c r="O3371" s="438"/>
      <c r="P3371" s="438"/>
    </row>
    <row r="3372" spans="1:16" ht="15.75" customHeight="1">
      <c r="A3372" s="441"/>
      <c r="B3372" s="307"/>
      <c r="C3372" s="317"/>
      <c r="G3372" s="290"/>
      <c r="H3372" s="438"/>
      <c r="I3372" s="439"/>
      <c r="J3372" s="440"/>
      <c r="K3372" s="307"/>
      <c r="L3372" s="307"/>
      <c r="M3372" s="307"/>
      <c r="N3372" s="438"/>
      <c r="O3372" s="438"/>
      <c r="P3372" s="438"/>
    </row>
    <row r="3373" spans="1:16" ht="15.75" customHeight="1">
      <c r="A3373" s="441"/>
      <c r="B3373" s="307"/>
      <c r="C3373" s="317"/>
      <c r="G3373" s="290"/>
      <c r="H3373" s="438"/>
      <c r="I3373" s="439"/>
      <c r="J3373" s="440"/>
      <c r="K3373" s="307"/>
      <c r="L3373" s="307"/>
      <c r="M3373" s="307"/>
      <c r="N3373" s="438"/>
      <c r="O3373" s="438"/>
      <c r="P3373" s="438"/>
    </row>
    <row r="3374" spans="1:16" ht="15.75" customHeight="1">
      <c r="A3374" s="441"/>
      <c r="B3374" s="307"/>
      <c r="C3374" s="317"/>
      <c r="G3374" s="290"/>
      <c r="H3374" s="438"/>
      <c r="I3374" s="439"/>
      <c r="J3374" s="440"/>
      <c r="K3374" s="307"/>
      <c r="L3374" s="307"/>
      <c r="M3374" s="307"/>
      <c r="N3374" s="438"/>
      <c r="O3374" s="438"/>
      <c r="P3374" s="438"/>
    </row>
    <row r="3375" spans="1:16" ht="15.75" customHeight="1">
      <c r="A3375" s="441"/>
      <c r="B3375" s="307"/>
      <c r="C3375" s="317"/>
      <c r="G3375" s="290"/>
      <c r="H3375" s="438"/>
      <c r="I3375" s="439"/>
      <c r="J3375" s="440"/>
      <c r="K3375" s="307"/>
      <c r="L3375" s="307"/>
      <c r="M3375" s="307"/>
      <c r="N3375" s="438"/>
      <c r="O3375" s="438"/>
      <c r="P3375" s="438"/>
    </row>
    <row r="3376" spans="1:16" ht="15.75" customHeight="1">
      <c r="A3376" s="441"/>
      <c r="B3376" s="307"/>
      <c r="C3376" s="317"/>
      <c r="G3376" s="290"/>
      <c r="H3376" s="438"/>
      <c r="I3376" s="439"/>
      <c r="J3376" s="440"/>
      <c r="K3376" s="307"/>
      <c r="L3376" s="307"/>
      <c r="M3376" s="307"/>
      <c r="N3376" s="438"/>
      <c r="O3376" s="438"/>
      <c r="P3376" s="438"/>
    </row>
    <row r="3377" spans="1:16" ht="15.75" customHeight="1">
      <c r="A3377" s="441"/>
      <c r="B3377" s="307"/>
      <c r="C3377" s="317"/>
      <c r="G3377" s="290"/>
      <c r="H3377" s="438"/>
      <c r="I3377" s="439"/>
      <c r="J3377" s="440"/>
      <c r="K3377" s="307"/>
      <c r="L3377" s="307"/>
      <c r="M3377" s="307"/>
      <c r="N3377" s="438"/>
      <c r="O3377" s="438"/>
      <c r="P3377" s="438"/>
    </row>
    <row r="3378" spans="1:16" ht="15.75" customHeight="1">
      <c r="A3378" s="441"/>
      <c r="B3378" s="307"/>
      <c r="C3378" s="317"/>
      <c r="G3378" s="290"/>
      <c r="H3378" s="438"/>
      <c r="I3378" s="439"/>
      <c r="J3378" s="440"/>
      <c r="K3378" s="307"/>
      <c r="L3378" s="307"/>
      <c r="M3378" s="307"/>
      <c r="N3378" s="438"/>
      <c r="O3378" s="438"/>
      <c r="P3378" s="438"/>
    </row>
    <row r="3379" spans="1:16" ht="15.75" customHeight="1">
      <c r="A3379" s="441"/>
      <c r="B3379" s="307"/>
      <c r="C3379" s="317"/>
      <c r="G3379" s="290"/>
      <c r="H3379" s="438"/>
      <c r="I3379" s="439"/>
      <c r="J3379" s="440"/>
      <c r="K3379" s="307"/>
      <c r="L3379" s="307"/>
      <c r="M3379" s="307"/>
      <c r="N3379" s="438"/>
      <c r="O3379" s="438"/>
      <c r="P3379" s="438"/>
    </row>
    <row r="3380" spans="1:16" ht="15.75" customHeight="1">
      <c r="A3380" s="441"/>
      <c r="B3380" s="307"/>
      <c r="C3380" s="317"/>
      <c r="G3380" s="290"/>
      <c r="H3380" s="438"/>
      <c r="I3380" s="439"/>
      <c r="J3380" s="440"/>
      <c r="K3380" s="307"/>
      <c r="L3380" s="307"/>
      <c r="M3380" s="307"/>
      <c r="N3380" s="438"/>
      <c r="O3380" s="438"/>
      <c r="P3380" s="438"/>
    </row>
    <row r="3381" spans="1:16" ht="15.75" customHeight="1">
      <c r="A3381" s="441"/>
      <c r="B3381" s="307"/>
      <c r="C3381" s="317"/>
      <c r="G3381" s="290"/>
      <c r="H3381" s="438"/>
      <c r="I3381" s="439"/>
      <c r="J3381" s="440"/>
      <c r="K3381" s="307"/>
      <c r="L3381" s="307"/>
      <c r="M3381" s="307"/>
      <c r="N3381" s="438"/>
      <c r="O3381" s="438"/>
      <c r="P3381" s="438"/>
    </row>
    <row r="3382" spans="1:16" ht="15.75" customHeight="1">
      <c r="A3382" s="441"/>
      <c r="B3382" s="307"/>
      <c r="C3382" s="317"/>
      <c r="G3382" s="290"/>
      <c r="H3382" s="438"/>
      <c r="I3382" s="439"/>
      <c r="J3382" s="440"/>
      <c r="K3382" s="307"/>
      <c r="L3382" s="307"/>
      <c r="M3382" s="307"/>
      <c r="N3382" s="438"/>
      <c r="O3382" s="438"/>
      <c r="P3382" s="438"/>
    </row>
    <row r="3383" spans="1:16" ht="15.75" customHeight="1">
      <c r="A3383" s="441"/>
      <c r="B3383" s="307"/>
      <c r="C3383" s="317"/>
      <c r="G3383" s="290"/>
      <c r="H3383" s="438"/>
      <c r="I3383" s="439"/>
      <c r="J3383" s="440"/>
      <c r="K3383" s="307"/>
      <c r="L3383" s="307"/>
      <c r="M3383" s="307"/>
      <c r="N3383" s="438"/>
      <c r="O3383" s="438"/>
      <c r="P3383" s="438"/>
    </row>
    <row r="3384" spans="1:16" ht="15.75" customHeight="1">
      <c r="A3384" s="441"/>
      <c r="B3384" s="307"/>
      <c r="C3384" s="317"/>
      <c r="G3384" s="290"/>
      <c r="H3384" s="438"/>
      <c r="I3384" s="439"/>
      <c r="J3384" s="440"/>
      <c r="K3384" s="307"/>
      <c r="L3384" s="307"/>
      <c r="M3384" s="307"/>
      <c r="N3384" s="438"/>
      <c r="O3384" s="438"/>
      <c r="P3384" s="438"/>
    </row>
    <row r="3385" spans="1:16" ht="15.75" customHeight="1">
      <c r="A3385" s="441"/>
      <c r="B3385" s="307"/>
      <c r="C3385" s="317"/>
      <c r="G3385" s="290"/>
      <c r="H3385" s="438"/>
      <c r="I3385" s="439"/>
      <c r="J3385" s="440"/>
      <c r="K3385" s="307"/>
      <c r="L3385" s="307"/>
      <c r="M3385" s="307"/>
      <c r="N3385" s="438"/>
      <c r="O3385" s="438"/>
      <c r="P3385" s="438"/>
    </row>
    <row r="3386" spans="1:16" ht="15.75" customHeight="1">
      <c r="A3386" s="441"/>
      <c r="B3386" s="307"/>
      <c r="C3386" s="317"/>
      <c r="G3386" s="290"/>
      <c r="H3386" s="438"/>
      <c r="I3386" s="439"/>
      <c r="J3386" s="440"/>
      <c r="K3386" s="307"/>
      <c r="L3386" s="307"/>
      <c r="M3386" s="307"/>
      <c r="N3386" s="438"/>
      <c r="O3386" s="438"/>
      <c r="P3386" s="438"/>
    </row>
    <row r="3387" spans="1:16" ht="15.75" customHeight="1">
      <c r="A3387" s="441"/>
      <c r="B3387" s="307"/>
      <c r="C3387" s="317"/>
      <c r="G3387" s="290"/>
      <c r="H3387" s="438"/>
      <c r="I3387" s="439"/>
      <c r="J3387" s="440"/>
      <c r="K3387" s="307"/>
      <c r="L3387" s="307"/>
      <c r="M3387" s="307"/>
      <c r="N3387" s="438"/>
      <c r="O3387" s="438"/>
      <c r="P3387" s="438"/>
    </row>
    <row r="3388" spans="1:16" ht="15.75" customHeight="1">
      <c r="A3388" s="441"/>
      <c r="B3388" s="307"/>
      <c r="C3388" s="317"/>
      <c r="G3388" s="290"/>
      <c r="H3388" s="438"/>
      <c r="I3388" s="439"/>
      <c r="J3388" s="440"/>
      <c r="K3388" s="307"/>
      <c r="L3388" s="307"/>
      <c r="M3388" s="307"/>
      <c r="N3388" s="438"/>
      <c r="O3388" s="438"/>
      <c r="P3388" s="438"/>
    </row>
    <row r="3389" spans="1:16" ht="15.75" customHeight="1">
      <c r="A3389" s="441"/>
      <c r="B3389" s="307"/>
      <c r="C3389" s="317"/>
      <c r="G3389" s="290"/>
      <c r="H3389" s="438"/>
      <c r="I3389" s="439"/>
      <c r="J3389" s="440"/>
      <c r="K3389" s="307"/>
      <c r="L3389" s="307"/>
      <c r="M3389" s="307"/>
      <c r="N3389" s="438"/>
      <c r="O3389" s="438"/>
      <c r="P3389" s="438"/>
    </row>
    <row r="3390" spans="1:16" ht="15.75" customHeight="1">
      <c r="A3390" s="441"/>
      <c r="B3390" s="307"/>
      <c r="C3390" s="317"/>
      <c r="G3390" s="290"/>
      <c r="H3390" s="438"/>
      <c r="I3390" s="439"/>
      <c r="J3390" s="440"/>
      <c r="K3390" s="307"/>
      <c r="L3390" s="307"/>
      <c r="M3390" s="307"/>
      <c r="N3390" s="438"/>
      <c r="O3390" s="438"/>
      <c r="P3390" s="438"/>
    </row>
    <row r="3391" spans="1:16" ht="15.75" customHeight="1">
      <c r="A3391" s="441"/>
      <c r="B3391" s="307"/>
      <c r="C3391" s="317"/>
      <c r="G3391" s="290"/>
      <c r="H3391" s="438"/>
      <c r="I3391" s="439"/>
      <c r="J3391" s="440"/>
      <c r="K3391" s="307"/>
      <c r="L3391" s="307"/>
      <c r="M3391" s="307"/>
      <c r="N3391" s="438"/>
      <c r="O3391" s="438"/>
      <c r="P3391" s="438"/>
    </row>
    <row r="3392" spans="1:16" ht="15.75" customHeight="1">
      <c r="A3392" s="441"/>
      <c r="B3392" s="307"/>
      <c r="C3392" s="317"/>
      <c r="G3392" s="290"/>
      <c r="H3392" s="438"/>
      <c r="I3392" s="439"/>
      <c r="J3392" s="440"/>
      <c r="K3392" s="307"/>
      <c r="L3392" s="307"/>
      <c r="M3392" s="307"/>
      <c r="N3392" s="438"/>
      <c r="O3392" s="438"/>
      <c r="P3392" s="438"/>
    </row>
    <row r="3393" spans="1:16" ht="15.75" customHeight="1">
      <c r="A3393" s="441"/>
      <c r="B3393" s="307"/>
      <c r="C3393" s="317"/>
      <c r="G3393" s="290"/>
      <c r="H3393" s="438"/>
      <c r="I3393" s="439"/>
      <c r="J3393" s="440"/>
      <c r="K3393" s="307"/>
      <c r="L3393" s="307"/>
      <c r="M3393" s="307"/>
      <c r="N3393" s="438"/>
      <c r="O3393" s="438"/>
      <c r="P3393" s="438"/>
    </row>
    <row r="3394" spans="1:16" ht="15.75" customHeight="1">
      <c r="A3394" s="441"/>
      <c r="B3394" s="307"/>
      <c r="C3394" s="317"/>
      <c r="G3394" s="290"/>
      <c r="H3394" s="438"/>
      <c r="I3394" s="439"/>
      <c r="J3394" s="440"/>
      <c r="K3394" s="307"/>
      <c r="L3394" s="307"/>
      <c r="M3394" s="307"/>
      <c r="N3394" s="438"/>
      <c r="O3394" s="438"/>
      <c r="P3394" s="438"/>
    </row>
    <row r="3395" spans="1:16" ht="15.75" customHeight="1">
      <c r="A3395" s="441"/>
      <c r="B3395" s="307"/>
      <c r="C3395" s="317"/>
      <c r="G3395" s="290"/>
      <c r="H3395" s="438"/>
      <c r="I3395" s="439"/>
      <c r="J3395" s="440"/>
      <c r="K3395" s="307"/>
      <c r="L3395" s="307"/>
      <c r="M3395" s="307"/>
      <c r="N3395" s="438"/>
      <c r="O3395" s="438"/>
      <c r="P3395" s="438"/>
    </row>
    <row r="3396" spans="1:16" ht="15.75" customHeight="1">
      <c r="A3396" s="441"/>
      <c r="B3396" s="307"/>
      <c r="C3396" s="317"/>
      <c r="G3396" s="290"/>
      <c r="H3396" s="438"/>
      <c r="I3396" s="439"/>
      <c r="J3396" s="440"/>
      <c r="K3396" s="307"/>
      <c r="L3396" s="307"/>
      <c r="M3396" s="307"/>
      <c r="N3396" s="438"/>
      <c r="O3396" s="438"/>
      <c r="P3396" s="438"/>
    </row>
    <row r="3397" spans="1:16" ht="15.75" customHeight="1">
      <c r="A3397" s="441"/>
      <c r="B3397" s="307"/>
      <c r="C3397" s="317"/>
      <c r="G3397" s="290"/>
      <c r="H3397" s="438"/>
      <c r="I3397" s="439"/>
      <c r="J3397" s="440"/>
      <c r="K3397" s="307"/>
      <c r="L3397" s="307"/>
      <c r="M3397" s="307"/>
      <c r="N3397" s="438"/>
      <c r="O3397" s="438"/>
      <c r="P3397" s="438"/>
    </row>
    <row r="3398" spans="1:16" ht="15.75" customHeight="1">
      <c r="A3398" s="441"/>
      <c r="B3398" s="307"/>
      <c r="C3398" s="317"/>
      <c r="G3398" s="290"/>
      <c r="H3398" s="438"/>
      <c r="I3398" s="439"/>
      <c r="J3398" s="440"/>
      <c r="K3398" s="307"/>
      <c r="L3398" s="307"/>
      <c r="M3398" s="307"/>
      <c r="N3398" s="438"/>
      <c r="O3398" s="438"/>
      <c r="P3398" s="438"/>
    </row>
    <row r="3399" spans="1:16" ht="15.75" customHeight="1">
      <c r="A3399" s="441"/>
      <c r="B3399" s="307"/>
      <c r="C3399" s="317"/>
      <c r="G3399" s="290"/>
      <c r="H3399" s="438"/>
      <c r="I3399" s="439"/>
      <c r="J3399" s="440"/>
      <c r="K3399" s="307"/>
      <c r="L3399" s="307"/>
      <c r="M3399" s="307"/>
      <c r="N3399" s="438"/>
      <c r="O3399" s="438"/>
      <c r="P3399" s="438"/>
    </row>
    <row r="3400" spans="1:16" ht="15.75" customHeight="1">
      <c r="A3400" s="441"/>
      <c r="B3400" s="307"/>
      <c r="C3400" s="317"/>
      <c r="G3400" s="290"/>
      <c r="H3400" s="438"/>
      <c r="I3400" s="439"/>
      <c r="J3400" s="440"/>
      <c r="K3400" s="307"/>
      <c r="L3400" s="307"/>
      <c r="M3400" s="307"/>
      <c r="N3400" s="438"/>
      <c r="O3400" s="438"/>
      <c r="P3400" s="438"/>
    </row>
    <row r="3401" spans="1:16" ht="15.75" customHeight="1">
      <c r="A3401" s="441"/>
      <c r="B3401" s="307"/>
      <c r="C3401" s="317"/>
      <c r="G3401" s="290"/>
      <c r="H3401" s="438"/>
      <c r="I3401" s="439"/>
      <c r="J3401" s="440"/>
      <c r="K3401" s="307"/>
      <c r="L3401" s="307"/>
      <c r="M3401" s="307"/>
      <c r="N3401" s="438"/>
      <c r="O3401" s="438"/>
      <c r="P3401" s="438"/>
    </row>
    <row r="3402" spans="1:16" ht="15.75" customHeight="1">
      <c r="A3402" s="441"/>
      <c r="B3402" s="307"/>
      <c r="C3402" s="317"/>
      <c r="G3402" s="290"/>
      <c r="H3402" s="438"/>
      <c r="I3402" s="439"/>
      <c r="J3402" s="440"/>
      <c r="K3402" s="307"/>
      <c r="L3402" s="307"/>
      <c r="M3402" s="307"/>
      <c r="N3402" s="438"/>
      <c r="O3402" s="438"/>
      <c r="P3402" s="438"/>
    </row>
    <row r="3403" spans="1:16" ht="15.75" customHeight="1">
      <c r="A3403" s="441"/>
      <c r="B3403" s="307"/>
      <c r="C3403" s="317"/>
      <c r="G3403" s="290"/>
      <c r="H3403" s="438"/>
      <c r="I3403" s="439"/>
      <c r="J3403" s="440"/>
      <c r="K3403" s="307"/>
      <c r="L3403" s="307"/>
      <c r="M3403" s="307"/>
      <c r="N3403" s="438"/>
      <c r="O3403" s="438"/>
      <c r="P3403" s="438"/>
    </row>
    <row r="3404" spans="1:16" ht="15.75" customHeight="1">
      <c r="A3404" s="441"/>
      <c r="B3404" s="307"/>
      <c r="C3404" s="317"/>
      <c r="G3404" s="290"/>
      <c r="H3404" s="438"/>
      <c r="I3404" s="439"/>
      <c r="J3404" s="440"/>
      <c r="K3404" s="307"/>
      <c r="L3404" s="307"/>
      <c r="M3404" s="307"/>
      <c r="N3404" s="438"/>
      <c r="O3404" s="438"/>
      <c r="P3404" s="438"/>
    </row>
    <row r="3405" spans="1:16" ht="15.75" customHeight="1">
      <c r="A3405" s="441"/>
      <c r="B3405" s="307"/>
      <c r="C3405" s="317"/>
      <c r="G3405" s="290"/>
      <c r="H3405" s="438"/>
      <c r="I3405" s="439"/>
      <c r="J3405" s="440"/>
      <c r="K3405" s="307"/>
      <c r="L3405" s="307"/>
      <c r="M3405" s="307"/>
      <c r="N3405" s="438"/>
      <c r="O3405" s="438"/>
      <c r="P3405" s="438"/>
    </row>
    <row r="3406" spans="1:16" ht="15.75" customHeight="1">
      <c r="A3406" s="441"/>
      <c r="B3406" s="307"/>
      <c r="C3406" s="317"/>
      <c r="G3406" s="290"/>
      <c r="H3406" s="438"/>
      <c r="I3406" s="439"/>
      <c r="J3406" s="440"/>
      <c r="K3406" s="307"/>
      <c r="L3406" s="307"/>
      <c r="M3406" s="307"/>
      <c r="N3406" s="438"/>
      <c r="O3406" s="438"/>
      <c r="P3406" s="438"/>
    </row>
    <row r="3407" spans="1:16" ht="15.75" customHeight="1">
      <c r="A3407" s="441"/>
      <c r="B3407" s="307"/>
      <c r="C3407" s="317"/>
      <c r="G3407" s="290"/>
      <c r="H3407" s="438"/>
      <c r="I3407" s="439"/>
      <c r="J3407" s="440"/>
      <c r="K3407" s="307"/>
      <c r="L3407" s="307"/>
      <c r="M3407" s="307"/>
      <c r="N3407" s="438"/>
      <c r="O3407" s="438"/>
      <c r="P3407" s="438"/>
    </row>
    <row r="3408" spans="1:16" ht="15.75" customHeight="1">
      <c r="A3408" s="441"/>
      <c r="B3408" s="307"/>
      <c r="C3408" s="317"/>
      <c r="G3408" s="290"/>
      <c r="H3408" s="438"/>
      <c r="I3408" s="439"/>
      <c r="J3408" s="440"/>
      <c r="K3408" s="307"/>
      <c r="L3408" s="307"/>
      <c r="M3408" s="307"/>
      <c r="N3408" s="438"/>
      <c r="O3408" s="438"/>
      <c r="P3408" s="438"/>
    </row>
    <row r="3409" spans="1:16" ht="15.75" customHeight="1">
      <c r="A3409" s="441"/>
      <c r="B3409" s="307"/>
      <c r="C3409" s="317"/>
      <c r="G3409" s="290"/>
      <c r="H3409" s="438"/>
      <c r="I3409" s="439"/>
      <c r="J3409" s="440"/>
      <c r="K3409" s="307"/>
      <c r="L3409" s="307"/>
      <c r="M3409" s="307"/>
      <c r="N3409" s="438"/>
      <c r="O3409" s="438"/>
      <c r="P3409" s="438"/>
    </row>
    <row r="3410" spans="1:16" ht="15.75" customHeight="1">
      <c r="A3410" s="441"/>
      <c r="B3410" s="307"/>
      <c r="C3410" s="317"/>
      <c r="G3410" s="290"/>
      <c r="H3410" s="438"/>
      <c r="I3410" s="439"/>
      <c r="J3410" s="440"/>
      <c r="K3410" s="307"/>
      <c r="L3410" s="307"/>
      <c r="M3410" s="307"/>
      <c r="N3410" s="438"/>
      <c r="O3410" s="438"/>
      <c r="P3410" s="438"/>
    </row>
    <row r="3411" spans="1:16" ht="15.75" customHeight="1">
      <c r="A3411" s="441"/>
      <c r="B3411" s="307"/>
      <c r="C3411" s="317"/>
      <c r="G3411" s="290"/>
      <c r="H3411" s="438"/>
      <c r="I3411" s="439"/>
      <c r="J3411" s="440"/>
      <c r="K3411" s="307"/>
      <c r="L3411" s="307"/>
      <c r="M3411" s="307"/>
      <c r="N3411" s="438"/>
      <c r="O3411" s="438"/>
      <c r="P3411" s="438"/>
    </row>
    <row r="3412" spans="1:16" ht="15.75" customHeight="1">
      <c r="A3412" s="441"/>
      <c r="B3412" s="307"/>
      <c r="C3412" s="317"/>
      <c r="G3412" s="290"/>
      <c r="H3412" s="438"/>
      <c r="I3412" s="439"/>
      <c r="J3412" s="440"/>
      <c r="K3412" s="307"/>
      <c r="L3412" s="307"/>
      <c r="M3412" s="307"/>
      <c r="N3412" s="438"/>
      <c r="O3412" s="438"/>
      <c r="P3412" s="438"/>
    </row>
    <row r="3413" spans="1:16" ht="15.75" customHeight="1">
      <c r="A3413" s="441"/>
      <c r="B3413" s="307"/>
      <c r="C3413" s="317"/>
      <c r="G3413" s="290"/>
      <c r="H3413" s="438"/>
      <c r="I3413" s="439"/>
      <c r="J3413" s="440"/>
      <c r="K3413" s="307"/>
      <c r="L3413" s="307"/>
      <c r="M3413" s="307"/>
      <c r="N3413" s="438"/>
      <c r="O3413" s="438"/>
      <c r="P3413" s="438"/>
    </row>
    <row r="3414" spans="1:16" ht="15.75" customHeight="1">
      <c r="A3414" s="441"/>
      <c r="B3414" s="307"/>
      <c r="C3414" s="317"/>
      <c r="G3414" s="290"/>
      <c r="H3414" s="438"/>
      <c r="I3414" s="439"/>
      <c r="J3414" s="440"/>
      <c r="K3414" s="307"/>
      <c r="L3414" s="307"/>
      <c r="M3414" s="307"/>
      <c r="N3414" s="438"/>
      <c r="O3414" s="438"/>
      <c r="P3414" s="438"/>
    </row>
    <row r="3415" spans="1:16" ht="15.75" customHeight="1">
      <c r="A3415" s="441"/>
      <c r="B3415" s="307"/>
      <c r="C3415" s="317"/>
      <c r="G3415" s="290"/>
      <c r="H3415" s="438"/>
      <c r="I3415" s="439"/>
      <c r="J3415" s="440"/>
      <c r="K3415" s="307"/>
      <c r="L3415" s="307"/>
      <c r="M3415" s="307"/>
      <c r="N3415" s="438"/>
      <c r="O3415" s="438"/>
      <c r="P3415" s="438"/>
    </row>
    <row r="3416" spans="1:16" ht="15.75" customHeight="1">
      <c r="A3416" s="441"/>
      <c r="B3416" s="307"/>
      <c r="C3416" s="317"/>
      <c r="G3416" s="290"/>
      <c r="H3416" s="438"/>
      <c r="I3416" s="439"/>
      <c r="J3416" s="440"/>
      <c r="K3416" s="307"/>
      <c r="L3416" s="307"/>
      <c r="M3416" s="307"/>
      <c r="N3416" s="438"/>
      <c r="O3416" s="438"/>
      <c r="P3416" s="438"/>
    </row>
    <row r="3417" spans="1:16" ht="15.75" customHeight="1">
      <c r="A3417" s="441"/>
      <c r="B3417" s="307"/>
      <c r="C3417" s="317"/>
      <c r="G3417" s="290"/>
      <c r="H3417" s="438"/>
      <c r="I3417" s="439"/>
      <c r="J3417" s="440"/>
      <c r="K3417" s="307"/>
      <c r="L3417" s="307"/>
      <c r="M3417" s="307"/>
      <c r="N3417" s="438"/>
      <c r="O3417" s="438"/>
      <c r="P3417" s="438"/>
    </row>
    <row r="3418" spans="1:16" ht="15.75" customHeight="1">
      <c r="A3418" s="441"/>
      <c r="B3418" s="307"/>
      <c r="C3418" s="317"/>
      <c r="G3418" s="290"/>
      <c r="H3418" s="438"/>
      <c r="I3418" s="439"/>
      <c r="J3418" s="440"/>
      <c r="K3418" s="307"/>
      <c r="L3418" s="307"/>
      <c r="M3418" s="307"/>
      <c r="N3418" s="438"/>
      <c r="O3418" s="438"/>
      <c r="P3418" s="438"/>
    </row>
    <row r="3419" spans="1:16" ht="15.75" customHeight="1">
      <c r="A3419" s="441"/>
      <c r="B3419" s="307"/>
      <c r="C3419" s="317"/>
      <c r="G3419" s="290"/>
      <c r="H3419" s="438"/>
      <c r="I3419" s="439"/>
      <c r="J3419" s="440"/>
      <c r="K3419" s="307"/>
      <c r="L3419" s="307"/>
      <c r="M3419" s="307"/>
      <c r="N3419" s="438"/>
      <c r="O3419" s="438"/>
      <c r="P3419" s="438"/>
    </row>
    <row r="3420" spans="1:16" ht="15.75" customHeight="1">
      <c r="A3420" s="441"/>
      <c r="B3420" s="307"/>
      <c r="C3420" s="317"/>
      <c r="G3420" s="290"/>
      <c r="H3420" s="438"/>
      <c r="I3420" s="439"/>
      <c r="J3420" s="440"/>
      <c r="K3420" s="307"/>
      <c r="L3420" s="307"/>
      <c r="M3420" s="307"/>
      <c r="N3420" s="438"/>
      <c r="O3420" s="438"/>
      <c r="P3420" s="438"/>
    </row>
    <row r="3421" spans="1:16" ht="15.75" customHeight="1">
      <c r="A3421" s="441"/>
      <c r="B3421" s="307"/>
      <c r="C3421" s="317"/>
      <c r="G3421" s="290"/>
      <c r="H3421" s="438"/>
      <c r="I3421" s="439"/>
      <c r="J3421" s="440"/>
      <c r="K3421" s="307"/>
      <c r="L3421" s="307"/>
      <c r="M3421" s="307"/>
      <c r="N3421" s="438"/>
      <c r="O3421" s="438"/>
      <c r="P3421" s="438"/>
    </row>
    <row r="3422" spans="1:16" ht="15.75" customHeight="1">
      <c r="A3422" s="441"/>
      <c r="B3422" s="307"/>
      <c r="C3422" s="317"/>
      <c r="G3422" s="290"/>
      <c r="H3422" s="438"/>
      <c r="I3422" s="439"/>
      <c r="J3422" s="440"/>
      <c r="K3422" s="307"/>
      <c r="L3422" s="307"/>
      <c r="M3422" s="307"/>
      <c r="N3422" s="438"/>
      <c r="O3422" s="438"/>
      <c r="P3422" s="438"/>
    </row>
    <row r="3423" spans="1:16" ht="15.75" customHeight="1">
      <c r="A3423" s="441"/>
      <c r="B3423" s="307"/>
      <c r="C3423" s="317"/>
      <c r="G3423" s="290"/>
      <c r="H3423" s="438"/>
      <c r="I3423" s="439"/>
      <c r="J3423" s="440"/>
      <c r="K3423" s="307"/>
      <c r="L3423" s="307"/>
      <c r="M3423" s="307"/>
      <c r="N3423" s="438"/>
      <c r="O3423" s="438"/>
      <c r="P3423" s="438"/>
    </row>
    <row r="3424" spans="1:16" ht="15.75" customHeight="1">
      <c r="A3424" s="441"/>
      <c r="B3424" s="307"/>
      <c r="C3424" s="317"/>
      <c r="G3424" s="290"/>
      <c r="H3424" s="438"/>
      <c r="I3424" s="439"/>
      <c r="J3424" s="440"/>
      <c r="K3424" s="307"/>
      <c r="L3424" s="307"/>
      <c r="M3424" s="307"/>
      <c r="N3424" s="438"/>
      <c r="O3424" s="438"/>
      <c r="P3424" s="438"/>
    </row>
    <row r="3425" spans="1:16" ht="15.75" customHeight="1">
      <c r="A3425" s="441"/>
      <c r="B3425" s="307"/>
      <c r="C3425" s="317"/>
      <c r="G3425" s="290"/>
      <c r="H3425" s="438"/>
      <c r="I3425" s="439"/>
      <c r="J3425" s="440"/>
      <c r="K3425" s="307"/>
      <c r="L3425" s="307"/>
      <c r="M3425" s="307"/>
      <c r="N3425" s="438"/>
      <c r="O3425" s="438"/>
      <c r="P3425" s="438"/>
    </row>
    <row r="3426" spans="1:16" ht="15.75" customHeight="1">
      <c r="A3426" s="441"/>
      <c r="B3426" s="307"/>
      <c r="C3426" s="317"/>
      <c r="G3426" s="290"/>
      <c r="H3426" s="438"/>
      <c r="I3426" s="439"/>
      <c r="J3426" s="440"/>
      <c r="K3426" s="307"/>
      <c r="L3426" s="307"/>
      <c r="M3426" s="307"/>
      <c r="N3426" s="438"/>
      <c r="O3426" s="438"/>
      <c r="P3426" s="438"/>
    </row>
    <row r="3427" spans="1:16" ht="15.75" customHeight="1">
      <c r="A3427" s="441"/>
      <c r="B3427" s="307"/>
      <c r="C3427" s="317"/>
      <c r="G3427" s="290"/>
      <c r="H3427" s="438"/>
      <c r="I3427" s="439"/>
      <c r="J3427" s="440"/>
      <c r="K3427" s="307"/>
      <c r="L3427" s="307"/>
      <c r="M3427" s="307"/>
      <c r="N3427" s="438"/>
      <c r="O3427" s="438"/>
      <c r="P3427" s="438"/>
    </row>
    <row r="3428" spans="1:16" ht="15.75" customHeight="1">
      <c r="A3428" s="441"/>
      <c r="B3428" s="307"/>
      <c r="C3428" s="317"/>
      <c r="G3428" s="290"/>
      <c r="H3428" s="438"/>
      <c r="I3428" s="439"/>
      <c r="J3428" s="440"/>
      <c r="K3428" s="307"/>
      <c r="L3428" s="307"/>
      <c r="M3428" s="307"/>
      <c r="N3428" s="438"/>
      <c r="O3428" s="438"/>
      <c r="P3428" s="438"/>
    </row>
    <row r="3429" spans="1:16" ht="15.75" customHeight="1">
      <c r="A3429" s="441"/>
      <c r="B3429" s="307"/>
      <c r="C3429" s="317"/>
      <c r="G3429" s="290"/>
      <c r="H3429" s="438"/>
      <c r="I3429" s="439"/>
      <c r="J3429" s="440"/>
      <c r="K3429" s="307"/>
      <c r="L3429" s="307"/>
      <c r="M3429" s="307"/>
      <c r="N3429" s="438"/>
      <c r="O3429" s="438"/>
      <c r="P3429" s="438"/>
    </row>
    <row r="3430" spans="1:16" ht="15.75" customHeight="1">
      <c r="A3430" s="441"/>
      <c r="B3430" s="307"/>
      <c r="C3430" s="317"/>
      <c r="G3430" s="290"/>
      <c r="H3430" s="438"/>
      <c r="I3430" s="439"/>
      <c r="J3430" s="440"/>
      <c r="K3430" s="307"/>
      <c r="L3430" s="307"/>
      <c r="M3430" s="307"/>
      <c r="N3430" s="438"/>
      <c r="O3430" s="438"/>
      <c r="P3430" s="438"/>
    </row>
    <row r="3431" spans="1:16" ht="15.75" customHeight="1">
      <c r="A3431" s="441"/>
      <c r="B3431" s="307"/>
      <c r="C3431" s="317"/>
      <c r="G3431" s="290"/>
      <c r="H3431" s="438"/>
      <c r="I3431" s="439"/>
      <c r="J3431" s="440"/>
      <c r="K3431" s="307"/>
      <c r="L3431" s="307"/>
      <c r="M3431" s="307"/>
      <c r="N3431" s="438"/>
      <c r="O3431" s="438"/>
      <c r="P3431" s="438"/>
    </row>
    <row r="3432" spans="1:16" ht="15.75" customHeight="1">
      <c r="A3432" s="441"/>
      <c r="B3432" s="307"/>
      <c r="C3432" s="317"/>
      <c r="G3432" s="290"/>
      <c r="H3432" s="438"/>
      <c r="I3432" s="439"/>
      <c r="J3432" s="440"/>
      <c r="K3432" s="307"/>
      <c r="L3432" s="307"/>
      <c r="M3432" s="307"/>
      <c r="N3432" s="438"/>
      <c r="O3432" s="438"/>
      <c r="P3432" s="438"/>
    </row>
    <row r="3433" spans="1:16" ht="15.75" customHeight="1">
      <c r="A3433" s="441"/>
      <c r="B3433" s="307"/>
      <c r="C3433" s="317"/>
      <c r="G3433" s="290"/>
      <c r="H3433" s="438"/>
      <c r="I3433" s="439"/>
      <c r="J3433" s="440"/>
      <c r="K3433" s="307"/>
      <c r="L3433" s="307"/>
      <c r="M3433" s="307"/>
      <c r="N3433" s="438"/>
      <c r="O3433" s="438"/>
      <c r="P3433" s="438"/>
    </row>
    <row r="3434" spans="1:16" ht="15.75" customHeight="1">
      <c r="A3434" s="441"/>
      <c r="B3434" s="307"/>
      <c r="C3434" s="317"/>
      <c r="G3434" s="290"/>
      <c r="H3434" s="438"/>
      <c r="I3434" s="439"/>
      <c r="J3434" s="440"/>
      <c r="K3434" s="307"/>
      <c r="L3434" s="307"/>
      <c r="M3434" s="307"/>
      <c r="N3434" s="438"/>
      <c r="O3434" s="438"/>
      <c r="P3434" s="438"/>
    </row>
    <row r="3435" spans="1:16" ht="15.75" customHeight="1">
      <c r="A3435" s="441"/>
      <c r="B3435" s="307"/>
      <c r="C3435" s="317"/>
      <c r="G3435" s="290"/>
      <c r="H3435" s="438"/>
      <c r="I3435" s="439"/>
      <c r="J3435" s="440"/>
      <c r="K3435" s="307"/>
      <c r="L3435" s="307"/>
      <c r="M3435" s="307"/>
      <c r="N3435" s="438"/>
      <c r="O3435" s="438"/>
      <c r="P3435" s="438"/>
    </row>
    <row r="3436" spans="1:16" ht="15.75" customHeight="1">
      <c r="A3436" s="441"/>
      <c r="B3436" s="307"/>
      <c r="C3436" s="317"/>
      <c r="G3436" s="290"/>
      <c r="H3436" s="438"/>
      <c r="I3436" s="439"/>
      <c r="J3436" s="440"/>
      <c r="K3436" s="307"/>
      <c r="L3436" s="307"/>
      <c r="M3436" s="307"/>
      <c r="N3436" s="438"/>
      <c r="O3436" s="438"/>
      <c r="P3436" s="438"/>
    </row>
    <row r="3437" spans="1:16" ht="15.75" customHeight="1">
      <c r="A3437" s="441"/>
      <c r="B3437" s="307"/>
      <c r="C3437" s="317"/>
      <c r="G3437" s="290"/>
      <c r="H3437" s="438"/>
      <c r="I3437" s="439"/>
      <c r="J3437" s="440"/>
      <c r="K3437" s="307"/>
      <c r="L3437" s="307"/>
      <c r="M3437" s="307"/>
      <c r="N3437" s="438"/>
      <c r="O3437" s="438"/>
      <c r="P3437" s="438"/>
    </row>
    <row r="3438" spans="1:16" ht="15.75" customHeight="1">
      <c r="A3438" s="441"/>
      <c r="B3438" s="307"/>
      <c r="C3438" s="317"/>
      <c r="G3438" s="290"/>
      <c r="H3438" s="438"/>
      <c r="I3438" s="439"/>
      <c r="J3438" s="440"/>
      <c r="K3438" s="307"/>
      <c r="L3438" s="307"/>
      <c r="M3438" s="307"/>
      <c r="N3438" s="438"/>
      <c r="O3438" s="438"/>
      <c r="P3438" s="438"/>
    </row>
    <row r="3439" spans="1:16" ht="15.75" customHeight="1">
      <c r="A3439" s="441"/>
      <c r="B3439" s="307"/>
      <c r="C3439" s="317"/>
      <c r="G3439" s="290"/>
      <c r="H3439" s="438"/>
      <c r="I3439" s="439"/>
      <c r="J3439" s="440"/>
      <c r="K3439" s="307"/>
      <c r="L3439" s="307"/>
      <c r="M3439" s="307"/>
      <c r="N3439" s="438"/>
      <c r="O3439" s="438"/>
      <c r="P3439" s="438"/>
    </row>
    <row r="3440" spans="1:16" ht="15.75" customHeight="1">
      <c r="A3440" s="441"/>
      <c r="B3440" s="307"/>
      <c r="C3440" s="317"/>
      <c r="G3440" s="290"/>
      <c r="H3440" s="438"/>
      <c r="I3440" s="439"/>
      <c r="J3440" s="440"/>
      <c r="K3440" s="307"/>
      <c r="L3440" s="307"/>
      <c r="M3440" s="307"/>
      <c r="N3440" s="438"/>
      <c r="O3440" s="438"/>
      <c r="P3440" s="438"/>
    </row>
    <row r="3441" spans="1:16" ht="15.75" customHeight="1">
      <c r="A3441" s="441"/>
      <c r="B3441" s="307"/>
      <c r="C3441" s="317"/>
      <c r="G3441" s="290"/>
      <c r="H3441" s="438"/>
      <c r="I3441" s="439"/>
      <c r="J3441" s="440"/>
      <c r="K3441" s="307"/>
      <c r="L3441" s="307"/>
      <c r="M3441" s="307"/>
      <c r="N3441" s="438"/>
      <c r="O3441" s="438"/>
      <c r="P3441" s="438"/>
    </row>
    <row r="3442" spans="1:16" ht="15.75" customHeight="1">
      <c r="A3442" s="441"/>
      <c r="B3442" s="307"/>
      <c r="C3442" s="317"/>
      <c r="G3442" s="290"/>
      <c r="H3442" s="438"/>
      <c r="I3442" s="439"/>
      <c r="J3442" s="440"/>
      <c r="K3442" s="307"/>
      <c r="L3442" s="307"/>
      <c r="M3442" s="307"/>
      <c r="N3442" s="438"/>
      <c r="O3442" s="438"/>
      <c r="P3442" s="438"/>
    </row>
    <row r="3443" spans="1:16" ht="15.75" customHeight="1">
      <c r="A3443" s="441"/>
      <c r="B3443" s="307"/>
      <c r="C3443" s="317"/>
      <c r="G3443" s="290"/>
      <c r="H3443" s="438"/>
      <c r="I3443" s="439"/>
      <c r="J3443" s="440"/>
      <c r="K3443" s="307"/>
      <c r="L3443" s="307"/>
      <c r="M3443" s="307"/>
      <c r="N3443" s="438"/>
      <c r="O3443" s="438"/>
      <c r="P3443" s="438"/>
    </row>
    <row r="3444" spans="1:16" ht="15.75" customHeight="1">
      <c r="A3444" s="441"/>
      <c r="B3444" s="307"/>
      <c r="C3444" s="317"/>
      <c r="G3444" s="290"/>
      <c r="H3444" s="438"/>
      <c r="I3444" s="439"/>
      <c r="J3444" s="440"/>
      <c r="K3444" s="307"/>
      <c r="L3444" s="307"/>
      <c r="M3444" s="307"/>
      <c r="N3444" s="438"/>
      <c r="O3444" s="438"/>
      <c r="P3444" s="438"/>
    </row>
    <row r="3445" spans="1:16" ht="15.75" customHeight="1">
      <c r="A3445" s="441"/>
      <c r="B3445" s="307"/>
      <c r="C3445" s="317"/>
      <c r="G3445" s="290"/>
      <c r="H3445" s="438"/>
      <c r="I3445" s="439"/>
      <c r="J3445" s="440"/>
      <c r="K3445" s="307"/>
      <c r="L3445" s="307"/>
      <c r="M3445" s="307"/>
      <c r="N3445" s="438"/>
      <c r="O3445" s="438"/>
      <c r="P3445" s="438"/>
    </row>
    <row r="3446" spans="1:16" ht="15.75" customHeight="1">
      <c r="A3446" s="441"/>
      <c r="B3446" s="307"/>
      <c r="C3446" s="317"/>
      <c r="G3446" s="290"/>
      <c r="H3446" s="438"/>
      <c r="I3446" s="439"/>
      <c r="J3446" s="440"/>
      <c r="K3446" s="307"/>
      <c r="L3446" s="307"/>
      <c r="M3446" s="307"/>
      <c r="N3446" s="438"/>
      <c r="O3446" s="438"/>
      <c r="P3446" s="438"/>
    </row>
    <row r="3447" spans="1:16" ht="15.75" customHeight="1">
      <c r="A3447" s="441"/>
      <c r="B3447" s="307"/>
      <c r="C3447" s="317"/>
      <c r="G3447" s="290"/>
      <c r="H3447" s="438"/>
      <c r="I3447" s="439"/>
      <c r="J3447" s="440"/>
      <c r="K3447" s="307"/>
      <c r="L3447" s="307"/>
      <c r="M3447" s="307"/>
      <c r="N3447" s="438"/>
      <c r="O3447" s="438"/>
      <c r="P3447" s="438"/>
    </row>
    <row r="3448" spans="1:16" ht="15.75" customHeight="1">
      <c r="A3448" s="441"/>
      <c r="B3448" s="307"/>
      <c r="C3448" s="317"/>
      <c r="G3448" s="290"/>
      <c r="H3448" s="438"/>
      <c r="I3448" s="439"/>
      <c r="J3448" s="440"/>
      <c r="K3448" s="307"/>
      <c r="L3448" s="307"/>
      <c r="M3448" s="307"/>
      <c r="N3448" s="438"/>
      <c r="O3448" s="438"/>
      <c r="P3448" s="438"/>
    </row>
    <row r="3449" spans="1:16" ht="15.75" customHeight="1">
      <c r="A3449" s="441"/>
      <c r="B3449" s="307"/>
      <c r="C3449" s="317"/>
      <c r="G3449" s="290"/>
      <c r="H3449" s="438"/>
      <c r="I3449" s="439"/>
      <c r="J3449" s="440"/>
      <c r="K3449" s="307"/>
      <c r="L3449" s="307"/>
      <c r="M3449" s="307"/>
      <c r="N3449" s="438"/>
      <c r="O3449" s="438"/>
      <c r="P3449" s="438"/>
    </row>
    <row r="3450" spans="1:16" ht="15.75" customHeight="1">
      <c r="A3450" s="441"/>
      <c r="B3450" s="307"/>
      <c r="C3450" s="317"/>
      <c r="G3450" s="290"/>
      <c r="H3450" s="438"/>
      <c r="I3450" s="439"/>
      <c r="J3450" s="440"/>
      <c r="K3450" s="307"/>
      <c r="L3450" s="307"/>
      <c r="M3450" s="307"/>
      <c r="N3450" s="438"/>
      <c r="O3450" s="438"/>
      <c r="P3450" s="438"/>
    </row>
    <row r="3451" spans="1:16" ht="15.75" customHeight="1">
      <c r="A3451" s="441"/>
      <c r="B3451" s="307"/>
      <c r="C3451" s="317"/>
      <c r="G3451" s="290"/>
      <c r="H3451" s="438"/>
      <c r="I3451" s="439"/>
      <c r="J3451" s="440"/>
      <c r="K3451" s="307"/>
      <c r="L3451" s="307"/>
      <c r="M3451" s="307"/>
      <c r="N3451" s="438"/>
      <c r="O3451" s="438"/>
      <c r="P3451" s="438"/>
    </row>
    <row r="3452" spans="1:16" ht="15.75" customHeight="1">
      <c r="A3452" s="441"/>
      <c r="B3452" s="307"/>
      <c r="C3452" s="317"/>
      <c r="G3452" s="290"/>
      <c r="H3452" s="438"/>
      <c r="I3452" s="439"/>
      <c r="J3452" s="440"/>
      <c r="K3452" s="307"/>
      <c r="L3452" s="307"/>
      <c r="M3452" s="307"/>
      <c r="N3452" s="438"/>
      <c r="O3452" s="438"/>
      <c r="P3452" s="438"/>
    </row>
    <row r="3453" spans="1:16" ht="15.75" customHeight="1">
      <c r="A3453" s="441"/>
      <c r="B3453" s="307"/>
      <c r="C3453" s="317"/>
      <c r="G3453" s="290"/>
      <c r="H3453" s="438"/>
      <c r="I3453" s="439"/>
      <c r="J3453" s="440"/>
      <c r="K3453" s="307"/>
      <c r="L3453" s="307"/>
      <c r="M3453" s="307"/>
      <c r="N3453" s="438"/>
      <c r="O3453" s="438"/>
      <c r="P3453" s="438"/>
    </row>
    <row r="3454" spans="1:16" ht="15.75" customHeight="1">
      <c r="A3454" s="441"/>
      <c r="B3454" s="307"/>
      <c r="C3454" s="317"/>
      <c r="G3454" s="290"/>
      <c r="H3454" s="438"/>
      <c r="I3454" s="439"/>
      <c r="J3454" s="440"/>
      <c r="K3454" s="307"/>
      <c r="L3454" s="307"/>
      <c r="M3454" s="307"/>
      <c r="N3454" s="438"/>
      <c r="O3454" s="438"/>
      <c r="P3454" s="438"/>
    </row>
    <row r="3455" spans="1:16" ht="15.75" customHeight="1">
      <c r="A3455" s="441"/>
      <c r="B3455" s="307"/>
      <c r="C3455" s="317"/>
      <c r="G3455" s="290"/>
      <c r="H3455" s="438"/>
      <c r="I3455" s="439"/>
      <c r="J3455" s="440"/>
      <c r="K3455" s="307"/>
      <c r="L3455" s="307"/>
      <c r="M3455" s="307"/>
      <c r="N3455" s="438"/>
      <c r="O3455" s="438"/>
      <c r="P3455" s="438"/>
    </row>
    <row r="3456" spans="1:16" ht="15.75" customHeight="1">
      <c r="A3456" s="441"/>
      <c r="B3456" s="307"/>
      <c r="C3456" s="317"/>
      <c r="G3456" s="290"/>
      <c r="H3456" s="438"/>
      <c r="I3456" s="439"/>
      <c r="J3456" s="440"/>
      <c r="K3456" s="307"/>
      <c r="L3456" s="307"/>
      <c r="M3456" s="307"/>
      <c r="N3456" s="438"/>
      <c r="O3456" s="438"/>
      <c r="P3456" s="438"/>
    </row>
    <row r="3457" spans="1:16" ht="15.75" customHeight="1">
      <c r="A3457" s="441"/>
      <c r="B3457" s="307"/>
      <c r="C3457" s="317"/>
      <c r="G3457" s="290"/>
      <c r="H3457" s="438"/>
      <c r="I3457" s="439"/>
      <c r="J3457" s="440"/>
      <c r="K3457" s="307"/>
      <c r="L3457" s="307"/>
      <c r="M3457" s="307"/>
      <c r="N3457" s="438"/>
      <c r="O3457" s="438"/>
      <c r="P3457" s="438"/>
    </row>
    <row r="3458" spans="1:16" ht="15.75" customHeight="1">
      <c r="A3458" s="441"/>
      <c r="B3458" s="307"/>
      <c r="C3458" s="317"/>
      <c r="G3458" s="290"/>
      <c r="H3458" s="438"/>
      <c r="I3458" s="439"/>
      <c r="J3458" s="440"/>
      <c r="K3458" s="307"/>
      <c r="L3458" s="307"/>
      <c r="M3458" s="307"/>
      <c r="N3458" s="438"/>
      <c r="O3458" s="438"/>
      <c r="P3458" s="438"/>
    </row>
    <row r="3459" spans="1:16" ht="15.75" customHeight="1">
      <c r="A3459" s="441"/>
      <c r="B3459" s="307"/>
      <c r="C3459" s="317"/>
      <c r="G3459" s="290"/>
      <c r="H3459" s="438"/>
      <c r="I3459" s="439"/>
      <c r="J3459" s="440"/>
      <c r="K3459" s="307"/>
      <c r="L3459" s="307"/>
      <c r="M3459" s="307"/>
      <c r="N3459" s="438"/>
      <c r="O3459" s="438"/>
      <c r="P3459" s="438"/>
    </row>
    <row r="3460" spans="1:16" ht="15.75" customHeight="1">
      <c r="A3460" s="441"/>
      <c r="B3460" s="307"/>
      <c r="C3460" s="317"/>
      <c r="G3460" s="290"/>
      <c r="H3460" s="438"/>
      <c r="I3460" s="439"/>
      <c r="J3460" s="440"/>
      <c r="K3460" s="307"/>
      <c r="L3460" s="307"/>
      <c r="M3460" s="307"/>
      <c r="N3460" s="438"/>
      <c r="O3460" s="438"/>
      <c r="P3460" s="438"/>
    </row>
    <row r="3461" spans="1:16" ht="15.75" customHeight="1">
      <c r="A3461" s="441"/>
      <c r="B3461" s="307"/>
      <c r="C3461" s="317"/>
      <c r="G3461" s="290"/>
      <c r="H3461" s="438"/>
      <c r="I3461" s="439"/>
      <c r="J3461" s="440"/>
      <c r="K3461" s="307"/>
      <c r="L3461" s="307"/>
      <c r="M3461" s="307"/>
      <c r="N3461" s="438"/>
      <c r="O3461" s="438"/>
      <c r="P3461" s="438"/>
    </row>
    <row r="3462" spans="1:16" ht="15.75" customHeight="1">
      <c r="A3462" s="441"/>
      <c r="B3462" s="307"/>
      <c r="C3462" s="317"/>
      <c r="G3462" s="290"/>
      <c r="H3462" s="438"/>
      <c r="I3462" s="439"/>
      <c r="J3462" s="440"/>
      <c r="K3462" s="307"/>
      <c r="L3462" s="307"/>
      <c r="M3462" s="307"/>
      <c r="N3462" s="438"/>
      <c r="O3462" s="438"/>
      <c r="P3462" s="438"/>
    </row>
    <row r="3463" spans="1:16" ht="15.75" customHeight="1">
      <c r="A3463" s="441"/>
      <c r="B3463" s="307"/>
      <c r="C3463" s="317"/>
      <c r="G3463" s="290"/>
      <c r="H3463" s="438"/>
      <c r="I3463" s="439"/>
      <c r="J3463" s="440"/>
      <c r="K3463" s="307"/>
      <c r="L3463" s="307"/>
      <c r="M3463" s="307"/>
      <c r="N3463" s="438"/>
      <c r="O3463" s="438"/>
      <c r="P3463" s="438"/>
    </row>
    <row r="3464" spans="1:16" ht="15.75" customHeight="1">
      <c r="A3464" s="441"/>
      <c r="B3464" s="307"/>
      <c r="C3464" s="317"/>
      <c r="G3464" s="290"/>
      <c r="H3464" s="438"/>
      <c r="I3464" s="439"/>
      <c r="J3464" s="440"/>
      <c r="K3464" s="307"/>
      <c r="L3464" s="307"/>
      <c r="M3464" s="307"/>
      <c r="N3464" s="438"/>
      <c r="O3464" s="438"/>
      <c r="P3464" s="438"/>
    </row>
    <row r="3465" spans="1:16" ht="15.75" customHeight="1">
      <c r="A3465" s="441"/>
      <c r="B3465" s="307"/>
      <c r="C3465" s="317"/>
      <c r="G3465" s="290"/>
      <c r="H3465" s="438"/>
      <c r="I3465" s="439"/>
      <c r="J3465" s="440"/>
      <c r="K3465" s="307"/>
      <c r="L3465" s="307"/>
      <c r="M3465" s="307"/>
      <c r="N3465" s="438"/>
      <c r="O3465" s="438"/>
      <c r="P3465" s="438"/>
    </row>
    <row r="3466" spans="1:16" ht="15.75" customHeight="1">
      <c r="A3466" s="441"/>
      <c r="B3466" s="307"/>
      <c r="C3466" s="317"/>
      <c r="G3466" s="290"/>
      <c r="H3466" s="438"/>
      <c r="I3466" s="439"/>
      <c r="J3466" s="440"/>
      <c r="K3466" s="307"/>
      <c r="L3466" s="307"/>
      <c r="M3466" s="307"/>
      <c r="N3466" s="438"/>
      <c r="O3466" s="438"/>
      <c r="P3466" s="438"/>
    </row>
    <row r="3467" spans="1:16" ht="15.75" customHeight="1">
      <c r="A3467" s="441"/>
      <c r="B3467" s="307"/>
      <c r="C3467" s="317"/>
      <c r="G3467" s="290"/>
      <c r="H3467" s="438"/>
      <c r="I3467" s="439"/>
      <c r="J3467" s="440"/>
      <c r="K3467" s="307"/>
      <c r="L3467" s="307"/>
      <c r="M3467" s="307"/>
      <c r="N3467" s="438"/>
      <c r="O3467" s="438"/>
      <c r="P3467" s="438"/>
    </row>
    <row r="3468" spans="1:16" ht="15.75" customHeight="1">
      <c r="A3468" s="441"/>
      <c r="B3468" s="307"/>
      <c r="C3468" s="317"/>
      <c r="G3468" s="290"/>
      <c r="H3468" s="438"/>
      <c r="I3468" s="439"/>
      <c r="J3468" s="440"/>
      <c r="K3468" s="307"/>
      <c r="L3468" s="307"/>
      <c r="M3468" s="307"/>
      <c r="N3468" s="438"/>
      <c r="O3468" s="438"/>
      <c r="P3468" s="438"/>
    </row>
    <row r="3469" spans="1:16" ht="15.75" customHeight="1">
      <c r="A3469" s="441"/>
      <c r="B3469" s="307"/>
      <c r="C3469" s="317"/>
      <c r="G3469" s="290"/>
      <c r="H3469" s="438"/>
      <c r="I3469" s="439"/>
      <c r="J3469" s="440"/>
      <c r="K3469" s="307"/>
      <c r="L3469" s="307"/>
      <c r="M3469" s="307"/>
      <c r="N3469" s="438"/>
      <c r="O3469" s="438"/>
      <c r="P3469" s="438"/>
    </row>
    <row r="3470" spans="1:16" ht="15.75" customHeight="1">
      <c r="A3470" s="441"/>
      <c r="B3470" s="307"/>
      <c r="C3470" s="317"/>
      <c r="G3470" s="290"/>
      <c r="H3470" s="438"/>
      <c r="I3470" s="439"/>
      <c r="J3470" s="440"/>
      <c r="K3470" s="307"/>
      <c r="L3470" s="307"/>
      <c r="M3470" s="307"/>
      <c r="N3470" s="438"/>
      <c r="O3470" s="438"/>
      <c r="P3470" s="438"/>
    </row>
    <row r="3471" spans="1:16" ht="15.75" customHeight="1">
      <c r="A3471" s="441"/>
      <c r="B3471" s="307"/>
      <c r="C3471" s="317"/>
      <c r="G3471" s="290"/>
      <c r="H3471" s="438"/>
      <c r="I3471" s="439"/>
      <c r="J3471" s="440"/>
      <c r="K3471" s="307"/>
      <c r="L3471" s="307"/>
      <c r="M3471" s="307"/>
      <c r="N3471" s="438"/>
      <c r="O3471" s="438"/>
      <c r="P3471" s="438"/>
    </row>
    <row r="3472" spans="1:16" ht="15.75" customHeight="1">
      <c r="A3472" s="441"/>
      <c r="B3472" s="307"/>
      <c r="C3472" s="317"/>
      <c r="G3472" s="290"/>
      <c r="H3472" s="438"/>
      <c r="I3472" s="439"/>
      <c r="J3472" s="440"/>
      <c r="K3472" s="307"/>
      <c r="L3472" s="307"/>
      <c r="M3472" s="307"/>
      <c r="N3472" s="438"/>
      <c r="O3472" s="438"/>
      <c r="P3472" s="438"/>
    </row>
    <row r="3473" spans="1:16" ht="15.75" customHeight="1">
      <c r="A3473" s="441"/>
      <c r="B3473" s="307"/>
      <c r="C3473" s="317"/>
      <c r="G3473" s="290"/>
      <c r="H3473" s="438"/>
      <c r="I3473" s="439"/>
      <c r="J3473" s="440"/>
      <c r="K3473" s="307"/>
      <c r="L3473" s="307"/>
      <c r="M3473" s="307"/>
      <c r="N3473" s="438"/>
      <c r="O3473" s="438"/>
      <c r="P3473" s="438"/>
    </row>
    <row r="3474" spans="1:16" ht="15.75" customHeight="1">
      <c r="A3474" s="441"/>
      <c r="B3474" s="307"/>
      <c r="C3474" s="317"/>
      <c r="G3474" s="290"/>
      <c r="H3474" s="438"/>
      <c r="I3474" s="439"/>
      <c r="J3474" s="440"/>
      <c r="K3474" s="307"/>
      <c r="L3474" s="307"/>
      <c r="M3474" s="307"/>
      <c r="N3474" s="438"/>
      <c r="O3474" s="438"/>
      <c r="P3474" s="438"/>
    </row>
    <row r="3475" spans="1:16" ht="15.75" customHeight="1">
      <c r="A3475" s="441"/>
      <c r="B3475" s="307"/>
      <c r="C3475" s="317"/>
      <c r="G3475" s="290"/>
      <c r="H3475" s="438"/>
      <c r="I3475" s="439"/>
      <c r="J3475" s="440"/>
      <c r="K3475" s="307"/>
      <c r="L3475" s="307"/>
      <c r="M3475" s="307"/>
      <c r="N3475" s="438"/>
      <c r="O3475" s="438"/>
      <c r="P3475" s="438"/>
    </row>
    <row r="3476" spans="1:16" ht="15.75" customHeight="1">
      <c r="A3476" s="441"/>
      <c r="B3476" s="307"/>
      <c r="C3476" s="317"/>
      <c r="G3476" s="290"/>
      <c r="H3476" s="438"/>
      <c r="I3476" s="439"/>
      <c r="J3476" s="440"/>
      <c r="K3476" s="307"/>
      <c r="L3476" s="307"/>
      <c r="M3476" s="307"/>
      <c r="N3476" s="438"/>
      <c r="O3476" s="438"/>
      <c r="P3476" s="438"/>
    </row>
    <row r="3477" spans="1:16" ht="15.75" customHeight="1">
      <c r="A3477" s="441"/>
      <c r="B3477" s="307"/>
      <c r="C3477" s="317"/>
      <c r="G3477" s="290"/>
      <c r="H3477" s="438"/>
      <c r="I3477" s="439"/>
      <c r="J3477" s="440"/>
      <c r="K3477" s="307"/>
      <c r="L3477" s="307"/>
      <c r="M3477" s="307"/>
      <c r="N3477" s="438"/>
      <c r="O3477" s="438"/>
      <c r="P3477" s="438"/>
    </row>
    <row r="3478" spans="1:16" ht="15.75" customHeight="1">
      <c r="A3478" s="441"/>
      <c r="B3478" s="307"/>
      <c r="C3478" s="317"/>
      <c r="G3478" s="290"/>
      <c r="H3478" s="438"/>
      <c r="I3478" s="439"/>
      <c r="J3478" s="440"/>
      <c r="K3478" s="307"/>
      <c r="L3478" s="307"/>
      <c r="M3478" s="307"/>
      <c r="N3478" s="438"/>
      <c r="O3478" s="438"/>
      <c r="P3478" s="438"/>
    </row>
    <row r="3479" spans="1:16" ht="15.75" customHeight="1">
      <c r="A3479" s="441"/>
      <c r="B3479" s="307"/>
      <c r="C3479" s="317"/>
      <c r="G3479" s="290"/>
      <c r="H3479" s="438"/>
      <c r="I3479" s="439"/>
      <c r="J3479" s="440"/>
      <c r="K3479" s="307"/>
      <c r="L3479" s="307"/>
      <c r="M3479" s="307"/>
      <c r="N3479" s="438"/>
      <c r="O3479" s="438"/>
      <c r="P3479" s="438"/>
    </row>
    <row r="3480" spans="1:16" ht="15.75" customHeight="1">
      <c r="A3480" s="441"/>
      <c r="B3480" s="307"/>
      <c r="C3480" s="317"/>
      <c r="G3480" s="290"/>
      <c r="H3480" s="438"/>
      <c r="I3480" s="439"/>
      <c r="J3480" s="440"/>
      <c r="K3480" s="307"/>
      <c r="L3480" s="307"/>
      <c r="M3480" s="307"/>
      <c r="N3480" s="438"/>
      <c r="O3480" s="438"/>
      <c r="P3480" s="438"/>
    </row>
    <row r="3481" spans="1:16" ht="15.75" customHeight="1">
      <c r="A3481" s="441"/>
      <c r="B3481" s="307"/>
      <c r="C3481" s="317"/>
      <c r="G3481" s="290"/>
      <c r="H3481" s="438"/>
      <c r="I3481" s="439"/>
      <c r="J3481" s="440"/>
      <c r="K3481" s="307"/>
      <c r="L3481" s="307"/>
      <c r="M3481" s="307"/>
      <c r="N3481" s="438"/>
      <c r="O3481" s="438"/>
      <c r="P3481" s="438"/>
    </row>
    <row r="3482" spans="1:16" ht="15.75" customHeight="1">
      <c r="A3482" s="441"/>
      <c r="B3482" s="307"/>
      <c r="C3482" s="317"/>
      <c r="G3482" s="290"/>
      <c r="H3482" s="438"/>
      <c r="I3482" s="439"/>
      <c r="J3482" s="440"/>
      <c r="K3482" s="307"/>
      <c r="L3482" s="307"/>
      <c r="M3482" s="307"/>
      <c r="N3482" s="438"/>
      <c r="O3482" s="438"/>
      <c r="P3482" s="438"/>
    </row>
    <row r="3483" spans="1:16" ht="15.75" customHeight="1">
      <c r="A3483" s="441"/>
      <c r="B3483" s="307"/>
      <c r="C3483" s="317"/>
      <c r="G3483" s="290"/>
      <c r="H3483" s="438"/>
      <c r="I3483" s="439"/>
      <c r="J3483" s="440"/>
      <c r="K3483" s="307"/>
      <c r="L3483" s="307"/>
      <c r="M3483" s="307"/>
      <c r="N3483" s="438"/>
      <c r="O3483" s="438"/>
      <c r="P3483" s="438"/>
    </row>
    <row r="3484" spans="1:16" ht="15.75" customHeight="1">
      <c r="A3484" s="441"/>
      <c r="B3484" s="307"/>
      <c r="C3484" s="317"/>
      <c r="G3484" s="290"/>
      <c r="H3484" s="438"/>
      <c r="I3484" s="439"/>
      <c r="J3484" s="440"/>
      <c r="K3484" s="307"/>
      <c r="L3484" s="307"/>
      <c r="M3484" s="307"/>
      <c r="N3484" s="438"/>
      <c r="O3484" s="438"/>
      <c r="P3484" s="438"/>
    </row>
    <row r="3485" spans="1:16" ht="15.75" customHeight="1">
      <c r="A3485" s="441"/>
      <c r="B3485" s="307"/>
      <c r="C3485" s="317"/>
      <c r="G3485" s="290"/>
      <c r="H3485" s="438"/>
      <c r="I3485" s="439"/>
      <c r="J3485" s="440"/>
      <c r="K3485" s="307"/>
      <c r="L3485" s="307"/>
      <c r="M3485" s="307"/>
      <c r="N3485" s="438"/>
      <c r="O3485" s="438"/>
      <c r="P3485" s="438"/>
    </row>
    <row r="3486" spans="1:16" ht="15.75" customHeight="1">
      <c r="A3486" s="441"/>
      <c r="B3486" s="307"/>
      <c r="C3486" s="317"/>
      <c r="G3486" s="290"/>
      <c r="H3486" s="438"/>
      <c r="I3486" s="439"/>
      <c r="J3486" s="440"/>
      <c r="K3486" s="307"/>
      <c r="L3486" s="307"/>
      <c r="M3486" s="307"/>
      <c r="N3486" s="438"/>
      <c r="O3486" s="438"/>
      <c r="P3486" s="438"/>
    </row>
    <row r="3487" spans="1:16" ht="15.75" customHeight="1">
      <c r="A3487" s="441"/>
      <c r="B3487" s="307"/>
      <c r="C3487" s="317"/>
      <c r="G3487" s="290"/>
      <c r="H3487" s="438"/>
      <c r="I3487" s="439"/>
      <c r="J3487" s="440"/>
      <c r="K3487" s="307"/>
      <c r="L3487" s="307"/>
      <c r="M3487" s="307"/>
      <c r="N3487" s="438"/>
      <c r="O3487" s="438"/>
      <c r="P3487" s="438"/>
    </row>
    <row r="3488" spans="1:16" ht="15.75" customHeight="1">
      <c r="A3488" s="441"/>
      <c r="B3488" s="307"/>
      <c r="C3488" s="317"/>
      <c r="G3488" s="290"/>
      <c r="H3488" s="438"/>
      <c r="I3488" s="439"/>
      <c r="J3488" s="440"/>
      <c r="K3488" s="307"/>
      <c r="L3488" s="307"/>
      <c r="M3488" s="307"/>
      <c r="N3488" s="438"/>
      <c r="O3488" s="438"/>
      <c r="P3488" s="438"/>
    </row>
    <row r="3489" spans="1:16" ht="15.75" customHeight="1">
      <c r="A3489" s="441"/>
      <c r="B3489" s="307"/>
      <c r="C3489" s="317"/>
      <c r="G3489" s="290"/>
      <c r="H3489" s="438"/>
      <c r="I3489" s="439"/>
      <c r="J3489" s="440"/>
      <c r="K3489" s="307"/>
      <c r="L3489" s="307"/>
      <c r="M3489" s="307"/>
      <c r="N3489" s="438"/>
      <c r="O3489" s="438"/>
      <c r="P3489" s="438"/>
    </row>
    <row r="3490" spans="1:16" ht="15.75" customHeight="1">
      <c r="A3490" s="441"/>
      <c r="B3490" s="307"/>
      <c r="C3490" s="317"/>
      <c r="G3490" s="290"/>
      <c r="H3490" s="438"/>
      <c r="I3490" s="439"/>
      <c r="J3490" s="440"/>
      <c r="K3490" s="307"/>
      <c r="L3490" s="307"/>
      <c r="M3490" s="307"/>
      <c r="N3490" s="438"/>
      <c r="O3490" s="438"/>
      <c r="P3490" s="438"/>
    </row>
    <row r="3491" spans="1:16" ht="15.75" customHeight="1">
      <c r="A3491" s="441"/>
      <c r="B3491" s="307"/>
      <c r="C3491" s="317"/>
      <c r="G3491" s="290"/>
      <c r="H3491" s="438"/>
      <c r="I3491" s="439"/>
      <c r="J3491" s="440"/>
      <c r="K3491" s="307"/>
      <c r="L3491" s="307"/>
      <c r="M3491" s="307"/>
      <c r="N3491" s="438"/>
      <c r="O3491" s="438"/>
      <c r="P3491" s="438"/>
    </row>
    <row r="3492" spans="1:16" ht="15.75" customHeight="1">
      <c r="A3492" s="441"/>
      <c r="B3492" s="307"/>
      <c r="C3492" s="317"/>
      <c r="G3492" s="290"/>
      <c r="H3492" s="438"/>
      <c r="I3492" s="439"/>
      <c r="J3492" s="440"/>
      <c r="K3492" s="307"/>
      <c r="L3492" s="307"/>
      <c r="M3492" s="307"/>
      <c r="N3492" s="438"/>
      <c r="O3492" s="438"/>
      <c r="P3492" s="438"/>
    </row>
    <row r="3493" spans="1:16" ht="15.75" customHeight="1">
      <c r="A3493" s="441"/>
      <c r="B3493" s="307"/>
      <c r="C3493" s="317"/>
      <c r="G3493" s="290"/>
      <c r="H3493" s="438"/>
      <c r="I3493" s="439"/>
      <c r="J3493" s="440"/>
      <c r="K3493" s="307"/>
      <c r="L3493" s="307"/>
      <c r="M3493" s="307"/>
      <c r="N3493" s="438"/>
      <c r="O3493" s="438"/>
      <c r="P3493" s="438"/>
    </row>
    <row r="3494" spans="1:16" ht="15.75" customHeight="1">
      <c r="A3494" s="441"/>
      <c r="B3494" s="307"/>
      <c r="C3494" s="317"/>
      <c r="G3494" s="290"/>
      <c r="H3494" s="438"/>
      <c r="I3494" s="439"/>
      <c r="J3494" s="440"/>
      <c r="K3494" s="307"/>
      <c r="L3494" s="307"/>
      <c r="M3494" s="307"/>
      <c r="N3494" s="438"/>
      <c r="O3494" s="438"/>
      <c r="P3494" s="438"/>
    </row>
    <row r="3495" spans="1:16" ht="15.75" customHeight="1">
      <c r="A3495" s="441"/>
      <c r="B3495" s="307"/>
      <c r="C3495" s="317"/>
      <c r="G3495" s="290"/>
      <c r="H3495" s="438"/>
      <c r="I3495" s="439"/>
      <c r="J3495" s="440"/>
      <c r="K3495" s="307"/>
      <c r="L3495" s="307"/>
      <c r="M3495" s="307"/>
      <c r="N3495" s="438"/>
      <c r="O3495" s="438"/>
      <c r="P3495" s="438"/>
    </row>
    <row r="3496" spans="1:16" ht="15.75" customHeight="1">
      <c r="A3496" s="441"/>
      <c r="B3496" s="307"/>
      <c r="C3496" s="317"/>
      <c r="G3496" s="290"/>
      <c r="H3496" s="438"/>
      <c r="I3496" s="439"/>
      <c r="J3496" s="440"/>
      <c r="K3496" s="307"/>
      <c r="L3496" s="307"/>
      <c r="M3496" s="307"/>
      <c r="N3496" s="438"/>
      <c r="O3496" s="438"/>
      <c r="P3496" s="438"/>
    </row>
    <row r="3497" spans="1:16" ht="15.75" customHeight="1">
      <c r="A3497" s="441"/>
      <c r="B3497" s="307"/>
      <c r="C3497" s="317"/>
      <c r="G3497" s="290"/>
      <c r="H3497" s="438"/>
      <c r="I3497" s="439"/>
      <c r="J3497" s="440"/>
      <c r="K3497" s="307"/>
      <c r="L3497" s="307"/>
      <c r="M3497" s="307"/>
      <c r="N3497" s="438"/>
      <c r="O3497" s="438"/>
      <c r="P3497" s="438"/>
    </row>
    <row r="3498" spans="1:16" ht="15.75" customHeight="1">
      <c r="A3498" s="441"/>
      <c r="B3498" s="307"/>
      <c r="C3498" s="317"/>
      <c r="G3498" s="290"/>
      <c r="H3498" s="438"/>
      <c r="I3498" s="439"/>
      <c r="J3498" s="440"/>
      <c r="K3498" s="307"/>
      <c r="L3498" s="307"/>
      <c r="M3498" s="307"/>
      <c r="N3498" s="438"/>
      <c r="O3498" s="438"/>
      <c r="P3498" s="438"/>
    </row>
    <row r="3499" spans="1:16" ht="15.75" customHeight="1">
      <c r="A3499" s="441"/>
      <c r="B3499" s="307"/>
      <c r="C3499" s="317"/>
      <c r="G3499" s="290"/>
      <c r="H3499" s="438"/>
      <c r="I3499" s="439"/>
      <c r="J3499" s="440"/>
      <c r="K3499" s="307"/>
      <c r="L3499" s="307"/>
      <c r="M3499" s="307"/>
      <c r="N3499" s="438"/>
      <c r="O3499" s="438"/>
      <c r="P3499" s="438"/>
    </row>
    <row r="3500" spans="1:16" ht="15.75" customHeight="1">
      <c r="A3500" s="441"/>
      <c r="B3500" s="307"/>
      <c r="C3500" s="317"/>
      <c r="G3500" s="290"/>
      <c r="H3500" s="438"/>
      <c r="I3500" s="439"/>
      <c r="J3500" s="440"/>
      <c r="K3500" s="307"/>
      <c r="L3500" s="307"/>
      <c r="M3500" s="307"/>
      <c r="N3500" s="438"/>
      <c r="O3500" s="438"/>
      <c r="P3500" s="438"/>
    </row>
    <row r="3501" spans="1:16" ht="15.75" customHeight="1">
      <c r="A3501" s="441"/>
      <c r="B3501" s="307"/>
      <c r="C3501" s="317"/>
      <c r="G3501" s="290"/>
      <c r="H3501" s="438"/>
      <c r="I3501" s="439"/>
      <c r="J3501" s="440"/>
      <c r="K3501" s="307"/>
      <c r="L3501" s="307"/>
      <c r="M3501" s="307"/>
      <c r="N3501" s="438"/>
      <c r="O3501" s="438"/>
      <c r="P3501" s="438"/>
    </row>
    <row r="3502" spans="1:16" ht="15.75" customHeight="1">
      <c r="A3502" s="441"/>
      <c r="B3502" s="307"/>
      <c r="C3502" s="317"/>
      <c r="G3502" s="290"/>
      <c r="H3502" s="438"/>
      <c r="I3502" s="439"/>
      <c r="J3502" s="440"/>
      <c r="K3502" s="307"/>
      <c r="L3502" s="307"/>
      <c r="M3502" s="307"/>
      <c r="N3502" s="438"/>
      <c r="O3502" s="438"/>
      <c r="P3502" s="438"/>
    </row>
    <row r="3503" spans="1:16" ht="15.75" customHeight="1">
      <c r="A3503" s="441"/>
      <c r="B3503" s="307"/>
      <c r="C3503" s="317"/>
      <c r="G3503" s="290"/>
      <c r="H3503" s="438"/>
      <c r="I3503" s="439"/>
      <c r="J3503" s="440"/>
      <c r="K3503" s="307"/>
      <c r="L3503" s="307"/>
      <c r="M3503" s="307"/>
      <c r="N3503" s="438"/>
      <c r="O3503" s="438"/>
      <c r="P3503" s="438"/>
    </row>
    <row r="3504" spans="1:16" ht="15.75" customHeight="1">
      <c r="A3504" s="441"/>
      <c r="B3504" s="307"/>
      <c r="C3504" s="317"/>
      <c r="G3504" s="290"/>
      <c r="H3504" s="438"/>
      <c r="I3504" s="439"/>
      <c r="J3504" s="440"/>
      <c r="K3504" s="307"/>
      <c r="L3504" s="307"/>
      <c r="M3504" s="307"/>
      <c r="N3504" s="438"/>
      <c r="O3504" s="438"/>
      <c r="P3504" s="438"/>
    </row>
    <row r="3505" spans="1:16" ht="15.75" customHeight="1">
      <c r="A3505" s="441"/>
      <c r="B3505" s="307"/>
      <c r="C3505" s="317"/>
      <c r="G3505" s="290"/>
      <c r="H3505" s="438"/>
      <c r="I3505" s="439"/>
      <c r="J3505" s="440"/>
      <c r="K3505" s="307"/>
      <c r="L3505" s="307"/>
      <c r="M3505" s="307"/>
      <c r="N3505" s="438"/>
      <c r="O3505" s="438"/>
      <c r="P3505" s="438"/>
    </row>
    <row r="3506" spans="1:16" ht="15.75" customHeight="1">
      <c r="A3506" s="441"/>
      <c r="B3506" s="307"/>
      <c r="C3506" s="317"/>
      <c r="G3506" s="290"/>
      <c r="H3506" s="438"/>
      <c r="I3506" s="439"/>
      <c r="J3506" s="440"/>
      <c r="K3506" s="307"/>
      <c r="L3506" s="307"/>
      <c r="M3506" s="307"/>
      <c r="N3506" s="438"/>
      <c r="O3506" s="438"/>
      <c r="P3506" s="438"/>
    </row>
    <row r="3507" spans="1:16" ht="15.75" customHeight="1">
      <c r="A3507" s="441"/>
      <c r="B3507" s="307"/>
      <c r="C3507" s="317"/>
      <c r="G3507" s="290"/>
      <c r="H3507" s="438"/>
      <c r="I3507" s="439"/>
      <c r="J3507" s="440"/>
      <c r="K3507" s="307"/>
      <c r="L3507" s="307"/>
      <c r="M3507" s="307"/>
      <c r="N3507" s="438"/>
      <c r="O3507" s="438"/>
      <c r="P3507" s="438"/>
    </row>
    <row r="3508" spans="1:16" ht="15.75" customHeight="1">
      <c r="A3508" s="441"/>
      <c r="B3508" s="307"/>
      <c r="C3508" s="317"/>
      <c r="G3508" s="290"/>
      <c r="H3508" s="438"/>
      <c r="I3508" s="439"/>
      <c r="J3508" s="440"/>
      <c r="K3508" s="307"/>
      <c r="L3508" s="307"/>
      <c r="M3508" s="307"/>
      <c r="N3508" s="438"/>
      <c r="O3508" s="438"/>
      <c r="P3508" s="438"/>
    </row>
    <row r="3509" spans="1:16" ht="15.75" customHeight="1">
      <c r="A3509" s="441"/>
      <c r="B3509" s="307"/>
      <c r="C3509" s="317"/>
      <c r="G3509" s="290"/>
      <c r="H3509" s="438"/>
      <c r="I3509" s="439"/>
      <c r="J3509" s="440"/>
      <c r="K3509" s="307"/>
      <c r="L3509" s="307"/>
      <c r="M3509" s="307"/>
      <c r="N3509" s="438"/>
      <c r="O3509" s="438"/>
      <c r="P3509" s="438"/>
    </row>
    <row r="3510" spans="1:16" ht="15.75" customHeight="1">
      <c r="A3510" s="441"/>
      <c r="B3510" s="307"/>
      <c r="C3510" s="317"/>
      <c r="G3510" s="290"/>
      <c r="H3510" s="438"/>
      <c r="I3510" s="439"/>
      <c r="J3510" s="440"/>
      <c r="K3510" s="307"/>
      <c r="L3510" s="307"/>
      <c r="M3510" s="307"/>
      <c r="N3510" s="438"/>
      <c r="O3510" s="438"/>
      <c r="P3510" s="438"/>
    </row>
    <row r="3511" spans="1:16" ht="15.75" customHeight="1">
      <c r="A3511" s="441"/>
      <c r="B3511" s="307"/>
      <c r="C3511" s="317"/>
      <c r="G3511" s="290"/>
      <c r="H3511" s="438"/>
      <c r="I3511" s="439"/>
      <c r="J3511" s="440"/>
      <c r="K3511" s="307"/>
      <c r="L3511" s="307"/>
      <c r="M3511" s="307"/>
      <c r="N3511" s="438"/>
      <c r="O3511" s="438"/>
      <c r="P3511" s="438"/>
    </row>
    <row r="3512" spans="1:16" ht="15.75" customHeight="1">
      <c r="A3512" s="441"/>
      <c r="B3512" s="307"/>
      <c r="C3512" s="317"/>
      <c r="G3512" s="290"/>
      <c r="H3512" s="438"/>
      <c r="I3512" s="439"/>
      <c r="J3512" s="440"/>
      <c r="K3512" s="307"/>
      <c r="L3512" s="307"/>
      <c r="M3512" s="307"/>
      <c r="N3512" s="438"/>
      <c r="O3512" s="438"/>
      <c r="P3512" s="438"/>
    </row>
    <row r="3513" spans="1:16" ht="15.75" customHeight="1">
      <c r="A3513" s="441"/>
      <c r="B3513" s="307"/>
      <c r="C3513" s="317"/>
      <c r="G3513" s="290"/>
      <c r="H3513" s="438"/>
      <c r="I3513" s="439"/>
      <c r="J3513" s="440"/>
      <c r="K3513" s="307"/>
      <c r="L3513" s="307"/>
      <c r="M3513" s="307"/>
      <c r="N3513" s="438"/>
      <c r="O3513" s="438"/>
      <c r="P3513" s="438"/>
    </row>
    <row r="3514" spans="1:16" ht="15.75" customHeight="1">
      <c r="A3514" s="441"/>
      <c r="B3514" s="307"/>
      <c r="C3514" s="317"/>
      <c r="G3514" s="290"/>
      <c r="H3514" s="438"/>
      <c r="I3514" s="439"/>
      <c r="J3514" s="440"/>
      <c r="K3514" s="307"/>
      <c r="L3514" s="307"/>
      <c r="M3514" s="307"/>
      <c r="N3514" s="438"/>
      <c r="O3514" s="438"/>
      <c r="P3514" s="438"/>
    </row>
    <row r="3515" spans="1:16" ht="15.75" customHeight="1">
      <c r="A3515" s="441"/>
      <c r="B3515" s="307"/>
      <c r="C3515" s="317"/>
      <c r="G3515" s="290"/>
      <c r="H3515" s="438"/>
      <c r="I3515" s="439"/>
      <c r="J3515" s="440"/>
      <c r="K3515" s="307"/>
      <c r="L3515" s="307"/>
      <c r="M3515" s="307"/>
      <c r="N3515" s="438"/>
      <c r="O3515" s="438"/>
      <c r="P3515" s="438"/>
    </row>
    <row r="3516" spans="1:16" ht="15.75" customHeight="1">
      <c r="A3516" s="441"/>
      <c r="B3516" s="307"/>
      <c r="C3516" s="317"/>
      <c r="G3516" s="290"/>
      <c r="H3516" s="438"/>
      <c r="I3516" s="439"/>
      <c r="J3516" s="440"/>
      <c r="K3516" s="307"/>
      <c r="L3516" s="307"/>
      <c r="M3516" s="307"/>
      <c r="N3516" s="438"/>
      <c r="O3516" s="438"/>
      <c r="P3516" s="438"/>
    </row>
    <row r="3517" spans="1:16" ht="15.75" customHeight="1">
      <c r="A3517" s="441"/>
      <c r="B3517" s="307"/>
      <c r="C3517" s="317"/>
      <c r="G3517" s="290"/>
      <c r="H3517" s="438"/>
      <c r="I3517" s="439"/>
      <c r="J3517" s="440"/>
      <c r="K3517" s="307"/>
      <c r="L3517" s="307"/>
      <c r="M3517" s="307"/>
      <c r="N3517" s="438"/>
      <c r="O3517" s="438"/>
      <c r="P3517" s="438"/>
    </row>
    <row r="3518" spans="1:16" ht="15.75" customHeight="1">
      <c r="A3518" s="441"/>
      <c r="B3518" s="307"/>
      <c r="C3518" s="317"/>
      <c r="G3518" s="290"/>
      <c r="H3518" s="438"/>
      <c r="I3518" s="439"/>
      <c r="J3518" s="440"/>
      <c r="K3518" s="307"/>
      <c r="L3518" s="307"/>
      <c r="M3518" s="307"/>
      <c r="N3518" s="438"/>
      <c r="O3518" s="438"/>
      <c r="P3518" s="438"/>
    </row>
    <row r="3519" spans="1:16" ht="15.75" customHeight="1">
      <c r="A3519" s="441"/>
      <c r="B3519" s="307"/>
      <c r="C3519" s="317"/>
      <c r="G3519" s="290"/>
      <c r="H3519" s="438"/>
      <c r="I3519" s="439"/>
      <c r="J3519" s="440"/>
      <c r="K3519" s="307"/>
      <c r="L3519" s="307"/>
      <c r="M3519" s="307"/>
      <c r="N3519" s="438"/>
      <c r="O3519" s="438"/>
      <c r="P3519" s="438"/>
    </row>
    <row r="3520" spans="1:16" ht="15.75" customHeight="1">
      <c r="A3520" s="441"/>
      <c r="B3520" s="307"/>
      <c r="C3520" s="317"/>
      <c r="G3520" s="290"/>
      <c r="H3520" s="438"/>
      <c r="I3520" s="439"/>
      <c r="J3520" s="440"/>
      <c r="K3520" s="307"/>
      <c r="L3520" s="307"/>
      <c r="M3520" s="307"/>
      <c r="N3520" s="438"/>
      <c r="O3520" s="438"/>
      <c r="P3520" s="438"/>
    </row>
    <row r="3521" spans="1:16" ht="15.75" customHeight="1">
      <c r="A3521" s="441"/>
      <c r="B3521" s="307"/>
      <c r="C3521" s="317"/>
      <c r="G3521" s="290"/>
      <c r="H3521" s="438"/>
      <c r="I3521" s="439"/>
      <c r="J3521" s="440"/>
      <c r="K3521" s="307"/>
      <c r="L3521" s="307"/>
      <c r="M3521" s="307"/>
      <c r="N3521" s="438"/>
      <c r="O3521" s="438"/>
      <c r="P3521" s="438"/>
    </row>
    <row r="3522" spans="1:16" ht="15.75" customHeight="1">
      <c r="A3522" s="441"/>
      <c r="B3522" s="307"/>
      <c r="C3522" s="317"/>
      <c r="G3522" s="290"/>
      <c r="H3522" s="438"/>
      <c r="I3522" s="439"/>
      <c r="J3522" s="440"/>
      <c r="K3522" s="307"/>
      <c r="L3522" s="307"/>
      <c r="M3522" s="307"/>
      <c r="N3522" s="438"/>
      <c r="O3522" s="438"/>
      <c r="P3522" s="438"/>
    </row>
    <row r="3523" spans="1:16" ht="15.75" customHeight="1">
      <c r="A3523" s="441"/>
      <c r="B3523" s="307"/>
      <c r="C3523" s="317"/>
      <c r="G3523" s="290"/>
      <c r="H3523" s="438"/>
      <c r="I3523" s="439"/>
      <c r="J3523" s="440"/>
      <c r="K3523" s="307"/>
      <c r="L3523" s="307"/>
      <c r="M3523" s="307"/>
      <c r="N3523" s="438"/>
      <c r="O3523" s="438"/>
      <c r="P3523" s="438"/>
    </row>
    <row r="3524" spans="1:16" ht="15.75" customHeight="1">
      <c r="A3524" s="441"/>
      <c r="B3524" s="307"/>
      <c r="C3524" s="317"/>
      <c r="G3524" s="290"/>
      <c r="H3524" s="438"/>
      <c r="I3524" s="439"/>
      <c r="J3524" s="440"/>
      <c r="K3524" s="307"/>
      <c r="L3524" s="307"/>
      <c r="M3524" s="307"/>
      <c r="N3524" s="438"/>
      <c r="O3524" s="438"/>
      <c r="P3524" s="438"/>
    </row>
    <row r="3525" spans="1:16" ht="15.75" customHeight="1">
      <c r="A3525" s="441"/>
      <c r="B3525" s="307"/>
      <c r="C3525" s="317"/>
      <c r="G3525" s="290"/>
      <c r="H3525" s="438"/>
      <c r="I3525" s="439"/>
      <c r="J3525" s="440"/>
      <c r="K3525" s="307"/>
      <c r="L3525" s="307"/>
      <c r="M3525" s="307"/>
      <c r="N3525" s="438"/>
      <c r="O3525" s="438"/>
      <c r="P3525" s="438"/>
    </row>
    <row r="3526" spans="1:16" ht="15.75" customHeight="1">
      <c r="A3526" s="441"/>
      <c r="B3526" s="307"/>
      <c r="C3526" s="317"/>
      <c r="G3526" s="290"/>
      <c r="H3526" s="438"/>
      <c r="I3526" s="439"/>
      <c r="J3526" s="440"/>
      <c r="K3526" s="307"/>
      <c r="L3526" s="307"/>
      <c r="M3526" s="307"/>
      <c r="N3526" s="438"/>
      <c r="O3526" s="438"/>
      <c r="P3526" s="438"/>
    </row>
    <row r="3527" spans="1:16" ht="15.75" customHeight="1">
      <c r="A3527" s="441"/>
      <c r="B3527" s="307"/>
      <c r="C3527" s="317"/>
      <c r="G3527" s="290"/>
      <c r="H3527" s="438"/>
      <c r="I3527" s="439"/>
      <c r="J3527" s="440"/>
      <c r="K3527" s="307"/>
      <c r="L3527" s="307"/>
      <c r="M3527" s="307"/>
      <c r="N3527" s="438"/>
      <c r="O3527" s="438"/>
      <c r="P3527" s="438"/>
    </row>
    <row r="3528" spans="1:16" ht="15.75" customHeight="1">
      <c r="A3528" s="441"/>
      <c r="B3528" s="307"/>
      <c r="C3528" s="317"/>
      <c r="G3528" s="290"/>
      <c r="H3528" s="438"/>
      <c r="I3528" s="439"/>
      <c r="J3528" s="440"/>
      <c r="K3528" s="307"/>
      <c r="L3528" s="307"/>
      <c r="M3528" s="307"/>
      <c r="N3528" s="438"/>
      <c r="O3528" s="438"/>
      <c r="P3528" s="438"/>
    </row>
    <row r="3529" spans="1:16" ht="15.75" customHeight="1">
      <c r="A3529" s="441"/>
      <c r="B3529" s="307"/>
      <c r="C3529" s="317"/>
      <c r="G3529" s="290"/>
      <c r="H3529" s="438"/>
      <c r="I3529" s="439"/>
      <c r="J3529" s="440"/>
      <c r="K3529" s="307"/>
      <c r="L3529" s="307"/>
      <c r="M3529" s="307"/>
      <c r="N3529" s="438"/>
      <c r="O3529" s="438"/>
      <c r="P3529" s="438"/>
    </row>
    <row r="3530" spans="1:16" ht="15.75" customHeight="1">
      <c r="A3530" s="441"/>
      <c r="B3530" s="307"/>
      <c r="C3530" s="317"/>
      <c r="G3530" s="290"/>
      <c r="H3530" s="438"/>
      <c r="I3530" s="439"/>
      <c r="J3530" s="440"/>
      <c r="K3530" s="307"/>
      <c r="L3530" s="307"/>
      <c r="M3530" s="307"/>
      <c r="N3530" s="438"/>
      <c r="O3530" s="438"/>
      <c r="P3530" s="438"/>
    </row>
    <row r="3531" spans="1:16" ht="15.75" customHeight="1">
      <c r="A3531" s="441"/>
      <c r="B3531" s="307"/>
      <c r="C3531" s="317"/>
      <c r="G3531" s="290"/>
      <c r="H3531" s="438"/>
      <c r="I3531" s="439"/>
      <c r="J3531" s="440"/>
      <c r="K3531" s="307"/>
      <c r="L3531" s="307"/>
      <c r="M3531" s="307"/>
      <c r="N3531" s="438"/>
      <c r="O3531" s="438"/>
      <c r="P3531" s="438"/>
    </row>
    <row r="3532" spans="1:16" ht="15.75" customHeight="1">
      <c r="A3532" s="441"/>
      <c r="B3532" s="307"/>
      <c r="C3532" s="317"/>
      <c r="G3532" s="290"/>
      <c r="H3532" s="438"/>
      <c r="I3532" s="439"/>
      <c r="J3532" s="440"/>
      <c r="K3532" s="307"/>
      <c r="L3532" s="307"/>
      <c r="M3532" s="307"/>
      <c r="N3532" s="438"/>
      <c r="O3532" s="438"/>
      <c r="P3532" s="438"/>
    </row>
    <row r="3533" spans="1:16" ht="15.75" customHeight="1">
      <c r="A3533" s="441"/>
      <c r="B3533" s="307"/>
      <c r="C3533" s="317"/>
      <c r="G3533" s="290"/>
      <c r="H3533" s="438"/>
      <c r="I3533" s="439"/>
      <c r="J3533" s="440"/>
      <c r="K3533" s="307"/>
      <c r="L3533" s="307"/>
      <c r="M3533" s="307"/>
      <c r="N3533" s="438"/>
      <c r="O3533" s="438"/>
      <c r="P3533" s="438"/>
    </row>
    <row r="3534" spans="1:16" ht="15.75" customHeight="1">
      <c r="A3534" s="441"/>
      <c r="B3534" s="307"/>
      <c r="C3534" s="317"/>
      <c r="G3534" s="290"/>
      <c r="H3534" s="438"/>
      <c r="I3534" s="439"/>
      <c r="J3534" s="440"/>
      <c r="K3534" s="307"/>
      <c r="L3534" s="307"/>
      <c r="M3534" s="307"/>
      <c r="N3534" s="438"/>
      <c r="O3534" s="438"/>
      <c r="P3534" s="438"/>
    </row>
    <row r="3535" spans="1:16" ht="15.75" customHeight="1">
      <c r="A3535" s="441"/>
      <c r="B3535" s="307"/>
      <c r="C3535" s="317"/>
      <c r="G3535" s="290"/>
      <c r="H3535" s="438"/>
      <c r="I3535" s="439"/>
      <c r="J3535" s="440"/>
      <c r="K3535" s="307"/>
      <c r="L3535" s="307"/>
      <c r="M3535" s="307"/>
      <c r="N3535" s="438"/>
      <c r="O3535" s="438"/>
      <c r="P3535" s="438"/>
    </row>
    <row r="3536" spans="1:16" ht="15.75" customHeight="1">
      <c r="A3536" s="441"/>
      <c r="B3536" s="307"/>
      <c r="C3536" s="317"/>
      <c r="G3536" s="290"/>
      <c r="H3536" s="438"/>
      <c r="I3536" s="439"/>
      <c r="J3536" s="440"/>
      <c r="K3536" s="307"/>
      <c r="L3536" s="307"/>
      <c r="M3536" s="307"/>
      <c r="N3536" s="438"/>
      <c r="O3536" s="438"/>
      <c r="P3536" s="438"/>
    </row>
    <row r="3537" spans="1:16" ht="15.75" customHeight="1">
      <c r="A3537" s="441"/>
      <c r="B3537" s="307"/>
      <c r="C3537" s="317"/>
      <c r="G3537" s="290"/>
      <c r="H3537" s="438"/>
      <c r="I3537" s="439"/>
      <c r="J3537" s="440"/>
      <c r="K3537" s="307"/>
      <c r="L3537" s="307"/>
      <c r="M3537" s="307"/>
      <c r="N3537" s="438"/>
      <c r="O3537" s="438"/>
      <c r="P3537" s="438"/>
    </row>
    <row r="3538" spans="1:16" ht="15.75" customHeight="1">
      <c r="A3538" s="441"/>
      <c r="B3538" s="307"/>
      <c r="C3538" s="317"/>
      <c r="G3538" s="290"/>
      <c r="H3538" s="438"/>
      <c r="I3538" s="439"/>
      <c r="J3538" s="440"/>
      <c r="K3538" s="307"/>
      <c r="L3538" s="307"/>
      <c r="M3538" s="307"/>
      <c r="N3538" s="438"/>
      <c r="O3538" s="438"/>
      <c r="P3538" s="438"/>
    </row>
    <row r="3539" spans="1:16" ht="15.75" customHeight="1">
      <c r="A3539" s="441"/>
      <c r="B3539" s="307"/>
      <c r="C3539" s="317"/>
      <c r="G3539" s="290"/>
      <c r="H3539" s="438"/>
      <c r="I3539" s="439"/>
      <c r="J3539" s="440"/>
      <c r="K3539" s="307"/>
      <c r="L3539" s="307"/>
      <c r="M3539" s="307"/>
      <c r="N3539" s="438"/>
      <c r="O3539" s="438"/>
      <c r="P3539" s="438"/>
    </row>
    <row r="3540" spans="1:16" ht="15.75" customHeight="1">
      <c r="A3540" s="441"/>
      <c r="B3540" s="307"/>
      <c r="C3540" s="317"/>
      <c r="G3540" s="290"/>
      <c r="H3540" s="438"/>
      <c r="I3540" s="439"/>
      <c r="J3540" s="440"/>
      <c r="K3540" s="307"/>
      <c r="L3540" s="307"/>
      <c r="M3540" s="307"/>
      <c r="N3540" s="438"/>
      <c r="O3540" s="438"/>
      <c r="P3540" s="438"/>
    </row>
    <row r="3541" spans="1:16" ht="15.75" customHeight="1">
      <c r="A3541" s="441"/>
      <c r="B3541" s="307"/>
      <c r="C3541" s="317"/>
      <c r="G3541" s="290"/>
      <c r="H3541" s="438"/>
      <c r="I3541" s="439"/>
      <c r="J3541" s="440"/>
      <c r="K3541" s="307"/>
      <c r="L3541" s="307"/>
      <c r="M3541" s="307"/>
      <c r="N3541" s="438"/>
      <c r="O3541" s="438"/>
      <c r="P3541" s="438"/>
    </row>
    <row r="3542" spans="1:16" ht="15.75" customHeight="1">
      <c r="A3542" s="441"/>
      <c r="B3542" s="307"/>
      <c r="C3542" s="317"/>
      <c r="G3542" s="290"/>
      <c r="H3542" s="438"/>
      <c r="I3542" s="439"/>
      <c r="J3542" s="440"/>
      <c r="K3542" s="307"/>
      <c r="L3542" s="307"/>
      <c r="M3542" s="307"/>
      <c r="N3542" s="438"/>
      <c r="O3542" s="438"/>
      <c r="P3542" s="438"/>
    </row>
    <row r="3543" spans="1:16" ht="15.75" customHeight="1">
      <c r="A3543" s="441"/>
      <c r="B3543" s="307"/>
      <c r="C3543" s="317"/>
      <c r="G3543" s="290"/>
      <c r="H3543" s="438"/>
      <c r="I3543" s="439"/>
      <c r="J3543" s="440"/>
      <c r="K3543" s="307"/>
      <c r="L3543" s="307"/>
      <c r="M3543" s="307"/>
      <c r="N3543" s="438"/>
      <c r="O3543" s="438"/>
      <c r="P3543" s="438"/>
    </row>
    <row r="3544" spans="1:16" ht="15.75" customHeight="1">
      <c r="A3544" s="441"/>
      <c r="B3544" s="307"/>
      <c r="C3544" s="317"/>
      <c r="G3544" s="290"/>
      <c r="H3544" s="438"/>
      <c r="I3544" s="439"/>
      <c r="J3544" s="440"/>
      <c r="K3544" s="307"/>
      <c r="L3544" s="307"/>
      <c r="M3544" s="307"/>
      <c r="N3544" s="438"/>
      <c r="O3544" s="438"/>
      <c r="P3544" s="438"/>
    </row>
    <row r="3545" spans="1:16" ht="15.75" customHeight="1">
      <c r="A3545" s="441"/>
      <c r="B3545" s="307"/>
      <c r="C3545" s="317"/>
      <c r="G3545" s="290"/>
      <c r="H3545" s="438"/>
      <c r="I3545" s="439"/>
      <c r="J3545" s="440"/>
      <c r="K3545" s="307"/>
      <c r="L3545" s="307"/>
      <c r="M3545" s="307"/>
      <c r="N3545" s="438"/>
      <c r="O3545" s="438"/>
      <c r="P3545" s="438"/>
    </row>
    <row r="3546" spans="1:16" ht="15.75" customHeight="1">
      <c r="A3546" s="441"/>
      <c r="B3546" s="307"/>
      <c r="C3546" s="317"/>
      <c r="G3546" s="290"/>
      <c r="H3546" s="438"/>
      <c r="I3546" s="439"/>
      <c r="J3546" s="440"/>
      <c r="K3546" s="307"/>
      <c r="L3546" s="307"/>
      <c r="M3546" s="307"/>
      <c r="N3546" s="438"/>
      <c r="O3546" s="438"/>
      <c r="P3546" s="438"/>
    </row>
    <row r="3547" spans="1:16" ht="15.75" customHeight="1">
      <c r="A3547" s="441"/>
      <c r="B3547" s="307"/>
      <c r="C3547" s="317"/>
      <c r="G3547" s="290"/>
      <c r="H3547" s="438"/>
      <c r="I3547" s="439"/>
      <c r="J3547" s="440"/>
      <c r="K3547" s="307"/>
      <c r="L3547" s="307"/>
      <c r="M3547" s="307"/>
      <c r="N3547" s="438"/>
      <c r="O3547" s="438"/>
      <c r="P3547" s="438"/>
    </row>
    <row r="3548" spans="1:16" ht="15.75" customHeight="1">
      <c r="A3548" s="441"/>
      <c r="B3548" s="307"/>
      <c r="C3548" s="317"/>
      <c r="G3548" s="290"/>
      <c r="H3548" s="438"/>
      <c r="I3548" s="439"/>
      <c r="J3548" s="440"/>
      <c r="K3548" s="307"/>
      <c r="L3548" s="307"/>
      <c r="M3548" s="307"/>
      <c r="N3548" s="438"/>
      <c r="O3548" s="438"/>
      <c r="P3548" s="438"/>
    </row>
    <row r="3549" spans="1:16" ht="15.75" customHeight="1">
      <c r="A3549" s="441"/>
      <c r="B3549" s="307"/>
      <c r="C3549" s="317"/>
      <c r="G3549" s="290"/>
      <c r="H3549" s="438"/>
      <c r="I3549" s="439"/>
      <c r="J3549" s="440"/>
      <c r="K3549" s="307"/>
      <c r="L3549" s="307"/>
      <c r="M3549" s="307"/>
      <c r="N3549" s="438"/>
      <c r="O3549" s="438"/>
      <c r="P3549" s="438"/>
    </row>
    <row r="3550" spans="1:16" ht="15.75" customHeight="1">
      <c r="A3550" s="441"/>
      <c r="B3550" s="307"/>
      <c r="C3550" s="317"/>
      <c r="G3550" s="290"/>
      <c r="H3550" s="438"/>
      <c r="I3550" s="439"/>
      <c r="J3550" s="440"/>
      <c r="K3550" s="307"/>
      <c r="L3550" s="307"/>
      <c r="M3550" s="307"/>
      <c r="N3550" s="438"/>
      <c r="O3550" s="438"/>
      <c r="P3550" s="438"/>
    </row>
    <row r="3551" spans="1:16" ht="15.75" customHeight="1">
      <c r="A3551" s="441"/>
      <c r="B3551" s="307"/>
      <c r="C3551" s="317"/>
      <c r="G3551" s="290"/>
      <c r="H3551" s="438"/>
      <c r="I3551" s="439"/>
      <c r="J3551" s="440"/>
      <c r="K3551" s="307"/>
      <c r="L3551" s="307"/>
      <c r="M3551" s="307"/>
      <c r="N3551" s="438"/>
      <c r="O3551" s="438"/>
      <c r="P3551" s="438"/>
    </row>
    <row r="3552" spans="1:16" ht="15.75" customHeight="1">
      <c r="A3552" s="441"/>
      <c r="B3552" s="307"/>
      <c r="C3552" s="317"/>
      <c r="G3552" s="290"/>
      <c r="H3552" s="438"/>
      <c r="I3552" s="439"/>
      <c r="J3552" s="440"/>
      <c r="K3552" s="307"/>
      <c r="L3552" s="307"/>
      <c r="M3552" s="307"/>
      <c r="N3552" s="438"/>
      <c r="O3552" s="438"/>
      <c r="P3552" s="438"/>
    </row>
    <row r="3553" spans="1:16" ht="15.75" customHeight="1">
      <c r="A3553" s="441"/>
      <c r="B3553" s="307"/>
      <c r="C3553" s="317"/>
      <c r="G3553" s="290"/>
      <c r="H3553" s="438"/>
      <c r="I3553" s="439"/>
      <c r="J3553" s="440"/>
      <c r="K3553" s="307"/>
      <c r="L3553" s="307"/>
      <c r="M3553" s="307"/>
      <c r="N3553" s="438"/>
      <c r="O3553" s="438"/>
      <c r="P3553" s="438"/>
    </row>
    <row r="3554" spans="1:16" ht="15.75" customHeight="1">
      <c r="A3554" s="441"/>
      <c r="B3554" s="307"/>
      <c r="C3554" s="317"/>
      <c r="G3554" s="290"/>
      <c r="H3554" s="438"/>
      <c r="I3554" s="439"/>
      <c r="J3554" s="440"/>
      <c r="K3554" s="307"/>
      <c r="L3554" s="307"/>
      <c r="M3554" s="307"/>
      <c r="N3554" s="438"/>
      <c r="O3554" s="438"/>
      <c r="P3554" s="438"/>
    </row>
    <row r="3555" spans="1:16" ht="15.75" customHeight="1">
      <c r="A3555" s="441"/>
      <c r="B3555" s="307"/>
      <c r="C3555" s="317"/>
      <c r="G3555" s="290"/>
      <c r="H3555" s="438"/>
      <c r="I3555" s="439"/>
      <c r="J3555" s="440"/>
      <c r="K3555" s="307"/>
      <c r="L3555" s="307"/>
      <c r="M3555" s="307"/>
      <c r="N3555" s="438"/>
      <c r="O3555" s="438"/>
      <c r="P3555" s="438"/>
    </row>
    <row r="3556" spans="1:16" ht="15.75" customHeight="1">
      <c r="A3556" s="441"/>
      <c r="B3556" s="307"/>
      <c r="C3556" s="317"/>
      <c r="G3556" s="290"/>
      <c r="H3556" s="438"/>
      <c r="I3556" s="439"/>
      <c r="J3556" s="440"/>
      <c r="K3556" s="307"/>
      <c r="L3556" s="307"/>
      <c r="M3556" s="307"/>
      <c r="N3556" s="438"/>
      <c r="O3556" s="438"/>
      <c r="P3556" s="438"/>
    </row>
    <row r="3557" spans="1:16" ht="15.75" customHeight="1">
      <c r="A3557" s="441"/>
      <c r="B3557" s="307"/>
      <c r="C3557" s="317"/>
      <c r="G3557" s="290"/>
      <c r="H3557" s="438"/>
      <c r="I3557" s="439"/>
      <c r="J3557" s="440"/>
      <c r="K3557" s="307"/>
      <c r="L3557" s="307"/>
      <c r="M3557" s="307"/>
      <c r="N3557" s="438"/>
      <c r="O3557" s="438"/>
      <c r="P3557" s="438"/>
    </row>
    <row r="3558" spans="1:16" ht="15.75" customHeight="1">
      <c r="A3558" s="441"/>
      <c r="B3558" s="307"/>
      <c r="C3558" s="317"/>
      <c r="G3558" s="290"/>
      <c r="H3558" s="438"/>
      <c r="I3558" s="439"/>
      <c r="J3558" s="440"/>
      <c r="K3558" s="307"/>
      <c r="L3558" s="307"/>
      <c r="M3558" s="307"/>
      <c r="N3558" s="438"/>
      <c r="O3558" s="438"/>
      <c r="P3558" s="438"/>
    </row>
    <row r="3559" spans="1:16" ht="15.75" customHeight="1">
      <c r="A3559" s="441"/>
      <c r="B3559" s="307"/>
      <c r="C3559" s="317"/>
      <c r="G3559" s="290"/>
      <c r="H3559" s="438"/>
      <c r="I3559" s="439"/>
      <c r="J3559" s="440"/>
      <c r="K3559" s="307"/>
      <c r="L3559" s="307"/>
      <c r="M3559" s="307"/>
      <c r="N3559" s="438"/>
      <c r="O3559" s="438"/>
      <c r="P3559" s="438"/>
    </row>
    <row r="3560" spans="1:16" ht="15.75" customHeight="1">
      <c r="A3560" s="441"/>
      <c r="B3560" s="307"/>
      <c r="C3560" s="317"/>
      <c r="G3560" s="290"/>
      <c r="H3560" s="438"/>
      <c r="I3560" s="439"/>
      <c r="J3560" s="440"/>
      <c r="K3560" s="307"/>
      <c r="L3560" s="307"/>
      <c r="M3560" s="307"/>
      <c r="N3560" s="438"/>
      <c r="O3560" s="438"/>
      <c r="P3560" s="438"/>
    </row>
    <row r="3561" spans="1:16" ht="15.75" customHeight="1">
      <c r="A3561" s="441"/>
      <c r="B3561" s="307"/>
      <c r="C3561" s="317"/>
      <c r="G3561" s="290"/>
      <c r="H3561" s="438"/>
      <c r="I3561" s="439"/>
      <c r="J3561" s="440"/>
      <c r="K3561" s="307"/>
      <c r="L3561" s="307"/>
      <c r="M3561" s="307"/>
      <c r="N3561" s="438"/>
      <c r="O3561" s="438"/>
      <c r="P3561" s="438"/>
    </row>
    <row r="3562" spans="1:16" ht="15.75" customHeight="1">
      <c r="A3562" s="441"/>
      <c r="B3562" s="307"/>
      <c r="C3562" s="317"/>
      <c r="G3562" s="290"/>
      <c r="H3562" s="438"/>
      <c r="I3562" s="439"/>
      <c r="J3562" s="440"/>
      <c r="K3562" s="307"/>
      <c r="L3562" s="307"/>
      <c r="M3562" s="307"/>
      <c r="N3562" s="438"/>
      <c r="O3562" s="438"/>
      <c r="P3562" s="438"/>
    </row>
    <row r="3563" spans="1:16" ht="15.75" customHeight="1">
      <c r="A3563" s="441"/>
      <c r="B3563" s="307"/>
      <c r="C3563" s="317"/>
      <c r="G3563" s="290"/>
      <c r="H3563" s="438"/>
      <c r="I3563" s="439"/>
      <c r="J3563" s="440"/>
      <c r="K3563" s="307"/>
      <c r="L3563" s="307"/>
      <c r="M3563" s="307"/>
      <c r="N3563" s="438"/>
      <c r="O3563" s="438"/>
      <c r="P3563" s="438"/>
    </row>
    <row r="3564" spans="1:16" ht="15.75" customHeight="1">
      <c r="A3564" s="441"/>
      <c r="B3564" s="307"/>
      <c r="C3564" s="317"/>
      <c r="G3564" s="290"/>
      <c r="H3564" s="438"/>
      <c r="I3564" s="439"/>
      <c r="J3564" s="440"/>
      <c r="K3564" s="307"/>
      <c r="L3564" s="307"/>
      <c r="M3564" s="307"/>
      <c r="N3564" s="438"/>
      <c r="O3564" s="438"/>
      <c r="P3564" s="438"/>
    </row>
    <row r="3565" spans="1:16" ht="15.75" customHeight="1">
      <c r="A3565" s="441"/>
      <c r="B3565" s="307"/>
      <c r="C3565" s="317"/>
      <c r="G3565" s="290"/>
      <c r="H3565" s="438"/>
      <c r="I3565" s="439"/>
      <c r="J3565" s="440"/>
      <c r="K3565" s="307"/>
      <c r="L3565" s="307"/>
      <c r="M3565" s="307"/>
      <c r="N3565" s="438"/>
      <c r="O3565" s="438"/>
      <c r="P3565" s="438"/>
    </row>
    <row r="3566" spans="1:16" ht="15.75" customHeight="1">
      <c r="A3566" s="441"/>
      <c r="B3566" s="307"/>
      <c r="C3566" s="317"/>
      <c r="G3566" s="290"/>
      <c r="H3566" s="438"/>
      <c r="I3566" s="439"/>
      <c r="J3566" s="440"/>
      <c r="K3566" s="307"/>
      <c r="L3566" s="307"/>
      <c r="M3566" s="307"/>
      <c r="N3566" s="438"/>
      <c r="O3566" s="438"/>
      <c r="P3566" s="438"/>
    </row>
    <row r="3567" spans="1:16" ht="15.75" customHeight="1">
      <c r="A3567" s="441"/>
      <c r="B3567" s="307"/>
      <c r="C3567" s="317"/>
      <c r="G3567" s="290"/>
      <c r="H3567" s="438"/>
      <c r="I3567" s="439"/>
      <c r="J3567" s="440"/>
      <c r="K3567" s="307"/>
      <c r="L3567" s="307"/>
      <c r="M3567" s="307"/>
      <c r="N3567" s="438"/>
      <c r="O3567" s="438"/>
      <c r="P3567" s="438"/>
    </row>
    <row r="3568" spans="1:16" ht="15.75" customHeight="1">
      <c r="A3568" s="441"/>
      <c r="B3568" s="307"/>
      <c r="C3568" s="317"/>
      <c r="G3568" s="290"/>
      <c r="H3568" s="438"/>
      <c r="I3568" s="439"/>
      <c r="J3568" s="440"/>
      <c r="K3568" s="307"/>
      <c r="L3568" s="307"/>
      <c r="M3568" s="307"/>
      <c r="N3568" s="438"/>
      <c r="O3568" s="438"/>
      <c r="P3568" s="438"/>
    </row>
    <row r="3569" spans="1:16" ht="15.75" customHeight="1">
      <c r="A3569" s="441"/>
      <c r="B3569" s="307"/>
      <c r="C3569" s="317"/>
      <c r="G3569" s="290"/>
      <c r="H3569" s="438"/>
      <c r="I3569" s="439"/>
      <c r="J3569" s="440"/>
      <c r="K3569" s="307"/>
      <c r="L3569" s="307"/>
      <c r="M3569" s="307"/>
      <c r="N3569" s="438"/>
      <c r="O3569" s="438"/>
      <c r="P3569" s="438"/>
    </row>
    <row r="3570" spans="1:16" ht="15.75" customHeight="1">
      <c r="A3570" s="441"/>
      <c r="B3570" s="307"/>
      <c r="C3570" s="317"/>
      <c r="G3570" s="290"/>
      <c r="H3570" s="438"/>
      <c r="I3570" s="439"/>
      <c r="J3570" s="440"/>
      <c r="K3570" s="307"/>
      <c r="L3570" s="307"/>
      <c r="M3570" s="307"/>
      <c r="N3570" s="438"/>
      <c r="O3570" s="438"/>
      <c r="P3570" s="438"/>
    </row>
    <row r="3571" spans="1:16" ht="15.75" customHeight="1">
      <c r="A3571" s="441"/>
      <c r="B3571" s="307"/>
      <c r="C3571" s="317"/>
      <c r="G3571" s="290"/>
      <c r="H3571" s="438"/>
      <c r="I3571" s="439"/>
      <c r="J3571" s="440"/>
      <c r="K3571" s="307"/>
      <c r="L3571" s="307"/>
      <c r="M3571" s="307"/>
      <c r="N3571" s="438"/>
      <c r="O3571" s="438"/>
      <c r="P3571" s="438"/>
    </row>
    <row r="3572" spans="1:16" ht="15.75" customHeight="1">
      <c r="A3572" s="441"/>
      <c r="B3572" s="307"/>
      <c r="C3572" s="317"/>
      <c r="G3572" s="290"/>
      <c r="H3572" s="438"/>
      <c r="I3572" s="439"/>
      <c r="J3572" s="440"/>
      <c r="K3572" s="307"/>
      <c r="L3572" s="307"/>
      <c r="M3572" s="307"/>
      <c r="N3572" s="438"/>
      <c r="O3572" s="438"/>
      <c r="P3572" s="438"/>
    </row>
    <row r="3573" spans="1:16" ht="15.75" customHeight="1">
      <c r="A3573" s="441"/>
      <c r="B3573" s="307"/>
      <c r="C3573" s="317"/>
      <c r="G3573" s="290"/>
      <c r="H3573" s="438"/>
      <c r="I3573" s="439"/>
      <c r="J3573" s="440"/>
      <c r="K3573" s="307"/>
      <c r="L3573" s="307"/>
      <c r="M3573" s="307"/>
      <c r="N3573" s="438"/>
      <c r="O3573" s="438"/>
      <c r="P3573" s="438"/>
    </row>
    <row r="3574" spans="1:16" ht="15.75" customHeight="1">
      <c r="A3574" s="441"/>
      <c r="B3574" s="307"/>
      <c r="C3574" s="317"/>
      <c r="G3574" s="290"/>
      <c r="H3574" s="438"/>
      <c r="I3574" s="439"/>
      <c r="J3574" s="440"/>
      <c r="K3574" s="307"/>
      <c r="L3574" s="307"/>
      <c r="M3574" s="307"/>
      <c r="N3574" s="438"/>
      <c r="O3574" s="438"/>
      <c r="P3574" s="438"/>
    </row>
    <row r="3575" spans="1:16" ht="15.75" customHeight="1">
      <c r="A3575" s="441"/>
      <c r="B3575" s="307"/>
      <c r="C3575" s="317"/>
      <c r="G3575" s="290"/>
      <c r="H3575" s="438"/>
      <c r="I3575" s="439"/>
      <c r="J3575" s="440"/>
      <c r="K3575" s="307"/>
      <c r="L3575" s="307"/>
      <c r="M3575" s="307"/>
      <c r="N3575" s="438"/>
      <c r="O3575" s="438"/>
      <c r="P3575" s="438"/>
    </row>
    <row r="3576" spans="1:16" ht="15.75" customHeight="1">
      <c r="A3576" s="441"/>
      <c r="B3576" s="307"/>
      <c r="C3576" s="317"/>
      <c r="G3576" s="290"/>
      <c r="H3576" s="438"/>
      <c r="I3576" s="439"/>
      <c r="J3576" s="440"/>
      <c r="K3576" s="307"/>
      <c r="L3576" s="307"/>
      <c r="M3576" s="307"/>
      <c r="N3576" s="438"/>
      <c r="O3576" s="438"/>
      <c r="P3576" s="438"/>
    </row>
    <row r="3577" spans="1:16" ht="15.75" customHeight="1">
      <c r="A3577" s="441"/>
      <c r="B3577" s="307"/>
      <c r="C3577" s="317"/>
      <c r="G3577" s="290"/>
      <c r="H3577" s="438"/>
      <c r="I3577" s="439"/>
      <c r="J3577" s="440"/>
      <c r="K3577" s="307"/>
      <c r="L3577" s="307"/>
      <c r="M3577" s="307"/>
      <c r="N3577" s="438"/>
      <c r="O3577" s="438"/>
      <c r="P3577" s="438"/>
    </row>
    <row r="3578" spans="1:16" ht="15.75" customHeight="1">
      <c r="A3578" s="441"/>
      <c r="B3578" s="307"/>
      <c r="C3578" s="317"/>
      <c r="G3578" s="290"/>
      <c r="H3578" s="438"/>
      <c r="I3578" s="439"/>
      <c r="J3578" s="440"/>
      <c r="K3578" s="307"/>
      <c r="L3578" s="307"/>
      <c r="M3578" s="307"/>
      <c r="N3578" s="438"/>
      <c r="O3578" s="438"/>
      <c r="P3578" s="438"/>
    </row>
    <row r="3579" spans="1:16" ht="15.75" customHeight="1">
      <c r="A3579" s="441"/>
      <c r="B3579" s="307"/>
      <c r="C3579" s="317"/>
      <c r="G3579" s="290"/>
      <c r="H3579" s="438"/>
      <c r="I3579" s="439"/>
      <c r="J3579" s="440"/>
      <c r="K3579" s="307"/>
      <c r="L3579" s="307"/>
      <c r="M3579" s="307"/>
      <c r="N3579" s="438"/>
      <c r="O3579" s="438"/>
      <c r="P3579" s="438"/>
    </row>
    <row r="3580" spans="1:16" ht="15.75" customHeight="1">
      <c r="A3580" s="441"/>
      <c r="B3580" s="307"/>
      <c r="C3580" s="317"/>
      <c r="G3580" s="290"/>
      <c r="H3580" s="438"/>
      <c r="I3580" s="439"/>
      <c r="J3580" s="440"/>
      <c r="K3580" s="307"/>
      <c r="L3580" s="307"/>
      <c r="M3580" s="307"/>
      <c r="N3580" s="438"/>
      <c r="O3580" s="438"/>
      <c r="P3580" s="438"/>
    </row>
    <row r="3581" spans="1:16" ht="15.75" customHeight="1">
      <c r="A3581" s="441"/>
      <c r="B3581" s="307"/>
      <c r="C3581" s="317"/>
      <c r="G3581" s="290"/>
      <c r="H3581" s="438"/>
      <c r="I3581" s="439"/>
      <c r="J3581" s="440"/>
      <c r="K3581" s="307"/>
      <c r="L3581" s="307"/>
      <c r="M3581" s="307"/>
      <c r="N3581" s="438"/>
      <c r="O3581" s="438"/>
      <c r="P3581" s="438"/>
    </row>
    <row r="3582" spans="1:16" ht="15.75" customHeight="1">
      <c r="A3582" s="441"/>
      <c r="B3582" s="307"/>
      <c r="C3582" s="317"/>
      <c r="G3582" s="290"/>
      <c r="H3582" s="438"/>
      <c r="I3582" s="439"/>
      <c r="J3582" s="440"/>
      <c r="K3582" s="307"/>
      <c r="L3582" s="307"/>
      <c r="M3582" s="307"/>
      <c r="N3582" s="438"/>
      <c r="O3582" s="438"/>
      <c r="P3582" s="438"/>
    </row>
    <row r="3583" spans="1:16" ht="15.75" customHeight="1">
      <c r="A3583" s="441"/>
      <c r="B3583" s="307"/>
      <c r="C3583" s="317"/>
      <c r="G3583" s="290"/>
      <c r="H3583" s="438"/>
      <c r="I3583" s="439"/>
      <c r="J3583" s="440"/>
      <c r="K3583" s="307"/>
      <c r="L3583" s="307"/>
      <c r="M3583" s="307"/>
      <c r="N3583" s="438"/>
      <c r="O3583" s="438"/>
      <c r="P3583" s="438"/>
    </row>
    <row r="3584" spans="1:16" ht="15.75" customHeight="1">
      <c r="A3584" s="441"/>
      <c r="B3584" s="307"/>
      <c r="C3584" s="317"/>
      <c r="G3584" s="290"/>
      <c r="H3584" s="438"/>
      <c r="I3584" s="439"/>
      <c r="J3584" s="440"/>
      <c r="K3584" s="307"/>
      <c r="L3584" s="307"/>
      <c r="M3584" s="307"/>
      <c r="N3584" s="438"/>
      <c r="O3584" s="438"/>
      <c r="P3584" s="438"/>
    </row>
    <row r="3585" spans="1:16" ht="15.75" customHeight="1">
      <c r="A3585" s="441"/>
      <c r="B3585" s="307"/>
      <c r="C3585" s="317"/>
      <c r="G3585" s="290"/>
      <c r="H3585" s="438"/>
      <c r="I3585" s="439"/>
      <c r="J3585" s="440"/>
      <c r="K3585" s="307"/>
      <c r="L3585" s="307"/>
      <c r="M3585" s="307"/>
      <c r="N3585" s="438"/>
      <c r="O3585" s="438"/>
      <c r="P3585" s="438"/>
    </row>
    <row r="3586" spans="1:16" ht="15.75" customHeight="1">
      <c r="A3586" s="441"/>
      <c r="B3586" s="307"/>
      <c r="C3586" s="317"/>
      <c r="G3586" s="290"/>
      <c r="H3586" s="438"/>
      <c r="I3586" s="439"/>
      <c r="J3586" s="440"/>
      <c r="K3586" s="307"/>
      <c r="L3586" s="307"/>
      <c r="M3586" s="307"/>
      <c r="N3586" s="438"/>
      <c r="O3586" s="438"/>
      <c r="P3586" s="438"/>
    </row>
    <row r="3587" spans="1:16" ht="15.75" customHeight="1">
      <c r="A3587" s="441"/>
      <c r="B3587" s="307"/>
      <c r="C3587" s="317"/>
      <c r="G3587" s="290"/>
      <c r="H3587" s="438"/>
      <c r="I3587" s="439"/>
      <c r="J3587" s="440"/>
      <c r="K3587" s="307"/>
      <c r="L3587" s="307"/>
      <c r="M3587" s="307"/>
      <c r="N3587" s="438"/>
      <c r="O3587" s="438"/>
      <c r="P3587" s="438"/>
    </row>
    <row r="3588" spans="1:16" ht="15.75" customHeight="1">
      <c r="A3588" s="441"/>
      <c r="B3588" s="307"/>
      <c r="C3588" s="317"/>
      <c r="G3588" s="290"/>
      <c r="H3588" s="438"/>
      <c r="I3588" s="439"/>
      <c r="J3588" s="440"/>
      <c r="K3588" s="307"/>
      <c r="L3588" s="307"/>
      <c r="M3588" s="307"/>
      <c r="N3588" s="438"/>
      <c r="O3588" s="438"/>
      <c r="P3588" s="438"/>
    </row>
    <row r="3589" spans="1:16" ht="15.75" customHeight="1">
      <c r="A3589" s="441"/>
      <c r="B3589" s="307"/>
      <c r="C3589" s="317"/>
      <c r="G3589" s="290"/>
      <c r="H3589" s="438"/>
      <c r="I3589" s="439"/>
      <c r="J3589" s="440"/>
      <c r="K3589" s="307"/>
      <c r="L3589" s="307"/>
      <c r="M3589" s="307"/>
      <c r="N3589" s="438"/>
      <c r="O3589" s="438"/>
      <c r="P3589" s="438"/>
    </row>
    <row r="3590" spans="1:16" ht="15.75" customHeight="1">
      <c r="A3590" s="441"/>
      <c r="B3590" s="307"/>
      <c r="C3590" s="317"/>
      <c r="G3590" s="290"/>
      <c r="H3590" s="438"/>
      <c r="I3590" s="439"/>
      <c r="J3590" s="440"/>
      <c r="K3590" s="307"/>
      <c r="L3590" s="307"/>
      <c r="M3590" s="307"/>
      <c r="N3590" s="438"/>
      <c r="O3590" s="438"/>
      <c r="P3590" s="438"/>
    </row>
    <row r="3591" spans="1:16" ht="15.75" customHeight="1">
      <c r="A3591" s="441"/>
      <c r="B3591" s="307"/>
      <c r="C3591" s="317"/>
      <c r="G3591" s="290"/>
      <c r="H3591" s="438"/>
      <c r="I3591" s="439"/>
      <c r="J3591" s="440"/>
      <c r="K3591" s="307"/>
      <c r="L3591" s="307"/>
      <c r="M3591" s="307"/>
      <c r="N3591" s="438"/>
      <c r="O3591" s="438"/>
      <c r="P3591" s="438"/>
    </row>
    <row r="3592" spans="1:16" ht="15.75" customHeight="1">
      <c r="A3592" s="441"/>
      <c r="B3592" s="307"/>
      <c r="C3592" s="317"/>
      <c r="G3592" s="290"/>
      <c r="H3592" s="438"/>
      <c r="I3592" s="439"/>
      <c r="J3592" s="440"/>
      <c r="K3592" s="307"/>
      <c r="L3592" s="307"/>
      <c r="M3592" s="307"/>
      <c r="N3592" s="438"/>
      <c r="O3592" s="438"/>
      <c r="P3592" s="438"/>
    </row>
    <row r="3593" spans="1:16" ht="15.75" customHeight="1">
      <c r="A3593" s="441"/>
      <c r="B3593" s="307"/>
      <c r="C3593" s="317"/>
      <c r="G3593" s="290"/>
      <c r="H3593" s="438"/>
      <c r="I3593" s="439"/>
      <c r="J3593" s="440"/>
      <c r="K3593" s="307"/>
      <c r="L3593" s="307"/>
      <c r="M3593" s="307"/>
      <c r="N3593" s="438"/>
      <c r="O3593" s="438"/>
      <c r="P3593" s="438"/>
    </row>
    <row r="3594" spans="1:16" ht="15.75" customHeight="1">
      <c r="A3594" s="441"/>
      <c r="B3594" s="307"/>
      <c r="C3594" s="317"/>
      <c r="G3594" s="290"/>
      <c r="H3594" s="438"/>
      <c r="I3594" s="439"/>
      <c r="J3594" s="440"/>
      <c r="K3594" s="307"/>
      <c r="L3594" s="307"/>
      <c r="M3594" s="307"/>
      <c r="N3594" s="438"/>
      <c r="O3594" s="438"/>
      <c r="P3594" s="438"/>
    </row>
    <row r="3595" spans="1:16" ht="15.75" customHeight="1">
      <c r="A3595" s="441"/>
      <c r="B3595" s="307"/>
      <c r="C3595" s="317"/>
      <c r="G3595" s="290"/>
      <c r="H3595" s="438"/>
      <c r="I3595" s="439"/>
      <c r="J3595" s="440"/>
      <c r="K3595" s="307"/>
      <c r="L3595" s="307"/>
      <c r="M3595" s="307"/>
      <c r="N3595" s="438"/>
      <c r="O3595" s="438"/>
      <c r="P3595" s="438"/>
    </row>
    <row r="3596" spans="1:16" ht="15.75" customHeight="1">
      <c r="A3596" s="441"/>
      <c r="B3596" s="307"/>
      <c r="C3596" s="317"/>
      <c r="G3596" s="290"/>
      <c r="H3596" s="438"/>
      <c r="I3596" s="439"/>
      <c r="J3596" s="440"/>
      <c r="K3596" s="307"/>
      <c r="L3596" s="307"/>
      <c r="M3596" s="307"/>
      <c r="N3596" s="438"/>
      <c r="O3596" s="438"/>
      <c r="P3596" s="438"/>
    </row>
    <row r="3597" spans="1:16" ht="15.75" customHeight="1">
      <c r="A3597" s="441"/>
      <c r="B3597" s="307"/>
      <c r="C3597" s="317"/>
      <c r="G3597" s="290"/>
      <c r="H3597" s="438"/>
      <c r="I3597" s="439"/>
      <c r="J3597" s="440"/>
      <c r="K3597" s="307"/>
      <c r="L3597" s="307"/>
      <c r="M3597" s="307"/>
      <c r="N3597" s="438"/>
      <c r="O3597" s="438"/>
      <c r="P3597" s="438"/>
    </row>
    <row r="3598" spans="1:16" ht="15.75" customHeight="1">
      <c r="A3598" s="441"/>
      <c r="B3598" s="307"/>
      <c r="C3598" s="317"/>
      <c r="G3598" s="290"/>
      <c r="H3598" s="438"/>
      <c r="I3598" s="439"/>
      <c r="J3598" s="440"/>
      <c r="K3598" s="307"/>
      <c r="L3598" s="307"/>
      <c r="M3598" s="307"/>
      <c r="N3598" s="438"/>
      <c r="O3598" s="438"/>
      <c r="P3598" s="438"/>
    </row>
    <row r="3599" spans="1:16" ht="15.75" customHeight="1">
      <c r="A3599" s="441"/>
      <c r="B3599" s="307"/>
      <c r="C3599" s="317"/>
      <c r="G3599" s="290"/>
      <c r="H3599" s="438"/>
      <c r="I3599" s="439"/>
      <c r="J3599" s="440"/>
      <c r="K3599" s="307"/>
      <c r="L3599" s="307"/>
      <c r="M3599" s="307"/>
      <c r="N3599" s="438"/>
      <c r="O3599" s="438"/>
      <c r="P3599" s="438"/>
    </row>
    <row r="3600" spans="1:16" ht="15.75" customHeight="1">
      <c r="A3600" s="441"/>
      <c r="B3600" s="307"/>
      <c r="C3600" s="317"/>
      <c r="G3600" s="290"/>
      <c r="H3600" s="438"/>
      <c r="I3600" s="439"/>
      <c r="J3600" s="440"/>
      <c r="K3600" s="307"/>
      <c r="L3600" s="307"/>
      <c r="M3600" s="307"/>
      <c r="N3600" s="438"/>
      <c r="O3600" s="438"/>
      <c r="P3600" s="438"/>
    </row>
    <row r="3601" spans="1:16" ht="15.75" customHeight="1">
      <c r="A3601" s="441"/>
      <c r="B3601" s="307"/>
      <c r="C3601" s="317"/>
      <c r="G3601" s="290"/>
      <c r="H3601" s="438"/>
      <c r="I3601" s="439"/>
      <c r="J3601" s="440"/>
      <c r="K3601" s="307"/>
      <c r="L3601" s="307"/>
      <c r="M3601" s="307"/>
      <c r="N3601" s="438"/>
      <c r="O3601" s="438"/>
      <c r="P3601" s="438"/>
    </row>
    <row r="3602" spans="1:16" ht="15.75" customHeight="1">
      <c r="A3602" s="441"/>
      <c r="B3602" s="307"/>
      <c r="C3602" s="317"/>
      <c r="G3602" s="290"/>
      <c r="H3602" s="438"/>
      <c r="I3602" s="439"/>
      <c r="J3602" s="440"/>
      <c r="K3602" s="307"/>
      <c r="L3602" s="307"/>
      <c r="M3602" s="307"/>
      <c r="N3602" s="438"/>
      <c r="O3602" s="438"/>
      <c r="P3602" s="438"/>
    </row>
    <row r="3603" spans="1:16" ht="15.75" customHeight="1">
      <c r="A3603" s="441"/>
      <c r="B3603" s="307"/>
      <c r="C3603" s="317"/>
      <c r="G3603" s="290"/>
      <c r="H3603" s="438"/>
      <c r="I3603" s="439"/>
      <c r="J3603" s="440"/>
      <c r="K3603" s="307"/>
      <c r="L3603" s="307"/>
      <c r="M3603" s="307"/>
      <c r="N3603" s="438"/>
      <c r="O3603" s="438"/>
      <c r="P3603" s="438"/>
    </row>
    <row r="3604" spans="1:16" ht="15.75" customHeight="1">
      <c r="A3604" s="441"/>
      <c r="B3604" s="307"/>
      <c r="C3604" s="317"/>
      <c r="G3604" s="290"/>
      <c r="H3604" s="438"/>
      <c r="I3604" s="439"/>
      <c r="J3604" s="440"/>
      <c r="K3604" s="307"/>
      <c r="L3604" s="307"/>
      <c r="M3604" s="307"/>
      <c r="N3604" s="438"/>
      <c r="O3604" s="438"/>
      <c r="P3604" s="438"/>
    </row>
    <row r="3605" spans="1:16" ht="15.75" customHeight="1">
      <c r="A3605" s="441"/>
      <c r="B3605" s="307"/>
      <c r="C3605" s="317"/>
      <c r="G3605" s="290"/>
      <c r="H3605" s="438"/>
      <c r="I3605" s="439"/>
      <c r="J3605" s="440"/>
      <c r="K3605" s="307"/>
      <c r="L3605" s="307"/>
      <c r="M3605" s="307"/>
      <c r="N3605" s="438"/>
      <c r="O3605" s="438"/>
      <c r="P3605" s="438"/>
    </row>
    <row r="3606" spans="1:16" ht="15.75" customHeight="1">
      <c r="A3606" s="441"/>
      <c r="B3606" s="307"/>
      <c r="C3606" s="317"/>
      <c r="G3606" s="290"/>
      <c r="H3606" s="438"/>
      <c r="I3606" s="439"/>
      <c r="J3606" s="440"/>
      <c r="K3606" s="307"/>
      <c r="L3606" s="307"/>
      <c r="M3606" s="307"/>
      <c r="N3606" s="438"/>
      <c r="O3606" s="438"/>
      <c r="P3606" s="438"/>
    </row>
    <row r="3607" spans="1:16" ht="15.75" customHeight="1">
      <c r="A3607" s="441"/>
      <c r="B3607" s="307"/>
      <c r="C3607" s="317"/>
      <c r="G3607" s="290"/>
      <c r="H3607" s="438"/>
      <c r="I3607" s="439"/>
      <c r="J3607" s="440"/>
      <c r="K3607" s="307"/>
      <c r="L3607" s="307"/>
      <c r="M3607" s="307"/>
      <c r="N3607" s="438"/>
      <c r="O3607" s="438"/>
      <c r="P3607" s="438"/>
    </row>
    <row r="3608" spans="1:16" ht="15.75" customHeight="1">
      <c r="A3608" s="441"/>
      <c r="B3608" s="307"/>
      <c r="C3608" s="317"/>
      <c r="G3608" s="290"/>
      <c r="H3608" s="438"/>
      <c r="I3608" s="439"/>
      <c r="J3608" s="440"/>
      <c r="K3608" s="307"/>
      <c r="L3608" s="307"/>
      <c r="M3608" s="307"/>
      <c r="N3608" s="438"/>
      <c r="O3608" s="438"/>
      <c r="P3608" s="438"/>
    </row>
    <row r="3609" spans="1:16" ht="15.75" customHeight="1">
      <c r="A3609" s="441"/>
      <c r="B3609" s="307"/>
      <c r="C3609" s="317"/>
      <c r="G3609" s="290"/>
      <c r="H3609" s="438"/>
      <c r="I3609" s="439"/>
      <c r="J3609" s="440"/>
      <c r="K3609" s="307"/>
      <c r="L3609" s="307"/>
      <c r="M3609" s="307"/>
      <c r="N3609" s="438"/>
      <c r="O3609" s="438"/>
      <c r="P3609" s="438"/>
    </row>
    <row r="3610" spans="1:16" ht="15.75" customHeight="1">
      <c r="A3610" s="441"/>
      <c r="B3610" s="307"/>
      <c r="C3610" s="317"/>
      <c r="G3610" s="290"/>
      <c r="H3610" s="438"/>
      <c r="I3610" s="439"/>
      <c r="J3610" s="440"/>
      <c r="K3610" s="307"/>
      <c r="L3610" s="307"/>
      <c r="M3610" s="307"/>
      <c r="N3610" s="438"/>
      <c r="O3610" s="438"/>
      <c r="P3610" s="438"/>
    </row>
    <row r="3611" spans="1:16" ht="15.75" customHeight="1">
      <c r="A3611" s="441"/>
      <c r="B3611" s="307"/>
      <c r="C3611" s="317"/>
      <c r="G3611" s="290"/>
      <c r="H3611" s="438"/>
      <c r="I3611" s="439"/>
      <c r="J3611" s="440"/>
      <c r="K3611" s="307"/>
      <c r="L3611" s="307"/>
      <c r="M3611" s="307"/>
      <c r="N3611" s="438"/>
      <c r="O3611" s="438"/>
      <c r="P3611" s="438"/>
    </row>
    <row r="3612" spans="1:16" ht="15.75" customHeight="1">
      <c r="A3612" s="441"/>
      <c r="B3612" s="307"/>
      <c r="C3612" s="317"/>
      <c r="G3612" s="290"/>
      <c r="H3612" s="438"/>
      <c r="I3612" s="439"/>
      <c r="J3612" s="440"/>
      <c r="K3612" s="307"/>
      <c r="L3612" s="307"/>
      <c r="M3612" s="307"/>
      <c r="N3612" s="438"/>
      <c r="O3612" s="438"/>
      <c r="P3612" s="438"/>
    </row>
    <row r="3613" spans="1:16" ht="15.75" customHeight="1">
      <c r="A3613" s="441"/>
      <c r="B3613" s="307"/>
      <c r="C3613" s="317"/>
      <c r="G3613" s="290"/>
      <c r="H3613" s="438"/>
      <c r="I3613" s="439"/>
      <c r="J3613" s="440"/>
      <c r="K3613" s="307"/>
      <c r="L3613" s="307"/>
      <c r="M3613" s="307"/>
      <c r="N3613" s="438"/>
      <c r="O3613" s="438"/>
      <c r="P3613" s="438"/>
    </row>
    <row r="3614" spans="1:16" ht="15.75" customHeight="1">
      <c r="A3614" s="441"/>
      <c r="B3614" s="307"/>
      <c r="C3614" s="317"/>
      <c r="G3614" s="290"/>
      <c r="H3614" s="438"/>
      <c r="I3614" s="439"/>
      <c r="J3614" s="440"/>
      <c r="K3614" s="307"/>
      <c r="L3614" s="307"/>
      <c r="M3614" s="307"/>
      <c r="N3614" s="438"/>
      <c r="O3614" s="438"/>
      <c r="P3614" s="438"/>
    </row>
    <row r="3615" spans="1:16" ht="15.75" customHeight="1">
      <c r="A3615" s="441"/>
      <c r="B3615" s="307"/>
      <c r="C3615" s="317"/>
      <c r="G3615" s="290"/>
      <c r="H3615" s="438"/>
      <c r="I3615" s="439"/>
      <c r="J3615" s="440"/>
      <c r="K3615" s="307"/>
      <c r="L3615" s="307"/>
      <c r="M3615" s="307"/>
      <c r="N3615" s="438"/>
      <c r="O3615" s="438"/>
      <c r="P3615" s="438"/>
    </row>
    <row r="3616" spans="1:16" ht="15.75" customHeight="1">
      <c r="A3616" s="441"/>
      <c r="B3616" s="307"/>
      <c r="C3616" s="317"/>
      <c r="G3616" s="290"/>
      <c r="H3616" s="438"/>
      <c r="I3616" s="439"/>
      <c r="J3616" s="440"/>
      <c r="K3616" s="307"/>
      <c r="L3616" s="307"/>
      <c r="M3616" s="307"/>
      <c r="N3616" s="438"/>
      <c r="O3616" s="438"/>
      <c r="P3616" s="438"/>
    </row>
    <row r="3617" spans="1:16" ht="15.75" customHeight="1">
      <c r="A3617" s="441"/>
      <c r="B3617" s="307"/>
      <c r="C3617" s="317"/>
      <c r="G3617" s="290"/>
      <c r="H3617" s="438"/>
      <c r="I3617" s="439"/>
      <c r="J3617" s="440"/>
      <c r="K3617" s="307"/>
      <c r="L3617" s="307"/>
      <c r="M3617" s="307"/>
      <c r="N3617" s="438"/>
      <c r="O3617" s="438"/>
      <c r="P3617" s="438"/>
    </row>
    <row r="3618" spans="1:16" ht="15.75" customHeight="1">
      <c r="A3618" s="441"/>
      <c r="B3618" s="307"/>
      <c r="C3618" s="317"/>
      <c r="G3618" s="290"/>
      <c r="H3618" s="438"/>
      <c r="I3618" s="439"/>
      <c r="J3618" s="440"/>
      <c r="K3618" s="307"/>
      <c r="L3618" s="307"/>
      <c r="M3618" s="307"/>
      <c r="N3618" s="438"/>
      <c r="O3618" s="438"/>
      <c r="P3618" s="438"/>
    </row>
    <row r="3619" spans="1:16" ht="15.75" customHeight="1">
      <c r="A3619" s="441"/>
      <c r="B3619" s="307"/>
      <c r="C3619" s="317"/>
      <c r="G3619" s="290"/>
      <c r="H3619" s="438"/>
      <c r="I3619" s="439"/>
      <c r="J3619" s="440"/>
      <c r="K3619" s="307"/>
      <c r="L3619" s="307"/>
      <c r="M3619" s="307"/>
      <c r="N3619" s="438"/>
      <c r="O3619" s="438"/>
      <c r="P3619" s="438"/>
    </row>
    <row r="3620" spans="1:16" ht="15.75" customHeight="1">
      <c r="A3620" s="441"/>
      <c r="B3620" s="307"/>
      <c r="C3620" s="317"/>
      <c r="G3620" s="290"/>
      <c r="H3620" s="438"/>
      <c r="I3620" s="439"/>
      <c r="J3620" s="440"/>
      <c r="K3620" s="307"/>
      <c r="L3620" s="307"/>
      <c r="M3620" s="307"/>
      <c r="N3620" s="438"/>
      <c r="O3620" s="438"/>
      <c r="P3620" s="438"/>
    </row>
    <row r="3621" spans="1:16" ht="15.75" customHeight="1">
      <c r="A3621" s="441"/>
      <c r="B3621" s="307"/>
      <c r="C3621" s="317"/>
      <c r="G3621" s="290"/>
      <c r="H3621" s="438"/>
      <c r="I3621" s="439"/>
      <c r="J3621" s="440"/>
      <c r="K3621" s="307"/>
      <c r="L3621" s="307"/>
      <c r="M3621" s="307"/>
      <c r="N3621" s="438"/>
      <c r="O3621" s="438"/>
      <c r="P3621" s="438"/>
    </row>
    <row r="3622" spans="1:16" ht="15.75" customHeight="1">
      <c r="A3622" s="441"/>
      <c r="B3622" s="307"/>
      <c r="C3622" s="317"/>
      <c r="G3622" s="290"/>
      <c r="H3622" s="438"/>
      <c r="I3622" s="439"/>
      <c r="J3622" s="440"/>
      <c r="K3622" s="307"/>
      <c r="L3622" s="307"/>
      <c r="M3622" s="307"/>
      <c r="N3622" s="438"/>
      <c r="O3622" s="438"/>
      <c r="P3622" s="438"/>
    </row>
    <row r="3623" spans="1:16" ht="15.75" customHeight="1">
      <c r="A3623" s="441"/>
      <c r="B3623" s="307"/>
      <c r="C3623" s="317"/>
      <c r="G3623" s="290"/>
      <c r="H3623" s="438"/>
      <c r="I3623" s="439"/>
      <c r="J3623" s="440"/>
      <c r="K3623" s="307"/>
      <c r="L3623" s="307"/>
      <c r="M3623" s="307"/>
      <c r="N3623" s="438"/>
      <c r="O3623" s="438"/>
      <c r="P3623" s="438"/>
    </row>
    <row r="3624" spans="1:16" ht="15.75" customHeight="1">
      <c r="A3624" s="441"/>
      <c r="B3624" s="307"/>
      <c r="C3624" s="317"/>
      <c r="G3624" s="290"/>
      <c r="H3624" s="438"/>
      <c r="I3624" s="439"/>
      <c r="J3624" s="440"/>
      <c r="K3624" s="307"/>
      <c r="L3624" s="307"/>
      <c r="M3624" s="307"/>
      <c r="N3624" s="438"/>
      <c r="O3624" s="438"/>
      <c r="P3624" s="438"/>
    </row>
    <row r="3625" spans="1:16" ht="15.75" customHeight="1">
      <c r="A3625" s="441"/>
      <c r="B3625" s="307"/>
      <c r="C3625" s="317"/>
      <c r="G3625" s="290"/>
      <c r="H3625" s="438"/>
      <c r="I3625" s="439"/>
      <c r="J3625" s="440"/>
      <c r="K3625" s="307"/>
      <c r="L3625" s="307"/>
      <c r="M3625" s="307"/>
      <c r="N3625" s="438"/>
      <c r="O3625" s="438"/>
      <c r="P3625" s="438"/>
    </row>
    <row r="3626" spans="1:16" ht="15.75" customHeight="1">
      <c r="A3626" s="441"/>
      <c r="B3626" s="307"/>
      <c r="C3626" s="317"/>
      <c r="G3626" s="290"/>
      <c r="H3626" s="438"/>
      <c r="I3626" s="439"/>
      <c r="J3626" s="440"/>
      <c r="K3626" s="307"/>
      <c r="L3626" s="307"/>
      <c r="M3626" s="307"/>
      <c r="N3626" s="438"/>
      <c r="O3626" s="438"/>
      <c r="P3626" s="438"/>
    </row>
    <row r="3627" spans="1:16" ht="15.75" customHeight="1">
      <c r="A3627" s="441"/>
      <c r="B3627" s="307"/>
      <c r="C3627" s="317"/>
      <c r="G3627" s="290"/>
      <c r="H3627" s="438"/>
      <c r="I3627" s="439"/>
      <c r="J3627" s="440"/>
      <c r="K3627" s="307"/>
      <c r="L3627" s="307"/>
      <c r="M3627" s="307"/>
      <c r="N3627" s="438"/>
      <c r="O3627" s="438"/>
      <c r="P3627" s="438"/>
    </row>
    <row r="3628" spans="1:16" ht="15.75" customHeight="1">
      <c r="A3628" s="441"/>
      <c r="B3628" s="307"/>
      <c r="C3628" s="317"/>
      <c r="G3628" s="290"/>
      <c r="H3628" s="438"/>
      <c r="I3628" s="439"/>
      <c r="J3628" s="440"/>
      <c r="K3628" s="307"/>
      <c r="L3628" s="307"/>
      <c r="M3628" s="307"/>
      <c r="N3628" s="438"/>
      <c r="O3628" s="438"/>
      <c r="P3628" s="438"/>
    </row>
    <row r="3629" spans="1:16" ht="15.75" customHeight="1">
      <c r="A3629" s="441"/>
      <c r="B3629" s="307"/>
      <c r="C3629" s="317"/>
      <c r="G3629" s="290"/>
      <c r="H3629" s="438"/>
      <c r="I3629" s="439"/>
      <c r="J3629" s="440"/>
      <c r="K3629" s="307"/>
      <c r="L3629" s="307"/>
      <c r="M3629" s="307"/>
      <c r="N3629" s="438"/>
      <c r="O3629" s="438"/>
      <c r="P3629" s="438"/>
    </row>
    <row r="3630" spans="1:16" ht="15.75" customHeight="1">
      <c r="A3630" s="441"/>
      <c r="B3630" s="307"/>
      <c r="C3630" s="317"/>
      <c r="G3630" s="290"/>
      <c r="H3630" s="438"/>
      <c r="I3630" s="439"/>
      <c r="J3630" s="440"/>
      <c r="K3630" s="307"/>
      <c r="L3630" s="307"/>
      <c r="M3630" s="307"/>
      <c r="N3630" s="438"/>
      <c r="O3630" s="438"/>
      <c r="P3630" s="438"/>
    </row>
    <row r="3631" spans="1:16" ht="15.75" customHeight="1">
      <c r="A3631" s="441"/>
      <c r="B3631" s="307"/>
      <c r="C3631" s="317"/>
      <c r="G3631" s="290"/>
      <c r="H3631" s="438"/>
      <c r="I3631" s="439"/>
      <c r="J3631" s="440"/>
      <c r="K3631" s="307"/>
      <c r="L3631" s="307"/>
      <c r="M3631" s="307"/>
      <c r="N3631" s="438"/>
      <c r="O3631" s="438"/>
      <c r="P3631" s="438"/>
    </row>
    <row r="3632" spans="1:16" ht="15.75" customHeight="1">
      <c r="A3632" s="441"/>
      <c r="B3632" s="307"/>
      <c r="C3632" s="317"/>
      <c r="G3632" s="290"/>
      <c r="H3632" s="438"/>
      <c r="I3632" s="439"/>
      <c r="J3632" s="440"/>
      <c r="K3632" s="307"/>
      <c r="L3632" s="307"/>
      <c r="M3632" s="307"/>
      <c r="N3632" s="438"/>
      <c r="O3632" s="438"/>
      <c r="P3632" s="438"/>
    </row>
    <row r="3633" spans="1:16" ht="15.75" customHeight="1">
      <c r="A3633" s="441"/>
      <c r="B3633" s="307"/>
      <c r="C3633" s="317"/>
      <c r="G3633" s="290"/>
      <c r="H3633" s="438"/>
      <c r="I3633" s="439"/>
      <c r="J3633" s="440"/>
      <c r="K3633" s="307"/>
      <c r="L3633" s="307"/>
      <c r="M3633" s="307"/>
      <c r="N3633" s="438"/>
      <c r="O3633" s="438"/>
      <c r="P3633" s="438"/>
    </row>
    <row r="3634" spans="1:16" ht="15.75" customHeight="1">
      <c r="A3634" s="441"/>
      <c r="B3634" s="307"/>
      <c r="C3634" s="317"/>
      <c r="G3634" s="290"/>
      <c r="H3634" s="438"/>
      <c r="I3634" s="439"/>
      <c r="J3634" s="440"/>
      <c r="K3634" s="307"/>
      <c r="L3634" s="307"/>
      <c r="M3634" s="307"/>
      <c r="N3634" s="438"/>
      <c r="O3634" s="438"/>
      <c r="P3634" s="438"/>
    </row>
    <row r="3635" spans="1:16" ht="15.75" customHeight="1">
      <c r="A3635" s="441"/>
      <c r="B3635" s="307"/>
      <c r="C3635" s="317"/>
      <c r="G3635" s="290"/>
      <c r="H3635" s="438"/>
      <c r="I3635" s="439"/>
      <c r="J3635" s="440"/>
      <c r="K3635" s="307"/>
      <c r="L3635" s="307"/>
      <c r="M3635" s="307"/>
      <c r="N3635" s="438"/>
      <c r="O3635" s="438"/>
      <c r="P3635" s="438"/>
    </row>
    <row r="3636" spans="1:16" ht="15.75" customHeight="1">
      <c r="A3636" s="441"/>
      <c r="B3636" s="307"/>
      <c r="C3636" s="317"/>
      <c r="G3636" s="290"/>
      <c r="H3636" s="438"/>
      <c r="I3636" s="439"/>
      <c r="J3636" s="440"/>
      <c r="K3636" s="307"/>
      <c r="L3636" s="307"/>
      <c r="M3636" s="307"/>
      <c r="N3636" s="438"/>
      <c r="O3636" s="438"/>
      <c r="P3636" s="438"/>
    </row>
    <row r="3637" spans="1:16" ht="15.75" customHeight="1">
      <c r="A3637" s="441"/>
      <c r="B3637" s="307"/>
      <c r="C3637" s="317"/>
      <c r="G3637" s="290"/>
      <c r="H3637" s="438"/>
      <c r="I3637" s="439"/>
      <c r="J3637" s="440"/>
      <c r="K3637" s="307"/>
      <c r="L3637" s="307"/>
      <c r="M3637" s="307"/>
      <c r="N3637" s="438"/>
      <c r="O3637" s="438"/>
      <c r="P3637" s="438"/>
    </row>
    <row r="3638" spans="1:16" ht="15.75" customHeight="1">
      <c r="A3638" s="441"/>
      <c r="B3638" s="307"/>
      <c r="C3638" s="317"/>
      <c r="G3638" s="290"/>
      <c r="H3638" s="438"/>
      <c r="I3638" s="439"/>
      <c r="J3638" s="440"/>
      <c r="K3638" s="307"/>
      <c r="L3638" s="307"/>
      <c r="M3638" s="307"/>
      <c r="N3638" s="438"/>
      <c r="O3638" s="438"/>
      <c r="P3638" s="438"/>
    </row>
    <row r="3639" spans="1:16" ht="15.75" customHeight="1">
      <c r="A3639" s="441"/>
      <c r="B3639" s="307"/>
      <c r="C3639" s="317"/>
      <c r="G3639" s="290"/>
      <c r="H3639" s="438"/>
      <c r="I3639" s="439"/>
      <c r="J3639" s="440"/>
      <c r="K3639" s="307"/>
      <c r="L3639" s="307"/>
      <c r="M3639" s="307"/>
      <c r="N3639" s="438"/>
      <c r="O3639" s="438"/>
      <c r="P3639" s="438"/>
    </row>
    <row r="3640" spans="1:16" ht="15.75" customHeight="1">
      <c r="A3640" s="441"/>
      <c r="B3640" s="307"/>
      <c r="C3640" s="317"/>
      <c r="G3640" s="290"/>
      <c r="H3640" s="438"/>
      <c r="I3640" s="439"/>
      <c r="J3640" s="440"/>
      <c r="K3640" s="307"/>
      <c r="L3640" s="307"/>
      <c r="M3640" s="307"/>
      <c r="N3640" s="438"/>
      <c r="O3640" s="438"/>
      <c r="P3640" s="438"/>
    </row>
    <row r="3641" spans="1:16" ht="15.75" customHeight="1">
      <c r="A3641" s="441"/>
      <c r="B3641" s="307"/>
      <c r="C3641" s="317"/>
      <c r="G3641" s="290"/>
      <c r="H3641" s="438"/>
      <c r="I3641" s="439"/>
      <c r="J3641" s="440"/>
      <c r="K3641" s="307"/>
      <c r="L3641" s="307"/>
      <c r="M3641" s="307"/>
      <c r="N3641" s="438"/>
      <c r="O3641" s="438"/>
      <c r="P3641" s="438"/>
    </row>
    <row r="3642" spans="1:16" ht="15.75" customHeight="1">
      <c r="A3642" s="441"/>
      <c r="B3642" s="307"/>
      <c r="C3642" s="317"/>
      <c r="G3642" s="290"/>
      <c r="H3642" s="438"/>
      <c r="I3642" s="439"/>
      <c r="J3642" s="440"/>
      <c r="K3642" s="307"/>
      <c r="L3642" s="307"/>
      <c r="M3642" s="307"/>
      <c r="N3642" s="438"/>
      <c r="O3642" s="438"/>
      <c r="P3642" s="438"/>
    </row>
    <row r="3643" spans="1:16" ht="15.75" customHeight="1">
      <c r="A3643" s="441"/>
      <c r="B3643" s="307"/>
      <c r="C3643" s="317"/>
      <c r="G3643" s="290"/>
      <c r="H3643" s="438"/>
      <c r="I3643" s="439"/>
      <c r="J3643" s="440"/>
      <c r="K3643" s="307"/>
      <c r="L3643" s="307"/>
      <c r="M3643" s="307"/>
      <c r="N3643" s="438"/>
      <c r="O3643" s="438"/>
      <c r="P3643" s="438"/>
    </row>
    <row r="3644" spans="1:16" ht="15.75" customHeight="1">
      <c r="A3644" s="441"/>
      <c r="B3644" s="307"/>
      <c r="C3644" s="317"/>
      <c r="G3644" s="290"/>
      <c r="H3644" s="438"/>
      <c r="I3644" s="439"/>
      <c r="J3644" s="440"/>
      <c r="K3644" s="307"/>
      <c r="L3644" s="307"/>
      <c r="M3644" s="307"/>
      <c r="N3644" s="438"/>
      <c r="O3644" s="438"/>
      <c r="P3644" s="438"/>
    </row>
    <row r="3645" spans="1:16" ht="15.75" customHeight="1">
      <c r="A3645" s="441"/>
      <c r="B3645" s="307"/>
      <c r="C3645" s="317"/>
      <c r="G3645" s="290"/>
      <c r="H3645" s="438"/>
      <c r="I3645" s="439"/>
      <c r="J3645" s="440"/>
      <c r="K3645" s="307"/>
      <c r="L3645" s="307"/>
      <c r="M3645" s="307"/>
      <c r="N3645" s="438"/>
      <c r="O3645" s="438"/>
      <c r="P3645" s="438"/>
    </row>
    <row r="3646" spans="1:16" ht="15.75" customHeight="1">
      <c r="A3646" s="441"/>
      <c r="B3646" s="307"/>
      <c r="C3646" s="317"/>
      <c r="G3646" s="290"/>
      <c r="H3646" s="438"/>
      <c r="I3646" s="439"/>
      <c r="J3646" s="440"/>
      <c r="K3646" s="307"/>
      <c r="L3646" s="307"/>
      <c r="M3646" s="307"/>
      <c r="N3646" s="438"/>
      <c r="O3646" s="438"/>
      <c r="P3646" s="438"/>
    </row>
    <row r="3647" spans="1:16" ht="15.75" customHeight="1">
      <c r="A3647" s="441"/>
      <c r="B3647" s="307"/>
      <c r="C3647" s="317"/>
      <c r="G3647" s="290"/>
      <c r="H3647" s="438"/>
      <c r="I3647" s="439"/>
      <c r="J3647" s="440"/>
      <c r="K3647" s="307"/>
      <c r="L3647" s="307"/>
      <c r="M3647" s="307"/>
      <c r="N3647" s="438"/>
      <c r="O3647" s="438"/>
      <c r="P3647" s="438"/>
    </row>
    <row r="3648" spans="1:16" ht="15.75" customHeight="1">
      <c r="A3648" s="441"/>
      <c r="B3648" s="307"/>
      <c r="C3648" s="317"/>
      <c r="G3648" s="290"/>
      <c r="H3648" s="438"/>
      <c r="I3648" s="439"/>
      <c r="J3648" s="440"/>
      <c r="K3648" s="307"/>
      <c r="L3648" s="307"/>
      <c r="M3648" s="307"/>
      <c r="N3648" s="438"/>
      <c r="O3648" s="438"/>
      <c r="P3648" s="438"/>
    </row>
    <row r="3649" spans="1:16" ht="15.75" customHeight="1">
      <c r="A3649" s="441"/>
      <c r="B3649" s="307"/>
      <c r="C3649" s="317"/>
      <c r="G3649" s="290"/>
      <c r="H3649" s="438"/>
      <c r="I3649" s="439"/>
      <c r="J3649" s="440"/>
      <c r="K3649" s="307"/>
      <c r="L3649" s="307"/>
      <c r="M3649" s="307"/>
      <c r="N3649" s="438"/>
      <c r="O3649" s="438"/>
      <c r="P3649" s="438"/>
    </row>
    <row r="3650" spans="1:16" ht="15.75" customHeight="1">
      <c r="A3650" s="441"/>
      <c r="B3650" s="307"/>
      <c r="C3650" s="317"/>
      <c r="G3650" s="290"/>
      <c r="H3650" s="438"/>
      <c r="I3650" s="439"/>
      <c r="J3650" s="440"/>
      <c r="K3650" s="307"/>
      <c r="L3650" s="307"/>
      <c r="M3650" s="307"/>
      <c r="N3650" s="438"/>
      <c r="O3650" s="438"/>
      <c r="P3650" s="438"/>
    </row>
    <row r="3651" spans="1:16" ht="15.75" customHeight="1">
      <c r="A3651" s="441"/>
      <c r="B3651" s="307"/>
      <c r="C3651" s="317"/>
      <c r="G3651" s="290"/>
      <c r="H3651" s="438"/>
      <c r="I3651" s="439"/>
      <c r="J3651" s="440"/>
      <c r="K3651" s="307"/>
      <c r="L3651" s="307"/>
      <c r="M3651" s="307"/>
      <c r="N3651" s="438"/>
      <c r="O3651" s="438"/>
      <c r="P3651" s="438"/>
    </row>
    <row r="3652" spans="1:16" ht="15.75" customHeight="1">
      <c r="A3652" s="441"/>
      <c r="B3652" s="307"/>
      <c r="C3652" s="317"/>
      <c r="G3652" s="290"/>
      <c r="H3652" s="438"/>
      <c r="I3652" s="439"/>
      <c r="J3652" s="440"/>
      <c r="K3652" s="307"/>
      <c r="L3652" s="307"/>
      <c r="M3652" s="307"/>
      <c r="N3652" s="438"/>
      <c r="O3652" s="438"/>
      <c r="P3652" s="438"/>
    </row>
    <row r="3653" spans="1:16" ht="15.75" customHeight="1">
      <c r="A3653" s="441"/>
      <c r="B3653" s="307"/>
      <c r="C3653" s="317"/>
      <c r="G3653" s="290"/>
      <c r="H3653" s="438"/>
      <c r="I3653" s="439"/>
      <c r="J3653" s="440"/>
      <c r="K3653" s="307"/>
      <c r="L3653" s="307"/>
      <c r="M3653" s="307"/>
      <c r="N3653" s="438"/>
      <c r="O3653" s="438"/>
      <c r="P3653" s="438"/>
    </row>
    <row r="3654" spans="1:16" ht="15.75" customHeight="1">
      <c r="A3654" s="441"/>
      <c r="B3654" s="307"/>
      <c r="C3654" s="317"/>
      <c r="G3654" s="290"/>
      <c r="H3654" s="438"/>
      <c r="I3654" s="439"/>
      <c r="J3654" s="440"/>
      <c r="K3654" s="307"/>
      <c r="L3654" s="307"/>
      <c r="M3654" s="307"/>
      <c r="N3654" s="438"/>
      <c r="O3654" s="438"/>
      <c r="P3654" s="438"/>
    </row>
    <row r="3655" spans="1:16" ht="15.75" customHeight="1">
      <c r="A3655" s="441"/>
      <c r="B3655" s="307"/>
      <c r="C3655" s="317"/>
      <c r="G3655" s="290"/>
      <c r="H3655" s="438"/>
      <c r="I3655" s="439"/>
      <c r="J3655" s="440"/>
      <c r="K3655" s="307"/>
      <c r="L3655" s="307"/>
      <c r="M3655" s="307"/>
      <c r="N3655" s="438"/>
      <c r="O3655" s="438"/>
      <c r="P3655" s="438"/>
    </row>
    <row r="3656" spans="1:16" ht="15.75" customHeight="1">
      <c r="A3656" s="441"/>
      <c r="B3656" s="307"/>
      <c r="C3656" s="317"/>
      <c r="G3656" s="290"/>
      <c r="H3656" s="438"/>
      <c r="I3656" s="439"/>
      <c r="J3656" s="440"/>
      <c r="K3656" s="307"/>
      <c r="L3656" s="307"/>
      <c r="M3656" s="307"/>
      <c r="N3656" s="438"/>
      <c r="O3656" s="438"/>
      <c r="P3656" s="438"/>
    </row>
    <row r="3657" spans="1:16" ht="15.75" customHeight="1">
      <c r="A3657" s="441"/>
      <c r="B3657" s="307"/>
      <c r="C3657" s="317"/>
      <c r="G3657" s="290"/>
      <c r="H3657" s="438"/>
      <c r="I3657" s="439"/>
      <c r="J3657" s="440"/>
      <c r="K3657" s="307"/>
      <c r="L3657" s="307"/>
      <c r="M3657" s="307"/>
      <c r="N3657" s="438"/>
      <c r="O3657" s="438"/>
      <c r="P3657" s="438"/>
    </row>
    <row r="3658" spans="1:16" ht="15.75" customHeight="1">
      <c r="A3658" s="441"/>
      <c r="B3658" s="307"/>
      <c r="C3658" s="317"/>
      <c r="G3658" s="290"/>
      <c r="H3658" s="438"/>
      <c r="I3658" s="439"/>
      <c r="J3658" s="440"/>
      <c r="K3658" s="307"/>
      <c r="L3658" s="307"/>
      <c r="M3658" s="307"/>
      <c r="N3658" s="438"/>
      <c r="O3658" s="438"/>
      <c r="P3658" s="438"/>
    </row>
    <row r="3659" spans="1:16" ht="15.75" customHeight="1">
      <c r="A3659" s="441"/>
      <c r="B3659" s="307"/>
      <c r="C3659" s="317"/>
      <c r="G3659" s="290"/>
      <c r="H3659" s="438"/>
      <c r="I3659" s="439"/>
      <c r="J3659" s="440"/>
      <c r="K3659" s="307"/>
      <c r="L3659" s="307"/>
      <c r="M3659" s="307"/>
      <c r="N3659" s="438"/>
      <c r="O3659" s="438"/>
      <c r="P3659" s="438"/>
    </row>
    <row r="3660" spans="1:16" ht="15.75" customHeight="1">
      <c r="A3660" s="441"/>
      <c r="B3660" s="307"/>
      <c r="C3660" s="317"/>
      <c r="G3660" s="290"/>
      <c r="H3660" s="438"/>
      <c r="I3660" s="439"/>
      <c r="J3660" s="440"/>
      <c r="K3660" s="307"/>
      <c r="L3660" s="307"/>
      <c r="M3660" s="307"/>
      <c r="N3660" s="438"/>
      <c r="O3660" s="438"/>
      <c r="P3660" s="438"/>
    </row>
    <row r="3661" spans="1:16" ht="15.75" customHeight="1">
      <c r="A3661" s="441"/>
      <c r="B3661" s="307"/>
      <c r="C3661" s="317"/>
      <c r="G3661" s="290"/>
      <c r="H3661" s="438"/>
      <c r="I3661" s="439"/>
      <c r="J3661" s="440"/>
      <c r="K3661" s="307"/>
      <c r="L3661" s="307"/>
      <c r="M3661" s="307"/>
      <c r="N3661" s="438"/>
      <c r="O3661" s="438"/>
      <c r="P3661" s="438"/>
    </row>
    <row r="3662" spans="1:16" ht="15.75" customHeight="1">
      <c r="A3662" s="441"/>
      <c r="B3662" s="307"/>
      <c r="C3662" s="317"/>
      <c r="G3662" s="290"/>
      <c r="H3662" s="438"/>
      <c r="I3662" s="439"/>
      <c r="J3662" s="440"/>
      <c r="K3662" s="307"/>
      <c r="L3662" s="307"/>
      <c r="M3662" s="307"/>
      <c r="N3662" s="438"/>
      <c r="O3662" s="438"/>
      <c r="P3662" s="438"/>
    </row>
    <row r="3663" spans="1:16" ht="15.75" customHeight="1">
      <c r="A3663" s="441"/>
      <c r="B3663" s="307"/>
      <c r="C3663" s="317"/>
      <c r="G3663" s="290"/>
      <c r="H3663" s="438"/>
      <c r="I3663" s="439"/>
      <c r="J3663" s="440"/>
      <c r="K3663" s="307"/>
      <c r="L3663" s="307"/>
      <c r="M3663" s="307"/>
      <c r="N3663" s="438"/>
      <c r="O3663" s="438"/>
      <c r="P3663" s="438"/>
    </row>
    <row r="3664" spans="1:16" ht="15.75" customHeight="1">
      <c r="A3664" s="441"/>
      <c r="B3664" s="307"/>
      <c r="C3664" s="317"/>
      <c r="G3664" s="290"/>
      <c r="H3664" s="438"/>
      <c r="I3664" s="439"/>
      <c r="J3664" s="440"/>
      <c r="K3664" s="307"/>
      <c r="L3664" s="307"/>
      <c r="M3664" s="307"/>
      <c r="N3664" s="438"/>
      <c r="O3664" s="438"/>
      <c r="P3664" s="438"/>
    </row>
    <row r="3665" spans="1:16" ht="15.75" customHeight="1">
      <c r="A3665" s="441"/>
      <c r="B3665" s="307"/>
      <c r="C3665" s="317"/>
      <c r="G3665" s="290"/>
      <c r="H3665" s="438"/>
      <c r="I3665" s="439"/>
      <c r="J3665" s="440"/>
      <c r="K3665" s="307"/>
      <c r="L3665" s="307"/>
      <c r="M3665" s="307"/>
      <c r="N3665" s="438"/>
      <c r="O3665" s="438"/>
      <c r="P3665" s="438"/>
    </row>
    <row r="3666" spans="1:16" ht="15.75" customHeight="1">
      <c r="A3666" s="441"/>
      <c r="B3666" s="307"/>
      <c r="C3666" s="317"/>
      <c r="G3666" s="290"/>
      <c r="H3666" s="438"/>
      <c r="I3666" s="439"/>
      <c r="J3666" s="440"/>
      <c r="K3666" s="307"/>
      <c r="L3666" s="307"/>
      <c r="M3666" s="307"/>
      <c r="N3666" s="438"/>
      <c r="O3666" s="438"/>
      <c r="P3666" s="438"/>
    </row>
    <row r="3667" spans="1:16" ht="15.75" customHeight="1">
      <c r="A3667" s="441"/>
      <c r="B3667" s="307"/>
      <c r="C3667" s="317"/>
      <c r="G3667" s="290"/>
      <c r="H3667" s="438"/>
      <c r="I3667" s="439"/>
      <c r="J3667" s="440"/>
      <c r="K3667" s="307"/>
      <c r="L3667" s="307"/>
      <c r="M3667" s="307"/>
      <c r="N3667" s="438"/>
      <c r="O3667" s="438"/>
      <c r="P3667" s="438"/>
    </row>
    <row r="3668" spans="1:16" ht="15.75" customHeight="1">
      <c r="A3668" s="441"/>
      <c r="B3668" s="307"/>
      <c r="C3668" s="317"/>
      <c r="G3668" s="290"/>
      <c r="H3668" s="438"/>
      <c r="I3668" s="439"/>
      <c r="J3668" s="440"/>
      <c r="K3668" s="307"/>
      <c r="L3668" s="307"/>
      <c r="M3668" s="307"/>
      <c r="N3668" s="438"/>
      <c r="O3668" s="438"/>
      <c r="P3668" s="438"/>
    </row>
    <row r="3669" spans="1:16" ht="15.75" customHeight="1">
      <c r="A3669" s="441"/>
      <c r="B3669" s="307"/>
      <c r="C3669" s="317"/>
      <c r="G3669" s="290"/>
      <c r="H3669" s="438"/>
      <c r="I3669" s="439"/>
      <c r="J3669" s="440"/>
      <c r="K3669" s="307"/>
      <c r="L3669" s="307"/>
      <c r="M3669" s="307"/>
      <c r="N3669" s="438"/>
      <c r="O3669" s="438"/>
      <c r="P3669" s="438"/>
    </row>
    <row r="3670" spans="1:16" ht="15.75" customHeight="1">
      <c r="A3670" s="441"/>
      <c r="B3670" s="307"/>
      <c r="C3670" s="317"/>
      <c r="G3670" s="290"/>
      <c r="H3670" s="438"/>
      <c r="I3670" s="439"/>
      <c r="J3670" s="440"/>
      <c r="K3670" s="307"/>
      <c r="L3670" s="307"/>
      <c r="M3670" s="307"/>
      <c r="N3670" s="438"/>
      <c r="O3670" s="438"/>
      <c r="P3670" s="438"/>
    </row>
    <row r="3671" spans="1:16" ht="15.75" customHeight="1">
      <c r="A3671" s="441"/>
      <c r="B3671" s="307"/>
      <c r="C3671" s="317"/>
      <c r="G3671" s="290"/>
      <c r="H3671" s="438"/>
      <c r="I3671" s="439"/>
      <c r="J3671" s="440"/>
      <c r="K3671" s="307"/>
      <c r="L3671" s="307"/>
      <c r="M3671" s="307"/>
      <c r="N3671" s="438"/>
      <c r="O3671" s="438"/>
      <c r="P3671" s="438"/>
    </row>
    <row r="3672" spans="1:16" ht="15.75" customHeight="1">
      <c r="A3672" s="441"/>
      <c r="B3672" s="307"/>
      <c r="C3672" s="317"/>
      <c r="G3672" s="290"/>
      <c r="H3672" s="438"/>
      <c r="I3672" s="439"/>
      <c r="J3672" s="440"/>
      <c r="K3672" s="307"/>
      <c r="L3672" s="307"/>
      <c r="M3672" s="307"/>
      <c r="N3672" s="438"/>
      <c r="O3672" s="438"/>
      <c r="P3672" s="438"/>
    </row>
    <row r="3673" spans="1:16" ht="15.75" customHeight="1">
      <c r="A3673" s="441"/>
      <c r="B3673" s="307"/>
      <c r="C3673" s="317"/>
      <c r="G3673" s="290"/>
      <c r="H3673" s="438"/>
      <c r="I3673" s="439"/>
      <c r="J3673" s="440"/>
      <c r="K3673" s="307"/>
      <c r="L3673" s="307"/>
      <c r="M3673" s="307"/>
      <c r="N3673" s="438"/>
      <c r="O3673" s="438"/>
      <c r="P3673" s="438"/>
    </row>
    <row r="3674" spans="1:16" ht="15.75" customHeight="1">
      <c r="A3674" s="441"/>
      <c r="B3674" s="307"/>
      <c r="C3674" s="317"/>
      <c r="G3674" s="290"/>
      <c r="H3674" s="438"/>
      <c r="I3674" s="439"/>
      <c r="J3674" s="440"/>
      <c r="K3674" s="307"/>
      <c r="L3674" s="307"/>
      <c r="M3674" s="307"/>
      <c r="N3674" s="438"/>
      <c r="O3674" s="438"/>
      <c r="P3674" s="438"/>
    </row>
    <row r="3675" spans="1:16" ht="15.75" customHeight="1">
      <c r="A3675" s="441"/>
      <c r="B3675" s="307"/>
      <c r="C3675" s="317"/>
      <c r="G3675" s="290"/>
      <c r="H3675" s="438"/>
      <c r="I3675" s="439"/>
      <c r="J3675" s="440"/>
      <c r="K3675" s="307"/>
      <c r="L3675" s="307"/>
      <c r="M3675" s="307"/>
      <c r="N3675" s="438"/>
      <c r="O3675" s="438"/>
      <c r="P3675" s="438"/>
    </row>
    <row r="3676" spans="1:16" ht="15.75" customHeight="1">
      <c r="A3676" s="441"/>
      <c r="B3676" s="307"/>
      <c r="C3676" s="317"/>
      <c r="G3676" s="290"/>
      <c r="H3676" s="438"/>
      <c r="I3676" s="439"/>
      <c r="J3676" s="440"/>
      <c r="K3676" s="307"/>
      <c r="L3676" s="307"/>
      <c r="M3676" s="307"/>
      <c r="N3676" s="438"/>
      <c r="O3676" s="438"/>
      <c r="P3676" s="438"/>
    </row>
    <row r="3677" spans="1:16" ht="15.75" customHeight="1">
      <c r="A3677" s="441"/>
      <c r="B3677" s="307"/>
      <c r="C3677" s="317"/>
      <c r="G3677" s="290"/>
      <c r="H3677" s="438"/>
      <c r="I3677" s="439"/>
      <c r="J3677" s="440"/>
      <c r="K3677" s="307"/>
      <c r="L3677" s="307"/>
      <c r="M3677" s="307"/>
      <c r="N3677" s="438"/>
      <c r="O3677" s="438"/>
      <c r="P3677" s="438"/>
    </row>
    <row r="3678" spans="1:16" ht="15.75" customHeight="1">
      <c r="A3678" s="441"/>
      <c r="B3678" s="307"/>
      <c r="C3678" s="317"/>
      <c r="G3678" s="290"/>
      <c r="H3678" s="438"/>
      <c r="I3678" s="439"/>
      <c r="J3678" s="440"/>
      <c r="K3678" s="307"/>
      <c r="L3678" s="307"/>
      <c r="M3678" s="307"/>
      <c r="N3678" s="438"/>
      <c r="O3678" s="438"/>
      <c r="P3678" s="438"/>
    </row>
    <row r="3679" spans="1:16" ht="15.75" customHeight="1">
      <c r="A3679" s="441"/>
      <c r="B3679" s="307"/>
      <c r="C3679" s="317"/>
      <c r="G3679" s="290"/>
      <c r="H3679" s="438"/>
      <c r="I3679" s="439"/>
      <c r="J3679" s="440"/>
      <c r="K3679" s="307"/>
      <c r="L3679" s="307"/>
      <c r="M3679" s="307"/>
      <c r="N3679" s="438"/>
      <c r="O3679" s="438"/>
      <c r="P3679" s="438"/>
    </row>
    <row r="3680" spans="1:16" ht="15.75" customHeight="1">
      <c r="A3680" s="441"/>
      <c r="B3680" s="307"/>
      <c r="C3680" s="317"/>
      <c r="G3680" s="290"/>
      <c r="H3680" s="438"/>
      <c r="I3680" s="439"/>
      <c r="J3680" s="440"/>
      <c r="K3680" s="307"/>
      <c r="L3680" s="307"/>
      <c r="M3680" s="307"/>
      <c r="N3680" s="438"/>
      <c r="O3680" s="438"/>
      <c r="P3680" s="438"/>
    </row>
    <row r="3681" spans="1:16" ht="15.75" customHeight="1">
      <c r="A3681" s="441"/>
      <c r="B3681" s="307"/>
      <c r="C3681" s="317"/>
      <c r="G3681" s="290"/>
      <c r="H3681" s="438"/>
      <c r="I3681" s="439"/>
      <c r="J3681" s="440"/>
      <c r="K3681" s="307"/>
      <c r="L3681" s="307"/>
      <c r="M3681" s="307"/>
      <c r="N3681" s="438"/>
      <c r="O3681" s="438"/>
      <c r="P3681" s="438"/>
    </row>
    <row r="3682" spans="1:16" ht="15.75" customHeight="1">
      <c r="A3682" s="441"/>
      <c r="B3682" s="307"/>
      <c r="C3682" s="317"/>
      <c r="G3682" s="290"/>
      <c r="H3682" s="438"/>
      <c r="I3682" s="439"/>
      <c r="J3682" s="440"/>
      <c r="K3682" s="307"/>
      <c r="L3682" s="307"/>
      <c r="M3682" s="307"/>
      <c r="N3682" s="438"/>
      <c r="O3682" s="438"/>
      <c r="P3682" s="438"/>
    </row>
    <row r="3683" spans="1:16" ht="15.75" customHeight="1">
      <c r="A3683" s="441"/>
      <c r="B3683" s="307"/>
      <c r="C3683" s="317"/>
      <c r="G3683" s="290"/>
      <c r="H3683" s="438"/>
      <c r="I3683" s="439"/>
      <c r="J3683" s="440"/>
      <c r="K3683" s="307"/>
      <c r="L3683" s="307"/>
      <c r="M3683" s="307"/>
      <c r="N3683" s="438"/>
      <c r="O3683" s="438"/>
      <c r="P3683" s="438"/>
    </row>
    <row r="3684" spans="1:16" ht="15.75" customHeight="1">
      <c r="A3684" s="441"/>
      <c r="B3684" s="307"/>
      <c r="C3684" s="317"/>
      <c r="G3684" s="290"/>
      <c r="H3684" s="438"/>
      <c r="I3684" s="439"/>
      <c r="J3684" s="440"/>
      <c r="K3684" s="307"/>
      <c r="L3684" s="307"/>
      <c r="M3684" s="307"/>
      <c r="N3684" s="438"/>
      <c r="O3684" s="438"/>
      <c r="P3684" s="438"/>
    </row>
    <row r="3685" spans="1:16" ht="15.75" customHeight="1">
      <c r="A3685" s="441"/>
      <c r="B3685" s="307"/>
      <c r="C3685" s="317"/>
      <c r="G3685" s="290"/>
      <c r="H3685" s="438"/>
      <c r="I3685" s="439"/>
      <c r="J3685" s="440"/>
      <c r="K3685" s="307"/>
      <c r="L3685" s="307"/>
      <c r="M3685" s="307"/>
      <c r="N3685" s="438"/>
      <c r="O3685" s="438"/>
      <c r="P3685" s="438"/>
    </row>
    <row r="3686" spans="1:16" ht="15.75" customHeight="1">
      <c r="A3686" s="441"/>
      <c r="B3686" s="307"/>
      <c r="C3686" s="317"/>
      <c r="G3686" s="290"/>
      <c r="H3686" s="438"/>
      <c r="I3686" s="439"/>
      <c r="J3686" s="440"/>
      <c r="K3686" s="307"/>
      <c r="L3686" s="307"/>
      <c r="M3686" s="307"/>
      <c r="N3686" s="438"/>
      <c r="O3686" s="438"/>
      <c r="P3686" s="438"/>
    </row>
    <row r="3687" spans="1:16" ht="15.75" customHeight="1">
      <c r="A3687" s="441"/>
      <c r="B3687" s="307"/>
      <c r="C3687" s="317"/>
      <c r="G3687" s="290"/>
      <c r="H3687" s="438"/>
      <c r="I3687" s="439"/>
      <c r="J3687" s="440"/>
      <c r="K3687" s="307"/>
      <c r="L3687" s="307"/>
      <c r="M3687" s="307"/>
      <c r="N3687" s="438"/>
      <c r="O3687" s="438"/>
      <c r="P3687" s="438"/>
    </row>
    <row r="3688" spans="1:16" ht="15.75" customHeight="1">
      <c r="A3688" s="441"/>
      <c r="B3688" s="307"/>
      <c r="C3688" s="317"/>
      <c r="G3688" s="290"/>
      <c r="H3688" s="438"/>
      <c r="I3688" s="439"/>
      <c r="J3688" s="440"/>
      <c r="K3688" s="307"/>
      <c r="L3688" s="307"/>
      <c r="M3688" s="307"/>
      <c r="N3688" s="438"/>
      <c r="O3688" s="438"/>
      <c r="P3688" s="438"/>
    </row>
    <row r="3689" spans="1:16" ht="15.75" customHeight="1">
      <c r="A3689" s="441"/>
      <c r="B3689" s="307"/>
      <c r="C3689" s="317"/>
      <c r="G3689" s="290"/>
      <c r="H3689" s="438"/>
      <c r="I3689" s="439"/>
      <c r="J3689" s="440"/>
      <c r="K3689" s="307"/>
      <c r="L3689" s="307"/>
      <c r="M3689" s="307"/>
      <c r="N3689" s="438"/>
      <c r="O3689" s="438"/>
      <c r="P3689" s="438"/>
    </row>
    <row r="3690" spans="1:16" ht="15.75" customHeight="1">
      <c r="A3690" s="441"/>
      <c r="B3690" s="307"/>
      <c r="C3690" s="317"/>
      <c r="G3690" s="290"/>
      <c r="H3690" s="438"/>
      <c r="I3690" s="439"/>
      <c r="J3690" s="440"/>
      <c r="K3690" s="307"/>
      <c r="L3690" s="307"/>
      <c r="M3690" s="307"/>
      <c r="N3690" s="438"/>
      <c r="O3690" s="438"/>
      <c r="P3690" s="438"/>
    </row>
    <row r="3691" spans="1:16" ht="15.75" customHeight="1">
      <c r="A3691" s="441"/>
      <c r="B3691" s="307"/>
      <c r="C3691" s="317"/>
      <c r="G3691" s="290"/>
      <c r="H3691" s="438"/>
      <c r="I3691" s="439"/>
      <c r="J3691" s="440"/>
      <c r="K3691" s="307"/>
      <c r="L3691" s="307"/>
      <c r="M3691" s="307"/>
      <c r="N3691" s="438"/>
      <c r="O3691" s="438"/>
      <c r="P3691" s="438"/>
    </row>
    <row r="3692" spans="1:16" ht="15.75" customHeight="1">
      <c r="A3692" s="441"/>
      <c r="B3692" s="307"/>
      <c r="C3692" s="317"/>
      <c r="G3692" s="290"/>
      <c r="H3692" s="438"/>
      <c r="I3692" s="439"/>
      <c r="J3692" s="440"/>
      <c r="K3692" s="307"/>
      <c r="L3692" s="307"/>
      <c r="M3692" s="307"/>
      <c r="N3692" s="438"/>
      <c r="O3692" s="438"/>
      <c r="P3692" s="438"/>
    </row>
    <row r="3693" spans="1:16" ht="15.75" customHeight="1">
      <c r="A3693" s="441"/>
      <c r="B3693" s="307"/>
      <c r="C3693" s="317"/>
      <c r="G3693" s="290"/>
      <c r="H3693" s="438"/>
      <c r="I3693" s="439"/>
      <c r="J3693" s="440"/>
      <c r="K3693" s="307"/>
      <c r="L3693" s="307"/>
      <c r="M3693" s="307"/>
      <c r="N3693" s="438"/>
      <c r="O3693" s="438"/>
      <c r="P3693" s="438"/>
    </row>
    <row r="3694" spans="1:16" ht="15.75" customHeight="1">
      <c r="A3694" s="441"/>
      <c r="B3694" s="307"/>
      <c r="C3694" s="317"/>
      <c r="G3694" s="290"/>
      <c r="H3694" s="438"/>
      <c r="I3694" s="439"/>
      <c r="J3694" s="440"/>
      <c r="K3694" s="307"/>
      <c r="L3694" s="307"/>
      <c r="M3694" s="307"/>
      <c r="N3694" s="438"/>
      <c r="O3694" s="438"/>
      <c r="P3694" s="438"/>
    </row>
    <row r="3695" spans="1:16" ht="15.75" customHeight="1">
      <c r="A3695" s="441"/>
      <c r="B3695" s="307"/>
      <c r="C3695" s="317"/>
      <c r="G3695" s="290"/>
      <c r="H3695" s="438"/>
      <c r="I3695" s="439"/>
      <c r="J3695" s="440"/>
      <c r="K3695" s="307"/>
      <c r="L3695" s="307"/>
      <c r="M3695" s="307"/>
      <c r="N3695" s="438"/>
      <c r="O3695" s="438"/>
      <c r="P3695" s="438"/>
    </row>
    <row r="3696" spans="1:16" ht="15.75" customHeight="1">
      <c r="A3696" s="441"/>
      <c r="B3696" s="307"/>
      <c r="C3696" s="317"/>
      <c r="G3696" s="290"/>
      <c r="H3696" s="438"/>
      <c r="I3696" s="439"/>
      <c r="J3696" s="440"/>
      <c r="K3696" s="307"/>
      <c r="L3696" s="307"/>
      <c r="M3696" s="307"/>
      <c r="N3696" s="438"/>
      <c r="O3696" s="438"/>
      <c r="P3696" s="438"/>
    </row>
    <row r="3697" spans="1:16" ht="15.75" customHeight="1">
      <c r="A3697" s="441"/>
      <c r="B3697" s="307"/>
      <c r="C3697" s="317"/>
      <c r="G3697" s="290"/>
      <c r="H3697" s="438"/>
      <c r="I3697" s="439"/>
      <c r="J3697" s="440"/>
      <c r="K3697" s="307"/>
      <c r="L3697" s="307"/>
      <c r="M3697" s="307"/>
      <c r="N3697" s="438"/>
      <c r="O3697" s="438"/>
      <c r="P3697" s="438"/>
    </row>
    <row r="3698" spans="1:16" ht="15.75" customHeight="1">
      <c r="A3698" s="441"/>
      <c r="B3698" s="307"/>
      <c r="C3698" s="317"/>
      <c r="G3698" s="290"/>
      <c r="H3698" s="438"/>
      <c r="I3698" s="439"/>
      <c r="J3698" s="440"/>
      <c r="K3698" s="307"/>
      <c r="L3698" s="307"/>
      <c r="M3698" s="307"/>
      <c r="N3698" s="438"/>
      <c r="O3698" s="438"/>
      <c r="P3698" s="438"/>
    </row>
    <row r="3699" spans="1:16" ht="15.75" customHeight="1">
      <c r="A3699" s="441"/>
      <c r="B3699" s="307"/>
      <c r="C3699" s="317"/>
      <c r="G3699" s="290"/>
      <c r="H3699" s="438"/>
      <c r="I3699" s="439"/>
      <c r="J3699" s="440"/>
      <c r="K3699" s="307"/>
      <c r="L3699" s="307"/>
      <c r="M3699" s="307"/>
      <c r="N3699" s="438"/>
      <c r="O3699" s="438"/>
      <c r="P3699" s="438"/>
    </row>
    <row r="3700" spans="1:16" ht="15.75" customHeight="1">
      <c r="A3700" s="441"/>
      <c r="B3700" s="307"/>
      <c r="C3700" s="317"/>
      <c r="G3700" s="290"/>
      <c r="H3700" s="438"/>
      <c r="I3700" s="439"/>
      <c r="J3700" s="440"/>
      <c r="K3700" s="307"/>
      <c r="L3700" s="307"/>
      <c r="M3700" s="307"/>
      <c r="N3700" s="438"/>
      <c r="O3700" s="438"/>
      <c r="P3700" s="438"/>
    </row>
    <row r="3701" spans="1:16" ht="15.75" customHeight="1">
      <c r="A3701" s="441"/>
      <c r="B3701" s="307"/>
      <c r="C3701" s="317"/>
      <c r="G3701" s="290"/>
      <c r="H3701" s="438"/>
      <c r="I3701" s="439"/>
      <c r="J3701" s="440"/>
      <c r="K3701" s="307"/>
      <c r="L3701" s="307"/>
      <c r="M3701" s="307"/>
      <c r="N3701" s="438"/>
      <c r="O3701" s="438"/>
      <c r="P3701" s="438"/>
    </row>
    <row r="3702" spans="1:16" ht="15.75" customHeight="1">
      <c r="A3702" s="441"/>
      <c r="B3702" s="307"/>
      <c r="C3702" s="317"/>
      <c r="G3702" s="290"/>
      <c r="H3702" s="438"/>
      <c r="I3702" s="439"/>
      <c r="J3702" s="440"/>
      <c r="K3702" s="307"/>
      <c r="L3702" s="307"/>
      <c r="M3702" s="307"/>
      <c r="N3702" s="438"/>
      <c r="O3702" s="438"/>
      <c r="P3702" s="438"/>
    </row>
    <row r="3703" spans="1:16" ht="15.75" customHeight="1">
      <c r="A3703" s="441"/>
      <c r="B3703" s="307"/>
      <c r="C3703" s="317"/>
      <c r="G3703" s="290"/>
      <c r="H3703" s="438"/>
      <c r="I3703" s="439"/>
      <c r="J3703" s="440"/>
      <c r="K3703" s="307"/>
      <c r="L3703" s="307"/>
      <c r="M3703" s="307"/>
      <c r="N3703" s="438"/>
      <c r="O3703" s="438"/>
      <c r="P3703" s="438"/>
    </row>
    <row r="3704" spans="1:16" ht="15.75" customHeight="1">
      <c r="A3704" s="441"/>
      <c r="B3704" s="307"/>
      <c r="C3704" s="317"/>
      <c r="G3704" s="290"/>
      <c r="H3704" s="438"/>
      <c r="I3704" s="439"/>
      <c r="J3704" s="440"/>
      <c r="K3704" s="307"/>
      <c r="L3704" s="307"/>
      <c r="M3704" s="307"/>
      <c r="N3704" s="438"/>
      <c r="O3704" s="438"/>
      <c r="P3704" s="438"/>
    </row>
    <row r="3705" spans="1:16" ht="15.75" customHeight="1">
      <c r="A3705" s="441"/>
      <c r="B3705" s="307"/>
      <c r="C3705" s="317"/>
      <c r="G3705" s="290"/>
      <c r="H3705" s="438"/>
      <c r="I3705" s="439"/>
      <c r="J3705" s="440"/>
      <c r="K3705" s="307"/>
      <c r="L3705" s="307"/>
      <c r="M3705" s="307"/>
      <c r="N3705" s="438"/>
      <c r="O3705" s="438"/>
      <c r="P3705" s="438"/>
    </row>
    <row r="3706" spans="1:16" ht="15.75" customHeight="1">
      <c r="A3706" s="441"/>
      <c r="B3706" s="307"/>
      <c r="C3706" s="317"/>
      <c r="G3706" s="290"/>
      <c r="H3706" s="438"/>
      <c r="I3706" s="439"/>
      <c r="J3706" s="440"/>
      <c r="K3706" s="307"/>
      <c r="L3706" s="307"/>
      <c r="M3706" s="307"/>
      <c r="N3706" s="438"/>
      <c r="O3706" s="438"/>
      <c r="P3706" s="438"/>
    </row>
    <row r="3707" spans="1:16" ht="15.75" customHeight="1">
      <c r="A3707" s="441"/>
      <c r="B3707" s="307"/>
      <c r="C3707" s="317"/>
      <c r="G3707" s="290"/>
      <c r="H3707" s="438"/>
      <c r="I3707" s="439"/>
      <c r="J3707" s="440"/>
      <c r="K3707" s="307"/>
      <c r="L3707" s="307"/>
      <c r="M3707" s="307"/>
      <c r="N3707" s="438"/>
      <c r="O3707" s="438"/>
      <c r="P3707" s="438"/>
    </row>
    <row r="3708" spans="1:16" ht="15.75" customHeight="1">
      <c r="A3708" s="441"/>
      <c r="B3708" s="307"/>
      <c r="C3708" s="317"/>
      <c r="G3708" s="290"/>
      <c r="H3708" s="438"/>
      <c r="I3708" s="439"/>
      <c r="J3708" s="440"/>
      <c r="K3708" s="307"/>
      <c r="L3708" s="307"/>
      <c r="M3708" s="307"/>
      <c r="N3708" s="438"/>
      <c r="O3708" s="438"/>
      <c r="P3708" s="438"/>
    </row>
    <row r="3709" spans="1:16" ht="15.75" customHeight="1">
      <c r="A3709" s="441"/>
      <c r="B3709" s="307"/>
      <c r="C3709" s="317"/>
      <c r="G3709" s="290"/>
      <c r="H3709" s="438"/>
      <c r="I3709" s="439"/>
      <c r="J3709" s="440"/>
      <c r="K3709" s="307"/>
      <c r="L3709" s="307"/>
      <c r="M3709" s="307"/>
      <c r="N3709" s="438"/>
      <c r="O3709" s="438"/>
      <c r="P3709" s="438"/>
    </row>
    <row r="3710" spans="1:16" ht="15.75" customHeight="1">
      <c r="A3710" s="441"/>
      <c r="B3710" s="307"/>
      <c r="C3710" s="317"/>
      <c r="G3710" s="290"/>
      <c r="H3710" s="438"/>
      <c r="I3710" s="439"/>
      <c r="J3710" s="440"/>
      <c r="K3710" s="307"/>
      <c r="L3710" s="307"/>
      <c r="M3710" s="307"/>
      <c r="N3710" s="438"/>
      <c r="O3710" s="438"/>
      <c r="P3710" s="438"/>
    </row>
    <row r="3711" spans="1:16" ht="15.75" customHeight="1">
      <c r="A3711" s="441"/>
      <c r="B3711" s="307"/>
      <c r="C3711" s="317"/>
      <c r="G3711" s="290"/>
      <c r="H3711" s="438"/>
      <c r="I3711" s="439"/>
      <c r="J3711" s="440"/>
      <c r="K3711" s="307"/>
      <c r="L3711" s="307"/>
      <c r="M3711" s="307"/>
      <c r="N3711" s="438"/>
      <c r="O3711" s="438"/>
      <c r="P3711" s="438"/>
    </row>
    <row r="3712" spans="1:16" ht="15.75" customHeight="1">
      <c r="A3712" s="441"/>
      <c r="B3712" s="307"/>
      <c r="C3712" s="317"/>
      <c r="G3712" s="290"/>
      <c r="H3712" s="438"/>
      <c r="I3712" s="439"/>
      <c r="J3712" s="440"/>
      <c r="K3712" s="307"/>
      <c r="L3712" s="307"/>
      <c r="M3712" s="307"/>
      <c r="N3712" s="438"/>
      <c r="O3712" s="438"/>
      <c r="P3712" s="438"/>
    </row>
    <row r="3713" spans="1:16" ht="15.75" customHeight="1">
      <c r="A3713" s="441"/>
      <c r="B3713" s="307"/>
      <c r="C3713" s="317"/>
      <c r="G3713" s="290"/>
      <c r="H3713" s="438"/>
      <c r="I3713" s="439"/>
      <c r="J3713" s="440"/>
      <c r="K3713" s="307"/>
      <c r="L3713" s="307"/>
      <c r="M3713" s="307"/>
      <c r="N3713" s="438"/>
      <c r="O3713" s="438"/>
      <c r="P3713" s="438"/>
    </row>
    <row r="3714" spans="1:16" ht="15.75" customHeight="1">
      <c r="A3714" s="441"/>
      <c r="B3714" s="307"/>
      <c r="C3714" s="317"/>
      <c r="G3714" s="290"/>
      <c r="H3714" s="438"/>
      <c r="I3714" s="439"/>
      <c r="J3714" s="440"/>
      <c r="K3714" s="307"/>
      <c r="L3714" s="307"/>
      <c r="M3714" s="307"/>
      <c r="N3714" s="438"/>
      <c r="O3714" s="438"/>
      <c r="P3714" s="438"/>
    </row>
    <row r="3715" spans="1:16" ht="15.75" customHeight="1">
      <c r="A3715" s="441"/>
      <c r="B3715" s="307"/>
      <c r="C3715" s="317"/>
      <c r="G3715" s="290"/>
      <c r="H3715" s="438"/>
      <c r="I3715" s="439"/>
      <c r="J3715" s="440"/>
      <c r="K3715" s="307"/>
      <c r="L3715" s="307"/>
      <c r="M3715" s="307"/>
      <c r="N3715" s="438"/>
      <c r="O3715" s="438"/>
      <c r="P3715" s="438"/>
    </row>
    <row r="3716" spans="1:16" ht="15.75" customHeight="1">
      <c r="A3716" s="441"/>
      <c r="B3716" s="307"/>
      <c r="C3716" s="317"/>
      <c r="G3716" s="290"/>
      <c r="H3716" s="438"/>
      <c r="I3716" s="439"/>
      <c r="J3716" s="440"/>
      <c r="K3716" s="307"/>
      <c r="L3716" s="307"/>
      <c r="M3716" s="307"/>
      <c r="N3716" s="438"/>
      <c r="O3716" s="438"/>
      <c r="P3716" s="438"/>
    </row>
    <row r="3717" spans="1:16" ht="15.75" customHeight="1">
      <c r="A3717" s="441"/>
      <c r="B3717" s="307"/>
      <c r="C3717" s="317"/>
      <c r="G3717" s="290"/>
      <c r="H3717" s="438"/>
      <c r="I3717" s="439"/>
      <c r="J3717" s="440"/>
      <c r="K3717" s="307"/>
      <c r="L3717" s="307"/>
      <c r="M3717" s="307"/>
      <c r="N3717" s="438"/>
      <c r="O3717" s="438"/>
      <c r="P3717" s="438"/>
    </row>
    <row r="3718" spans="1:16" ht="15.75" customHeight="1">
      <c r="A3718" s="441"/>
      <c r="B3718" s="307"/>
      <c r="C3718" s="317"/>
      <c r="G3718" s="290"/>
      <c r="H3718" s="438"/>
      <c r="I3718" s="439"/>
      <c r="J3718" s="440"/>
      <c r="K3718" s="307"/>
      <c r="L3718" s="307"/>
      <c r="M3718" s="307"/>
      <c r="N3718" s="438"/>
      <c r="O3718" s="438"/>
      <c r="P3718" s="438"/>
    </row>
    <row r="3719" spans="1:16" ht="15.75" customHeight="1">
      <c r="A3719" s="441"/>
      <c r="B3719" s="307"/>
      <c r="C3719" s="317"/>
      <c r="G3719" s="290"/>
      <c r="H3719" s="438"/>
      <c r="I3719" s="439"/>
      <c r="J3719" s="440"/>
      <c r="K3719" s="307"/>
      <c r="L3719" s="307"/>
      <c r="M3719" s="307"/>
      <c r="N3719" s="438"/>
      <c r="O3719" s="438"/>
      <c r="P3719" s="438"/>
    </row>
    <row r="3720" spans="1:16" ht="15.75" customHeight="1">
      <c r="A3720" s="441"/>
      <c r="B3720" s="307"/>
      <c r="C3720" s="317"/>
      <c r="G3720" s="290"/>
      <c r="H3720" s="438"/>
      <c r="I3720" s="439"/>
      <c r="J3720" s="440"/>
      <c r="K3720" s="307"/>
      <c r="L3720" s="307"/>
      <c r="M3720" s="307"/>
      <c r="N3720" s="438"/>
      <c r="O3720" s="438"/>
      <c r="P3720" s="438"/>
    </row>
    <row r="3721" spans="1:16" ht="15.75" customHeight="1">
      <c r="A3721" s="441"/>
      <c r="B3721" s="307"/>
      <c r="C3721" s="317"/>
      <c r="G3721" s="290"/>
      <c r="H3721" s="438"/>
      <c r="I3721" s="439"/>
      <c r="J3721" s="440"/>
      <c r="K3721" s="307"/>
      <c r="L3721" s="307"/>
      <c r="M3721" s="307"/>
      <c r="N3721" s="438"/>
      <c r="O3721" s="438"/>
      <c r="P3721" s="438"/>
    </row>
    <row r="3722" spans="1:16" ht="15.75" customHeight="1">
      <c r="A3722" s="441"/>
      <c r="B3722" s="307"/>
      <c r="C3722" s="317"/>
      <c r="G3722" s="290"/>
      <c r="H3722" s="438"/>
      <c r="I3722" s="439"/>
      <c r="J3722" s="440"/>
      <c r="K3722" s="307"/>
      <c r="L3722" s="307"/>
      <c r="M3722" s="307"/>
      <c r="N3722" s="438"/>
      <c r="O3722" s="438"/>
      <c r="P3722" s="438"/>
    </row>
    <row r="3723" spans="1:16" ht="15.75" customHeight="1">
      <c r="A3723" s="441"/>
      <c r="B3723" s="307"/>
      <c r="C3723" s="317"/>
      <c r="G3723" s="290"/>
      <c r="H3723" s="438"/>
      <c r="I3723" s="439"/>
      <c r="J3723" s="440"/>
      <c r="K3723" s="307"/>
      <c r="L3723" s="307"/>
      <c r="M3723" s="307"/>
      <c r="N3723" s="438"/>
      <c r="O3723" s="438"/>
      <c r="P3723" s="438"/>
    </row>
    <row r="3724" spans="1:16" ht="15.75" customHeight="1">
      <c r="A3724" s="441"/>
      <c r="B3724" s="307"/>
      <c r="C3724" s="317"/>
      <c r="G3724" s="290"/>
      <c r="H3724" s="438"/>
      <c r="I3724" s="439"/>
      <c r="J3724" s="440"/>
      <c r="K3724" s="307"/>
      <c r="L3724" s="307"/>
      <c r="M3724" s="307"/>
      <c r="N3724" s="438"/>
      <c r="O3724" s="438"/>
      <c r="P3724" s="438"/>
    </row>
    <row r="3725" spans="1:16" ht="15.75" customHeight="1">
      <c r="A3725" s="441"/>
      <c r="B3725" s="307"/>
      <c r="C3725" s="317"/>
      <c r="G3725" s="290"/>
      <c r="H3725" s="438"/>
      <c r="I3725" s="439"/>
      <c r="J3725" s="440"/>
      <c r="K3725" s="307"/>
      <c r="L3725" s="307"/>
      <c r="M3725" s="307"/>
      <c r="N3725" s="438"/>
      <c r="O3725" s="438"/>
      <c r="P3725" s="438"/>
    </row>
    <row r="3726" spans="1:16" ht="15.75" customHeight="1">
      <c r="A3726" s="441"/>
      <c r="B3726" s="307"/>
      <c r="C3726" s="317"/>
      <c r="G3726" s="290"/>
      <c r="H3726" s="438"/>
      <c r="I3726" s="439"/>
      <c r="J3726" s="440"/>
      <c r="K3726" s="307"/>
      <c r="L3726" s="307"/>
      <c r="M3726" s="307"/>
      <c r="N3726" s="438"/>
      <c r="O3726" s="438"/>
      <c r="P3726" s="438"/>
    </row>
    <row r="3727" spans="1:16" ht="15.75" customHeight="1">
      <c r="A3727" s="441"/>
      <c r="B3727" s="307"/>
      <c r="C3727" s="317"/>
      <c r="G3727" s="290"/>
      <c r="H3727" s="438"/>
      <c r="I3727" s="439"/>
      <c r="J3727" s="440"/>
      <c r="K3727" s="307"/>
      <c r="L3727" s="307"/>
      <c r="M3727" s="307"/>
      <c r="N3727" s="438"/>
      <c r="O3727" s="438"/>
      <c r="P3727" s="438"/>
    </row>
    <row r="3728" spans="1:16" ht="15.75" customHeight="1">
      <c r="A3728" s="441"/>
      <c r="B3728" s="307"/>
      <c r="C3728" s="317"/>
      <c r="G3728" s="290"/>
      <c r="H3728" s="438"/>
      <c r="I3728" s="439"/>
      <c r="J3728" s="440"/>
      <c r="K3728" s="307"/>
      <c r="L3728" s="307"/>
      <c r="M3728" s="307"/>
      <c r="N3728" s="438"/>
      <c r="O3728" s="438"/>
      <c r="P3728" s="438"/>
    </row>
    <row r="3729" spans="1:16" ht="15.75" customHeight="1">
      <c r="A3729" s="441"/>
      <c r="B3729" s="307"/>
      <c r="C3729" s="317"/>
      <c r="G3729" s="290"/>
      <c r="H3729" s="438"/>
      <c r="I3729" s="439"/>
      <c r="J3729" s="440"/>
      <c r="K3729" s="307"/>
      <c r="L3729" s="307"/>
      <c r="M3729" s="307"/>
      <c r="N3729" s="438"/>
      <c r="O3729" s="438"/>
      <c r="P3729" s="438"/>
    </row>
    <row r="3730" spans="1:16" ht="15.75" customHeight="1">
      <c r="A3730" s="441"/>
      <c r="B3730" s="307"/>
      <c r="C3730" s="317"/>
      <c r="G3730" s="290"/>
      <c r="H3730" s="438"/>
      <c r="I3730" s="439"/>
      <c r="J3730" s="440"/>
      <c r="K3730" s="307"/>
      <c r="L3730" s="307"/>
      <c r="M3730" s="307"/>
      <c r="N3730" s="438"/>
      <c r="O3730" s="438"/>
      <c r="P3730" s="438"/>
    </row>
    <row r="3731" spans="1:16" ht="15.75" customHeight="1">
      <c r="A3731" s="441"/>
      <c r="B3731" s="307"/>
      <c r="C3731" s="317"/>
      <c r="G3731" s="290"/>
      <c r="H3731" s="438"/>
      <c r="I3731" s="439"/>
      <c r="J3731" s="440"/>
      <c r="K3731" s="307"/>
      <c r="L3731" s="307"/>
      <c r="M3731" s="307"/>
      <c r="N3731" s="438"/>
      <c r="O3731" s="438"/>
      <c r="P3731" s="438"/>
    </row>
    <row r="3732" spans="1:16" ht="15.75" customHeight="1">
      <c r="A3732" s="441"/>
      <c r="B3732" s="307"/>
      <c r="C3732" s="317"/>
      <c r="G3732" s="290"/>
      <c r="H3732" s="438"/>
      <c r="I3732" s="439"/>
      <c r="J3732" s="440"/>
      <c r="K3732" s="307"/>
      <c r="L3732" s="307"/>
      <c r="M3732" s="307"/>
      <c r="N3732" s="438"/>
      <c r="O3732" s="438"/>
      <c r="P3732" s="438"/>
    </row>
    <row r="3733" spans="1:16" ht="15.75" customHeight="1">
      <c r="A3733" s="441"/>
      <c r="B3733" s="307"/>
      <c r="C3733" s="317"/>
      <c r="G3733" s="290"/>
      <c r="H3733" s="438"/>
      <c r="I3733" s="439"/>
      <c r="J3733" s="440"/>
      <c r="K3733" s="307"/>
      <c r="L3733" s="307"/>
      <c r="M3733" s="307"/>
      <c r="N3733" s="438"/>
      <c r="O3733" s="438"/>
      <c r="P3733" s="438"/>
    </row>
    <row r="3734" spans="1:16" ht="15.75" customHeight="1">
      <c r="A3734" s="441"/>
      <c r="B3734" s="307"/>
      <c r="C3734" s="317"/>
      <c r="G3734" s="290"/>
      <c r="H3734" s="438"/>
      <c r="I3734" s="439"/>
      <c r="J3734" s="440"/>
      <c r="K3734" s="307"/>
      <c r="L3734" s="307"/>
      <c r="M3734" s="307"/>
      <c r="N3734" s="438"/>
      <c r="O3734" s="438"/>
      <c r="P3734" s="438"/>
    </row>
    <row r="3735" spans="1:16" ht="15.75" customHeight="1">
      <c r="A3735" s="441"/>
      <c r="B3735" s="307"/>
      <c r="C3735" s="317"/>
      <c r="G3735" s="290"/>
      <c r="H3735" s="438"/>
      <c r="I3735" s="439"/>
      <c r="J3735" s="440"/>
      <c r="K3735" s="307"/>
      <c r="L3735" s="307"/>
      <c r="M3735" s="307"/>
      <c r="N3735" s="438"/>
      <c r="O3735" s="438"/>
      <c r="P3735" s="438"/>
    </row>
    <row r="3736" spans="1:16" ht="15.75" customHeight="1">
      <c r="A3736" s="441"/>
      <c r="B3736" s="307"/>
      <c r="C3736" s="317"/>
      <c r="G3736" s="290"/>
      <c r="H3736" s="438"/>
      <c r="I3736" s="439"/>
      <c r="J3736" s="440"/>
      <c r="K3736" s="307"/>
      <c r="L3736" s="307"/>
      <c r="M3736" s="307"/>
      <c r="N3736" s="438"/>
      <c r="O3736" s="438"/>
      <c r="P3736" s="438"/>
    </row>
    <row r="3737" spans="1:16" ht="15.75" customHeight="1">
      <c r="A3737" s="441"/>
      <c r="B3737" s="307"/>
      <c r="C3737" s="317"/>
      <c r="G3737" s="290"/>
      <c r="H3737" s="438"/>
      <c r="I3737" s="439"/>
      <c r="J3737" s="440"/>
      <c r="K3737" s="307"/>
      <c r="L3737" s="307"/>
      <c r="M3737" s="307"/>
      <c r="N3737" s="438"/>
      <c r="O3737" s="438"/>
      <c r="P3737" s="438"/>
    </row>
    <row r="3738" spans="1:16" ht="15.75" customHeight="1">
      <c r="A3738" s="441"/>
      <c r="B3738" s="307"/>
      <c r="C3738" s="317"/>
      <c r="G3738" s="290"/>
      <c r="H3738" s="438"/>
      <c r="I3738" s="439"/>
      <c r="J3738" s="440"/>
      <c r="K3738" s="307"/>
      <c r="L3738" s="307"/>
      <c r="M3738" s="307"/>
      <c r="N3738" s="438"/>
      <c r="O3738" s="438"/>
      <c r="P3738" s="438"/>
    </row>
    <row r="3739" spans="1:16" ht="15.75" customHeight="1">
      <c r="A3739" s="441"/>
      <c r="B3739" s="307"/>
      <c r="C3739" s="317"/>
      <c r="G3739" s="290"/>
      <c r="H3739" s="438"/>
      <c r="I3739" s="439"/>
      <c r="J3739" s="440"/>
      <c r="K3739" s="307"/>
      <c r="L3739" s="307"/>
      <c r="M3739" s="307"/>
      <c r="N3739" s="307"/>
      <c r="O3739" s="307"/>
      <c r="P3739" s="438"/>
    </row>
    <row r="3740" spans="1:16" ht="15.75" customHeight="1">
      <c r="A3740" s="441"/>
      <c r="B3740" s="307"/>
      <c r="C3740" s="317"/>
      <c r="G3740" s="290"/>
      <c r="H3740" s="438"/>
      <c r="I3740" s="439"/>
      <c r="J3740" s="440"/>
      <c r="K3740" s="307"/>
      <c r="L3740" s="307"/>
      <c r="M3740" s="307"/>
      <c r="N3740" s="307"/>
      <c r="O3740" s="307"/>
      <c r="P3740" s="438"/>
    </row>
    <row r="3741" spans="1:16" ht="15.75" customHeight="1">
      <c r="A3741" s="441"/>
      <c r="B3741" s="307"/>
      <c r="C3741" s="317"/>
      <c r="G3741" s="290"/>
      <c r="H3741" s="438"/>
      <c r="I3741" s="439"/>
      <c r="J3741" s="440"/>
      <c r="K3741" s="307"/>
      <c r="L3741" s="307"/>
      <c r="M3741" s="307"/>
      <c r="N3741" s="307"/>
      <c r="O3741" s="307"/>
      <c r="P3741" s="438"/>
    </row>
    <row r="3742" spans="1:16" ht="15.75" customHeight="1">
      <c r="A3742" s="441"/>
      <c r="B3742" s="307"/>
      <c r="C3742" s="317"/>
      <c r="G3742" s="290"/>
      <c r="H3742" s="438"/>
      <c r="I3742" s="439"/>
      <c r="J3742" s="440"/>
      <c r="K3742" s="307"/>
      <c r="L3742" s="307"/>
      <c r="M3742" s="307"/>
      <c r="N3742" s="307"/>
      <c r="O3742" s="307"/>
      <c r="P3742" s="438"/>
    </row>
    <row r="3743" spans="1:16" ht="15.75" customHeight="1">
      <c r="A3743" s="441"/>
      <c r="B3743" s="307"/>
      <c r="C3743" s="317"/>
      <c r="G3743" s="290"/>
      <c r="H3743" s="438"/>
      <c r="I3743" s="439"/>
      <c r="J3743" s="440"/>
      <c r="K3743" s="307"/>
      <c r="L3743" s="307"/>
      <c r="M3743" s="307"/>
      <c r="N3743" s="307"/>
      <c r="O3743" s="307"/>
      <c r="P3743" s="438"/>
    </row>
    <row r="3744" spans="1:16" ht="15.75" customHeight="1">
      <c r="A3744" s="441"/>
      <c r="B3744" s="307"/>
      <c r="C3744" s="317"/>
      <c r="G3744" s="290"/>
      <c r="H3744" s="438"/>
      <c r="I3744" s="439"/>
      <c r="J3744" s="440"/>
      <c r="K3744" s="307"/>
      <c r="L3744" s="307"/>
      <c r="M3744" s="307"/>
      <c r="N3744" s="307"/>
      <c r="O3744" s="307"/>
      <c r="P3744" s="438"/>
    </row>
    <row r="3745" spans="1:16" ht="15.75" customHeight="1">
      <c r="A3745" s="441"/>
      <c r="B3745" s="307"/>
      <c r="C3745" s="317"/>
      <c r="G3745" s="290"/>
      <c r="H3745" s="438"/>
      <c r="I3745" s="439"/>
      <c r="J3745" s="440"/>
      <c r="K3745" s="307"/>
      <c r="L3745" s="307"/>
      <c r="M3745" s="307"/>
      <c r="N3745" s="307"/>
      <c r="O3745" s="307"/>
      <c r="P3745" s="438"/>
    </row>
    <row r="3746" spans="1:16" ht="15.75" customHeight="1">
      <c r="A3746" s="441"/>
      <c r="B3746" s="307"/>
      <c r="C3746" s="317"/>
      <c r="G3746" s="290"/>
      <c r="H3746" s="438"/>
      <c r="I3746" s="439"/>
      <c r="J3746" s="440"/>
      <c r="K3746" s="307"/>
      <c r="L3746" s="307"/>
      <c r="M3746" s="307"/>
      <c r="N3746" s="307"/>
      <c r="O3746" s="307"/>
      <c r="P3746" s="438"/>
    </row>
    <row r="3747" spans="1:16" ht="15.75" customHeight="1">
      <c r="A3747" s="441"/>
      <c r="B3747" s="307"/>
      <c r="C3747" s="317"/>
      <c r="G3747" s="290"/>
      <c r="H3747" s="438"/>
      <c r="I3747" s="439"/>
      <c r="J3747" s="440"/>
      <c r="K3747" s="307"/>
      <c r="L3747" s="307"/>
      <c r="M3747" s="307"/>
      <c r="N3747" s="307"/>
      <c r="O3747" s="307"/>
      <c r="P3747" s="438"/>
    </row>
    <row r="3748" spans="1:16" ht="15.75" customHeight="1">
      <c r="A3748" s="441"/>
      <c r="B3748" s="307"/>
      <c r="C3748" s="317"/>
      <c r="G3748" s="290"/>
      <c r="H3748" s="438"/>
      <c r="I3748" s="439"/>
      <c r="J3748" s="440"/>
      <c r="K3748" s="307"/>
      <c r="L3748" s="307"/>
      <c r="M3748" s="307"/>
      <c r="N3748" s="307"/>
      <c r="O3748" s="307"/>
      <c r="P3748" s="438"/>
    </row>
    <row r="3749" spans="1:16" ht="15.75" customHeight="1">
      <c r="A3749" s="441"/>
      <c r="B3749" s="307"/>
      <c r="C3749" s="317"/>
      <c r="G3749" s="290"/>
      <c r="H3749" s="438"/>
      <c r="I3749" s="439"/>
      <c r="J3749" s="440"/>
      <c r="K3749" s="307"/>
      <c r="L3749" s="307"/>
      <c r="M3749" s="307"/>
      <c r="N3749" s="307"/>
      <c r="O3749" s="307"/>
      <c r="P3749" s="438"/>
    </row>
    <row r="3750" spans="1:16" ht="15.75" customHeight="1">
      <c r="A3750" s="441"/>
      <c r="B3750" s="307"/>
      <c r="C3750" s="317"/>
      <c r="G3750" s="290"/>
      <c r="H3750" s="438"/>
      <c r="I3750" s="439"/>
      <c r="J3750" s="440"/>
      <c r="K3750" s="307"/>
      <c r="L3750" s="307"/>
      <c r="M3750" s="307"/>
      <c r="N3750" s="307"/>
      <c r="O3750" s="307"/>
      <c r="P3750" s="438"/>
    </row>
    <row r="3751" spans="1:16" ht="15.75" customHeight="1">
      <c r="A3751" s="441"/>
      <c r="B3751" s="307"/>
      <c r="C3751" s="317"/>
      <c r="G3751" s="290"/>
      <c r="H3751" s="438"/>
      <c r="I3751" s="439"/>
      <c r="J3751" s="440"/>
      <c r="K3751" s="307"/>
      <c r="L3751" s="307"/>
      <c r="M3751" s="307"/>
      <c r="N3751" s="307"/>
      <c r="O3751" s="307"/>
      <c r="P3751" s="438"/>
    </row>
    <row r="3752" spans="1:16" ht="15.75" customHeight="1">
      <c r="A3752" s="441"/>
      <c r="B3752" s="307"/>
      <c r="C3752" s="317"/>
      <c r="G3752" s="290"/>
      <c r="H3752" s="438"/>
      <c r="I3752" s="439"/>
      <c r="J3752" s="440"/>
      <c r="K3752" s="307"/>
      <c r="L3752" s="307"/>
      <c r="M3752" s="307"/>
      <c r="N3752" s="307"/>
      <c r="O3752" s="307"/>
      <c r="P3752" s="307"/>
    </row>
    <row r="3753" spans="1:16" ht="15.75" customHeight="1">
      <c r="A3753" s="441"/>
      <c r="B3753" s="307"/>
      <c r="C3753" s="317"/>
      <c r="G3753" s="290"/>
      <c r="H3753" s="438"/>
      <c r="I3753" s="439"/>
      <c r="J3753" s="440"/>
      <c r="K3753" s="307"/>
      <c r="L3753" s="307"/>
      <c r="M3753" s="307"/>
      <c r="N3753" s="307"/>
      <c r="O3753" s="307"/>
      <c r="P3753" s="307"/>
    </row>
    <row r="3754" spans="1:16" ht="15.75" customHeight="1">
      <c r="A3754" s="441"/>
      <c r="B3754" s="307"/>
      <c r="C3754" s="317"/>
      <c r="G3754" s="290"/>
      <c r="H3754" s="438"/>
      <c r="I3754" s="439"/>
      <c r="J3754" s="440"/>
      <c r="K3754" s="307"/>
      <c r="L3754" s="307"/>
      <c r="M3754" s="307"/>
      <c r="N3754" s="307"/>
      <c r="O3754" s="307"/>
      <c r="P3754" s="307"/>
    </row>
    <row r="3755" spans="1:16" ht="15.75" customHeight="1">
      <c r="A3755" s="441"/>
      <c r="B3755" s="307"/>
      <c r="C3755" s="317"/>
      <c r="G3755" s="290"/>
      <c r="H3755" s="438"/>
      <c r="I3755" s="439"/>
      <c r="J3755" s="440"/>
      <c r="K3755" s="307"/>
      <c r="L3755" s="307"/>
      <c r="M3755" s="307"/>
      <c r="N3755" s="307"/>
      <c r="O3755" s="307"/>
      <c r="P3755" s="307"/>
    </row>
    <row r="3756" spans="1:16" ht="15.75" customHeight="1">
      <c r="A3756" s="441"/>
      <c r="B3756" s="307"/>
      <c r="C3756" s="317"/>
      <c r="G3756" s="290"/>
      <c r="H3756" s="438"/>
      <c r="I3756" s="439"/>
      <c r="J3756" s="440"/>
      <c r="K3756" s="307"/>
      <c r="L3756" s="307"/>
      <c r="M3756" s="307"/>
      <c r="N3756" s="307"/>
      <c r="O3756" s="307"/>
      <c r="P3756" s="307"/>
    </row>
    <row r="3757" spans="1:16" ht="15.75" customHeight="1">
      <c r="A3757" s="441"/>
      <c r="B3757" s="307"/>
      <c r="C3757" s="317"/>
      <c r="G3757" s="290"/>
      <c r="H3757" s="438"/>
      <c r="I3757" s="439"/>
      <c r="J3757" s="440"/>
      <c r="K3757" s="307"/>
      <c r="L3757" s="307"/>
      <c r="M3757" s="307"/>
      <c r="N3757" s="307"/>
      <c r="O3757" s="307"/>
      <c r="P3757" s="307"/>
    </row>
    <row r="3758" spans="1:16" ht="15.75" customHeight="1">
      <c r="A3758" s="441"/>
      <c r="B3758" s="307"/>
      <c r="C3758" s="317"/>
      <c r="G3758" s="290"/>
      <c r="H3758" s="438"/>
      <c r="I3758" s="439"/>
      <c r="J3758" s="440"/>
      <c r="K3758" s="307"/>
      <c r="L3758" s="307"/>
      <c r="M3758" s="307"/>
      <c r="N3758" s="307"/>
      <c r="O3758" s="307"/>
      <c r="P3758" s="307"/>
    </row>
    <row r="3759" spans="1:16" ht="15.75" customHeight="1">
      <c r="A3759" s="441"/>
      <c r="B3759" s="307"/>
      <c r="C3759" s="317"/>
      <c r="G3759" s="290"/>
      <c r="H3759" s="438"/>
      <c r="I3759" s="439"/>
      <c r="J3759" s="440"/>
      <c r="K3759" s="307"/>
      <c r="L3759" s="307"/>
      <c r="M3759" s="307"/>
      <c r="N3759" s="307"/>
      <c r="O3759" s="307"/>
      <c r="P3759" s="307"/>
    </row>
    <row r="3760" spans="1:16" ht="15.75" customHeight="1">
      <c r="A3760" s="441"/>
      <c r="B3760" s="307"/>
      <c r="C3760" s="317"/>
      <c r="G3760" s="290"/>
      <c r="H3760" s="438"/>
      <c r="I3760" s="439"/>
      <c r="J3760" s="440"/>
      <c r="K3760" s="307"/>
      <c r="L3760" s="307"/>
      <c r="M3760" s="307"/>
      <c r="N3760" s="307"/>
      <c r="O3760" s="307"/>
      <c r="P3760" s="307"/>
    </row>
    <row r="3761" spans="1:16" ht="15.75" customHeight="1">
      <c r="A3761" s="441"/>
      <c r="B3761" s="307"/>
      <c r="C3761" s="317"/>
      <c r="G3761" s="290"/>
      <c r="H3761" s="438"/>
      <c r="I3761" s="439"/>
      <c r="J3761" s="440"/>
      <c r="K3761" s="307"/>
      <c r="L3761" s="307"/>
      <c r="M3761" s="307"/>
      <c r="N3761" s="307"/>
      <c r="O3761" s="307"/>
      <c r="P3761" s="307"/>
    </row>
    <row r="3762" spans="1:16" ht="15.75" customHeight="1">
      <c r="A3762" s="441"/>
      <c r="B3762" s="307"/>
      <c r="C3762" s="317"/>
      <c r="G3762" s="290"/>
      <c r="H3762" s="438"/>
      <c r="I3762" s="439"/>
      <c r="J3762" s="440"/>
      <c r="K3762" s="307"/>
      <c r="L3762" s="307"/>
      <c r="M3762" s="307"/>
      <c r="N3762" s="307"/>
      <c r="O3762" s="307"/>
      <c r="P3762" s="307"/>
    </row>
    <row r="3763" spans="1:16" ht="15.75" customHeight="1">
      <c r="A3763" s="441"/>
      <c r="B3763" s="307"/>
      <c r="C3763" s="317"/>
      <c r="G3763" s="290"/>
      <c r="H3763" s="438"/>
      <c r="I3763" s="439"/>
      <c r="J3763" s="440"/>
      <c r="K3763" s="307"/>
      <c r="L3763" s="307"/>
      <c r="M3763" s="307"/>
      <c r="N3763" s="307"/>
      <c r="O3763" s="307"/>
      <c r="P3763" s="307"/>
    </row>
    <row r="3764" spans="1:16" ht="15.75" customHeight="1">
      <c r="A3764" s="441"/>
      <c r="B3764" s="307"/>
      <c r="C3764" s="317"/>
      <c r="G3764" s="290"/>
      <c r="H3764" s="438"/>
      <c r="I3764" s="439"/>
      <c r="J3764" s="440"/>
      <c r="K3764" s="307"/>
      <c r="L3764" s="307"/>
      <c r="M3764" s="307"/>
      <c r="N3764" s="307"/>
      <c r="O3764" s="307"/>
      <c r="P3764" s="307"/>
    </row>
    <row r="3765" spans="1:16" ht="15.75" customHeight="1">
      <c r="A3765" s="441"/>
      <c r="B3765" s="307"/>
      <c r="C3765" s="317"/>
      <c r="G3765" s="290"/>
      <c r="H3765" s="438"/>
      <c r="I3765" s="439"/>
      <c r="J3765" s="440"/>
      <c r="K3765" s="307"/>
      <c r="L3765" s="307"/>
      <c r="M3765" s="307"/>
      <c r="N3765" s="307"/>
      <c r="O3765" s="307"/>
      <c r="P3765" s="307"/>
    </row>
    <row r="3766" spans="1:16" ht="15.75" customHeight="1">
      <c r="A3766" s="441"/>
      <c r="B3766" s="307"/>
      <c r="C3766" s="317"/>
      <c r="G3766" s="290"/>
      <c r="H3766" s="438"/>
      <c r="I3766" s="439"/>
      <c r="J3766" s="440"/>
      <c r="K3766" s="307"/>
      <c r="L3766" s="307"/>
      <c r="M3766" s="307"/>
      <c r="N3766" s="307"/>
      <c r="O3766" s="307"/>
      <c r="P3766" s="307"/>
    </row>
    <row r="3767" spans="1:16" ht="15.75" customHeight="1">
      <c r="A3767" s="441"/>
      <c r="B3767" s="307"/>
      <c r="C3767" s="317"/>
      <c r="G3767" s="290"/>
      <c r="H3767" s="438"/>
      <c r="I3767" s="439"/>
      <c r="J3767" s="440"/>
      <c r="K3767" s="307"/>
      <c r="L3767" s="307"/>
      <c r="M3767" s="307"/>
      <c r="N3767" s="307"/>
      <c r="O3767" s="307"/>
      <c r="P3767" s="307"/>
    </row>
    <row r="3768" spans="1:16" ht="15.75" customHeight="1">
      <c r="A3768" s="441"/>
      <c r="B3768" s="307"/>
      <c r="C3768" s="317"/>
      <c r="G3768" s="290"/>
      <c r="H3768" s="438"/>
      <c r="I3768" s="439"/>
      <c r="J3768" s="440"/>
      <c r="K3768" s="307"/>
      <c r="L3768" s="307"/>
      <c r="M3768" s="307"/>
      <c r="N3768" s="307"/>
      <c r="O3768" s="307"/>
      <c r="P3768" s="307"/>
    </row>
    <row r="3769" spans="1:16" ht="15.75" customHeight="1">
      <c r="A3769" s="441"/>
      <c r="B3769" s="307"/>
      <c r="C3769" s="317"/>
      <c r="G3769" s="290"/>
      <c r="H3769" s="438"/>
      <c r="I3769" s="439"/>
      <c r="J3769" s="440"/>
      <c r="K3769" s="307"/>
      <c r="L3769" s="307"/>
      <c r="M3769" s="307"/>
      <c r="N3769" s="307"/>
      <c r="O3769" s="307"/>
      <c r="P3769" s="307"/>
    </row>
    <row r="3770" spans="1:16" ht="15.75" customHeight="1">
      <c r="A3770" s="441"/>
      <c r="B3770" s="307"/>
      <c r="C3770" s="317"/>
      <c r="G3770" s="290"/>
      <c r="H3770" s="438"/>
      <c r="I3770" s="439"/>
      <c r="J3770" s="440"/>
      <c r="K3770" s="307"/>
      <c r="L3770" s="307"/>
      <c r="M3770" s="307"/>
      <c r="N3770" s="307"/>
      <c r="O3770" s="307"/>
      <c r="P3770" s="307"/>
    </row>
    <row r="3771" spans="1:16" ht="15.75" customHeight="1">
      <c r="A3771" s="441"/>
      <c r="B3771" s="307"/>
      <c r="C3771" s="317"/>
      <c r="G3771" s="290"/>
      <c r="H3771" s="438"/>
      <c r="I3771" s="439"/>
      <c r="J3771" s="440"/>
      <c r="K3771" s="307"/>
      <c r="L3771" s="307"/>
      <c r="M3771" s="307"/>
      <c r="N3771" s="307"/>
      <c r="O3771" s="307"/>
      <c r="P3771" s="307"/>
    </row>
    <row r="3772" spans="1:16" ht="15.75" customHeight="1">
      <c r="A3772" s="441"/>
      <c r="B3772" s="307"/>
      <c r="C3772" s="317"/>
      <c r="G3772" s="290"/>
      <c r="H3772" s="438"/>
      <c r="I3772" s="439"/>
      <c r="J3772" s="440"/>
      <c r="K3772" s="307"/>
      <c r="L3772" s="307"/>
      <c r="M3772" s="307"/>
      <c r="N3772" s="307"/>
      <c r="O3772" s="307"/>
      <c r="P3772" s="307"/>
    </row>
    <row r="3773" spans="1:16" ht="15.75" customHeight="1">
      <c r="A3773" s="441"/>
      <c r="B3773" s="307"/>
      <c r="C3773" s="317"/>
      <c r="G3773" s="290"/>
      <c r="H3773" s="438"/>
      <c r="I3773" s="439"/>
      <c r="J3773" s="440"/>
      <c r="K3773" s="307"/>
      <c r="L3773" s="307"/>
      <c r="M3773" s="307"/>
      <c r="N3773" s="307"/>
      <c r="O3773" s="307"/>
      <c r="P3773" s="307"/>
    </row>
    <row r="3774" spans="1:16" ht="15.75" customHeight="1">
      <c r="A3774" s="441"/>
      <c r="B3774" s="307"/>
      <c r="C3774" s="317"/>
      <c r="G3774" s="290"/>
      <c r="H3774" s="438"/>
      <c r="I3774" s="439"/>
      <c r="J3774" s="440"/>
      <c r="K3774" s="307"/>
      <c r="L3774" s="307"/>
      <c r="M3774" s="307"/>
      <c r="N3774" s="307"/>
      <c r="O3774" s="307"/>
      <c r="P3774" s="307"/>
    </row>
    <row r="3775" spans="1:16" ht="15.75" customHeight="1">
      <c r="A3775" s="441"/>
      <c r="B3775" s="307"/>
      <c r="C3775" s="317"/>
      <c r="G3775" s="290"/>
      <c r="H3775" s="438"/>
      <c r="I3775" s="439"/>
      <c r="J3775" s="440"/>
      <c r="K3775" s="307"/>
      <c r="L3775" s="307"/>
      <c r="M3775" s="307"/>
      <c r="N3775" s="307"/>
      <c r="O3775" s="307"/>
      <c r="P3775" s="307"/>
    </row>
    <row r="3776" spans="1:16" ht="15.75" customHeight="1">
      <c r="A3776" s="441"/>
      <c r="B3776" s="307"/>
      <c r="C3776" s="317"/>
      <c r="G3776" s="290"/>
      <c r="H3776" s="438"/>
      <c r="I3776" s="439"/>
      <c r="J3776" s="440"/>
      <c r="K3776" s="307"/>
      <c r="L3776" s="307"/>
      <c r="M3776" s="307"/>
      <c r="N3776" s="307"/>
      <c r="O3776" s="307"/>
      <c r="P3776" s="307"/>
    </row>
    <row r="3777" spans="1:16" ht="15.75" customHeight="1">
      <c r="A3777" s="441"/>
      <c r="B3777" s="307"/>
      <c r="C3777" s="317"/>
      <c r="G3777" s="290"/>
      <c r="H3777" s="438"/>
      <c r="I3777" s="439"/>
      <c r="J3777" s="440"/>
      <c r="K3777" s="307"/>
      <c r="L3777" s="307"/>
      <c r="M3777" s="307"/>
      <c r="N3777" s="307"/>
      <c r="O3777" s="307"/>
      <c r="P3777" s="307"/>
    </row>
    <row r="3778" spans="1:16" ht="15.75" customHeight="1">
      <c r="A3778" s="441"/>
      <c r="B3778" s="307"/>
      <c r="C3778" s="317"/>
      <c r="G3778" s="290"/>
      <c r="H3778" s="438"/>
      <c r="I3778" s="439"/>
      <c r="J3778" s="440"/>
      <c r="K3778" s="307"/>
      <c r="L3778" s="307"/>
      <c r="M3778" s="307"/>
      <c r="N3778" s="307"/>
      <c r="O3778" s="307"/>
      <c r="P3778" s="307"/>
    </row>
    <row r="3779" spans="1:16" ht="15.75" customHeight="1">
      <c r="A3779" s="441"/>
      <c r="B3779" s="307"/>
      <c r="C3779" s="317"/>
      <c r="G3779" s="290"/>
      <c r="H3779" s="438"/>
      <c r="I3779" s="439"/>
      <c r="J3779" s="440"/>
      <c r="K3779" s="307"/>
      <c r="L3779" s="307"/>
      <c r="M3779" s="307"/>
      <c r="N3779" s="307"/>
      <c r="O3779" s="307"/>
      <c r="P3779" s="307"/>
    </row>
    <row r="3780" spans="1:16" ht="15.75" customHeight="1">
      <c r="A3780" s="441"/>
      <c r="B3780" s="307"/>
      <c r="C3780" s="317"/>
      <c r="G3780" s="290"/>
      <c r="H3780" s="438"/>
      <c r="I3780" s="439"/>
      <c r="J3780" s="440"/>
      <c r="K3780" s="307"/>
      <c r="L3780" s="307"/>
      <c r="M3780" s="307"/>
      <c r="N3780" s="307"/>
      <c r="O3780" s="307"/>
      <c r="P3780" s="307"/>
    </row>
    <row r="3781" spans="1:16" ht="15.75" customHeight="1">
      <c r="A3781" s="441"/>
      <c r="B3781" s="307"/>
      <c r="C3781" s="317"/>
      <c r="G3781" s="290"/>
      <c r="H3781" s="438"/>
      <c r="I3781" s="439"/>
      <c r="J3781" s="440"/>
      <c r="K3781" s="307"/>
      <c r="L3781" s="307"/>
      <c r="M3781" s="307"/>
      <c r="N3781" s="307"/>
      <c r="O3781" s="307"/>
      <c r="P3781" s="307"/>
    </row>
    <row r="3782" spans="1:16" ht="15.75" customHeight="1">
      <c r="A3782" s="441"/>
      <c r="B3782" s="307"/>
      <c r="C3782" s="317"/>
      <c r="G3782" s="290"/>
      <c r="H3782" s="438"/>
      <c r="I3782" s="439"/>
      <c r="J3782" s="440"/>
      <c r="K3782" s="307"/>
      <c r="L3782" s="307"/>
      <c r="M3782" s="307"/>
      <c r="N3782" s="307"/>
      <c r="O3782" s="307"/>
      <c r="P3782" s="307"/>
    </row>
    <row r="3783" spans="1:16" ht="15.75" customHeight="1">
      <c r="A3783" s="441"/>
      <c r="B3783" s="307"/>
      <c r="C3783" s="317"/>
      <c r="G3783" s="290"/>
      <c r="H3783" s="438"/>
      <c r="I3783" s="439"/>
      <c r="J3783" s="440"/>
      <c r="K3783" s="307"/>
      <c r="L3783" s="307"/>
      <c r="M3783" s="307"/>
      <c r="N3783" s="307"/>
      <c r="O3783" s="307"/>
      <c r="P3783" s="307"/>
    </row>
    <row r="3784" spans="1:16" ht="15.75" customHeight="1">
      <c r="A3784" s="441"/>
      <c r="B3784" s="307"/>
      <c r="C3784" s="317"/>
      <c r="G3784" s="290"/>
      <c r="H3784" s="438"/>
      <c r="I3784" s="439"/>
      <c r="J3784" s="440"/>
      <c r="K3784" s="307"/>
      <c r="L3784" s="307"/>
      <c r="M3784" s="307"/>
      <c r="N3784" s="307"/>
      <c r="O3784" s="307"/>
      <c r="P3784" s="307"/>
    </row>
    <row r="3785" spans="1:16" ht="15.75" customHeight="1">
      <c r="A3785" s="441"/>
      <c r="B3785" s="307"/>
      <c r="C3785" s="317"/>
      <c r="G3785" s="290"/>
      <c r="H3785" s="438"/>
      <c r="I3785" s="439"/>
      <c r="J3785" s="440"/>
      <c r="K3785" s="307"/>
      <c r="L3785" s="307"/>
      <c r="M3785" s="307"/>
      <c r="N3785" s="307"/>
      <c r="O3785" s="307"/>
      <c r="P3785" s="307"/>
    </row>
    <row r="3786" spans="1:16" ht="15.75" customHeight="1">
      <c r="A3786" s="441"/>
      <c r="B3786" s="307"/>
      <c r="C3786" s="317"/>
      <c r="G3786" s="290"/>
      <c r="H3786" s="438"/>
      <c r="I3786" s="439"/>
      <c r="J3786" s="440"/>
      <c r="K3786" s="307"/>
      <c r="L3786" s="307"/>
      <c r="M3786" s="307"/>
      <c r="N3786" s="307"/>
      <c r="O3786" s="307"/>
      <c r="P3786" s="307"/>
    </row>
    <row r="3787" spans="1:16" ht="15.75" customHeight="1">
      <c r="A3787" s="441"/>
      <c r="B3787" s="307"/>
      <c r="C3787" s="317"/>
      <c r="G3787" s="290"/>
      <c r="H3787" s="438"/>
      <c r="I3787" s="439"/>
      <c r="J3787" s="440"/>
      <c r="K3787" s="307"/>
      <c r="L3787" s="307"/>
      <c r="M3787" s="307"/>
      <c r="N3787" s="307"/>
      <c r="O3787" s="307"/>
      <c r="P3787" s="307"/>
    </row>
    <row r="3788" spans="1:16" ht="15.75" customHeight="1">
      <c r="A3788" s="441"/>
      <c r="B3788" s="307"/>
      <c r="C3788" s="317"/>
      <c r="G3788" s="290"/>
      <c r="H3788" s="438"/>
      <c r="I3788" s="439"/>
      <c r="J3788" s="440"/>
      <c r="K3788" s="307"/>
      <c r="L3788" s="307"/>
      <c r="M3788" s="307"/>
      <c r="N3788" s="307"/>
      <c r="O3788" s="307"/>
      <c r="P3788" s="307"/>
    </row>
    <row r="3789" spans="1:16" ht="15.75" customHeight="1">
      <c r="A3789" s="441"/>
      <c r="B3789" s="307"/>
      <c r="C3789" s="317"/>
      <c r="G3789" s="290"/>
      <c r="H3789" s="438"/>
      <c r="I3789" s="439"/>
      <c r="J3789" s="440"/>
      <c r="K3789" s="307"/>
      <c r="L3789" s="307"/>
      <c r="M3789" s="307"/>
      <c r="N3789" s="307"/>
      <c r="O3789" s="307"/>
      <c r="P3789" s="307"/>
    </row>
    <row r="3790" spans="1:16" ht="15.75" customHeight="1">
      <c r="A3790" s="441"/>
      <c r="B3790" s="307"/>
      <c r="C3790" s="317"/>
      <c r="G3790" s="290"/>
      <c r="H3790" s="438"/>
      <c r="I3790" s="439"/>
      <c r="J3790" s="440"/>
      <c r="K3790" s="307"/>
      <c r="L3790" s="307"/>
      <c r="M3790" s="307"/>
      <c r="N3790" s="307"/>
      <c r="O3790" s="307"/>
      <c r="P3790" s="307"/>
    </row>
    <row r="3791" spans="1:16" ht="15.75" customHeight="1">
      <c r="A3791" s="441"/>
      <c r="B3791" s="307"/>
      <c r="C3791" s="317"/>
      <c r="G3791" s="290"/>
      <c r="H3791" s="438"/>
      <c r="I3791" s="439"/>
      <c r="J3791" s="440"/>
      <c r="K3791" s="307"/>
      <c r="L3791" s="307"/>
      <c r="M3791" s="307"/>
      <c r="N3791" s="307"/>
      <c r="O3791" s="307"/>
      <c r="P3791" s="307"/>
    </row>
    <row r="3792" spans="1:16" ht="15.75" customHeight="1">
      <c r="A3792" s="441"/>
      <c r="B3792" s="307"/>
      <c r="C3792" s="317"/>
      <c r="G3792" s="290"/>
      <c r="H3792" s="438"/>
      <c r="I3792" s="439"/>
      <c r="J3792" s="440"/>
      <c r="K3792" s="307"/>
      <c r="L3792" s="307"/>
      <c r="M3792" s="307"/>
      <c r="N3792" s="307"/>
      <c r="O3792" s="307"/>
      <c r="P3792" s="307"/>
    </row>
    <row r="3793" spans="1:16" ht="15.75" customHeight="1">
      <c r="A3793" s="441"/>
      <c r="B3793" s="307"/>
      <c r="C3793" s="317"/>
      <c r="G3793" s="290"/>
      <c r="H3793" s="438"/>
      <c r="I3793" s="439"/>
      <c r="J3793" s="440"/>
      <c r="K3793" s="307"/>
      <c r="L3793" s="307"/>
      <c r="M3793" s="307"/>
      <c r="N3793" s="307"/>
      <c r="O3793" s="307"/>
      <c r="P3793" s="307"/>
    </row>
    <row r="3794" spans="1:16" ht="15.75" customHeight="1">
      <c r="A3794" s="441"/>
      <c r="B3794" s="307"/>
      <c r="C3794" s="317"/>
      <c r="G3794" s="290"/>
      <c r="H3794" s="438"/>
      <c r="I3794" s="439"/>
      <c r="J3794" s="440"/>
      <c r="K3794" s="307"/>
      <c r="L3794" s="307"/>
      <c r="M3794" s="307"/>
      <c r="N3794" s="307"/>
      <c r="O3794" s="307"/>
      <c r="P3794" s="307"/>
    </row>
    <row r="3795" spans="1:16" ht="15.75" customHeight="1">
      <c r="A3795" s="441"/>
      <c r="B3795" s="307"/>
      <c r="C3795" s="317"/>
      <c r="G3795" s="290"/>
      <c r="H3795" s="438"/>
      <c r="I3795" s="439"/>
      <c r="J3795" s="440"/>
      <c r="K3795" s="307"/>
      <c r="L3795" s="307"/>
      <c r="M3795" s="307"/>
      <c r="N3795" s="307"/>
      <c r="O3795" s="307"/>
      <c r="P3795" s="307"/>
    </row>
    <row r="3796" spans="1:16" ht="15.75" customHeight="1">
      <c r="A3796" s="441"/>
      <c r="B3796" s="307"/>
      <c r="C3796" s="317"/>
      <c r="G3796" s="290"/>
      <c r="H3796" s="438"/>
      <c r="I3796" s="439"/>
      <c r="J3796" s="440"/>
      <c r="K3796" s="307"/>
      <c r="L3796" s="307"/>
      <c r="M3796" s="307"/>
      <c r="N3796" s="307"/>
      <c r="O3796" s="307"/>
      <c r="P3796" s="307"/>
    </row>
    <row r="3797" spans="1:16" ht="15.75" customHeight="1">
      <c r="A3797" s="441"/>
      <c r="B3797" s="307"/>
      <c r="C3797" s="317"/>
      <c r="G3797" s="290"/>
      <c r="H3797" s="438"/>
      <c r="I3797" s="439"/>
      <c r="J3797" s="440"/>
      <c r="K3797" s="307"/>
      <c r="L3797" s="307"/>
      <c r="M3797" s="307"/>
      <c r="N3797" s="307"/>
      <c r="O3797" s="307"/>
      <c r="P3797" s="307"/>
    </row>
    <row r="3798" spans="1:16" ht="15.75" customHeight="1">
      <c r="A3798" s="441"/>
      <c r="B3798" s="307"/>
      <c r="C3798" s="317"/>
      <c r="G3798" s="290"/>
      <c r="H3798" s="438"/>
      <c r="I3798" s="439"/>
      <c r="J3798" s="440"/>
      <c r="K3798" s="307"/>
      <c r="L3798" s="307"/>
      <c r="M3798" s="307"/>
      <c r="N3798" s="307"/>
      <c r="O3798" s="307"/>
      <c r="P3798" s="307"/>
    </row>
    <row r="3799" spans="1:16" ht="15.75" customHeight="1">
      <c r="A3799" s="441"/>
      <c r="B3799" s="307"/>
      <c r="C3799" s="317"/>
      <c r="G3799" s="290"/>
      <c r="H3799" s="438"/>
      <c r="I3799" s="439"/>
      <c r="J3799" s="440"/>
      <c r="K3799" s="307"/>
      <c r="L3799" s="307"/>
      <c r="M3799" s="307"/>
      <c r="N3799" s="307"/>
      <c r="O3799" s="307"/>
      <c r="P3799" s="307"/>
    </row>
    <row r="3800" spans="1:16" ht="15.75" customHeight="1">
      <c r="A3800" s="441"/>
      <c r="B3800" s="307"/>
      <c r="C3800" s="317"/>
      <c r="G3800" s="290"/>
      <c r="H3800" s="438"/>
      <c r="I3800" s="439"/>
      <c r="J3800" s="440"/>
      <c r="K3800" s="307"/>
      <c r="L3800" s="307"/>
      <c r="M3800" s="307"/>
      <c r="N3800" s="307"/>
      <c r="O3800" s="307"/>
      <c r="P3800" s="307"/>
    </row>
    <row r="3801" spans="1:16" ht="15.75" customHeight="1">
      <c r="A3801" s="441"/>
      <c r="B3801" s="307"/>
      <c r="C3801" s="317"/>
      <c r="G3801" s="290"/>
      <c r="H3801" s="438"/>
      <c r="I3801" s="439"/>
      <c r="J3801" s="440"/>
      <c r="K3801" s="307"/>
      <c r="L3801" s="307"/>
      <c r="M3801" s="307"/>
      <c r="N3801" s="307"/>
      <c r="O3801" s="307"/>
      <c r="P3801" s="307"/>
    </row>
    <row r="3802" spans="1:16" ht="15.75" customHeight="1">
      <c r="A3802" s="441"/>
      <c r="B3802" s="307"/>
      <c r="C3802" s="317"/>
      <c r="G3802" s="290"/>
      <c r="H3802" s="438"/>
      <c r="I3802" s="439"/>
      <c r="J3802" s="440"/>
      <c r="K3802" s="307"/>
      <c r="L3802" s="307"/>
      <c r="M3802" s="307"/>
      <c r="N3802" s="307"/>
      <c r="O3802" s="307"/>
      <c r="P3802" s="307"/>
    </row>
    <row r="3803" spans="1:16" ht="15.75" customHeight="1">
      <c r="A3803" s="441"/>
      <c r="B3803" s="307"/>
      <c r="C3803" s="317"/>
      <c r="G3803" s="290"/>
      <c r="H3803" s="438"/>
      <c r="I3803" s="439"/>
      <c r="J3803" s="440"/>
      <c r="K3803" s="307"/>
      <c r="L3803" s="307"/>
      <c r="M3803" s="307"/>
      <c r="N3803" s="307"/>
      <c r="O3803" s="307"/>
      <c r="P3803" s="307"/>
    </row>
    <row r="3804" spans="1:16" ht="15.75" customHeight="1">
      <c r="A3804" s="441"/>
      <c r="B3804" s="307"/>
      <c r="C3804" s="317"/>
      <c r="G3804" s="290"/>
      <c r="H3804" s="438"/>
      <c r="I3804" s="439"/>
      <c r="J3804" s="440"/>
      <c r="K3804" s="307"/>
      <c r="L3804" s="307"/>
      <c r="M3804" s="307"/>
      <c r="N3804" s="307"/>
      <c r="O3804" s="307"/>
      <c r="P3804" s="307"/>
    </row>
    <row r="3805" spans="1:16" ht="15.75" customHeight="1">
      <c r="A3805" s="441"/>
      <c r="B3805" s="307"/>
      <c r="C3805" s="317"/>
      <c r="G3805" s="290"/>
      <c r="H3805" s="438"/>
      <c r="I3805" s="439"/>
      <c r="J3805" s="440"/>
      <c r="K3805" s="307"/>
      <c r="L3805" s="307"/>
      <c r="M3805" s="307"/>
      <c r="N3805" s="307"/>
      <c r="O3805" s="307"/>
      <c r="P3805" s="307"/>
    </row>
    <row r="3806" spans="1:16" ht="15.75" customHeight="1">
      <c r="A3806" s="441"/>
      <c r="B3806" s="307"/>
      <c r="C3806" s="317"/>
      <c r="G3806" s="290"/>
      <c r="H3806" s="438"/>
      <c r="I3806" s="439"/>
      <c r="J3806" s="440"/>
      <c r="K3806" s="307"/>
      <c r="L3806" s="307"/>
      <c r="M3806" s="307"/>
      <c r="N3806" s="307"/>
      <c r="O3806" s="307"/>
      <c r="P3806" s="307"/>
    </row>
    <row r="3807" spans="1:16" ht="15.75" customHeight="1">
      <c r="A3807" s="441"/>
      <c r="B3807" s="307"/>
      <c r="C3807" s="317"/>
      <c r="G3807" s="290"/>
      <c r="H3807" s="438"/>
      <c r="I3807" s="439"/>
      <c r="J3807" s="440"/>
      <c r="K3807" s="307"/>
      <c r="L3807" s="307"/>
      <c r="M3807" s="307"/>
      <c r="N3807" s="307"/>
      <c r="O3807" s="307"/>
      <c r="P3807" s="307"/>
    </row>
    <row r="3808" spans="1:16" ht="15.75" customHeight="1">
      <c r="A3808" s="441"/>
      <c r="B3808" s="307"/>
      <c r="C3808" s="317"/>
      <c r="G3808" s="290"/>
      <c r="H3808" s="438"/>
      <c r="I3808" s="439"/>
      <c r="J3808" s="440"/>
      <c r="K3808" s="307"/>
      <c r="L3808" s="307"/>
      <c r="M3808" s="307"/>
      <c r="N3808" s="307"/>
      <c r="O3808" s="307"/>
      <c r="P3808" s="307"/>
    </row>
    <row r="3809" spans="1:16" ht="15.75" customHeight="1">
      <c r="A3809" s="441"/>
      <c r="B3809" s="307"/>
      <c r="C3809" s="317"/>
      <c r="G3809" s="290"/>
      <c r="H3809" s="438"/>
      <c r="I3809" s="439"/>
      <c r="J3809" s="440"/>
      <c r="K3809" s="307"/>
      <c r="L3809" s="307"/>
      <c r="M3809" s="307"/>
      <c r="N3809" s="307"/>
      <c r="O3809" s="307"/>
      <c r="P3809" s="307"/>
    </row>
    <row r="3810" spans="1:16" ht="15.75" customHeight="1">
      <c r="A3810" s="441"/>
      <c r="B3810" s="307"/>
      <c r="C3810" s="317"/>
      <c r="G3810" s="290"/>
      <c r="H3810" s="438"/>
      <c r="I3810" s="439"/>
      <c r="J3810" s="440"/>
      <c r="K3810" s="307"/>
      <c r="L3810" s="307"/>
      <c r="M3810" s="307"/>
      <c r="N3810" s="307"/>
      <c r="O3810" s="307"/>
      <c r="P3810" s="307"/>
    </row>
    <row r="3811" spans="1:16" ht="15.75" customHeight="1">
      <c r="A3811" s="441"/>
      <c r="B3811" s="307"/>
      <c r="C3811" s="317"/>
      <c r="G3811" s="290"/>
      <c r="H3811" s="438"/>
      <c r="I3811" s="439"/>
      <c r="J3811" s="440"/>
      <c r="K3811" s="307"/>
      <c r="L3811" s="307"/>
      <c r="M3811" s="307"/>
      <c r="N3811" s="307"/>
      <c r="O3811" s="307"/>
      <c r="P3811" s="307"/>
    </row>
    <row r="3812" spans="1:16" ht="15.75" customHeight="1">
      <c r="A3812" s="441"/>
      <c r="B3812" s="307"/>
      <c r="C3812" s="317"/>
      <c r="G3812" s="290"/>
      <c r="H3812" s="438"/>
      <c r="I3812" s="439"/>
      <c r="J3812" s="440"/>
      <c r="K3812" s="307"/>
      <c r="L3812" s="307"/>
      <c r="M3812" s="307"/>
      <c r="N3812" s="307"/>
      <c r="O3812" s="307"/>
      <c r="P3812" s="307"/>
    </row>
    <row r="3813" spans="1:16" ht="15.75" customHeight="1">
      <c r="A3813" s="441"/>
      <c r="B3813" s="307"/>
      <c r="C3813" s="317"/>
      <c r="G3813" s="290"/>
      <c r="H3813" s="438"/>
      <c r="I3813" s="439"/>
      <c r="J3813" s="440"/>
      <c r="K3813" s="307"/>
      <c r="L3813" s="307"/>
      <c r="M3813" s="307"/>
      <c r="N3813" s="307"/>
      <c r="O3813" s="307"/>
      <c r="P3813" s="307"/>
    </row>
    <row r="3814" spans="1:16" ht="15.75" customHeight="1">
      <c r="A3814" s="441"/>
      <c r="B3814" s="307"/>
      <c r="C3814" s="317"/>
      <c r="G3814" s="290"/>
      <c r="H3814" s="438"/>
      <c r="I3814" s="439"/>
      <c r="J3814" s="440"/>
      <c r="K3814" s="307"/>
      <c r="L3814" s="307"/>
      <c r="M3814" s="307"/>
      <c r="N3814" s="307"/>
      <c r="O3814" s="307"/>
      <c r="P3814" s="307"/>
    </row>
    <row r="3815" spans="1:16" ht="15.75" customHeight="1">
      <c r="A3815" s="441"/>
      <c r="B3815" s="307"/>
      <c r="C3815" s="317"/>
      <c r="G3815" s="290"/>
      <c r="H3815" s="438"/>
      <c r="I3815" s="439"/>
      <c r="J3815" s="440"/>
      <c r="K3815" s="307"/>
      <c r="L3815" s="307"/>
      <c r="M3815" s="307"/>
      <c r="N3815" s="307"/>
      <c r="O3815" s="307"/>
      <c r="P3815" s="307"/>
    </row>
    <row r="3816" spans="1:16" ht="15.75" customHeight="1">
      <c r="A3816" s="441"/>
      <c r="B3816" s="307"/>
      <c r="C3816" s="317"/>
      <c r="G3816" s="290"/>
      <c r="H3816" s="438"/>
      <c r="I3816" s="439"/>
      <c r="J3816" s="440"/>
      <c r="K3816" s="307"/>
      <c r="L3816" s="307"/>
      <c r="M3816" s="307"/>
      <c r="N3816" s="307"/>
      <c r="O3816" s="307"/>
      <c r="P3816" s="307"/>
    </row>
    <row r="3817" spans="1:16" ht="15.75" customHeight="1">
      <c r="A3817" s="441"/>
      <c r="B3817" s="307"/>
      <c r="C3817" s="317"/>
      <c r="G3817" s="290"/>
      <c r="H3817" s="438"/>
      <c r="I3817" s="439"/>
      <c r="J3817" s="440"/>
      <c r="K3817" s="307"/>
      <c r="L3817" s="307"/>
      <c r="M3817" s="307"/>
      <c r="N3817" s="307"/>
      <c r="O3817" s="307"/>
      <c r="P3817" s="307"/>
    </row>
    <row r="3818" spans="1:16" ht="15.75" customHeight="1">
      <c r="A3818" s="441"/>
      <c r="B3818" s="307"/>
      <c r="C3818" s="317"/>
      <c r="G3818" s="290"/>
      <c r="H3818" s="438"/>
      <c r="I3818" s="439"/>
      <c r="J3818" s="440"/>
      <c r="K3818" s="307"/>
      <c r="L3818" s="307"/>
      <c r="M3818" s="307"/>
      <c r="N3818" s="307"/>
      <c r="O3818" s="307"/>
      <c r="P3818" s="307"/>
    </row>
    <row r="3819" spans="1:16" ht="15.75" customHeight="1">
      <c r="A3819" s="441"/>
      <c r="B3819" s="307"/>
      <c r="C3819" s="317"/>
      <c r="G3819" s="290"/>
      <c r="H3819" s="438"/>
      <c r="I3819" s="439"/>
      <c r="J3819" s="440"/>
      <c r="K3819" s="307"/>
      <c r="L3819" s="307"/>
      <c r="M3819" s="307"/>
      <c r="N3819" s="307"/>
      <c r="O3819" s="307"/>
      <c r="P3819" s="307"/>
    </row>
    <row r="3820" spans="1:16" ht="15.75" customHeight="1">
      <c r="A3820" s="441"/>
      <c r="B3820" s="307"/>
      <c r="C3820" s="317"/>
      <c r="G3820" s="290"/>
      <c r="H3820" s="438"/>
      <c r="I3820" s="439"/>
      <c r="J3820" s="440"/>
      <c r="K3820" s="307"/>
      <c r="L3820" s="307"/>
      <c r="M3820" s="307"/>
      <c r="N3820" s="307"/>
      <c r="O3820" s="307"/>
      <c r="P3820" s="307"/>
    </row>
    <row r="3821" spans="1:16" ht="15.75" customHeight="1">
      <c r="A3821" s="441"/>
      <c r="B3821" s="307"/>
      <c r="C3821" s="317"/>
      <c r="G3821" s="290"/>
      <c r="H3821" s="438"/>
      <c r="I3821" s="439"/>
      <c r="J3821" s="440"/>
      <c r="K3821" s="307"/>
      <c r="L3821" s="307"/>
      <c r="M3821" s="307"/>
      <c r="N3821" s="307"/>
      <c r="O3821" s="307"/>
      <c r="P3821" s="307"/>
    </row>
    <row r="3822" spans="1:16" ht="15.75" customHeight="1">
      <c r="A3822" s="441"/>
      <c r="B3822" s="307"/>
      <c r="C3822" s="317"/>
      <c r="G3822" s="290"/>
      <c r="H3822" s="438"/>
      <c r="I3822" s="439"/>
      <c r="J3822" s="440"/>
      <c r="K3822" s="307"/>
      <c r="L3822" s="307"/>
      <c r="M3822" s="307"/>
      <c r="N3822" s="307"/>
      <c r="O3822" s="307"/>
      <c r="P3822" s="307"/>
    </row>
    <row r="3823" spans="1:16" ht="15.75" customHeight="1">
      <c r="A3823" s="441"/>
      <c r="B3823" s="307"/>
      <c r="C3823" s="317"/>
      <c r="G3823" s="290"/>
      <c r="H3823" s="438"/>
      <c r="I3823" s="439"/>
      <c r="J3823" s="440"/>
      <c r="K3823" s="307"/>
      <c r="L3823" s="307"/>
      <c r="M3823" s="307"/>
      <c r="N3823" s="307"/>
      <c r="O3823" s="307"/>
      <c r="P3823" s="307"/>
    </row>
    <row r="3824" spans="1:16" ht="15.75" customHeight="1">
      <c r="A3824" s="441"/>
      <c r="B3824" s="307"/>
      <c r="C3824" s="317"/>
      <c r="G3824" s="290"/>
      <c r="H3824" s="438"/>
      <c r="I3824" s="439"/>
      <c r="J3824" s="440"/>
      <c r="K3824" s="307"/>
      <c r="L3824" s="307"/>
      <c r="M3824" s="307"/>
      <c r="N3824" s="307"/>
      <c r="O3824" s="307"/>
      <c r="P3824" s="307"/>
    </row>
    <row r="3825" spans="1:16" ht="15.75" customHeight="1">
      <c r="A3825" s="441"/>
      <c r="B3825" s="307"/>
      <c r="C3825" s="317"/>
      <c r="G3825" s="290"/>
      <c r="H3825" s="438"/>
      <c r="I3825" s="439"/>
      <c r="J3825" s="440"/>
      <c r="K3825" s="307"/>
      <c r="L3825" s="307"/>
      <c r="M3825" s="307"/>
      <c r="N3825" s="307"/>
      <c r="O3825" s="307"/>
      <c r="P3825" s="307"/>
    </row>
    <row r="3826" spans="1:16" ht="15.75" customHeight="1">
      <c r="A3826" s="441"/>
      <c r="B3826" s="307"/>
      <c r="C3826" s="317"/>
      <c r="G3826" s="290"/>
      <c r="H3826" s="438"/>
      <c r="I3826" s="439"/>
      <c r="J3826" s="440"/>
      <c r="K3826" s="307"/>
      <c r="L3826" s="307"/>
      <c r="M3826" s="307"/>
      <c r="N3826" s="307"/>
      <c r="O3826" s="307"/>
      <c r="P3826" s="307"/>
    </row>
    <row r="3827" spans="1:16" ht="15.75" customHeight="1">
      <c r="A3827" s="441"/>
      <c r="B3827" s="307"/>
      <c r="C3827" s="317"/>
      <c r="G3827" s="290"/>
      <c r="H3827" s="438"/>
      <c r="I3827" s="439"/>
      <c r="J3827" s="440"/>
      <c r="K3827" s="307"/>
      <c r="L3827" s="307"/>
      <c r="M3827" s="307"/>
      <c r="N3827" s="307"/>
      <c r="O3827" s="307"/>
      <c r="P3827" s="307"/>
    </row>
    <row r="3828" spans="1:16" ht="15.75" customHeight="1">
      <c r="A3828" s="441"/>
      <c r="B3828" s="307"/>
      <c r="C3828" s="317"/>
      <c r="G3828" s="290"/>
      <c r="H3828" s="438"/>
      <c r="I3828" s="439"/>
      <c r="J3828" s="440"/>
      <c r="K3828" s="307"/>
      <c r="L3828" s="307"/>
      <c r="M3828" s="307"/>
      <c r="N3828" s="307"/>
      <c r="O3828" s="307"/>
      <c r="P3828" s="307"/>
    </row>
    <row r="3829" spans="1:16" ht="15.75" customHeight="1">
      <c r="A3829" s="441"/>
      <c r="B3829" s="307"/>
      <c r="C3829" s="317"/>
      <c r="G3829" s="290"/>
      <c r="H3829" s="438"/>
      <c r="I3829" s="439"/>
      <c r="J3829" s="440"/>
      <c r="K3829" s="307"/>
      <c r="L3829" s="307"/>
      <c r="M3829" s="307"/>
      <c r="N3829" s="307"/>
      <c r="O3829" s="307"/>
      <c r="P3829" s="307"/>
    </row>
    <row r="3830" spans="1:16" ht="15.75" customHeight="1">
      <c r="A3830" s="441"/>
      <c r="B3830" s="307"/>
      <c r="C3830" s="317"/>
      <c r="G3830" s="290"/>
      <c r="H3830" s="438"/>
      <c r="I3830" s="439"/>
      <c r="J3830" s="440"/>
      <c r="K3830" s="307"/>
      <c r="L3830" s="307"/>
      <c r="M3830" s="307"/>
      <c r="N3830" s="307"/>
      <c r="O3830" s="307"/>
      <c r="P3830" s="307"/>
    </row>
    <row r="3831" spans="1:16" ht="15.75" customHeight="1">
      <c r="A3831" s="441"/>
      <c r="B3831" s="307"/>
      <c r="C3831" s="317"/>
      <c r="G3831" s="290"/>
      <c r="H3831" s="438"/>
      <c r="I3831" s="439"/>
      <c r="J3831" s="440"/>
      <c r="K3831" s="307"/>
      <c r="L3831" s="307"/>
      <c r="M3831" s="307"/>
      <c r="N3831" s="307"/>
      <c r="O3831" s="307"/>
      <c r="P3831" s="307"/>
    </row>
    <row r="3832" spans="1:16" ht="15.75" customHeight="1">
      <c r="A3832" s="441"/>
      <c r="B3832" s="307"/>
      <c r="C3832" s="317"/>
      <c r="G3832" s="290"/>
      <c r="H3832" s="438"/>
      <c r="I3832" s="439"/>
      <c r="J3832" s="440"/>
      <c r="K3832" s="307"/>
      <c r="L3832" s="307"/>
      <c r="M3832" s="307"/>
      <c r="N3832" s="307"/>
      <c r="O3832" s="307"/>
      <c r="P3832" s="307"/>
    </row>
    <row r="3833" spans="1:16" ht="15.75" customHeight="1">
      <c r="A3833" s="441"/>
      <c r="B3833" s="307"/>
      <c r="C3833" s="317"/>
      <c r="G3833" s="290"/>
      <c r="H3833" s="438"/>
      <c r="I3833" s="439"/>
      <c r="J3833" s="440"/>
      <c r="K3833" s="307"/>
      <c r="L3833" s="307"/>
      <c r="M3833" s="307"/>
      <c r="N3833" s="307"/>
      <c r="O3833" s="307"/>
      <c r="P3833" s="307"/>
    </row>
    <row r="3834" spans="1:16" ht="15.75" customHeight="1">
      <c r="A3834" s="441"/>
      <c r="B3834" s="307"/>
      <c r="C3834" s="317"/>
      <c r="G3834" s="290"/>
      <c r="H3834" s="438"/>
      <c r="I3834" s="439"/>
      <c r="J3834" s="440"/>
      <c r="K3834" s="307"/>
      <c r="L3834" s="307"/>
      <c r="M3834" s="307"/>
      <c r="N3834" s="307"/>
      <c r="O3834" s="307"/>
      <c r="P3834" s="307"/>
    </row>
    <row r="3835" spans="1:16" ht="15.75" customHeight="1">
      <c r="A3835" s="441"/>
      <c r="B3835" s="307"/>
      <c r="C3835" s="317"/>
      <c r="G3835" s="290"/>
      <c r="H3835" s="438"/>
      <c r="I3835" s="439"/>
      <c r="J3835" s="440"/>
      <c r="K3835" s="307"/>
      <c r="L3835" s="307"/>
      <c r="M3835" s="307"/>
      <c r="N3835" s="307"/>
      <c r="O3835" s="307"/>
      <c r="P3835" s="307"/>
    </row>
    <row r="3836" spans="1:16" ht="15.75" customHeight="1">
      <c r="A3836" s="441"/>
      <c r="B3836" s="307"/>
      <c r="C3836" s="317"/>
      <c r="G3836" s="290"/>
      <c r="H3836" s="438"/>
      <c r="I3836" s="439"/>
      <c r="J3836" s="440"/>
      <c r="K3836" s="307"/>
      <c r="L3836" s="307"/>
      <c r="M3836" s="307"/>
      <c r="N3836" s="307"/>
      <c r="O3836" s="307"/>
      <c r="P3836" s="307"/>
    </row>
    <row r="3837" spans="1:16" ht="15.75" customHeight="1">
      <c r="A3837" s="441"/>
      <c r="B3837" s="307"/>
      <c r="C3837" s="317"/>
      <c r="G3837" s="290"/>
      <c r="H3837" s="438"/>
      <c r="I3837" s="439"/>
      <c r="J3837" s="440"/>
      <c r="K3837" s="307"/>
      <c r="L3837" s="307"/>
      <c r="M3837" s="307"/>
      <c r="N3837" s="307"/>
      <c r="O3837" s="307"/>
      <c r="P3837" s="307"/>
    </row>
    <row r="3838" spans="1:16" ht="15.75" customHeight="1">
      <c r="A3838" s="441"/>
      <c r="B3838" s="307"/>
      <c r="C3838" s="317"/>
      <c r="G3838" s="290"/>
      <c r="H3838" s="438"/>
      <c r="I3838" s="439"/>
      <c r="J3838" s="440"/>
      <c r="K3838" s="307"/>
      <c r="L3838" s="307"/>
      <c r="M3838" s="307"/>
      <c r="N3838" s="307"/>
      <c r="O3838" s="307"/>
      <c r="P3838" s="307"/>
    </row>
    <row r="3839" spans="1:16" ht="15.75" customHeight="1">
      <c r="A3839" s="441"/>
      <c r="B3839" s="307"/>
      <c r="C3839" s="317"/>
      <c r="G3839" s="290"/>
      <c r="H3839" s="438"/>
      <c r="I3839" s="439"/>
      <c r="J3839" s="440"/>
      <c r="K3839" s="307"/>
      <c r="L3839" s="307"/>
      <c r="M3839" s="307"/>
      <c r="N3839" s="307"/>
      <c r="O3839" s="307"/>
      <c r="P3839" s="307"/>
    </row>
    <row r="3840" spans="1:16" ht="15.75" customHeight="1">
      <c r="A3840" s="441"/>
      <c r="B3840" s="307"/>
      <c r="C3840" s="317"/>
      <c r="G3840" s="290"/>
      <c r="H3840" s="438"/>
      <c r="I3840" s="439"/>
      <c r="J3840" s="440"/>
      <c r="K3840" s="307"/>
      <c r="L3840" s="307"/>
      <c r="M3840" s="307"/>
      <c r="N3840" s="307"/>
      <c r="O3840" s="307"/>
      <c r="P3840" s="307"/>
    </row>
    <row r="3841" spans="1:16" ht="15.75" customHeight="1">
      <c r="A3841" s="441"/>
      <c r="B3841" s="307"/>
      <c r="C3841" s="317"/>
      <c r="G3841" s="290"/>
      <c r="H3841" s="438"/>
      <c r="I3841" s="439"/>
      <c r="J3841" s="440"/>
      <c r="K3841" s="307"/>
      <c r="L3841" s="307"/>
      <c r="M3841" s="307"/>
      <c r="N3841" s="307"/>
      <c r="O3841" s="307"/>
      <c r="P3841" s="307"/>
    </row>
    <row r="3842" spans="1:16" ht="15.75" customHeight="1">
      <c r="A3842" s="441"/>
      <c r="B3842" s="307"/>
      <c r="C3842" s="317"/>
      <c r="G3842" s="290"/>
      <c r="H3842" s="438"/>
      <c r="I3842" s="439"/>
      <c r="J3842" s="440"/>
      <c r="K3842" s="307"/>
      <c r="L3842" s="307"/>
      <c r="M3842" s="307"/>
      <c r="N3842" s="307"/>
      <c r="O3842" s="307"/>
      <c r="P3842" s="307"/>
    </row>
    <row r="3843" spans="1:16" ht="15.75" customHeight="1">
      <c r="A3843" s="441"/>
      <c r="B3843" s="307"/>
      <c r="C3843" s="317"/>
      <c r="G3843" s="290"/>
      <c r="H3843" s="438"/>
      <c r="I3843" s="439"/>
      <c r="J3843" s="440"/>
      <c r="K3843" s="307"/>
      <c r="L3843" s="307"/>
      <c r="M3843" s="307"/>
      <c r="N3843" s="307"/>
      <c r="O3843" s="307"/>
      <c r="P3843" s="307"/>
    </row>
    <row r="3844" spans="1:16" ht="15.75" customHeight="1">
      <c r="A3844" s="441"/>
      <c r="B3844" s="307"/>
      <c r="C3844" s="317"/>
      <c r="G3844" s="290"/>
      <c r="H3844" s="438"/>
      <c r="I3844" s="439"/>
      <c r="J3844" s="440"/>
      <c r="K3844" s="307"/>
      <c r="L3844" s="307"/>
      <c r="M3844" s="307"/>
      <c r="N3844" s="307"/>
      <c r="O3844" s="307"/>
      <c r="P3844" s="307"/>
    </row>
    <row r="3845" spans="1:16" ht="15.75" customHeight="1">
      <c r="A3845" s="441"/>
      <c r="B3845" s="307"/>
      <c r="C3845" s="317"/>
      <c r="G3845" s="290"/>
      <c r="H3845" s="438"/>
      <c r="I3845" s="439"/>
      <c r="J3845" s="440"/>
      <c r="K3845" s="307"/>
      <c r="L3845" s="307"/>
      <c r="M3845" s="307"/>
      <c r="N3845" s="307"/>
      <c r="O3845" s="307"/>
      <c r="P3845" s="307"/>
    </row>
    <row r="3846" spans="1:16" ht="15.75" customHeight="1">
      <c r="A3846" s="441"/>
      <c r="B3846" s="307"/>
      <c r="C3846" s="317"/>
      <c r="G3846" s="290"/>
      <c r="H3846" s="438"/>
      <c r="I3846" s="439"/>
      <c r="J3846" s="440"/>
      <c r="K3846" s="307"/>
      <c r="L3846" s="307"/>
      <c r="M3846" s="307"/>
      <c r="N3846" s="307"/>
      <c r="O3846" s="307"/>
      <c r="P3846" s="307"/>
    </row>
    <row r="3847" spans="1:16" ht="15.75" customHeight="1">
      <c r="A3847" s="441"/>
      <c r="B3847" s="307"/>
      <c r="C3847" s="317"/>
      <c r="G3847" s="290"/>
      <c r="H3847" s="438"/>
      <c r="I3847" s="439"/>
      <c r="J3847" s="440"/>
      <c r="K3847" s="307"/>
      <c r="L3847" s="307"/>
      <c r="M3847" s="307"/>
      <c r="N3847" s="307"/>
      <c r="O3847" s="307"/>
      <c r="P3847" s="307"/>
    </row>
    <row r="3848" spans="1:16" ht="15.75" customHeight="1">
      <c r="A3848" s="441"/>
      <c r="B3848" s="307"/>
      <c r="C3848" s="317"/>
      <c r="G3848" s="290"/>
      <c r="H3848" s="438"/>
      <c r="I3848" s="439"/>
      <c r="J3848" s="440"/>
      <c r="K3848" s="307"/>
      <c r="L3848" s="307"/>
      <c r="M3848" s="307"/>
      <c r="N3848" s="307"/>
      <c r="O3848" s="307"/>
      <c r="P3848" s="307"/>
    </row>
    <row r="3849" spans="1:16" ht="15.75" customHeight="1">
      <c r="A3849" s="441"/>
      <c r="B3849" s="307"/>
      <c r="C3849" s="317"/>
      <c r="G3849" s="290"/>
      <c r="H3849" s="438"/>
      <c r="I3849" s="439"/>
      <c r="J3849" s="440"/>
      <c r="K3849" s="307"/>
      <c r="L3849" s="307"/>
      <c r="M3849" s="307"/>
      <c r="N3849" s="307"/>
      <c r="O3849" s="307"/>
      <c r="P3849" s="307"/>
    </row>
    <row r="3850" spans="1:16" ht="15.75" customHeight="1">
      <c r="A3850" s="441"/>
      <c r="B3850" s="307"/>
      <c r="C3850" s="317"/>
      <c r="G3850" s="290"/>
      <c r="H3850" s="438"/>
      <c r="I3850" s="439"/>
      <c r="J3850" s="440"/>
      <c r="K3850" s="307"/>
      <c r="L3850" s="307"/>
      <c r="M3850" s="307"/>
      <c r="N3850" s="307"/>
      <c r="O3850" s="307"/>
      <c r="P3850" s="307"/>
    </row>
    <row r="3851" spans="1:16" ht="15.75" customHeight="1">
      <c r="A3851" s="441"/>
      <c r="B3851" s="307"/>
      <c r="C3851" s="317"/>
      <c r="G3851" s="290"/>
      <c r="H3851" s="438"/>
      <c r="I3851" s="439"/>
      <c r="J3851" s="440"/>
      <c r="K3851" s="307"/>
      <c r="L3851" s="307"/>
      <c r="M3851" s="307"/>
      <c r="N3851" s="307"/>
      <c r="O3851" s="307"/>
      <c r="P3851" s="307"/>
    </row>
    <row r="3852" spans="1:16" ht="15.75" customHeight="1">
      <c r="A3852" s="441"/>
      <c r="B3852" s="307"/>
      <c r="C3852" s="317"/>
      <c r="G3852" s="290"/>
      <c r="H3852" s="438"/>
      <c r="I3852" s="439"/>
      <c r="J3852" s="440"/>
      <c r="K3852" s="307"/>
      <c r="L3852" s="307"/>
      <c r="M3852" s="307"/>
      <c r="N3852" s="307"/>
      <c r="O3852" s="307"/>
      <c r="P3852" s="307"/>
    </row>
    <row r="3853" spans="1:16" ht="15.75" customHeight="1">
      <c r="A3853" s="441"/>
      <c r="B3853" s="307"/>
      <c r="C3853" s="317"/>
      <c r="G3853" s="290"/>
      <c r="H3853" s="438"/>
      <c r="I3853" s="439"/>
      <c r="J3853" s="440"/>
      <c r="K3853" s="307"/>
      <c r="L3853" s="307"/>
      <c r="M3853" s="307"/>
      <c r="N3853" s="307"/>
      <c r="O3853" s="307"/>
      <c r="P3853" s="307"/>
    </row>
    <row r="3854" spans="1:16" ht="15.75" customHeight="1">
      <c r="A3854" s="441"/>
      <c r="B3854" s="307"/>
      <c r="C3854" s="317"/>
      <c r="G3854" s="290"/>
      <c r="H3854" s="438"/>
      <c r="I3854" s="439"/>
      <c r="J3854" s="440"/>
      <c r="K3854" s="307"/>
      <c r="L3854" s="307"/>
      <c r="M3854" s="307"/>
      <c r="N3854" s="307"/>
      <c r="O3854" s="307"/>
      <c r="P3854" s="307"/>
    </row>
    <row r="3855" spans="1:16" ht="15.75" customHeight="1">
      <c r="A3855" s="441"/>
      <c r="B3855" s="307"/>
      <c r="C3855" s="317"/>
      <c r="G3855" s="290"/>
      <c r="H3855" s="438"/>
      <c r="I3855" s="439"/>
      <c r="J3855" s="440"/>
      <c r="K3855" s="307"/>
      <c r="L3855" s="307"/>
      <c r="M3855" s="307"/>
      <c r="N3855" s="307"/>
      <c r="O3855" s="307"/>
      <c r="P3855" s="307"/>
    </row>
    <row r="3856" spans="1:16" ht="15.75" customHeight="1">
      <c r="A3856" s="441"/>
      <c r="B3856" s="307"/>
      <c r="C3856" s="317"/>
      <c r="G3856" s="290"/>
      <c r="H3856" s="438"/>
      <c r="I3856" s="439"/>
      <c r="J3856" s="440"/>
      <c r="K3856" s="307"/>
      <c r="L3856" s="307"/>
      <c r="M3856" s="307"/>
      <c r="N3856" s="307"/>
      <c r="O3856" s="307"/>
      <c r="P3856" s="307"/>
    </row>
    <row r="3857" spans="1:16" ht="15.75" customHeight="1">
      <c r="A3857" s="441"/>
      <c r="B3857" s="307"/>
      <c r="C3857" s="317"/>
      <c r="G3857" s="290"/>
      <c r="H3857" s="438"/>
      <c r="I3857" s="439"/>
      <c r="J3857" s="440"/>
      <c r="K3857" s="307"/>
      <c r="L3857" s="307"/>
      <c r="M3857" s="307"/>
      <c r="N3857" s="307"/>
      <c r="O3857" s="307"/>
      <c r="P3857" s="307"/>
    </row>
    <row r="3858" spans="1:16" ht="15.75" customHeight="1">
      <c r="A3858" s="441"/>
      <c r="B3858" s="307"/>
      <c r="C3858" s="317"/>
      <c r="G3858" s="290"/>
      <c r="H3858" s="438"/>
      <c r="I3858" s="439"/>
      <c r="J3858" s="440"/>
      <c r="K3858" s="307"/>
      <c r="L3858" s="307"/>
      <c r="M3858" s="307"/>
      <c r="N3858" s="307"/>
      <c r="O3858" s="307"/>
      <c r="P3858" s="307"/>
    </row>
    <row r="3859" spans="1:16" ht="15.75" customHeight="1">
      <c r="A3859" s="441"/>
      <c r="B3859" s="307"/>
      <c r="C3859" s="317"/>
      <c r="G3859" s="290"/>
      <c r="H3859" s="438"/>
      <c r="I3859" s="439"/>
      <c r="J3859" s="440"/>
      <c r="K3859" s="307"/>
      <c r="L3859" s="307"/>
      <c r="M3859" s="307"/>
      <c r="N3859" s="307"/>
      <c r="O3859" s="307"/>
      <c r="P3859" s="307"/>
    </row>
    <row r="3860" spans="1:16" ht="15.75" customHeight="1">
      <c r="A3860" s="441"/>
      <c r="B3860" s="307"/>
      <c r="C3860" s="317"/>
      <c r="G3860" s="290"/>
      <c r="H3860" s="438"/>
      <c r="I3860" s="439"/>
      <c r="J3860" s="440"/>
      <c r="K3860" s="307"/>
      <c r="L3860" s="307"/>
      <c r="M3860" s="307"/>
      <c r="N3860" s="307"/>
      <c r="O3860" s="307"/>
      <c r="P3860" s="307"/>
    </row>
    <row r="3861" spans="1:16" ht="15.75" customHeight="1">
      <c r="A3861" s="441"/>
      <c r="B3861" s="307"/>
      <c r="C3861" s="317"/>
      <c r="G3861" s="290"/>
      <c r="H3861" s="438"/>
      <c r="I3861" s="439"/>
      <c r="J3861" s="440"/>
      <c r="K3861" s="307"/>
      <c r="L3861" s="307"/>
      <c r="M3861" s="307"/>
      <c r="N3861" s="307"/>
      <c r="O3861" s="307"/>
      <c r="P3861" s="307"/>
    </row>
    <row r="3862" spans="1:16" ht="15.75" customHeight="1">
      <c r="A3862" s="441"/>
      <c r="B3862" s="307"/>
      <c r="C3862" s="317"/>
      <c r="G3862" s="290"/>
      <c r="H3862" s="438"/>
      <c r="I3862" s="439"/>
      <c r="J3862" s="440"/>
      <c r="K3862" s="307"/>
      <c r="L3862" s="307"/>
      <c r="M3862" s="307"/>
      <c r="N3862" s="307"/>
      <c r="O3862" s="307"/>
      <c r="P3862" s="307"/>
    </row>
    <row r="3863" spans="1:16" ht="15.75" customHeight="1">
      <c r="A3863" s="441"/>
      <c r="B3863" s="307"/>
      <c r="C3863" s="317"/>
      <c r="G3863" s="290"/>
      <c r="H3863" s="438"/>
      <c r="I3863" s="439"/>
      <c r="J3863" s="440"/>
      <c r="K3863" s="307"/>
      <c r="L3863" s="307"/>
      <c r="M3863" s="307"/>
      <c r="N3863" s="307"/>
      <c r="O3863" s="307"/>
      <c r="P3863" s="307"/>
    </row>
    <row r="3864" spans="1:16" ht="15.75" customHeight="1">
      <c r="A3864" s="441"/>
      <c r="B3864" s="307"/>
      <c r="C3864" s="317"/>
      <c r="G3864" s="290"/>
      <c r="H3864" s="438"/>
      <c r="I3864" s="439"/>
      <c r="J3864" s="440"/>
      <c r="K3864" s="307"/>
      <c r="L3864" s="307"/>
      <c r="M3864" s="307"/>
      <c r="N3864" s="307"/>
      <c r="O3864" s="307"/>
      <c r="P3864" s="307"/>
    </row>
    <row r="3865" spans="1:16" ht="15.75" customHeight="1">
      <c r="A3865" s="441"/>
      <c r="B3865" s="307"/>
      <c r="C3865" s="317"/>
      <c r="G3865" s="290"/>
      <c r="H3865" s="438"/>
      <c r="I3865" s="439"/>
      <c r="J3865" s="440"/>
      <c r="K3865" s="307"/>
      <c r="L3865" s="307"/>
      <c r="M3865" s="307"/>
      <c r="N3865" s="307"/>
      <c r="O3865" s="307"/>
      <c r="P3865" s="307"/>
    </row>
    <row r="3866" spans="1:16" ht="15.75" customHeight="1">
      <c r="A3866" s="441"/>
      <c r="B3866" s="307"/>
      <c r="C3866" s="317"/>
      <c r="G3866" s="290"/>
      <c r="H3866" s="438"/>
      <c r="I3866" s="439"/>
      <c r="J3866" s="440"/>
      <c r="K3866" s="307"/>
      <c r="L3866" s="307"/>
      <c r="M3866" s="307"/>
      <c r="N3866" s="307"/>
      <c r="O3866" s="307"/>
      <c r="P3866" s="307"/>
    </row>
    <row r="3867" spans="1:16" ht="15.75" customHeight="1">
      <c r="A3867" s="441"/>
      <c r="B3867" s="307"/>
      <c r="C3867" s="317"/>
      <c r="G3867" s="290"/>
      <c r="H3867" s="438"/>
      <c r="I3867" s="439"/>
      <c r="J3867" s="440"/>
      <c r="K3867" s="307"/>
      <c r="L3867" s="307"/>
      <c r="M3867" s="307"/>
      <c r="N3867" s="307"/>
      <c r="O3867" s="307"/>
      <c r="P3867" s="307"/>
    </row>
    <row r="3868" spans="1:16" ht="15.75" customHeight="1">
      <c r="A3868" s="441"/>
      <c r="B3868" s="307"/>
      <c r="C3868" s="317"/>
      <c r="G3868" s="290"/>
      <c r="H3868" s="438"/>
      <c r="I3868" s="439"/>
      <c r="J3868" s="440"/>
      <c r="K3868" s="307"/>
      <c r="L3868" s="307"/>
      <c r="M3868" s="307"/>
      <c r="N3868" s="307"/>
      <c r="O3868" s="307"/>
      <c r="P3868" s="307"/>
    </row>
    <row r="3869" spans="1:16" ht="15.75" customHeight="1">
      <c r="A3869" s="441"/>
      <c r="B3869" s="307"/>
      <c r="C3869" s="317"/>
      <c r="G3869" s="290"/>
      <c r="H3869" s="438"/>
      <c r="I3869" s="439"/>
      <c r="J3869" s="440"/>
      <c r="K3869" s="307"/>
      <c r="L3869" s="307"/>
      <c r="M3869" s="307"/>
      <c r="N3869" s="307"/>
      <c r="O3869" s="307"/>
      <c r="P3869" s="307"/>
    </row>
    <row r="3870" spans="1:16" ht="15.75" customHeight="1">
      <c r="A3870" s="441"/>
      <c r="B3870" s="307"/>
      <c r="C3870" s="317"/>
      <c r="G3870" s="290"/>
      <c r="H3870" s="438"/>
      <c r="I3870" s="439"/>
      <c r="J3870" s="440"/>
      <c r="K3870" s="307"/>
      <c r="L3870" s="307"/>
      <c r="M3870" s="307"/>
      <c r="N3870" s="307"/>
      <c r="O3870" s="307"/>
      <c r="P3870" s="307"/>
    </row>
    <row r="3871" spans="1:16" ht="15.75" customHeight="1">
      <c r="A3871" s="441"/>
      <c r="B3871" s="307"/>
      <c r="C3871" s="317"/>
      <c r="G3871" s="290"/>
      <c r="H3871" s="438"/>
      <c r="I3871" s="439"/>
      <c r="J3871" s="440"/>
      <c r="K3871" s="307"/>
      <c r="L3871" s="307"/>
      <c r="M3871" s="307"/>
      <c r="N3871" s="307"/>
      <c r="O3871" s="307"/>
      <c r="P3871" s="307"/>
    </row>
    <row r="3872" spans="1:16" ht="15.75" customHeight="1">
      <c r="A3872" s="441"/>
      <c r="B3872" s="307"/>
      <c r="C3872" s="317"/>
      <c r="G3872" s="290"/>
      <c r="H3872" s="438"/>
      <c r="I3872" s="439"/>
      <c r="J3872" s="440"/>
      <c r="K3872" s="307"/>
      <c r="L3872" s="307"/>
      <c r="M3872" s="307"/>
      <c r="N3872" s="307"/>
      <c r="O3872" s="307"/>
      <c r="P3872" s="307"/>
    </row>
    <row r="3873" spans="1:16" ht="15.75" customHeight="1">
      <c r="A3873" s="441"/>
      <c r="B3873" s="307"/>
      <c r="C3873" s="317"/>
      <c r="G3873" s="290"/>
      <c r="H3873" s="438"/>
      <c r="I3873" s="439"/>
      <c r="J3873" s="440"/>
      <c r="K3873" s="307"/>
      <c r="L3873" s="307"/>
      <c r="M3873" s="307"/>
      <c r="N3873" s="307"/>
      <c r="O3873" s="307"/>
      <c r="P3873" s="307"/>
    </row>
    <row r="3874" spans="1:16" ht="15.75" customHeight="1">
      <c r="A3874" s="441"/>
      <c r="B3874" s="307"/>
      <c r="C3874" s="317"/>
      <c r="H3874" s="438"/>
      <c r="I3874" s="439"/>
      <c r="J3874" s="440"/>
      <c r="K3874" s="307"/>
      <c r="L3874" s="307"/>
      <c r="M3874" s="307"/>
      <c r="N3874" s="307"/>
      <c r="O3874" s="307"/>
      <c r="P3874" s="307"/>
    </row>
    <row r="3875" spans="1:16" ht="15.75" customHeight="1">
      <c r="A3875" s="441"/>
      <c r="B3875" s="307"/>
      <c r="C3875" s="317"/>
      <c r="G3875" s="290"/>
      <c r="H3875" s="438"/>
      <c r="I3875" s="439"/>
      <c r="J3875" s="440"/>
      <c r="K3875" s="307"/>
      <c r="L3875" s="307"/>
      <c r="M3875" s="307"/>
      <c r="N3875" s="307"/>
      <c r="O3875" s="307"/>
      <c r="P3875" s="307"/>
    </row>
    <row r="3876" spans="1:16" ht="15.75" customHeight="1">
      <c r="A3876" s="441"/>
      <c r="B3876" s="307"/>
      <c r="C3876" s="317"/>
      <c r="G3876" s="290"/>
      <c r="H3876" s="438"/>
      <c r="I3876" s="439"/>
      <c r="J3876" s="440"/>
      <c r="K3876" s="307"/>
      <c r="L3876" s="307"/>
      <c r="M3876" s="307"/>
      <c r="N3876" s="307"/>
      <c r="O3876" s="307"/>
      <c r="P3876" s="307"/>
    </row>
    <row r="3877" spans="1:16" ht="15.75" customHeight="1">
      <c r="A3877" s="441"/>
      <c r="B3877" s="307"/>
      <c r="C3877" s="317"/>
      <c r="G3877" s="290"/>
      <c r="H3877" s="438"/>
      <c r="I3877" s="439"/>
      <c r="J3877" s="440"/>
      <c r="K3877" s="307"/>
      <c r="L3877" s="307"/>
      <c r="M3877" s="307"/>
      <c r="N3877" s="307"/>
      <c r="O3877" s="307"/>
      <c r="P3877" s="307"/>
    </row>
    <row r="3878" spans="1:16" ht="15.75" customHeight="1">
      <c r="A3878" s="441"/>
      <c r="B3878" s="307"/>
      <c r="C3878" s="317"/>
      <c r="G3878" s="290"/>
      <c r="H3878" s="438"/>
      <c r="I3878" s="439"/>
      <c r="J3878" s="440"/>
      <c r="K3878" s="307"/>
      <c r="L3878" s="307"/>
      <c r="M3878" s="307"/>
      <c r="N3878" s="307"/>
      <c r="O3878" s="307"/>
      <c r="P3878" s="307"/>
    </row>
    <row r="3879" spans="1:16" ht="15.75" customHeight="1">
      <c r="A3879" s="441"/>
      <c r="B3879" s="307"/>
      <c r="C3879" s="317"/>
      <c r="G3879" s="290"/>
      <c r="H3879" s="438"/>
      <c r="I3879" s="439"/>
      <c r="J3879" s="440"/>
      <c r="K3879" s="307"/>
      <c r="L3879" s="307"/>
      <c r="M3879" s="307"/>
      <c r="N3879" s="307"/>
      <c r="O3879" s="307"/>
      <c r="P3879" s="307"/>
    </row>
    <row r="3880" spans="1:16" ht="15.75" customHeight="1">
      <c r="A3880" s="441"/>
      <c r="B3880" s="307"/>
      <c r="C3880" s="317"/>
      <c r="G3880" s="290"/>
      <c r="H3880" s="438"/>
      <c r="I3880" s="439"/>
      <c r="J3880" s="440"/>
      <c r="K3880" s="307"/>
      <c r="L3880" s="307"/>
      <c r="M3880" s="307"/>
      <c r="N3880" s="307"/>
      <c r="O3880" s="307"/>
      <c r="P3880" s="307"/>
    </row>
    <row r="3881" spans="1:16" ht="15.75" customHeight="1">
      <c r="A3881" s="441"/>
      <c r="B3881" s="307"/>
      <c r="C3881" s="317"/>
      <c r="G3881" s="290"/>
      <c r="H3881" s="438"/>
      <c r="I3881" s="439"/>
      <c r="J3881" s="440"/>
      <c r="K3881" s="307"/>
      <c r="L3881" s="307"/>
      <c r="M3881" s="307"/>
      <c r="N3881" s="307"/>
      <c r="O3881" s="307"/>
      <c r="P3881" s="307"/>
    </row>
    <row r="3882" spans="1:16" ht="15.75" customHeight="1">
      <c r="A3882" s="441"/>
      <c r="B3882" s="307"/>
      <c r="C3882" s="317"/>
      <c r="G3882" s="290"/>
      <c r="H3882" s="438"/>
      <c r="I3882" s="439"/>
      <c r="J3882" s="440"/>
      <c r="K3882" s="307"/>
      <c r="L3882" s="307"/>
      <c r="M3882" s="307"/>
      <c r="N3882" s="307"/>
      <c r="O3882" s="307"/>
      <c r="P3882" s="307"/>
    </row>
    <row r="3883" spans="1:16" ht="15.75" customHeight="1">
      <c r="A3883" s="441"/>
      <c r="B3883" s="307"/>
      <c r="C3883" s="317"/>
      <c r="G3883" s="290"/>
      <c r="H3883" s="438"/>
      <c r="I3883" s="439"/>
      <c r="J3883" s="440"/>
      <c r="K3883" s="307"/>
      <c r="L3883" s="307"/>
      <c r="M3883" s="307"/>
      <c r="N3883" s="307"/>
      <c r="O3883" s="307"/>
      <c r="P3883" s="307"/>
    </row>
    <row r="3884" spans="1:16" ht="15.75" customHeight="1">
      <c r="A3884" s="441"/>
      <c r="B3884" s="307"/>
      <c r="C3884" s="317"/>
      <c r="G3884" s="290"/>
      <c r="H3884" s="438"/>
      <c r="I3884" s="439"/>
      <c r="J3884" s="440"/>
      <c r="K3884" s="307"/>
      <c r="L3884" s="307"/>
      <c r="M3884" s="307"/>
      <c r="N3884" s="307"/>
      <c r="O3884" s="307"/>
      <c r="P3884" s="307"/>
    </row>
    <row r="3885" spans="1:16" ht="15.75" customHeight="1">
      <c r="A3885" s="441"/>
      <c r="B3885" s="307"/>
      <c r="C3885" s="317"/>
      <c r="G3885" s="290"/>
      <c r="H3885" s="438"/>
      <c r="I3885" s="439"/>
      <c r="J3885" s="440"/>
      <c r="K3885" s="307"/>
      <c r="L3885" s="307"/>
      <c r="M3885" s="307"/>
      <c r="N3885" s="307"/>
      <c r="O3885" s="307"/>
      <c r="P3885" s="307"/>
    </row>
    <row r="3886" spans="1:16" ht="15.75" customHeight="1">
      <c r="A3886" s="441"/>
      <c r="B3886" s="307"/>
      <c r="C3886" s="317"/>
      <c r="G3886" s="290"/>
      <c r="H3886" s="438"/>
      <c r="I3886" s="439"/>
      <c r="J3886" s="440"/>
      <c r="K3886" s="307"/>
      <c r="L3886" s="307"/>
      <c r="M3886" s="307"/>
      <c r="N3886" s="307"/>
      <c r="O3886" s="307"/>
      <c r="P3886" s="307"/>
    </row>
    <row r="3887" spans="1:16" ht="15.75" customHeight="1">
      <c r="A3887" s="441"/>
      <c r="B3887" s="307"/>
      <c r="C3887" s="317"/>
      <c r="G3887" s="290"/>
      <c r="H3887" s="438"/>
      <c r="I3887" s="439"/>
      <c r="J3887" s="440"/>
      <c r="K3887" s="307"/>
      <c r="L3887" s="307"/>
      <c r="M3887" s="307"/>
      <c r="N3887" s="307"/>
      <c r="O3887" s="307"/>
      <c r="P3887" s="307"/>
    </row>
    <row r="3888" spans="1:16" ht="15.75" customHeight="1">
      <c r="A3888" s="441"/>
      <c r="B3888" s="307"/>
      <c r="C3888" s="317"/>
      <c r="G3888" s="290"/>
      <c r="H3888" s="438"/>
      <c r="I3888" s="439"/>
      <c r="J3888" s="440"/>
      <c r="K3888" s="307"/>
      <c r="L3888" s="307"/>
      <c r="M3888" s="307"/>
      <c r="N3888" s="307"/>
      <c r="O3888" s="307"/>
      <c r="P3888" s="307"/>
    </row>
    <row r="3889" spans="1:16" ht="15.75" customHeight="1">
      <c r="A3889" s="441"/>
      <c r="B3889" s="307"/>
      <c r="C3889" s="317"/>
      <c r="G3889" s="290"/>
      <c r="H3889" s="438"/>
      <c r="I3889" s="439"/>
      <c r="J3889" s="440"/>
      <c r="K3889" s="307"/>
      <c r="L3889" s="307"/>
      <c r="M3889" s="307"/>
      <c r="N3889" s="307"/>
      <c r="O3889" s="307"/>
      <c r="P3889" s="307"/>
    </row>
    <row r="3890" spans="1:16" ht="15.75" customHeight="1">
      <c r="A3890" s="441"/>
      <c r="B3890" s="307"/>
      <c r="C3890" s="317"/>
      <c r="G3890" s="290"/>
      <c r="H3890" s="438"/>
      <c r="I3890" s="439"/>
      <c r="J3890" s="440"/>
      <c r="K3890" s="307"/>
      <c r="L3890" s="307"/>
      <c r="M3890" s="307"/>
      <c r="N3890" s="307"/>
      <c r="O3890" s="307"/>
      <c r="P3890" s="307"/>
    </row>
    <row r="3891" spans="1:16" ht="15.75" customHeight="1">
      <c r="A3891" s="441"/>
      <c r="B3891" s="307"/>
      <c r="C3891" s="317"/>
      <c r="G3891" s="290"/>
      <c r="H3891" s="438"/>
      <c r="I3891" s="439"/>
      <c r="J3891" s="440"/>
      <c r="K3891" s="307"/>
      <c r="L3891" s="307"/>
      <c r="M3891" s="307"/>
      <c r="N3891" s="307"/>
      <c r="O3891" s="307"/>
      <c r="P3891" s="307"/>
    </row>
    <row r="3892" spans="1:16" ht="15.75" customHeight="1">
      <c r="A3892" s="441"/>
      <c r="B3892" s="307"/>
      <c r="C3892" s="317"/>
      <c r="G3892" s="290"/>
      <c r="H3892" s="438"/>
      <c r="I3892" s="439"/>
      <c r="J3892" s="440"/>
      <c r="K3892" s="307"/>
      <c r="L3892" s="307"/>
      <c r="M3892" s="307"/>
      <c r="N3892" s="307"/>
      <c r="O3892" s="307"/>
      <c r="P3892" s="307"/>
    </row>
    <row r="3893" spans="1:16" ht="15.75" customHeight="1">
      <c r="A3893" s="441"/>
      <c r="B3893" s="307"/>
      <c r="C3893" s="317"/>
      <c r="G3893" s="290"/>
      <c r="H3893" s="438"/>
      <c r="I3893" s="439"/>
      <c r="J3893" s="440"/>
      <c r="K3893" s="307"/>
      <c r="L3893" s="307"/>
      <c r="M3893" s="307"/>
      <c r="N3893" s="307"/>
      <c r="O3893" s="307"/>
      <c r="P3893" s="307"/>
    </row>
    <row r="3894" spans="1:16" ht="15.75" customHeight="1">
      <c r="A3894" s="441"/>
      <c r="B3894" s="307"/>
      <c r="C3894" s="317"/>
      <c r="G3894" s="290"/>
      <c r="H3894" s="438"/>
      <c r="I3894" s="439"/>
      <c r="J3894" s="440"/>
      <c r="K3894" s="307"/>
      <c r="L3894" s="307"/>
      <c r="M3894" s="307"/>
      <c r="N3894" s="307"/>
      <c r="O3894" s="307"/>
      <c r="P3894" s="307"/>
    </row>
    <row r="3895" spans="1:16" ht="15.75" customHeight="1">
      <c r="A3895" s="441"/>
      <c r="B3895" s="307"/>
      <c r="C3895" s="317"/>
      <c r="G3895" s="290"/>
      <c r="H3895" s="438"/>
      <c r="I3895" s="439"/>
      <c r="J3895" s="440"/>
      <c r="K3895" s="307"/>
      <c r="L3895" s="307"/>
      <c r="M3895" s="307"/>
      <c r="N3895" s="307"/>
      <c r="O3895" s="307"/>
      <c r="P3895" s="307"/>
    </row>
    <row r="3896" spans="1:16" ht="15.75" customHeight="1">
      <c r="A3896" s="441"/>
      <c r="B3896" s="307"/>
      <c r="C3896" s="317"/>
      <c r="G3896" s="290"/>
      <c r="H3896" s="438"/>
      <c r="I3896" s="439"/>
      <c r="J3896" s="440"/>
      <c r="K3896" s="307"/>
      <c r="L3896" s="307"/>
      <c r="M3896" s="307"/>
      <c r="P3896" s="307"/>
    </row>
    <row r="3897" spans="1:16" ht="15.75" customHeight="1">
      <c r="A3897" s="441"/>
      <c r="B3897" s="307"/>
      <c r="C3897" s="317"/>
      <c r="G3897" s="290"/>
      <c r="H3897" s="438"/>
      <c r="I3897" s="439"/>
      <c r="J3897" s="440"/>
      <c r="L3897" s="307"/>
      <c r="M3897" s="307"/>
      <c r="P3897" s="307"/>
    </row>
    <row r="3898" spans="1:16" ht="15.75" customHeight="1">
      <c r="A3898" s="441"/>
      <c r="B3898" s="307"/>
      <c r="C3898" s="317"/>
      <c r="H3898" s="438"/>
      <c r="I3898" s="439"/>
      <c r="J3898" s="440"/>
      <c r="P3898" s="307"/>
    </row>
    <row r="3899" spans="1:16" ht="15.75" customHeight="1">
      <c r="A3899" s="441"/>
      <c r="B3899" s="307"/>
      <c r="C3899" s="317"/>
      <c r="H3899" s="438"/>
      <c r="I3899" s="439"/>
      <c r="J3899" s="440"/>
      <c r="P3899" s="307"/>
    </row>
    <row r="3900" spans="1:16" ht="15.75" customHeight="1">
      <c r="A3900" s="441"/>
      <c r="H3900" s="438"/>
      <c r="I3900" s="439"/>
      <c r="J3900" s="440"/>
      <c r="P3900" s="307"/>
    </row>
    <row r="3901" spans="1:16" ht="15.75" customHeight="1">
      <c r="A3901" s="441"/>
      <c r="H3901" s="438"/>
      <c r="I3901" s="439"/>
      <c r="J3901" s="440"/>
      <c r="P3901" s="307"/>
    </row>
    <row r="3902" spans="1:16" ht="15.75" customHeight="1">
      <c r="A3902" s="441"/>
      <c r="H3902" s="438"/>
      <c r="I3902" s="439"/>
      <c r="J3902" s="440"/>
      <c r="P3902" s="307"/>
    </row>
    <row r="3903" spans="1:16" ht="15.75" customHeight="1">
      <c r="A3903" s="441"/>
      <c r="H3903" s="438"/>
      <c r="I3903" s="439"/>
      <c r="J3903" s="440"/>
      <c r="P3903" s="307"/>
    </row>
    <row r="3904" spans="1:16" ht="15.75" customHeight="1">
      <c r="A3904" s="441"/>
      <c r="H3904" s="438"/>
      <c r="I3904" s="439"/>
      <c r="J3904" s="440"/>
      <c r="P3904" s="307"/>
    </row>
    <row r="3905" spans="1:16" ht="15.75" customHeight="1">
      <c r="A3905" s="441"/>
      <c r="H3905" s="438"/>
      <c r="I3905" s="439"/>
      <c r="J3905" s="440"/>
      <c r="P3905" s="307"/>
    </row>
    <row r="3906" spans="1:16" ht="15.75" customHeight="1">
      <c r="A3906" s="441"/>
      <c r="H3906" s="438"/>
      <c r="I3906" s="439"/>
      <c r="J3906" s="440"/>
      <c r="P3906" s="307"/>
    </row>
    <row r="3907" spans="1:16" ht="15.75" customHeight="1">
      <c r="A3907" s="441"/>
      <c r="H3907" s="438"/>
      <c r="I3907" s="439"/>
      <c r="J3907" s="440"/>
      <c r="P3907" s="307"/>
    </row>
    <row r="3908" spans="1:16" ht="15.75" customHeight="1">
      <c r="A3908" s="441"/>
      <c r="H3908" s="438"/>
      <c r="I3908" s="439"/>
      <c r="J3908" s="440"/>
      <c r="P3908" s="307"/>
    </row>
    <row r="3909" spans="1:16" ht="15.75" customHeight="1">
      <c r="A3909" s="441"/>
      <c r="H3909" s="438"/>
      <c r="I3909" s="439"/>
      <c r="J3909" s="440"/>
    </row>
    <row r="3910" spans="1:16" ht="15.75" customHeight="1">
      <c r="A3910" s="441"/>
      <c r="H3910" s="438"/>
      <c r="I3910" s="439"/>
      <c r="J3910" s="440"/>
    </row>
    <row r="3911" spans="1:16" ht="15.75" customHeight="1">
      <c r="A3911" s="441"/>
      <c r="H3911" s="438"/>
      <c r="I3911" s="439"/>
      <c r="J3911" s="440"/>
    </row>
    <row r="3912" spans="1:16" ht="15.75" customHeight="1">
      <c r="A3912" s="441"/>
      <c r="H3912" s="438"/>
      <c r="I3912" s="439"/>
      <c r="J3912" s="440"/>
    </row>
    <row r="3913" spans="1:16" ht="15.75" customHeight="1">
      <c r="H3913" s="438"/>
      <c r="I3913" s="439"/>
      <c r="J3913" s="440"/>
    </row>
    <row r="3914" spans="1:16" ht="15.75" customHeight="1">
      <c r="H3914" s="438"/>
      <c r="I3914" s="439"/>
      <c r="J3914" s="440"/>
    </row>
    <row r="3915" spans="1:16" ht="15.75" customHeight="1">
      <c r="H3915" s="438"/>
      <c r="I3915" s="439"/>
      <c r="J3915" s="440"/>
    </row>
    <row r="3916" spans="1:16" ht="15.75" customHeight="1">
      <c r="H3916" s="438"/>
      <c r="I3916" s="439"/>
      <c r="J3916" s="440"/>
    </row>
    <row r="3917" spans="1:16" ht="15.75" customHeight="1">
      <c r="H3917" s="438"/>
      <c r="I3917" s="439"/>
      <c r="J3917" s="440"/>
    </row>
    <row r="3918" spans="1:16" ht="15.75" customHeight="1">
      <c r="H3918" s="438"/>
      <c r="I3918" s="439"/>
      <c r="J3918" s="440"/>
    </row>
    <row r="3919" spans="1:16" ht="15.75" customHeight="1">
      <c r="H3919" s="438"/>
      <c r="I3919" s="439"/>
      <c r="J3919" s="440"/>
    </row>
    <row r="3920" spans="1:16" ht="15.75" customHeight="1">
      <c r="H3920" s="438"/>
      <c r="I3920" s="439"/>
      <c r="J3920" s="440"/>
    </row>
    <row r="3921" spans="8:10" ht="15.75" customHeight="1">
      <c r="H3921" s="438"/>
      <c r="I3921" s="439"/>
      <c r="J3921" s="440"/>
    </row>
    <row r="3922" spans="8:10" ht="15.75" customHeight="1">
      <c r="H3922" s="438"/>
      <c r="I3922" s="439"/>
      <c r="J3922" s="440"/>
    </row>
    <row r="3923" spans="8:10" ht="15.75" customHeight="1">
      <c r="H3923" s="438"/>
      <c r="I3923" s="439"/>
      <c r="J3923" s="440"/>
    </row>
    <row r="3924" spans="8:10" ht="15.75" customHeight="1">
      <c r="H3924" s="438"/>
      <c r="I3924" s="439"/>
      <c r="J3924" s="440"/>
    </row>
    <row r="3925" spans="8:10" ht="15.75" customHeight="1">
      <c r="H3925" s="438"/>
      <c r="I3925" s="439"/>
      <c r="J3925" s="440"/>
    </row>
    <row r="3926" spans="8:10" ht="15.75" customHeight="1">
      <c r="H3926" s="438"/>
      <c r="I3926" s="439"/>
      <c r="J3926" s="440"/>
    </row>
    <row r="3927" spans="8:10" ht="15.75" customHeight="1">
      <c r="H3927" s="438"/>
      <c r="I3927" s="439"/>
      <c r="J3927" s="440"/>
    </row>
    <row r="3928" spans="8:10" ht="15.75" customHeight="1">
      <c r="H3928" s="438"/>
      <c r="I3928" s="439"/>
      <c r="J3928" s="440"/>
    </row>
    <row r="3929" spans="8:10" ht="15.75" customHeight="1">
      <c r="H3929" s="438"/>
      <c r="I3929" s="439"/>
      <c r="J3929" s="440"/>
    </row>
    <row r="3930" spans="8:10" ht="15.75" customHeight="1">
      <c r="H3930" s="438"/>
      <c r="I3930" s="439"/>
      <c r="J3930" s="440"/>
    </row>
    <row r="3931" spans="8:10" ht="15.75" customHeight="1">
      <c r="H3931" s="438"/>
      <c r="I3931" s="439"/>
      <c r="J3931" s="440"/>
    </row>
    <row r="3932" spans="8:10" ht="15.75" customHeight="1">
      <c r="H3932" s="438"/>
      <c r="I3932" s="439"/>
      <c r="J3932" s="440"/>
    </row>
    <row r="3933" spans="8:10" ht="15.75" customHeight="1">
      <c r="H3933" s="438"/>
      <c r="I3933" s="439"/>
      <c r="J3933" s="440"/>
    </row>
    <row r="3934" spans="8:10" ht="15.75" customHeight="1">
      <c r="H3934" s="438"/>
      <c r="I3934" s="439"/>
      <c r="J3934" s="440"/>
    </row>
    <row r="3935" spans="8:10" ht="15.75" customHeight="1">
      <c r="H3935" s="438"/>
      <c r="I3935" s="439"/>
      <c r="J3935" s="440"/>
    </row>
    <row r="3936" spans="8:10" ht="15.75" customHeight="1">
      <c r="H3936" s="438"/>
      <c r="I3936" s="439"/>
      <c r="J3936" s="440"/>
    </row>
    <row r="3937" spans="8:10" ht="15.75" customHeight="1">
      <c r="H3937" s="438"/>
      <c r="I3937" s="439"/>
      <c r="J3937" s="440"/>
    </row>
    <row r="3938" spans="8:10" ht="15.75" customHeight="1">
      <c r="H3938" s="438"/>
      <c r="I3938" s="439"/>
      <c r="J3938" s="440"/>
    </row>
    <row r="3939" spans="8:10" ht="15.75" customHeight="1">
      <c r="H3939" s="438"/>
      <c r="I3939" s="439"/>
      <c r="J3939" s="440"/>
    </row>
    <row r="3940" spans="8:10" ht="15.75" customHeight="1">
      <c r="H3940" s="438"/>
      <c r="I3940" s="439"/>
      <c r="J3940" s="440"/>
    </row>
    <row r="3941" spans="8:10" ht="15.75" customHeight="1">
      <c r="H3941" s="438"/>
      <c r="I3941" s="439"/>
      <c r="J3941" s="440"/>
    </row>
    <row r="3942" spans="8:10" ht="15.75" customHeight="1">
      <c r="H3942" s="438"/>
      <c r="I3942" s="439"/>
      <c r="J3942" s="440"/>
    </row>
    <row r="3943" spans="8:10" ht="15.75" customHeight="1">
      <c r="H3943" s="438"/>
      <c r="I3943" s="439"/>
      <c r="J3943" s="440"/>
    </row>
    <row r="3944" spans="8:10" ht="15.75" customHeight="1">
      <c r="H3944" s="438"/>
      <c r="I3944" s="439"/>
      <c r="J3944" s="440"/>
    </row>
    <row r="3945" spans="8:10" ht="15.75" customHeight="1">
      <c r="H3945" s="438"/>
      <c r="I3945" s="439"/>
      <c r="J3945" s="440"/>
    </row>
    <row r="3946" spans="8:10" ht="15.75" customHeight="1">
      <c r="H3946" s="438"/>
      <c r="I3946" s="439"/>
      <c r="J3946" s="440"/>
    </row>
    <row r="3947" spans="8:10" ht="15.75" customHeight="1">
      <c r="H3947" s="438"/>
      <c r="I3947" s="439"/>
      <c r="J3947" s="440"/>
    </row>
    <row r="3948" spans="8:10" ht="15.75" customHeight="1">
      <c r="H3948" s="438"/>
      <c r="I3948" s="439"/>
      <c r="J3948" s="440"/>
    </row>
    <row r="3949" spans="8:10" ht="15.75" customHeight="1">
      <c r="H3949" s="438"/>
      <c r="I3949" s="439"/>
      <c r="J3949" s="440"/>
    </row>
    <row r="3950" spans="8:10" ht="15.75" customHeight="1">
      <c r="H3950" s="438"/>
      <c r="I3950" s="439"/>
      <c r="J3950" s="440"/>
    </row>
    <row r="3951" spans="8:10" ht="15.75" customHeight="1">
      <c r="H3951" s="438"/>
      <c r="I3951" s="439"/>
      <c r="J3951" s="440"/>
    </row>
    <row r="3952" spans="8:10" ht="15.75" customHeight="1">
      <c r="H3952" s="438"/>
      <c r="I3952" s="439"/>
      <c r="J3952" s="440"/>
    </row>
    <row r="3953" spans="8:10" ht="15.75" customHeight="1">
      <c r="H3953" s="438"/>
      <c r="I3953" s="439"/>
      <c r="J3953" s="440"/>
    </row>
    <row r="3954" spans="8:10" ht="15.75" customHeight="1">
      <c r="H3954" s="438"/>
      <c r="I3954" s="439"/>
      <c r="J3954" s="440"/>
    </row>
    <row r="3955" spans="8:10" ht="15.75" customHeight="1">
      <c r="H3955" s="438"/>
      <c r="I3955" s="439"/>
      <c r="J3955" s="440"/>
    </row>
    <row r="3956" spans="8:10" ht="15.75" customHeight="1">
      <c r="H3956" s="438"/>
      <c r="I3956" s="439"/>
      <c r="J3956" s="440"/>
    </row>
    <row r="3957" spans="8:10" ht="15.75" customHeight="1">
      <c r="H3957" s="438"/>
      <c r="I3957" s="439"/>
      <c r="J3957" s="440"/>
    </row>
    <row r="3958" spans="8:10" ht="15.75" customHeight="1">
      <c r="H3958" s="438"/>
      <c r="I3958" s="439"/>
      <c r="J3958" s="440"/>
    </row>
    <row r="3959" spans="8:10" ht="15.75" customHeight="1">
      <c r="H3959" s="438"/>
      <c r="I3959" s="439"/>
      <c r="J3959" s="440"/>
    </row>
    <row r="3960" spans="8:10" ht="15.75" customHeight="1">
      <c r="H3960" s="438"/>
      <c r="I3960" s="439"/>
      <c r="J3960" s="440"/>
    </row>
    <row r="3961" spans="8:10" ht="15.75" customHeight="1">
      <c r="H3961" s="438"/>
      <c r="I3961" s="439"/>
      <c r="J3961" s="440"/>
    </row>
    <row r="3962" spans="8:10" ht="15.75" customHeight="1">
      <c r="H3962" s="438"/>
      <c r="I3962" s="439"/>
      <c r="J3962" s="440"/>
    </row>
    <row r="3963" spans="8:10" ht="15.75" customHeight="1">
      <c r="H3963" s="438"/>
      <c r="I3963" s="439"/>
      <c r="J3963" s="440"/>
    </row>
    <row r="3964" spans="8:10" ht="15.75" customHeight="1">
      <c r="H3964" s="438"/>
      <c r="I3964" s="439"/>
      <c r="J3964" s="440"/>
    </row>
    <row r="3965" spans="8:10" ht="15.75" customHeight="1">
      <c r="H3965" s="438"/>
      <c r="I3965" s="439"/>
      <c r="J3965" s="440"/>
    </row>
    <row r="3966" spans="8:10" ht="15.75" customHeight="1">
      <c r="H3966" s="438"/>
      <c r="I3966" s="439"/>
      <c r="J3966" s="440"/>
    </row>
    <row r="3967" spans="8:10" ht="15.75" customHeight="1">
      <c r="H3967" s="438"/>
      <c r="I3967" s="439"/>
      <c r="J3967" s="440"/>
    </row>
    <row r="3968" spans="8:10" ht="15.75" customHeight="1">
      <c r="H3968" s="438"/>
      <c r="I3968" s="439"/>
      <c r="J3968" s="440"/>
    </row>
    <row r="3969" spans="8:10" ht="15.75" customHeight="1">
      <c r="H3969" s="438"/>
      <c r="I3969" s="439"/>
      <c r="J3969" s="440"/>
    </row>
    <row r="3970" spans="8:10" ht="15.75" customHeight="1">
      <c r="H3970" s="438"/>
      <c r="I3970" s="439"/>
      <c r="J3970" s="440"/>
    </row>
    <row r="3971" spans="8:10" ht="15.75" customHeight="1">
      <c r="H3971" s="438"/>
      <c r="I3971" s="439"/>
      <c r="J3971" s="440"/>
    </row>
    <row r="3972" spans="8:10" ht="15.75" customHeight="1">
      <c r="H3972" s="438"/>
      <c r="I3972" s="439"/>
      <c r="J3972" s="440"/>
    </row>
    <row r="3973" spans="8:10" ht="15.75" customHeight="1">
      <c r="H3973" s="438"/>
      <c r="I3973" s="439"/>
      <c r="J3973" s="440"/>
    </row>
    <row r="3974" spans="8:10" ht="15.75" customHeight="1">
      <c r="H3974" s="438"/>
      <c r="I3974" s="439"/>
      <c r="J3974" s="440"/>
    </row>
    <row r="3975" spans="8:10" ht="15.75" customHeight="1">
      <c r="H3975" s="438"/>
      <c r="I3975" s="439"/>
      <c r="J3975" s="440"/>
    </row>
    <row r="3976" spans="8:10" ht="15.75" customHeight="1">
      <c r="H3976" s="438"/>
      <c r="I3976" s="439"/>
      <c r="J3976" s="440"/>
    </row>
    <row r="3977" spans="8:10" ht="15.75" customHeight="1">
      <c r="H3977" s="438"/>
      <c r="I3977" s="439"/>
      <c r="J3977" s="440"/>
    </row>
    <row r="3978" spans="8:10" ht="15.75" customHeight="1">
      <c r="H3978" s="438"/>
      <c r="I3978" s="439"/>
      <c r="J3978" s="440"/>
    </row>
    <row r="3979" spans="8:10" ht="15.75" customHeight="1">
      <c r="H3979" s="438"/>
      <c r="I3979" s="439"/>
      <c r="J3979" s="440"/>
    </row>
    <row r="3980" spans="8:10" ht="15.75" customHeight="1">
      <c r="H3980" s="438"/>
      <c r="I3980" s="439"/>
      <c r="J3980" s="440"/>
    </row>
    <row r="3981" spans="8:10" ht="15.75" customHeight="1">
      <c r="H3981" s="438"/>
      <c r="I3981" s="439"/>
      <c r="J3981" s="440"/>
    </row>
    <row r="3982" spans="8:10" ht="15.75" customHeight="1">
      <c r="H3982" s="438"/>
      <c r="I3982" s="439"/>
      <c r="J3982" s="440"/>
    </row>
    <row r="3983" spans="8:10" ht="15.75" customHeight="1">
      <c r="H3983" s="438"/>
      <c r="I3983" s="439"/>
      <c r="J3983" s="440"/>
    </row>
    <row r="3984" spans="8:10" ht="15.75" customHeight="1">
      <c r="H3984" s="438"/>
      <c r="I3984" s="439"/>
      <c r="J3984" s="440"/>
    </row>
    <row r="3985" spans="8:10" ht="15.75" customHeight="1">
      <c r="H3985" s="438"/>
      <c r="I3985" s="439"/>
      <c r="J3985" s="440"/>
    </row>
    <row r="3986" spans="8:10" ht="15.75" customHeight="1">
      <c r="H3986" s="438"/>
      <c r="I3986" s="439"/>
      <c r="J3986" s="440"/>
    </row>
    <row r="3987" spans="8:10" ht="15.75" customHeight="1">
      <c r="H3987" s="438"/>
      <c r="I3987" s="439"/>
      <c r="J3987" s="440"/>
    </row>
    <row r="3988" spans="8:10" ht="15.75" customHeight="1">
      <c r="H3988" s="438"/>
      <c r="I3988" s="439"/>
      <c r="J3988" s="440"/>
    </row>
    <row r="3989" spans="8:10" ht="15.75" customHeight="1">
      <c r="H3989" s="438"/>
      <c r="I3989" s="439"/>
      <c r="J3989" s="440"/>
    </row>
    <row r="3990" spans="8:10" ht="15.75" customHeight="1">
      <c r="H3990" s="438"/>
      <c r="I3990" s="439"/>
      <c r="J3990" s="440"/>
    </row>
    <row r="3991" spans="8:10" ht="15.75" customHeight="1">
      <c r="H3991" s="438"/>
      <c r="I3991" s="439"/>
      <c r="J3991" s="440"/>
    </row>
    <row r="3992" spans="8:10" ht="15.75" customHeight="1">
      <c r="H3992" s="438"/>
      <c r="I3992" s="439"/>
      <c r="J3992" s="440"/>
    </row>
    <row r="3993" spans="8:10" ht="15.75" customHeight="1">
      <c r="H3993" s="438"/>
      <c r="I3993" s="439"/>
      <c r="J3993" s="440"/>
    </row>
    <row r="3994" spans="8:10" ht="15.75" customHeight="1">
      <c r="H3994" s="438"/>
      <c r="I3994" s="439"/>
      <c r="J3994" s="440"/>
    </row>
    <row r="3995" spans="8:10" ht="15.75" customHeight="1">
      <c r="H3995" s="438"/>
      <c r="I3995" s="439"/>
      <c r="J3995" s="440"/>
    </row>
    <row r="3996" spans="8:10" ht="15.75" customHeight="1">
      <c r="H3996" s="438"/>
      <c r="I3996" s="439"/>
      <c r="J3996" s="440"/>
    </row>
    <row r="3997" spans="8:10" ht="15.75" customHeight="1">
      <c r="H3997" s="438"/>
      <c r="I3997" s="439"/>
      <c r="J3997" s="440"/>
    </row>
    <row r="3998" spans="8:10" ht="15.75" customHeight="1">
      <c r="H3998" s="438"/>
      <c r="I3998" s="439"/>
      <c r="J3998" s="440"/>
    </row>
    <row r="3999" spans="8:10" ht="15.75" customHeight="1">
      <c r="H3999" s="438"/>
      <c r="I3999" s="439"/>
      <c r="J3999" s="440"/>
    </row>
    <row r="4000" spans="8:10" ht="15.75" customHeight="1">
      <c r="H4000" s="438"/>
      <c r="I4000" s="439"/>
      <c r="J4000" s="440"/>
    </row>
    <row r="4001" spans="8:10" ht="15.75" customHeight="1">
      <c r="H4001" s="438"/>
      <c r="I4001" s="439"/>
      <c r="J4001" s="440"/>
    </row>
    <row r="4002" spans="8:10" ht="15.75" customHeight="1">
      <c r="H4002" s="438"/>
      <c r="I4002" s="439"/>
      <c r="J4002" s="440"/>
    </row>
    <row r="4003" spans="8:10" ht="15.75" customHeight="1">
      <c r="H4003" s="438"/>
      <c r="I4003" s="439"/>
      <c r="J4003" s="440"/>
    </row>
    <row r="4004" spans="8:10" ht="15.75" customHeight="1">
      <c r="H4004" s="438"/>
      <c r="I4004" s="439"/>
      <c r="J4004" s="440"/>
    </row>
    <row r="4005" spans="8:10" ht="15.75" customHeight="1">
      <c r="H4005" s="438"/>
      <c r="I4005" s="439"/>
      <c r="J4005" s="440"/>
    </row>
    <row r="4006" spans="8:10" ht="15.75" customHeight="1">
      <c r="H4006" s="438"/>
      <c r="I4006" s="439"/>
      <c r="J4006" s="440"/>
    </row>
    <row r="4007" spans="8:10" ht="15.75" customHeight="1">
      <c r="H4007" s="438"/>
      <c r="I4007" s="439"/>
      <c r="J4007" s="440"/>
    </row>
    <row r="4008" spans="8:10" ht="15.75" customHeight="1">
      <c r="H4008" s="438"/>
      <c r="I4008" s="439"/>
      <c r="J4008" s="440"/>
    </row>
    <row r="4009" spans="8:10" ht="15.75" customHeight="1">
      <c r="H4009" s="438"/>
      <c r="I4009" s="439"/>
      <c r="J4009" s="440"/>
    </row>
    <row r="4010" spans="8:10" ht="15.75" customHeight="1">
      <c r="H4010" s="438"/>
      <c r="I4010" s="439"/>
      <c r="J4010" s="440"/>
    </row>
    <row r="4011" spans="8:10" ht="15.75" customHeight="1">
      <c r="H4011" s="438"/>
      <c r="I4011" s="439"/>
      <c r="J4011" s="440"/>
    </row>
    <row r="4012" spans="8:10" ht="15.75" customHeight="1">
      <c r="H4012" s="438"/>
      <c r="I4012" s="439"/>
      <c r="J4012" s="440"/>
    </row>
    <row r="4013" spans="8:10" ht="15.75" customHeight="1">
      <c r="H4013" s="438"/>
      <c r="I4013" s="439"/>
      <c r="J4013" s="440"/>
    </row>
    <row r="4014" spans="8:10" ht="15.75" customHeight="1">
      <c r="H4014" s="438"/>
      <c r="I4014" s="439"/>
      <c r="J4014" s="440"/>
    </row>
    <row r="4015" spans="8:10" ht="15.75" customHeight="1">
      <c r="H4015" s="438"/>
      <c r="I4015" s="439"/>
      <c r="J4015" s="440"/>
    </row>
    <row r="4016" spans="8:10" ht="15.75" customHeight="1">
      <c r="H4016" s="438"/>
      <c r="I4016" s="439"/>
      <c r="J4016" s="440"/>
    </row>
    <row r="4017" spans="8:10" ht="15.75" customHeight="1">
      <c r="H4017" s="438"/>
      <c r="I4017" s="439"/>
      <c r="J4017" s="440"/>
    </row>
    <row r="4018" spans="8:10" ht="15.75" customHeight="1">
      <c r="H4018" s="438"/>
      <c r="I4018" s="439"/>
      <c r="J4018" s="440"/>
    </row>
    <row r="4019" spans="8:10" ht="15.75" customHeight="1">
      <c r="H4019" s="438"/>
      <c r="I4019" s="439"/>
      <c r="J4019" s="440"/>
    </row>
    <row r="4020" spans="8:10" ht="15.75" customHeight="1">
      <c r="H4020" s="438"/>
      <c r="I4020" s="439"/>
      <c r="J4020" s="440"/>
    </row>
    <row r="4021" spans="8:10" ht="15.75" customHeight="1">
      <c r="H4021" s="438"/>
      <c r="I4021" s="439"/>
      <c r="J4021" s="440"/>
    </row>
    <row r="4022" spans="8:10" ht="15.75" customHeight="1">
      <c r="H4022" s="438"/>
      <c r="I4022" s="439"/>
      <c r="J4022" s="440"/>
    </row>
    <row r="4023" spans="8:10" ht="15.75" customHeight="1">
      <c r="H4023" s="438"/>
      <c r="I4023" s="439"/>
      <c r="J4023" s="440"/>
    </row>
    <row r="4024" spans="8:10" ht="15.75" customHeight="1">
      <c r="H4024" s="438"/>
      <c r="I4024" s="439"/>
      <c r="J4024" s="440"/>
    </row>
    <row r="4025" spans="8:10" ht="15.75" customHeight="1">
      <c r="H4025" s="438"/>
      <c r="I4025" s="439"/>
      <c r="J4025" s="440"/>
    </row>
    <row r="4026" spans="8:10" ht="15.75" customHeight="1">
      <c r="H4026" s="438"/>
      <c r="I4026" s="439"/>
      <c r="J4026" s="440"/>
    </row>
    <row r="4027" spans="8:10" ht="15.75" customHeight="1">
      <c r="H4027" s="438"/>
      <c r="I4027" s="439"/>
      <c r="J4027" s="440"/>
    </row>
    <row r="4028" spans="8:10" ht="15.75" customHeight="1">
      <c r="H4028" s="438"/>
      <c r="I4028" s="439"/>
      <c r="J4028" s="440"/>
    </row>
    <row r="4029" spans="8:10" ht="15.75" customHeight="1">
      <c r="H4029" s="438"/>
      <c r="I4029" s="439"/>
      <c r="J4029" s="440"/>
    </row>
    <row r="4030" spans="8:10" ht="15.75" customHeight="1">
      <c r="H4030" s="438"/>
      <c r="I4030" s="439"/>
      <c r="J4030" s="440"/>
    </row>
    <row r="4031" spans="8:10" ht="15.75" customHeight="1">
      <c r="H4031" s="438"/>
      <c r="I4031" s="439"/>
      <c r="J4031" s="440"/>
    </row>
    <row r="4032" spans="8:10" ht="15.75" customHeight="1">
      <c r="H4032" s="438"/>
      <c r="I4032" s="439"/>
      <c r="J4032" s="440"/>
    </row>
    <row r="4033" spans="8:10" ht="15.75" customHeight="1">
      <c r="H4033" s="438"/>
      <c r="I4033" s="439"/>
      <c r="J4033" s="440"/>
    </row>
    <row r="4034" spans="8:10" ht="15.75" customHeight="1">
      <c r="H4034" s="438"/>
      <c r="I4034" s="439"/>
      <c r="J4034" s="440"/>
    </row>
    <row r="4035" spans="8:10" ht="15.75" customHeight="1">
      <c r="H4035" s="438"/>
      <c r="I4035" s="439"/>
      <c r="J4035" s="440"/>
    </row>
    <row r="4036" spans="8:10" ht="15.75" customHeight="1">
      <c r="H4036" s="438"/>
      <c r="I4036" s="439"/>
      <c r="J4036" s="440"/>
    </row>
    <row r="4037" spans="8:10" ht="15.75" customHeight="1">
      <c r="H4037" s="438"/>
      <c r="I4037" s="439"/>
      <c r="J4037" s="440"/>
    </row>
    <row r="4038" spans="8:10" ht="15.75" customHeight="1">
      <c r="H4038" s="438"/>
      <c r="I4038" s="439"/>
      <c r="J4038" s="440"/>
    </row>
    <row r="4039" spans="8:10" ht="15.75" customHeight="1">
      <c r="H4039" s="438"/>
      <c r="I4039" s="439"/>
      <c r="J4039" s="440"/>
    </row>
    <row r="4040" spans="8:10" ht="15.75" customHeight="1">
      <c r="H4040" s="438"/>
      <c r="I4040" s="439"/>
      <c r="J4040" s="440"/>
    </row>
    <row r="4041" spans="8:10" ht="15.75" customHeight="1">
      <c r="H4041" s="438"/>
      <c r="I4041" s="439"/>
      <c r="J4041" s="440"/>
    </row>
    <row r="4042" spans="8:10" ht="15.75" customHeight="1">
      <c r="H4042" s="438"/>
      <c r="I4042" s="439"/>
      <c r="J4042" s="440"/>
    </row>
    <row r="4043" spans="8:10" ht="15.75" customHeight="1">
      <c r="H4043" s="438"/>
      <c r="I4043" s="439"/>
      <c r="J4043" s="440"/>
    </row>
    <row r="4044" spans="8:10" ht="15.75" customHeight="1">
      <c r="H4044" s="438"/>
      <c r="I4044" s="439"/>
      <c r="J4044" s="440"/>
    </row>
    <row r="4045" spans="8:10" ht="15.75" customHeight="1">
      <c r="H4045" s="438"/>
      <c r="I4045" s="439"/>
      <c r="J4045" s="440"/>
    </row>
    <row r="4046" spans="8:10" ht="15.75" customHeight="1">
      <c r="H4046" s="438"/>
      <c r="I4046" s="439"/>
      <c r="J4046" s="440"/>
    </row>
    <row r="4047" spans="8:10" ht="15.75" customHeight="1">
      <c r="H4047" s="438"/>
      <c r="I4047" s="439"/>
      <c r="J4047" s="440"/>
    </row>
    <row r="4048" spans="8:10" ht="15.75" customHeight="1">
      <c r="H4048" s="438"/>
      <c r="I4048" s="439"/>
      <c r="J4048" s="440"/>
    </row>
    <row r="4049" spans="8:10" ht="15.75" customHeight="1">
      <c r="H4049" s="438"/>
      <c r="I4049" s="439"/>
      <c r="J4049" s="440"/>
    </row>
    <row r="4050" spans="8:10" ht="15.75" customHeight="1">
      <c r="H4050" s="438"/>
      <c r="I4050" s="439"/>
      <c r="J4050" s="440"/>
    </row>
    <row r="4051" spans="8:10" ht="15.75" customHeight="1">
      <c r="H4051" s="438"/>
      <c r="I4051" s="439"/>
      <c r="J4051" s="440"/>
    </row>
    <row r="4052" spans="8:10" ht="15.75" customHeight="1">
      <c r="H4052" s="438"/>
      <c r="I4052" s="439"/>
      <c r="J4052" s="440"/>
    </row>
    <row r="4053" spans="8:10" ht="15.75" customHeight="1">
      <c r="H4053" s="438"/>
      <c r="I4053" s="439"/>
      <c r="J4053" s="440"/>
    </row>
    <row r="4054" spans="8:10" ht="15.75" customHeight="1">
      <c r="H4054" s="438"/>
      <c r="I4054" s="439"/>
      <c r="J4054" s="440"/>
    </row>
    <row r="4055" spans="8:10" ht="15.75" customHeight="1">
      <c r="H4055" s="438"/>
      <c r="I4055" s="439"/>
      <c r="J4055" s="440"/>
    </row>
    <row r="4056" spans="8:10" ht="15.75" customHeight="1">
      <c r="H4056" s="438"/>
      <c r="I4056" s="439"/>
      <c r="J4056" s="440"/>
    </row>
    <row r="4057" spans="8:10" ht="15.75" customHeight="1">
      <c r="H4057" s="438"/>
      <c r="I4057" s="439"/>
      <c r="J4057" s="440"/>
    </row>
    <row r="4058" spans="8:10" ht="15.75" customHeight="1">
      <c r="H4058" s="438"/>
      <c r="I4058" s="439"/>
      <c r="J4058" s="440"/>
    </row>
    <row r="4059" spans="8:10" ht="15.75" customHeight="1">
      <c r="H4059" s="438"/>
      <c r="I4059" s="439"/>
      <c r="J4059" s="440"/>
    </row>
    <row r="4060" spans="8:10" ht="15.75" customHeight="1">
      <c r="H4060" s="438"/>
      <c r="I4060" s="439"/>
      <c r="J4060" s="440"/>
    </row>
    <row r="4061" spans="8:10" ht="15.75" customHeight="1">
      <c r="H4061" s="438"/>
      <c r="I4061" s="439"/>
      <c r="J4061" s="440"/>
    </row>
    <row r="4062" spans="8:10" ht="15.75" customHeight="1">
      <c r="H4062" s="438"/>
      <c r="I4062" s="439"/>
      <c r="J4062" s="440"/>
    </row>
    <row r="4063" spans="8:10" ht="15.75" customHeight="1">
      <c r="H4063" s="438"/>
      <c r="I4063" s="439"/>
      <c r="J4063" s="440"/>
    </row>
    <row r="4064" spans="8:10" ht="15.75" customHeight="1">
      <c r="H4064" s="438"/>
      <c r="I4064" s="439"/>
      <c r="J4064" s="440"/>
    </row>
    <row r="4065" spans="8:10" ht="15.75" customHeight="1">
      <c r="H4065" s="438"/>
      <c r="I4065" s="439"/>
      <c r="J4065" s="440"/>
    </row>
    <row r="4066" spans="8:10" ht="15.75" customHeight="1">
      <c r="H4066" s="438"/>
      <c r="I4066" s="439"/>
      <c r="J4066" s="440"/>
    </row>
    <row r="4067" spans="8:10" ht="15.75" customHeight="1">
      <c r="H4067" s="438"/>
      <c r="I4067" s="439"/>
      <c r="J4067" s="440"/>
    </row>
    <row r="4068" spans="8:10" ht="15.75" customHeight="1">
      <c r="H4068" s="438"/>
      <c r="I4068" s="439"/>
      <c r="J4068" s="440"/>
    </row>
    <row r="4069" spans="8:10" ht="15.75" customHeight="1">
      <c r="H4069" s="438"/>
      <c r="I4069" s="439"/>
      <c r="J4069" s="440"/>
    </row>
    <row r="4070" spans="8:10" ht="15.75" customHeight="1">
      <c r="H4070" s="438"/>
      <c r="I4070" s="439"/>
      <c r="J4070" s="440"/>
    </row>
    <row r="4071" spans="8:10" ht="15.75" customHeight="1">
      <c r="H4071" s="438"/>
      <c r="I4071" s="439"/>
      <c r="J4071" s="440"/>
    </row>
    <row r="4072" spans="8:10" ht="15.75" customHeight="1">
      <c r="H4072" s="438"/>
      <c r="I4072" s="439"/>
      <c r="J4072" s="440"/>
    </row>
    <row r="4073" spans="8:10" ht="15.75" customHeight="1">
      <c r="H4073" s="438"/>
      <c r="I4073" s="439"/>
      <c r="J4073" s="440"/>
    </row>
    <row r="4074" spans="8:10" ht="15.75" customHeight="1">
      <c r="H4074" s="438"/>
      <c r="I4074" s="439"/>
      <c r="J4074" s="440"/>
    </row>
    <row r="4075" spans="8:10" ht="15.75" customHeight="1">
      <c r="H4075" s="438"/>
      <c r="I4075" s="439"/>
      <c r="J4075" s="440"/>
    </row>
    <row r="4076" spans="8:10" ht="15.75" customHeight="1">
      <c r="H4076" s="438"/>
      <c r="I4076" s="439"/>
      <c r="J4076" s="440"/>
    </row>
    <row r="4077" spans="8:10" ht="15.75" customHeight="1">
      <c r="H4077" s="438"/>
      <c r="I4077" s="439"/>
      <c r="J4077" s="440"/>
    </row>
    <row r="4078" spans="8:10" ht="15.75" customHeight="1">
      <c r="H4078" s="438"/>
      <c r="I4078" s="439"/>
      <c r="J4078" s="440"/>
    </row>
    <row r="4079" spans="8:10" ht="15.75" customHeight="1">
      <c r="H4079" s="438"/>
      <c r="I4079" s="439"/>
      <c r="J4079" s="440"/>
    </row>
    <row r="4080" spans="8:10" ht="15.75" customHeight="1">
      <c r="H4080" s="438"/>
      <c r="I4080" s="439"/>
      <c r="J4080" s="440"/>
    </row>
    <row r="4081" spans="8:10" ht="15.75" customHeight="1">
      <c r="H4081" s="438"/>
      <c r="I4081" s="439"/>
      <c r="J4081" s="440"/>
    </row>
    <row r="4082" spans="8:10" ht="15.75" customHeight="1">
      <c r="H4082" s="438"/>
      <c r="I4082" s="439"/>
      <c r="J4082" s="440"/>
    </row>
    <row r="4083" spans="8:10" ht="15.75" customHeight="1">
      <c r="H4083" s="438"/>
      <c r="I4083" s="439"/>
      <c r="J4083" s="440"/>
    </row>
    <row r="4084" spans="8:10" ht="15.75" customHeight="1">
      <c r="H4084" s="438"/>
      <c r="I4084" s="439"/>
      <c r="J4084" s="440"/>
    </row>
    <row r="4085" spans="8:10" ht="15.75" customHeight="1">
      <c r="H4085" s="438"/>
      <c r="I4085" s="439"/>
      <c r="J4085" s="440"/>
    </row>
    <row r="4086" spans="8:10" ht="15.75" customHeight="1">
      <c r="H4086" s="438"/>
      <c r="I4086" s="439"/>
      <c r="J4086" s="440"/>
    </row>
    <row r="4087" spans="8:10" ht="15.75" customHeight="1">
      <c r="H4087" s="438"/>
      <c r="I4087" s="439"/>
      <c r="J4087" s="440"/>
    </row>
    <row r="4088" spans="8:10" ht="15.75" customHeight="1">
      <c r="H4088" s="438"/>
      <c r="I4088" s="439"/>
      <c r="J4088" s="440"/>
    </row>
    <row r="4089" spans="8:10" ht="15.75" customHeight="1">
      <c r="H4089" s="438"/>
      <c r="I4089" s="439"/>
      <c r="J4089" s="440"/>
    </row>
    <row r="4090" spans="8:10" ht="15.75" customHeight="1">
      <c r="H4090" s="438"/>
      <c r="I4090" s="439"/>
      <c r="J4090" s="440"/>
    </row>
    <row r="4091" spans="8:10" ht="15.75" customHeight="1">
      <c r="H4091" s="438"/>
      <c r="I4091" s="439"/>
      <c r="J4091" s="440"/>
    </row>
    <row r="4092" spans="8:10" ht="15.75" customHeight="1">
      <c r="H4092" s="438"/>
      <c r="I4092" s="439"/>
      <c r="J4092" s="440"/>
    </row>
    <row r="4093" spans="8:10" ht="15.75" customHeight="1">
      <c r="H4093" s="438"/>
      <c r="I4093" s="439"/>
      <c r="J4093" s="440"/>
    </row>
    <row r="4094" spans="8:10" ht="15.75" customHeight="1">
      <c r="H4094" s="438"/>
      <c r="I4094" s="439"/>
      <c r="J4094" s="440"/>
    </row>
    <row r="4095" spans="8:10" ht="15.75" customHeight="1">
      <c r="H4095" s="438"/>
      <c r="I4095" s="439"/>
      <c r="J4095" s="440"/>
    </row>
    <row r="4096" spans="8:10" ht="15.75" customHeight="1">
      <c r="H4096" s="438"/>
      <c r="I4096" s="439"/>
      <c r="J4096" s="440"/>
    </row>
    <row r="4097" spans="8:10" ht="15.75" customHeight="1">
      <c r="H4097" s="438"/>
      <c r="I4097" s="439"/>
      <c r="J4097" s="440"/>
    </row>
    <row r="4098" spans="8:10" ht="15.75" customHeight="1">
      <c r="H4098" s="438"/>
      <c r="I4098" s="439"/>
      <c r="J4098" s="440"/>
    </row>
    <row r="4099" spans="8:10" ht="15.75" customHeight="1">
      <c r="H4099" s="438"/>
      <c r="I4099" s="439"/>
      <c r="J4099" s="440"/>
    </row>
    <row r="4100" spans="8:10" ht="15.75" customHeight="1">
      <c r="H4100" s="438"/>
      <c r="I4100" s="439"/>
      <c r="J4100" s="440"/>
    </row>
    <row r="4101" spans="8:10" ht="15.75" customHeight="1">
      <c r="H4101" s="438"/>
      <c r="I4101" s="439"/>
      <c r="J4101" s="440"/>
    </row>
    <row r="4102" spans="8:10" ht="15.75" customHeight="1">
      <c r="H4102" s="438"/>
      <c r="I4102" s="439"/>
      <c r="J4102" s="440"/>
    </row>
    <row r="4103" spans="8:10" ht="15.75" customHeight="1">
      <c r="H4103" s="438"/>
      <c r="I4103" s="439"/>
      <c r="J4103" s="440"/>
    </row>
    <row r="4104" spans="8:10" ht="15.75" customHeight="1">
      <c r="H4104" s="438"/>
      <c r="I4104" s="439"/>
      <c r="J4104" s="440"/>
    </row>
    <row r="4105" spans="8:10" ht="15.75" customHeight="1">
      <c r="H4105" s="438"/>
      <c r="I4105" s="439"/>
      <c r="J4105" s="440"/>
    </row>
    <row r="4106" spans="8:10" ht="15.75" customHeight="1">
      <c r="H4106" s="438"/>
      <c r="I4106" s="439"/>
      <c r="J4106" s="440"/>
    </row>
    <row r="4107" spans="8:10" ht="15.75" customHeight="1">
      <c r="H4107" s="438"/>
      <c r="I4107" s="439"/>
      <c r="J4107" s="440"/>
    </row>
    <row r="4108" spans="8:10" ht="15.75" customHeight="1">
      <c r="H4108" s="438"/>
      <c r="I4108" s="439"/>
      <c r="J4108" s="440"/>
    </row>
    <row r="4109" spans="8:10" ht="15.75" customHeight="1">
      <c r="H4109" s="438"/>
      <c r="I4109" s="439"/>
      <c r="J4109" s="440"/>
    </row>
    <row r="4110" spans="8:10" ht="15.75" customHeight="1">
      <c r="H4110" s="438"/>
      <c r="I4110" s="439"/>
      <c r="J4110" s="440"/>
    </row>
    <row r="4111" spans="8:10" ht="15.75" customHeight="1">
      <c r="H4111" s="438"/>
      <c r="I4111" s="439"/>
      <c r="J4111" s="440"/>
    </row>
    <row r="4112" spans="8:10" ht="15.75" customHeight="1">
      <c r="H4112" s="438"/>
      <c r="I4112" s="439"/>
      <c r="J4112" s="440"/>
    </row>
    <row r="4113" spans="8:10" ht="15.75" customHeight="1">
      <c r="H4113" s="438"/>
      <c r="I4113" s="439"/>
      <c r="J4113" s="440"/>
    </row>
    <row r="4114" spans="8:10" ht="15.75" customHeight="1">
      <c r="H4114" s="438"/>
      <c r="I4114" s="439"/>
      <c r="J4114" s="440"/>
    </row>
    <row r="4115" spans="8:10" ht="15.75" customHeight="1">
      <c r="H4115" s="438"/>
      <c r="I4115" s="439"/>
      <c r="J4115" s="440"/>
    </row>
    <row r="4116" spans="8:10" ht="15.75" customHeight="1">
      <c r="H4116" s="438"/>
      <c r="I4116" s="439"/>
      <c r="J4116" s="440"/>
    </row>
    <row r="4117" spans="8:10" ht="15.75" customHeight="1">
      <c r="H4117" s="438"/>
      <c r="I4117" s="439"/>
      <c r="J4117" s="440"/>
    </row>
    <row r="4118" spans="8:10" ht="15.75" customHeight="1">
      <c r="H4118" s="438"/>
      <c r="I4118" s="439"/>
      <c r="J4118" s="440"/>
    </row>
    <row r="4119" spans="8:10" ht="15.75" customHeight="1">
      <c r="H4119" s="438"/>
      <c r="I4119" s="439"/>
      <c r="J4119" s="440"/>
    </row>
    <row r="4120" spans="8:10" ht="15.75" customHeight="1">
      <c r="H4120" s="438"/>
      <c r="I4120" s="439"/>
      <c r="J4120" s="440"/>
    </row>
    <row r="4121" spans="8:10" ht="15.75" customHeight="1">
      <c r="H4121" s="438"/>
      <c r="I4121" s="439"/>
      <c r="J4121" s="440"/>
    </row>
    <row r="4122" spans="8:10" ht="15.75" customHeight="1">
      <c r="H4122" s="438"/>
      <c r="I4122" s="439"/>
      <c r="J4122" s="440"/>
    </row>
    <row r="4123" spans="8:10" ht="15.75" customHeight="1">
      <c r="H4123" s="438"/>
      <c r="I4123" s="439"/>
      <c r="J4123" s="440"/>
    </row>
    <row r="4124" spans="8:10" ht="15.75" customHeight="1">
      <c r="H4124" s="438"/>
      <c r="I4124" s="439"/>
      <c r="J4124" s="440"/>
    </row>
    <row r="4125" spans="8:10" ht="15.75" customHeight="1">
      <c r="H4125" s="438"/>
      <c r="I4125" s="439"/>
      <c r="J4125" s="440"/>
    </row>
    <row r="4126" spans="8:10" ht="15.75" customHeight="1">
      <c r="H4126" s="438"/>
      <c r="I4126" s="439"/>
      <c r="J4126" s="440"/>
    </row>
    <row r="4127" spans="8:10" ht="15.75" customHeight="1">
      <c r="H4127" s="438"/>
      <c r="I4127" s="439"/>
      <c r="J4127" s="440"/>
    </row>
    <row r="4128" spans="8:10" ht="15.75" customHeight="1">
      <c r="H4128" s="438"/>
      <c r="I4128" s="439"/>
      <c r="J4128" s="440"/>
    </row>
    <row r="4129" spans="8:10" ht="15.75" customHeight="1">
      <c r="H4129" s="438"/>
      <c r="I4129" s="439"/>
      <c r="J4129" s="440"/>
    </row>
    <row r="4130" spans="8:10" ht="15.75" customHeight="1">
      <c r="H4130" s="438"/>
      <c r="I4130" s="439"/>
      <c r="J4130" s="440"/>
    </row>
    <row r="4131" spans="8:10" ht="15.75" customHeight="1">
      <c r="H4131" s="438"/>
      <c r="I4131" s="439"/>
      <c r="J4131" s="440"/>
    </row>
    <row r="4132" spans="8:10" ht="15.75" customHeight="1">
      <c r="H4132" s="438"/>
      <c r="I4132" s="439"/>
      <c r="J4132" s="440"/>
    </row>
    <row r="4133" spans="8:10" ht="15.75" customHeight="1">
      <c r="H4133" s="438"/>
      <c r="I4133" s="439"/>
      <c r="J4133" s="440"/>
    </row>
    <row r="4134" spans="8:10" ht="15.75" customHeight="1">
      <c r="H4134" s="438"/>
      <c r="I4134" s="439"/>
      <c r="J4134" s="440"/>
    </row>
    <row r="4135" spans="8:10" ht="15.75" customHeight="1">
      <c r="H4135" s="438"/>
      <c r="I4135" s="439"/>
      <c r="J4135" s="440"/>
    </row>
    <row r="4136" spans="8:10" ht="15.75" customHeight="1">
      <c r="H4136" s="438"/>
      <c r="I4136" s="439"/>
      <c r="J4136" s="440"/>
    </row>
    <row r="4137" spans="8:10" ht="15.75" customHeight="1">
      <c r="H4137" s="438"/>
      <c r="I4137" s="439"/>
      <c r="J4137" s="440"/>
    </row>
    <row r="4138" spans="8:10" ht="15.75" customHeight="1">
      <c r="H4138" s="438"/>
      <c r="I4138" s="439"/>
      <c r="J4138" s="440"/>
    </row>
    <row r="4139" spans="8:10" ht="15.75" customHeight="1">
      <c r="H4139" s="438"/>
      <c r="I4139" s="439"/>
      <c r="J4139" s="440"/>
    </row>
    <row r="4140" spans="8:10" ht="15.75" customHeight="1">
      <c r="H4140" s="438"/>
      <c r="I4140" s="439"/>
      <c r="J4140" s="440"/>
    </row>
    <row r="4141" spans="8:10" ht="15.75" customHeight="1">
      <c r="H4141" s="438"/>
      <c r="I4141" s="439"/>
      <c r="J4141" s="440"/>
    </row>
    <row r="4142" spans="8:10" ht="15.75" customHeight="1">
      <c r="H4142" s="438"/>
      <c r="I4142" s="439"/>
      <c r="J4142" s="440"/>
    </row>
    <row r="4143" spans="8:10" ht="15.75" customHeight="1">
      <c r="H4143" s="438"/>
      <c r="I4143" s="439"/>
      <c r="J4143" s="440"/>
    </row>
    <row r="4144" spans="8:10" ht="15.75" customHeight="1">
      <c r="H4144" s="438"/>
      <c r="I4144" s="439"/>
      <c r="J4144" s="440"/>
    </row>
    <row r="4145" spans="8:10" ht="15.75" customHeight="1">
      <c r="H4145" s="438"/>
      <c r="I4145" s="439"/>
      <c r="J4145" s="440"/>
    </row>
    <row r="4146" spans="8:10" ht="15.75" customHeight="1">
      <c r="H4146" s="438"/>
      <c r="I4146" s="439"/>
      <c r="J4146" s="440"/>
    </row>
    <row r="4147" spans="8:10" ht="15.75" customHeight="1">
      <c r="H4147" s="438"/>
      <c r="I4147" s="439"/>
      <c r="J4147" s="440"/>
    </row>
    <row r="4148" spans="8:10" ht="15.75" customHeight="1">
      <c r="H4148" s="438"/>
      <c r="I4148" s="439"/>
      <c r="J4148" s="440"/>
    </row>
    <row r="4149" spans="8:10" ht="15.75" customHeight="1">
      <c r="H4149" s="438"/>
      <c r="I4149" s="439"/>
      <c r="J4149" s="440"/>
    </row>
    <row r="4150" spans="8:10" ht="15.75" customHeight="1">
      <c r="H4150" s="438"/>
      <c r="I4150" s="439"/>
      <c r="J4150" s="440"/>
    </row>
    <row r="4151" spans="8:10" ht="15.75" customHeight="1">
      <c r="H4151" s="438"/>
      <c r="I4151" s="439"/>
      <c r="J4151" s="440"/>
    </row>
    <row r="4152" spans="8:10" ht="15.75" customHeight="1">
      <c r="H4152" s="438"/>
      <c r="I4152" s="439"/>
      <c r="J4152" s="440"/>
    </row>
    <row r="4153" spans="8:10" ht="15.75" customHeight="1">
      <c r="H4153" s="438"/>
      <c r="I4153" s="439"/>
      <c r="J4153" s="440"/>
    </row>
    <row r="4154" spans="8:10" ht="15.75" customHeight="1">
      <c r="H4154" s="438"/>
      <c r="I4154" s="439"/>
      <c r="J4154" s="440"/>
    </row>
    <row r="4155" spans="8:10" ht="15.75" customHeight="1">
      <c r="H4155" s="438"/>
      <c r="I4155" s="439"/>
      <c r="J4155" s="440"/>
    </row>
    <row r="4156" spans="8:10" ht="15.75" customHeight="1">
      <c r="H4156" s="438"/>
      <c r="I4156" s="439"/>
      <c r="J4156" s="440"/>
    </row>
    <row r="4157" spans="8:10" ht="15.75" customHeight="1">
      <c r="H4157" s="438"/>
      <c r="I4157" s="439"/>
      <c r="J4157" s="440"/>
    </row>
    <row r="4158" spans="8:10" ht="15.75" customHeight="1">
      <c r="H4158" s="438"/>
      <c r="I4158" s="439"/>
      <c r="J4158" s="440"/>
    </row>
    <row r="4159" spans="8:10" ht="15.75" customHeight="1">
      <c r="H4159" s="438"/>
      <c r="I4159" s="439"/>
      <c r="J4159" s="440"/>
    </row>
    <row r="4160" spans="8:10" ht="15.75" customHeight="1">
      <c r="H4160" s="438"/>
      <c r="I4160" s="439"/>
      <c r="J4160" s="440"/>
    </row>
    <row r="4161" spans="8:10" ht="15.75" customHeight="1">
      <c r="H4161" s="438"/>
      <c r="I4161" s="439"/>
      <c r="J4161" s="440"/>
    </row>
    <row r="4162" spans="8:10" ht="15.75" customHeight="1">
      <c r="H4162" s="438"/>
      <c r="I4162" s="439"/>
      <c r="J4162" s="440"/>
    </row>
    <row r="4163" spans="8:10" ht="15.75" customHeight="1">
      <c r="H4163" s="438"/>
      <c r="I4163" s="439"/>
      <c r="J4163" s="440"/>
    </row>
    <row r="4164" spans="8:10" ht="15.75" customHeight="1">
      <c r="H4164" s="438"/>
      <c r="I4164" s="439"/>
      <c r="J4164" s="440"/>
    </row>
    <row r="4165" spans="8:10" ht="15.75" customHeight="1">
      <c r="H4165" s="438"/>
      <c r="I4165" s="439"/>
      <c r="J4165" s="440"/>
    </row>
    <row r="4166" spans="8:10" ht="15.75" customHeight="1">
      <c r="H4166" s="438"/>
      <c r="I4166" s="439"/>
      <c r="J4166" s="440"/>
    </row>
    <row r="4167" spans="8:10" ht="15.75" customHeight="1">
      <c r="H4167" s="438"/>
      <c r="I4167" s="439"/>
      <c r="J4167" s="440"/>
    </row>
    <row r="4168" spans="8:10" ht="15.75" customHeight="1">
      <c r="H4168" s="438"/>
      <c r="I4168" s="439"/>
      <c r="J4168" s="440"/>
    </row>
    <row r="4169" spans="8:10" ht="15.75" customHeight="1">
      <c r="H4169" s="438"/>
      <c r="I4169" s="439"/>
      <c r="J4169" s="440"/>
    </row>
    <row r="4170" spans="8:10" ht="15.75" customHeight="1">
      <c r="H4170" s="438"/>
      <c r="I4170" s="439"/>
      <c r="J4170" s="440"/>
    </row>
    <row r="4171" spans="8:10" ht="15.75" customHeight="1">
      <c r="H4171" s="438"/>
      <c r="I4171" s="439"/>
      <c r="J4171" s="440"/>
    </row>
    <row r="4172" spans="8:10" ht="15.75" customHeight="1">
      <c r="H4172" s="438"/>
      <c r="I4172" s="439"/>
      <c r="J4172" s="440"/>
    </row>
    <row r="4173" spans="8:10" ht="15.75" customHeight="1">
      <c r="H4173" s="438"/>
      <c r="I4173" s="439"/>
      <c r="J4173" s="440"/>
    </row>
    <row r="4174" spans="8:10" ht="15.75" customHeight="1">
      <c r="H4174" s="438"/>
      <c r="I4174" s="439"/>
      <c r="J4174" s="440"/>
    </row>
    <row r="4175" spans="8:10" ht="15.75" customHeight="1">
      <c r="H4175" s="438"/>
      <c r="I4175" s="439"/>
      <c r="J4175" s="440"/>
    </row>
    <row r="4176" spans="8:10" ht="15.75" customHeight="1">
      <c r="H4176" s="438"/>
      <c r="I4176" s="439"/>
      <c r="J4176" s="440"/>
    </row>
    <row r="4177" spans="8:10" ht="15.75" customHeight="1">
      <c r="H4177" s="438"/>
      <c r="I4177" s="439"/>
      <c r="J4177" s="440"/>
    </row>
    <row r="4178" spans="8:10" ht="15.75" customHeight="1">
      <c r="H4178" s="438"/>
      <c r="I4178" s="439"/>
      <c r="J4178" s="440"/>
    </row>
    <row r="4179" spans="8:10" ht="15.75" customHeight="1">
      <c r="H4179" s="438"/>
      <c r="I4179" s="439"/>
      <c r="J4179" s="440"/>
    </row>
    <row r="4180" spans="8:10" ht="15.75" customHeight="1">
      <c r="H4180" s="438"/>
      <c r="I4180" s="439"/>
      <c r="J4180" s="440"/>
    </row>
    <row r="4181" spans="8:10" ht="15.75" customHeight="1">
      <c r="H4181" s="438"/>
      <c r="I4181" s="439"/>
      <c r="J4181" s="440"/>
    </row>
    <row r="4182" spans="8:10" ht="15.75" customHeight="1">
      <c r="H4182" s="438"/>
      <c r="I4182" s="439"/>
      <c r="J4182" s="440"/>
    </row>
    <row r="4183" spans="8:10" ht="15.75" customHeight="1">
      <c r="H4183" s="438"/>
      <c r="I4183" s="439"/>
      <c r="J4183" s="440"/>
    </row>
    <row r="4184" spans="8:10" ht="15.75" customHeight="1">
      <c r="H4184" s="438"/>
      <c r="I4184" s="439"/>
      <c r="J4184" s="440"/>
    </row>
    <row r="4185" spans="8:10" ht="15.75" customHeight="1">
      <c r="H4185" s="438"/>
      <c r="I4185" s="439"/>
      <c r="J4185" s="440"/>
    </row>
    <row r="4186" spans="8:10" ht="15.75" customHeight="1">
      <c r="H4186" s="438"/>
      <c r="I4186" s="439"/>
      <c r="J4186" s="440"/>
    </row>
    <row r="4187" spans="8:10" ht="15.75" customHeight="1">
      <c r="H4187" s="438"/>
      <c r="I4187" s="439"/>
      <c r="J4187" s="440"/>
    </row>
    <row r="4188" spans="8:10" ht="15.75" customHeight="1">
      <c r="H4188" s="438"/>
      <c r="I4188" s="439"/>
      <c r="J4188" s="440"/>
    </row>
    <row r="4189" spans="8:10" ht="15.75" customHeight="1">
      <c r="H4189" s="438"/>
      <c r="I4189" s="439"/>
      <c r="J4189" s="440"/>
    </row>
    <row r="4190" spans="8:10" ht="15.75" customHeight="1">
      <c r="H4190" s="438"/>
      <c r="I4190" s="439"/>
      <c r="J4190" s="440"/>
    </row>
    <row r="4191" spans="8:10" ht="15.75" customHeight="1">
      <c r="H4191" s="438"/>
      <c r="I4191" s="439"/>
      <c r="J4191" s="440"/>
    </row>
    <row r="4192" spans="8:10" ht="15.75" customHeight="1">
      <c r="H4192" s="438"/>
      <c r="I4192" s="439"/>
      <c r="J4192" s="440"/>
    </row>
    <row r="4193" spans="8:10" ht="15.75" customHeight="1">
      <c r="H4193" s="438"/>
      <c r="I4193" s="439"/>
      <c r="J4193" s="440"/>
    </row>
    <row r="4194" spans="8:10" ht="15.75" customHeight="1">
      <c r="H4194" s="438"/>
      <c r="I4194" s="439"/>
      <c r="J4194" s="440"/>
    </row>
    <row r="4195" spans="8:10" ht="15.75" customHeight="1">
      <c r="H4195" s="438"/>
      <c r="I4195" s="439"/>
      <c r="J4195" s="440"/>
    </row>
    <row r="4196" spans="8:10" ht="15.75" customHeight="1">
      <c r="H4196" s="438"/>
      <c r="I4196" s="439"/>
      <c r="J4196" s="440"/>
    </row>
    <row r="4197" spans="8:10" ht="15.75" customHeight="1">
      <c r="H4197" s="438"/>
      <c r="I4197" s="439"/>
      <c r="J4197" s="440"/>
    </row>
    <row r="4198" spans="8:10" ht="15.75" customHeight="1">
      <c r="H4198" s="438"/>
      <c r="I4198" s="439"/>
      <c r="J4198" s="440"/>
    </row>
    <row r="4199" spans="8:10" ht="15.75" customHeight="1">
      <c r="H4199" s="438"/>
      <c r="I4199" s="439"/>
      <c r="J4199" s="440"/>
    </row>
    <row r="4200" spans="8:10" ht="15.75" customHeight="1">
      <c r="H4200" s="438"/>
      <c r="I4200" s="439"/>
      <c r="J4200" s="440"/>
    </row>
    <row r="4201" spans="8:10" ht="15.75" customHeight="1">
      <c r="H4201" s="438"/>
      <c r="I4201" s="439"/>
      <c r="J4201" s="440"/>
    </row>
    <row r="4202" spans="8:10" ht="15.75" customHeight="1">
      <c r="H4202" s="438"/>
      <c r="I4202" s="439"/>
      <c r="J4202" s="440"/>
    </row>
    <row r="4203" spans="8:10" ht="15.75" customHeight="1">
      <c r="H4203" s="438"/>
      <c r="I4203" s="439"/>
      <c r="J4203" s="440"/>
    </row>
    <row r="4204" spans="8:10" ht="15.75" customHeight="1">
      <c r="H4204" s="438"/>
      <c r="I4204" s="439"/>
      <c r="J4204" s="440"/>
    </row>
    <row r="4205" spans="8:10" ht="15.75" customHeight="1">
      <c r="H4205" s="438"/>
      <c r="I4205" s="439"/>
      <c r="J4205" s="440"/>
    </row>
    <row r="4206" spans="8:10" ht="15.75" customHeight="1">
      <c r="H4206" s="438"/>
      <c r="I4206" s="439"/>
      <c r="J4206" s="440"/>
    </row>
    <row r="4207" spans="8:10" ht="15.75" customHeight="1">
      <c r="H4207" s="438"/>
      <c r="I4207" s="439"/>
      <c r="J4207" s="440"/>
    </row>
    <row r="4208" spans="8:10" ht="15.75" customHeight="1">
      <c r="H4208" s="438"/>
      <c r="I4208" s="439"/>
      <c r="J4208" s="440"/>
    </row>
    <row r="4209" spans="8:10" ht="15.75" customHeight="1">
      <c r="H4209" s="438"/>
      <c r="I4209" s="439"/>
      <c r="J4209" s="440"/>
    </row>
    <row r="4210" spans="8:10" ht="15.75" customHeight="1">
      <c r="H4210" s="438"/>
      <c r="I4210" s="439"/>
      <c r="J4210" s="440"/>
    </row>
    <row r="4211" spans="8:10" ht="15.75" customHeight="1">
      <c r="H4211" s="438"/>
      <c r="I4211" s="439"/>
      <c r="J4211" s="440"/>
    </row>
    <row r="4212" spans="8:10" ht="15.75" customHeight="1">
      <c r="H4212" s="438"/>
      <c r="I4212" s="439"/>
      <c r="J4212" s="440"/>
    </row>
    <row r="4213" spans="8:10" ht="15.75" customHeight="1">
      <c r="H4213" s="438"/>
      <c r="I4213" s="439"/>
      <c r="J4213" s="440"/>
    </row>
    <row r="4214" spans="8:10" ht="15.75" customHeight="1">
      <c r="H4214" s="438"/>
      <c r="I4214" s="439"/>
      <c r="J4214" s="440"/>
    </row>
    <row r="4215" spans="8:10" ht="15.75" customHeight="1">
      <c r="H4215" s="438"/>
      <c r="I4215" s="439"/>
      <c r="J4215" s="440"/>
    </row>
    <row r="4216" spans="8:10" ht="15.75" customHeight="1">
      <c r="H4216" s="438"/>
      <c r="I4216" s="439"/>
      <c r="J4216" s="440"/>
    </row>
    <row r="4217" spans="8:10" ht="15.75" customHeight="1">
      <c r="H4217" s="438"/>
      <c r="I4217" s="439"/>
      <c r="J4217" s="440"/>
    </row>
    <row r="4218" spans="8:10" ht="15.75" customHeight="1">
      <c r="H4218" s="438"/>
      <c r="I4218" s="439"/>
      <c r="J4218" s="440"/>
    </row>
    <row r="4219" spans="8:10" ht="15.75" customHeight="1">
      <c r="H4219" s="438"/>
      <c r="I4219" s="439"/>
      <c r="J4219" s="440"/>
    </row>
    <row r="4220" spans="8:10" ht="15.75" customHeight="1">
      <c r="H4220" s="438"/>
      <c r="I4220" s="439"/>
      <c r="J4220" s="440"/>
    </row>
    <row r="4221" spans="8:10" ht="15.75" customHeight="1">
      <c r="H4221" s="438"/>
      <c r="I4221" s="439"/>
      <c r="J4221" s="440"/>
    </row>
    <row r="4222" spans="8:10" ht="15.75" customHeight="1">
      <c r="H4222" s="438"/>
      <c r="I4222" s="439"/>
      <c r="J4222" s="440"/>
    </row>
    <row r="4223" spans="8:10" ht="15.75" customHeight="1">
      <c r="H4223" s="438"/>
      <c r="I4223" s="439"/>
      <c r="J4223" s="440"/>
    </row>
    <row r="4224" spans="8:10" ht="15.75" customHeight="1">
      <c r="H4224" s="438"/>
      <c r="I4224" s="439"/>
      <c r="J4224" s="440"/>
    </row>
    <row r="4225" spans="8:10" ht="15.75" customHeight="1">
      <c r="H4225" s="438"/>
      <c r="I4225" s="439"/>
      <c r="J4225" s="440"/>
    </row>
    <row r="4226" spans="8:10" ht="15.75" customHeight="1">
      <c r="H4226" s="438"/>
      <c r="I4226" s="439"/>
      <c r="J4226" s="440"/>
    </row>
    <row r="4227" spans="8:10" ht="15.75" customHeight="1">
      <c r="H4227" s="438"/>
      <c r="I4227" s="439"/>
      <c r="J4227" s="440"/>
    </row>
    <row r="4228" spans="8:10" ht="15.75" customHeight="1">
      <c r="H4228" s="438"/>
      <c r="I4228" s="439"/>
      <c r="J4228" s="440"/>
    </row>
    <row r="4229" spans="8:10" ht="15.75" customHeight="1">
      <c r="H4229" s="438"/>
      <c r="I4229" s="439"/>
      <c r="J4229" s="440"/>
    </row>
    <row r="4230" spans="8:10" ht="15.75" customHeight="1">
      <c r="H4230" s="438"/>
      <c r="I4230" s="439"/>
      <c r="J4230" s="440"/>
    </row>
    <row r="4231" spans="8:10" ht="15.75" customHeight="1">
      <c r="H4231" s="438"/>
      <c r="I4231" s="439"/>
      <c r="J4231" s="440"/>
    </row>
    <row r="4232" spans="8:10" ht="15.75" customHeight="1">
      <c r="H4232" s="438"/>
      <c r="I4232" s="439"/>
      <c r="J4232" s="440"/>
    </row>
    <row r="4233" spans="8:10" ht="15.75" customHeight="1">
      <c r="H4233" s="438"/>
      <c r="I4233" s="439"/>
      <c r="J4233" s="440"/>
    </row>
    <row r="4234" spans="8:10" ht="15.75" customHeight="1">
      <c r="H4234" s="438"/>
      <c r="I4234" s="439"/>
      <c r="J4234" s="440"/>
    </row>
    <row r="4235" spans="8:10" ht="15.75" customHeight="1">
      <c r="H4235" s="438"/>
      <c r="I4235" s="439"/>
      <c r="J4235" s="440"/>
    </row>
    <row r="4236" spans="8:10" ht="15.75" customHeight="1">
      <c r="H4236" s="438"/>
      <c r="I4236" s="439"/>
      <c r="J4236" s="440"/>
    </row>
    <row r="4237" spans="8:10" ht="15.75" customHeight="1">
      <c r="H4237" s="438"/>
      <c r="I4237" s="439"/>
      <c r="J4237" s="440"/>
    </row>
    <row r="4238" spans="8:10" ht="15.75" customHeight="1">
      <c r="H4238" s="438"/>
      <c r="I4238" s="439"/>
      <c r="J4238" s="440"/>
    </row>
    <row r="4239" spans="8:10" ht="15.75" customHeight="1">
      <c r="H4239" s="438"/>
      <c r="I4239" s="439"/>
      <c r="J4239" s="440"/>
    </row>
    <row r="4240" spans="8:10" ht="15.75" customHeight="1">
      <c r="H4240" s="438"/>
      <c r="I4240" s="439"/>
      <c r="J4240" s="440"/>
    </row>
    <row r="4241" spans="8:10" ht="15.75" customHeight="1">
      <c r="H4241" s="438"/>
      <c r="I4241" s="439"/>
      <c r="J4241" s="440"/>
    </row>
    <row r="4242" spans="8:10" ht="15.75" customHeight="1">
      <c r="H4242" s="438"/>
      <c r="I4242" s="439"/>
      <c r="J4242" s="440"/>
    </row>
    <row r="4243" spans="8:10" ht="15.75" customHeight="1">
      <c r="H4243" s="438"/>
      <c r="I4243" s="439"/>
      <c r="J4243" s="440"/>
    </row>
    <row r="4244" spans="8:10" ht="15.75" customHeight="1">
      <c r="H4244" s="438"/>
      <c r="I4244" s="439"/>
      <c r="J4244" s="440"/>
    </row>
    <row r="4245" spans="8:10" ht="15.75" customHeight="1">
      <c r="H4245" s="438"/>
      <c r="I4245" s="439"/>
      <c r="J4245" s="440"/>
    </row>
    <row r="4246" spans="8:10" ht="15.75" customHeight="1">
      <c r="H4246" s="438"/>
      <c r="I4246" s="439"/>
      <c r="J4246" s="440"/>
    </row>
    <row r="4247" spans="8:10" ht="15.75" customHeight="1">
      <c r="H4247" s="438"/>
      <c r="I4247" s="439"/>
      <c r="J4247" s="440"/>
    </row>
    <row r="4248" spans="8:10" ht="15.75" customHeight="1">
      <c r="H4248" s="438"/>
      <c r="I4248" s="439"/>
      <c r="J4248" s="440"/>
    </row>
    <row r="4249" spans="8:10" ht="15.75" customHeight="1">
      <c r="H4249" s="438"/>
      <c r="I4249" s="439"/>
      <c r="J4249" s="440"/>
    </row>
    <row r="4250" spans="8:10" ht="15.75" customHeight="1">
      <c r="H4250" s="438"/>
      <c r="I4250" s="439"/>
      <c r="J4250" s="440"/>
    </row>
    <row r="4251" spans="8:10" ht="15.75" customHeight="1">
      <c r="H4251" s="438"/>
      <c r="I4251" s="439"/>
      <c r="J4251" s="440"/>
    </row>
    <row r="4252" spans="8:10" ht="15.75" customHeight="1">
      <c r="H4252" s="438"/>
      <c r="I4252" s="439"/>
      <c r="J4252" s="440"/>
    </row>
    <row r="4253" spans="8:10" ht="15.75" customHeight="1">
      <c r="H4253" s="438"/>
      <c r="I4253" s="439"/>
      <c r="J4253" s="440"/>
    </row>
    <row r="4254" spans="8:10" ht="15.75" customHeight="1">
      <c r="H4254" s="438"/>
      <c r="I4254" s="439"/>
      <c r="J4254" s="440"/>
    </row>
    <row r="4255" spans="8:10" ht="15.75" customHeight="1">
      <c r="H4255" s="438"/>
      <c r="I4255" s="439"/>
      <c r="J4255" s="440"/>
    </row>
    <row r="4256" spans="8:10" ht="15.75" customHeight="1">
      <c r="H4256" s="438"/>
      <c r="I4256" s="439"/>
      <c r="J4256" s="440"/>
    </row>
    <row r="4257" spans="8:10" ht="15.75" customHeight="1">
      <c r="H4257" s="438"/>
      <c r="I4257" s="439"/>
      <c r="J4257" s="440"/>
    </row>
    <row r="4258" spans="8:10" ht="15.75" customHeight="1">
      <c r="H4258" s="438"/>
      <c r="I4258" s="439"/>
      <c r="J4258" s="440"/>
    </row>
    <row r="4259" spans="8:10" ht="15.75" customHeight="1">
      <c r="H4259" s="438"/>
      <c r="I4259" s="439"/>
      <c r="J4259" s="440"/>
    </row>
    <row r="4260" spans="8:10" ht="15.75" customHeight="1">
      <c r="H4260" s="438"/>
      <c r="I4260" s="439"/>
      <c r="J4260" s="440"/>
    </row>
    <row r="4261" spans="8:10" ht="15.75" customHeight="1">
      <c r="H4261" s="438"/>
      <c r="I4261" s="439"/>
      <c r="J4261" s="440"/>
    </row>
    <row r="4262" spans="8:10" ht="15.75" customHeight="1">
      <c r="H4262" s="438"/>
      <c r="I4262" s="439"/>
      <c r="J4262" s="440"/>
    </row>
    <row r="4263" spans="8:10" ht="15.75" customHeight="1">
      <c r="H4263" s="438"/>
      <c r="I4263" s="439"/>
      <c r="J4263" s="440"/>
    </row>
    <row r="4264" spans="8:10" ht="15.75" customHeight="1">
      <c r="H4264" s="438"/>
      <c r="I4264" s="439"/>
      <c r="J4264" s="440"/>
    </row>
    <row r="4265" spans="8:10" ht="15.75" customHeight="1">
      <c r="H4265" s="438"/>
      <c r="I4265" s="439"/>
      <c r="J4265" s="440"/>
    </row>
    <row r="4266" spans="8:10" ht="15.75" customHeight="1">
      <c r="H4266" s="438"/>
      <c r="I4266" s="439"/>
      <c r="J4266" s="440"/>
    </row>
    <row r="4267" spans="8:10" ht="15.75" customHeight="1">
      <c r="H4267" s="438"/>
      <c r="I4267" s="439"/>
      <c r="J4267" s="440"/>
    </row>
    <row r="4268" spans="8:10" ht="15.75" customHeight="1">
      <c r="H4268" s="438"/>
      <c r="I4268" s="439"/>
      <c r="J4268" s="440"/>
    </row>
    <row r="4269" spans="8:10" ht="15.75" customHeight="1">
      <c r="H4269" s="438"/>
      <c r="I4269" s="439"/>
      <c r="J4269" s="440"/>
    </row>
    <row r="4270" spans="8:10" ht="15.75" customHeight="1">
      <c r="H4270" s="438"/>
      <c r="I4270" s="439"/>
      <c r="J4270" s="440"/>
    </row>
    <row r="4271" spans="8:10" ht="15.75" customHeight="1">
      <c r="H4271" s="438"/>
      <c r="I4271" s="439"/>
      <c r="J4271" s="440"/>
    </row>
    <row r="4272" spans="8:10" ht="15.75" customHeight="1">
      <c r="H4272" s="438"/>
      <c r="I4272" s="439"/>
      <c r="J4272" s="440"/>
    </row>
    <row r="4273" spans="8:10" ht="15.75" customHeight="1">
      <c r="H4273" s="438"/>
      <c r="I4273" s="439"/>
      <c r="J4273" s="440"/>
    </row>
    <row r="4274" spans="8:10" ht="15.75" customHeight="1">
      <c r="H4274" s="438"/>
      <c r="I4274" s="439"/>
      <c r="J4274" s="440"/>
    </row>
    <row r="4275" spans="8:10" ht="15.75" customHeight="1">
      <c r="H4275" s="438"/>
      <c r="I4275" s="439"/>
      <c r="J4275" s="440"/>
    </row>
    <row r="4276" spans="8:10" ht="15.75" customHeight="1">
      <c r="H4276" s="438"/>
      <c r="I4276" s="439"/>
      <c r="J4276" s="440"/>
    </row>
    <row r="4277" spans="8:10" ht="15.75" customHeight="1">
      <c r="H4277" s="438"/>
      <c r="I4277" s="439"/>
      <c r="J4277" s="440"/>
    </row>
    <row r="4278" spans="8:10" ht="15.75" customHeight="1">
      <c r="H4278" s="438"/>
      <c r="I4278" s="439"/>
      <c r="J4278" s="440"/>
    </row>
    <row r="4279" spans="8:10" ht="15.75" customHeight="1">
      <c r="H4279" s="438"/>
      <c r="I4279" s="439"/>
      <c r="J4279" s="440"/>
    </row>
    <row r="4280" spans="8:10" ht="15.75" customHeight="1">
      <c r="H4280" s="438"/>
      <c r="I4280" s="439"/>
      <c r="J4280" s="440"/>
    </row>
    <row r="4281" spans="8:10" ht="15.75" customHeight="1">
      <c r="H4281" s="438"/>
      <c r="I4281" s="439"/>
      <c r="J4281" s="440"/>
    </row>
    <row r="4282" spans="8:10" ht="15.75" customHeight="1">
      <c r="H4282" s="438"/>
      <c r="I4282" s="439"/>
      <c r="J4282" s="440"/>
    </row>
    <row r="4283" spans="8:10" ht="15.75" customHeight="1">
      <c r="H4283" s="438"/>
      <c r="I4283" s="439"/>
      <c r="J4283" s="440"/>
    </row>
    <row r="4284" spans="8:10" ht="15.75" customHeight="1">
      <c r="H4284" s="438"/>
      <c r="I4284" s="439"/>
      <c r="J4284" s="440"/>
    </row>
    <row r="4285" spans="8:10" ht="15.75" customHeight="1">
      <c r="H4285" s="438"/>
      <c r="I4285" s="439"/>
      <c r="J4285" s="440"/>
    </row>
    <row r="4286" spans="8:10" ht="15.75" customHeight="1">
      <c r="H4286" s="438"/>
      <c r="I4286" s="439"/>
      <c r="J4286" s="440"/>
    </row>
    <row r="4287" spans="8:10" ht="15.75" customHeight="1">
      <c r="H4287" s="438"/>
      <c r="I4287" s="439"/>
      <c r="J4287" s="440"/>
    </row>
    <row r="4288" spans="8:10" ht="15.75" customHeight="1">
      <c r="H4288" s="438"/>
      <c r="I4288" s="439"/>
      <c r="J4288" s="440"/>
    </row>
    <row r="4289" spans="8:10" ht="15.75" customHeight="1">
      <c r="H4289" s="438"/>
      <c r="I4289" s="439"/>
      <c r="J4289" s="440"/>
    </row>
    <row r="4290" spans="8:10" ht="15.75" customHeight="1">
      <c r="H4290" s="438"/>
      <c r="I4290" s="439"/>
      <c r="J4290" s="440"/>
    </row>
    <row r="4291" spans="8:10" ht="15.75" customHeight="1">
      <c r="H4291" s="438"/>
      <c r="I4291" s="439"/>
      <c r="J4291" s="440"/>
    </row>
    <row r="4292" spans="8:10" ht="15.75" customHeight="1">
      <c r="H4292" s="438"/>
      <c r="I4292" s="439"/>
      <c r="J4292" s="440"/>
    </row>
    <row r="4293" spans="8:10" ht="15.75" customHeight="1">
      <c r="H4293" s="438"/>
      <c r="I4293" s="439"/>
      <c r="J4293" s="440"/>
    </row>
    <row r="4294" spans="8:10" ht="15.75" customHeight="1">
      <c r="H4294" s="438"/>
      <c r="I4294" s="439"/>
      <c r="J4294" s="440"/>
    </row>
    <row r="4295" spans="8:10" ht="15.75" customHeight="1">
      <c r="H4295" s="438"/>
      <c r="I4295" s="439"/>
      <c r="J4295" s="440"/>
    </row>
    <row r="4296" spans="8:10" ht="15.75" customHeight="1">
      <c r="H4296" s="438"/>
      <c r="I4296" s="439"/>
      <c r="J4296" s="440"/>
    </row>
    <row r="4297" spans="8:10" ht="15.75" customHeight="1">
      <c r="H4297" s="438"/>
      <c r="I4297" s="439"/>
      <c r="J4297" s="440"/>
    </row>
    <row r="4298" spans="8:10" ht="15.75" customHeight="1">
      <c r="H4298" s="438"/>
      <c r="I4298" s="439"/>
      <c r="J4298" s="440"/>
    </row>
    <row r="4299" spans="8:10" ht="15.75" customHeight="1">
      <c r="H4299" s="438"/>
      <c r="I4299" s="439"/>
      <c r="J4299" s="440"/>
    </row>
    <row r="4300" spans="8:10" ht="15.75" customHeight="1">
      <c r="H4300" s="438"/>
      <c r="I4300" s="439"/>
      <c r="J4300" s="440"/>
    </row>
    <row r="4301" spans="8:10" ht="15.75" customHeight="1">
      <c r="H4301" s="438"/>
      <c r="I4301" s="439"/>
      <c r="J4301" s="440"/>
    </row>
    <row r="4302" spans="8:10" ht="15.75" customHeight="1">
      <c r="H4302" s="438"/>
      <c r="I4302" s="439"/>
      <c r="J4302" s="440"/>
    </row>
    <row r="4303" spans="8:10" ht="15.75" customHeight="1">
      <c r="H4303" s="438"/>
      <c r="I4303" s="439"/>
      <c r="J4303" s="440"/>
    </row>
    <row r="4304" spans="8:10" ht="15.75" customHeight="1">
      <c r="H4304" s="438"/>
      <c r="I4304" s="439"/>
      <c r="J4304" s="440"/>
    </row>
    <row r="4305" spans="8:10" ht="15.75" customHeight="1">
      <c r="H4305" s="438"/>
      <c r="I4305" s="439"/>
      <c r="J4305" s="440"/>
    </row>
    <row r="4306" spans="8:10" ht="15.75" customHeight="1">
      <c r="H4306" s="438"/>
      <c r="I4306" s="439"/>
      <c r="J4306" s="440"/>
    </row>
    <row r="4307" spans="8:10" ht="15.75" customHeight="1">
      <c r="H4307" s="438"/>
      <c r="I4307" s="439"/>
      <c r="J4307" s="440"/>
    </row>
    <row r="4308" spans="8:10" ht="15.75" customHeight="1">
      <c r="H4308" s="438"/>
      <c r="I4308" s="439"/>
      <c r="J4308" s="440"/>
    </row>
    <row r="4309" spans="8:10" ht="15.75" customHeight="1">
      <c r="H4309" s="438"/>
      <c r="I4309" s="439"/>
      <c r="J4309" s="440"/>
    </row>
    <row r="4310" spans="8:10" ht="15.75" customHeight="1">
      <c r="H4310" s="438"/>
      <c r="I4310" s="439"/>
      <c r="J4310" s="440"/>
    </row>
    <row r="4311" spans="8:10" ht="15.75" customHeight="1">
      <c r="H4311" s="438"/>
      <c r="I4311" s="439"/>
      <c r="J4311" s="440"/>
    </row>
    <row r="4312" spans="8:10" ht="15.75" customHeight="1">
      <c r="H4312" s="438"/>
      <c r="I4312" s="439"/>
      <c r="J4312" s="440"/>
    </row>
    <row r="4313" spans="8:10" ht="15.75" customHeight="1">
      <c r="H4313" s="438"/>
      <c r="I4313" s="439"/>
      <c r="J4313" s="440"/>
    </row>
    <row r="4314" spans="8:10" ht="15.75" customHeight="1">
      <c r="H4314" s="438"/>
      <c r="I4314" s="439"/>
      <c r="J4314" s="440"/>
    </row>
    <row r="4315" spans="8:10" ht="15.75" customHeight="1">
      <c r="H4315" s="438"/>
      <c r="I4315" s="439"/>
      <c r="J4315" s="440"/>
    </row>
    <row r="4316" spans="8:10" ht="15.75" customHeight="1">
      <c r="H4316" s="438"/>
      <c r="I4316" s="439"/>
      <c r="J4316" s="440"/>
    </row>
    <row r="4317" spans="8:10" ht="15.75" customHeight="1">
      <c r="H4317" s="438"/>
      <c r="I4317" s="439"/>
      <c r="J4317" s="440"/>
    </row>
    <row r="4318" spans="8:10" ht="15.75" customHeight="1">
      <c r="H4318" s="438"/>
      <c r="I4318" s="439"/>
      <c r="J4318" s="440"/>
    </row>
    <row r="4319" spans="8:10" ht="15.75" customHeight="1">
      <c r="H4319" s="438"/>
      <c r="I4319" s="439"/>
      <c r="J4319" s="440"/>
    </row>
    <row r="4320" spans="8:10" ht="15.75" customHeight="1">
      <c r="H4320" s="438"/>
      <c r="I4320" s="439"/>
      <c r="J4320" s="440"/>
    </row>
    <row r="4321" spans="8:10" ht="15.75" customHeight="1">
      <c r="H4321" s="438"/>
      <c r="I4321" s="439"/>
      <c r="J4321" s="440"/>
    </row>
    <row r="4322" spans="8:10" ht="15.75" customHeight="1">
      <c r="H4322" s="438"/>
      <c r="I4322" s="439"/>
      <c r="J4322" s="440"/>
    </row>
    <row r="4323" spans="8:10" ht="15.75" customHeight="1">
      <c r="H4323" s="438"/>
      <c r="I4323" s="439"/>
      <c r="J4323" s="440"/>
    </row>
    <row r="4324" spans="8:10" ht="15.75" customHeight="1">
      <c r="H4324" s="438"/>
      <c r="I4324" s="439"/>
      <c r="J4324" s="440"/>
    </row>
    <row r="4325" spans="8:10" ht="15.75" customHeight="1">
      <c r="H4325" s="438"/>
      <c r="I4325" s="439"/>
      <c r="J4325" s="440"/>
    </row>
    <row r="4326" spans="8:10" ht="15.75" customHeight="1">
      <c r="H4326" s="438"/>
      <c r="I4326" s="439"/>
      <c r="J4326" s="440"/>
    </row>
    <row r="4327" spans="8:10" ht="15.75" customHeight="1">
      <c r="H4327" s="438"/>
      <c r="I4327" s="439"/>
      <c r="J4327" s="440"/>
    </row>
    <row r="4328" spans="8:10" ht="15.75" customHeight="1">
      <c r="H4328" s="438"/>
      <c r="I4328" s="439"/>
      <c r="J4328" s="440"/>
    </row>
    <row r="4329" spans="8:10" ht="15.75" customHeight="1">
      <c r="H4329" s="438"/>
      <c r="I4329" s="439"/>
      <c r="J4329" s="440"/>
    </row>
    <row r="4330" spans="8:10" ht="15.75" customHeight="1">
      <c r="H4330" s="438"/>
      <c r="I4330" s="439"/>
      <c r="J4330" s="440"/>
    </row>
    <row r="4331" spans="8:10" ht="15.75" customHeight="1">
      <c r="H4331" s="438"/>
      <c r="I4331" s="439"/>
      <c r="J4331" s="440"/>
    </row>
    <row r="4332" spans="8:10" ht="15.75" customHeight="1">
      <c r="H4332" s="438"/>
      <c r="I4332" s="439"/>
      <c r="J4332" s="440"/>
    </row>
    <row r="4333" spans="8:10" ht="15.75" customHeight="1">
      <c r="H4333" s="438"/>
      <c r="I4333" s="439"/>
      <c r="J4333" s="440"/>
    </row>
    <row r="4334" spans="8:10" ht="15.75" customHeight="1">
      <c r="H4334" s="438"/>
      <c r="I4334" s="439"/>
      <c r="J4334" s="440"/>
    </row>
    <row r="4335" spans="8:10" ht="15.75" customHeight="1">
      <c r="H4335" s="438"/>
      <c r="I4335" s="439"/>
      <c r="J4335" s="440"/>
    </row>
    <row r="4336" spans="8:10" ht="15.75" customHeight="1">
      <c r="H4336" s="438"/>
      <c r="I4336" s="439"/>
      <c r="J4336" s="440"/>
    </row>
    <row r="4337" spans="8:10" ht="15.75" customHeight="1">
      <c r="H4337" s="438"/>
      <c r="I4337" s="439"/>
      <c r="J4337" s="440"/>
    </row>
    <row r="4338" spans="8:10" ht="15.75" customHeight="1">
      <c r="H4338" s="438"/>
      <c r="I4338" s="439"/>
      <c r="J4338" s="440"/>
    </row>
    <row r="4339" spans="8:10" ht="15.75" customHeight="1">
      <c r="H4339" s="438"/>
      <c r="I4339" s="439"/>
      <c r="J4339" s="440"/>
    </row>
    <row r="4340" spans="8:10" ht="15.75" customHeight="1">
      <c r="H4340" s="438"/>
      <c r="I4340" s="439"/>
      <c r="J4340" s="440"/>
    </row>
    <row r="4341" spans="8:10" ht="15.75" customHeight="1">
      <c r="H4341" s="438"/>
      <c r="I4341" s="439"/>
      <c r="J4341" s="440"/>
    </row>
    <row r="4342" spans="8:10" ht="15.75" customHeight="1">
      <c r="H4342" s="438"/>
      <c r="I4342" s="439"/>
      <c r="J4342" s="440"/>
    </row>
    <row r="4343" spans="8:10" ht="15.75" customHeight="1">
      <c r="H4343" s="438"/>
      <c r="I4343" s="439"/>
      <c r="J4343" s="440"/>
    </row>
    <row r="4344" spans="8:10" ht="15.75" customHeight="1">
      <c r="H4344" s="438"/>
      <c r="I4344" s="439"/>
      <c r="J4344" s="440"/>
    </row>
    <row r="4345" spans="8:10" ht="15.75" customHeight="1">
      <c r="H4345" s="438"/>
      <c r="I4345" s="439"/>
      <c r="J4345" s="440"/>
    </row>
    <row r="4346" spans="8:10" ht="15.75" customHeight="1">
      <c r="H4346" s="438"/>
      <c r="I4346" s="439"/>
      <c r="J4346" s="440"/>
    </row>
    <row r="4347" spans="8:10" ht="15.75" customHeight="1">
      <c r="H4347" s="438"/>
      <c r="I4347" s="439"/>
      <c r="J4347" s="440"/>
    </row>
    <row r="4348" spans="8:10" ht="15.75" customHeight="1">
      <c r="H4348" s="438"/>
      <c r="I4348" s="439"/>
      <c r="J4348" s="440"/>
    </row>
    <row r="4349" spans="8:10" ht="15.75" customHeight="1">
      <c r="H4349" s="438"/>
      <c r="I4349" s="439"/>
      <c r="J4349" s="440"/>
    </row>
    <row r="4350" spans="8:10" ht="15.75" customHeight="1">
      <c r="H4350" s="438"/>
      <c r="I4350" s="439"/>
      <c r="J4350" s="440"/>
    </row>
    <row r="4351" spans="8:10" ht="15.75" customHeight="1">
      <c r="H4351" s="438"/>
      <c r="I4351" s="439"/>
      <c r="J4351" s="440"/>
    </row>
    <row r="4352" spans="8:10" ht="15.75" customHeight="1">
      <c r="H4352" s="438"/>
      <c r="I4352" s="439"/>
      <c r="J4352" s="440"/>
    </row>
    <row r="4353" spans="8:10" ht="15.75" customHeight="1">
      <c r="H4353" s="438"/>
      <c r="I4353" s="439"/>
      <c r="J4353" s="440"/>
    </row>
    <row r="4354" spans="8:10" ht="15.75" customHeight="1">
      <c r="H4354" s="438"/>
      <c r="I4354" s="439"/>
      <c r="J4354" s="440"/>
    </row>
    <row r="4355" spans="8:10" ht="15.75" customHeight="1">
      <c r="H4355" s="438"/>
      <c r="I4355" s="439"/>
      <c r="J4355" s="440"/>
    </row>
    <row r="4356" spans="8:10" ht="15.75" customHeight="1">
      <c r="H4356" s="438"/>
      <c r="I4356" s="439"/>
      <c r="J4356" s="440"/>
    </row>
    <row r="4357" spans="8:10" ht="15.75" customHeight="1">
      <c r="H4357" s="438"/>
      <c r="I4357" s="439"/>
      <c r="J4357" s="440"/>
    </row>
    <row r="4358" spans="8:10" ht="15.75" customHeight="1">
      <c r="H4358" s="438"/>
      <c r="I4358" s="439"/>
      <c r="J4358" s="440"/>
    </row>
    <row r="4359" spans="8:10" ht="15.75" customHeight="1">
      <c r="H4359" s="438"/>
      <c r="I4359" s="439"/>
      <c r="J4359" s="440"/>
    </row>
    <row r="4360" spans="8:10" ht="15.75" customHeight="1">
      <c r="H4360" s="438"/>
      <c r="I4360" s="439"/>
      <c r="J4360" s="440"/>
    </row>
    <row r="4361" spans="8:10" ht="15.75" customHeight="1">
      <c r="H4361" s="438"/>
      <c r="I4361" s="439"/>
      <c r="J4361" s="440"/>
    </row>
    <row r="4362" spans="8:10" ht="15.75" customHeight="1">
      <c r="H4362" s="438"/>
      <c r="I4362" s="439"/>
      <c r="J4362" s="440"/>
    </row>
    <row r="4363" spans="8:10" ht="15.75" customHeight="1">
      <c r="H4363" s="438"/>
      <c r="I4363" s="439"/>
      <c r="J4363" s="440"/>
    </row>
    <row r="4364" spans="8:10" ht="15.75" customHeight="1">
      <c r="H4364" s="438"/>
      <c r="I4364" s="439"/>
      <c r="J4364" s="440"/>
    </row>
    <row r="4365" spans="8:10" ht="15.75" customHeight="1">
      <c r="H4365" s="438"/>
      <c r="I4365" s="439"/>
      <c r="J4365" s="440"/>
    </row>
    <row r="4366" spans="8:10" ht="15.75" customHeight="1">
      <c r="H4366" s="438"/>
      <c r="I4366" s="439"/>
      <c r="J4366" s="440"/>
    </row>
    <row r="4367" spans="8:10" ht="15.75" customHeight="1">
      <c r="H4367" s="438"/>
      <c r="I4367" s="439"/>
      <c r="J4367" s="440"/>
    </row>
    <row r="4368" spans="8:10" ht="15.75" customHeight="1">
      <c r="H4368" s="438"/>
      <c r="I4368" s="439"/>
      <c r="J4368" s="440"/>
    </row>
    <row r="4369" spans="8:10" ht="15.75" customHeight="1">
      <c r="H4369" s="438"/>
      <c r="I4369" s="439"/>
      <c r="J4369" s="440"/>
    </row>
    <row r="4370" spans="8:10" ht="15.75" customHeight="1">
      <c r="H4370" s="438"/>
      <c r="I4370" s="439"/>
      <c r="J4370" s="440"/>
    </row>
    <row r="4371" spans="8:10" ht="15.75" customHeight="1">
      <c r="H4371" s="438"/>
      <c r="I4371" s="439"/>
      <c r="J4371" s="440"/>
    </row>
    <row r="4372" spans="8:10" ht="15.75" customHeight="1">
      <c r="H4372" s="438"/>
      <c r="I4372" s="439"/>
      <c r="J4372" s="440"/>
    </row>
    <row r="4373" spans="8:10" ht="15.75" customHeight="1">
      <c r="H4373" s="438"/>
      <c r="I4373" s="439"/>
      <c r="J4373" s="440"/>
    </row>
    <row r="4374" spans="8:10" ht="15.75" customHeight="1">
      <c r="H4374" s="438"/>
      <c r="I4374" s="439"/>
      <c r="J4374" s="440"/>
    </row>
    <row r="4375" spans="8:10" ht="15.75" customHeight="1">
      <c r="H4375" s="438"/>
      <c r="I4375" s="439"/>
      <c r="J4375" s="440"/>
    </row>
    <row r="4376" spans="8:10" ht="15.75" customHeight="1">
      <c r="H4376" s="438"/>
      <c r="I4376" s="439"/>
      <c r="J4376" s="440"/>
    </row>
    <row r="4377" spans="8:10" ht="15.75" customHeight="1">
      <c r="H4377" s="438"/>
      <c r="I4377" s="439"/>
      <c r="J4377" s="440"/>
    </row>
    <row r="4378" spans="8:10" ht="15.75" customHeight="1">
      <c r="H4378" s="438"/>
      <c r="I4378" s="439"/>
      <c r="J4378" s="440"/>
    </row>
    <row r="4379" spans="8:10" ht="15.75" customHeight="1">
      <c r="H4379" s="438"/>
      <c r="I4379" s="439"/>
      <c r="J4379" s="440"/>
    </row>
    <row r="4380" spans="8:10" ht="15.75" customHeight="1">
      <c r="H4380" s="438"/>
      <c r="I4380" s="439"/>
      <c r="J4380" s="440"/>
    </row>
    <row r="4381" spans="8:10" ht="15.75" customHeight="1">
      <c r="H4381" s="438"/>
      <c r="I4381" s="439"/>
      <c r="J4381" s="440"/>
    </row>
    <row r="4382" spans="8:10" ht="15.75" customHeight="1">
      <c r="H4382" s="438"/>
      <c r="I4382" s="439"/>
      <c r="J4382" s="440"/>
    </row>
    <row r="4383" spans="8:10" ht="15.75" customHeight="1">
      <c r="H4383" s="438"/>
      <c r="I4383" s="439"/>
      <c r="J4383" s="440"/>
    </row>
    <row r="4384" spans="8:10" ht="15.75" customHeight="1">
      <c r="H4384" s="438"/>
      <c r="I4384" s="439"/>
      <c r="J4384" s="440"/>
    </row>
    <row r="4385" spans="8:10" ht="15.75" customHeight="1">
      <c r="H4385" s="438"/>
      <c r="I4385" s="439"/>
      <c r="J4385" s="440"/>
    </row>
    <row r="4386" spans="8:10" ht="15.75" customHeight="1">
      <c r="H4386" s="438"/>
      <c r="I4386" s="439"/>
      <c r="J4386" s="440"/>
    </row>
    <row r="4387" spans="8:10" ht="15.75" customHeight="1">
      <c r="H4387" s="438"/>
      <c r="I4387" s="439"/>
      <c r="J4387" s="440"/>
    </row>
    <row r="4388" spans="8:10" ht="15.75" customHeight="1">
      <c r="H4388" s="438"/>
      <c r="I4388" s="439"/>
      <c r="J4388" s="440"/>
    </row>
    <row r="4389" spans="8:10" ht="15.75" customHeight="1">
      <c r="H4389" s="438"/>
      <c r="I4389" s="439"/>
      <c r="J4389" s="440"/>
    </row>
    <row r="4390" spans="8:10" ht="15.75" customHeight="1">
      <c r="H4390" s="438"/>
      <c r="I4390" s="439"/>
      <c r="J4390" s="440"/>
    </row>
    <row r="4391" spans="8:10" ht="15.75" customHeight="1">
      <c r="H4391" s="438"/>
      <c r="I4391" s="439"/>
      <c r="J4391" s="440"/>
    </row>
    <row r="4392" spans="8:10" ht="15.75" customHeight="1">
      <c r="H4392" s="438"/>
      <c r="I4392" s="439"/>
      <c r="J4392" s="440"/>
    </row>
    <row r="4393" spans="8:10" ht="15.75" customHeight="1">
      <c r="H4393" s="438"/>
      <c r="I4393" s="439"/>
      <c r="J4393" s="440"/>
    </row>
    <row r="4394" spans="8:10" ht="15.75" customHeight="1">
      <c r="H4394" s="438"/>
      <c r="I4394" s="439"/>
      <c r="J4394" s="440"/>
    </row>
    <row r="4395" spans="8:10" ht="15.75" customHeight="1">
      <c r="H4395" s="438"/>
      <c r="I4395" s="439"/>
      <c r="J4395" s="440"/>
    </row>
    <row r="4396" spans="8:10" ht="15.75" customHeight="1">
      <c r="H4396" s="438"/>
      <c r="I4396" s="439"/>
      <c r="J4396" s="440"/>
    </row>
    <row r="4397" spans="8:10" ht="15.75" customHeight="1">
      <c r="H4397" s="438"/>
      <c r="I4397" s="439"/>
      <c r="J4397" s="440"/>
    </row>
    <row r="4398" spans="8:10" ht="15.75" customHeight="1">
      <c r="H4398" s="438"/>
      <c r="I4398" s="439"/>
      <c r="J4398" s="440"/>
    </row>
    <row r="4399" spans="8:10" ht="15.75" customHeight="1">
      <c r="H4399" s="438"/>
      <c r="I4399" s="439"/>
      <c r="J4399" s="440"/>
    </row>
    <row r="4400" spans="8:10" ht="15.75" customHeight="1">
      <c r="H4400" s="438"/>
      <c r="I4400" s="439"/>
      <c r="J4400" s="440"/>
    </row>
    <row r="4401" spans="8:10" ht="15.75" customHeight="1">
      <c r="H4401" s="438"/>
      <c r="I4401" s="439"/>
      <c r="J4401" s="440"/>
    </row>
    <row r="4402" spans="8:10" ht="15.75" customHeight="1">
      <c r="H4402" s="438"/>
      <c r="I4402" s="439"/>
      <c r="J4402" s="440"/>
    </row>
    <row r="4403" spans="8:10" ht="15.75" customHeight="1">
      <c r="H4403" s="438"/>
      <c r="I4403" s="439"/>
      <c r="J4403" s="440"/>
    </row>
    <row r="4404" spans="8:10" ht="15.75" customHeight="1">
      <c r="H4404" s="438"/>
      <c r="I4404" s="439"/>
      <c r="J4404" s="440"/>
    </row>
    <row r="4405" spans="8:10" ht="15.75" customHeight="1">
      <c r="H4405" s="438"/>
      <c r="I4405" s="439"/>
      <c r="J4405" s="440"/>
    </row>
    <row r="4406" spans="8:10" ht="15.75" customHeight="1">
      <c r="H4406" s="438"/>
      <c r="I4406" s="439"/>
      <c r="J4406" s="440"/>
    </row>
    <row r="4407" spans="8:10" ht="15.75" customHeight="1">
      <c r="H4407" s="438"/>
      <c r="I4407" s="439"/>
      <c r="J4407" s="440"/>
    </row>
    <row r="4408" spans="8:10" ht="15.75" customHeight="1">
      <c r="H4408" s="438"/>
      <c r="I4408" s="439"/>
      <c r="J4408" s="440"/>
    </row>
    <row r="4409" spans="8:10" ht="15.75" customHeight="1">
      <c r="H4409" s="438"/>
      <c r="I4409" s="439"/>
      <c r="J4409" s="440"/>
    </row>
    <row r="4410" spans="8:10" ht="15.75" customHeight="1">
      <c r="H4410" s="438"/>
      <c r="I4410" s="439"/>
      <c r="J4410" s="440"/>
    </row>
    <row r="4411" spans="8:10" ht="15.75" customHeight="1">
      <c r="H4411" s="438"/>
      <c r="I4411" s="439"/>
      <c r="J4411" s="440"/>
    </row>
    <row r="4412" spans="8:10" ht="15.75" customHeight="1">
      <c r="H4412" s="438"/>
      <c r="I4412" s="439"/>
      <c r="J4412" s="440"/>
    </row>
    <row r="4413" spans="8:10" ht="15.75" customHeight="1">
      <c r="H4413" s="438"/>
      <c r="I4413" s="439"/>
      <c r="J4413" s="440"/>
    </row>
    <row r="4414" spans="8:10" ht="15.75" customHeight="1">
      <c r="H4414" s="438"/>
      <c r="I4414" s="439"/>
      <c r="J4414" s="440"/>
    </row>
    <row r="4415" spans="8:10" ht="15.75" customHeight="1">
      <c r="H4415" s="438"/>
      <c r="I4415" s="439"/>
      <c r="J4415" s="440"/>
    </row>
    <row r="4416" spans="8:10" ht="15.75" customHeight="1">
      <c r="H4416" s="438"/>
      <c r="I4416" s="439"/>
      <c r="J4416" s="440"/>
    </row>
    <row r="4417" spans="8:10" ht="15.75" customHeight="1">
      <c r="H4417" s="438"/>
      <c r="I4417" s="439"/>
      <c r="J4417" s="440"/>
    </row>
    <row r="4418" spans="8:10" ht="15.75" customHeight="1">
      <c r="H4418" s="438"/>
      <c r="I4418" s="439"/>
      <c r="J4418" s="440"/>
    </row>
    <row r="4419" spans="8:10" ht="15.75" customHeight="1">
      <c r="H4419" s="438"/>
      <c r="I4419" s="439"/>
      <c r="J4419" s="440"/>
    </row>
    <row r="4420" spans="8:10" ht="15.75" customHeight="1">
      <c r="H4420" s="438"/>
      <c r="I4420" s="439"/>
      <c r="J4420" s="440"/>
    </row>
    <row r="4421" spans="8:10" ht="15.75" customHeight="1">
      <c r="H4421" s="438"/>
      <c r="I4421" s="439"/>
      <c r="J4421" s="440"/>
    </row>
    <row r="4422" spans="8:10" ht="15.75" customHeight="1">
      <c r="H4422" s="438"/>
      <c r="I4422" s="439"/>
      <c r="J4422" s="440"/>
    </row>
    <row r="4423" spans="8:10" ht="15.75" customHeight="1">
      <c r="H4423" s="438"/>
      <c r="I4423" s="439"/>
      <c r="J4423" s="440"/>
    </row>
    <row r="4424" spans="8:10" ht="15.75" customHeight="1">
      <c r="H4424" s="438"/>
      <c r="I4424" s="439"/>
      <c r="J4424" s="440"/>
    </row>
    <row r="4425" spans="8:10" ht="15.75" customHeight="1">
      <c r="H4425" s="438"/>
      <c r="I4425" s="439"/>
      <c r="J4425" s="440"/>
    </row>
    <row r="4426" spans="8:10" ht="15.75" customHeight="1">
      <c r="H4426" s="438"/>
      <c r="I4426" s="439"/>
      <c r="J4426" s="440"/>
    </row>
    <row r="4427" spans="8:10" ht="15.75" customHeight="1">
      <c r="H4427" s="438"/>
      <c r="I4427" s="439"/>
      <c r="J4427" s="440"/>
    </row>
    <row r="4428" spans="8:10" ht="15.75" customHeight="1">
      <c r="H4428" s="438"/>
      <c r="I4428" s="439"/>
      <c r="J4428" s="440"/>
    </row>
    <row r="4429" spans="8:10" ht="15.75" customHeight="1">
      <c r="H4429" s="438"/>
      <c r="I4429" s="439"/>
      <c r="J4429" s="440"/>
    </row>
    <row r="4430" spans="8:10" ht="15.75" customHeight="1">
      <c r="H4430" s="438"/>
      <c r="I4430" s="439"/>
      <c r="J4430" s="440"/>
    </row>
    <row r="4431" spans="8:10" ht="15.75" customHeight="1">
      <c r="H4431" s="438"/>
      <c r="I4431" s="439"/>
      <c r="J4431" s="440"/>
    </row>
    <row r="4432" spans="8:10" ht="15.75" customHeight="1">
      <c r="H4432" s="438"/>
      <c r="I4432" s="439"/>
      <c r="J4432" s="440"/>
    </row>
    <row r="4433" spans="8:10" ht="15.75" customHeight="1">
      <c r="H4433" s="438"/>
      <c r="I4433" s="439"/>
      <c r="J4433" s="440"/>
    </row>
    <row r="4434" spans="8:10" ht="15.75" customHeight="1">
      <c r="H4434" s="438"/>
      <c r="I4434" s="439"/>
      <c r="J4434" s="440"/>
    </row>
    <row r="4435" spans="8:10" ht="15.75" customHeight="1">
      <c r="H4435" s="438"/>
      <c r="I4435" s="439"/>
      <c r="J4435" s="440"/>
    </row>
    <row r="4436" spans="8:10" ht="15.75" customHeight="1">
      <c r="H4436" s="438"/>
      <c r="I4436" s="439"/>
      <c r="J4436" s="440"/>
    </row>
    <row r="4437" spans="8:10" ht="15.75" customHeight="1">
      <c r="H4437" s="438"/>
      <c r="I4437" s="439"/>
      <c r="J4437" s="440"/>
    </row>
    <row r="4438" spans="8:10" ht="15.75" customHeight="1">
      <c r="H4438" s="438"/>
      <c r="I4438" s="439"/>
      <c r="J4438" s="440"/>
    </row>
    <row r="4439" spans="8:10" ht="15.75" customHeight="1">
      <c r="H4439" s="438"/>
      <c r="I4439" s="439"/>
      <c r="J4439" s="440"/>
    </row>
    <row r="4440" spans="8:10" ht="15.75" customHeight="1">
      <c r="H4440" s="438"/>
      <c r="I4440" s="439"/>
      <c r="J4440" s="440"/>
    </row>
    <row r="4441" spans="8:10" ht="15.75" customHeight="1">
      <c r="H4441" s="438"/>
      <c r="I4441" s="439"/>
      <c r="J4441" s="440"/>
    </row>
    <row r="4442" spans="8:10" ht="15.75" customHeight="1">
      <c r="H4442" s="438"/>
      <c r="I4442" s="439"/>
      <c r="J4442" s="440"/>
    </row>
    <row r="4443" spans="8:10" ht="15.75" customHeight="1">
      <c r="H4443" s="438"/>
      <c r="I4443" s="439"/>
      <c r="J4443" s="440"/>
    </row>
    <row r="4444" spans="8:10" ht="15.75" customHeight="1">
      <c r="H4444" s="438"/>
      <c r="I4444" s="439"/>
      <c r="J4444" s="440"/>
    </row>
    <row r="4445" spans="8:10" ht="15.75" customHeight="1">
      <c r="H4445" s="438"/>
      <c r="I4445" s="439"/>
      <c r="J4445" s="440"/>
    </row>
    <row r="4446" spans="8:10" ht="15.75" customHeight="1">
      <c r="H4446" s="438"/>
      <c r="I4446" s="439"/>
      <c r="J4446" s="440"/>
    </row>
    <row r="4447" spans="8:10" ht="15.75" customHeight="1">
      <c r="H4447" s="438"/>
      <c r="I4447" s="439"/>
      <c r="J4447" s="440"/>
    </row>
    <row r="4448" spans="8:10" ht="15.75" customHeight="1">
      <c r="H4448" s="438"/>
      <c r="I4448" s="439"/>
      <c r="J4448" s="440"/>
    </row>
    <row r="4449" spans="8:10" ht="15.75" customHeight="1">
      <c r="H4449" s="438"/>
      <c r="I4449" s="439"/>
      <c r="J4449" s="440"/>
    </row>
    <row r="4450" spans="8:10" ht="15.75" customHeight="1">
      <c r="H4450" s="438"/>
      <c r="I4450" s="439"/>
      <c r="J4450" s="440"/>
    </row>
    <row r="4451" spans="8:10" ht="15.75" customHeight="1">
      <c r="H4451" s="438"/>
      <c r="I4451" s="439"/>
      <c r="J4451" s="440"/>
    </row>
    <row r="4452" spans="8:10" ht="15.75" customHeight="1">
      <c r="H4452" s="438"/>
      <c r="I4452" s="439"/>
      <c r="J4452" s="440"/>
    </row>
    <row r="4453" spans="8:10" ht="15.75" customHeight="1">
      <c r="H4453" s="438"/>
      <c r="I4453" s="439"/>
      <c r="J4453" s="440"/>
    </row>
    <row r="4454" spans="8:10" ht="15.75" customHeight="1">
      <c r="H4454" s="438"/>
      <c r="I4454" s="439"/>
      <c r="J4454" s="440"/>
    </row>
    <row r="4455" spans="8:10" ht="15.75" customHeight="1">
      <c r="H4455" s="438"/>
      <c r="I4455" s="439"/>
      <c r="J4455" s="440"/>
    </row>
    <row r="4456" spans="8:10" ht="15.75" customHeight="1">
      <c r="H4456" s="438"/>
      <c r="I4456" s="439"/>
      <c r="J4456" s="440"/>
    </row>
    <row r="4457" spans="8:10" ht="15.75" customHeight="1">
      <c r="H4457" s="438"/>
      <c r="I4457" s="439"/>
      <c r="J4457" s="440"/>
    </row>
    <row r="4458" spans="8:10" ht="15.75" customHeight="1">
      <c r="H4458" s="438"/>
      <c r="I4458" s="439"/>
      <c r="J4458" s="440"/>
    </row>
    <row r="4459" spans="8:10" ht="15.75" customHeight="1">
      <c r="H4459" s="438"/>
      <c r="I4459" s="439"/>
      <c r="J4459" s="440"/>
    </row>
    <row r="4460" spans="8:10" ht="15.75" customHeight="1">
      <c r="H4460" s="438"/>
      <c r="I4460" s="439"/>
      <c r="J4460" s="440"/>
    </row>
    <row r="4461" spans="8:10" ht="15.75" customHeight="1">
      <c r="H4461" s="438"/>
      <c r="I4461" s="439"/>
      <c r="J4461" s="440"/>
    </row>
    <row r="4462" spans="8:10" ht="15.75" customHeight="1">
      <c r="H4462" s="438"/>
      <c r="I4462" s="439"/>
      <c r="J4462" s="440"/>
    </row>
    <row r="4463" spans="8:10" ht="15.75" customHeight="1">
      <c r="H4463" s="438"/>
      <c r="I4463" s="439"/>
      <c r="J4463" s="440"/>
    </row>
    <row r="4464" spans="8:10" ht="15.75" customHeight="1">
      <c r="H4464" s="438"/>
      <c r="I4464" s="439"/>
      <c r="J4464" s="440"/>
    </row>
    <row r="4465" spans="8:10" ht="15.75" customHeight="1">
      <c r="H4465" s="438"/>
      <c r="I4465" s="439"/>
      <c r="J4465" s="440"/>
    </row>
    <row r="4466" spans="8:10" ht="15.75" customHeight="1">
      <c r="H4466" s="438"/>
      <c r="I4466" s="439"/>
      <c r="J4466" s="440"/>
    </row>
    <row r="4467" spans="8:10" ht="15.75" customHeight="1">
      <c r="H4467" s="438"/>
      <c r="I4467" s="439"/>
      <c r="J4467" s="440"/>
    </row>
    <row r="4468" spans="8:10" ht="15.75" customHeight="1">
      <c r="H4468" s="438"/>
      <c r="I4468" s="439"/>
      <c r="J4468" s="440"/>
    </row>
    <row r="4469" spans="8:10" ht="15.75" customHeight="1">
      <c r="H4469" s="438"/>
      <c r="I4469" s="439"/>
      <c r="J4469" s="440"/>
    </row>
    <row r="4470" spans="8:10" ht="15.75" customHeight="1">
      <c r="H4470" s="438"/>
      <c r="I4470" s="439"/>
      <c r="J4470" s="440"/>
    </row>
    <row r="4471" spans="8:10" ht="15.75" customHeight="1">
      <c r="H4471" s="438"/>
      <c r="I4471" s="439"/>
      <c r="J4471" s="440"/>
    </row>
    <row r="4472" spans="8:10" ht="15.75" customHeight="1">
      <c r="H4472" s="438"/>
      <c r="I4472" s="439"/>
      <c r="J4472" s="440"/>
    </row>
    <row r="4473" spans="8:10" ht="15.75" customHeight="1">
      <c r="H4473" s="438"/>
      <c r="I4473" s="439"/>
      <c r="J4473" s="440"/>
    </row>
    <row r="4474" spans="8:10" ht="15.75" customHeight="1">
      <c r="H4474" s="438"/>
      <c r="I4474" s="439"/>
      <c r="J4474" s="440"/>
    </row>
    <row r="4475" spans="8:10" ht="15.75" customHeight="1">
      <c r="H4475" s="438"/>
      <c r="I4475" s="439"/>
      <c r="J4475" s="440"/>
    </row>
    <row r="4476" spans="8:10" ht="15.75" customHeight="1">
      <c r="H4476" s="438"/>
      <c r="I4476" s="439"/>
      <c r="J4476" s="440"/>
    </row>
    <row r="4477" spans="8:10" ht="15.75" customHeight="1">
      <c r="H4477" s="438"/>
      <c r="I4477" s="439"/>
      <c r="J4477" s="440"/>
    </row>
    <row r="4478" spans="8:10" ht="15.75" customHeight="1">
      <c r="H4478" s="438"/>
      <c r="I4478" s="439"/>
      <c r="J4478" s="440"/>
    </row>
    <row r="4479" spans="8:10" ht="15.75" customHeight="1">
      <c r="H4479" s="438"/>
      <c r="I4479" s="439"/>
      <c r="J4479" s="440"/>
    </row>
    <row r="4480" spans="8:10" ht="15.75" customHeight="1">
      <c r="H4480" s="438"/>
      <c r="I4480" s="439"/>
      <c r="J4480" s="440"/>
    </row>
    <row r="4481" spans="8:10" ht="15.75" customHeight="1">
      <c r="H4481" s="438"/>
      <c r="I4481" s="439"/>
      <c r="J4481" s="440"/>
    </row>
    <row r="4482" spans="8:10" ht="15.75" customHeight="1">
      <c r="H4482" s="438"/>
      <c r="I4482" s="439"/>
      <c r="J4482" s="440"/>
    </row>
    <row r="4483" spans="8:10" ht="15.75" customHeight="1">
      <c r="H4483" s="438"/>
      <c r="I4483" s="439"/>
      <c r="J4483" s="440"/>
    </row>
    <row r="4484" spans="8:10" ht="15.75" customHeight="1">
      <c r="H4484" s="438"/>
      <c r="I4484" s="439"/>
      <c r="J4484" s="440"/>
    </row>
    <row r="4485" spans="8:10" ht="15.75" customHeight="1">
      <c r="H4485" s="438"/>
      <c r="I4485" s="439"/>
      <c r="J4485" s="440"/>
    </row>
    <row r="4486" spans="8:10" ht="15.75" customHeight="1">
      <c r="H4486" s="438"/>
      <c r="I4486" s="439"/>
      <c r="J4486" s="440"/>
    </row>
    <row r="4487" spans="8:10" ht="15.75" customHeight="1">
      <c r="H4487" s="438"/>
      <c r="I4487" s="439"/>
      <c r="J4487" s="440"/>
    </row>
    <row r="4488" spans="8:10" ht="15.75" customHeight="1">
      <c r="H4488" s="438"/>
      <c r="I4488" s="439"/>
      <c r="J4488" s="440"/>
    </row>
    <row r="4489" spans="8:10" ht="15.75" customHeight="1">
      <c r="H4489" s="438"/>
      <c r="I4489" s="439"/>
      <c r="J4489" s="440"/>
    </row>
    <row r="4490" spans="8:10" ht="15.75" customHeight="1">
      <c r="H4490" s="438"/>
      <c r="I4490" s="439"/>
      <c r="J4490" s="440"/>
    </row>
    <row r="4491" spans="8:10" ht="15.75" customHeight="1">
      <c r="H4491" s="438"/>
      <c r="I4491" s="439"/>
      <c r="J4491" s="440"/>
    </row>
    <row r="4492" spans="8:10" ht="15.75" customHeight="1">
      <c r="H4492" s="438"/>
      <c r="I4492" s="439"/>
      <c r="J4492" s="440"/>
    </row>
    <row r="4493" spans="8:10" ht="15.75" customHeight="1">
      <c r="H4493" s="438"/>
      <c r="I4493" s="439"/>
      <c r="J4493" s="440"/>
    </row>
    <row r="4494" spans="8:10" ht="15.75" customHeight="1">
      <c r="H4494" s="438"/>
      <c r="I4494" s="439"/>
      <c r="J4494" s="440"/>
    </row>
    <row r="4495" spans="8:10" ht="15.75" customHeight="1">
      <c r="H4495" s="438"/>
      <c r="I4495" s="439"/>
      <c r="J4495" s="440"/>
    </row>
    <row r="4496" spans="8:10" ht="15.75" customHeight="1">
      <c r="H4496" s="438"/>
      <c r="I4496" s="439"/>
      <c r="J4496" s="440"/>
    </row>
    <row r="4497" spans="8:10" ht="15.75" customHeight="1">
      <c r="H4497" s="438"/>
      <c r="I4497" s="439"/>
      <c r="J4497" s="440"/>
    </row>
    <row r="4498" spans="8:10" ht="15.75" customHeight="1">
      <c r="H4498" s="438"/>
      <c r="I4498" s="439"/>
      <c r="J4498" s="440"/>
    </row>
    <row r="4499" spans="8:10" ht="15.75" customHeight="1">
      <c r="H4499" s="438"/>
      <c r="I4499" s="439"/>
      <c r="J4499" s="440"/>
    </row>
    <row r="4500" spans="8:10" ht="15.75" customHeight="1">
      <c r="H4500" s="438"/>
      <c r="I4500" s="439"/>
      <c r="J4500" s="440"/>
    </row>
    <row r="4501" spans="8:10" ht="15.75" customHeight="1">
      <c r="H4501" s="438"/>
      <c r="I4501" s="439"/>
      <c r="J4501" s="440"/>
    </row>
    <row r="4502" spans="8:10" ht="15.75" customHeight="1">
      <c r="H4502" s="438"/>
      <c r="I4502" s="439"/>
      <c r="J4502" s="440"/>
    </row>
    <row r="4503" spans="8:10" ht="15.75" customHeight="1">
      <c r="H4503" s="438"/>
      <c r="I4503" s="439"/>
      <c r="J4503" s="440"/>
    </row>
    <row r="4504" spans="8:10" ht="15.75" customHeight="1">
      <c r="H4504" s="438"/>
      <c r="I4504" s="439"/>
      <c r="J4504" s="440"/>
    </row>
    <row r="4505" spans="8:10" ht="15.75" customHeight="1">
      <c r="H4505" s="438"/>
      <c r="I4505" s="439"/>
      <c r="J4505" s="440"/>
    </row>
    <row r="4506" spans="8:10" ht="15.75" customHeight="1">
      <c r="H4506" s="438"/>
      <c r="I4506" s="439"/>
      <c r="J4506" s="440"/>
    </row>
    <row r="4507" spans="8:10" ht="15.75" customHeight="1">
      <c r="H4507" s="438"/>
      <c r="I4507" s="439"/>
      <c r="J4507" s="440"/>
    </row>
    <row r="4508" spans="8:10" ht="15.75" customHeight="1">
      <c r="H4508" s="438"/>
      <c r="I4508" s="439"/>
      <c r="J4508" s="440"/>
    </row>
    <row r="4509" spans="8:10" ht="15.75" customHeight="1">
      <c r="H4509" s="438"/>
      <c r="I4509" s="439"/>
      <c r="J4509" s="440"/>
    </row>
    <row r="4510" spans="8:10" ht="15.75" customHeight="1">
      <c r="H4510" s="438"/>
      <c r="I4510" s="439"/>
      <c r="J4510" s="440"/>
    </row>
    <row r="4511" spans="8:10" ht="15.75" customHeight="1">
      <c r="H4511" s="438"/>
      <c r="I4511" s="439"/>
      <c r="J4511" s="440"/>
    </row>
    <row r="4512" spans="8:10" ht="15.75" customHeight="1">
      <c r="H4512" s="438"/>
      <c r="I4512" s="439"/>
      <c r="J4512" s="440"/>
    </row>
    <row r="4513" spans="8:10" ht="15.75" customHeight="1">
      <c r="H4513" s="438"/>
      <c r="I4513" s="439"/>
      <c r="J4513" s="440"/>
    </row>
    <row r="4514" spans="8:10" ht="15.75" customHeight="1">
      <c r="H4514" s="438"/>
      <c r="I4514" s="439"/>
      <c r="J4514" s="440"/>
    </row>
    <row r="4515" spans="8:10" ht="15.75" customHeight="1">
      <c r="H4515" s="438"/>
      <c r="I4515" s="439"/>
      <c r="J4515" s="440"/>
    </row>
    <row r="4516" spans="8:10" ht="15.75" customHeight="1">
      <c r="H4516" s="438"/>
      <c r="I4516" s="439"/>
      <c r="J4516" s="440"/>
    </row>
    <row r="4517" spans="8:10" ht="15.75" customHeight="1">
      <c r="H4517" s="438"/>
      <c r="I4517" s="439"/>
      <c r="J4517" s="440"/>
    </row>
    <row r="4518" spans="8:10" ht="15.75" customHeight="1">
      <c r="H4518" s="438"/>
      <c r="I4518" s="439"/>
      <c r="J4518" s="440"/>
    </row>
    <row r="4519" spans="8:10" ht="15.75" customHeight="1">
      <c r="H4519" s="438"/>
      <c r="I4519" s="439"/>
      <c r="J4519" s="440"/>
    </row>
    <row r="4520" spans="8:10" ht="15.75" customHeight="1">
      <c r="H4520" s="438"/>
      <c r="I4520" s="439"/>
      <c r="J4520" s="440"/>
    </row>
    <row r="4521" spans="8:10" ht="15.75" customHeight="1">
      <c r="H4521" s="438"/>
      <c r="I4521" s="439"/>
      <c r="J4521" s="440"/>
    </row>
    <row r="4522" spans="8:10" ht="15.75" customHeight="1">
      <c r="H4522" s="438"/>
      <c r="I4522" s="439"/>
      <c r="J4522" s="440"/>
    </row>
    <row r="4523" spans="8:10" ht="15.75" customHeight="1">
      <c r="H4523" s="438"/>
      <c r="I4523" s="439"/>
      <c r="J4523" s="440"/>
    </row>
    <row r="4524" spans="8:10" ht="15.75" customHeight="1">
      <c r="H4524" s="438"/>
      <c r="I4524" s="439"/>
      <c r="J4524" s="440"/>
    </row>
    <row r="4525" spans="8:10" ht="15.75" customHeight="1">
      <c r="H4525" s="438"/>
      <c r="I4525" s="439"/>
      <c r="J4525" s="440"/>
    </row>
    <row r="4526" spans="8:10" ht="15.75" customHeight="1">
      <c r="H4526" s="438"/>
      <c r="I4526" s="439"/>
      <c r="J4526" s="440"/>
    </row>
    <row r="4527" spans="8:10" ht="15.75" customHeight="1">
      <c r="H4527" s="438"/>
      <c r="I4527" s="439"/>
      <c r="J4527" s="440"/>
    </row>
    <row r="4528" spans="8:10" ht="15.75" customHeight="1">
      <c r="H4528" s="438"/>
      <c r="I4528" s="439"/>
      <c r="J4528" s="440"/>
    </row>
    <row r="4529" spans="8:10" ht="15.75" customHeight="1">
      <c r="H4529" s="438"/>
      <c r="I4529" s="439"/>
      <c r="J4529" s="440"/>
    </row>
    <row r="4530" spans="8:10" ht="15.75" customHeight="1">
      <c r="H4530" s="438"/>
      <c r="I4530" s="439"/>
      <c r="J4530" s="440"/>
    </row>
    <row r="4531" spans="8:10" ht="15.75" customHeight="1">
      <c r="H4531" s="438"/>
      <c r="I4531" s="439"/>
      <c r="J4531" s="440"/>
    </row>
    <row r="4532" spans="8:10" ht="15.75" customHeight="1">
      <c r="H4532" s="438"/>
      <c r="I4532" s="439"/>
      <c r="J4532" s="440"/>
    </row>
    <row r="4533" spans="8:10" ht="15.75" customHeight="1">
      <c r="H4533" s="438"/>
      <c r="I4533" s="439"/>
      <c r="J4533" s="440"/>
    </row>
    <row r="4534" spans="8:10" ht="15.75" customHeight="1">
      <c r="H4534" s="438"/>
      <c r="I4534" s="439"/>
      <c r="J4534" s="440"/>
    </row>
    <row r="4535" spans="8:10" ht="15.75" customHeight="1">
      <c r="H4535" s="438"/>
      <c r="I4535" s="439"/>
      <c r="J4535" s="440"/>
    </row>
    <row r="4536" spans="8:10" ht="15.75" customHeight="1">
      <c r="H4536" s="438"/>
      <c r="I4536" s="439"/>
      <c r="J4536" s="440"/>
    </row>
    <row r="4537" spans="8:10" ht="15.75" customHeight="1">
      <c r="H4537" s="438"/>
      <c r="I4537" s="439"/>
      <c r="J4537" s="440"/>
    </row>
    <row r="4538" spans="8:10" ht="15.75" customHeight="1">
      <c r="H4538" s="438"/>
      <c r="I4538" s="439"/>
      <c r="J4538" s="440"/>
    </row>
    <row r="4539" spans="8:10" ht="15.75" customHeight="1">
      <c r="H4539" s="438"/>
      <c r="I4539" s="439"/>
      <c r="J4539" s="440"/>
    </row>
    <row r="4540" spans="8:10" ht="15.75" customHeight="1">
      <c r="H4540" s="438"/>
      <c r="I4540" s="439"/>
      <c r="J4540" s="440"/>
    </row>
    <row r="4541" spans="8:10" ht="15.75" customHeight="1">
      <c r="H4541" s="438"/>
      <c r="I4541" s="439"/>
      <c r="J4541" s="440"/>
    </row>
    <row r="4542" spans="8:10" ht="15.75" customHeight="1">
      <c r="H4542" s="438"/>
      <c r="I4542" s="439"/>
      <c r="J4542" s="440"/>
    </row>
    <row r="4543" spans="8:10" ht="15.75" customHeight="1">
      <c r="H4543" s="438"/>
      <c r="I4543" s="439"/>
      <c r="J4543" s="440"/>
    </row>
    <row r="4544" spans="8:10" ht="15.75" customHeight="1">
      <c r="H4544" s="438"/>
      <c r="I4544" s="439"/>
      <c r="J4544" s="440"/>
    </row>
    <row r="4545" spans="8:10" ht="15.75" customHeight="1">
      <c r="H4545" s="438"/>
      <c r="I4545" s="439"/>
      <c r="J4545" s="440"/>
    </row>
    <row r="4546" spans="8:10" ht="15.75" customHeight="1">
      <c r="H4546" s="438"/>
      <c r="I4546" s="439"/>
      <c r="J4546" s="440"/>
    </row>
    <row r="4547" spans="8:10" ht="15.75" customHeight="1">
      <c r="H4547" s="438"/>
      <c r="I4547" s="439"/>
      <c r="J4547" s="440"/>
    </row>
    <row r="4548" spans="8:10" ht="15.75" customHeight="1">
      <c r="H4548" s="438"/>
      <c r="I4548" s="439"/>
      <c r="J4548" s="440"/>
    </row>
    <row r="4549" spans="8:10" ht="15.75" customHeight="1">
      <c r="H4549" s="438"/>
      <c r="I4549" s="439"/>
      <c r="J4549" s="440"/>
    </row>
    <row r="4550" spans="8:10" ht="15.75" customHeight="1">
      <c r="H4550" s="438"/>
      <c r="I4550" s="439"/>
      <c r="J4550" s="440"/>
    </row>
    <row r="4551" spans="8:10" ht="15.75" customHeight="1">
      <c r="H4551" s="438"/>
      <c r="I4551" s="439"/>
      <c r="J4551" s="440"/>
    </row>
    <row r="4552" spans="8:10" ht="15.75" customHeight="1">
      <c r="H4552" s="438"/>
      <c r="I4552" s="439"/>
      <c r="J4552" s="440"/>
    </row>
    <row r="4553" spans="8:10" ht="15.75" customHeight="1">
      <c r="H4553" s="438"/>
      <c r="I4553" s="439"/>
      <c r="J4553" s="440"/>
    </row>
    <row r="4554" spans="8:10" ht="15.75" customHeight="1">
      <c r="H4554" s="438"/>
      <c r="I4554" s="439"/>
      <c r="J4554" s="440"/>
    </row>
    <row r="4555" spans="8:10" ht="15.75" customHeight="1">
      <c r="H4555" s="438"/>
      <c r="I4555" s="439"/>
      <c r="J4555" s="440"/>
    </row>
    <row r="4556" spans="8:10" ht="15.75" customHeight="1">
      <c r="H4556" s="438"/>
      <c r="I4556" s="439"/>
      <c r="J4556" s="440"/>
    </row>
    <row r="4557" spans="8:10" ht="15.75" customHeight="1">
      <c r="H4557" s="438"/>
      <c r="I4557" s="439"/>
      <c r="J4557" s="440"/>
    </row>
    <row r="4558" spans="8:10" ht="15.75" customHeight="1">
      <c r="H4558" s="438"/>
      <c r="I4558" s="439"/>
      <c r="J4558" s="440"/>
    </row>
    <row r="4559" spans="8:10" ht="15.75" customHeight="1">
      <c r="H4559" s="438"/>
      <c r="I4559" s="439"/>
      <c r="J4559" s="440"/>
    </row>
    <row r="4560" spans="8:10" ht="15.75" customHeight="1">
      <c r="H4560" s="438"/>
      <c r="I4560" s="439"/>
      <c r="J4560" s="440"/>
    </row>
    <row r="4561" spans="8:10" ht="15.75" customHeight="1">
      <c r="H4561" s="438"/>
      <c r="I4561" s="439"/>
      <c r="J4561" s="440"/>
    </row>
    <row r="4562" spans="8:10" ht="15.75" customHeight="1">
      <c r="H4562" s="438"/>
      <c r="I4562" s="439"/>
      <c r="J4562" s="440"/>
    </row>
    <row r="4563" spans="8:10" ht="15.75" customHeight="1">
      <c r="H4563" s="438"/>
      <c r="I4563" s="439"/>
      <c r="J4563" s="440"/>
    </row>
    <row r="4564" spans="8:10" ht="15.75" customHeight="1">
      <c r="H4564" s="438"/>
      <c r="I4564" s="439"/>
      <c r="J4564" s="440"/>
    </row>
    <row r="4565" spans="8:10" ht="15.75" customHeight="1">
      <c r="H4565" s="438"/>
      <c r="I4565" s="439"/>
      <c r="J4565" s="440"/>
    </row>
    <row r="4566" spans="8:10" ht="15.75" customHeight="1">
      <c r="H4566" s="438"/>
      <c r="I4566" s="439"/>
      <c r="J4566" s="440"/>
    </row>
    <row r="4567" spans="8:10" ht="15.75" customHeight="1">
      <c r="H4567" s="438"/>
      <c r="I4567" s="439"/>
      <c r="J4567" s="440"/>
    </row>
    <row r="4568" spans="8:10" ht="15.75" customHeight="1">
      <c r="H4568" s="438"/>
      <c r="I4568" s="439"/>
      <c r="J4568" s="440"/>
    </row>
    <row r="4569" spans="8:10" ht="15.75" customHeight="1">
      <c r="H4569" s="438"/>
      <c r="I4569" s="439"/>
      <c r="J4569" s="440"/>
    </row>
    <row r="4570" spans="8:10" ht="15.75" customHeight="1">
      <c r="H4570" s="438"/>
      <c r="I4570" s="439"/>
      <c r="J4570" s="440"/>
    </row>
    <row r="4571" spans="8:10" ht="15.75" customHeight="1">
      <c r="H4571" s="438"/>
      <c r="I4571" s="439"/>
      <c r="J4571" s="440"/>
    </row>
    <row r="4572" spans="8:10" ht="15.75" customHeight="1">
      <c r="H4572" s="438"/>
      <c r="I4572" s="439"/>
      <c r="J4572" s="440"/>
    </row>
    <row r="4573" spans="8:10" ht="15.75" customHeight="1">
      <c r="H4573" s="438"/>
      <c r="I4573" s="439"/>
      <c r="J4573" s="440"/>
    </row>
    <row r="4574" spans="8:10" ht="15.75" customHeight="1">
      <c r="H4574" s="438"/>
      <c r="I4574" s="439"/>
      <c r="J4574" s="440"/>
    </row>
    <row r="4575" spans="8:10" ht="15.75" customHeight="1">
      <c r="H4575" s="438"/>
      <c r="I4575" s="439"/>
      <c r="J4575" s="440"/>
    </row>
    <row r="4576" spans="8:10" ht="15.75" customHeight="1">
      <c r="H4576" s="438"/>
      <c r="I4576" s="439"/>
      <c r="J4576" s="440"/>
    </row>
    <row r="4577" spans="8:10" ht="15.75" customHeight="1">
      <c r="H4577" s="438"/>
      <c r="I4577" s="439"/>
      <c r="J4577" s="440"/>
    </row>
    <row r="4578" spans="8:10" ht="15.75" customHeight="1">
      <c r="H4578" s="438"/>
      <c r="I4578" s="439"/>
      <c r="J4578" s="440"/>
    </row>
    <row r="4579" spans="8:10" ht="15.75" customHeight="1">
      <c r="H4579" s="438"/>
      <c r="I4579" s="439"/>
      <c r="J4579" s="440"/>
    </row>
    <row r="4580" spans="8:10" ht="15.75" customHeight="1">
      <c r="H4580" s="438"/>
      <c r="I4580" s="439"/>
      <c r="J4580" s="440"/>
    </row>
    <row r="4581" spans="8:10" ht="15.75" customHeight="1">
      <c r="H4581" s="438"/>
      <c r="I4581" s="439"/>
      <c r="J4581" s="440"/>
    </row>
    <row r="4582" spans="8:10" ht="15.75" customHeight="1">
      <c r="H4582" s="438"/>
      <c r="I4582" s="439"/>
      <c r="J4582" s="440"/>
    </row>
    <row r="4583" spans="8:10" ht="15.75" customHeight="1">
      <c r="H4583" s="438"/>
      <c r="I4583" s="439"/>
      <c r="J4583" s="440"/>
    </row>
    <row r="4584" spans="8:10" ht="15.75" customHeight="1">
      <c r="H4584" s="438"/>
      <c r="I4584" s="439"/>
      <c r="J4584" s="440"/>
    </row>
    <row r="4585" spans="8:10" ht="15.75" customHeight="1">
      <c r="H4585" s="438"/>
      <c r="I4585" s="439"/>
      <c r="J4585" s="440"/>
    </row>
    <row r="4586" spans="8:10" ht="15.75" customHeight="1">
      <c r="H4586" s="438"/>
      <c r="I4586" s="439"/>
      <c r="J4586" s="440"/>
    </row>
    <row r="4587" spans="8:10" ht="15.75" customHeight="1">
      <c r="H4587" s="438"/>
      <c r="I4587" s="439"/>
      <c r="J4587" s="440"/>
    </row>
    <row r="4588" spans="8:10" ht="15.75" customHeight="1">
      <c r="H4588" s="438"/>
      <c r="I4588" s="439"/>
      <c r="J4588" s="440"/>
    </row>
    <row r="4589" spans="8:10" ht="15.75" customHeight="1">
      <c r="H4589" s="438"/>
      <c r="I4589" s="439"/>
      <c r="J4589" s="440"/>
    </row>
    <row r="4590" spans="8:10" ht="15.75" customHeight="1">
      <c r="H4590" s="438"/>
      <c r="I4590" s="439"/>
      <c r="J4590" s="440"/>
    </row>
    <row r="4591" spans="8:10" ht="15.75" customHeight="1">
      <c r="H4591" s="438"/>
      <c r="I4591" s="439"/>
      <c r="J4591" s="440"/>
    </row>
    <row r="4592" spans="8:10" ht="15.75" customHeight="1">
      <c r="H4592" s="438"/>
      <c r="I4592" s="439"/>
      <c r="J4592" s="440"/>
    </row>
    <row r="4593" spans="8:10" ht="15.75" customHeight="1">
      <c r="H4593" s="438"/>
      <c r="I4593" s="439"/>
      <c r="J4593" s="440"/>
    </row>
    <row r="4594" spans="8:10" ht="15.75" customHeight="1">
      <c r="H4594" s="438"/>
      <c r="I4594" s="439"/>
      <c r="J4594" s="440"/>
    </row>
    <row r="4595" spans="8:10" ht="15.75" customHeight="1">
      <c r="H4595" s="438"/>
      <c r="I4595" s="439"/>
      <c r="J4595" s="440"/>
    </row>
    <row r="4596" spans="8:10" ht="15.75" customHeight="1">
      <c r="H4596" s="438"/>
      <c r="I4596" s="439"/>
      <c r="J4596" s="440"/>
    </row>
    <row r="4597" spans="8:10" ht="15.75" customHeight="1">
      <c r="H4597" s="438"/>
      <c r="I4597" s="439"/>
      <c r="J4597" s="440"/>
    </row>
    <row r="4598" spans="8:10" ht="15.75" customHeight="1">
      <c r="H4598" s="438"/>
      <c r="I4598" s="439"/>
      <c r="J4598" s="440"/>
    </row>
    <row r="4599" spans="8:10" ht="15.75" customHeight="1">
      <c r="H4599" s="438"/>
      <c r="I4599" s="439"/>
      <c r="J4599" s="440"/>
    </row>
    <row r="4600" spans="8:10" ht="15.75" customHeight="1">
      <c r="H4600" s="438"/>
      <c r="I4600" s="439"/>
      <c r="J4600" s="440"/>
    </row>
    <row r="4601" spans="8:10" ht="15.75" customHeight="1">
      <c r="H4601" s="438"/>
      <c r="I4601" s="439"/>
      <c r="J4601" s="440"/>
    </row>
    <row r="4602" spans="8:10" ht="15.75" customHeight="1">
      <c r="H4602" s="438"/>
      <c r="I4602" s="439"/>
      <c r="J4602" s="440"/>
    </row>
    <row r="4603" spans="8:10" ht="15.75" customHeight="1">
      <c r="H4603" s="438"/>
      <c r="I4603" s="439"/>
      <c r="J4603" s="440"/>
    </row>
    <row r="4604" spans="8:10" ht="15.75" customHeight="1">
      <c r="H4604" s="438"/>
      <c r="I4604" s="439"/>
      <c r="J4604" s="440"/>
    </row>
    <row r="4605" spans="8:10" ht="15.75" customHeight="1">
      <c r="H4605" s="438"/>
      <c r="I4605" s="439"/>
      <c r="J4605" s="440"/>
    </row>
    <row r="4606" spans="8:10" ht="15.75" customHeight="1">
      <c r="H4606" s="438"/>
      <c r="I4606" s="439"/>
      <c r="J4606" s="440"/>
    </row>
    <row r="4607" spans="8:10" ht="15.75" customHeight="1">
      <c r="H4607" s="438"/>
      <c r="I4607" s="439"/>
      <c r="J4607" s="440"/>
    </row>
    <row r="4608" spans="8:10" ht="15.75" customHeight="1">
      <c r="H4608" s="438"/>
      <c r="I4608" s="439"/>
      <c r="J4608" s="440"/>
    </row>
    <row r="4609" spans="8:10" ht="15.75" customHeight="1">
      <c r="H4609" s="438"/>
      <c r="I4609" s="439"/>
      <c r="J4609" s="440"/>
    </row>
    <row r="4610" spans="8:10" ht="15.75" customHeight="1">
      <c r="H4610" s="438"/>
      <c r="I4610" s="439"/>
      <c r="J4610" s="440"/>
    </row>
    <row r="4611" spans="8:10" ht="15.75" customHeight="1">
      <c r="H4611" s="438"/>
      <c r="I4611" s="439"/>
      <c r="J4611" s="440"/>
    </row>
    <row r="4612" spans="8:10" ht="15.75" customHeight="1">
      <c r="H4612" s="438"/>
      <c r="I4612" s="439"/>
      <c r="J4612" s="440"/>
    </row>
    <row r="4613" spans="8:10" ht="15.75" customHeight="1">
      <c r="H4613" s="438"/>
      <c r="I4613" s="439"/>
      <c r="J4613" s="440"/>
    </row>
    <row r="4614" spans="8:10" ht="15.75" customHeight="1">
      <c r="H4614" s="438"/>
      <c r="I4614" s="439"/>
      <c r="J4614" s="440"/>
    </row>
    <row r="4615" spans="8:10" ht="15.75" customHeight="1">
      <c r="H4615" s="438"/>
      <c r="I4615" s="439"/>
      <c r="J4615" s="440"/>
    </row>
    <row r="4616" spans="8:10" ht="15.75" customHeight="1">
      <c r="H4616" s="438"/>
      <c r="I4616" s="439"/>
      <c r="J4616" s="440"/>
    </row>
    <row r="4617" spans="8:10" ht="15.75" customHeight="1">
      <c r="H4617" s="438"/>
      <c r="I4617" s="439"/>
      <c r="J4617" s="440"/>
    </row>
    <row r="4618" spans="8:10" ht="15.75" customHeight="1">
      <c r="H4618" s="438"/>
      <c r="I4618" s="439"/>
      <c r="J4618" s="440"/>
    </row>
    <row r="4619" spans="8:10" ht="15.75" customHeight="1">
      <c r="H4619" s="438"/>
      <c r="I4619" s="439"/>
      <c r="J4619" s="440"/>
    </row>
    <row r="4620" spans="8:10" ht="15.75" customHeight="1">
      <c r="H4620" s="438"/>
      <c r="I4620" s="439"/>
      <c r="J4620" s="440"/>
    </row>
    <row r="4621" spans="8:10" ht="15.75" customHeight="1">
      <c r="H4621" s="438"/>
      <c r="I4621" s="439"/>
      <c r="J4621" s="440"/>
    </row>
    <row r="4622" spans="8:10" ht="15.75" customHeight="1">
      <c r="H4622" s="438"/>
      <c r="I4622" s="439"/>
      <c r="J4622" s="440"/>
    </row>
    <row r="4623" spans="8:10" ht="15.75" customHeight="1">
      <c r="H4623" s="438"/>
      <c r="I4623" s="439"/>
      <c r="J4623" s="440"/>
    </row>
    <row r="4624" spans="8:10" ht="15.75" customHeight="1">
      <c r="H4624" s="438"/>
      <c r="I4624" s="439"/>
      <c r="J4624" s="440"/>
    </row>
    <row r="4625" spans="8:10" ht="15.75" customHeight="1">
      <c r="H4625" s="438"/>
      <c r="I4625" s="439"/>
      <c r="J4625" s="440"/>
    </row>
    <row r="4626" spans="8:10" ht="15.75" customHeight="1">
      <c r="H4626" s="438"/>
      <c r="I4626" s="439"/>
      <c r="J4626" s="440"/>
    </row>
    <row r="4627" spans="8:10" ht="15.75" customHeight="1">
      <c r="H4627" s="438"/>
      <c r="I4627" s="439"/>
      <c r="J4627" s="440"/>
    </row>
    <row r="4628" spans="8:10" ht="15.75" customHeight="1">
      <c r="H4628" s="438"/>
      <c r="I4628" s="439"/>
      <c r="J4628" s="440"/>
    </row>
    <row r="4629" spans="8:10" ht="15.75" customHeight="1">
      <c r="H4629" s="438"/>
      <c r="I4629" s="439"/>
      <c r="J4629" s="440"/>
    </row>
    <row r="4630" spans="8:10" ht="15.75" customHeight="1">
      <c r="H4630" s="438"/>
      <c r="I4630" s="439"/>
      <c r="J4630" s="440"/>
    </row>
    <row r="4631" spans="8:10" ht="15.75" customHeight="1">
      <c r="H4631" s="438"/>
      <c r="I4631" s="439"/>
      <c r="J4631" s="440"/>
    </row>
    <row r="4632" spans="8:10" ht="15.75" customHeight="1">
      <c r="H4632" s="438"/>
      <c r="I4632" s="439"/>
      <c r="J4632" s="440"/>
    </row>
    <row r="4633" spans="8:10" ht="15.75" customHeight="1">
      <c r="H4633" s="438"/>
      <c r="I4633" s="439"/>
      <c r="J4633" s="440"/>
    </row>
    <row r="4634" spans="8:10" ht="15.75" customHeight="1">
      <c r="H4634" s="438"/>
      <c r="I4634" s="439"/>
      <c r="J4634" s="440"/>
    </row>
    <row r="4635" spans="8:10" ht="15.75" customHeight="1">
      <c r="H4635" s="438"/>
      <c r="I4635" s="439"/>
      <c r="J4635" s="440"/>
    </row>
    <row r="4636" spans="8:10" ht="15.75" customHeight="1">
      <c r="H4636" s="438"/>
      <c r="I4636" s="439"/>
      <c r="J4636" s="440"/>
    </row>
    <row r="4637" spans="8:10" ht="15.75" customHeight="1">
      <c r="H4637" s="438"/>
      <c r="I4637" s="439"/>
      <c r="J4637" s="440"/>
    </row>
    <row r="4638" spans="8:10" ht="15.75" customHeight="1">
      <c r="H4638" s="438"/>
      <c r="I4638" s="439"/>
      <c r="J4638" s="440"/>
    </row>
    <row r="4639" spans="8:10" ht="15.75" customHeight="1">
      <c r="H4639" s="438"/>
      <c r="I4639" s="439"/>
      <c r="J4639" s="440"/>
    </row>
    <row r="4640" spans="8:10" ht="15.75" customHeight="1">
      <c r="H4640" s="438"/>
      <c r="I4640" s="439"/>
      <c r="J4640" s="440"/>
    </row>
    <row r="4641" spans="8:10" ht="15.75" customHeight="1">
      <c r="H4641" s="438"/>
      <c r="I4641" s="439"/>
      <c r="J4641" s="440"/>
    </row>
    <row r="4642" spans="8:10" ht="15.75" customHeight="1">
      <c r="H4642" s="438"/>
      <c r="I4642" s="439"/>
      <c r="J4642" s="440"/>
    </row>
    <row r="4643" spans="8:10" ht="15.75" customHeight="1">
      <c r="H4643" s="438"/>
      <c r="I4643" s="439"/>
      <c r="J4643" s="440"/>
    </row>
    <row r="4644" spans="8:10" ht="15.75" customHeight="1">
      <c r="H4644" s="438"/>
      <c r="I4644" s="439"/>
      <c r="J4644" s="440"/>
    </row>
    <row r="4645" spans="8:10" ht="15.75" customHeight="1">
      <c r="H4645" s="438"/>
      <c r="I4645" s="439"/>
      <c r="J4645" s="440"/>
    </row>
    <row r="4646" spans="8:10" ht="15.75" customHeight="1">
      <c r="H4646" s="438"/>
      <c r="I4646" s="439"/>
      <c r="J4646" s="440"/>
    </row>
    <row r="4647" spans="8:10" ht="15.75" customHeight="1">
      <c r="H4647" s="438"/>
      <c r="I4647" s="439"/>
      <c r="J4647" s="440"/>
    </row>
    <row r="4648" spans="8:10" ht="15.75" customHeight="1">
      <c r="H4648" s="438"/>
      <c r="I4648" s="439"/>
      <c r="J4648" s="440"/>
    </row>
    <row r="4649" spans="8:10" ht="15.75" customHeight="1">
      <c r="H4649" s="438"/>
      <c r="I4649" s="439"/>
      <c r="J4649" s="440"/>
    </row>
    <row r="4650" spans="8:10" ht="15.75" customHeight="1">
      <c r="H4650" s="438"/>
      <c r="I4650" s="439"/>
      <c r="J4650" s="440"/>
    </row>
    <row r="4651" spans="8:10" ht="15.75" customHeight="1">
      <c r="H4651" s="438"/>
      <c r="I4651" s="439"/>
      <c r="J4651" s="440"/>
    </row>
    <row r="4652" spans="8:10" ht="15.75" customHeight="1">
      <c r="H4652" s="438"/>
      <c r="I4652" s="439"/>
      <c r="J4652" s="440"/>
    </row>
    <row r="4653" spans="8:10" ht="15.75" customHeight="1">
      <c r="H4653" s="438"/>
      <c r="I4653" s="439"/>
      <c r="J4653" s="440"/>
    </row>
    <row r="4654" spans="8:10" ht="15.75" customHeight="1">
      <c r="H4654" s="438"/>
      <c r="I4654" s="439"/>
      <c r="J4654" s="440"/>
    </row>
    <row r="4655" spans="8:10" ht="15.75" customHeight="1">
      <c r="H4655" s="438"/>
      <c r="I4655" s="439"/>
      <c r="J4655" s="440"/>
    </row>
    <row r="4656" spans="8:10" ht="15.75" customHeight="1">
      <c r="H4656" s="438"/>
      <c r="I4656" s="439"/>
      <c r="J4656" s="440"/>
    </row>
    <row r="4657" spans="8:10" ht="15.75" customHeight="1">
      <c r="H4657" s="438"/>
      <c r="I4657" s="439"/>
      <c r="J4657" s="440"/>
    </row>
    <row r="4658" spans="8:10" ht="15.75" customHeight="1">
      <c r="H4658" s="438"/>
      <c r="I4658" s="439"/>
      <c r="J4658" s="440"/>
    </row>
    <row r="4659" spans="8:10" ht="15.75" customHeight="1">
      <c r="H4659" s="438"/>
      <c r="I4659" s="439"/>
      <c r="J4659" s="440"/>
    </row>
    <row r="4660" spans="8:10" ht="15.75" customHeight="1">
      <c r="H4660" s="438"/>
      <c r="I4660" s="439"/>
      <c r="J4660" s="440"/>
    </row>
    <row r="4661" spans="8:10" ht="15.75" customHeight="1">
      <c r="H4661" s="438"/>
      <c r="I4661" s="439"/>
      <c r="J4661" s="440"/>
    </row>
    <row r="4662" spans="8:10" ht="15.75" customHeight="1">
      <c r="H4662" s="438"/>
      <c r="I4662" s="439"/>
      <c r="J4662" s="440"/>
    </row>
    <row r="4663" spans="8:10" ht="15.75" customHeight="1">
      <c r="H4663" s="438"/>
      <c r="I4663" s="439"/>
      <c r="J4663" s="440"/>
    </row>
    <row r="4664" spans="8:10" ht="15.75" customHeight="1">
      <c r="H4664" s="438"/>
      <c r="I4664" s="439"/>
      <c r="J4664" s="440"/>
    </row>
    <row r="4665" spans="8:10" ht="15.75" customHeight="1">
      <c r="H4665" s="438"/>
      <c r="I4665" s="439"/>
      <c r="J4665" s="440"/>
    </row>
    <row r="4666" spans="8:10" ht="15.75" customHeight="1">
      <c r="H4666" s="438"/>
      <c r="I4666" s="439"/>
      <c r="J4666" s="440"/>
    </row>
    <row r="4667" spans="8:10" ht="15.75" customHeight="1">
      <c r="H4667" s="438"/>
      <c r="I4667" s="439"/>
      <c r="J4667" s="440"/>
    </row>
    <row r="4668" spans="8:10" ht="15.75" customHeight="1">
      <c r="H4668" s="438"/>
      <c r="I4668" s="439"/>
      <c r="J4668" s="440"/>
    </row>
    <row r="4669" spans="8:10" ht="15.75" customHeight="1">
      <c r="H4669" s="438"/>
      <c r="I4669" s="439"/>
      <c r="J4669" s="440"/>
    </row>
    <row r="4670" spans="8:10" ht="15.75" customHeight="1">
      <c r="H4670" s="438"/>
      <c r="I4670" s="439"/>
      <c r="J4670" s="440"/>
    </row>
    <row r="4671" spans="8:10" ht="15.75" customHeight="1">
      <c r="H4671" s="438"/>
      <c r="I4671" s="439"/>
      <c r="J4671" s="440"/>
    </row>
    <row r="4672" spans="8:10" ht="15.75" customHeight="1">
      <c r="H4672" s="438"/>
      <c r="I4672" s="439"/>
      <c r="J4672" s="440"/>
    </row>
    <row r="4673" spans="8:10" ht="15.75" customHeight="1">
      <c r="H4673" s="438"/>
      <c r="I4673" s="439"/>
      <c r="J4673" s="440"/>
    </row>
    <row r="4674" spans="8:10" ht="15.75" customHeight="1">
      <c r="H4674" s="438"/>
      <c r="I4674" s="439"/>
      <c r="J4674" s="440"/>
    </row>
    <row r="4675" spans="8:10" ht="15.75" customHeight="1">
      <c r="H4675" s="438"/>
      <c r="I4675" s="439"/>
      <c r="J4675" s="440"/>
    </row>
    <row r="4676" spans="8:10" ht="15.75" customHeight="1">
      <c r="H4676" s="438"/>
      <c r="I4676" s="439"/>
      <c r="J4676" s="440"/>
    </row>
    <row r="4677" spans="8:10" ht="15.75" customHeight="1">
      <c r="H4677" s="438"/>
      <c r="I4677" s="439"/>
      <c r="J4677" s="440"/>
    </row>
    <row r="4678" spans="8:10" ht="15.75" customHeight="1">
      <c r="H4678" s="438"/>
      <c r="I4678" s="439"/>
      <c r="J4678" s="440"/>
    </row>
    <row r="4679" spans="8:10" ht="15.75" customHeight="1">
      <c r="H4679" s="438"/>
      <c r="I4679" s="439"/>
      <c r="J4679" s="440"/>
    </row>
    <row r="4680" spans="8:10" ht="15.75" customHeight="1">
      <c r="H4680" s="438"/>
      <c r="I4680" s="439"/>
      <c r="J4680" s="440"/>
    </row>
    <row r="4681" spans="8:10" ht="15.75" customHeight="1">
      <c r="H4681" s="438"/>
      <c r="I4681" s="439"/>
      <c r="J4681" s="440"/>
    </row>
    <row r="4682" spans="8:10" ht="15.75" customHeight="1">
      <c r="H4682" s="438"/>
      <c r="I4682" s="439"/>
      <c r="J4682" s="440"/>
    </row>
    <row r="4683" spans="8:10" ht="15.75" customHeight="1">
      <c r="H4683" s="438"/>
      <c r="I4683" s="439"/>
      <c r="J4683" s="440"/>
    </row>
    <row r="4684" spans="8:10" ht="15.75" customHeight="1">
      <c r="H4684" s="438"/>
      <c r="I4684" s="439"/>
      <c r="J4684" s="440"/>
    </row>
    <row r="4685" spans="8:10" ht="15.75" customHeight="1">
      <c r="H4685" s="438"/>
      <c r="I4685" s="439"/>
      <c r="J4685" s="440"/>
    </row>
    <row r="4686" spans="8:10" ht="15.75" customHeight="1">
      <c r="H4686" s="438"/>
      <c r="I4686" s="439"/>
      <c r="J4686" s="440"/>
    </row>
    <row r="4687" spans="8:10" ht="15.75" customHeight="1">
      <c r="H4687" s="438"/>
      <c r="I4687" s="439"/>
      <c r="J4687" s="440"/>
    </row>
    <row r="4688" spans="8:10" ht="15.75" customHeight="1">
      <c r="H4688" s="438"/>
      <c r="I4688" s="439"/>
      <c r="J4688" s="440"/>
    </row>
    <row r="4689" spans="8:10" ht="15.75" customHeight="1">
      <c r="H4689" s="438"/>
      <c r="I4689" s="439"/>
      <c r="J4689" s="440"/>
    </row>
    <row r="4690" spans="8:10" ht="15.75" customHeight="1">
      <c r="H4690" s="438"/>
      <c r="I4690" s="439"/>
      <c r="J4690" s="440"/>
    </row>
    <row r="4691" spans="8:10" ht="15.75" customHeight="1">
      <c r="H4691" s="438"/>
      <c r="I4691" s="439"/>
      <c r="J4691" s="440"/>
    </row>
    <row r="4692" spans="8:10" ht="15.75" customHeight="1">
      <c r="H4692" s="438"/>
      <c r="I4692" s="439"/>
      <c r="J4692" s="440"/>
    </row>
    <row r="4693" spans="8:10" ht="15.75" customHeight="1">
      <c r="H4693" s="438"/>
      <c r="I4693" s="439"/>
      <c r="J4693" s="440"/>
    </row>
    <row r="4694" spans="8:10" ht="15.75" customHeight="1">
      <c r="H4694" s="438"/>
      <c r="I4694" s="439"/>
      <c r="J4694" s="440"/>
    </row>
    <row r="4695" spans="8:10" ht="15.75" customHeight="1">
      <c r="H4695" s="438"/>
      <c r="I4695" s="439"/>
      <c r="J4695" s="440"/>
    </row>
    <row r="4696" spans="8:10" ht="15.75" customHeight="1">
      <c r="H4696" s="438"/>
      <c r="I4696" s="439"/>
      <c r="J4696" s="440"/>
    </row>
    <row r="4697" spans="8:10" ht="15.75" customHeight="1">
      <c r="H4697" s="438"/>
      <c r="I4697" s="439"/>
      <c r="J4697" s="440"/>
    </row>
    <row r="4698" spans="8:10" ht="15.75" customHeight="1">
      <c r="H4698" s="438"/>
      <c r="I4698" s="439"/>
      <c r="J4698" s="440"/>
    </row>
    <row r="4699" spans="8:10" ht="15.75" customHeight="1">
      <c r="H4699" s="438"/>
      <c r="I4699" s="439"/>
      <c r="J4699" s="440"/>
    </row>
    <row r="4700" spans="8:10" ht="15.75" customHeight="1">
      <c r="H4700" s="438"/>
      <c r="I4700" s="439"/>
      <c r="J4700" s="440"/>
    </row>
    <row r="4701" spans="8:10" ht="15.75" customHeight="1">
      <c r="H4701" s="438"/>
      <c r="I4701" s="439"/>
      <c r="J4701" s="440"/>
    </row>
    <row r="4702" spans="8:10" ht="15.75" customHeight="1">
      <c r="H4702" s="438"/>
      <c r="I4702" s="439"/>
      <c r="J4702" s="440"/>
    </row>
    <row r="4703" spans="8:10" ht="15.75" customHeight="1">
      <c r="H4703" s="438"/>
      <c r="I4703" s="439"/>
      <c r="J4703" s="440"/>
    </row>
    <row r="4704" spans="8:10" ht="15.75" customHeight="1">
      <c r="H4704" s="438"/>
      <c r="I4704" s="439"/>
      <c r="J4704" s="440"/>
    </row>
    <row r="4705" spans="8:10" ht="15.75" customHeight="1">
      <c r="H4705" s="438"/>
      <c r="I4705" s="439"/>
      <c r="J4705" s="440"/>
    </row>
    <row r="4706" spans="8:10" ht="15.75" customHeight="1">
      <c r="H4706" s="438"/>
      <c r="I4706" s="439"/>
      <c r="J4706" s="440"/>
    </row>
    <row r="4707" spans="8:10" ht="15.75" customHeight="1">
      <c r="H4707" s="438"/>
      <c r="I4707" s="439"/>
      <c r="J4707" s="440"/>
    </row>
    <row r="4708" spans="8:10" ht="15.75" customHeight="1">
      <c r="H4708" s="438"/>
      <c r="I4708" s="439"/>
      <c r="J4708" s="440"/>
    </row>
    <row r="4709" spans="8:10" ht="15.75" customHeight="1">
      <c r="H4709" s="438"/>
      <c r="I4709" s="439"/>
      <c r="J4709" s="440"/>
    </row>
    <row r="4710" spans="8:10" ht="15.75" customHeight="1">
      <c r="H4710" s="438"/>
      <c r="I4710" s="439"/>
      <c r="J4710" s="440"/>
    </row>
    <row r="4711" spans="8:10" ht="15.75" customHeight="1">
      <c r="H4711" s="438"/>
      <c r="I4711" s="439"/>
      <c r="J4711" s="440"/>
    </row>
    <row r="4712" spans="8:10" ht="15.75" customHeight="1">
      <c r="H4712" s="438"/>
      <c r="I4712" s="439"/>
      <c r="J4712" s="440"/>
    </row>
    <row r="4713" spans="8:10" ht="15.75" customHeight="1">
      <c r="H4713" s="438"/>
      <c r="I4713" s="439"/>
      <c r="J4713" s="440"/>
    </row>
    <row r="4714" spans="8:10" ht="15.75" customHeight="1">
      <c r="H4714" s="438"/>
      <c r="I4714" s="439"/>
      <c r="J4714" s="440"/>
    </row>
    <row r="4715" spans="8:10" ht="15.75" customHeight="1">
      <c r="H4715" s="438"/>
      <c r="I4715" s="439"/>
      <c r="J4715" s="440"/>
    </row>
    <row r="4716" spans="8:10" ht="15.75" customHeight="1">
      <c r="H4716" s="438"/>
      <c r="I4716" s="439"/>
      <c r="J4716" s="440"/>
    </row>
    <row r="4717" spans="8:10" ht="15.75" customHeight="1">
      <c r="H4717" s="438"/>
      <c r="I4717" s="439"/>
      <c r="J4717" s="440"/>
    </row>
    <row r="4718" spans="8:10" ht="15.75" customHeight="1">
      <c r="H4718" s="438"/>
      <c r="I4718" s="439"/>
      <c r="J4718" s="440"/>
    </row>
    <row r="4719" spans="8:10" ht="15.75" customHeight="1">
      <c r="H4719" s="438"/>
      <c r="I4719" s="439"/>
      <c r="J4719" s="440"/>
    </row>
    <row r="4720" spans="8:10" ht="15.75" customHeight="1">
      <c r="H4720" s="438"/>
      <c r="I4720" s="439"/>
      <c r="J4720" s="440"/>
    </row>
    <row r="4721" spans="8:10" ht="15.75" customHeight="1">
      <c r="H4721" s="438"/>
      <c r="I4721" s="439"/>
      <c r="J4721" s="440"/>
    </row>
    <row r="4722" spans="8:10" ht="15.75" customHeight="1">
      <c r="H4722" s="438"/>
      <c r="I4722" s="439"/>
      <c r="J4722" s="440"/>
    </row>
    <row r="4723" spans="8:10" ht="15.75" customHeight="1">
      <c r="H4723" s="438"/>
      <c r="I4723" s="439"/>
      <c r="J4723" s="440"/>
    </row>
    <row r="4724" spans="8:10" ht="15.75" customHeight="1">
      <c r="H4724" s="438"/>
      <c r="I4724" s="439"/>
      <c r="J4724" s="440"/>
    </row>
    <row r="4725" spans="8:10" ht="15.75" customHeight="1">
      <c r="H4725" s="438"/>
      <c r="I4725" s="439"/>
      <c r="J4725" s="440"/>
    </row>
    <row r="4726" spans="8:10" ht="15.75" customHeight="1">
      <c r="H4726" s="438"/>
      <c r="I4726" s="439"/>
      <c r="J4726" s="440"/>
    </row>
    <row r="4727" spans="8:10" ht="15.75" customHeight="1">
      <c r="H4727" s="438"/>
      <c r="I4727" s="439"/>
      <c r="J4727" s="440"/>
    </row>
    <row r="4728" spans="8:10" ht="15.75" customHeight="1">
      <c r="H4728" s="438"/>
      <c r="I4728" s="439"/>
      <c r="J4728" s="440"/>
    </row>
    <row r="4729" spans="8:10" ht="15.75" customHeight="1">
      <c r="H4729" s="438"/>
      <c r="I4729" s="439"/>
      <c r="J4729" s="440"/>
    </row>
    <row r="4730" spans="8:10" ht="15.75" customHeight="1">
      <c r="H4730" s="438"/>
      <c r="I4730" s="439"/>
      <c r="J4730" s="440"/>
    </row>
    <row r="4731" spans="8:10" ht="15.75" customHeight="1">
      <c r="H4731" s="438"/>
      <c r="I4731" s="439"/>
      <c r="J4731" s="440"/>
    </row>
    <row r="4732" spans="8:10" ht="15.75" customHeight="1">
      <c r="H4732" s="438"/>
      <c r="I4732" s="439"/>
      <c r="J4732" s="440"/>
    </row>
    <row r="4733" spans="8:10" ht="15.75" customHeight="1">
      <c r="H4733" s="438"/>
      <c r="I4733" s="439"/>
      <c r="J4733" s="440"/>
    </row>
    <row r="4734" spans="8:10" ht="15.75" customHeight="1">
      <c r="H4734" s="438"/>
      <c r="I4734" s="439"/>
      <c r="J4734" s="440"/>
    </row>
    <row r="4735" spans="8:10" ht="15.75" customHeight="1">
      <c r="H4735" s="438"/>
      <c r="I4735" s="439"/>
      <c r="J4735" s="440"/>
    </row>
    <row r="4736" spans="8:10" ht="15.75" customHeight="1">
      <c r="H4736" s="438"/>
      <c r="I4736" s="439"/>
      <c r="J4736" s="440"/>
    </row>
    <row r="4737" spans="8:10" ht="15.75" customHeight="1">
      <c r="H4737" s="438"/>
      <c r="I4737" s="439"/>
      <c r="J4737" s="440"/>
    </row>
    <row r="4738" spans="8:10" ht="15.75" customHeight="1">
      <c r="H4738" s="438"/>
      <c r="I4738" s="439"/>
      <c r="J4738" s="440"/>
    </row>
    <row r="4739" spans="8:10" ht="15.75" customHeight="1">
      <c r="H4739" s="438"/>
      <c r="I4739" s="439"/>
      <c r="J4739" s="440"/>
    </row>
    <row r="4740" spans="8:10" ht="15.75" customHeight="1">
      <c r="H4740" s="438"/>
      <c r="I4740" s="439"/>
      <c r="J4740" s="440"/>
    </row>
    <row r="4741" spans="8:10" ht="15.75" customHeight="1">
      <c r="H4741" s="438"/>
      <c r="I4741" s="439"/>
      <c r="J4741" s="440"/>
    </row>
    <row r="4742" spans="8:10" ht="15.75" customHeight="1">
      <c r="H4742" s="438"/>
      <c r="I4742" s="439"/>
      <c r="J4742" s="440"/>
    </row>
    <row r="4743" spans="8:10" ht="15.75" customHeight="1">
      <c r="H4743" s="438"/>
      <c r="I4743" s="439"/>
      <c r="J4743" s="440"/>
    </row>
    <row r="4744" spans="8:10" ht="15.75" customHeight="1">
      <c r="H4744" s="438"/>
      <c r="I4744" s="439"/>
      <c r="J4744" s="440"/>
    </row>
    <row r="4745" spans="8:10" ht="15.75" customHeight="1">
      <c r="H4745" s="438"/>
      <c r="I4745" s="439"/>
      <c r="J4745" s="440"/>
    </row>
    <row r="4746" spans="8:10" ht="15.75" customHeight="1">
      <c r="H4746" s="438"/>
      <c r="I4746" s="439"/>
      <c r="J4746" s="440"/>
    </row>
    <row r="4747" spans="8:10" ht="15.75" customHeight="1">
      <c r="H4747" s="438"/>
      <c r="I4747" s="439"/>
      <c r="J4747" s="440"/>
    </row>
    <row r="4748" spans="8:10" ht="15.75" customHeight="1">
      <c r="H4748" s="438"/>
      <c r="I4748" s="439"/>
      <c r="J4748" s="440"/>
    </row>
    <row r="4749" spans="8:10" ht="15.75" customHeight="1">
      <c r="H4749" s="438"/>
      <c r="I4749" s="439"/>
      <c r="J4749" s="440"/>
    </row>
    <row r="4750" spans="8:10" ht="15.75" customHeight="1">
      <c r="H4750" s="438"/>
      <c r="I4750" s="439"/>
      <c r="J4750" s="440"/>
    </row>
    <row r="4751" spans="8:10" ht="15.75" customHeight="1">
      <c r="H4751" s="438"/>
      <c r="I4751" s="439"/>
      <c r="J4751" s="440"/>
    </row>
    <row r="4752" spans="8:10" ht="15.75" customHeight="1">
      <c r="H4752" s="438"/>
      <c r="I4752" s="439"/>
      <c r="J4752" s="440"/>
    </row>
    <row r="4753" spans="8:10" ht="15.75" customHeight="1">
      <c r="H4753" s="438"/>
      <c r="I4753" s="439"/>
      <c r="J4753" s="440"/>
    </row>
    <row r="4754" spans="8:10" ht="15.75" customHeight="1">
      <c r="H4754" s="438"/>
      <c r="I4754" s="439"/>
      <c r="J4754" s="440"/>
    </row>
    <row r="4755" spans="8:10" ht="15.75" customHeight="1">
      <c r="H4755" s="438"/>
      <c r="I4755" s="439"/>
      <c r="J4755" s="440"/>
    </row>
    <row r="4756" spans="8:10" ht="15.75" customHeight="1">
      <c r="H4756" s="438"/>
      <c r="I4756" s="439"/>
      <c r="J4756" s="440"/>
    </row>
    <row r="4757" spans="8:10" ht="15.75" customHeight="1">
      <c r="H4757" s="438"/>
      <c r="I4757" s="439"/>
      <c r="J4757" s="440"/>
    </row>
    <row r="4758" spans="8:10" ht="15.75" customHeight="1">
      <c r="H4758" s="438"/>
      <c r="I4758" s="439"/>
      <c r="J4758" s="440"/>
    </row>
    <row r="4759" spans="8:10" ht="15.75" customHeight="1">
      <c r="H4759" s="438"/>
      <c r="I4759" s="439"/>
      <c r="J4759" s="440"/>
    </row>
    <row r="4760" spans="8:10" ht="15.75" customHeight="1">
      <c r="H4760" s="438"/>
      <c r="I4760" s="439"/>
      <c r="J4760" s="440"/>
    </row>
    <row r="4761" spans="8:10" ht="15.75" customHeight="1">
      <c r="H4761" s="438"/>
      <c r="I4761" s="439"/>
      <c r="J4761" s="440"/>
    </row>
    <row r="4762" spans="8:10" ht="15.75" customHeight="1">
      <c r="H4762" s="438"/>
      <c r="I4762" s="439"/>
      <c r="J4762" s="440"/>
    </row>
    <row r="4763" spans="8:10" ht="15.75" customHeight="1">
      <c r="H4763" s="438"/>
      <c r="I4763" s="439"/>
      <c r="J4763" s="440"/>
    </row>
    <row r="4764" spans="8:10" ht="15.75" customHeight="1">
      <c r="H4764" s="438"/>
      <c r="I4764" s="439"/>
      <c r="J4764" s="440"/>
    </row>
    <row r="4765" spans="8:10" ht="15.75" customHeight="1">
      <c r="H4765" s="438"/>
      <c r="I4765" s="439"/>
      <c r="J4765" s="440"/>
    </row>
    <row r="4766" spans="8:10" ht="15.75" customHeight="1">
      <c r="H4766" s="438"/>
      <c r="I4766" s="439"/>
      <c r="J4766" s="440"/>
    </row>
    <row r="4767" spans="8:10" ht="15.75" customHeight="1">
      <c r="H4767" s="438"/>
      <c r="I4767" s="439"/>
      <c r="J4767" s="440"/>
    </row>
    <row r="4768" spans="8:10" ht="15.75" customHeight="1">
      <c r="H4768" s="438"/>
      <c r="I4768" s="439"/>
      <c r="J4768" s="440"/>
    </row>
    <row r="4769" spans="8:10" ht="15.75" customHeight="1">
      <c r="H4769" s="438"/>
      <c r="I4769" s="439"/>
      <c r="J4769" s="440"/>
    </row>
    <row r="4770" spans="8:10" ht="15.75" customHeight="1">
      <c r="H4770" s="438"/>
      <c r="I4770" s="439"/>
      <c r="J4770" s="440"/>
    </row>
    <row r="4771" spans="8:10" ht="15.75" customHeight="1">
      <c r="H4771" s="438"/>
      <c r="I4771" s="439"/>
      <c r="J4771" s="440"/>
    </row>
    <row r="4772" spans="8:10" ht="15.75" customHeight="1">
      <c r="H4772" s="438"/>
      <c r="I4772" s="439"/>
      <c r="J4772" s="440"/>
    </row>
    <row r="4773" spans="8:10" ht="15.75" customHeight="1">
      <c r="H4773" s="438"/>
      <c r="I4773" s="439"/>
      <c r="J4773" s="440"/>
    </row>
    <row r="4774" spans="8:10" ht="15.75" customHeight="1">
      <c r="H4774" s="438"/>
      <c r="I4774" s="439"/>
      <c r="J4774" s="440"/>
    </row>
    <row r="4775" spans="8:10" ht="15.75" customHeight="1">
      <c r="H4775" s="438"/>
      <c r="I4775" s="439"/>
      <c r="J4775" s="440"/>
    </row>
    <row r="4776" spans="8:10" ht="15.75" customHeight="1">
      <c r="H4776" s="438"/>
      <c r="I4776" s="439"/>
      <c r="J4776" s="440"/>
    </row>
    <row r="4777" spans="8:10" ht="15.75" customHeight="1">
      <c r="H4777" s="438"/>
      <c r="I4777" s="439"/>
      <c r="J4777" s="440"/>
    </row>
    <row r="4778" spans="8:10" ht="15.75" customHeight="1">
      <c r="H4778" s="438"/>
      <c r="I4778" s="439"/>
      <c r="J4778" s="440"/>
    </row>
    <row r="4779" spans="8:10" ht="15.75" customHeight="1">
      <c r="H4779" s="438"/>
      <c r="I4779" s="439"/>
      <c r="J4779" s="440"/>
    </row>
    <row r="4780" spans="8:10" ht="15.75" customHeight="1">
      <c r="H4780" s="438"/>
      <c r="I4780" s="439"/>
      <c r="J4780" s="440"/>
    </row>
    <row r="4781" spans="8:10" ht="15.75" customHeight="1">
      <c r="H4781" s="438"/>
      <c r="I4781" s="439"/>
      <c r="J4781" s="440"/>
    </row>
    <row r="4782" spans="8:10" ht="15.75" customHeight="1">
      <c r="H4782" s="438"/>
      <c r="I4782" s="439"/>
      <c r="J4782" s="440"/>
    </row>
    <row r="4783" spans="8:10" ht="15.75" customHeight="1">
      <c r="H4783" s="438"/>
      <c r="I4783" s="439"/>
      <c r="J4783" s="440"/>
    </row>
    <row r="4784" spans="8:10" ht="15.75" customHeight="1">
      <c r="H4784" s="438"/>
      <c r="I4784" s="439"/>
      <c r="J4784" s="440"/>
    </row>
    <row r="4785" spans="8:10" ht="15.75" customHeight="1">
      <c r="H4785" s="438"/>
      <c r="I4785" s="439"/>
      <c r="J4785" s="440"/>
    </row>
    <row r="4786" spans="8:10" ht="15.75" customHeight="1">
      <c r="H4786" s="438"/>
      <c r="I4786" s="439"/>
      <c r="J4786" s="440"/>
    </row>
    <row r="4787" spans="8:10" ht="15.75" customHeight="1">
      <c r="H4787" s="438"/>
      <c r="I4787" s="439"/>
      <c r="J4787" s="440"/>
    </row>
    <row r="4788" spans="8:10" ht="15.75" customHeight="1">
      <c r="H4788" s="438"/>
      <c r="I4788" s="439"/>
      <c r="J4788" s="440"/>
    </row>
    <row r="4789" spans="8:10" ht="15.75" customHeight="1">
      <c r="H4789" s="438"/>
      <c r="I4789" s="439"/>
      <c r="J4789" s="440"/>
    </row>
    <row r="4790" spans="8:10" ht="15.75" customHeight="1">
      <c r="H4790" s="438"/>
      <c r="I4790" s="439"/>
      <c r="J4790" s="440"/>
    </row>
    <row r="4791" spans="8:10" ht="15.75" customHeight="1">
      <c r="H4791" s="438"/>
      <c r="I4791" s="439"/>
      <c r="J4791" s="440"/>
    </row>
    <row r="4792" spans="8:10" ht="15.75" customHeight="1">
      <c r="H4792" s="438"/>
      <c r="I4792" s="439"/>
      <c r="J4792" s="440"/>
    </row>
    <row r="4793" spans="8:10" ht="15.75" customHeight="1">
      <c r="H4793" s="438"/>
      <c r="I4793" s="439"/>
      <c r="J4793" s="440"/>
    </row>
    <row r="4794" spans="8:10" ht="15.75" customHeight="1">
      <c r="H4794" s="438"/>
      <c r="I4794" s="439"/>
      <c r="J4794" s="440"/>
    </row>
    <row r="4795" spans="8:10" ht="15.75" customHeight="1">
      <c r="H4795" s="438"/>
      <c r="I4795" s="439"/>
      <c r="J4795" s="440"/>
    </row>
    <row r="4796" spans="8:10" ht="15.75" customHeight="1">
      <c r="H4796" s="438"/>
      <c r="I4796" s="439"/>
      <c r="J4796" s="440"/>
    </row>
    <row r="4797" spans="8:10" ht="15.75" customHeight="1">
      <c r="H4797" s="438"/>
      <c r="I4797" s="439"/>
      <c r="J4797" s="440"/>
    </row>
    <row r="4798" spans="8:10" ht="15.75" customHeight="1">
      <c r="H4798" s="438"/>
      <c r="I4798" s="439"/>
      <c r="J4798" s="440"/>
    </row>
    <row r="4799" spans="8:10" ht="15.75" customHeight="1">
      <c r="H4799" s="438"/>
      <c r="I4799" s="439"/>
      <c r="J4799" s="440"/>
    </row>
    <row r="4800" spans="8:10" ht="15.75" customHeight="1">
      <c r="H4800" s="438"/>
      <c r="I4800" s="439"/>
      <c r="J4800" s="440"/>
    </row>
    <row r="4801" spans="8:10" ht="15.75" customHeight="1">
      <c r="H4801" s="438"/>
      <c r="I4801" s="439"/>
      <c r="J4801" s="440"/>
    </row>
    <row r="4802" spans="8:10" ht="15.75" customHeight="1">
      <c r="H4802" s="438"/>
      <c r="I4802" s="439"/>
      <c r="J4802" s="440"/>
    </row>
    <row r="4803" spans="8:10" ht="15.75" customHeight="1">
      <c r="H4803" s="438"/>
      <c r="I4803" s="439"/>
      <c r="J4803" s="440"/>
    </row>
    <row r="4804" spans="8:10" ht="15.75" customHeight="1">
      <c r="H4804" s="438"/>
      <c r="I4804" s="439"/>
      <c r="J4804" s="440"/>
    </row>
    <row r="4805" spans="8:10" ht="15.75" customHeight="1">
      <c r="H4805" s="438"/>
      <c r="I4805" s="439"/>
      <c r="J4805" s="440"/>
    </row>
    <row r="4806" spans="8:10" ht="15.75" customHeight="1">
      <c r="H4806" s="438"/>
      <c r="I4806" s="439"/>
      <c r="J4806" s="440"/>
    </row>
    <row r="4807" spans="8:10" ht="15.75" customHeight="1">
      <c r="H4807" s="438"/>
      <c r="I4807" s="439"/>
      <c r="J4807" s="440"/>
    </row>
    <row r="4808" spans="8:10" ht="15.75" customHeight="1">
      <c r="H4808" s="438"/>
      <c r="I4808" s="439"/>
      <c r="J4808" s="440"/>
    </row>
    <row r="4809" spans="8:10" ht="15.75" customHeight="1">
      <c r="H4809" s="438"/>
      <c r="I4809" s="439"/>
      <c r="J4809" s="440"/>
    </row>
    <row r="4810" spans="8:10" ht="15.75" customHeight="1">
      <c r="H4810" s="438"/>
      <c r="I4810" s="439"/>
      <c r="J4810" s="440"/>
    </row>
    <row r="4811" spans="8:10" ht="15.75" customHeight="1">
      <c r="H4811" s="438"/>
      <c r="I4811" s="439"/>
      <c r="J4811" s="440"/>
    </row>
    <row r="4812" spans="8:10" ht="15.75" customHeight="1">
      <c r="H4812" s="438"/>
      <c r="I4812" s="439"/>
      <c r="J4812" s="440"/>
    </row>
    <row r="4813" spans="8:10" ht="15.75" customHeight="1">
      <c r="H4813" s="438"/>
      <c r="I4813" s="439"/>
      <c r="J4813" s="440"/>
    </row>
    <row r="4814" spans="8:10" ht="15.75" customHeight="1">
      <c r="H4814" s="438"/>
      <c r="I4814" s="439"/>
      <c r="J4814" s="440"/>
    </row>
    <row r="4815" spans="8:10" ht="15.75" customHeight="1">
      <c r="H4815" s="438"/>
      <c r="I4815" s="439"/>
      <c r="J4815" s="440"/>
    </row>
    <row r="4816" spans="8:10" ht="15.75" customHeight="1">
      <c r="H4816" s="438"/>
      <c r="I4816" s="439"/>
      <c r="J4816" s="440"/>
    </row>
    <row r="4817" spans="8:10" ht="15.75" customHeight="1">
      <c r="H4817" s="438"/>
      <c r="I4817" s="439"/>
      <c r="J4817" s="440"/>
    </row>
    <row r="4818" spans="8:10" ht="15.75" customHeight="1">
      <c r="H4818" s="438"/>
      <c r="I4818" s="439"/>
      <c r="J4818" s="440"/>
    </row>
    <row r="4819" spans="8:10" ht="15.75" customHeight="1">
      <c r="H4819" s="438"/>
      <c r="I4819" s="439"/>
      <c r="J4819" s="440"/>
    </row>
    <row r="4820" spans="8:10" ht="15.75" customHeight="1">
      <c r="H4820" s="438"/>
      <c r="I4820" s="439"/>
      <c r="J4820" s="440"/>
    </row>
    <row r="4821" spans="8:10" ht="15.75" customHeight="1">
      <c r="H4821" s="438"/>
      <c r="I4821" s="439"/>
      <c r="J4821" s="440"/>
    </row>
    <row r="4822" spans="8:10" ht="15.75" customHeight="1">
      <c r="H4822" s="438"/>
      <c r="I4822" s="439"/>
      <c r="J4822" s="440"/>
    </row>
    <row r="4823" spans="8:10" ht="15.75" customHeight="1">
      <c r="H4823" s="438"/>
      <c r="I4823" s="439"/>
      <c r="J4823" s="440"/>
    </row>
    <row r="4824" spans="8:10" ht="15.75" customHeight="1">
      <c r="H4824" s="438"/>
      <c r="I4824" s="439"/>
      <c r="J4824" s="440"/>
    </row>
    <row r="4825" spans="8:10" ht="15.75" customHeight="1">
      <c r="H4825" s="438"/>
      <c r="I4825" s="439"/>
      <c r="J4825" s="440"/>
    </row>
    <row r="4826" spans="8:10" ht="15.75" customHeight="1">
      <c r="H4826" s="438"/>
      <c r="I4826" s="439"/>
      <c r="J4826" s="440"/>
    </row>
    <row r="4827" spans="8:10" ht="15.75" customHeight="1">
      <c r="H4827" s="438"/>
      <c r="I4827" s="439"/>
      <c r="J4827" s="440"/>
    </row>
    <row r="4828" spans="8:10" ht="15.75" customHeight="1">
      <c r="H4828" s="438"/>
      <c r="I4828" s="439"/>
      <c r="J4828" s="440"/>
    </row>
    <row r="4829" spans="8:10" ht="15.75" customHeight="1">
      <c r="H4829" s="438"/>
      <c r="I4829" s="439"/>
      <c r="J4829" s="440"/>
    </row>
    <row r="4830" spans="8:10" ht="15.75" customHeight="1">
      <c r="H4830" s="438"/>
      <c r="I4830" s="439"/>
      <c r="J4830" s="440"/>
    </row>
    <row r="4831" spans="8:10" ht="15.75" customHeight="1">
      <c r="H4831" s="438"/>
      <c r="I4831" s="439"/>
      <c r="J4831" s="440"/>
    </row>
    <row r="4832" spans="8:10" ht="15.75" customHeight="1">
      <c r="H4832" s="438"/>
      <c r="I4832" s="439"/>
      <c r="J4832" s="440"/>
    </row>
    <row r="4833" spans="8:10" ht="15.75" customHeight="1">
      <c r="H4833" s="438"/>
      <c r="I4833" s="439"/>
      <c r="J4833" s="440"/>
    </row>
    <row r="4834" spans="8:10" ht="15.75" customHeight="1">
      <c r="H4834" s="438"/>
      <c r="I4834" s="439"/>
      <c r="J4834" s="440"/>
    </row>
    <row r="4835" spans="8:10" ht="15.75" customHeight="1">
      <c r="H4835" s="438"/>
      <c r="I4835" s="439"/>
      <c r="J4835" s="440"/>
    </row>
    <row r="4836" spans="8:10" ht="15.75" customHeight="1">
      <c r="H4836" s="438"/>
      <c r="I4836" s="439"/>
      <c r="J4836" s="440"/>
    </row>
    <row r="4837" spans="8:10" ht="15.75" customHeight="1">
      <c r="H4837" s="438"/>
      <c r="I4837" s="439"/>
      <c r="J4837" s="440"/>
    </row>
    <row r="4838" spans="8:10" ht="15.75" customHeight="1">
      <c r="H4838" s="438"/>
      <c r="I4838" s="439"/>
      <c r="J4838" s="440"/>
    </row>
    <row r="4839" spans="8:10" ht="15.75" customHeight="1">
      <c r="H4839" s="438"/>
      <c r="I4839" s="439"/>
      <c r="J4839" s="440"/>
    </row>
    <row r="4840" spans="8:10" ht="15.75" customHeight="1">
      <c r="H4840" s="438"/>
      <c r="I4840" s="439"/>
      <c r="J4840" s="440"/>
    </row>
    <row r="4841" spans="8:10" ht="15.75" customHeight="1">
      <c r="H4841" s="438"/>
      <c r="I4841" s="439"/>
      <c r="J4841" s="440"/>
    </row>
    <row r="4842" spans="8:10" ht="15.75" customHeight="1">
      <c r="H4842" s="438"/>
      <c r="I4842" s="439"/>
      <c r="J4842" s="440"/>
    </row>
    <row r="4843" spans="8:10" ht="15.75" customHeight="1">
      <c r="H4843" s="438"/>
      <c r="I4843" s="439"/>
      <c r="J4843" s="440"/>
    </row>
    <row r="4844" spans="8:10" ht="15.75" customHeight="1">
      <c r="H4844" s="438"/>
      <c r="I4844" s="439"/>
      <c r="J4844" s="440"/>
    </row>
    <row r="4845" spans="8:10" ht="15.75" customHeight="1">
      <c r="H4845" s="438"/>
      <c r="I4845" s="439"/>
      <c r="J4845" s="440"/>
    </row>
    <row r="4846" spans="8:10" ht="15.75" customHeight="1">
      <c r="H4846" s="438"/>
      <c r="I4846" s="439"/>
      <c r="J4846" s="440"/>
    </row>
    <row r="4847" spans="8:10" ht="15.75" customHeight="1">
      <c r="H4847" s="438"/>
      <c r="I4847" s="439"/>
      <c r="J4847" s="440"/>
    </row>
    <row r="4848" spans="8:10" ht="15.75" customHeight="1">
      <c r="H4848" s="438"/>
      <c r="I4848" s="439"/>
      <c r="J4848" s="440"/>
    </row>
    <row r="4849" spans="8:10" ht="15.75" customHeight="1">
      <c r="H4849" s="438"/>
      <c r="I4849" s="439"/>
      <c r="J4849" s="440"/>
    </row>
    <row r="4850" spans="8:10" ht="15.75" customHeight="1">
      <c r="H4850" s="438"/>
      <c r="I4850" s="439"/>
      <c r="J4850" s="440"/>
    </row>
    <row r="4851" spans="8:10" ht="15.75" customHeight="1">
      <c r="H4851" s="438"/>
      <c r="I4851" s="439"/>
      <c r="J4851" s="440"/>
    </row>
    <row r="4852" spans="8:10" ht="15.75" customHeight="1">
      <c r="H4852" s="438"/>
      <c r="I4852" s="439"/>
      <c r="J4852" s="440"/>
    </row>
    <row r="4853" spans="8:10" ht="15.75" customHeight="1">
      <c r="H4853" s="438"/>
      <c r="I4853" s="439"/>
      <c r="J4853" s="440"/>
    </row>
    <row r="4854" spans="8:10" ht="15.75" customHeight="1">
      <c r="H4854" s="438"/>
      <c r="I4854" s="439"/>
      <c r="J4854" s="440"/>
    </row>
    <row r="4855" spans="8:10" ht="15.75" customHeight="1">
      <c r="H4855" s="438"/>
      <c r="I4855" s="439"/>
      <c r="J4855" s="440"/>
    </row>
    <row r="4856" spans="8:10" ht="15.75" customHeight="1">
      <c r="H4856" s="438"/>
      <c r="I4856" s="439"/>
      <c r="J4856" s="440"/>
    </row>
    <row r="4857" spans="8:10" ht="15.75" customHeight="1">
      <c r="H4857" s="438"/>
      <c r="I4857" s="439"/>
      <c r="J4857" s="440"/>
    </row>
    <row r="4858" spans="8:10" ht="15.75" customHeight="1">
      <c r="H4858" s="438"/>
      <c r="I4858" s="439"/>
      <c r="J4858" s="440"/>
    </row>
    <row r="4859" spans="8:10" ht="15.75" customHeight="1">
      <c r="H4859" s="438"/>
      <c r="I4859" s="439"/>
      <c r="J4859" s="440"/>
    </row>
    <row r="4860" spans="8:10" ht="15.75" customHeight="1">
      <c r="H4860" s="438"/>
      <c r="I4860" s="439"/>
      <c r="J4860" s="440"/>
    </row>
    <row r="4861" spans="8:10" ht="15.75" customHeight="1">
      <c r="H4861" s="438"/>
      <c r="I4861" s="439"/>
      <c r="J4861" s="440"/>
    </row>
    <row r="4862" spans="8:10" ht="15.75" customHeight="1">
      <c r="H4862" s="438"/>
      <c r="I4862" s="439"/>
      <c r="J4862" s="440"/>
    </row>
    <row r="4863" spans="8:10" ht="15.75" customHeight="1">
      <c r="H4863" s="438"/>
      <c r="I4863" s="439"/>
      <c r="J4863" s="440"/>
    </row>
    <row r="4864" spans="8:10" ht="15.75" customHeight="1">
      <c r="H4864" s="438"/>
      <c r="I4864" s="439"/>
      <c r="J4864" s="440"/>
    </row>
    <row r="4865" spans="8:10" ht="15.75" customHeight="1">
      <c r="H4865" s="438"/>
      <c r="I4865" s="439"/>
      <c r="J4865" s="440"/>
    </row>
    <row r="4866" spans="8:10" ht="15.75" customHeight="1">
      <c r="H4866" s="438"/>
      <c r="I4866" s="439"/>
      <c r="J4866" s="440"/>
    </row>
    <row r="4867" spans="8:10" ht="15.75" customHeight="1">
      <c r="H4867" s="438"/>
      <c r="I4867" s="439"/>
      <c r="J4867" s="440"/>
    </row>
    <row r="4868" spans="8:10" ht="15.75" customHeight="1">
      <c r="H4868" s="438"/>
      <c r="I4868" s="439"/>
      <c r="J4868" s="440"/>
    </row>
    <row r="4869" spans="8:10" ht="15.75" customHeight="1">
      <c r="H4869" s="438"/>
      <c r="I4869" s="439"/>
      <c r="J4869" s="440"/>
    </row>
    <row r="4870" spans="8:10" ht="15.75" customHeight="1">
      <c r="H4870" s="438"/>
      <c r="I4870" s="439"/>
      <c r="J4870" s="440"/>
    </row>
    <row r="4871" spans="8:10" ht="15.75" customHeight="1">
      <c r="H4871" s="438"/>
      <c r="I4871" s="439"/>
      <c r="J4871" s="440"/>
    </row>
    <row r="4872" spans="8:10" ht="15.75" customHeight="1">
      <c r="H4872" s="438"/>
      <c r="I4872" s="439"/>
      <c r="J4872" s="440"/>
    </row>
    <row r="4873" spans="8:10" ht="15.75" customHeight="1">
      <c r="H4873" s="438"/>
      <c r="I4873" s="439"/>
      <c r="J4873" s="440"/>
    </row>
    <row r="4874" spans="8:10" ht="15.75" customHeight="1">
      <c r="H4874" s="438"/>
      <c r="I4874" s="439"/>
      <c r="J4874" s="440"/>
    </row>
    <row r="4875" spans="8:10" ht="15.75" customHeight="1">
      <c r="H4875" s="438"/>
      <c r="I4875" s="439"/>
      <c r="J4875" s="440"/>
    </row>
    <row r="4876" spans="8:10" ht="15.75" customHeight="1">
      <c r="H4876" s="438"/>
      <c r="I4876" s="439"/>
      <c r="J4876" s="440"/>
    </row>
    <row r="4877" spans="8:10" ht="15.75" customHeight="1">
      <c r="H4877" s="438"/>
      <c r="I4877" s="439"/>
      <c r="J4877" s="440"/>
    </row>
    <row r="4878" spans="8:10" ht="15.75" customHeight="1">
      <c r="H4878" s="438"/>
      <c r="I4878" s="439"/>
      <c r="J4878" s="440"/>
    </row>
    <row r="4879" spans="8:10" ht="15.75" customHeight="1">
      <c r="H4879" s="438"/>
      <c r="I4879" s="439"/>
      <c r="J4879" s="440"/>
    </row>
    <row r="4880" spans="8:10" ht="15.75" customHeight="1">
      <c r="H4880" s="438"/>
      <c r="I4880" s="439"/>
      <c r="J4880" s="440"/>
    </row>
    <row r="4881" spans="8:10" ht="15.75" customHeight="1">
      <c r="H4881" s="438"/>
      <c r="I4881" s="439"/>
      <c r="J4881" s="440"/>
    </row>
    <row r="4882" spans="8:10" ht="15.75" customHeight="1">
      <c r="H4882" s="438"/>
      <c r="I4882" s="439"/>
      <c r="J4882" s="440"/>
    </row>
    <row r="4883" spans="8:10" ht="15.75" customHeight="1">
      <c r="H4883" s="438"/>
      <c r="I4883" s="439"/>
      <c r="J4883" s="440"/>
    </row>
    <row r="4884" spans="8:10" ht="15.75" customHeight="1">
      <c r="H4884" s="438"/>
      <c r="I4884" s="439"/>
      <c r="J4884" s="440"/>
    </row>
    <row r="4885" spans="8:10" ht="15.75" customHeight="1">
      <c r="H4885" s="438"/>
      <c r="I4885" s="439"/>
      <c r="J4885" s="440"/>
    </row>
    <row r="4886" spans="8:10" ht="15.75" customHeight="1">
      <c r="H4886" s="438"/>
      <c r="I4886" s="439"/>
      <c r="J4886" s="440"/>
    </row>
    <row r="4887" spans="8:10" ht="15.75" customHeight="1">
      <c r="H4887" s="438"/>
      <c r="I4887" s="439"/>
      <c r="J4887" s="440"/>
    </row>
    <row r="4888" spans="8:10" ht="15.75" customHeight="1">
      <c r="H4888" s="438"/>
      <c r="I4888" s="439"/>
      <c r="J4888" s="440"/>
    </row>
    <row r="4889" spans="8:10" ht="15.75" customHeight="1">
      <c r="H4889" s="438"/>
      <c r="I4889" s="439"/>
      <c r="J4889" s="440"/>
    </row>
    <row r="4890" spans="8:10" ht="15.75" customHeight="1">
      <c r="H4890" s="438"/>
      <c r="I4890" s="439"/>
      <c r="J4890" s="440"/>
    </row>
    <row r="4891" spans="8:10" ht="15.75" customHeight="1">
      <c r="H4891" s="438"/>
      <c r="I4891" s="439"/>
      <c r="J4891" s="440"/>
    </row>
    <row r="4892" spans="8:10" ht="15.75" customHeight="1">
      <c r="H4892" s="438"/>
      <c r="I4892" s="439"/>
      <c r="J4892" s="440"/>
    </row>
    <row r="4893" spans="8:10" ht="15.75" customHeight="1">
      <c r="H4893" s="438"/>
      <c r="I4893" s="439"/>
      <c r="J4893" s="440"/>
    </row>
    <row r="4894" spans="8:10" ht="15.75" customHeight="1">
      <c r="H4894" s="438"/>
      <c r="I4894" s="439"/>
      <c r="J4894" s="440"/>
    </row>
    <row r="4895" spans="8:10" ht="15.75" customHeight="1">
      <c r="H4895" s="438"/>
      <c r="I4895" s="439"/>
      <c r="J4895" s="440"/>
    </row>
    <row r="4896" spans="8:10" ht="15.75" customHeight="1">
      <c r="H4896" s="438"/>
      <c r="I4896" s="439"/>
      <c r="J4896" s="440"/>
    </row>
    <row r="4897" spans="8:10" ht="15.75" customHeight="1">
      <c r="H4897" s="438"/>
      <c r="I4897" s="439"/>
      <c r="J4897" s="440"/>
    </row>
    <row r="4898" spans="8:10" ht="15.75" customHeight="1">
      <c r="H4898" s="438"/>
      <c r="I4898" s="439"/>
      <c r="J4898" s="440"/>
    </row>
    <row r="4899" spans="8:10" ht="15.75" customHeight="1">
      <c r="H4899" s="438"/>
      <c r="I4899" s="439"/>
      <c r="J4899" s="440"/>
    </row>
    <row r="4900" spans="8:10" ht="15.75" customHeight="1">
      <c r="H4900" s="438"/>
      <c r="I4900" s="439"/>
      <c r="J4900" s="440"/>
    </row>
    <row r="4901" spans="8:10" ht="15.75" customHeight="1">
      <c r="H4901" s="438"/>
      <c r="I4901" s="439"/>
      <c r="J4901" s="440"/>
    </row>
    <row r="4902" spans="8:10" ht="15.75" customHeight="1">
      <c r="H4902" s="438"/>
      <c r="I4902" s="439"/>
      <c r="J4902" s="440"/>
    </row>
    <row r="4903" spans="8:10" ht="15.75" customHeight="1">
      <c r="H4903" s="438"/>
      <c r="I4903" s="439"/>
      <c r="J4903" s="440"/>
    </row>
    <row r="4904" spans="8:10" ht="15.75" customHeight="1">
      <c r="H4904" s="438"/>
      <c r="I4904" s="439"/>
      <c r="J4904" s="440"/>
    </row>
    <row r="4905" spans="8:10" ht="15.75" customHeight="1">
      <c r="H4905" s="438"/>
      <c r="I4905" s="439"/>
      <c r="J4905" s="440"/>
    </row>
    <row r="4906" spans="8:10" ht="15.75" customHeight="1">
      <c r="H4906" s="438"/>
      <c r="I4906" s="439"/>
      <c r="J4906" s="440"/>
    </row>
    <row r="4907" spans="8:10" ht="15.75" customHeight="1">
      <c r="H4907" s="438"/>
      <c r="I4907" s="439"/>
      <c r="J4907" s="440"/>
    </row>
  </sheetData>
  <autoFilter ref="A2:BA811">
    <filterColumn colId="13" showButton="0"/>
    <filterColumn colId="14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8" showButton="0"/>
    <filterColumn colId="29" showButton="0"/>
    <filterColumn colId="39" showButton="0"/>
    <filterColumn colId="40" showButton="0"/>
    <filterColumn colId="42" showButton="0"/>
    <filterColumn colId="43" showButton="0"/>
    <filterColumn colId="45" showButton="0"/>
    <filterColumn colId="46" showButton="0"/>
  </autoFilter>
  <mergeCells count="12">
    <mergeCell ref="A1:AZ1"/>
    <mergeCell ref="A310:A311"/>
    <mergeCell ref="A316:A317"/>
    <mergeCell ref="BP10:BQ10"/>
    <mergeCell ref="AT2:AV2"/>
    <mergeCell ref="AN2:AP2"/>
    <mergeCell ref="N2:P2"/>
    <mergeCell ref="T2:V2"/>
    <mergeCell ref="W2:Y2"/>
    <mergeCell ref="Z2:AB2"/>
    <mergeCell ref="AC2:AE2"/>
    <mergeCell ref="AQ2:AS2"/>
  </mergeCells>
  <phoneticPr fontId="0" type="noConversion"/>
  <conditionalFormatting sqref="AQ355 AQ359 AQ357">
    <cfRule type="cellIs" dxfId="41" priority="11" stopIfTrue="1" operator="notBetween">
      <formula>-0.36</formula>
      <formula>0.36</formula>
    </cfRule>
  </conditionalFormatting>
  <conditionalFormatting sqref="AT7">
    <cfRule type="cellIs" dxfId="40" priority="9" operator="lessThan">
      <formula>-20</formula>
    </cfRule>
    <cfRule type="cellIs" dxfId="39" priority="10" operator="greaterThan">
      <formula>20</formula>
    </cfRule>
  </conditionalFormatting>
  <conditionalFormatting sqref="AQ7">
    <cfRule type="cellIs" dxfId="38" priority="6" operator="greaterThan">
      <formula>".47"</formula>
    </cfRule>
  </conditionalFormatting>
  <conditionalFormatting sqref="AW31:BA31">
    <cfRule type="expression" dxfId="37" priority="2">
      <formula>"if(BA32&lt;1)"</formula>
    </cfRule>
  </conditionalFormatting>
  <conditionalFormatting sqref="AW32:BA32">
    <cfRule type="expression" dxfId="36" priority="1">
      <formula>"if(BA32&lt;1)"</formula>
    </cfRule>
  </conditionalFormatting>
  <printOptions horizontalCentered="1" gridLines="1"/>
  <pageMargins left="0.39370078740157483" right="0.39370078740157483" top="0.98425196850393704" bottom="1.1811023622047245" header="0.31496062992125984" footer="0.31496062992125984"/>
  <pageSetup paperSize="8" scale="52" fitToHeight="0" orientation="landscape" cellComments="asDisplayed" r:id="rId1"/>
  <headerFooter alignWithMargins="0">
    <oddHeader>&amp;L&amp;G&amp;C
LAYOUT AND EQUIPMENT
EP11 
KP11+813 - KP30+900
&amp;R&amp;G</oddHeader>
    <oddFooter>&amp;L
&amp;F&amp;C&amp;G
&amp;D&amp;R
Pag &amp;P of &amp;N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F0"/>
    <pageSetUpPr fitToPage="1"/>
  </sheetPr>
  <dimension ref="A1:DL4978"/>
  <sheetViews>
    <sheetView zoomScale="68" zoomScaleNormal="68" zoomScaleSheetLayoutView="90" workbookViewId="0">
      <pane xSplit="5" ySplit="3" topLeftCell="H4" activePane="bottomRight" state="frozen"/>
      <selection activeCell="C20" sqref="C20"/>
      <selection pane="topRight" activeCell="C20" sqref="C20"/>
      <selection pane="bottomLeft" activeCell="C20" sqref="C20"/>
      <selection pane="bottomRight" activeCell="AY584" sqref="AY584"/>
    </sheetView>
  </sheetViews>
  <sheetFormatPr baseColWidth="10" defaultColWidth="11.42578125" defaultRowHeight="15.75" customHeight="1"/>
  <cols>
    <col min="1" max="1" width="22.5703125" style="1082" customWidth="1"/>
    <col min="2" max="2" width="12.85546875" style="436" customWidth="1"/>
    <col min="3" max="3" width="14.5703125" style="1078" hidden="1" customWidth="1"/>
    <col min="4" max="4" width="13.42578125" style="418" hidden="1" customWidth="1"/>
    <col min="5" max="5" width="11.85546875" style="312" hidden="1" customWidth="1"/>
    <col min="6" max="6" width="11" style="1077" hidden="1" customWidth="1"/>
    <col min="7" max="7" width="8" style="436" hidden="1" customWidth="1"/>
    <col min="8" max="8" width="16" style="436" customWidth="1"/>
    <col min="9" max="9" width="14.7109375" style="436" customWidth="1"/>
    <col min="10" max="10" width="16.5703125" style="1079" hidden="1" customWidth="1"/>
    <col min="11" max="11" width="14.7109375" style="436" customWidth="1"/>
    <col min="12" max="12" width="16.140625" style="436" customWidth="1"/>
    <col min="13" max="13" width="16" style="436" customWidth="1"/>
    <col min="14" max="16" width="8.5703125" style="436" customWidth="1"/>
    <col min="17" max="17" width="12.28515625" style="436" customWidth="1"/>
    <col min="18" max="18" width="13.85546875" style="436" customWidth="1"/>
    <col min="19" max="19" width="10.85546875" style="436" customWidth="1"/>
    <col min="20" max="22" width="5.7109375" style="436" customWidth="1"/>
    <col min="23" max="23" width="5.5703125" style="436" customWidth="1"/>
    <col min="24" max="25" width="5.7109375" style="436" customWidth="1"/>
    <col min="26" max="26" width="7" style="436" customWidth="1"/>
    <col min="27" max="27" width="7.42578125" style="436" customWidth="1"/>
    <col min="28" max="28" width="5.7109375" style="436" customWidth="1"/>
    <col min="29" max="29" width="11.28515625" style="436" customWidth="1"/>
    <col min="30" max="30" width="10.28515625" style="436" customWidth="1"/>
    <col min="31" max="31" width="4.140625" style="436" customWidth="1"/>
    <col min="32" max="32" width="12" style="436" customWidth="1"/>
    <col min="33" max="33" width="15.28515625" style="436" customWidth="1"/>
    <col min="34" max="34" width="11.42578125" style="436" customWidth="1"/>
    <col min="35" max="35" width="16.5703125" style="436" customWidth="1"/>
    <col min="36" max="36" width="17" style="436" customWidth="1"/>
    <col min="37" max="37" width="13.140625" style="436" customWidth="1"/>
    <col min="38" max="38" width="10.85546875" style="312" customWidth="1"/>
    <col min="39" max="39" width="14.85546875" style="312" customWidth="1"/>
    <col min="40" max="40" width="8" style="436" customWidth="1"/>
    <col min="41" max="42" width="4.140625" style="436" customWidth="1"/>
    <col min="43" max="43" width="9.7109375" style="312" customWidth="1"/>
    <col min="44" max="45" width="4.42578125" style="312" customWidth="1"/>
    <col min="46" max="46" width="13.42578125" style="312" customWidth="1"/>
    <col min="47" max="48" width="4.140625" style="312" customWidth="1"/>
    <col min="49" max="49" width="10.140625" style="312" customWidth="1"/>
    <col min="50" max="50" width="11.85546875" style="312" customWidth="1"/>
    <col min="51" max="51" width="9.42578125" style="312" customWidth="1"/>
    <col min="52" max="53" width="10.5703125" style="418" customWidth="1"/>
    <col min="54" max="54" width="17.140625" style="1119" customWidth="1"/>
    <col min="55" max="55" width="63" style="1119" customWidth="1"/>
    <col min="56" max="56" width="15.85546875" style="1119" customWidth="1"/>
    <col min="57" max="57" width="5" style="1119" customWidth="1"/>
    <col min="58" max="58" width="50.5703125" style="307" customWidth="1"/>
    <col min="59" max="59" width="22" style="307" customWidth="1"/>
    <col min="60" max="60" width="10.140625" style="307" customWidth="1"/>
    <col min="61" max="61" width="29.85546875" style="1119" customWidth="1"/>
    <col min="62" max="63" width="16.85546875" style="1119" customWidth="1"/>
    <col min="64" max="66" width="11.42578125" style="1119" customWidth="1"/>
    <col min="67" max="67" width="11.85546875" style="1119" bestFit="1" customWidth="1"/>
    <col min="68" max="68" width="15.42578125" style="1119" bestFit="1" customWidth="1"/>
    <col min="69" max="69" width="12.85546875" style="1119" bestFit="1" customWidth="1"/>
    <col min="70" max="77" width="11.42578125" style="1119"/>
    <col min="78" max="78" width="0" style="1119" hidden="1" customWidth="1"/>
    <col min="79" max="83" width="11.42578125" style="1119"/>
    <col min="84" max="96" width="0" style="1119" hidden="1" customWidth="1"/>
    <col min="97" max="16384" width="11.42578125" style="1119"/>
  </cols>
  <sheetData>
    <row r="1" spans="1:65" ht="35.25" customHeight="1" thickBot="1">
      <c r="A1" s="1223" t="s">
        <v>469</v>
      </c>
      <c r="B1" s="1224"/>
      <c r="C1" s="1224"/>
      <c r="D1" s="1224"/>
      <c r="E1" s="1224"/>
      <c r="F1" s="1224"/>
      <c r="G1" s="1224"/>
      <c r="H1" s="1224"/>
      <c r="I1" s="1224"/>
      <c r="J1" s="1224"/>
      <c r="K1" s="1224"/>
      <c r="L1" s="1224"/>
      <c r="M1" s="1224"/>
      <c r="N1" s="1224"/>
      <c r="O1" s="1224"/>
      <c r="P1" s="1224"/>
      <c r="Q1" s="1224"/>
      <c r="R1" s="1224"/>
      <c r="S1" s="1224"/>
      <c r="T1" s="1224"/>
      <c r="U1" s="1224"/>
      <c r="V1" s="1224"/>
      <c r="W1" s="1224"/>
      <c r="X1" s="1224"/>
      <c r="Y1" s="1224"/>
      <c r="Z1" s="1224"/>
      <c r="AA1" s="1224"/>
      <c r="AB1" s="1224"/>
      <c r="AC1" s="1224"/>
      <c r="AD1" s="1224"/>
      <c r="AE1" s="1224"/>
      <c r="AF1" s="1224"/>
      <c r="AG1" s="1224"/>
      <c r="AH1" s="1224"/>
      <c r="AI1" s="1224"/>
      <c r="AJ1" s="1224"/>
      <c r="AK1" s="1224"/>
      <c r="AL1" s="1224"/>
      <c r="AM1" s="1224"/>
      <c r="AN1" s="1224"/>
      <c r="AO1" s="1224"/>
      <c r="AP1" s="1224"/>
      <c r="AQ1" s="1224"/>
      <c r="AR1" s="1224"/>
      <c r="AS1" s="1224"/>
      <c r="AT1" s="1224"/>
      <c r="AU1" s="1224"/>
      <c r="AV1" s="1224"/>
      <c r="AW1" s="1224"/>
      <c r="AX1" s="1224"/>
      <c r="AY1" s="1224"/>
      <c r="AZ1" s="1224"/>
      <c r="BA1" s="1224"/>
    </row>
    <row r="2" spans="1:65" ht="42" customHeight="1" thickBot="1">
      <c r="A2" s="172" t="s">
        <v>1594</v>
      </c>
      <c r="B2" s="173" t="s">
        <v>460</v>
      </c>
      <c r="C2" s="264" t="s">
        <v>3013</v>
      </c>
      <c r="D2" s="174" t="s">
        <v>1595</v>
      </c>
      <c r="E2" s="175" t="s">
        <v>662</v>
      </c>
      <c r="F2" s="176" t="s">
        <v>461</v>
      </c>
      <c r="G2" s="175" t="s">
        <v>3014</v>
      </c>
      <c r="H2" s="175" t="s">
        <v>464</v>
      </c>
      <c r="I2" s="173" t="s">
        <v>463</v>
      </c>
      <c r="J2" s="264" t="s">
        <v>975</v>
      </c>
      <c r="K2" s="172" t="s">
        <v>1600</v>
      </c>
      <c r="L2" s="172" t="s">
        <v>465</v>
      </c>
      <c r="M2" s="172" t="s">
        <v>462</v>
      </c>
      <c r="N2" s="1227" t="s">
        <v>466</v>
      </c>
      <c r="O2" s="1228"/>
      <c r="P2" s="1229"/>
      <c r="Q2" s="172" t="s">
        <v>661</v>
      </c>
      <c r="R2" s="172" t="s">
        <v>663</v>
      </c>
      <c r="S2" s="172" t="s">
        <v>664</v>
      </c>
      <c r="T2" s="1230" t="s">
        <v>471</v>
      </c>
      <c r="U2" s="1231"/>
      <c r="V2" s="1232"/>
      <c r="W2" s="1227" t="s">
        <v>2628</v>
      </c>
      <c r="X2" s="1228"/>
      <c r="Y2" s="1229"/>
      <c r="Z2" s="1230" t="s">
        <v>1596</v>
      </c>
      <c r="AA2" s="1231"/>
      <c r="AB2" s="1232"/>
      <c r="AC2" s="1227" t="s">
        <v>665</v>
      </c>
      <c r="AD2" s="1228"/>
      <c r="AE2" s="1229"/>
      <c r="AF2" s="172" t="s">
        <v>666</v>
      </c>
      <c r="AG2" s="172" t="s">
        <v>3015</v>
      </c>
      <c r="AH2" s="172" t="s">
        <v>667</v>
      </c>
      <c r="AI2" s="172" t="s">
        <v>668</v>
      </c>
      <c r="AJ2" s="177" t="s">
        <v>669</v>
      </c>
      <c r="AK2" s="172" t="s">
        <v>467</v>
      </c>
      <c r="AL2" s="172" t="s">
        <v>468</v>
      </c>
      <c r="AM2" s="1122" t="s">
        <v>671</v>
      </c>
      <c r="AN2" s="1227" t="s">
        <v>2626</v>
      </c>
      <c r="AO2" s="1228"/>
      <c r="AP2" s="1229"/>
      <c r="AQ2" s="1227" t="s">
        <v>472</v>
      </c>
      <c r="AR2" s="1228"/>
      <c r="AS2" s="1229"/>
      <c r="AT2" s="1227" t="s">
        <v>670</v>
      </c>
      <c r="AU2" s="1228"/>
      <c r="AV2" s="1229"/>
      <c r="AW2" s="172" t="s">
        <v>1597</v>
      </c>
      <c r="AX2" s="172" t="s">
        <v>1598</v>
      </c>
      <c r="AY2" s="172" t="s">
        <v>1599</v>
      </c>
      <c r="AZ2" s="172" t="s">
        <v>2723</v>
      </c>
      <c r="BA2" s="172" t="s">
        <v>3011</v>
      </c>
      <c r="BB2" s="295"/>
      <c r="BC2" s="296" t="s">
        <v>976</v>
      </c>
      <c r="BD2" s="297"/>
      <c r="BE2" s="298"/>
      <c r="BF2" s="299" t="s">
        <v>976</v>
      </c>
      <c r="BG2" s="300"/>
      <c r="BH2" s="298"/>
      <c r="BI2" s="1026" t="s">
        <v>977</v>
      </c>
      <c r="BJ2" s="1027" t="s">
        <v>926</v>
      </c>
      <c r="BK2" s="1027" t="s">
        <v>927</v>
      </c>
      <c r="BL2" s="1027" t="s">
        <v>928</v>
      </c>
      <c r="BM2" s="1038" t="s">
        <v>198</v>
      </c>
    </row>
    <row r="3" spans="1:65" ht="15.75" customHeight="1">
      <c r="A3" s="1050"/>
      <c r="B3" s="1119"/>
      <c r="C3" s="1051"/>
      <c r="D3" s="306"/>
      <c r="E3" s="307"/>
      <c r="F3" s="1052"/>
      <c r="G3" s="1119"/>
      <c r="H3" s="1028"/>
      <c r="I3" s="1119"/>
      <c r="J3" s="1053"/>
      <c r="K3" s="1119"/>
      <c r="L3" s="1119"/>
      <c r="M3" s="1119"/>
      <c r="N3" s="1054" t="s">
        <v>123</v>
      </c>
      <c r="O3" s="1054" t="s">
        <v>124</v>
      </c>
      <c r="P3" s="1054" t="s">
        <v>125</v>
      </c>
      <c r="Q3" s="1119"/>
      <c r="R3" s="1055"/>
      <c r="S3" s="1055"/>
      <c r="T3" s="1054" t="s">
        <v>126</v>
      </c>
      <c r="U3" s="1054" t="s">
        <v>127</v>
      </c>
      <c r="V3" s="1054" t="s">
        <v>128</v>
      </c>
      <c r="W3" s="1054" t="s">
        <v>129</v>
      </c>
      <c r="X3" s="1054" t="s">
        <v>130</v>
      </c>
      <c r="Y3" s="1054" t="s">
        <v>131</v>
      </c>
      <c r="Z3" s="1054" t="s">
        <v>132</v>
      </c>
      <c r="AA3" s="1054" t="s">
        <v>133</v>
      </c>
      <c r="AB3" s="1054" t="s">
        <v>134</v>
      </c>
      <c r="AC3" s="1054" t="s">
        <v>135</v>
      </c>
      <c r="AD3" s="1054" t="s">
        <v>136</v>
      </c>
      <c r="AE3" s="1054" t="s">
        <v>137</v>
      </c>
      <c r="AF3" s="1119"/>
      <c r="AG3" s="1119"/>
      <c r="AH3" s="1119"/>
      <c r="AI3" s="1119"/>
      <c r="AJ3" s="1119"/>
      <c r="AK3" s="1119"/>
      <c r="AL3" s="307"/>
      <c r="AM3" s="307"/>
      <c r="AN3" s="1054" t="s">
        <v>129</v>
      </c>
      <c r="AO3" s="1054" t="s">
        <v>130</v>
      </c>
      <c r="AP3" s="1054" t="s">
        <v>131</v>
      </c>
      <c r="AQ3" s="1054" t="s">
        <v>645</v>
      </c>
      <c r="AR3" s="1054" t="s">
        <v>646</v>
      </c>
      <c r="AS3" s="1054" t="s">
        <v>647</v>
      </c>
      <c r="AT3" s="1054" t="s">
        <v>648</v>
      </c>
      <c r="AU3" s="1054" t="s">
        <v>649</v>
      </c>
      <c r="AV3" s="1054" t="s">
        <v>650</v>
      </c>
      <c r="AW3" s="1028"/>
      <c r="AX3" s="1028"/>
      <c r="AY3" s="1028"/>
      <c r="AZ3" s="1028"/>
      <c r="BA3" s="420"/>
      <c r="BB3" s="1028"/>
      <c r="BC3" s="304"/>
      <c r="BD3" s="301"/>
      <c r="BE3" s="298"/>
      <c r="BF3" s="304"/>
      <c r="BG3" s="301"/>
      <c r="BH3" s="298"/>
      <c r="BI3" s="1039"/>
      <c r="BJ3" s="1028"/>
      <c r="BK3" s="1028"/>
      <c r="BL3" s="1028"/>
      <c r="BM3" s="314"/>
    </row>
    <row r="4" spans="1:65" ht="18.75">
      <c r="A4" s="318"/>
      <c r="B4" s="329"/>
      <c r="C4" s="320"/>
      <c r="D4" s="976"/>
      <c r="E4" s="976"/>
      <c r="F4" s="326"/>
      <c r="G4" s="327"/>
      <c r="H4" s="976"/>
      <c r="I4" s="319"/>
      <c r="J4" s="320"/>
      <c r="K4" s="976"/>
      <c r="L4" s="976"/>
      <c r="M4" s="976"/>
      <c r="N4" s="976"/>
      <c r="O4" s="976"/>
      <c r="P4" s="976"/>
      <c r="Q4" s="976"/>
      <c r="R4" s="327"/>
      <c r="S4" s="327"/>
      <c r="T4" s="976"/>
      <c r="U4" s="976"/>
      <c r="V4" s="976"/>
      <c r="W4" s="976"/>
      <c r="X4" s="976"/>
      <c r="Y4" s="976"/>
      <c r="Z4" s="976"/>
      <c r="AA4" s="976"/>
      <c r="AB4" s="976"/>
      <c r="AC4" s="976"/>
      <c r="AD4" s="976"/>
      <c r="AE4" s="976"/>
      <c r="AF4" s="976"/>
      <c r="AG4" s="320"/>
      <c r="AH4" s="976"/>
      <c r="AI4" s="976"/>
      <c r="AJ4" s="976"/>
      <c r="AK4" s="976"/>
      <c r="AL4" s="976"/>
      <c r="AM4" s="976"/>
      <c r="AN4" s="321"/>
      <c r="AO4" s="321"/>
      <c r="AP4" s="321"/>
      <c r="AQ4" s="321"/>
      <c r="AR4" s="321"/>
      <c r="AS4" s="321"/>
      <c r="AT4" s="321"/>
      <c r="AU4" s="321"/>
      <c r="AV4" s="321"/>
      <c r="AW4" s="976"/>
      <c r="AX4" s="976"/>
      <c r="AY4" s="976" t="s">
        <v>695</v>
      </c>
      <c r="AZ4" s="976"/>
      <c r="BA4" s="451"/>
      <c r="BB4" s="306"/>
      <c r="BC4" s="1049" t="s">
        <v>985</v>
      </c>
      <c r="BD4" s="302"/>
      <c r="BE4" s="298"/>
      <c r="BF4" s="1049" t="s">
        <v>1002</v>
      </c>
      <c r="BG4" s="302"/>
      <c r="BH4" s="298"/>
      <c r="BI4" s="316" t="s">
        <v>929</v>
      </c>
      <c r="BJ4" s="317">
        <v>10500</v>
      </c>
      <c r="BK4" s="317">
        <v>23660</v>
      </c>
      <c r="BL4" s="1028">
        <v>2</v>
      </c>
      <c r="BM4" s="314">
        <f>+(BK4-BJ4)*BL4/1000</f>
        <v>26.32</v>
      </c>
    </row>
    <row r="5" spans="1:65" ht="14.25">
      <c r="A5" s="318"/>
      <c r="B5" s="325" t="s">
        <v>2652</v>
      </c>
      <c r="C5" s="320">
        <v>10507</v>
      </c>
      <c r="D5" s="976"/>
      <c r="E5" s="976"/>
      <c r="F5" s="326">
        <v>0</v>
      </c>
      <c r="G5" s="327"/>
      <c r="H5" s="337" t="s">
        <v>138</v>
      </c>
      <c r="I5" s="319" t="s">
        <v>656</v>
      </c>
      <c r="J5" s="320"/>
      <c r="K5" s="976"/>
      <c r="L5" s="976"/>
      <c r="M5" s="976"/>
      <c r="N5" s="976"/>
      <c r="O5" s="976"/>
      <c r="P5" s="976"/>
      <c r="Q5" s="976"/>
      <c r="R5" s="327"/>
      <c r="S5" s="327"/>
      <c r="T5" s="976"/>
      <c r="U5" s="976"/>
      <c r="V5" s="976"/>
      <c r="W5" s="976"/>
      <c r="X5" s="976"/>
      <c r="Y5" s="976"/>
      <c r="Z5" s="976"/>
      <c r="AA5" s="976"/>
      <c r="AB5" s="976"/>
      <c r="AC5" s="976"/>
      <c r="AD5" s="976"/>
      <c r="AE5" s="976"/>
      <c r="AF5" s="976"/>
      <c r="AG5" s="320"/>
      <c r="AH5" s="976"/>
      <c r="AI5" s="976"/>
      <c r="AJ5" s="976"/>
      <c r="AK5" s="976"/>
      <c r="AL5" s="976"/>
      <c r="AM5" s="976"/>
      <c r="AN5" s="321"/>
      <c r="AO5" s="321"/>
      <c r="AP5" s="321"/>
      <c r="AQ5" s="321"/>
      <c r="AR5" s="321"/>
      <c r="AS5" s="321"/>
      <c r="AT5" s="321"/>
      <c r="AU5" s="321"/>
      <c r="AV5" s="321"/>
      <c r="AW5" s="976"/>
      <c r="AX5" s="976"/>
      <c r="AY5" s="976" t="s">
        <v>695</v>
      </c>
      <c r="AZ5" s="976"/>
      <c r="BA5" s="451"/>
      <c r="BB5" s="306"/>
      <c r="BC5" s="322" t="s">
        <v>979</v>
      </c>
      <c r="BD5" s="1056"/>
      <c r="BE5" s="298"/>
      <c r="BF5" s="323" t="s">
        <v>1031</v>
      </c>
      <c r="BG5" s="324" t="s">
        <v>473</v>
      </c>
      <c r="BH5" s="298"/>
      <c r="BI5" s="316" t="s">
        <v>2526</v>
      </c>
      <c r="BJ5" s="317">
        <v>23660</v>
      </c>
      <c r="BK5" s="317">
        <v>30900</v>
      </c>
      <c r="BL5" s="1028">
        <v>2</v>
      </c>
      <c r="BM5" s="314">
        <f>+(BK5-BJ5)*BL5/1000</f>
        <v>14.48</v>
      </c>
    </row>
    <row r="6" spans="1:65" ht="14.25">
      <c r="A6" s="318"/>
      <c r="B6" s="329"/>
      <c r="C6" s="320"/>
      <c r="D6" s="976"/>
      <c r="E6" s="976"/>
      <c r="F6" s="326"/>
      <c r="G6" s="327">
        <v>50</v>
      </c>
      <c r="H6" s="976"/>
      <c r="I6" s="319"/>
      <c r="J6" s="320"/>
      <c r="K6" s="976"/>
      <c r="L6" s="976"/>
      <c r="M6" s="976"/>
      <c r="N6" s="976"/>
      <c r="O6" s="976"/>
      <c r="P6" s="976"/>
      <c r="Q6" s="976"/>
      <c r="R6" s="327"/>
      <c r="S6" s="327"/>
      <c r="T6" s="976"/>
      <c r="U6" s="976"/>
      <c r="V6" s="976"/>
      <c r="W6" s="976"/>
      <c r="X6" s="976"/>
      <c r="Y6" s="976"/>
      <c r="Z6" s="976"/>
      <c r="AA6" s="976"/>
      <c r="AB6" s="976"/>
      <c r="AC6" s="976"/>
      <c r="AD6" s="976"/>
      <c r="AE6" s="976"/>
      <c r="AF6" s="976"/>
      <c r="AG6" s="320"/>
      <c r="AH6" s="976"/>
      <c r="AI6" s="976"/>
      <c r="AJ6" s="976"/>
      <c r="AK6" s="976"/>
      <c r="AL6" s="976"/>
      <c r="AM6" s="976"/>
      <c r="AN6" s="321"/>
      <c r="AO6" s="321"/>
      <c r="AP6" s="321"/>
      <c r="AQ6" s="321"/>
      <c r="AR6" s="321"/>
      <c r="AS6" s="321"/>
      <c r="AT6" s="321"/>
      <c r="AU6" s="321"/>
      <c r="AV6" s="321"/>
      <c r="AW6" s="976"/>
      <c r="AX6" s="976"/>
      <c r="AY6" s="976" t="s">
        <v>695</v>
      </c>
      <c r="AZ6" s="976"/>
      <c r="BA6" s="321"/>
      <c r="BB6" s="306"/>
      <c r="BC6" s="322" t="s">
        <v>981</v>
      </c>
      <c r="BD6" s="328"/>
      <c r="BE6" s="298"/>
      <c r="BF6" s="323" t="s">
        <v>1032</v>
      </c>
      <c r="BG6" s="324" t="s">
        <v>474</v>
      </c>
      <c r="BH6" s="298"/>
      <c r="BI6" s="316"/>
      <c r="BJ6" s="317"/>
      <c r="BK6" s="317"/>
      <c r="BL6" s="306"/>
      <c r="BM6" s="314">
        <f>+(BK6-BJ6)*BL6/1000</f>
        <v>0</v>
      </c>
    </row>
    <row r="7" spans="1:65" ht="14.25">
      <c r="A7" s="318"/>
      <c r="B7" s="325" t="s">
        <v>2653</v>
      </c>
      <c r="C7" s="320">
        <f>C5+G6</f>
        <v>10557</v>
      </c>
      <c r="D7" s="976"/>
      <c r="E7" s="976"/>
      <c r="F7" s="326"/>
      <c r="G7" s="327"/>
      <c r="H7" s="337"/>
      <c r="I7" s="319"/>
      <c r="J7" s="320"/>
      <c r="K7" s="976"/>
      <c r="L7" s="976"/>
      <c r="M7" s="976"/>
      <c r="N7" s="976"/>
      <c r="O7" s="976"/>
      <c r="P7" s="976"/>
      <c r="Q7" s="976"/>
      <c r="R7" s="327"/>
      <c r="S7" s="327"/>
      <c r="T7" s="976"/>
      <c r="U7" s="976"/>
      <c r="V7" s="976"/>
      <c r="W7" s="976"/>
      <c r="X7" s="976"/>
      <c r="Y7" s="976"/>
      <c r="Z7" s="976"/>
      <c r="AA7" s="976"/>
      <c r="AB7" s="976"/>
      <c r="AC7" s="976"/>
      <c r="AD7" s="976"/>
      <c r="AE7" s="976"/>
      <c r="AF7" s="976"/>
      <c r="AG7" s="320"/>
      <c r="AH7" s="976"/>
      <c r="AI7" s="976"/>
      <c r="AJ7" s="976"/>
      <c r="AK7" s="976"/>
      <c r="AL7" s="976"/>
      <c r="AM7" s="976"/>
      <c r="AN7" s="321"/>
      <c r="AO7" s="321"/>
      <c r="AP7" s="321"/>
      <c r="AQ7" s="321"/>
      <c r="AR7" s="321"/>
      <c r="AS7" s="321"/>
      <c r="AT7" s="321"/>
      <c r="AU7" s="321"/>
      <c r="AV7" s="321"/>
      <c r="AW7" s="976"/>
      <c r="AX7" s="976"/>
      <c r="AY7" s="976" t="s">
        <v>695</v>
      </c>
      <c r="AZ7" s="976"/>
      <c r="BA7" s="976"/>
      <c r="BB7" s="306"/>
      <c r="BC7" s="322" t="s">
        <v>980</v>
      </c>
      <c r="BD7" s="330"/>
      <c r="BE7" s="298"/>
      <c r="BF7" s="323"/>
      <c r="BG7" s="324"/>
      <c r="BH7" s="298"/>
      <c r="BI7" s="316"/>
      <c r="BJ7" s="317"/>
      <c r="BK7" s="317"/>
      <c r="BL7" s="306"/>
      <c r="BM7" s="314">
        <f>+(BK7-BJ7)*BL7/1000</f>
        <v>0</v>
      </c>
    </row>
    <row r="8" spans="1:65" ht="38.25" customHeight="1" thickBot="1">
      <c r="A8" s="318"/>
      <c r="B8" s="329"/>
      <c r="C8" s="320"/>
      <c r="D8" s="976"/>
      <c r="E8" s="976"/>
      <c r="F8" s="326"/>
      <c r="G8" s="327">
        <v>5</v>
      </c>
      <c r="H8" s="337"/>
      <c r="I8" s="319"/>
      <c r="J8" s="320"/>
      <c r="K8" s="976"/>
      <c r="L8" s="976"/>
      <c r="M8" s="976"/>
      <c r="N8" s="976"/>
      <c r="O8" s="976"/>
      <c r="P8" s="976"/>
      <c r="Q8" s="976"/>
      <c r="R8" s="327"/>
      <c r="S8" s="327"/>
      <c r="T8" s="976"/>
      <c r="U8" s="976"/>
      <c r="V8" s="976"/>
      <c r="W8" s="976"/>
      <c r="X8" s="976"/>
      <c r="Y8" s="976"/>
      <c r="Z8" s="976"/>
      <c r="AA8" s="976"/>
      <c r="AB8" s="976"/>
      <c r="AC8" s="976"/>
      <c r="AD8" s="976"/>
      <c r="AE8" s="976"/>
      <c r="AF8" s="976"/>
      <c r="AG8" s="320"/>
      <c r="AH8" s="976"/>
      <c r="AI8" s="976"/>
      <c r="AJ8" s="976"/>
      <c r="AK8" s="976"/>
      <c r="AL8" s="976"/>
      <c r="AM8" s="976"/>
      <c r="AN8" s="321"/>
      <c r="AO8" s="321"/>
      <c r="AP8" s="321"/>
      <c r="AQ8" s="321"/>
      <c r="AR8" s="321"/>
      <c r="AS8" s="321"/>
      <c r="AT8" s="321"/>
      <c r="AU8" s="321"/>
      <c r="AV8" s="321"/>
      <c r="AW8" s="976"/>
      <c r="AX8" s="976"/>
      <c r="AY8" s="976" t="s">
        <v>695</v>
      </c>
      <c r="AZ8" s="976"/>
      <c r="BA8" s="976"/>
      <c r="BB8" s="306"/>
      <c r="BC8" s="322" t="s">
        <v>978</v>
      </c>
      <c r="BD8" s="331"/>
      <c r="BE8" s="298"/>
      <c r="BF8" s="1049" t="s">
        <v>888</v>
      </c>
      <c r="BG8" s="302"/>
      <c r="BH8" s="298"/>
      <c r="BI8" s="1040" t="s">
        <v>973</v>
      </c>
      <c r="BJ8" s="1029"/>
      <c r="BK8" s="1029"/>
      <c r="BL8" s="1029"/>
      <c r="BM8" s="1057">
        <f>SUM(BM4:BM7)</f>
        <v>40.799999999999997</v>
      </c>
    </row>
    <row r="9" spans="1:65" ht="14.25">
      <c r="A9" s="318"/>
      <c r="B9" s="325" t="s">
        <v>2654</v>
      </c>
      <c r="C9" s="320">
        <f t="shared" ref="C9" si="0">C7+G8</f>
        <v>10562</v>
      </c>
      <c r="D9" s="976"/>
      <c r="E9" s="976"/>
      <c r="F9" s="326">
        <v>0</v>
      </c>
      <c r="G9" s="327"/>
      <c r="H9" s="337" t="s">
        <v>651</v>
      </c>
      <c r="I9" s="319"/>
      <c r="J9" s="320"/>
      <c r="K9" s="976"/>
      <c r="L9" s="976"/>
      <c r="M9" s="976"/>
      <c r="N9" s="976"/>
      <c r="O9" s="976"/>
      <c r="P9" s="976"/>
      <c r="Q9" s="976"/>
      <c r="R9" s="327"/>
      <c r="S9" s="327"/>
      <c r="T9" s="976"/>
      <c r="U9" s="976"/>
      <c r="V9" s="976"/>
      <c r="W9" s="976"/>
      <c r="X9" s="976"/>
      <c r="Y9" s="976"/>
      <c r="Z9" s="976"/>
      <c r="AA9" s="976"/>
      <c r="AB9" s="976"/>
      <c r="AC9" s="976"/>
      <c r="AD9" s="976"/>
      <c r="AE9" s="976"/>
      <c r="AF9" s="976"/>
      <c r="AG9" s="320"/>
      <c r="AH9" s="976"/>
      <c r="AI9" s="976"/>
      <c r="AJ9" s="976"/>
      <c r="AK9" s="976"/>
      <c r="AL9" s="976"/>
      <c r="AM9" s="976"/>
      <c r="AN9" s="321"/>
      <c r="AO9" s="321"/>
      <c r="AP9" s="321"/>
      <c r="AQ9" s="321"/>
      <c r="AR9" s="321"/>
      <c r="AS9" s="321"/>
      <c r="AT9" s="321"/>
      <c r="AU9" s="321"/>
      <c r="AV9" s="321"/>
      <c r="AW9" s="976"/>
      <c r="AX9" s="976"/>
      <c r="AY9" s="976"/>
      <c r="AZ9" s="976"/>
      <c r="BA9" s="976"/>
      <c r="BB9" s="306"/>
      <c r="BC9" s="322" t="s">
        <v>982</v>
      </c>
      <c r="BD9" s="332"/>
      <c r="BE9" s="298"/>
      <c r="BF9" s="323" t="s">
        <v>1051</v>
      </c>
      <c r="BG9" s="324" t="s">
        <v>1050</v>
      </c>
      <c r="BH9" s="298"/>
      <c r="BI9" s="307"/>
      <c r="BJ9" s="307"/>
      <c r="BK9" s="307"/>
      <c r="BL9" s="307"/>
      <c r="BM9" s="307"/>
    </row>
    <row r="10" spans="1:65" ht="14.25">
      <c r="A10" s="318"/>
      <c r="B10" s="329"/>
      <c r="C10" s="320"/>
      <c r="D10" s="976"/>
      <c r="E10" s="976"/>
      <c r="F10" s="326"/>
      <c r="G10" s="327">
        <v>47</v>
      </c>
      <c r="H10" s="337"/>
      <c r="I10" s="319"/>
      <c r="J10" s="320"/>
      <c r="K10" s="976"/>
      <c r="L10" s="976"/>
      <c r="M10" s="976"/>
      <c r="N10" s="976"/>
      <c r="O10" s="976"/>
      <c r="P10" s="976"/>
      <c r="Q10" s="976"/>
      <c r="R10" s="327"/>
      <c r="S10" s="327"/>
      <c r="T10" s="976"/>
      <c r="U10" s="976"/>
      <c r="V10" s="976"/>
      <c r="W10" s="976"/>
      <c r="X10" s="976"/>
      <c r="Y10" s="976"/>
      <c r="Z10" s="976"/>
      <c r="AA10" s="976"/>
      <c r="AB10" s="976"/>
      <c r="AC10" s="976"/>
      <c r="AD10" s="976"/>
      <c r="AE10" s="976"/>
      <c r="AF10" s="976"/>
      <c r="AG10" s="320"/>
      <c r="AH10" s="976"/>
      <c r="AI10" s="976"/>
      <c r="AJ10" s="976"/>
      <c r="AK10" s="976"/>
      <c r="AL10" s="976"/>
      <c r="AM10" s="976"/>
      <c r="AN10" s="321"/>
      <c r="AO10" s="321"/>
      <c r="AP10" s="321"/>
      <c r="AQ10" s="321"/>
      <c r="AR10" s="321"/>
      <c r="AS10" s="321"/>
      <c r="AT10" s="321"/>
      <c r="AU10" s="321"/>
      <c r="AV10" s="321"/>
      <c r="AW10" s="976"/>
      <c r="AX10" s="976"/>
      <c r="AY10" s="976"/>
      <c r="AZ10" s="976"/>
      <c r="BA10" s="976"/>
      <c r="BB10" s="306"/>
      <c r="BC10" s="322" t="s">
        <v>983</v>
      </c>
      <c r="BD10" s="333"/>
      <c r="BE10" s="298"/>
      <c r="BF10" s="323" t="s">
        <v>2046</v>
      </c>
      <c r="BG10" s="324" t="s">
        <v>893</v>
      </c>
      <c r="BH10" s="298"/>
      <c r="BI10" s="1030" t="s">
        <v>974</v>
      </c>
      <c r="BJ10" s="1030"/>
      <c r="BK10" s="1030"/>
      <c r="BL10" s="1031"/>
      <c r="BM10" s="1058">
        <f>+(BK5-BJ4)/1000</f>
        <v>20.399999999999999</v>
      </c>
    </row>
    <row r="11" spans="1:65" ht="14.25">
      <c r="A11" s="318"/>
      <c r="B11" s="325" t="s">
        <v>2655</v>
      </c>
      <c r="C11" s="320">
        <f t="shared" ref="C11" si="1">C9+G10</f>
        <v>10609</v>
      </c>
      <c r="D11" s="976"/>
      <c r="E11" s="976"/>
      <c r="F11" s="326">
        <v>0</v>
      </c>
      <c r="G11" s="327"/>
      <c r="H11" s="337" t="s">
        <v>651</v>
      </c>
      <c r="I11" s="319"/>
      <c r="J11" s="320"/>
      <c r="K11" s="976"/>
      <c r="L11" s="976"/>
      <c r="M11" s="976"/>
      <c r="N11" s="976"/>
      <c r="O11" s="976"/>
      <c r="P11" s="976"/>
      <c r="Q11" s="976"/>
      <c r="R11" s="327"/>
      <c r="S11" s="327"/>
      <c r="T11" s="976"/>
      <c r="U11" s="976"/>
      <c r="V11" s="976"/>
      <c r="W11" s="976"/>
      <c r="X11" s="976"/>
      <c r="Y11" s="976"/>
      <c r="Z11" s="976"/>
      <c r="AA11" s="976"/>
      <c r="AB11" s="976"/>
      <c r="AC11" s="976"/>
      <c r="AD11" s="976"/>
      <c r="AE11" s="976"/>
      <c r="AF11" s="976"/>
      <c r="AG11" s="320"/>
      <c r="AH11" s="976"/>
      <c r="AI11" s="976"/>
      <c r="AJ11" s="976"/>
      <c r="AK11" s="976"/>
      <c r="AL11" s="976"/>
      <c r="AM11" s="976"/>
      <c r="AN11" s="321"/>
      <c r="AO11" s="321"/>
      <c r="AP11" s="321"/>
      <c r="AQ11" s="321"/>
      <c r="AR11" s="321"/>
      <c r="AS11" s="321"/>
      <c r="AT11" s="321"/>
      <c r="AU11" s="321"/>
      <c r="AV11" s="321"/>
      <c r="AW11" s="976"/>
      <c r="AX11" s="976"/>
      <c r="AY11" s="976" t="s">
        <v>695</v>
      </c>
      <c r="AZ11" s="976"/>
      <c r="BA11" s="976"/>
      <c r="BB11" s="306"/>
      <c r="BC11" s="322"/>
      <c r="BD11" s="324"/>
      <c r="BE11" s="298"/>
      <c r="BF11" s="323" t="s">
        <v>2047</v>
      </c>
      <c r="BG11" s="324" t="s">
        <v>892</v>
      </c>
      <c r="BH11" s="298"/>
      <c r="BI11" s="307"/>
      <c r="BJ11" s="307"/>
      <c r="BK11" s="307"/>
      <c r="BL11" s="307"/>
      <c r="BM11" s="307"/>
    </row>
    <row r="12" spans="1:65" ht="18.75">
      <c r="A12" s="318"/>
      <c r="B12" s="329"/>
      <c r="C12" s="320"/>
      <c r="D12" s="976"/>
      <c r="E12" s="976"/>
      <c r="F12" s="326"/>
      <c r="G12" s="327">
        <v>47</v>
      </c>
      <c r="H12" s="976"/>
      <c r="I12" s="319"/>
      <c r="J12" s="320"/>
      <c r="K12" s="976"/>
      <c r="L12" s="976"/>
      <c r="M12" s="976"/>
      <c r="N12" s="976"/>
      <c r="O12" s="976"/>
      <c r="P12" s="976"/>
      <c r="Q12" s="976"/>
      <c r="R12" s="327"/>
      <c r="S12" s="327"/>
      <c r="T12" s="976"/>
      <c r="U12" s="976"/>
      <c r="V12" s="976"/>
      <c r="W12" s="976"/>
      <c r="X12" s="976"/>
      <c r="Y12" s="976"/>
      <c r="Z12" s="976"/>
      <c r="AA12" s="976"/>
      <c r="AB12" s="976"/>
      <c r="AC12" s="976"/>
      <c r="AD12" s="976"/>
      <c r="AE12" s="976"/>
      <c r="AF12" s="976"/>
      <c r="AG12" s="320"/>
      <c r="AH12" s="976"/>
      <c r="AI12" s="976"/>
      <c r="AJ12" s="976"/>
      <c r="AK12" s="976"/>
      <c r="AL12" s="976"/>
      <c r="AM12" s="976"/>
      <c r="AN12" s="321"/>
      <c r="AO12" s="321"/>
      <c r="AP12" s="321"/>
      <c r="AQ12" s="321"/>
      <c r="AR12" s="321"/>
      <c r="AS12" s="321"/>
      <c r="AT12" s="321"/>
      <c r="AU12" s="321"/>
      <c r="AV12" s="321"/>
      <c r="AW12" s="976"/>
      <c r="AX12" s="976"/>
      <c r="AY12" s="976" t="s">
        <v>695</v>
      </c>
      <c r="AZ12" s="976"/>
      <c r="BA12" s="976"/>
      <c r="BB12" s="306"/>
      <c r="BC12" s="1049" t="s">
        <v>984</v>
      </c>
      <c r="BD12" s="302"/>
      <c r="BE12" s="298"/>
      <c r="BF12" s="323"/>
      <c r="BG12" s="324"/>
      <c r="BH12" s="298"/>
      <c r="BI12" s="1032" t="s">
        <v>932</v>
      </c>
      <c r="BJ12" s="1032" t="s">
        <v>926</v>
      </c>
      <c r="BK12" s="1032" t="s">
        <v>927</v>
      </c>
      <c r="BL12" s="1032" t="s">
        <v>928</v>
      </c>
      <c r="BM12" s="1032" t="s">
        <v>198</v>
      </c>
    </row>
    <row r="13" spans="1:65" ht="19.5" customHeight="1" thickBot="1">
      <c r="A13" s="318"/>
      <c r="B13" s="325" t="s">
        <v>2656</v>
      </c>
      <c r="C13" s="320">
        <f t="shared" ref="C13" si="2">C11+G12</f>
        <v>10656</v>
      </c>
      <c r="D13" s="976"/>
      <c r="E13" s="976"/>
      <c r="F13" s="326">
        <v>0</v>
      </c>
      <c r="G13" s="327"/>
      <c r="H13" s="337" t="s">
        <v>651</v>
      </c>
      <c r="I13" s="319"/>
      <c r="J13" s="320"/>
      <c r="K13" s="976"/>
      <c r="L13" s="976"/>
      <c r="M13" s="976"/>
      <c r="N13" s="976"/>
      <c r="O13" s="976"/>
      <c r="P13" s="976"/>
      <c r="Q13" s="976"/>
      <c r="R13" s="327"/>
      <c r="S13" s="327"/>
      <c r="T13" s="976"/>
      <c r="U13" s="976"/>
      <c r="V13" s="976"/>
      <c r="W13" s="976"/>
      <c r="X13" s="976"/>
      <c r="Y13" s="976"/>
      <c r="Z13" s="976"/>
      <c r="AA13" s="976"/>
      <c r="AB13" s="976"/>
      <c r="AC13" s="976"/>
      <c r="AD13" s="976"/>
      <c r="AE13" s="976"/>
      <c r="AF13" s="976"/>
      <c r="AG13" s="320"/>
      <c r="AH13" s="976"/>
      <c r="AI13" s="976"/>
      <c r="AJ13" s="976"/>
      <c r="AK13" s="976"/>
      <c r="AL13" s="976"/>
      <c r="AM13" s="976"/>
      <c r="AN13" s="321"/>
      <c r="AO13" s="321"/>
      <c r="AP13" s="321"/>
      <c r="AQ13" s="321"/>
      <c r="AR13" s="321"/>
      <c r="AS13" s="321"/>
      <c r="AT13" s="321"/>
      <c r="AU13" s="321"/>
      <c r="AV13" s="321"/>
      <c r="AW13" s="976"/>
      <c r="AX13" s="976"/>
      <c r="AY13" s="976" t="s">
        <v>695</v>
      </c>
      <c r="AZ13" s="976"/>
      <c r="BA13" s="976"/>
      <c r="BB13" s="306"/>
      <c r="BC13" s="323" t="s">
        <v>987</v>
      </c>
      <c r="BD13" s="324" t="s">
        <v>138</v>
      </c>
      <c r="BE13" s="298"/>
      <c r="BF13" s="1049" t="s">
        <v>869</v>
      </c>
      <c r="BG13" s="302"/>
      <c r="BH13" s="298"/>
      <c r="BI13" s="1030"/>
      <c r="BJ13" s="1030"/>
      <c r="BK13" s="1030"/>
      <c r="BL13" s="1031"/>
      <c r="BM13" s="1058">
        <f>SUM(BM14:BM19)+SUM(BM24:BM32)</f>
        <v>0</v>
      </c>
    </row>
    <row r="14" spans="1:65" ht="14.25">
      <c r="A14" s="318"/>
      <c r="B14" s="329"/>
      <c r="C14" s="320"/>
      <c r="D14" s="976"/>
      <c r="E14" s="976"/>
      <c r="F14" s="326"/>
      <c r="G14" s="327">
        <v>5</v>
      </c>
      <c r="H14" s="337"/>
      <c r="I14" s="319"/>
      <c r="J14" s="320"/>
      <c r="K14" s="976"/>
      <c r="L14" s="976"/>
      <c r="M14" s="976"/>
      <c r="N14" s="976"/>
      <c r="O14" s="976"/>
      <c r="P14" s="976"/>
      <c r="Q14" s="976"/>
      <c r="R14" s="327"/>
      <c r="S14" s="327"/>
      <c r="T14" s="976"/>
      <c r="U14" s="976"/>
      <c r="V14" s="976"/>
      <c r="W14" s="976"/>
      <c r="X14" s="976"/>
      <c r="Y14" s="976"/>
      <c r="Z14" s="976"/>
      <c r="AA14" s="976"/>
      <c r="AB14" s="976"/>
      <c r="AC14" s="976"/>
      <c r="AD14" s="976"/>
      <c r="AE14" s="976"/>
      <c r="AF14" s="976"/>
      <c r="AG14" s="320"/>
      <c r="AH14" s="976"/>
      <c r="AI14" s="976"/>
      <c r="AJ14" s="976"/>
      <c r="AK14" s="976"/>
      <c r="AL14" s="976"/>
      <c r="AM14" s="976"/>
      <c r="AN14" s="321"/>
      <c r="AO14" s="321"/>
      <c r="AP14" s="321"/>
      <c r="AQ14" s="321"/>
      <c r="AR14" s="321"/>
      <c r="AS14" s="321"/>
      <c r="AT14" s="321"/>
      <c r="AU14" s="321"/>
      <c r="AV14" s="321"/>
      <c r="AW14" s="976"/>
      <c r="AX14" s="976"/>
      <c r="AY14" s="976" t="s">
        <v>695</v>
      </c>
      <c r="AZ14" s="976"/>
      <c r="BA14" s="976"/>
      <c r="BB14" s="306"/>
      <c r="BC14" s="323" t="s">
        <v>988</v>
      </c>
      <c r="BD14" s="324" t="s">
        <v>986</v>
      </c>
      <c r="BE14" s="298"/>
      <c r="BF14" s="323" t="s">
        <v>1023</v>
      </c>
      <c r="BG14" s="324" t="s">
        <v>144</v>
      </c>
      <c r="BH14" s="298"/>
      <c r="BI14" s="1043" t="s">
        <v>2527</v>
      </c>
      <c r="BJ14" s="1033">
        <v>17000</v>
      </c>
      <c r="BK14" s="1033">
        <v>18000</v>
      </c>
      <c r="BL14" s="1034">
        <v>0</v>
      </c>
      <c r="BM14" s="1044">
        <f t="shared" ref="BM14:BM15" si="3">+(BK14-BJ14)*BL14/1000</f>
        <v>0</v>
      </c>
    </row>
    <row r="15" spans="1:65" ht="14.25">
      <c r="A15" s="318"/>
      <c r="B15" s="325" t="s">
        <v>2657</v>
      </c>
      <c r="C15" s="320">
        <f t="shared" ref="C15" si="4">C13+G14</f>
        <v>10661</v>
      </c>
      <c r="D15" s="976"/>
      <c r="E15" s="976"/>
      <c r="F15" s="326">
        <v>0</v>
      </c>
      <c r="G15" s="327"/>
      <c r="H15" s="337"/>
      <c r="I15" s="319"/>
      <c r="J15" s="320"/>
      <c r="K15" s="976"/>
      <c r="L15" s="976"/>
      <c r="M15" s="976"/>
      <c r="N15" s="976"/>
      <c r="O15" s="976"/>
      <c r="P15" s="976"/>
      <c r="Q15" s="976"/>
      <c r="R15" s="327"/>
      <c r="S15" s="327"/>
      <c r="T15" s="976"/>
      <c r="U15" s="976"/>
      <c r="V15" s="976"/>
      <c r="W15" s="976"/>
      <c r="X15" s="976"/>
      <c r="Y15" s="976"/>
      <c r="Z15" s="976"/>
      <c r="AA15" s="976"/>
      <c r="AB15" s="976"/>
      <c r="AC15" s="976"/>
      <c r="AD15" s="976"/>
      <c r="AE15" s="976"/>
      <c r="AF15" s="976"/>
      <c r="AG15" s="320"/>
      <c r="AH15" s="976"/>
      <c r="AI15" s="976"/>
      <c r="AJ15" s="976"/>
      <c r="AK15" s="976"/>
      <c r="AL15" s="976"/>
      <c r="AM15" s="976"/>
      <c r="AN15" s="321"/>
      <c r="AO15" s="321"/>
      <c r="AP15" s="321"/>
      <c r="AQ15" s="321"/>
      <c r="AR15" s="321"/>
      <c r="AS15" s="321"/>
      <c r="AT15" s="321"/>
      <c r="AU15" s="321"/>
      <c r="AV15" s="321"/>
      <c r="AW15" s="976"/>
      <c r="AX15" s="976"/>
      <c r="AY15" s="976" t="s">
        <v>695</v>
      </c>
      <c r="AZ15" s="976"/>
      <c r="BA15" s="976"/>
      <c r="BB15" s="306"/>
      <c r="BC15" s="323" t="s">
        <v>990</v>
      </c>
      <c r="BD15" s="324" t="s">
        <v>651</v>
      </c>
      <c r="BE15" s="298"/>
      <c r="BF15" s="323" t="s">
        <v>1052</v>
      </c>
      <c r="BG15" s="324" t="s">
        <v>145</v>
      </c>
      <c r="BH15" s="298"/>
      <c r="BI15" s="316" t="s">
        <v>933</v>
      </c>
      <c r="BJ15" s="317">
        <v>27100</v>
      </c>
      <c r="BK15" s="317">
        <v>30700</v>
      </c>
      <c r="BL15" s="1028">
        <v>0</v>
      </c>
      <c r="BM15" s="314">
        <f t="shared" si="3"/>
        <v>0</v>
      </c>
    </row>
    <row r="16" spans="1:65" ht="14.25">
      <c r="A16" s="318"/>
      <c r="B16" s="329"/>
      <c r="C16" s="320"/>
      <c r="D16" s="976"/>
      <c r="E16" s="976"/>
      <c r="F16" s="326"/>
      <c r="G16" s="327">
        <v>3</v>
      </c>
      <c r="H16" s="976"/>
      <c r="I16" s="319"/>
      <c r="J16" s="320"/>
      <c r="K16" s="976"/>
      <c r="L16" s="976"/>
      <c r="M16" s="976"/>
      <c r="N16" s="976"/>
      <c r="O16" s="976"/>
      <c r="P16" s="976"/>
      <c r="Q16" s="976"/>
      <c r="R16" s="327"/>
      <c r="S16" s="327"/>
      <c r="T16" s="976"/>
      <c r="U16" s="976"/>
      <c r="V16" s="976"/>
      <c r="W16" s="976"/>
      <c r="X16" s="976"/>
      <c r="Y16" s="976"/>
      <c r="Z16" s="976"/>
      <c r="AA16" s="976"/>
      <c r="AB16" s="976"/>
      <c r="AC16" s="976"/>
      <c r="AD16" s="976"/>
      <c r="AE16" s="976"/>
      <c r="AF16" s="976"/>
      <c r="AG16" s="320"/>
      <c r="AH16" s="976"/>
      <c r="AI16" s="976"/>
      <c r="AJ16" s="976"/>
      <c r="AK16" s="976"/>
      <c r="AL16" s="976"/>
      <c r="AM16" s="976"/>
      <c r="AN16" s="321"/>
      <c r="AO16" s="321"/>
      <c r="AP16" s="321"/>
      <c r="AQ16" s="321"/>
      <c r="AR16" s="321"/>
      <c r="AS16" s="321"/>
      <c r="AT16" s="321"/>
      <c r="AU16" s="321"/>
      <c r="AV16" s="321"/>
      <c r="AW16" s="976"/>
      <c r="AX16" s="976"/>
      <c r="AY16" s="976" t="s">
        <v>695</v>
      </c>
      <c r="AZ16" s="976"/>
      <c r="BA16" s="976"/>
      <c r="BB16" s="306"/>
      <c r="BC16" s="323" t="s">
        <v>989</v>
      </c>
      <c r="BD16" s="324" t="s">
        <v>652</v>
      </c>
      <c r="BE16" s="298"/>
      <c r="BF16" s="323" t="s">
        <v>1024</v>
      </c>
      <c r="BG16" s="324" t="s">
        <v>140</v>
      </c>
      <c r="BH16" s="298"/>
      <c r="BI16" s="316"/>
      <c r="BJ16" s="317"/>
      <c r="BK16" s="317"/>
      <c r="BL16" s="1028"/>
      <c r="BM16" s="314">
        <f t="shared" ref="BM16:BM19" si="5">+(BK16-BJ16)*BL16/1000</f>
        <v>0</v>
      </c>
    </row>
    <row r="17" spans="1:65" ht="14.25">
      <c r="A17" s="318"/>
      <c r="B17" s="325" t="s">
        <v>2981</v>
      </c>
      <c r="C17" s="320">
        <f t="shared" ref="C17" si="6">C15+G16</f>
        <v>10664</v>
      </c>
      <c r="D17" s="976"/>
      <c r="E17" s="976"/>
      <c r="F17" s="326">
        <v>0</v>
      </c>
      <c r="G17" s="327"/>
      <c r="H17" s="337"/>
      <c r="I17" s="319"/>
      <c r="J17" s="320"/>
      <c r="K17" s="976"/>
      <c r="L17" s="976"/>
      <c r="M17" s="976"/>
      <c r="N17" s="976"/>
      <c r="O17" s="976"/>
      <c r="P17" s="976"/>
      <c r="Q17" s="976"/>
      <c r="R17" s="327"/>
      <c r="S17" s="327"/>
      <c r="T17" s="976"/>
      <c r="U17" s="976"/>
      <c r="V17" s="976"/>
      <c r="W17" s="976"/>
      <c r="X17" s="976"/>
      <c r="Y17" s="976"/>
      <c r="Z17" s="976"/>
      <c r="AA17" s="976"/>
      <c r="AB17" s="976"/>
      <c r="AC17" s="976"/>
      <c r="AD17" s="976"/>
      <c r="AE17" s="976"/>
      <c r="AF17" s="976"/>
      <c r="AG17" s="320"/>
      <c r="AH17" s="976"/>
      <c r="AI17" s="976"/>
      <c r="AJ17" s="976"/>
      <c r="AK17" s="976"/>
      <c r="AL17" s="976"/>
      <c r="AM17" s="976"/>
      <c r="AN17" s="321"/>
      <c r="AO17" s="321"/>
      <c r="AP17" s="321"/>
      <c r="AQ17" s="321"/>
      <c r="AR17" s="321"/>
      <c r="AS17" s="321"/>
      <c r="AT17" s="321"/>
      <c r="AU17" s="321"/>
      <c r="AV17" s="321"/>
      <c r="AW17" s="976"/>
      <c r="AX17" s="976"/>
      <c r="AY17" s="976" t="s">
        <v>695</v>
      </c>
      <c r="AZ17" s="976"/>
      <c r="BA17" s="976"/>
      <c r="BB17" s="306"/>
      <c r="BC17" s="323" t="s">
        <v>992</v>
      </c>
      <c r="BD17" s="324" t="s">
        <v>955</v>
      </c>
      <c r="BE17" s="298"/>
      <c r="BF17" s="323" t="s">
        <v>1025</v>
      </c>
      <c r="BG17" s="324" t="s">
        <v>673</v>
      </c>
      <c r="BH17" s="298"/>
      <c r="BI17" s="316"/>
      <c r="BJ17" s="317"/>
      <c r="BK17" s="317"/>
      <c r="BL17" s="1028"/>
      <c r="BM17" s="314">
        <f t="shared" si="5"/>
        <v>0</v>
      </c>
    </row>
    <row r="18" spans="1:65" ht="14.25">
      <c r="A18" s="318"/>
      <c r="B18" s="329"/>
      <c r="C18" s="320"/>
      <c r="D18" s="976"/>
      <c r="E18" s="976"/>
      <c r="F18" s="326"/>
      <c r="G18" s="327">
        <v>39</v>
      </c>
      <c r="H18" s="337"/>
      <c r="I18" s="319"/>
      <c r="J18" s="320"/>
      <c r="K18" s="976"/>
      <c r="L18" s="976"/>
      <c r="M18" s="976"/>
      <c r="N18" s="976"/>
      <c r="O18" s="976"/>
      <c r="P18" s="976"/>
      <c r="Q18" s="976"/>
      <c r="R18" s="327"/>
      <c r="S18" s="327"/>
      <c r="T18" s="976"/>
      <c r="U18" s="976"/>
      <c r="V18" s="976"/>
      <c r="W18" s="976"/>
      <c r="X18" s="976"/>
      <c r="Y18" s="976"/>
      <c r="Z18" s="976"/>
      <c r="AA18" s="976"/>
      <c r="AB18" s="976"/>
      <c r="AC18" s="976"/>
      <c r="AD18" s="976"/>
      <c r="AE18" s="976"/>
      <c r="AF18" s="976"/>
      <c r="AG18" s="320"/>
      <c r="AH18" s="976"/>
      <c r="AI18" s="976"/>
      <c r="AJ18" s="976"/>
      <c r="AK18" s="976"/>
      <c r="AL18" s="976"/>
      <c r="AM18" s="976"/>
      <c r="AN18" s="321"/>
      <c r="AO18" s="321"/>
      <c r="AP18" s="321"/>
      <c r="AQ18" s="321"/>
      <c r="AR18" s="321"/>
      <c r="AS18" s="321"/>
      <c r="AT18" s="321"/>
      <c r="AU18" s="321"/>
      <c r="AV18" s="321"/>
      <c r="AW18" s="976"/>
      <c r="AX18" s="976"/>
      <c r="AY18" s="976" t="s">
        <v>695</v>
      </c>
      <c r="AZ18" s="976"/>
      <c r="BA18" s="976"/>
      <c r="BB18" s="306"/>
      <c r="BC18" s="323" t="s">
        <v>991</v>
      </c>
      <c r="BD18" s="324" t="s">
        <v>956</v>
      </c>
      <c r="BE18" s="298"/>
      <c r="BF18" s="323" t="s">
        <v>1026</v>
      </c>
      <c r="BG18" s="324" t="s">
        <v>674</v>
      </c>
      <c r="BH18" s="298"/>
      <c r="BI18" s="316"/>
      <c r="BJ18" s="317"/>
      <c r="BK18" s="317"/>
      <c r="BL18" s="306"/>
      <c r="BM18" s="314">
        <f t="shared" si="5"/>
        <v>0</v>
      </c>
    </row>
    <row r="19" spans="1:65" ht="14.25">
      <c r="A19" s="318"/>
      <c r="B19" s="325" t="s">
        <v>2658</v>
      </c>
      <c r="C19" s="320">
        <f t="shared" ref="C19" si="7">C17+G18</f>
        <v>10703</v>
      </c>
      <c r="D19" s="976"/>
      <c r="E19" s="976"/>
      <c r="F19" s="326">
        <v>0</v>
      </c>
      <c r="G19" s="327"/>
      <c r="H19" s="337" t="s">
        <v>651</v>
      </c>
      <c r="I19" s="319"/>
      <c r="J19" s="320"/>
      <c r="K19" s="976"/>
      <c r="L19" s="976"/>
      <c r="M19" s="976"/>
      <c r="N19" s="976"/>
      <c r="O19" s="976"/>
      <c r="P19" s="976"/>
      <c r="Q19" s="976"/>
      <c r="R19" s="327"/>
      <c r="S19" s="327"/>
      <c r="T19" s="976"/>
      <c r="U19" s="976"/>
      <c r="V19" s="976"/>
      <c r="W19" s="976"/>
      <c r="X19" s="976"/>
      <c r="Y19" s="976"/>
      <c r="Z19" s="976"/>
      <c r="AA19" s="976"/>
      <c r="AB19" s="976"/>
      <c r="AC19" s="976"/>
      <c r="AD19" s="976"/>
      <c r="AE19" s="976"/>
      <c r="AF19" s="976"/>
      <c r="AG19" s="320"/>
      <c r="AH19" s="976"/>
      <c r="AI19" s="976"/>
      <c r="AJ19" s="976"/>
      <c r="AK19" s="976"/>
      <c r="AL19" s="976"/>
      <c r="AM19" s="976"/>
      <c r="AN19" s="321"/>
      <c r="AO19" s="321"/>
      <c r="AP19" s="321"/>
      <c r="AQ19" s="321"/>
      <c r="AR19" s="321"/>
      <c r="AS19" s="321"/>
      <c r="AT19" s="321"/>
      <c r="AU19" s="321"/>
      <c r="AV19" s="321"/>
      <c r="AW19" s="976"/>
      <c r="AX19" s="976"/>
      <c r="AY19" s="976" t="s">
        <v>695</v>
      </c>
      <c r="AZ19" s="976"/>
      <c r="BA19" s="976"/>
      <c r="BB19" s="306"/>
      <c r="BC19" s="323" t="s">
        <v>993</v>
      </c>
      <c r="BD19" s="324" t="s">
        <v>954</v>
      </c>
      <c r="BE19" s="298"/>
      <c r="BF19" s="323" t="s">
        <v>1027</v>
      </c>
      <c r="BG19" s="324" t="s">
        <v>675</v>
      </c>
      <c r="BH19" s="298"/>
      <c r="BI19" s="316"/>
      <c r="BJ19" s="1035"/>
      <c r="BK19" s="1035"/>
      <c r="BL19" s="336"/>
      <c r="BM19" s="1045">
        <f t="shared" si="5"/>
        <v>0</v>
      </c>
    </row>
    <row r="20" spans="1:65" ht="14.25">
      <c r="A20" s="318"/>
      <c r="B20" s="329"/>
      <c r="C20" s="320"/>
      <c r="D20" s="976"/>
      <c r="E20" s="976"/>
      <c r="F20" s="326"/>
      <c r="G20" s="327">
        <v>55</v>
      </c>
      <c r="H20" s="976"/>
      <c r="I20" s="319"/>
      <c r="J20" s="320"/>
      <c r="K20" s="976"/>
      <c r="L20" s="976"/>
      <c r="M20" s="976"/>
      <c r="N20" s="976"/>
      <c r="O20" s="976"/>
      <c r="P20" s="976"/>
      <c r="Q20" s="976"/>
      <c r="R20" s="327"/>
      <c r="S20" s="327"/>
      <c r="T20" s="976"/>
      <c r="U20" s="976"/>
      <c r="V20" s="976"/>
      <c r="W20" s="976"/>
      <c r="X20" s="976"/>
      <c r="Y20" s="976"/>
      <c r="Z20" s="976"/>
      <c r="AA20" s="976"/>
      <c r="AB20" s="976"/>
      <c r="AC20" s="976"/>
      <c r="AD20" s="976"/>
      <c r="AE20" s="976"/>
      <c r="AF20" s="976"/>
      <c r="AG20" s="320"/>
      <c r="AH20" s="976"/>
      <c r="AI20" s="976"/>
      <c r="AJ20" s="976"/>
      <c r="AK20" s="976"/>
      <c r="AL20" s="976"/>
      <c r="AM20" s="976"/>
      <c r="AN20" s="321"/>
      <c r="AO20" s="321"/>
      <c r="AP20" s="321"/>
      <c r="AQ20" s="321"/>
      <c r="AR20" s="321"/>
      <c r="AS20" s="321"/>
      <c r="AT20" s="321"/>
      <c r="AU20" s="321"/>
      <c r="AV20" s="321"/>
      <c r="AW20" s="976"/>
      <c r="AX20" s="976"/>
      <c r="AY20" s="976" t="s">
        <v>695</v>
      </c>
      <c r="AZ20" s="976"/>
      <c r="BA20" s="976"/>
      <c r="BB20" s="306"/>
      <c r="BC20" s="323" t="s">
        <v>1605</v>
      </c>
      <c r="BD20" s="324" t="s">
        <v>1059</v>
      </c>
      <c r="BE20" s="298"/>
      <c r="BF20" s="323" t="s">
        <v>1028</v>
      </c>
      <c r="BG20" s="324" t="s">
        <v>916</v>
      </c>
      <c r="BH20" s="298"/>
      <c r="BI20" s="1046" t="s">
        <v>1084</v>
      </c>
      <c r="BJ20" s="306"/>
      <c r="BK20" s="306"/>
      <c r="BL20" s="306"/>
      <c r="BM20" s="1059">
        <f>SUM(BM14:BM19)</f>
        <v>0</v>
      </c>
    </row>
    <row r="21" spans="1:65" ht="14.25">
      <c r="A21" s="318"/>
      <c r="B21" s="325" t="s">
        <v>2659</v>
      </c>
      <c r="C21" s="320">
        <f t="shared" ref="C21" si="8">C19+G20</f>
        <v>10758</v>
      </c>
      <c r="D21" s="976"/>
      <c r="E21" s="976"/>
      <c r="F21" s="326">
        <v>0</v>
      </c>
      <c r="G21" s="327"/>
      <c r="H21" s="337" t="s">
        <v>138</v>
      </c>
      <c r="I21" s="319"/>
      <c r="J21" s="320"/>
      <c r="K21" s="976"/>
      <c r="L21" s="976"/>
      <c r="M21" s="976"/>
      <c r="N21" s="976"/>
      <c r="O21" s="976"/>
      <c r="P21" s="976"/>
      <c r="Q21" s="976"/>
      <c r="R21" s="327"/>
      <c r="S21" s="327"/>
      <c r="T21" s="976"/>
      <c r="U21" s="976"/>
      <c r="V21" s="976"/>
      <c r="W21" s="976"/>
      <c r="X21" s="976"/>
      <c r="Y21" s="976"/>
      <c r="Z21" s="976"/>
      <c r="AA21" s="976"/>
      <c r="AB21" s="976"/>
      <c r="AC21" s="976"/>
      <c r="AD21" s="976"/>
      <c r="AE21" s="976"/>
      <c r="AF21" s="976"/>
      <c r="AG21" s="320"/>
      <c r="AH21" s="976"/>
      <c r="AI21" s="976"/>
      <c r="AJ21" s="976"/>
      <c r="AK21" s="976"/>
      <c r="AL21" s="976"/>
      <c r="AM21" s="976"/>
      <c r="AN21" s="321"/>
      <c r="AO21" s="321"/>
      <c r="AP21" s="321"/>
      <c r="AQ21" s="321"/>
      <c r="AR21" s="321"/>
      <c r="AS21" s="321"/>
      <c r="AT21" s="321"/>
      <c r="AU21" s="321"/>
      <c r="AV21" s="321"/>
      <c r="AW21" s="976"/>
      <c r="AX21" s="976"/>
      <c r="AY21" s="976" t="s">
        <v>695</v>
      </c>
      <c r="AZ21" s="976"/>
      <c r="BA21" s="976"/>
      <c r="BB21" s="306"/>
      <c r="BC21" s="323" t="s">
        <v>1039</v>
      </c>
      <c r="BD21" s="324" t="s">
        <v>143</v>
      </c>
      <c r="BE21" s="298"/>
      <c r="BF21" s="323" t="s">
        <v>1029</v>
      </c>
      <c r="BG21" s="324" t="s">
        <v>917</v>
      </c>
      <c r="BH21" s="298"/>
      <c r="BI21" s="316"/>
      <c r="BJ21" s="306"/>
      <c r="BK21" s="306"/>
      <c r="BL21" s="306"/>
      <c r="BM21" s="338"/>
    </row>
    <row r="22" spans="1:65" ht="15" thickBot="1">
      <c r="A22" s="318" t="s">
        <v>2679</v>
      </c>
      <c r="B22" s="976"/>
      <c r="C22" s="320"/>
      <c r="D22" s="976"/>
      <c r="E22" s="976"/>
      <c r="F22" s="326"/>
      <c r="G22" s="327">
        <v>55</v>
      </c>
      <c r="H22" s="976"/>
      <c r="I22" s="319"/>
      <c r="J22" s="320"/>
      <c r="K22" s="976"/>
      <c r="L22" s="976"/>
      <c r="M22" s="976"/>
      <c r="N22" s="976"/>
      <c r="O22" s="976"/>
      <c r="P22" s="976"/>
      <c r="Q22" s="976"/>
      <c r="R22" s="327"/>
      <c r="S22" s="327"/>
      <c r="T22" s="976"/>
      <c r="U22" s="976"/>
      <c r="V22" s="976"/>
      <c r="W22" s="976"/>
      <c r="X22" s="976"/>
      <c r="Y22" s="976"/>
      <c r="Z22" s="976"/>
      <c r="AA22" s="976"/>
      <c r="AB22" s="976"/>
      <c r="AC22" s="976"/>
      <c r="AD22" s="976"/>
      <c r="AE22" s="976"/>
      <c r="AF22" s="976"/>
      <c r="AG22" s="320"/>
      <c r="AH22" s="976"/>
      <c r="AI22" s="976"/>
      <c r="AJ22" s="976"/>
      <c r="AK22" s="976"/>
      <c r="AL22" s="976"/>
      <c r="AM22" s="976"/>
      <c r="AN22" s="321"/>
      <c r="AO22" s="321"/>
      <c r="AP22" s="321"/>
      <c r="AQ22" s="321"/>
      <c r="AR22" s="321"/>
      <c r="AS22" s="321"/>
      <c r="AT22" s="321"/>
      <c r="AU22" s="321"/>
      <c r="AV22" s="321"/>
      <c r="AW22" s="976"/>
      <c r="AX22" s="976"/>
      <c r="AY22" s="976" t="s">
        <v>695</v>
      </c>
      <c r="AZ22" s="976"/>
      <c r="BA22" s="976"/>
      <c r="BB22" s="306"/>
      <c r="BC22" s="323" t="s">
        <v>1040</v>
      </c>
      <c r="BD22" s="324" t="s">
        <v>142</v>
      </c>
      <c r="BE22" s="298"/>
      <c r="BF22" s="323" t="s">
        <v>1030</v>
      </c>
      <c r="BG22" s="324" t="s">
        <v>918</v>
      </c>
      <c r="BH22" s="298"/>
      <c r="BI22" s="1040" t="s">
        <v>1086</v>
      </c>
      <c r="BJ22" s="1029"/>
      <c r="BK22" s="1029"/>
      <c r="BL22" s="1029"/>
      <c r="BM22" s="1057">
        <f>SUM(BK14:BK19)/1000-SUM(BJ14:BJ19)/1000</f>
        <v>4.6000000000000014</v>
      </c>
    </row>
    <row r="23" spans="1:65" ht="15" thickBot="1">
      <c r="A23" s="339"/>
      <c r="B23" s="340" t="s">
        <v>2660</v>
      </c>
      <c r="C23" s="288">
        <v>10813</v>
      </c>
      <c r="D23" s="1121"/>
      <c r="E23" s="1121"/>
      <c r="F23" s="289">
        <v>0</v>
      </c>
      <c r="G23" s="292"/>
      <c r="H23" s="1121"/>
      <c r="I23" s="294"/>
      <c r="J23" s="288"/>
      <c r="K23" s="1121"/>
      <c r="L23" s="1121" t="s">
        <v>230</v>
      </c>
      <c r="M23" s="1121" t="s">
        <v>2757</v>
      </c>
      <c r="N23" s="1121" t="s">
        <v>144</v>
      </c>
      <c r="O23" s="1121"/>
      <c r="P23" s="1121"/>
      <c r="Q23" s="1121">
        <v>0</v>
      </c>
      <c r="R23" s="289">
        <v>0</v>
      </c>
      <c r="S23" s="292"/>
      <c r="T23" s="1121">
        <v>-35</v>
      </c>
      <c r="U23" s="1121"/>
      <c r="V23" s="1121"/>
      <c r="W23" s="1121">
        <v>1.4</v>
      </c>
      <c r="X23" s="1121"/>
      <c r="Y23" s="1121"/>
      <c r="Z23" s="1121"/>
      <c r="AA23" s="1121"/>
      <c r="AB23" s="1121"/>
      <c r="AC23" s="1121" t="s">
        <v>2963</v>
      </c>
      <c r="AD23" s="1121"/>
      <c r="AE23" s="1121"/>
      <c r="AF23" s="1121">
        <v>6000</v>
      </c>
      <c r="AG23" s="288">
        <v>10811.08</v>
      </c>
      <c r="AH23" s="1121">
        <v>2621</v>
      </c>
      <c r="AI23" s="289">
        <v>680</v>
      </c>
      <c r="AJ23" s="1121"/>
      <c r="AK23" s="1121"/>
      <c r="AL23" s="1121"/>
      <c r="AM23" s="1121" t="s">
        <v>1228</v>
      </c>
      <c r="AN23" s="315">
        <v>5.5</v>
      </c>
      <c r="AO23" s="315"/>
      <c r="AP23" s="315"/>
      <c r="AQ23" s="315"/>
      <c r="AR23" s="315"/>
      <c r="AS23" s="315"/>
      <c r="AT23" s="315">
        <f>+ab($T$23,$T$21,$T$25,$G$22,$G$24, 1*$F$23,1200)</f>
        <v>-10.52288691267945</v>
      </c>
      <c r="AU23" s="315"/>
      <c r="AV23" s="315"/>
      <c r="AW23" s="1121" t="s">
        <v>2634</v>
      </c>
      <c r="AX23" s="1121" t="s">
        <v>1641</v>
      </c>
      <c r="AY23" s="1121">
        <v>4.2</v>
      </c>
      <c r="AZ23" s="1121"/>
      <c r="BA23" s="1121"/>
      <c r="BB23" s="306"/>
      <c r="BC23" s="323" t="s">
        <v>2048</v>
      </c>
      <c r="BD23" s="324" t="s">
        <v>2016</v>
      </c>
      <c r="BE23" s="298"/>
      <c r="BF23" s="323"/>
      <c r="BG23" s="324"/>
      <c r="BH23" s="298"/>
      <c r="BI23" s="307"/>
      <c r="BJ23" s="307"/>
      <c r="BK23" s="307"/>
      <c r="BL23" s="307"/>
      <c r="BM23" s="307"/>
    </row>
    <row r="24" spans="1:65" ht="18.75">
      <c r="A24" s="339"/>
      <c r="B24" s="1121"/>
      <c r="C24" s="288"/>
      <c r="D24" s="1121"/>
      <c r="E24" s="1121"/>
      <c r="F24" s="289"/>
      <c r="G24" s="292">
        <v>60</v>
      </c>
      <c r="H24" s="1121"/>
      <c r="I24" s="294"/>
      <c r="J24" s="288"/>
      <c r="K24" s="1121"/>
      <c r="L24" s="1121"/>
      <c r="M24" s="1121"/>
      <c r="N24" s="1121"/>
      <c r="O24" s="1121"/>
      <c r="P24" s="1121"/>
      <c r="Q24" s="1121"/>
      <c r="R24" s="292"/>
      <c r="S24" s="292">
        <f t="shared" ref="S24:S86" si="9">+AG25-AG23</f>
        <v>59.829999999999927</v>
      </c>
      <c r="T24" s="1121"/>
      <c r="U24" s="1121"/>
      <c r="V24" s="1121"/>
      <c r="W24" s="1121"/>
      <c r="X24" s="1121"/>
      <c r="Y24" s="1121"/>
      <c r="Z24" s="1121"/>
      <c r="AA24" s="1121"/>
      <c r="AB24" s="1121"/>
      <c r="AC24" s="1121"/>
      <c r="AD24" s="1121"/>
      <c r="AE24" s="1121"/>
      <c r="AF24" s="1121"/>
      <c r="AG24" s="288" t="s">
        <v>695</v>
      </c>
      <c r="AH24" s="1121" t="s">
        <v>695</v>
      </c>
      <c r="AI24" s="289"/>
      <c r="AJ24" s="1121"/>
      <c r="AK24" s="1121"/>
      <c r="AL24" s="1121"/>
      <c r="AM24" s="1121"/>
      <c r="AN24" s="315"/>
      <c r="AO24" s="315"/>
      <c r="AP24" s="315"/>
      <c r="AQ24" s="315">
        <f>+FL_1($T$25,$T$23,$G$24,1200,9.28, 1*$F$25)</f>
        <v>0.43600286799999999</v>
      </c>
      <c r="AR24" s="315"/>
      <c r="AS24" s="315"/>
      <c r="AT24" s="315"/>
      <c r="AU24" s="315"/>
      <c r="AV24" s="315"/>
      <c r="AW24" s="1121"/>
      <c r="AX24" s="1121"/>
      <c r="AY24" s="1121"/>
      <c r="AZ24" s="1121"/>
      <c r="BA24" s="1121"/>
      <c r="BB24" s="306"/>
      <c r="BC24" s="323"/>
      <c r="BD24" s="324"/>
      <c r="BE24" s="307"/>
      <c r="BF24" s="1049" t="s">
        <v>1003</v>
      </c>
      <c r="BG24" s="302"/>
      <c r="BH24" s="1119"/>
      <c r="BI24" s="1043" t="s">
        <v>2528</v>
      </c>
      <c r="BJ24" s="1033">
        <v>11500</v>
      </c>
      <c r="BK24" s="1033">
        <v>11700</v>
      </c>
      <c r="BL24" s="1034">
        <v>0</v>
      </c>
      <c r="BM24" s="1044">
        <f t="shared" ref="BM24:BM32" si="10">+(BK24-BJ24)*BL24/1000</f>
        <v>0</v>
      </c>
    </row>
    <row r="25" spans="1:65" ht="18.75">
      <c r="A25" s="339"/>
      <c r="B25" s="340" t="s">
        <v>2662</v>
      </c>
      <c r="C25" s="288">
        <f t="shared" ref="C25" si="11">C23+G24</f>
        <v>10873</v>
      </c>
      <c r="D25" s="1121"/>
      <c r="E25" s="1121"/>
      <c r="F25" s="289">
        <v>0</v>
      </c>
      <c r="G25" s="292"/>
      <c r="H25" s="1121"/>
      <c r="I25" s="294"/>
      <c r="J25" s="288"/>
      <c r="K25" s="1121"/>
      <c r="L25" s="1121" t="s">
        <v>230</v>
      </c>
      <c r="M25" s="1121" t="s">
        <v>2757</v>
      </c>
      <c r="N25" s="1121" t="s">
        <v>145</v>
      </c>
      <c r="O25" s="1121"/>
      <c r="P25" s="1121"/>
      <c r="Q25" s="1121">
        <v>0</v>
      </c>
      <c r="R25" s="289">
        <v>0</v>
      </c>
      <c r="S25" s="292"/>
      <c r="T25" s="1121">
        <v>35</v>
      </c>
      <c r="U25" s="1121"/>
      <c r="V25" s="1121"/>
      <c r="W25" s="1121">
        <v>1.4</v>
      </c>
      <c r="X25" s="1121"/>
      <c r="Y25" s="1121"/>
      <c r="Z25" s="1121"/>
      <c r="AA25" s="1121"/>
      <c r="AB25" s="1121"/>
      <c r="AC25" s="1121" t="s">
        <v>1704</v>
      </c>
      <c r="AD25" s="1121"/>
      <c r="AE25" s="1121"/>
      <c r="AF25" s="1121">
        <v>6000</v>
      </c>
      <c r="AG25" s="288">
        <v>10870.91</v>
      </c>
      <c r="AH25" s="1121">
        <v>2502</v>
      </c>
      <c r="AI25" s="289">
        <v>704</v>
      </c>
      <c r="AJ25" s="1121"/>
      <c r="AK25" s="1121"/>
      <c r="AL25" s="1121"/>
      <c r="AM25" s="1121" t="s">
        <v>1228</v>
      </c>
      <c r="AN25" s="315">
        <v>5.5</v>
      </c>
      <c r="AO25" s="315"/>
      <c r="AP25" s="315"/>
      <c r="AQ25" s="315"/>
      <c r="AR25" s="315"/>
      <c r="AS25" s="315"/>
      <c r="AT25" s="315">
        <f>+ab($T$25,$T$23,$T$27,$G$24,$G$26, 1*$F$25,1200)</f>
        <v>8.1681606014296726</v>
      </c>
      <c r="AU25" s="315"/>
      <c r="AV25" s="315"/>
      <c r="AW25" s="1121" t="s">
        <v>2634</v>
      </c>
      <c r="AX25" s="1121" t="s">
        <v>1641</v>
      </c>
      <c r="AY25" s="1121">
        <v>4.2</v>
      </c>
      <c r="AZ25" s="1121"/>
      <c r="BA25" s="1121"/>
      <c r="BB25" s="306"/>
      <c r="BC25" s="1049" t="s">
        <v>994</v>
      </c>
      <c r="BD25" s="302"/>
      <c r="BE25" s="307"/>
      <c r="BF25" s="323" t="s">
        <v>1020</v>
      </c>
      <c r="BG25" s="324" t="s">
        <v>960</v>
      </c>
      <c r="BH25" s="1119"/>
      <c r="BI25" s="316" t="s">
        <v>2529</v>
      </c>
      <c r="BJ25" s="317">
        <v>12250</v>
      </c>
      <c r="BK25" s="317">
        <v>12400</v>
      </c>
      <c r="BL25" s="1028">
        <v>0</v>
      </c>
      <c r="BM25" s="314">
        <f t="shared" si="10"/>
        <v>0</v>
      </c>
    </row>
    <row r="26" spans="1:65" ht="14.25">
      <c r="A26" s="339"/>
      <c r="B26" s="1121"/>
      <c r="C26" s="288"/>
      <c r="D26" s="1121"/>
      <c r="E26" s="1121"/>
      <c r="F26" s="289"/>
      <c r="G26" s="292">
        <v>60</v>
      </c>
      <c r="H26" s="1121"/>
      <c r="I26" s="294"/>
      <c r="J26" s="288"/>
      <c r="K26" s="1121"/>
      <c r="L26" s="1121"/>
      <c r="M26" s="1121"/>
      <c r="N26" s="1121"/>
      <c r="O26" s="1121"/>
      <c r="P26" s="1121"/>
      <c r="Q26" s="1121"/>
      <c r="R26" s="292"/>
      <c r="S26" s="292">
        <f t="shared" si="9"/>
        <v>60.069999999999709</v>
      </c>
      <c r="T26" s="1121"/>
      <c r="U26" s="1121"/>
      <c r="V26" s="1121"/>
      <c r="W26" s="1121"/>
      <c r="X26" s="1121"/>
      <c r="Y26" s="1121"/>
      <c r="Z26" s="1121"/>
      <c r="AA26" s="1121"/>
      <c r="AB26" s="1121"/>
      <c r="AC26" s="1121"/>
      <c r="AD26" s="1121"/>
      <c r="AE26" s="1121"/>
      <c r="AF26" s="1121"/>
      <c r="AG26" s="288" t="s">
        <v>695</v>
      </c>
      <c r="AH26" s="1121" t="s">
        <v>695</v>
      </c>
      <c r="AI26" s="289"/>
      <c r="AJ26" s="1121"/>
      <c r="AK26" s="1121"/>
      <c r="AL26" s="1121"/>
      <c r="AM26" s="1121"/>
      <c r="AN26" s="315"/>
      <c r="AO26" s="315"/>
      <c r="AP26" s="315"/>
      <c r="AQ26" s="315">
        <f>+FL_2($T$27,$T$25,$G$26,1200,9.28, 1*$F$27)</f>
        <v>-0.43600286799999999</v>
      </c>
      <c r="AR26" s="315"/>
      <c r="AS26" s="315"/>
      <c r="AT26" s="315"/>
      <c r="AU26" s="315"/>
      <c r="AV26" s="315"/>
      <c r="AW26" s="1121"/>
      <c r="AX26" s="1121"/>
      <c r="AY26" s="1121"/>
      <c r="AZ26" s="1121"/>
      <c r="BA26" s="1121"/>
      <c r="BB26" s="306"/>
      <c r="BC26" s="323" t="s">
        <v>995</v>
      </c>
      <c r="BD26" s="324" t="s">
        <v>656</v>
      </c>
      <c r="BE26" s="307"/>
      <c r="BF26" s="323" t="s">
        <v>1021</v>
      </c>
      <c r="BG26" s="324" t="s">
        <v>959</v>
      </c>
      <c r="BH26" s="1119"/>
      <c r="BI26" s="316" t="s">
        <v>2529</v>
      </c>
      <c r="BJ26" s="317">
        <v>12850</v>
      </c>
      <c r="BK26" s="317">
        <v>13000</v>
      </c>
      <c r="BL26" s="1028">
        <v>0</v>
      </c>
      <c r="BM26" s="314">
        <f t="shared" si="10"/>
        <v>0</v>
      </c>
    </row>
    <row r="27" spans="1:65" ht="14.25">
      <c r="A27" s="339"/>
      <c r="B27" s="340" t="s">
        <v>2663</v>
      </c>
      <c r="C27" s="288">
        <f t="shared" ref="C27" si="12">C25+G26</f>
        <v>10933</v>
      </c>
      <c r="D27" s="1121"/>
      <c r="E27" s="1121"/>
      <c r="F27" s="289">
        <v>0</v>
      </c>
      <c r="G27" s="292"/>
      <c r="H27" s="1121"/>
      <c r="I27" s="294"/>
      <c r="J27" s="288"/>
      <c r="K27" s="1121"/>
      <c r="L27" s="1121" t="s">
        <v>230</v>
      </c>
      <c r="M27" s="1121" t="s">
        <v>2757</v>
      </c>
      <c r="N27" s="1121" t="s">
        <v>144</v>
      </c>
      <c r="O27" s="1121"/>
      <c r="P27" s="1121"/>
      <c r="Q27" s="1121">
        <v>0</v>
      </c>
      <c r="R27" s="289">
        <v>0</v>
      </c>
      <c r="S27" s="292"/>
      <c r="T27" s="1121">
        <v>-35</v>
      </c>
      <c r="U27" s="1121"/>
      <c r="V27" s="1121"/>
      <c r="W27" s="1121">
        <v>1.4</v>
      </c>
      <c r="X27" s="1121"/>
      <c r="Y27" s="1121"/>
      <c r="Z27" s="1121"/>
      <c r="AA27" s="1121"/>
      <c r="AB27" s="1121"/>
      <c r="AC27" s="1121" t="s">
        <v>1704</v>
      </c>
      <c r="AD27" s="1121"/>
      <c r="AE27" s="1121"/>
      <c r="AF27" s="1121">
        <v>6000</v>
      </c>
      <c r="AG27" s="288">
        <v>10930.98</v>
      </c>
      <c r="AH27" s="1121">
        <v>2576</v>
      </c>
      <c r="AI27" s="289">
        <v>745</v>
      </c>
      <c r="AJ27" s="1121"/>
      <c r="AK27" s="1121"/>
      <c r="AL27" s="1121"/>
      <c r="AM27" s="1121" t="s">
        <v>1228</v>
      </c>
      <c r="AN27" s="315">
        <v>5.5</v>
      </c>
      <c r="AO27" s="315"/>
      <c r="AP27" s="315"/>
      <c r="AQ27" s="315"/>
      <c r="AR27" s="315"/>
      <c r="AS27" s="315"/>
      <c r="AT27" s="315">
        <f>+ab($T$27,$T$25,$T$29,$G$26,$G$28, 1*$F$27,1200)</f>
        <v>-8.1682020423530854</v>
      </c>
      <c r="AU27" s="315"/>
      <c r="AV27" s="315"/>
      <c r="AW27" s="1121" t="s">
        <v>2634</v>
      </c>
      <c r="AX27" s="1121" t="s">
        <v>1641</v>
      </c>
      <c r="AY27" s="1121">
        <v>4.2</v>
      </c>
      <c r="AZ27" s="1121"/>
      <c r="BA27" s="1121"/>
      <c r="BB27" s="306"/>
      <c r="BC27" s="323" t="s">
        <v>996</v>
      </c>
      <c r="BD27" s="324" t="s">
        <v>657</v>
      </c>
      <c r="BE27" s="307"/>
      <c r="BF27" s="323" t="s">
        <v>1022</v>
      </c>
      <c r="BG27" s="324" t="s">
        <v>963</v>
      </c>
      <c r="BH27" s="1119"/>
      <c r="BI27" s="316" t="s">
        <v>2530</v>
      </c>
      <c r="BJ27" s="317">
        <v>15300</v>
      </c>
      <c r="BK27" s="317">
        <v>15850</v>
      </c>
      <c r="BL27" s="1028">
        <v>0</v>
      </c>
      <c r="BM27" s="314">
        <f t="shared" si="10"/>
        <v>0</v>
      </c>
    </row>
    <row r="28" spans="1:65" ht="14.25">
      <c r="A28" s="339"/>
      <c r="B28" s="1121"/>
      <c r="C28" s="288"/>
      <c r="D28" s="1130"/>
      <c r="E28" s="1121"/>
      <c r="F28" s="289"/>
      <c r="G28" s="292">
        <v>60</v>
      </c>
      <c r="H28" s="1121"/>
      <c r="I28" s="294"/>
      <c r="J28" s="288"/>
      <c r="K28" s="1121"/>
      <c r="L28" s="1121"/>
      <c r="M28" s="1121"/>
      <c r="N28" s="1121"/>
      <c r="O28" s="1121"/>
      <c r="P28" s="1121"/>
      <c r="Q28" s="1121"/>
      <c r="R28" s="292"/>
      <c r="S28" s="292">
        <f t="shared" si="9"/>
        <v>59.979999999999563</v>
      </c>
      <c r="T28" s="1121"/>
      <c r="U28" s="1121"/>
      <c r="V28" s="1121"/>
      <c r="W28" s="1121"/>
      <c r="X28" s="1121"/>
      <c r="Y28" s="1121"/>
      <c r="Z28" s="1121"/>
      <c r="AA28" s="1121"/>
      <c r="AB28" s="1121"/>
      <c r="AC28" s="1121"/>
      <c r="AD28" s="1121"/>
      <c r="AE28" s="1121"/>
      <c r="AF28" s="1121"/>
      <c r="AG28" s="288" t="s">
        <v>695</v>
      </c>
      <c r="AH28" s="1121" t="s">
        <v>695</v>
      </c>
      <c r="AI28" s="289"/>
      <c r="AJ28" s="1121"/>
      <c r="AK28" s="1121"/>
      <c r="AL28" s="1121"/>
      <c r="AM28" s="1121"/>
      <c r="AN28" s="315"/>
      <c r="AO28" s="315"/>
      <c r="AP28" s="315"/>
      <c r="AQ28" s="315">
        <f>+FL_1($T$29,$T$27,$G$28,1200,9.28, 1*$F$29)</f>
        <v>0.43600286799999999</v>
      </c>
      <c r="AR28" s="315"/>
      <c r="AS28" s="315"/>
      <c r="AT28" s="315"/>
      <c r="AU28" s="315"/>
      <c r="AV28" s="315"/>
      <c r="AW28" s="1121"/>
      <c r="AX28" s="1121"/>
      <c r="AY28" s="1121"/>
      <c r="AZ28" s="1121"/>
      <c r="BA28" s="1121"/>
      <c r="BB28" s="306"/>
      <c r="BC28" s="323" t="s">
        <v>997</v>
      </c>
      <c r="BD28" s="324" t="s">
        <v>912</v>
      </c>
      <c r="BE28" s="307"/>
      <c r="BF28" s="323" t="s">
        <v>1591</v>
      </c>
      <c r="BG28" s="324" t="s">
        <v>1592</v>
      </c>
      <c r="BH28" s="1119"/>
      <c r="BI28" s="316" t="s">
        <v>2531</v>
      </c>
      <c r="BJ28" s="317">
        <v>18800</v>
      </c>
      <c r="BK28" s="317">
        <v>19400</v>
      </c>
      <c r="BL28" s="1028">
        <v>0</v>
      </c>
      <c r="BM28" s="314">
        <f t="shared" si="10"/>
        <v>0</v>
      </c>
    </row>
    <row r="29" spans="1:65" ht="14.25">
      <c r="A29" s="339"/>
      <c r="B29" s="340" t="s">
        <v>2664</v>
      </c>
      <c r="C29" s="288">
        <f t="shared" ref="C29" si="13">C27+G28</f>
        <v>10993</v>
      </c>
      <c r="D29" s="1121"/>
      <c r="E29" s="1121"/>
      <c r="F29" s="289">
        <v>0</v>
      </c>
      <c r="G29" s="292"/>
      <c r="H29" s="1121"/>
      <c r="I29" s="294"/>
      <c r="J29" s="288"/>
      <c r="K29" s="1121"/>
      <c r="L29" s="1121" t="s">
        <v>230</v>
      </c>
      <c r="M29" s="1121" t="s">
        <v>2757</v>
      </c>
      <c r="N29" s="1121" t="s">
        <v>145</v>
      </c>
      <c r="O29" s="1121"/>
      <c r="P29" s="1121"/>
      <c r="Q29" s="1121">
        <v>0</v>
      </c>
      <c r="R29" s="289">
        <v>0</v>
      </c>
      <c r="S29" s="292"/>
      <c r="T29" s="1121">
        <v>35</v>
      </c>
      <c r="U29" s="1121"/>
      <c r="V29" s="1121"/>
      <c r="W29" s="1121">
        <v>1.4</v>
      </c>
      <c r="X29" s="1121"/>
      <c r="Y29" s="1121"/>
      <c r="Z29" s="1121"/>
      <c r="AA29" s="1121"/>
      <c r="AB29" s="1121"/>
      <c r="AC29" s="1121" t="s">
        <v>1704</v>
      </c>
      <c r="AD29" s="1121"/>
      <c r="AE29" s="1121"/>
      <c r="AF29" s="1121">
        <v>6000</v>
      </c>
      <c r="AG29" s="288">
        <v>10990.96</v>
      </c>
      <c r="AH29" s="1121">
        <v>2576</v>
      </c>
      <c r="AI29" s="289">
        <v>720</v>
      </c>
      <c r="AJ29" s="1121"/>
      <c r="AK29" s="1121"/>
      <c r="AL29" s="1121"/>
      <c r="AM29" s="1121" t="s">
        <v>1228</v>
      </c>
      <c r="AN29" s="315">
        <v>5.5</v>
      </c>
      <c r="AO29" s="315"/>
      <c r="AP29" s="315"/>
      <c r="AQ29" s="315"/>
      <c r="AR29" s="315"/>
      <c r="AS29" s="315"/>
      <c r="AT29" s="315">
        <f>+ab($T$29,$T$27,$T$31,$G$28,$G$30, 1*$F$29,1200)</f>
        <v>8.1681606014296726</v>
      </c>
      <c r="AU29" s="315"/>
      <c r="AV29" s="315"/>
      <c r="AW29" s="1121" t="s">
        <v>2634</v>
      </c>
      <c r="AX29" s="1121" t="s">
        <v>1641</v>
      </c>
      <c r="AY29" s="1121">
        <v>4.2</v>
      </c>
      <c r="AZ29" s="1121"/>
      <c r="BA29" s="1121"/>
      <c r="BB29" s="306"/>
      <c r="BC29" s="323" t="s">
        <v>998</v>
      </c>
      <c r="BD29" s="324" t="s">
        <v>911</v>
      </c>
      <c r="BE29" s="307"/>
      <c r="BF29" s="323" t="s">
        <v>1005</v>
      </c>
      <c r="BG29" s="324" t="s">
        <v>961</v>
      </c>
      <c r="BH29" s="1119"/>
      <c r="BI29" s="316" t="s">
        <v>2532</v>
      </c>
      <c r="BJ29" s="317">
        <v>20100</v>
      </c>
      <c r="BK29" s="317">
        <v>20420</v>
      </c>
      <c r="BL29" s="1028">
        <v>0</v>
      </c>
      <c r="BM29" s="314">
        <f t="shared" si="10"/>
        <v>0</v>
      </c>
    </row>
    <row r="30" spans="1:65" ht="14.25">
      <c r="A30" s="339"/>
      <c r="B30" s="340"/>
      <c r="C30" s="288"/>
      <c r="D30" s="1121"/>
      <c r="E30" s="1121"/>
      <c r="F30" s="289"/>
      <c r="G30" s="292">
        <v>60</v>
      </c>
      <c r="H30" s="291"/>
      <c r="I30" s="294"/>
      <c r="J30" s="288"/>
      <c r="K30" s="1121"/>
      <c r="L30" s="1121"/>
      <c r="M30" s="1121"/>
      <c r="N30" s="1121"/>
      <c r="O30" s="1121"/>
      <c r="P30" s="1121"/>
      <c r="Q30" s="1121"/>
      <c r="R30" s="292"/>
      <c r="S30" s="292">
        <f t="shared" si="9"/>
        <v>59.940000000000509</v>
      </c>
      <c r="T30" s="1121"/>
      <c r="U30" s="1121"/>
      <c r="V30" s="1121"/>
      <c r="W30" s="1121"/>
      <c r="X30" s="1121"/>
      <c r="Y30" s="1121"/>
      <c r="Z30" s="1121"/>
      <c r="AA30" s="1121"/>
      <c r="AB30" s="1121"/>
      <c r="AC30" s="1121"/>
      <c r="AD30" s="1121"/>
      <c r="AE30" s="1121"/>
      <c r="AF30" s="1121"/>
      <c r="AG30" s="288" t="s">
        <v>695</v>
      </c>
      <c r="AH30" s="1121" t="s">
        <v>695</v>
      </c>
      <c r="AI30" s="289"/>
      <c r="AJ30" s="1121"/>
      <c r="AK30" s="1121"/>
      <c r="AL30" s="1121"/>
      <c r="AM30" s="1121"/>
      <c r="AN30" s="315"/>
      <c r="AO30" s="315"/>
      <c r="AP30" s="315"/>
      <c r="AQ30" s="315">
        <f>+FL_2($T$31,$T$29,$G$30,1200,9.28, 1*$F$31)</f>
        <v>-0.43600286799999999</v>
      </c>
      <c r="AR30" s="315"/>
      <c r="AS30" s="315"/>
      <c r="AT30" s="315"/>
      <c r="AU30" s="315"/>
      <c r="AV30" s="315"/>
      <c r="AW30" s="1121"/>
      <c r="AX30" s="1121"/>
      <c r="AY30" s="1121"/>
      <c r="AZ30" s="1121"/>
      <c r="BA30" s="1121"/>
      <c r="BB30" s="306"/>
      <c r="BC30" s="323" t="s">
        <v>1604</v>
      </c>
      <c r="BD30" s="324" t="s">
        <v>1081</v>
      </c>
      <c r="BE30" s="307"/>
      <c r="BF30" s="323" t="s">
        <v>1602</v>
      </c>
      <c r="BG30" s="324" t="s">
        <v>1603</v>
      </c>
      <c r="BH30" s="1119"/>
      <c r="BI30" s="316" t="s">
        <v>2533</v>
      </c>
      <c r="BJ30" s="317">
        <v>21850</v>
      </c>
      <c r="BK30" s="317">
        <v>21950</v>
      </c>
      <c r="BL30" s="1028">
        <v>0</v>
      </c>
      <c r="BM30" s="314">
        <f t="shared" si="10"/>
        <v>0</v>
      </c>
    </row>
    <row r="31" spans="1:65" ht="14.25">
      <c r="A31" s="339"/>
      <c r="B31" s="340" t="s">
        <v>2661</v>
      </c>
      <c r="C31" s="288">
        <f t="shared" ref="C31" si="14">C29+G30</f>
        <v>11053</v>
      </c>
      <c r="D31" s="1121"/>
      <c r="E31" s="1121"/>
      <c r="F31" s="289">
        <v>0</v>
      </c>
      <c r="G31" s="292"/>
      <c r="H31" s="291"/>
      <c r="I31" s="294"/>
      <c r="J31" s="288"/>
      <c r="K31" s="1121"/>
      <c r="L31" s="1121" t="s">
        <v>230</v>
      </c>
      <c r="M31" s="1121" t="s">
        <v>2757</v>
      </c>
      <c r="N31" s="1121" t="s">
        <v>144</v>
      </c>
      <c r="O31" s="1121"/>
      <c r="P31" s="1121"/>
      <c r="Q31" s="1121">
        <v>0</v>
      </c>
      <c r="R31" s="289">
        <v>0</v>
      </c>
      <c r="S31" s="292"/>
      <c r="T31" s="1121">
        <v>-35</v>
      </c>
      <c r="U31" s="1121"/>
      <c r="V31" s="1121"/>
      <c r="W31" s="1121">
        <v>1.4</v>
      </c>
      <c r="X31" s="1121"/>
      <c r="Y31" s="1121"/>
      <c r="Z31" s="1121"/>
      <c r="AA31" s="1121"/>
      <c r="AB31" s="1121"/>
      <c r="AC31" s="1121" t="s">
        <v>1704</v>
      </c>
      <c r="AD31" s="1121"/>
      <c r="AE31" s="1121"/>
      <c r="AF31" s="1121">
        <v>6000</v>
      </c>
      <c r="AG31" s="288">
        <v>11050.9</v>
      </c>
      <c r="AH31" s="1121">
        <v>2600</v>
      </c>
      <c r="AI31" s="289">
        <v>725</v>
      </c>
      <c r="AJ31" s="1121"/>
      <c r="AK31" s="1121"/>
      <c r="AL31" s="1121"/>
      <c r="AM31" s="1121" t="s">
        <v>1228</v>
      </c>
      <c r="AN31" s="315">
        <v>5.5</v>
      </c>
      <c r="AO31" s="315"/>
      <c r="AP31" s="315"/>
      <c r="AQ31" s="315"/>
      <c r="AR31" s="315"/>
      <c r="AS31" s="315"/>
      <c r="AT31" s="315">
        <f>+ab($T$31,$T$29,$T$33,$G$30,$G$32, 1*$F$31,1200)</f>
        <v>-8.1682020423530854</v>
      </c>
      <c r="AU31" s="315"/>
      <c r="AV31" s="315"/>
      <c r="AW31" s="315" t="s">
        <v>2634</v>
      </c>
      <c r="AX31" s="315" t="s">
        <v>1641</v>
      </c>
      <c r="AY31" s="315">
        <v>4.2</v>
      </c>
      <c r="AZ31" s="315"/>
      <c r="BA31" s="315"/>
      <c r="BB31" s="306"/>
      <c r="BC31" s="323" t="s">
        <v>1041</v>
      </c>
      <c r="BD31" s="324" t="s">
        <v>1224</v>
      </c>
      <c r="BE31" s="307"/>
      <c r="BF31" s="323" t="s">
        <v>1368</v>
      </c>
      <c r="BG31" s="324" t="s">
        <v>1590</v>
      </c>
      <c r="BH31" s="1119"/>
      <c r="BI31" s="316" t="s">
        <v>2019</v>
      </c>
      <c r="BJ31" s="317">
        <v>24600</v>
      </c>
      <c r="BK31" s="317">
        <v>24800</v>
      </c>
      <c r="BL31" s="1028">
        <v>0</v>
      </c>
      <c r="BM31" s="314">
        <f t="shared" si="10"/>
        <v>0</v>
      </c>
    </row>
    <row r="32" spans="1:65" ht="14.25">
      <c r="A32" s="339"/>
      <c r="B32" s="340"/>
      <c r="C32" s="288"/>
      <c r="D32" s="1121"/>
      <c r="E32" s="1121"/>
      <c r="F32" s="289"/>
      <c r="G32" s="292">
        <v>60</v>
      </c>
      <c r="H32" s="291"/>
      <c r="I32" s="289"/>
      <c r="J32" s="288">
        <f>C33-7.5</f>
        <v>11105.5</v>
      </c>
      <c r="K32" s="1121" t="s">
        <v>3018</v>
      </c>
      <c r="L32" s="1121"/>
      <c r="M32" s="1121"/>
      <c r="N32" s="1121"/>
      <c r="O32" s="1121"/>
      <c r="P32" s="1121"/>
      <c r="Q32" s="1121"/>
      <c r="R32" s="292"/>
      <c r="S32" s="292">
        <f t="shared" si="9"/>
        <v>60.030000000000655</v>
      </c>
      <c r="T32" s="1121"/>
      <c r="U32" s="1121"/>
      <c r="V32" s="1121"/>
      <c r="W32" s="1121"/>
      <c r="X32" s="1121"/>
      <c r="Y32" s="1121"/>
      <c r="Z32" s="1121"/>
      <c r="AA32" s="1121"/>
      <c r="AB32" s="1121"/>
      <c r="AC32" s="1121"/>
      <c r="AD32" s="1121"/>
      <c r="AE32" s="1121"/>
      <c r="AF32" s="1121"/>
      <c r="AG32" s="288" t="s">
        <v>695</v>
      </c>
      <c r="AH32" s="1121" t="s">
        <v>695</v>
      </c>
      <c r="AI32" s="289"/>
      <c r="AJ32" s="1121"/>
      <c r="AK32" s="1121"/>
      <c r="AL32" s="1121"/>
      <c r="AM32" s="1121"/>
      <c r="AN32" s="315"/>
      <c r="AO32" s="315"/>
      <c r="AP32" s="315"/>
      <c r="AQ32" s="315">
        <f>+FL_2($T$33,$T$31,$G$32,1200,9.28, 1*$F$33)</f>
        <v>-0.43600286799999993</v>
      </c>
      <c r="AR32" s="315"/>
      <c r="AS32" s="315"/>
      <c r="AT32" s="315"/>
      <c r="AU32" s="315"/>
      <c r="AV32" s="315"/>
      <c r="AW32" s="1121" t="s">
        <v>2634</v>
      </c>
      <c r="AX32" s="1121" t="s">
        <v>1641</v>
      </c>
      <c r="AY32" s="1121"/>
      <c r="AZ32" s="1121">
        <v>3.5</v>
      </c>
      <c r="BA32" s="1121"/>
      <c r="BB32" s="306"/>
      <c r="BC32" s="323" t="s">
        <v>1044</v>
      </c>
      <c r="BD32" s="324" t="s">
        <v>1223</v>
      </c>
      <c r="BE32" s="307"/>
      <c r="BF32" s="323" t="s">
        <v>1369</v>
      </c>
      <c r="BG32" s="324" t="s">
        <v>1593</v>
      </c>
      <c r="BH32" s="1119"/>
      <c r="BI32" s="316" t="s">
        <v>2020</v>
      </c>
      <c r="BJ32" s="317">
        <v>25750</v>
      </c>
      <c r="BK32" s="317">
        <v>26965</v>
      </c>
      <c r="BL32" s="1028">
        <v>0</v>
      </c>
      <c r="BM32" s="314">
        <f t="shared" si="10"/>
        <v>0</v>
      </c>
    </row>
    <row r="33" spans="1:65" ht="14.25">
      <c r="A33" s="340"/>
      <c r="B33" s="287" t="s">
        <v>2250</v>
      </c>
      <c r="C33" s="288">
        <f>+$C$31+$G$32</f>
        <v>11113</v>
      </c>
      <c r="D33" s="1121"/>
      <c r="E33" s="1121"/>
      <c r="F33" s="289">
        <v>0</v>
      </c>
      <c r="G33" s="292"/>
      <c r="H33" s="291" t="s">
        <v>954</v>
      </c>
      <c r="I33" s="294"/>
      <c r="J33" s="288"/>
      <c r="K33" s="1121"/>
      <c r="L33" s="1121" t="s">
        <v>231</v>
      </c>
      <c r="M33" s="1121" t="s">
        <v>2756</v>
      </c>
      <c r="N33" s="1121" t="s">
        <v>145</v>
      </c>
      <c r="O33" s="1121"/>
      <c r="P33" s="1121"/>
      <c r="Q33" s="1121">
        <v>0</v>
      </c>
      <c r="R33" s="289">
        <v>0</v>
      </c>
      <c r="S33" s="292"/>
      <c r="T33" s="1121">
        <v>35</v>
      </c>
      <c r="U33" s="1121"/>
      <c r="V33" s="1121"/>
      <c r="W33" s="1121">
        <v>1.4</v>
      </c>
      <c r="X33" s="1121"/>
      <c r="Y33" s="1121"/>
      <c r="Z33" s="1121"/>
      <c r="AA33" s="1121"/>
      <c r="AB33" s="1121"/>
      <c r="AC33" s="1121" t="s">
        <v>1704</v>
      </c>
      <c r="AD33" s="1121"/>
      <c r="AE33" s="1121"/>
      <c r="AF33" s="1121">
        <v>6000</v>
      </c>
      <c r="AG33" s="288">
        <v>11110.93</v>
      </c>
      <c r="AH33" s="1121">
        <v>2528</v>
      </c>
      <c r="AI33" s="289">
        <v>731</v>
      </c>
      <c r="AJ33" s="1121"/>
      <c r="AK33" s="1121"/>
      <c r="AL33" s="1121"/>
      <c r="AM33" s="1121" t="s">
        <v>1228</v>
      </c>
      <c r="AN33" s="315">
        <v>5.5</v>
      </c>
      <c r="AO33" s="315"/>
      <c r="AP33" s="315"/>
      <c r="AQ33" s="315"/>
      <c r="AR33" s="315"/>
      <c r="AS33" s="315"/>
      <c r="AT33" s="315">
        <f>+ab($T$33,$T$31,$T$35,$G$32,$G$34, 1*$F$33,1200)</f>
        <v>8.1681606014296726</v>
      </c>
      <c r="AU33" s="315"/>
      <c r="AV33" s="315"/>
      <c r="AW33" s="315" t="s">
        <v>2634</v>
      </c>
      <c r="AX33" s="315" t="s">
        <v>1641</v>
      </c>
      <c r="AY33" s="315">
        <v>4.2</v>
      </c>
      <c r="AZ33" s="315"/>
      <c r="BA33" s="315"/>
      <c r="BB33" s="306"/>
      <c r="BC33" s="323" t="s">
        <v>1042</v>
      </c>
      <c r="BD33" s="324" t="s">
        <v>1225</v>
      </c>
      <c r="BE33" s="298"/>
      <c r="BF33" s="323" t="s">
        <v>1365</v>
      </c>
      <c r="BG33" s="324" t="s">
        <v>944</v>
      </c>
      <c r="BH33" s="298"/>
      <c r="BI33" s="1039" t="s">
        <v>934</v>
      </c>
      <c r="BJ33" s="1028"/>
      <c r="BK33" s="1028"/>
      <c r="BL33" s="1028"/>
      <c r="BM33" s="314">
        <f>SUM(BM24:BM32)</f>
        <v>0</v>
      </c>
    </row>
    <row r="34" spans="1:65" ht="14.25">
      <c r="A34" s="340"/>
      <c r="B34" s="287"/>
      <c r="C34" s="288"/>
      <c r="D34" s="1121"/>
      <c r="E34" s="1121"/>
      <c r="F34" s="289"/>
      <c r="G34" s="292">
        <v>60</v>
      </c>
      <c r="H34" s="291"/>
      <c r="I34" s="294">
        <f>SUM(G6:G34)</f>
        <v>666</v>
      </c>
      <c r="J34" s="288"/>
      <c r="K34" s="1121"/>
      <c r="L34" s="1121"/>
      <c r="M34" s="1121"/>
      <c r="N34" s="1121"/>
      <c r="O34" s="1121"/>
      <c r="P34" s="1121"/>
      <c r="Q34" s="1121"/>
      <c r="R34" s="292"/>
      <c r="S34" s="292">
        <f t="shared" si="9"/>
        <v>59.949999999998909</v>
      </c>
      <c r="T34" s="1121"/>
      <c r="U34" s="1121"/>
      <c r="V34" s="1121"/>
      <c r="W34" s="1121"/>
      <c r="X34" s="1121"/>
      <c r="Y34" s="1121"/>
      <c r="Z34" s="1121"/>
      <c r="AA34" s="1121"/>
      <c r="AB34" s="1121"/>
      <c r="AC34" s="1121"/>
      <c r="AD34" s="1121"/>
      <c r="AE34" s="1121"/>
      <c r="AF34" s="1121"/>
      <c r="AG34" s="288" t="s">
        <v>695</v>
      </c>
      <c r="AH34" s="1121" t="s">
        <v>695</v>
      </c>
      <c r="AI34" s="289"/>
      <c r="AJ34" s="1121"/>
      <c r="AK34" s="1121"/>
      <c r="AL34" s="1121"/>
      <c r="AM34" s="1121"/>
      <c r="AN34" s="315"/>
      <c r="AO34" s="315"/>
      <c r="AP34" s="315"/>
      <c r="AQ34" s="315">
        <f>+FL_2($T$35,$T$33,$G$34,1200,9.28, 1*$F$35)</f>
        <v>-0.43600286799999999</v>
      </c>
      <c r="AR34" s="315"/>
      <c r="AS34" s="315"/>
      <c r="AT34" s="315"/>
      <c r="AU34" s="315"/>
      <c r="AV34" s="315"/>
      <c r="AW34" s="1121"/>
      <c r="AX34" s="1121"/>
      <c r="AY34" s="1121" t="s">
        <v>695</v>
      </c>
      <c r="AZ34" s="1121"/>
      <c r="BA34" s="1121"/>
      <c r="BB34" s="306"/>
      <c r="BC34" s="323" t="s">
        <v>1043</v>
      </c>
      <c r="BD34" s="324" t="s">
        <v>1226</v>
      </c>
      <c r="BE34" s="298"/>
      <c r="BF34" s="323"/>
      <c r="BG34" s="324"/>
      <c r="BH34" s="298"/>
      <c r="BI34" s="1039"/>
      <c r="BJ34" s="1028"/>
      <c r="BK34" s="1028"/>
      <c r="BL34" s="1028"/>
      <c r="BM34" s="314"/>
    </row>
    <row r="35" spans="1:65" ht="14.25">
      <c r="A35" s="340"/>
      <c r="B35" s="1036" t="s">
        <v>2251</v>
      </c>
      <c r="C35" s="288">
        <f>+$C$33+$G$34</f>
        <v>11173</v>
      </c>
      <c r="D35" s="1121"/>
      <c r="E35" s="1121"/>
      <c r="F35" s="289">
        <v>0</v>
      </c>
      <c r="G35" s="292"/>
      <c r="H35" s="291" t="s">
        <v>955</v>
      </c>
      <c r="I35" s="294"/>
      <c r="J35" s="383"/>
      <c r="K35" s="1121"/>
      <c r="L35" s="1121" t="s">
        <v>230</v>
      </c>
      <c r="M35" s="1121" t="s">
        <v>2757</v>
      </c>
      <c r="N35" s="1121" t="s">
        <v>144</v>
      </c>
      <c r="O35" s="1121"/>
      <c r="P35" s="1121"/>
      <c r="Q35" s="1121">
        <v>0</v>
      </c>
      <c r="R35" s="289">
        <v>0</v>
      </c>
      <c r="S35" s="292"/>
      <c r="T35" s="1121">
        <v>-35</v>
      </c>
      <c r="U35" s="1121"/>
      <c r="V35" s="1121"/>
      <c r="W35" s="1121">
        <v>1.4</v>
      </c>
      <c r="X35" s="1121"/>
      <c r="Y35" s="1121"/>
      <c r="Z35" s="1121"/>
      <c r="AA35" s="1121"/>
      <c r="AB35" s="1121"/>
      <c r="AC35" s="1121" t="s">
        <v>1704</v>
      </c>
      <c r="AD35" s="1121"/>
      <c r="AE35" s="1121"/>
      <c r="AF35" s="1121">
        <v>6000</v>
      </c>
      <c r="AG35" s="288">
        <v>11170.88</v>
      </c>
      <c r="AH35" s="1121">
        <v>2601</v>
      </c>
      <c r="AI35" s="289">
        <v>673</v>
      </c>
      <c r="AJ35" s="1121"/>
      <c r="AK35" s="1121"/>
      <c r="AL35" s="1121"/>
      <c r="AM35" s="1121" t="s">
        <v>1228</v>
      </c>
      <c r="AN35" s="315">
        <v>5.5</v>
      </c>
      <c r="AO35" s="315"/>
      <c r="AP35" s="315"/>
      <c r="AQ35" s="315"/>
      <c r="AR35" s="315"/>
      <c r="AS35" s="315"/>
      <c r="AT35" s="315">
        <f>+ab($T$35,$T$33,$T$37,$G$34,$G$36, 1*$F$35,1200)</f>
        <v>-8.4664207780936191</v>
      </c>
      <c r="AU35" s="315"/>
      <c r="AV35" s="315"/>
      <c r="AW35" s="315" t="s">
        <v>2634</v>
      </c>
      <c r="AX35" s="315" t="s">
        <v>1641</v>
      </c>
      <c r="AY35" s="315">
        <v>4.2</v>
      </c>
      <c r="AZ35" s="315"/>
      <c r="BA35" s="315"/>
      <c r="BB35" s="306"/>
      <c r="BC35" s="323" t="s">
        <v>1045</v>
      </c>
      <c r="BD35" s="324" t="s">
        <v>1004</v>
      </c>
      <c r="BE35" s="298"/>
      <c r="BF35" s="323" t="s">
        <v>1008</v>
      </c>
      <c r="BG35" s="324" t="s">
        <v>967</v>
      </c>
      <c r="BH35" s="298"/>
      <c r="BI35" s="316"/>
      <c r="BJ35" s="306"/>
      <c r="BK35" s="306"/>
      <c r="BL35" s="306"/>
      <c r="BM35" s="338"/>
    </row>
    <row r="36" spans="1:65" ht="15" thickBot="1">
      <c r="A36" s="340"/>
      <c r="B36" s="287"/>
      <c r="C36" s="288"/>
      <c r="D36" s="1121"/>
      <c r="E36" s="1121"/>
      <c r="F36" s="289"/>
      <c r="G36" s="292">
        <v>60</v>
      </c>
      <c r="H36" s="1121"/>
      <c r="I36" s="294">
        <f>SUM(G36:G60)</f>
        <v>675</v>
      </c>
      <c r="J36" s="288"/>
      <c r="K36" s="1121"/>
      <c r="L36" s="1121"/>
      <c r="M36" s="1121"/>
      <c r="N36" s="1121"/>
      <c r="O36" s="1121"/>
      <c r="P36" s="1121"/>
      <c r="Q36" s="1121"/>
      <c r="R36" s="292"/>
      <c r="S36" s="292">
        <f t="shared" si="9"/>
        <v>60.180000000000291</v>
      </c>
      <c r="T36" s="1121"/>
      <c r="U36" s="1121"/>
      <c r="V36" s="1121"/>
      <c r="W36" s="1121"/>
      <c r="X36" s="1121"/>
      <c r="Y36" s="1121"/>
      <c r="Z36" s="1121"/>
      <c r="AA36" s="1121"/>
      <c r="AB36" s="1121"/>
      <c r="AC36" s="1121"/>
      <c r="AD36" s="1121"/>
      <c r="AE36" s="1121"/>
      <c r="AF36" s="1121"/>
      <c r="AG36" s="288" t="s">
        <v>695</v>
      </c>
      <c r="AH36" s="1121" t="s">
        <v>695</v>
      </c>
      <c r="AI36" s="289"/>
      <c r="AJ36" s="1121"/>
      <c r="AK36" s="1121"/>
      <c r="AL36" s="1121"/>
      <c r="AM36" s="1121"/>
      <c r="AN36" s="315"/>
      <c r="AO36" s="315"/>
      <c r="AP36" s="315"/>
      <c r="AQ36" s="315">
        <f>+FL_2($T$37,$T$35,$G$36,1200,9.28, 1*$F$37)</f>
        <v>-0.39716535788863128</v>
      </c>
      <c r="AR36" s="315"/>
      <c r="AS36" s="315"/>
      <c r="AT36" s="315"/>
      <c r="AU36" s="315"/>
      <c r="AV36" s="315"/>
      <c r="AW36" s="1121"/>
      <c r="AX36" s="1121"/>
      <c r="AY36" s="1121" t="s">
        <v>695</v>
      </c>
      <c r="AZ36" s="1121"/>
      <c r="BA36" s="1121"/>
      <c r="BB36" s="306"/>
      <c r="BC36" s="323"/>
      <c r="BD36" s="324"/>
      <c r="BF36" s="323" t="s">
        <v>1009</v>
      </c>
      <c r="BG36" s="324" t="s">
        <v>1006</v>
      </c>
      <c r="BI36" s="1040" t="s">
        <v>1085</v>
      </c>
      <c r="BJ36" s="1029"/>
      <c r="BK36" s="1029"/>
      <c r="BL36" s="1029"/>
      <c r="BM36" s="1060">
        <f>(SUM(BK24:BK32)-SUM(BJ24:BJ32))/1000</f>
        <v>3.4849999999999999</v>
      </c>
    </row>
    <row r="37" spans="1:65" ht="18.75">
      <c r="A37" s="340"/>
      <c r="B37" s="287" t="s">
        <v>2252</v>
      </c>
      <c r="C37" s="288">
        <f>+$C$35+$G$36</f>
        <v>11233</v>
      </c>
      <c r="D37" s="1121"/>
      <c r="E37" s="1121"/>
      <c r="F37" s="289">
        <f t="shared" ref="F37" si="15">150*-1600/(C37-11195)</f>
        <v>-6315.7894736842109</v>
      </c>
      <c r="G37" s="292"/>
      <c r="H37" s="291" t="s">
        <v>954</v>
      </c>
      <c r="I37" s="294"/>
      <c r="J37" s="288"/>
      <c r="K37" s="1121"/>
      <c r="L37" s="1121" t="s">
        <v>231</v>
      </c>
      <c r="M37" s="1121" t="s">
        <v>2756</v>
      </c>
      <c r="N37" s="1121" t="s">
        <v>145</v>
      </c>
      <c r="O37" s="1121"/>
      <c r="P37" s="1121"/>
      <c r="Q37" s="1121">
        <v>29</v>
      </c>
      <c r="R37" s="292">
        <v>-10580.83</v>
      </c>
      <c r="S37" s="292"/>
      <c r="T37" s="1121">
        <v>30</v>
      </c>
      <c r="U37" s="1121"/>
      <c r="V37" s="1121"/>
      <c r="W37" s="1121">
        <v>1.4</v>
      </c>
      <c r="X37" s="1121"/>
      <c r="Y37" s="1121"/>
      <c r="Z37" s="1121"/>
      <c r="AA37" s="1121"/>
      <c r="AB37" s="1121"/>
      <c r="AC37" s="1121" t="s">
        <v>1704</v>
      </c>
      <c r="AD37" s="1121"/>
      <c r="AE37" s="1121"/>
      <c r="AF37" s="1121">
        <v>6000</v>
      </c>
      <c r="AG37" s="288">
        <v>11231.06</v>
      </c>
      <c r="AH37" s="1121">
        <v>2646</v>
      </c>
      <c r="AI37" s="289">
        <v>680</v>
      </c>
      <c r="AJ37" s="1121"/>
      <c r="AK37" s="1121"/>
      <c r="AL37" s="1121"/>
      <c r="AM37" s="1121" t="s">
        <v>1228</v>
      </c>
      <c r="AN37" s="315">
        <v>5.5</v>
      </c>
      <c r="AO37" s="315"/>
      <c r="AP37" s="315"/>
      <c r="AQ37" s="315"/>
      <c r="AR37" s="315"/>
      <c r="AS37" s="315"/>
      <c r="AT37" s="315">
        <f>+ab($T$37,$T$35,$T$39,$G$36,$G$38, 1*$F$37,1200)</f>
        <v>15.156216932789507</v>
      </c>
      <c r="AU37" s="315"/>
      <c r="AV37" s="315"/>
      <c r="AW37" s="315" t="s">
        <v>2634</v>
      </c>
      <c r="AX37" s="315" t="s">
        <v>1641</v>
      </c>
      <c r="AY37" s="315">
        <v>4.2</v>
      </c>
      <c r="AZ37" s="315"/>
      <c r="BA37" s="315"/>
      <c r="BB37" s="306"/>
      <c r="BC37" s="1049" t="s">
        <v>999</v>
      </c>
      <c r="BD37" s="302"/>
      <c r="BF37" s="323" t="s">
        <v>1010</v>
      </c>
      <c r="BG37" s="324" t="s">
        <v>962</v>
      </c>
    </row>
    <row r="38" spans="1:65" ht="14.25">
      <c r="A38" s="340"/>
      <c r="B38" s="287"/>
      <c r="C38" s="288"/>
      <c r="D38" s="1121"/>
      <c r="E38" s="1121"/>
      <c r="F38" s="289"/>
      <c r="G38" s="292">
        <v>56</v>
      </c>
      <c r="H38" s="1121"/>
      <c r="I38" s="294"/>
      <c r="J38" s="288">
        <f>C37+7.5</f>
        <v>11240.5</v>
      </c>
      <c r="K38" s="1121" t="s">
        <v>3018</v>
      </c>
      <c r="L38" s="1121"/>
      <c r="M38" s="1121"/>
      <c r="N38" s="1121"/>
      <c r="O38" s="1121"/>
      <c r="P38" s="1121"/>
      <c r="Q38" s="1121"/>
      <c r="R38" s="292"/>
      <c r="S38" s="292">
        <f t="shared" si="9"/>
        <v>56.090000000000146</v>
      </c>
      <c r="T38" s="1121"/>
      <c r="U38" s="1121"/>
      <c r="V38" s="1121"/>
      <c r="W38" s="1121"/>
      <c r="X38" s="1121"/>
      <c r="Y38" s="1121"/>
      <c r="Z38" s="1121"/>
      <c r="AA38" s="1121"/>
      <c r="AB38" s="1121"/>
      <c r="AC38" s="1121"/>
      <c r="AD38" s="1121"/>
      <c r="AE38" s="1121"/>
      <c r="AF38" s="1121"/>
      <c r="AG38" s="288" t="s">
        <v>695</v>
      </c>
      <c r="AH38" s="1121" t="s">
        <v>695</v>
      </c>
      <c r="AI38" s="289"/>
      <c r="AJ38" s="1121"/>
      <c r="AK38" s="1121"/>
      <c r="AL38" s="1121"/>
      <c r="AM38" s="1121"/>
      <c r="AN38" s="315"/>
      <c r="AO38" s="315"/>
      <c r="AP38" s="315"/>
      <c r="AQ38" s="315">
        <f>+FL_2($T$39,$T$37,$G$38,1200,9.28, 1*$F$39)</f>
        <v>-0.3</v>
      </c>
      <c r="AR38" s="315"/>
      <c r="AS38" s="315"/>
      <c r="AT38" s="315"/>
      <c r="AU38" s="315"/>
      <c r="AV38" s="315"/>
      <c r="AW38" s="1121" t="s">
        <v>2634</v>
      </c>
      <c r="AX38" s="1121" t="s">
        <v>1641</v>
      </c>
      <c r="AY38" s="1121"/>
      <c r="AZ38" s="1121">
        <v>3.5</v>
      </c>
      <c r="BA38" s="1121"/>
      <c r="BB38" s="306"/>
      <c r="BC38" s="323" t="s">
        <v>1046</v>
      </c>
      <c r="BD38" s="324" t="s">
        <v>653</v>
      </c>
      <c r="BF38" s="323" t="s">
        <v>1011</v>
      </c>
      <c r="BG38" s="324" t="s">
        <v>971</v>
      </c>
    </row>
    <row r="39" spans="1:65" ht="14.25">
      <c r="A39" s="340"/>
      <c r="B39" s="287" t="s">
        <v>2253</v>
      </c>
      <c r="C39" s="288">
        <f>+$C$37+$G$38</f>
        <v>11289</v>
      </c>
      <c r="D39" s="1121"/>
      <c r="E39" s="1121"/>
      <c r="F39" s="289">
        <f t="shared" ref="F39" si="16">150*-1600/(C39-11195)</f>
        <v>-2553.1914893617022</v>
      </c>
      <c r="G39" s="292"/>
      <c r="H39" s="1121"/>
      <c r="I39" s="294"/>
      <c r="J39" s="288"/>
      <c r="K39" s="1121"/>
      <c r="L39" s="1121" t="s">
        <v>231</v>
      </c>
      <c r="M39" s="1121" t="s">
        <v>2756</v>
      </c>
      <c r="N39" s="1121" t="s">
        <v>144</v>
      </c>
      <c r="O39" s="1121"/>
      <c r="P39" s="1121"/>
      <c r="Q39" s="1121">
        <v>70</v>
      </c>
      <c r="R39" s="292">
        <v>-3168.57</v>
      </c>
      <c r="S39" s="292"/>
      <c r="T39" s="1121">
        <v>-30</v>
      </c>
      <c r="U39" s="1121"/>
      <c r="V39" s="1121"/>
      <c r="W39" s="1121">
        <v>1.4</v>
      </c>
      <c r="X39" s="1121"/>
      <c r="Y39" s="1121"/>
      <c r="Z39" s="1121"/>
      <c r="AA39" s="1121"/>
      <c r="AB39" s="1121"/>
      <c r="AC39" s="1121" t="s">
        <v>2963</v>
      </c>
      <c r="AD39" s="1121"/>
      <c r="AE39" s="1121"/>
      <c r="AF39" s="1121">
        <v>6000</v>
      </c>
      <c r="AG39" s="288">
        <v>11287.15</v>
      </c>
      <c r="AH39" s="1121">
        <v>2637</v>
      </c>
      <c r="AI39" s="289">
        <v>718</v>
      </c>
      <c r="AJ39" s="1121"/>
      <c r="AK39" s="1121"/>
      <c r="AL39" s="1121"/>
      <c r="AM39" s="1121" t="s">
        <v>1228</v>
      </c>
      <c r="AN39" s="315">
        <v>5.5</v>
      </c>
      <c r="AO39" s="315"/>
      <c r="AP39" s="315"/>
      <c r="AQ39" s="315"/>
      <c r="AR39" s="315"/>
      <c r="AS39" s="315"/>
      <c r="AT39" s="315">
        <f>+ab($T$39,$T$37,$T$41,$G$38,$G$40, 1*$F$39,1200)</f>
        <v>-6.0369863854168218</v>
      </c>
      <c r="AU39" s="315"/>
      <c r="AV39" s="315"/>
      <c r="AW39" s="315" t="s">
        <v>2634</v>
      </c>
      <c r="AX39" s="315" t="s">
        <v>1641</v>
      </c>
      <c r="AY39" s="315">
        <v>4.2</v>
      </c>
      <c r="AZ39" s="315"/>
      <c r="BA39" s="315"/>
      <c r="BB39" s="306"/>
      <c r="BC39" s="323" t="s">
        <v>1047</v>
      </c>
      <c r="BD39" s="324" t="s">
        <v>658</v>
      </c>
      <c r="BF39" s="323" t="s">
        <v>1012</v>
      </c>
      <c r="BG39" s="324" t="s">
        <v>966</v>
      </c>
    </row>
    <row r="40" spans="1:65" ht="14.25">
      <c r="A40" s="340"/>
      <c r="B40" s="287"/>
      <c r="C40" s="288"/>
      <c r="D40" s="1121"/>
      <c r="E40" s="1121"/>
      <c r="F40" s="289"/>
      <c r="G40" s="292">
        <v>51</v>
      </c>
      <c r="H40" s="1121"/>
      <c r="I40" s="294"/>
      <c r="J40" s="288"/>
      <c r="K40" s="1121"/>
      <c r="L40" s="1121"/>
      <c r="M40" s="1121"/>
      <c r="N40" s="1121"/>
      <c r="O40" s="1121"/>
      <c r="P40" s="1121"/>
      <c r="Q40" s="1121"/>
      <c r="R40" s="292"/>
      <c r="S40" s="292">
        <f t="shared" si="9"/>
        <v>51.030000000000655</v>
      </c>
      <c r="T40" s="1121"/>
      <c r="U40" s="1121"/>
      <c r="V40" s="1121"/>
      <c r="W40" s="1121"/>
      <c r="X40" s="1121"/>
      <c r="Y40" s="1121"/>
      <c r="Z40" s="1121"/>
      <c r="AA40" s="1121"/>
      <c r="AB40" s="1121"/>
      <c r="AC40" s="1121"/>
      <c r="AD40" s="1121"/>
      <c r="AE40" s="1121"/>
      <c r="AF40" s="1121"/>
      <c r="AG40" s="288" t="s">
        <v>695</v>
      </c>
      <c r="AH40" s="1121" t="s">
        <v>695</v>
      </c>
      <c r="AI40" s="289"/>
      <c r="AJ40" s="1121"/>
      <c r="AK40" s="1121"/>
      <c r="AL40" s="1121"/>
      <c r="AM40" s="1121"/>
      <c r="AN40" s="315"/>
      <c r="AO40" s="315"/>
      <c r="AP40" s="315"/>
      <c r="AQ40" s="315">
        <f>+FL_2($T$41,$T$39,$G$40,1200,9.28, 1*$F$41)</f>
        <v>-0.34821396976419206</v>
      </c>
      <c r="AR40" s="315"/>
      <c r="AS40" s="315"/>
      <c r="AT40" s="315"/>
      <c r="AU40" s="315"/>
      <c r="AV40" s="315"/>
      <c r="AW40" s="1121"/>
      <c r="AX40" s="1121"/>
      <c r="AY40" s="1121" t="s">
        <v>695</v>
      </c>
      <c r="AZ40" s="1121"/>
      <c r="BA40" s="1121"/>
      <c r="BB40" s="306"/>
      <c r="BC40" s="323" t="s">
        <v>1049</v>
      </c>
      <c r="BD40" s="324" t="s">
        <v>654</v>
      </c>
      <c r="BF40" s="323" t="s">
        <v>1013</v>
      </c>
      <c r="BG40" s="324" t="s">
        <v>1007</v>
      </c>
    </row>
    <row r="41" spans="1:65" ht="14.25">
      <c r="A41" s="340"/>
      <c r="B41" s="287" t="s">
        <v>2254</v>
      </c>
      <c r="C41" s="288">
        <f>+$C$39+$G$40</f>
        <v>11340</v>
      </c>
      <c r="D41" s="1121"/>
      <c r="E41" s="1121"/>
      <c r="F41" s="289">
        <v>-1600</v>
      </c>
      <c r="G41" s="292"/>
      <c r="H41" s="1121"/>
      <c r="I41" s="294"/>
      <c r="J41" s="288"/>
      <c r="K41" s="1121"/>
      <c r="L41" s="1121" t="s">
        <v>231</v>
      </c>
      <c r="M41" s="1121" t="s">
        <v>2756</v>
      </c>
      <c r="N41" s="1121" t="s">
        <v>144</v>
      </c>
      <c r="O41" s="1121"/>
      <c r="P41" s="1121"/>
      <c r="Q41" s="1121">
        <v>110</v>
      </c>
      <c r="R41" s="292">
        <v>-1955.68</v>
      </c>
      <c r="S41" s="292"/>
      <c r="T41" s="1121">
        <v>-30</v>
      </c>
      <c r="U41" s="1121"/>
      <c r="V41" s="1121"/>
      <c r="W41" s="1121">
        <v>1.4</v>
      </c>
      <c r="X41" s="1121"/>
      <c r="Y41" s="1121"/>
      <c r="Z41" s="1121"/>
      <c r="AA41" s="1121"/>
      <c r="AB41" s="1121"/>
      <c r="AC41" s="1121" t="s">
        <v>2963</v>
      </c>
      <c r="AD41" s="1121"/>
      <c r="AE41" s="1121"/>
      <c r="AF41" s="1121">
        <v>6000</v>
      </c>
      <c r="AG41" s="288">
        <v>11338.18</v>
      </c>
      <c r="AH41" s="1121">
        <v>2595</v>
      </c>
      <c r="AI41" s="289">
        <v>717</v>
      </c>
      <c r="AJ41" s="1121"/>
      <c r="AK41" s="1121"/>
      <c r="AL41" s="1121"/>
      <c r="AM41" s="1121" t="s">
        <v>1228</v>
      </c>
      <c r="AN41" s="315">
        <v>5.5</v>
      </c>
      <c r="AO41" s="315"/>
      <c r="AP41" s="315"/>
      <c r="AQ41" s="315"/>
      <c r="AR41" s="315"/>
      <c r="AS41" s="315"/>
      <c r="AT41" s="315">
        <f>+ab($T$41,$T$39,$T$43,$G$40,$G$42, 1*$F$41,1200)</f>
        <v>-5.9981532767103714</v>
      </c>
      <c r="AU41" s="315"/>
      <c r="AV41" s="315"/>
      <c r="AW41" s="315" t="s">
        <v>2634</v>
      </c>
      <c r="AX41" s="315" t="s">
        <v>1641</v>
      </c>
      <c r="AY41" s="315">
        <v>4.2</v>
      </c>
      <c r="AZ41" s="315"/>
      <c r="BA41" s="315"/>
      <c r="BB41" s="306"/>
      <c r="BC41" s="323" t="s">
        <v>1048</v>
      </c>
      <c r="BD41" s="324" t="s">
        <v>659</v>
      </c>
      <c r="BF41" s="323" t="s">
        <v>1014</v>
      </c>
      <c r="BG41" s="324" t="s">
        <v>970</v>
      </c>
    </row>
    <row r="42" spans="1:65" ht="14.25">
      <c r="A42" s="340"/>
      <c r="B42" s="287"/>
      <c r="C42" s="288"/>
      <c r="D42" s="1121"/>
      <c r="E42" s="1121"/>
      <c r="F42" s="289"/>
      <c r="G42" s="292">
        <v>51</v>
      </c>
      <c r="H42" s="1121"/>
      <c r="I42" s="294"/>
      <c r="J42" s="288"/>
      <c r="K42" s="1121"/>
      <c r="L42" s="1121"/>
      <c r="M42" s="1121"/>
      <c r="N42" s="1121"/>
      <c r="O42" s="1121"/>
      <c r="P42" s="1121"/>
      <c r="Q42" s="1121"/>
      <c r="R42" s="292"/>
      <c r="S42" s="292">
        <f t="shared" si="9"/>
        <v>51.110000000000582</v>
      </c>
      <c r="T42" s="1121"/>
      <c r="U42" s="1121"/>
      <c r="V42" s="1121"/>
      <c r="W42" s="1121"/>
      <c r="X42" s="1121"/>
      <c r="Y42" s="1121"/>
      <c r="Z42" s="1121"/>
      <c r="AA42" s="1121"/>
      <c r="AB42" s="1121"/>
      <c r="AC42" s="1121"/>
      <c r="AD42" s="1121"/>
      <c r="AE42" s="1121"/>
      <c r="AF42" s="1121"/>
      <c r="AG42" s="288" t="s">
        <v>695</v>
      </c>
      <c r="AH42" s="1121" t="s">
        <v>695</v>
      </c>
      <c r="AI42" s="289"/>
      <c r="AJ42" s="1121"/>
      <c r="AK42" s="1121"/>
      <c r="AL42" s="1121"/>
      <c r="AM42" s="1121"/>
      <c r="AN42" s="315"/>
      <c r="AO42" s="315"/>
      <c r="AP42" s="315"/>
      <c r="AQ42" s="315">
        <f>+FL_2($T$43,$T$41,$G$42,1200,9.28, 1*$F$43)</f>
        <v>-0.34821396976419206</v>
      </c>
      <c r="AR42" s="315"/>
      <c r="AS42" s="315"/>
      <c r="AT42" s="315"/>
      <c r="AU42" s="315"/>
      <c r="AV42" s="315"/>
      <c r="AW42" s="1121"/>
      <c r="AX42" s="1121"/>
      <c r="AY42" s="1121" t="s">
        <v>695</v>
      </c>
      <c r="AZ42" s="1121"/>
      <c r="BA42" s="1121"/>
      <c r="BB42" s="306"/>
      <c r="BC42" s="323" t="s">
        <v>1608</v>
      </c>
      <c r="BD42" s="324" t="s">
        <v>1055</v>
      </c>
      <c r="BF42" s="323"/>
      <c r="BG42" s="324"/>
    </row>
    <row r="43" spans="1:65" ht="18.75">
      <c r="A43" s="340"/>
      <c r="B43" s="287" t="s">
        <v>2255</v>
      </c>
      <c r="C43" s="288">
        <f>+$C$41+$G$42</f>
        <v>11391</v>
      </c>
      <c r="D43" s="1121"/>
      <c r="E43" s="1121"/>
      <c r="F43" s="289">
        <v>-1600</v>
      </c>
      <c r="G43" s="292"/>
      <c r="H43" s="1121"/>
      <c r="I43" s="294"/>
      <c r="J43" s="288"/>
      <c r="K43" s="1121"/>
      <c r="L43" s="1121" t="s">
        <v>231</v>
      </c>
      <c r="M43" s="1121" t="s">
        <v>2756</v>
      </c>
      <c r="N43" s="1121" t="s">
        <v>144</v>
      </c>
      <c r="O43" s="1121"/>
      <c r="P43" s="1121"/>
      <c r="Q43" s="1121">
        <v>116</v>
      </c>
      <c r="R43" s="292">
        <v>-1604.7</v>
      </c>
      <c r="S43" s="292"/>
      <c r="T43" s="1121">
        <v>-30</v>
      </c>
      <c r="U43" s="1121"/>
      <c r="V43" s="1121"/>
      <c r="W43" s="1121">
        <v>1.4</v>
      </c>
      <c r="X43" s="1121"/>
      <c r="Y43" s="1121"/>
      <c r="Z43" s="1121"/>
      <c r="AA43" s="1121"/>
      <c r="AB43" s="1121"/>
      <c r="AC43" s="1121" t="s">
        <v>2963</v>
      </c>
      <c r="AD43" s="1121"/>
      <c r="AE43" s="1121"/>
      <c r="AF43" s="1121">
        <v>6000</v>
      </c>
      <c r="AG43" s="288">
        <v>11389.29</v>
      </c>
      <c r="AH43" s="1121">
        <v>2639</v>
      </c>
      <c r="AI43" s="289">
        <v>710</v>
      </c>
      <c r="AJ43" s="1121"/>
      <c r="AK43" s="1121"/>
      <c r="AL43" s="1121"/>
      <c r="AM43" s="1121" t="s">
        <v>1228</v>
      </c>
      <c r="AN43" s="315">
        <v>5.5</v>
      </c>
      <c r="AO43" s="315"/>
      <c r="AP43" s="315"/>
      <c r="AQ43" s="315"/>
      <c r="AR43" s="315"/>
      <c r="AS43" s="315"/>
      <c r="AT43" s="315">
        <f>+ab($T$43,$T$41,$T$45,$G$42,$G$44, 1*$F$43,1200)</f>
        <v>-5.9981532767103714</v>
      </c>
      <c r="AU43" s="315"/>
      <c r="AV43" s="315"/>
      <c r="AW43" s="315" t="s">
        <v>2634</v>
      </c>
      <c r="AX43" s="315" t="s">
        <v>1641</v>
      </c>
      <c r="AY43" s="315">
        <v>4.2</v>
      </c>
      <c r="AZ43" s="315"/>
      <c r="BA43" s="315"/>
      <c r="BB43" s="306"/>
      <c r="BC43" s="323" t="s">
        <v>1607</v>
      </c>
      <c r="BD43" s="324" t="s">
        <v>1060</v>
      </c>
      <c r="BF43" s="1049" t="s">
        <v>1015</v>
      </c>
      <c r="BG43" s="302"/>
    </row>
    <row r="44" spans="1:65" ht="14.25">
      <c r="A44" s="340"/>
      <c r="B44" s="287"/>
      <c r="C44" s="288"/>
      <c r="D44" s="1121"/>
      <c r="E44" s="1121"/>
      <c r="F44" s="289"/>
      <c r="G44" s="292">
        <v>51</v>
      </c>
      <c r="H44" s="1121"/>
      <c r="I44" s="294"/>
      <c r="J44" s="288"/>
      <c r="K44" s="1121"/>
      <c r="L44" s="1121"/>
      <c r="M44" s="1121"/>
      <c r="N44" s="1121"/>
      <c r="O44" s="1121"/>
      <c r="P44" s="1121"/>
      <c r="Q44" s="1121"/>
      <c r="R44" s="292"/>
      <c r="S44" s="292">
        <f t="shared" si="9"/>
        <v>51.279999999998836</v>
      </c>
      <c r="T44" s="1121"/>
      <c r="U44" s="1121"/>
      <c r="V44" s="1121"/>
      <c r="W44" s="1121"/>
      <c r="X44" s="1121"/>
      <c r="Y44" s="1121"/>
      <c r="Z44" s="1121"/>
      <c r="AA44" s="1121"/>
      <c r="AB44" s="1121"/>
      <c r="AC44" s="1121"/>
      <c r="AD44" s="1121"/>
      <c r="AE44" s="1121"/>
      <c r="AF44" s="1121"/>
      <c r="AG44" s="288" t="s">
        <v>695</v>
      </c>
      <c r="AH44" s="1121" t="s">
        <v>695</v>
      </c>
      <c r="AI44" s="289"/>
      <c r="AJ44" s="1121"/>
      <c r="AK44" s="1121"/>
      <c r="AL44" s="1121"/>
      <c r="AM44" s="1121"/>
      <c r="AN44" s="315"/>
      <c r="AO44" s="315"/>
      <c r="AP44" s="315"/>
      <c r="AQ44" s="315">
        <f>+FL_2($T$45,$T$43,$G$44,1200,9.28, 1*$F$45)</f>
        <v>-0.34821396976419206</v>
      </c>
      <c r="AR44" s="315"/>
      <c r="AS44" s="315"/>
      <c r="AT44" s="315"/>
      <c r="AU44" s="315"/>
      <c r="AV44" s="315"/>
      <c r="AW44" s="1121"/>
      <c r="AX44" s="1121"/>
      <c r="AY44" s="1121" t="s">
        <v>695</v>
      </c>
      <c r="AZ44" s="1121"/>
      <c r="BA44" s="1121"/>
      <c r="BB44" s="306"/>
      <c r="BC44" s="323" t="s">
        <v>1609</v>
      </c>
      <c r="BD44" s="324" t="s">
        <v>1606</v>
      </c>
      <c r="BF44" s="323" t="s">
        <v>1016</v>
      </c>
      <c r="BG44" s="324" t="s">
        <v>1001</v>
      </c>
    </row>
    <row r="45" spans="1:65" ht="14.25">
      <c r="A45" s="340"/>
      <c r="B45" s="287" t="s">
        <v>2256</v>
      </c>
      <c r="C45" s="288">
        <f>+$C$43+$G$44</f>
        <v>11442</v>
      </c>
      <c r="D45" s="1121"/>
      <c r="E45" s="1121"/>
      <c r="F45" s="289">
        <v>-1600</v>
      </c>
      <c r="G45" s="292"/>
      <c r="H45" s="1121"/>
      <c r="I45" s="294"/>
      <c r="J45" s="288"/>
      <c r="K45" s="1121"/>
      <c r="L45" s="1121" t="s">
        <v>231</v>
      </c>
      <c r="M45" s="1121" t="s">
        <v>2756</v>
      </c>
      <c r="N45" s="1121" t="s">
        <v>144</v>
      </c>
      <c r="O45" s="1121"/>
      <c r="P45" s="1121"/>
      <c r="Q45" s="1121">
        <v>116</v>
      </c>
      <c r="R45" s="292">
        <v>-1604.7</v>
      </c>
      <c r="S45" s="292"/>
      <c r="T45" s="1121">
        <v>-30</v>
      </c>
      <c r="U45" s="1121"/>
      <c r="V45" s="1121"/>
      <c r="W45" s="1121">
        <v>1.4</v>
      </c>
      <c r="X45" s="1121"/>
      <c r="Y45" s="1121"/>
      <c r="Z45" s="1121"/>
      <c r="AA45" s="1121"/>
      <c r="AB45" s="1121"/>
      <c r="AC45" s="1121" t="s">
        <v>2963</v>
      </c>
      <c r="AD45" s="1121"/>
      <c r="AE45" s="1121"/>
      <c r="AF45" s="1121">
        <v>6000</v>
      </c>
      <c r="AG45" s="288">
        <v>11440.57</v>
      </c>
      <c r="AH45" s="1121">
        <v>2603</v>
      </c>
      <c r="AI45" s="289">
        <v>730</v>
      </c>
      <c r="AJ45" s="1121"/>
      <c r="AK45" s="1121"/>
      <c r="AL45" s="1121"/>
      <c r="AM45" s="1121" t="s">
        <v>1228</v>
      </c>
      <c r="AN45" s="315">
        <v>5.5</v>
      </c>
      <c r="AO45" s="315"/>
      <c r="AP45" s="315"/>
      <c r="AQ45" s="315"/>
      <c r="AR45" s="315"/>
      <c r="AS45" s="315"/>
      <c r="AT45" s="315">
        <f>+ab($T$45,$T$43,$T$47,$G$44,$G$46, 1*$F$45,1200)</f>
        <v>-6.3700457825922534</v>
      </c>
      <c r="AU45" s="315"/>
      <c r="AV45" s="315"/>
      <c r="AW45" s="315" t="s">
        <v>2634</v>
      </c>
      <c r="AX45" s="315" t="s">
        <v>1641</v>
      </c>
      <c r="AY45" s="315">
        <v>4.2</v>
      </c>
      <c r="AZ45" s="315"/>
      <c r="BA45" s="315"/>
      <c r="BB45" s="306"/>
      <c r="BC45" s="323"/>
      <c r="BD45" s="314"/>
      <c r="BF45" s="323" t="s">
        <v>1017</v>
      </c>
      <c r="BG45" s="324" t="s">
        <v>1684</v>
      </c>
    </row>
    <row r="46" spans="1:65" ht="18.75">
      <c r="A46" s="340"/>
      <c r="B46" s="287"/>
      <c r="C46" s="288"/>
      <c r="D46" s="1121"/>
      <c r="E46" s="1121"/>
      <c r="F46" s="289"/>
      <c r="G46" s="292">
        <v>45</v>
      </c>
      <c r="H46" s="1121"/>
      <c r="I46" s="294"/>
      <c r="J46" s="288"/>
      <c r="K46" s="1121"/>
      <c r="L46" s="1121"/>
      <c r="M46" s="1121"/>
      <c r="N46" s="1121"/>
      <c r="O46" s="1121"/>
      <c r="P46" s="1121"/>
      <c r="Q46" s="1121"/>
      <c r="R46" s="292"/>
      <c r="S46" s="292">
        <f t="shared" si="9"/>
        <v>45</v>
      </c>
      <c r="T46" s="1121"/>
      <c r="U46" s="1121"/>
      <c r="V46" s="1121"/>
      <c r="W46" s="1121"/>
      <c r="X46" s="1121"/>
      <c r="Y46" s="1121"/>
      <c r="Z46" s="1121"/>
      <c r="AA46" s="1121"/>
      <c r="AB46" s="1121"/>
      <c r="AC46" s="1121"/>
      <c r="AD46" s="1121"/>
      <c r="AE46" s="1121"/>
      <c r="AF46" s="1121"/>
      <c r="AG46" s="288" t="s">
        <v>695</v>
      </c>
      <c r="AH46" s="1121" t="s">
        <v>695</v>
      </c>
      <c r="AI46" s="289"/>
      <c r="AJ46" s="1121"/>
      <c r="AK46" s="1121"/>
      <c r="AL46" s="1121"/>
      <c r="AM46" s="1121"/>
      <c r="AN46" s="315"/>
      <c r="AO46" s="315"/>
      <c r="AP46" s="315"/>
      <c r="AQ46" s="315">
        <f>+FL_2($T$47,$T$45,$G$46,1200,9.28, 1*$F$47)</f>
        <v>-0.33753905290514191</v>
      </c>
      <c r="AR46" s="315"/>
      <c r="AS46" s="315"/>
      <c r="AT46" s="315"/>
      <c r="AU46" s="315"/>
      <c r="AV46" s="315"/>
      <c r="AW46" s="1121"/>
      <c r="AX46" s="1121"/>
      <c r="AY46" s="1121" t="s">
        <v>695</v>
      </c>
      <c r="AZ46" s="1121"/>
      <c r="BA46" s="1121"/>
      <c r="BB46" s="306"/>
      <c r="BC46" s="1049" t="s">
        <v>1000</v>
      </c>
      <c r="BD46" s="302"/>
      <c r="BF46" s="323" t="s">
        <v>1018</v>
      </c>
      <c r="BG46" s="324" t="s">
        <v>1685</v>
      </c>
    </row>
    <row r="47" spans="1:65" ht="14.25">
      <c r="A47" s="340"/>
      <c r="B47" s="287" t="s">
        <v>2257</v>
      </c>
      <c r="C47" s="288">
        <f>+$C$45+$G$46</f>
        <v>11487</v>
      </c>
      <c r="D47" s="1121"/>
      <c r="E47" s="1121"/>
      <c r="F47" s="289">
        <v>-1600</v>
      </c>
      <c r="G47" s="292"/>
      <c r="H47" s="1121"/>
      <c r="I47" s="294"/>
      <c r="J47" s="288"/>
      <c r="K47" s="1121"/>
      <c r="L47" s="1121" t="s">
        <v>231</v>
      </c>
      <c r="M47" s="1121" t="s">
        <v>2756</v>
      </c>
      <c r="N47" s="1121" t="s">
        <v>144</v>
      </c>
      <c r="O47" s="1121"/>
      <c r="P47" s="1121"/>
      <c r="Q47" s="1121">
        <v>114</v>
      </c>
      <c r="R47" s="292">
        <v>-1604.7</v>
      </c>
      <c r="S47" s="292"/>
      <c r="T47" s="1121">
        <v>-30</v>
      </c>
      <c r="U47" s="1121"/>
      <c r="V47" s="1121"/>
      <c r="W47" s="1121">
        <v>1.4</v>
      </c>
      <c r="X47" s="1121"/>
      <c r="Y47" s="1121"/>
      <c r="Z47" s="1121"/>
      <c r="AA47" s="1121"/>
      <c r="AB47" s="1121"/>
      <c r="AC47" s="1121" t="s">
        <v>2963</v>
      </c>
      <c r="AD47" s="1121"/>
      <c r="AE47" s="1121"/>
      <c r="AF47" s="1121">
        <v>6000</v>
      </c>
      <c r="AG47" s="288">
        <v>11485.57</v>
      </c>
      <c r="AH47" s="1121">
        <v>2529</v>
      </c>
      <c r="AI47" s="289">
        <v>771</v>
      </c>
      <c r="AJ47" s="1121"/>
      <c r="AK47" s="1121"/>
      <c r="AL47" s="1121"/>
      <c r="AM47" s="1121" t="s">
        <v>1228</v>
      </c>
      <c r="AN47" s="315">
        <v>5.5</v>
      </c>
      <c r="AO47" s="315"/>
      <c r="AP47" s="315"/>
      <c r="AQ47" s="315"/>
      <c r="AR47" s="315"/>
      <c r="AS47" s="315"/>
      <c r="AT47" s="315">
        <f>+ab($T$47,$T$45,$T$49,$G$46,$G$48, 1*$F$47,1200)</f>
        <v>-6.573760269063869</v>
      </c>
      <c r="AU47" s="315"/>
      <c r="AV47" s="315"/>
      <c r="AW47" s="315" t="s">
        <v>2634</v>
      </c>
      <c r="AX47" s="315" t="s">
        <v>1641</v>
      </c>
      <c r="AY47" s="315">
        <v>4.2</v>
      </c>
      <c r="AZ47" s="315"/>
      <c r="BA47" s="315"/>
      <c r="BB47" s="306"/>
      <c r="BC47" s="323" t="s">
        <v>1033</v>
      </c>
      <c r="BD47" s="324" t="s">
        <v>655</v>
      </c>
      <c r="BE47" s="307"/>
      <c r="BF47" s="323" t="s">
        <v>1019</v>
      </c>
      <c r="BG47" s="324" t="s">
        <v>141</v>
      </c>
    </row>
    <row r="48" spans="1:65" ht="14.25">
      <c r="A48" s="340"/>
      <c r="B48" s="287"/>
      <c r="C48" s="288"/>
      <c r="D48" s="1121"/>
      <c r="E48" s="1121"/>
      <c r="F48" s="289"/>
      <c r="G48" s="292">
        <v>48</v>
      </c>
      <c r="H48" s="1121"/>
      <c r="I48" s="294"/>
      <c r="J48" s="288"/>
      <c r="K48" s="1121"/>
      <c r="L48" s="1121"/>
      <c r="M48" s="1121"/>
      <c r="N48" s="1121"/>
      <c r="O48" s="1121"/>
      <c r="P48" s="1121"/>
      <c r="Q48" s="1121"/>
      <c r="R48" s="292"/>
      <c r="S48" s="292">
        <f t="shared" si="9"/>
        <v>48.210000000000946</v>
      </c>
      <c r="T48" s="1121"/>
      <c r="U48" s="1121"/>
      <c r="V48" s="1121"/>
      <c r="W48" s="1121"/>
      <c r="X48" s="1121"/>
      <c r="Y48" s="1121"/>
      <c r="Z48" s="1121"/>
      <c r="AA48" s="1121"/>
      <c r="AB48" s="1121"/>
      <c r="AC48" s="1121"/>
      <c r="AD48" s="1121"/>
      <c r="AE48" s="1121"/>
      <c r="AF48" s="1121"/>
      <c r="AG48" s="288" t="s">
        <v>695</v>
      </c>
      <c r="AH48" s="1121" t="s">
        <v>695</v>
      </c>
      <c r="AI48" s="289"/>
      <c r="AJ48" s="1121"/>
      <c r="AK48" s="1121"/>
      <c r="AL48" s="1121"/>
      <c r="AM48" s="1121"/>
      <c r="AN48" s="315"/>
      <c r="AO48" s="315"/>
      <c r="AP48" s="315"/>
      <c r="AQ48" s="315">
        <f>+FL_2($T$49,$T$47,$G$48,1200,9.28, 1*$F$49)</f>
        <v>-0.34270987386077711</v>
      </c>
      <c r="AR48" s="315"/>
      <c r="AS48" s="315"/>
      <c r="AT48" s="315"/>
      <c r="AU48" s="315"/>
      <c r="AV48" s="315"/>
      <c r="AW48" s="1121"/>
      <c r="AX48" s="1121"/>
      <c r="AY48" s="1121" t="s">
        <v>695</v>
      </c>
      <c r="AZ48" s="1121"/>
      <c r="BA48" s="1121"/>
      <c r="BB48" s="306"/>
      <c r="BC48" s="323" t="s">
        <v>1034</v>
      </c>
      <c r="BD48" s="324" t="s">
        <v>139</v>
      </c>
      <c r="BE48" s="307"/>
      <c r="BF48" s="316"/>
      <c r="BG48" s="338"/>
    </row>
    <row r="49" spans="1:59" ht="18.75">
      <c r="A49" s="340"/>
      <c r="B49" s="287" t="s">
        <v>2258</v>
      </c>
      <c r="C49" s="288">
        <f>+$C$47+$G$48</f>
        <v>11535</v>
      </c>
      <c r="D49" s="1121"/>
      <c r="E49" s="1121"/>
      <c r="F49" s="289">
        <v>-1600</v>
      </c>
      <c r="G49" s="292"/>
      <c r="H49" s="1121"/>
      <c r="I49" s="294"/>
      <c r="J49" s="288"/>
      <c r="K49" s="1121"/>
      <c r="L49" s="1121" t="s">
        <v>231</v>
      </c>
      <c r="M49" s="1121" t="s">
        <v>2756</v>
      </c>
      <c r="N49" s="1121" t="s">
        <v>144</v>
      </c>
      <c r="O49" s="1121"/>
      <c r="P49" s="1121"/>
      <c r="Q49" s="1121">
        <v>112</v>
      </c>
      <c r="R49" s="292">
        <v>-1604.7</v>
      </c>
      <c r="S49" s="292"/>
      <c r="T49" s="1121">
        <v>-30</v>
      </c>
      <c r="U49" s="1121"/>
      <c r="V49" s="1121"/>
      <c r="W49" s="1121">
        <v>1.4</v>
      </c>
      <c r="X49" s="1121"/>
      <c r="Y49" s="1121"/>
      <c r="Z49" s="1121"/>
      <c r="AA49" s="1121"/>
      <c r="AB49" s="1121"/>
      <c r="AC49" s="1121" t="s">
        <v>2963</v>
      </c>
      <c r="AD49" s="1121"/>
      <c r="AE49" s="1121"/>
      <c r="AF49" s="1121">
        <v>6000</v>
      </c>
      <c r="AG49" s="288">
        <v>11533.78</v>
      </c>
      <c r="AH49" s="1121">
        <v>2608</v>
      </c>
      <c r="AI49" s="289">
        <v>716</v>
      </c>
      <c r="AJ49" s="1121"/>
      <c r="AK49" s="1121"/>
      <c r="AL49" s="1121"/>
      <c r="AM49" s="1121" t="s">
        <v>1228</v>
      </c>
      <c r="AN49" s="315">
        <v>5.5</v>
      </c>
      <c r="AO49" s="315"/>
      <c r="AP49" s="315"/>
      <c r="AQ49" s="315"/>
      <c r="AR49" s="315"/>
      <c r="AS49" s="315"/>
      <c r="AT49" s="315">
        <f>+ab($T$49,$T$47,$T$51,$G$48,$G$50, 1*$F$49,1200)</f>
        <v>-6.1172155954188518</v>
      </c>
      <c r="AU49" s="315"/>
      <c r="AV49" s="315"/>
      <c r="AW49" s="315" t="s">
        <v>2634</v>
      </c>
      <c r="AX49" s="315" t="s">
        <v>1641</v>
      </c>
      <c r="AY49" s="315">
        <v>4.2</v>
      </c>
      <c r="AZ49" s="315"/>
      <c r="BA49" s="315"/>
      <c r="BB49" s="306"/>
      <c r="BC49" s="323" t="s">
        <v>1035</v>
      </c>
      <c r="BD49" s="324" t="s">
        <v>229</v>
      </c>
      <c r="BE49" s="307"/>
      <c r="BF49" s="1049" t="s">
        <v>671</v>
      </c>
      <c r="BG49" s="302"/>
    </row>
    <row r="50" spans="1:59" ht="14.25">
      <c r="A50" s="341" t="s">
        <v>2604</v>
      </c>
      <c r="B50" s="363"/>
      <c r="C50" s="342"/>
      <c r="D50" s="343"/>
      <c r="E50" s="343"/>
      <c r="F50" s="344"/>
      <c r="G50" s="345">
        <v>52</v>
      </c>
      <c r="H50" s="343"/>
      <c r="I50" s="346"/>
      <c r="J50" s="342"/>
      <c r="K50" s="343"/>
      <c r="L50" s="343"/>
      <c r="M50" s="343"/>
      <c r="N50" s="343"/>
      <c r="O50" s="343"/>
      <c r="P50" s="343"/>
      <c r="Q50" s="343"/>
      <c r="R50" s="345"/>
      <c r="S50" s="345">
        <f t="shared" si="9"/>
        <v>52.1299999999992</v>
      </c>
      <c r="T50" s="343"/>
      <c r="U50" s="343"/>
      <c r="V50" s="343"/>
      <c r="W50" s="343"/>
      <c r="X50" s="343"/>
      <c r="Y50" s="343"/>
      <c r="Z50" s="343"/>
      <c r="AA50" s="343"/>
      <c r="AB50" s="343"/>
      <c r="AC50" s="343"/>
      <c r="AD50" s="343"/>
      <c r="AE50" s="343"/>
      <c r="AF50" s="343"/>
      <c r="AG50" s="342" t="s">
        <v>695</v>
      </c>
      <c r="AH50" s="343" t="s">
        <v>695</v>
      </c>
      <c r="AI50" s="344"/>
      <c r="AJ50" s="343"/>
      <c r="AK50" s="343"/>
      <c r="AL50" s="343"/>
      <c r="AM50" s="343"/>
      <c r="AN50" s="347"/>
      <c r="AO50" s="347"/>
      <c r="AP50" s="347"/>
      <c r="AQ50" s="347">
        <f>+FL_2($T$51,$T$49,$G$50,1200,9.28, 1*$F$51)</f>
        <v>-0.35012271902420189</v>
      </c>
      <c r="AR50" s="347"/>
      <c r="AS50" s="347"/>
      <c r="AT50" s="347"/>
      <c r="AU50" s="347"/>
      <c r="AV50" s="347"/>
      <c r="AW50" s="343"/>
      <c r="AX50" s="343"/>
      <c r="AY50" s="343" t="s">
        <v>695</v>
      </c>
      <c r="AZ50" s="343"/>
      <c r="BA50" s="343"/>
      <c r="BB50" s="306"/>
      <c r="BC50" s="323" t="s">
        <v>1036</v>
      </c>
      <c r="BD50" s="324" t="s">
        <v>239</v>
      </c>
      <c r="BE50" s="307"/>
      <c r="BF50" s="323" t="s">
        <v>1686</v>
      </c>
      <c r="BG50" s="324" t="s">
        <v>1227</v>
      </c>
    </row>
    <row r="51" spans="1:59" ht="14.25">
      <c r="A51" s="341"/>
      <c r="B51" s="363" t="s">
        <v>2259</v>
      </c>
      <c r="C51" s="342">
        <f>+$C$49+$G$50</f>
        <v>11587</v>
      </c>
      <c r="D51" s="343"/>
      <c r="E51" s="343"/>
      <c r="F51" s="344">
        <v>-1600</v>
      </c>
      <c r="G51" s="345"/>
      <c r="H51" s="343"/>
      <c r="I51" s="346"/>
      <c r="J51" s="342"/>
      <c r="K51" s="343"/>
      <c r="L51" s="343" t="s">
        <v>2685</v>
      </c>
      <c r="M51" s="343" t="s">
        <v>2796</v>
      </c>
      <c r="N51" s="343" t="s">
        <v>144</v>
      </c>
      <c r="O51" s="343"/>
      <c r="P51" s="343"/>
      <c r="Q51" s="343">
        <v>100</v>
      </c>
      <c r="R51" s="345">
        <v>-1604.7</v>
      </c>
      <c r="S51" s="345"/>
      <c r="T51" s="343">
        <v>-30</v>
      </c>
      <c r="U51" s="343"/>
      <c r="V51" s="343"/>
      <c r="W51" s="343">
        <v>1.4</v>
      </c>
      <c r="X51" s="343"/>
      <c r="Y51" s="343"/>
      <c r="Z51" s="343"/>
      <c r="AA51" s="343"/>
      <c r="AB51" s="343"/>
      <c r="AC51" s="343" t="s">
        <v>2963</v>
      </c>
      <c r="AD51" s="343"/>
      <c r="AE51" s="343"/>
      <c r="AF51" s="343">
        <v>6400</v>
      </c>
      <c r="AG51" s="342">
        <v>11585.91</v>
      </c>
      <c r="AH51" s="343">
        <v>2803</v>
      </c>
      <c r="AI51" s="344">
        <v>1020</v>
      </c>
      <c r="AJ51" s="343"/>
      <c r="AK51" s="343"/>
      <c r="AL51" s="343"/>
      <c r="AM51" s="343" t="s">
        <v>1228</v>
      </c>
      <c r="AN51" s="347">
        <v>5.5</v>
      </c>
      <c r="AO51" s="347"/>
      <c r="AP51" s="347"/>
      <c r="AQ51" s="347"/>
      <c r="AR51" s="347"/>
      <c r="AS51" s="347"/>
      <c r="AT51" s="347">
        <f>+ab($T$51,$T$49,$T$53,$G$50,$G$52, 1*$F$51,1200)</f>
        <v>-5.9981532767103714</v>
      </c>
      <c r="AU51" s="347"/>
      <c r="AV51" s="347"/>
      <c r="AW51" s="347" t="s">
        <v>699</v>
      </c>
      <c r="AX51" s="347" t="s">
        <v>699</v>
      </c>
      <c r="AY51" s="347" t="s">
        <v>699</v>
      </c>
      <c r="AZ51" s="347" t="s">
        <v>699</v>
      </c>
      <c r="BA51" s="347"/>
      <c r="BB51" s="306"/>
      <c r="BC51" s="323" t="s">
        <v>1037</v>
      </c>
      <c r="BD51" s="324" t="s">
        <v>458</v>
      </c>
      <c r="BE51" s="307"/>
      <c r="BF51" s="323" t="s">
        <v>1687</v>
      </c>
      <c r="BG51" s="324" t="s">
        <v>1228</v>
      </c>
    </row>
    <row r="52" spans="1:59" ht="14.25">
      <c r="A52" s="341"/>
      <c r="B52" s="363"/>
      <c r="C52" s="342"/>
      <c r="D52" s="343"/>
      <c r="E52" s="343"/>
      <c r="F52" s="344"/>
      <c r="G52" s="345">
        <v>50</v>
      </c>
      <c r="H52" s="343"/>
      <c r="I52" s="346"/>
      <c r="J52" s="342"/>
      <c r="K52" s="343"/>
      <c r="L52" s="343"/>
      <c r="M52" s="343"/>
      <c r="N52" s="343"/>
      <c r="O52" s="343"/>
      <c r="P52" s="343"/>
      <c r="Q52" s="343"/>
      <c r="R52" s="345"/>
      <c r="S52" s="345">
        <f t="shared" si="9"/>
        <v>50.180000000000291</v>
      </c>
      <c r="T52" s="343"/>
      <c r="U52" s="343"/>
      <c r="V52" s="343"/>
      <c r="W52" s="343"/>
      <c r="X52" s="343"/>
      <c r="Y52" s="343"/>
      <c r="Z52" s="343"/>
      <c r="AA52" s="343"/>
      <c r="AB52" s="343"/>
      <c r="AC52" s="343"/>
      <c r="AD52" s="343"/>
      <c r="AE52" s="343"/>
      <c r="AF52" s="343"/>
      <c r="AG52" s="342" t="s">
        <v>695</v>
      </c>
      <c r="AH52" s="343" t="s">
        <v>695</v>
      </c>
      <c r="AI52" s="344"/>
      <c r="AJ52" s="343"/>
      <c r="AK52" s="343"/>
      <c r="AL52" s="343"/>
      <c r="AM52" s="343"/>
      <c r="AN52" s="347"/>
      <c r="AO52" s="347"/>
      <c r="AP52" s="347"/>
      <c r="AQ52" s="347">
        <f>+FL_2($T$53,$T$51,$G$52,1200,9.28, 1*$F$53)</f>
        <v>-0.34634224428229266</v>
      </c>
      <c r="AR52" s="347"/>
      <c r="AS52" s="347"/>
      <c r="AT52" s="347"/>
      <c r="AU52" s="347"/>
      <c r="AV52" s="347"/>
      <c r="AW52" s="347"/>
      <c r="AX52" s="347"/>
      <c r="AY52" s="347"/>
      <c r="AZ52" s="347"/>
      <c r="BA52" s="347"/>
      <c r="BB52" s="306"/>
      <c r="BC52" s="323" t="s">
        <v>1038</v>
      </c>
      <c r="BD52" s="324" t="s">
        <v>905</v>
      </c>
      <c r="BE52" s="307"/>
      <c r="BF52" s="323" t="s">
        <v>1688</v>
      </c>
      <c r="BG52" s="324" t="s">
        <v>1690</v>
      </c>
    </row>
    <row r="53" spans="1:59" ht="15" thickBot="1">
      <c r="A53" s="341"/>
      <c r="B53" s="363" t="s">
        <v>2260</v>
      </c>
      <c r="C53" s="342">
        <f>+$C$51+$G$52</f>
        <v>11637</v>
      </c>
      <c r="D53" s="343"/>
      <c r="E53" s="343"/>
      <c r="F53" s="344">
        <v>-1600</v>
      </c>
      <c r="G53" s="345"/>
      <c r="H53" s="343"/>
      <c r="I53" s="346"/>
      <c r="J53" s="342"/>
      <c r="K53" s="343"/>
      <c r="L53" s="343" t="s">
        <v>2685</v>
      </c>
      <c r="M53" s="343" t="s">
        <v>2796</v>
      </c>
      <c r="N53" s="343" t="s">
        <v>144</v>
      </c>
      <c r="O53" s="343"/>
      <c r="P53" s="343"/>
      <c r="Q53" s="343">
        <v>100</v>
      </c>
      <c r="R53" s="345">
        <v>-1604.7</v>
      </c>
      <c r="S53" s="345"/>
      <c r="T53" s="343">
        <v>-30</v>
      </c>
      <c r="U53" s="343"/>
      <c r="V53" s="343"/>
      <c r="W53" s="343">
        <v>1.4</v>
      </c>
      <c r="X53" s="343"/>
      <c r="Y53" s="343"/>
      <c r="Z53" s="343"/>
      <c r="AA53" s="343"/>
      <c r="AB53" s="343"/>
      <c r="AC53" s="343" t="s">
        <v>2963</v>
      </c>
      <c r="AD53" s="343"/>
      <c r="AE53" s="343"/>
      <c r="AF53" s="343">
        <v>6400</v>
      </c>
      <c r="AG53" s="342">
        <v>11636.09</v>
      </c>
      <c r="AH53" s="343">
        <v>2813</v>
      </c>
      <c r="AI53" s="344">
        <v>1020</v>
      </c>
      <c r="AJ53" s="343"/>
      <c r="AK53" s="343"/>
      <c r="AL53" s="343"/>
      <c r="AM53" s="343" t="s">
        <v>1228</v>
      </c>
      <c r="AN53" s="347">
        <v>5.5</v>
      </c>
      <c r="AO53" s="347"/>
      <c r="AP53" s="347"/>
      <c r="AQ53" s="347"/>
      <c r="AR53" s="347"/>
      <c r="AS53" s="347"/>
      <c r="AT53" s="347">
        <f>+ab($T$53,$T$51,$T$55,$G$52,$G$54, 1*$F$53,1200)</f>
        <v>-5.7733665358445343</v>
      </c>
      <c r="AU53" s="347"/>
      <c r="AV53" s="347"/>
      <c r="AW53" s="347" t="s">
        <v>699</v>
      </c>
      <c r="AX53" s="347" t="s">
        <v>699</v>
      </c>
      <c r="AY53" s="347" t="s">
        <v>699</v>
      </c>
      <c r="AZ53" s="347" t="s">
        <v>699</v>
      </c>
      <c r="BA53" s="347"/>
      <c r="BB53" s="306"/>
      <c r="BC53" s="348"/>
      <c r="BD53" s="349"/>
      <c r="BE53" s="307"/>
      <c r="BF53" s="323" t="s">
        <v>1689</v>
      </c>
      <c r="BG53" s="324" t="s">
        <v>1691</v>
      </c>
    </row>
    <row r="54" spans="1:59" ht="15" thickBot="1">
      <c r="A54" s="341" t="s">
        <v>2604</v>
      </c>
      <c r="B54" s="363"/>
      <c r="C54" s="342"/>
      <c r="D54" s="343"/>
      <c r="E54" s="343"/>
      <c r="F54" s="344"/>
      <c r="G54" s="345">
        <v>56</v>
      </c>
      <c r="H54" s="343"/>
      <c r="I54" s="346"/>
      <c r="J54" s="342">
        <f>C55-7.5</f>
        <v>11685.5</v>
      </c>
      <c r="K54" s="343" t="s">
        <v>3017</v>
      </c>
      <c r="L54" s="343"/>
      <c r="M54" s="343"/>
      <c r="N54" s="343"/>
      <c r="O54" s="343"/>
      <c r="P54" s="343"/>
      <c r="Q54" s="343"/>
      <c r="R54" s="345"/>
      <c r="S54" s="345">
        <f t="shared" si="9"/>
        <v>56.020000000000437</v>
      </c>
      <c r="T54" s="343"/>
      <c r="U54" s="343"/>
      <c r="V54" s="343"/>
      <c r="W54" s="343"/>
      <c r="X54" s="343"/>
      <c r="Y54" s="343"/>
      <c r="Z54" s="343"/>
      <c r="AA54" s="343"/>
      <c r="AB54" s="343"/>
      <c r="AC54" s="343"/>
      <c r="AD54" s="343"/>
      <c r="AE54" s="343"/>
      <c r="AF54" s="343"/>
      <c r="AG54" s="342" t="s">
        <v>695</v>
      </c>
      <c r="AH54" s="343" t="s">
        <v>695</v>
      </c>
      <c r="AI54" s="344"/>
      <c r="AJ54" s="343"/>
      <c r="AK54" s="343"/>
      <c r="AL54" s="343"/>
      <c r="AM54" s="343"/>
      <c r="AN54" s="347"/>
      <c r="AO54" s="347"/>
      <c r="AP54" s="347"/>
      <c r="AQ54" s="347">
        <f>+FL_2($T$55,$T$53,$G$54,1200,9.28, 1*$F$55)</f>
        <v>-0.35812790598136879</v>
      </c>
      <c r="AR54" s="347"/>
      <c r="AS54" s="347"/>
      <c r="AT54" s="347"/>
      <c r="AU54" s="347"/>
      <c r="AV54" s="347"/>
      <c r="AW54" s="347" t="s">
        <v>2634</v>
      </c>
      <c r="AX54" s="347" t="s">
        <v>1641</v>
      </c>
      <c r="AY54" s="347"/>
      <c r="AZ54" s="347">
        <v>3.5</v>
      </c>
      <c r="BA54" s="347"/>
      <c r="BB54" s="306"/>
      <c r="BC54" s="307"/>
      <c r="BD54" s="350"/>
      <c r="BE54" s="307"/>
      <c r="BF54" s="348"/>
      <c r="BG54" s="351"/>
    </row>
    <row r="55" spans="1:59" ht="14.25">
      <c r="A55" s="340"/>
      <c r="B55" s="287" t="s">
        <v>2261</v>
      </c>
      <c r="C55" s="288">
        <f>+$C$53+$G$54</f>
        <v>11693</v>
      </c>
      <c r="D55" s="1121"/>
      <c r="E55" s="1121"/>
      <c r="F55" s="289">
        <v>-1600</v>
      </c>
      <c r="G55" s="292"/>
      <c r="H55" s="1121" t="s">
        <v>138</v>
      </c>
      <c r="I55" s="294" t="s">
        <v>656</v>
      </c>
      <c r="J55" s="288"/>
      <c r="K55" s="1121"/>
      <c r="L55" s="1121" t="s">
        <v>1062</v>
      </c>
      <c r="M55" s="1121" t="s">
        <v>2758</v>
      </c>
      <c r="N55" s="1121" t="s">
        <v>144</v>
      </c>
      <c r="O55" s="1121"/>
      <c r="P55" s="1121"/>
      <c r="Q55" s="1121">
        <v>98</v>
      </c>
      <c r="R55" s="292">
        <v>-2434.94</v>
      </c>
      <c r="S55" s="292"/>
      <c r="T55" s="1121">
        <v>-30</v>
      </c>
      <c r="U55" s="1121"/>
      <c r="V55" s="1121"/>
      <c r="W55" s="1121">
        <v>1.4</v>
      </c>
      <c r="X55" s="1121"/>
      <c r="Y55" s="1121"/>
      <c r="Z55" s="1121"/>
      <c r="AA55" s="1121"/>
      <c r="AB55" s="1121"/>
      <c r="AC55" s="1121" t="s">
        <v>2963</v>
      </c>
      <c r="AD55" s="1121"/>
      <c r="AE55" s="1121"/>
      <c r="AF55" s="1121">
        <v>6000</v>
      </c>
      <c r="AG55" s="288">
        <v>11692.11</v>
      </c>
      <c r="AH55" s="1121">
        <v>2181</v>
      </c>
      <c r="AI55" s="289">
        <v>648</v>
      </c>
      <c r="AJ55" s="1121"/>
      <c r="AK55" s="1121"/>
      <c r="AL55" s="1121"/>
      <c r="AM55" s="1121" t="s">
        <v>1228</v>
      </c>
      <c r="AN55" s="315">
        <v>5.5</v>
      </c>
      <c r="AO55" s="315"/>
      <c r="AP55" s="315"/>
      <c r="AQ55" s="315"/>
      <c r="AR55" s="315"/>
      <c r="AS55" s="315"/>
      <c r="AT55" s="315">
        <f>+ab($T$55,$T$53,$T$57,$G$54,$G$56, 1*$F$55,1200)</f>
        <v>-4.7692950510315821</v>
      </c>
      <c r="AU55" s="315"/>
      <c r="AV55" s="315"/>
      <c r="AW55" s="315" t="s">
        <v>2634</v>
      </c>
      <c r="AX55" s="315" t="s">
        <v>1641</v>
      </c>
      <c r="AY55" s="315">
        <v>4.2</v>
      </c>
      <c r="AZ55" s="315"/>
      <c r="BA55" s="315"/>
      <c r="BB55" s="306"/>
      <c r="BC55" s="307"/>
      <c r="BD55" s="350"/>
      <c r="BE55" s="307"/>
    </row>
    <row r="56" spans="1:59" ht="14.25">
      <c r="A56" s="287"/>
      <c r="B56" s="287"/>
      <c r="C56" s="288"/>
      <c r="D56" s="1121"/>
      <c r="E56" s="1121"/>
      <c r="F56" s="289"/>
      <c r="G56" s="292">
        <v>55</v>
      </c>
      <c r="H56" s="291"/>
      <c r="I56" s="294"/>
      <c r="J56" s="288"/>
      <c r="K56" s="1121"/>
      <c r="L56" s="1121"/>
      <c r="M56" s="1121"/>
      <c r="N56" s="1121"/>
      <c r="O56" s="1121"/>
      <c r="P56" s="1121"/>
      <c r="Q56" s="1121"/>
      <c r="R56" s="292"/>
      <c r="S56" s="292">
        <f t="shared" si="9"/>
        <v>55.18999999999869</v>
      </c>
      <c r="T56" s="1121"/>
      <c r="U56" s="1121"/>
      <c r="V56" s="1121"/>
      <c r="W56" s="1121"/>
      <c r="X56" s="1121"/>
      <c r="Y56" s="1121"/>
      <c r="Z56" s="1121"/>
      <c r="AA56" s="1121"/>
      <c r="AB56" s="1121"/>
      <c r="AC56" s="1121"/>
      <c r="AD56" s="1121"/>
      <c r="AE56" s="1121"/>
      <c r="AF56" s="1121"/>
      <c r="AG56" s="288" t="s">
        <v>695</v>
      </c>
      <c r="AH56" s="1121" t="s">
        <v>695</v>
      </c>
      <c r="AI56" s="289"/>
      <c r="AJ56" s="1121"/>
      <c r="AK56" s="1121"/>
      <c r="AL56" s="1121"/>
      <c r="AM56" s="1121"/>
      <c r="AN56" s="315"/>
      <c r="AO56" s="315"/>
      <c r="AP56" s="315"/>
      <c r="AQ56" s="315">
        <f>+FL_2($U$57,$T$55,$G$56,1200,9.28, 1*$F$57)</f>
        <v>-0.43092474742821274</v>
      </c>
      <c r="AR56" s="315"/>
      <c r="AS56" s="315"/>
      <c r="AT56" s="315"/>
      <c r="AU56" s="315"/>
      <c r="AV56" s="315"/>
      <c r="AW56" s="315"/>
      <c r="AX56" s="315"/>
      <c r="AY56" s="315" t="s">
        <v>695</v>
      </c>
      <c r="AZ56" s="315"/>
      <c r="BA56" s="315"/>
      <c r="BB56" s="306"/>
      <c r="BC56" s="307"/>
      <c r="BD56" s="350"/>
      <c r="BE56" s="307"/>
    </row>
    <row r="57" spans="1:59" ht="14.25">
      <c r="A57" s="287"/>
      <c r="B57" s="287" t="s">
        <v>2262</v>
      </c>
      <c r="C57" s="288">
        <f>+$C$55+$G$56</f>
        <v>11748</v>
      </c>
      <c r="D57" s="1121"/>
      <c r="E57" s="1121"/>
      <c r="F57" s="289">
        <f t="shared" ref="F57" si="17">150*1600/(C57-11821)</f>
        <v>-3287.6712328767121</v>
      </c>
      <c r="G57" s="292"/>
      <c r="H57" s="291" t="s">
        <v>651</v>
      </c>
      <c r="I57" s="294"/>
      <c r="J57" s="288"/>
      <c r="K57" s="1121"/>
      <c r="L57" s="1121" t="s">
        <v>231</v>
      </c>
      <c r="M57" s="1121" t="s">
        <v>2756</v>
      </c>
      <c r="N57" s="1121" t="s">
        <v>140</v>
      </c>
      <c r="O57" s="1121" t="s">
        <v>144</v>
      </c>
      <c r="P57" s="1121"/>
      <c r="Q57" s="1121">
        <v>55</v>
      </c>
      <c r="R57" s="292">
        <v>-9180.85</v>
      </c>
      <c r="S57" s="292"/>
      <c r="T57" s="1121">
        <v>0</v>
      </c>
      <c r="U57" s="1121">
        <v>-20</v>
      </c>
      <c r="V57" s="1121"/>
      <c r="W57" s="1121">
        <v>1.4</v>
      </c>
      <c r="X57" s="1121">
        <v>2.2999999999999998</v>
      </c>
      <c r="Y57" s="1121"/>
      <c r="Z57" s="1121">
        <v>0.45</v>
      </c>
      <c r="AA57" s="1121"/>
      <c r="AB57" s="1121"/>
      <c r="AC57" s="1121"/>
      <c r="AD57" s="1121" t="s">
        <v>1704</v>
      </c>
      <c r="AE57" s="1121"/>
      <c r="AF57" s="1121">
        <v>6000</v>
      </c>
      <c r="AG57" s="288">
        <v>11747.3</v>
      </c>
      <c r="AH57" s="1121">
        <v>2559</v>
      </c>
      <c r="AI57" s="289">
        <v>747</v>
      </c>
      <c r="AJ57" s="1121"/>
      <c r="AK57" s="1121"/>
      <c r="AL57" s="1121"/>
      <c r="AM57" s="1121" t="s">
        <v>1228</v>
      </c>
      <c r="AN57" s="315">
        <v>5.5</v>
      </c>
      <c r="AO57" s="315"/>
      <c r="AP57" s="315"/>
      <c r="AQ57" s="315"/>
      <c r="AR57" s="315"/>
      <c r="AS57" s="315"/>
      <c r="AT57" s="315">
        <f>+ab($T$57,$T$55,$U$59,$G$56,$G$58, 1*$F$57,1200)</f>
        <v>-14.982858032902477</v>
      </c>
      <c r="AU57" s="315"/>
      <c r="AV57" s="315"/>
      <c r="AW57" s="315" t="s">
        <v>2634</v>
      </c>
      <c r="AX57" s="315" t="s">
        <v>1641</v>
      </c>
      <c r="AY57" s="315">
        <v>4.2</v>
      </c>
      <c r="AZ57" s="315"/>
      <c r="BA57" s="315"/>
      <c r="BB57" s="306"/>
      <c r="BC57" s="307"/>
      <c r="BD57" s="350"/>
      <c r="BE57" s="298"/>
    </row>
    <row r="58" spans="1:59" ht="14.25">
      <c r="A58" s="287"/>
      <c r="B58" s="287"/>
      <c r="C58" s="288"/>
      <c r="D58" s="1121"/>
      <c r="E58" s="1121"/>
      <c r="F58" s="289"/>
      <c r="G58" s="292">
        <v>50</v>
      </c>
      <c r="H58" s="291"/>
      <c r="I58" s="294"/>
      <c r="J58" s="288"/>
      <c r="K58" s="1121"/>
      <c r="L58" s="1121"/>
      <c r="M58" s="1121"/>
      <c r="N58" s="1121"/>
      <c r="O58" s="1121"/>
      <c r="P58" s="1121"/>
      <c r="Q58" s="1121"/>
      <c r="R58" s="292"/>
      <c r="S58" s="292">
        <f t="shared" si="9"/>
        <v>50.100000000000364</v>
      </c>
      <c r="T58" s="1121"/>
      <c r="U58" s="1121"/>
      <c r="V58" s="1121"/>
      <c r="W58" s="1121"/>
      <c r="X58" s="1121"/>
      <c r="Y58" s="1121"/>
      <c r="Z58" s="1121"/>
      <c r="AA58" s="1121"/>
      <c r="AB58" s="1121"/>
      <c r="AC58" s="1121"/>
      <c r="AD58" s="1121"/>
      <c r="AE58" s="1121"/>
      <c r="AF58" s="1121"/>
      <c r="AG58" s="288" t="s">
        <v>695</v>
      </c>
      <c r="AH58" s="1121" t="s">
        <v>695</v>
      </c>
      <c r="AI58" s="289"/>
      <c r="AJ58" s="1121"/>
      <c r="AK58" s="1121"/>
      <c r="AL58" s="1121"/>
      <c r="AM58" s="1121"/>
      <c r="AN58" s="315"/>
      <c r="AO58" s="315"/>
      <c r="AP58" s="315"/>
      <c r="AQ58" s="315">
        <f>+FL_2($T$59,$U$57,$G$58,1200,9.28, 1*$F$59)</f>
        <v>-0.23551946976389965</v>
      </c>
      <c r="AR58" s="315"/>
      <c r="AS58" s="315"/>
      <c r="AT58" s="315"/>
      <c r="AU58" s="315"/>
      <c r="AV58" s="315"/>
      <c r="AW58" s="315"/>
      <c r="AX58" s="315"/>
      <c r="AY58" s="315" t="s">
        <v>695</v>
      </c>
      <c r="AZ58" s="315"/>
      <c r="BA58" s="315"/>
      <c r="BB58" s="306"/>
      <c r="BC58" s="307"/>
      <c r="BD58" s="350"/>
      <c r="BE58" s="298"/>
    </row>
    <row r="59" spans="1:59" ht="14.25">
      <c r="A59" s="287"/>
      <c r="B59" s="287" t="s">
        <v>2263</v>
      </c>
      <c r="C59" s="288">
        <f>+$C$57+$G$58</f>
        <v>11798</v>
      </c>
      <c r="D59" s="1121"/>
      <c r="E59" s="1121"/>
      <c r="F59" s="289">
        <f t="shared" ref="F59" si="18">150*1600/(C59-11821)</f>
        <v>-10434.782608695652</v>
      </c>
      <c r="G59" s="292"/>
      <c r="H59" s="291" t="s">
        <v>651</v>
      </c>
      <c r="I59" s="294"/>
      <c r="J59" s="288"/>
      <c r="K59" s="1121"/>
      <c r="L59" s="1121" t="s">
        <v>231</v>
      </c>
      <c r="M59" s="1121" t="s">
        <v>2756</v>
      </c>
      <c r="N59" s="1121" t="s">
        <v>145</v>
      </c>
      <c r="O59" s="1121" t="s">
        <v>140</v>
      </c>
      <c r="P59" s="1121"/>
      <c r="Q59" s="1121">
        <v>19</v>
      </c>
      <c r="R59" s="292">
        <v>-25396.34</v>
      </c>
      <c r="S59" s="292"/>
      <c r="T59" s="1121">
        <v>30</v>
      </c>
      <c r="U59" s="1121">
        <v>10</v>
      </c>
      <c r="V59" s="1121"/>
      <c r="W59" s="1121">
        <v>1.4</v>
      </c>
      <c r="X59" s="1121">
        <v>2.2999999999999998</v>
      </c>
      <c r="Y59" s="1121"/>
      <c r="Z59" s="1121"/>
      <c r="AA59" s="1121">
        <v>0.45</v>
      </c>
      <c r="AB59" s="1121"/>
      <c r="AC59" s="1121" t="s">
        <v>1704</v>
      </c>
      <c r="AD59" s="1121"/>
      <c r="AE59" s="1121"/>
      <c r="AF59" s="1121">
        <v>6000</v>
      </c>
      <c r="AG59" s="288">
        <v>11797.4</v>
      </c>
      <c r="AH59" s="1121">
        <v>2560</v>
      </c>
      <c r="AI59" s="289">
        <v>745</v>
      </c>
      <c r="AJ59" s="1121"/>
      <c r="AK59" s="1121"/>
      <c r="AL59" s="1121"/>
      <c r="AM59" s="1121" t="s">
        <v>1228</v>
      </c>
      <c r="AN59" s="315">
        <v>5.5</v>
      </c>
      <c r="AO59" s="315"/>
      <c r="AP59" s="315"/>
      <c r="AQ59" s="315"/>
      <c r="AR59" s="315"/>
      <c r="AS59" s="315"/>
      <c r="AT59" s="315">
        <f>+ab($U$59,$U$57,$T$61,$G$58,$G$60, 1*$F$59,1200)</f>
        <v>18.163670781117972</v>
      </c>
      <c r="AU59" s="315"/>
      <c r="AV59" s="315"/>
      <c r="AW59" s="315" t="s">
        <v>2634</v>
      </c>
      <c r="AX59" s="315" t="s">
        <v>1641</v>
      </c>
      <c r="AY59" s="315">
        <v>4.2</v>
      </c>
      <c r="AZ59" s="315"/>
      <c r="BA59" s="315"/>
      <c r="BB59" s="306"/>
      <c r="BC59" s="307"/>
      <c r="BD59" s="350"/>
      <c r="BE59" s="298"/>
    </row>
    <row r="60" spans="1:59" ht="14.25">
      <c r="A60" s="287"/>
      <c r="B60" s="287"/>
      <c r="C60" s="288"/>
      <c r="D60" s="1121"/>
      <c r="E60" s="1121"/>
      <c r="F60" s="289"/>
      <c r="G60" s="292">
        <v>50</v>
      </c>
      <c r="H60" s="291"/>
      <c r="I60" s="294"/>
      <c r="J60" s="288"/>
      <c r="K60" s="1121"/>
      <c r="L60" s="1121"/>
      <c r="M60" s="1121"/>
      <c r="N60" s="1121"/>
      <c r="O60" s="1121"/>
      <c r="P60" s="1121"/>
      <c r="Q60" s="1121"/>
      <c r="R60" s="292"/>
      <c r="S60" s="292">
        <f t="shared" si="9"/>
        <v>50.130000000001019</v>
      </c>
      <c r="T60" s="1121"/>
      <c r="U60" s="1121"/>
      <c r="V60" s="1121"/>
      <c r="W60" s="1121"/>
      <c r="X60" s="1121"/>
      <c r="Y60" s="1121"/>
      <c r="Z60" s="1121"/>
      <c r="AA60" s="1121"/>
      <c r="AB60" s="1121"/>
      <c r="AC60" s="1121"/>
      <c r="AD60" s="1121"/>
      <c r="AE60" s="1121"/>
      <c r="AF60" s="1121"/>
      <c r="AG60" s="288" t="s">
        <v>695</v>
      </c>
      <c r="AH60" s="1121" t="s">
        <v>695</v>
      </c>
      <c r="AI60" s="289"/>
      <c r="AJ60" s="1121"/>
      <c r="AK60" s="1121"/>
      <c r="AL60" s="1121"/>
      <c r="AM60" s="1121"/>
      <c r="AN60" s="315"/>
      <c r="AO60" s="315"/>
      <c r="AP60" s="315"/>
      <c r="AQ60" s="315">
        <f>+FL_2($T$61,$T$59,$G$60,1200,9.28, 1*$F$61)</f>
        <v>-0.37593390799999998</v>
      </c>
      <c r="AR60" s="315"/>
      <c r="AS60" s="315"/>
      <c r="AT60" s="315"/>
      <c r="AU60" s="315"/>
      <c r="AV60" s="315"/>
      <c r="AW60" s="315"/>
      <c r="AX60" s="315"/>
      <c r="AY60" s="315" t="s">
        <v>695</v>
      </c>
      <c r="AZ60" s="315"/>
      <c r="BA60" s="315"/>
      <c r="BB60" s="306"/>
      <c r="BC60" s="307"/>
      <c r="BD60" s="350"/>
      <c r="BE60" s="298"/>
      <c r="BF60" s="298"/>
      <c r="BG60" s="298"/>
    </row>
    <row r="61" spans="1:59" ht="14.25">
      <c r="A61" s="287"/>
      <c r="B61" s="287" t="s">
        <v>2264</v>
      </c>
      <c r="C61" s="288">
        <f>+$C$59+$G$60</f>
        <v>11848</v>
      </c>
      <c r="D61" s="1121"/>
      <c r="E61" s="1121"/>
      <c r="F61" s="289">
        <v>0</v>
      </c>
      <c r="G61" s="292"/>
      <c r="H61" s="291" t="s">
        <v>138</v>
      </c>
      <c r="I61" s="294" t="s">
        <v>656</v>
      </c>
      <c r="J61" s="288"/>
      <c r="K61" s="1121"/>
      <c r="L61" s="1121" t="s">
        <v>1061</v>
      </c>
      <c r="M61" s="1121" t="s">
        <v>2756</v>
      </c>
      <c r="N61" s="1121" t="s">
        <v>144</v>
      </c>
      <c r="O61" s="1121"/>
      <c r="P61" s="1121"/>
      <c r="Q61" s="1121">
        <v>0</v>
      </c>
      <c r="R61" s="289">
        <v>0</v>
      </c>
      <c r="S61" s="292"/>
      <c r="T61" s="1121">
        <v>-35</v>
      </c>
      <c r="U61" s="1121"/>
      <c r="V61" s="1121"/>
      <c r="W61" s="1121">
        <v>1.4</v>
      </c>
      <c r="X61" s="1121"/>
      <c r="Y61" s="1121"/>
      <c r="Z61" s="1121"/>
      <c r="AA61" s="1121"/>
      <c r="AB61" s="1121"/>
      <c r="AC61" s="1121" t="s">
        <v>2972</v>
      </c>
      <c r="AD61" s="1121"/>
      <c r="AE61" s="1121"/>
      <c r="AF61" s="1121">
        <v>6000</v>
      </c>
      <c r="AG61" s="288">
        <v>11847.53</v>
      </c>
      <c r="AH61" s="1121">
        <v>2499</v>
      </c>
      <c r="AI61" s="289">
        <v>723</v>
      </c>
      <c r="AJ61" s="1121"/>
      <c r="AK61" s="1121"/>
      <c r="AL61" s="1121"/>
      <c r="AM61" s="1121" t="s">
        <v>1228</v>
      </c>
      <c r="AN61" s="315">
        <v>5.5</v>
      </c>
      <c r="AO61" s="315"/>
      <c r="AP61" s="315"/>
      <c r="AQ61" s="315"/>
      <c r="AR61" s="315"/>
      <c r="AS61" s="315"/>
      <c r="AT61" s="315">
        <f>+ab($T$61,$T$59,$T$63,$G$60,$G$62, 1*$F$61,1200)</f>
        <v>-6.8466825771334348</v>
      </c>
      <c r="AU61" s="315"/>
      <c r="AV61" s="315"/>
      <c r="AW61" s="315" t="s">
        <v>2634</v>
      </c>
      <c r="AX61" s="315" t="s">
        <v>1641</v>
      </c>
      <c r="AY61" s="315">
        <v>4.2</v>
      </c>
      <c r="AZ61" s="315"/>
      <c r="BA61" s="315"/>
      <c r="BB61" s="306"/>
      <c r="BC61" s="307"/>
      <c r="BD61" s="307"/>
      <c r="BE61" s="307"/>
    </row>
    <row r="62" spans="1:59" ht="14.25">
      <c r="A62" s="287"/>
      <c r="B62" s="287"/>
      <c r="C62" s="288"/>
      <c r="D62" s="1121"/>
      <c r="E62" s="1121"/>
      <c r="F62" s="289"/>
      <c r="G62" s="292">
        <v>47</v>
      </c>
      <c r="H62" s="291"/>
      <c r="I62" s="291"/>
      <c r="J62" s="288">
        <f>C61+7.5</f>
        <v>11855.5</v>
      </c>
      <c r="K62" s="1121" t="s">
        <v>3017</v>
      </c>
      <c r="L62" s="1121"/>
      <c r="M62" s="1121"/>
      <c r="N62" s="1121"/>
      <c r="O62" s="1121"/>
      <c r="P62" s="1121"/>
      <c r="Q62" s="1121"/>
      <c r="R62" s="292"/>
      <c r="S62" s="292">
        <f t="shared" si="9"/>
        <v>46.889999999999418</v>
      </c>
      <c r="T62" s="1121"/>
      <c r="U62" s="1121"/>
      <c r="V62" s="1121"/>
      <c r="W62" s="1121"/>
      <c r="X62" s="1121"/>
      <c r="Y62" s="1121"/>
      <c r="Z62" s="1121"/>
      <c r="AA62" s="1121"/>
      <c r="AB62" s="1121"/>
      <c r="AC62" s="1121"/>
      <c r="AD62" s="1121"/>
      <c r="AE62" s="1121"/>
      <c r="AF62" s="1121"/>
      <c r="AG62" s="288"/>
      <c r="AH62" s="1121"/>
      <c r="AI62" s="289"/>
      <c r="AJ62" s="1121"/>
      <c r="AK62" s="1121"/>
      <c r="AL62" s="1121"/>
      <c r="AM62" s="1121"/>
      <c r="AN62" s="315"/>
      <c r="AO62" s="315"/>
      <c r="AP62" s="315"/>
      <c r="AQ62" s="315">
        <f>+FL_1($T$63,$T$61,$G$62,1200,9.28, 1*$F$63)</f>
        <v>0.35695465849645386</v>
      </c>
      <c r="AR62" s="315"/>
      <c r="AS62" s="315"/>
      <c r="AT62" s="315"/>
      <c r="AU62" s="315"/>
      <c r="AV62" s="315"/>
      <c r="AW62" s="315" t="s">
        <v>2634</v>
      </c>
      <c r="AX62" s="315" t="s">
        <v>1641</v>
      </c>
      <c r="AY62" s="315"/>
      <c r="AZ62" s="315">
        <v>3.5</v>
      </c>
      <c r="BA62" s="315"/>
      <c r="BB62" s="306"/>
      <c r="BC62" s="307"/>
      <c r="BD62" s="307"/>
      <c r="BE62" s="307"/>
    </row>
    <row r="63" spans="1:59" ht="14.25">
      <c r="A63" s="287"/>
      <c r="B63" s="287" t="s">
        <v>2265</v>
      </c>
      <c r="C63" s="288">
        <f>+$C$61+$G$62</f>
        <v>11895</v>
      </c>
      <c r="D63" s="1121"/>
      <c r="E63" s="1121"/>
      <c r="F63" s="289">
        <v>0</v>
      </c>
      <c r="G63" s="292"/>
      <c r="H63" s="291"/>
      <c r="I63" s="294"/>
      <c r="J63" s="288"/>
      <c r="K63" s="1121"/>
      <c r="L63" s="1121" t="s">
        <v>230</v>
      </c>
      <c r="M63" s="1121" t="s">
        <v>2757</v>
      </c>
      <c r="N63" s="1121" t="s">
        <v>145</v>
      </c>
      <c r="O63" s="1121"/>
      <c r="P63" s="1121"/>
      <c r="Q63" s="1121">
        <v>0</v>
      </c>
      <c r="R63" s="289">
        <v>0</v>
      </c>
      <c r="S63" s="292"/>
      <c r="T63" s="1121">
        <v>35</v>
      </c>
      <c r="U63" s="1121"/>
      <c r="V63" s="1121"/>
      <c r="W63" s="1121">
        <v>1.4</v>
      </c>
      <c r="X63" s="1121"/>
      <c r="Y63" s="1121"/>
      <c r="Z63" s="1121"/>
      <c r="AA63" s="1121"/>
      <c r="AB63" s="1121"/>
      <c r="AC63" s="1121" t="s">
        <v>2963</v>
      </c>
      <c r="AD63" s="1121"/>
      <c r="AE63" s="1121"/>
      <c r="AF63" s="1121">
        <v>6000</v>
      </c>
      <c r="AG63" s="288">
        <v>11894.42</v>
      </c>
      <c r="AH63" s="1121">
        <v>2569</v>
      </c>
      <c r="AI63" s="289">
        <v>681</v>
      </c>
      <c r="AJ63" s="1121"/>
      <c r="AK63" s="1121"/>
      <c r="AL63" s="1121"/>
      <c r="AM63" s="1121" t="s">
        <v>1228</v>
      </c>
      <c r="AN63" s="315">
        <v>5.5</v>
      </c>
      <c r="AO63" s="315"/>
      <c r="AP63" s="315"/>
      <c r="AQ63" s="315"/>
      <c r="AR63" s="315"/>
      <c r="AS63" s="315"/>
      <c r="AT63" s="315">
        <f>+ab($T$63,$T$61,$T$65,$G$62,$G$64, 1*$F$63,1200)</f>
        <v>6.91361066702569</v>
      </c>
      <c r="AU63" s="315"/>
      <c r="AV63" s="315"/>
      <c r="AW63" s="315" t="s">
        <v>2634</v>
      </c>
      <c r="AX63" s="315" t="s">
        <v>1641</v>
      </c>
      <c r="AY63" s="315">
        <v>4.2</v>
      </c>
      <c r="AZ63" s="315"/>
      <c r="BA63" s="315"/>
      <c r="BB63" s="306"/>
      <c r="BC63" s="307"/>
      <c r="BD63" s="307"/>
      <c r="BE63" s="307"/>
    </row>
    <row r="64" spans="1:59" ht="14.25">
      <c r="A64" s="287"/>
      <c r="B64" s="287"/>
      <c r="C64" s="288"/>
      <c r="D64" s="1121"/>
      <c r="E64" s="1121"/>
      <c r="F64" s="289"/>
      <c r="G64" s="292">
        <v>55</v>
      </c>
      <c r="H64" s="291"/>
      <c r="I64" s="291"/>
      <c r="J64" s="288"/>
      <c r="K64" s="1121"/>
      <c r="L64" s="1121"/>
      <c r="M64" s="1121"/>
      <c r="N64" s="1121"/>
      <c r="O64" s="1121"/>
      <c r="P64" s="1121"/>
      <c r="Q64" s="1121"/>
      <c r="R64" s="292"/>
      <c r="S64" s="292">
        <f t="shared" si="9"/>
        <v>55.010000000000218</v>
      </c>
      <c r="T64" s="1121"/>
      <c r="U64" s="1121"/>
      <c r="V64" s="1121"/>
      <c r="W64" s="1121"/>
      <c r="X64" s="1121"/>
      <c r="Y64" s="1121"/>
      <c r="Z64" s="1121"/>
      <c r="AA64" s="1121"/>
      <c r="AB64" s="1121"/>
      <c r="AC64" s="1121"/>
      <c r="AD64" s="1121"/>
      <c r="AE64" s="1121"/>
      <c r="AF64" s="1121"/>
      <c r="AG64" s="288"/>
      <c r="AH64" s="1121"/>
      <c r="AI64" s="289"/>
      <c r="AJ64" s="1121"/>
      <c r="AK64" s="1121"/>
      <c r="AL64" s="1121"/>
      <c r="AM64" s="1121"/>
      <c r="AN64" s="315"/>
      <c r="AO64" s="315"/>
      <c r="AP64" s="315"/>
      <c r="AQ64" s="315">
        <f>+FL_2($T$65,$T$63,$G$64,1200,9.28, 1*$F$65)</f>
        <v>-0.39714735709090909</v>
      </c>
      <c r="AR64" s="315"/>
      <c r="AS64" s="315"/>
      <c r="AT64" s="315"/>
      <c r="AU64" s="315"/>
      <c r="AV64" s="315"/>
      <c r="AW64" s="315"/>
      <c r="AX64" s="315"/>
      <c r="AY64" s="315" t="s">
        <v>695</v>
      </c>
      <c r="AZ64" s="315"/>
      <c r="BA64" s="315"/>
      <c r="BB64" s="306"/>
      <c r="BC64" s="307"/>
      <c r="BD64" s="307"/>
      <c r="BE64" s="307"/>
    </row>
    <row r="65" spans="1:65" ht="14.25">
      <c r="A65" s="287"/>
      <c r="B65" s="287" t="s">
        <v>2266</v>
      </c>
      <c r="C65" s="288">
        <f>+$C$63+$G$64</f>
        <v>11950</v>
      </c>
      <c r="D65" s="1121"/>
      <c r="E65" s="1121"/>
      <c r="F65" s="289">
        <v>0</v>
      </c>
      <c r="G65" s="292"/>
      <c r="H65" s="291"/>
      <c r="I65" s="291"/>
      <c r="J65" s="288"/>
      <c r="K65" s="1121"/>
      <c r="L65" s="1121" t="s">
        <v>230</v>
      </c>
      <c r="M65" s="1121" t="s">
        <v>2757</v>
      </c>
      <c r="N65" s="1121" t="s">
        <v>144</v>
      </c>
      <c r="O65" s="1121"/>
      <c r="P65" s="1121"/>
      <c r="Q65" s="1121">
        <v>0</v>
      </c>
      <c r="R65" s="289">
        <v>0</v>
      </c>
      <c r="S65" s="292"/>
      <c r="T65" s="1121">
        <v>-35</v>
      </c>
      <c r="U65" s="1121"/>
      <c r="V65" s="1121"/>
      <c r="W65" s="1121">
        <v>1.4</v>
      </c>
      <c r="X65" s="1121"/>
      <c r="Y65" s="1121"/>
      <c r="Z65" s="1121"/>
      <c r="AA65" s="1121"/>
      <c r="AB65" s="1121"/>
      <c r="AC65" s="1121" t="s">
        <v>2963</v>
      </c>
      <c r="AD65" s="1121"/>
      <c r="AE65" s="1121"/>
      <c r="AF65" s="1121">
        <v>6000</v>
      </c>
      <c r="AG65" s="288">
        <v>11949.43</v>
      </c>
      <c r="AH65" s="1121">
        <v>2600</v>
      </c>
      <c r="AI65" s="289">
        <v>693</v>
      </c>
      <c r="AJ65" s="1121"/>
      <c r="AK65" s="1121"/>
      <c r="AL65" s="1121"/>
      <c r="AM65" s="1121" t="s">
        <v>1228</v>
      </c>
      <c r="AN65" s="315">
        <v>5.5</v>
      </c>
      <c r="AO65" s="315"/>
      <c r="AP65" s="315"/>
      <c r="AQ65" s="315"/>
      <c r="AR65" s="315"/>
      <c r="AS65" s="315"/>
      <c r="AT65" s="315">
        <f>+ab($T$65,$T$63,$T$67,$G$64,$G$66, 1*$F$65,1200)</f>
        <v>-8.0287107099818424</v>
      </c>
      <c r="AU65" s="315"/>
      <c r="AV65" s="315"/>
      <c r="AW65" s="315" t="s">
        <v>2634</v>
      </c>
      <c r="AX65" s="315" t="s">
        <v>1641</v>
      </c>
      <c r="AY65" s="315">
        <v>4.2</v>
      </c>
      <c r="AZ65" s="315"/>
      <c r="BA65" s="315"/>
      <c r="BB65" s="306"/>
      <c r="BC65" s="307"/>
      <c r="BD65" s="307"/>
      <c r="BE65" s="307"/>
      <c r="BI65" s="307"/>
      <c r="BJ65" s="307"/>
      <c r="BK65" s="307"/>
      <c r="BL65" s="307"/>
      <c r="BM65" s="307"/>
    </row>
    <row r="66" spans="1:65" ht="14.25">
      <c r="A66" s="1061"/>
      <c r="B66" s="1061"/>
      <c r="C66" s="354"/>
      <c r="D66" s="353"/>
      <c r="E66" s="353"/>
      <c r="F66" s="355"/>
      <c r="G66" s="356">
        <v>59</v>
      </c>
      <c r="H66" s="357"/>
      <c r="I66" s="358"/>
      <c r="J66" s="354"/>
      <c r="K66" s="353"/>
      <c r="L66" s="353"/>
      <c r="M66" s="353"/>
      <c r="N66" s="353"/>
      <c r="O66" s="353"/>
      <c r="P66" s="353"/>
      <c r="Q66" s="353"/>
      <c r="R66" s="356"/>
      <c r="S66" s="356">
        <f t="shared" si="9"/>
        <v>59.049999999999272</v>
      </c>
      <c r="T66" s="353"/>
      <c r="U66" s="353"/>
      <c r="V66" s="353"/>
      <c r="W66" s="353"/>
      <c r="X66" s="353"/>
      <c r="Y66" s="353"/>
      <c r="Z66" s="353"/>
      <c r="AA66" s="353"/>
      <c r="AB66" s="353"/>
      <c r="AC66" s="353"/>
      <c r="AD66" s="353"/>
      <c r="AE66" s="353"/>
      <c r="AF66" s="353"/>
      <c r="AG66" s="354"/>
      <c r="AH66" s="353"/>
      <c r="AI66" s="355"/>
      <c r="AJ66" s="353"/>
      <c r="AK66" s="353"/>
      <c r="AL66" s="353"/>
      <c r="AM66" s="353"/>
      <c r="AN66" s="359"/>
      <c r="AO66" s="359"/>
      <c r="AP66" s="359"/>
      <c r="AQ66" s="359">
        <f>+FL_1($T$67,$T$65,$G$66,1200,9.28, 1*$F$67)</f>
        <v>0.42598074926302099</v>
      </c>
      <c r="AR66" s="359"/>
      <c r="AS66" s="359"/>
      <c r="AT66" s="359"/>
      <c r="AU66" s="359"/>
      <c r="AV66" s="359"/>
      <c r="AW66" s="359"/>
      <c r="AX66" s="359"/>
      <c r="AY66" s="359" t="s">
        <v>695</v>
      </c>
      <c r="AZ66" s="359"/>
      <c r="BA66" s="359"/>
      <c r="BB66" s="306"/>
      <c r="BI66" s="307"/>
      <c r="BJ66" s="307"/>
      <c r="BK66" s="307"/>
      <c r="BL66" s="307"/>
      <c r="BM66" s="307"/>
    </row>
    <row r="67" spans="1:65" ht="14.25">
      <c r="A67" s="287"/>
      <c r="B67" s="287" t="s">
        <v>2267</v>
      </c>
      <c r="C67" s="288">
        <f>+$C$65+$G$66</f>
        <v>12009</v>
      </c>
      <c r="D67" s="1121"/>
      <c r="E67" s="1121"/>
      <c r="F67" s="289">
        <f>150*-1600/(C67-11984)</f>
        <v>-9600</v>
      </c>
      <c r="G67" s="1121"/>
      <c r="H67" s="1121"/>
      <c r="I67" s="289"/>
      <c r="J67" s="288"/>
      <c r="K67" s="1121"/>
      <c r="L67" s="1121" t="s">
        <v>230</v>
      </c>
      <c r="M67" s="1121" t="s">
        <v>2757</v>
      </c>
      <c r="N67" s="1121" t="s">
        <v>145</v>
      </c>
      <c r="O67" s="1121"/>
      <c r="P67" s="1121"/>
      <c r="Q67" s="1121">
        <v>21</v>
      </c>
      <c r="R67" s="292">
        <v>-80291.759999999995</v>
      </c>
      <c r="S67" s="292"/>
      <c r="T67" s="1121">
        <v>30</v>
      </c>
      <c r="U67" s="1121"/>
      <c r="V67" s="1121"/>
      <c r="W67" s="1121">
        <v>1.4</v>
      </c>
      <c r="X67" s="1121"/>
      <c r="Y67" s="1121"/>
      <c r="Z67" s="1121"/>
      <c r="AA67" s="1121"/>
      <c r="AB67" s="1121"/>
      <c r="AC67" s="1121" t="s">
        <v>1704</v>
      </c>
      <c r="AD67" s="1121"/>
      <c r="AE67" s="1121"/>
      <c r="AF67" s="1121">
        <v>6000</v>
      </c>
      <c r="AG67" s="288">
        <v>12008.48</v>
      </c>
      <c r="AH67" s="1121">
        <v>2519</v>
      </c>
      <c r="AI67" s="289">
        <v>687</v>
      </c>
      <c r="AJ67" s="1121"/>
      <c r="AK67" s="1121"/>
      <c r="AL67" s="1121"/>
      <c r="AM67" s="1121" t="s">
        <v>1228</v>
      </c>
      <c r="AN67" s="315">
        <v>5.5</v>
      </c>
      <c r="AO67" s="315"/>
      <c r="AP67" s="315"/>
      <c r="AQ67" s="315"/>
      <c r="AR67" s="315"/>
      <c r="AS67" s="315"/>
      <c r="AT67" s="315">
        <f>+ab($T$67,$T$65,$T$69,$G$66,$G$68, 1*$F$67,1200)</f>
        <v>12.011029332119227</v>
      </c>
      <c r="AU67" s="315"/>
      <c r="AV67" s="315"/>
      <c r="AW67" s="315" t="s">
        <v>2634</v>
      </c>
      <c r="AX67" s="315" t="s">
        <v>1641</v>
      </c>
      <c r="AY67" s="315">
        <v>4.2</v>
      </c>
      <c r="AZ67" s="315"/>
      <c r="BA67" s="315"/>
      <c r="BB67" s="306"/>
      <c r="BI67" s="307"/>
      <c r="BJ67" s="307"/>
      <c r="BK67" s="307"/>
      <c r="BL67" s="307"/>
      <c r="BM67" s="307"/>
    </row>
    <row r="68" spans="1:65" ht="14.25">
      <c r="A68" s="287"/>
      <c r="B68" s="287"/>
      <c r="C68" s="288"/>
      <c r="D68" s="1121"/>
      <c r="E68" s="1121"/>
      <c r="F68" s="289"/>
      <c r="G68" s="292">
        <v>56</v>
      </c>
      <c r="H68" s="1121"/>
      <c r="I68" s="289"/>
      <c r="J68" s="288">
        <f>C69-7.5</f>
        <v>12057.5</v>
      </c>
      <c r="K68" s="1121" t="s">
        <v>3018</v>
      </c>
      <c r="L68" s="1121"/>
      <c r="M68" s="1121"/>
      <c r="N68" s="1121"/>
      <c r="O68" s="1121"/>
      <c r="P68" s="1121"/>
      <c r="Q68" s="1121"/>
      <c r="R68" s="292"/>
      <c r="S68" s="292">
        <f t="shared" si="9"/>
        <v>56.350000000000364</v>
      </c>
      <c r="T68" s="1121"/>
      <c r="U68" s="1121"/>
      <c r="V68" s="1121"/>
      <c r="W68" s="1121"/>
      <c r="X68" s="1121"/>
      <c r="Y68" s="1121"/>
      <c r="Z68" s="1121"/>
      <c r="AA68" s="1121"/>
      <c r="AB68" s="1121"/>
      <c r="AC68" s="1121"/>
      <c r="AD68" s="1121"/>
      <c r="AE68" s="1121"/>
      <c r="AF68" s="1121"/>
      <c r="AG68" s="288"/>
      <c r="AH68" s="1121"/>
      <c r="AI68" s="289"/>
      <c r="AJ68" s="1121"/>
      <c r="AK68" s="1121"/>
      <c r="AL68" s="1121"/>
      <c r="AM68" s="1121"/>
      <c r="AN68" s="315"/>
      <c r="AO68" s="315"/>
      <c r="AP68" s="315"/>
      <c r="AQ68" s="315">
        <f>+FL_1($T$69,$T$67,$G$68,1200,9.28, 1*$F$69)</f>
        <v>0.48712002904130652</v>
      </c>
      <c r="AR68" s="315"/>
      <c r="AS68" s="315"/>
      <c r="AT68" s="315"/>
      <c r="AU68" s="315"/>
      <c r="AV68" s="315"/>
      <c r="AW68" s="315" t="s">
        <v>2634</v>
      </c>
      <c r="AX68" s="315" t="s">
        <v>1641</v>
      </c>
      <c r="AY68" s="315"/>
      <c r="AZ68" s="315">
        <v>3.5</v>
      </c>
      <c r="BA68" s="315"/>
      <c r="BB68" s="306"/>
      <c r="BI68" s="307"/>
      <c r="BJ68" s="307"/>
      <c r="BK68" s="307"/>
      <c r="BL68" s="307"/>
      <c r="BM68" s="307"/>
    </row>
    <row r="69" spans="1:65" ht="14.25">
      <c r="A69" s="287"/>
      <c r="B69" s="287" t="s">
        <v>2268</v>
      </c>
      <c r="C69" s="288">
        <f>+$C$67+$G$68</f>
        <v>12065</v>
      </c>
      <c r="D69" s="1121"/>
      <c r="E69" s="1121"/>
      <c r="F69" s="289">
        <f t="shared" ref="F69" si="19">150*-1600/(C69-11984)</f>
        <v>-2962.962962962963</v>
      </c>
      <c r="G69" s="292"/>
      <c r="H69" s="291" t="s">
        <v>954</v>
      </c>
      <c r="I69" s="291"/>
      <c r="J69" s="288"/>
      <c r="K69" s="1121"/>
      <c r="L69" s="1121" t="s">
        <v>231</v>
      </c>
      <c r="M69" s="1121" t="s">
        <v>2756</v>
      </c>
      <c r="N69" s="1121" t="s">
        <v>144</v>
      </c>
      <c r="O69" s="1121"/>
      <c r="P69" s="1121"/>
      <c r="Q69" s="1121">
        <v>65</v>
      </c>
      <c r="R69" s="292">
        <v>-4803.59</v>
      </c>
      <c r="S69" s="292"/>
      <c r="T69" s="1121">
        <v>-30</v>
      </c>
      <c r="U69" s="1121"/>
      <c r="V69" s="1121"/>
      <c r="W69" s="1121">
        <v>1.4</v>
      </c>
      <c r="X69" s="1121"/>
      <c r="Y69" s="1121"/>
      <c r="Z69" s="1121"/>
      <c r="AA69" s="1121"/>
      <c r="AB69" s="1121"/>
      <c r="AC69" s="1121" t="s">
        <v>1704</v>
      </c>
      <c r="AD69" s="1121"/>
      <c r="AE69" s="1121"/>
      <c r="AF69" s="1121">
        <v>6000</v>
      </c>
      <c r="AG69" s="288">
        <v>12064.83</v>
      </c>
      <c r="AH69" s="1121">
        <v>2506</v>
      </c>
      <c r="AI69" s="289">
        <v>722</v>
      </c>
      <c r="AJ69" s="1121"/>
      <c r="AK69" s="1121"/>
      <c r="AL69" s="1121"/>
      <c r="AM69" s="1121" t="s">
        <v>1228</v>
      </c>
      <c r="AN69" s="315">
        <v>5.5</v>
      </c>
      <c r="AO69" s="315"/>
      <c r="AP69" s="315"/>
      <c r="AQ69" s="315"/>
      <c r="AR69" s="315"/>
      <c r="AS69" s="315"/>
      <c r="AT69" s="315">
        <f>+ab($T$69,$T$67,$T$71,$G$68,$G$70, 1*$F$69,1200)</f>
        <v>-6.5260614969404935</v>
      </c>
      <c r="AU69" s="315"/>
      <c r="AV69" s="315"/>
      <c r="AW69" s="315" t="s">
        <v>2634</v>
      </c>
      <c r="AX69" s="315" t="s">
        <v>1641</v>
      </c>
      <c r="AY69" s="315">
        <v>4.2</v>
      </c>
      <c r="AZ69" s="315"/>
      <c r="BA69" s="315"/>
      <c r="BB69" s="306"/>
      <c r="BI69" s="307"/>
      <c r="BJ69" s="307"/>
      <c r="BK69" s="307"/>
      <c r="BL69" s="307"/>
      <c r="BM69" s="307"/>
    </row>
    <row r="70" spans="1:65" ht="14.25">
      <c r="A70" s="287"/>
      <c r="B70" s="287"/>
      <c r="C70" s="288"/>
      <c r="D70" s="1121"/>
      <c r="E70" s="1121"/>
      <c r="F70" s="289"/>
      <c r="G70" s="292">
        <v>54</v>
      </c>
      <c r="H70" s="291"/>
      <c r="I70" s="294">
        <f>SUM(G56:G70)</f>
        <v>426</v>
      </c>
      <c r="J70" s="288"/>
      <c r="K70" s="1121"/>
      <c r="L70" s="1121"/>
      <c r="M70" s="1121"/>
      <c r="N70" s="1121"/>
      <c r="O70" s="1121"/>
      <c r="P70" s="1121"/>
      <c r="Q70" s="1121"/>
      <c r="R70" s="292"/>
      <c r="S70" s="292">
        <f t="shared" si="9"/>
        <v>53.829999999999927</v>
      </c>
      <c r="T70" s="1121"/>
      <c r="U70" s="1121"/>
      <c r="V70" s="1121"/>
      <c r="W70" s="1121"/>
      <c r="X70" s="1121"/>
      <c r="Y70" s="1121"/>
      <c r="Z70" s="1121"/>
      <c r="AA70" s="1121"/>
      <c r="AB70" s="1121"/>
      <c r="AC70" s="1121"/>
      <c r="AD70" s="1121"/>
      <c r="AE70" s="1121"/>
      <c r="AF70" s="1121"/>
      <c r="AG70" s="288"/>
      <c r="AH70" s="1121"/>
      <c r="AI70" s="289"/>
      <c r="AJ70" s="1121"/>
      <c r="AK70" s="1121"/>
      <c r="AL70" s="1121"/>
      <c r="AM70" s="1121"/>
      <c r="AN70" s="315"/>
      <c r="AO70" s="315"/>
      <c r="AP70" s="315"/>
      <c r="AQ70" s="315">
        <f>+FL_2($T$71,$T$69,$G$70,1200,9.28, 1*$F$71)</f>
        <v>-0.37683692550108283</v>
      </c>
      <c r="AR70" s="315"/>
      <c r="AS70" s="315"/>
      <c r="AT70" s="315"/>
      <c r="AU70" s="315"/>
      <c r="AV70" s="315"/>
      <c r="AW70" s="315"/>
      <c r="AX70" s="315"/>
      <c r="AY70" s="315" t="s">
        <v>695</v>
      </c>
      <c r="AZ70" s="315"/>
      <c r="BA70" s="315"/>
      <c r="BB70" s="306"/>
      <c r="BI70" s="307"/>
      <c r="BJ70" s="307"/>
      <c r="BK70" s="307"/>
      <c r="BL70" s="307"/>
      <c r="BM70" s="307"/>
    </row>
    <row r="71" spans="1:65" ht="14.25">
      <c r="A71" s="287"/>
      <c r="B71" s="287" t="s">
        <v>2269</v>
      </c>
      <c r="C71" s="288">
        <f>+$C$69+$G$70</f>
        <v>12119</v>
      </c>
      <c r="D71" s="1121"/>
      <c r="E71" s="1121"/>
      <c r="F71" s="289">
        <f t="shared" ref="F71" si="20">150*-1600/(C71-11984)</f>
        <v>-1777.7777777777778</v>
      </c>
      <c r="G71" s="292"/>
      <c r="H71" s="291" t="s">
        <v>955</v>
      </c>
      <c r="I71" s="291"/>
      <c r="J71" s="288"/>
      <c r="K71" s="1121"/>
      <c r="L71" s="1121" t="s">
        <v>231</v>
      </c>
      <c r="M71" s="1121" t="s">
        <v>2756</v>
      </c>
      <c r="N71" s="1121" t="s">
        <v>144</v>
      </c>
      <c r="O71" s="1121"/>
      <c r="P71" s="1121"/>
      <c r="Q71" s="1121">
        <v>98</v>
      </c>
      <c r="R71" s="292">
        <v>-2201.17</v>
      </c>
      <c r="S71" s="292"/>
      <c r="T71" s="1121">
        <v>-30</v>
      </c>
      <c r="U71" s="1121"/>
      <c r="V71" s="1121"/>
      <c r="W71" s="1121">
        <v>1.4</v>
      </c>
      <c r="X71" s="1121"/>
      <c r="Y71" s="1121"/>
      <c r="Z71" s="1121"/>
      <c r="AA71" s="1121"/>
      <c r="AB71" s="1121"/>
      <c r="AC71" s="1121" t="s">
        <v>2963</v>
      </c>
      <c r="AD71" s="1121"/>
      <c r="AE71" s="1121"/>
      <c r="AF71" s="1121">
        <v>6000</v>
      </c>
      <c r="AG71" s="288">
        <v>12118.66</v>
      </c>
      <c r="AH71" s="1121">
        <v>2587</v>
      </c>
      <c r="AI71" s="289">
        <v>678</v>
      </c>
      <c r="AJ71" s="1121"/>
      <c r="AK71" s="1121"/>
      <c r="AL71" s="1121"/>
      <c r="AM71" s="1121" t="s">
        <v>1228</v>
      </c>
      <c r="AN71" s="315">
        <v>5.5</v>
      </c>
      <c r="AO71" s="315"/>
      <c r="AP71" s="315"/>
      <c r="AQ71" s="315"/>
      <c r="AR71" s="315"/>
      <c r="AS71" s="315"/>
      <c r="AT71" s="315">
        <f>+ab($T$71,$T$69,$T$73,$G$70,$G$72, 1*$F$71,1200)</f>
        <v>-6.2347694579535222</v>
      </c>
      <c r="AU71" s="315"/>
      <c r="AV71" s="315"/>
      <c r="AW71" s="315" t="s">
        <v>2634</v>
      </c>
      <c r="AX71" s="315" t="s">
        <v>1641</v>
      </c>
      <c r="AY71" s="315">
        <v>4.2</v>
      </c>
      <c r="AZ71" s="315"/>
      <c r="BA71" s="315"/>
      <c r="BB71" s="306"/>
      <c r="BI71" s="307"/>
      <c r="BJ71" s="307"/>
      <c r="BK71" s="307"/>
      <c r="BL71" s="307"/>
      <c r="BM71" s="307"/>
    </row>
    <row r="72" spans="1:65" ht="14.25">
      <c r="A72" s="287"/>
      <c r="B72" s="287"/>
      <c r="C72" s="288"/>
      <c r="D72" s="1121"/>
      <c r="E72" s="1121"/>
      <c r="F72" s="289"/>
      <c r="G72" s="292">
        <v>55</v>
      </c>
      <c r="H72" s="291"/>
      <c r="I72" s="294">
        <f>SUM(G72:G90)</f>
        <v>551</v>
      </c>
      <c r="J72" s="288"/>
      <c r="K72" s="1121"/>
      <c r="L72" s="1121"/>
      <c r="M72" s="1121"/>
      <c r="N72" s="1121"/>
      <c r="O72" s="1121"/>
      <c r="P72" s="1121"/>
      <c r="Q72" s="1121"/>
      <c r="R72" s="292"/>
      <c r="S72" s="292">
        <f t="shared" si="9"/>
        <v>55.110000000000582</v>
      </c>
      <c r="T72" s="1121"/>
      <c r="U72" s="1121"/>
      <c r="V72" s="1121"/>
      <c r="W72" s="1121"/>
      <c r="X72" s="1121"/>
      <c r="Y72" s="1121"/>
      <c r="Z72" s="1121"/>
      <c r="AA72" s="1121"/>
      <c r="AB72" s="1121"/>
      <c r="AC72" s="1121"/>
      <c r="AD72" s="1121"/>
      <c r="AE72" s="1121"/>
      <c r="AF72" s="1121"/>
      <c r="AG72" s="288"/>
      <c r="AH72" s="1121"/>
      <c r="AI72" s="289"/>
      <c r="AJ72" s="1121"/>
      <c r="AK72" s="1121"/>
      <c r="AL72" s="1121"/>
      <c r="AM72" s="1121"/>
      <c r="AN72" s="315"/>
      <c r="AO72" s="315"/>
      <c r="AP72" s="315"/>
      <c r="AQ72" s="315">
        <f>+FL_2($T$73,$T$71,$G$72,1200,9.28, 1*$F$73)</f>
        <v>-0.35607108565618417</v>
      </c>
      <c r="AR72" s="315"/>
      <c r="AS72" s="315"/>
      <c r="AT72" s="315"/>
      <c r="AU72" s="315"/>
      <c r="AV72" s="315"/>
      <c r="AW72" s="315"/>
      <c r="AX72" s="315"/>
      <c r="AY72" s="315" t="s">
        <v>695</v>
      </c>
      <c r="AZ72" s="315"/>
      <c r="BA72" s="315"/>
      <c r="BB72" s="306"/>
      <c r="BI72" s="307"/>
      <c r="BJ72" s="307"/>
      <c r="BK72" s="307"/>
      <c r="BL72" s="307"/>
      <c r="BM72" s="307"/>
    </row>
    <row r="73" spans="1:65" ht="14.25">
      <c r="A73" s="287"/>
      <c r="B73" s="287" t="s">
        <v>2270</v>
      </c>
      <c r="C73" s="288">
        <f>+$C$71+$G$72</f>
        <v>12174</v>
      </c>
      <c r="D73" s="1121"/>
      <c r="E73" s="1121"/>
      <c r="F73" s="289">
        <v>-1600</v>
      </c>
      <c r="G73" s="292"/>
      <c r="H73" s="1121" t="s">
        <v>954</v>
      </c>
      <c r="I73" s="289"/>
      <c r="J73" s="288"/>
      <c r="K73" s="1121"/>
      <c r="L73" s="1121" t="s">
        <v>231</v>
      </c>
      <c r="M73" s="1121" t="s">
        <v>2756</v>
      </c>
      <c r="N73" s="1121" t="s">
        <v>144</v>
      </c>
      <c r="O73" s="1121"/>
      <c r="P73" s="1121"/>
      <c r="Q73" s="1121">
        <v>112</v>
      </c>
      <c r="R73" s="292">
        <v>-1604.7</v>
      </c>
      <c r="S73" s="292"/>
      <c r="T73" s="1121">
        <v>-30</v>
      </c>
      <c r="U73" s="1121"/>
      <c r="V73" s="1121"/>
      <c r="W73" s="1121">
        <v>1.4</v>
      </c>
      <c r="X73" s="1121"/>
      <c r="Y73" s="1121"/>
      <c r="Z73" s="1121"/>
      <c r="AA73" s="1121"/>
      <c r="AB73" s="1121"/>
      <c r="AC73" s="1121" t="s">
        <v>2963</v>
      </c>
      <c r="AD73" s="1121"/>
      <c r="AE73" s="1121"/>
      <c r="AF73" s="1121">
        <v>6000</v>
      </c>
      <c r="AG73" s="288">
        <v>12173.77</v>
      </c>
      <c r="AH73" s="1121">
        <v>2328</v>
      </c>
      <c r="AI73" s="289">
        <v>666</v>
      </c>
      <c r="AJ73" s="1121"/>
      <c r="AK73" s="1121"/>
      <c r="AL73" s="1121"/>
      <c r="AM73" s="1121" t="s">
        <v>1228</v>
      </c>
      <c r="AN73" s="315">
        <v>5.5</v>
      </c>
      <c r="AO73" s="315"/>
      <c r="AP73" s="315"/>
      <c r="AQ73" s="315"/>
      <c r="AR73" s="315"/>
      <c r="AS73" s="315"/>
      <c r="AT73" s="315">
        <f>+ab($T$73,$T$71,$T$75,$G$72,$G$74, 1*$F$73,1200)</f>
        <v>-5.8279742658117053</v>
      </c>
      <c r="AU73" s="315"/>
      <c r="AV73" s="315"/>
      <c r="AW73" s="315" t="s">
        <v>2634</v>
      </c>
      <c r="AX73" s="315" t="s">
        <v>1641</v>
      </c>
      <c r="AY73" s="315">
        <v>4.2</v>
      </c>
      <c r="AZ73" s="315"/>
      <c r="BA73" s="315"/>
      <c r="BB73" s="306"/>
      <c r="BI73" s="307"/>
      <c r="BJ73" s="307"/>
      <c r="BK73" s="307"/>
      <c r="BL73" s="307"/>
      <c r="BM73" s="307"/>
    </row>
    <row r="74" spans="1:65" ht="14.25">
      <c r="A74" s="287"/>
      <c r="B74" s="287"/>
      <c r="C74" s="288"/>
      <c r="D74" s="1121"/>
      <c r="E74" s="1121"/>
      <c r="F74" s="289"/>
      <c r="G74" s="292">
        <v>50</v>
      </c>
      <c r="H74" s="291"/>
      <c r="I74" s="291"/>
      <c r="J74" s="288">
        <f>C73+7.5</f>
        <v>12181.5</v>
      </c>
      <c r="K74" s="1121" t="s">
        <v>3018</v>
      </c>
      <c r="L74" s="1121"/>
      <c r="M74" s="1121"/>
      <c r="N74" s="1121"/>
      <c r="O74" s="1121"/>
      <c r="P74" s="1121"/>
      <c r="Q74" s="1121"/>
      <c r="R74" s="292"/>
      <c r="S74" s="292">
        <f t="shared" si="9"/>
        <v>50.170000000000073</v>
      </c>
      <c r="T74" s="1121"/>
      <c r="U74" s="1121"/>
      <c r="V74" s="1121"/>
      <c r="W74" s="1121"/>
      <c r="X74" s="1121"/>
      <c r="Y74" s="1121"/>
      <c r="Z74" s="1121"/>
      <c r="AA74" s="1121"/>
      <c r="AB74" s="1121"/>
      <c r="AC74" s="1121"/>
      <c r="AD74" s="1121"/>
      <c r="AE74" s="1121"/>
      <c r="AF74" s="1121"/>
      <c r="AG74" s="288"/>
      <c r="AH74" s="1121"/>
      <c r="AI74" s="289"/>
      <c r="AJ74" s="1121"/>
      <c r="AK74" s="1121"/>
      <c r="AL74" s="1121"/>
      <c r="AM74" s="1121"/>
      <c r="AN74" s="315"/>
      <c r="AO74" s="315"/>
      <c r="AP74" s="315"/>
      <c r="AQ74" s="315">
        <f>+FL_2($T$75,$T$73,$G$74,1200,9.28, 1*$F$75)</f>
        <v>-0.36196988302314514</v>
      </c>
      <c r="AR74" s="315"/>
      <c r="AS74" s="315"/>
      <c r="AT74" s="315"/>
      <c r="AU74" s="315"/>
      <c r="AV74" s="315"/>
      <c r="AW74" s="315" t="s">
        <v>2634</v>
      </c>
      <c r="AX74" s="315" t="s">
        <v>1641</v>
      </c>
      <c r="AY74" s="315"/>
      <c r="AZ74" s="315">
        <v>3.5</v>
      </c>
      <c r="BA74" s="315"/>
      <c r="BB74" s="306"/>
    </row>
    <row r="75" spans="1:65" ht="14.25">
      <c r="A75" s="287"/>
      <c r="B75" s="287" t="s">
        <v>2271</v>
      </c>
      <c r="C75" s="288">
        <f>+$C$73+$G$74</f>
        <v>12224</v>
      </c>
      <c r="D75" s="1121"/>
      <c r="E75" s="1121"/>
      <c r="F75" s="289">
        <f>150*-1600/-(C75-12362)</f>
        <v>-1739.1304347826087</v>
      </c>
      <c r="G75" s="292"/>
      <c r="H75" s="1121"/>
      <c r="I75" s="289"/>
      <c r="J75" s="288"/>
      <c r="K75" s="1121"/>
      <c r="L75" s="1121" t="s">
        <v>231</v>
      </c>
      <c r="M75" s="1121" t="s">
        <v>2756</v>
      </c>
      <c r="N75" s="1121" t="s">
        <v>144</v>
      </c>
      <c r="O75" s="1121"/>
      <c r="P75" s="1121"/>
      <c r="Q75" s="1121">
        <v>103</v>
      </c>
      <c r="R75" s="292">
        <v>-2337.37</v>
      </c>
      <c r="S75" s="292"/>
      <c r="T75" s="1121">
        <v>-30</v>
      </c>
      <c r="U75" s="1121"/>
      <c r="V75" s="1121"/>
      <c r="W75" s="1121">
        <v>1.4</v>
      </c>
      <c r="X75" s="1121"/>
      <c r="Y75" s="1121"/>
      <c r="Z75" s="1121"/>
      <c r="AA75" s="1121"/>
      <c r="AB75" s="1121"/>
      <c r="AC75" s="1121" t="s">
        <v>2972</v>
      </c>
      <c r="AD75" s="1121"/>
      <c r="AE75" s="1121"/>
      <c r="AF75" s="1121">
        <v>6000</v>
      </c>
      <c r="AG75" s="288">
        <v>12223.94</v>
      </c>
      <c r="AH75" s="1121">
        <v>2301</v>
      </c>
      <c r="AI75" s="289">
        <v>689</v>
      </c>
      <c r="AJ75" s="1121"/>
      <c r="AK75" s="1121"/>
      <c r="AL75" s="1121"/>
      <c r="AM75" s="1121" t="s">
        <v>1228</v>
      </c>
      <c r="AN75" s="315">
        <v>5.5</v>
      </c>
      <c r="AO75" s="315"/>
      <c r="AP75" s="315"/>
      <c r="AQ75" s="315"/>
      <c r="AR75" s="315"/>
      <c r="AS75" s="315"/>
      <c r="AT75" s="315">
        <f>+ab($T$75,$T$73,$T$77,$G$74,$G$76, 1*$F$75,1200)</f>
        <v>-6.271556117605777</v>
      </c>
      <c r="AU75" s="315"/>
      <c r="AV75" s="315"/>
      <c r="AW75" s="315" t="s">
        <v>2634</v>
      </c>
      <c r="AX75" s="315" t="s">
        <v>1641</v>
      </c>
      <c r="AY75" s="315">
        <v>4.2</v>
      </c>
      <c r="AZ75" s="315"/>
      <c r="BA75" s="315"/>
      <c r="BB75" s="306"/>
    </row>
    <row r="76" spans="1:65" ht="14.25">
      <c r="A76" s="341" t="s">
        <v>2605</v>
      </c>
      <c r="B76" s="363"/>
      <c r="C76" s="342"/>
      <c r="D76" s="343"/>
      <c r="E76" s="343"/>
      <c r="F76" s="344"/>
      <c r="G76" s="345">
        <v>56</v>
      </c>
      <c r="H76" s="360"/>
      <c r="I76" s="360"/>
      <c r="J76" s="342"/>
      <c r="K76" s="343"/>
      <c r="L76" s="343"/>
      <c r="M76" s="343"/>
      <c r="N76" s="343"/>
      <c r="O76" s="343"/>
      <c r="P76" s="343"/>
      <c r="Q76" s="343"/>
      <c r="R76" s="345"/>
      <c r="S76" s="345">
        <f t="shared" si="9"/>
        <v>56.059999999999491</v>
      </c>
      <c r="T76" s="343"/>
      <c r="U76" s="343"/>
      <c r="V76" s="343"/>
      <c r="W76" s="343"/>
      <c r="X76" s="343"/>
      <c r="Y76" s="343"/>
      <c r="Z76" s="343"/>
      <c r="AA76" s="343"/>
      <c r="AB76" s="343"/>
      <c r="AC76" s="343"/>
      <c r="AD76" s="343"/>
      <c r="AE76" s="343"/>
      <c r="AF76" s="343"/>
      <c r="AG76" s="342" t="s">
        <v>695</v>
      </c>
      <c r="AH76" s="343" t="s">
        <v>695</v>
      </c>
      <c r="AI76" s="344"/>
      <c r="AJ76" s="343"/>
      <c r="AK76" s="343"/>
      <c r="AL76" s="343"/>
      <c r="AM76" s="343"/>
      <c r="AN76" s="347"/>
      <c r="AO76" s="347"/>
      <c r="AP76" s="347"/>
      <c r="AQ76" s="347">
        <f>+FL_2($T$77,$T$75,$G$76,1200,9.28, 1*$F$77)</f>
        <v>-0.4692102687611942</v>
      </c>
      <c r="AR76" s="347"/>
      <c r="AS76" s="347"/>
      <c r="AT76" s="347"/>
      <c r="AU76" s="347"/>
      <c r="AV76" s="347"/>
      <c r="AW76" s="347"/>
      <c r="AX76" s="347"/>
      <c r="AY76" s="347" t="s">
        <v>695</v>
      </c>
      <c r="AZ76" s="347"/>
      <c r="BA76" s="347"/>
      <c r="BB76" s="306"/>
    </row>
    <row r="77" spans="1:65" ht="14.25">
      <c r="A77" s="363"/>
      <c r="B77" s="363" t="s">
        <v>2272</v>
      </c>
      <c r="C77" s="342">
        <f>+$C$75+$G$76</f>
        <v>12280</v>
      </c>
      <c r="D77" s="343"/>
      <c r="E77" s="343"/>
      <c r="F77" s="344">
        <f t="shared" ref="F77" si="21">150*-1600/-(C77-12362)</f>
        <v>-2926.8292682926831</v>
      </c>
      <c r="G77" s="345"/>
      <c r="H77" s="343"/>
      <c r="I77" s="346"/>
      <c r="J77" s="342"/>
      <c r="K77" s="343"/>
      <c r="L77" s="343" t="s">
        <v>2684</v>
      </c>
      <c r="M77" s="343" t="s">
        <v>2793</v>
      </c>
      <c r="N77" s="343" t="s">
        <v>144</v>
      </c>
      <c r="O77" s="343"/>
      <c r="P77" s="343"/>
      <c r="Q77" s="343">
        <v>55</v>
      </c>
      <c r="R77" s="345">
        <v>-1605.9</v>
      </c>
      <c r="S77" s="345"/>
      <c r="T77" s="343">
        <v>-30</v>
      </c>
      <c r="U77" s="343"/>
      <c r="V77" s="343"/>
      <c r="W77" s="343">
        <v>1.4</v>
      </c>
      <c r="X77" s="343"/>
      <c r="Y77" s="343"/>
      <c r="Z77" s="343"/>
      <c r="AA77" s="343"/>
      <c r="AB77" s="343"/>
      <c r="AC77" s="343" t="s">
        <v>2963</v>
      </c>
      <c r="AD77" s="343"/>
      <c r="AE77" s="343"/>
      <c r="AF77" s="343">
        <v>6000</v>
      </c>
      <c r="AG77" s="342">
        <v>12280</v>
      </c>
      <c r="AH77" s="343">
        <v>2878</v>
      </c>
      <c r="AI77" s="344">
        <v>921</v>
      </c>
      <c r="AJ77" s="343"/>
      <c r="AK77" s="343"/>
      <c r="AL77" s="343"/>
      <c r="AM77" s="343" t="s">
        <v>1228</v>
      </c>
      <c r="AN77" s="347">
        <v>5.5</v>
      </c>
      <c r="AO77" s="347"/>
      <c r="AP77" s="347"/>
      <c r="AQ77" s="347"/>
      <c r="AR77" s="347"/>
      <c r="AS77" s="347"/>
      <c r="AT77" s="347">
        <f>+ab($T$77,$T$75,$T$79,$G$76,$G$78, 1*$F$77,1200)</f>
        <v>-6.3972021867060302</v>
      </c>
      <c r="AU77" s="347"/>
      <c r="AV77" s="347"/>
      <c r="AW77" s="347" t="s">
        <v>699</v>
      </c>
      <c r="AX77" s="347" t="s">
        <v>699</v>
      </c>
      <c r="AY77" s="347" t="s">
        <v>699</v>
      </c>
      <c r="AZ77" s="347" t="s">
        <v>699</v>
      </c>
      <c r="BA77" s="347"/>
      <c r="BB77" s="306"/>
    </row>
    <row r="78" spans="1:65" ht="14.25">
      <c r="A78" s="363"/>
      <c r="B78" s="363"/>
      <c r="C78" s="342"/>
      <c r="D78" s="343"/>
      <c r="E78" s="343"/>
      <c r="F78" s="344"/>
      <c r="G78" s="345">
        <v>55</v>
      </c>
      <c r="H78" s="343"/>
      <c r="I78" s="346"/>
      <c r="J78" s="342"/>
      <c r="K78" s="343"/>
      <c r="L78" s="343"/>
      <c r="M78" s="343"/>
      <c r="N78" s="343"/>
      <c r="O78" s="343"/>
      <c r="P78" s="343"/>
      <c r="Q78" s="343"/>
      <c r="R78" s="345"/>
      <c r="S78" s="345">
        <f t="shared" si="9"/>
        <v>54.680000000000291</v>
      </c>
      <c r="T78" s="343"/>
      <c r="U78" s="343"/>
      <c r="V78" s="343"/>
      <c r="W78" s="343"/>
      <c r="X78" s="343"/>
      <c r="Y78" s="343"/>
      <c r="Z78" s="343"/>
      <c r="AA78" s="343"/>
      <c r="AB78" s="343"/>
      <c r="AC78" s="343"/>
      <c r="AD78" s="343"/>
      <c r="AE78" s="343"/>
      <c r="AF78" s="343"/>
      <c r="AG78" s="342" t="s">
        <v>695</v>
      </c>
      <c r="AH78" s="343" t="s">
        <v>695</v>
      </c>
      <c r="AI78" s="344"/>
      <c r="AJ78" s="343"/>
      <c r="AK78" s="343"/>
      <c r="AL78" s="343"/>
      <c r="AM78" s="343"/>
      <c r="AN78" s="347"/>
      <c r="AO78" s="347"/>
      <c r="AP78" s="347"/>
      <c r="AQ78" s="347">
        <f>+FL_1($T$79,$T$77,$G$78,1200,9.28, 1*$F$79)</f>
        <v>0.40212883953043665</v>
      </c>
      <c r="AR78" s="347"/>
      <c r="AS78" s="347"/>
      <c r="AT78" s="347"/>
      <c r="AU78" s="347"/>
      <c r="AV78" s="347"/>
      <c r="AW78" s="347"/>
      <c r="AX78" s="347"/>
      <c r="AY78" s="347"/>
      <c r="AZ78" s="347"/>
      <c r="BA78" s="347"/>
      <c r="BB78" s="306"/>
    </row>
    <row r="79" spans="1:65" ht="14.25">
      <c r="A79" s="341"/>
      <c r="B79" s="363" t="s">
        <v>2273</v>
      </c>
      <c r="C79" s="342">
        <f>+$C$77+$G$78</f>
        <v>12335</v>
      </c>
      <c r="D79" s="343"/>
      <c r="E79" s="343"/>
      <c r="F79" s="344">
        <f t="shared" ref="F79" si="22">150*-1600/-(C79-12362)</f>
        <v>-8888.8888888888887</v>
      </c>
      <c r="G79" s="345"/>
      <c r="H79" s="343"/>
      <c r="I79" s="346"/>
      <c r="J79" s="342"/>
      <c r="K79" s="343"/>
      <c r="L79" s="343" t="s">
        <v>2684</v>
      </c>
      <c r="M79" s="343" t="s">
        <v>2793</v>
      </c>
      <c r="N79" s="343" t="s">
        <v>145</v>
      </c>
      <c r="O79" s="343"/>
      <c r="P79" s="343"/>
      <c r="Q79" s="343">
        <v>15</v>
      </c>
      <c r="R79" s="345">
        <v>-5591.7</v>
      </c>
      <c r="S79" s="345"/>
      <c r="T79" s="343">
        <v>30</v>
      </c>
      <c r="U79" s="343"/>
      <c r="V79" s="343"/>
      <c r="W79" s="343">
        <v>1.4</v>
      </c>
      <c r="X79" s="343"/>
      <c r="Y79" s="343"/>
      <c r="Z79" s="343"/>
      <c r="AA79" s="343"/>
      <c r="AB79" s="343"/>
      <c r="AC79" s="343" t="s">
        <v>1704</v>
      </c>
      <c r="AD79" s="343"/>
      <c r="AE79" s="343"/>
      <c r="AF79" s="343">
        <v>6000</v>
      </c>
      <c r="AG79" s="342">
        <v>12334.68</v>
      </c>
      <c r="AH79" s="343">
        <v>2919</v>
      </c>
      <c r="AI79" s="344">
        <v>925</v>
      </c>
      <c r="AJ79" s="343"/>
      <c r="AK79" s="343"/>
      <c r="AL79" s="343"/>
      <c r="AM79" s="343" t="s">
        <v>1228</v>
      </c>
      <c r="AN79" s="347">
        <v>5.5</v>
      </c>
      <c r="AO79" s="347"/>
      <c r="AP79" s="347"/>
      <c r="AQ79" s="347"/>
      <c r="AR79" s="347"/>
      <c r="AS79" s="347"/>
      <c r="AT79" s="347">
        <f>+ab($T$79,$T$77,$T$81,$G$78,$G$80, 1*$F$79,1200)</f>
        <v>11.447112570753903</v>
      </c>
      <c r="AU79" s="347"/>
      <c r="AV79" s="347"/>
      <c r="AW79" s="347" t="s">
        <v>699</v>
      </c>
      <c r="AX79" s="347" t="s">
        <v>699</v>
      </c>
      <c r="AY79" s="347" t="s">
        <v>699</v>
      </c>
      <c r="AZ79" s="347" t="s">
        <v>699</v>
      </c>
      <c r="BA79" s="347"/>
      <c r="BB79" s="306"/>
    </row>
    <row r="80" spans="1:65" ht="14.25">
      <c r="A80" s="363"/>
      <c r="B80" s="363"/>
      <c r="C80" s="342"/>
      <c r="D80" s="343"/>
      <c r="E80" s="343"/>
      <c r="F80" s="344"/>
      <c r="G80" s="345">
        <v>55</v>
      </c>
      <c r="H80" s="343"/>
      <c r="I80" s="346"/>
      <c r="J80" s="342"/>
      <c r="K80" s="343"/>
      <c r="L80" s="343"/>
      <c r="M80" s="343"/>
      <c r="N80" s="343"/>
      <c r="O80" s="343"/>
      <c r="P80" s="343"/>
      <c r="Q80" s="343"/>
      <c r="R80" s="345"/>
      <c r="S80" s="345">
        <f t="shared" si="9"/>
        <v>55.239999999999782</v>
      </c>
      <c r="T80" s="343"/>
      <c r="U80" s="343"/>
      <c r="V80" s="343"/>
      <c r="W80" s="343"/>
      <c r="X80" s="343"/>
      <c r="Y80" s="343"/>
      <c r="Z80" s="343"/>
      <c r="AA80" s="343"/>
      <c r="AB80" s="343"/>
      <c r="AC80" s="343"/>
      <c r="AD80" s="343"/>
      <c r="AE80" s="343"/>
      <c r="AF80" s="343"/>
      <c r="AG80" s="342" t="s">
        <v>695</v>
      </c>
      <c r="AH80" s="343" t="s">
        <v>695</v>
      </c>
      <c r="AI80" s="344"/>
      <c r="AJ80" s="343"/>
      <c r="AK80" s="343"/>
      <c r="AL80" s="343"/>
      <c r="AM80" s="343"/>
      <c r="AN80" s="347"/>
      <c r="AO80" s="347"/>
      <c r="AP80" s="347"/>
      <c r="AQ80" s="347">
        <f>+FL_1($T$81,$T$79,$G$80,1200,9.28, 1*$F$81)</f>
        <v>0.35772017018181818</v>
      </c>
      <c r="AR80" s="347"/>
      <c r="AS80" s="347"/>
      <c r="AT80" s="347"/>
      <c r="AU80" s="347"/>
      <c r="AV80" s="347"/>
      <c r="AW80" s="347"/>
      <c r="AX80" s="347"/>
      <c r="AY80" s="347"/>
      <c r="AZ80" s="347"/>
      <c r="BA80" s="347"/>
      <c r="BB80" s="306"/>
    </row>
    <row r="81" spans="1:54" ht="14.25">
      <c r="A81" s="363"/>
      <c r="B81" s="363" t="s">
        <v>2274</v>
      </c>
      <c r="C81" s="342">
        <f>+$C$79+$G$80</f>
        <v>12390</v>
      </c>
      <c r="D81" s="343"/>
      <c r="E81" s="343"/>
      <c r="F81" s="344">
        <v>0</v>
      </c>
      <c r="G81" s="345"/>
      <c r="H81" s="343"/>
      <c r="I81" s="346"/>
      <c r="J81" s="342"/>
      <c r="K81" s="343"/>
      <c r="L81" s="343" t="s">
        <v>2684</v>
      </c>
      <c r="M81" s="343" t="s">
        <v>2793</v>
      </c>
      <c r="N81" s="343" t="s">
        <v>3250</v>
      </c>
      <c r="O81" s="343"/>
      <c r="P81" s="343"/>
      <c r="Q81" s="343">
        <v>0</v>
      </c>
      <c r="R81" s="344">
        <v>0</v>
      </c>
      <c r="S81" s="345"/>
      <c r="T81" s="343">
        <v>-35</v>
      </c>
      <c r="U81" s="343"/>
      <c r="V81" s="343"/>
      <c r="W81" s="343">
        <v>1.4</v>
      </c>
      <c r="X81" s="343"/>
      <c r="Y81" s="343"/>
      <c r="Z81" s="343"/>
      <c r="AA81" s="343"/>
      <c r="AB81" s="343"/>
      <c r="AC81" s="343" t="s">
        <v>2974</v>
      </c>
      <c r="AD81" s="343"/>
      <c r="AE81" s="343"/>
      <c r="AF81" s="343">
        <v>6000</v>
      </c>
      <c r="AG81" s="342">
        <v>12389.92</v>
      </c>
      <c r="AH81" s="343">
        <v>2844</v>
      </c>
      <c r="AI81" s="344">
        <v>939</v>
      </c>
      <c r="AJ81" s="343"/>
      <c r="AK81" s="343"/>
      <c r="AL81" s="343"/>
      <c r="AM81" s="343" t="s">
        <v>1228</v>
      </c>
      <c r="AN81" s="347">
        <v>5.5</v>
      </c>
      <c r="AO81" s="347"/>
      <c r="AP81" s="347"/>
      <c r="AQ81" s="347"/>
      <c r="AR81" s="347"/>
      <c r="AS81" s="347"/>
      <c r="AT81" s="347">
        <f>+ab($T$81,$T$79,$T$83,$G$80,$G$82, 1*$F$81,1200)</f>
        <v>-7.7698840435924872</v>
      </c>
      <c r="AU81" s="347"/>
      <c r="AV81" s="347"/>
      <c r="AW81" s="347" t="s">
        <v>699</v>
      </c>
      <c r="AX81" s="347" t="s">
        <v>699</v>
      </c>
      <c r="AY81" s="347" t="s">
        <v>699</v>
      </c>
      <c r="AZ81" s="347" t="s">
        <v>699</v>
      </c>
      <c r="BA81" s="347"/>
      <c r="BB81" s="306"/>
    </row>
    <row r="82" spans="1:54" ht="14.25">
      <c r="A82" s="341" t="s">
        <v>2605</v>
      </c>
      <c r="B82" s="363"/>
      <c r="C82" s="342"/>
      <c r="D82" s="343"/>
      <c r="E82" s="343"/>
      <c r="F82" s="344"/>
      <c r="G82" s="345">
        <v>55</v>
      </c>
      <c r="H82" s="343"/>
      <c r="I82" s="346"/>
      <c r="J82" s="342"/>
      <c r="K82" s="343"/>
      <c r="L82" s="343"/>
      <c r="M82" s="343"/>
      <c r="N82" s="343"/>
      <c r="O82" s="343"/>
      <c r="P82" s="343"/>
      <c r="Q82" s="343"/>
      <c r="R82" s="345"/>
      <c r="S82" s="345">
        <f t="shared" si="9"/>
        <v>55.180000000000291</v>
      </c>
      <c r="T82" s="343"/>
      <c r="U82" s="343"/>
      <c r="V82" s="343"/>
      <c r="W82" s="343"/>
      <c r="X82" s="343"/>
      <c r="Y82" s="343"/>
      <c r="Z82" s="343"/>
      <c r="AA82" s="343"/>
      <c r="AB82" s="343"/>
      <c r="AC82" s="343"/>
      <c r="AD82" s="343"/>
      <c r="AE82" s="343"/>
      <c r="AF82" s="343"/>
      <c r="AG82" s="342" t="s">
        <v>695</v>
      </c>
      <c r="AH82" s="343" t="s">
        <v>695</v>
      </c>
      <c r="AI82" s="344"/>
      <c r="AJ82" s="343"/>
      <c r="AK82" s="343"/>
      <c r="AL82" s="343"/>
      <c r="AM82" s="343"/>
      <c r="AN82" s="347"/>
      <c r="AO82" s="347"/>
      <c r="AP82" s="347"/>
      <c r="AQ82" s="347">
        <f>+FL_2($T$83,$T$81,$G$82,1200,9.28, 1*$F$83)</f>
        <v>-0.39714735709090898</v>
      </c>
      <c r="AR82" s="347"/>
      <c r="AS82" s="347"/>
      <c r="AT82" s="347"/>
      <c r="AU82" s="347"/>
      <c r="AV82" s="347"/>
      <c r="AW82" s="347"/>
      <c r="AX82" s="347"/>
      <c r="AY82" s="347"/>
      <c r="AZ82" s="347"/>
      <c r="BA82" s="347"/>
      <c r="BB82" s="306"/>
    </row>
    <row r="83" spans="1:54" ht="14.25">
      <c r="A83" s="287"/>
      <c r="B83" s="287" t="s">
        <v>2275</v>
      </c>
      <c r="C83" s="288">
        <f>+$C$81+$G$82</f>
        <v>12445</v>
      </c>
      <c r="D83" s="1121"/>
      <c r="E83" s="1121"/>
      <c r="F83" s="289">
        <v>0</v>
      </c>
      <c r="G83" s="292"/>
      <c r="H83" s="1121"/>
      <c r="I83" s="294"/>
      <c r="J83" s="288"/>
      <c r="K83" s="1121"/>
      <c r="L83" s="1121" t="s">
        <v>230</v>
      </c>
      <c r="M83" s="1121" t="s">
        <v>2757</v>
      </c>
      <c r="N83" s="1121" t="s">
        <v>145</v>
      </c>
      <c r="O83" s="1121"/>
      <c r="P83" s="1121"/>
      <c r="Q83" s="1121">
        <v>0</v>
      </c>
      <c r="R83" s="289">
        <v>0</v>
      </c>
      <c r="S83" s="292"/>
      <c r="T83" s="1121">
        <v>35</v>
      </c>
      <c r="U83" s="1121"/>
      <c r="V83" s="1121"/>
      <c r="W83" s="1121">
        <v>1.4</v>
      </c>
      <c r="X83" s="1121"/>
      <c r="Y83" s="1121"/>
      <c r="Z83" s="1121"/>
      <c r="AA83" s="1121"/>
      <c r="AB83" s="1121"/>
      <c r="AC83" s="1121" t="s">
        <v>2963</v>
      </c>
      <c r="AD83" s="1121"/>
      <c r="AE83" s="1121"/>
      <c r="AF83" s="1121">
        <v>6000</v>
      </c>
      <c r="AG83" s="288">
        <v>12445.1</v>
      </c>
      <c r="AH83" s="1121">
        <v>2592</v>
      </c>
      <c r="AI83" s="289">
        <v>703</v>
      </c>
      <c r="AJ83" s="1121"/>
      <c r="AK83" s="1121"/>
      <c r="AL83" s="1121"/>
      <c r="AM83" s="1121" t="s">
        <v>1228</v>
      </c>
      <c r="AN83" s="315">
        <v>5.5</v>
      </c>
      <c r="AO83" s="315"/>
      <c r="AP83" s="315"/>
      <c r="AQ83" s="315"/>
      <c r="AR83" s="315"/>
      <c r="AS83" s="315"/>
      <c r="AT83" s="315">
        <f>+ab($T$83,$T$81,$T$85,$G$82,$G$84, 1*$F$83,1200)</f>
        <v>7.8175137683875535</v>
      </c>
      <c r="AU83" s="315"/>
      <c r="AV83" s="315"/>
      <c r="AW83" s="315" t="s">
        <v>2634</v>
      </c>
      <c r="AX83" s="315" t="s">
        <v>1641</v>
      </c>
      <c r="AY83" s="315">
        <v>4.2</v>
      </c>
      <c r="AZ83" s="315"/>
      <c r="BA83" s="315"/>
      <c r="BB83" s="306"/>
    </row>
    <row r="84" spans="1:54" ht="14.25">
      <c r="A84" s="287"/>
      <c r="B84" s="287"/>
      <c r="C84" s="288"/>
      <c r="D84" s="1121"/>
      <c r="E84" s="1121"/>
      <c r="F84" s="289"/>
      <c r="G84" s="292">
        <v>60</v>
      </c>
      <c r="H84" s="1121"/>
      <c r="I84" s="294"/>
      <c r="J84" s="288">
        <f>C85-7.5</f>
        <v>12497.5</v>
      </c>
      <c r="K84" s="1121" t="s">
        <v>3017</v>
      </c>
      <c r="L84" s="1121"/>
      <c r="M84" s="1121"/>
      <c r="N84" s="1121"/>
      <c r="O84" s="1121"/>
      <c r="P84" s="1121"/>
      <c r="Q84" s="1121"/>
      <c r="R84" s="292"/>
      <c r="S84" s="292">
        <f t="shared" si="9"/>
        <v>60.039999999999054</v>
      </c>
      <c r="T84" s="1121"/>
      <c r="U84" s="1121"/>
      <c r="V84" s="1121"/>
      <c r="W84" s="1121"/>
      <c r="X84" s="1121"/>
      <c r="Y84" s="1121"/>
      <c r="Z84" s="1121"/>
      <c r="AA84" s="1121"/>
      <c r="AB84" s="1121"/>
      <c r="AC84" s="1121"/>
      <c r="AD84" s="1121"/>
      <c r="AE84" s="1121"/>
      <c r="AF84" s="1121"/>
      <c r="AG84" s="288" t="s">
        <v>695</v>
      </c>
      <c r="AH84" s="1121" t="s">
        <v>695</v>
      </c>
      <c r="AI84" s="289"/>
      <c r="AJ84" s="1121"/>
      <c r="AK84" s="1121"/>
      <c r="AL84" s="1121"/>
      <c r="AM84" s="1121"/>
      <c r="AN84" s="315"/>
      <c r="AO84" s="315"/>
      <c r="AP84" s="315"/>
      <c r="AQ84" s="315">
        <f>+FL_1($T$85,$T$83,$G$84,1200,9.28, 1*$F$85)</f>
        <v>0.43600286799999993</v>
      </c>
      <c r="AR84" s="315"/>
      <c r="AS84" s="315"/>
      <c r="AT84" s="315"/>
      <c r="AU84" s="315"/>
      <c r="AV84" s="315"/>
      <c r="AW84" s="315" t="s">
        <v>2634</v>
      </c>
      <c r="AX84" s="315" t="s">
        <v>1641</v>
      </c>
      <c r="AY84" s="315"/>
      <c r="AZ84" s="315">
        <v>3.5</v>
      </c>
      <c r="BA84" s="315"/>
      <c r="BB84" s="306"/>
    </row>
    <row r="85" spans="1:54" ht="14.25">
      <c r="A85" s="287"/>
      <c r="B85" s="287" t="s">
        <v>2276</v>
      </c>
      <c r="C85" s="288">
        <f>+$C$83+$G$84</f>
        <v>12505</v>
      </c>
      <c r="D85" s="1121"/>
      <c r="E85" s="1121"/>
      <c r="F85" s="289">
        <v>0</v>
      </c>
      <c r="G85" s="292"/>
      <c r="H85" s="1121" t="s">
        <v>138</v>
      </c>
      <c r="I85" s="294" t="s">
        <v>656</v>
      </c>
      <c r="J85" s="288"/>
      <c r="K85" s="1121"/>
      <c r="L85" s="1121" t="s">
        <v>1061</v>
      </c>
      <c r="M85" s="1121" t="s">
        <v>2756</v>
      </c>
      <c r="N85" s="1121" t="s">
        <v>144</v>
      </c>
      <c r="O85" s="1121"/>
      <c r="P85" s="1121"/>
      <c r="Q85" s="1121">
        <v>0</v>
      </c>
      <c r="R85" s="289">
        <v>0</v>
      </c>
      <c r="S85" s="292"/>
      <c r="T85" s="1121">
        <v>-35</v>
      </c>
      <c r="U85" s="1121"/>
      <c r="V85" s="1121"/>
      <c r="W85" s="1121">
        <v>1.4</v>
      </c>
      <c r="X85" s="1121"/>
      <c r="Y85" s="1121"/>
      <c r="Z85" s="1121"/>
      <c r="AA85" s="1121"/>
      <c r="AB85" s="1121"/>
      <c r="AC85" s="1121" t="s">
        <v>1704</v>
      </c>
      <c r="AD85" s="1121"/>
      <c r="AE85" s="1121"/>
      <c r="AF85" s="1121">
        <v>6000</v>
      </c>
      <c r="AG85" s="288">
        <v>12505.14</v>
      </c>
      <c r="AH85" s="1121">
        <v>2583</v>
      </c>
      <c r="AI85" s="289">
        <v>697</v>
      </c>
      <c r="AJ85" s="1121"/>
      <c r="AK85" s="1121"/>
      <c r="AL85" s="1121"/>
      <c r="AM85" s="1121" t="s">
        <v>1228</v>
      </c>
      <c r="AN85" s="315">
        <v>5.5</v>
      </c>
      <c r="AO85" s="315"/>
      <c r="AP85" s="315"/>
      <c r="AQ85" s="315"/>
      <c r="AR85" s="315"/>
      <c r="AS85" s="315"/>
      <c r="AT85" s="315">
        <f>+ab($T$85,$T$83,$T$87,$G$84,$G$86, 1*$F$85,1200)</f>
        <v>-7.5918179957014802</v>
      </c>
      <c r="AU85" s="315"/>
      <c r="AV85" s="315"/>
      <c r="AW85" s="315" t="s">
        <v>2634</v>
      </c>
      <c r="AX85" s="315" t="s">
        <v>1641</v>
      </c>
      <c r="AY85" s="315">
        <v>4.2</v>
      </c>
      <c r="AZ85" s="315"/>
      <c r="BA85" s="315"/>
      <c r="BB85" s="306"/>
    </row>
    <row r="86" spans="1:54" ht="14.25">
      <c r="A86" s="287"/>
      <c r="B86" s="287"/>
      <c r="C86" s="288"/>
      <c r="D86" s="1121"/>
      <c r="E86" s="1121"/>
      <c r="F86" s="289"/>
      <c r="G86" s="292">
        <v>52</v>
      </c>
      <c r="H86" s="291"/>
      <c r="I86" s="294" t="s">
        <v>1223</v>
      </c>
      <c r="J86" s="288">
        <f>C87-7.5</f>
        <v>12549.5</v>
      </c>
      <c r="K86" s="1121" t="s">
        <v>3018</v>
      </c>
      <c r="L86" s="1121"/>
      <c r="M86" s="1121"/>
      <c r="N86" s="1121"/>
      <c r="O86" s="1121"/>
      <c r="P86" s="1121"/>
      <c r="Q86" s="1121"/>
      <c r="R86" s="292"/>
      <c r="S86" s="292">
        <f t="shared" si="9"/>
        <v>51.909999999999854</v>
      </c>
      <c r="T86" s="1121"/>
      <c r="U86" s="1121"/>
      <c r="V86" s="1121"/>
      <c r="W86" s="1121"/>
      <c r="X86" s="1121"/>
      <c r="Y86" s="1121"/>
      <c r="Z86" s="1121"/>
      <c r="AA86" s="1121"/>
      <c r="AB86" s="1121"/>
      <c r="AC86" s="1121" t="s">
        <v>2964</v>
      </c>
      <c r="AD86" s="1121"/>
      <c r="AE86" s="1121"/>
      <c r="AF86" s="1121"/>
      <c r="AG86" s="288" t="s">
        <v>695</v>
      </c>
      <c r="AH86" s="1121" t="s">
        <v>695</v>
      </c>
      <c r="AI86" s="289"/>
      <c r="AJ86" s="1121"/>
      <c r="AK86" s="1121"/>
      <c r="AL86" s="1121"/>
      <c r="AM86" s="1121"/>
      <c r="AN86" s="315"/>
      <c r="AO86" s="315"/>
      <c r="AP86" s="315"/>
      <c r="AQ86" s="315">
        <f>+FL_2($U$87,$T$85,$G$86,1200,9.28, 1*$F$87)</f>
        <v>-0.42116400276923072</v>
      </c>
      <c r="AR86" s="315"/>
      <c r="AS86" s="315"/>
      <c r="AT86" s="315"/>
      <c r="AU86" s="315"/>
      <c r="AV86" s="315"/>
      <c r="AW86" s="315" t="s">
        <v>2634</v>
      </c>
      <c r="AX86" s="315" t="s">
        <v>1641</v>
      </c>
      <c r="AY86" s="315"/>
      <c r="AZ86" s="315">
        <v>3.5</v>
      </c>
      <c r="BA86" s="315"/>
      <c r="BB86" s="306"/>
    </row>
    <row r="87" spans="1:54" ht="14.25">
      <c r="A87" s="287"/>
      <c r="B87" s="287" t="s">
        <v>2277</v>
      </c>
      <c r="C87" s="288">
        <f>+$C$85+$G$86</f>
        <v>12557</v>
      </c>
      <c r="D87" s="1121"/>
      <c r="E87" s="1121"/>
      <c r="F87" s="289">
        <v>0</v>
      </c>
      <c r="G87" s="292"/>
      <c r="H87" s="291" t="s">
        <v>651</v>
      </c>
      <c r="I87" s="294" t="s">
        <v>1223</v>
      </c>
      <c r="J87" s="288">
        <f>C87+7.5</f>
        <v>12564.5</v>
      </c>
      <c r="K87" s="1121" t="s">
        <v>3018</v>
      </c>
      <c r="L87" s="1121" t="s">
        <v>231</v>
      </c>
      <c r="M87" s="1121" t="s">
        <v>2756</v>
      </c>
      <c r="N87" s="1121" t="s">
        <v>140</v>
      </c>
      <c r="O87" s="1121" t="s">
        <v>145</v>
      </c>
      <c r="P87" s="1121"/>
      <c r="Q87" s="1121">
        <v>0</v>
      </c>
      <c r="R87" s="289">
        <v>0</v>
      </c>
      <c r="S87" s="292"/>
      <c r="T87" s="1121">
        <v>35</v>
      </c>
      <c r="U87" s="1121">
        <v>15</v>
      </c>
      <c r="V87" s="1121"/>
      <c r="W87" s="1121">
        <v>1.4</v>
      </c>
      <c r="X87" s="1121">
        <v>2.2999999999999998</v>
      </c>
      <c r="Y87" s="1121"/>
      <c r="Z87" s="1121">
        <v>0.5</v>
      </c>
      <c r="AA87" s="1121"/>
      <c r="AB87" s="1121"/>
      <c r="AC87" s="1121"/>
      <c r="AD87" s="1121" t="s">
        <v>1704</v>
      </c>
      <c r="AE87" s="1121"/>
      <c r="AF87" s="1121">
        <v>6000</v>
      </c>
      <c r="AG87" s="288">
        <v>12557.05</v>
      </c>
      <c r="AH87" s="1121">
        <v>2614</v>
      </c>
      <c r="AI87" s="289">
        <v>716</v>
      </c>
      <c r="AJ87" s="1121"/>
      <c r="AK87" s="1121"/>
      <c r="AL87" s="1121"/>
      <c r="AM87" s="1121" t="s">
        <v>1228</v>
      </c>
      <c r="AN87" s="315">
        <v>5.5</v>
      </c>
      <c r="AO87" s="315"/>
      <c r="AP87" s="315"/>
      <c r="AQ87" s="315"/>
      <c r="AR87" s="315"/>
      <c r="AS87" s="315"/>
      <c r="AT87" s="315">
        <f>+ab($U$87,$T$85,$U$89,$G$86,$G$88, 1*$F$87,1200)</f>
        <v>10.406694734415945</v>
      </c>
      <c r="AU87" s="315"/>
      <c r="AV87" s="315"/>
      <c r="AW87" s="315" t="s">
        <v>2634</v>
      </c>
      <c r="AX87" s="315" t="s">
        <v>1641</v>
      </c>
      <c r="AY87" s="315">
        <v>4.2</v>
      </c>
      <c r="AZ87" s="315">
        <v>3.5</v>
      </c>
      <c r="BA87" s="315"/>
      <c r="BB87" s="306"/>
    </row>
    <row r="88" spans="1:54" ht="14.25">
      <c r="A88" s="287"/>
      <c r="B88" s="287"/>
      <c r="C88" s="288"/>
      <c r="D88" s="1121"/>
      <c r="E88" s="1121"/>
      <c r="F88" s="289"/>
      <c r="G88" s="292">
        <v>58</v>
      </c>
      <c r="H88" s="291"/>
      <c r="I88" s="294"/>
      <c r="J88" s="288"/>
      <c r="K88" s="1121"/>
      <c r="L88" s="1121"/>
      <c r="M88" s="1121"/>
      <c r="N88" s="1121"/>
      <c r="O88" s="1121"/>
      <c r="P88" s="1121"/>
      <c r="Q88" s="1121"/>
      <c r="R88" s="292"/>
      <c r="S88" s="292">
        <f t="shared" ref="S88:S150" si="23">+AG89-AG87</f>
        <v>58.079999999999927</v>
      </c>
      <c r="T88" s="1121"/>
      <c r="U88" s="1121"/>
      <c r="V88" s="1121"/>
      <c r="W88" s="1121"/>
      <c r="X88" s="1121"/>
      <c r="Y88" s="1121"/>
      <c r="Z88" s="1121"/>
      <c r="AA88" s="1121"/>
      <c r="AB88" s="1121"/>
      <c r="AC88" s="1121"/>
      <c r="AD88" s="1121"/>
      <c r="AE88" s="1121"/>
      <c r="AF88" s="1121"/>
      <c r="AG88" s="288" t="s">
        <v>695</v>
      </c>
      <c r="AH88" s="1121" t="s">
        <v>695</v>
      </c>
      <c r="AI88" s="289"/>
      <c r="AJ88" s="1121"/>
      <c r="AK88" s="1121"/>
      <c r="AL88" s="1121"/>
      <c r="AM88" s="1121"/>
      <c r="AN88" s="315"/>
      <c r="AO88" s="315"/>
      <c r="AP88" s="315"/>
      <c r="AQ88" s="315">
        <f>+FL_1($T$89,$U$87,$G$88,1200,9.28, 1*$F$89)</f>
        <v>0.34248442294252879</v>
      </c>
      <c r="AR88" s="315"/>
      <c r="AS88" s="315"/>
      <c r="AT88" s="315"/>
      <c r="AU88" s="315"/>
      <c r="AV88" s="315"/>
      <c r="AW88" s="315"/>
      <c r="AX88" s="315"/>
      <c r="AY88" s="315" t="s">
        <v>695</v>
      </c>
      <c r="AZ88" s="315"/>
      <c r="BA88" s="315"/>
      <c r="BB88" s="306"/>
    </row>
    <row r="89" spans="1:54" ht="14.25">
      <c r="A89" s="287"/>
      <c r="B89" s="287" t="s">
        <v>2278</v>
      </c>
      <c r="C89" s="288">
        <f>+$C$87+$G$88</f>
        <v>12615</v>
      </c>
      <c r="D89" s="1121"/>
      <c r="E89" s="1121"/>
      <c r="F89" s="289">
        <v>0</v>
      </c>
      <c r="G89" s="292"/>
      <c r="H89" s="291" t="s">
        <v>651</v>
      </c>
      <c r="I89" s="294" t="s">
        <v>1223</v>
      </c>
      <c r="J89" s="288">
        <f>C89-7.5</f>
        <v>12607.5</v>
      </c>
      <c r="K89" s="1121" t="s">
        <v>3018</v>
      </c>
      <c r="L89" s="1121" t="s">
        <v>231</v>
      </c>
      <c r="M89" s="1121" t="s">
        <v>2756</v>
      </c>
      <c r="N89" s="1121" t="s">
        <v>144</v>
      </c>
      <c r="O89" s="1121" t="s">
        <v>140</v>
      </c>
      <c r="P89" s="1121"/>
      <c r="Q89" s="1121">
        <v>0</v>
      </c>
      <c r="R89" s="289">
        <v>0</v>
      </c>
      <c r="S89" s="292"/>
      <c r="T89" s="1121">
        <v>-15</v>
      </c>
      <c r="U89" s="1121">
        <v>-35</v>
      </c>
      <c r="V89" s="1121"/>
      <c r="W89" s="1121">
        <v>1.4</v>
      </c>
      <c r="X89" s="1121">
        <v>2.2999999999999998</v>
      </c>
      <c r="Y89" s="1121"/>
      <c r="Z89" s="1121"/>
      <c r="AA89" s="1121">
        <v>0.5</v>
      </c>
      <c r="AB89" s="1121"/>
      <c r="AC89" s="1121" t="s">
        <v>1704</v>
      </c>
      <c r="AD89" s="1121"/>
      <c r="AE89" s="1121"/>
      <c r="AF89" s="1121">
        <v>6000</v>
      </c>
      <c r="AG89" s="288">
        <v>12615.13</v>
      </c>
      <c r="AH89" s="1121">
        <v>2647</v>
      </c>
      <c r="AI89" s="289">
        <v>747</v>
      </c>
      <c r="AJ89" s="1121"/>
      <c r="AK89" s="1121"/>
      <c r="AL89" s="1121"/>
      <c r="AM89" s="1121" t="s">
        <v>1228</v>
      </c>
      <c r="AN89" s="315">
        <v>5.5</v>
      </c>
      <c r="AO89" s="315"/>
      <c r="AP89" s="315"/>
      <c r="AQ89" s="315"/>
      <c r="AR89" s="315"/>
      <c r="AS89" s="315"/>
      <c r="AT89" s="315">
        <f>+ab($T$89,$T$87,$T$91,$G$88,$G$90, 1*$F$89,1200)</f>
        <v>-10.707895810920924</v>
      </c>
      <c r="AU89" s="315"/>
      <c r="AV89" s="315"/>
      <c r="AW89" s="315" t="s">
        <v>2634</v>
      </c>
      <c r="AX89" s="315" t="s">
        <v>1641</v>
      </c>
      <c r="AY89" s="315">
        <v>4.2</v>
      </c>
      <c r="AZ89" s="315">
        <v>3.5</v>
      </c>
      <c r="BA89" s="315"/>
      <c r="BB89" s="306"/>
    </row>
    <row r="90" spans="1:54" ht="14.25">
      <c r="A90" s="287"/>
      <c r="B90" s="287"/>
      <c r="C90" s="288"/>
      <c r="D90" s="1121"/>
      <c r="E90" s="1121"/>
      <c r="F90" s="289"/>
      <c r="G90" s="292">
        <v>55</v>
      </c>
      <c r="H90" s="291"/>
      <c r="I90" s="294" t="s">
        <v>1223</v>
      </c>
      <c r="J90" s="288">
        <f>C89+7.5</f>
        <v>12622.5</v>
      </c>
      <c r="K90" s="1121" t="s">
        <v>3018</v>
      </c>
      <c r="L90" s="1121"/>
      <c r="M90" s="1121"/>
      <c r="N90" s="1121"/>
      <c r="O90" s="1121"/>
      <c r="P90" s="1121"/>
      <c r="Q90" s="1121"/>
      <c r="R90" s="292"/>
      <c r="S90" s="292">
        <f t="shared" si="23"/>
        <v>54.960000000000946</v>
      </c>
      <c r="T90" s="1121"/>
      <c r="U90" s="1121"/>
      <c r="V90" s="1121"/>
      <c r="W90" s="1121"/>
      <c r="X90" s="1121"/>
      <c r="Y90" s="1121"/>
      <c r="Z90" s="1121"/>
      <c r="AA90" s="1121"/>
      <c r="AB90" s="1121"/>
      <c r="AC90" s="1121"/>
      <c r="AD90" s="1121"/>
      <c r="AE90" s="1121"/>
      <c r="AF90" s="1121"/>
      <c r="AG90" s="288" t="s">
        <v>695</v>
      </c>
      <c r="AH90" s="1121" t="s">
        <v>695</v>
      </c>
      <c r="AI90" s="289"/>
      <c r="AJ90" s="1121"/>
      <c r="AK90" s="1121"/>
      <c r="AL90" s="1121"/>
      <c r="AM90" s="1121"/>
      <c r="AN90" s="315"/>
      <c r="AO90" s="315"/>
      <c r="AP90" s="315"/>
      <c r="AQ90" s="315">
        <f>+FL_1($T$91,$T$89,$G$90,1200,9.28, 1*$F$91)</f>
        <v>0.44585068557575752</v>
      </c>
      <c r="AR90" s="315"/>
      <c r="AS90" s="315"/>
      <c r="AT90" s="315"/>
      <c r="AU90" s="315"/>
      <c r="AV90" s="315"/>
      <c r="AW90" s="315" t="s">
        <v>2634</v>
      </c>
      <c r="AX90" s="315" t="s">
        <v>1641</v>
      </c>
      <c r="AY90" s="315" t="s">
        <v>695</v>
      </c>
      <c r="AZ90" s="315">
        <v>3.5</v>
      </c>
      <c r="BA90" s="315"/>
      <c r="BB90" s="306"/>
    </row>
    <row r="91" spans="1:54" ht="14.25">
      <c r="A91" s="287"/>
      <c r="B91" s="287" t="s">
        <v>2279</v>
      </c>
      <c r="C91" s="288">
        <f>+$C$89+$G$90</f>
        <v>12670</v>
      </c>
      <c r="D91" s="1121"/>
      <c r="E91" s="1121"/>
      <c r="F91" s="289">
        <v>0</v>
      </c>
      <c r="G91" s="292"/>
      <c r="H91" s="291" t="s">
        <v>138</v>
      </c>
      <c r="I91" s="294" t="s">
        <v>656</v>
      </c>
      <c r="J91" s="288"/>
      <c r="K91" s="1121"/>
      <c r="L91" s="1121" t="s">
        <v>1061</v>
      </c>
      <c r="M91" s="1121" t="s">
        <v>2756</v>
      </c>
      <c r="N91" s="1121" t="s">
        <v>145</v>
      </c>
      <c r="O91" s="1121"/>
      <c r="P91" s="1121"/>
      <c r="Q91" s="1121">
        <v>0</v>
      </c>
      <c r="R91" s="289">
        <v>0</v>
      </c>
      <c r="S91" s="292"/>
      <c r="T91" s="1121">
        <v>35</v>
      </c>
      <c r="U91" s="1121"/>
      <c r="V91" s="1121"/>
      <c r="W91" s="1121">
        <v>1.4</v>
      </c>
      <c r="X91" s="1121"/>
      <c r="Y91" s="1121"/>
      <c r="Z91" s="1121"/>
      <c r="AA91" s="1121"/>
      <c r="AB91" s="1121"/>
      <c r="AC91" s="1121" t="s">
        <v>2963</v>
      </c>
      <c r="AD91" s="1121"/>
      <c r="AE91" s="1121"/>
      <c r="AF91" s="1121">
        <v>6000</v>
      </c>
      <c r="AG91" s="288">
        <v>12670.09</v>
      </c>
      <c r="AH91" s="1121">
        <v>2535</v>
      </c>
      <c r="AI91" s="289">
        <v>765</v>
      </c>
      <c r="AJ91" s="1121"/>
      <c r="AK91" s="1121"/>
      <c r="AL91" s="1121"/>
      <c r="AM91" s="1121" t="s">
        <v>1228</v>
      </c>
      <c r="AN91" s="315">
        <v>5.5</v>
      </c>
      <c r="AO91" s="315"/>
      <c r="AP91" s="315"/>
      <c r="AQ91" s="315"/>
      <c r="AR91" s="315"/>
      <c r="AS91" s="315"/>
      <c r="AT91" s="315">
        <f>+ab($T$91,$T$89,$T$93,$G$90,$G$92, 1*$F$91,1200)</f>
        <v>8.7269389669222051</v>
      </c>
      <c r="AU91" s="315"/>
      <c r="AV91" s="315"/>
      <c r="AW91" s="315" t="s">
        <v>2634</v>
      </c>
      <c r="AX91" s="315" t="s">
        <v>1641</v>
      </c>
      <c r="AY91" s="315">
        <v>4.2</v>
      </c>
      <c r="AZ91" s="315"/>
      <c r="BA91" s="315"/>
      <c r="BB91" s="306"/>
    </row>
    <row r="92" spans="1:54" ht="14.25">
      <c r="A92" s="287"/>
      <c r="B92" s="287"/>
      <c r="C92" s="288"/>
      <c r="D92" s="1121"/>
      <c r="E92" s="1121"/>
      <c r="F92" s="289"/>
      <c r="G92" s="292">
        <v>55</v>
      </c>
      <c r="H92" s="291"/>
      <c r="I92" s="291"/>
      <c r="J92" s="288">
        <f>C91+7.5</f>
        <v>12677.5</v>
      </c>
      <c r="K92" s="1121" t="s">
        <v>3017</v>
      </c>
      <c r="L92" s="1121"/>
      <c r="M92" s="1121"/>
      <c r="N92" s="1121"/>
      <c r="O92" s="1121"/>
      <c r="P92" s="1121"/>
      <c r="Q92" s="1121"/>
      <c r="R92" s="292"/>
      <c r="S92" s="292">
        <f t="shared" si="23"/>
        <v>55.25</v>
      </c>
      <c r="T92" s="1121"/>
      <c r="U92" s="1121"/>
      <c r="V92" s="1121"/>
      <c r="W92" s="1121"/>
      <c r="X92" s="1121"/>
      <c r="Y92" s="1121"/>
      <c r="Z92" s="1121"/>
      <c r="AA92" s="1121"/>
      <c r="AB92" s="1121"/>
      <c r="AC92" s="1121"/>
      <c r="AD92" s="1121"/>
      <c r="AE92" s="1121"/>
      <c r="AF92" s="1121"/>
      <c r="AG92" s="288" t="s">
        <v>695</v>
      </c>
      <c r="AH92" s="1121" t="s">
        <v>695</v>
      </c>
      <c r="AI92" s="289"/>
      <c r="AJ92" s="1121"/>
      <c r="AK92" s="1121"/>
      <c r="AL92" s="1121"/>
      <c r="AM92" s="1121"/>
      <c r="AN92" s="315"/>
      <c r="AO92" s="315"/>
      <c r="AP92" s="315"/>
      <c r="AQ92" s="315">
        <f>+FL_2($T$93,$T$91,$G$92,1200,9.28, 1*$F$93)</f>
        <v>-0.39714735709090909</v>
      </c>
      <c r="AR92" s="315"/>
      <c r="AS92" s="315"/>
      <c r="AT92" s="315"/>
      <c r="AU92" s="315"/>
      <c r="AV92" s="315"/>
      <c r="AW92" s="315" t="s">
        <v>2634</v>
      </c>
      <c r="AX92" s="315" t="s">
        <v>1641</v>
      </c>
      <c r="AY92" s="315"/>
      <c r="AZ92" s="315">
        <v>3.5</v>
      </c>
      <c r="BA92" s="315"/>
      <c r="BB92" s="306"/>
    </row>
    <row r="93" spans="1:54" ht="14.25">
      <c r="A93" s="287"/>
      <c r="B93" s="287" t="s">
        <v>2280</v>
      </c>
      <c r="C93" s="288">
        <f>+$C$91+$G$92</f>
        <v>12725</v>
      </c>
      <c r="D93" s="1121"/>
      <c r="E93" s="1121"/>
      <c r="F93" s="289">
        <v>0</v>
      </c>
      <c r="G93" s="292"/>
      <c r="H93" s="1121"/>
      <c r="I93" s="294"/>
      <c r="J93" s="288"/>
      <c r="K93" s="1121"/>
      <c r="L93" s="1121" t="s">
        <v>230</v>
      </c>
      <c r="M93" s="1121" t="s">
        <v>2757</v>
      </c>
      <c r="N93" s="1121" t="s">
        <v>144</v>
      </c>
      <c r="O93" s="1121"/>
      <c r="P93" s="1121"/>
      <c r="Q93" s="1121">
        <v>0</v>
      </c>
      <c r="R93" s="289">
        <v>0</v>
      </c>
      <c r="S93" s="292"/>
      <c r="T93" s="1121">
        <v>-35</v>
      </c>
      <c r="U93" s="1121"/>
      <c r="V93" s="1121"/>
      <c r="W93" s="1121">
        <v>1.4</v>
      </c>
      <c r="X93" s="1121"/>
      <c r="Y93" s="1121"/>
      <c r="Z93" s="1121"/>
      <c r="AA93" s="1121"/>
      <c r="AB93" s="1121"/>
      <c r="AC93" s="1121" t="s">
        <v>2963</v>
      </c>
      <c r="AD93" s="1121"/>
      <c r="AE93" s="1121"/>
      <c r="AF93" s="1121">
        <v>6000</v>
      </c>
      <c r="AG93" s="288">
        <v>12725.34</v>
      </c>
      <c r="AH93" s="1121">
        <v>2691</v>
      </c>
      <c r="AI93" s="289">
        <v>731</v>
      </c>
      <c r="AJ93" s="1121"/>
      <c r="AK93" s="1121"/>
      <c r="AL93" s="1121"/>
      <c r="AM93" s="1121" t="s">
        <v>1228</v>
      </c>
      <c r="AN93" s="315">
        <v>5.5</v>
      </c>
      <c r="AO93" s="315"/>
      <c r="AP93" s="315"/>
      <c r="AQ93" s="315"/>
      <c r="AR93" s="315"/>
      <c r="AS93" s="315"/>
      <c r="AT93" s="315">
        <f>+ab($T$93,$T$91,$T$95,$G$92,$G$94, 1*$F$93,1200)</f>
        <v>-7.3583276531105488</v>
      </c>
      <c r="AU93" s="315"/>
      <c r="AV93" s="315"/>
      <c r="AW93" s="315" t="s">
        <v>2634</v>
      </c>
      <c r="AX93" s="315" t="s">
        <v>1641</v>
      </c>
      <c r="AY93" s="315">
        <v>4.2</v>
      </c>
      <c r="AZ93" s="315"/>
      <c r="BA93" s="315"/>
      <c r="BB93" s="306"/>
    </row>
    <row r="94" spans="1:54" ht="14.25">
      <c r="A94" s="287"/>
      <c r="B94" s="287"/>
      <c r="C94" s="288"/>
      <c r="D94" s="1121"/>
      <c r="E94" s="1121"/>
      <c r="F94" s="289"/>
      <c r="G94" s="292">
        <v>53</v>
      </c>
      <c r="H94" s="1121"/>
      <c r="I94" s="294"/>
      <c r="J94" s="288"/>
      <c r="K94" s="1121"/>
      <c r="L94" s="1121"/>
      <c r="M94" s="1121"/>
      <c r="N94" s="1121"/>
      <c r="O94" s="1121"/>
      <c r="P94" s="1121"/>
      <c r="Q94" s="1121"/>
      <c r="R94" s="292"/>
      <c r="S94" s="292">
        <f t="shared" si="23"/>
        <v>52.829999999999927</v>
      </c>
      <c r="T94" s="1121"/>
      <c r="U94" s="1121"/>
      <c r="V94" s="1121"/>
      <c r="W94" s="1121"/>
      <c r="X94" s="1121"/>
      <c r="Y94" s="1121"/>
      <c r="Z94" s="1121"/>
      <c r="AA94" s="1121"/>
      <c r="AB94" s="1121"/>
      <c r="AC94" s="1121"/>
      <c r="AD94" s="1121"/>
      <c r="AE94" s="1121"/>
      <c r="AF94" s="1121"/>
      <c r="AG94" s="288" t="s">
        <v>695</v>
      </c>
      <c r="AH94" s="1121" t="s">
        <v>695</v>
      </c>
      <c r="AI94" s="289"/>
      <c r="AJ94" s="1121"/>
      <c r="AK94" s="1121"/>
      <c r="AL94" s="1121"/>
      <c r="AM94" s="1121"/>
      <c r="AN94" s="315"/>
      <c r="AO94" s="315"/>
      <c r="AP94" s="315"/>
      <c r="AQ94" s="315">
        <f>+FL_2($T$95,$T$93,$G$94,1200,9.28, 1*$F$95)</f>
        <v>-0.38432069766037741</v>
      </c>
      <c r="AR94" s="315"/>
      <c r="AS94" s="315"/>
      <c r="AT94" s="315"/>
      <c r="AU94" s="315"/>
      <c r="AV94" s="315"/>
      <c r="AW94" s="315"/>
      <c r="AX94" s="315"/>
      <c r="AY94" s="315"/>
      <c r="AZ94" s="315"/>
      <c r="BA94" s="315"/>
      <c r="BB94" s="306"/>
    </row>
    <row r="95" spans="1:54" ht="14.25">
      <c r="A95" s="287"/>
      <c r="B95" s="287" t="s">
        <v>2281</v>
      </c>
      <c r="C95" s="288">
        <f>+$C$93+$G$94</f>
        <v>12778</v>
      </c>
      <c r="D95" s="1121"/>
      <c r="E95" s="1121"/>
      <c r="F95" s="289">
        <v>0</v>
      </c>
      <c r="G95" s="292"/>
      <c r="H95" s="1121"/>
      <c r="I95" s="294"/>
      <c r="J95" s="288"/>
      <c r="K95" s="1121"/>
      <c r="L95" s="1121" t="s">
        <v>230</v>
      </c>
      <c r="M95" s="1121" t="s">
        <v>2757</v>
      </c>
      <c r="N95" s="1121" t="s">
        <v>145</v>
      </c>
      <c r="O95" s="1121"/>
      <c r="P95" s="1121"/>
      <c r="Q95" s="1121">
        <v>0</v>
      </c>
      <c r="R95" s="289">
        <v>0</v>
      </c>
      <c r="S95" s="292"/>
      <c r="T95" s="1121">
        <v>35</v>
      </c>
      <c r="U95" s="1121"/>
      <c r="V95" s="1121"/>
      <c r="W95" s="1121">
        <v>1.4</v>
      </c>
      <c r="X95" s="1121"/>
      <c r="Y95" s="1121"/>
      <c r="Z95" s="1121"/>
      <c r="AA95" s="1121"/>
      <c r="AB95" s="1121"/>
      <c r="AC95" s="1121" t="s">
        <v>2963</v>
      </c>
      <c r="AD95" s="1121"/>
      <c r="AE95" s="1121"/>
      <c r="AF95" s="1121">
        <v>6000</v>
      </c>
      <c r="AG95" s="288">
        <v>12778.17</v>
      </c>
      <c r="AH95" s="1121">
        <v>2588</v>
      </c>
      <c r="AI95" s="289">
        <v>722</v>
      </c>
      <c r="AJ95" s="1121"/>
      <c r="AK95" s="1121"/>
      <c r="AL95" s="1121"/>
      <c r="AM95" s="1121" t="s">
        <v>1228</v>
      </c>
      <c r="AN95" s="315">
        <v>5.5</v>
      </c>
      <c r="AO95" s="315"/>
      <c r="AP95" s="315"/>
      <c r="AQ95" s="315"/>
      <c r="AR95" s="315"/>
      <c r="AS95" s="315"/>
      <c r="AT95" s="315">
        <f>+ab($T$95,$T$93,$T$97,$G$94,$G$96, 1*$F$95,1200)</f>
        <v>7.8414129393692642</v>
      </c>
      <c r="AU95" s="315"/>
      <c r="AV95" s="315"/>
      <c r="AW95" s="315" t="s">
        <v>2634</v>
      </c>
      <c r="AX95" s="315" t="s">
        <v>1641</v>
      </c>
      <c r="AY95" s="315">
        <v>4.2</v>
      </c>
      <c r="AZ95" s="315"/>
      <c r="BA95" s="315"/>
      <c r="BB95" s="306"/>
    </row>
    <row r="96" spans="1:54" ht="14.25">
      <c r="A96" s="352"/>
      <c r="B96" s="1061"/>
      <c r="C96" s="354"/>
      <c r="D96" s="353"/>
      <c r="E96" s="353"/>
      <c r="F96" s="355"/>
      <c r="G96" s="356">
        <v>63</v>
      </c>
      <c r="H96" s="353"/>
      <c r="I96" s="358"/>
      <c r="J96" s="354"/>
      <c r="K96" s="353"/>
      <c r="L96" s="353"/>
      <c r="M96" s="353"/>
      <c r="N96" s="353"/>
      <c r="O96" s="353"/>
      <c r="P96" s="353"/>
      <c r="Q96" s="353"/>
      <c r="R96" s="356"/>
      <c r="S96" s="356">
        <f t="shared" si="23"/>
        <v>65.289999999999054</v>
      </c>
      <c r="T96" s="353"/>
      <c r="U96" s="353"/>
      <c r="V96" s="353"/>
      <c r="W96" s="353"/>
      <c r="X96" s="353"/>
      <c r="Y96" s="353"/>
      <c r="Z96" s="353"/>
      <c r="AA96" s="353"/>
      <c r="AB96" s="353"/>
      <c r="AC96" s="353"/>
      <c r="AD96" s="353"/>
      <c r="AE96" s="353"/>
      <c r="AF96" s="353"/>
      <c r="AG96" s="354" t="s">
        <v>695</v>
      </c>
      <c r="AH96" s="353" t="s">
        <v>695</v>
      </c>
      <c r="AI96" s="355"/>
      <c r="AJ96" s="353"/>
      <c r="AK96" s="353"/>
      <c r="AL96" s="353"/>
      <c r="AM96" s="353"/>
      <c r="AN96" s="359"/>
      <c r="AO96" s="359"/>
      <c r="AP96" s="359"/>
      <c r="AQ96" s="359">
        <f>+FL_1($T$97,$T$95,$G$96,1200,9.28, 1*$F$97)</f>
        <v>0.46349119866666671</v>
      </c>
      <c r="AR96" s="359"/>
      <c r="AS96" s="359"/>
      <c r="AT96" s="359"/>
      <c r="AU96" s="359"/>
      <c r="AV96" s="359"/>
      <c r="AW96" s="359"/>
      <c r="AX96" s="359"/>
      <c r="AY96" s="359" t="s">
        <v>695</v>
      </c>
      <c r="AZ96" s="359"/>
      <c r="BA96" s="359"/>
      <c r="BB96" s="306"/>
    </row>
    <row r="97" spans="1:54" ht="14.25">
      <c r="A97" s="287"/>
      <c r="B97" s="287" t="s">
        <v>2282</v>
      </c>
      <c r="C97" s="288">
        <f>+$C$95+$G$96</f>
        <v>12841</v>
      </c>
      <c r="D97" s="1121"/>
      <c r="E97" s="1121"/>
      <c r="F97" s="289">
        <v>0</v>
      </c>
      <c r="G97" s="292"/>
      <c r="H97" s="1121"/>
      <c r="I97" s="294"/>
      <c r="J97" s="288"/>
      <c r="K97" s="1121"/>
      <c r="L97" s="1121" t="s">
        <v>230</v>
      </c>
      <c r="M97" s="1121" t="s">
        <v>2757</v>
      </c>
      <c r="N97" s="1121" t="s">
        <v>144</v>
      </c>
      <c r="O97" s="1121"/>
      <c r="P97" s="1121"/>
      <c r="Q97" s="1121">
        <v>0</v>
      </c>
      <c r="R97" s="289">
        <v>0</v>
      </c>
      <c r="S97" s="292"/>
      <c r="T97" s="1121">
        <v>-35</v>
      </c>
      <c r="U97" s="1121"/>
      <c r="V97" s="1121"/>
      <c r="W97" s="1121">
        <v>1.4</v>
      </c>
      <c r="X97" s="1121"/>
      <c r="Y97" s="1121"/>
      <c r="Z97" s="1121"/>
      <c r="AA97" s="1121"/>
      <c r="AB97" s="1121"/>
      <c r="AC97" s="1121" t="s">
        <v>2963</v>
      </c>
      <c r="AD97" s="1121"/>
      <c r="AE97" s="1121"/>
      <c r="AF97" s="1121">
        <v>6000</v>
      </c>
      <c r="AG97" s="288">
        <v>12843.46</v>
      </c>
      <c r="AH97" s="1121">
        <v>3431</v>
      </c>
      <c r="AI97" s="289">
        <v>554</v>
      </c>
      <c r="AJ97" s="1121"/>
      <c r="AK97" s="1121"/>
      <c r="AL97" s="1121"/>
      <c r="AM97" s="1121" t="s">
        <v>1228</v>
      </c>
      <c r="AN97" s="315">
        <v>5.5</v>
      </c>
      <c r="AO97" s="315"/>
      <c r="AP97" s="315"/>
      <c r="AQ97" s="315"/>
      <c r="AR97" s="315"/>
      <c r="AS97" s="315"/>
      <c r="AT97" s="315">
        <f>+ab($T$97,$T$95,$T$99,$G$96,$G$98, 1*$F$97,1200)</f>
        <v>-7.8414498776865518</v>
      </c>
      <c r="AU97" s="315"/>
      <c r="AV97" s="315"/>
      <c r="AW97" s="315" t="s">
        <v>2634</v>
      </c>
      <c r="AX97" s="315" t="s">
        <v>1641</v>
      </c>
      <c r="AY97" s="315">
        <v>4.2</v>
      </c>
      <c r="AZ97" s="315"/>
      <c r="BA97" s="315"/>
      <c r="BB97" s="306"/>
    </row>
    <row r="98" spans="1:54" ht="14.25">
      <c r="A98" s="341" t="s">
        <v>2606</v>
      </c>
      <c r="B98" s="363"/>
      <c r="C98" s="342"/>
      <c r="D98" s="343"/>
      <c r="E98" s="343"/>
      <c r="F98" s="344"/>
      <c r="G98" s="345">
        <v>53</v>
      </c>
      <c r="H98" s="360"/>
      <c r="I98" s="346"/>
      <c r="J98" s="342"/>
      <c r="K98" s="343"/>
      <c r="L98" s="343"/>
      <c r="M98" s="343"/>
      <c r="N98" s="343"/>
      <c r="O98" s="343"/>
      <c r="P98" s="343"/>
      <c r="Q98" s="343"/>
      <c r="R98" s="345"/>
      <c r="S98" s="345">
        <f t="shared" si="23"/>
        <v>50.510000000000218</v>
      </c>
      <c r="T98" s="343"/>
      <c r="U98" s="343"/>
      <c r="V98" s="343"/>
      <c r="W98" s="343"/>
      <c r="X98" s="343"/>
      <c r="Y98" s="343"/>
      <c r="Z98" s="343"/>
      <c r="AA98" s="343"/>
      <c r="AB98" s="343"/>
      <c r="AC98" s="343"/>
      <c r="AD98" s="343"/>
      <c r="AE98" s="343"/>
      <c r="AF98" s="343"/>
      <c r="AG98" s="342" t="s">
        <v>695</v>
      </c>
      <c r="AH98" s="343" t="s">
        <v>695</v>
      </c>
      <c r="AI98" s="344"/>
      <c r="AJ98" s="343"/>
      <c r="AK98" s="343"/>
      <c r="AL98" s="343"/>
      <c r="AM98" s="343"/>
      <c r="AN98" s="347"/>
      <c r="AO98" s="347"/>
      <c r="AP98" s="347"/>
      <c r="AQ98" s="347">
        <f>+FL_1($T$99,$T$97,$G$98,1200,10.96, 1*$F$99)</f>
        <v>0.41619013474213834</v>
      </c>
      <c r="AR98" s="347"/>
      <c r="AS98" s="347"/>
      <c r="AT98" s="347"/>
      <c r="AU98" s="347"/>
      <c r="AV98" s="347"/>
      <c r="AW98" s="347"/>
      <c r="AX98" s="347"/>
      <c r="AY98" s="347" t="s">
        <v>695</v>
      </c>
      <c r="AZ98" s="347"/>
      <c r="BA98" s="347"/>
      <c r="BB98" s="306"/>
    </row>
    <row r="99" spans="1:54" ht="14.25">
      <c r="A99" s="363"/>
      <c r="B99" s="363" t="s">
        <v>2283</v>
      </c>
      <c r="C99" s="342">
        <f>+$C$97+$G$98</f>
        <v>12894</v>
      </c>
      <c r="D99" s="343"/>
      <c r="E99" s="343"/>
      <c r="F99" s="344">
        <v>0</v>
      </c>
      <c r="G99" s="345"/>
      <c r="H99" s="343"/>
      <c r="I99" s="346"/>
      <c r="J99" s="342"/>
      <c r="K99" s="343"/>
      <c r="L99" s="343" t="s">
        <v>2684</v>
      </c>
      <c r="M99" s="343" t="s">
        <v>2793</v>
      </c>
      <c r="N99" s="343" t="s">
        <v>145</v>
      </c>
      <c r="O99" s="343"/>
      <c r="P99" s="343"/>
      <c r="Q99" s="343">
        <v>0</v>
      </c>
      <c r="R99" s="344">
        <v>0</v>
      </c>
      <c r="S99" s="345"/>
      <c r="T99" s="343">
        <v>35</v>
      </c>
      <c r="U99" s="343"/>
      <c r="V99" s="343"/>
      <c r="W99" s="343">
        <v>1.4</v>
      </c>
      <c r="X99" s="343"/>
      <c r="Y99" s="343"/>
      <c r="Z99" s="343"/>
      <c r="AA99" s="343"/>
      <c r="AB99" s="343"/>
      <c r="AC99" s="343" t="s">
        <v>1704</v>
      </c>
      <c r="AD99" s="343"/>
      <c r="AE99" s="343"/>
      <c r="AF99" s="343">
        <v>6000</v>
      </c>
      <c r="AG99" s="342">
        <v>12893.97</v>
      </c>
      <c r="AH99" s="343">
        <v>2851</v>
      </c>
      <c r="AI99" s="344">
        <v>926</v>
      </c>
      <c r="AJ99" s="343"/>
      <c r="AK99" s="343"/>
      <c r="AL99" s="343"/>
      <c r="AM99" s="343" t="s">
        <v>1228</v>
      </c>
      <c r="AN99" s="347">
        <v>5.5</v>
      </c>
      <c r="AO99" s="347"/>
      <c r="AP99" s="347"/>
      <c r="AQ99" s="347"/>
      <c r="AR99" s="347"/>
      <c r="AS99" s="347"/>
      <c r="AT99" s="347">
        <f>+ab($T$99,$T$97,$T$101,$G$98,$G$100, 1*$F$99,1200)</f>
        <v>7.1578366459939264</v>
      </c>
      <c r="AU99" s="347"/>
      <c r="AV99" s="347"/>
      <c r="AW99" s="347" t="s">
        <v>699</v>
      </c>
      <c r="AX99" s="347" t="s">
        <v>699</v>
      </c>
      <c r="AY99" s="347" t="s">
        <v>699</v>
      </c>
      <c r="AZ99" s="347" t="s">
        <v>699</v>
      </c>
      <c r="BA99" s="347"/>
      <c r="BB99" s="306"/>
    </row>
    <row r="100" spans="1:54" ht="14.25">
      <c r="A100" s="341"/>
      <c r="B100" s="363"/>
      <c r="C100" s="342"/>
      <c r="D100" s="343"/>
      <c r="E100" s="343"/>
      <c r="F100" s="344"/>
      <c r="G100" s="345">
        <v>52</v>
      </c>
      <c r="H100" s="360"/>
      <c r="I100" s="346"/>
      <c r="J100" s="342"/>
      <c r="K100" s="343"/>
      <c r="L100" s="343"/>
      <c r="M100" s="343"/>
      <c r="N100" s="343"/>
      <c r="O100" s="343"/>
      <c r="P100" s="343"/>
      <c r="Q100" s="343"/>
      <c r="R100" s="345"/>
      <c r="S100" s="345">
        <f t="shared" si="23"/>
        <v>52.079999999999927</v>
      </c>
      <c r="T100" s="343"/>
      <c r="U100" s="343"/>
      <c r="V100" s="343"/>
      <c r="W100" s="343"/>
      <c r="X100" s="343"/>
      <c r="Y100" s="343"/>
      <c r="Z100" s="343"/>
      <c r="AA100" s="343"/>
      <c r="AB100" s="343"/>
      <c r="AC100" s="343"/>
      <c r="AD100" s="343"/>
      <c r="AE100" s="343"/>
      <c r="AF100" s="343"/>
      <c r="AG100" s="342" t="s">
        <v>695</v>
      </c>
      <c r="AH100" s="343" t="s">
        <v>695</v>
      </c>
      <c r="AI100" s="344"/>
      <c r="AJ100" s="343"/>
      <c r="AK100" s="343"/>
      <c r="AL100" s="343"/>
      <c r="AM100" s="343"/>
      <c r="AN100" s="347"/>
      <c r="AO100" s="347"/>
      <c r="AP100" s="347"/>
      <c r="AQ100" s="347">
        <f>+FL_2($T$101,$T$99,$G$100,1200,10.96, 1*$F$101)</f>
        <v>-0.40791087292307693</v>
      </c>
      <c r="AR100" s="347"/>
      <c r="AS100" s="347"/>
      <c r="AT100" s="347"/>
      <c r="AU100" s="347"/>
      <c r="AV100" s="347"/>
      <c r="AW100" s="347"/>
      <c r="AX100" s="347"/>
      <c r="AY100" s="347"/>
      <c r="AZ100" s="347"/>
      <c r="BA100" s="347"/>
      <c r="BB100" s="306"/>
    </row>
    <row r="101" spans="1:54" ht="14.25">
      <c r="A101" s="363"/>
      <c r="B101" s="363" t="s">
        <v>2284</v>
      </c>
      <c r="C101" s="342">
        <f>+$C$99+$G$100</f>
        <v>12946</v>
      </c>
      <c r="D101" s="343"/>
      <c r="E101" s="343"/>
      <c r="F101" s="344">
        <v>0</v>
      </c>
      <c r="G101" s="345"/>
      <c r="H101" s="360"/>
      <c r="I101" s="346"/>
      <c r="J101" s="342"/>
      <c r="K101" s="343"/>
      <c r="L101" s="343" t="s">
        <v>2684</v>
      </c>
      <c r="M101" s="343" t="s">
        <v>2793</v>
      </c>
      <c r="N101" s="343" t="s">
        <v>3250</v>
      </c>
      <c r="O101" s="343"/>
      <c r="P101" s="343"/>
      <c r="Q101" s="343">
        <v>0</v>
      </c>
      <c r="R101" s="344">
        <v>0</v>
      </c>
      <c r="S101" s="345"/>
      <c r="T101" s="343">
        <v>-35</v>
      </c>
      <c r="U101" s="343"/>
      <c r="V101" s="343"/>
      <c r="W101" s="343">
        <v>1.4</v>
      </c>
      <c r="X101" s="343"/>
      <c r="Y101" s="343"/>
      <c r="Z101" s="343"/>
      <c r="AA101" s="343"/>
      <c r="AB101" s="343"/>
      <c r="AC101" s="343" t="s">
        <v>2974</v>
      </c>
      <c r="AD101" s="343"/>
      <c r="AE101" s="343"/>
      <c r="AF101" s="343">
        <v>6000</v>
      </c>
      <c r="AG101" s="342">
        <v>12946.05</v>
      </c>
      <c r="AH101" s="343">
        <v>2827</v>
      </c>
      <c r="AI101" s="344">
        <v>957</v>
      </c>
      <c r="AJ101" s="343"/>
      <c r="AK101" s="343"/>
      <c r="AL101" s="343"/>
      <c r="AM101" s="343" t="s">
        <v>1228</v>
      </c>
      <c r="AN101" s="347">
        <v>5.5</v>
      </c>
      <c r="AO101" s="347"/>
      <c r="AP101" s="347"/>
      <c r="AQ101" s="347"/>
      <c r="AR101" s="347"/>
      <c r="AS101" s="347"/>
      <c r="AT101" s="347">
        <f>+ab($T$101,$T$99,$T$103,$G$100,$G$102, 1*$F$101,1200)</f>
        <v>-6.4251516258981596</v>
      </c>
      <c r="AU101" s="347"/>
      <c r="AV101" s="347"/>
      <c r="AW101" s="347" t="s">
        <v>699</v>
      </c>
      <c r="AX101" s="347" t="s">
        <v>699</v>
      </c>
      <c r="AY101" s="347" t="s">
        <v>699</v>
      </c>
      <c r="AZ101" s="347" t="s">
        <v>699</v>
      </c>
      <c r="BA101" s="347"/>
      <c r="BB101" s="306"/>
    </row>
    <row r="102" spans="1:54" ht="14.25">
      <c r="A102" s="341" t="s">
        <v>2606</v>
      </c>
      <c r="B102" s="363"/>
      <c r="C102" s="342"/>
      <c r="D102" s="343"/>
      <c r="E102" s="343"/>
      <c r="F102" s="344"/>
      <c r="G102" s="345">
        <v>43</v>
      </c>
      <c r="H102" s="343"/>
      <c r="I102" s="344"/>
      <c r="J102" s="342"/>
      <c r="K102" s="343"/>
      <c r="L102" s="343"/>
      <c r="M102" s="343"/>
      <c r="N102" s="343"/>
      <c r="O102" s="343"/>
      <c r="P102" s="343"/>
      <c r="Q102" s="343"/>
      <c r="R102" s="345"/>
      <c r="S102" s="345">
        <f t="shared" si="23"/>
        <v>43.130000000001019</v>
      </c>
      <c r="T102" s="343"/>
      <c r="U102" s="343"/>
      <c r="V102" s="343"/>
      <c r="W102" s="343"/>
      <c r="X102" s="343"/>
      <c r="Y102" s="343"/>
      <c r="Z102" s="343"/>
      <c r="AA102" s="343"/>
      <c r="AB102" s="343"/>
      <c r="AC102" s="343"/>
      <c r="AD102" s="343"/>
      <c r="AE102" s="343"/>
      <c r="AF102" s="343"/>
      <c r="AG102" s="342" t="s">
        <v>695</v>
      </c>
      <c r="AH102" s="343" t="s">
        <v>695</v>
      </c>
      <c r="AI102" s="344"/>
      <c r="AJ102" s="343"/>
      <c r="AK102" s="343"/>
      <c r="AL102" s="343"/>
      <c r="AM102" s="343"/>
      <c r="AN102" s="347"/>
      <c r="AO102" s="347"/>
      <c r="AP102" s="347"/>
      <c r="AQ102" s="347">
        <f>+FL_2($T$103,$T$101,$G$102,1200,11.083, 1*$F$103)</f>
        <v>-0.3569305436375001</v>
      </c>
      <c r="AR102" s="347"/>
      <c r="AS102" s="347"/>
      <c r="AT102" s="347"/>
      <c r="AU102" s="347"/>
      <c r="AV102" s="347"/>
      <c r="AW102" s="347"/>
      <c r="AX102" s="347"/>
      <c r="AY102" s="347"/>
      <c r="AZ102" s="347"/>
      <c r="BA102" s="347"/>
      <c r="BB102" s="306"/>
    </row>
    <row r="103" spans="1:54" ht="14.25">
      <c r="A103" s="287"/>
      <c r="B103" s="287" t="s">
        <v>2285</v>
      </c>
      <c r="C103" s="288">
        <f>+$C$101+$G$102</f>
        <v>12989</v>
      </c>
      <c r="D103" s="1121"/>
      <c r="E103" s="1121"/>
      <c r="F103" s="289">
        <v>0</v>
      </c>
      <c r="G103" s="292"/>
      <c r="H103" s="291"/>
      <c r="I103" s="291"/>
      <c r="J103" s="288"/>
      <c r="K103" s="1121"/>
      <c r="L103" s="1121" t="s">
        <v>230</v>
      </c>
      <c r="M103" s="1121" t="s">
        <v>2757</v>
      </c>
      <c r="N103" s="1121" t="s">
        <v>145</v>
      </c>
      <c r="O103" s="1121"/>
      <c r="P103" s="1121"/>
      <c r="Q103" s="1121">
        <v>0</v>
      </c>
      <c r="R103" s="289">
        <v>0</v>
      </c>
      <c r="S103" s="292"/>
      <c r="T103" s="1121">
        <v>35</v>
      </c>
      <c r="U103" s="1121"/>
      <c r="V103" s="1121"/>
      <c r="W103" s="1121">
        <v>1.4</v>
      </c>
      <c r="X103" s="1121"/>
      <c r="Y103" s="1121"/>
      <c r="Z103" s="1121"/>
      <c r="AA103" s="1121"/>
      <c r="AB103" s="1121"/>
      <c r="AC103" s="1121" t="s">
        <v>2963</v>
      </c>
      <c r="AD103" s="1121"/>
      <c r="AE103" s="1121"/>
      <c r="AF103" s="1121">
        <v>6000</v>
      </c>
      <c r="AG103" s="288">
        <v>12989.18</v>
      </c>
      <c r="AH103" s="1121">
        <v>2533</v>
      </c>
      <c r="AI103" s="289">
        <v>721</v>
      </c>
      <c r="AJ103" s="1121"/>
      <c r="AK103" s="1121"/>
      <c r="AL103" s="1121"/>
      <c r="AM103" s="1121" t="s">
        <v>1228</v>
      </c>
      <c r="AN103" s="315">
        <v>5.5</v>
      </c>
      <c r="AO103" s="315"/>
      <c r="AP103" s="315"/>
      <c r="AQ103" s="315"/>
      <c r="AR103" s="315"/>
      <c r="AS103" s="315"/>
      <c r="AT103" s="315">
        <f>+ab($T$103,$T$101,$T$105,$G$102,$G$104, 1*$F$103,1200)</f>
        <v>6.9188370108378328</v>
      </c>
      <c r="AU103" s="315"/>
      <c r="AV103" s="315"/>
      <c r="AW103" s="315" t="s">
        <v>2634</v>
      </c>
      <c r="AX103" s="315" t="s">
        <v>1641</v>
      </c>
      <c r="AY103" s="315">
        <v>4.2</v>
      </c>
      <c r="AZ103" s="315"/>
      <c r="BA103" s="315"/>
      <c r="BB103" s="306"/>
    </row>
    <row r="104" spans="1:54" ht="14.25">
      <c r="A104" s="287"/>
      <c r="B104" s="287"/>
      <c r="C104" s="288"/>
      <c r="D104" s="1121"/>
      <c r="E104" s="1121"/>
      <c r="F104" s="289"/>
      <c r="G104" s="292">
        <v>53</v>
      </c>
      <c r="H104" s="1121"/>
      <c r="I104" s="289"/>
      <c r="J104" s="288"/>
      <c r="K104" s="1121"/>
      <c r="L104" s="1121"/>
      <c r="M104" s="1121"/>
      <c r="N104" s="1121"/>
      <c r="O104" s="1121"/>
      <c r="P104" s="1121"/>
      <c r="Q104" s="1121"/>
      <c r="R104" s="292"/>
      <c r="S104" s="292">
        <f t="shared" si="23"/>
        <v>53.1299999999992</v>
      </c>
      <c r="T104" s="1121"/>
      <c r="U104" s="1121"/>
      <c r="V104" s="1121"/>
      <c r="W104" s="1121"/>
      <c r="X104" s="1121"/>
      <c r="Y104" s="1121"/>
      <c r="Z104" s="1121"/>
      <c r="AA104" s="1121"/>
      <c r="AB104" s="1121"/>
      <c r="AC104" s="1121"/>
      <c r="AD104" s="1121"/>
      <c r="AE104" s="1121"/>
      <c r="AF104" s="1121"/>
      <c r="AG104" s="288" t="s">
        <v>695</v>
      </c>
      <c r="AH104" s="1121" t="s">
        <v>695</v>
      </c>
      <c r="AI104" s="289"/>
      <c r="AJ104" s="1121"/>
      <c r="AK104" s="1121"/>
      <c r="AL104" s="1121"/>
      <c r="AM104" s="1121"/>
      <c r="AN104" s="315"/>
      <c r="AO104" s="315"/>
      <c r="AP104" s="315"/>
      <c r="AQ104" s="315">
        <f>+FL_1($T$105,$T$103,$G$104,1200,9.28, 1*$F$105)</f>
        <v>0.40439840372327046</v>
      </c>
      <c r="AR104" s="315"/>
      <c r="AS104" s="315"/>
      <c r="AT104" s="315"/>
      <c r="AU104" s="315"/>
      <c r="AV104" s="315"/>
      <c r="AW104" s="315"/>
      <c r="AX104" s="315"/>
      <c r="AY104" s="315" t="s">
        <v>695</v>
      </c>
      <c r="AZ104" s="315"/>
      <c r="BA104" s="315"/>
      <c r="BB104" s="306"/>
    </row>
    <row r="105" spans="1:54" ht="14.25">
      <c r="A105" s="287"/>
      <c r="B105" s="287" t="s">
        <v>2286</v>
      </c>
      <c r="C105" s="288">
        <f>+$C$103+$G$104</f>
        <v>13042</v>
      </c>
      <c r="D105" s="1121"/>
      <c r="E105" s="1121"/>
      <c r="F105" s="289">
        <v>0</v>
      </c>
      <c r="G105" s="292"/>
      <c r="H105" s="291"/>
      <c r="I105" s="291"/>
      <c r="J105" s="288"/>
      <c r="K105" s="1121"/>
      <c r="L105" s="1121" t="s">
        <v>230</v>
      </c>
      <c r="M105" s="1121" t="s">
        <v>2757</v>
      </c>
      <c r="N105" s="1121" t="s">
        <v>144</v>
      </c>
      <c r="O105" s="1121"/>
      <c r="P105" s="1121"/>
      <c r="Q105" s="1121">
        <v>18</v>
      </c>
      <c r="R105" s="292">
        <v>8536.9500000000007</v>
      </c>
      <c r="S105" s="292"/>
      <c r="T105" s="1121">
        <v>-25</v>
      </c>
      <c r="U105" s="1121"/>
      <c r="V105" s="1121"/>
      <c r="W105" s="1121">
        <v>1.4</v>
      </c>
      <c r="X105" s="1121"/>
      <c r="Y105" s="1121"/>
      <c r="Z105" s="1121"/>
      <c r="AA105" s="1121"/>
      <c r="AB105" s="1121"/>
      <c r="AC105" s="1121" t="s">
        <v>1702</v>
      </c>
      <c r="AD105" s="1121"/>
      <c r="AE105" s="1121"/>
      <c r="AF105" s="1121">
        <v>6000</v>
      </c>
      <c r="AG105" s="288">
        <v>13042.31</v>
      </c>
      <c r="AH105" s="1121">
        <v>2518</v>
      </c>
      <c r="AI105" s="289">
        <v>727</v>
      </c>
      <c r="AJ105" s="1121"/>
      <c r="AK105" s="1121"/>
      <c r="AL105" s="1121"/>
      <c r="AM105" s="1121" t="s">
        <v>1228</v>
      </c>
      <c r="AN105" s="315">
        <v>5.5</v>
      </c>
      <c r="AO105" s="315"/>
      <c r="AP105" s="315"/>
      <c r="AQ105" s="315"/>
      <c r="AR105" s="315"/>
      <c r="AS105" s="315"/>
      <c r="AT105" s="315">
        <f>+ab($T$105,$T$103,$T$107,$G$104,$G$106, 1*$F$105,1200)</f>
        <v>-10.023891601193325</v>
      </c>
      <c r="AU105" s="315"/>
      <c r="AV105" s="315"/>
      <c r="AW105" s="315" t="s">
        <v>2634</v>
      </c>
      <c r="AX105" s="315" t="s">
        <v>1641</v>
      </c>
      <c r="AY105" s="315">
        <v>4.2</v>
      </c>
      <c r="AZ105" s="315"/>
      <c r="BA105" s="315"/>
      <c r="BB105" s="306"/>
    </row>
    <row r="106" spans="1:54" ht="14.25">
      <c r="A106" s="287"/>
      <c r="B106" s="287"/>
      <c r="C106" s="288"/>
      <c r="D106" s="1121"/>
      <c r="E106" s="1121"/>
      <c r="F106" s="289"/>
      <c r="G106" s="292">
        <v>59</v>
      </c>
      <c r="H106" s="1121"/>
      <c r="I106" s="289"/>
      <c r="J106" s="288">
        <f>C107-7.5</f>
        <v>13093.5</v>
      </c>
      <c r="K106" s="1121" t="s">
        <v>3018</v>
      </c>
      <c r="L106" s="1121"/>
      <c r="M106" s="1121"/>
      <c r="N106" s="1121"/>
      <c r="O106" s="1121"/>
      <c r="P106" s="1121"/>
      <c r="Q106" s="1121"/>
      <c r="R106" s="292"/>
      <c r="S106" s="292">
        <f t="shared" si="23"/>
        <v>58.760000000000218</v>
      </c>
      <c r="T106" s="1121"/>
      <c r="U106" s="1121"/>
      <c r="V106" s="1121"/>
      <c r="W106" s="1121"/>
      <c r="X106" s="1121"/>
      <c r="Y106" s="1121"/>
      <c r="Z106" s="1121"/>
      <c r="AA106" s="1121"/>
      <c r="AB106" s="1121"/>
      <c r="AC106" s="1121"/>
      <c r="AD106" s="1121"/>
      <c r="AE106" s="1121"/>
      <c r="AF106" s="1121"/>
      <c r="AG106" s="288" t="s">
        <v>695</v>
      </c>
      <c r="AH106" s="1121" t="s">
        <v>695</v>
      </c>
      <c r="AI106" s="289"/>
      <c r="AJ106" s="1121"/>
      <c r="AK106" s="1121"/>
      <c r="AL106" s="1121"/>
      <c r="AM106" s="1121"/>
      <c r="AN106" s="315"/>
      <c r="AO106" s="315"/>
      <c r="AP106" s="315"/>
      <c r="AQ106" s="315">
        <f>+FL_2($T$107,$T$105,$G$106,1200,9.28, 1*$F$107)</f>
        <v>-0.47966983991245987</v>
      </c>
      <c r="AR106" s="315"/>
      <c r="AS106" s="315"/>
      <c r="AT106" s="315"/>
      <c r="AU106" s="315"/>
      <c r="AV106" s="315"/>
      <c r="AW106" s="315" t="s">
        <v>2634</v>
      </c>
      <c r="AX106" s="315" t="s">
        <v>1641</v>
      </c>
      <c r="AY106" s="315"/>
      <c r="AZ106" s="315">
        <v>3.5</v>
      </c>
      <c r="BA106" s="315"/>
      <c r="BB106" s="306"/>
    </row>
    <row r="107" spans="1:54" ht="14.25">
      <c r="A107" s="287"/>
      <c r="B107" s="287" t="s">
        <v>2287</v>
      </c>
      <c r="C107" s="288">
        <f>+$C$105+$G$106</f>
        <v>13101</v>
      </c>
      <c r="D107" s="1121"/>
      <c r="E107" s="1121"/>
      <c r="F107" s="289">
        <f t="shared" ref="F107" si="24">160*2000/(C107-13036)</f>
        <v>4923.0769230769229</v>
      </c>
      <c r="G107" s="292"/>
      <c r="H107" s="291" t="s">
        <v>954</v>
      </c>
      <c r="I107" s="291"/>
      <c r="J107" s="288"/>
      <c r="K107" s="1121"/>
      <c r="L107" s="1121" t="s">
        <v>231</v>
      </c>
      <c r="M107" s="1121" t="s">
        <v>2756</v>
      </c>
      <c r="N107" s="1121" t="s">
        <v>145</v>
      </c>
      <c r="O107" s="1121"/>
      <c r="P107" s="1121"/>
      <c r="Q107" s="1121">
        <v>54</v>
      </c>
      <c r="R107" s="292">
        <v>8536.9500000000007</v>
      </c>
      <c r="S107" s="292"/>
      <c r="T107" s="1121">
        <v>20</v>
      </c>
      <c r="U107" s="1121"/>
      <c r="V107" s="1121"/>
      <c r="W107" s="1121">
        <v>1.4</v>
      </c>
      <c r="X107" s="1121"/>
      <c r="Y107" s="1121"/>
      <c r="Z107" s="1121"/>
      <c r="AA107" s="1121"/>
      <c r="AB107" s="1121"/>
      <c r="AC107" s="1121" t="s">
        <v>1704</v>
      </c>
      <c r="AD107" s="1121"/>
      <c r="AE107" s="1121"/>
      <c r="AF107" s="1121">
        <v>6000</v>
      </c>
      <c r="AG107" s="288">
        <v>13101.07</v>
      </c>
      <c r="AH107" s="1121">
        <v>2563</v>
      </c>
      <c r="AI107" s="289">
        <v>755</v>
      </c>
      <c r="AJ107" s="1121"/>
      <c r="AK107" s="1121"/>
      <c r="AL107" s="1121"/>
      <c r="AM107" s="1121" t="s">
        <v>1228</v>
      </c>
      <c r="AN107" s="315">
        <v>5.5</v>
      </c>
      <c r="AO107" s="315"/>
      <c r="AP107" s="315"/>
      <c r="AQ107" s="315"/>
      <c r="AR107" s="315"/>
      <c r="AS107" s="315"/>
      <c r="AT107" s="315">
        <f>+ab($T$107,$T$105,$T$109,$G$106,$G$108, 1*$F$107,1200)</f>
        <v>10.821554153009133</v>
      </c>
      <c r="AU107" s="315"/>
      <c r="AV107" s="315"/>
      <c r="AW107" s="315" t="s">
        <v>2634</v>
      </c>
      <c r="AX107" s="315" t="s">
        <v>1641</v>
      </c>
      <c r="AY107" s="315">
        <v>4.2</v>
      </c>
      <c r="AZ107" s="315"/>
      <c r="BA107" s="315"/>
      <c r="BB107" s="306"/>
    </row>
    <row r="108" spans="1:54" ht="14.25">
      <c r="A108" s="287"/>
      <c r="B108" s="287"/>
      <c r="C108" s="288"/>
      <c r="D108" s="1121"/>
      <c r="E108" s="1121"/>
      <c r="F108" s="289"/>
      <c r="G108" s="292">
        <v>56</v>
      </c>
      <c r="H108" s="291"/>
      <c r="I108" s="294">
        <f>SUM(G86:G108)</f>
        <v>652</v>
      </c>
      <c r="J108" s="288"/>
      <c r="K108" s="1121"/>
      <c r="L108" s="1121"/>
      <c r="M108" s="1121"/>
      <c r="N108" s="1121"/>
      <c r="O108" s="1121"/>
      <c r="P108" s="1121"/>
      <c r="Q108" s="1121"/>
      <c r="R108" s="292"/>
      <c r="S108" s="292">
        <f t="shared" si="23"/>
        <v>55.930000000000291</v>
      </c>
      <c r="T108" s="1121"/>
      <c r="U108" s="1121"/>
      <c r="V108" s="1121"/>
      <c r="W108" s="1121"/>
      <c r="X108" s="1121"/>
      <c r="Y108" s="1121"/>
      <c r="Z108" s="1121"/>
      <c r="AA108" s="1121"/>
      <c r="AB108" s="1121"/>
      <c r="AC108" s="1121"/>
      <c r="AD108" s="1121"/>
      <c r="AE108" s="1121"/>
      <c r="AF108" s="1121"/>
      <c r="AG108" s="288" t="s">
        <v>695</v>
      </c>
      <c r="AH108" s="1121" t="s">
        <v>695</v>
      </c>
      <c r="AI108" s="289"/>
      <c r="AJ108" s="1121"/>
      <c r="AK108" s="1121"/>
      <c r="AL108" s="1121"/>
      <c r="AM108" s="1121"/>
      <c r="AN108" s="315"/>
      <c r="AO108" s="315"/>
      <c r="AP108" s="315"/>
      <c r="AQ108" s="315">
        <f>+FL_1($T$109,$T$107,$G$108,1200,9.28, 1*$F$109)</f>
        <v>0.40895202269985764</v>
      </c>
      <c r="AR108" s="315"/>
      <c r="AS108" s="315"/>
      <c r="AT108" s="315"/>
      <c r="AU108" s="315"/>
      <c r="AV108" s="315"/>
      <c r="AW108" s="315"/>
      <c r="AX108" s="315"/>
      <c r="AY108" s="315" t="s">
        <v>695</v>
      </c>
      <c r="AZ108" s="315"/>
      <c r="BA108" s="315"/>
      <c r="BB108" s="306"/>
    </row>
    <row r="109" spans="1:54" ht="14.25">
      <c r="A109" s="287"/>
      <c r="B109" s="287" t="s">
        <v>2288</v>
      </c>
      <c r="C109" s="288">
        <f>+$C$107+$G$108</f>
        <v>13157</v>
      </c>
      <c r="D109" s="1121"/>
      <c r="E109" s="1121"/>
      <c r="F109" s="289">
        <f t="shared" ref="F109" si="25">160*2000/(C109-13036)</f>
        <v>2644.6280991735539</v>
      </c>
      <c r="G109" s="292"/>
      <c r="H109" s="291" t="s">
        <v>955</v>
      </c>
      <c r="I109" s="291"/>
      <c r="J109" s="288"/>
      <c r="K109" s="1121"/>
      <c r="L109" s="1121" t="s">
        <v>231</v>
      </c>
      <c r="M109" s="1121" t="s">
        <v>2756</v>
      </c>
      <c r="N109" s="1121" t="s">
        <v>145</v>
      </c>
      <c r="O109" s="1121"/>
      <c r="P109" s="1121"/>
      <c r="Q109" s="1121">
        <v>93</v>
      </c>
      <c r="R109" s="292">
        <v>2335.89</v>
      </c>
      <c r="S109" s="292"/>
      <c r="T109" s="1121">
        <v>30</v>
      </c>
      <c r="U109" s="1121"/>
      <c r="V109" s="1121"/>
      <c r="W109" s="1121">
        <v>1.4</v>
      </c>
      <c r="X109" s="1121"/>
      <c r="Y109" s="1121"/>
      <c r="Z109" s="1121"/>
      <c r="AA109" s="1121"/>
      <c r="AB109" s="1121"/>
      <c r="AC109" s="1121" t="s">
        <v>2963</v>
      </c>
      <c r="AD109" s="1121"/>
      <c r="AE109" s="1121"/>
      <c r="AF109" s="1121">
        <v>6000</v>
      </c>
      <c r="AG109" s="288">
        <v>13157</v>
      </c>
      <c r="AH109" s="1121">
        <v>2591</v>
      </c>
      <c r="AI109" s="289">
        <v>688</v>
      </c>
      <c r="AJ109" s="1121"/>
      <c r="AK109" s="1121"/>
      <c r="AL109" s="1121"/>
      <c r="AM109" s="1121" t="s">
        <v>1228</v>
      </c>
      <c r="AN109" s="315">
        <v>5.5</v>
      </c>
      <c r="AO109" s="315"/>
      <c r="AP109" s="315"/>
      <c r="AQ109" s="315"/>
      <c r="AR109" s="315"/>
      <c r="AS109" s="315"/>
      <c r="AT109" s="315">
        <f>+ab($T$109,$T$107,$T$111,$G$108,$G$110, 1*$F$109,1200)</f>
        <v>8.2989072143285618</v>
      </c>
      <c r="AU109" s="315"/>
      <c r="AV109" s="315"/>
      <c r="AW109" s="315" t="s">
        <v>2634</v>
      </c>
      <c r="AX109" s="315" t="s">
        <v>1641</v>
      </c>
      <c r="AY109" s="315">
        <v>4.2</v>
      </c>
      <c r="AZ109" s="315"/>
      <c r="BA109" s="315"/>
      <c r="BB109" s="306"/>
    </row>
    <row r="110" spans="1:54" ht="14.25">
      <c r="A110" s="287"/>
      <c r="B110" s="287"/>
      <c r="C110" s="288"/>
      <c r="D110" s="1121"/>
      <c r="E110" s="1121"/>
      <c r="F110" s="289"/>
      <c r="G110" s="292">
        <v>56</v>
      </c>
      <c r="H110" s="291"/>
      <c r="I110" s="294">
        <f>SUM(G110:G134)</f>
        <v>668</v>
      </c>
      <c r="J110" s="288"/>
      <c r="K110" s="1121"/>
      <c r="L110" s="1121"/>
      <c r="M110" s="1121"/>
      <c r="N110" s="1121"/>
      <c r="O110" s="1121"/>
      <c r="P110" s="1121"/>
      <c r="Q110" s="1121"/>
      <c r="R110" s="292"/>
      <c r="S110" s="292">
        <f t="shared" si="23"/>
        <v>55.899999999999636</v>
      </c>
      <c r="T110" s="1121"/>
      <c r="U110" s="1121"/>
      <c r="V110" s="1121"/>
      <c r="W110" s="1121"/>
      <c r="X110" s="1121"/>
      <c r="Y110" s="1121"/>
      <c r="Z110" s="1121"/>
      <c r="AA110" s="1121"/>
      <c r="AB110" s="1121"/>
      <c r="AC110" s="1121"/>
      <c r="AD110" s="1121"/>
      <c r="AE110" s="1121"/>
      <c r="AF110" s="1121"/>
      <c r="AG110" s="288" t="s">
        <v>695</v>
      </c>
      <c r="AH110" s="1121" t="s">
        <v>695</v>
      </c>
      <c r="AI110" s="289"/>
      <c r="AJ110" s="1121"/>
      <c r="AK110" s="1121"/>
      <c r="AL110" s="1121"/>
      <c r="AM110" s="1121"/>
      <c r="AN110" s="315"/>
      <c r="AO110" s="315"/>
      <c r="AP110" s="315"/>
      <c r="AQ110" s="315">
        <f>+FL_1($T$111,$T$109,$G$110,1200,9.28, 1*$F$111)</f>
        <v>0.40713706172535702</v>
      </c>
      <c r="AR110" s="315"/>
      <c r="AS110" s="315"/>
      <c r="AT110" s="315"/>
      <c r="AU110" s="315"/>
      <c r="AV110" s="315"/>
      <c r="AW110" s="315"/>
      <c r="AX110" s="315"/>
      <c r="AY110" s="315" t="s">
        <v>695</v>
      </c>
      <c r="AZ110" s="315"/>
      <c r="BA110" s="315"/>
      <c r="BB110" s="306"/>
    </row>
    <row r="111" spans="1:54" ht="14.25">
      <c r="A111" s="287"/>
      <c r="B111" s="287" t="s">
        <v>2289</v>
      </c>
      <c r="C111" s="288">
        <f>+$C$109+$G$110</f>
        <v>13213</v>
      </c>
      <c r="D111" s="1121"/>
      <c r="E111" s="1121"/>
      <c r="F111" s="289">
        <v>2000</v>
      </c>
      <c r="G111" s="292"/>
      <c r="H111" s="291" t="s">
        <v>954</v>
      </c>
      <c r="I111" s="289"/>
      <c r="J111" s="288"/>
      <c r="K111" s="1121"/>
      <c r="L111" s="1121" t="s">
        <v>231</v>
      </c>
      <c r="M111" s="1121" t="s">
        <v>2756</v>
      </c>
      <c r="N111" s="1121" t="s">
        <v>145</v>
      </c>
      <c r="O111" s="1121"/>
      <c r="P111" s="1121"/>
      <c r="Q111" s="1121">
        <v>131</v>
      </c>
      <c r="R111" s="292">
        <v>2000</v>
      </c>
      <c r="S111" s="292"/>
      <c r="T111" s="1121">
        <v>30</v>
      </c>
      <c r="U111" s="1121"/>
      <c r="V111" s="1121"/>
      <c r="W111" s="1121">
        <v>1.4</v>
      </c>
      <c r="X111" s="1121"/>
      <c r="Y111" s="1121"/>
      <c r="Z111" s="1121"/>
      <c r="AA111" s="1121"/>
      <c r="AB111" s="1121"/>
      <c r="AC111" s="1121" t="s">
        <v>2963</v>
      </c>
      <c r="AD111" s="1121"/>
      <c r="AE111" s="1121"/>
      <c r="AF111" s="1121">
        <v>6000</v>
      </c>
      <c r="AG111" s="288">
        <v>13212.9</v>
      </c>
      <c r="AH111" s="1121">
        <v>2610</v>
      </c>
      <c r="AI111" s="289">
        <v>681</v>
      </c>
      <c r="AJ111" s="1121"/>
      <c r="AK111" s="1121"/>
      <c r="AL111" s="1121"/>
      <c r="AM111" s="1121" t="s">
        <v>1228</v>
      </c>
      <c r="AN111" s="315">
        <v>5.5</v>
      </c>
      <c r="AO111" s="315"/>
      <c r="AP111" s="315"/>
      <c r="AQ111" s="315"/>
      <c r="AR111" s="315"/>
      <c r="AS111" s="315"/>
      <c r="AT111" s="315">
        <f>+ab($T$111,$T$109,$T$113,$G$110,$G$112, 1*$F$111,1200)</f>
        <v>6.820903141098448</v>
      </c>
      <c r="AU111" s="315"/>
      <c r="AV111" s="315"/>
      <c r="AW111" s="315" t="s">
        <v>2630</v>
      </c>
      <c r="AX111" s="315" t="s">
        <v>1641</v>
      </c>
      <c r="AY111" s="315">
        <v>4.2</v>
      </c>
      <c r="AZ111" s="315"/>
      <c r="BA111" s="315"/>
      <c r="BB111" s="306"/>
    </row>
    <row r="112" spans="1:54" ht="14.25">
      <c r="A112" s="287"/>
      <c r="B112" s="287"/>
      <c r="C112" s="288"/>
      <c r="D112" s="1121"/>
      <c r="E112" s="1121"/>
      <c r="F112" s="289"/>
      <c r="G112" s="292">
        <v>56</v>
      </c>
      <c r="H112" s="291"/>
      <c r="I112" s="291"/>
      <c r="J112" s="288">
        <f>C111+7.5</f>
        <v>13220.5</v>
      </c>
      <c r="K112" s="1121" t="s">
        <v>3018</v>
      </c>
      <c r="L112" s="1121"/>
      <c r="M112" s="1121"/>
      <c r="N112" s="1121"/>
      <c r="O112" s="1121"/>
      <c r="P112" s="1121"/>
      <c r="Q112" s="1121"/>
      <c r="R112" s="292"/>
      <c r="S112" s="292">
        <f t="shared" si="23"/>
        <v>55.899999999999636</v>
      </c>
      <c r="T112" s="1121"/>
      <c r="U112" s="1121"/>
      <c r="V112" s="1121"/>
      <c r="W112" s="1121"/>
      <c r="X112" s="1121"/>
      <c r="Y112" s="1121"/>
      <c r="Z112" s="1121"/>
      <c r="AA112" s="1121"/>
      <c r="AB112" s="1121"/>
      <c r="AC112" s="1121"/>
      <c r="AD112" s="1121"/>
      <c r="AE112" s="1121"/>
      <c r="AF112" s="1121"/>
      <c r="AG112" s="288" t="s">
        <v>695</v>
      </c>
      <c r="AH112" s="1121" t="s">
        <v>695</v>
      </c>
      <c r="AI112" s="289"/>
      <c r="AJ112" s="1121"/>
      <c r="AK112" s="1121"/>
      <c r="AL112" s="1121"/>
      <c r="AM112" s="1121"/>
      <c r="AN112" s="315"/>
      <c r="AO112" s="315"/>
      <c r="AP112" s="315"/>
      <c r="AQ112" s="315">
        <f>+FL_1($T$113,$T$111,$G$112,1200,9.28, 1*$F$113)</f>
        <v>0.40713706172535702</v>
      </c>
      <c r="AR112" s="315"/>
      <c r="AS112" s="315"/>
      <c r="AT112" s="315"/>
      <c r="AU112" s="315"/>
      <c r="AV112" s="315"/>
      <c r="AW112" s="315" t="s">
        <v>2630</v>
      </c>
      <c r="AX112" s="315" t="s">
        <v>1641</v>
      </c>
      <c r="AY112" s="315"/>
      <c r="AZ112" s="315">
        <v>3.5</v>
      </c>
      <c r="BA112" s="315"/>
      <c r="BB112" s="306"/>
    </row>
    <row r="113" spans="1:54" ht="14.25">
      <c r="A113" s="287"/>
      <c r="B113" s="287" t="s">
        <v>2290</v>
      </c>
      <c r="C113" s="288">
        <f>+$C$111+$G$112</f>
        <v>13269</v>
      </c>
      <c r="D113" s="1121"/>
      <c r="E113" s="1121"/>
      <c r="F113" s="289">
        <v>2000</v>
      </c>
      <c r="G113" s="292"/>
      <c r="H113" s="1121"/>
      <c r="I113" s="294"/>
      <c r="J113" s="288"/>
      <c r="K113" s="1121"/>
      <c r="L113" s="1121" t="s">
        <v>231</v>
      </c>
      <c r="M113" s="1121" t="s">
        <v>2756</v>
      </c>
      <c r="N113" s="1121" t="s">
        <v>145</v>
      </c>
      <c r="O113" s="1121"/>
      <c r="P113" s="1121"/>
      <c r="Q113" s="1121">
        <v>119</v>
      </c>
      <c r="R113" s="292">
        <v>2000</v>
      </c>
      <c r="S113" s="292"/>
      <c r="T113" s="1121">
        <v>30</v>
      </c>
      <c r="U113" s="1121"/>
      <c r="V113" s="1121"/>
      <c r="W113" s="1121">
        <v>1.4</v>
      </c>
      <c r="X113" s="1121"/>
      <c r="Y113" s="1121"/>
      <c r="Z113" s="1121"/>
      <c r="AA113" s="1121"/>
      <c r="AB113" s="1121"/>
      <c r="AC113" s="1121" t="s">
        <v>2963</v>
      </c>
      <c r="AD113" s="1121"/>
      <c r="AE113" s="1121"/>
      <c r="AF113" s="1121">
        <v>6000</v>
      </c>
      <c r="AG113" s="288">
        <v>13268.8</v>
      </c>
      <c r="AH113" s="1121">
        <v>2609</v>
      </c>
      <c r="AI113" s="289">
        <v>732</v>
      </c>
      <c r="AJ113" s="1121"/>
      <c r="AK113" s="1121"/>
      <c r="AL113" s="1121"/>
      <c r="AM113" s="1121" t="s">
        <v>1228</v>
      </c>
      <c r="AN113" s="315">
        <v>5.5</v>
      </c>
      <c r="AO113" s="315"/>
      <c r="AP113" s="315"/>
      <c r="AQ113" s="315"/>
      <c r="AR113" s="315"/>
      <c r="AS113" s="315"/>
      <c r="AT113" s="315">
        <f>+ab($T$113,$T$111,$T$115,$G$112,$G$114, 1*$F$113,1200)</f>
        <v>6.9437194600928631</v>
      </c>
      <c r="AU113" s="315"/>
      <c r="AV113" s="315"/>
      <c r="AW113" s="315" t="s">
        <v>2630</v>
      </c>
      <c r="AX113" s="315" t="s">
        <v>1641</v>
      </c>
      <c r="AY113" s="315">
        <v>4.2</v>
      </c>
      <c r="AZ113" s="315"/>
      <c r="BA113" s="315"/>
      <c r="BB113" s="306"/>
    </row>
    <row r="114" spans="1:54" ht="14.25">
      <c r="A114" s="287"/>
      <c r="B114" s="287"/>
      <c r="C114" s="288"/>
      <c r="D114" s="1121"/>
      <c r="E114" s="1121"/>
      <c r="F114" s="289"/>
      <c r="G114" s="292">
        <v>54</v>
      </c>
      <c r="H114" s="1121"/>
      <c r="I114" s="294"/>
      <c r="J114" s="288"/>
      <c r="K114" s="1121"/>
      <c r="L114" s="1121"/>
      <c r="M114" s="1121"/>
      <c r="N114" s="1121"/>
      <c r="O114" s="1121"/>
      <c r="P114" s="1121"/>
      <c r="Q114" s="1121"/>
      <c r="R114" s="292"/>
      <c r="S114" s="292">
        <f t="shared" si="23"/>
        <v>53.909999999999854</v>
      </c>
      <c r="T114" s="1121"/>
      <c r="U114" s="1121"/>
      <c r="V114" s="1121"/>
      <c r="W114" s="1121"/>
      <c r="X114" s="1121"/>
      <c r="Y114" s="1121"/>
      <c r="Z114" s="1121"/>
      <c r="AA114" s="1121"/>
      <c r="AB114" s="1121"/>
      <c r="AC114" s="1121"/>
      <c r="AD114" s="1121"/>
      <c r="AE114" s="1121"/>
      <c r="AF114" s="1121"/>
      <c r="AG114" s="288" t="s">
        <v>695</v>
      </c>
      <c r="AH114" s="1121" t="s">
        <v>695</v>
      </c>
      <c r="AI114" s="289"/>
      <c r="AJ114" s="1121"/>
      <c r="AK114" s="1121"/>
      <c r="AL114" s="1121"/>
      <c r="AM114" s="1121"/>
      <c r="AN114" s="315"/>
      <c r="AO114" s="315"/>
      <c r="AP114" s="315"/>
      <c r="AQ114" s="315">
        <f>+FL_1($T$115,$T$113,$G$114,1200,9.28, 1*$F$115)</f>
        <v>0.39962169547770721</v>
      </c>
      <c r="AR114" s="315"/>
      <c r="AS114" s="315"/>
      <c r="AT114" s="315"/>
      <c r="AU114" s="315"/>
      <c r="AV114" s="315"/>
      <c r="AW114" s="315"/>
      <c r="AX114" s="315"/>
      <c r="AY114" s="315" t="s">
        <v>695</v>
      </c>
      <c r="AZ114" s="315"/>
      <c r="BA114" s="315"/>
      <c r="BB114" s="306"/>
    </row>
    <row r="115" spans="1:54" ht="14.25">
      <c r="A115" s="287"/>
      <c r="B115" s="287" t="s">
        <v>2291</v>
      </c>
      <c r="C115" s="288">
        <f>+$C$113+$G$114</f>
        <v>13323</v>
      </c>
      <c r="D115" s="1121"/>
      <c r="E115" s="1121"/>
      <c r="F115" s="289">
        <v>2000</v>
      </c>
      <c r="G115" s="292"/>
      <c r="H115" s="1121"/>
      <c r="I115" s="294"/>
      <c r="J115" s="288"/>
      <c r="K115" s="1121"/>
      <c r="L115" s="1121" t="s">
        <v>231</v>
      </c>
      <c r="M115" s="1121" t="s">
        <v>2756</v>
      </c>
      <c r="N115" s="1121" t="s">
        <v>145</v>
      </c>
      <c r="O115" s="1121"/>
      <c r="P115" s="1121"/>
      <c r="Q115" s="1121">
        <v>124</v>
      </c>
      <c r="R115" s="292">
        <v>2000</v>
      </c>
      <c r="S115" s="292"/>
      <c r="T115" s="1121">
        <v>30</v>
      </c>
      <c r="U115" s="1121"/>
      <c r="V115" s="1121"/>
      <c r="W115" s="1121">
        <v>1.4</v>
      </c>
      <c r="X115" s="1121"/>
      <c r="Y115" s="1121"/>
      <c r="Z115" s="1121"/>
      <c r="AA115" s="1121"/>
      <c r="AB115" s="1121"/>
      <c r="AC115" s="1121" t="s">
        <v>2963</v>
      </c>
      <c r="AD115" s="1121"/>
      <c r="AE115" s="1121"/>
      <c r="AF115" s="1121">
        <v>6000</v>
      </c>
      <c r="AG115" s="288">
        <v>13322.71</v>
      </c>
      <c r="AH115" s="1121">
        <v>2612</v>
      </c>
      <c r="AI115" s="289">
        <v>700</v>
      </c>
      <c r="AJ115" s="1121"/>
      <c r="AK115" s="1121"/>
      <c r="AL115" s="1121"/>
      <c r="AM115" s="1121" t="s">
        <v>1228</v>
      </c>
      <c r="AN115" s="315">
        <v>5.5</v>
      </c>
      <c r="AO115" s="315"/>
      <c r="AP115" s="315"/>
      <c r="AQ115" s="315"/>
      <c r="AR115" s="315"/>
      <c r="AS115" s="315"/>
      <c r="AT115" s="315">
        <f>+ab($T$115,$T$113,$T$117,$G$114,$G$116, 1*$F$115,1200)</f>
        <v>7.3400671642256503</v>
      </c>
      <c r="AU115" s="315"/>
      <c r="AV115" s="315"/>
      <c r="AW115" s="315" t="s">
        <v>2630</v>
      </c>
      <c r="AX115" s="315" t="s">
        <v>1641</v>
      </c>
      <c r="AY115" s="315">
        <v>4.2</v>
      </c>
      <c r="AZ115" s="315"/>
      <c r="BA115" s="315"/>
      <c r="BB115" s="306"/>
    </row>
    <row r="116" spans="1:54" ht="14.25">
      <c r="A116" s="287"/>
      <c r="B116" s="287"/>
      <c r="C116" s="288"/>
      <c r="D116" s="1121"/>
      <c r="E116" s="1121"/>
      <c r="F116" s="289"/>
      <c r="G116" s="292">
        <v>50</v>
      </c>
      <c r="H116" s="1121"/>
      <c r="I116" s="294"/>
      <c r="J116" s="288"/>
      <c r="K116" s="1121"/>
      <c r="L116" s="1121"/>
      <c r="M116" s="1121"/>
      <c r="N116" s="1121"/>
      <c r="O116" s="1121"/>
      <c r="P116" s="1121"/>
      <c r="Q116" s="1121"/>
      <c r="R116" s="292"/>
      <c r="S116" s="292">
        <f t="shared" si="23"/>
        <v>49.900000000001455</v>
      </c>
      <c r="T116" s="1121"/>
      <c r="U116" s="1121"/>
      <c r="V116" s="1121"/>
      <c r="W116" s="1121"/>
      <c r="X116" s="1121"/>
      <c r="Y116" s="1121"/>
      <c r="Z116" s="1121"/>
      <c r="AA116" s="1121"/>
      <c r="AB116" s="1121"/>
      <c r="AC116" s="1121"/>
      <c r="AD116" s="1121"/>
      <c r="AE116" s="1121"/>
      <c r="AF116" s="1121"/>
      <c r="AG116" s="288" t="s">
        <v>695</v>
      </c>
      <c r="AH116" s="1121" t="s">
        <v>695</v>
      </c>
      <c r="AI116" s="289"/>
      <c r="AJ116" s="1121"/>
      <c r="AK116" s="1121"/>
      <c r="AL116" s="1121"/>
      <c r="AM116" s="1121"/>
      <c r="AN116" s="315"/>
      <c r="AO116" s="315"/>
      <c r="AP116" s="315"/>
      <c r="AQ116" s="315">
        <f>+FL_1($T$117,$T$115,$G$116,1200,9.28, 1*$F$117)</f>
        <v>0.38541056267414808</v>
      </c>
      <c r="AR116" s="315"/>
      <c r="AS116" s="315"/>
      <c r="AT116" s="315"/>
      <c r="AU116" s="315"/>
      <c r="AV116" s="315"/>
      <c r="AW116" s="315"/>
      <c r="AX116" s="315"/>
      <c r="AY116" s="315" t="s">
        <v>695</v>
      </c>
      <c r="AZ116" s="315"/>
      <c r="BA116" s="315"/>
      <c r="BB116" s="306"/>
    </row>
    <row r="117" spans="1:54" ht="14.25">
      <c r="A117" s="287"/>
      <c r="B117" s="287" t="s">
        <v>2292</v>
      </c>
      <c r="C117" s="288">
        <f>+$C$115+$G$116</f>
        <v>13373</v>
      </c>
      <c r="D117" s="1121"/>
      <c r="E117" s="1121"/>
      <c r="F117" s="289">
        <v>2000</v>
      </c>
      <c r="G117" s="292"/>
      <c r="H117" s="1121"/>
      <c r="I117" s="294"/>
      <c r="J117" s="288"/>
      <c r="K117" s="1121"/>
      <c r="L117" s="1121" t="s">
        <v>231</v>
      </c>
      <c r="M117" s="1121" t="s">
        <v>2756</v>
      </c>
      <c r="N117" s="1121" t="s">
        <v>145</v>
      </c>
      <c r="O117" s="1121"/>
      <c r="P117" s="1121"/>
      <c r="Q117" s="1121">
        <v>125</v>
      </c>
      <c r="R117" s="292">
        <v>2000</v>
      </c>
      <c r="S117" s="292"/>
      <c r="T117" s="1121">
        <v>30</v>
      </c>
      <c r="U117" s="1121"/>
      <c r="V117" s="1121"/>
      <c r="W117" s="1121">
        <v>1.4</v>
      </c>
      <c r="X117" s="1121"/>
      <c r="Y117" s="1121"/>
      <c r="Z117" s="1121"/>
      <c r="AA117" s="1121"/>
      <c r="AB117" s="1121"/>
      <c r="AC117" s="1121" t="s">
        <v>2963</v>
      </c>
      <c r="AD117" s="1121"/>
      <c r="AE117" s="1121"/>
      <c r="AF117" s="1121">
        <v>6000</v>
      </c>
      <c r="AG117" s="288">
        <v>13372.61</v>
      </c>
      <c r="AH117" s="1121">
        <v>2579</v>
      </c>
      <c r="AI117" s="289">
        <v>696</v>
      </c>
      <c r="AJ117" s="1121"/>
      <c r="AK117" s="1121"/>
      <c r="AL117" s="1121"/>
      <c r="AM117" s="1121" t="s">
        <v>1228</v>
      </c>
      <c r="AN117" s="315">
        <v>5.5</v>
      </c>
      <c r="AO117" s="315"/>
      <c r="AP117" s="315"/>
      <c r="AQ117" s="315"/>
      <c r="AR117" s="315"/>
      <c r="AS117" s="315"/>
      <c r="AT117" s="315">
        <f>+ab($T$117,$T$115,$T$119,$G$116,$G$118, 1*$F$117,1200)</f>
        <v>7.6302760504335234</v>
      </c>
      <c r="AU117" s="315"/>
      <c r="AV117" s="315"/>
      <c r="AW117" s="315" t="s">
        <v>2630</v>
      </c>
      <c r="AX117" s="315" t="s">
        <v>1641</v>
      </c>
      <c r="AY117" s="315">
        <v>4.2</v>
      </c>
      <c r="AZ117" s="315"/>
      <c r="BA117" s="315"/>
      <c r="BB117" s="306"/>
    </row>
    <row r="118" spans="1:54" ht="14.25">
      <c r="A118" s="287"/>
      <c r="B118" s="287"/>
      <c r="C118" s="288"/>
      <c r="D118" s="1121"/>
      <c r="E118" s="1121"/>
      <c r="F118" s="289"/>
      <c r="G118" s="292">
        <v>50</v>
      </c>
      <c r="H118" s="1121"/>
      <c r="I118" s="294"/>
      <c r="J118" s="288"/>
      <c r="K118" s="1121"/>
      <c r="L118" s="1121"/>
      <c r="M118" s="1121"/>
      <c r="N118" s="1121"/>
      <c r="O118" s="1121"/>
      <c r="P118" s="1121"/>
      <c r="Q118" s="1121"/>
      <c r="R118" s="292"/>
      <c r="S118" s="292">
        <f t="shared" si="23"/>
        <v>49.829999999999927</v>
      </c>
      <c r="T118" s="1121"/>
      <c r="U118" s="1121"/>
      <c r="V118" s="1121"/>
      <c r="W118" s="1121"/>
      <c r="X118" s="1121"/>
      <c r="Y118" s="1121"/>
      <c r="Z118" s="1121"/>
      <c r="AA118" s="1121"/>
      <c r="AB118" s="1121"/>
      <c r="AC118" s="1121"/>
      <c r="AD118" s="1121"/>
      <c r="AE118" s="1121"/>
      <c r="AF118" s="1121"/>
      <c r="AG118" s="288" t="s">
        <v>695</v>
      </c>
      <c r="AH118" s="1121" t="s">
        <v>695</v>
      </c>
      <c r="AI118" s="289"/>
      <c r="AJ118" s="1121"/>
      <c r="AK118" s="1121"/>
      <c r="AL118" s="1121"/>
      <c r="AM118" s="1121"/>
      <c r="AN118" s="315"/>
      <c r="AO118" s="315"/>
      <c r="AP118" s="315"/>
      <c r="AQ118" s="315">
        <f>+FL_1($T$119,$T$117,$G$118,1200,9.28, 1*$F$119)</f>
        <v>0.38541056267414808</v>
      </c>
      <c r="AR118" s="315"/>
      <c r="AS118" s="315"/>
      <c r="AT118" s="315"/>
      <c r="AU118" s="315"/>
      <c r="AV118" s="315"/>
      <c r="AW118" s="315"/>
      <c r="AX118" s="315"/>
      <c r="AY118" s="315" t="s">
        <v>695</v>
      </c>
      <c r="AZ118" s="315"/>
      <c r="BA118" s="315"/>
      <c r="BB118" s="306"/>
    </row>
    <row r="119" spans="1:54" ht="14.25">
      <c r="A119" s="287"/>
      <c r="B119" s="287" t="s">
        <v>2293</v>
      </c>
      <c r="C119" s="288">
        <f>+$C$117+$G$118</f>
        <v>13423</v>
      </c>
      <c r="D119" s="1121"/>
      <c r="E119" s="1121"/>
      <c r="F119" s="289">
        <v>2000</v>
      </c>
      <c r="G119" s="292"/>
      <c r="H119" s="1121"/>
      <c r="I119" s="294"/>
      <c r="J119" s="288"/>
      <c r="K119" s="1121"/>
      <c r="L119" s="1121" t="s">
        <v>231</v>
      </c>
      <c r="M119" s="1121" t="s">
        <v>2756</v>
      </c>
      <c r="N119" s="1121" t="s">
        <v>145</v>
      </c>
      <c r="O119" s="1121"/>
      <c r="P119" s="1121"/>
      <c r="Q119" s="1121">
        <v>124</v>
      </c>
      <c r="R119" s="292">
        <v>2000</v>
      </c>
      <c r="S119" s="292"/>
      <c r="T119" s="1121">
        <v>30</v>
      </c>
      <c r="U119" s="1121"/>
      <c r="V119" s="1121"/>
      <c r="W119" s="1121">
        <v>1.4</v>
      </c>
      <c r="X119" s="1121"/>
      <c r="Y119" s="1121"/>
      <c r="Z119" s="1121"/>
      <c r="AA119" s="1121"/>
      <c r="AB119" s="1121"/>
      <c r="AC119" s="1121" t="s">
        <v>2963</v>
      </c>
      <c r="AD119" s="1121"/>
      <c r="AE119" s="1121"/>
      <c r="AF119" s="1121">
        <v>6000</v>
      </c>
      <c r="AG119" s="288">
        <v>13422.44</v>
      </c>
      <c r="AH119" s="1121">
        <v>2578</v>
      </c>
      <c r="AI119" s="289">
        <v>706</v>
      </c>
      <c r="AJ119" s="1121"/>
      <c r="AK119" s="1121"/>
      <c r="AL119" s="1121"/>
      <c r="AM119" s="1121" t="s">
        <v>1228</v>
      </c>
      <c r="AN119" s="315">
        <v>5.5</v>
      </c>
      <c r="AO119" s="315"/>
      <c r="AP119" s="315"/>
      <c r="AQ119" s="315"/>
      <c r="AR119" s="315"/>
      <c r="AS119" s="315"/>
      <c r="AT119" s="315">
        <f>+ab($T$119,$T$117,$T$121,$G$118,$G$120, 1*$F$119,1200)</f>
        <v>7.6302760504335234</v>
      </c>
      <c r="AU119" s="315"/>
      <c r="AV119" s="315"/>
      <c r="AW119" s="315" t="s">
        <v>2630</v>
      </c>
      <c r="AX119" s="315" t="s">
        <v>1641</v>
      </c>
      <c r="AY119" s="315">
        <v>4.2</v>
      </c>
      <c r="AZ119" s="315"/>
      <c r="BA119" s="315"/>
      <c r="BB119" s="306"/>
    </row>
    <row r="120" spans="1:54" ht="14.25">
      <c r="A120" s="287"/>
      <c r="B120" s="287"/>
      <c r="C120" s="288"/>
      <c r="D120" s="1121"/>
      <c r="E120" s="1121"/>
      <c r="F120" s="289"/>
      <c r="G120" s="292">
        <v>50</v>
      </c>
      <c r="H120" s="1121"/>
      <c r="I120" s="289"/>
      <c r="J120" s="288"/>
      <c r="K120" s="1121"/>
      <c r="L120" s="1121"/>
      <c r="M120" s="1121"/>
      <c r="N120" s="1121"/>
      <c r="O120" s="1121"/>
      <c r="P120" s="1121"/>
      <c r="Q120" s="1121"/>
      <c r="R120" s="292"/>
      <c r="S120" s="292">
        <f t="shared" si="23"/>
        <v>49.909999999999854</v>
      </c>
      <c r="T120" s="1121"/>
      <c r="U120" s="1121"/>
      <c r="V120" s="1121"/>
      <c r="W120" s="1121"/>
      <c r="X120" s="1121"/>
      <c r="Y120" s="1121"/>
      <c r="Z120" s="1121"/>
      <c r="AA120" s="1121"/>
      <c r="AB120" s="1121"/>
      <c r="AC120" s="1121"/>
      <c r="AD120" s="1121"/>
      <c r="AE120" s="1121"/>
      <c r="AF120" s="1121"/>
      <c r="AG120" s="288" t="s">
        <v>695</v>
      </c>
      <c r="AH120" s="1121" t="s">
        <v>695</v>
      </c>
      <c r="AI120" s="289"/>
      <c r="AJ120" s="1121"/>
      <c r="AK120" s="1121"/>
      <c r="AL120" s="1121"/>
      <c r="AM120" s="1121"/>
      <c r="AN120" s="315"/>
      <c r="AO120" s="315"/>
      <c r="AP120" s="315"/>
      <c r="AQ120" s="315">
        <f>+FL_1($T$121,$T$119,$G$120,1200,9.28, 1*$F$121)</f>
        <v>0.38541056267414808</v>
      </c>
      <c r="AR120" s="315"/>
      <c r="AS120" s="315"/>
      <c r="AT120" s="315"/>
      <c r="AU120" s="315"/>
      <c r="AV120" s="315"/>
      <c r="AW120" s="315"/>
      <c r="AX120" s="315"/>
      <c r="AY120" s="315" t="s">
        <v>695</v>
      </c>
      <c r="AZ120" s="315"/>
      <c r="BA120" s="315"/>
      <c r="BB120" s="306"/>
    </row>
    <row r="121" spans="1:54" ht="14.25">
      <c r="A121" s="287"/>
      <c r="B121" s="287" t="s">
        <v>2294</v>
      </c>
      <c r="C121" s="288">
        <f>+$C$119+$G$120</f>
        <v>13473</v>
      </c>
      <c r="D121" s="1121"/>
      <c r="E121" s="1121"/>
      <c r="F121" s="289">
        <v>2000</v>
      </c>
      <c r="G121" s="292"/>
      <c r="H121" s="291"/>
      <c r="I121" s="291"/>
      <c r="J121" s="288"/>
      <c r="K121" s="1121"/>
      <c r="L121" s="1121" t="s">
        <v>231</v>
      </c>
      <c r="M121" s="1121" t="s">
        <v>2756</v>
      </c>
      <c r="N121" s="1121" t="s">
        <v>145</v>
      </c>
      <c r="O121" s="1121"/>
      <c r="P121" s="1121"/>
      <c r="Q121" s="1121">
        <v>123</v>
      </c>
      <c r="R121" s="292">
        <v>2000</v>
      </c>
      <c r="S121" s="292"/>
      <c r="T121" s="1121">
        <v>30</v>
      </c>
      <c r="U121" s="1121"/>
      <c r="V121" s="1121"/>
      <c r="W121" s="1121">
        <v>1.4</v>
      </c>
      <c r="X121" s="1121"/>
      <c r="Y121" s="1121"/>
      <c r="Z121" s="1121"/>
      <c r="AA121" s="1121"/>
      <c r="AB121" s="1121"/>
      <c r="AC121" s="1121" t="s">
        <v>2963</v>
      </c>
      <c r="AD121" s="1121"/>
      <c r="AE121" s="1121"/>
      <c r="AF121" s="1121">
        <v>6000</v>
      </c>
      <c r="AG121" s="288">
        <v>13472.35</v>
      </c>
      <c r="AH121" s="1121">
        <v>2640</v>
      </c>
      <c r="AI121" s="289">
        <v>679</v>
      </c>
      <c r="AJ121" s="1121"/>
      <c r="AK121" s="1121"/>
      <c r="AL121" s="1121"/>
      <c r="AM121" s="1121" t="s">
        <v>1228</v>
      </c>
      <c r="AN121" s="315">
        <v>5.5</v>
      </c>
      <c r="AO121" s="315"/>
      <c r="AP121" s="315"/>
      <c r="AQ121" s="315"/>
      <c r="AR121" s="315"/>
      <c r="AS121" s="315"/>
      <c r="AT121" s="315">
        <f>+ab($T$121,$T$119,$T$123,$G$120,$G$122, 1*$F$121,1200)</f>
        <v>7.6302760504335234</v>
      </c>
      <c r="AU121" s="315"/>
      <c r="AV121" s="315"/>
      <c r="AW121" s="315" t="s">
        <v>2630</v>
      </c>
      <c r="AX121" s="315" t="s">
        <v>1641</v>
      </c>
      <c r="AY121" s="315">
        <v>4.2</v>
      </c>
      <c r="AZ121" s="315"/>
      <c r="BA121" s="315"/>
      <c r="BB121" s="306"/>
    </row>
    <row r="122" spans="1:54" ht="14.25">
      <c r="A122" s="287"/>
      <c r="B122" s="287"/>
      <c r="C122" s="288"/>
      <c r="D122" s="1121"/>
      <c r="E122" s="1121"/>
      <c r="F122" s="289"/>
      <c r="G122" s="292">
        <v>50</v>
      </c>
      <c r="H122" s="291"/>
      <c r="I122" s="294"/>
      <c r="J122" s="288"/>
      <c r="K122" s="1121"/>
      <c r="L122" s="1121"/>
      <c r="M122" s="1121"/>
      <c r="N122" s="1121"/>
      <c r="O122" s="1121"/>
      <c r="P122" s="1121"/>
      <c r="Q122" s="1121"/>
      <c r="R122" s="292"/>
      <c r="S122" s="292">
        <f t="shared" si="23"/>
        <v>49.920000000000073</v>
      </c>
      <c r="T122" s="1121"/>
      <c r="U122" s="1121"/>
      <c r="V122" s="1121"/>
      <c r="W122" s="1121"/>
      <c r="X122" s="1121"/>
      <c r="Y122" s="1121"/>
      <c r="Z122" s="1121"/>
      <c r="AA122" s="1121"/>
      <c r="AB122" s="1121"/>
      <c r="AC122" s="1121"/>
      <c r="AD122" s="1121"/>
      <c r="AE122" s="1121"/>
      <c r="AF122" s="1121"/>
      <c r="AG122" s="288" t="s">
        <v>695</v>
      </c>
      <c r="AH122" s="1121" t="s">
        <v>695</v>
      </c>
      <c r="AI122" s="289"/>
      <c r="AJ122" s="1121"/>
      <c r="AK122" s="1121"/>
      <c r="AL122" s="1121"/>
      <c r="AM122" s="1121"/>
      <c r="AN122" s="315"/>
      <c r="AO122" s="315"/>
      <c r="AP122" s="315"/>
      <c r="AQ122" s="315">
        <f>+FL_1($T$123,$T$121,$G$122,1200,9.28, 1*$F$123)</f>
        <v>0.38541056267414808</v>
      </c>
      <c r="AR122" s="315"/>
      <c r="AS122" s="315"/>
      <c r="AT122" s="315"/>
      <c r="AU122" s="315"/>
      <c r="AV122" s="315"/>
      <c r="AW122" s="315"/>
      <c r="AX122" s="315"/>
      <c r="AY122" s="315" t="s">
        <v>695</v>
      </c>
      <c r="AZ122" s="315"/>
      <c r="BA122" s="315"/>
      <c r="BB122" s="306"/>
    </row>
    <row r="123" spans="1:54" ht="14.25">
      <c r="A123" s="287"/>
      <c r="B123" s="287" t="s">
        <v>2295</v>
      </c>
      <c r="C123" s="288">
        <f>+$C$121+$G$122</f>
        <v>13523</v>
      </c>
      <c r="D123" s="1121"/>
      <c r="E123" s="1121"/>
      <c r="F123" s="289">
        <v>2000</v>
      </c>
      <c r="G123" s="292"/>
      <c r="H123" s="291"/>
      <c r="I123" s="291"/>
      <c r="J123" s="288"/>
      <c r="K123" s="1121"/>
      <c r="L123" s="1121" t="s">
        <v>231</v>
      </c>
      <c r="M123" s="1121" t="s">
        <v>2756</v>
      </c>
      <c r="N123" s="1121" t="s">
        <v>145</v>
      </c>
      <c r="O123" s="1121"/>
      <c r="P123" s="1121"/>
      <c r="Q123" s="1121">
        <v>112</v>
      </c>
      <c r="R123" s="292">
        <v>2000</v>
      </c>
      <c r="S123" s="292"/>
      <c r="T123" s="1121">
        <v>30</v>
      </c>
      <c r="U123" s="1121"/>
      <c r="V123" s="1121"/>
      <c r="W123" s="1121">
        <v>1.4</v>
      </c>
      <c r="X123" s="1121"/>
      <c r="Y123" s="1121"/>
      <c r="Z123" s="1121"/>
      <c r="AA123" s="1121"/>
      <c r="AB123" s="1121"/>
      <c r="AC123" s="1121" t="s">
        <v>2963</v>
      </c>
      <c r="AD123" s="1121"/>
      <c r="AE123" s="1121"/>
      <c r="AF123" s="1121">
        <v>6000</v>
      </c>
      <c r="AG123" s="288">
        <v>13522.27</v>
      </c>
      <c r="AH123" s="1121">
        <v>2579</v>
      </c>
      <c r="AI123" s="289">
        <v>632.99999999999977</v>
      </c>
      <c r="AJ123" s="1121"/>
      <c r="AK123" s="1121"/>
      <c r="AL123" s="1121"/>
      <c r="AM123" s="1121" t="s">
        <v>1228</v>
      </c>
      <c r="AN123" s="315">
        <v>5.5</v>
      </c>
      <c r="AO123" s="315"/>
      <c r="AP123" s="315"/>
      <c r="AQ123" s="315"/>
      <c r="AR123" s="315"/>
      <c r="AS123" s="315"/>
      <c r="AT123" s="315">
        <f>+ab($T$123,$T$121,$T$125,$G$122,$G$124, 1*$F$123,1200)</f>
        <v>8.0267638533087418</v>
      </c>
      <c r="AU123" s="315"/>
      <c r="AV123" s="315"/>
      <c r="AW123" s="315" t="s">
        <v>2630</v>
      </c>
      <c r="AX123" s="315" t="s">
        <v>1641</v>
      </c>
      <c r="AY123" s="315">
        <v>4.2</v>
      </c>
      <c r="AZ123" s="315"/>
      <c r="BA123" s="315"/>
      <c r="BB123" s="306"/>
    </row>
    <row r="124" spans="1:54" ht="14.25">
      <c r="A124" s="287"/>
      <c r="B124" s="287"/>
      <c r="C124" s="288"/>
      <c r="D124" s="1121"/>
      <c r="E124" s="1121"/>
      <c r="F124" s="289"/>
      <c r="G124" s="292">
        <v>45</v>
      </c>
      <c r="H124" s="291"/>
      <c r="I124" s="294"/>
      <c r="J124" s="288"/>
      <c r="K124" s="1121"/>
      <c r="L124" s="1121"/>
      <c r="M124" s="1121"/>
      <c r="N124" s="1121"/>
      <c r="O124" s="1121"/>
      <c r="P124" s="1121"/>
      <c r="Q124" s="1121"/>
      <c r="R124" s="292"/>
      <c r="S124" s="292">
        <f t="shared" si="23"/>
        <v>44.93999999999869</v>
      </c>
      <c r="T124" s="1121"/>
      <c r="U124" s="1121"/>
      <c r="V124" s="1121"/>
      <c r="W124" s="1121"/>
      <c r="X124" s="1121"/>
      <c r="Y124" s="1121"/>
      <c r="Z124" s="1121"/>
      <c r="AA124" s="1121"/>
      <c r="AB124" s="1121"/>
      <c r="AC124" s="1121"/>
      <c r="AD124" s="1121"/>
      <c r="AE124" s="1121"/>
      <c r="AF124" s="1121"/>
      <c r="AG124" s="288" t="s">
        <v>695</v>
      </c>
      <c r="AH124" s="1121" t="s">
        <v>695</v>
      </c>
      <c r="AI124" s="1083"/>
      <c r="AJ124" s="1121"/>
      <c r="AK124" s="1121"/>
      <c r="AL124" s="1121"/>
      <c r="AM124" s="1121"/>
      <c r="AN124" s="315"/>
      <c r="AO124" s="315"/>
      <c r="AP124" s="315"/>
      <c r="AQ124" s="315">
        <f>+FL_1($T$125,$T$123,$G$124,1200,9.28, 1*$F$125)</f>
        <v>0.36918349523007415</v>
      </c>
      <c r="AR124" s="315"/>
      <c r="AS124" s="315"/>
      <c r="AT124" s="315"/>
      <c r="AU124" s="315"/>
      <c r="AV124" s="315"/>
      <c r="AW124" s="315"/>
      <c r="AX124" s="315"/>
      <c r="AY124" s="315" t="s">
        <v>695</v>
      </c>
      <c r="AZ124" s="315"/>
      <c r="BA124" s="315"/>
      <c r="BB124" s="306"/>
    </row>
    <row r="125" spans="1:54" ht="14.25">
      <c r="A125" s="287"/>
      <c r="B125" s="287" t="s">
        <v>2296</v>
      </c>
      <c r="C125" s="288">
        <f>+$C$123+$G$124</f>
        <v>13568</v>
      </c>
      <c r="D125" s="1121"/>
      <c r="E125" s="1121"/>
      <c r="F125" s="289">
        <v>2000</v>
      </c>
      <c r="G125" s="292"/>
      <c r="H125" s="1121"/>
      <c r="I125" s="289"/>
      <c r="J125" s="288"/>
      <c r="K125" s="1121"/>
      <c r="L125" s="1121" t="s">
        <v>231</v>
      </c>
      <c r="M125" s="1121" t="s">
        <v>2756</v>
      </c>
      <c r="N125" s="1121" t="s">
        <v>145</v>
      </c>
      <c r="O125" s="1121"/>
      <c r="P125" s="1121"/>
      <c r="Q125" s="1121">
        <v>129</v>
      </c>
      <c r="R125" s="292">
        <v>2000</v>
      </c>
      <c r="S125" s="292"/>
      <c r="T125" s="1121">
        <v>30</v>
      </c>
      <c r="U125" s="1121"/>
      <c r="V125" s="1121"/>
      <c r="W125" s="1121">
        <v>1.4</v>
      </c>
      <c r="X125" s="1121"/>
      <c r="Y125" s="1121"/>
      <c r="Z125" s="1121"/>
      <c r="AA125" s="1121"/>
      <c r="AB125" s="1121"/>
      <c r="AC125" s="1121" t="s">
        <v>1704</v>
      </c>
      <c r="AD125" s="1121"/>
      <c r="AE125" s="1121"/>
      <c r="AF125" s="1121">
        <v>6000</v>
      </c>
      <c r="AG125" s="288">
        <v>13567.21</v>
      </c>
      <c r="AH125" s="1121">
        <v>2602</v>
      </c>
      <c r="AI125" s="289">
        <v>651.00000000000045</v>
      </c>
      <c r="AJ125" s="1121"/>
      <c r="AK125" s="1121"/>
      <c r="AL125" s="1121"/>
      <c r="AM125" s="1121" t="s">
        <v>1228</v>
      </c>
      <c r="AN125" s="315">
        <v>5.5</v>
      </c>
      <c r="AO125" s="315"/>
      <c r="AP125" s="315"/>
      <c r="AQ125" s="315"/>
      <c r="AR125" s="315"/>
      <c r="AS125" s="315"/>
      <c r="AT125" s="315">
        <f>+ab($T$125,$T$123,$T$127,$G$124,$G$126, 1*$F$125,1200)</f>
        <v>8.466398528188126</v>
      </c>
      <c r="AU125" s="315"/>
      <c r="AV125" s="315"/>
      <c r="AW125" s="315" t="s">
        <v>2630</v>
      </c>
      <c r="AX125" s="315" t="s">
        <v>1641</v>
      </c>
      <c r="AY125" s="315">
        <v>4.2</v>
      </c>
      <c r="AZ125" s="315"/>
      <c r="BA125" s="315"/>
      <c r="BB125" s="306"/>
    </row>
    <row r="126" spans="1:54" ht="14.25">
      <c r="A126" s="287"/>
      <c r="B126" s="287"/>
      <c r="C126" s="288"/>
      <c r="D126" s="1121"/>
      <c r="E126" s="1121"/>
      <c r="F126" s="289"/>
      <c r="G126" s="292">
        <v>45</v>
      </c>
      <c r="H126" s="1121"/>
      <c r="I126" s="294"/>
      <c r="J126" s="288"/>
      <c r="K126" s="1121"/>
      <c r="L126" s="1121"/>
      <c r="M126" s="1121"/>
      <c r="N126" s="1121"/>
      <c r="O126" s="1121"/>
      <c r="P126" s="1121"/>
      <c r="Q126" s="1121"/>
      <c r="R126" s="292"/>
      <c r="S126" s="292">
        <f t="shared" si="23"/>
        <v>44.75</v>
      </c>
      <c r="T126" s="1121"/>
      <c r="U126" s="1121"/>
      <c r="V126" s="1121"/>
      <c r="W126" s="1121"/>
      <c r="X126" s="1121"/>
      <c r="Y126" s="1121"/>
      <c r="Z126" s="1121"/>
      <c r="AA126" s="1121"/>
      <c r="AB126" s="1121"/>
      <c r="AC126" s="1121"/>
      <c r="AD126" s="1121"/>
      <c r="AE126" s="1121"/>
      <c r="AF126" s="1121"/>
      <c r="AG126" s="288" t="s">
        <v>695</v>
      </c>
      <c r="AH126" s="1121" t="s">
        <v>695</v>
      </c>
      <c r="AI126" s="1083"/>
      <c r="AJ126" s="1121"/>
      <c r="AK126" s="1121"/>
      <c r="AL126" s="1121"/>
      <c r="AM126" s="1121"/>
      <c r="AN126" s="315"/>
      <c r="AO126" s="315"/>
      <c r="AP126" s="315"/>
      <c r="AQ126" s="315">
        <f>+FL_1($T$127,$T$125,$G$126,1200,9.28, 1*$F$127)</f>
        <v>0.36918349523007415</v>
      </c>
      <c r="AR126" s="315"/>
      <c r="AS126" s="315"/>
      <c r="AT126" s="315"/>
      <c r="AU126" s="315"/>
      <c r="AV126" s="315"/>
      <c r="AW126" s="315"/>
      <c r="AX126" s="315"/>
      <c r="AY126" s="315" t="s">
        <v>695</v>
      </c>
      <c r="AZ126" s="315"/>
      <c r="BA126" s="315"/>
      <c r="BB126" s="306"/>
    </row>
    <row r="127" spans="1:54" ht="14.25">
      <c r="A127" s="287"/>
      <c r="B127" s="287" t="s">
        <v>2297</v>
      </c>
      <c r="C127" s="288">
        <f>+$C$125+$G$126</f>
        <v>13613</v>
      </c>
      <c r="D127" s="1121"/>
      <c r="E127" s="1121"/>
      <c r="F127" s="289">
        <v>2000</v>
      </c>
      <c r="G127" s="292"/>
      <c r="H127" s="1121"/>
      <c r="I127" s="294"/>
      <c r="J127" s="288"/>
      <c r="K127" s="1121"/>
      <c r="L127" s="1121" t="s">
        <v>231</v>
      </c>
      <c r="M127" s="1121" t="s">
        <v>2756</v>
      </c>
      <c r="N127" s="1121" t="s">
        <v>145</v>
      </c>
      <c r="O127" s="1121"/>
      <c r="P127" s="1121"/>
      <c r="Q127" s="1121">
        <v>131</v>
      </c>
      <c r="R127" s="292">
        <v>2000</v>
      </c>
      <c r="S127" s="292"/>
      <c r="T127" s="1121">
        <v>30</v>
      </c>
      <c r="U127" s="1121"/>
      <c r="V127" s="1121"/>
      <c r="W127" s="1121">
        <v>1.4</v>
      </c>
      <c r="X127" s="1121"/>
      <c r="Y127" s="1121"/>
      <c r="Z127" s="1121"/>
      <c r="AA127" s="1121"/>
      <c r="AB127" s="1121"/>
      <c r="AC127" s="1121" t="s">
        <v>1704</v>
      </c>
      <c r="AD127" s="1121"/>
      <c r="AE127" s="1121"/>
      <c r="AF127" s="1121">
        <v>6000</v>
      </c>
      <c r="AG127" s="288">
        <v>13611.96</v>
      </c>
      <c r="AH127" s="1121">
        <v>2645</v>
      </c>
      <c r="AI127" s="289">
        <v>671</v>
      </c>
      <c r="AJ127" s="1121"/>
      <c r="AK127" s="1121"/>
      <c r="AL127" s="1121"/>
      <c r="AM127" s="1121" t="s">
        <v>1228</v>
      </c>
      <c r="AN127" s="315">
        <v>5.5</v>
      </c>
      <c r="AO127" s="315"/>
      <c r="AP127" s="315"/>
      <c r="AQ127" s="315"/>
      <c r="AR127" s="315"/>
      <c r="AS127" s="315"/>
      <c r="AT127" s="315">
        <f>+ab($T$127,$T$125,$T$129,$G$126,$G$128, 1*$F$127,1200)</f>
        <v>8.2849289948695528</v>
      </c>
      <c r="AU127" s="315"/>
      <c r="AV127" s="315"/>
      <c r="AW127" s="315" t="s">
        <v>2630</v>
      </c>
      <c r="AX127" s="315" t="s">
        <v>1641</v>
      </c>
      <c r="AY127" s="315">
        <v>4.2</v>
      </c>
      <c r="AZ127" s="315"/>
      <c r="BA127" s="315"/>
      <c r="BB127" s="306"/>
    </row>
    <row r="128" spans="1:54" ht="14.25">
      <c r="A128" s="287"/>
      <c r="B128" s="287"/>
      <c r="C128" s="288"/>
      <c r="D128" s="1121"/>
      <c r="E128" s="1121"/>
      <c r="F128" s="289"/>
      <c r="G128" s="292">
        <v>47</v>
      </c>
      <c r="H128" s="1121"/>
      <c r="I128" s="294"/>
      <c r="J128" s="288">
        <f>C129-7.5</f>
        <v>13652.5</v>
      </c>
      <c r="K128" s="1121" t="s">
        <v>3017</v>
      </c>
      <c r="L128" s="1121"/>
      <c r="M128" s="1121"/>
      <c r="N128" s="1121"/>
      <c r="O128" s="1121"/>
      <c r="P128" s="1121"/>
      <c r="Q128" s="1121"/>
      <c r="R128" s="292"/>
      <c r="S128" s="292">
        <f t="shared" si="23"/>
        <v>47.950000000000728</v>
      </c>
      <c r="T128" s="1121"/>
      <c r="U128" s="1121"/>
      <c r="V128" s="1121"/>
      <c r="W128" s="1121"/>
      <c r="X128" s="1121"/>
      <c r="Y128" s="1121"/>
      <c r="Z128" s="1121"/>
      <c r="AA128" s="1121"/>
      <c r="AB128" s="1121"/>
      <c r="AC128" s="1121"/>
      <c r="AD128" s="1121"/>
      <c r="AE128" s="1121"/>
      <c r="AF128" s="1121"/>
      <c r="AG128" s="288" t="s">
        <v>695</v>
      </c>
      <c r="AH128" s="1121" t="s">
        <v>695</v>
      </c>
      <c r="AI128" s="289"/>
      <c r="AJ128" s="1121"/>
      <c r="AK128" s="1121"/>
      <c r="AL128" s="1121"/>
      <c r="AM128" s="1121"/>
      <c r="AN128" s="315"/>
      <c r="AO128" s="315"/>
      <c r="AP128" s="315"/>
      <c r="AQ128" s="315">
        <f>+FL_1($T$129,$T$127,$G$128,1200,9.28, 1*$F$129)</f>
        <v>0.37546940102431814</v>
      </c>
      <c r="AR128" s="315"/>
      <c r="AS128" s="315"/>
      <c r="AT128" s="315"/>
      <c r="AU128" s="315"/>
      <c r="AV128" s="315"/>
      <c r="AW128" s="315" t="s">
        <v>2630</v>
      </c>
      <c r="AX128" s="315" t="s">
        <v>1641</v>
      </c>
      <c r="AY128" s="315"/>
      <c r="AZ128" s="315">
        <v>3.5</v>
      </c>
      <c r="BA128" s="315"/>
      <c r="BB128" s="306"/>
    </row>
    <row r="129" spans="1:54" ht="14.25">
      <c r="A129" s="287"/>
      <c r="B129" s="287" t="s">
        <v>2298</v>
      </c>
      <c r="C129" s="288">
        <f>+$C$127+$G$128</f>
        <v>13660</v>
      </c>
      <c r="D129" s="1121"/>
      <c r="E129" s="1121"/>
      <c r="F129" s="289">
        <v>2000</v>
      </c>
      <c r="G129" s="292"/>
      <c r="H129" s="1121" t="s">
        <v>138</v>
      </c>
      <c r="I129" s="294" t="s">
        <v>656</v>
      </c>
      <c r="J129" s="288"/>
      <c r="K129" s="1121"/>
      <c r="L129" s="1121" t="s">
        <v>1062</v>
      </c>
      <c r="M129" s="1121" t="s">
        <v>2758</v>
      </c>
      <c r="N129" s="1121" t="s">
        <v>145</v>
      </c>
      <c r="O129" s="1121"/>
      <c r="P129" s="1121"/>
      <c r="Q129" s="1121">
        <v>125</v>
      </c>
      <c r="R129" s="292">
        <v>2000</v>
      </c>
      <c r="S129" s="292"/>
      <c r="T129" s="1121">
        <v>30</v>
      </c>
      <c r="U129" s="1121"/>
      <c r="V129" s="1121"/>
      <c r="W129" s="1121">
        <v>1.4</v>
      </c>
      <c r="X129" s="1121"/>
      <c r="Y129" s="1121"/>
      <c r="Z129" s="1121"/>
      <c r="AA129" s="1121"/>
      <c r="AB129" s="1121"/>
      <c r="AC129" s="1121" t="s">
        <v>2963</v>
      </c>
      <c r="AD129" s="1121"/>
      <c r="AE129" s="1121"/>
      <c r="AF129" s="1121">
        <v>6000</v>
      </c>
      <c r="AG129" s="288">
        <v>13659.91</v>
      </c>
      <c r="AH129" s="1121">
        <v>2642</v>
      </c>
      <c r="AI129" s="289">
        <v>726</v>
      </c>
      <c r="AJ129" s="1121"/>
      <c r="AK129" s="1121"/>
      <c r="AL129" s="1121"/>
      <c r="AM129" s="1121" t="s">
        <v>1228</v>
      </c>
      <c r="AN129" s="315">
        <v>5.5</v>
      </c>
      <c r="AO129" s="315"/>
      <c r="AP129" s="315"/>
      <c r="AQ129" s="315"/>
      <c r="AR129" s="315"/>
      <c r="AS129" s="315"/>
      <c r="AT129" s="315">
        <f>+ab($T$129,$T$127,$T$131,$G$128,$G$130, 1*$F$129,1200)</f>
        <v>7.4823746817491621</v>
      </c>
      <c r="AU129" s="315"/>
      <c r="AV129" s="315"/>
      <c r="AW129" s="315" t="s">
        <v>2630</v>
      </c>
      <c r="AX129" s="315" t="s">
        <v>1641</v>
      </c>
      <c r="AY129" s="315">
        <v>4.2</v>
      </c>
      <c r="AZ129" s="315"/>
      <c r="BA129" s="315"/>
      <c r="BB129" s="306"/>
    </row>
    <row r="130" spans="1:54" ht="14.25">
      <c r="A130" s="287"/>
      <c r="B130" s="287"/>
      <c r="C130" s="288"/>
      <c r="D130" s="1121"/>
      <c r="E130" s="1121"/>
      <c r="F130" s="289"/>
      <c r="G130" s="292">
        <v>55</v>
      </c>
      <c r="H130" s="291"/>
      <c r="I130" s="294"/>
      <c r="J130" s="288"/>
      <c r="K130" s="1121"/>
      <c r="L130" s="1121"/>
      <c r="M130" s="1121"/>
      <c r="N130" s="1121"/>
      <c r="O130" s="1121"/>
      <c r="P130" s="1121"/>
      <c r="Q130" s="1121"/>
      <c r="R130" s="292"/>
      <c r="S130" s="292">
        <f t="shared" si="23"/>
        <v>53.710000000000946</v>
      </c>
      <c r="T130" s="1121"/>
      <c r="U130" s="1121"/>
      <c r="V130" s="1121"/>
      <c r="W130" s="1121"/>
      <c r="X130" s="1121"/>
      <c r="Y130" s="1121"/>
      <c r="Z130" s="1121"/>
      <c r="AA130" s="1121"/>
      <c r="AB130" s="1121"/>
      <c r="AC130" s="1121"/>
      <c r="AD130" s="1121"/>
      <c r="AE130" s="1121"/>
      <c r="AF130" s="1121"/>
      <c r="AG130" s="288" t="s">
        <v>695</v>
      </c>
      <c r="AH130" s="1121" t="s">
        <v>695</v>
      </c>
      <c r="AI130" s="289"/>
      <c r="AJ130" s="1121"/>
      <c r="AK130" s="1121"/>
      <c r="AL130" s="1121"/>
      <c r="AM130" s="1121"/>
      <c r="AN130" s="315"/>
      <c r="AO130" s="315"/>
      <c r="AP130" s="315"/>
      <c r="AQ130" s="315">
        <f>+FL_1($U$131,$T$129,$G$130,1200,9.28, 1*$F$131)</f>
        <v>0.32753759278077932</v>
      </c>
      <c r="AR130" s="315"/>
      <c r="AS130" s="315"/>
      <c r="AT130" s="315"/>
      <c r="AU130" s="315"/>
      <c r="AV130" s="315"/>
      <c r="AW130" s="315"/>
      <c r="AX130" s="315"/>
      <c r="AY130" s="315" t="s">
        <v>695</v>
      </c>
      <c r="AZ130" s="315"/>
      <c r="BA130" s="315"/>
      <c r="BB130" s="306"/>
    </row>
    <row r="131" spans="1:54" ht="14.25">
      <c r="A131" s="287"/>
      <c r="B131" s="287" t="s">
        <v>2299</v>
      </c>
      <c r="C131" s="288">
        <f>+$C$129+$G$130</f>
        <v>13715</v>
      </c>
      <c r="D131" s="1121"/>
      <c r="E131" s="1121"/>
      <c r="F131" s="289">
        <v>2000</v>
      </c>
      <c r="G131" s="292"/>
      <c r="H131" s="291" t="s">
        <v>651</v>
      </c>
      <c r="I131" s="294"/>
      <c r="J131" s="288"/>
      <c r="K131" s="1121"/>
      <c r="L131" s="1121" t="s">
        <v>1056</v>
      </c>
      <c r="M131" s="1121" t="s">
        <v>2759</v>
      </c>
      <c r="N131" s="1121" t="s">
        <v>140</v>
      </c>
      <c r="O131" s="1121" t="s">
        <v>145</v>
      </c>
      <c r="P131" s="1121"/>
      <c r="Q131" s="1121">
        <v>120</v>
      </c>
      <c r="R131" s="292">
        <v>2000</v>
      </c>
      <c r="S131" s="292"/>
      <c r="T131" s="1121">
        <v>30</v>
      </c>
      <c r="U131" s="1121">
        <v>10</v>
      </c>
      <c r="V131" s="1121"/>
      <c r="W131" s="1121">
        <v>1.4</v>
      </c>
      <c r="X131" s="1121">
        <v>2.2999999999999998</v>
      </c>
      <c r="Y131" s="1121"/>
      <c r="Z131" s="1121">
        <v>0.5</v>
      </c>
      <c r="AA131" s="1121"/>
      <c r="AB131" s="1121"/>
      <c r="AC131" s="1121"/>
      <c r="AD131" s="1121" t="s">
        <v>2963</v>
      </c>
      <c r="AE131" s="1121"/>
      <c r="AF131" s="1121">
        <v>6000</v>
      </c>
      <c r="AG131" s="288">
        <v>13713.62</v>
      </c>
      <c r="AH131" s="1121">
        <v>2610</v>
      </c>
      <c r="AI131" s="289">
        <v>726</v>
      </c>
      <c r="AJ131" s="1121"/>
      <c r="AK131" s="1121"/>
      <c r="AL131" s="1121"/>
      <c r="AM131" s="1121" t="s">
        <v>1228</v>
      </c>
      <c r="AN131" s="315">
        <v>5.5</v>
      </c>
      <c r="AO131" s="315"/>
      <c r="AP131" s="315"/>
      <c r="AQ131" s="315"/>
      <c r="AR131" s="315"/>
      <c r="AS131" s="315"/>
      <c r="AT131" s="315">
        <f>+ab($U$131,$T$129,$U$133,$G$130,$G$132, 1*$F$131,1200)</f>
        <v>7.9890358238033476</v>
      </c>
      <c r="AU131" s="315"/>
      <c r="AV131" s="315"/>
      <c r="AW131" s="315" t="s">
        <v>2630</v>
      </c>
      <c r="AX131" s="315" t="s">
        <v>1641</v>
      </c>
      <c r="AY131" s="315">
        <v>4.2</v>
      </c>
      <c r="AZ131" s="315"/>
      <c r="BA131" s="315"/>
      <c r="BB131" s="306"/>
    </row>
    <row r="132" spans="1:54" ht="14.25">
      <c r="A132" s="287"/>
      <c r="B132" s="287"/>
      <c r="C132" s="288"/>
      <c r="D132" s="1121"/>
      <c r="E132" s="1121"/>
      <c r="F132" s="289"/>
      <c r="G132" s="292">
        <v>55</v>
      </c>
      <c r="H132" s="291"/>
      <c r="I132" s="294"/>
      <c r="J132" s="288"/>
      <c r="K132" s="1121"/>
      <c r="L132" s="1121"/>
      <c r="M132" s="1121"/>
      <c r="N132" s="1121"/>
      <c r="O132" s="1121"/>
      <c r="P132" s="1121"/>
      <c r="Q132" s="1121"/>
      <c r="R132" s="292"/>
      <c r="S132" s="292">
        <f t="shared" si="23"/>
        <v>55.059999999999491</v>
      </c>
      <c r="T132" s="1121"/>
      <c r="U132" s="1121"/>
      <c r="V132" s="1121"/>
      <c r="W132" s="1121"/>
      <c r="X132" s="1121"/>
      <c r="Y132" s="1121"/>
      <c r="Z132" s="1121"/>
      <c r="AA132" s="1121"/>
      <c r="AB132" s="1121"/>
      <c r="AC132" s="1121"/>
      <c r="AD132" s="1121"/>
      <c r="AE132" s="1121"/>
      <c r="AF132" s="1121"/>
      <c r="AG132" s="288" t="s">
        <v>695</v>
      </c>
      <c r="AH132" s="1121" t="s">
        <v>695</v>
      </c>
      <c r="AI132" s="289"/>
      <c r="AJ132" s="1121"/>
      <c r="AK132" s="1121"/>
      <c r="AL132" s="1121"/>
      <c r="AM132" s="1121"/>
      <c r="AN132" s="315"/>
      <c r="AO132" s="315"/>
      <c r="AP132" s="315"/>
      <c r="AQ132" s="315">
        <f>+FL_1($T$133,$U$131,$G$132,1200,9.28, 1*$F$133)</f>
        <v>0.3275375927807806</v>
      </c>
      <c r="AR132" s="315"/>
      <c r="AS132" s="315"/>
      <c r="AT132" s="315"/>
      <c r="AU132" s="315"/>
      <c r="AV132" s="315"/>
      <c r="AW132" s="315"/>
      <c r="AX132" s="315"/>
      <c r="AY132" s="315" t="s">
        <v>695</v>
      </c>
      <c r="AZ132" s="315"/>
      <c r="BA132" s="315"/>
      <c r="BB132" s="306"/>
    </row>
    <row r="133" spans="1:54" ht="14.25">
      <c r="A133" s="287"/>
      <c r="B133" s="287" t="s">
        <v>2300</v>
      </c>
      <c r="C133" s="288">
        <f>+$C$131+$G$132</f>
        <v>13770</v>
      </c>
      <c r="D133" s="1121"/>
      <c r="E133" s="1121"/>
      <c r="F133" s="289">
        <v>2000</v>
      </c>
      <c r="G133" s="292"/>
      <c r="H133" s="291" t="s">
        <v>651</v>
      </c>
      <c r="I133" s="294"/>
      <c r="J133" s="288"/>
      <c r="K133" s="1121"/>
      <c r="L133" s="1121" t="s">
        <v>1056</v>
      </c>
      <c r="M133" s="1121" t="s">
        <v>2759</v>
      </c>
      <c r="N133" s="1121" t="s">
        <v>145</v>
      </c>
      <c r="O133" s="1121" t="s">
        <v>140</v>
      </c>
      <c r="P133" s="1121"/>
      <c r="Q133" s="1121">
        <v>127</v>
      </c>
      <c r="R133" s="292">
        <v>2000</v>
      </c>
      <c r="S133" s="292"/>
      <c r="T133" s="1121">
        <v>30</v>
      </c>
      <c r="U133" s="1121">
        <v>10</v>
      </c>
      <c r="V133" s="1121"/>
      <c r="W133" s="1121">
        <v>1.4</v>
      </c>
      <c r="X133" s="1121">
        <v>2.2999999999999998</v>
      </c>
      <c r="Y133" s="1121"/>
      <c r="Z133" s="1121"/>
      <c r="AA133" s="1121">
        <v>0.5</v>
      </c>
      <c r="AB133" s="1121"/>
      <c r="AC133" s="1121" t="s">
        <v>2963</v>
      </c>
      <c r="AD133" s="1121"/>
      <c r="AE133" s="1121"/>
      <c r="AF133" s="1121">
        <v>6000</v>
      </c>
      <c r="AG133" s="288">
        <v>13768.68</v>
      </c>
      <c r="AH133" s="1121">
        <v>2550</v>
      </c>
      <c r="AI133" s="289">
        <v>715</v>
      </c>
      <c r="AJ133" s="1121"/>
      <c r="AK133" s="1121"/>
      <c r="AL133" s="1121"/>
      <c r="AM133" s="1121" t="s">
        <v>1228</v>
      </c>
      <c r="AN133" s="315">
        <v>5.5</v>
      </c>
      <c r="AO133" s="315"/>
      <c r="AP133" s="315"/>
      <c r="AQ133" s="315"/>
      <c r="AR133" s="315"/>
      <c r="AS133" s="315"/>
      <c r="AT133" s="315">
        <f>+ab($T$133,$T$131,$T$135,$G$132,$G$134, 1*$F$133,1200)</f>
        <v>6.9437194600928631</v>
      </c>
      <c r="AU133" s="315"/>
      <c r="AV133" s="315"/>
      <c r="AW133" s="315" t="s">
        <v>2630</v>
      </c>
      <c r="AX133" s="315" t="s">
        <v>1641</v>
      </c>
      <c r="AY133" s="315">
        <v>4.2</v>
      </c>
      <c r="AZ133" s="315"/>
      <c r="BA133" s="315"/>
      <c r="BB133" s="306"/>
    </row>
    <row r="134" spans="1:54" ht="14.25">
      <c r="A134" s="287"/>
      <c r="B134" s="287"/>
      <c r="C134" s="288"/>
      <c r="D134" s="1121"/>
      <c r="E134" s="1121"/>
      <c r="F134" s="289"/>
      <c r="G134" s="292">
        <v>55</v>
      </c>
      <c r="H134" s="291"/>
      <c r="I134" s="294"/>
      <c r="J134" s="288"/>
      <c r="K134" s="1121"/>
      <c r="L134" s="1121"/>
      <c r="M134" s="1121"/>
      <c r="N134" s="1121"/>
      <c r="O134" s="1121"/>
      <c r="P134" s="1121"/>
      <c r="Q134" s="1121"/>
      <c r="R134" s="292"/>
      <c r="S134" s="292">
        <f t="shared" si="23"/>
        <v>54.799999999999272</v>
      </c>
      <c r="T134" s="1121"/>
      <c r="U134" s="1121"/>
      <c r="V134" s="1121"/>
      <c r="W134" s="1121"/>
      <c r="X134" s="1121"/>
      <c r="Y134" s="1121"/>
      <c r="Z134" s="1121"/>
      <c r="AA134" s="1121"/>
      <c r="AB134" s="1121"/>
      <c r="AC134" s="1121"/>
      <c r="AD134" s="1121"/>
      <c r="AE134" s="1121"/>
      <c r="AF134" s="1121"/>
      <c r="AG134" s="288" t="s">
        <v>695</v>
      </c>
      <c r="AH134" s="1121" t="s">
        <v>695</v>
      </c>
      <c r="AI134" s="289"/>
      <c r="AJ134" s="1121"/>
      <c r="AK134" s="1121"/>
      <c r="AL134" s="1121"/>
      <c r="AM134" s="1121"/>
      <c r="AN134" s="315"/>
      <c r="AO134" s="315"/>
      <c r="AP134" s="315"/>
      <c r="AQ134" s="315">
        <f>+FL_1($T$135,$T$133,$G$134,1200,9.28, 1*$F$135)</f>
        <v>0.40334522966468156</v>
      </c>
      <c r="AR134" s="315"/>
      <c r="AS134" s="315"/>
      <c r="AT134" s="315"/>
      <c r="AU134" s="315"/>
      <c r="AV134" s="315"/>
      <c r="AW134" s="315"/>
      <c r="AX134" s="315"/>
      <c r="AY134" s="315" t="s">
        <v>695</v>
      </c>
      <c r="AZ134" s="315"/>
      <c r="BA134" s="315"/>
      <c r="BB134" s="306"/>
    </row>
    <row r="135" spans="1:54" ht="14.25">
      <c r="A135" s="287"/>
      <c r="B135" s="287" t="s">
        <v>2301</v>
      </c>
      <c r="C135" s="288">
        <f>+$C$133+$G$134</f>
        <v>13825</v>
      </c>
      <c r="D135" s="1121"/>
      <c r="E135" s="1121"/>
      <c r="F135" s="289">
        <v>2000</v>
      </c>
      <c r="G135" s="292"/>
      <c r="H135" s="291" t="s">
        <v>138</v>
      </c>
      <c r="I135" s="294" t="s">
        <v>656</v>
      </c>
      <c r="J135" s="288"/>
      <c r="K135" s="1121"/>
      <c r="L135" s="1121" t="s">
        <v>1062</v>
      </c>
      <c r="M135" s="1121" t="s">
        <v>2758</v>
      </c>
      <c r="N135" s="1121" t="s">
        <v>145</v>
      </c>
      <c r="O135" s="1121"/>
      <c r="P135" s="1121"/>
      <c r="Q135" s="1121">
        <v>127</v>
      </c>
      <c r="R135" s="292">
        <v>2000</v>
      </c>
      <c r="S135" s="292"/>
      <c r="T135" s="1121">
        <v>30</v>
      </c>
      <c r="U135" s="1121"/>
      <c r="V135" s="1121"/>
      <c r="W135" s="1121">
        <v>1.4</v>
      </c>
      <c r="X135" s="1121"/>
      <c r="Y135" s="1121"/>
      <c r="Z135" s="1121"/>
      <c r="AA135" s="1121"/>
      <c r="AB135" s="1121"/>
      <c r="AC135" s="1121" t="s">
        <v>2963</v>
      </c>
      <c r="AD135" s="1121"/>
      <c r="AE135" s="1121"/>
      <c r="AF135" s="1121">
        <v>6000</v>
      </c>
      <c r="AG135" s="288">
        <v>13823.48</v>
      </c>
      <c r="AH135" s="1121">
        <v>2611</v>
      </c>
      <c r="AI135" s="289">
        <v>678</v>
      </c>
      <c r="AJ135" s="1121"/>
      <c r="AK135" s="1121"/>
      <c r="AL135" s="1121"/>
      <c r="AM135" s="1121" t="s">
        <v>1228</v>
      </c>
      <c r="AN135" s="315">
        <v>5.5</v>
      </c>
      <c r="AO135" s="315"/>
      <c r="AP135" s="315"/>
      <c r="AQ135" s="315"/>
      <c r="AR135" s="315"/>
      <c r="AS135" s="315"/>
      <c r="AT135" s="315">
        <f>+ab($T$135,$T$133,$T$137,$G$134,$G$136, 1*$F$135,1200)</f>
        <v>7.4105416024574779</v>
      </c>
      <c r="AU135" s="315"/>
      <c r="AV135" s="315"/>
      <c r="AW135" s="315" t="s">
        <v>2630</v>
      </c>
      <c r="AX135" s="315" t="s">
        <v>1641</v>
      </c>
      <c r="AY135" s="315">
        <v>4.2</v>
      </c>
      <c r="AZ135" s="315"/>
      <c r="BA135" s="315"/>
      <c r="BB135" s="306"/>
    </row>
    <row r="136" spans="1:54" ht="14.25">
      <c r="A136" s="287"/>
      <c r="B136" s="287"/>
      <c r="C136" s="288"/>
      <c r="D136" s="1121"/>
      <c r="E136" s="1121"/>
      <c r="F136" s="289"/>
      <c r="G136" s="292">
        <v>48</v>
      </c>
      <c r="H136" s="291"/>
      <c r="I136" s="291"/>
      <c r="J136" s="288">
        <f>C135+7.5</f>
        <v>13832.5</v>
      </c>
      <c r="K136" s="1121" t="s">
        <v>3017</v>
      </c>
      <c r="L136" s="1121"/>
      <c r="M136" s="1121"/>
      <c r="N136" s="1121"/>
      <c r="O136" s="1121"/>
      <c r="P136" s="1121"/>
      <c r="Q136" s="1121"/>
      <c r="R136" s="292"/>
      <c r="S136" s="292">
        <f t="shared" si="23"/>
        <v>48.069999999999709</v>
      </c>
      <c r="T136" s="1121"/>
      <c r="U136" s="1121"/>
      <c r="V136" s="1121"/>
      <c r="W136" s="1121"/>
      <c r="X136" s="1121"/>
      <c r="Y136" s="1121"/>
      <c r="Z136" s="1121"/>
      <c r="AA136" s="1121"/>
      <c r="AB136" s="1121"/>
      <c r="AC136" s="1121"/>
      <c r="AD136" s="1121"/>
      <c r="AE136" s="1121"/>
      <c r="AF136" s="1121"/>
      <c r="AG136" s="288" t="s">
        <v>695</v>
      </c>
      <c r="AH136" s="1121" t="s">
        <v>695</v>
      </c>
      <c r="AI136" s="289"/>
      <c r="AJ136" s="1121"/>
      <c r="AK136" s="1121"/>
      <c r="AL136" s="1121"/>
      <c r="AM136" s="1121"/>
      <c r="AN136" s="315"/>
      <c r="AO136" s="315"/>
      <c r="AP136" s="315"/>
      <c r="AQ136" s="315">
        <f>+FL_1($T$137,$T$135,$G$136,1200,9.28, 1*$F$137)</f>
        <v>0.37871481562667275</v>
      </c>
      <c r="AR136" s="315"/>
      <c r="AS136" s="315"/>
      <c r="AT136" s="315"/>
      <c r="AU136" s="315"/>
      <c r="AV136" s="315"/>
      <c r="AW136" s="315" t="s">
        <v>2630</v>
      </c>
      <c r="AX136" s="315" t="s">
        <v>1641</v>
      </c>
      <c r="AY136" s="315"/>
      <c r="AZ136" s="315">
        <v>3.5</v>
      </c>
      <c r="BA136" s="315"/>
      <c r="BB136" s="306"/>
    </row>
    <row r="137" spans="1:54" ht="14.25">
      <c r="A137" s="287"/>
      <c r="B137" s="287" t="s">
        <v>2302</v>
      </c>
      <c r="C137" s="288">
        <f>+$C$135+$G$136</f>
        <v>13873</v>
      </c>
      <c r="D137" s="1121"/>
      <c r="E137" s="1121"/>
      <c r="F137" s="289">
        <v>2000</v>
      </c>
      <c r="G137" s="292"/>
      <c r="H137" s="1121"/>
      <c r="I137" s="294"/>
      <c r="J137" s="288"/>
      <c r="K137" s="1121"/>
      <c r="L137" s="1121" t="s">
        <v>231</v>
      </c>
      <c r="M137" s="1121" t="s">
        <v>2756</v>
      </c>
      <c r="N137" s="1121" t="s">
        <v>145</v>
      </c>
      <c r="O137" s="1121"/>
      <c r="P137" s="1121"/>
      <c r="Q137" s="1121">
        <v>125</v>
      </c>
      <c r="R137" s="292">
        <v>2000</v>
      </c>
      <c r="S137" s="292"/>
      <c r="T137" s="1121">
        <v>30</v>
      </c>
      <c r="U137" s="1121"/>
      <c r="V137" s="1121"/>
      <c r="W137" s="1121">
        <v>1.4</v>
      </c>
      <c r="X137" s="1121"/>
      <c r="Y137" s="1121"/>
      <c r="Z137" s="1121"/>
      <c r="AA137" s="1121"/>
      <c r="AB137" s="1121"/>
      <c r="AC137" s="1121" t="s">
        <v>2963</v>
      </c>
      <c r="AD137" s="1121"/>
      <c r="AE137" s="1121"/>
      <c r="AF137" s="1121">
        <v>6000</v>
      </c>
      <c r="AG137" s="288">
        <v>13871.55</v>
      </c>
      <c r="AH137" s="1121">
        <v>2525</v>
      </c>
      <c r="AI137" s="289">
        <v>692</v>
      </c>
      <c r="AJ137" s="1121"/>
      <c r="AK137" s="1121"/>
      <c r="AL137" s="1121"/>
      <c r="AM137" s="1121" t="s">
        <v>1228</v>
      </c>
      <c r="AN137" s="315">
        <v>5.5</v>
      </c>
      <c r="AO137" s="315"/>
      <c r="AP137" s="315"/>
      <c r="AQ137" s="315"/>
      <c r="AR137" s="315"/>
      <c r="AS137" s="315"/>
      <c r="AT137" s="315">
        <f>+ab($T$137,$T$135,$T$139,$G$136,$G$138, 1*$F$137,1200)</f>
        <v>7.7841056161698239</v>
      </c>
      <c r="AU137" s="315"/>
      <c r="AV137" s="315"/>
      <c r="AW137" s="315" t="s">
        <v>2630</v>
      </c>
      <c r="AX137" s="315" t="s">
        <v>1641</v>
      </c>
      <c r="AY137" s="315">
        <v>4.2</v>
      </c>
      <c r="AZ137" s="315"/>
      <c r="BA137" s="315"/>
      <c r="BB137" s="306"/>
    </row>
    <row r="138" spans="1:54" ht="14.25">
      <c r="A138" s="287"/>
      <c r="B138" s="287"/>
      <c r="C138" s="288"/>
      <c r="D138" s="1121"/>
      <c r="E138" s="1121"/>
      <c r="F138" s="289"/>
      <c r="G138" s="292">
        <v>50</v>
      </c>
      <c r="H138" s="291"/>
      <c r="I138" s="294"/>
      <c r="J138" s="288"/>
      <c r="K138" s="1121"/>
      <c r="L138" s="1121"/>
      <c r="M138" s="1121"/>
      <c r="N138" s="1121"/>
      <c r="O138" s="1121"/>
      <c r="P138" s="1121"/>
      <c r="Q138" s="1121"/>
      <c r="R138" s="292"/>
      <c r="S138" s="292">
        <f t="shared" si="23"/>
        <v>49.840000000000146</v>
      </c>
      <c r="T138" s="1121"/>
      <c r="U138" s="1121"/>
      <c r="V138" s="1121"/>
      <c r="W138" s="1121"/>
      <c r="X138" s="1121"/>
      <c r="Y138" s="1121"/>
      <c r="Z138" s="1121"/>
      <c r="AA138" s="1121"/>
      <c r="AB138" s="1121"/>
      <c r="AC138" s="1121"/>
      <c r="AD138" s="1121"/>
      <c r="AE138" s="1121"/>
      <c r="AF138" s="1121"/>
      <c r="AG138" s="288" t="s">
        <v>695</v>
      </c>
      <c r="AH138" s="1121" t="s">
        <v>695</v>
      </c>
      <c r="AI138" s="289"/>
      <c r="AJ138" s="1121"/>
      <c r="AK138" s="1121"/>
      <c r="AL138" s="1121"/>
      <c r="AM138" s="1121"/>
      <c r="AN138" s="315"/>
      <c r="AO138" s="315"/>
      <c r="AP138" s="315"/>
      <c r="AQ138" s="315">
        <f>+FL_1($T$139,$T$137,$G$138,1200,9.28, 1*$F$139)</f>
        <v>0.38541056267414808</v>
      </c>
      <c r="AR138" s="315"/>
      <c r="AS138" s="315"/>
      <c r="AT138" s="315"/>
      <c r="AU138" s="315"/>
      <c r="AV138" s="315"/>
      <c r="AW138" s="315"/>
      <c r="AX138" s="315"/>
      <c r="AY138" s="315" t="s">
        <v>695</v>
      </c>
      <c r="AZ138" s="315"/>
      <c r="BA138" s="315"/>
      <c r="BB138" s="306"/>
    </row>
    <row r="139" spans="1:54" ht="14.25">
      <c r="A139" s="287"/>
      <c r="B139" s="287" t="s">
        <v>2303</v>
      </c>
      <c r="C139" s="288">
        <f>+$C$137+$G$138</f>
        <v>13923</v>
      </c>
      <c r="D139" s="1121"/>
      <c r="E139" s="1121"/>
      <c r="F139" s="289">
        <v>2000</v>
      </c>
      <c r="G139" s="292"/>
      <c r="H139" s="291"/>
      <c r="I139" s="294"/>
      <c r="J139" s="288"/>
      <c r="K139" s="1121"/>
      <c r="L139" s="1121" t="s">
        <v>231</v>
      </c>
      <c r="M139" s="1121" t="s">
        <v>2756</v>
      </c>
      <c r="N139" s="1121" t="s">
        <v>145</v>
      </c>
      <c r="O139" s="1121"/>
      <c r="P139" s="1121"/>
      <c r="Q139" s="1121">
        <v>130</v>
      </c>
      <c r="R139" s="292">
        <v>2000</v>
      </c>
      <c r="S139" s="292"/>
      <c r="T139" s="1121">
        <v>30</v>
      </c>
      <c r="U139" s="1121"/>
      <c r="V139" s="1121"/>
      <c r="W139" s="1121">
        <v>1.4</v>
      </c>
      <c r="X139" s="1121"/>
      <c r="Y139" s="1121"/>
      <c r="Z139" s="1121"/>
      <c r="AA139" s="1121"/>
      <c r="AB139" s="1121"/>
      <c r="AC139" s="1121" t="s">
        <v>2963</v>
      </c>
      <c r="AD139" s="1121"/>
      <c r="AE139" s="1121"/>
      <c r="AF139" s="1121">
        <v>6000</v>
      </c>
      <c r="AG139" s="288">
        <v>13921.39</v>
      </c>
      <c r="AH139" s="1121">
        <v>2658</v>
      </c>
      <c r="AI139" s="289">
        <v>688</v>
      </c>
      <c r="AJ139" s="1121"/>
      <c r="AK139" s="1121"/>
      <c r="AL139" s="1121"/>
      <c r="AM139" s="1121" t="s">
        <v>1228</v>
      </c>
      <c r="AN139" s="315">
        <v>5.5</v>
      </c>
      <c r="AO139" s="315"/>
      <c r="AP139" s="315"/>
      <c r="AQ139" s="315"/>
      <c r="AR139" s="315"/>
      <c r="AS139" s="315"/>
      <c r="AT139" s="315">
        <f>+ab($T$139,$T$137,$T$141,$G$138,$G$140, 1*$F$139,1200)</f>
        <v>7.6302760504335234</v>
      </c>
      <c r="AU139" s="315"/>
      <c r="AV139" s="315"/>
      <c r="AW139" s="315" t="s">
        <v>2630</v>
      </c>
      <c r="AX139" s="315" t="s">
        <v>1641</v>
      </c>
      <c r="AY139" s="315">
        <v>4.2</v>
      </c>
      <c r="AZ139" s="315"/>
      <c r="BA139" s="315"/>
      <c r="BB139" s="306"/>
    </row>
    <row r="140" spans="1:54" ht="14.25">
      <c r="A140" s="287"/>
      <c r="B140" s="287"/>
      <c r="C140" s="288"/>
      <c r="D140" s="1121"/>
      <c r="E140" s="1121"/>
      <c r="F140" s="289"/>
      <c r="G140" s="292">
        <v>50</v>
      </c>
      <c r="H140" s="291"/>
      <c r="I140" s="294"/>
      <c r="J140" s="288"/>
      <c r="K140" s="1121"/>
      <c r="L140" s="1121"/>
      <c r="M140" s="1121"/>
      <c r="N140" s="1121"/>
      <c r="O140" s="1121"/>
      <c r="P140" s="1121"/>
      <c r="Q140" s="1121"/>
      <c r="R140" s="292"/>
      <c r="S140" s="292">
        <f t="shared" si="23"/>
        <v>49.940000000000509</v>
      </c>
      <c r="T140" s="1121"/>
      <c r="U140" s="1121"/>
      <c r="V140" s="1121"/>
      <c r="W140" s="1121"/>
      <c r="X140" s="1121"/>
      <c r="Y140" s="1121"/>
      <c r="Z140" s="1121"/>
      <c r="AA140" s="1121"/>
      <c r="AB140" s="1121"/>
      <c r="AC140" s="1121"/>
      <c r="AD140" s="1121"/>
      <c r="AE140" s="1121"/>
      <c r="AF140" s="1121"/>
      <c r="AG140" s="288" t="s">
        <v>695</v>
      </c>
      <c r="AH140" s="1121" t="s">
        <v>695</v>
      </c>
      <c r="AI140" s="289"/>
      <c r="AJ140" s="1121"/>
      <c r="AK140" s="1121"/>
      <c r="AL140" s="1121"/>
      <c r="AM140" s="1121"/>
      <c r="AN140" s="315"/>
      <c r="AO140" s="315"/>
      <c r="AP140" s="315"/>
      <c r="AQ140" s="315">
        <f>+FL_1($T$141,$T$139,$G$140,1200,9.28, 1*$F$141)</f>
        <v>0.38541056267414808</v>
      </c>
      <c r="AR140" s="315"/>
      <c r="AS140" s="315"/>
      <c r="AT140" s="315"/>
      <c r="AU140" s="315"/>
      <c r="AV140" s="315"/>
      <c r="AW140" s="315"/>
      <c r="AX140" s="315"/>
      <c r="AY140" s="315" t="s">
        <v>695</v>
      </c>
      <c r="AZ140" s="315"/>
      <c r="BA140" s="315"/>
      <c r="BB140" s="306"/>
    </row>
    <row r="141" spans="1:54" ht="14.25">
      <c r="A141" s="287"/>
      <c r="B141" s="287" t="s">
        <v>2304</v>
      </c>
      <c r="C141" s="288">
        <f>+$C$139+$G$140</f>
        <v>13973</v>
      </c>
      <c r="D141" s="1121"/>
      <c r="E141" s="1121"/>
      <c r="F141" s="289">
        <v>2000</v>
      </c>
      <c r="G141" s="292"/>
      <c r="H141" s="291"/>
      <c r="I141" s="294"/>
      <c r="J141" s="288"/>
      <c r="K141" s="1121"/>
      <c r="L141" s="1121" t="s">
        <v>231</v>
      </c>
      <c r="M141" s="1121" t="s">
        <v>2756</v>
      </c>
      <c r="N141" s="1121" t="s">
        <v>145</v>
      </c>
      <c r="O141" s="1121"/>
      <c r="P141" s="1121"/>
      <c r="Q141" s="1121">
        <v>120</v>
      </c>
      <c r="R141" s="292">
        <v>2000</v>
      </c>
      <c r="S141" s="292"/>
      <c r="T141" s="1121">
        <v>30</v>
      </c>
      <c r="U141" s="1121"/>
      <c r="V141" s="1121"/>
      <c r="W141" s="1121">
        <v>1.4</v>
      </c>
      <c r="X141" s="1121"/>
      <c r="Y141" s="1121"/>
      <c r="Z141" s="1121"/>
      <c r="AA141" s="1121"/>
      <c r="AB141" s="1121"/>
      <c r="AC141" s="1121" t="s">
        <v>2963</v>
      </c>
      <c r="AD141" s="1121"/>
      <c r="AE141" s="1121"/>
      <c r="AF141" s="1121">
        <v>6000</v>
      </c>
      <c r="AG141" s="288">
        <v>13971.33</v>
      </c>
      <c r="AH141" s="1121">
        <v>2634</v>
      </c>
      <c r="AI141" s="289">
        <v>718</v>
      </c>
      <c r="AJ141" s="1121"/>
      <c r="AK141" s="1121"/>
      <c r="AL141" s="1121"/>
      <c r="AM141" s="1121" t="s">
        <v>1228</v>
      </c>
      <c r="AN141" s="315">
        <v>5.5</v>
      </c>
      <c r="AO141" s="315"/>
      <c r="AP141" s="315"/>
      <c r="AQ141" s="315"/>
      <c r="AR141" s="315"/>
      <c r="AS141" s="315"/>
      <c r="AT141" s="315">
        <f>+ab($T$141,$T$139,$T$143,$G$140,$G$142, 1*$F$141,1200)</f>
        <v>7.2030436965217843</v>
      </c>
      <c r="AU141" s="315"/>
      <c r="AV141" s="315"/>
      <c r="AW141" s="315" t="s">
        <v>2630</v>
      </c>
      <c r="AX141" s="315" t="s">
        <v>1641</v>
      </c>
      <c r="AY141" s="315">
        <v>4.2</v>
      </c>
      <c r="AZ141" s="315"/>
      <c r="BA141" s="315"/>
      <c r="BB141" s="306"/>
    </row>
    <row r="142" spans="1:54" ht="14.25">
      <c r="A142" s="287"/>
      <c r="B142" s="287"/>
      <c r="C142" s="288"/>
      <c r="D142" s="1121"/>
      <c r="E142" s="1121"/>
      <c r="F142" s="289"/>
      <c r="G142" s="292">
        <v>56</v>
      </c>
      <c r="H142" s="291"/>
      <c r="I142" s="291"/>
      <c r="J142" s="288"/>
      <c r="K142" s="1121"/>
      <c r="L142" s="1121"/>
      <c r="M142" s="1121"/>
      <c r="N142" s="1121"/>
      <c r="O142" s="1121"/>
      <c r="P142" s="1121"/>
      <c r="Q142" s="1121"/>
      <c r="R142" s="292"/>
      <c r="S142" s="292">
        <f t="shared" si="23"/>
        <v>55.719999999999345</v>
      </c>
      <c r="T142" s="1121"/>
      <c r="U142" s="1121"/>
      <c r="V142" s="1121"/>
      <c r="W142" s="1121"/>
      <c r="X142" s="1121"/>
      <c r="Y142" s="1121"/>
      <c r="Z142" s="1121"/>
      <c r="AA142" s="1121"/>
      <c r="AB142" s="1121"/>
      <c r="AC142" s="1121"/>
      <c r="AD142" s="1121"/>
      <c r="AE142" s="1121"/>
      <c r="AF142" s="1121"/>
      <c r="AG142" s="288" t="s">
        <v>695</v>
      </c>
      <c r="AH142" s="1121" t="s">
        <v>695</v>
      </c>
      <c r="AI142" s="289"/>
      <c r="AJ142" s="1121"/>
      <c r="AK142" s="1121"/>
      <c r="AL142" s="1121"/>
      <c r="AM142" s="1121"/>
      <c r="AN142" s="315"/>
      <c r="AO142" s="315"/>
      <c r="AP142" s="315"/>
      <c r="AQ142" s="315">
        <f>+FL_1($T$143,$T$141,$G$142,1200,9.28, 1*$F$143)</f>
        <v>0.41203776427968031</v>
      </c>
      <c r="AR142" s="315"/>
      <c r="AS142" s="315"/>
      <c r="AT142" s="315"/>
      <c r="AU142" s="315"/>
      <c r="AV142" s="315"/>
      <c r="AW142" s="315"/>
      <c r="AX142" s="315"/>
      <c r="AY142" s="315" t="s">
        <v>695</v>
      </c>
      <c r="AZ142" s="315"/>
      <c r="BA142" s="315"/>
      <c r="BB142" s="306"/>
    </row>
    <row r="143" spans="1:54" ht="14.25">
      <c r="A143" s="287"/>
      <c r="B143" s="287" t="s">
        <v>2305</v>
      </c>
      <c r="C143" s="288">
        <f>+$C$141+$G$142</f>
        <v>14029</v>
      </c>
      <c r="D143" s="1121"/>
      <c r="E143" s="1121"/>
      <c r="F143" s="289">
        <f>160*2000/-(C143-14185)</f>
        <v>2051.2820512820513</v>
      </c>
      <c r="G143" s="292"/>
      <c r="H143" s="291"/>
      <c r="I143" s="291"/>
      <c r="J143" s="288"/>
      <c r="K143" s="1121"/>
      <c r="L143" s="1121" t="s">
        <v>231</v>
      </c>
      <c r="M143" s="1121" t="s">
        <v>2756</v>
      </c>
      <c r="N143" s="1121" t="s">
        <v>145</v>
      </c>
      <c r="O143" s="1121"/>
      <c r="P143" s="1121"/>
      <c r="Q143" s="1121">
        <v>126</v>
      </c>
      <c r="R143" s="292">
        <v>2000</v>
      </c>
      <c r="S143" s="292"/>
      <c r="T143" s="1121">
        <v>30</v>
      </c>
      <c r="U143" s="1121"/>
      <c r="V143" s="1121"/>
      <c r="W143" s="1121">
        <v>1.4</v>
      </c>
      <c r="X143" s="1121"/>
      <c r="Y143" s="1121"/>
      <c r="Z143" s="1121"/>
      <c r="AA143" s="1121"/>
      <c r="AB143" s="1121"/>
      <c r="AC143" s="1121" t="s">
        <v>2963</v>
      </c>
      <c r="AD143" s="1121"/>
      <c r="AE143" s="1121"/>
      <c r="AF143" s="1121">
        <v>6000</v>
      </c>
      <c r="AG143" s="288">
        <v>14027.05</v>
      </c>
      <c r="AH143" s="1121">
        <v>2651</v>
      </c>
      <c r="AI143" s="289">
        <v>689</v>
      </c>
      <c r="AJ143" s="1121"/>
      <c r="AK143" s="1121"/>
      <c r="AL143" s="1121"/>
      <c r="AM143" s="1121" t="s">
        <v>1228</v>
      </c>
      <c r="AN143" s="315">
        <v>5.5</v>
      </c>
      <c r="AO143" s="315"/>
      <c r="AP143" s="315"/>
      <c r="AQ143" s="315"/>
      <c r="AR143" s="315"/>
      <c r="AS143" s="315"/>
      <c r="AT143" s="315">
        <f>+ab($T$143,$T$141,$T$145,$G$142,$G$144, 1*$F$143,1200)</f>
        <v>6.5685593997037985</v>
      </c>
      <c r="AU143" s="315"/>
      <c r="AV143" s="315"/>
      <c r="AW143" s="315" t="s">
        <v>2634</v>
      </c>
      <c r="AX143" s="315" t="s">
        <v>1641</v>
      </c>
      <c r="AY143" s="315">
        <v>4.2</v>
      </c>
      <c r="AZ143" s="315"/>
      <c r="BA143" s="315"/>
      <c r="BB143" s="306"/>
    </row>
    <row r="144" spans="1:54" ht="14.25">
      <c r="A144" s="287"/>
      <c r="B144" s="287"/>
      <c r="C144" s="288"/>
      <c r="D144" s="1121"/>
      <c r="E144" s="1121"/>
      <c r="F144" s="289"/>
      <c r="G144" s="292">
        <v>56</v>
      </c>
      <c r="H144" s="291"/>
      <c r="I144" s="291"/>
      <c r="J144" s="288"/>
      <c r="K144" s="1121"/>
      <c r="L144" s="1121"/>
      <c r="M144" s="1121"/>
      <c r="N144" s="1121"/>
      <c r="O144" s="1121"/>
      <c r="P144" s="1121"/>
      <c r="Q144" s="1121"/>
      <c r="R144" s="292"/>
      <c r="S144" s="292">
        <f t="shared" si="23"/>
        <v>55.970000000001164</v>
      </c>
      <c r="T144" s="1121"/>
      <c r="U144" s="1121"/>
      <c r="V144" s="1121"/>
      <c r="W144" s="1121"/>
      <c r="X144" s="1121"/>
      <c r="Y144" s="1121"/>
      <c r="Z144" s="1121"/>
      <c r="AA144" s="1121"/>
      <c r="AB144" s="1121"/>
      <c r="AC144" s="1121"/>
      <c r="AD144" s="1121"/>
      <c r="AE144" s="1121"/>
      <c r="AF144" s="1121"/>
      <c r="AG144" s="288" t="s">
        <v>695</v>
      </c>
      <c r="AH144" s="1121" t="s">
        <v>695</v>
      </c>
      <c r="AI144" s="289"/>
      <c r="AJ144" s="1121"/>
      <c r="AK144" s="1121"/>
      <c r="AL144" s="1121"/>
      <c r="AM144" s="1121"/>
      <c r="AN144" s="315"/>
      <c r="AO144" s="315"/>
      <c r="AP144" s="315"/>
      <c r="AQ144" s="315">
        <f>+FL_1($T$145,$T$143,$G$144,1200,9.28, 1*$F$145)</f>
        <v>0.43410419779996656</v>
      </c>
      <c r="AR144" s="315"/>
      <c r="AS144" s="315"/>
      <c r="AT144" s="315"/>
      <c r="AU144" s="315"/>
      <c r="AV144" s="315"/>
      <c r="AW144" s="315"/>
      <c r="AX144" s="315"/>
      <c r="AY144" s="315" t="s">
        <v>695</v>
      </c>
      <c r="AZ144" s="315"/>
      <c r="BA144" s="315"/>
      <c r="BB144" s="306"/>
    </row>
    <row r="145" spans="1:54" ht="14.25">
      <c r="A145" s="287"/>
      <c r="B145" s="287" t="s">
        <v>2306</v>
      </c>
      <c r="C145" s="288">
        <f>+$C$143+$G$144</f>
        <v>14085</v>
      </c>
      <c r="D145" s="1121"/>
      <c r="E145" s="1121"/>
      <c r="F145" s="289">
        <f t="shared" ref="F145" si="26">160*2000/-(C145-14185)</f>
        <v>3200</v>
      </c>
      <c r="G145" s="292"/>
      <c r="H145" s="291"/>
      <c r="I145" s="291"/>
      <c r="J145" s="288"/>
      <c r="K145" s="1121"/>
      <c r="L145" s="1121" t="s">
        <v>230</v>
      </c>
      <c r="M145" s="1121" t="s">
        <v>2757</v>
      </c>
      <c r="N145" s="1121" t="s">
        <v>145</v>
      </c>
      <c r="O145" s="1121"/>
      <c r="P145" s="1121"/>
      <c r="Q145" s="1121">
        <v>79</v>
      </c>
      <c r="R145" s="292">
        <v>2369.14</v>
      </c>
      <c r="S145" s="292"/>
      <c r="T145" s="1121">
        <v>20</v>
      </c>
      <c r="U145" s="1121"/>
      <c r="V145" s="1121"/>
      <c r="W145" s="1121">
        <v>1.4</v>
      </c>
      <c r="X145" s="1121"/>
      <c r="Y145" s="1121"/>
      <c r="Z145" s="1121"/>
      <c r="AA145" s="1121"/>
      <c r="AB145" s="1121"/>
      <c r="AC145" s="1121" t="s">
        <v>2963</v>
      </c>
      <c r="AD145" s="1121"/>
      <c r="AE145" s="1121"/>
      <c r="AF145" s="1121">
        <v>6000</v>
      </c>
      <c r="AG145" s="288">
        <v>14083.02</v>
      </c>
      <c r="AH145" s="1121">
        <v>2608</v>
      </c>
      <c r="AI145" s="289">
        <v>654</v>
      </c>
      <c r="AJ145" s="1121"/>
      <c r="AK145" s="1121"/>
      <c r="AL145" s="1121"/>
      <c r="AM145" s="1121" t="s">
        <v>1228</v>
      </c>
      <c r="AN145" s="315">
        <v>5.5</v>
      </c>
      <c r="AO145" s="315"/>
      <c r="AP145" s="315"/>
      <c r="AQ145" s="315"/>
      <c r="AR145" s="315"/>
      <c r="AS145" s="315"/>
      <c r="AT145" s="315">
        <f>+ab($T$145,$T$143,$T$147,$G$144,$G$146, 1*$F$145,1200)</f>
        <v>7.7303058269535345</v>
      </c>
      <c r="AU145" s="315"/>
      <c r="AV145" s="315"/>
      <c r="AW145" s="315" t="s">
        <v>2634</v>
      </c>
      <c r="AX145" s="315" t="s">
        <v>1641</v>
      </c>
      <c r="AY145" s="315">
        <v>4.2</v>
      </c>
      <c r="AZ145" s="315"/>
      <c r="BA145" s="315"/>
      <c r="BB145" s="306"/>
    </row>
    <row r="146" spans="1:54" ht="14.25">
      <c r="A146" s="287"/>
      <c r="B146" s="287"/>
      <c r="C146" s="288"/>
      <c r="D146" s="1121"/>
      <c r="E146" s="1121"/>
      <c r="F146" s="289"/>
      <c r="G146" s="292">
        <v>60</v>
      </c>
      <c r="H146" s="1121"/>
      <c r="I146" s="289"/>
      <c r="J146" s="288"/>
      <c r="K146" s="1121"/>
      <c r="L146" s="1121"/>
      <c r="M146" s="1121"/>
      <c r="N146" s="1121"/>
      <c r="O146" s="1121"/>
      <c r="P146" s="1121"/>
      <c r="Q146" s="1121"/>
      <c r="R146" s="292"/>
      <c r="S146" s="292">
        <f t="shared" si="23"/>
        <v>59.869999999998981</v>
      </c>
      <c r="T146" s="1121"/>
      <c r="U146" s="1121"/>
      <c r="V146" s="1121"/>
      <c r="W146" s="1121"/>
      <c r="X146" s="1121"/>
      <c r="Y146" s="1121"/>
      <c r="Z146" s="1121"/>
      <c r="AA146" s="1121"/>
      <c r="AB146" s="1121"/>
      <c r="AC146" s="1121"/>
      <c r="AD146" s="1121"/>
      <c r="AE146" s="1121"/>
      <c r="AF146" s="1121"/>
      <c r="AG146" s="288" t="s">
        <v>695</v>
      </c>
      <c r="AH146" s="1121" t="s">
        <v>695</v>
      </c>
      <c r="AI146" s="289"/>
      <c r="AJ146" s="1121"/>
      <c r="AK146" s="1121"/>
      <c r="AL146" s="1121"/>
      <c r="AM146" s="1121"/>
      <c r="AN146" s="315"/>
      <c r="AO146" s="315"/>
      <c r="AP146" s="315"/>
      <c r="AQ146" s="315">
        <f>+FL_2($T$147,$T$145,$G$146,1200,9.28, 1*$F$147)</f>
        <v>-0.49290198038750382</v>
      </c>
      <c r="AR146" s="315"/>
      <c r="AS146" s="315"/>
      <c r="AT146" s="315"/>
      <c r="AU146" s="315"/>
      <c r="AV146" s="315"/>
      <c r="AW146" s="315"/>
      <c r="AX146" s="315"/>
      <c r="AY146" s="315" t="s">
        <v>695</v>
      </c>
      <c r="AZ146" s="315"/>
      <c r="BA146" s="315"/>
      <c r="BB146" s="306"/>
    </row>
    <row r="147" spans="1:54" ht="14.25">
      <c r="A147" s="287"/>
      <c r="B147" s="287" t="s">
        <v>2307</v>
      </c>
      <c r="C147" s="288">
        <f>+$C$145+$G$146</f>
        <v>14145</v>
      </c>
      <c r="D147" s="1121"/>
      <c r="E147" s="1121"/>
      <c r="F147" s="289">
        <f t="shared" ref="F147" si="27">160*2000/-(C147-14185)</f>
        <v>8000</v>
      </c>
      <c r="G147" s="292"/>
      <c r="H147" s="1121"/>
      <c r="I147" s="289"/>
      <c r="J147" s="288"/>
      <c r="K147" s="1121"/>
      <c r="L147" s="1121" t="s">
        <v>230</v>
      </c>
      <c r="M147" s="1121" t="s">
        <v>2757</v>
      </c>
      <c r="N147" s="1121" t="s">
        <v>144</v>
      </c>
      <c r="O147" s="1121"/>
      <c r="P147" s="1121"/>
      <c r="Q147" s="1121">
        <v>32</v>
      </c>
      <c r="R147" s="292">
        <v>9269.43</v>
      </c>
      <c r="S147" s="292"/>
      <c r="T147" s="1121">
        <v>-30</v>
      </c>
      <c r="U147" s="1121"/>
      <c r="V147" s="1121"/>
      <c r="W147" s="1121">
        <v>1.4</v>
      </c>
      <c r="X147" s="1121"/>
      <c r="Y147" s="1121"/>
      <c r="Z147" s="1121"/>
      <c r="AA147" s="1121"/>
      <c r="AB147" s="1121"/>
      <c r="AC147" s="1121" t="s">
        <v>1702</v>
      </c>
      <c r="AD147" s="1121"/>
      <c r="AE147" s="1121"/>
      <c r="AF147" s="1121">
        <v>6000</v>
      </c>
      <c r="AG147" s="288">
        <v>14142.89</v>
      </c>
      <c r="AH147" s="1121">
        <v>2607</v>
      </c>
      <c r="AI147" s="289">
        <v>662</v>
      </c>
      <c r="AJ147" s="1121"/>
      <c r="AK147" s="1121"/>
      <c r="AL147" s="1121"/>
      <c r="AM147" s="1121" t="s">
        <v>1228</v>
      </c>
      <c r="AN147" s="315">
        <v>5.5</v>
      </c>
      <c r="AO147" s="315"/>
      <c r="AP147" s="315"/>
      <c r="AQ147" s="315"/>
      <c r="AR147" s="315"/>
      <c r="AS147" s="315"/>
      <c r="AT147" s="315">
        <f>+ab($T$147,$T$145,$T$149,$G$146,$G$148, 1*$F$147,1200)</f>
        <v>-17.320183185476019</v>
      </c>
      <c r="AU147" s="315"/>
      <c r="AV147" s="315"/>
      <c r="AW147" s="315" t="s">
        <v>2634</v>
      </c>
      <c r="AX147" s="315" t="s">
        <v>1641</v>
      </c>
      <c r="AY147" s="315">
        <v>4.2</v>
      </c>
      <c r="AZ147" s="315"/>
      <c r="BA147" s="315"/>
      <c r="BB147" s="306"/>
    </row>
    <row r="148" spans="1:54" ht="14.25">
      <c r="A148" s="287"/>
      <c r="B148" s="287"/>
      <c r="C148" s="288"/>
      <c r="D148" s="1121"/>
      <c r="E148" s="1121"/>
      <c r="F148" s="289"/>
      <c r="G148" s="292">
        <v>64</v>
      </c>
      <c r="H148" s="1121"/>
      <c r="I148" s="289"/>
      <c r="J148" s="288"/>
      <c r="K148" s="1121"/>
      <c r="L148" s="1121"/>
      <c r="M148" s="1121"/>
      <c r="N148" s="1121"/>
      <c r="O148" s="1121"/>
      <c r="P148" s="1121"/>
      <c r="Q148" s="1121"/>
      <c r="R148" s="292"/>
      <c r="S148" s="292">
        <f t="shared" si="23"/>
        <v>64.069999999999709</v>
      </c>
      <c r="T148" s="1121"/>
      <c r="U148" s="1121"/>
      <c r="V148" s="1121"/>
      <c r="W148" s="1121"/>
      <c r="X148" s="1121"/>
      <c r="Y148" s="1121"/>
      <c r="Z148" s="1121"/>
      <c r="AA148" s="1121"/>
      <c r="AB148" s="1121"/>
      <c r="AC148" s="1121"/>
      <c r="AD148" s="1121"/>
      <c r="AE148" s="1121"/>
      <c r="AF148" s="1121"/>
      <c r="AG148" s="288" t="s">
        <v>695</v>
      </c>
      <c r="AH148" s="1121" t="s">
        <v>695</v>
      </c>
      <c r="AI148" s="289"/>
      <c r="AJ148" s="1121"/>
      <c r="AK148" s="1121"/>
      <c r="AL148" s="1121"/>
      <c r="AM148" s="1121"/>
      <c r="AN148" s="315"/>
      <c r="AO148" s="315"/>
      <c r="AP148" s="315"/>
      <c r="AQ148" s="315">
        <f>+FL_1($T$149,$T$147,$G$148,1200,9.28, 1*$F$149)</f>
        <v>0.48763809449999995</v>
      </c>
      <c r="AR148" s="315"/>
      <c r="AS148" s="315"/>
      <c r="AT148" s="315"/>
      <c r="AU148" s="315"/>
      <c r="AV148" s="315"/>
      <c r="AW148" s="315"/>
      <c r="AX148" s="315"/>
      <c r="AY148" s="315" t="s">
        <v>695</v>
      </c>
      <c r="AZ148" s="315"/>
      <c r="BA148" s="315"/>
      <c r="BB148" s="306"/>
    </row>
    <row r="149" spans="1:54" ht="14.25">
      <c r="A149" s="287"/>
      <c r="B149" s="287" t="s">
        <v>2308</v>
      </c>
      <c r="C149" s="288">
        <f>+$C$147+$G$148</f>
        <v>14209</v>
      </c>
      <c r="D149" s="1121"/>
      <c r="E149" s="1121"/>
      <c r="F149" s="289">
        <v>0</v>
      </c>
      <c r="G149" s="292"/>
      <c r="H149" s="291"/>
      <c r="I149" s="291"/>
      <c r="J149" s="288"/>
      <c r="K149" s="1121"/>
      <c r="L149" s="1121" t="s">
        <v>230</v>
      </c>
      <c r="M149" s="1121" t="s">
        <v>2757</v>
      </c>
      <c r="N149" s="1121" t="s">
        <v>145</v>
      </c>
      <c r="O149" s="1121"/>
      <c r="P149" s="1121"/>
      <c r="Q149" s="1121">
        <v>4</v>
      </c>
      <c r="R149" s="289">
        <v>0</v>
      </c>
      <c r="S149" s="292"/>
      <c r="T149" s="1121">
        <v>35</v>
      </c>
      <c r="U149" s="1121"/>
      <c r="V149" s="1121"/>
      <c r="W149" s="1121">
        <v>1.4</v>
      </c>
      <c r="X149" s="1121"/>
      <c r="Y149" s="1121"/>
      <c r="Z149" s="1121"/>
      <c r="AA149" s="1121"/>
      <c r="AB149" s="1121"/>
      <c r="AC149" s="1121" t="s">
        <v>1704</v>
      </c>
      <c r="AD149" s="1121"/>
      <c r="AE149" s="1121"/>
      <c r="AF149" s="1121">
        <v>6000</v>
      </c>
      <c r="AG149" s="288">
        <v>14206.96</v>
      </c>
      <c r="AH149" s="1121">
        <v>2555</v>
      </c>
      <c r="AI149" s="289">
        <v>661</v>
      </c>
      <c r="AJ149" s="1121"/>
      <c r="AK149" s="1121"/>
      <c r="AL149" s="1121"/>
      <c r="AM149" s="1121" t="s">
        <v>1228</v>
      </c>
      <c r="AN149" s="315">
        <v>5.5</v>
      </c>
      <c r="AO149" s="315"/>
      <c r="AP149" s="315"/>
      <c r="AQ149" s="315"/>
      <c r="AR149" s="315"/>
      <c r="AS149" s="315"/>
      <c r="AT149" s="315">
        <f>+ab($T$149,$T$147,$T$151,$G$148,$G$150, 1*$F$149,1200)</f>
        <v>8.6479130554044126</v>
      </c>
      <c r="AU149" s="315"/>
      <c r="AV149" s="315"/>
      <c r="AW149" s="315" t="s">
        <v>2634</v>
      </c>
      <c r="AX149" s="315" t="s">
        <v>1641</v>
      </c>
      <c r="AY149" s="315">
        <v>4.2</v>
      </c>
      <c r="AZ149" s="315"/>
      <c r="BA149" s="315"/>
      <c r="BB149" s="306"/>
    </row>
    <row r="150" spans="1:54" ht="14.25">
      <c r="A150" s="287"/>
      <c r="B150" s="287"/>
      <c r="C150" s="288"/>
      <c r="D150" s="1121"/>
      <c r="E150" s="1121"/>
      <c r="F150" s="289"/>
      <c r="G150" s="292">
        <v>59</v>
      </c>
      <c r="H150" s="1121"/>
      <c r="I150" s="289"/>
      <c r="J150" s="288">
        <f>C151-7.5</f>
        <v>14260.5</v>
      </c>
      <c r="K150" s="1121" t="s">
        <v>3018</v>
      </c>
      <c r="L150" s="1121"/>
      <c r="M150" s="1121"/>
      <c r="N150" s="1121"/>
      <c r="O150" s="1121"/>
      <c r="P150" s="1121"/>
      <c r="Q150" s="1121"/>
      <c r="R150" s="292"/>
      <c r="S150" s="292">
        <f t="shared" si="23"/>
        <v>58.970000000001164</v>
      </c>
      <c r="T150" s="1121"/>
      <c r="U150" s="1121"/>
      <c r="V150" s="1121"/>
      <c r="W150" s="1121"/>
      <c r="X150" s="1121"/>
      <c r="Y150" s="1121"/>
      <c r="Z150" s="1121"/>
      <c r="AA150" s="1121"/>
      <c r="AB150" s="1121"/>
      <c r="AC150" s="1121"/>
      <c r="AD150" s="1121"/>
      <c r="AE150" s="1121"/>
      <c r="AF150" s="1121"/>
      <c r="AG150" s="288" t="s">
        <v>695</v>
      </c>
      <c r="AH150" s="1121" t="s">
        <v>695</v>
      </c>
      <c r="AI150" s="289"/>
      <c r="AJ150" s="1121"/>
      <c r="AK150" s="1121"/>
      <c r="AL150" s="1121"/>
      <c r="AM150" s="1121"/>
      <c r="AN150" s="315"/>
      <c r="AO150" s="315"/>
      <c r="AP150" s="315"/>
      <c r="AQ150" s="315">
        <f>+FL_2($T$151,$T$149,$G$150,1200,9.28, 1*$F$151)</f>
        <v>-0.42750796800000002</v>
      </c>
      <c r="AR150" s="315"/>
      <c r="AS150" s="315"/>
      <c r="AT150" s="315"/>
      <c r="AU150" s="315"/>
      <c r="AV150" s="315"/>
      <c r="AW150" s="315" t="s">
        <v>2634</v>
      </c>
      <c r="AX150" s="315" t="s">
        <v>1641</v>
      </c>
      <c r="AY150" s="315"/>
      <c r="AZ150" s="315">
        <v>3.5</v>
      </c>
      <c r="BA150" s="315"/>
      <c r="BB150" s="306"/>
    </row>
    <row r="151" spans="1:54" ht="14.25">
      <c r="A151" s="287"/>
      <c r="B151" s="1036" t="s">
        <v>2309</v>
      </c>
      <c r="C151" s="288">
        <f>+$C$149+$G$150</f>
        <v>14268</v>
      </c>
      <c r="D151" s="1121"/>
      <c r="E151" s="1121"/>
      <c r="F151" s="289">
        <v>0</v>
      </c>
      <c r="G151" s="292"/>
      <c r="H151" s="291" t="s">
        <v>954</v>
      </c>
      <c r="I151" s="291"/>
      <c r="J151" s="288"/>
      <c r="K151" s="1121"/>
      <c r="L151" s="1121" t="s">
        <v>231</v>
      </c>
      <c r="M151" s="1121" t="s">
        <v>2756</v>
      </c>
      <c r="N151" s="1121" t="s">
        <v>144</v>
      </c>
      <c r="O151" s="1121"/>
      <c r="P151" s="1121"/>
      <c r="Q151" s="1121">
        <v>0</v>
      </c>
      <c r="R151" s="289">
        <v>0</v>
      </c>
      <c r="S151" s="292"/>
      <c r="T151" s="1121">
        <v>-35</v>
      </c>
      <c r="U151" s="1121"/>
      <c r="V151" s="1121"/>
      <c r="W151" s="1121">
        <v>1.4</v>
      </c>
      <c r="X151" s="1121"/>
      <c r="Y151" s="1121"/>
      <c r="Z151" s="1121"/>
      <c r="AA151" s="1121"/>
      <c r="AB151" s="1121"/>
      <c r="AC151" s="1121" t="s">
        <v>1704</v>
      </c>
      <c r="AD151" s="1121"/>
      <c r="AE151" s="1121"/>
      <c r="AF151" s="1121">
        <v>6000</v>
      </c>
      <c r="AG151" s="288">
        <v>14265.93</v>
      </c>
      <c r="AH151" s="1121">
        <v>2570</v>
      </c>
      <c r="AI151" s="289">
        <v>707</v>
      </c>
      <c r="AJ151" s="1121"/>
      <c r="AK151" s="1121"/>
      <c r="AL151" s="1121"/>
      <c r="AM151" s="1121" t="s">
        <v>1228</v>
      </c>
      <c r="AN151" s="315">
        <v>5.5</v>
      </c>
      <c r="AO151" s="315"/>
      <c r="AP151" s="315"/>
      <c r="AQ151" s="315"/>
      <c r="AR151" s="315"/>
      <c r="AS151" s="315"/>
      <c r="AT151" s="315">
        <f>+ab($T$151,$T$149,$T$153,$G$150,$G$152, 1*$F$151,1200)</f>
        <v>-8.7088178656477488</v>
      </c>
      <c r="AU151" s="315"/>
      <c r="AV151" s="315"/>
      <c r="AW151" s="315" t="s">
        <v>2634</v>
      </c>
      <c r="AX151" s="315" t="s">
        <v>1641</v>
      </c>
      <c r="AY151" s="315">
        <v>4.2</v>
      </c>
      <c r="AZ151" s="315"/>
      <c r="BA151" s="315"/>
      <c r="BB151" s="306"/>
    </row>
    <row r="152" spans="1:54" ht="14.25">
      <c r="A152" s="287"/>
      <c r="B152" s="287"/>
      <c r="C152" s="288"/>
      <c r="D152" s="1121"/>
      <c r="E152" s="1121"/>
      <c r="F152" s="289"/>
      <c r="G152" s="292">
        <v>65</v>
      </c>
      <c r="H152" s="291"/>
      <c r="I152" s="294">
        <f>SUM(G129:G152)</f>
        <v>673</v>
      </c>
      <c r="J152" s="288"/>
      <c r="K152" s="1121"/>
      <c r="L152" s="1121"/>
      <c r="M152" s="1121"/>
      <c r="N152" s="1121"/>
      <c r="O152" s="1121"/>
      <c r="P152" s="1121"/>
      <c r="Q152" s="1121"/>
      <c r="R152" s="292"/>
      <c r="S152" s="292">
        <f t="shared" ref="S152:S214" si="28">+AG153-AG151</f>
        <v>64.979999999999563</v>
      </c>
      <c r="T152" s="1121"/>
      <c r="U152" s="1121"/>
      <c r="V152" s="1121"/>
      <c r="W152" s="1121"/>
      <c r="X152" s="1121"/>
      <c r="Y152" s="1121"/>
      <c r="Z152" s="1121"/>
      <c r="AA152" s="1121"/>
      <c r="AB152" s="1121"/>
      <c r="AC152" s="1121"/>
      <c r="AD152" s="1121"/>
      <c r="AE152" s="1121"/>
      <c r="AF152" s="1121"/>
      <c r="AG152" s="288" t="s">
        <v>695</v>
      </c>
      <c r="AH152" s="1121" t="s">
        <v>695</v>
      </c>
      <c r="AI152" s="289"/>
      <c r="AJ152" s="1121"/>
      <c r="AK152" s="1121"/>
      <c r="AL152" s="1121"/>
      <c r="AM152" s="1121"/>
      <c r="AN152" s="315"/>
      <c r="AO152" s="315"/>
      <c r="AP152" s="315"/>
      <c r="AQ152" s="315">
        <f>+FL_1($T$153,$T$151,$G$152,1200,9.28, 1*$F$153)</f>
        <v>0.44807183866666667</v>
      </c>
      <c r="AR152" s="315"/>
      <c r="AS152" s="315"/>
      <c r="AT152" s="315"/>
      <c r="AU152" s="315"/>
      <c r="AV152" s="315"/>
      <c r="AW152" s="315"/>
      <c r="AX152" s="315"/>
      <c r="AY152" s="315" t="s">
        <v>695</v>
      </c>
      <c r="AZ152" s="315"/>
      <c r="BA152" s="315"/>
      <c r="BB152" s="306"/>
    </row>
    <row r="153" spans="1:54" ht="14.25">
      <c r="A153" s="287"/>
      <c r="B153" s="287" t="s">
        <v>2310</v>
      </c>
      <c r="C153" s="288">
        <f>+$C$151+$G$152</f>
        <v>14333</v>
      </c>
      <c r="D153" s="1121"/>
      <c r="E153" s="1121"/>
      <c r="F153" s="289">
        <v>0</v>
      </c>
      <c r="G153" s="292"/>
      <c r="H153" s="291" t="s">
        <v>955</v>
      </c>
      <c r="I153" s="291"/>
      <c r="J153" s="288"/>
      <c r="K153" s="1121"/>
      <c r="L153" s="1121" t="s">
        <v>230</v>
      </c>
      <c r="M153" s="1121" t="s">
        <v>2757</v>
      </c>
      <c r="N153" s="1121" t="s">
        <v>145</v>
      </c>
      <c r="O153" s="1121"/>
      <c r="P153" s="1121"/>
      <c r="Q153" s="1121">
        <v>0</v>
      </c>
      <c r="R153" s="289">
        <v>0</v>
      </c>
      <c r="S153" s="292"/>
      <c r="T153" s="1121">
        <v>30</v>
      </c>
      <c r="U153" s="1121"/>
      <c r="V153" s="1121"/>
      <c r="W153" s="1121">
        <v>1.4</v>
      </c>
      <c r="X153" s="1121"/>
      <c r="Y153" s="1121"/>
      <c r="Z153" s="1121"/>
      <c r="AA153" s="1121"/>
      <c r="AB153" s="1121"/>
      <c r="AC153" s="1121" t="s">
        <v>1704</v>
      </c>
      <c r="AD153" s="1121"/>
      <c r="AE153" s="1121"/>
      <c r="AF153" s="1121">
        <v>6000</v>
      </c>
      <c r="AG153" s="288">
        <v>14330.91</v>
      </c>
      <c r="AH153" s="1121">
        <v>2646</v>
      </c>
      <c r="AI153" s="289">
        <v>643</v>
      </c>
      <c r="AJ153" s="1121"/>
      <c r="AK153" s="1121"/>
      <c r="AL153" s="1121"/>
      <c r="AM153" s="1121" t="s">
        <v>1228</v>
      </c>
      <c r="AN153" s="315">
        <v>5.5</v>
      </c>
      <c r="AO153" s="315"/>
      <c r="AP153" s="315"/>
      <c r="AQ153" s="315"/>
      <c r="AR153" s="315"/>
      <c r="AS153" s="315"/>
      <c r="AT153" s="315">
        <f>+ab($T$153,$T$151,$T$155,$G$152,$G$154, 1*$F$153,1200)</f>
        <v>10.282323857004098</v>
      </c>
      <c r="AU153" s="315"/>
      <c r="AV153" s="315"/>
      <c r="AW153" s="315" t="s">
        <v>2634</v>
      </c>
      <c r="AX153" s="315" t="s">
        <v>1641</v>
      </c>
      <c r="AY153" s="315">
        <v>4.2</v>
      </c>
      <c r="AZ153" s="315"/>
      <c r="BA153" s="315"/>
      <c r="BB153" s="306"/>
    </row>
    <row r="154" spans="1:54" ht="14.25">
      <c r="A154" s="287"/>
      <c r="B154" s="287"/>
      <c r="C154" s="288"/>
      <c r="D154" s="1121"/>
      <c r="E154" s="1121"/>
      <c r="F154" s="289"/>
      <c r="G154" s="292">
        <v>65</v>
      </c>
      <c r="H154" s="291"/>
      <c r="I154" s="294">
        <f>SUM(G154:G177)</f>
        <v>692</v>
      </c>
      <c r="J154" s="288"/>
      <c r="K154" s="1121"/>
      <c r="L154" s="1121"/>
      <c r="M154" s="1121"/>
      <c r="N154" s="1121"/>
      <c r="O154" s="1121"/>
      <c r="P154" s="1121"/>
      <c r="Q154" s="1121"/>
      <c r="R154" s="292"/>
      <c r="S154" s="292">
        <f t="shared" si="28"/>
        <v>65.110000000000582</v>
      </c>
      <c r="T154" s="1121"/>
      <c r="U154" s="1121"/>
      <c r="V154" s="1121"/>
      <c r="W154" s="1121"/>
      <c r="X154" s="1121"/>
      <c r="Y154" s="1121"/>
      <c r="Z154" s="1121"/>
      <c r="AA154" s="1121"/>
      <c r="AB154" s="1121"/>
      <c r="AC154" s="1121"/>
      <c r="AD154" s="1121"/>
      <c r="AE154" s="1121"/>
      <c r="AF154" s="1121"/>
      <c r="AG154" s="288" t="s">
        <v>695</v>
      </c>
      <c r="AH154" s="1121" t="s">
        <v>695</v>
      </c>
      <c r="AI154" s="289"/>
      <c r="AJ154" s="1121"/>
      <c r="AK154" s="1121"/>
      <c r="AL154" s="1121"/>
      <c r="AM154" s="1121"/>
      <c r="AN154" s="315"/>
      <c r="AO154" s="315"/>
      <c r="AP154" s="315"/>
      <c r="AQ154" s="315">
        <f>+FL_1($T$155,$T$153,$G$154,1200,9.28, 1*$F$155)</f>
        <v>0.47970823876923074</v>
      </c>
      <c r="AR154" s="315"/>
      <c r="AS154" s="315"/>
      <c r="AT154" s="315"/>
      <c r="AU154" s="315"/>
      <c r="AV154" s="315"/>
      <c r="AW154" s="315"/>
      <c r="AX154" s="315"/>
      <c r="AY154" s="315" t="s">
        <v>695</v>
      </c>
      <c r="AZ154" s="315"/>
      <c r="BA154" s="315"/>
      <c r="BB154" s="306"/>
    </row>
    <row r="155" spans="1:54" ht="14.25">
      <c r="A155" s="287"/>
      <c r="B155" s="287" t="s">
        <v>2311</v>
      </c>
      <c r="C155" s="288">
        <f>+$C$153+$G$154</f>
        <v>14398</v>
      </c>
      <c r="D155" s="1121"/>
      <c r="E155" s="1121"/>
      <c r="F155" s="289">
        <v>0</v>
      </c>
      <c r="G155" s="292"/>
      <c r="H155" s="291" t="s">
        <v>954</v>
      </c>
      <c r="I155" s="289"/>
      <c r="J155" s="288"/>
      <c r="K155" s="1121"/>
      <c r="L155" s="1121" t="s">
        <v>231</v>
      </c>
      <c r="M155" s="1121" t="s">
        <v>2756</v>
      </c>
      <c r="N155" s="1121" t="s">
        <v>144</v>
      </c>
      <c r="O155" s="1121"/>
      <c r="P155" s="1121"/>
      <c r="Q155" s="1121">
        <v>0</v>
      </c>
      <c r="R155" s="289">
        <v>0</v>
      </c>
      <c r="S155" s="292"/>
      <c r="T155" s="1121">
        <v>-25</v>
      </c>
      <c r="U155" s="1121"/>
      <c r="V155" s="1121"/>
      <c r="W155" s="1121">
        <v>1.4</v>
      </c>
      <c r="X155" s="1121"/>
      <c r="Y155" s="1121"/>
      <c r="Z155" s="1121"/>
      <c r="AA155" s="1121"/>
      <c r="AB155" s="1121"/>
      <c r="AC155" s="1121" t="s">
        <v>1704</v>
      </c>
      <c r="AD155" s="1121"/>
      <c r="AE155" s="1121"/>
      <c r="AF155" s="1121">
        <v>6000</v>
      </c>
      <c r="AG155" s="288">
        <v>14396.02</v>
      </c>
      <c r="AH155" s="1121">
        <v>2519</v>
      </c>
      <c r="AI155" s="289">
        <v>676</v>
      </c>
      <c r="AJ155" s="1121"/>
      <c r="AK155" s="1121"/>
      <c r="AL155" s="1121"/>
      <c r="AM155" s="1121" t="s">
        <v>1228</v>
      </c>
      <c r="AN155" s="315">
        <v>5.5</v>
      </c>
      <c r="AO155" s="315"/>
      <c r="AP155" s="315"/>
      <c r="AQ155" s="315"/>
      <c r="AR155" s="315"/>
      <c r="AS155" s="315"/>
      <c r="AT155" s="315">
        <f>+ab($T$155,$T$153,$T$157,$G$154,$G$156, 1*$F$155,1200)</f>
        <v>-11.713166000282822</v>
      </c>
      <c r="AU155" s="315"/>
      <c r="AV155" s="315"/>
      <c r="AW155" s="315" t="s">
        <v>2634</v>
      </c>
      <c r="AX155" s="315" t="s">
        <v>1641</v>
      </c>
      <c r="AY155" s="315">
        <v>4.2</v>
      </c>
      <c r="AZ155" s="315"/>
      <c r="BA155" s="315"/>
      <c r="BB155" s="306"/>
    </row>
    <row r="156" spans="1:54" ht="14.25">
      <c r="A156" s="287"/>
      <c r="B156" s="287"/>
      <c r="C156" s="288"/>
      <c r="D156" s="1121"/>
      <c r="E156" s="1121"/>
      <c r="F156" s="289"/>
      <c r="G156" s="292">
        <v>65</v>
      </c>
      <c r="H156" s="291"/>
      <c r="I156" s="291"/>
      <c r="J156" s="288">
        <f>C155+7.5</f>
        <v>14405.5</v>
      </c>
      <c r="K156" s="1121" t="s">
        <v>3018</v>
      </c>
      <c r="L156" s="1121"/>
      <c r="M156" s="1121"/>
      <c r="N156" s="1121"/>
      <c r="O156" s="1121"/>
      <c r="P156" s="1121"/>
      <c r="Q156" s="1121"/>
      <c r="R156" s="292"/>
      <c r="S156" s="292">
        <f t="shared" si="28"/>
        <v>64.979999999999563</v>
      </c>
      <c r="T156" s="1121"/>
      <c r="U156" s="1121"/>
      <c r="V156" s="1121"/>
      <c r="W156" s="1121"/>
      <c r="X156" s="1121"/>
      <c r="Y156" s="1121"/>
      <c r="Z156" s="1121"/>
      <c r="AA156" s="1121"/>
      <c r="AB156" s="1121"/>
      <c r="AC156" s="1121"/>
      <c r="AD156" s="1121"/>
      <c r="AE156" s="1121"/>
      <c r="AF156" s="1121"/>
      <c r="AG156" s="288" t="s">
        <v>695</v>
      </c>
      <c r="AH156" s="1121" t="s">
        <v>695</v>
      </c>
      <c r="AI156" s="289"/>
      <c r="AJ156" s="1121"/>
      <c r="AK156" s="1121"/>
      <c r="AL156" s="1121"/>
      <c r="AM156" s="1121"/>
      <c r="AN156" s="315"/>
      <c r="AO156" s="315"/>
      <c r="AP156" s="315"/>
      <c r="AQ156" s="315">
        <f>+FL_2($T$157,$T$155,$G$156,1200,9.28, 1*$F$157)</f>
        <v>-0.49184588272801072</v>
      </c>
      <c r="AR156" s="315"/>
      <c r="AS156" s="315"/>
      <c r="AT156" s="315"/>
      <c r="AU156" s="315"/>
      <c r="AV156" s="315"/>
      <c r="AW156" s="315" t="s">
        <v>2634</v>
      </c>
      <c r="AX156" s="315" t="s">
        <v>1641</v>
      </c>
      <c r="AY156" s="315"/>
      <c r="AZ156" s="315">
        <v>3.5</v>
      </c>
      <c r="BA156" s="315"/>
      <c r="BB156" s="306"/>
    </row>
    <row r="157" spans="1:54" ht="14.25">
      <c r="A157" s="287"/>
      <c r="B157" s="287" t="s">
        <v>2312</v>
      </c>
      <c r="C157" s="288">
        <f>+$C$155+$G$156</f>
        <v>14463</v>
      </c>
      <c r="D157" s="1121"/>
      <c r="E157" s="1121"/>
      <c r="F157" s="289">
        <f>100*3000/(C157-14435)</f>
        <v>10714.285714285714</v>
      </c>
      <c r="G157" s="292"/>
      <c r="H157" s="1121"/>
      <c r="I157" s="289"/>
      <c r="J157" s="288"/>
      <c r="K157" s="1121"/>
      <c r="L157" s="1121" t="s">
        <v>230</v>
      </c>
      <c r="M157" s="1121" t="s">
        <v>2757</v>
      </c>
      <c r="N157" s="1121" t="s">
        <v>145</v>
      </c>
      <c r="O157" s="1121"/>
      <c r="P157" s="1121"/>
      <c r="Q157" s="1121">
        <v>30</v>
      </c>
      <c r="R157" s="292">
        <v>7050.13</v>
      </c>
      <c r="S157" s="292"/>
      <c r="T157" s="1121">
        <v>25</v>
      </c>
      <c r="U157" s="1121"/>
      <c r="V157" s="1121"/>
      <c r="W157" s="1121">
        <v>1.4</v>
      </c>
      <c r="X157" s="1121"/>
      <c r="Y157" s="1121"/>
      <c r="Z157" s="1121"/>
      <c r="AA157" s="1121"/>
      <c r="AB157" s="1121"/>
      <c r="AC157" s="1121" t="s">
        <v>1704</v>
      </c>
      <c r="AD157" s="1121"/>
      <c r="AE157" s="1121"/>
      <c r="AF157" s="1121">
        <v>6000</v>
      </c>
      <c r="AG157" s="288">
        <v>14461</v>
      </c>
      <c r="AH157" s="1121">
        <v>2615</v>
      </c>
      <c r="AI157" s="289">
        <v>690</v>
      </c>
      <c r="AJ157" s="1121"/>
      <c r="AK157" s="1121"/>
      <c r="AL157" s="1121"/>
      <c r="AM157" s="1121" t="s">
        <v>1228</v>
      </c>
      <c r="AN157" s="315">
        <v>5.5</v>
      </c>
      <c r="AO157" s="315"/>
      <c r="AP157" s="315"/>
      <c r="AQ157" s="315"/>
      <c r="AR157" s="315"/>
      <c r="AS157" s="315"/>
      <c r="AT157" s="315">
        <f>+ab($T$157,$T$155,$T$159,$G$156,$G$158, 1*$F$157,1200)</f>
        <v>13.070821456067989</v>
      </c>
      <c r="AU157" s="315"/>
      <c r="AV157" s="315"/>
      <c r="AW157" s="315" t="s">
        <v>2634</v>
      </c>
      <c r="AX157" s="315" t="s">
        <v>1641</v>
      </c>
      <c r="AY157" s="315">
        <v>4.2</v>
      </c>
      <c r="AZ157" s="315"/>
      <c r="BA157" s="315"/>
      <c r="BB157" s="306"/>
    </row>
    <row r="158" spans="1:54" ht="14.25">
      <c r="A158" s="287"/>
      <c r="B158" s="287"/>
      <c r="C158" s="288"/>
      <c r="D158" s="1121"/>
      <c r="E158" s="1121"/>
      <c r="F158" s="289"/>
      <c r="G158" s="292">
        <v>62</v>
      </c>
      <c r="H158" s="291"/>
      <c r="I158" s="291"/>
      <c r="J158" s="288"/>
      <c r="K158" s="1121"/>
      <c r="L158" s="1121"/>
      <c r="M158" s="1121"/>
      <c r="N158" s="1121"/>
      <c r="O158" s="1121"/>
      <c r="P158" s="1121"/>
      <c r="Q158" s="1121"/>
      <c r="R158" s="292"/>
      <c r="S158" s="292">
        <f t="shared" si="28"/>
        <v>61.969999999999345</v>
      </c>
      <c r="T158" s="1121"/>
      <c r="U158" s="1121"/>
      <c r="V158" s="1121"/>
      <c r="W158" s="1121"/>
      <c r="X158" s="1121"/>
      <c r="Y158" s="1121"/>
      <c r="Z158" s="1121"/>
      <c r="AA158" s="1121"/>
      <c r="AB158" s="1121"/>
      <c r="AC158" s="1121"/>
      <c r="AD158" s="1121"/>
      <c r="AE158" s="1121"/>
      <c r="AF158" s="1121"/>
      <c r="AG158" s="288" t="s">
        <v>695</v>
      </c>
      <c r="AH158" s="1121" t="s">
        <v>695</v>
      </c>
      <c r="AI158" s="289"/>
      <c r="AJ158" s="1121"/>
      <c r="AK158" s="1121"/>
      <c r="AL158" s="1121"/>
      <c r="AM158" s="1121"/>
      <c r="AN158" s="315"/>
      <c r="AO158" s="315"/>
      <c r="AP158" s="315"/>
      <c r="AQ158" s="315">
        <f>+FL_1($T$159,$T$157,$G$158,1200,9.28, 1*$F$159)</f>
        <v>0.45312056944343126</v>
      </c>
      <c r="AR158" s="315"/>
      <c r="AS158" s="315"/>
      <c r="AT158" s="315"/>
      <c r="AU158" s="315"/>
      <c r="AV158" s="315"/>
      <c r="AW158" s="315"/>
      <c r="AX158" s="315"/>
      <c r="AY158" s="315" t="s">
        <v>695</v>
      </c>
      <c r="AZ158" s="315"/>
      <c r="BA158" s="315"/>
      <c r="BB158" s="306"/>
    </row>
    <row r="159" spans="1:54" ht="14.25">
      <c r="A159" s="287"/>
      <c r="B159" s="287" t="s">
        <v>2313</v>
      </c>
      <c r="C159" s="288">
        <f>+$C$157+$G$158</f>
        <v>14525</v>
      </c>
      <c r="D159" s="1121"/>
      <c r="E159" s="1121"/>
      <c r="F159" s="289">
        <f>100*3000/(C159-14435)</f>
        <v>3333.3333333333335</v>
      </c>
      <c r="G159" s="292"/>
      <c r="H159" s="291"/>
      <c r="I159" s="294"/>
      <c r="J159" s="288"/>
      <c r="K159" s="1121"/>
      <c r="L159" s="1121" t="s">
        <v>230</v>
      </c>
      <c r="M159" s="1121" t="s">
        <v>2757</v>
      </c>
      <c r="N159" s="1121" t="s">
        <v>145</v>
      </c>
      <c r="O159" s="1121"/>
      <c r="P159" s="1121"/>
      <c r="Q159" s="1121">
        <v>69</v>
      </c>
      <c r="R159" s="292">
        <v>3014.97</v>
      </c>
      <c r="S159" s="292"/>
      <c r="T159" s="1121">
        <v>20</v>
      </c>
      <c r="U159" s="1121"/>
      <c r="V159" s="1121"/>
      <c r="W159" s="1121">
        <v>1.4</v>
      </c>
      <c r="X159" s="1121"/>
      <c r="Y159" s="1121"/>
      <c r="Z159" s="1121"/>
      <c r="AA159" s="1121"/>
      <c r="AB159" s="1121"/>
      <c r="AC159" s="1121" t="s">
        <v>1704</v>
      </c>
      <c r="AD159" s="1121"/>
      <c r="AE159" s="1121"/>
      <c r="AF159" s="1121">
        <v>6000</v>
      </c>
      <c r="AG159" s="288">
        <v>14522.97</v>
      </c>
      <c r="AH159" s="1121">
        <v>2561</v>
      </c>
      <c r="AI159" s="289">
        <v>695</v>
      </c>
      <c r="AJ159" s="1121"/>
      <c r="AK159" s="1121"/>
      <c r="AL159" s="1121"/>
      <c r="AM159" s="1121" t="s">
        <v>1228</v>
      </c>
      <c r="AN159" s="315">
        <v>5.5</v>
      </c>
      <c r="AO159" s="315"/>
      <c r="AP159" s="315"/>
      <c r="AQ159" s="315"/>
      <c r="AR159" s="315"/>
      <c r="AS159" s="315"/>
      <c r="AT159" s="315">
        <f>+ab($T$159,$T$157,$T$161,$G$158,$G$160, 1*$F$159,1200)</f>
        <v>10.838189367413028</v>
      </c>
      <c r="AU159" s="315"/>
      <c r="AV159" s="315"/>
      <c r="AW159" s="315" t="s">
        <v>2634</v>
      </c>
      <c r="AX159" s="315" t="s">
        <v>1641</v>
      </c>
      <c r="AY159" s="315">
        <v>4.2</v>
      </c>
      <c r="AZ159" s="315"/>
      <c r="BA159" s="315"/>
      <c r="BB159" s="306"/>
    </row>
    <row r="160" spans="1:54" ht="14.25">
      <c r="A160" s="287"/>
      <c r="B160" s="287"/>
      <c r="C160" s="288"/>
      <c r="D160" s="1121"/>
      <c r="E160" s="1121"/>
      <c r="F160" s="289"/>
      <c r="G160" s="292">
        <v>60</v>
      </c>
      <c r="H160" s="291"/>
      <c r="I160" s="294"/>
      <c r="J160" s="288"/>
      <c r="K160" s="1121"/>
      <c r="L160" s="1121"/>
      <c r="M160" s="1121"/>
      <c r="N160" s="1121"/>
      <c r="O160" s="1121"/>
      <c r="P160" s="1121"/>
      <c r="Q160" s="1121"/>
      <c r="R160" s="292"/>
      <c r="S160" s="292">
        <f t="shared" si="28"/>
        <v>59.880000000001019</v>
      </c>
      <c r="T160" s="1121"/>
      <c r="U160" s="1121"/>
      <c r="V160" s="1121"/>
      <c r="W160" s="1121"/>
      <c r="X160" s="1121"/>
      <c r="Y160" s="1121"/>
      <c r="Z160" s="1121"/>
      <c r="AA160" s="1121"/>
      <c r="AB160" s="1121"/>
      <c r="AC160" s="1121"/>
      <c r="AD160" s="1121"/>
      <c r="AE160" s="1121"/>
      <c r="AF160" s="1121"/>
      <c r="AG160" s="288" t="s">
        <v>695</v>
      </c>
      <c r="AH160" s="1121" t="s">
        <v>695</v>
      </c>
      <c r="AI160" s="289"/>
      <c r="AJ160" s="1121"/>
      <c r="AK160" s="1121"/>
      <c r="AL160" s="1121"/>
      <c r="AM160" s="1121"/>
      <c r="AN160" s="315"/>
      <c r="AO160" s="315"/>
      <c r="AP160" s="315"/>
      <c r="AQ160" s="315">
        <f>+FL_1($T$161,$T$159,$G$160,1200,9.28, 1*$F$161)</f>
        <v>0.39799624981264792</v>
      </c>
      <c r="AR160" s="315"/>
      <c r="AS160" s="315"/>
      <c r="AT160" s="315"/>
      <c r="AU160" s="315"/>
      <c r="AV160" s="315"/>
      <c r="AW160" s="315"/>
      <c r="AX160" s="315"/>
      <c r="AY160" s="315" t="s">
        <v>695</v>
      </c>
      <c r="AZ160" s="315"/>
      <c r="BA160" s="315"/>
      <c r="BB160" s="306"/>
    </row>
    <row r="161" spans="1:54" ht="14.25">
      <c r="A161" s="287"/>
      <c r="B161" s="287" t="s">
        <v>2314</v>
      </c>
      <c r="C161" s="288">
        <f>+$C$159+$G$160</f>
        <v>14585</v>
      </c>
      <c r="D161" s="1121"/>
      <c r="E161" s="1121"/>
      <c r="F161" s="289">
        <v>3000</v>
      </c>
      <c r="G161" s="292"/>
      <c r="H161" s="291"/>
      <c r="I161" s="294"/>
      <c r="J161" s="288"/>
      <c r="K161" s="1121"/>
      <c r="L161" s="1121" t="s">
        <v>230</v>
      </c>
      <c r="M161" s="1121" t="s">
        <v>2757</v>
      </c>
      <c r="N161" s="1121" t="s">
        <v>145</v>
      </c>
      <c r="O161" s="1121"/>
      <c r="P161" s="1121"/>
      <c r="Q161" s="1121">
        <v>72</v>
      </c>
      <c r="R161" s="292">
        <v>3000</v>
      </c>
      <c r="S161" s="292"/>
      <c r="T161" s="1121">
        <v>20</v>
      </c>
      <c r="U161" s="1121"/>
      <c r="V161" s="1121"/>
      <c r="W161" s="1121">
        <v>1.4</v>
      </c>
      <c r="X161" s="1121"/>
      <c r="Y161" s="1121"/>
      <c r="Z161" s="1121"/>
      <c r="AA161" s="1121"/>
      <c r="AB161" s="1121"/>
      <c r="AC161" s="1121" t="s">
        <v>2963</v>
      </c>
      <c r="AD161" s="1121"/>
      <c r="AE161" s="1121"/>
      <c r="AF161" s="1121">
        <v>6000</v>
      </c>
      <c r="AG161" s="288">
        <v>14582.85</v>
      </c>
      <c r="AH161" s="1121">
        <v>2665</v>
      </c>
      <c r="AI161" s="289">
        <v>684</v>
      </c>
      <c r="AJ161" s="1121"/>
      <c r="AK161" s="1121"/>
      <c r="AL161" s="1121"/>
      <c r="AM161" s="1121" t="s">
        <v>1228</v>
      </c>
      <c r="AN161" s="315">
        <v>5.5</v>
      </c>
      <c r="AO161" s="315"/>
      <c r="AP161" s="315"/>
      <c r="AQ161" s="315"/>
      <c r="AR161" s="315"/>
      <c r="AS161" s="315"/>
      <c r="AT161" s="315">
        <f>+ab($T$161,$T$159,$T$163,$G$160,$G$162, 1*$F$161,1200)</f>
        <v>6.9437194600928631</v>
      </c>
      <c r="AU161" s="315"/>
      <c r="AV161" s="315"/>
      <c r="AW161" s="315" t="s">
        <v>2634</v>
      </c>
      <c r="AX161" s="315" t="s">
        <v>1641</v>
      </c>
      <c r="AY161" s="315">
        <v>4.2</v>
      </c>
      <c r="AZ161" s="315"/>
      <c r="BA161" s="315"/>
      <c r="BB161" s="306"/>
    </row>
    <row r="162" spans="1:54" ht="14.25">
      <c r="A162" s="287"/>
      <c r="B162" s="287"/>
      <c r="C162" s="288"/>
      <c r="D162" s="1121"/>
      <c r="E162" s="1121"/>
      <c r="F162" s="289"/>
      <c r="G162" s="292">
        <v>60</v>
      </c>
      <c r="H162" s="291"/>
      <c r="I162" s="291"/>
      <c r="J162" s="288"/>
      <c r="K162" s="1121"/>
      <c r="L162" s="1121"/>
      <c r="M162" s="1121"/>
      <c r="N162" s="1121"/>
      <c r="O162" s="1121"/>
      <c r="P162" s="1121"/>
      <c r="Q162" s="1121"/>
      <c r="R162" s="292"/>
      <c r="S162" s="292">
        <f t="shared" si="28"/>
        <v>59.909999999999854</v>
      </c>
      <c r="T162" s="1121"/>
      <c r="U162" s="1121"/>
      <c r="V162" s="1121"/>
      <c r="W162" s="1121"/>
      <c r="X162" s="1121"/>
      <c r="Y162" s="1121"/>
      <c r="Z162" s="1121"/>
      <c r="AA162" s="1121"/>
      <c r="AB162" s="1121"/>
      <c r="AC162" s="1121"/>
      <c r="AD162" s="1121"/>
      <c r="AE162" s="1121"/>
      <c r="AF162" s="1121"/>
      <c r="AG162" s="288" t="s">
        <v>695</v>
      </c>
      <c r="AH162" s="1121" t="s">
        <v>695</v>
      </c>
      <c r="AI162" s="289"/>
      <c r="AJ162" s="1121"/>
      <c r="AK162" s="1121"/>
      <c r="AL162" s="1121"/>
      <c r="AM162" s="1121"/>
      <c r="AN162" s="315"/>
      <c r="AO162" s="315"/>
      <c r="AP162" s="315"/>
      <c r="AQ162" s="315">
        <f>+FL_2($T$163,$T$161,$G$162,1200,9.28, 1*$F$163)</f>
        <v>-0.46818207213477203</v>
      </c>
      <c r="AR162" s="315"/>
      <c r="AS162" s="315"/>
      <c r="AT162" s="315"/>
      <c r="AU162" s="315"/>
      <c r="AV162" s="315"/>
      <c r="AW162" s="315"/>
      <c r="AX162" s="315"/>
      <c r="AY162" s="315" t="s">
        <v>695</v>
      </c>
      <c r="AZ162" s="315"/>
      <c r="BA162" s="315"/>
      <c r="BB162" s="306"/>
    </row>
    <row r="163" spans="1:54" ht="14.25">
      <c r="A163" s="287"/>
      <c r="B163" s="287" t="s">
        <v>2315</v>
      </c>
      <c r="C163" s="288">
        <f>+$C$161+$G$162</f>
        <v>14645</v>
      </c>
      <c r="D163" s="1121"/>
      <c r="E163" s="1121"/>
      <c r="F163" s="289">
        <f>100*3000/-(C163-14688)</f>
        <v>6976.7441860465115</v>
      </c>
      <c r="G163" s="292"/>
      <c r="H163" s="291"/>
      <c r="I163" s="294"/>
      <c r="J163" s="288"/>
      <c r="K163" s="1121"/>
      <c r="L163" s="1121" t="s">
        <v>230</v>
      </c>
      <c r="M163" s="1121" t="s">
        <v>2757</v>
      </c>
      <c r="N163" s="1121" t="s">
        <v>144</v>
      </c>
      <c r="O163" s="1121"/>
      <c r="P163" s="1121"/>
      <c r="Q163" s="1121">
        <v>34</v>
      </c>
      <c r="R163" s="292">
        <v>3438.21</v>
      </c>
      <c r="S163" s="292"/>
      <c r="T163" s="1121">
        <v>-25</v>
      </c>
      <c r="U163" s="1121"/>
      <c r="V163" s="1121"/>
      <c r="W163" s="1121">
        <v>1.4</v>
      </c>
      <c r="X163" s="1121"/>
      <c r="Y163" s="1121"/>
      <c r="Z163" s="1121"/>
      <c r="AA163" s="1121"/>
      <c r="AB163" s="1121"/>
      <c r="AC163" s="1121" t="s">
        <v>1700</v>
      </c>
      <c r="AD163" s="1121"/>
      <c r="AE163" s="1121"/>
      <c r="AF163" s="1121">
        <v>6000</v>
      </c>
      <c r="AG163" s="288">
        <v>14642.76</v>
      </c>
      <c r="AH163" s="1121">
        <v>2565</v>
      </c>
      <c r="AI163" s="289">
        <v>681</v>
      </c>
      <c r="AJ163" s="1121"/>
      <c r="AK163" s="1121"/>
      <c r="AL163" s="1121"/>
      <c r="AM163" s="1121" t="s">
        <v>1228</v>
      </c>
      <c r="AN163" s="315">
        <v>5.5</v>
      </c>
      <c r="AO163" s="315"/>
      <c r="AP163" s="315"/>
      <c r="AQ163" s="315"/>
      <c r="AR163" s="315"/>
      <c r="AS163" s="315"/>
      <c r="AT163" s="315">
        <f>+ab($T$163,$T$161,$T$165,$G$162,$G$164, 1*$F$163,1200)</f>
        <v>-20.621815683359493</v>
      </c>
      <c r="AU163" s="315"/>
      <c r="AV163" s="315"/>
      <c r="AW163" s="315" t="s">
        <v>2634</v>
      </c>
      <c r="AX163" s="315" t="s">
        <v>1641</v>
      </c>
      <c r="AY163" s="315">
        <v>4.2</v>
      </c>
      <c r="AZ163" s="315"/>
      <c r="BA163" s="315"/>
      <c r="BB163" s="306"/>
    </row>
    <row r="164" spans="1:54" ht="14.25">
      <c r="A164" s="287"/>
      <c r="B164" s="287"/>
      <c r="C164" s="288"/>
      <c r="D164" s="1121"/>
      <c r="E164" s="1121"/>
      <c r="F164" s="289"/>
      <c r="G164" s="292">
        <v>60</v>
      </c>
      <c r="H164" s="291"/>
      <c r="I164" s="294"/>
      <c r="J164" s="288"/>
      <c r="K164" s="1121"/>
      <c r="L164" s="1121"/>
      <c r="M164" s="1121"/>
      <c r="N164" s="1121"/>
      <c r="O164" s="1121"/>
      <c r="P164" s="1121"/>
      <c r="Q164" s="1121"/>
      <c r="R164" s="292"/>
      <c r="S164" s="292">
        <f t="shared" si="28"/>
        <v>60.069999999999709</v>
      </c>
      <c r="T164" s="1121"/>
      <c r="U164" s="1121"/>
      <c r="V164" s="1121"/>
      <c r="W164" s="1121"/>
      <c r="X164" s="1121"/>
      <c r="Y164" s="1121"/>
      <c r="Z164" s="1121"/>
      <c r="AA164" s="1121"/>
      <c r="AB164" s="1121"/>
      <c r="AC164" s="1121"/>
      <c r="AD164" s="1121"/>
      <c r="AE164" s="1121"/>
      <c r="AF164" s="1121"/>
      <c r="AG164" s="288" t="s">
        <v>695</v>
      </c>
      <c r="AH164" s="1121" t="s">
        <v>695</v>
      </c>
      <c r="AI164" s="289"/>
      <c r="AJ164" s="1121"/>
      <c r="AK164" s="1121"/>
      <c r="AL164" s="1121"/>
      <c r="AM164" s="1121"/>
      <c r="AN164" s="315"/>
      <c r="AO164" s="315"/>
      <c r="AP164" s="315"/>
      <c r="AQ164" s="315">
        <f>+FL_1($T$165,$T$163,$G$164,1200,9.28, 1*$F$165)</f>
        <v>0.46265517199999995</v>
      </c>
      <c r="AR164" s="315"/>
      <c r="AS164" s="315"/>
      <c r="AT164" s="315"/>
      <c r="AU164" s="315"/>
      <c r="AV164" s="315"/>
      <c r="AW164" s="315"/>
      <c r="AX164" s="315"/>
      <c r="AY164" s="315" t="s">
        <v>695</v>
      </c>
      <c r="AZ164" s="315"/>
      <c r="BA164" s="315"/>
      <c r="BB164" s="306"/>
    </row>
    <row r="165" spans="1:54" ht="14.25">
      <c r="A165" s="287"/>
      <c r="B165" s="287" t="s">
        <v>2316</v>
      </c>
      <c r="C165" s="288">
        <f>+$C$163+$G$164</f>
        <v>14705</v>
      </c>
      <c r="D165" s="1121"/>
      <c r="E165" s="1121"/>
      <c r="F165" s="289">
        <v>0</v>
      </c>
      <c r="G165" s="292"/>
      <c r="H165" s="291"/>
      <c r="I165" s="294"/>
      <c r="J165" s="288"/>
      <c r="K165" s="1121"/>
      <c r="L165" s="1121" t="s">
        <v>230</v>
      </c>
      <c r="M165" s="1121" t="s">
        <v>2757</v>
      </c>
      <c r="N165" s="1121" t="s">
        <v>145</v>
      </c>
      <c r="O165" s="1121"/>
      <c r="P165" s="1121"/>
      <c r="Q165" s="1121">
        <v>0</v>
      </c>
      <c r="R165" s="289">
        <v>0</v>
      </c>
      <c r="S165" s="292"/>
      <c r="T165" s="1121">
        <v>35</v>
      </c>
      <c r="U165" s="1121"/>
      <c r="V165" s="1121"/>
      <c r="W165" s="1121">
        <v>1.4</v>
      </c>
      <c r="X165" s="1121"/>
      <c r="Y165" s="1121"/>
      <c r="Z165" s="1121"/>
      <c r="AA165" s="1121"/>
      <c r="AB165" s="1121"/>
      <c r="AC165" s="1121" t="s">
        <v>1704</v>
      </c>
      <c r="AD165" s="1121"/>
      <c r="AE165" s="1121"/>
      <c r="AF165" s="1121">
        <v>6000</v>
      </c>
      <c r="AG165" s="288">
        <v>14702.83</v>
      </c>
      <c r="AH165" s="1121">
        <v>2586</v>
      </c>
      <c r="AI165" s="289">
        <v>675</v>
      </c>
      <c r="AJ165" s="1121"/>
      <c r="AK165" s="1121"/>
      <c r="AL165" s="1121"/>
      <c r="AM165" s="1121" t="s">
        <v>1228</v>
      </c>
      <c r="AN165" s="315">
        <v>5.5</v>
      </c>
      <c r="AO165" s="315"/>
      <c r="AP165" s="315"/>
      <c r="AQ165" s="315"/>
      <c r="AR165" s="315"/>
      <c r="AS165" s="315"/>
      <c r="AT165" s="315">
        <f>+ab($T$165,$T$163,$T$167,$G$164,$G$166, 1*$F$165,1200)</f>
        <v>8.787015162956207</v>
      </c>
      <c r="AU165" s="315"/>
      <c r="AV165" s="315"/>
      <c r="AW165" s="315" t="s">
        <v>2634</v>
      </c>
      <c r="AX165" s="315" t="s">
        <v>1641</v>
      </c>
      <c r="AY165" s="315">
        <v>4.2</v>
      </c>
      <c r="AZ165" s="315"/>
      <c r="BA165" s="315"/>
      <c r="BB165" s="306"/>
    </row>
    <row r="166" spans="1:54" ht="14.25">
      <c r="A166" s="287"/>
      <c r="B166" s="287"/>
      <c r="C166" s="288"/>
      <c r="D166" s="1121"/>
      <c r="E166" s="1121"/>
      <c r="F166" s="289"/>
      <c r="G166" s="292">
        <v>60</v>
      </c>
      <c r="H166" s="291"/>
      <c r="I166" s="294"/>
      <c r="J166" s="288"/>
      <c r="K166" s="1121"/>
      <c r="L166" s="1121"/>
      <c r="M166" s="1121"/>
      <c r="N166" s="1121"/>
      <c r="O166" s="1121"/>
      <c r="P166" s="1121"/>
      <c r="Q166" s="1121"/>
      <c r="R166" s="292"/>
      <c r="S166" s="292">
        <f t="shared" si="28"/>
        <v>59.909999999999854</v>
      </c>
      <c r="T166" s="1121"/>
      <c r="U166" s="1121"/>
      <c r="V166" s="1121"/>
      <c r="W166" s="1121"/>
      <c r="X166" s="1121"/>
      <c r="Y166" s="1121"/>
      <c r="Z166" s="1121"/>
      <c r="AA166" s="1121"/>
      <c r="AB166" s="1121"/>
      <c r="AC166" s="1121"/>
      <c r="AD166" s="1121"/>
      <c r="AE166" s="1121"/>
      <c r="AF166" s="1121"/>
      <c r="AG166" s="288" t="s">
        <v>695</v>
      </c>
      <c r="AH166" s="1121" t="s">
        <v>695</v>
      </c>
      <c r="AI166" s="289"/>
      <c r="AJ166" s="1121"/>
      <c r="AK166" s="1121"/>
      <c r="AL166" s="1121"/>
      <c r="AM166" s="1121"/>
      <c r="AN166" s="315"/>
      <c r="AO166" s="315"/>
      <c r="AP166" s="315"/>
      <c r="AQ166" s="315">
        <f>+FL_2($T$167,$T$165,$G$166,1200,9.28, 1*$F$167)</f>
        <v>-0.43600286799999999</v>
      </c>
      <c r="AR166" s="315"/>
      <c r="AS166" s="315"/>
      <c r="AT166" s="315"/>
      <c r="AU166" s="315"/>
      <c r="AV166" s="315"/>
      <c r="AW166" s="315"/>
      <c r="AX166" s="315"/>
      <c r="AY166" s="315" t="s">
        <v>695</v>
      </c>
      <c r="AZ166" s="315"/>
      <c r="BA166" s="315"/>
      <c r="BB166" s="306"/>
    </row>
    <row r="167" spans="1:54" ht="14.25">
      <c r="A167" s="287"/>
      <c r="B167" s="287" t="s">
        <v>2317</v>
      </c>
      <c r="C167" s="288">
        <f>+$C$165+$G$166</f>
        <v>14765</v>
      </c>
      <c r="D167" s="1121"/>
      <c r="E167" s="1121"/>
      <c r="F167" s="289">
        <v>0</v>
      </c>
      <c r="G167" s="292"/>
      <c r="H167" s="291"/>
      <c r="I167" s="294"/>
      <c r="J167" s="288"/>
      <c r="K167" s="1121"/>
      <c r="L167" s="1121" t="s">
        <v>230</v>
      </c>
      <c r="M167" s="1121" t="s">
        <v>2757</v>
      </c>
      <c r="N167" s="1121" t="s">
        <v>144</v>
      </c>
      <c r="O167" s="1121"/>
      <c r="P167" s="1121"/>
      <c r="Q167" s="1121">
        <v>0</v>
      </c>
      <c r="R167" s="289">
        <v>0</v>
      </c>
      <c r="S167" s="292"/>
      <c r="T167" s="1121">
        <v>-35</v>
      </c>
      <c r="U167" s="1121"/>
      <c r="V167" s="1121"/>
      <c r="W167" s="1121">
        <v>1.4</v>
      </c>
      <c r="X167" s="1121"/>
      <c r="Y167" s="1121"/>
      <c r="Z167" s="1121"/>
      <c r="AA167" s="1121"/>
      <c r="AB167" s="1121"/>
      <c r="AC167" s="1121" t="s">
        <v>2963</v>
      </c>
      <c r="AD167" s="1121"/>
      <c r="AE167" s="1121"/>
      <c r="AF167" s="1121">
        <v>6000</v>
      </c>
      <c r="AG167" s="288">
        <v>14762.74</v>
      </c>
      <c r="AH167" s="1121">
        <v>2607</v>
      </c>
      <c r="AI167" s="289">
        <v>714</v>
      </c>
      <c r="AJ167" s="1121"/>
      <c r="AK167" s="1121"/>
      <c r="AL167" s="1121"/>
      <c r="AM167" s="1121" t="s">
        <v>1228</v>
      </c>
      <c r="AN167" s="315">
        <v>5.5</v>
      </c>
      <c r="AO167" s="315"/>
      <c r="AP167" s="315"/>
      <c r="AQ167" s="315"/>
      <c r="AR167" s="315"/>
      <c r="AS167" s="315"/>
      <c r="AT167" s="315">
        <f>+ab($T$167,$T$165,$T$169,$G$166,$G$168, 1*$F$167,1200)</f>
        <v>-7.4343488377840483</v>
      </c>
      <c r="AU167" s="315"/>
      <c r="AV167" s="315"/>
      <c r="AW167" s="315" t="s">
        <v>2634</v>
      </c>
      <c r="AX167" s="315" t="s">
        <v>1641</v>
      </c>
      <c r="AY167" s="315">
        <v>4.2</v>
      </c>
      <c r="AZ167" s="315"/>
      <c r="BA167" s="315"/>
      <c r="BB167" s="306"/>
    </row>
    <row r="168" spans="1:54" ht="14.25">
      <c r="A168" s="287"/>
      <c r="B168" s="287"/>
      <c r="C168" s="288"/>
      <c r="D168" s="1121"/>
      <c r="E168" s="1121"/>
      <c r="F168" s="289"/>
      <c r="G168" s="292">
        <v>50</v>
      </c>
      <c r="H168" s="291"/>
      <c r="I168" s="294"/>
      <c r="J168" s="288"/>
      <c r="K168" s="1121"/>
      <c r="L168" s="1121"/>
      <c r="M168" s="1121"/>
      <c r="N168" s="1121"/>
      <c r="O168" s="1121"/>
      <c r="P168" s="1121"/>
      <c r="Q168" s="1121"/>
      <c r="R168" s="292"/>
      <c r="S168" s="292">
        <f t="shared" si="28"/>
        <v>50.020000000000437</v>
      </c>
      <c r="T168" s="1121"/>
      <c r="U168" s="1121"/>
      <c r="V168" s="1121"/>
      <c r="W168" s="1121"/>
      <c r="X168" s="1121"/>
      <c r="Y168" s="1121"/>
      <c r="Z168" s="1121"/>
      <c r="AA168" s="1121"/>
      <c r="AB168" s="1121"/>
      <c r="AC168" s="1121"/>
      <c r="AD168" s="1121"/>
      <c r="AE168" s="1121"/>
      <c r="AF168" s="1121"/>
      <c r="AG168" s="288" t="s">
        <v>695</v>
      </c>
      <c r="AH168" s="1121" t="s">
        <v>695</v>
      </c>
      <c r="AI168" s="289"/>
      <c r="AJ168" s="1121"/>
      <c r="AK168" s="1121"/>
      <c r="AL168" s="1121"/>
      <c r="AM168" s="1121"/>
      <c r="AN168" s="315"/>
      <c r="AO168" s="315"/>
      <c r="AP168" s="315"/>
      <c r="AQ168" s="315">
        <f>+FL_2($T$169,$T$167,$G$168,1200,9.28, 1*$F$169)</f>
        <v>-0.36839080000000002</v>
      </c>
      <c r="AR168" s="315"/>
      <c r="AS168" s="315"/>
      <c r="AT168" s="315"/>
      <c r="AU168" s="315"/>
      <c r="AV168" s="315"/>
      <c r="AW168" s="315"/>
      <c r="AX168" s="315"/>
      <c r="AY168" s="315" t="s">
        <v>695</v>
      </c>
      <c r="AZ168" s="315"/>
      <c r="BA168" s="315"/>
      <c r="BB168" s="306"/>
    </row>
    <row r="169" spans="1:54" ht="14.25">
      <c r="A169" s="287"/>
      <c r="B169" s="287" t="s">
        <v>2318</v>
      </c>
      <c r="C169" s="288">
        <f>+$C$167+$G$168</f>
        <v>14815</v>
      </c>
      <c r="D169" s="1121"/>
      <c r="E169" s="1121"/>
      <c r="F169" s="289">
        <v>0</v>
      </c>
      <c r="G169" s="292"/>
      <c r="H169" s="291"/>
      <c r="I169" s="294"/>
      <c r="J169" s="288"/>
      <c r="K169" s="1121"/>
      <c r="L169" s="1121" t="s">
        <v>230</v>
      </c>
      <c r="M169" s="1121" t="s">
        <v>2757</v>
      </c>
      <c r="N169" s="1121" t="s">
        <v>145</v>
      </c>
      <c r="O169" s="1121"/>
      <c r="P169" s="1121"/>
      <c r="Q169" s="1121">
        <v>0</v>
      </c>
      <c r="R169" s="289">
        <v>0</v>
      </c>
      <c r="S169" s="292"/>
      <c r="T169" s="1121">
        <v>35</v>
      </c>
      <c r="U169" s="1121"/>
      <c r="V169" s="1121"/>
      <c r="W169" s="1121">
        <v>1.4</v>
      </c>
      <c r="X169" s="1121"/>
      <c r="Y169" s="1121"/>
      <c r="Z169" s="1121"/>
      <c r="AA169" s="1121"/>
      <c r="AB169" s="1121"/>
      <c r="AC169" s="1121" t="s">
        <v>2963</v>
      </c>
      <c r="AD169" s="1121"/>
      <c r="AE169" s="1121"/>
      <c r="AF169" s="1121">
        <v>6000</v>
      </c>
      <c r="AG169" s="288">
        <v>14812.76</v>
      </c>
      <c r="AH169" s="1121">
        <v>2510</v>
      </c>
      <c r="AI169" s="289">
        <v>701</v>
      </c>
      <c r="AJ169" s="1121"/>
      <c r="AK169" s="1121"/>
      <c r="AL169" s="1121"/>
      <c r="AM169" s="1121" t="s">
        <v>1228</v>
      </c>
      <c r="AN169" s="315">
        <v>5.5</v>
      </c>
      <c r="AO169" s="315"/>
      <c r="AP169" s="315"/>
      <c r="AQ169" s="315"/>
      <c r="AR169" s="315"/>
      <c r="AS169" s="315"/>
      <c r="AT169" s="315">
        <f>+ab($T$169,$T$167,$T$171,$G$168,$G$170, 1*$F$169,1200)</f>
        <v>6.820891075690624</v>
      </c>
      <c r="AU169" s="315"/>
      <c r="AV169" s="315"/>
      <c r="AW169" s="315" t="s">
        <v>2634</v>
      </c>
      <c r="AX169" s="315" t="s">
        <v>1641</v>
      </c>
      <c r="AY169" s="315">
        <v>4.2</v>
      </c>
      <c r="AZ169" s="315"/>
      <c r="BA169" s="315"/>
      <c r="BB169" s="306"/>
    </row>
    <row r="170" spans="1:54" ht="14.25">
      <c r="A170" s="287"/>
      <c r="B170" s="287"/>
      <c r="C170" s="288"/>
      <c r="D170" s="1121"/>
      <c r="E170" s="1121"/>
      <c r="F170" s="289"/>
      <c r="G170" s="292">
        <v>50</v>
      </c>
      <c r="H170" s="1121"/>
      <c r="I170" s="294"/>
      <c r="J170" s="288">
        <f>C171-7.5</f>
        <v>14857.5</v>
      </c>
      <c r="K170" s="1121" t="s">
        <v>3017</v>
      </c>
      <c r="L170" s="1121"/>
      <c r="M170" s="1121"/>
      <c r="N170" s="1121"/>
      <c r="O170" s="1121"/>
      <c r="P170" s="1121"/>
      <c r="Q170" s="1121"/>
      <c r="R170" s="292"/>
      <c r="S170" s="292">
        <f t="shared" si="28"/>
        <v>49.930000000000291</v>
      </c>
      <c r="T170" s="1121"/>
      <c r="U170" s="1121"/>
      <c r="V170" s="1121"/>
      <c r="W170" s="1121"/>
      <c r="X170" s="1121"/>
      <c r="Y170" s="1121"/>
      <c r="Z170" s="1121"/>
      <c r="AA170" s="1121"/>
      <c r="AB170" s="1121"/>
      <c r="AC170" s="1121"/>
      <c r="AD170" s="1121"/>
      <c r="AE170" s="1121"/>
      <c r="AF170" s="1121"/>
      <c r="AG170" s="288" t="s">
        <v>695</v>
      </c>
      <c r="AH170" s="1121" t="s">
        <v>695</v>
      </c>
      <c r="AI170" s="289"/>
      <c r="AJ170" s="1121"/>
      <c r="AK170" s="1121"/>
      <c r="AL170" s="1121"/>
      <c r="AM170" s="1121"/>
      <c r="AN170" s="315"/>
      <c r="AO170" s="315"/>
      <c r="AP170" s="315"/>
      <c r="AQ170" s="315">
        <f>+FL_1($T$171,$T$169,$G$170,1200,9.28, 1*$F$171)</f>
        <v>0.36839080000000002</v>
      </c>
      <c r="AR170" s="315"/>
      <c r="AS170" s="315"/>
      <c r="AT170" s="315"/>
      <c r="AU170" s="315"/>
      <c r="AV170" s="315"/>
      <c r="AW170" s="315" t="s">
        <v>2634</v>
      </c>
      <c r="AX170" s="315" t="s">
        <v>1641</v>
      </c>
      <c r="AY170" s="315"/>
      <c r="AZ170" s="315">
        <v>3.5</v>
      </c>
      <c r="BA170" s="315"/>
      <c r="BB170" s="306"/>
    </row>
    <row r="171" spans="1:54" ht="14.25">
      <c r="A171" s="287"/>
      <c r="B171" s="287" t="s">
        <v>2319</v>
      </c>
      <c r="C171" s="288">
        <f>+$C$169+$G$170</f>
        <v>14865</v>
      </c>
      <c r="D171" s="1121"/>
      <c r="E171" s="1121"/>
      <c r="F171" s="289">
        <v>0</v>
      </c>
      <c r="G171" s="292"/>
      <c r="H171" s="1121" t="s">
        <v>138</v>
      </c>
      <c r="I171" s="294" t="s">
        <v>656</v>
      </c>
      <c r="J171" s="288"/>
      <c r="K171" s="1121"/>
      <c r="L171" s="1121" t="s">
        <v>1061</v>
      </c>
      <c r="M171" s="1121" t="s">
        <v>2756</v>
      </c>
      <c r="N171" s="1121" t="s">
        <v>144</v>
      </c>
      <c r="O171" s="1121"/>
      <c r="P171" s="1121"/>
      <c r="Q171" s="1121">
        <v>0</v>
      </c>
      <c r="R171" s="289">
        <v>0</v>
      </c>
      <c r="S171" s="292"/>
      <c r="T171" s="1121">
        <v>-35</v>
      </c>
      <c r="U171" s="1121"/>
      <c r="V171" s="1121"/>
      <c r="W171" s="1121">
        <v>1.4</v>
      </c>
      <c r="X171" s="1121"/>
      <c r="Y171" s="1121"/>
      <c r="Z171" s="1121"/>
      <c r="AA171" s="1121"/>
      <c r="AB171" s="1121"/>
      <c r="AC171" s="1121" t="s">
        <v>1704</v>
      </c>
      <c r="AD171" s="1121"/>
      <c r="AE171" s="1121"/>
      <c r="AF171" s="1121">
        <v>6000</v>
      </c>
      <c r="AG171" s="288">
        <v>14862.69</v>
      </c>
      <c r="AH171" s="1121">
        <v>2572</v>
      </c>
      <c r="AI171" s="289">
        <v>682</v>
      </c>
      <c r="AJ171" s="1121"/>
      <c r="AK171" s="1121"/>
      <c r="AL171" s="1121"/>
      <c r="AM171" s="1121" t="s">
        <v>1228</v>
      </c>
      <c r="AN171" s="315">
        <v>5.5</v>
      </c>
      <c r="AO171" s="315"/>
      <c r="AP171" s="315"/>
      <c r="AQ171" s="315"/>
      <c r="AR171" s="315"/>
      <c r="AS171" s="315"/>
      <c r="AT171" s="315">
        <f>+ab($T$171,$T$169,$T$173,$G$170,$G$172, 1*$F$171,1200)</f>
        <v>-7.1424424584170572</v>
      </c>
      <c r="AU171" s="315"/>
      <c r="AV171" s="315"/>
      <c r="AW171" s="315" t="s">
        <v>2634</v>
      </c>
      <c r="AX171" s="315" t="s">
        <v>1641</v>
      </c>
      <c r="AY171" s="315">
        <v>4.2</v>
      </c>
      <c r="AZ171" s="315"/>
      <c r="BA171" s="315"/>
      <c r="BB171" s="306"/>
    </row>
    <row r="172" spans="1:54" ht="14.25">
      <c r="A172" s="287"/>
      <c r="B172" s="287"/>
      <c r="C172" s="288"/>
      <c r="D172" s="1121"/>
      <c r="E172" s="1121"/>
      <c r="F172" s="289"/>
      <c r="G172" s="292">
        <v>55</v>
      </c>
      <c r="H172" s="291"/>
      <c r="I172" s="294" t="s">
        <v>1223</v>
      </c>
      <c r="J172" s="288">
        <f>C173-7.5</f>
        <v>14912.5</v>
      </c>
      <c r="K172" s="1121" t="s">
        <v>3018</v>
      </c>
      <c r="L172" s="1121"/>
      <c r="M172" s="1121"/>
      <c r="N172" s="1121"/>
      <c r="O172" s="1121"/>
      <c r="P172" s="1121"/>
      <c r="Q172" s="1121"/>
      <c r="R172" s="292"/>
      <c r="S172" s="292">
        <f t="shared" si="28"/>
        <v>55.149999999999636</v>
      </c>
      <c r="T172" s="1121"/>
      <c r="U172" s="1121"/>
      <c r="V172" s="1121"/>
      <c r="W172" s="1121"/>
      <c r="X172" s="1121"/>
      <c r="Y172" s="1121"/>
      <c r="Z172" s="1121"/>
      <c r="AA172" s="1121"/>
      <c r="AB172" s="1121"/>
      <c r="AC172" s="1121"/>
      <c r="AD172" s="1121"/>
      <c r="AE172" s="1121"/>
      <c r="AF172" s="1121"/>
      <c r="AG172" s="288" t="s">
        <v>695</v>
      </c>
      <c r="AH172" s="1121" t="s">
        <v>695</v>
      </c>
      <c r="AI172" s="289"/>
      <c r="AJ172" s="1121"/>
      <c r="AK172" s="1121"/>
      <c r="AL172" s="1121"/>
      <c r="AM172" s="1121"/>
      <c r="AN172" s="315"/>
      <c r="AO172" s="315"/>
      <c r="AP172" s="315"/>
      <c r="AQ172" s="315">
        <f>+FL_2($U$173,$T$171,$G$172,1200,9.28, 1*$F$173)</f>
        <v>-0.44585068557575741</v>
      </c>
      <c r="AR172" s="315"/>
      <c r="AS172" s="315"/>
      <c r="AT172" s="315"/>
      <c r="AU172" s="315"/>
      <c r="AV172" s="315"/>
      <c r="AW172" s="315" t="s">
        <v>2634</v>
      </c>
      <c r="AX172" s="315" t="s">
        <v>1641</v>
      </c>
      <c r="AY172" s="315"/>
      <c r="AZ172" s="315">
        <v>3.5</v>
      </c>
      <c r="BA172" s="315"/>
      <c r="BB172" s="306"/>
    </row>
    <row r="173" spans="1:54" ht="14.25">
      <c r="A173" s="287"/>
      <c r="B173" s="287" t="s">
        <v>2320</v>
      </c>
      <c r="C173" s="288">
        <f>+$C$171+$G$172</f>
        <v>14920</v>
      </c>
      <c r="D173" s="1121"/>
      <c r="E173" s="1121"/>
      <c r="F173" s="289">
        <v>0</v>
      </c>
      <c r="G173" s="292"/>
      <c r="H173" s="291" t="s">
        <v>651</v>
      </c>
      <c r="I173" s="294" t="s">
        <v>1223</v>
      </c>
      <c r="J173" s="288">
        <f>C173+7.5</f>
        <v>14927.5</v>
      </c>
      <c r="K173" s="1121" t="s">
        <v>3018</v>
      </c>
      <c r="L173" s="1121" t="s">
        <v>231</v>
      </c>
      <c r="M173" s="1121" t="s">
        <v>2756</v>
      </c>
      <c r="N173" s="1121" t="s">
        <v>140</v>
      </c>
      <c r="O173" s="1121" t="s">
        <v>145</v>
      </c>
      <c r="P173" s="1121"/>
      <c r="Q173" s="1121">
        <v>0</v>
      </c>
      <c r="R173" s="289">
        <v>0</v>
      </c>
      <c r="S173" s="292"/>
      <c r="T173" s="1121">
        <v>35</v>
      </c>
      <c r="U173" s="1121">
        <v>15</v>
      </c>
      <c r="V173" s="1121"/>
      <c r="W173" s="1121">
        <v>1.4</v>
      </c>
      <c r="X173" s="1121">
        <v>2.2999999999999998</v>
      </c>
      <c r="Y173" s="1121"/>
      <c r="Z173" s="1121">
        <v>0.5</v>
      </c>
      <c r="AA173" s="1121"/>
      <c r="AB173" s="1121"/>
      <c r="AC173" s="1121"/>
      <c r="AD173" s="1121" t="s">
        <v>1704</v>
      </c>
      <c r="AE173" s="1121"/>
      <c r="AF173" s="1121">
        <v>6000</v>
      </c>
      <c r="AG173" s="288">
        <v>14917.84</v>
      </c>
      <c r="AH173" s="1121">
        <v>2585</v>
      </c>
      <c r="AI173" s="289">
        <v>618</v>
      </c>
      <c r="AJ173" s="1121"/>
      <c r="AK173" s="1121"/>
      <c r="AL173" s="1121"/>
      <c r="AM173" s="1121" t="s">
        <v>1228</v>
      </c>
      <c r="AN173" s="315">
        <v>5.5</v>
      </c>
      <c r="AO173" s="315"/>
      <c r="AP173" s="315"/>
      <c r="AQ173" s="315"/>
      <c r="AR173" s="315"/>
      <c r="AS173" s="315"/>
      <c r="AT173" s="315">
        <f>+ab($U$173,$T$171,$U$175,$G$172,$G$174, 1*$F$173,1200)</f>
        <v>9.9502399358681561</v>
      </c>
      <c r="AU173" s="315"/>
      <c r="AV173" s="315"/>
      <c r="AW173" s="315" t="s">
        <v>2634</v>
      </c>
      <c r="AX173" s="315" t="s">
        <v>1641</v>
      </c>
      <c r="AY173" s="315">
        <v>4.2</v>
      </c>
      <c r="AZ173" s="315">
        <v>3.5</v>
      </c>
      <c r="BA173" s="315"/>
      <c r="BB173" s="306"/>
    </row>
    <row r="174" spans="1:54" ht="14.25">
      <c r="A174" s="287"/>
      <c r="B174" s="287"/>
      <c r="C174" s="288"/>
      <c r="D174" s="1121"/>
      <c r="E174" s="1121"/>
      <c r="F174" s="289"/>
      <c r="G174" s="292">
        <v>50</v>
      </c>
      <c r="H174" s="291"/>
      <c r="I174" s="294"/>
      <c r="J174" s="288"/>
      <c r="K174" s="1121"/>
      <c r="L174" s="1121"/>
      <c r="M174" s="1121"/>
      <c r="N174" s="1121"/>
      <c r="O174" s="1121"/>
      <c r="P174" s="1121"/>
      <c r="Q174" s="1121"/>
      <c r="R174" s="292"/>
      <c r="S174" s="292">
        <f t="shared" si="28"/>
        <v>49.860000000000582</v>
      </c>
      <c r="T174" s="1121"/>
      <c r="U174" s="1121"/>
      <c r="V174" s="1121"/>
      <c r="W174" s="1121"/>
      <c r="X174" s="1121"/>
      <c r="Y174" s="1121"/>
      <c r="Z174" s="1121"/>
      <c r="AA174" s="1121"/>
      <c r="AB174" s="1121"/>
      <c r="AC174" s="1121"/>
      <c r="AD174" s="1121"/>
      <c r="AE174" s="1121"/>
      <c r="AF174" s="1121"/>
      <c r="AG174" s="288" t="s">
        <v>695</v>
      </c>
      <c r="AH174" s="1121" t="s">
        <v>695</v>
      </c>
      <c r="AI174" s="289"/>
      <c r="AJ174" s="1121"/>
      <c r="AK174" s="1121"/>
      <c r="AL174" s="1121"/>
      <c r="AM174" s="1121"/>
      <c r="AN174" s="315"/>
      <c r="AO174" s="315"/>
      <c r="AP174" s="315"/>
      <c r="AQ174" s="315">
        <f>+FL_2($T$175,$U$173,$G$174,1200,9.28, 1*$F$175)</f>
        <v>-0.26494252799999995</v>
      </c>
      <c r="AR174" s="315"/>
      <c r="AS174" s="315"/>
      <c r="AT174" s="315"/>
      <c r="AU174" s="315"/>
      <c r="AV174" s="315"/>
      <c r="AW174" s="315"/>
      <c r="AX174" s="315"/>
      <c r="AY174" s="315" t="s">
        <v>695</v>
      </c>
      <c r="AZ174" s="315"/>
      <c r="BA174" s="315"/>
      <c r="BB174" s="306"/>
    </row>
    <row r="175" spans="1:54" ht="14.25">
      <c r="A175" s="287"/>
      <c r="B175" s="287" t="s">
        <v>2321</v>
      </c>
      <c r="C175" s="288">
        <f>+$C$173+$G$174</f>
        <v>14970</v>
      </c>
      <c r="D175" s="1121"/>
      <c r="E175" s="1121"/>
      <c r="F175" s="289">
        <v>0</v>
      </c>
      <c r="G175" s="292"/>
      <c r="H175" s="291" t="s">
        <v>651</v>
      </c>
      <c r="I175" s="294" t="s">
        <v>1223</v>
      </c>
      <c r="J175" s="288">
        <f>C175-7.5</f>
        <v>14962.5</v>
      </c>
      <c r="K175" s="1121" t="s">
        <v>3018</v>
      </c>
      <c r="L175" s="1121" t="s">
        <v>231</v>
      </c>
      <c r="M175" s="1121" t="s">
        <v>2756</v>
      </c>
      <c r="N175" s="1121" t="s">
        <v>144</v>
      </c>
      <c r="O175" s="1121" t="s">
        <v>140</v>
      </c>
      <c r="P175" s="1121"/>
      <c r="Q175" s="1121">
        <v>0</v>
      </c>
      <c r="R175" s="289">
        <v>0</v>
      </c>
      <c r="S175" s="292"/>
      <c r="T175" s="1121">
        <v>-15</v>
      </c>
      <c r="U175" s="1121">
        <v>-35</v>
      </c>
      <c r="V175" s="1121"/>
      <c r="W175" s="1121">
        <v>1.4</v>
      </c>
      <c r="X175" s="1121">
        <v>2.2999999999999998</v>
      </c>
      <c r="Y175" s="1121"/>
      <c r="Z175" s="1121"/>
      <c r="AA175" s="1121">
        <v>0.5</v>
      </c>
      <c r="AB175" s="1121"/>
      <c r="AC175" s="1121" t="s">
        <v>1704</v>
      </c>
      <c r="AD175" s="1121"/>
      <c r="AE175" s="1121"/>
      <c r="AF175" s="1121">
        <v>6000</v>
      </c>
      <c r="AG175" s="288">
        <v>14967.7</v>
      </c>
      <c r="AH175" s="1121">
        <v>2626</v>
      </c>
      <c r="AI175" s="289">
        <v>691</v>
      </c>
      <c r="AJ175" s="1121"/>
      <c r="AK175" s="1121"/>
      <c r="AL175" s="1121"/>
      <c r="AM175" s="1121" t="s">
        <v>1228</v>
      </c>
      <c r="AN175" s="315">
        <v>5.5</v>
      </c>
      <c r="AO175" s="315"/>
      <c r="AP175" s="315"/>
      <c r="AQ175" s="315"/>
      <c r="AR175" s="315"/>
      <c r="AS175" s="315"/>
      <c r="AT175" s="315">
        <f>+ab($T$175,$T$173,$T$177,$G$174,$G$176, 1*$F$175,1200)</f>
        <v>-9.9502935685996654</v>
      </c>
      <c r="AU175" s="315"/>
      <c r="AV175" s="315"/>
      <c r="AW175" s="315" t="s">
        <v>2634</v>
      </c>
      <c r="AX175" s="315" t="s">
        <v>1641</v>
      </c>
      <c r="AY175" s="315">
        <v>4.2</v>
      </c>
      <c r="AZ175" s="315">
        <v>3.5</v>
      </c>
      <c r="BA175" s="315"/>
      <c r="BB175" s="306"/>
    </row>
    <row r="176" spans="1:54" ht="14.25">
      <c r="A176" s="287"/>
      <c r="B176" s="287"/>
      <c r="C176" s="288"/>
      <c r="D176" s="1121"/>
      <c r="E176" s="1121"/>
      <c r="F176" s="289"/>
      <c r="G176" s="292">
        <v>55</v>
      </c>
      <c r="H176" s="291"/>
      <c r="I176" s="294" t="s">
        <v>1223</v>
      </c>
      <c r="J176" s="288">
        <f>C175+7.5</f>
        <v>14977.5</v>
      </c>
      <c r="K176" s="1121" t="s">
        <v>3018</v>
      </c>
      <c r="L176" s="1121"/>
      <c r="M176" s="1121"/>
      <c r="N176" s="1121"/>
      <c r="O176" s="1121"/>
      <c r="P176" s="1121"/>
      <c r="Q176" s="1121"/>
      <c r="R176" s="292"/>
      <c r="S176" s="292">
        <f t="shared" si="28"/>
        <v>55.1299999999992</v>
      </c>
      <c r="T176" s="1121"/>
      <c r="U176" s="1121"/>
      <c r="V176" s="1121"/>
      <c r="W176" s="1121"/>
      <c r="X176" s="1121"/>
      <c r="Y176" s="1121"/>
      <c r="Z176" s="1121"/>
      <c r="AA176" s="1121"/>
      <c r="AB176" s="1121"/>
      <c r="AC176" s="1121"/>
      <c r="AD176" s="1121"/>
      <c r="AE176" s="1121"/>
      <c r="AF176" s="1121"/>
      <c r="AG176" s="288"/>
      <c r="AH176" s="1121"/>
      <c r="AI176" s="289"/>
      <c r="AJ176" s="1121"/>
      <c r="AK176" s="1121"/>
      <c r="AL176" s="1121"/>
      <c r="AM176" s="1121"/>
      <c r="AN176" s="315"/>
      <c r="AO176" s="315"/>
      <c r="AP176" s="315"/>
      <c r="AQ176" s="315">
        <f>+FL_1($T$177,$T$175,$G$176,1200,9.28, 1*$F$177)</f>
        <v>0.44585068557575752</v>
      </c>
      <c r="AR176" s="315"/>
      <c r="AS176" s="315"/>
      <c r="AT176" s="315"/>
      <c r="AU176" s="315"/>
      <c r="AV176" s="315"/>
      <c r="AW176" s="315" t="s">
        <v>2634</v>
      </c>
      <c r="AX176" s="315" t="s">
        <v>1641</v>
      </c>
      <c r="AY176" s="315"/>
      <c r="AZ176" s="315">
        <v>3.5</v>
      </c>
      <c r="BA176" s="315"/>
      <c r="BB176" s="306"/>
    </row>
    <row r="177" spans="1:54" ht="14.25">
      <c r="A177" s="287"/>
      <c r="B177" s="287" t="s">
        <v>2322</v>
      </c>
      <c r="C177" s="288">
        <f>+$C$175+$G$176</f>
        <v>15025</v>
      </c>
      <c r="D177" s="1121"/>
      <c r="E177" s="1121"/>
      <c r="F177" s="289">
        <v>0</v>
      </c>
      <c r="G177" s="292"/>
      <c r="H177" s="291" t="s">
        <v>138</v>
      </c>
      <c r="I177" s="294" t="s">
        <v>656</v>
      </c>
      <c r="J177" s="288"/>
      <c r="K177" s="1121"/>
      <c r="L177" s="1121" t="s">
        <v>1061</v>
      </c>
      <c r="M177" s="1121" t="s">
        <v>2756</v>
      </c>
      <c r="N177" s="1121" t="s">
        <v>145</v>
      </c>
      <c r="O177" s="1121"/>
      <c r="P177" s="1121"/>
      <c r="Q177" s="1121">
        <v>0</v>
      </c>
      <c r="R177" s="289">
        <v>0</v>
      </c>
      <c r="S177" s="292"/>
      <c r="T177" s="1121">
        <v>35</v>
      </c>
      <c r="U177" s="1121"/>
      <c r="V177" s="1121"/>
      <c r="W177" s="1121">
        <v>1.4</v>
      </c>
      <c r="X177" s="1121"/>
      <c r="Y177" s="1121"/>
      <c r="Z177" s="1121"/>
      <c r="AA177" s="1121"/>
      <c r="AB177" s="1121"/>
      <c r="AC177" s="1121" t="s">
        <v>1704</v>
      </c>
      <c r="AD177" s="1121"/>
      <c r="AE177" s="1121"/>
      <c r="AF177" s="1121">
        <v>6000</v>
      </c>
      <c r="AG177" s="288">
        <v>15022.83</v>
      </c>
      <c r="AH177" s="1121">
        <v>2663</v>
      </c>
      <c r="AI177" s="289">
        <v>629</v>
      </c>
      <c r="AJ177" s="1121"/>
      <c r="AK177" s="1121"/>
      <c r="AL177" s="1121"/>
      <c r="AM177" s="1121" t="s">
        <v>1228</v>
      </c>
      <c r="AN177" s="315">
        <v>5.5</v>
      </c>
      <c r="AO177" s="315"/>
      <c r="AP177" s="315"/>
      <c r="AQ177" s="315"/>
      <c r="AR177" s="315"/>
      <c r="AS177" s="315"/>
      <c r="AT177" s="315">
        <f>+ab($T$177,$T$175,$T$179,$G$176,$G$178, 1*$F$177,1200)</f>
        <v>9.4931611588992766</v>
      </c>
      <c r="AU177" s="315"/>
      <c r="AV177" s="315"/>
      <c r="AW177" s="315" t="s">
        <v>2634</v>
      </c>
      <c r="AX177" s="315" t="s">
        <v>1641</v>
      </c>
      <c r="AY177" s="315">
        <v>4.2</v>
      </c>
      <c r="AZ177" s="315"/>
      <c r="BA177" s="315"/>
      <c r="BB177" s="306"/>
    </row>
    <row r="178" spans="1:54" ht="14.25">
      <c r="A178" s="287"/>
      <c r="B178" s="287"/>
      <c r="C178" s="288"/>
      <c r="D178" s="1121"/>
      <c r="E178" s="1121"/>
      <c r="F178" s="289"/>
      <c r="G178" s="292">
        <v>64</v>
      </c>
      <c r="H178" s="291"/>
      <c r="I178" s="291"/>
      <c r="J178" s="288">
        <f>C177+7.5</f>
        <v>15032.5</v>
      </c>
      <c r="K178" s="1121" t="s">
        <v>3017</v>
      </c>
      <c r="L178" s="1121"/>
      <c r="M178" s="1121"/>
      <c r="N178" s="1121"/>
      <c r="O178" s="1121"/>
      <c r="P178" s="1121"/>
      <c r="Q178" s="1121"/>
      <c r="R178" s="292"/>
      <c r="S178" s="292">
        <f t="shared" si="28"/>
        <v>64</v>
      </c>
      <c r="T178" s="1121"/>
      <c r="U178" s="1121"/>
      <c r="V178" s="1121"/>
      <c r="W178" s="1121"/>
      <c r="X178" s="1121"/>
      <c r="Y178" s="1121"/>
      <c r="Z178" s="1121"/>
      <c r="AA178" s="1121"/>
      <c r="AB178" s="1121"/>
      <c r="AC178" s="1121"/>
      <c r="AD178" s="1121"/>
      <c r="AE178" s="1121"/>
      <c r="AF178" s="1121"/>
      <c r="AG178" s="288"/>
      <c r="AH178" s="1121"/>
      <c r="AI178" s="289"/>
      <c r="AJ178" s="1121"/>
      <c r="AK178" s="1121"/>
      <c r="AL178" s="1121"/>
      <c r="AM178" s="1121"/>
      <c r="AN178" s="315"/>
      <c r="AO178" s="315"/>
      <c r="AP178" s="315"/>
      <c r="AQ178" s="315">
        <f>+FL_2($T$179,$T$177,$G$178,1200,9.28, 1*$F$179)</f>
        <v>-0.47329293799999994</v>
      </c>
      <c r="AR178" s="315"/>
      <c r="AS178" s="315"/>
      <c r="AT178" s="315"/>
      <c r="AU178" s="315"/>
      <c r="AV178" s="315"/>
      <c r="AW178" s="315" t="s">
        <v>2634</v>
      </c>
      <c r="AX178" s="315" t="s">
        <v>1641</v>
      </c>
      <c r="AY178" s="315"/>
      <c r="AZ178" s="315">
        <v>3.5</v>
      </c>
      <c r="BA178" s="315"/>
      <c r="BB178" s="306"/>
    </row>
    <row r="179" spans="1:54" ht="14.25">
      <c r="A179" s="287"/>
      <c r="B179" s="287" t="s">
        <v>2323</v>
      </c>
      <c r="C179" s="288">
        <f>+$C$177+$G$178</f>
        <v>15089</v>
      </c>
      <c r="D179" s="1121"/>
      <c r="E179" s="1121"/>
      <c r="F179" s="289">
        <v>0</v>
      </c>
      <c r="G179" s="292"/>
      <c r="H179" s="291"/>
      <c r="I179" s="294"/>
      <c r="J179" s="288"/>
      <c r="K179" s="1121"/>
      <c r="L179" s="1121" t="s">
        <v>230</v>
      </c>
      <c r="M179" s="1121" t="s">
        <v>2757</v>
      </c>
      <c r="N179" s="1121" t="s">
        <v>144</v>
      </c>
      <c r="O179" s="1121"/>
      <c r="P179" s="1121"/>
      <c r="Q179" s="1121">
        <v>0</v>
      </c>
      <c r="R179" s="289">
        <v>0</v>
      </c>
      <c r="S179" s="292"/>
      <c r="T179" s="1121">
        <v>-35</v>
      </c>
      <c r="U179" s="1121"/>
      <c r="V179" s="1121"/>
      <c r="W179" s="1121">
        <v>1.4</v>
      </c>
      <c r="X179" s="1121"/>
      <c r="Y179" s="1121"/>
      <c r="Z179" s="1121"/>
      <c r="AA179" s="1121"/>
      <c r="AB179" s="1121"/>
      <c r="AC179" s="1121" t="s">
        <v>1704</v>
      </c>
      <c r="AD179" s="1121"/>
      <c r="AE179" s="1121"/>
      <c r="AF179" s="1121">
        <v>6000</v>
      </c>
      <c r="AG179" s="288">
        <v>15086.83</v>
      </c>
      <c r="AH179" s="1121">
        <v>2582</v>
      </c>
      <c r="AI179" s="289">
        <v>681</v>
      </c>
      <c r="AJ179" s="1121"/>
      <c r="AK179" s="1121"/>
      <c r="AL179" s="1121"/>
      <c r="AM179" s="1121" t="s">
        <v>1228</v>
      </c>
      <c r="AN179" s="315">
        <v>5.5</v>
      </c>
      <c r="AO179" s="315"/>
      <c r="AP179" s="315"/>
      <c r="AQ179" s="315"/>
      <c r="AR179" s="315"/>
      <c r="AS179" s="315"/>
      <c r="AT179" s="315">
        <f>+ab($T$179,$T$177,$T$181,$G$178,$G$180, 1*$F$179,1200)</f>
        <v>-8.7710989637346053</v>
      </c>
      <c r="AU179" s="315"/>
      <c r="AV179" s="315"/>
      <c r="AW179" s="315" t="s">
        <v>2634</v>
      </c>
      <c r="AX179" s="315" t="s">
        <v>1641</v>
      </c>
      <c r="AY179" s="315">
        <v>4.2</v>
      </c>
      <c r="AZ179" s="315"/>
      <c r="BA179" s="315"/>
      <c r="BB179" s="306"/>
    </row>
    <row r="180" spans="1:54" ht="14.25">
      <c r="A180" s="287"/>
      <c r="B180" s="287"/>
      <c r="C180" s="288"/>
      <c r="D180" s="1121"/>
      <c r="E180" s="1121"/>
      <c r="F180" s="289"/>
      <c r="G180" s="292">
        <v>65</v>
      </c>
      <c r="H180" s="291"/>
      <c r="I180" s="294"/>
      <c r="J180" s="288"/>
      <c r="K180" s="1121"/>
      <c r="L180" s="1121"/>
      <c r="M180" s="1121"/>
      <c r="N180" s="1121"/>
      <c r="O180" s="1121"/>
      <c r="P180" s="1121"/>
      <c r="Q180" s="1121"/>
      <c r="R180" s="292"/>
      <c r="S180" s="292">
        <f t="shared" si="28"/>
        <v>65.100000000000364</v>
      </c>
      <c r="T180" s="1121"/>
      <c r="U180" s="1121"/>
      <c r="V180" s="1121"/>
      <c r="W180" s="1121"/>
      <c r="X180" s="1121"/>
      <c r="Y180" s="1121"/>
      <c r="Z180" s="1121"/>
      <c r="AA180" s="1121"/>
      <c r="AB180" s="1121"/>
      <c r="AC180" s="1121"/>
      <c r="AD180" s="1121"/>
      <c r="AE180" s="1121"/>
      <c r="AF180" s="1121"/>
      <c r="AG180" s="288"/>
      <c r="AH180" s="1121"/>
      <c r="AI180" s="289"/>
      <c r="AJ180" s="1121"/>
      <c r="AK180" s="1121"/>
      <c r="AL180" s="1121"/>
      <c r="AM180" s="1121"/>
      <c r="AN180" s="315"/>
      <c r="AO180" s="315"/>
      <c r="AP180" s="315"/>
      <c r="AQ180" s="315">
        <f>+FL_2($T$181,$T$179,$G$180,1200,9.28, 1*$F$181)</f>
        <v>-0.48340135661538447</v>
      </c>
      <c r="AR180" s="315"/>
      <c r="AS180" s="315"/>
      <c r="AT180" s="315"/>
      <c r="AU180" s="315"/>
      <c r="AV180" s="315"/>
      <c r="AW180" s="315"/>
      <c r="AX180" s="315"/>
      <c r="AY180" s="315" t="s">
        <v>695</v>
      </c>
      <c r="AZ180" s="315"/>
      <c r="BA180" s="315"/>
      <c r="BB180" s="306"/>
    </row>
    <row r="181" spans="1:54" ht="14.25">
      <c r="A181" s="287"/>
      <c r="B181" s="287" t="s">
        <v>2324</v>
      </c>
      <c r="C181" s="288">
        <f>+$C$179+$G$180</f>
        <v>15154</v>
      </c>
      <c r="D181" s="1121"/>
      <c r="E181" s="1121"/>
      <c r="F181" s="289">
        <v>0</v>
      </c>
      <c r="G181" s="292"/>
      <c r="H181" s="1121"/>
      <c r="I181" s="289"/>
      <c r="J181" s="288"/>
      <c r="K181" s="1121"/>
      <c r="L181" s="1121" t="s">
        <v>230</v>
      </c>
      <c r="M181" s="1121" t="s">
        <v>2757</v>
      </c>
      <c r="N181" s="1121" t="s">
        <v>145</v>
      </c>
      <c r="O181" s="1121"/>
      <c r="P181" s="1121"/>
      <c r="Q181" s="1121">
        <v>0</v>
      </c>
      <c r="R181" s="289">
        <v>0</v>
      </c>
      <c r="S181" s="292"/>
      <c r="T181" s="1121">
        <v>35</v>
      </c>
      <c r="U181" s="1121"/>
      <c r="V181" s="1121"/>
      <c r="W181" s="1121">
        <v>1.4</v>
      </c>
      <c r="X181" s="1121"/>
      <c r="Y181" s="1121"/>
      <c r="Z181" s="1121"/>
      <c r="AA181" s="1121"/>
      <c r="AB181" s="1121"/>
      <c r="AC181" s="1121" t="s">
        <v>1704</v>
      </c>
      <c r="AD181" s="1121"/>
      <c r="AE181" s="1121"/>
      <c r="AF181" s="1121">
        <v>6000</v>
      </c>
      <c r="AG181" s="288">
        <v>15151.93</v>
      </c>
      <c r="AH181" s="1121">
        <v>2547</v>
      </c>
      <c r="AI181" s="289">
        <v>662</v>
      </c>
      <c r="AJ181" s="1121"/>
      <c r="AK181" s="1121"/>
      <c r="AL181" s="1121"/>
      <c r="AM181" s="1121" t="s">
        <v>1228</v>
      </c>
      <c r="AN181" s="315">
        <v>5.5</v>
      </c>
      <c r="AO181" s="315"/>
      <c r="AP181" s="315"/>
      <c r="AQ181" s="315"/>
      <c r="AR181" s="315"/>
      <c r="AS181" s="315"/>
      <c r="AT181" s="315">
        <f>+ab($T$181,$T$179,$T$183,$G$180,$G$182, 1*$F$181,1200)</f>
        <v>8.490212866137723</v>
      </c>
      <c r="AU181" s="315"/>
      <c r="AV181" s="315"/>
      <c r="AW181" s="315" t="s">
        <v>2634</v>
      </c>
      <c r="AX181" s="315" t="s">
        <v>1641</v>
      </c>
      <c r="AY181" s="315">
        <v>4.2</v>
      </c>
      <c r="AZ181" s="315"/>
      <c r="BA181" s="315"/>
      <c r="BB181" s="306"/>
    </row>
    <row r="182" spans="1:54" ht="14.25">
      <c r="A182" s="287"/>
      <c r="B182" s="287"/>
      <c r="C182" s="288"/>
      <c r="D182" s="1121"/>
      <c r="E182" s="1121"/>
      <c r="F182" s="289"/>
      <c r="G182" s="292">
        <v>60</v>
      </c>
      <c r="H182" s="291"/>
      <c r="I182" s="291"/>
      <c r="J182" s="288"/>
      <c r="K182" s="1121"/>
      <c r="L182" s="1121"/>
      <c r="M182" s="1121"/>
      <c r="N182" s="1121"/>
      <c r="O182" s="1121"/>
      <c r="P182" s="1121"/>
      <c r="Q182" s="1121"/>
      <c r="R182" s="292"/>
      <c r="S182" s="292">
        <f t="shared" si="28"/>
        <v>58.8799999999992</v>
      </c>
      <c r="T182" s="1121"/>
      <c r="U182" s="1121"/>
      <c r="V182" s="1121"/>
      <c r="W182" s="1121"/>
      <c r="X182" s="1121"/>
      <c r="Y182" s="1121"/>
      <c r="Z182" s="1121"/>
      <c r="AA182" s="1121"/>
      <c r="AB182" s="1121"/>
      <c r="AC182" s="1121"/>
      <c r="AD182" s="1121"/>
      <c r="AE182" s="1121"/>
      <c r="AF182" s="1121"/>
      <c r="AG182" s="288"/>
      <c r="AH182" s="1121"/>
      <c r="AI182" s="289"/>
      <c r="AJ182" s="1121"/>
      <c r="AK182" s="1121"/>
      <c r="AL182" s="1121"/>
      <c r="AM182" s="1121"/>
      <c r="AN182" s="315"/>
      <c r="AO182" s="315"/>
      <c r="AP182" s="315"/>
      <c r="AQ182" s="315">
        <f>+FL_1($T$183,$T$181,$G$182,1200,9.28, 1*$F$183)</f>
        <v>0.43600286799999993</v>
      </c>
      <c r="AR182" s="315"/>
      <c r="AS182" s="315"/>
      <c r="AT182" s="315"/>
      <c r="AU182" s="315"/>
      <c r="AV182" s="315"/>
      <c r="AW182" s="315"/>
      <c r="AX182" s="315"/>
      <c r="AY182" s="315" t="s">
        <v>695</v>
      </c>
      <c r="AZ182" s="315"/>
      <c r="BA182" s="315"/>
      <c r="BB182" s="306"/>
    </row>
    <row r="183" spans="1:54" ht="14.25">
      <c r="A183" s="287"/>
      <c r="B183" s="287" t="s">
        <v>2325</v>
      </c>
      <c r="C183" s="288">
        <f>+$C$181+$G$182</f>
        <v>15214</v>
      </c>
      <c r="D183" s="1121"/>
      <c r="E183" s="1121"/>
      <c r="F183" s="289">
        <v>0</v>
      </c>
      <c r="G183" s="292"/>
      <c r="H183" s="1121"/>
      <c r="I183" s="294"/>
      <c r="J183" s="288"/>
      <c r="K183" s="1121"/>
      <c r="L183" s="1121" t="s">
        <v>230</v>
      </c>
      <c r="M183" s="1121" t="s">
        <v>2757</v>
      </c>
      <c r="N183" s="1121" t="s">
        <v>144</v>
      </c>
      <c r="O183" s="1121"/>
      <c r="P183" s="1121"/>
      <c r="Q183" s="1121">
        <v>0</v>
      </c>
      <c r="R183" s="289">
        <v>0</v>
      </c>
      <c r="S183" s="292"/>
      <c r="T183" s="1121">
        <v>-35</v>
      </c>
      <c r="U183" s="1121"/>
      <c r="V183" s="1121"/>
      <c r="W183" s="1121">
        <v>1.4</v>
      </c>
      <c r="X183" s="1121"/>
      <c r="Y183" s="1121"/>
      <c r="Z183" s="1121"/>
      <c r="AA183" s="1121"/>
      <c r="AB183" s="1121"/>
      <c r="AC183" s="1121" t="s">
        <v>2965</v>
      </c>
      <c r="AD183" s="1121"/>
      <c r="AE183" s="1121"/>
      <c r="AF183" s="1121">
        <v>6000</v>
      </c>
      <c r="AG183" s="288">
        <v>15210.81</v>
      </c>
      <c r="AH183" s="1121">
        <v>2115</v>
      </c>
      <c r="AI183" s="289">
        <v>553</v>
      </c>
      <c r="AJ183" s="1121"/>
      <c r="AK183" s="1121"/>
      <c r="AL183" s="1121"/>
      <c r="AM183" s="1121" t="s">
        <v>1228</v>
      </c>
      <c r="AN183" s="315">
        <v>5.5</v>
      </c>
      <c r="AO183" s="315"/>
      <c r="AP183" s="315"/>
      <c r="AQ183" s="315"/>
      <c r="AR183" s="315"/>
      <c r="AS183" s="315"/>
      <c r="AT183" s="315">
        <f>+ab($T$183,$T$181,$T$185,$G$182,$G$184, 1*$F$183,1200)</f>
        <v>-7.8175501667728815</v>
      </c>
      <c r="AU183" s="315"/>
      <c r="AV183" s="315"/>
      <c r="AW183" s="315" t="s">
        <v>2634</v>
      </c>
      <c r="AX183" s="315" t="s">
        <v>1641</v>
      </c>
      <c r="AY183" s="315">
        <v>4.2</v>
      </c>
      <c r="AZ183" s="315"/>
      <c r="BA183" s="315"/>
      <c r="BB183" s="306"/>
    </row>
    <row r="184" spans="1:54" ht="14.25">
      <c r="A184" s="287"/>
      <c r="B184" s="287"/>
      <c r="C184" s="288"/>
      <c r="D184" s="1121"/>
      <c r="E184" s="1121"/>
      <c r="F184" s="289"/>
      <c r="G184" s="292">
        <v>55</v>
      </c>
      <c r="H184" s="291"/>
      <c r="I184" s="294"/>
      <c r="J184" s="288"/>
      <c r="K184" s="1121"/>
      <c r="L184" s="1121"/>
      <c r="M184" s="1121"/>
      <c r="N184" s="1121"/>
      <c r="O184" s="1121"/>
      <c r="P184" s="1121"/>
      <c r="Q184" s="1121"/>
      <c r="R184" s="292"/>
      <c r="S184" s="292">
        <f t="shared" si="28"/>
        <v>55.280000000000655</v>
      </c>
      <c r="T184" s="1121"/>
      <c r="U184" s="1121"/>
      <c r="V184" s="1121"/>
      <c r="W184" s="1121"/>
      <c r="X184" s="1121"/>
      <c r="Y184" s="1121"/>
      <c r="Z184" s="1121"/>
      <c r="AA184" s="1121"/>
      <c r="AB184" s="1121"/>
      <c r="AC184" s="1121"/>
      <c r="AD184" s="1121"/>
      <c r="AE184" s="1121"/>
      <c r="AF184" s="1121"/>
      <c r="AG184" s="288"/>
      <c r="AH184" s="1121"/>
      <c r="AI184" s="289"/>
      <c r="AJ184" s="1121"/>
      <c r="AK184" s="1121"/>
      <c r="AL184" s="1121"/>
      <c r="AM184" s="1121"/>
      <c r="AN184" s="315"/>
      <c r="AO184" s="315"/>
      <c r="AP184" s="315"/>
      <c r="AQ184" s="315">
        <f>+FL_1($T$185,$T$183,$G$184,1200,9.28, 1*$F$185)</f>
        <v>0.39714735709090909</v>
      </c>
      <c r="AR184" s="315"/>
      <c r="AS184" s="315"/>
      <c r="AT184" s="315"/>
      <c r="AU184" s="315"/>
      <c r="AV184" s="315"/>
      <c r="AW184" s="315"/>
      <c r="AX184" s="315"/>
      <c r="AY184" s="315" t="s">
        <v>695</v>
      </c>
      <c r="AZ184" s="315"/>
      <c r="BA184" s="315"/>
      <c r="BB184" s="306"/>
    </row>
    <row r="185" spans="1:54" ht="14.25">
      <c r="A185" s="287"/>
      <c r="B185" s="1036" t="s">
        <v>2326</v>
      </c>
      <c r="C185" s="288">
        <f>+$C$183+$G$184</f>
        <v>15269</v>
      </c>
      <c r="D185" s="1121"/>
      <c r="E185" s="1121"/>
      <c r="F185" s="289">
        <v>0</v>
      </c>
      <c r="G185" s="292"/>
      <c r="H185" s="291"/>
      <c r="I185" s="294"/>
      <c r="J185" s="288"/>
      <c r="K185" s="1121"/>
      <c r="L185" s="1121" t="s">
        <v>230</v>
      </c>
      <c r="M185" s="1121" t="s">
        <v>2757</v>
      </c>
      <c r="N185" s="1121" t="s">
        <v>145</v>
      </c>
      <c r="O185" s="1121"/>
      <c r="P185" s="1121"/>
      <c r="Q185" s="1121">
        <v>0</v>
      </c>
      <c r="R185" s="289">
        <v>0</v>
      </c>
      <c r="S185" s="292"/>
      <c r="T185" s="1121">
        <v>35</v>
      </c>
      <c r="U185" s="1121"/>
      <c r="V185" s="1121"/>
      <c r="W185" s="1121">
        <v>1.4</v>
      </c>
      <c r="X185" s="1121"/>
      <c r="Y185" s="1121"/>
      <c r="Z185" s="1121"/>
      <c r="AA185" s="1121"/>
      <c r="AB185" s="1121"/>
      <c r="AC185" s="1121" t="s">
        <v>2963</v>
      </c>
      <c r="AD185" s="1121"/>
      <c r="AE185" s="1121"/>
      <c r="AF185" s="1121">
        <v>6000</v>
      </c>
      <c r="AG185" s="288">
        <v>15266.09</v>
      </c>
      <c r="AH185" s="1121">
        <v>3161</v>
      </c>
      <c r="AI185" s="289">
        <v>847</v>
      </c>
      <c r="AJ185" s="1121"/>
      <c r="AK185" s="1121"/>
      <c r="AL185" s="1121"/>
      <c r="AM185" s="1121" t="s">
        <v>1228</v>
      </c>
      <c r="AN185" s="315">
        <v>5.5</v>
      </c>
      <c r="AO185" s="315"/>
      <c r="AP185" s="315"/>
      <c r="AQ185" s="315"/>
      <c r="AR185" s="315"/>
      <c r="AS185" s="315"/>
      <c r="AT185" s="315">
        <f>+ab($T$185,$T$183,$T$187,$G$184,$G$186, 1*$F$185,1200)</f>
        <v>6.7777741603871107</v>
      </c>
      <c r="AU185" s="315"/>
      <c r="AV185" s="315"/>
      <c r="AW185" s="315" t="s">
        <v>2634</v>
      </c>
      <c r="AX185" s="315" t="s">
        <v>1641</v>
      </c>
      <c r="AY185" s="315">
        <v>4.2</v>
      </c>
      <c r="AZ185" s="315"/>
      <c r="BA185" s="315"/>
      <c r="BB185" s="306"/>
    </row>
    <row r="186" spans="1:54" ht="14.25">
      <c r="A186" s="287"/>
      <c r="B186" s="287"/>
      <c r="C186" s="288"/>
      <c r="D186" s="1121"/>
      <c r="E186" s="1121"/>
      <c r="F186" s="289"/>
      <c r="G186" s="292">
        <v>45.3</v>
      </c>
      <c r="H186" s="291"/>
      <c r="I186" s="294"/>
      <c r="J186" s="288"/>
      <c r="K186" s="1121"/>
      <c r="L186" s="1121"/>
      <c r="M186" s="1121"/>
      <c r="N186" s="1121"/>
      <c r="O186" s="1121"/>
      <c r="P186" s="1121"/>
      <c r="Q186" s="1121"/>
      <c r="R186" s="292"/>
      <c r="S186" s="292">
        <f t="shared" si="28"/>
        <v>45.319999999999709</v>
      </c>
      <c r="T186" s="1121"/>
      <c r="U186" s="1121"/>
      <c r="V186" s="1121"/>
      <c r="W186" s="1121"/>
      <c r="X186" s="1121"/>
      <c r="Y186" s="1121"/>
      <c r="Z186" s="1121"/>
      <c r="AA186" s="1121"/>
      <c r="AB186" s="1121"/>
      <c r="AC186" s="1121"/>
      <c r="AD186" s="1121"/>
      <c r="AE186" s="1121"/>
      <c r="AF186" s="1121"/>
      <c r="AG186" s="288"/>
      <c r="AH186" s="1121"/>
      <c r="AI186" s="289"/>
      <c r="AJ186" s="1121"/>
      <c r="AK186" s="1121"/>
      <c r="AL186" s="1121"/>
      <c r="AM186" s="1121"/>
      <c r="AN186" s="315"/>
      <c r="AO186" s="315"/>
      <c r="AP186" s="315"/>
      <c r="AQ186" s="315">
        <f>+FL_1($T$187,$T$185,$G$186,1200,9.28, 1*$F$187)</f>
        <v>0.35275293385430467</v>
      </c>
      <c r="AR186" s="315"/>
      <c r="AS186" s="315"/>
      <c r="AT186" s="315"/>
      <c r="AU186" s="315"/>
      <c r="AV186" s="315"/>
      <c r="AW186" s="315"/>
      <c r="AX186" s="315"/>
      <c r="AY186" s="315" t="s">
        <v>695</v>
      </c>
      <c r="AZ186" s="315"/>
      <c r="BA186" s="315"/>
      <c r="BB186" s="306"/>
    </row>
    <row r="187" spans="1:54" ht="14.25">
      <c r="A187" s="287"/>
      <c r="B187" s="287" t="s">
        <v>2327</v>
      </c>
      <c r="C187" s="288">
        <v>15311.4</v>
      </c>
      <c r="D187" s="1121"/>
      <c r="E187" s="1121"/>
      <c r="F187" s="289">
        <v>0</v>
      </c>
      <c r="G187" s="292"/>
      <c r="H187" s="291"/>
      <c r="I187" s="291"/>
      <c r="J187" s="288"/>
      <c r="K187" s="1121"/>
      <c r="L187" s="1121" t="s">
        <v>230</v>
      </c>
      <c r="M187" s="1121" t="s">
        <v>2757</v>
      </c>
      <c r="N187" s="1121" t="s">
        <v>144</v>
      </c>
      <c r="O187" s="1121"/>
      <c r="P187" s="1121"/>
      <c r="Q187" s="1121">
        <v>0</v>
      </c>
      <c r="R187" s="289">
        <v>0</v>
      </c>
      <c r="S187" s="292"/>
      <c r="T187" s="1121">
        <v>-35</v>
      </c>
      <c r="U187" s="1121"/>
      <c r="V187" s="1121"/>
      <c r="W187" s="1121">
        <v>1.4</v>
      </c>
      <c r="X187" s="1121"/>
      <c r="Y187" s="1121"/>
      <c r="Z187" s="1121"/>
      <c r="AA187" s="1121"/>
      <c r="AB187" s="1121"/>
      <c r="AC187" s="1121" t="s">
        <v>2963</v>
      </c>
      <c r="AD187" s="1121"/>
      <c r="AE187" s="1121"/>
      <c r="AF187" s="1121">
        <v>6000</v>
      </c>
      <c r="AG187" s="288">
        <v>15311.41</v>
      </c>
      <c r="AH187" s="1121">
        <v>2566</v>
      </c>
      <c r="AI187" s="289">
        <v>741</v>
      </c>
      <c r="AJ187" s="1121"/>
      <c r="AK187" s="1121"/>
      <c r="AL187" s="1121"/>
      <c r="AM187" s="1121" t="s">
        <v>1228</v>
      </c>
      <c r="AN187" s="315">
        <v>5.5</v>
      </c>
      <c r="AO187" s="315"/>
      <c r="AP187" s="315"/>
      <c r="AQ187" s="315"/>
      <c r="AR187" s="315"/>
      <c r="AS187" s="315"/>
      <c r="AT187" s="315">
        <f>+ab($T$187,$T$185,$T$189,$G$186,$G$188, 1*$F$187,1200)</f>
        <v>-6.6994968233471655</v>
      </c>
      <c r="AU187" s="315"/>
      <c r="AV187" s="315"/>
      <c r="AW187" s="315" t="s">
        <v>2634</v>
      </c>
      <c r="AX187" s="315" t="s">
        <v>1641</v>
      </c>
      <c r="AY187" s="315">
        <v>4.2</v>
      </c>
      <c r="AZ187" s="315"/>
      <c r="BA187" s="315"/>
      <c r="BB187" s="306"/>
    </row>
    <row r="188" spans="1:54" ht="14.25">
      <c r="A188" s="363" t="s">
        <v>2588</v>
      </c>
      <c r="B188" s="363"/>
      <c r="C188" s="342"/>
      <c r="D188" s="343"/>
      <c r="E188" s="343"/>
      <c r="F188" s="344"/>
      <c r="G188" s="345">
        <v>53.6</v>
      </c>
      <c r="H188" s="360"/>
      <c r="I188" s="346"/>
      <c r="J188" s="342"/>
      <c r="K188" s="343"/>
      <c r="L188" s="343"/>
      <c r="M188" s="343"/>
      <c r="N188" s="343"/>
      <c r="O188" s="343"/>
      <c r="P188" s="343"/>
      <c r="Q188" s="343"/>
      <c r="R188" s="345"/>
      <c r="S188" s="345">
        <f t="shared" si="28"/>
        <v>51.460000000000946</v>
      </c>
      <c r="T188" s="343"/>
      <c r="U188" s="343"/>
      <c r="V188" s="343"/>
      <c r="W188" s="343"/>
      <c r="X188" s="343"/>
      <c r="Y188" s="343"/>
      <c r="Z188" s="343"/>
      <c r="AA188" s="343"/>
      <c r="AB188" s="343"/>
      <c r="AC188" s="343"/>
      <c r="AD188" s="343"/>
      <c r="AE188" s="343"/>
      <c r="AF188" s="343"/>
      <c r="AG188" s="342"/>
      <c r="AH188" s="343"/>
      <c r="AI188" s="344"/>
      <c r="AJ188" s="343"/>
      <c r="AK188" s="343"/>
      <c r="AL188" s="343"/>
      <c r="AM188" s="343"/>
      <c r="AN188" s="347"/>
      <c r="AO188" s="347"/>
      <c r="AP188" s="347"/>
      <c r="AQ188" s="347">
        <f>+FL_2($T$189,$T$187,$G$188,1200,10.96,1*$F$189)</f>
        <v>-0.42136623134328344</v>
      </c>
      <c r="AR188" s="347"/>
      <c r="AS188" s="347"/>
      <c r="AT188" s="347"/>
      <c r="AU188" s="347"/>
      <c r="AV188" s="347"/>
      <c r="AW188" s="347"/>
      <c r="AX188" s="347"/>
      <c r="AY188" s="347"/>
      <c r="AZ188" s="347"/>
      <c r="BA188" s="347"/>
      <c r="BB188" s="306"/>
    </row>
    <row r="189" spans="1:54" ht="14.25">
      <c r="A189" s="363"/>
      <c r="B189" s="363" t="s">
        <v>2328</v>
      </c>
      <c r="C189" s="342">
        <f>+$C$187+$G$188</f>
        <v>15365</v>
      </c>
      <c r="D189" s="343"/>
      <c r="E189" s="343"/>
      <c r="F189" s="344">
        <v>0</v>
      </c>
      <c r="G189" s="345"/>
      <c r="H189" s="360"/>
      <c r="I189" s="346"/>
      <c r="J189" s="342"/>
      <c r="K189" s="343"/>
      <c r="L189" s="343" t="s">
        <v>2685</v>
      </c>
      <c r="M189" s="343" t="s">
        <v>2796</v>
      </c>
      <c r="N189" s="343" t="s">
        <v>145</v>
      </c>
      <c r="O189" s="343"/>
      <c r="P189" s="343"/>
      <c r="Q189" s="343">
        <v>0</v>
      </c>
      <c r="R189" s="344">
        <v>0</v>
      </c>
      <c r="S189" s="345"/>
      <c r="T189" s="343">
        <v>35</v>
      </c>
      <c r="U189" s="343"/>
      <c r="V189" s="343"/>
      <c r="W189" s="343">
        <v>1.4</v>
      </c>
      <c r="X189" s="343"/>
      <c r="Y189" s="343"/>
      <c r="Z189" s="343"/>
      <c r="AA189" s="343"/>
      <c r="AB189" s="343"/>
      <c r="AC189" s="343" t="s">
        <v>2963</v>
      </c>
      <c r="AD189" s="343"/>
      <c r="AE189" s="343"/>
      <c r="AF189" s="343">
        <v>6000</v>
      </c>
      <c r="AG189" s="342">
        <v>15362.87</v>
      </c>
      <c r="AH189" s="343">
        <v>2872</v>
      </c>
      <c r="AI189" s="344">
        <v>552</v>
      </c>
      <c r="AJ189" s="343"/>
      <c r="AK189" s="343"/>
      <c r="AL189" s="343"/>
      <c r="AM189" s="343" t="s">
        <v>1228</v>
      </c>
      <c r="AN189" s="347">
        <v>5.5</v>
      </c>
      <c r="AO189" s="347"/>
      <c r="AP189" s="347"/>
      <c r="AQ189" s="347"/>
      <c r="AR189" s="347"/>
      <c r="AS189" s="347"/>
      <c r="AT189" s="347">
        <f>+ab($T$189,$T$187,$T$191,$G$188,$G$190, 1*$F$189,1200)</f>
        <v>7.0555601616128856</v>
      </c>
      <c r="AU189" s="347"/>
      <c r="AV189" s="347"/>
      <c r="AW189" s="347" t="s">
        <v>699</v>
      </c>
      <c r="AX189" s="347" t="s">
        <v>699</v>
      </c>
      <c r="AY189" s="347" t="s">
        <v>699</v>
      </c>
      <c r="AZ189" s="347" t="s">
        <v>699</v>
      </c>
      <c r="BA189" s="347"/>
      <c r="BB189" s="306"/>
    </row>
    <row r="190" spans="1:54" ht="14.25">
      <c r="A190" s="363"/>
      <c r="B190" s="363"/>
      <c r="C190" s="342"/>
      <c r="D190" s="343"/>
      <c r="E190" s="343"/>
      <c r="F190" s="344"/>
      <c r="G190" s="345">
        <v>50</v>
      </c>
      <c r="H190" s="360"/>
      <c r="I190" s="346"/>
      <c r="J190" s="342"/>
      <c r="K190" s="343"/>
      <c r="L190" s="343"/>
      <c r="M190" s="343"/>
      <c r="N190" s="343"/>
      <c r="O190" s="343"/>
      <c r="P190" s="343"/>
      <c r="Q190" s="343"/>
      <c r="R190" s="345"/>
      <c r="S190" s="345">
        <f t="shared" si="28"/>
        <v>49.18999999999869</v>
      </c>
      <c r="T190" s="343"/>
      <c r="U190" s="343"/>
      <c r="V190" s="343"/>
      <c r="W190" s="343"/>
      <c r="X190" s="343"/>
      <c r="Y190" s="343"/>
      <c r="Z190" s="343"/>
      <c r="AA190" s="343"/>
      <c r="AB190" s="343"/>
      <c r="AC190" s="343"/>
      <c r="AD190" s="343"/>
      <c r="AE190" s="343"/>
      <c r="AF190" s="343"/>
      <c r="AG190" s="342" t="s">
        <v>695</v>
      </c>
      <c r="AH190" s="343" t="s">
        <v>695</v>
      </c>
      <c r="AI190" s="344"/>
      <c r="AJ190" s="343"/>
      <c r="AK190" s="343"/>
      <c r="AL190" s="343"/>
      <c r="AM190" s="343"/>
      <c r="AN190" s="347"/>
      <c r="AO190" s="347"/>
      <c r="AP190" s="347"/>
      <c r="AQ190" s="347">
        <f>+FL_2($T$191,$T$189,$G$190,1200,10.96,1*$F$191)</f>
        <v>-0.39271593566666668</v>
      </c>
      <c r="AR190" s="347"/>
      <c r="AS190" s="347"/>
      <c r="AT190" s="347"/>
      <c r="AU190" s="347"/>
      <c r="AV190" s="347"/>
      <c r="AW190" s="347"/>
      <c r="AX190" s="347"/>
      <c r="AY190" s="347"/>
      <c r="AZ190" s="347"/>
      <c r="BA190" s="347"/>
      <c r="BB190" s="306"/>
    </row>
    <row r="191" spans="1:54" ht="14.25">
      <c r="A191" s="363"/>
      <c r="B191" s="363" t="s">
        <v>2329</v>
      </c>
      <c r="C191" s="342">
        <f>+$C$189+$G$190</f>
        <v>15415</v>
      </c>
      <c r="D191" s="343"/>
      <c r="E191" s="343"/>
      <c r="F191" s="344">
        <v>0</v>
      </c>
      <c r="G191" s="345"/>
      <c r="H191" s="360"/>
      <c r="I191" s="346"/>
      <c r="J191" s="342"/>
      <c r="K191" s="343"/>
      <c r="L191" s="343" t="s">
        <v>2685</v>
      </c>
      <c r="M191" s="343" t="s">
        <v>2796</v>
      </c>
      <c r="N191" s="343" t="s">
        <v>144</v>
      </c>
      <c r="O191" s="343"/>
      <c r="P191" s="343"/>
      <c r="Q191" s="343">
        <v>0</v>
      </c>
      <c r="R191" s="344">
        <v>0</v>
      </c>
      <c r="S191" s="345"/>
      <c r="T191" s="343">
        <v>-35</v>
      </c>
      <c r="U191" s="343"/>
      <c r="V191" s="343"/>
      <c r="W191" s="343">
        <v>1.4</v>
      </c>
      <c r="X191" s="343"/>
      <c r="Y191" s="343"/>
      <c r="Z191" s="343"/>
      <c r="AA191" s="343"/>
      <c r="AB191" s="343"/>
      <c r="AC191" s="343" t="s">
        <v>2963</v>
      </c>
      <c r="AD191" s="343"/>
      <c r="AE191" s="343"/>
      <c r="AF191" s="343">
        <v>6000</v>
      </c>
      <c r="AG191" s="342">
        <v>15412.06</v>
      </c>
      <c r="AH191" s="343">
        <v>2887</v>
      </c>
      <c r="AI191" s="344">
        <v>560</v>
      </c>
      <c r="AJ191" s="343"/>
      <c r="AK191" s="343"/>
      <c r="AL191" s="343"/>
      <c r="AM191" s="343" t="s">
        <v>1228</v>
      </c>
      <c r="AN191" s="347">
        <v>5.5</v>
      </c>
      <c r="AO191" s="347"/>
      <c r="AP191" s="347"/>
      <c r="AQ191" s="347"/>
      <c r="AR191" s="347"/>
      <c r="AS191" s="347"/>
      <c r="AT191" s="347">
        <f>+ab($T$191,$T$189,$T$193,$G$190,$G$192, 1*$F$191,1200)</f>
        <v>-7.8841806520213513</v>
      </c>
      <c r="AU191" s="347"/>
      <c r="AV191" s="347"/>
      <c r="AW191" s="347" t="s">
        <v>699</v>
      </c>
      <c r="AX191" s="347" t="s">
        <v>699</v>
      </c>
      <c r="AY191" s="347" t="s">
        <v>699</v>
      </c>
      <c r="AZ191" s="347" t="s">
        <v>699</v>
      </c>
      <c r="BA191" s="347"/>
      <c r="BB191" s="306"/>
    </row>
    <row r="192" spans="1:54" ht="14.25">
      <c r="A192" s="363"/>
      <c r="B192" s="363"/>
      <c r="C192" s="342"/>
      <c r="D192" s="343"/>
      <c r="E192" s="343"/>
      <c r="F192" s="344"/>
      <c r="G192" s="345">
        <v>54</v>
      </c>
      <c r="H192" s="360"/>
      <c r="I192" s="346"/>
      <c r="J192" s="342"/>
      <c r="K192" s="343"/>
      <c r="L192" s="343"/>
      <c r="M192" s="343"/>
      <c r="N192" s="343"/>
      <c r="O192" s="343"/>
      <c r="P192" s="343"/>
      <c r="Q192" s="343"/>
      <c r="R192" s="345"/>
      <c r="S192" s="345">
        <f t="shared" si="28"/>
        <v>54.739999999999782</v>
      </c>
      <c r="T192" s="343"/>
      <c r="U192" s="343"/>
      <c r="V192" s="343"/>
      <c r="W192" s="343"/>
      <c r="X192" s="343"/>
      <c r="Y192" s="343"/>
      <c r="Z192" s="343"/>
      <c r="AA192" s="343"/>
      <c r="AB192" s="343"/>
      <c r="AC192" s="343"/>
      <c r="AD192" s="343"/>
      <c r="AE192" s="343"/>
      <c r="AF192" s="343"/>
      <c r="AG192" s="342" t="s">
        <v>695</v>
      </c>
      <c r="AH192" s="343" t="s">
        <v>695</v>
      </c>
      <c r="AI192" s="344"/>
      <c r="AJ192" s="343"/>
      <c r="AK192" s="343"/>
      <c r="AL192" s="343"/>
      <c r="AM192" s="343"/>
      <c r="AN192" s="347"/>
      <c r="AO192" s="347"/>
      <c r="AP192" s="347"/>
      <c r="AQ192" s="347">
        <f>+FL_2($T$193,$T$191,$G$192,1200,11.08,1*$F$193)</f>
        <v>-0.46773081042592579</v>
      </c>
      <c r="AR192" s="347"/>
      <c r="AS192" s="347"/>
      <c r="AT192" s="347"/>
      <c r="AU192" s="347"/>
      <c r="AV192" s="347"/>
      <c r="AW192" s="347"/>
      <c r="AX192" s="347"/>
      <c r="AY192" s="347"/>
      <c r="AZ192" s="347"/>
      <c r="BA192" s="347"/>
      <c r="BB192" s="306"/>
    </row>
    <row r="193" spans="1:54" ht="14.25">
      <c r="A193" s="363"/>
      <c r="B193" s="363" t="s">
        <v>2330</v>
      </c>
      <c r="C193" s="342">
        <f>+$C$191+$G$192</f>
        <v>15469</v>
      </c>
      <c r="D193" s="343"/>
      <c r="E193" s="343"/>
      <c r="F193" s="344">
        <v>0</v>
      </c>
      <c r="G193" s="345"/>
      <c r="H193" s="360" t="s">
        <v>954</v>
      </c>
      <c r="I193" s="346"/>
      <c r="J193" s="342"/>
      <c r="K193" s="343"/>
      <c r="L193" s="343" t="s">
        <v>2828</v>
      </c>
      <c r="M193" s="343" t="s">
        <v>2805</v>
      </c>
      <c r="N193" s="343" t="s">
        <v>145</v>
      </c>
      <c r="O193" s="343"/>
      <c r="P193" s="343"/>
      <c r="Q193" s="343">
        <v>15</v>
      </c>
      <c r="R193" s="345">
        <v>-5275</v>
      </c>
      <c r="S193" s="345"/>
      <c r="T193" s="343">
        <v>20</v>
      </c>
      <c r="U193" s="343"/>
      <c r="V193" s="343"/>
      <c r="W193" s="343">
        <v>1.4</v>
      </c>
      <c r="X193" s="343"/>
      <c r="Y193" s="343"/>
      <c r="Z193" s="343"/>
      <c r="AA193" s="343"/>
      <c r="AB193" s="343"/>
      <c r="AC193" s="343" t="s">
        <v>1704</v>
      </c>
      <c r="AD193" s="343"/>
      <c r="AE193" s="343"/>
      <c r="AF193" s="343">
        <v>5500</v>
      </c>
      <c r="AG193" s="342">
        <v>15466.8</v>
      </c>
      <c r="AH193" s="343">
        <v>3003</v>
      </c>
      <c r="AI193" s="344">
        <v>420</v>
      </c>
      <c r="AJ193" s="343"/>
      <c r="AK193" s="343"/>
      <c r="AL193" s="343"/>
      <c r="AM193" s="343" t="s">
        <v>1228</v>
      </c>
      <c r="AN193" s="347">
        <v>5.5</v>
      </c>
      <c r="AO193" s="347"/>
      <c r="AP193" s="347"/>
      <c r="AQ193" s="347"/>
      <c r="AR193" s="347"/>
      <c r="AS193" s="347"/>
      <c r="AT193" s="347">
        <f>+ab($T$193,$T$191,$T$195,$G$192,$G$194, 1*$F$193,1200)</f>
        <v>10.334115134202523</v>
      </c>
      <c r="AU193" s="347"/>
      <c r="AV193" s="347"/>
      <c r="AW193" s="347" t="s">
        <v>699</v>
      </c>
      <c r="AX193" s="347" t="s">
        <v>699</v>
      </c>
      <c r="AY193" s="347" t="s">
        <v>699</v>
      </c>
      <c r="AZ193" s="347" t="s">
        <v>699</v>
      </c>
      <c r="BA193" s="347"/>
      <c r="BB193" s="306"/>
    </row>
    <row r="194" spans="1:54" ht="14.25">
      <c r="A194" s="363"/>
      <c r="B194" s="363"/>
      <c r="C194" s="342"/>
      <c r="D194" s="343"/>
      <c r="E194" s="343"/>
      <c r="F194" s="344"/>
      <c r="G194" s="345">
        <v>55</v>
      </c>
      <c r="H194" s="360"/>
      <c r="I194" s="346">
        <f>SUM(G172:G194)</f>
        <v>661.90000000000009</v>
      </c>
      <c r="J194" s="342"/>
      <c r="K194" s="343"/>
      <c r="L194" s="343"/>
      <c r="M194" s="343"/>
      <c r="N194" s="343"/>
      <c r="O194" s="343"/>
      <c r="P194" s="343"/>
      <c r="Q194" s="343"/>
      <c r="R194" s="345"/>
      <c r="S194" s="345">
        <f t="shared" si="28"/>
        <v>54.700000000000728</v>
      </c>
      <c r="T194" s="343"/>
      <c r="U194" s="343"/>
      <c r="V194" s="343"/>
      <c r="W194" s="343"/>
      <c r="X194" s="343"/>
      <c r="Y194" s="343"/>
      <c r="Z194" s="343"/>
      <c r="AA194" s="343"/>
      <c r="AB194" s="343"/>
      <c r="AC194" s="343"/>
      <c r="AD194" s="343"/>
      <c r="AE194" s="343"/>
      <c r="AF194" s="343"/>
      <c r="AG194" s="342" t="s">
        <v>695</v>
      </c>
      <c r="AH194" s="343" t="s">
        <v>695</v>
      </c>
      <c r="AI194" s="344"/>
      <c r="AJ194" s="343"/>
      <c r="AK194" s="343"/>
      <c r="AL194" s="343"/>
      <c r="AM194" s="343"/>
      <c r="AN194" s="347"/>
      <c r="AO194" s="347"/>
      <c r="AP194" s="347"/>
      <c r="AQ194" s="347">
        <f>+FL_1($T$195,$T$193,$G$194,1200,11.45,1*$F$195)</f>
        <v>0.48187377461450465</v>
      </c>
      <c r="AR194" s="347"/>
      <c r="AS194" s="347"/>
      <c r="AT194" s="347"/>
      <c r="AU194" s="347"/>
      <c r="AV194" s="347"/>
      <c r="AW194" s="347"/>
      <c r="AX194" s="347"/>
      <c r="AY194" s="347"/>
      <c r="AZ194" s="347"/>
      <c r="BA194" s="347"/>
      <c r="BB194" s="306"/>
    </row>
    <row r="195" spans="1:54" ht="14.25">
      <c r="A195" s="363"/>
      <c r="B195" s="363" t="s">
        <v>2331</v>
      </c>
      <c r="C195" s="342">
        <f>+$C$193+$G$194</f>
        <v>15524</v>
      </c>
      <c r="D195" s="343"/>
      <c r="E195" s="343"/>
      <c r="F195" s="344">
        <f t="shared" ref="F195" si="29">150*-1600/(C195-15448)</f>
        <v>-3157.8947368421054</v>
      </c>
      <c r="G195" s="345"/>
      <c r="H195" s="360" t="s">
        <v>955</v>
      </c>
      <c r="I195" s="346"/>
      <c r="J195" s="342"/>
      <c r="K195" s="343"/>
      <c r="L195" s="343" t="s">
        <v>2685</v>
      </c>
      <c r="M195" s="343" t="s">
        <v>2796</v>
      </c>
      <c r="N195" s="343" t="s">
        <v>144</v>
      </c>
      <c r="O195" s="343"/>
      <c r="P195" s="343"/>
      <c r="Q195" s="343">
        <v>52</v>
      </c>
      <c r="R195" s="345">
        <v>-3214</v>
      </c>
      <c r="S195" s="345"/>
      <c r="T195" s="343">
        <v>-25</v>
      </c>
      <c r="U195" s="343"/>
      <c r="V195" s="343"/>
      <c r="W195" s="343">
        <v>1.4</v>
      </c>
      <c r="X195" s="343"/>
      <c r="Y195" s="343"/>
      <c r="Z195" s="343"/>
      <c r="AA195" s="343"/>
      <c r="AB195" s="343"/>
      <c r="AC195" s="343" t="s">
        <v>2963</v>
      </c>
      <c r="AD195" s="343"/>
      <c r="AE195" s="343"/>
      <c r="AF195" s="343">
        <v>6000</v>
      </c>
      <c r="AG195" s="342">
        <v>15521.5</v>
      </c>
      <c r="AH195" s="343">
        <v>2876</v>
      </c>
      <c r="AI195" s="344">
        <v>522</v>
      </c>
      <c r="AJ195" s="343"/>
      <c r="AK195" s="343"/>
      <c r="AL195" s="343"/>
      <c r="AM195" s="343" t="s">
        <v>1228</v>
      </c>
      <c r="AN195" s="347">
        <v>5.5</v>
      </c>
      <c r="AO195" s="347"/>
      <c r="AP195" s="347"/>
      <c r="AQ195" s="347"/>
      <c r="AR195" s="347"/>
      <c r="AS195" s="347"/>
      <c r="AT195" s="347">
        <f>+ab($T$195,$T$193,$T$197,$G$194,$G$196, 1*$F$195,1200)</f>
        <v>-7.7251170134100535</v>
      </c>
      <c r="AU195" s="347"/>
      <c r="AV195" s="347"/>
      <c r="AW195" s="347" t="s">
        <v>699</v>
      </c>
      <c r="AX195" s="347" t="s">
        <v>699</v>
      </c>
      <c r="AY195" s="347" t="s">
        <v>699</v>
      </c>
      <c r="AZ195" s="347" t="s">
        <v>699</v>
      </c>
      <c r="BA195" s="347"/>
      <c r="BB195" s="306"/>
    </row>
    <row r="196" spans="1:54" ht="14.25">
      <c r="A196" s="363"/>
      <c r="B196" s="363"/>
      <c r="C196" s="342"/>
      <c r="D196" s="343"/>
      <c r="E196" s="343"/>
      <c r="F196" s="344"/>
      <c r="G196" s="345">
        <v>55</v>
      </c>
      <c r="H196" s="360"/>
      <c r="I196" s="346">
        <f>SUM(G196:G220)</f>
        <v>709.9</v>
      </c>
      <c r="J196" s="342"/>
      <c r="K196" s="343"/>
      <c r="L196" s="343"/>
      <c r="M196" s="343"/>
      <c r="N196" s="343"/>
      <c r="O196" s="343"/>
      <c r="P196" s="343"/>
      <c r="Q196" s="343"/>
      <c r="R196" s="345"/>
      <c r="S196" s="345">
        <f t="shared" si="28"/>
        <v>55.309999999999491</v>
      </c>
      <c r="T196" s="343"/>
      <c r="U196" s="343"/>
      <c r="V196" s="343"/>
      <c r="W196" s="343"/>
      <c r="X196" s="343"/>
      <c r="Y196" s="343"/>
      <c r="Z196" s="343"/>
      <c r="AA196" s="343"/>
      <c r="AB196" s="343"/>
      <c r="AC196" s="343"/>
      <c r="AD196" s="343"/>
      <c r="AE196" s="343"/>
      <c r="AF196" s="343"/>
      <c r="AG196" s="342" t="s">
        <v>695</v>
      </c>
      <c r="AH196" s="343" t="s">
        <v>695</v>
      </c>
      <c r="AI196" s="344"/>
      <c r="AJ196" s="343"/>
      <c r="AK196" s="343"/>
      <c r="AL196" s="343"/>
      <c r="AM196" s="343"/>
      <c r="AN196" s="347"/>
      <c r="AO196" s="347"/>
      <c r="AP196" s="347"/>
      <c r="AQ196" s="347">
        <f>+FL_1($T$197,$T$195,$G$196,1200,11.21,1*$F$197)</f>
        <v>0.28491580707411335</v>
      </c>
      <c r="AR196" s="347"/>
      <c r="AS196" s="347"/>
      <c r="AT196" s="347"/>
      <c r="AU196" s="347"/>
      <c r="AV196" s="347"/>
      <c r="AW196" s="347"/>
      <c r="AX196" s="347"/>
      <c r="AY196" s="347"/>
      <c r="AZ196" s="347"/>
      <c r="BA196" s="347"/>
      <c r="BB196" s="306"/>
    </row>
    <row r="197" spans="1:54" ht="14.25">
      <c r="A197" s="363"/>
      <c r="B197" s="363" t="s">
        <v>2332</v>
      </c>
      <c r="C197" s="342">
        <f>+$C$195+$G$196</f>
        <v>15579</v>
      </c>
      <c r="D197" s="343"/>
      <c r="E197" s="343"/>
      <c r="F197" s="344">
        <f t="shared" ref="F197" si="30">150*-1600/(C197-15448)</f>
        <v>-1832.0610687022902</v>
      </c>
      <c r="G197" s="345"/>
      <c r="H197" s="360" t="s">
        <v>954</v>
      </c>
      <c r="I197" s="346"/>
      <c r="J197" s="342"/>
      <c r="K197" s="343"/>
      <c r="L197" s="343" t="s">
        <v>2828</v>
      </c>
      <c r="M197" s="343" t="s">
        <v>2805</v>
      </c>
      <c r="N197" s="343" t="s">
        <v>144</v>
      </c>
      <c r="O197" s="343"/>
      <c r="P197" s="343"/>
      <c r="Q197" s="343">
        <v>90</v>
      </c>
      <c r="R197" s="345">
        <v>-1700</v>
      </c>
      <c r="S197" s="345"/>
      <c r="T197" s="343">
        <v>-30</v>
      </c>
      <c r="U197" s="343"/>
      <c r="V197" s="343"/>
      <c r="W197" s="343">
        <v>1.4</v>
      </c>
      <c r="X197" s="343"/>
      <c r="Y197" s="343"/>
      <c r="Z197" s="343"/>
      <c r="AA197" s="343"/>
      <c r="AB197" s="343"/>
      <c r="AC197" s="343" t="s">
        <v>2963</v>
      </c>
      <c r="AD197" s="343"/>
      <c r="AE197" s="343"/>
      <c r="AF197" s="343">
        <v>5500</v>
      </c>
      <c r="AG197" s="342">
        <v>15576.81</v>
      </c>
      <c r="AH197" s="343">
        <v>2999</v>
      </c>
      <c r="AI197" s="344">
        <v>590</v>
      </c>
      <c r="AJ197" s="343"/>
      <c r="AK197" s="343"/>
      <c r="AL197" s="343"/>
      <c r="AM197" s="343" t="s">
        <v>1228</v>
      </c>
      <c r="AN197" s="347">
        <v>5.5</v>
      </c>
      <c r="AO197" s="347"/>
      <c r="AP197" s="347"/>
      <c r="AQ197" s="347"/>
      <c r="AR197" s="347"/>
      <c r="AS197" s="347"/>
      <c r="AT197" s="347">
        <f>+ab($T$197,$T$195,$T$199,$G$196,$G$198, 1*$F$197,1200)</f>
        <v>-6.1800317209239468</v>
      </c>
      <c r="AU197" s="347"/>
      <c r="AV197" s="347"/>
      <c r="AW197" s="347" t="s">
        <v>699</v>
      </c>
      <c r="AX197" s="347" t="s">
        <v>699</v>
      </c>
      <c r="AY197" s="347" t="s">
        <v>699</v>
      </c>
      <c r="AZ197" s="347" t="s">
        <v>699</v>
      </c>
      <c r="BA197" s="347"/>
      <c r="BB197" s="306"/>
    </row>
    <row r="198" spans="1:54" ht="14.25">
      <c r="A198" s="363"/>
      <c r="B198" s="363"/>
      <c r="C198" s="342"/>
      <c r="D198" s="343"/>
      <c r="E198" s="343"/>
      <c r="F198" s="344"/>
      <c r="G198" s="345">
        <v>55</v>
      </c>
      <c r="H198" s="360"/>
      <c r="I198" s="346"/>
      <c r="J198" s="342"/>
      <c r="K198" s="343"/>
      <c r="L198" s="343"/>
      <c r="M198" s="343"/>
      <c r="N198" s="343"/>
      <c r="O198" s="343"/>
      <c r="P198" s="343"/>
      <c r="Q198" s="343"/>
      <c r="R198" s="345"/>
      <c r="S198" s="345">
        <f t="shared" si="28"/>
        <v>54.850000000000364</v>
      </c>
      <c r="T198" s="343"/>
      <c r="U198" s="343"/>
      <c r="V198" s="343"/>
      <c r="W198" s="343"/>
      <c r="X198" s="343"/>
      <c r="Y198" s="343"/>
      <c r="Z198" s="343"/>
      <c r="AA198" s="343"/>
      <c r="AB198" s="343"/>
      <c r="AC198" s="343"/>
      <c r="AD198" s="343"/>
      <c r="AE198" s="343"/>
      <c r="AF198" s="343"/>
      <c r="AG198" s="342" t="s">
        <v>695</v>
      </c>
      <c r="AH198" s="343" t="s">
        <v>695</v>
      </c>
      <c r="AI198" s="344"/>
      <c r="AJ198" s="343"/>
      <c r="AK198" s="343"/>
      <c r="AL198" s="343"/>
      <c r="AM198" s="343"/>
      <c r="AN198" s="347"/>
      <c r="AO198" s="347"/>
      <c r="AP198" s="347"/>
      <c r="AQ198" s="347">
        <f>+FL_2($T$199,$T$197,$G$198,1200,11.08,1*$F$199)</f>
        <v>-0.35605525697448559</v>
      </c>
      <c r="AR198" s="347"/>
      <c r="AS198" s="347"/>
      <c r="AT198" s="347"/>
      <c r="AU198" s="347"/>
      <c r="AV198" s="347"/>
      <c r="AW198" s="347"/>
      <c r="AX198" s="347"/>
      <c r="AY198" s="347"/>
      <c r="AZ198" s="347"/>
      <c r="BA198" s="347"/>
      <c r="BB198" s="306"/>
    </row>
    <row r="199" spans="1:54" ht="14.25">
      <c r="A199" s="363"/>
      <c r="B199" s="363" t="s">
        <v>2333</v>
      </c>
      <c r="C199" s="342">
        <f>+$C$197+$G$198</f>
        <v>15634</v>
      </c>
      <c r="D199" s="343"/>
      <c r="E199" s="343"/>
      <c r="F199" s="344">
        <f t="shared" ref="F199" si="31">150*-1600/(C199-15448)</f>
        <v>-1290.3225806451612</v>
      </c>
      <c r="G199" s="345"/>
      <c r="H199" s="360"/>
      <c r="I199" s="346"/>
      <c r="J199" s="342"/>
      <c r="K199" s="343"/>
      <c r="L199" s="343" t="s">
        <v>2685</v>
      </c>
      <c r="M199" s="343" t="s">
        <v>2796</v>
      </c>
      <c r="N199" s="343" t="s">
        <v>144</v>
      </c>
      <c r="O199" s="343"/>
      <c r="P199" s="343"/>
      <c r="Q199" s="343">
        <v>111</v>
      </c>
      <c r="R199" s="345">
        <v>-1604.7</v>
      </c>
      <c r="S199" s="345"/>
      <c r="T199" s="343">
        <v>-30</v>
      </c>
      <c r="U199" s="343"/>
      <c r="V199" s="343"/>
      <c r="W199" s="343">
        <v>1.4</v>
      </c>
      <c r="X199" s="343"/>
      <c r="Y199" s="343"/>
      <c r="Z199" s="343"/>
      <c r="AA199" s="343"/>
      <c r="AB199" s="343"/>
      <c r="AC199" s="343" t="s">
        <v>2963</v>
      </c>
      <c r="AD199" s="343"/>
      <c r="AE199" s="343"/>
      <c r="AF199" s="343">
        <v>6000</v>
      </c>
      <c r="AG199" s="342">
        <v>15631.66</v>
      </c>
      <c r="AH199" s="343">
        <v>2839</v>
      </c>
      <c r="AI199" s="344">
        <v>576</v>
      </c>
      <c r="AJ199" s="343"/>
      <c r="AK199" s="343"/>
      <c r="AL199" s="343"/>
      <c r="AM199" s="343" t="s">
        <v>1228</v>
      </c>
      <c r="AN199" s="347">
        <v>5.5</v>
      </c>
      <c r="AO199" s="347"/>
      <c r="AP199" s="347"/>
      <c r="AQ199" s="347"/>
      <c r="AR199" s="347"/>
      <c r="AS199" s="347"/>
      <c r="AT199" s="347">
        <f>+ab($T$199,$T$197,$T$201,$G$198,$G$200, 1*$F$199,1200)</f>
        <v>-4.70564718627333</v>
      </c>
      <c r="AU199" s="347"/>
      <c r="AV199" s="347"/>
      <c r="AW199" s="347" t="s">
        <v>699</v>
      </c>
      <c r="AX199" s="347" t="s">
        <v>699</v>
      </c>
      <c r="AY199" s="347" t="s">
        <v>699</v>
      </c>
      <c r="AZ199" s="347" t="s">
        <v>699</v>
      </c>
      <c r="BA199" s="347"/>
      <c r="BB199" s="306"/>
    </row>
    <row r="200" spans="1:54" ht="14.25">
      <c r="A200" s="363"/>
      <c r="B200" s="363"/>
      <c r="C200" s="342"/>
      <c r="D200" s="343"/>
      <c r="E200" s="343"/>
      <c r="F200" s="344"/>
      <c r="G200" s="345">
        <v>50</v>
      </c>
      <c r="H200" s="360"/>
      <c r="I200" s="346"/>
      <c r="J200" s="342"/>
      <c r="K200" s="343"/>
      <c r="L200" s="343"/>
      <c r="M200" s="343"/>
      <c r="N200" s="343"/>
      <c r="O200" s="343"/>
      <c r="P200" s="343"/>
      <c r="Q200" s="343"/>
      <c r="R200" s="345"/>
      <c r="S200" s="345">
        <f t="shared" si="28"/>
        <v>50.219999999999345</v>
      </c>
      <c r="T200" s="343"/>
      <c r="U200" s="343"/>
      <c r="V200" s="343"/>
      <c r="W200" s="343"/>
      <c r="X200" s="343"/>
      <c r="Y200" s="343"/>
      <c r="Z200" s="343"/>
      <c r="AA200" s="343"/>
      <c r="AB200" s="343"/>
      <c r="AC200" s="343"/>
      <c r="AD200" s="343"/>
      <c r="AE200" s="343"/>
      <c r="AF200" s="343"/>
      <c r="AG200" s="342" t="s">
        <v>695</v>
      </c>
      <c r="AH200" s="343" t="s">
        <v>695</v>
      </c>
      <c r="AI200" s="344"/>
      <c r="AJ200" s="343"/>
      <c r="AK200" s="343"/>
      <c r="AL200" s="343"/>
      <c r="AM200" s="343"/>
      <c r="AN200" s="347"/>
      <c r="AO200" s="347"/>
      <c r="AP200" s="347"/>
      <c r="AQ200" s="347">
        <f>+FL_2($T$201,$T$199,$G$200,1200,11.21,1*$F$201)</f>
        <v>-0.30001229409529934</v>
      </c>
      <c r="AR200" s="347"/>
      <c r="AS200" s="347"/>
      <c r="AT200" s="347"/>
      <c r="AU200" s="347"/>
      <c r="AV200" s="347"/>
      <c r="AW200" s="347"/>
      <c r="AX200" s="347"/>
      <c r="AY200" s="347"/>
      <c r="AZ200" s="347"/>
      <c r="BA200" s="347"/>
      <c r="BB200" s="306"/>
    </row>
    <row r="201" spans="1:54" ht="14.25">
      <c r="A201" s="363"/>
      <c r="B201" s="363" t="s">
        <v>2334</v>
      </c>
      <c r="C201" s="342">
        <f>+$C$199+$G$200</f>
        <v>15684</v>
      </c>
      <c r="D201" s="343"/>
      <c r="E201" s="343"/>
      <c r="F201" s="344">
        <f t="shared" ref="F201" si="32">150*-1600/(C201-15448)</f>
        <v>-1016.9491525423729</v>
      </c>
      <c r="G201" s="345"/>
      <c r="H201" s="360"/>
      <c r="I201" s="346"/>
      <c r="J201" s="342"/>
      <c r="K201" s="343"/>
      <c r="L201" s="343" t="s">
        <v>2685</v>
      </c>
      <c r="M201" s="343" t="s">
        <v>2796</v>
      </c>
      <c r="N201" s="343" t="s">
        <v>144</v>
      </c>
      <c r="O201" s="343"/>
      <c r="P201" s="343"/>
      <c r="Q201" s="343">
        <v>109</v>
      </c>
      <c r="R201" s="345">
        <v>-1604.7</v>
      </c>
      <c r="S201" s="345"/>
      <c r="T201" s="343">
        <v>-30</v>
      </c>
      <c r="U201" s="343"/>
      <c r="V201" s="343"/>
      <c r="W201" s="343">
        <v>1.4</v>
      </c>
      <c r="X201" s="343"/>
      <c r="Y201" s="343"/>
      <c r="Z201" s="343"/>
      <c r="AA201" s="343"/>
      <c r="AB201" s="343"/>
      <c r="AC201" s="343" t="s">
        <v>2963</v>
      </c>
      <c r="AD201" s="343"/>
      <c r="AE201" s="343"/>
      <c r="AF201" s="343">
        <v>6000</v>
      </c>
      <c r="AG201" s="342">
        <v>15681.88</v>
      </c>
      <c r="AH201" s="343">
        <v>2783</v>
      </c>
      <c r="AI201" s="344">
        <v>637</v>
      </c>
      <c r="AJ201" s="343"/>
      <c r="AK201" s="343"/>
      <c r="AL201" s="343"/>
      <c r="AM201" s="343" t="s">
        <v>1228</v>
      </c>
      <c r="AN201" s="347">
        <v>5.5</v>
      </c>
      <c r="AO201" s="347"/>
      <c r="AP201" s="347"/>
      <c r="AQ201" s="347"/>
      <c r="AR201" s="347"/>
      <c r="AS201" s="347"/>
      <c r="AT201" s="347">
        <f>+ab($T$201,$T$199,$T$203,$G$200,$G$202, 1*$F$201,1200)</f>
        <v>-3.9761573990013348</v>
      </c>
      <c r="AU201" s="347"/>
      <c r="AV201" s="347"/>
      <c r="AW201" s="347" t="s">
        <v>699</v>
      </c>
      <c r="AX201" s="347" t="s">
        <v>699</v>
      </c>
      <c r="AY201" s="347" t="s">
        <v>699</v>
      </c>
      <c r="AZ201" s="347" t="s">
        <v>699</v>
      </c>
      <c r="BA201" s="347"/>
      <c r="BB201" s="306"/>
    </row>
    <row r="202" spans="1:54" ht="14.25">
      <c r="A202" s="363"/>
      <c r="B202" s="363"/>
      <c r="C202" s="342"/>
      <c r="D202" s="343"/>
      <c r="E202" s="343"/>
      <c r="F202" s="344"/>
      <c r="G202" s="345">
        <v>48</v>
      </c>
      <c r="H202" s="360"/>
      <c r="I202" s="346"/>
      <c r="J202" s="342"/>
      <c r="K202" s="343"/>
      <c r="L202" s="343"/>
      <c r="M202" s="343"/>
      <c r="N202" s="343"/>
      <c r="O202" s="343"/>
      <c r="P202" s="343"/>
      <c r="Q202" s="343"/>
      <c r="R202" s="345"/>
      <c r="S202" s="345">
        <f t="shared" si="28"/>
        <v>48.970000000001164</v>
      </c>
      <c r="T202" s="343"/>
      <c r="U202" s="343"/>
      <c r="V202" s="343"/>
      <c r="W202" s="343"/>
      <c r="X202" s="343"/>
      <c r="Y202" s="343"/>
      <c r="Z202" s="343"/>
      <c r="AA202" s="343"/>
      <c r="AB202" s="343"/>
      <c r="AC202" s="343"/>
      <c r="AD202" s="343"/>
      <c r="AE202" s="343"/>
      <c r="AF202" s="343"/>
      <c r="AG202" s="342" t="s">
        <v>695</v>
      </c>
      <c r="AH202" s="343" t="s">
        <v>695</v>
      </c>
      <c r="AI202" s="344"/>
      <c r="AJ202" s="343"/>
      <c r="AK202" s="343"/>
      <c r="AL202" s="343"/>
      <c r="AM202" s="343"/>
      <c r="AN202" s="347"/>
      <c r="AO202" s="347"/>
      <c r="AP202" s="347"/>
      <c r="AQ202" s="347">
        <f>+FL_1($T$203,$T$201,$G$202,1200,11.08,1*$F$203)</f>
        <v>0.30678874663898925</v>
      </c>
      <c r="AR202" s="347"/>
      <c r="AS202" s="347"/>
      <c r="AT202" s="347"/>
      <c r="AU202" s="347"/>
      <c r="AV202" s="347"/>
      <c r="AW202" s="347"/>
      <c r="AX202" s="347"/>
      <c r="AY202" s="347"/>
      <c r="AZ202" s="347"/>
      <c r="BA202" s="347"/>
      <c r="BB202" s="306"/>
    </row>
    <row r="203" spans="1:54" ht="14.25">
      <c r="A203" s="363"/>
      <c r="B203" s="363" t="s">
        <v>2335</v>
      </c>
      <c r="C203" s="342">
        <f>+$C$201+$G$202</f>
        <v>15732</v>
      </c>
      <c r="D203" s="343"/>
      <c r="E203" s="343"/>
      <c r="F203" s="344">
        <f>150*-1600/(C203-15448)</f>
        <v>-845.07042253521126</v>
      </c>
      <c r="G203" s="345"/>
      <c r="H203" s="360"/>
      <c r="I203" s="346"/>
      <c r="J203" s="342"/>
      <c r="K203" s="343"/>
      <c r="L203" s="343" t="s">
        <v>2685</v>
      </c>
      <c r="M203" s="343" t="s">
        <v>2796</v>
      </c>
      <c r="N203" s="343" t="s">
        <v>144</v>
      </c>
      <c r="O203" s="343"/>
      <c r="P203" s="343"/>
      <c r="Q203" s="343">
        <v>108</v>
      </c>
      <c r="R203" s="345">
        <v>-1604.7</v>
      </c>
      <c r="S203" s="345"/>
      <c r="T203" s="343">
        <v>-30</v>
      </c>
      <c r="U203" s="343"/>
      <c r="V203" s="343"/>
      <c r="W203" s="343">
        <v>1.4</v>
      </c>
      <c r="X203" s="343"/>
      <c r="Y203" s="343"/>
      <c r="Z203" s="343"/>
      <c r="AA203" s="343"/>
      <c r="AB203" s="343"/>
      <c r="AC203" s="343" t="s">
        <v>2963</v>
      </c>
      <c r="AD203" s="343"/>
      <c r="AE203" s="343"/>
      <c r="AF203" s="343">
        <v>6000</v>
      </c>
      <c r="AG203" s="342">
        <v>15730.85</v>
      </c>
      <c r="AH203" s="343">
        <v>2877</v>
      </c>
      <c r="AI203" s="344">
        <v>603</v>
      </c>
      <c r="AJ203" s="343"/>
      <c r="AK203" s="343"/>
      <c r="AL203" s="343"/>
      <c r="AM203" s="343" t="s">
        <v>1228</v>
      </c>
      <c r="AN203" s="347">
        <v>5.5</v>
      </c>
      <c r="AO203" s="347"/>
      <c r="AP203" s="347"/>
      <c r="AQ203" s="347"/>
      <c r="AR203" s="347"/>
      <c r="AS203" s="347"/>
      <c r="AT203" s="347">
        <f>+ab($T$203,$T$201,$T$205,$G$202,$G$204, 1*$F$203,1200)</f>
        <v>-3.5988776596121039</v>
      </c>
      <c r="AU203" s="347"/>
      <c r="AV203" s="347"/>
      <c r="AW203" s="347" t="s">
        <v>699</v>
      </c>
      <c r="AX203" s="347" t="s">
        <v>699</v>
      </c>
      <c r="AY203" s="347" t="s">
        <v>699</v>
      </c>
      <c r="AZ203" s="347" t="s">
        <v>699</v>
      </c>
      <c r="BA203" s="347"/>
      <c r="BB203" s="306"/>
    </row>
    <row r="204" spans="1:54" ht="14.25">
      <c r="A204" s="363"/>
      <c r="B204" s="363"/>
      <c r="C204" s="342"/>
      <c r="D204" s="343"/>
      <c r="E204" s="343"/>
      <c r="F204" s="344"/>
      <c r="G204" s="345">
        <v>42</v>
      </c>
      <c r="H204" s="360"/>
      <c r="I204" s="346"/>
      <c r="J204" s="342"/>
      <c r="K204" s="343"/>
      <c r="L204" s="343"/>
      <c r="M204" s="343"/>
      <c r="N204" s="343"/>
      <c r="O204" s="343"/>
      <c r="P204" s="343"/>
      <c r="Q204" s="343"/>
      <c r="R204" s="345"/>
      <c r="S204" s="345">
        <f t="shared" si="28"/>
        <v>41.469999999999345</v>
      </c>
      <c r="T204" s="343"/>
      <c r="U204" s="343"/>
      <c r="V204" s="343"/>
      <c r="W204" s="343"/>
      <c r="X204" s="343"/>
      <c r="Y204" s="343"/>
      <c r="Z204" s="343"/>
      <c r="AA204" s="343"/>
      <c r="AB204" s="343"/>
      <c r="AC204" s="343"/>
      <c r="AD204" s="343"/>
      <c r="AE204" s="343"/>
      <c r="AF204" s="343"/>
      <c r="AG204" s="342" t="s">
        <v>695</v>
      </c>
      <c r="AH204" s="343" t="s">
        <v>695</v>
      </c>
      <c r="AI204" s="344"/>
      <c r="AJ204" s="343"/>
      <c r="AK204" s="343"/>
      <c r="AL204" s="343"/>
      <c r="AM204" s="343"/>
      <c r="AN204" s="347"/>
      <c r="AO204" s="347"/>
      <c r="AP204" s="347"/>
      <c r="AQ204" s="347">
        <f>+FL_1($T$205,$T$203,$G$204,1200,10.96,1*$F$205)</f>
        <v>3.9208435600365799E-2</v>
      </c>
      <c r="AR204" s="347"/>
      <c r="AS204" s="347"/>
      <c r="AT204" s="347"/>
      <c r="AU204" s="347"/>
      <c r="AV204" s="347"/>
      <c r="AW204" s="347"/>
      <c r="AX204" s="347"/>
      <c r="AY204" s="347"/>
      <c r="AZ204" s="347"/>
      <c r="BA204" s="347"/>
      <c r="BB204" s="306"/>
    </row>
    <row r="205" spans="1:54" ht="14.25">
      <c r="A205" s="363"/>
      <c r="B205" s="363" t="s">
        <v>2336</v>
      </c>
      <c r="C205" s="342">
        <f>+$C$203+$G$204</f>
        <v>15774</v>
      </c>
      <c r="D205" s="343"/>
      <c r="E205" s="343"/>
      <c r="F205" s="344">
        <v>-1600</v>
      </c>
      <c r="G205" s="345"/>
      <c r="H205" s="360"/>
      <c r="I205" s="346"/>
      <c r="J205" s="342"/>
      <c r="K205" s="343"/>
      <c r="L205" s="343" t="s">
        <v>2685</v>
      </c>
      <c r="M205" s="343" t="s">
        <v>2796</v>
      </c>
      <c r="N205" s="343" t="s">
        <v>144</v>
      </c>
      <c r="O205" s="343"/>
      <c r="P205" s="343"/>
      <c r="Q205" s="343">
        <v>114</v>
      </c>
      <c r="R205" s="345">
        <v>-1604.7</v>
      </c>
      <c r="S205" s="345"/>
      <c r="T205" s="343">
        <v>-30</v>
      </c>
      <c r="U205" s="343"/>
      <c r="V205" s="343"/>
      <c r="W205" s="343">
        <v>1.4</v>
      </c>
      <c r="X205" s="343"/>
      <c r="Y205" s="343"/>
      <c r="Z205" s="343"/>
      <c r="AA205" s="343"/>
      <c r="AB205" s="343"/>
      <c r="AC205" s="343" t="s">
        <v>2963</v>
      </c>
      <c r="AD205" s="343"/>
      <c r="AE205" s="343"/>
      <c r="AF205" s="343">
        <v>6000</v>
      </c>
      <c r="AG205" s="342">
        <v>15772.32</v>
      </c>
      <c r="AH205" s="343">
        <v>2943</v>
      </c>
      <c r="AI205" s="344">
        <v>498</v>
      </c>
      <c r="AJ205" s="343"/>
      <c r="AK205" s="343"/>
      <c r="AL205" s="343"/>
      <c r="AM205" s="343" t="s">
        <v>1228</v>
      </c>
      <c r="AN205" s="347">
        <v>5.5</v>
      </c>
      <c r="AO205" s="347"/>
      <c r="AP205" s="347"/>
      <c r="AQ205" s="347"/>
      <c r="AR205" s="347"/>
      <c r="AS205" s="347"/>
      <c r="AT205" s="347">
        <f>+ab($T$205,$T$203,$T$207,$G$204,$G$206, 1*$F$205,1200)</f>
        <v>-7.0227398059588992</v>
      </c>
      <c r="AU205" s="347"/>
      <c r="AV205" s="347"/>
      <c r="AW205" s="347" t="s">
        <v>699</v>
      </c>
      <c r="AX205" s="347" t="s">
        <v>699</v>
      </c>
      <c r="AY205" s="347" t="s">
        <v>699</v>
      </c>
      <c r="AZ205" s="347" t="s">
        <v>699</v>
      </c>
      <c r="BA205" s="347"/>
      <c r="BB205" s="306"/>
    </row>
    <row r="206" spans="1:54" ht="14.25">
      <c r="A206" s="363"/>
      <c r="B206" s="363"/>
      <c r="C206" s="342"/>
      <c r="D206" s="343"/>
      <c r="E206" s="343"/>
      <c r="F206" s="344"/>
      <c r="G206" s="345">
        <v>45</v>
      </c>
      <c r="H206" s="360"/>
      <c r="I206" s="346"/>
      <c r="J206" s="342"/>
      <c r="K206" s="343"/>
      <c r="L206" s="343"/>
      <c r="M206" s="343"/>
      <c r="N206" s="343"/>
      <c r="O206" s="343"/>
      <c r="P206" s="343"/>
      <c r="Q206" s="343"/>
      <c r="R206" s="345"/>
      <c r="S206" s="345">
        <f t="shared" si="28"/>
        <v>44.909999999999854</v>
      </c>
      <c r="T206" s="343"/>
      <c r="U206" s="343"/>
      <c r="V206" s="343"/>
      <c r="W206" s="343"/>
      <c r="X206" s="343"/>
      <c r="Y206" s="343"/>
      <c r="Z206" s="343"/>
      <c r="AA206" s="343"/>
      <c r="AB206" s="343"/>
      <c r="AC206" s="343"/>
      <c r="AD206" s="343"/>
      <c r="AE206" s="343"/>
      <c r="AF206" s="343"/>
      <c r="AG206" s="342" t="s">
        <v>695</v>
      </c>
      <c r="AH206" s="343" t="s">
        <v>695</v>
      </c>
      <c r="AI206" s="344"/>
      <c r="AJ206" s="343"/>
      <c r="AK206" s="343"/>
      <c r="AL206" s="343"/>
      <c r="AM206" s="343"/>
      <c r="AN206" s="347"/>
      <c r="AO206" s="347"/>
      <c r="AP206" s="347"/>
      <c r="AQ206" s="347">
        <f>+FL_1($T$207,$T$205,$G$206,1200,11.21,1*$F$207)</f>
        <v>9.4671884594858091E-2</v>
      </c>
      <c r="AR206" s="347"/>
      <c r="AS206" s="347"/>
      <c r="AT206" s="347"/>
      <c r="AU206" s="347"/>
      <c r="AV206" s="347"/>
      <c r="AW206" s="347"/>
      <c r="AX206" s="347"/>
      <c r="AY206" s="347"/>
      <c r="AZ206" s="347"/>
      <c r="BA206" s="347"/>
      <c r="BB206" s="306"/>
    </row>
    <row r="207" spans="1:54" ht="14.25">
      <c r="A207" s="363"/>
      <c r="B207" s="363" t="s">
        <v>2337</v>
      </c>
      <c r="C207" s="342">
        <f>+$C$205+$G$206</f>
        <v>15819</v>
      </c>
      <c r="D207" s="343"/>
      <c r="E207" s="343"/>
      <c r="F207" s="344">
        <v>-1600</v>
      </c>
      <c r="G207" s="345"/>
      <c r="H207" s="360"/>
      <c r="I207" s="346"/>
      <c r="J207" s="342"/>
      <c r="K207" s="343"/>
      <c r="L207" s="343" t="s">
        <v>2685</v>
      </c>
      <c r="M207" s="343" t="s">
        <v>2796</v>
      </c>
      <c r="N207" s="343" t="s">
        <v>144</v>
      </c>
      <c r="O207" s="343"/>
      <c r="P207" s="343"/>
      <c r="Q207" s="343">
        <v>99</v>
      </c>
      <c r="R207" s="345">
        <v>-1839</v>
      </c>
      <c r="S207" s="345"/>
      <c r="T207" s="343">
        <v>-30</v>
      </c>
      <c r="U207" s="343"/>
      <c r="V207" s="343"/>
      <c r="W207" s="343">
        <v>1.4</v>
      </c>
      <c r="X207" s="343"/>
      <c r="Y207" s="343"/>
      <c r="Z207" s="343"/>
      <c r="AA207" s="343"/>
      <c r="AB207" s="343"/>
      <c r="AC207" s="343" t="s">
        <v>2963</v>
      </c>
      <c r="AD207" s="343"/>
      <c r="AE207" s="343"/>
      <c r="AF207" s="343">
        <v>6000</v>
      </c>
      <c r="AG207" s="342">
        <v>15817.23</v>
      </c>
      <c r="AH207" s="343">
        <v>2899</v>
      </c>
      <c r="AI207" s="344">
        <v>524</v>
      </c>
      <c r="AJ207" s="343"/>
      <c r="AK207" s="343"/>
      <c r="AL207" s="343"/>
      <c r="AM207" s="343" t="s">
        <v>1228</v>
      </c>
      <c r="AN207" s="347">
        <v>5.5</v>
      </c>
      <c r="AO207" s="347"/>
      <c r="AP207" s="347"/>
      <c r="AQ207" s="347"/>
      <c r="AR207" s="347"/>
      <c r="AS207" s="347"/>
      <c r="AT207" s="347">
        <f>+ab($T$207,$T$205,$T$209,$G$206,$G$208, 1*$F$207,1200)</f>
        <v>-6.1375186193277118</v>
      </c>
      <c r="AU207" s="347"/>
      <c r="AV207" s="347"/>
      <c r="AW207" s="347" t="s">
        <v>699</v>
      </c>
      <c r="AX207" s="347" t="s">
        <v>699</v>
      </c>
      <c r="AY207" s="347" t="s">
        <v>699</v>
      </c>
      <c r="AZ207" s="347" t="s">
        <v>699</v>
      </c>
      <c r="BA207" s="347"/>
      <c r="BB207" s="306"/>
    </row>
    <row r="208" spans="1:54" ht="14.25">
      <c r="A208" s="363"/>
      <c r="B208" s="363"/>
      <c r="C208" s="342"/>
      <c r="D208" s="343"/>
      <c r="E208" s="343"/>
      <c r="F208" s="344"/>
      <c r="G208" s="345">
        <v>48</v>
      </c>
      <c r="H208" s="360"/>
      <c r="I208" s="346"/>
      <c r="J208" s="342"/>
      <c r="K208" s="343"/>
      <c r="L208" s="343"/>
      <c r="M208" s="343"/>
      <c r="N208" s="343"/>
      <c r="O208" s="343"/>
      <c r="P208" s="343"/>
      <c r="Q208" s="343"/>
      <c r="R208" s="345"/>
      <c r="S208" s="345">
        <f t="shared" si="28"/>
        <v>48.300000000001091</v>
      </c>
      <c r="T208" s="343"/>
      <c r="U208" s="343"/>
      <c r="V208" s="343"/>
      <c r="W208" s="343"/>
      <c r="X208" s="343"/>
      <c r="Y208" s="343"/>
      <c r="Z208" s="343"/>
      <c r="AA208" s="343"/>
      <c r="AB208" s="343"/>
      <c r="AC208" s="343"/>
      <c r="AD208" s="343"/>
      <c r="AE208" s="343"/>
      <c r="AF208" s="343"/>
      <c r="AG208" s="342" t="s">
        <v>695</v>
      </c>
      <c r="AH208" s="343" t="s">
        <v>695</v>
      </c>
      <c r="AI208" s="344"/>
      <c r="AJ208" s="343"/>
      <c r="AK208" s="343"/>
      <c r="AL208" s="343"/>
      <c r="AM208" s="343"/>
      <c r="AN208" s="347"/>
      <c r="AO208" s="347"/>
      <c r="AP208" s="347"/>
      <c r="AQ208" s="347">
        <f>+FL_1($T$209,$T$207,$G$208,1200,11.08,1*$F$209)</f>
        <v>0.19733164340764037</v>
      </c>
      <c r="AR208" s="347"/>
      <c r="AS208" s="347"/>
      <c r="AT208" s="347"/>
      <c r="AU208" s="347"/>
      <c r="AV208" s="347"/>
      <c r="AW208" s="347"/>
      <c r="AX208" s="347"/>
      <c r="AY208" s="347"/>
      <c r="AZ208" s="347"/>
      <c r="BA208" s="347"/>
      <c r="BB208" s="306"/>
    </row>
    <row r="209" spans="1:54" ht="14.25">
      <c r="A209" s="363"/>
      <c r="B209" s="363" t="s">
        <v>2338</v>
      </c>
      <c r="C209" s="342">
        <f>+$C$207+$G$208</f>
        <v>15867</v>
      </c>
      <c r="D209" s="343"/>
      <c r="E209" s="343"/>
      <c r="F209" s="344">
        <v>-1600</v>
      </c>
      <c r="G209" s="345"/>
      <c r="H209" s="360"/>
      <c r="I209" s="346"/>
      <c r="J209" s="342"/>
      <c r="K209" s="343"/>
      <c r="L209" s="343" t="s">
        <v>2685</v>
      </c>
      <c r="M209" s="343" t="s">
        <v>2796</v>
      </c>
      <c r="N209" s="343" t="s">
        <v>144</v>
      </c>
      <c r="O209" s="343"/>
      <c r="P209" s="343"/>
      <c r="Q209" s="343">
        <v>62</v>
      </c>
      <c r="R209" s="345">
        <v>-2913</v>
      </c>
      <c r="S209" s="345"/>
      <c r="T209" s="343">
        <v>-20</v>
      </c>
      <c r="U209" s="343"/>
      <c r="V209" s="343"/>
      <c r="W209" s="343">
        <v>1.4</v>
      </c>
      <c r="X209" s="343"/>
      <c r="Y209" s="343"/>
      <c r="Z209" s="343"/>
      <c r="AA209" s="343"/>
      <c r="AB209" s="343"/>
      <c r="AC209" s="343" t="s">
        <v>2963</v>
      </c>
      <c r="AD209" s="343"/>
      <c r="AE209" s="343"/>
      <c r="AF209" s="343">
        <v>6000</v>
      </c>
      <c r="AG209" s="342">
        <v>15865.53</v>
      </c>
      <c r="AH209" s="343">
        <v>2885</v>
      </c>
      <c r="AI209" s="344">
        <v>496</v>
      </c>
      <c r="AJ209" s="343"/>
      <c r="AK209" s="343"/>
      <c r="AL209" s="343"/>
      <c r="AM209" s="343" t="s">
        <v>1228</v>
      </c>
      <c r="AN209" s="347">
        <v>5.5</v>
      </c>
      <c r="AO209" s="347"/>
      <c r="AP209" s="347"/>
      <c r="AQ209" s="347"/>
      <c r="AR209" s="347"/>
      <c r="AS209" s="347"/>
      <c r="AT209" s="347">
        <f t="shared" ref="AT209" si="33">+ab($T$207,$T$205,$T$209,$G$206,$G$208, 1*$F$207,1200)</f>
        <v>-6.1375186193277118</v>
      </c>
      <c r="AU209" s="347"/>
      <c r="AV209" s="347"/>
      <c r="AW209" s="347" t="s">
        <v>699</v>
      </c>
      <c r="AX209" s="347" t="s">
        <v>699</v>
      </c>
      <c r="AY209" s="347" t="s">
        <v>699</v>
      </c>
      <c r="AZ209" s="347" t="s">
        <v>699</v>
      </c>
      <c r="BA209" s="347"/>
      <c r="BB209" s="306"/>
    </row>
    <row r="210" spans="1:54" ht="14.25">
      <c r="A210" s="287"/>
      <c r="B210" s="287"/>
      <c r="C210" s="288"/>
      <c r="D210" s="1121"/>
      <c r="E210" s="1121"/>
      <c r="F210" s="289"/>
      <c r="G210" s="292">
        <v>59.9</v>
      </c>
      <c r="H210" s="291"/>
      <c r="I210" s="294"/>
      <c r="J210" s="288"/>
      <c r="K210" s="1121"/>
      <c r="L210" s="1121"/>
      <c r="M210" s="1121"/>
      <c r="N210" s="1121"/>
      <c r="O210" s="1121"/>
      <c r="P210" s="1121"/>
      <c r="Q210" s="1121"/>
      <c r="R210" s="292"/>
      <c r="S210" s="292">
        <f t="shared" si="28"/>
        <v>60.059999999999491</v>
      </c>
      <c r="T210" s="1121"/>
      <c r="U210" s="1121"/>
      <c r="V210" s="1121"/>
      <c r="W210" s="1121"/>
      <c r="X210" s="1121"/>
      <c r="Y210" s="1121"/>
      <c r="Z210" s="1121"/>
      <c r="AA210" s="1121"/>
      <c r="AB210" s="1121"/>
      <c r="AC210" s="1121"/>
      <c r="AD210" s="1121"/>
      <c r="AE210" s="1121"/>
      <c r="AF210" s="1121"/>
      <c r="AG210" s="288" t="s">
        <v>695</v>
      </c>
      <c r="AH210" s="1121" t="s">
        <v>695</v>
      </c>
      <c r="AI210" s="289"/>
      <c r="AJ210" s="1121"/>
      <c r="AK210" s="1121"/>
      <c r="AL210" s="1121"/>
      <c r="AM210" s="1121"/>
      <c r="AN210" s="315"/>
      <c r="AO210" s="315"/>
      <c r="AP210" s="315"/>
      <c r="AQ210" s="315">
        <f>+FL_1($T$209,$T$207,$G$208,1200,11.08,1*$F$209)</f>
        <v>0.19733164340764037</v>
      </c>
      <c r="AR210" s="315"/>
      <c r="AS210" s="315"/>
      <c r="AT210" s="315"/>
      <c r="AU210" s="315"/>
      <c r="AV210" s="315"/>
      <c r="AW210" s="315"/>
      <c r="AX210" s="315"/>
      <c r="AY210" s="315"/>
      <c r="AZ210" s="315"/>
      <c r="BA210" s="315"/>
      <c r="BB210" s="306"/>
    </row>
    <row r="211" spans="1:54" ht="14.25">
      <c r="A211" s="287"/>
      <c r="B211" s="287" t="s">
        <v>2339</v>
      </c>
      <c r="C211" s="288">
        <f>C209+$G$210+0.1</f>
        <v>15927</v>
      </c>
      <c r="D211" s="1121"/>
      <c r="E211" s="1121"/>
      <c r="F211" s="289">
        <v>0</v>
      </c>
      <c r="G211" s="292"/>
      <c r="H211" s="291"/>
      <c r="I211" s="294"/>
      <c r="J211" s="288"/>
      <c r="K211" s="1121"/>
      <c r="L211" s="1121" t="s">
        <v>230</v>
      </c>
      <c r="M211" s="1121" t="s">
        <v>2757</v>
      </c>
      <c r="N211" s="1121" t="s">
        <v>145</v>
      </c>
      <c r="O211" s="1121"/>
      <c r="P211" s="1121"/>
      <c r="Q211" s="1121">
        <v>36</v>
      </c>
      <c r="R211" s="292">
        <v>-11480</v>
      </c>
      <c r="S211" s="292"/>
      <c r="T211" s="1121">
        <v>35</v>
      </c>
      <c r="U211" s="1121"/>
      <c r="V211" s="1121"/>
      <c r="W211" s="1121">
        <v>1.4</v>
      </c>
      <c r="X211" s="1121"/>
      <c r="Y211" s="1121"/>
      <c r="Z211" s="1121"/>
      <c r="AA211" s="1121"/>
      <c r="AB211" s="1121"/>
      <c r="AC211" s="1121" t="s">
        <v>1704</v>
      </c>
      <c r="AD211" s="1121"/>
      <c r="AE211" s="1121"/>
      <c r="AF211" s="1121">
        <v>6000</v>
      </c>
      <c r="AG211" s="288">
        <v>15925.59</v>
      </c>
      <c r="AH211" s="1121">
        <v>2574</v>
      </c>
      <c r="AI211" s="289">
        <v>791</v>
      </c>
      <c r="AJ211" s="1121"/>
      <c r="AK211" s="1121"/>
      <c r="AL211" s="1121"/>
      <c r="AM211" s="1121" t="s">
        <v>1228</v>
      </c>
      <c r="AN211" s="315">
        <v>5.5</v>
      </c>
      <c r="AO211" s="315"/>
      <c r="AP211" s="315"/>
      <c r="AQ211" s="315"/>
      <c r="AR211" s="315"/>
      <c r="AS211" s="315"/>
      <c r="AT211" s="315">
        <f t="shared" ref="AT211" si="34">+ab($T$207,$T$205,$T$209,$G$206,$G$208, 1*$F$207,1200)</f>
        <v>-6.1375186193277118</v>
      </c>
      <c r="AU211" s="315"/>
      <c r="AV211" s="315"/>
      <c r="AW211" s="315" t="s">
        <v>2634</v>
      </c>
      <c r="AX211" s="315" t="s">
        <v>1641</v>
      </c>
      <c r="AY211" s="315">
        <v>4.2</v>
      </c>
      <c r="AZ211" s="315"/>
      <c r="BA211" s="315"/>
      <c r="BB211" s="306"/>
    </row>
    <row r="212" spans="1:54" ht="14.25">
      <c r="A212" s="287"/>
      <c r="B212" s="287"/>
      <c r="C212" s="288"/>
      <c r="D212" s="1121"/>
      <c r="E212" s="1121"/>
      <c r="F212" s="289"/>
      <c r="G212" s="292">
        <v>65</v>
      </c>
      <c r="H212" s="291"/>
      <c r="I212" s="291"/>
      <c r="J212" s="288"/>
      <c r="K212" s="1121"/>
      <c r="L212" s="1121"/>
      <c r="M212" s="1121"/>
      <c r="N212" s="1121"/>
      <c r="O212" s="1121"/>
      <c r="P212" s="1121"/>
      <c r="Q212" s="1121"/>
      <c r="R212" s="292"/>
      <c r="S212" s="292">
        <f t="shared" si="28"/>
        <v>65.119999999998981</v>
      </c>
      <c r="T212" s="1121"/>
      <c r="U212" s="1121"/>
      <c r="V212" s="1121"/>
      <c r="W212" s="1121"/>
      <c r="X212" s="1121"/>
      <c r="Y212" s="1121"/>
      <c r="Z212" s="1121"/>
      <c r="AA212" s="1121"/>
      <c r="AB212" s="1121"/>
      <c r="AC212" s="1121"/>
      <c r="AD212" s="1121"/>
      <c r="AE212" s="1121"/>
      <c r="AF212" s="1121"/>
      <c r="AG212" s="288"/>
      <c r="AH212" s="1121"/>
      <c r="AI212" s="289"/>
      <c r="AJ212" s="1121"/>
      <c r="AK212" s="1121"/>
      <c r="AL212" s="1121"/>
      <c r="AM212" s="1121"/>
      <c r="AN212" s="315"/>
      <c r="AO212" s="315"/>
      <c r="AP212" s="315"/>
      <c r="AQ212" s="315">
        <f>+FL_1($T$209,$T$207,$G$208,1200,11.08,1*$F$209)</f>
        <v>0.19733164340764037</v>
      </c>
      <c r="AR212" s="315"/>
      <c r="AS212" s="315"/>
      <c r="AT212" s="315"/>
      <c r="AU212" s="315"/>
      <c r="AV212" s="315"/>
      <c r="AW212" s="315"/>
      <c r="AX212" s="315"/>
      <c r="AY212" s="315"/>
      <c r="AZ212" s="315"/>
      <c r="BA212" s="315"/>
      <c r="BB212" s="306"/>
    </row>
    <row r="213" spans="1:54" ht="14.25">
      <c r="A213" s="287"/>
      <c r="B213" s="287" t="s">
        <v>2681</v>
      </c>
      <c r="C213" s="288">
        <f>+$C$211+$G$212</f>
        <v>15992</v>
      </c>
      <c r="D213" s="1121"/>
      <c r="E213" s="1121"/>
      <c r="F213" s="289">
        <v>0</v>
      </c>
      <c r="G213" s="292"/>
      <c r="H213" s="291"/>
      <c r="I213" s="291"/>
      <c r="J213" s="288"/>
      <c r="K213" s="1121"/>
      <c r="L213" s="1121" t="s">
        <v>230</v>
      </c>
      <c r="M213" s="1121" t="s">
        <v>2757</v>
      </c>
      <c r="N213" s="1121" t="s">
        <v>144</v>
      </c>
      <c r="O213" s="1121"/>
      <c r="P213" s="1121"/>
      <c r="Q213" s="1121">
        <v>0</v>
      </c>
      <c r="R213" s="289">
        <v>0</v>
      </c>
      <c r="S213" s="292"/>
      <c r="T213" s="1121">
        <v>-35</v>
      </c>
      <c r="U213" s="1121"/>
      <c r="V213" s="1121"/>
      <c r="W213" s="1121">
        <v>1.4</v>
      </c>
      <c r="X213" s="1121"/>
      <c r="Y213" s="1121"/>
      <c r="Z213" s="1121"/>
      <c r="AA213" s="1121"/>
      <c r="AB213" s="1121"/>
      <c r="AC213" s="1121" t="s">
        <v>1702</v>
      </c>
      <c r="AD213" s="1121"/>
      <c r="AE213" s="1121"/>
      <c r="AF213" s="1121">
        <v>6000</v>
      </c>
      <c r="AG213" s="288">
        <v>15990.71</v>
      </c>
      <c r="AH213" s="1121">
        <v>2586</v>
      </c>
      <c r="AI213" s="289">
        <v>779</v>
      </c>
      <c r="AJ213" s="1121"/>
      <c r="AK213" s="1121"/>
      <c r="AL213" s="1121"/>
      <c r="AM213" s="1121" t="s">
        <v>1228</v>
      </c>
      <c r="AN213" s="315">
        <v>5.5</v>
      </c>
      <c r="AO213" s="315"/>
      <c r="AP213" s="315"/>
      <c r="AQ213" s="315"/>
      <c r="AR213" s="315"/>
      <c r="AS213" s="315"/>
      <c r="AT213" s="315">
        <f>+ab($T$213,$T$211,$T$215,$G$212,$G$214, 1*$F$213,1200)</f>
        <v>-8.8385457252353188</v>
      </c>
      <c r="AU213" s="315"/>
      <c r="AV213" s="315"/>
      <c r="AW213" s="315" t="s">
        <v>2634</v>
      </c>
      <c r="AX213" s="315" t="s">
        <v>1641</v>
      </c>
      <c r="AY213" s="315">
        <v>4.2</v>
      </c>
      <c r="AZ213" s="315"/>
      <c r="BA213" s="315"/>
      <c r="BB213" s="306"/>
    </row>
    <row r="214" spans="1:54" ht="14.25">
      <c r="A214" s="287"/>
      <c r="B214" s="287"/>
      <c r="C214" s="288"/>
      <c r="D214" s="1121"/>
      <c r="E214" s="1121"/>
      <c r="F214" s="289"/>
      <c r="G214" s="292">
        <v>65</v>
      </c>
      <c r="H214" s="1121"/>
      <c r="I214" s="294"/>
      <c r="J214" s="288">
        <f>C215-7.5</f>
        <v>16049.5</v>
      </c>
      <c r="K214" s="1121" t="s">
        <v>3017</v>
      </c>
      <c r="L214" s="1121"/>
      <c r="M214" s="1121"/>
      <c r="N214" s="1121"/>
      <c r="O214" s="1121"/>
      <c r="P214" s="1121"/>
      <c r="Q214" s="1121"/>
      <c r="R214" s="292"/>
      <c r="S214" s="292">
        <f t="shared" si="28"/>
        <v>64.880000000001019</v>
      </c>
      <c r="T214" s="1121"/>
      <c r="U214" s="1121"/>
      <c r="V214" s="1121"/>
      <c r="W214" s="1121"/>
      <c r="X214" s="1121"/>
      <c r="Y214" s="1121"/>
      <c r="Z214" s="1121"/>
      <c r="AA214" s="1121"/>
      <c r="AB214" s="1121"/>
      <c r="AC214" s="1121"/>
      <c r="AD214" s="1121"/>
      <c r="AE214" s="1121"/>
      <c r="AF214" s="1121"/>
      <c r="AG214" s="288"/>
      <c r="AH214" s="1121"/>
      <c r="AI214" s="289"/>
      <c r="AJ214" s="1121"/>
      <c r="AK214" s="1121"/>
      <c r="AL214" s="1121"/>
      <c r="AM214" s="1121"/>
      <c r="AN214" s="315"/>
      <c r="AO214" s="315"/>
      <c r="AP214" s="315"/>
      <c r="AQ214" s="315">
        <f>+FL_1($T$215,$T$213,$G$214,1200,9.28, 1*$F$215)</f>
        <v>0.48340135661538458</v>
      </c>
      <c r="AR214" s="315"/>
      <c r="AS214" s="315"/>
      <c r="AT214" s="315"/>
      <c r="AU214" s="315"/>
      <c r="AV214" s="315"/>
      <c r="AW214" s="315" t="s">
        <v>2634</v>
      </c>
      <c r="AX214" s="315" t="s">
        <v>1641</v>
      </c>
      <c r="AY214" s="315"/>
      <c r="AZ214" s="315">
        <v>3.5</v>
      </c>
      <c r="BA214" s="315"/>
      <c r="BB214" s="306"/>
    </row>
    <row r="215" spans="1:54" ht="14.25">
      <c r="A215" s="287"/>
      <c r="B215" s="287" t="s">
        <v>2340</v>
      </c>
      <c r="C215" s="288">
        <f>+$C$213+$G$214</f>
        <v>16057</v>
      </c>
      <c r="D215" s="1121"/>
      <c r="E215" s="1121"/>
      <c r="F215" s="289">
        <v>0</v>
      </c>
      <c r="G215" s="292"/>
      <c r="H215" s="1121" t="s">
        <v>138</v>
      </c>
      <c r="I215" s="294" t="s">
        <v>657</v>
      </c>
      <c r="J215" s="288"/>
      <c r="K215" s="1121"/>
      <c r="L215" s="1121" t="s">
        <v>1061</v>
      </c>
      <c r="M215" s="1121" t="s">
        <v>2756</v>
      </c>
      <c r="N215" s="1121" t="s">
        <v>145</v>
      </c>
      <c r="O215" s="1121"/>
      <c r="P215" s="1121"/>
      <c r="Q215" s="1121">
        <v>0</v>
      </c>
      <c r="R215" s="289">
        <v>0</v>
      </c>
      <c r="S215" s="292"/>
      <c r="T215" s="1121">
        <v>35</v>
      </c>
      <c r="U215" s="1121"/>
      <c r="V215" s="1121"/>
      <c r="W215" s="1121">
        <v>1.4</v>
      </c>
      <c r="X215" s="1121"/>
      <c r="Y215" s="1121"/>
      <c r="Z215" s="1121"/>
      <c r="AA215" s="1121"/>
      <c r="AB215" s="1121"/>
      <c r="AC215" s="1121" t="s">
        <v>1704</v>
      </c>
      <c r="AD215" s="1121"/>
      <c r="AE215" s="1121"/>
      <c r="AF215" s="1121">
        <v>6000</v>
      </c>
      <c r="AG215" s="288">
        <v>16055.59</v>
      </c>
      <c r="AH215" s="1121">
        <v>2558</v>
      </c>
      <c r="AI215" s="289">
        <v>637</v>
      </c>
      <c r="AJ215" s="1121"/>
      <c r="AK215" s="1121"/>
      <c r="AL215" s="1121"/>
      <c r="AM215" s="1121" t="s">
        <v>1228</v>
      </c>
      <c r="AN215" s="315">
        <v>5.5</v>
      </c>
      <c r="AO215" s="315"/>
      <c r="AP215" s="315"/>
      <c r="AQ215" s="315"/>
      <c r="AR215" s="315"/>
      <c r="AS215" s="315"/>
      <c r="AT215" s="315">
        <f>+ab($T$215,$T$213,$T$217,$G$214,$G$216, 1*$F$215,1200)</f>
        <v>10.217220590037304</v>
      </c>
      <c r="AU215" s="315"/>
      <c r="AV215" s="315"/>
      <c r="AW215" s="315" t="s">
        <v>2634</v>
      </c>
      <c r="AX215" s="315" t="s">
        <v>1641</v>
      </c>
      <c r="AY215" s="315">
        <v>4.2</v>
      </c>
      <c r="AZ215" s="315"/>
      <c r="BA215" s="315"/>
      <c r="BB215" s="306"/>
    </row>
    <row r="216" spans="1:54" ht="14.25">
      <c r="A216" s="287"/>
      <c r="B216" s="287"/>
      <c r="C216" s="288"/>
      <c r="D216" s="1121"/>
      <c r="E216" s="1121"/>
      <c r="F216" s="289"/>
      <c r="G216" s="292">
        <v>64</v>
      </c>
      <c r="H216" s="291"/>
      <c r="I216" s="294">
        <f>SUM(G216:G236)</f>
        <v>685</v>
      </c>
      <c r="J216" s="288"/>
      <c r="K216" s="1121"/>
      <c r="L216" s="1121"/>
      <c r="M216" s="1121"/>
      <c r="N216" s="1121"/>
      <c r="O216" s="1121"/>
      <c r="P216" s="1121"/>
      <c r="Q216" s="1121"/>
      <c r="R216" s="292"/>
      <c r="S216" s="292">
        <f t="shared" ref="S216:S278" si="35">+AG217-AG215</f>
        <v>64.200000000000728</v>
      </c>
      <c r="T216" s="1121"/>
      <c r="U216" s="1121"/>
      <c r="V216" s="1121"/>
      <c r="W216" s="1121"/>
      <c r="X216" s="1121"/>
      <c r="Y216" s="1121"/>
      <c r="Z216" s="1121"/>
      <c r="AA216" s="1121"/>
      <c r="AB216" s="1121"/>
      <c r="AC216" s="1121"/>
      <c r="AD216" s="1121"/>
      <c r="AE216" s="1121"/>
      <c r="AF216" s="1121"/>
      <c r="AG216" s="288"/>
      <c r="AH216" s="1121"/>
      <c r="AI216" s="289"/>
      <c r="AJ216" s="1121"/>
      <c r="AK216" s="1121"/>
      <c r="AL216" s="1121"/>
      <c r="AM216" s="1121"/>
      <c r="AN216" s="315"/>
      <c r="AO216" s="315"/>
      <c r="AP216" s="315"/>
      <c r="AQ216" s="315">
        <f>+FL_2($U$217,$T$215,$G$216,1200,9.28, 1*$F$217)</f>
        <v>-0.47329293799999994</v>
      </c>
      <c r="AR216" s="315"/>
      <c r="AS216" s="315"/>
      <c r="AT216" s="315"/>
      <c r="AU216" s="315"/>
      <c r="AV216" s="315"/>
      <c r="AW216" s="315"/>
      <c r="AX216" s="315"/>
      <c r="AY216" s="315"/>
      <c r="AZ216" s="315"/>
      <c r="BA216" s="315"/>
      <c r="BB216" s="306"/>
    </row>
    <row r="217" spans="1:54" ht="14.25">
      <c r="A217" s="287"/>
      <c r="B217" s="287" t="s">
        <v>2341</v>
      </c>
      <c r="C217" s="288">
        <f>+$C$215+$G$216</f>
        <v>16121</v>
      </c>
      <c r="D217" s="1121"/>
      <c r="E217" s="1121"/>
      <c r="F217" s="289">
        <v>0</v>
      </c>
      <c r="G217" s="292"/>
      <c r="H217" s="291" t="s">
        <v>651</v>
      </c>
      <c r="I217" s="294"/>
      <c r="J217" s="288"/>
      <c r="K217" s="1121"/>
      <c r="L217" s="1121" t="s">
        <v>231</v>
      </c>
      <c r="M217" s="1121" t="s">
        <v>2756</v>
      </c>
      <c r="N217" s="1121" t="s">
        <v>140</v>
      </c>
      <c r="O217" s="1121" t="s">
        <v>144</v>
      </c>
      <c r="P217" s="1121"/>
      <c r="Q217" s="1121">
        <v>0</v>
      </c>
      <c r="R217" s="289">
        <v>0</v>
      </c>
      <c r="S217" s="292"/>
      <c r="T217" s="1121">
        <v>-15</v>
      </c>
      <c r="U217" s="1121">
        <v>-35</v>
      </c>
      <c r="V217" s="1121"/>
      <c r="W217" s="1121">
        <v>1.4</v>
      </c>
      <c r="X217" s="1121">
        <v>2.2999999999999998</v>
      </c>
      <c r="Y217" s="1121"/>
      <c r="Z217" s="1121">
        <v>0.5</v>
      </c>
      <c r="AA217" s="1121"/>
      <c r="AB217" s="1121"/>
      <c r="AC217" s="1121"/>
      <c r="AD217" s="1121" t="s">
        <v>1704</v>
      </c>
      <c r="AE217" s="1121"/>
      <c r="AF217" s="1121">
        <v>6000</v>
      </c>
      <c r="AG217" s="288">
        <v>16119.79</v>
      </c>
      <c r="AH217" s="1121">
        <v>2606</v>
      </c>
      <c r="AI217" s="289">
        <v>639</v>
      </c>
      <c r="AJ217" s="1121"/>
      <c r="AK217" s="1121"/>
      <c r="AL217" s="1121"/>
      <c r="AM217" s="1121" t="s">
        <v>1228</v>
      </c>
      <c r="AN217" s="315">
        <v>5.5</v>
      </c>
      <c r="AO217" s="315"/>
      <c r="AP217" s="315"/>
      <c r="AQ217" s="315"/>
      <c r="AR217" s="315"/>
      <c r="AS217" s="315"/>
      <c r="AT217" s="315">
        <f>+ab($U$217,$T$215,$U$219,$G$216,$G$218, 1*$F$217,1200)</f>
        <v>-9.5693628544303007</v>
      </c>
      <c r="AU217" s="315"/>
      <c r="AV217" s="315"/>
      <c r="AW217" s="315" t="s">
        <v>2634</v>
      </c>
      <c r="AX217" s="315" t="s">
        <v>1641</v>
      </c>
      <c r="AY217" s="315">
        <v>4.2</v>
      </c>
      <c r="AZ217" s="315"/>
      <c r="BA217" s="315"/>
      <c r="BB217" s="306"/>
    </row>
    <row r="218" spans="1:54" ht="14.25">
      <c r="A218" s="287"/>
      <c r="B218" s="287"/>
      <c r="C218" s="288"/>
      <c r="D218" s="1121"/>
      <c r="E218" s="1121"/>
      <c r="F218" s="289"/>
      <c r="G218" s="292">
        <v>56</v>
      </c>
      <c r="H218" s="291"/>
      <c r="I218" s="294"/>
      <c r="J218" s="288"/>
      <c r="K218" s="1121"/>
      <c r="L218" s="1121"/>
      <c r="M218" s="1121"/>
      <c r="N218" s="1121"/>
      <c r="O218" s="1121"/>
      <c r="P218" s="1121"/>
      <c r="Q218" s="1121"/>
      <c r="R218" s="292"/>
      <c r="S218" s="292">
        <f t="shared" si="35"/>
        <v>55.93999999999869</v>
      </c>
      <c r="T218" s="1121"/>
      <c r="U218" s="1121"/>
      <c r="V218" s="1121"/>
      <c r="W218" s="1121"/>
      <c r="X218" s="1121"/>
      <c r="Y218" s="1121"/>
      <c r="Z218" s="1121"/>
      <c r="AA218" s="1121"/>
      <c r="AB218" s="1121"/>
      <c r="AC218" s="1121"/>
      <c r="AD218" s="1121"/>
      <c r="AE218" s="1121"/>
      <c r="AF218" s="1121"/>
      <c r="AG218" s="288"/>
      <c r="AH218" s="1121"/>
      <c r="AI218" s="289"/>
      <c r="AJ218" s="1121"/>
      <c r="AK218" s="1121"/>
      <c r="AL218" s="1121"/>
      <c r="AM218" s="1121"/>
      <c r="AN218" s="315"/>
      <c r="AO218" s="315"/>
      <c r="AP218" s="315"/>
      <c r="AQ218" s="315">
        <f>+FL_1($T$219,$U$217,$G$218,1200,9.28, 1*$F$219)</f>
        <v>0.404170368</v>
      </c>
      <c r="AR218" s="315"/>
      <c r="AS218" s="315"/>
      <c r="AT218" s="315"/>
      <c r="AU218" s="315"/>
      <c r="AV218" s="315"/>
      <c r="AW218" s="315"/>
      <c r="AX218" s="315"/>
      <c r="AY218" s="315"/>
      <c r="AZ218" s="315"/>
      <c r="BA218" s="315"/>
      <c r="BB218" s="306"/>
    </row>
    <row r="219" spans="1:54" ht="14.25">
      <c r="A219" s="287"/>
      <c r="B219" s="1036" t="s">
        <v>2342</v>
      </c>
      <c r="C219" s="288">
        <f>+$C$217+$G$218</f>
        <v>16177</v>
      </c>
      <c r="D219" s="1121"/>
      <c r="E219" s="1121"/>
      <c r="F219" s="289">
        <v>0</v>
      </c>
      <c r="G219" s="292"/>
      <c r="H219" s="291" t="s">
        <v>651</v>
      </c>
      <c r="I219" s="294"/>
      <c r="J219" s="288"/>
      <c r="K219" s="1121"/>
      <c r="L219" s="1121" t="s">
        <v>231</v>
      </c>
      <c r="M219" s="1121" t="s">
        <v>2756</v>
      </c>
      <c r="N219" s="1121" t="s">
        <v>145</v>
      </c>
      <c r="O219" s="1121" t="s">
        <v>140</v>
      </c>
      <c r="P219" s="1121"/>
      <c r="Q219" s="1121">
        <v>0</v>
      </c>
      <c r="R219" s="289">
        <v>0</v>
      </c>
      <c r="S219" s="292"/>
      <c r="T219" s="1121">
        <v>35</v>
      </c>
      <c r="U219" s="1121">
        <v>15</v>
      </c>
      <c r="V219" s="1121"/>
      <c r="W219" s="1121">
        <v>1.4</v>
      </c>
      <c r="X219" s="1121">
        <v>2.2999999999999998</v>
      </c>
      <c r="Y219" s="1121"/>
      <c r="Z219" s="1121"/>
      <c r="AA219" s="1121">
        <v>0.5</v>
      </c>
      <c r="AB219" s="1121"/>
      <c r="AC219" s="1121" t="s">
        <v>1704</v>
      </c>
      <c r="AD219" s="1121"/>
      <c r="AE219" s="1121"/>
      <c r="AF219" s="1121">
        <v>6000</v>
      </c>
      <c r="AG219" s="288">
        <v>16175.73</v>
      </c>
      <c r="AH219" s="1121">
        <v>2349</v>
      </c>
      <c r="AI219" s="289">
        <v>648</v>
      </c>
      <c r="AJ219" s="1121"/>
      <c r="AK219" s="1121"/>
      <c r="AL219" s="1121"/>
      <c r="AM219" s="1121" t="s">
        <v>1228</v>
      </c>
      <c r="AN219" s="315">
        <v>5.5</v>
      </c>
      <c r="AO219" s="315"/>
      <c r="AP219" s="315"/>
      <c r="AQ219" s="315"/>
      <c r="AR219" s="315"/>
      <c r="AS219" s="315"/>
      <c r="AT219" s="315">
        <f>+ab($T$219,$T$217,$T$221,$G$218,$G$220, 1*$F$219,1200)</f>
        <v>8.9734626048992894</v>
      </c>
      <c r="AU219" s="315"/>
      <c r="AV219" s="315"/>
      <c r="AW219" s="315" t="s">
        <v>2634</v>
      </c>
      <c r="AX219" s="315" t="s">
        <v>1641</v>
      </c>
      <c r="AY219" s="315">
        <v>4.2</v>
      </c>
      <c r="AZ219" s="315"/>
      <c r="BA219" s="315"/>
      <c r="BB219" s="306"/>
    </row>
    <row r="220" spans="1:54" ht="14.25">
      <c r="A220" s="287"/>
      <c r="B220" s="287"/>
      <c r="C220" s="288"/>
      <c r="D220" s="1121"/>
      <c r="E220" s="1121"/>
      <c r="F220" s="289"/>
      <c r="G220" s="292">
        <v>57</v>
      </c>
      <c r="H220" s="291"/>
      <c r="I220" s="294"/>
      <c r="J220" s="288"/>
      <c r="K220" s="1121"/>
      <c r="L220" s="1121"/>
      <c r="M220" s="1121"/>
      <c r="N220" s="1121"/>
      <c r="O220" s="1121"/>
      <c r="P220" s="1121"/>
      <c r="Q220" s="1121"/>
      <c r="R220" s="292"/>
      <c r="S220" s="292">
        <f t="shared" si="35"/>
        <v>57.110000000000582</v>
      </c>
      <c r="T220" s="1121"/>
      <c r="U220" s="1121"/>
      <c r="V220" s="1121"/>
      <c r="W220" s="1121"/>
      <c r="X220" s="1121"/>
      <c r="Y220" s="1121"/>
      <c r="Z220" s="1121"/>
      <c r="AA220" s="1121"/>
      <c r="AB220" s="1121"/>
      <c r="AC220" s="1121"/>
      <c r="AD220" s="1121"/>
      <c r="AE220" s="1121"/>
      <c r="AF220" s="1121"/>
      <c r="AG220" s="288"/>
      <c r="AH220" s="1121"/>
      <c r="AI220" s="289"/>
      <c r="AJ220" s="1121"/>
      <c r="AK220" s="1121"/>
      <c r="AL220" s="1121"/>
      <c r="AM220" s="1121"/>
      <c r="AN220" s="315"/>
      <c r="AO220" s="315"/>
      <c r="AP220" s="315"/>
      <c r="AQ220" s="315">
        <f>+FL_2($T$221,$T$219,$G$220,1200,9.28, 1*$F$221)</f>
        <v>-0.41158010919298244</v>
      </c>
      <c r="AR220" s="315"/>
      <c r="AS220" s="315"/>
      <c r="AT220" s="315"/>
      <c r="AU220" s="315"/>
      <c r="AV220" s="315"/>
      <c r="AW220" s="315"/>
      <c r="AX220" s="315"/>
      <c r="AY220" s="315"/>
      <c r="AZ220" s="315"/>
      <c r="BA220" s="315"/>
      <c r="BB220" s="306"/>
    </row>
    <row r="221" spans="1:54" ht="14.25">
      <c r="A221" s="287"/>
      <c r="B221" s="1036" t="s">
        <v>2343</v>
      </c>
      <c r="C221" s="288">
        <f>+$C$219+$G$220</f>
        <v>16234</v>
      </c>
      <c r="D221" s="1121"/>
      <c r="E221" s="1121"/>
      <c r="F221" s="289">
        <v>0</v>
      </c>
      <c r="G221" s="292"/>
      <c r="H221" s="291" t="s">
        <v>138</v>
      </c>
      <c r="I221" s="294" t="s">
        <v>656</v>
      </c>
      <c r="J221" s="288"/>
      <c r="K221" s="1121"/>
      <c r="L221" s="1121" t="s">
        <v>1061</v>
      </c>
      <c r="M221" s="1121" t="s">
        <v>2672</v>
      </c>
      <c r="N221" s="1121" t="s">
        <v>144</v>
      </c>
      <c r="O221" s="1121"/>
      <c r="P221" s="1121"/>
      <c r="Q221" s="1121">
        <v>0</v>
      </c>
      <c r="R221" s="289">
        <v>0</v>
      </c>
      <c r="S221" s="292"/>
      <c r="T221" s="1121">
        <v>-35</v>
      </c>
      <c r="U221" s="1121"/>
      <c r="V221" s="1121"/>
      <c r="W221" s="1121">
        <v>1.4</v>
      </c>
      <c r="X221" s="1121"/>
      <c r="Y221" s="1121"/>
      <c r="Z221" s="1121"/>
      <c r="AA221" s="1121"/>
      <c r="AB221" s="1121"/>
      <c r="AC221" s="1121" t="s">
        <v>2963</v>
      </c>
      <c r="AD221" s="1121"/>
      <c r="AE221" s="1121"/>
      <c r="AF221" s="1121">
        <v>6000</v>
      </c>
      <c r="AG221" s="288">
        <v>16232.84</v>
      </c>
      <c r="AH221" s="1121">
        <v>2411</v>
      </c>
      <c r="AI221" s="289">
        <v>627</v>
      </c>
      <c r="AJ221" s="1121"/>
      <c r="AK221" s="1121"/>
      <c r="AL221" s="1121"/>
      <c r="AM221" s="1121" t="s">
        <v>1228</v>
      </c>
      <c r="AN221" s="315">
        <v>5.5</v>
      </c>
      <c r="AO221" s="315"/>
      <c r="AP221" s="315"/>
      <c r="AQ221" s="315"/>
      <c r="AR221" s="315"/>
      <c r="AS221" s="315"/>
      <c r="AT221" s="315">
        <f>+ab($T$221,$T$219,$T$223,$G$220,$G$222, 1*$F$221,1200)</f>
        <v>-7.9614801276426181</v>
      </c>
      <c r="AU221" s="315"/>
      <c r="AV221" s="315"/>
      <c r="AW221" s="315" t="s">
        <v>2631</v>
      </c>
      <c r="AX221" s="315" t="s">
        <v>1639</v>
      </c>
      <c r="AY221" s="315">
        <v>3.4</v>
      </c>
      <c r="AZ221" s="315"/>
      <c r="BA221" s="315"/>
      <c r="BB221" s="306"/>
    </row>
    <row r="222" spans="1:54" ht="14.25">
      <c r="A222" s="287"/>
      <c r="B222" s="287"/>
      <c r="C222" s="288"/>
      <c r="D222" s="1121"/>
      <c r="E222" s="1121"/>
      <c r="F222" s="289"/>
      <c r="G222" s="292">
        <v>60</v>
      </c>
      <c r="H222" s="291"/>
      <c r="I222" s="291"/>
      <c r="J222" s="288">
        <f>C221+7.5</f>
        <v>16241.5</v>
      </c>
      <c r="K222" s="1121" t="s">
        <v>653</v>
      </c>
      <c r="L222" s="1121"/>
      <c r="M222" s="1121"/>
      <c r="N222" s="1121"/>
      <c r="O222" s="1121"/>
      <c r="P222" s="1121"/>
      <c r="Q222" s="1121"/>
      <c r="R222" s="292"/>
      <c r="S222" s="292">
        <f t="shared" si="35"/>
        <v>59.959999999999127</v>
      </c>
      <c r="T222" s="1121"/>
      <c r="U222" s="1121"/>
      <c r="V222" s="1121"/>
      <c r="W222" s="1121"/>
      <c r="X222" s="1121"/>
      <c r="Y222" s="1121"/>
      <c r="Z222" s="1121"/>
      <c r="AA222" s="1121"/>
      <c r="AB222" s="1121"/>
      <c r="AC222" s="1121"/>
      <c r="AD222" s="1121"/>
      <c r="AE222" s="1121"/>
      <c r="AF222" s="1121"/>
      <c r="AG222" s="288"/>
      <c r="AH222" s="1121"/>
      <c r="AI222" s="289"/>
      <c r="AJ222" s="1121"/>
      <c r="AK222" s="1121"/>
      <c r="AL222" s="1121"/>
      <c r="AM222" s="1121"/>
      <c r="AN222" s="315"/>
      <c r="AO222" s="315"/>
      <c r="AP222" s="315"/>
      <c r="AQ222" s="315">
        <f>+FL_1($T$223,$T$221,$G$222,1200,9.28, 1*$F$223)</f>
        <v>0.43600286799999999</v>
      </c>
      <c r="AR222" s="315"/>
      <c r="AS222" s="315"/>
      <c r="AT222" s="315"/>
      <c r="AU222" s="315"/>
      <c r="AV222" s="315"/>
      <c r="AW222" s="315" t="s">
        <v>2631</v>
      </c>
      <c r="AX222" s="315" t="s">
        <v>1639</v>
      </c>
      <c r="AY222" s="315"/>
      <c r="AZ222" s="315">
        <v>2.5</v>
      </c>
      <c r="BA222" s="315"/>
      <c r="BB222" s="306"/>
    </row>
    <row r="223" spans="1:54" ht="14.25">
      <c r="A223" s="340"/>
      <c r="B223" s="287" t="s">
        <v>2344</v>
      </c>
      <c r="C223" s="288">
        <f>+$C$221+$G$222</f>
        <v>16294</v>
      </c>
      <c r="D223" s="334"/>
      <c r="E223" s="1121"/>
      <c r="F223" s="289">
        <v>0</v>
      </c>
      <c r="G223" s="292"/>
      <c r="H223" s="291"/>
      <c r="I223" s="294"/>
      <c r="J223" s="288"/>
      <c r="K223" s="1121"/>
      <c r="L223" s="1121" t="s">
        <v>230</v>
      </c>
      <c r="M223" s="1121" t="s">
        <v>2671</v>
      </c>
      <c r="N223" s="1121" t="s">
        <v>145</v>
      </c>
      <c r="O223" s="1121"/>
      <c r="P223" s="1121"/>
      <c r="Q223" s="1121">
        <v>0</v>
      </c>
      <c r="R223" s="289">
        <v>0</v>
      </c>
      <c r="S223" s="292"/>
      <c r="T223" s="1121">
        <v>35</v>
      </c>
      <c r="U223" s="1121"/>
      <c r="V223" s="1121"/>
      <c r="W223" s="1121">
        <v>1.4</v>
      </c>
      <c r="X223" s="1121"/>
      <c r="Y223" s="1121"/>
      <c r="Z223" s="1121"/>
      <c r="AA223" s="1121"/>
      <c r="AB223" s="1121"/>
      <c r="AC223" s="1121" t="s">
        <v>1704</v>
      </c>
      <c r="AD223" s="1121"/>
      <c r="AE223" s="1121"/>
      <c r="AF223" s="1121">
        <v>6000</v>
      </c>
      <c r="AG223" s="288">
        <v>16292.8</v>
      </c>
      <c r="AH223" s="1121">
        <v>2358</v>
      </c>
      <c r="AI223" s="289">
        <v>618</v>
      </c>
      <c r="AJ223" s="1121"/>
      <c r="AK223" s="1121"/>
      <c r="AL223" s="1121"/>
      <c r="AM223" s="1121" t="s">
        <v>1228</v>
      </c>
      <c r="AN223" s="315">
        <v>5.5</v>
      </c>
      <c r="AO223" s="315"/>
      <c r="AP223" s="315"/>
      <c r="AQ223" s="315"/>
      <c r="AR223" s="315"/>
      <c r="AS223" s="315"/>
      <c r="AT223" s="315">
        <f>+ab($T$223,$T$221,$T$225,$G$222,$G$224, 1*$F$223,1200)</f>
        <v>8.4279217109337914</v>
      </c>
      <c r="AU223" s="315"/>
      <c r="AV223" s="315"/>
      <c r="AW223" s="315" t="s">
        <v>2631</v>
      </c>
      <c r="AX223" s="315" t="s">
        <v>1639</v>
      </c>
      <c r="AY223" s="315">
        <v>3.4</v>
      </c>
      <c r="AZ223" s="315"/>
      <c r="BA223" s="315"/>
      <c r="BB223" s="306"/>
    </row>
    <row r="224" spans="1:54" ht="14.25">
      <c r="A224" s="340"/>
      <c r="B224" s="287"/>
      <c r="C224" s="288"/>
      <c r="D224" s="334"/>
      <c r="E224" s="1121"/>
      <c r="F224" s="289"/>
      <c r="G224" s="292">
        <v>64</v>
      </c>
      <c r="H224" s="291"/>
      <c r="I224" s="291"/>
      <c r="J224" s="288"/>
      <c r="K224" s="1121"/>
      <c r="L224" s="1121"/>
      <c r="M224" s="1121"/>
      <c r="N224" s="1121"/>
      <c r="O224" s="1121"/>
      <c r="P224" s="1121"/>
      <c r="Q224" s="1121"/>
      <c r="R224" s="292"/>
      <c r="S224" s="292">
        <f t="shared" si="35"/>
        <v>63.920000000000073</v>
      </c>
      <c r="T224" s="1121"/>
      <c r="U224" s="1121"/>
      <c r="V224" s="1121"/>
      <c r="W224" s="1121"/>
      <c r="X224" s="1121"/>
      <c r="Y224" s="1121"/>
      <c r="Z224" s="1121"/>
      <c r="AA224" s="1121"/>
      <c r="AB224" s="1121"/>
      <c r="AC224" s="1121"/>
      <c r="AD224" s="1121"/>
      <c r="AE224" s="1121"/>
      <c r="AF224" s="1121"/>
      <c r="AG224" s="288"/>
      <c r="AH224" s="1121"/>
      <c r="AI224" s="289"/>
      <c r="AJ224" s="1121"/>
      <c r="AK224" s="1121"/>
      <c r="AL224" s="1121"/>
      <c r="AM224" s="1121"/>
      <c r="AN224" s="315"/>
      <c r="AO224" s="315"/>
      <c r="AP224" s="315"/>
      <c r="AQ224" s="315">
        <f>+FL_1($T$225,$T$223,$G$224,1200,9.28, 1*$F$225)</f>
        <v>0.47329293799999983</v>
      </c>
      <c r="AR224" s="315"/>
      <c r="AS224" s="315"/>
      <c r="AT224" s="315"/>
      <c r="AU224" s="315"/>
      <c r="AV224" s="315"/>
      <c r="AW224" s="315"/>
      <c r="AX224" s="315"/>
      <c r="AY224" s="315"/>
      <c r="AZ224" s="315"/>
      <c r="BA224" s="315"/>
      <c r="BB224" s="306"/>
    </row>
    <row r="225" spans="1:54" ht="14.25">
      <c r="A225" s="340"/>
      <c r="B225" s="1036" t="s">
        <v>2345</v>
      </c>
      <c r="C225" s="288">
        <f>+$C$223+$G$224</f>
        <v>16358</v>
      </c>
      <c r="D225" s="334"/>
      <c r="E225" s="1121"/>
      <c r="F225" s="289">
        <v>0</v>
      </c>
      <c r="G225" s="292"/>
      <c r="H225" s="291"/>
      <c r="I225" s="291"/>
      <c r="J225" s="288"/>
      <c r="K225" s="1121"/>
      <c r="L225" s="1121" t="s">
        <v>230</v>
      </c>
      <c r="M225" s="1121" t="s">
        <v>2674</v>
      </c>
      <c r="N225" s="1121" t="s">
        <v>144</v>
      </c>
      <c r="O225" s="1121"/>
      <c r="P225" s="1121"/>
      <c r="Q225" s="1121">
        <v>0</v>
      </c>
      <c r="R225" s="289">
        <v>0</v>
      </c>
      <c r="S225" s="292"/>
      <c r="T225" s="1121">
        <v>-35</v>
      </c>
      <c r="U225" s="1121"/>
      <c r="V225" s="1121"/>
      <c r="W225" s="1121">
        <v>1.4</v>
      </c>
      <c r="X225" s="1121"/>
      <c r="Y225" s="1121"/>
      <c r="Z225" s="1121"/>
      <c r="AA225" s="1121"/>
      <c r="AB225" s="1121"/>
      <c r="AC225" s="1121" t="s">
        <v>1704</v>
      </c>
      <c r="AD225" s="1121"/>
      <c r="AE225" s="1121"/>
      <c r="AF225" s="1121">
        <v>6000</v>
      </c>
      <c r="AG225" s="288">
        <v>16356.72</v>
      </c>
      <c r="AH225" s="1121">
        <v>3399</v>
      </c>
      <c r="AI225" s="289">
        <v>585</v>
      </c>
      <c r="AJ225" s="1121"/>
      <c r="AK225" s="1121"/>
      <c r="AL225" s="1121"/>
      <c r="AM225" s="1121" t="s">
        <v>1228</v>
      </c>
      <c r="AN225" s="315">
        <v>5.5</v>
      </c>
      <c r="AO225" s="315"/>
      <c r="AP225" s="315"/>
      <c r="AQ225" s="315"/>
      <c r="AR225" s="315"/>
      <c r="AS225" s="315"/>
      <c r="AT225" s="315">
        <f>+ab($T$225,$T$223,$T$227,$G$224,$G$226, 1*$F$225,1200)</f>
        <v>-8.7046659033197624</v>
      </c>
      <c r="AU225" s="315"/>
      <c r="AV225" s="315"/>
      <c r="AW225" s="315" t="s">
        <v>2631</v>
      </c>
      <c r="AX225" s="315" t="s">
        <v>1639</v>
      </c>
      <c r="AY225" s="315">
        <v>3.4</v>
      </c>
      <c r="AZ225" s="315"/>
      <c r="BA225" s="315"/>
      <c r="BB225" s="306"/>
    </row>
    <row r="226" spans="1:54" ht="14.25">
      <c r="A226" s="340"/>
      <c r="B226" s="287"/>
      <c r="C226" s="288"/>
      <c r="D226" s="334"/>
      <c r="E226" s="1121"/>
      <c r="F226" s="289"/>
      <c r="G226" s="292">
        <v>64</v>
      </c>
      <c r="H226" s="291"/>
      <c r="I226" s="294"/>
      <c r="J226" s="288"/>
      <c r="K226" s="1121"/>
      <c r="L226" s="1121"/>
      <c r="M226" s="1121"/>
      <c r="N226" s="1121"/>
      <c r="O226" s="1121"/>
      <c r="P226" s="1121"/>
      <c r="Q226" s="1121"/>
      <c r="R226" s="292"/>
      <c r="S226" s="292">
        <f t="shared" si="35"/>
        <v>64.020000000002256</v>
      </c>
      <c r="T226" s="1121"/>
      <c r="U226" s="1121"/>
      <c r="V226" s="1121"/>
      <c r="W226" s="1121"/>
      <c r="X226" s="1121"/>
      <c r="Y226" s="1121"/>
      <c r="Z226" s="1121"/>
      <c r="AA226" s="1121"/>
      <c r="AB226" s="1121"/>
      <c r="AC226" s="1121"/>
      <c r="AD226" s="1121"/>
      <c r="AE226" s="1121"/>
      <c r="AF226" s="1121"/>
      <c r="AG226" s="288"/>
      <c r="AH226" s="1121"/>
      <c r="AI226" s="289"/>
      <c r="AJ226" s="1121"/>
      <c r="AK226" s="1121"/>
      <c r="AL226" s="1121"/>
      <c r="AM226" s="1121"/>
      <c r="AN226" s="315"/>
      <c r="AO226" s="315"/>
      <c r="AP226" s="315"/>
      <c r="AQ226" s="315">
        <f>+FL_2($T$227,$T$225,$G$226,1200,9.28, 1*$F$227)</f>
        <v>-0.47329293799999983</v>
      </c>
      <c r="AR226" s="315"/>
      <c r="AS226" s="315"/>
      <c r="AT226" s="315"/>
      <c r="AU226" s="315"/>
      <c r="AV226" s="315"/>
      <c r="AW226" s="315"/>
      <c r="AX226" s="315"/>
      <c r="AY226" s="315"/>
      <c r="AZ226" s="315"/>
      <c r="BA226" s="315"/>
      <c r="BB226" s="306"/>
    </row>
    <row r="227" spans="1:54" ht="14.25">
      <c r="A227" s="340"/>
      <c r="B227" s="287" t="s">
        <v>2346</v>
      </c>
      <c r="C227" s="288">
        <f>+$C$225+$G$226</f>
        <v>16422</v>
      </c>
      <c r="D227" s="334"/>
      <c r="E227" s="1121"/>
      <c r="F227" s="289">
        <v>0</v>
      </c>
      <c r="G227" s="292"/>
      <c r="H227" s="291"/>
      <c r="I227" s="291"/>
      <c r="J227" s="288"/>
      <c r="K227" s="1121"/>
      <c r="L227" s="1121" t="s">
        <v>230</v>
      </c>
      <c r="M227" s="1121" t="s">
        <v>2674</v>
      </c>
      <c r="N227" s="1121" t="s">
        <v>145</v>
      </c>
      <c r="O227" s="1121"/>
      <c r="P227" s="1121"/>
      <c r="Q227" s="1121">
        <v>0</v>
      </c>
      <c r="R227" s="289">
        <v>0</v>
      </c>
      <c r="S227" s="292"/>
      <c r="T227" s="1121">
        <v>35</v>
      </c>
      <c r="U227" s="1121"/>
      <c r="V227" s="1121"/>
      <c r="W227" s="1121">
        <v>1.4</v>
      </c>
      <c r="X227" s="1121"/>
      <c r="Y227" s="1121"/>
      <c r="Z227" s="1121"/>
      <c r="AA227" s="1121"/>
      <c r="AB227" s="1121"/>
      <c r="AC227" s="1121" t="s">
        <v>1704</v>
      </c>
      <c r="AD227" s="1121"/>
      <c r="AE227" s="1121"/>
      <c r="AF227" s="1121">
        <v>6000</v>
      </c>
      <c r="AG227" s="288">
        <v>16420.740000000002</v>
      </c>
      <c r="AH227" s="1121">
        <v>3178</v>
      </c>
      <c r="AI227" s="289">
        <v>552</v>
      </c>
      <c r="AJ227" s="1121"/>
      <c r="AK227" s="1121"/>
      <c r="AL227" s="1121"/>
      <c r="AM227" s="1121" t="s">
        <v>1228</v>
      </c>
      <c r="AN227" s="315">
        <v>5.5</v>
      </c>
      <c r="AO227" s="315"/>
      <c r="AP227" s="315"/>
      <c r="AQ227" s="315"/>
      <c r="AR227" s="315"/>
      <c r="AS227" s="315"/>
      <c r="AT227" s="315">
        <f>+ab($T$227,$T$225,$T$229,$G$226,$G$228, 1*$F$227,1200)</f>
        <v>8.7046157488800553</v>
      </c>
      <c r="AU227" s="315"/>
      <c r="AV227" s="315"/>
      <c r="AW227" s="315" t="s">
        <v>2631</v>
      </c>
      <c r="AX227" s="315" t="s">
        <v>1639</v>
      </c>
      <c r="AY227" s="315">
        <v>3.4</v>
      </c>
      <c r="AZ227" s="315"/>
      <c r="BA227" s="315"/>
      <c r="BB227" s="306"/>
    </row>
    <row r="228" spans="1:54" ht="14.25">
      <c r="A228" s="340"/>
      <c r="B228" s="287"/>
      <c r="C228" s="288"/>
      <c r="D228" s="334"/>
      <c r="E228" s="1121"/>
      <c r="F228" s="289"/>
      <c r="G228" s="292">
        <v>64</v>
      </c>
      <c r="H228" s="291"/>
      <c r="I228" s="294"/>
      <c r="J228" s="288"/>
      <c r="K228" s="1121"/>
      <c r="L228" s="1121"/>
      <c r="M228" s="1121"/>
      <c r="N228" s="1121"/>
      <c r="O228" s="1121"/>
      <c r="P228" s="1121"/>
      <c r="Q228" s="1121"/>
      <c r="R228" s="292"/>
      <c r="S228" s="292">
        <f t="shared" si="35"/>
        <v>64.090000000000146</v>
      </c>
      <c r="T228" s="1121"/>
      <c r="U228" s="1121"/>
      <c r="V228" s="1121"/>
      <c r="W228" s="1121"/>
      <c r="X228" s="1121"/>
      <c r="Y228" s="1121"/>
      <c r="Z228" s="1121"/>
      <c r="AA228" s="1121"/>
      <c r="AB228" s="1121"/>
      <c r="AC228" s="1121"/>
      <c r="AD228" s="1121"/>
      <c r="AE228" s="1121"/>
      <c r="AF228" s="1121"/>
      <c r="AG228" s="288"/>
      <c r="AH228" s="1121"/>
      <c r="AI228" s="289"/>
      <c r="AJ228" s="1121"/>
      <c r="AK228" s="1121"/>
      <c r="AL228" s="1121"/>
      <c r="AM228" s="1121"/>
      <c r="AN228" s="315"/>
      <c r="AO228" s="315"/>
      <c r="AP228" s="315"/>
      <c r="AQ228" s="315">
        <f>+FL_1($T$229,$T$227,$G$228,1200,9.28, 1*$F$229)</f>
        <v>0.47329293799999983</v>
      </c>
      <c r="AR228" s="315"/>
      <c r="AS228" s="315"/>
      <c r="AT228" s="315"/>
      <c r="AU228" s="315"/>
      <c r="AV228" s="315"/>
      <c r="AW228" s="315"/>
      <c r="AX228" s="315"/>
      <c r="AY228" s="315"/>
      <c r="AZ228" s="315"/>
      <c r="BA228" s="315"/>
      <c r="BB228" s="306"/>
    </row>
    <row r="229" spans="1:54" ht="14.25">
      <c r="A229" s="340"/>
      <c r="B229" s="287" t="s">
        <v>2347</v>
      </c>
      <c r="C229" s="288">
        <f>+$C$227+$G$228</f>
        <v>16486</v>
      </c>
      <c r="D229" s="334"/>
      <c r="E229" s="1121"/>
      <c r="F229" s="289">
        <v>0</v>
      </c>
      <c r="G229" s="292"/>
      <c r="H229" s="291"/>
      <c r="I229" s="291"/>
      <c r="J229" s="288"/>
      <c r="K229" s="1121"/>
      <c r="L229" s="1121" t="s">
        <v>230</v>
      </c>
      <c r="M229" s="1121" t="s">
        <v>2671</v>
      </c>
      <c r="N229" s="1121" t="s">
        <v>3250</v>
      </c>
      <c r="O229" s="1121"/>
      <c r="P229" s="1121"/>
      <c r="Q229" s="1121">
        <v>0</v>
      </c>
      <c r="R229" s="289">
        <v>0</v>
      </c>
      <c r="S229" s="292"/>
      <c r="T229" s="1121">
        <v>-35</v>
      </c>
      <c r="U229" s="1121"/>
      <c r="V229" s="1121"/>
      <c r="W229" s="1121">
        <v>1.4</v>
      </c>
      <c r="X229" s="1121"/>
      <c r="Y229" s="1121"/>
      <c r="Z229" s="1121"/>
      <c r="AA229" s="1121"/>
      <c r="AB229" s="1121"/>
      <c r="AC229" s="1121" t="s">
        <v>1708</v>
      </c>
      <c r="AD229" s="1121"/>
      <c r="AE229" s="1121"/>
      <c r="AF229" s="1121">
        <v>6000</v>
      </c>
      <c r="AG229" s="288">
        <v>16484.830000000002</v>
      </c>
      <c r="AH229" s="1121">
        <v>2278</v>
      </c>
      <c r="AI229" s="289">
        <v>625</v>
      </c>
      <c r="AJ229" s="1121"/>
      <c r="AK229" s="1121"/>
      <c r="AL229" s="1121"/>
      <c r="AM229" s="1121" t="s">
        <v>1228</v>
      </c>
      <c r="AN229" s="315">
        <v>5.5</v>
      </c>
      <c r="AO229" s="315"/>
      <c r="AP229" s="315"/>
      <c r="AQ229" s="315"/>
      <c r="AR229" s="315"/>
      <c r="AS229" s="315"/>
      <c r="AT229" s="315">
        <f>+ab($T$229,$T$227,$T$231,$G$228,$G$230, 1*$F$229,1200)</f>
        <v>-8.7046659033197624</v>
      </c>
      <c r="AU229" s="315"/>
      <c r="AV229" s="315"/>
      <c r="AW229" s="315" t="s">
        <v>2631</v>
      </c>
      <c r="AX229" s="315" t="s">
        <v>1639</v>
      </c>
      <c r="AY229" s="315">
        <v>3.4</v>
      </c>
      <c r="AZ229" s="315"/>
      <c r="BA229" s="315"/>
      <c r="BB229" s="306"/>
    </row>
    <row r="230" spans="1:54" ht="14.25">
      <c r="A230" s="340"/>
      <c r="B230" s="287"/>
      <c r="C230" s="288"/>
      <c r="D230" s="334"/>
      <c r="E230" s="1121"/>
      <c r="F230" s="289"/>
      <c r="G230" s="292">
        <v>64</v>
      </c>
      <c r="H230" s="1121"/>
      <c r="I230" s="294"/>
      <c r="J230" s="288">
        <f>C231-7.5</f>
        <v>16542.5</v>
      </c>
      <c r="K230" s="1121" t="s">
        <v>653</v>
      </c>
      <c r="L230" s="1121"/>
      <c r="M230" s="1121"/>
      <c r="N230" s="1121"/>
      <c r="O230" s="1121"/>
      <c r="P230" s="1121"/>
      <c r="Q230" s="1121"/>
      <c r="R230" s="292"/>
      <c r="S230" s="292">
        <f t="shared" si="35"/>
        <v>63.919999999998254</v>
      </c>
      <c r="T230" s="1121"/>
      <c r="U230" s="1121"/>
      <c r="V230" s="1121"/>
      <c r="W230" s="1121"/>
      <c r="X230" s="1121"/>
      <c r="Y230" s="1121"/>
      <c r="Z230" s="1121"/>
      <c r="AA230" s="1121"/>
      <c r="AB230" s="1121"/>
      <c r="AC230" s="1121"/>
      <c r="AD230" s="1121"/>
      <c r="AE230" s="1121"/>
      <c r="AF230" s="1121"/>
      <c r="AG230" s="288"/>
      <c r="AH230" s="1121"/>
      <c r="AI230" s="289"/>
      <c r="AJ230" s="1121"/>
      <c r="AK230" s="1121"/>
      <c r="AL230" s="1121"/>
      <c r="AM230" s="1121"/>
      <c r="AN230" s="315"/>
      <c r="AO230" s="315"/>
      <c r="AP230" s="315"/>
      <c r="AQ230" s="315">
        <f>+FL_2($T$231,$T$229,$G$230,1200,9.28, 1*$F$231)</f>
        <v>-0.47329293799999983</v>
      </c>
      <c r="AR230" s="315"/>
      <c r="AS230" s="315"/>
      <c r="AT230" s="315"/>
      <c r="AU230" s="315"/>
      <c r="AV230" s="315"/>
      <c r="AW230" s="315" t="s">
        <v>2631</v>
      </c>
      <c r="AX230" s="315" t="s">
        <v>1639</v>
      </c>
      <c r="AY230" s="315"/>
      <c r="AZ230" s="315">
        <v>2.5</v>
      </c>
      <c r="BA230" s="315"/>
      <c r="BB230" s="306"/>
    </row>
    <row r="231" spans="1:54" ht="14.25">
      <c r="A231" s="340"/>
      <c r="B231" s="287" t="s">
        <v>2348</v>
      </c>
      <c r="C231" s="288">
        <f>+$C$229+$G$230</f>
        <v>16550</v>
      </c>
      <c r="D231" s="334"/>
      <c r="E231" s="1121"/>
      <c r="F231" s="289">
        <v>0</v>
      </c>
      <c r="G231" s="292"/>
      <c r="H231" s="1121" t="s">
        <v>138</v>
      </c>
      <c r="I231" s="294" t="s">
        <v>2718</v>
      </c>
      <c r="J231" s="288"/>
      <c r="K231" s="1121"/>
      <c r="L231" s="1121" t="s">
        <v>1061</v>
      </c>
      <c r="M231" s="1121" t="s">
        <v>2672</v>
      </c>
      <c r="N231" s="1121" t="s">
        <v>145</v>
      </c>
      <c r="O231" s="1121"/>
      <c r="P231" s="1121"/>
      <c r="Q231" s="1121">
        <v>0</v>
      </c>
      <c r="R231" s="289">
        <v>0</v>
      </c>
      <c r="S231" s="292"/>
      <c r="T231" s="1121">
        <v>35</v>
      </c>
      <c r="U231" s="1121"/>
      <c r="V231" s="1121"/>
      <c r="W231" s="1121">
        <v>1.4</v>
      </c>
      <c r="X231" s="1121"/>
      <c r="Y231" s="1121"/>
      <c r="Z231" s="1121"/>
      <c r="AA231" s="1121"/>
      <c r="AB231" s="1121"/>
      <c r="AC231" s="1121" t="s">
        <v>1704</v>
      </c>
      <c r="AD231" s="1121"/>
      <c r="AE231" s="1121"/>
      <c r="AF231" s="1121">
        <v>6000</v>
      </c>
      <c r="AG231" s="288">
        <v>16548.75</v>
      </c>
      <c r="AH231" s="1121">
        <v>2290</v>
      </c>
      <c r="AI231" s="289">
        <v>594</v>
      </c>
      <c r="AJ231" s="1121"/>
      <c r="AK231" s="1121"/>
      <c r="AL231" s="1121"/>
      <c r="AM231" s="1121" t="s">
        <v>1228</v>
      </c>
      <c r="AN231" s="315">
        <v>5.5</v>
      </c>
      <c r="AO231" s="315"/>
      <c r="AP231" s="315"/>
      <c r="AQ231" s="315"/>
      <c r="AR231" s="315"/>
      <c r="AS231" s="315"/>
      <c r="AT231" s="315">
        <f>+ab($T$231,$T$229,$T$233,$G$230,$G$232, 1*$F$231,1200)</f>
        <v>10.127434423295197</v>
      </c>
      <c r="AU231" s="315"/>
      <c r="AV231" s="315"/>
      <c r="AW231" s="315" t="s">
        <v>2631</v>
      </c>
      <c r="AX231" s="315" t="s">
        <v>1639</v>
      </c>
      <c r="AY231" s="315">
        <v>3.4</v>
      </c>
      <c r="AZ231" s="315"/>
      <c r="BA231" s="315"/>
      <c r="BB231" s="306"/>
    </row>
    <row r="232" spans="1:54" ht="14.25">
      <c r="A232" s="340"/>
      <c r="B232" s="287"/>
      <c r="C232" s="288"/>
      <c r="D232" s="334"/>
      <c r="E232" s="1121"/>
      <c r="F232" s="289"/>
      <c r="G232" s="292">
        <v>64</v>
      </c>
      <c r="H232" s="291"/>
      <c r="I232" s="294"/>
      <c r="J232" s="288"/>
      <c r="K232" s="1121"/>
      <c r="L232" s="1121"/>
      <c r="M232" s="1121"/>
      <c r="N232" s="1121"/>
      <c r="O232" s="1121"/>
      <c r="P232" s="1121"/>
      <c r="Q232" s="1121"/>
      <c r="R232" s="292"/>
      <c r="S232" s="292">
        <f t="shared" si="35"/>
        <v>64.040000000000873</v>
      </c>
      <c r="T232" s="1121"/>
      <c r="U232" s="1121"/>
      <c r="V232" s="1121"/>
      <c r="W232" s="1121"/>
      <c r="X232" s="1121"/>
      <c r="Y232" s="1121"/>
      <c r="Z232" s="1121"/>
      <c r="AA232" s="1121"/>
      <c r="AB232" s="1121"/>
      <c r="AC232" s="1121"/>
      <c r="AD232" s="1121"/>
      <c r="AE232" s="1121"/>
      <c r="AF232" s="1121"/>
      <c r="AG232" s="288" t="s">
        <v>695</v>
      </c>
      <c r="AH232" s="1121" t="s">
        <v>695</v>
      </c>
      <c r="AI232" s="289"/>
      <c r="AJ232" s="1121"/>
      <c r="AK232" s="1121"/>
      <c r="AL232" s="1121"/>
      <c r="AM232" s="1121"/>
      <c r="AN232" s="315"/>
      <c r="AO232" s="315"/>
      <c r="AP232" s="315"/>
      <c r="AQ232" s="315">
        <f>+FL_1($U$233,$T$231,$G$232,1200,9.28, 1*$F$233)</f>
        <v>0.47329293799999983</v>
      </c>
      <c r="AR232" s="315"/>
      <c r="AS232" s="315"/>
      <c r="AT232" s="315"/>
      <c r="AU232" s="315"/>
      <c r="AV232" s="315"/>
      <c r="AW232" s="315"/>
      <c r="AX232" s="315"/>
      <c r="AY232" s="315"/>
      <c r="AZ232" s="315"/>
      <c r="BA232" s="315"/>
      <c r="BB232" s="306"/>
    </row>
    <row r="233" spans="1:54" ht="14.25">
      <c r="A233" s="340"/>
      <c r="B233" s="287" t="s">
        <v>2349</v>
      </c>
      <c r="C233" s="288">
        <f>+$C$231+$G$232</f>
        <v>16614</v>
      </c>
      <c r="D233" s="334"/>
      <c r="E233" s="1121"/>
      <c r="F233" s="289">
        <v>0</v>
      </c>
      <c r="G233" s="292"/>
      <c r="H233" s="291" t="s">
        <v>651</v>
      </c>
      <c r="I233" s="294"/>
      <c r="J233" s="288"/>
      <c r="K233" s="1121"/>
      <c r="L233" s="1121" t="s">
        <v>231</v>
      </c>
      <c r="M233" s="1121" t="s">
        <v>2672</v>
      </c>
      <c r="N233" s="1121" t="s">
        <v>140</v>
      </c>
      <c r="O233" s="1121" t="s">
        <v>144</v>
      </c>
      <c r="P233" s="1121"/>
      <c r="Q233" s="1121">
        <v>0</v>
      </c>
      <c r="R233" s="289">
        <v>0</v>
      </c>
      <c r="S233" s="292"/>
      <c r="T233" s="1121">
        <v>-15</v>
      </c>
      <c r="U233" s="1121">
        <v>-35</v>
      </c>
      <c r="V233" s="1121"/>
      <c r="W233" s="1121">
        <v>1.4</v>
      </c>
      <c r="X233" s="1121">
        <v>2.2999999999999998</v>
      </c>
      <c r="Y233" s="1121"/>
      <c r="Z233" s="1121">
        <v>0.6</v>
      </c>
      <c r="AA233" s="1121"/>
      <c r="AB233" s="1121"/>
      <c r="AC233" s="1121"/>
      <c r="AD233" s="1121" t="s">
        <v>1704</v>
      </c>
      <c r="AE233" s="1121"/>
      <c r="AF233" s="1121">
        <v>6000</v>
      </c>
      <c r="AG233" s="288">
        <v>16612.79</v>
      </c>
      <c r="AH233" s="1121">
        <v>2262</v>
      </c>
      <c r="AI233" s="289">
        <v>609</v>
      </c>
      <c r="AJ233" s="1121"/>
      <c r="AK233" s="1121"/>
      <c r="AL233" s="1121"/>
      <c r="AM233" s="1121" t="s">
        <v>1228</v>
      </c>
      <c r="AN233" s="315">
        <v>5.5</v>
      </c>
      <c r="AO233" s="315"/>
      <c r="AP233" s="315"/>
      <c r="AQ233" s="315"/>
      <c r="AR233" s="315"/>
      <c r="AS233" s="315"/>
      <c r="AT233" s="315">
        <f>+ab($U$233,$T$231,$U$235,$G$232,$G$234, 1*$F$233,1200)</f>
        <v>-10.127502129069265</v>
      </c>
      <c r="AU233" s="315"/>
      <c r="AV233" s="315"/>
      <c r="AW233" s="315" t="s">
        <v>2631</v>
      </c>
      <c r="AX233" s="315" t="s">
        <v>1639</v>
      </c>
      <c r="AY233" s="315">
        <v>3.4</v>
      </c>
      <c r="AZ233" s="315"/>
      <c r="BA233" s="315"/>
      <c r="BB233" s="306"/>
    </row>
    <row r="234" spans="1:54" ht="14.25">
      <c r="A234" s="340"/>
      <c r="B234" s="287"/>
      <c r="C234" s="288"/>
      <c r="D234" s="334"/>
      <c r="E234" s="1121"/>
      <c r="F234" s="289"/>
      <c r="G234" s="292">
        <v>64</v>
      </c>
      <c r="H234" s="291"/>
      <c r="I234" s="294"/>
      <c r="J234" s="288"/>
      <c r="K234" s="1121"/>
      <c r="L234" s="1121"/>
      <c r="M234" s="1121"/>
      <c r="N234" s="1121"/>
      <c r="O234" s="1121"/>
      <c r="P234" s="1121"/>
      <c r="Q234" s="1121"/>
      <c r="R234" s="292"/>
      <c r="S234" s="292">
        <f t="shared" si="35"/>
        <v>64.009999999998399</v>
      </c>
      <c r="T234" s="1121"/>
      <c r="U234" s="1121"/>
      <c r="V234" s="1121"/>
      <c r="W234" s="1121"/>
      <c r="X234" s="1121"/>
      <c r="Y234" s="1121"/>
      <c r="Z234" s="1121"/>
      <c r="AA234" s="1121"/>
      <c r="AB234" s="1121"/>
      <c r="AC234" s="1121"/>
      <c r="AD234" s="1121"/>
      <c r="AE234" s="1121"/>
      <c r="AF234" s="1121"/>
      <c r="AG234" s="288"/>
      <c r="AH234" s="1121"/>
      <c r="AI234" s="289"/>
      <c r="AJ234" s="1121"/>
      <c r="AK234" s="1121"/>
      <c r="AL234" s="1121"/>
      <c r="AM234" s="1121"/>
      <c r="AN234" s="315"/>
      <c r="AO234" s="315"/>
      <c r="AP234" s="315"/>
      <c r="AQ234" s="315">
        <f>+FL_2($T$235,$U$233,$G$234,1200,9.28, 1*$F$235)</f>
        <v>-0.47329293799999983</v>
      </c>
      <c r="AR234" s="315"/>
      <c r="AS234" s="315"/>
      <c r="AT234" s="315"/>
      <c r="AU234" s="315"/>
      <c r="AV234" s="315"/>
      <c r="AW234" s="315"/>
      <c r="AX234" s="315"/>
      <c r="AY234" s="315"/>
      <c r="AZ234" s="315"/>
      <c r="BA234" s="315"/>
      <c r="BB234" s="306"/>
    </row>
    <row r="235" spans="1:54" ht="14.25">
      <c r="A235" s="340"/>
      <c r="B235" s="287" t="s">
        <v>2350</v>
      </c>
      <c r="C235" s="288">
        <f>+$C$233+$G$234</f>
        <v>16678</v>
      </c>
      <c r="D235" s="334"/>
      <c r="E235" s="1121"/>
      <c r="F235" s="289">
        <v>0</v>
      </c>
      <c r="G235" s="292"/>
      <c r="H235" s="291" t="s">
        <v>651</v>
      </c>
      <c r="I235" s="294"/>
      <c r="J235" s="288"/>
      <c r="K235" s="1121"/>
      <c r="L235" s="1121" t="s">
        <v>231</v>
      </c>
      <c r="M235" s="1121" t="s">
        <v>2672</v>
      </c>
      <c r="N235" s="1121" t="s">
        <v>145</v>
      </c>
      <c r="O235" s="1121" t="s">
        <v>140</v>
      </c>
      <c r="P235" s="1121"/>
      <c r="Q235" s="1121">
        <v>0</v>
      </c>
      <c r="R235" s="289">
        <v>0</v>
      </c>
      <c r="S235" s="292"/>
      <c r="T235" s="1121">
        <v>35</v>
      </c>
      <c r="U235" s="1121">
        <v>15</v>
      </c>
      <c r="V235" s="1121"/>
      <c r="W235" s="1121">
        <v>1.4</v>
      </c>
      <c r="X235" s="1121">
        <v>2.2999999999999998</v>
      </c>
      <c r="Y235" s="1121"/>
      <c r="Z235" s="1121"/>
      <c r="AA235" s="1121">
        <v>0.6</v>
      </c>
      <c r="AB235" s="1121"/>
      <c r="AC235" s="1121" t="s">
        <v>1704</v>
      </c>
      <c r="AD235" s="1121"/>
      <c r="AE235" s="1121"/>
      <c r="AF235" s="1121">
        <v>6000</v>
      </c>
      <c r="AG235" s="288">
        <v>16676.8</v>
      </c>
      <c r="AH235" s="1121">
        <v>2598</v>
      </c>
      <c r="AI235" s="289">
        <v>688</v>
      </c>
      <c r="AJ235" s="1121"/>
      <c r="AK235" s="1121"/>
      <c r="AL235" s="1121"/>
      <c r="AM235" s="1121" t="s">
        <v>1228</v>
      </c>
      <c r="AN235" s="315">
        <v>5.5</v>
      </c>
      <c r="AO235" s="315"/>
      <c r="AP235" s="315"/>
      <c r="AQ235" s="315"/>
      <c r="AR235" s="315"/>
      <c r="AS235" s="315"/>
      <c r="AT235" s="315">
        <f>+ab($T$235,$T$233,$T$237,$G$234,$G$236, 1*$F$235,1200)</f>
        <v>10.127434423295197</v>
      </c>
      <c r="AU235" s="315"/>
      <c r="AV235" s="315"/>
      <c r="AW235" s="315" t="s">
        <v>2631</v>
      </c>
      <c r="AX235" s="315" t="s">
        <v>1639</v>
      </c>
      <c r="AY235" s="315">
        <v>3.4</v>
      </c>
      <c r="AZ235" s="315"/>
      <c r="BA235" s="315"/>
      <c r="BB235" s="306"/>
    </row>
    <row r="236" spans="1:54" ht="14.25">
      <c r="A236" s="340"/>
      <c r="B236" s="287"/>
      <c r="C236" s="288"/>
      <c r="D236" s="334"/>
      <c r="E236" s="1121"/>
      <c r="F236" s="289"/>
      <c r="G236" s="292">
        <v>64</v>
      </c>
      <c r="H236" s="291"/>
      <c r="I236" s="294"/>
      <c r="J236" s="288"/>
      <c r="K236" s="1121"/>
      <c r="L236" s="1121"/>
      <c r="M236" s="1121"/>
      <c r="N236" s="1121"/>
      <c r="O236" s="1121"/>
      <c r="P236" s="1121"/>
      <c r="Q236" s="1121"/>
      <c r="R236" s="292"/>
      <c r="S236" s="292">
        <f t="shared" si="35"/>
        <v>62.330000000001746</v>
      </c>
      <c r="T236" s="1121"/>
      <c r="U236" s="1121"/>
      <c r="V236" s="1121"/>
      <c r="W236" s="1121"/>
      <c r="X236" s="1121"/>
      <c r="Y236" s="1121"/>
      <c r="Z236" s="1121"/>
      <c r="AA236" s="1121"/>
      <c r="AB236" s="1121"/>
      <c r="AC236" s="1121"/>
      <c r="AD236" s="1121"/>
      <c r="AE236" s="1121"/>
      <c r="AF236" s="1121"/>
      <c r="AG236" s="288"/>
      <c r="AH236" s="1121"/>
      <c r="AI236" s="289"/>
      <c r="AJ236" s="1121"/>
      <c r="AK236" s="1121"/>
      <c r="AL236" s="1121"/>
      <c r="AM236" s="1121"/>
      <c r="AN236" s="315"/>
      <c r="AO236" s="315"/>
      <c r="AP236" s="315"/>
      <c r="AQ236" s="315">
        <f>+FL_1($T$237,$T$235,$G$236,1200,9.28, 1*$F$237)</f>
        <v>0.47329293799999983</v>
      </c>
      <c r="AR236" s="315"/>
      <c r="AS236" s="315"/>
      <c r="AT236" s="315"/>
      <c r="AU236" s="315"/>
      <c r="AV236" s="315"/>
      <c r="AW236" s="315"/>
      <c r="AX236" s="315"/>
      <c r="AY236" s="315"/>
      <c r="AZ236" s="315"/>
      <c r="BA236" s="315"/>
      <c r="BB236" s="306"/>
    </row>
    <row r="237" spans="1:54" ht="14.25">
      <c r="A237" s="340"/>
      <c r="B237" s="287" t="s">
        <v>2351</v>
      </c>
      <c r="C237" s="288">
        <f>+$C$235+$G$236</f>
        <v>16742</v>
      </c>
      <c r="D237" s="334"/>
      <c r="E237" s="1121"/>
      <c r="F237" s="289">
        <v>0</v>
      </c>
      <c r="G237" s="292"/>
      <c r="H237" s="291" t="s">
        <v>138</v>
      </c>
      <c r="I237" s="294" t="s">
        <v>656</v>
      </c>
      <c r="J237" s="288"/>
      <c r="K237" s="1121"/>
      <c r="L237" s="1121" t="s">
        <v>1061</v>
      </c>
      <c r="M237" s="1121" t="s">
        <v>2672</v>
      </c>
      <c r="N237" s="1121" t="s">
        <v>144</v>
      </c>
      <c r="O237" s="1121"/>
      <c r="P237" s="1121"/>
      <c r="Q237" s="1121">
        <v>0</v>
      </c>
      <c r="R237" s="289">
        <v>0</v>
      </c>
      <c r="S237" s="292"/>
      <c r="T237" s="1121">
        <v>-35</v>
      </c>
      <c r="U237" s="1121"/>
      <c r="V237" s="1121"/>
      <c r="W237" s="1121">
        <v>1.4</v>
      </c>
      <c r="X237" s="1121"/>
      <c r="Y237" s="1121"/>
      <c r="Z237" s="1121"/>
      <c r="AA237" s="1121"/>
      <c r="AB237" s="1121"/>
      <c r="AC237" s="1121" t="s">
        <v>1702</v>
      </c>
      <c r="AD237" s="1121"/>
      <c r="AE237" s="1121"/>
      <c r="AF237" s="1121">
        <v>6000</v>
      </c>
      <c r="AG237" s="288">
        <v>16739.13</v>
      </c>
      <c r="AH237" s="1121">
        <v>2091</v>
      </c>
      <c r="AI237" s="289">
        <v>651</v>
      </c>
      <c r="AJ237" s="1121"/>
      <c r="AK237" s="1121"/>
      <c r="AL237" s="1121"/>
      <c r="AM237" s="1121" t="s">
        <v>1228</v>
      </c>
      <c r="AN237" s="315">
        <v>5.5</v>
      </c>
      <c r="AO237" s="315"/>
      <c r="AP237" s="315"/>
      <c r="AQ237" s="315"/>
      <c r="AR237" s="315"/>
      <c r="AS237" s="315"/>
      <c r="AT237" s="315">
        <f>+ab($T$237,$T$235,$T$239,$G$236,$G$238, 1*$F$237,1200)</f>
        <v>-8.6736441563388844</v>
      </c>
      <c r="AU237" s="315"/>
      <c r="AV237" s="315"/>
      <c r="AW237" s="315" t="s">
        <v>2631</v>
      </c>
      <c r="AX237" s="315" t="s">
        <v>1639</v>
      </c>
      <c r="AY237" s="315">
        <v>3.4</v>
      </c>
      <c r="AZ237" s="315"/>
      <c r="BA237" s="315"/>
      <c r="BB237" s="306"/>
    </row>
    <row r="238" spans="1:54" ht="14.25">
      <c r="A238" s="340"/>
      <c r="B238" s="287"/>
      <c r="C238" s="288"/>
      <c r="D238" s="334"/>
      <c r="E238" s="1121"/>
      <c r="F238" s="289"/>
      <c r="G238" s="292">
        <v>59</v>
      </c>
      <c r="H238" s="291"/>
      <c r="I238" s="291"/>
      <c r="J238" s="288">
        <f>C237+7.5</f>
        <v>16749.5</v>
      </c>
      <c r="K238" s="1121" t="s">
        <v>653</v>
      </c>
      <c r="L238" s="1121"/>
      <c r="M238" s="1121"/>
      <c r="N238" s="1121"/>
      <c r="O238" s="1121"/>
      <c r="P238" s="1121"/>
      <c r="Q238" s="1121"/>
      <c r="R238" s="292"/>
      <c r="S238" s="292">
        <f t="shared" si="35"/>
        <v>58.840000000000146</v>
      </c>
      <c r="T238" s="1121"/>
      <c r="U238" s="1121"/>
      <c r="V238" s="1121"/>
      <c r="W238" s="1121"/>
      <c r="X238" s="1121"/>
      <c r="Y238" s="1121"/>
      <c r="Z238" s="1121"/>
      <c r="AA238" s="1121"/>
      <c r="AB238" s="1121"/>
      <c r="AC238" s="1121"/>
      <c r="AD238" s="1121"/>
      <c r="AE238" s="1121"/>
      <c r="AF238" s="1121"/>
      <c r="AG238" s="288"/>
      <c r="AH238" s="1121"/>
      <c r="AI238" s="289"/>
      <c r="AJ238" s="1121"/>
      <c r="AK238" s="1121"/>
      <c r="AL238" s="1121"/>
      <c r="AM238" s="1121"/>
      <c r="AN238" s="315"/>
      <c r="AO238" s="315"/>
      <c r="AP238" s="315"/>
      <c r="AQ238" s="315">
        <f>+FL_1($T$239,$T$237,$G$238,1200,9.28, 1*$F$239)</f>
        <v>0.42006762843949996</v>
      </c>
      <c r="AR238" s="315"/>
      <c r="AS238" s="315"/>
      <c r="AT238" s="315"/>
      <c r="AU238" s="315"/>
      <c r="AV238" s="315"/>
      <c r="AW238" s="315" t="s">
        <v>2631</v>
      </c>
      <c r="AX238" s="315" t="s">
        <v>1639</v>
      </c>
      <c r="AY238" s="315"/>
      <c r="AZ238" s="315">
        <v>2.5</v>
      </c>
      <c r="BA238" s="315"/>
      <c r="BB238" s="306"/>
    </row>
    <row r="239" spans="1:54" ht="14.25">
      <c r="A239" s="340"/>
      <c r="B239" s="287" t="s">
        <v>2352</v>
      </c>
      <c r="C239" s="288">
        <f>+$C$237+$G$238</f>
        <v>16801</v>
      </c>
      <c r="D239" s="334"/>
      <c r="E239" s="1121"/>
      <c r="F239" s="289">
        <f>150*-1600/(C239-16780)</f>
        <v>-11428.571428571429</v>
      </c>
      <c r="G239" s="292"/>
      <c r="H239" s="291"/>
      <c r="I239" s="294"/>
      <c r="J239" s="288"/>
      <c r="K239" s="1121"/>
      <c r="L239" s="1121" t="s">
        <v>230</v>
      </c>
      <c r="M239" s="1121" t="s">
        <v>2671</v>
      </c>
      <c r="N239" s="1121" t="s">
        <v>145</v>
      </c>
      <c r="O239" s="1121"/>
      <c r="P239" s="1121"/>
      <c r="Q239" s="1121">
        <v>9</v>
      </c>
      <c r="R239" s="292">
        <v>-12688</v>
      </c>
      <c r="S239" s="292"/>
      <c r="T239" s="1121">
        <v>30</v>
      </c>
      <c r="U239" s="1121"/>
      <c r="V239" s="1121"/>
      <c r="W239" s="1121">
        <v>1.4</v>
      </c>
      <c r="X239" s="1121"/>
      <c r="Y239" s="1121"/>
      <c r="Z239" s="1121"/>
      <c r="AA239" s="1121"/>
      <c r="AB239" s="1121"/>
      <c r="AC239" s="1121" t="s">
        <v>1704</v>
      </c>
      <c r="AD239" s="1121"/>
      <c r="AE239" s="1121"/>
      <c r="AF239" s="1121">
        <v>6000</v>
      </c>
      <c r="AG239" s="288">
        <v>16797.97</v>
      </c>
      <c r="AH239" s="1121">
        <v>2220</v>
      </c>
      <c r="AI239" s="289">
        <v>647</v>
      </c>
      <c r="AJ239" s="1121"/>
      <c r="AK239" s="1121"/>
      <c r="AL239" s="1121"/>
      <c r="AM239" s="1121" t="s">
        <v>1228</v>
      </c>
      <c r="AN239" s="315">
        <v>5.5</v>
      </c>
      <c r="AO239" s="315"/>
      <c r="AP239" s="315"/>
      <c r="AQ239" s="315"/>
      <c r="AR239" s="315"/>
      <c r="AS239" s="315"/>
      <c r="AT239" s="315">
        <f>+ab($T$239,$T$237,$T$241,$G$238,$G$240, 1*$F$239,1200)</f>
        <v>12.321908661499011</v>
      </c>
      <c r="AU239" s="315"/>
      <c r="AV239" s="315"/>
      <c r="AW239" s="315" t="s">
        <v>2631</v>
      </c>
      <c r="AX239" s="315" t="s">
        <v>1639</v>
      </c>
      <c r="AY239" s="315">
        <v>3.4</v>
      </c>
      <c r="AZ239" s="315"/>
      <c r="BA239" s="315"/>
      <c r="BB239" s="306"/>
    </row>
    <row r="240" spans="1:54" ht="14.25">
      <c r="A240" s="340"/>
      <c r="B240" s="287"/>
      <c r="C240" s="288"/>
      <c r="D240" s="334"/>
      <c r="E240" s="1121"/>
      <c r="F240" s="289"/>
      <c r="G240" s="292">
        <v>54</v>
      </c>
      <c r="H240" s="291"/>
      <c r="I240" s="294"/>
      <c r="J240" s="288"/>
      <c r="K240" s="1121"/>
      <c r="L240" s="1121"/>
      <c r="M240" s="1121"/>
      <c r="N240" s="1121"/>
      <c r="O240" s="1121"/>
      <c r="P240" s="1121"/>
      <c r="Q240" s="1121"/>
      <c r="R240" s="292"/>
      <c r="S240" s="292">
        <f t="shared" si="35"/>
        <v>55.829999999998108</v>
      </c>
      <c r="T240" s="1121"/>
      <c r="U240" s="1121"/>
      <c r="V240" s="1121"/>
      <c r="W240" s="1121"/>
      <c r="X240" s="1121"/>
      <c r="Y240" s="1121"/>
      <c r="Z240" s="1121"/>
      <c r="AA240" s="1121"/>
      <c r="AB240" s="1121"/>
      <c r="AC240" s="1121"/>
      <c r="AD240" s="1121"/>
      <c r="AE240" s="1121"/>
      <c r="AF240" s="1121"/>
      <c r="AG240" s="288"/>
      <c r="AH240" s="1121"/>
      <c r="AI240" s="289"/>
      <c r="AJ240" s="1121"/>
      <c r="AK240" s="1121"/>
      <c r="AL240" s="1121"/>
      <c r="AM240" s="1121"/>
      <c r="AN240" s="315"/>
      <c r="AO240" s="315"/>
      <c r="AP240" s="315"/>
      <c r="AQ240" s="315">
        <f>+FL_1($T$241,$T$239,$G$240,1200,9.28, 1*$F$241)</f>
        <v>0.48526626904078585</v>
      </c>
      <c r="AR240" s="315"/>
      <c r="AS240" s="315"/>
      <c r="AT240" s="315"/>
      <c r="AU240" s="315"/>
      <c r="AV240" s="315"/>
      <c r="AW240" s="315"/>
      <c r="AX240" s="315"/>
      <c r="AY240" s="315"/>
      <c r="AZ240" s="315"/>
      <c r="BA240" s="315"/>
      <c r="BB240" s="306"/>
    </row>
    <row r="241" spans="1:54" ht="14.25">
      <c r="A241" s="340"/>
      <c r="B241" s="287" t="s">
        <v>2353</v>
      </c>
      <c r="C241" s="288">
        <f>+$C$239+$G$240</f>
        <v>16855</v>
      </c>
      <c r="D241" s="334"/>
      <c r="E241" s="1121"/>
      <c r="F241" s="289">
        <f t="shared" ref="F241" si="36">150*-1600/(C241-16780)</f>
        <v>-3200</v>
      </c>
      <c r="G241" s="292"/>
      <c r="H241" s="291"/>
      <c r="I241" s="294"/>
      <c r="J241" s="288"/>
      <c r="K241" s="1121"/>
      <c r="L241" s="1121" t="s">
        <v>230</v>
      </c>
      <c r="M241" s="1121" t="s">
        <v>2671</v>
      </c>
      <c r="N241" s="1121" t="s">
        <v>144</v>
      </c>
      <c r="O241" s="1121"/>
      <c r="P241" s="1121"/>
      <c r="Q241" s="1121">
        <v>55</v>
      </c>
      <c r="R241" s="292">
        <v>-3131</v>
      </c>
      <c r="S241" s="292"/>
      <c r="T241" s="1121">
        <v>-20</v>
      </c>
      <c r="U241" s="1121"/>
      <c r="V241" s="1121"/>
      <c r="W241" s="1121">
        <v>1.4</v>
      </c>
      <c r="X241" s="1121"/>
      <c r="Y241" s="1121"/>
      <c r="Z241" s="1121"/>
      <c r="AA241" s="1121"/>
      <c r="AB241" s="1121"/>
      <c r="AC241" s="1121" t="s">
        <v>2963</v>
      </c>
      <c r="AD241" s="1121"/>
      <c r="AE241" s="1121"/>
      <c r="AF241" s="1121">
        <v>6000</v>
      </c>
      <c r="AG241" s="288">
        <v>16853.8</v>
      </c>
      <c r="AH241" s="1121">
        <v>2619</v>
      </c>
      <c r="AI241" s="289">
        <v>663</v>
      </c>
      <c r="AJ241" s="1121"/>
      <c r="AK241" s="1121"/>
      <c r="AL241" s="1121"/>
      <c r="AM241" s="1121" t="s">
        <v>1228</v>
      </c>
      <c r="AN241" s="315">
        <v>5.5</v>
      </c>
      <c r="AO241" s="315"/>
      <c r="AP241" s="315"/>
      <c r="AQ241" s="315"/>
      <c r="AR241" s="315"/>
      <c r="AS241" s="315"/>
      <c r="AT241" s="315">
        <f>+ab($T$241,$T$239,$T$243,$G$240,$G$242, 1*$F$241,1200)</f>
        <v>-7.9774713183493775</v>
      </c>
      <c r="AU241" s="315"/>
      <c r="AV241" s="315"/>
      <c r="AW241" s="315" t="s">
        <v>2631</v>
      </c>
      <c r="AX241" s="315" t="s">
        <v>1639</v>
      </c>
      <c r="AY241" s="315">
        <v>3.4</v>
      </c>
      <c r="AZ241" s="315"/>
      <c r="BA241" s="315"/>
      <c r="BB241" s="306"/>
    </row>
    <row r="242" spans="1:54" ht="14.25">
      <c r="A242" s="340"/>
      <c r="B242" s="287"/>
      <c r="C242" s="288"/>
      <c r="D242" s="334"/>
      <c r="E242" s="1121"/>
      <c r="F242" s="289"/>
      <c r="G242" s="292">
        <v>52</v>
      </c>
      <c r="H242" s="291"/>
      <c r="I242" s="294"/>
      <c r="J242" s="288"/>
      <c r="K242" s="1121"/>
      <c r="L242" s="1121"/>
      <c r="M242" s="1121"/>
      <c r="N242" s="1121"/>
      <c r="O242" s="1121"/>
      <c r="P242" s="1121"/>
      <c r="Q242" s="1121"/>
      <c r="R242" s="292"/>
      <c r="S242" s="292">
        <f t="shared" si="35"/>
        <v>52.110000000000582</v>
      </c>
      <c r="T242" s="1121"/>
      <c r="U242" s="1121"/>
      <c r="V242" s="1121"/>
      <c r="W242" s="1121"/>
      <c r="X242" s="1121"/>
      <c r="Y242" s="1121"/>
      <c r="Z242" s="1121"/>
      <c r="AA242" s="1121"/>
      <c r="AB242" s="1121"/>
      <c r="AC242" s="1121"/>
      <c r="AD242" s="1121"/>
      <c r="AE242" s="1121"/>
      <c r="AF242" s="1121"/>
      <c r="AG242" s="288"/>
      <c r="AH242" s="1121"/>
      <c r="AI242" s="289"/>
      <c r="AJ242" s="1121"/>
      <c r="AK242" s="1121"/>
      <c r="AL242" s="1121"/>
      <c r="AM242" s="1121"/>
      <c r="AN242" s="315"/>
      <c r="AO242" s="315"/>
      <c r="AP242" s="315"/>
      <c r="AQ242" s="315">
        <f>+FL_2($T$243,$T$241,$G$242,1200,9.28, 1*$F$243)</f>
        <v>-0.34009450698778221</v>
      </c>
      <c r="AR242" s="315"/>
      <c r="AS242" s="315"/>
      <c r="AT242" s="315"/>
      <c r="AU242" s="315"/>
      <c r="AV242" s="315"/>
      <c r="AW242" s="315"/>
      <c r="AX242" s="315"/>
      <c r="AY242" s="315"/>
      <c r="AZ242" s="315"/>
      <c r="BA242" s="315"/>
      <c r="BB242" s="306"/>
    </row>
    <row r="243" spans="1:54" ht="14.25">
      <c r="A243" s="340"/>
      <c r="B243" s="287" t="s">
        <v>2354</v>
      </c>
      <c r="C243" s="288">
        <f>+$C$241+$G$242</f>
        <v>16907</v>
      </c>
      <c r="D243" s="334"/>
      <c r="E243" s="1121"/>
      <c r="F243" s="289">
        <f t="shared" ref="F243" si="37">150*-1600/(C243-16780)</f>
        <v>-1889.7637795275591</v>
      </c>
      <c r="G243" s="292"/>
      <c r="H243" s="291"/>
      <c r="I243" s="294"/>
      <c r="J243" s="288"/>
      <c r="K243" s="1121"/>
      <c r="L243" s="1121" t="s">
        <v>231</v>
      </c>
      <c r="M243" s="1121" t="s">
        <v>2672</v>
      </c>
      <c r="N243" s="1121" t="s">
        <v>144</v>
      </c>
      <c r="O243" s="1121"/>
      <c r="P243" s="1121"/>
      <c r="Q243" s="1121">
        <v>88</v>
      </c>
      <c r="R243" s="292">
        <v>-1700</v>
      </c>
      <c r="S243" s="292"/>
      <c r="T243" s="1121">
        <v>-30</v>
      </c>
      <c r="U243" s="1121"/>
      <c r="V243" s="1121"/>
      <c r="W243" s="1121">
        <v>1.4</v>
      </c>
      <c r="X243" s="1121"/>
      <c r="Y243" s="1121"/>
      <c r="Z243" s="1121"/>
      <c r="AA243" s="1121"/>
      <c r="AB243" s="1121"/>
      <c r="AC243" s="1121" t="s">
        <v>2963</v>
      </c>
      <c r="AD243" s="1121"/>
      <c r="AE243" s="1121"/>
      <c r="AF243" s="1121">
        <v>6000</v>
      </c>
      <c r="AG243" s="288">
        <v>16905.91</v>
      </c>
      <c r="AH243" s="1121">
        <v>2633</v>
      </c>
      <c r="AI243" s="289">
        <v>625</v>
      </c>
      <c r="AJ243" s="1121"/>
      <c r="AK243" s="1121"/>
      <c r="AL243" s="1121"/>
      <c r="AM243" s="1121" t="s">
        <v>1228</v>
      </c>
      <c r="AN243" s="315">
        <v>5.5</v>
      </c>
      <c r="AO243" s="315"/>
      <c r="AP243" s="315"/>
      <c r="AQ243" s="315"/>
      <c r="AR243" s="315"/>
      <c r="AS243" s="315"/>
      <c r="AT243" s="315">
        <f>+ab($T$243,$T$241,$T$245,$G$242,$G$244, 1*$F$243,1200)</f>
        <v>-6.4902468444334467</v>
      </c>
      <c r="AU243" s="315"/>
      <c r="AV243" s="315"/>
      <c r="AW243" s="315" t="s">
        <v>2631</v>
      </c>
      <c r="AX243" s="315" t="s">
        <v>1639</v>
      </c>
      <c r="AY243" s="315">
        <v>3.4</v>
      </c>
      <c r="AZ243" s="315"/>
      <c r="BA243" s="315"/>
      <c r="BB243" s="306"/>
    </row>
    <row r="244" spans="1:54" ht="14.25">
      <c r="A244" s="340"/>
      <c r="B244" s="287"/>
      <c r="C244" s="288"/>
      <c r="D244" s="334"/>
      <c r="E244" s="1121"/>
      <c r="F244" s="289"/>
      <c r="G244" s="292">
        <v>52</v>
      </c>
      <c r="H244" s="1121"/>
      <c r="I244" s="289"/>
      <c r="J244" s="288">
        <f>C245-7.5</f>
        <v>16951.5</v>
      </c>
      <c r="K244" s="1121" t="s">
        <v>658</v>
      </c>
      <c r="L244" s="1121"/>
      <c r="M244" s="1121"/>
      <c r="N244" s="1121"/>
      <c r="O244" s="1121"/>
      <c r="P244" s="1121"/>
      <c r="Q244" s="1121"/>
      <c r="R244" s="292"/>
      <c r="S244" s="292">
        <f t="shared" si="35"/>
        <v>52.299999999999272</v>
      </c>
      <c r="T244" s="1121"/>
      <c r="U244" s="1121"/>
      <c r="V244" s="1121"/>
      <c r="W244" s="1121"/>
      <c r="X244" s="1121"/>
      <c r="Y244" s="1121"/>
      <c r="Z244" s="1121"/>
      <c r="AA244" s="1121"/>
      <c r="AB244" s="1121"/>
      <c r="AC244" s="1121"/>
      <c r="AD244" s="1121"/>
      <c r="AE244" s="1121"/>
      <c r="AF244" s="1121"/>
      <c r="AG244" s="288"/>
      <c r="AH244" s="1121"/>
      <c r="AI244" s="289"/>
      <c r="AJ244" s="1121"/>
      <c r="AK244" s="1121"/>
      <c r="AL244" s="1121"/>
      <c r="AM244" s="1121"/>
      <c r="AN244" s="315"/>
      <c r="AO244" s="315"/>
      <c r="AP244" s="315"/>
      <c r="AQ244" s="315">
        <f>+FL_2($T$245,$T$243,$G$244,1200,9.28, 1*$F$245)</f>
        <v>-0.32758442887771644</v>
      </c>
      <c r="AR244" s="315"/>
      <c r="AS244" s="315"/>
      <c r="AT244" s="315"/>
      <c r="AU244" s="315"/>
      <c r="AV244" s="315"/>
      <c r="AW244" s="315" t="s">
        <v>2631</v>
      </c>
      <c r="AX244" s="315" t="s">
        <v>1639</v>
      </c>
      <c r="AY244" s="315"/>
      <c r="AZ244" s="315">
        <v>2.5</v>
      </c>
      <c r="BA244" s="315"/>
      <c r="BB244" s="306"/>
    </row>
    <row r="245" spans="1:54" ht="14.25">
      <c r="A245" s="340"/>
      <c r="B245" s="287" t="s">
        <v>2355</v>
      </c>
      <c r="C245" s="288">
        <f>+$C$243+$G$244</f>
        <v>16959</v>
      </c>
      <c r="D245" s="334"/>
      <c r="E245" s="1121"/>
      <c r="F245" s="289">
        <f>150*-1600/-(C245-17125)</f>
        <v>-1445.7831325301204</v>
      </c>
      <c r="G245" s="292"/>
      <c r="H245" s="291" t="s">
        <v>954</v>
      </c>
      <c r="I245" s="291"/>
      <c r="J245" s="288"/>
      <c r="K245" s="1121"/>
      <c r="L245" s="1121" t="s">
        <v>231</v>
      </c>
      <c r="M245" s="1121" t="s">
        <v>2672</v>
      </c>
      <c r="N245" s="1121" t="s">
        <v>144</v>
      </c>
      <c r="O245" s="1121"/>
      <c r="P245" s="1121"/>
      <c r="Q245" s="1121">
        <v>109</v>
      </c>
      <c r="R245" s="292">
        <v>-1604</v>
      </c>
      <c r="S245" s="292"/>
      <c r="T245" s="1121">
        <v>-30</v>
      </c>
      <c r="U245" s="1121"/>
      <c r="V245" s="1121"/>
      <c r="W245" s="1121">
        <v>1.4</v>
      </c>
      <c r="X245" s="1121"/>
      <c r="Y245" s="1121"/>
      <c r="Z245" s="1121"/>
      <c r="AA245" s="1121"/>
      <c r="AB245" s="1121"/>
      <c r="AC245" s="1121" t="s">
        <v>2963</v>
      </c>
      <c r="AD245" s="1121"/>
      <c r="AE245" s="1121"/>
      <c r="AF245" s="1121">
        <v>6000</v>
      </c>
      <c r="AG245" s="288">
        <v>16958.21</v>
      </c>
      <c r="AH245" s="1121">
        <v>2659</v>
      </c>
      <c r="AI245" s="289">
        <v>486</v>
      </c>
      <c r="AJ245" s="1121"/>
      <c r="AK245" s="1121"/>
      <c r="AL245" s="1121"/>
      <c r="AM245" s="1121" t="s">
        <v>1228</v>
      </c>
      <c r="AN245" s="315">
        <v>5.5</v>
      </c>
      <c r="AO245" s="315"/>
      <c r="AP245" s="315"/>
      <c r="AQ245" s="315"/>
      <c r="AR245" s="315"/>
      <c r="AS245" s="315"/>
      <c r="AT245" s="315">
        <f>+ab($T$245,$T$243,$T$247,$G$244,$G$246, 1*$F$245,1200)</f>
        <v>-5.1239844170167439</v>
      </c>
      <c r="AU245" s="315"/>
      <c r="AV245" s="315"/>
      <c r="AW245" s="315" t="s">
        <v>2631</v>
      </c>
      <c r="AX245" s="315" t="s">
        <v>1639</v>
      </c>
      <c r="AY245" s="315">
        <v>3.4</v>
      </c>
      <c r="AZ245" s="315"/>
      <c r="BA245" s="315"/>
      <c r="BB245" s="306"/>
    </row>
    <row r="246" spans="1:54" ht="14.25">
      <c r="A246" s="340"/>
      <c r="B246" s="340"/>
      <c r="C246" s="288"/>
      <c r="D246" s="334"/>
      <c r="E246" s="1121"/>
      <c r="F246" s="289"/>
      <c r="G246" s="292">
        <v>56</v>
      </c>
      <c r="H246" s="291"/>
      <c r="I246" s="294">
        <f>SUM(G232:G246)</f>
        <v>465</v>
      </c>
      <c r="J246" s="288"/>
      <c r="K246" s="1121"/>
      <c r="L246" s="1121"/>
      <c r="M246" s="1121"/>
      <c r="N246" s="1121"/>
      <c r="O246" s="1121"/>
      <c r="P246" s="1121"/>
      <c r="Q246" s="1121"/>
      <c r="R246" s="292"/>
      <c r="S246" s="292">
        <f t="shared" si="35"/>
        <v>55.709999999999127</v>
      </c>
      <c r="T246" s="1121"/>
      <c r="U246" s="1121"/>
      <c r="V246" s="1121"/>
      <c r="W246" s="1121"/>
      <c r="X246" s="1121"/>
      <c r="Y246" s="1121"/>
      <c r="Z246" s="1121"/>
      <c r="AA246" s="1121"/>
      <c r="AB246" s="1121"/>
      <c r="AC246" s="1121"/>
      <c r="AD246" s="1121"/>
      <c r="AE246" s="1121"/>
      <c r="AF246" s="1121"/>
      <c r="AG246" s="288"/>
      <c r="AH246" s="1121"/>
      <c r="AI246" s="289"/>
      <c r="AJ246" s="1121"/>
      <c r="AK246" s="1121"/>
      <c r="AL246" s="1121"/>
      <c r="AM246" s="1121"/>
      <c r="AN246" s="315"/>
      <c r="AO246" s="315"/>
      <c r="AP246" s="315"/>
      <c r="AQ246" s="315">
        <f>+FL_2($T$247,$T$245,$G$246,1200,9.28, 1*$F$247)</f>
        <v>-0.42347260186519187</v>
      </c>
      <c r="AR246" s="315"/>
      <c r="AS246" s="315"/>
      <c r="AT246" s="315"/>
      <c r="AU246" s="315"/>
      <c r="AV246" s="315"/>
      <c r="AW246" s="315"/>
      <c r="AX246" s="315"/>
      <c r="AY246" s="315"/>
      <c r="AZ246" s="315"/>
      <c r="BA246" s="315"/>
      <c r="BB246" s="306"/>
    </row>
    <row r="247" spans="1:54" ht="14.25">
      <c r="A247" s="340"/>
      <c r="B247" s="340" t="s">
        <v>2356</v>
      </c>
      <c r="C247" s="288">
        <f>+$C$245+$G$246</f>
        <v>17015</v>
      </c>
      <c r="D247" s="334"/>
      <c r="E247" s="1121"/>
      <c r="F247" s="289">
        <f t="shared" ref="F247" si="38">150*-1600/-(C247-17125)</f>
        <v>-2181.818181818182</v>
      </c>
      <c r="G247" s="292"/>
      <c r="H247" s="291" t="s">
        <v>955</v>
      </c>
      <c r="I247" s="291"/>
      <c r="J247" s="288"/>
      <c r="K247" s="1121"/>
      <c r="L247" s="1121" t="s">
        <v>231</v>
      </c>
      <c r="M247" s="1121" t="s">
        <v>2672</v>
      </c>
      <c r="N247" s="1121" t="s">
        <v>144</v>
      </c>
      <c r="O247" s="1121"/>
      <c r="P247" s="1121"/>
      <c r="Q247" s="1121">
        <v>79</v>
      </c>
      <c r="R247" s="292">
        <v>-1880</v>
      </c>
      <c r="S247" s="292"/>
      <c r="T247" s="1121">
        <v>-30</v>
      </c>
      <c r="U247" s="1121"/>
      <c r="V247" s="1121"/>
      <c r="W247" s="1121">
        <v>1.4</v>
      </c>
      <c r="X247" s="1121"/>
      <c r="Y247" s="1121"/>
      <c r="Z247" s="1121"/>
      <c r="AA247" s="1121"/>
      <c r="AB247" s="1121"/>
      <c r="AC247" s="1121" t="s">
        <v>2963</v>
      </c>
      <c r="AD247" s="1121"/>
      <c r="AE247" s="1121"/>
      <c r="AF247" s="1121">
        <v>6000</v>
      </c>
      <c r="AG247" s="288">
        <v>17013.919999999998</v>
      </c>
      <c r="AH247" s="1121">
        <v>2602</v>
      </c>
      <c r="AI247" s="289">
        <v>580</v>
      </c>
      <c r="AJ247" s="1121"/>
      <c r="AK247" s="1121"/>
      <c r="AL247" s="1121"/>
      <c r="AM247" s="1121" t="s">
        <v>1228</v>
      </c>
      <c r="AN247" s="315">
        <v>5.44</v>
      </c>
      <c r="AO247" s="315"/>
      <c r="AP247" s="315"/>
      <c r="AQ247" s="315"/>
      <c r="AR247" s="315"/>
      <c r="AS247" s="315"/>
      <c r="AT247" s="315">
        <f>+ab($T$247,$T$245,$T$249,$G$246,$G$248, 1*$F$247,1200)</f>
        <v>-6.9063606547255336</v>
      </c>
      <c r="AU247" s="315"/>
      <c r="AV247" s="315"/>
      <c r="AW247" s="315" t="s">
        <v>2631</v>
      </c>
      <c r="AX247" s="315" t="s">
        <v>1639</v>
      </c>
      <c r="AY247" s="315">
        <v>3.4</v>
      </c>
      <c r="AZ247" s="315"/>
      <c r="BA247" s="315"/>
      <c r="BB247" s="306"/>
    </row>
    <row r="248" spans="1:54" ht="14.25">
      <c r="A248" s="340"/>
      <c r="B248" s="340"/>
      <c r="C248" s="288"/>
      <c r="D248" s="334"/>
      <c r="E248" s="1121"/>
      <c r="F248" s="289"/>
      <c r="G248" s="292">
        <v>57</v>
      </c>
      <c r="H248" s="291"/>
      <c r="I248" s="294">
        <f>SUM(G248:G264)-10</f>
        <v>428</v>
      </c>
      <c r="J248" s="288"/>
      <c r="K248" s="1121"/>
      <c r="L248" s="1121"/>
      <c r="M248" s="1121"/>
      <c r="N248" s="1121"/>
      <c r="O248" s="1121"/>
      <c r="P248" s="1121"/>
      <c r="Q248" s="1121"/>
      <c r="R248" s="292"/>
      <c r="S248" s="292">
        <f t="shared" si="35"/>
        <v>57.290000000000873</v>
      </c>
      <c r="T248" s="1121"/>
      <c r="U248" s="1121"/>
      <c r="V248" s="1121"/>
      <c r="W248" s="1121"/>
      <c r="X248" s="1121"/>
      <c r="Y248" s="1121"/>
      <c r="Z248" s="1121"/>
      <c r="AA248" s="1121"/>
      <c r="AB248" s="1121"/>
      <c r="AC248" s="1121"/>
      <c r="AD248" s="1121"/>
      <c r="AE248" s="1121"/>
      <c r="AF248" s="1121"/>
      <c r="AG248" s="288"/>
      <c r="AH248" s="1121"/>
      <c r="AI248" s="289"/>
      <c r="AJ248" s="1121"/>
      <c r="AK248" s="1121"/>
      <c r="AL248" s="1121"/>
      <c r="AM248" s="1121"/>
      <c r="AN248" s="315"/>
      <c r="AO248" s="315"/>
      <c r="AP248" s="315"/>
      <c r="AQ248" s="315">
        <f>+FL_2($T$249,$T$247,$G$248,1200,9.28, 1*$F$249)</f>
        <v>-0.47716859318447258</v>
      </c>
      <c r="AR248" s="315"/>
      <c r="AS248" s="315"/>
      <c r="AT248" s="315"/>
      <c r="AU248" s="315"/>
      <c r="AV248" s="315"/>
      <c r="AW248" s="315"/>
      <c r="AX248" s="315"/>
      <c r="AY248" s="315"/>
      <c r="AZ248" s="315"/>
      <c r="BA248" s="315"/>
      <c r="BB248" s="306"/>
    </row>
    <row r="249" spans="1:54" ht="14.25">
      <c r="A249" s="340"/>
      <c r="B249" s="340" t="s">
        <v>2357</v>
      </c>
      <c r="C249" s="288">
        <f>+$C$247+$G$248</f>
        <v>17072</v>
      </c>
      <c r="D249" s="334"/>
      <c r="E249" s="1121"/>
      <c r="F249" s="289">
        <f t="shared" ref="F249" si="39">150*-1600/-(C249-17125)</f>
        <v>-4528.3018867924529</v>
      </c>
      <c r="G249" s="292"/>
      <c r="H249" s="1121" t="s">
        <v>954</v>
      </c>
      <c r="I249" s="291"/>
      <c r="J249" s="288">
        <f>C249+7.5</f>
        <v>17079.5</v>
      </c>
      <c r="K249" s="1121" t="s">
        <v>658</v>
      </c>
      <c r="L249" s="1121" t="s">
        <v>231</v>
      </c>
      <c r="M249" s="1121" t="s">
        <v>2672</v>
      </c>
      <c r="N249" s="1121" t="s">
        <v>144</v>
      </c>
      <c r="O249" s="1121"/>
      <c r="P249" s="1121"/>
      <c r="Q249" s="1121">
        <v>35</v>
      </c>
      <c r="R249" s="292">
        <v>-3680</v>
      </c>
      <c r="S249" s="292"/>
      <c r="T249" s="1121">
        <v>-20</v>
      </c>
      <c r="U249" s="1121"/>
      <c r="V249" s="1121"/>
      <c r="W249" s="1121">
        <v>1.4</v>
      </c>
      <c r="X249" s="1121"/>
      <c r="Y249" s="1121"/>
      <c r="Z249" s="1121"/>
      <c r="AA249" s="1121"/>
      <c r="AB249" s="1121"/>
      <c r="AC249" s="1121" t="s">
        <v>1704</v>
      </c>
      <c r="AD249" s="1121"/>
      <c r="AE249" s="1121"/>
      <c r="AF249" s="1121">
        <v>6000</v>
      </c>
      <c r="AG249" s="288">
        <v>17071.21</v>
      </c>
      <c r="AH249" s="1121">
        <v>2706</v>
      </c>
      <c r="AI249" s="289">
        <v>555</v>
      </c>
      <c r="AJ249" s="1121"/>
      <c r="AK249" s="1121"/>
      <c r="AL249" s="1121"/>
      <c r="AM249" s="1121" t="s">
        <v>1228</v>
      </c>
      <c r="AN249" s="315">
        <v>5.31</v>
      </c>
      <c r="AO249" s="315"/>
      <c r="AP249" s="315"/>
      <c r="AQ249" s="315"/>
      <c r="AR249" s="315"/>
      <c r="AS249" s="315"/>
      <c r="AT249" s="315">
        <f>+ab($T$249,$T$247,$T$251,$G$248,$G$250, 1*$F$249,1200)</f>
        <v>-19.964725908661922</v>
      </c>
      <c r="AU249" s="315"/>
      <c r="AV249" s="315"/>
      <c r="AW249" s="315" t="s">
        <v>2631</v>
      </c>
      <c r="AX249" s="315" t="s">
        <v>1639</v>
      </c>
      <c r="AY249" s="315">
        <v>3.4</v>
      </c>
      <c r="AZ249" s="315">
        <v>2.5</v>
      </c>
      <c r="BA249" s="315"/>
      <c r="BB249" s="306"/>
    </row>
    <row r="250" spans="1:54" ht="14.25">
      <c r="A250" s="366" t="s">
        <v>978</v>
      </c>
      <c r="B250" s="366"/>
      <c r="C250" s="367"/>
      <c r="D250" s="1062"/>
      <c r="E250" s="368"/>
      <c r="F250" s="369"/>
      <c r="G250" s="370">
        <v>58</v>
      </c>
      <c r="H250" s="371"/>
      <c r="I250" s="372" t="s">
        <v>1226</v>
      </c>
      <c r="J250" s="367"/>
      <c r="K250" s="368" t="s">
        <v>1060</v>
      </c>
      <c r="L250" s="368"/>
      <c r="M250" s="368"/>
      <c r="N250" s="368"/>
      <c r="O250" s="368"/>
      <c r="P250" s="368"/>
      <c r="Q250" s="368"/>
      <c r="R250" s="370"/>
      <c r="S250" s="370">
        <f t="shared" si="35"/>
        <v>58.110000000000582</v>
      </c>
      <c r="T250" s="368"/>
      <c r="U250" s="368"/>
      <c r="V250" s="368"/>
      <c r="W250" s="368"/>
      <c r="X250" s="368"/>
      <c r="Y250" s="368"/>
      <c r="Z250" s="368"/>
      <c r="AA250" s="368"/>
      <c r="AB250" s="368"/>
      <c r="AC250" s="368"/>
      <c r="AD250" s="368"/>
      <c r="AE250" s="368"/>
      <c r="AF250" s="368"/>
      <c r="AG250" s="367"/>
      <c r="AH250" s="368"/>
      <c r="AI250" s="369"/>
      <c r="AJ250" s="368"/>
      <c r="AK250" s="368"/>
      <c r="AL250" s="368"/>
      <c r="AM250" s="368"/>
      <c r="AN250" s="373"/>
      <c r="AO250" s="373"/>
      <c r="AP250" s="373"/>
      <c r="AQ250" s="373">
        <f>+FL_1($T$251,-$T$249,$G$250,1200,9.28, 1*$F$251)</f>
        <v>0.32323598965517236</v>
      </c>
      <c r="AR250" s="373"/>
      <c r="AS250" s="373"/>
      <c r="AT250" s="373"/>
      <c r="AU250" s="373"/>
      <c r="AV250" s="373"/>
      <c r="AW250" s="373"/>
      <c r="AX250" s="373"/>
      <c r="AY250" s="373"/>
      <c r="AZ250" s="373"/>
      <c r="BA250" s="373"/>
      <c r="BB250" s="306"/>
    </row>
    <row r="251" spans="1:54" ht="14.25">
      <c r="A251" s="366"/>
      <c r="B251" s="366" t="s">
        <v>2358</v>
      </c>
      <c r="C251" s="367">
        <f>+$C$249+$G$250</f>
        <v>17130</v>
      </c>
      <c r="D251" s="1062"/>
      <c r="E251" s="368"/>
      <c r="F251" s="369">
        <v>0</v>
      </c>
      <c r="G251" s="370"/>
      <c r="H251" s="371"/>
      <c r="I251" s="372" t="s">
        <v>1226</v>
      </c>
      <c r="J251" s="367"/>
      <c r="K251" s="368" t="s">
        <v>1060</v>
      </c>
      <c r="L251" s="368" t="s">
        <v>239</v>
      </c>
      <c r="M251" s="368"/>
      <c r="N251" s="368" t="s">
        <v>3251</v>
      </c>
      <c r="O251" s="368"/>
      <c r="P251" s="368"/>
      <c r="Q251" s="368">
        <v>0</v>
      </c>
      <c r="R251" s="369">
        <v>0</v>
      </c>
      <c r="S251" s="370"/>
      <c r="T251" s="368">
        <v>-30</v>
      </c>
      <c r="U251" s="368"/>
      <c r="V251" s="368"/>
      <c r="W251" s="368">
        <v>1.1000000000000001</v>
      </c>
      <c r="X251" s="368"/>
      <c r="Y251" s="368"/>
      <c r="Z251" s="368"/>
      <c r="AA251" s="368"/>
      <c r="AB251" s="368"/>
      <c r="AC251" s="368" t="s">
        <v>1700</v>
      </c>
      <c r="AD251" s="368"/>
      <c r="AE251" s="368"/>
      <c r="AF251" s="368">
        <v>200</v>
      </c>
      <c r="AG251" s="367">
        <v>17129.32</v>
      </c>
      <c r="AH251" s="368">
        <v>2133</v>
      </c>
      <c r="AI251" s="369">
        <v>-5103</v>
      </c>
      <c r="AJ251" s="368"/>
      <c r="AK251" s="368"/>
      <c r="AL251" s="368"/>
      <c r="AM251" s="368" t="s">
        <v>2021</v>
      </c>
      <c r="AN251" s="373">
        <v>5.25</v>
      </c>
      <c r="AO251" s="373"/>
      <c r="AP251" s="373"/>
      <c r="AQ251" s="373"/>
      <c r="AR251" s="373"/>
      <c r="AS251" s="373"/>
      <c r="AT251" s="373">
        <f>+ab($T$251,$T$249,$T$253,$G$250,$G$252, 1*$F$251,1200)</f>
        <v>-13.014521982190304</v>
      </c>
      <c r="AU251" s="373"/>
      <c r="AV251" s="373"/>
      <c r="AW251" s="373" t="s">
        <v>699</v>
      </c>
      <c r="AX251" s="373" t="s">
        <v>699</v>
      </c>
      <c r="AY251" s="373" t="s">
        <v>699</v>
      </c>
      <c r="AZ251" s="373" t="s">
        <v>699</v>
      </c>
      <c r="BA251" s="373"/>
      <c r="BB251" s="306"/>
    </row>
    <row r="252" spans="1:54" ht="14.25">
      <c r="A252" s="366"/>
      <c r="B252" s="366"/>
      <c r="C252" s="367"/>
      <c r="D252" s="1062"/>
      <c r="E252" s="368"/>
      <c r="F252" s="369"/>
      <c r="G252" s="370">
        <v>47</v>
      </c>
      <c r="H252" s="371"/>
      <c r="I252" s="372"/>
      <c r="J252" s="367"/>
      <c r="K252" s="368"/>
      <c r="L252" s="368"/>
      <c r="M252" s="368"/>
      <c r="N252" s="368"/>
      <c r="O252" s="368"/>
      <c r="P252" s="368"/>
      <c r="Q252" s="368"/>
      <c r="R252" s="370"/>
      <c r="S252" s="370">
        <f t="shared" si="35"/>
        <v>47.06000000000131</v>
      </c>
      <c r="T252" s="368"/>
      <c r="U252" s="368"/>
      <c r="V252" s="368"/>
      <c r="W252" s="368"/>
      <c r="X252" s="368"/>
      <c r="Y252" s="368"/>
      <c r="Z252" s="368"/>
      <c r="AA252" s="368"/>
      <c r="AB252" s="368"/>
      <c r="AC252" s="368"/>
      <c r="AD252" s="368"/>
      <c r="AE252" s="368"/>
      <c r="AF252" s="368"/>
      <c r="AG252" s="367" t="s">
        <v>695</v>
      </c>
      <c r="AH252" s="368" t="s">
        <v>695</v>
      </c>
      <c r="AI252" s="369"/>
      <c r="AJ252" s="368"/>
      <c r="AK252" s="368"/>
      <c r="AL252" s="368"/>
      <c r="AM252" s="368"/>
      <c r="AN252" s="373"/>
      <c r="AO252" s="373"/>
      <c r="AP252" s="373"/>
      <c r="AQ252" s="373">
        <f>+FL_1($T$253,$T$251,$G$252,1200,9.28, 1*$F$253)</f>
        <v>0.31890498544680845</v>
      </c>
      <c r="AR252" s="373"/>
      <c r="AS252" s="373"/>
      <c r="AT252" s="373"/>
      <c r="AU252" s="373"/>
      <c r="AV252" s="373"/>
      <c r="AW252" s="373"/>
      <c r="AX252" s="373"/>
      <c r="AY252" s="373"/>
      <c r="AZ252" s="373"/>
      <c r="BA252" s="373"/>
      <c r="BB252" s="306"/>
    </row>
    <row r="253" spans="1:54" ht="14.25">
      <c r="A253" s="366"/>
      <c r="B253" s="366" t="s">
        <v>2359</v>
      </c>
      <c r="C253" s="367">
        <f>+$C$251+$G$252</f>
        <v>17177</v>
      </c>
      <c r="D253" s="1062"/>
      <c r="E253" s="368"/>
      <c r="F253" s="369">
        <v>0</v>
      </c>
      <c r="G253" s="370"/>
      <c r="H253" s="371"/>
      <c r="I253" s="372"/>
      <c r="J253" s="367"/>
      <c r="K253" s="368"/>
      <c r="L253" s="368" t="s">
        <v>239</v>
      </c>
      <c r="M253" s="368"/>
      <c r="N253" s="368" t="s">
        <v>674</v>
      </c>
      <c r="O253" s="368"/>
      <c r="P253" s="368"/>
      <c r="Q253" s="368">
        <v>0</v>
      </c>
      <c r="R253" s="369">
        <v>0</v>
      </c>
      <c r="S253" s="370"/>
      <c r="T253" s="368">
        <v>30</v>
      </c>
      <c r="U253" s="368"/>
      <c r="V253" s="368"/>
      <c r="W253" s="368">
        <v>1.1000000000000001</v>
      </c>
      <c r="X253" s="368"/>
      <c r="Y253" s="368"/>
      <c r="Z253" s="368"/>
      <c r="AA253" s="368"/>
      <c r="AB253" s="368"/>
      <c r="AC253" s="368" t="s">
        <v>2963</v>
      </c>
      <c r="AD253" s="368"/>
      <c r="AE253" s="368"/>
      <c r="AF253" s="368">
        <v>200</v>
      </c>
      <c r="AG253" s="367">
        <v>17176.38</v>
      </c>
      <c r="AH253" s="368">
        <v>2113</v>
      </c>
      <c r="AI253" s="369">
        <v>-5134</v>
      </c>
      <c r="AJ253" s="368"/>
      <c r="AK253" s="368"/>
      <c r="AL253" s="368"/>
      <c r="AM253" s="368" t="s">
        <v>2021</v>
      </c>
      <c r="AN253" s="373">
        <v>5.25</v>
      </c>
      <c r="AO253" s="373"/>
      <c r="AP253" s="373"/>
      <c r="AQ253" s="373"/>
      <c r="AR253" s="373"/>
      <c r="AS253" s="373"/>
      <c r="AT253" s="373">
        <f>+ab($T$253,$T$251,$T$255,$G$252,$G$254, 1*$F$253,1200)</f>
        <v>6.491794298954539</v>
      </c>
      <c r="AU253" s="373"/>
      <c r="AV253" s="373"/>
      <c r="AW253" s="373" t="s">
        <v>699</v>
      </c>
      <c r="AX253" s="373" t="s">
        <v>699</v>
      </c>
      <c r="AY253" s="373" t="s">
        <v>699</v>
      </c>
      <c r="AZ253" s="373" t="s">
        <v>699</v>
      </c>
      <c r="BA253" s="373"/>
      <c r="BB253" s="306"/>
    </row>
    <row r="254" spans="1:54" ht="14.25">
      <c r="A254" s="366"/>
      <c r="B254" s="366"/>
      <c r="C254" s="367"/>
      <c r="D254" s="1062"/>
      <c r="E254" s="368"/>
      <c r="F254" s="369"/>
      <c r="G254" s="370">
        <v>36</v>
      </c>
      <c r="H254" s="371"/>
      <c r="I254" s="372"/>
      <c r="J254" s="367"/>
      <c r="K254" s="368"/>
      <c r="L254" s="368"/>
      <c r="M254" s="368"/>
      <c r="N254" s="368"/>
      <c r="O254" s="368"/>
      <c r="P254" s="368"/>
      <c r="Q254" s="368"/>
      <c r="R254" s="370"/>
      <c r="S254" s="370">
        <f t="shared" si="35"/>
        <v>35.919999999998254</v>
      </c>
      <c r="T254" s="368"/>
      <c r="U254" s="368"/>
      <c r="V254" s="368"/>
      <c r="W254" s="368"/>
      <c r="X254" s="368"/>
      <c r="Y254" s="368"/>
      <c r="Z254" s="368"/>
      <c r="AA254" s="368"/>
      <c r="AB254" s="368"/>
      <c r="AC254" s="368"/>
      <c r="AD254" s="368"/>
      <c r="AE254" s="368"/>
      <c r="AF254" s="368"/>
      <c r="AG254" s="367" t="s">
        <v>695</v>
      </c>
      <c r="AH254" s="368" t="s">
        <v>695</v>
      </c>
      <c r="AI254" s="369"/>
      <c r="AJ254" s="368"/>
      <c r="AK254" s="368"/>
      <c r="AL254" s="368"/>
      <c r="AM254" s="368"/>
      <c r="AN254" s="373"/>
      <c r="AO254" s="373"/>
      <c r="AP254" s="373"/>
      <c r="AQ254" s="373">
        <f>+FL_2($T$255,$T$253,$G$254,1200,9.28, 1*$F$255)</f>
        <v>-0.3</v>
      </c>
      <c r="AR254" s="373"/>
      <c r="AS254" s="373"/>
      <c r="AT254" s="373"/>
      <c r="AU254" s="373"/>
      <c r="AV254" s="373"/>
      <c r="AW254" s="373"/>
      <c r="AX254" s="373"/>
      <c r="AY254" s="373"/>
      <c r="AZ254" s="373"/>
      <c r="BA254" s="373"/>
      <c r="BB254" s="306"/>
    </row>
    <row r="255" spans="1:54" ht="14.25">
      <c r="A255" s="366" t="s">
        <v>2976</v>
      </c>
      <c r="B255" s="366" t="s">
        <v>2360</v>
      </c>
      <c r="C255" s="367">
        <f>+$C$253+$G$254</f>
        <v>17213</v>
      </c>
      <c r="D255" s="1062"/>
      <c r="E255" s="368"/>
      <c r="F255" s="369">
        <v>0</v>
      </c>
      <c r="G255" s="370"/>
      <c r="H255" s="371"/>
      <c r="I255" s="372"/>
      <c r="J255" s="367"/>
      <c r="K255" s="368"/>
      <c r="L255" s="368" t="s">
        <v>239</v>
      </c>
      <c r="M255" s="368"/>
      <c r="N255" s="368" t="s">
        <v>3251</v>
      </c>
      <c r="O255" s="368"/>
      <c r="P255" s="368"/>
      <c r="Q255" s="368">
        <v>0</v>
      </c>
      <c r="R255" s="369">
        <v>0</v>
      </c>
      <c r="S255" s="370"/>
      <c r="T255" s="368">
        <v>-30</v>
      </c>
      <c r="U255" s="368"/>
      <c r="V255" s="368"/>
      <c r="W255" s="368">
        <v>1.1000000000000001</v>
      </c>
      <c r="X255" s="368"/>
      <c r="Y255" s="368"/>
      <c r="Z255" s="368"/>
      <c r="AA255" s="368"/>
      <c r="AB255" s="368"/>
      <c r="AC255" s="368" t="s">
        <v>2963</v>
      </c>
      <c r="AD255" s="368"/>
      <c r="AE255" s="368"/>
      <c r="AF255" s="368">
        <v>200</v>
      </c>
      <c r="AG255" s="367">
        <v>17212.3</v>
      </c>
      <c r="AH255" s="368">
        <v>2110</v>
      </c>
      <c r="AI255" s="369">
        <v>-5100</v>
      </c>
      <c r="AJ255" s="368"/>
      <c r="AK255" s="368"/>
      <c r="AL255" s="368"/>
      <c r="AM255" s="368" t="s">
        <v>2021</v>
      </c>
      <c r="AN255" s="373">
        <v>5.25</v>
      </c>
      <c r="AO255" s="373"/>
      <c r="AP255" s="373"/>
      <c r="AQ255" s="373"/>
      <c r="AR255" s="373"/>
      <c r="AS255" s="373"/>
      <c r="AT255" s="373">
        <f>+ab($T$255,$T$253,$T$257,$G$254,$G$256, 1*$F$255,1200)</f>
        <v>-5.7375306415913192</v>
      </c>
      <c r="AU255" s="373"/>
      <c r="AV255" s="373"/>
      <c r="AW255" s="373" t="s">
        <v>699</v>
      </c>
      <c r="AX255" s="373" t="s">
        <v>699</v>
      </c>
      <c r="AY255" s="373" t="s">
        <v>699</v>
      </c>
      <c r="AZ255" s="373" t="s">
        <v>699</v>
      </c>
      <c r="BA255" s="373"/>
      <c r="BB255" s="306"/>
    </row>
    <row r="256" spans="1:54" ht="14.25">
      <c r="A256" s="366"/>
      <c r="B256" s="366"/>
      <c r="C256" s="367"/>
      <c r="D256" s="1062"/>
      <c r="E256" s="368"/>
      <c r="F256" s="369"/>
      <c r="G256" s="370">
        <v>36</v>
      </c>
      <c r="H256" s="371"/>
      <c r="I256" s="372"/>
      <c r="J256" s="367"/>
      <c r="K256" s="368"/>
      <c r="L256" s="368"/>
      <c r="M256" s="368"/>
      <c r="N256" s="368"/>
      <c r="O256" s="368"/>
      <c r="P256" s="368"/>
      <c r="Q256" s="368"/>
      <c r="R256" s="370"/>
      <c r="S256" s="370">
        <f t="shared" si="35"/>
        <v>36.030000000002474</v>
      </c>
      <c r="T256" s="368"/>
      <c r="U256" s="368"/>
      <c r="V256" s="368"/>
      <c r="W256" s="368"/>
      <c r="X256" s="368"/>
      <c r="Y256" s="368"/>
      <c r="Z256" s="368"/>
      <c r="AA256" s="368"/>
      <c r="AB256" s="368"/>
      <c r="AC256" s="368"/>
      <c r="AD256" s="368"/>
      <c r="AE256" s="368"/>
      <c r="AF256" s="368"/>
      <c r="AG256" s="367" t="s">
        <v>695</v>
      </c>
      <c r="AH256" s="368" t="s">
        <v>695</v>
      </c>
      <c r="AI256" s="369"/>
      <c r="AJ256" s="368"/>
      <c r="AK256" s="368"/>
      <c r="AL256" s="368"/>
      <c r="AM256" s="368"/>
      <c r="AN256" s="373"/>
      <c r="AO256" s="373"/>
      <c r="AP256" s="373"/>
      <c r="AQ256" s="373">
        <f>+FL_1($T$257,$T$255,$G$256,1200,9.28, 1*$F$257)</f>
        <v>0.3</v>
      </c>
      <c r="AR256" s="373"/>
      <c r="AS256" s="373"/>
      <c r="AT256" s="373"/>
      <c r="AU256" s="373"/>
      <c r="AV256" s="373"/>
      <c r="AW256" s="373"/>
      <c r="AX256" s="373"/>
      <c r="AY256" s="373"/>
      <c r="AZ256" s="373"/>
      <c r="BA256" s="373"/>
      <c r="BB256" s="306"/>
    </row>
    <row r="257" spans="1:60" ht="14.25">
      <c r="A257" s="366"/>
      <c r="B257" s="366" t="s">
        <v>2361</v>
      </c>
      <c r="C257" s="367">
        <f>+$C$255+$G$256</f>
        <v>17249</v>
      </c>
      <c r="D257" s="1062"/>
      <c r="E257" s="368"/>
      <c r="F257" s="369">
        <v>0</v>
      </c>
      <c r="G257" s="370"/>
      <c r="H257" s="371"/>
      <c r="I257" s="372" t="s">
        <v>1226</v>
      </c>
      <c r="J257" s="367"/>
      <c r="K257" s="368" t="s">
        <v>1060</v>
      </c>
      <c r="L257" s="368" t="s">
        <v>239</v>
      </c>
      <c r="M257" s="368"/>
      <c r="N257" s="368" t="s">
        <v>674</v>
      </c>
      <c r="O257" s="368"/>
      <c r="P257" s="368"/>
      <c r="Q257" s="368">
        <v>0</v>
      </c>
      <c r="R257" s="369">
        <v>0</v>
      </c>
      <c r="S257" s="370"/>
      <c r="T257" s="368">
        <v>30</v>
      </c>
      <c r="U257" s="368"/>
      <c r="V257" s="368"/>
      <c r="W257" s="368">
        <v>1.1000000000000001</v>
      </c>
      <c r="X257" s="368"/>
      <c r="Y257" s="368"/>
      <c r="Z257" s="368"/>
      <c r="AA257" s="368"/>
      <c r="AB257" s="368"/>
      <c r="AC257" s="368" t="s">
        <v>2965</v>
      </c>
      <c r="AD257" s="368"/>
      <c r="AE257" s="368"/>
      <c r="AF257" s="368">
        <v>200</v>
      </c>
      <c r="AG257" s="367">
        <v>17248.330000000002</v>
      </c>
      <c r="AH257" s="368">
        <v>2109</v>
      </c>
      <c r="AI257" s="369">
        <v>-5111</v>
      </c>
      <c r="AJ257" s="368"/>
      <c r="AK257" s="368"/>
      <c r="AL257" s="368"/>
      <c r="AM257" s="368" t="s">
        <v>2021</v>
      </c>
      <c r="AN257" s="373">
        <v>5.25</v>
      </c>
      <c r="AO257" s="373"/>
      <c r="AP257" s="373"/>
      <c r="AQ257" s="373"/>
      <c r="AR257" s="373"/>
      <c r="AS257" s="373"/>
      <c r="AT257" s="373">
        <f>+ab($T$257,$T$255,$T$259,$G$256,$G$258, 1*$F$257,1200)</f>
        <v>6.3068529384187881</v>
      </c>
      <c r="AU257" s="373"/>
      <c r="AV257" s="373"/>
      <c r="AW257" s="373" t="s">
        <v>699</v>
      </c>
      <c r="AX257" s="373" t="s">
        <v>699</v>
      </c>
      <c r="AY257" s="373" t="s">
        <v>699</v>
      </c>
      <c r="AZ257" s="373" t="s">
        <v>699</v>
      </c>
      <c r="BA257" s="373"/>
      <c r="BB257" s="306"/>
    </row>
    <row r="258" spans="1:60" ht="14.25">
      <c r="A258" s="366"/>
      <c r="B258" s="366"/>
      <c r="C258" s="367"/>
      <c r="D258" s="1062"/>
      <c r="E258" s="368"/>
      <c r="F258" s="369"/>
      <c r="G258" s="370">
        <v>44</v>
      </c>
      <c r="H258" s="368"/>
      <c r="I258" s="372" t="s">
        <v>1226</v>
      </c>
      <c r="J258" s="367"/>
      <c r="K258" s="368" t="s">
        <v>1060</v>
      </c>
      <c r="L258" s="368"/>
      <c r="M258" s="368"/>
      <c r="N258" s="368"/>
      <c r="O258" s="368"/>
      <c r="P258" s="368"/>
      <c r="Q258" s="368"/>
      <c r="R258" s="370"/>
      <c r="S258" s="370">
        <f t="shared" si="35"/>
        <v>43.93999999999869</v>
      </c>
      <c r="T258" s="368"/>
      <c r="U258" s="368"/>
      <c r="V258" s="368"/>
      <c r="W258" s="368"/>
      <c r="X258" s="368"/>
      <c r="Y258" s="368"/>
      <c r="Z258" s="368"/>
      <c r="AA258" s="368"/>
      <c r="AB258" s="368"/>
      <c r="AC258" s="368"/>
      <c r="AD258" s="368"/>
      <c r="AE258" s="368"/>
      <c r="AF258" s="368"/>
      <c r="AG258" s="367" t="s">
        <v>695</v>
      </c>
      <c r="AH258" s="368" t="s">
        <v>695</v>
      </c>
      <c r="AI258" s="369"/>
      <c r="AJ258" s="368"/>
      <c r="AK258" s="368"/>
      <c r="AL258" s="368"/>
      <c r="AM258" s="368"/>
      <c r="AN258" s="373"/>
      <c r="AO258" s="373"/>
      <c r="AP258" s="373"/>
      <c r="AQ258" s="373">
        <f>+FL_2($T$259,$T$257,$G$258,1200,9.28, 1*$F$259)</f>
        <v>-0.30737322290909092</v>
      </c>
      <c r="AR258" s="373"/>
      <c r="AS258" s="373"/>
      <c r="AT258" s="373"/>
      <c r="AU258" s="373"/>
      <c r="AV258" s="373"/>
      <c r="AW258" s="373"/>
      <c r="AX258" s="373"/>
      <c r="AY258" s="373"/>
      <c r="AZ258" s="373"/>
      <c r="BA258" s="373"/>
      <c r="BB258" s="306"/>
    </row>
    <row r="259" spans="1:60" ht="14.25">
      <c r="A259" s="366"/>
      <c r="B259" s="366" t="s">
        <v>2362</v>
      </c>
      <c r="C259" s="367">
        <f>+$C$257+$G$258</f>
        <v>17293</v>
      </c>
      <c r="D259" s="1062"/>
      <c r="E259" s="368"/>
      <c r="F259" s="369">
        <v>0</v>
      </c>
      <c r="G259" s="370"/>
      <c r="H259" s="368" t="s">
        <v>138</v>
      </c>
      <c r="I259" s="372" t="s">
        <v>2717</v>
      </c>
      <c r="J259" s="367"/>
      <c r="K259" s="368"/>
      <c r="L259" s="368" t="s">
        <v>239</v>
      </c>
      <c r="M259" s="368"/>
      <c r="N259" s="368" t="s">
        <v>3251</v>
      </c>
      <c r="O259" s="368"/>
      <c r="P259" s="368"/>
      <c r="Q259" s="368">
        <v>0</v>
      </c>
      <c r="R259" s="369">
        <v>0</v>
      </c>
      <c r="S259" s="370"/>
      <c r="T259" s="368">
        <v>-30</v>
      </c>
      <c r="U259" s="368"/>
      <c r="V259" s="368"/>
      <c r="W259" s="368">
        <v>1.1000000000000001</v>
      </c>
      <c r="X259" s="368"/>
      <c r="Y259" s="368"/>
      <c r="Z259" s="368"/>
      <c r="AA259" s="368"/>
      <c r="AB259" s="368"/>
      <c r="AC259" s="368" t="s">
        <v>1700</v>
      </c>
      <c r="AD259" s="368"/>
      <c r="AE259" s="368"/>
      <c r="AF259" s="368">
        <v>200</v>
      </c>
      <c r="AG259" s="367">
        <v>17292.27</v>
      </c>
      <c r="AH259" s="368">
        <v>2023</v>
      </c>
      <c r="AI259" s="369">
        <v>-5072</v>
      </c>
      <c r="AJ259" s="368"/>
      <c r="AK259" s="368"/>
      <c r="AL259" s="368"/>
      <c r="AM259" s="368" t="s">
        <v>2021</v>
      </c>
      <c r="AN259" s="373">
        <v>5.25</v>
      </c>
      <c r="AO259" s="373"/>
      <c r="AP259" s="373"/>
      <c r="AQ259" s="373"/>
      <c r="AR259" s="373"/>
      <c r="AS259" s="373"/>
      <c r="AT259" s="373">
        <f>+ab($T$259,$T$257,$U$261,$G$258,$G$260, 1*$F$259,1200)</f>
        <v>-13.799042567786339</v>
      </c>
      <c r="AU259" s="373"/>
      <c r="AV259" s="373"/>
      <c r="AW259" s="373" t="s">
        <v>699</v>
      </c>
      <c r="AX259" s="373" t="s">
        <v>699</v>
      </c>
      <c r="AY259" s="373" t="s">
        <v>699</v>
      </c>
      <c r="AZ259" s="373" t="s">
        <v>699</v>
      </c>
      <c r="BA259" s="373"/>
      <c r="BB259" s="306"/>
    </row>
    <row r="260" spans="1:60" ht="14.25">
      <c r="A260" s="366" t="s">
        <v>978</v>
      </c>
      <c r="B260" s="366"/>
      <c r="C260" s="367"/>
      <c r="D260" s="1062"/>
      <c r="E260" s="368"/>
      <c r="F260" s="369"/>
      <c r="G260" s="370">
        <v>53.9</v>
      </c>
      <c r="H260" s="371"/>
      <c r="I260" s="372" t="s">
        <v>2016</v>
      </c>
      <c r="J260" s="367">
        <v>17301</v>
      </c>
      <c r="K260" s="374" t="s">
        <v>2985</v>
      </c>
      <c r="L260" s="368"/>
      <c r="M260" s="368"/>
      <c r="N260" s="368"/>
      <c r="O260" s="368"/>
      <c r="P260" s="368"/>
      <c r="Q260" s="368"/>
      <c r="R260" s="370"/>
      <c r="S260" s="370">
        <f t="shared" si="35"/>
        <v>54.649999999997817</v>
      </c>
      <c r="T260" s="368"/>
      <c r="U260" s="368"/>
      <c r="V260" s="368"/>
      <c r="W260" s="368"/>
      <c r="X260" s="368"/>
      <c r="Y260" s="368"/>
      <c r="Z260" s="368"/>
      <c r="AA260" s="368"/>
      <c r="AB260" s="368"/>
      <c r="AC260" s="368"/>
      <c r="AD260" s="368"/>
      <c r="AE260" s="368"/>
      <c r="AF260" s="368"/>
      <c r="AG260" s="367" t="s">
        <v>695</v>
      </c>
      <c r="AH260" s="368" t="s">
        <v>695</v>
      </c>
      <c r="AI260" s="369"/>
      <c r="AJ260" s="368"/>
      <c r="AK260" s="368"/>
      <c r="AL260" s="368"/>
      <c r="AM260" s="368"/>
      <c r="AN260" s="373"/>
      <c r="AO260" s="373"/>
      <c r="AP260" s="373"/>
      <c r="AQ260" s="373">
        <f>+FL_1(-$U$261,$T$259,$G$260,1200,9.28, 1*$F$261)</f>
        <v>0.36095461675695734</v>
      </c>
      <c r="AR260" s="373"/>
      <c r="AS260" s="373"/>
      <c r="AT260" s="373"/>
      <c r="AU260" s="373"/>
      <c r="AV260" s="373"/>
      <c r="AW260" s="373"/>
      <c r="AX260" s="373"/>
      <c r="AY260" s="373" t="s">
        <v>695</v>
      </c>
      <c r="AZ260" s="373"/>
      <c r="BA260" s="373"/>
      <c r="BB260" s="306"/>
    </row>
    <row r="261" spans="1:60" ht="14.25">
      <c r="A261" s="340" t="s">
        <v>3225</v>
      </c>
      <c r="B261" s="340" t="s">
        <v>2363</v>
      </c>
      <c r="C261" s="288">
        <f>+$C$259+$G$260</f>
        <v>17346.900000000001</v>
      </c>
      <c r="D261" s="334"/>
      <c r="E261" s="1121"/>
      <c r="F261" s="289">
        <v>0</v>
      </c>
      <c r="G261" s="292"/>
      <c r="H261" s="1121" t="s">
        <v>651</v>
      </c>
      <c r="I261" s="1063" t="s">
        <v>1226</v>
      </c>
      <c r="J261" s="288"/>
      <c r="K261" s="374" t="s">
        <v>1060</v>
      </c>
      <c r="L261" s="1121" t="s">
        <v>231</v>
      </c>
      <c r="M261" s="1121" t="s">
        <v>2756</v>
      </c>
      <c r="N261" s="1121" t="s">
        <v>140</v>
      </c>
      <c r="O261" s="1121" t="s">
        <v>144</v>
      </c>
      <c r="P261" s="1121"/>
      <c r="Q261" s="1121">
        <v>0</v>
      </c>
      <c r="R261" s="289">
        <v>0</v>
      </c>
      <c r="S261" s="292"/>
      <c r="T261" s="1121">
        <v>15</v>
      </c>
      <c r="U261" s="1121">
        <v>-30</v>
      </c>
      <c r="V261" s="1121"/>
      <c r="W261" s="1121">
        <v>1.4</v>
      </c>
      <c r="X261" s="1121">
        <v>2</v>
      </c>
      <c r="Y261" s="1121"/>
      <c r="Z261" s="1121">
        <v>0.5</v>
      </c>
      <c r="AA261" s="1121"/>
      <c r="AB261" s="1121"/>
      <c r="AC261" s="1121" t="s">
        <v>1704</v>
      </c>
      <c r="AD261" s="1121"/>
      <c r="AE261" s="1121"/>
      <c r="AF261" s="1121">
        <v>6000</v>
      </c>
      <c r="AG261" s="288">
        <v>17346.919999999998</v>
      </c>
      <c r="AH261" s="1121">
        <v>2738</v>
      </c>
      <c r="AI261" s="289">
        <v>537</v>
      </c>
      <c r="AJ261" s="1121" t="s">
        <v>3224</v>
      </c>
      <c r="AK261" s="1121"/>
      <c r="AL261" s="1121"/>
      <c r="AM261" s="1121" t="s">
        <v>1228</v>
      </c>
      <c r="AN261" s="315">
        <v>5.25</v>
      </c>
      <c r="AO261" s="315"/>
      <c r="AP261" s="315"/>
      <c r="AQ261" s="315"/>
      <c r="AR261" s="315"/>
      <c r="AS261" s="315"/>
      <c r="AT261" s="315">
        <f>+ab($U$261,-$T$259,-$U$263,$G$260,$G$262, 1*$F$261,1200)</f>
        <v>-13.807618271226017</v>
      </c>
      <c r="AU261" s="315"/>
      <c r="AV261" s="315"/>
      <c r="AW261" s="315" t="s">
        <v>2630</v>
      </c>
      <c r="AX261" s="315" t="s">
        <v>1641</v>
      </c>
      <c r="AY261" s="315">
        <v>4.2</v>
      </c>
      <c r="AZ261" s="315"/>
      <c r="BA261" s="315"/>
      <c r="BB261" s="306"/>
    </row>
    <row r="262" spans="1:60" ht="14.25">
      <c r="A262" s="366" t="s">
        <v>978</v>
      </c>
      <c r="B262" s="366"/>
      <c r="C262" s="367"/>
      <c r="D262" s="1062"/>
      <c r="E262" s="368"/>
      <c r="F262" s="369"/>
      <c r="G262" s="370">
        <v>60.1</v>
      </c>
      <c r="H262" s="371"/>
      <c r="I262" s="372" t="s">
        <v>1226</v>
      </c>
      <c r="J262" s="367"/>
      <c r="K262" s="368" t="s">
        <v>1060</v>
      </c>
      <c r="L262" s="368"/>
      <c r="M262" s="368"/>
      <c r="N262" s="368"/>
      <c r="O262" s="368"/>
      <c r="P262" s="368"/>
      <c r="Q262" s="368"/>
      <c r="R262" s="370"/>
      <c r="S262" s="370">
        <f t="shared" si="35"/>
        <v>58.510000000002037</v>
      </c>
      <c r="T262" s="368"/>
      <c r="U262" s="368"/>
      <c r="V262" s="368"/>
      <c r="W262" s="368"/>
      <c r="X262" s="368"/>
      <c r="Y262" s="368"/>
      <c r="Z262" s="368"/>
      <c r="AA262" s="368"/>
      <c r="AB262" s="368"/>
      <c r="AC262" s="368"/>
      <c r="AD262" s="368"/>
      <c r="AE262" s="368"/>
      <c r="AF262" s="368"/>
      <c r="AG262" s="367"/>
      <c r="AH262" s="368"/>
      <c r="AI262" s="369"/>
      <c r="AJ262" s="368"/>
      <c r="AK262" s="368"/>
      <c r="AL262" s="368"/>
      <c r="AM262" s="368"/>
      <c r="AN262" s="373"/>
      <c r="AO262" s="373"/>
      <c r="AP262" s="373"/>
      <c r="AQ262" s="373">
        <f>+FL_2($T$263,-$U$261,$G$262,1200,9.28, 1*$F$263)</f>
        <v>-0.41360115934775377</v>
      </c>
      <c r="AR262" s="373"/>
      <c r="AS262" s="373"/>
      <c r="AT262" s="373"/>
      <c r="AU262" s="373"/>
      <c r="AV262" s="373"/>
      <c r="AW262" s="373"/>
      <c r="AX262" s="373"/>
      <c r="AY262" s="373" t="s">
        <v>695</v>
      </c>
      <c r="AZ262" s="373"/>
      <c r="BA262" s="373"/>
      <c r="BB262" s="306"/>
    </row>
    <row r="263" spans="1:60" ht="14.25">
      <c r="A263" s="366"/>
      <c r="B263" s="366" t="s">
        <v>2364</v>
      </c>
      <c r="C263" s="367">
        <f>+$C$261+$G$262</f>
        <v>17407</v>
      </c>
      <c r="D263" s="1062"/>
      <c r="E263" s="368"/>
      <c r="F263" s="369">
        <v>0</v>
      </c>
      <c r="G263" s="370"/>
      <c r="H263" s="371" t="s">
        <v>651</v>
      </c>
      <c r="I263" s="372"/>
      <c r="J263" s="367"/>
      <c r="K263" s="368"/>
      <c r="L263" s="368" t="s">
        <v>458</v>
      </c>
      <c r="M263" s="368"/>
      <c r="N263" s="368" t="s">
        <v>3251</v>
      </c>
      <c r="O263" s="368" t="s">
        <v>675</v>
      </c>
      <c r="P263" s="368"/>
      <c r="Q263" s="368"/>
      <c r="R263" s="370"/>
      <c r="S263" s="370"/>
      <c r="T263" s="368">
        <v>-30</v>
      </c>
      <c r="U263" s="368">
        <v>15</v>
      </c>
      <c r="V263" s="368"/>
      <c r="W263" s="368">
        <v>1.4</v>
      </c>
      <c r="X263" s="368">
        <v>1.1000000000000001</v>
      </c>
      <c r="Y263" s="368"/>
      <c r="Z263" s="368"/>
      <c r="AA263" s="368">
        <v>0.5</v>
      </c>
      <c r="AB263" s="368"/>
      <c r="AC263" s="368" t="s">
        <v>1700</v>
      </c>
      <c r="AD263" s="368"/>
      <c r="AE263" s="368"/>
      <c r="AF263" s="368">
        <v>200</v>
      </c>
      <c r="AG263" s="367">
        <v>17405.43</v>
      </c>
      <c r="AH263" s="368">
        <v>2106</v>
      </c>
      <c r="AI263" s="369">
        <v>-5047</v>
      </c>
      <c r="AJ263" s="368"/>
      <c r="AK263" s="368"/>
      <c r="AL263" s="368"/>
      <c r="AM263" s="368" t="s">
        <v>2021</v>
      </c>
      <c r="AN263" s="373">
        <v>5.25</v>
      </c>
      <c r="AO263" s="373"/>
      <c r="AP263" s="373"/>
      <c r="AQ263" s="373"/>
      <c r="AR263" s="373"/>
      <c r="AS263" s="373"/>
      <c r="AT263" s="373">
        <f>+ab($T$263,-$T$261,$T$265,$G$262,$G$264, 1*$F$263,1200)</f>
        <v>-14.067792247196323</v>
      </c>
      <c r="AU263" s="373"/>
      <c r="AV263" s="373"/>
      <c r="AW263" s="373" t="s">
        <v>699</v>
      </c>
      <c r="AX263" s="373" t="s">
        <v>699</v>
      </c>
      <c r="AY263" s="373" t="s">
        <v>699</v>
      </c>
      <c r="AZ263" s="373" t="s">
        <v>699</v>
      </c>
      <c r="BA263" s="373"/>
      <c r="BB263" s="306"/>
    </row>
    <row r="264" spans="1:60" ht="14.25">
      <c r="A264" s="366"/>
      <c r="B264" s="366"/>
      <c r="C264" s="367"/>
      <c r="D264" s="1062"/>
      <c r="E264" s="368"/>
      <c r="F264" s="369"/>
      <c r="G264" s="370">
        <v>46</v>
      </c>
      <c r="H264" s="371"/>
      <c r="I264" s="372"/>
      <c r="J264" s="367">
        <f>C265-10</f>
        <v>17443</v>
      </c>
      <c r="K264" s="374" t="s">
        <v>2985</v>
      </c>
      <c r="L264" s="368"/>
      <c r="M264" s="368"/>
      <c r="N264" s="368"/>
      <c r="O264" s="368"/>
      <c r="P264" s="368"/>
      <c r="Q264" s="368"/>
      <c r="R264" s="370"/>
      <c r="S264" s="370">
        <f t="shared" si="35"/>
        <v>46.979999999999563</v>
      </c>
      <c r="T264" s="368"/>
      <c r="U264" s="368"/>
      <c r="V264" s="368"/>
      <c r="W264" s="368"/>
      <c r="X264" s="368"/>
      <c r="Y264" s="368"/>
      <c r="Z264" s="368"/>
      <c r="AA264" s="368"/>
      <c r="AB264" s="368"/>
      <c r="AC264" s="368"/>
      <c r="AD264" s="368"/>
      <c r="AE264" s="368"/>
      <c r="AF264" s="368"/>
      <c r="AG264" s="367">
        <v>17406.93</v>
      </c>
      <c r="AH264" s="368">
        <v>2130</v>
      </c>
      <c r="AI264" s="369">
        <v>-5047</v>
      </c>
      <c r="AJ264" s="368"/>
      <c r="AK264" s="368"/>
      <c r="AL264" s="368"/>
      <c r="AM264" s="368"/>
      <c r="AN264" s="373"/>
      <c r="AO264" s="373"/>
      <c r="AP264" s="373"/>
      <c r="AQ264" s="373">
        <f>+FL_2($T$265,$T$263,$G$264,1200,9.28, 1*$F$265)</f>
        <v>-0.33093509495652179</v>
      </c>
      <c r="AR264" s="373"/>
      <c r="AS264" s="373"/>
      <c r="AT264" s="373"/>
      <c r="AU264" s="373"/>
      <c r="AV264" s="373"/>
      <c r="AW264" s="373"/>
      <c r="AX264" s="373"/>
      <c r="AY264" s="373"/>
      <c r="AZ264" s="373"/>
      <c r="BA264" s="373"/>
      <c r="BB264" s="306"/>
    </row>
    <row r="265" spans="1:60" ht="14.25">
      <c r="A265" s="366" t="s">
        <v>2976</v>
      </c>
      <c r="B265" s="366" t="s">
        <v>2365</v>
      </c>
      <c r="C265" s="367">
        <f>+$C$263+$G$264</f>
        <v>17453</v>
      </c>
      <c r="D265" s="1062"/>
      <c r="E265" s="368"/>
      <c r="F265" s="369">
        <v>0</v>
      </c>
      <c r="G265" s="370"/>
      <c r="H265" s="371" t="s">
        <v>138</v>
      </c>
      <c r="I265" s="372" t="s">
        <v>2717</v>
      </c>
      <c r="J265" s="367"/>
      <c r="K265" s="368"/>
      <c r="L265" s="368" t="s">
        <v>239</v>
      </c>
      <c r="M265" s="368"/>
      <c r="N265" s="368" t="s">
        <v>674</v>
      </c>
      <c r="O265" s="368"/>
      <c r="P265" s="368"/>
      <c r="Q265" s="368">
        <v>0</v>
      </c>
      <c r="R265" s="369">
        <v>0</v>
      </c>
      <c r="S265" s="370"/>
      <c r="T265" s="368">
        <v>20</v>
      </c>
      <c r="U265" s="368"/>
      <c r="V265" s="368"/>
      <c r="W265" s="368">
        <v>1.1000000000000001</v>
      </c>
      <c r="X265" s="368"/>
      <c r="Y265" s="368"/>
      <c r="Z265" s="368"/>
      <c r="AA265" s="368"/>
      <c r="AB265" s="368"/>
      <c r="AC265" s="368" t="s">
        <v>1700</v>
      </c>
      <c r="AD265" s="368"/>
      <c r="AE265" s="368"/>
      <c r="AF265" s="368">
        <v>200</v>
      </c>
      <c r="AG265" s="367">
        <v>17452.41</v>
      </c>
      <c r="AH265" s="368">
        <v>2108</v>
      </c>
      <c r="AI265" s="369">
        <v>-5060</v>
      </c>
      <c r="AJ265" s="368"/>
      <c r="AK265" s="368"/>
      <c r="AL265" s="368"/>
      <c r="AM265" s="368" t="s">
        <v>2021</v>
      </c>
      <c r="AN265" s="373">
        <v>5.25</v>
      </c>
      <c r="AO265" s="373"/>
      <c r="AP265" s="373"/>
      <c r="AQ265" s="373"/>
      <c r="AR265" s="373"/>
      <c r="AS265" s="373"/>
      <c r="AT265" s="373">
        <f>+ab($T$265,$T$263,$T$267,$G$264,$G$266, 1*$F$265,1200)</f>
        <v>25.192912834695658</v>
      </c>
      <c r="AU265" s="373"/>
      <c r="AV265" s="373"/>
      <c r="AW265" s="373" t="s">
        <v>699</v>
      </c>
      <c r="AX265" s="373" t="s">
        <v>699</v>
      </c>
      <c r="AY265" s="373" t="s">
        <v>699</v>
      </c>
      <c r="AZ265" s="373" t="s">
        <v>699</v>
      </c>
      <c r="BA265" s="373"/>
      <c r="BB265" s="306"/>
    </row>
    <row r="266" spans="1:60" ht="14.25">
      <c r="A266" s="366"/>
      <c r="B266" s="366"/>
      <c r="C266" s="367"/>
      <c r="D266" s="1062"/>
      <c r="E266" s="368"/>
      <c r="F266" s="369"/>
      <c r="G266" s="370">
        <v>40</v>
      </c>
      <c r="H266" s="371"/>
      <c r="I266" s="372"/>
      <c r="J266" s="367"/>
      <c r="K266" s="368"/>
      <c r="L266" s="368"/>
      <c r="M266" s="368"/>
      <c r="N266" s="368"/>
      <c r="O266" s="368"/>
      <c r="P266" s="368"/>
      <c r="Q266" s="368"/>
      <c r="R266" s="370"/>
      <c r="S266" s="370">
        <f t="shared" si="35"/>
        <v>39.930000000000291</v>
      </c>
      <c r="T266" s="368"/>
      <c r="U266" s="368"/>
      <c r="V266" s="368"/>
      <c r="W266" s="368"/>
      <c r="X266" s="368"/>
      <c r="Y266" s="368"/>
      <c r="Z266" s="368"/>
      <c r="AA266" s="368"/>
      <c r="AB266" s="368"/>
      <c r="AC266" s="368"/>
      <c r="AD266" s="368"/>
      <c r="AE266" s="368"/>
      <c r="AF266" s="368"/>
      <c r="AG266" s="367" t="s">
        <v>695</v>
      </c>
      <c r="AH266" s="368" t="s">
        <v>695</v>
      </c>
      <c r="AI266" s="369"/>
      <c r="AJ266" s="368"/>
      <c r="AK266" s="368"/>
      <c r="AL266" s="368"/>
      <c r="AM266" s="368"/>
      <c r="AN266" s="373"/>
      <c r="AO266" s="373"/>
      <c r="AP266" s="373"/>
      <c r="AQ266" s="373">
        <f>+FL_1($T$267,$T$265,$G$266,1200,9.28, 1*$F$267)</f>
        <v>0.4387588</v>
      </c>
      <c r="AR266" s="373"/>
      <c r="AS266" s="373"/>
      <c r="AT266" s="373"/>
      <c r="AU266" s="373"/>
      <c r="AV266" s="373"/>
      <c r="AW266" s="373"/>
      <c r="AX266" s="373"/>
      <c r="AY266" s="373"/>
      <c r="AZ266" s="373"/>
      <c r="BA266" s="373"/>
      <c r="BB266" s="306"/>
    </row>
    <row r="267" spans="1:60" ht="14.25">
      <c r="A267" s="366"/>
      <c r="B267" s="366" t="s">
        <v>2366</v>
      </c>
      <c r="C267" s="367">
        <f>+$C$265+$G$266</f>
        <v>17493</v>
      </c>
      <c r="D267" s="1062"/>
      <c r="E267" s="368"/>
      <c r="F267" s="369">
        <v>0</v>
      </c>
      <c r="G267" s="370"/>
      <c r="H267" s="371"/>
      <c r="I267" s="372" t="s">
        <v>1226</v>
      </c>
      <c r="J267" s="367"/>
      <c r="K267" s="368" t="s">
        <v>1060</v>
      </c>
      <c r="L267" s="368" t="s">
        <v>239</v>
      </c>
      <c r="M267" s="368"/>
      <c r="N267" s="368" t="s">
        <v>674</v>
      </c>
      <c r="O267" s="368"/>
      <c r="P267" s="368"/>
      <c r="Q267" s="368">
        <v>0</v>
      </c>
      <c r="R267" s="369">
        <v>0</v>
      </c>
      <c r="S267" s="370"/>
      <c r="T267" s="368">
        <v>35</v>
      </c>
      <c r="U267" s="368"/>
      <c r="V267" s="368"/>
      <c r="W267" s="368">
        <v>1.1000000000000001</v>
      </c>
      <c r="X267" s="368"/>
      <c r="Y267" s="368"/>
      <c r="Z267" s="368"/>
      <c r="AA267" s="368"/>
      <c r="AB267" s="368"/>
      <c r="AC267" s="368" t="s">
        <v>1700</v>
      </c>
      <c r="AD267" s="368"/>
      <c r="AE267" s="368"/>
      <c r="AF267" s="368">
        <v>200</v>
      </c>
      <c r="AG267" s="367">
        <v>17492.34</v>
      </c>
      <c r="AH267" s="368">
        <v>1164</v>
      </c>
      <c r="AI267" s="369">
        <v>-5015</v>
      </c>
      <c r="AJ267" s="368"/>
      <c r="AK267" s="368"/>
      <c r="AL267" s="368"/>
      <c r="AM267" s="368" t="s">
        <v>2021</v>
      </c>
      <c r="AN267" s="373">
        <v>5.25</v>
      </c>
      <c r="AO267" s="373"/>
      <c r="AP267" s="373"/>
      <c r="AQ267" s="373"/>
      <c r="AR267" s="373"/>
      <c r="AS267" s="373"/>
      <c r="AT267" s="373">
        <f>+ab($T$267,$T$265,$T$269,$G$266,$G$268, 1*$F$267,1200)</f>
        <v>25.843702749089243</v>
      </c>
      <c r="AU267" s="373"/>
      <c r="AV267" s="373"/>
      <c r="AW267" s="373" t="s">
        <v>699</v>
      </c>
      <c r="AX267" s="373" t="s">
        <v>699</v>
      </c>
      <c r="AY267" s="373" t="s">
        <v>699</v>
      </c>
      <c r="AZ267" s="373" t="s">
        <v>699</v>
      </c>
      <c r="BA267" s="373"/>
      <c r="BB267" s="306"/>
    </row>
    <row r="268" spans="1:60" ht="14.25">
      <c r="A268" s="366" t="s">
        <v>978</v>
      </c>
      <c r="B268" s="366"/>
      <c r="C268" s="367"/>
      <c r="D268" s="1062"/>
      <c r="E268" s="368"/>
      <c r="F268" s="369"/>
      <c r="G268" s="370">
        <v>47.4</v>
      </c>
      <c r="H268" s="371"/>
      <c r="I268" s="372" t="s">
        <v>1226</v>
      </c>
      <c r="J268" s="367"/>
      <c r="K268" s="368" t="s">
        <v>1060</v>
      </c>
      <c r="L268" s="368"/>
      <c r="M268" s="368"/>
      <c r="N268" s="368"/>
      <c r="O268" s="368"/>
      <c r="P268" s="368"/>
      <c r="Q268" s="368"/>
      <c r="R268" s="370"/>
      <c r="S268" s="370">
        <f t="shared" si="35"/>
        <v>47.180000000000291</v>
      </c>
      <c r="T268" s="368"/>
      <c r="U268" s="368"/>
      <c r="V268" s="368"/>
      <c r="W268" s="368"/>
      <c r="X268" s="368"/>
      <c r="Y268" s="368"/>
      <c r="Z268" s="368"/>
      <c r="AA268" s="368"/>
      <c r="AB268" s="368"/>
      <c r="AC268" s="368"/>
      <c r="AD268" s="368"/>
      <c r="AE268" s="368"/>
      <c r="AF268" s="368"/>
      <c r="AG268" s="367" t="s">
        <v>695</v>
      </c>
      <c r="AH268" s="368" t="s">
        <v>695</v>
      </c>
      <c r="AI268" s="369"/>
      <c r="AJ268" s="368"/>
      <c r="AK268" s="368"/>
      <c r="AL268" s="368"/>
      <c r="AM268" s="368"/>
      <c r="AN268" s="373"/>
      <c r="AO268" s="373"/>
      <c r="AP268" s="373"/>
      <c r="AQ268" s="373">
        <f>+FL_1($T$269,-$T$267,$G$268,1200,9.28, 1*$F$269)</f>
        <v>0.22923743291139242</v>
      </c>
      <c r="AR268" s="373"/>
      <c r="AS268" s="373"/>
      <c r="AT268" s="373"/>
      <c r="AU268" s="373"/>
      <c r="AV268" s="373"/>
      <c r="AW268" s="373"/>
      <c r="AX268" s="373"/>
      <c r="AY268" s="373"/>
      <c r="AZ268" s="373"/>
      <c r="BA268" s="373"/>
      <c r="BB268" s="306"/>
    </row>
    <row r="269" spans="1:60" ht="14.25">
      <c r="A269" s="340"/>
      <c r="B269" s="340" t="s">
        <v>2367</v>
      </c>
      <c r="C269" s="288">
        <f>+$C$267+$G$268</f>
        <v>17540.400000000001</v>
      </c>
      <c r="D269" s="334"/>
      <c r="E269" s="1121"/>
      <c r="F269" s="289">
        <v>0</v>
      </c>
      <c r="G269" s="292"/>
      <c r="H269" s="291" t="s">
        <v>142</v>
      </c>
      <c r="I269" s="294"/>
      <c r="J269" s="288"/>
      <c r="K269" s="1121"/>
      <c r="L269" s="1121" t="s">
        <v>880</v>
      </c>
      <c r="M269" s="1121" t="s">
        <v>2676</v>
      </c>
      <c r="N269" s="1121" t="s">
        <v>145</v>
      </c>
      <c r="O269" s="1121" t="s">
        <v>144</v>
      </c>
      <c r="P269" s="1121"/>
      <c r="Q269" s="1121">
        <v>0</v>
      </c>
      <c r="R269" s="289">
        <v>0</v>
      </c>
      <c r="S269" s="292"/>
      <c r="T269" s="1121">
        <v>20</v>
      </c>
      <c r="U269" s="1121">
        <v>-5</v>
      </c>
      <c r="V269" s="1121"/>
      <c r="W269" s="1121">
        <v>1.4</v>
      </c>
      <c r="X269" s="1121">
        <v>2</v>
      </c>
      <c r="Y269" s="1121"/>
      <c r="Z269" s="1121"/>
      <c r="AA269" s="1121"/>
      <c r="AB269" s="1121"/>
      <c r="AC269" s="1121" t="s">
        <v>1706</v>
      </c>
      <c r="AD269" s="1121" t="s">
        <v>3255</v>
      </c>
      <c r="AE269" s="1121"/>
      <c r="AF269" s="1121">
        <v>5400</v>
      </c>
      <c r="AG269" s="288">
        <v>17539.52</v>
      </c>
      <c r="AH269" s="1121">
        <v>2945</v>
      </c>
      <c r="AI269" s="289">
        <v>277</v>
      </c>
      <c r="AJ269" s="1121"/>
      <c r="AK269" s="1121"/>
      <c r="AL269" s="1121"/>
      <c r="AM269" s="1121" t="s">
        <v>1228</v>
      </c>
      <c r="AN269" s="315">
        <v>5.31</v>
      </c>
      <c r="AO269" s="315"/>
      <c r="AP269" s="315"/>
      <c r="AQ269" s="315"/>
      <c r="AR269" s="315"/>
      <c r="AS269" s="315"/>
      <c r="AT269" s="315">
        <f>+ab($T$269,-$T$267,$U$271,$G$268,($G$270), 1*$F$269,1200)</f>
        <v>16.100010017921779</v>
      </c>
      <c r="AU269" s="315"/>
      <c r="AV269" s="315"/>
      <c r="AW269" s="315" t="s">
        <v>2630</v>
      </c>
      <c r="AX269" s="315" t="s">
        <v>1639</v>
      </c>
      <c r="AY269" s="315">
        <v>3.3</v>
      </c>
      <c r="AZ269" s="315"/>
      <c r="BA269" s="315"/>
      <c r="BB269" s="306"/>
      <c r="BF269" s="1119"/>
      <c r="BG269" s="1119"/>
      <c r="BH269" s="1119"/>
    </row>
    <row r="270" spans="1:60" ht="14.25">
      <c r="A270" s="340"/>
      <c r="B270" s="340"/>
      <c r="C270" s="288"/>
      <c r="D270" s="334"/>
      <c r="E270" s="1121"/>
      <c r="F270" s="289"/>
      <c r="G270" s="292">
        <v>49.3</v>
      </c>
      <c r="H270" s="291"/>
      <c r="I270" s="294"/>
      <c r="J270" s="288"/>
      <c r="K270" s="1121"/>
      <c r="L270" s="1121"/>
      <c r="M270" s="1121"/>
      <c r="N270" s="1121"/>
      <c r="O270" s="1121"/>
      <c r="P270" s="1121"/>
      <c r="Q270" s="1121"/>
      <c r="R270" s="292"/>
      <c r="S270" s="292">
        <f t="shared" si="35"/>
        <v>49.369999999998981</v>
      </c>
      <c r="T270" s="1121"/>
      <c r="U270" s="1121"/>
      <c r="V270" s="1121"/>
      <c r="W270" s="1121"/>
      <c r="X270" s="1121"/>
      <c r="Y270" s="1121"/>
      <c r="Z270" s="1121"/>
      <c r="AA270" s="1121"/>
      <c r="AB270" s="1121"/>
      <c r="AC270" s="1121"/>
      <c r="AD270" s="1121"/>
      <c r="AE270" s="1121"/>
      <c r="AF270" s="1121"/>
      <c r="AG270" s="288" t="s">
        <v>695</v>
      </c>
      <c r="AH270" s="1121" t="s">
        <v>695</v>
      </c>
      <c r="AI270" s="289"/>
      <c r="AJ270" s="1121"/>
      <c r="AK270" s="1121"/>
      <c r="AL270" s="1121"/>
      <c r="AM270" s="1121"/>
      <c r="AN270" s="315"/>
      <c r="AO270" s="315"/>
      <c r="AP270" s="315"/>
      <c r="AQ270" s="315">
        <f>+FL_1($U$271,$T$269,($G$270),1200,9.28, 1*F271)</f>
        <v>0.43494736666666661</v>
      </c>
      <c r="AR270" s="315"/>
      <c r="AS270" s="315"/>
      <c r="AT270" s="315"/>
      <c r="AU270" s="315"/>
      <c r="AV270" s="315"/>
      <c r="AW270" s="315"/>
      <c r="AX270" s="315"/>
      <c r="AY270" s="315"/>
      <c r="AZ270" s="315"/>
      <c r="BA270" s="315"/>
      <c r="BB270" s="306"/>
      <c r="BF270" s="1119"/>
      <c r="BG270" s="1119"/>
      <c r="BH270" s="1119"/>
    </row>
    <row r="271" spans="1:60" ht="14.25">
      <c r="A271" s="340"/>
      <c r="B271" s="340" t="s">
        <v>2368</v>
      </c>
      <c r="C271" s="288">
        <f>+$C$269+$G$270</f>
        <v>17589.7</v>
      </c>
      <c r="D271" s="334"/>
      <c r="E271" s="1121"/>
      <c r="F271" s="289">
        <v>0</v>
      </c>
      <c r="G271" s="292"/>
      <c r="H271" s="291" t="s">
        <v>142</v>
      </c>
      <c r="I271" s="294"/>
      <c r="J271" s="288"/>
      <c r="K271" s="1121"/>
      <c r="L271" s="1121" t="s">
        <v>231</v>
      </c>
      <c r="M271" s="1121" t="s">
        <v>2672</v>
      </c>
      <c r="N271" s="1121" t="s">
        <v>144</v>
      </c>
      <c r="O271" s="1121" t="s">
        <v>145</v>
      </c>
      <c r="P271" s="1121"/>
      <c r="Q271" s="1121">
        <v>0</v>
      </c>
      <c r="R271" s="289">
        <v>0</v>
      </c>
      <c r="S271" s="292"/>
      <c r="T271" s="1121">
        <v>-5</v>
      </c>
      <c r="U271" s="1121">
        <v>20</v>
      </c>
      <c r="V271" s="1121"/>
      <c r="W271" s="1121">
        <v>2.2999999999999998</v>
      </c>
      <c r="X271" s="1121">
        <v>1.4</v>
      </c>
      <c r="Y271" s="1121"/>
      <c r="Z271" s="1121"/>
      <c r="AA271" s="1121"/>
      <c r="AB271" s="1121"/>
      <c r="AC271" s="1121" t="s">
        <v>3261</v>
      </c>
      <c r="AD271" s="1121" t="s">
        <v>1704</v>
      </c>
      <c r="AE271" s="1121"/>
      <c r="AF271" s="1121">
        <v>6000</v>
      </c>
      <c r="AG271" s="288">
        <v>17588.89</v>
      </c>
      <c r="AH271" s="1121">
        <v>3376</v>
      </c>
      <c r="AI271" s="289">
        <v>720</v>
      </c>
      <c r="AJ271" s="1121"/>
      <c r="AK271" s="1121"/>
      <c r="AL271" s="1121"/>
      <c r="AM271" s="1121" t="s">
        <v>1228</v>
      </c>
      <c r="AN271" s="315">
        <v>5.44</v>
      </c>
      <c r="AO271" s="315"/>
      <c r="AP271" s="315"/>
      <c r="AQ271" s="315"/>
      <c r="AR271" s="315"/>
      <c r="AS271" s="315"/>
      <c r="AT271" s="315">
        <f>+ab($U$271,$T$269,$T$273,G270,$G$272, 1*$F$271,1200)</f>
        <v>17.665271145616739</v>
      </c>
      <c r="AU271" s="315"/>
      <c r="AV271" s="315"/>
      <c r="AW271" s="315" t="s">
        <v>2630</v>
      </c>
      <c r="AX271" s="315" t="s">
        <v>1639</v>
      </c>
      <c r="AY271" s="315">
        <v>3.4</v>
      </c>
      <c r="AZ271" s="315"/>
      <c r="BA271" s="315"/>
      <c r="BB271" s="306"/>
      <c r="BC271" s="307"/>
      <c r="BD271" s="307"/>
      <c r="BE271" s="307"/>
      <c r="BF271" s="1119"/>
      <c r="BG271" s="1119"/>
      <c r="BH271" s="1119"/>
    </row>
    <row r="272" spans="1:60" ht="14.25">
      <c r="A272" s="340"/>
      <c r="B272" s="340"/>
      <c r="C272" s="288"/>
      <c r="D272" s="334"/>
      <c r="E272" s="1121"/>
      <c r="F272" s="289"/>
      <c r="G272" s="292">
        <v>52.3</v>
      </c>
      <c r="H272" s="291"/>
      <c r="I272" s="294"/>
      <c r="J272" s="288"/>
      <c r="K272" s="1121"/>
      <c r="L272" s="1121"/>
      <c r="M272" s="1121"/>
      <c r="N272" s="1121"/>
      <c r="O272" s="1121"/>
      <c r="P272" s="1121"/>
      <c r="Q272" s="1121"/>
      <c r="R272" s="292"/>
      <c r="S272" s="292">
        <f t="shared" si="35"/>
        <v>52.450000000000728</v>
      </c>
      <c r="T272" s="1121"/>
      <c r="U272" s="1121"/>
      <c r="V272" s="1121"/>
      <c r="W272" s="1121"/>
      <c r="X272" s="1121"/>
      <c r="Y272" s="1121"/>
      <c r="Z272" s="1121"/>
      <c r="AA272" s="1121"/>
      <c r="AB272" s="1121"/>
      <c r="AC272" s="1121"/>
      <c r="AD272" s="1121"/>
      <c r="AE272" s="1121"/>
      <c r="AF272" s="1121"/>
      <c r="AG272" s="288"/>
      <c r="AH272" s="1121"/>
      <c r="AI272" s="289"/>
      <c r="AJ272" s="1121"/>
      <c r="AK272" s="1121"/>
      <c r="AL272" s="1121"/>
      <c r="AM272" s="1121"/>
      <c r="AN272" s="315"/>
      <c r="AO272" s="315"/>
      <c r="AP272" s="315"/>
      <c r="AQ272" s="315">
        <f>+FL_2($T$273,$U$271,$G$272,1200,9.28, 1*$F$273)</f>
        <v>-0.41091453250478005</v>
      </c>
      <c r="AR272" s="315"/>
      <c r="AS272" s="315"/>
      <c r="AT272" s="315"/>
      <c r="AU272" s="315"/>
      <c r="AV272" s="315"/>
      <c r="AW272" s="315"/>
      <c r="AX272" s="315"/>
      <c r="AY272" s="315"/>
      <c r="AZ272" s="315"/>
      <c r="BA272" s="315"/>
      <c r="BB272" s="306"/>
      <c r="BC272" s="307"/>
      <c r="BD272" s="307"/>
      <c r="BE272" s="307"/>
      <c r="BF272" s="1119"/>
      <c r="BG272" s="1119"/>
      <c r="BH272" s="1119"/>
    </row>
    <row r="273" spans="1:65" ht="14.25">
      <c r="A273" s="366"/>
      <c r="B273" s="366" t="s">
        <v>2369</v>
      </c>
      <c r="C273" s="367">
        <f>+$C$271+$G$272</f>
        <v>17642</v>
      </c>
      <c r="D273" s="368"/>
      <c r="E273" s="368"/>
      <c r="F273" s="369">
        <v>0</v>
      </c>
      <c r="G273" s="370"/>
      <c r="H273" s="371"/>
      <c r="I273" s="372" t="s">
        <v>1226</v>
      </c>
      <c r="J273" s="367"/>
      <c r="K273" s="368" t="s">
        <v>1060</v>
      </c>
      <c r="L273" s="368" t="s">
        <v>2977</v>
      </c>
      <c r="M273" s="368"/>
      <c r="N273" s="368" t="s">
        <v>673</v>
      </c>
      <c r="O273" s="368"/>
      <c r="P273" s="368"/>
      <c r="Q273" s="368">
        <v>0</v>
      </c>
      <c r="R273" s="369">
        <v>0</v>
      </c>
      <c r="S273" s="370"/>
      <c r="T273" s="368">
        <v>-35</v>
      </c>
      <c r="U273" s="368"/>
      <c r="V273" s="368"/>
      <c r="W273" s="368">
        <v>1.4</v>
      </c>
      <c r="X273" s="368"/>
      <c r="Y273" s="368"/>
      <c r="Z273" s="368"/>
      <c r="AA273" s="368"/>
      <c r="AB273" s="368"/>
      <c r="AC273" s="368" t="s">
        <v>2965</v>
      </c>
      <c r="AD273" s="368"/>
      <c r="AE273" s="368"/>
      <c r="AF273" s="368">
        <v>900</v>
      </c>
      <c r="AG273" s="367">
        <v>17641.34</v>
      </c>
      <c r="AH273" s="368">
        <v>2983</v>
      </c>
      <c r="AI273" s="369">
        <v>-4809</v>
      </c>
      <c r="AJ273" s="368"/>
      <c r="AK273" s="368"/>
      <c r="AL273" s="368"/>
      <c r="AM273" s="368" t="s">
        <v>1228</v>
      </c>
      <c r="AN273" s="373">
        <v>5.5</v>
      </c>
      <c r="AO273" s="373"/>
      <c r="AP273" s="373"/>
      <c r="AQ273" s="373"/>
      <c r="AR273" s="373"/>
      <c r="AS273" s="373"/>
      <c r="AT273" s="373">
        <f>+ab($T$273,$U$271,$T$275,$G$272,$G$274, 1*$F$273,1200)</f>
        <v>-5.9032427403354708</v>
      </c>
      <c r="AU273" s="373"/>
      <c r="AV273" s="373"/>
      <c r="AW273" s="373" t="s">
        <v>699</v>
      </c>
      <c r="AX273" s="373" t="s">
        <v>699</v>
      </c>
      <c r="AY273" s="373" t="s">
        <v>699</v>
      </c>
      <c r="AZ273" s="373" t="s">
        <v>699</v>
      </c>
      <c r="BA273" s="373"/>
      <c r="BB273" s="306"/>
      <c r="BC273" s="307"/>
      <c r="BD273" s="307"/>
      <c r="BE273" s="307"/>
      <c r="BF273" s="1119"/>
      <c r="BG273" s="1119"/>
      <c r="BH273" s="1119"/>
    </row>
    <row r="274" spans="1:65" ht="14.25">
      <c r="A274" s="366"/>
      <c r="B274" s="366"/>
      <c r="C274" s="367"/>
      <c r="D274" s="368"/>
      <c r="E274" s="368"/>
      <c r="F274" s="369"/>
      <c r="G274" s="370">
        <v>32</v>
      </c>
      <c r="H274" s="371"/>
      <c r="I274" s="372" t="s">
        <v>1226</v>
      </c>
      <c r="J274" s="367"/>
      <c r="K274" s="368" t="s">
        <v>1060</v>
      </c>
      <c r="L274" s="368"/>
      <c r="M274" s="368"/>
      <c r="N274" s="368"/>
      <c r="O274" s="368"/>
      <c r="P274" s="368"/>
      <c r="Q274" s="368"/>
      <c r="R274" s="370"/>
      <c r="S274" s="370">
        <f t="shared" si="35"/>
        <v>31.880000000001019</v>
      </c>
      <c r="T274" s="368"/>
      <c r="U274" s="368"/>
      <c r="V274" s="368"/>
      <c r="W274" s="368"/>
      <c r="X274" s="368"/>
      <c r="Y274" s="366"/>
      <c r="Z274" s="367"/>
      <c r="AA274" s="368"/>
      <c r="AB274" s="368"/>
      <c r="AC274" s="368"/>
      <c r="AD274" s="368"/>
      <c r="AE274" s="368"/>
      <c r="AF274" s="368"/>
      <c r="AG274" s="367" t="s">
        <v>695</v>
      </c>
      <c r="AH274" s="368" t="s">
        <v>695</v>
      </c>
      <c r="AI274" s="369"/>
      <c r="AJ274" s="368"/>
      <c r="AK274" s="368"/>
      <c r="AL274" s="368"/>
      <c r="AM274" s="368"/>
      <c r="AN274" s="373"/>
      <c r="AO274" s="373"/>
      <c r="AP274" s="373"/>
      <c r="AQ274" s="373">
        <f>+FL_1($T$275,$T$273,$G$274,1200,9.28, 1*$F$275)</f>
        <v>0.35</v>
      </c>
      <c r="AR274" s="373"/>
      <c r="AS274" s="373"/>
      <c r="AT274" s="373"/>
      <c r="AU274" s="373"/>
      <c r="AV274" s="373"/>
      <c r="AW274" s="373"/>
      <c r="AX274" s="373"/>
      <c r="AY274" s="373" t="s">
        <v>695</v>
      </c>
      <c r="AZ274" s="373"/>
      <c r="BA274" s="373"/>
      <c r="BB274" s="306"/>
      <c r="BE274" s="307"/>
      <c r="BH274" s="1119"/>
    </row>
    <row r="275" spans="1:65" ht="14.25">
      <c r="A275" s="366"/>
      <c r="B275" s="366" t="s">
        <v>2370</v>
      </c>
      <c r="C275" s="367">
        <f>+$C$273+$G$274</f>
        <v>17674</v>
      </c>
      <c r="D275" s="1062"/>
      <c r="E275" s="368"/>
      <c r="F275" s="369">
        <v>0</v>
      </c>
      <c r="G275" s="370"/>
      <c r="H275" s="371"/>
      <c r="I275" s="372"/>
      <c r="J275" s="367"/>
      <c r="K275" s="368" t="s">
        <v>1060</v>
      </c>
      <c r="L275" s="368" t="s">
        <v>2977</v>
      </c>
      <c r="M275" s="368"/>
      <c r="N275" s="368" t="s">
        <v>674</v>
      </c>
      <c r="O275" s="368"/>
      <c r="P275" s="368"/>
      <c r="Q275" s="368">
        <v>0</v>
      </c>
      <c r="R275" s="369">
        <v>0</v>
      </c>
      <c r="S275" s="370"/>
      <c r="T275" s="368">
        <v>35</v>
      </c>
      <c r="U275" s="368"/>
      <c r="V275" s="368"/>
      <c r="W275" s="368">
        <v>1.4</v>
      </c>
      <c r="X275" s="368"/>
      <c r="Y275" s="368"/>
      <c r="Z275" s="368"/>
      <c r="AA275" s="368"/>
      <c r="AB275" s="368"/>
      <c r="AC275" s="368" t="s">
        <v>2965</v>
      </c>
      <c r="AD275" s="368"/>
      <c r="AE275" s="368"/>
      <c r="AF275" s="368">
        <v>900</v>
      </c>
      <c r="AG275" s="367">
        <v>17673.22</v>
      </c>
      <c r="AH275" s="368">
        <v>2913</v>
      </c>
      <c r="AI275" s="369">
        <v>-4745</v>
      </c>
      <c r="AJ275" s="368"/>
      <c r="AK275" s="368"/>
      <c r="AL275" s="368"/>
      <c r="AM275" s="368" t="s">
        <v>2021</v>
      </c>
      <c r="AN275" s="373">
        <v>5.5</v>
      </c>
      <c r="AO275" s="373"/>
      <c r="AP275" s="373"/>
      <c r="AQ275" s="373"/>
      <c r="AR275" s="373"/>
      <c r="AS275" s="373"/>
      <c r="AT275" s="373">
        <f>+ab($T$275,$T$273,$T$277,$G$274,$G$276, 1*$F$275,1200)</f>
        <v>5.333459765440586</v>
      </c>
      <c r="AU275" s="373"/>
      <c r="AV275" s="373"/>
      <c r="AW275" s="373" t="s">
        <v>699</v>
      </c>
      <c r="AX275" s="373" t="s">
        <v>699</v>
      </c>
      <c r="AY275" s="373" t="s">
        <v>699</v>
      </c>
      <c r="AZ275" s="373" t="s">
        <v>699</v>
      </c>
      <c r="BA275" s="373"/>
      <c r="BB275" s="306"/>
      <c r="BE275" s="307"/>
      <c r="BF275" s="362"/>
      <c r="BG275" s="362"/>
      <c r="BH275" s="1119"/>
    </row>
    <row r="276" spans="1:65" ht="14.25">
      <c r="A276" s="366"/>
      <c r="B276" s="366"/>
      <c r="C276" s="367"/>
      <c r="D276" s="1062"/>
      <c r="E276" s="368"/>
      <c r="F276" s="369"/>
      <c r="G276" s="370">
        <v>50</v>
      </c>
      <c r="H276" s="371"/>
      <c r="I276" s="372"/>
      <c r="J276" s="367"/>
      <c r="K276" s="368"/>
      <c r="L276" s="368"/>
      <c r="M276" s="368"/>
      <c r="N276" s="368"/>
      <c r="O276" s="368"/>
      <c r="P276" s="368"/>
      <c r="Q276" s="368"/>
      <c r="R276" s="370"/>
      <c r="S276" s="370">
        <f t="shared" si="35"/>
        <v>49.860000000000582</v>
      </c>
      <c r="T276" s="368"/>
      <c r="U276" s="368"/>
      <c r="V276" s="368"/>
      <c r="W276" s="368"/>
      <c r="X276" s="368"/>
      <c r="Y276" s="368"/>
      <c r="Z276" s="368"/>
      <c r="AA276" s="368"/>
      <c r="AB276" s="368"/>
      <c r="AC276" s="368"/>
      <c r="AD276" s="368"/>
      <c r="AE276" s="368"/>
      <c r="AF276" s="368"/>
      <c r="AG276" s="367" t="s">
        <v>695</v>
      </c>
      <c r="AH276" s="368" t="s">
        <v>695</v>
      </c>
      <c r="AI276" s="369"/>
      <c r="AJ276" s="368"/>
      <c r="AK276" s="368"/>
      <c r="AL276" s="368"/>
      <c r="AM276" s="368"/>
      <c r="AN276" s="373"/>
      <c r="AO276" s="373"/>
      <c r="AP276" s="373"/>
      <c r="AQ276" s="373">
        <f>+FL_2($T$277,$T$275,$G$276,1200,9.28, 1*$F$277)</f>
        <v>-0.36839079999999996</v>
      </c>
      <c r="AR276" s="373"/>
      <c r="AS276" s="373"/>
      <c r="AT276" s="373"/>
      <c r="AU276" s="373"/>
      <c r="AV276" s="373"/>
      <c r="AW276" s="373"/>
      <c r="AX276" s="373"/>
      <c r="AY276" s="373"/>
      <c r="AZ276" s="373"/>
      <c r="BA276" s="373"/>
      <c r="BB276" s="306"/>
    </row>
    <row r="277" spans="1:65" ht="14.25">
      <c r="A277" s="366"/>
      <c r="B277" s="366" t="s">
        <v>2371</v>
      </c>
      <c r="C277" s="367">
        <f>+$C$275+$G$276</f>
        <v>17724</v>
      </c>
      <c r="D277" s="1062"/>
      <c r="E277" s="368"/>
      <c r="F277" s="369">
        <v>0</v>
      </c>
      <c r="G277" s="370"/>
      <c r="H277" s="371" t="s">
        <v>1059</v>
      </c>
      <c r="I277" s="372"/>
      <c r="J277" s="367"/>
      <c r="K277" s="368"/>
      <c r="L277" s="368" t="s">
        <v>2977</v>
      </c>
      <c r="M277" s="368"/>
      <c r="N277" s="368" t="s">
        <v>673</v>
      </c>
      <c r="O277" s="368"/>
      <c r="P277" s="368"/>
      <c r="Q277" s="368">
        <v>0</v>
      </c>
      <c r="R277" s="369">
        <v>0</v>
      </c>
      <c r="S277" s="370"/>
      <c r="T277" s="368">
        <v>-35</v>
      </c>
      <c r="U277" s="368"/>
      <c r="V277" s="368"/>
      <c r="W277" s="368">
        <v>1.4</v>
      </c>
      <c r="X277" s="368"/>
      <c r="Y277" s="368"/>
      <c r="Z277" s="368"/>
      <c r="AA277" s="368"/>
      <c r="AB277" s="368"/>
      <c r="AC277" s="368" t="s">
        <v>2965</v>
      </c>
      <c r="AD277" s="368"/>
      <c r="AE277" s="368"/>
      <c r="AF277" s="368">
        <v>900</v>
      </c>
      <c r="AG277" s="367">
        <v>17723.080000000002</v>
      </c>
      <c r="AH277" s="368">
        <v>2903</v>
      </c>
      <c r="AI277" s="369">
        <v>-4638</v>
      </c>
      <c r="AJ277" s="368"/>
      <c r="AK277" s="368"/>
      <c r="AL277" s="368"/>
      <c r="AM277" s="368" t="s">
        <v>2021</v>
      </c>
      <c r="AN277" s="373">
        <v>5.5</v>
      </c>
      <c r="AO277" s="373"/>
      <c r="AP277" s="373"/>
      <c r="AQ277" s="373"/>
      <c r="AR277" s="373"/>
      <c r="AS277" s="373"/>
      <c r="AT277" s="373">
        <f>+ab($T$277,$T$275,$T$279,$G$276,$G$278, 1*$F$277,1200)</f>
        <v>-6.4650411729017883</v>
      </c>
      <c r="AU277" s="373"/>
      <c r="AV277" s="373"/>
      <c r="AW277" s="373" t="s">
        <v>699</v>
      </c>
      <c r="AX277" s="373" t="s">
        <v>699</v>
      </c>
      <c r="AY277" s="373" t="s">
        <v>699</v>
      </c>
      <c r="AZ277" s="373" t="s">
        <v>699</v>
      </c>
      <c r="BA277" s="373"/>
      <c r="BB277" s="306"/>
    </row>
    <row r="278" spans="1:65" ht="14.25">
      <c r="A278" s="366"/>
      <c r="B278" s="366"/>
      <c r="C278" s="367"/>
      <c r="D278" s="1062"/>
      <c r="E278" s="368"/>
      <c r="F278" s="369"/>
      <c r="G278" s="370">
        <v>45</v>
      </c>
      <c r="H278" s="371"/>
      <c r="I278" s="372">
        <f>SUM(G260:G278)-10</f>
        <v>466</v>
      </c>
      <c r="J278" s="367">
        <f>C277+10</f>
        <v>17734</v>
      </c>
      <c r="K278" s="368" t="s">
        <v>1060</v>
      </c>
      <c r="L278" s="368"/>
      <c r="M278" s="368"/>
      <c r="N278" s="368"/>
      <c r="O278" s="368"/>
      <c r="P278" s="368"/>
      <c r="Q278" s="368"/>
      <c r="R278" s="370"/>
      <c r="S278" s="370">
        <f t="shared" si="35"/>
        <v>45.519999999996799</v>
      </c>
      <c r="T278" s="368"/>
      <c r="U278" s="368"/>
      <c r="V278" s="368"/>
      <c r="W278" s="368"/>
      <c r="X278" s="368"/>
      <c r="Y278" s="368"/>
      <c r="Z278" s="368"/>
      <c r="AA278" s="368"/>
      <c r="AB278" s="368"/>
      <c r="AC278" s="368"/>
      <c r="AD278" s="368"/>
      <c r="AE278" s="368"/>
      <c r="AF278" s="368"/>
      <c r="AG278" s="367" t="s">
        <v>695</v>
      </c>
      <c r="AH278" s="368" t="s">
        <v>695</v>
      </c>
      <c r="AI278" s="369"/>
      <c r="AJ278" s="368"/>
      <c r="AK278" s="368"/>
      <c r="AL278" s="368"/>
      <c r="AM278" s="368"/>
      <c r="AN278" s="373"/>
      <c r="AO278" s="373"/>
      <c r="AP278" s="373"/>
      <c r="AQ278" s="373">
        <f>+FL_1($T$279,$T$277,$G$278,1200,9.28, 1*$F$279)</f>
        <v>0.35219954355555555</v>
      </c>
      <c r="AR278" s="373"/>
      <c r="AS278" s="373"/>
      <c r="AT278" s="373"/>
      <c r="AU278" s="373"/>
      <c r="AV278" s="373"/>
      <c r="AW278" s="373"/>
      <c r="AX278" s="373"/>
      <c r="AY278" s="373"/>
      <c r="AZ278" s="373"/>
      <c r="BA278" s="373"/>
      <c r="BB278" s="306"/>
    </row>
    <row r="279" spans="1:65" ht="14.25">
      <c r="A279" s="366"/>
      <c r="B279" s="366" t="s">
        <v>2372</v>
      </c>
      <c r="C279" s="367">
        <f>+$C$277+$G$278</f>
        <v>17769</v>
      </c>
      <c r="D279" s="1062"/>
      <c r="E279" s="368"/>
      <c r="F279" s="369">
        <v>0</v>
      </c>
      <c r="G279" s="370"/>
      <c r="H279" s="371" t="s">
        <v>956</v>
      </c>
      <c r="I279" s="372"/>
      <c r="J279" s="367"/>
      <c r="K279" s="368"/>
      <c r="L279" s="368" t="s">
        <v>2977</v>
      </c>
      <c r="M279" s="368"/>
      <c r="N279" s="368" t="s">
        <v>674</v>
      </c>
      <c r="O279" s="368"/>
      <c r="P279" s="368"/>
      <c r="Q279" s="368">
        <v>0</v>
      </c>
      <c r="R279" s="369">
        <v>0</v>
      </c>
      <c r="S279" s="370"/>
      <c r="T279" s="368">
        <v>35</v>
      </c>
      <c r="U279" s="368"/>
      <c r="V279" s="368"/>
      <c r="W279" s="368">
        <v>1.4</v>
      </c>
      <c r="X279" s="368"/>
      <c r="Y279" s="368"/>
      <c r="Z279" s="368"/>
      <c r="AA279" s="368"/>
      <c r="AB279" s="368"/>
      <c r="AC279" s="368" t="s">
        <v>2965</v>
      </c>
      <c r="AD279" s="368"/>
      <c r="AE279" s="368"/>
      <c r="AF279" s="368">
        <v>900</v>
      </c>
      <c r="AG279" s="367">
        <v>17768.599999999999</v>
      </c>
      <c r="AH279" s="368">
        <v>2883</v>
      </c>
      <c r="AI279" s="369">
        <v>-4680</v>
      </c>
      <c r="AJ279" s="368"/>
      <c r="AK279" s="368"/>
      <c r="AL279" s="368"/>
      <c r="AM279" s="368" t="s">
        <v>2021</v>
      </c>
      <c r="AN279" s="373">
        <v>5.5</v>
      </c>
      <c r="AO279" s="373"/>
      <c r="AP279" s="373"/>
      <c r="AQ279" s="373"/>
      <c r="AR279" s="373"/>
      <c r="AS279" s="373"/>
      <c r="AT279" s="373">
        <f>+ab($T$279,$T$277,$T$281,$G$278,$G$280, 1*$F$279,1200)</f>
        <v>6.1443073419873819</v>
      </c>
      <c r="AU279" s="373"/>
      <c r="AV279" s="373"/>
      <c r="AW279" s="373" t="s">
        <v>699</v>
      </c>
      <c r="AX279" s="373" t="s">
        <v>699</v>
      </c>
      <c r="AY279" s="373" t="s">
        <v>699</v>
      </c>
      <c r="AZ279" s="373" t="s">
        <v>699</v>
      </c>
      <c r="BA279" s="373"/>
      <c r="BB279" s="306"/>
    </row>
    <row r="280" spans="1:65" ht="14.25">
      <c r="A280" s="366"/>
      <c r="B280" s="366"/>
      <c r="C280" s="367"/>
      <c r="D280" s="1062"/>
      <c r="E280" s="368"/>
      <c r="F280" s="369"/>
      <c r="G280" s="370">
        <v>45</v>
      </c>
      <c r="H280" s="371"/>
      <c r="I280" s="372">
        <f>SUM(G280:G297)</f>
        <v>501</v>
      </c>
      <c r="J280" s="367">
        <f>C281-10</f>
        <v>17804</v>
      </c>
      <c r="K280" s="368" t="s">
        <v>1060</v>
      </c>
      <c r="L280" s="368"/>
      <c r="M280" s="368"/>
      <c r="N280" s="368"/>
      <c r="O280" s="368"/>
      <c r="P280" s="368"/>
      <c r="Q280" s="368"/>
      <c r="R280" s="370"/>
      <c r="S280" s="370">
        <f t="shared" ref="S280:S342" si="40">+AG281-AG279</f>
        <v>44.390000000003056</v>
      </c>
      <c r="T280" s="368"/>
      <c r="U280" s="368"/>
      <c r="V280" s="368"/>
      <c r="W280" s="368"/>
      <c r="X280" s="368"/>
      <c r="Y280" s="368"/>
      <c r="Z280" s="368"/>
      <c r="AA280" s="368"/>
      <c r="AB280" s="368"/>
      <c r="AC280" s="368"/>
      <c r="AD280" s="368"/>
      <c r="AE280" s="368"/>
      <c r="AF280" s="368"/>
      <c r="AG280" s="367" t="s">
        <v>695</v>
      </c>
      <c r="AH280" s="368" t="s">
        <v>695</v>
      </c>
      <c r="AI280" s="369"/>
      <c r="AJ280" s="368"/>
      <c r="AK280" s="368"/>
      <c r="AL280" s="368"/>
      <c r="AM280" s="368"/>
      <c r="AN280" s="373"/>
      <c r="AO280" s="373"/>
      <c r="AP280" s="373"/>
      <c r="AQ280" s="373">
        <f>+FL_1($T$281,$T$279,$G$280,1200,9.28, 1*$F$281)</f>
        <v>0.35219954355555549</v>
      </c>
      <c r="AR280" s="373"/>
      <c r="AS280" s="373"/>
      <c r="AT280" s="373"/>
      <c r="AU280" s="373"/>
      <c r="AV280" s="373"/>
      <c r="AW280" s="373"/>
      <c r="AX280" s="373"/>
      <c r="AY280" s="373"/>
      <c r="AZ280" s="373"/>
      <c r="BA280" s="373"/>
      <c r="BB280" s="306"/>
    </row>
    <row r="281" spans="1:65" ht="14.25">
      <c r="A281" s="366"/>
      <c r="B281" s="366" t="s">
        <v>2373</v>
      </c>
      <c r="C281" s="367">
        <f>+$C$279+$G$280</f>
        <v>17814</v>
      </c>
      <c r="D281" s="1062"/>
      <c r="E281" s="368"/>
      <c r="F281" s="369">
        <v>0</v>
      </c>
      <c r="G281" s="370"/>
      <c r="H281" s="371" t="s">
        <v>1059</v>
      </c>
      <c r="I281" s="372"/>
      <c r="J281" s="367"/>
      <c r="K281" s="368"/>
      <c r="L281" s="368" t="s">
        <v>2977</v>
      </c>
      <c r="M281" s="368"/>
      <c r="N281" s="368" t="s">
        <v>673</v>
      </c>
      <c r="O281" s="368"/>
      <c r="P281" s="368"/>
      <c r="Q281" s="368">
        <v>0</v>
      </c>
      <c r="R281" s="369">
        <v>0</v>
      </c>
      <c r="S281" s="370"/>
      <c r="T281" s="368">
        <v>-35</v>
      </c>
      <c r="U281" s="368"/>
      <c r="V281" s="368"/>
      <c r="W281" s="368">
        <v>1.4</v>
      </c>
      <c r="X281" s="368"/>
      <c r="Y281" s="368"/>
      <c r="Z281" s="368"/>
      <c r="AA281" s="368"/>
      <c r="AB281" s="368"/>
      <c r="AC281" s="368" t="s">
        <v>2965</v>
      </c>
      <c r="AD281" s="368"/>
      <c r="AE281" s="368"/>
      <c r="AF281" s="368">
        <v>900</v>
      </c>
      <c r="AG281" s="367">
        <v>17812.990000000002</v>
      </c>
      <c r="AH281" s="368">
        <v>2926</v>
      </c>
      <c r="AI281" s="369">
        <v>-4457</v>
      </c>
      <c r="AJ281" s="368"/>
      <c r="AK281" s="368"/>
      <c r="AL281" s="368"/>
      <c r="AM281" s="368" t="s">
        <v>2021</v>
      </c>
      <c r="AN281" s="373">
        <v>5.45</v>
      </c>
      <c r="AO281" s="373"/>
      <c r="AP281" s="373"/>
      <c r="AQ281" s="373"/>
      <c r="AR281" s="373"/>
      <c r="AS281" s="373"/>
      <c r="AT281" s="373">
        <f>+ab($T$281,$T$279,$T$283,$G$280,$G$282, 1*$F$281,1200)</f>
        <v>-6.1443249806553206</v>
      </c>
      <c r="AU281" s="373"/>
      <c r="AV281" s="373"/>
      <c r="AW281" s="373" t="s">
        <v>699</v>
      </c>
      <c r="AX281" s="373" t="s">
        <v>699</v>
      </c>
      <c r="AY281" s="373" t="s">
        <v>699</v>
      </c>
      <c r="AZ281" s="373" t="s">
        <v>699</v>
      </c>
      <c r="BA281" s="373"/>
      <c r="BB281" s="306"/>
      <c r="BI281" s="307"/>
      <c r="BJ281" s="307"/>
      <c r="BK281" s="307"/>
      <c r="BL281" s="307"/>
      <c r="BM281" s="307"/>
    </row>
    <row r="282" spans="1:65" ht="14.25">
      <c r="A282" s="366"/>
      <c r="B282" s="366"/>
      <c r="C282" s="367"/>
      <c r="D282" s="1062"/>
      <c r="E282" s="368"/>
      <c r="F282" s="369"/>
      <c r="G282" s="370">
        <v>45</v>
      </c>
      <c r="H282" s="371"/>
      <c r="I282" s="372"/>
      <c r="J282" s="367"/>
      <c r="K282" s="368"/>
      <c r="L282" s="368"/>
      <c r="M282" s="368"/>
      <c r="N282" s="368"/>
      <c r="O282" s="368"/>
      <c r="P282" s="368"/>
      <c r="Q282" s="368"/>
      <c r="R282" s="370"/>
      <c r="S282" s="370">
        <f t="shared" si="40"/>
        <v>45.309999999997672</v>
      </c>
      <c r="T282" s="368"/>
      <c r="U282" s="368"/>
      <c r="V282" s="368"/>
      <c r="W282" s="368"/>
      <c r="X282" s="368"/>
      <c r="Y282" s="368"/>
      <c r="Z282" s="368"/>
      <c r="AA282" s="368"/>
      <c r="AB282" s="368"/>
      <c r="AC282" s="368"/>
      <c r="AD282" s="368"/>
      <c r="AE282" s="368"/>
      <c r="AF282" s="368"/>
      <c r="AG282" s="367" t="s">
        <v>695</v>
      </c>
      <c r="AH282" s="368" t="s">
        <v>695</v>
      </c>
      <c r="AI282" s="369"/>
      <c r="AJ282" s="368"/>
      <c r="AK282" s="368"/>
      <c r="AL282" s="368"/>
      <c r="AM282" s="368"/>
      <c r="AN282" s="373"/>
      <c r="AO282" s="373"/>
      <c r="AP282" s="373"/>
      <c r="AQ282" s="373">
        <f>+FL_2($T$283,$T$281,$G$282,1200,9.28, 1*$F$283)</f>
        <v>-0.35219954355555549</v>
      </c>
      <c r="AR282" s="373"/>
      <c r="AS282" s="373"/>
      <c r="AT282" s="373"/>
      <c r="AU282" s="373"/>
      <c r="AV282" s="373"/>
      <c r="AW282" s="373"/>
      <c r="AX282" s="373"/>
      <c r="AY282" s="373"/>
      <c r="AZ282" s="373"/>
      <c r="BA282" s="373"/>
      <c r="BB282" s="306"/>
    </row>
    <row r="283" spans="1:65" ht="14.25">
      <c r="A283" s="366"/>
      <c r="B283" s="366" t="s">
        <v>2374</v>
      </c>
      <c r="C283" s="367">
        <f>+$C$281+$G$282</f>
        <v>17859</v>
      </c>
      <c r="D283" s="1062"/>
      <c r="E283" s="368"/>
      <c r="F283" s="369">
        <v>0</v>
      </c>
      <c r="G283" s="370"/>
      <c r="H283" s="371" t="s">
        <v>986</v>
      </c>
      <c r="I283" s="372" t="s">
        <v>911</v>
      </c>
      <c r="J283" s="367"/>
      <c r="K283" s="368"/>
      <c r="L283" s="368" t="s">
        <v>2977</v>
      </c>
      <c r="M283" s="368"/>
      <c r="N283" s="368" t="s">
        <v>674</v>
      </c>
      <c r="O283" s="368"/>
      <c r="P283" s="368"/>
      <c r="Q283" s="368">
        <v>0</v>
      </c>
      <c r="R283" s="369">
        <v>0</v>
      </c>
      <c r="S283" s="370"/>
      <c r="T283" s="368">
        <v>35</v>
      </c>
      <c r="U283" s="368"/>
      <c r="V283" s="368"/>
      <c r="W283" s="368">
        <v>1.4</v>
      </c>
      <c r="X283" s="368"/>
      <c r="Y283" s="368"/>
      <c r="Z283" s="368"/>
      <c r="AA283" s="368"/>
      <c r="AB283" s="368"/>
      <c r="AC283" s="368" t="s">
        <v>2965</v>
      </c>
      <c r="AD283" s="368"/>
      <c r="AE283" s="368"/>
      <c r="AF283" s="368">
        <v>900</v>
      </c>
      <c r="AG283" s="367">
        <v>17858.3</v>
      </c>
      <c r="AH283" s="368">
        <v>2916</v>
      </c>
      <c r="AI283" s="369">
        <v>-4441</v>
      </c>
      <c r="AJ283" s="368"/>
      <c r="AK283" s="368"/>
      <c r="AL283" s="368"/>
      <c r="AM283" s="368" t="s">
        <v>2021</v>
      </c>
      <c r="AN283" s="373">
        <v>5.33</v>
      </c>
      <c r="AO283" s="373"/>
      <c r="AP283" s="373"/>
      <c r="AQ283" s="373"/>
      <c r="AR283" s="373"/>
      <c r="AS283" s="373"/>
      <c r="AT283" s="373">
        <f>+ab($T$283,$T$281,$U$285,$G$282,$G$284, 1*$F$283,1200)</f>
        <v>7.4131635229907751</v>
      </c>
      <c r="AU283" s="373"/>
      <c r="AV283" s="373"/>
      <c r="AW283" s="373" t="s">
        <v>699</v>
      </c>
      <c r="AX283" s="373" t="s">
        <v>699</v>
      </c>
      <c r="AY283" s="373" t="s">
        <v>699</v>
      </c>
      <c r="AZ283" s="373" t="s">
        <v>699</v>
      </c>
      <c r="BA283" s="373"/>
      <c r="BB283" s="306"/>
    </row>
    <row r="284" spans="1:65" ht="14.25">
      <c r="A284" s="366"/>
      <c r="B284" s="366"/>
      <c r="C284" s="367"/>
      <c r="D284" s="1062"/>
      <c r="E284" s="368"/>
      <c r="F284" s="369"/>
      <c r="G284" s="370">
        <v>54</v>
      </c>
      <c r="H284" s="371"/>
      <c r="I284" s="372"/>
      <c r="J284" s="367">
        <f>C283+10</f>
        <v>17869</v>
      </c>
      <c r="K284" s="368" t="s">
        <v>1055</v>
      </c>
      <c r="L284" s="368"/>
      <c r="M284" s="368"/>
      <c r="N284" s="368"/>
      <c r="O284" s="368"/>
      <c r="P284" s="368"/>
      <c r="Q284" s="368"/>
      <c r="R284" s="370"/>
      <c r="S284" s="370">
        <f t="shared" si="40"/>
        <v>53.330000000001746</v>
      </c>
      <c r="T284" s="368"/>
      <c r="U284" s="368"/>
      <c r="V284" s="368"/>
      <c r="W284" s="368"/>
      <c r="X284" s="368"/>
      <c r="Y284" s="368"/>
      <c r="Z284" s="368"/>
      <c r="AA284" s="368"/>
      <c r="AB284" s="368"/>
      <c r="AC284" s="368"/>
      <c r="AD284" s="368"/>
      <c r="AE284" s="368"/>
      <c r="AF284" s="368"/>
      <c r="AG284" s="367" t="s">
        <v>695</v>
      </c>
      <c r="AH284" s="368" t="s">
        <v>695</v>
      </c>
      <c r="AI284" s="369"/>
      <c r="AJ284" s="368"/>
      <c r="AK284" s="368"/>
      <c r="AL284" s="368"/>
      <c r="AM284" s="368"/>
      <c r="AN284" s="373"/>
      <c r="AO284" s="373"/>
      <c r="AP284" s="373"/>
      <c r="AQ284" s="373">
        <f>+FL_1($U$285,$T$283,$G$284,1200,9.28, 1*$F$285)</f>
        <v>0.42395198088888891</v>
      </c>
      <c r="AR284" s="373"/>
      <c r="AS284" s="373"/>
      <c r="AT284" s="373"/>
      <c r="AU284" s="373"/>
      <c r="AV284" s="373"/>
      <c r="AW284" s="373"/>
      <c r="AX284" s="373"/>
      <c r="AY284" s="373"/>
      <c r="AZ284" s="373"/>
      <c r="BA284" s="373"/>
      <c r="BB284" s="306"/>
    </row>
    <row r="285" spans="1:65" ht="14.25">
      <c r="A285" s="366"/>
      <c r="B285" s="366" t="s">
        <v>2375</v>
      </c>
      <c r="C285" s="367">
        <f>+$C$283+$G$284</f>
        <v>17913</v>
      </c>
      <c r="D285" s="1062"/>
      <c r="E285" s="368"/>
      <c r="F285" s="369">
        <v>0</v>
      </c>
      <c r="G285" s="370"/>
      <c r="H285" s="371" t="s">
        <v>651</v>
      </c>
      <c r="I285" s="372" t="s">
        <v>1226</v>
      </c>
      <c r="J285" s="367"/>
      <c r="K285" s="368" t="s">
        <v>1060</v>
      </c>
      <c r="L285" s="368" t="s">
        <v>2978</v>
      </c>
      <c r="M285" s="368"/>
      <c r="N285" s="368" t="s">
        <v>675</v>
      </c>
      <c r="O285" s="368" t="s">
        <v>3251</v>
      </c>
      <c r="P285" s="368"/>
      <c r="Q285" s="368">
        <v>0</v>
      </c>
      <c r="R285" s="369">
        <v>0</v>
      </c>
      <c r="S285" s="370"/>
      <c r="T285" s="368">
        <v>-70</v>
      </c>
      <c r="U285" s="368">
        <v>-20</v>
      </c>
      <c r="V285" s="368"/>
      <c r="W285" s="368">
        <v>1.1000000000000001</v>
      </c>
      <c r="X285" s="368">
        <v>0.9</v>
      </c>
      <c r="Y285" s="368"/>
      <c r="Z285" s="368">
        <v>0.45</v>
      </c>
      <c r="AA285" s="368"/>
      <c r="AB285" s="368"/>
      <c r="AC285" s="368" t="s">
        <v>2965</v>
      </c>
      <c r="AD285" s="368"/>
      <c r="AE285" s="368"/>
      <c r="AF285" s="368">
        <v>1000</v>
      </c>
      <c r="AG285" s="367">
        <v>17911.63</v>
      </c>
      <c r="AH285" s="368">
        <v>2972</v>
      </c>
      <c r="AI285" s="369">
        <v>-4483</v>
      </c>
      <c r="AJ285" s="368"/>
      <c r="AK285" s="368"/>
      <c r="AL285" s="368"/>
      <c r="AM285" s="368" t="s">
        <v>2021</v>
      </c>
      <c r="AN285" s="373">
        <v>5.25</v>
      </c>
      <c r="AO285" s="373"/>
      <c r="AP285" s="373"/>
      <c r="AQ285" s="373"/>
      <c r="AR285" s="373"/>
      <c r="AS285" s="373"/>
      <c r="AT285" s="373">
        <f>+ab($U$285,$T$283,$U$287,$G$284,$G$286, 1*$F$285,1200)</f>
        <v>-19.885624362006986</v>
      </c>
      <c r="AU285" s="373"/>
      <c r="AV285" s="373"/>
      <c r="AW285" s="373" t="s">
        <v>699</v>
      </c>
      <c r="AX285" s="373" t="s">
        <v>699</v>
      </c>
      <c r="AY285" s="373" t="s">
        <v>699</v>
      </c>
      <c r="AZ285" s="373" t="s">
        <v>699</v>
      </c>
      <c r="BA285" s="373"/>
      <c r="BB285" s="306"/>
    </row>
    <row r="286" spans="1:65" ht="14.25">
      <c r="A286" s="366"/>
      <c r="B286" s="366"/>
      <c r="C286" s="367"/>
      <c r="D286" s="1062"/>
      <c r="E286" s="368"/>
      <c r="F286" s="369"/>
      <c r="G286" s="370">
        <v>54</v>
      </c>
      <c r="H286" s="371"/>
      <c r="I286" s="372" t="s">
        <v>1226</v>
      </c>
      <c r="J286" s="367"/>
      <c r="K286" s="368" t="s">
        <v>1060</v>
      </c>
      <c r="L286" s="368"/>
      <c r="M286" s="368"/>
      <c r="N286" s="368"/>
      <c r="O286" s="368"/>
      <c r="P286" s="368"/>
      <c r="Q286" s="368"/>
      <c r="R286" s="370"/>
      <c r="S286" s="370">
        <f t="shared" si="40"/>
        <v>54.549999999999272</v>
      </c>
      <c r="T286" s="368"/>
      <c r="U286" s="368"/>
      <c r="V286" s="368"/>
      <c r="W286" s="368"/>
      <c r="X286" s="368"/>
      <c r="Y286" s="368"/>
      <c r="Z286" s="368"/>
      <c r="AA286" s="368"/>
      <c r="AB286" s="368"/>
      <c r="AC286" s="368"/>
      <c r="AD286" s="368"/>
      <c r="AE286" s="368"/>
      <c r="AF286" s="368"/>
      <c r="AG286" s="367">
        <v>17913.09</v>
      </c>
      <c r="AH286" s="368">
        <v>2963</v>
      </c>
      <c r="AI286" s="369">
        <v>-4464</v>
      </c>
      <c r="AJ286" s="368"/>
      <c r="AK286" s="368"/>
      <c r="AL286" s="368"/>
      <c r="AM286" s="368"/>
      <c r="AN286" s="373"/>
      <c r="AO286" s="373"/>
      <c r="AP286" s="373"/>
      <c r="AQ286" s="373">
        <f>+FL_2($U$287,$U$285,$G$286,1200,8.28, 1*$F$287)</f>
        <v>-0.47712625874074072</v>
      </c>
      <c r="AR286" s="373"/>
      <c r="AS286" s="373"/>
      <c r="AT286" s="373"/>
      <c r="AU286" s="373"/>
      <c r="AV286" s="373"/>
      <c r="AW286" s="373"/>
      <c r="AX286" s="373"/>
      <c r="AY286" s="373"/>
      <c r="AZ286" s="373"/>
      <c r="BA286" s="373"/>
      <c r="BB286" s="306"/>
    </row>
    <row r="287" spans="1:65" ht="14.25">
      <c r="A287" s="340"/>
      <c r="B287" s="340" t="s">
        <v>2590</v>
      </c>
      <c r="C287" s="288">
        <f>+$C$285+$G$286</f>
        <v>17967</v>
      </c>
      <c r="D287" s="334"/>
      <c r="E287" s="1121"/>
      <c r="F287" s="289">
        <v>0</v>
      </c>
      <c r="G287" s="292"/>
      <c r="H287" s="291" t="s">
        <v>142</v>
      </c>
      <c r="I287" s="294"/>
      <c r="J287" s="288"/>
      <c r="K287" s="1121"/>
      <c r="L287" s="1121" t="s">
        <v>231</v>
      </c>
      <c r="M287" s="1121" t="s">
        <v>2672</v>
      </c>
      <c r="N287" s="1121" t="s">
        <v>145</v>
      </c>
      <c r="O287" s="1121" t="s">
        <v>144</v>
      </c>
      <c r="P287" s="1121"/>
      <c r="Q287" s="1121">
        <v>0</v>
      </c>
      <c r="R287" s="289">
        <v>0</v>
      </c>
      <c r="S287" s="292"/>
      <c r="T287" s="1121">
        <v>-80</v>
      </c>
      <c r="U287" s="1121">
        <v>-25</v>
      </c>
      <c r="V287" s="1121"/>
      <c r="W287" s="1121">
        <v>1.4</v>
      </c>
      <c r="X287" s="1121">
        <v>0.9</v>
      </c>
      <c r="Y287" s="1121"/>
      <c r="Z287" s="1121">
        <v>-0.05</v>
      </c>
      <c r="AA287" s="1121"/>
      <c r="AB287" s="1121"/>
      <c r="AC287" s="1121" t="s">
        <v>3259</v>
      </c>
      <c r="AD287" s="1121" t="s">
        <v>1704</v>
      </c>
      <c r="AE287" s="1121"/>
      <c r="AF287" s="1121">
        <v>6000</v>
      </c>
      <c r="AG287" s="288">
        <v>17966.18</v>
      </c>
      <c r="AH287" s="1121">
        <v>3302</v>
      </c>
      <c r="AI287" s="289">
        <v>484</v>
      </c>
      <c r="AJ287" s="1121"/>
      <c r="AK287" s="1121"/>
      <c r="AL287" s="1121"/>
      <c r="AM287" s="1121" t="s">
        <v>1228</v>
      </c>
      <c r="AN287" s="315">
        <v>5.25</v>
      </c>
      <c r="AO287" s="315"/>
      <c r="AP287" s="315"/>
      <c r="AQ287" s="315"/>
      <c r="AR287" s="315"/>
      <c r="AS287" s="315"/>
      <c r="AT287" s="315">
        <f>+ab($U$287,$U$285,$T$289,$G$286,$G$288, 1*$F$287,1200)</f>
        <v>79.555859392885509</v>
      </c>
      <c r="AU287" s="315"/>
      <c r="AV287" s="315"/>
      <c r="AW287" s="315" t="s">
        <v>2630</v>
      </c>
      <c r="AX287" s="315" t="s">
        <v>1639</v>
      </c>
      <c r="AY287" s="315">
        <v>3.4</v>
      </c>
      <c r="AZ287" s="315"/>
      <c r="BA287" s="315"/>
      <c r="BB287" s="306"/>
    </row>
    <row r="288" spans="1:65" ht="14.25">
      <c r="A288" s="340"/>
      <c r="B288" s="340"/>
      <c r="C288" s="288"/>
      <c r="D288" s="334"/>
      <c r="E288" s="1121"/>
      <c r="F288" s="289"/>
      <c r="G288" s="292">
        <v>64.8</v>
      </c>
      <c r="H288" s="291"/>
      <c r="I288" s="294"/>
      <c r="J288" s="288"/>
      <c r="K288" s="1121"/>
      <c r="L288" s="1121"/>
      <c r="M288" s="1121"/>
      <c r="N288" s="1121"/>
      <c r="O288" s="1121"/>
      <c r="P288" s="1121"/>
      <c r="Q288" s="1121"/>
      <c r="R288" s="292"/>
      <c r="S288" s="292">
        <f t="shared" si="40"/>
        <v>63.720000000001164</v>
      </c>
      <c r="T288" s="1121"/>
      <c r="U288" s="1121"/>
      <c r="V288" s="1121"/>
      <c r="W288" s="1121"/>
      <c r="X288" s="1121"/>
      <c r="Y288" s="1121"/>
      <c r="Z288" s="1121"/>
      <c r="AA288" s="1121"/>
      <c r="AB288" s="1121"/>
      <c r="AC288" s="1121"/>
      <c r="AD288" s="1121"/>
      <c r="AE288" s="1121"/>
      <c r="AF288" s="1121"/>
      <c r="AG288" s="288"/>
      <c r="AH288" s="1121"/>
      <c r="AI288" s="289"/>
      <c r="AJ288" s="1121"/>
      <c r="AK288" s="1121"/>
      <c r="AL288" s="1121"/>
      <c r="AM288" s="1121"/>
      <c r="AN288" s="315"/>
      <c r="AO288" s="315"/>
      <c r="AP288" s="315"/>
      <c r="AQ288" s="315">
        <f>+FL_2($T$289,$U$287,$G$288,1200,9.28, 1*$F$289)</f>
        <v>-0.70744695308641969</v>
      </c>
      <c r="AR288" s="315"/>
      <c r="AS288" s="315"/>
      <c r="AT288" s="315"/>
      <c r="AU288" s="315"/>
      <c r="AV288" s="315"/>
      <c r="AW288" s="315"/>
      <c r="AX288" s="315"/>
      <c r="AY288" s="315"/>
      <c r="AZ288" s="315"/>
      <c r="BA288" s="315"/>
      <c r="BB288" s="306"/>
    </row>
    <row r="289" spans="1:69" ht="14.25">
      <c r="A289" s="340" t="s">
        <v>3227</v>
      </c>
      <c r="B289" s="340" t="s">
        <v>2376</v>
      </c>
      <c r="C289" s="288">
        <f>+$C$287+$G$288</f>
        <v>18031.8</v>
      </c>
      <c r="D289" s="334"/>
      <c r="E289" s="1121"/>
      <c r="F289" s="289">
        <v>0</v>
      </c>
      <c r="G289" s="292"/>
      <c r="H289" s="1121"/>
      <c r="I289" s="294"/>
      <c r="J289" s="288"/>
      <c r="K289" s="1121"/>
      <c r="L289" s="1121"/>
      <c r="M289" s="1121"/>
      <c r="N289" s="1121" t="s">
        <v>916</v>
      </c>
      <c r="O289" s="1121"/>
      <c r="P289" s="1121"/>
      <c r="Q289" s="1121">
        <v>0</v>
      </c>
      <c r="R289" s="289">
        <v>0</v>
      </c>
      <c r="S289" s="292"/>
      <c r="T289" s="1121">
        <v>-35</v>
      </c>
      <c r="U289" s="1121"/>
      <c r="V289" s="1121"/>
      <c r="W289" s="1121">
        <v>1.4</v>
      </c>
      <c r="X289" s="1121"/>
      <c r="Y289" s="1121"/>
      <c r="Z289" s="1121"/>
      <c r="AA289" s="1121"/>
      <c r="AB289" s="1121"/>
      <c r="AC289" s="1121" t="s">
        <v>1704</v>
      </c>
      <c r="AD289" s="1121"/>
      <c r="AE289" s="1121"/>
      <c r="AF289" s="1121">
        <v>200</v>
      </c>
      <c r="AG289" s="288">
        <v>18029.900000000001</v>
      </c>
      <c r="AH289" s="1121">
        <v>1750</v>
      </c>
      <c r="AI289" s="289">
        <v>-5240</v>
      </c>
      <c r="AJ289" s="1121" t="s">
        <v>3253</v>
      </c>
      <c r="AK289" s="1121" t="s">
        <v>139</v>
      </c>
      <c r="AL289" s="1121"/>
      <c r="AM289" s="1121"/>
      <c r="AN289" s="315">
        <v>5.35</v>
      </c>
      <c r="AO289" s="315"/>
      <c r="AP289" s="315"/>
      <c r="AQ289" s="315"/>
      <c r="AR289" s="315"/>
      <c r="AS289" s="315"/>
      <c r="AT289" s="315">
        <f>+ab($T$289,$U$287,$T$291,$G$288,$G$290, 1*$F$289,1200)</f>
        <v>-54.513423203840304</v>
      </c>
      <c r="AU289" s="315"/>
      <c r="AV289" s="315"/>
      <c r="AW289" s="315"/>
      <c r="AX289" s="315"/>
      <c r="AY289" s="315"/>
      <c r="AZ289" s="315"/>
      <c r="BA289" s="315"/>
      <c r="BB289" s="306"/>
    </row>
    <row r="290" spans="1:69" ht="14.25">
      <c r="A290" s="340"/>
      <c r="B290" s="287"/>
      <c r="C290" s="288"/>
      <c r="D290" s="1121"/>
      <c r="E290" s="1121"/>
      <c r="F290" s="289"/>
      <c r="G290" s="292">
        <v>59.2</v>
      </c>
      <c r="H290" s="1121"/>
      <c r="I290" s="294"/>
      <c r="J290" s="288">
        <f>C291-7.5</f>
        <v>18083.5</v>
      </c>
      <c r="K290" s="1121" t="s">
        <v>653</v>
      </c>
      <c r="L290" s="1121"/>
      <c r="M290" s="1121"/>
      <c r="N290" s="1121"/>
      <c r="O290" s="1121"/>
      <c r="P290" s="1121"/>
      <c r="Q290" s="1121"/>
      <c r="R290" s="292"/>
      <c r="S290" s="292">
        <f t="shared" si="40"/>
        <v>61.039999999997235</v>
      </c>
      <c r="T290" s="1121"/>
      <c r="U290" s="1121"/>
      <c r="V290" s="1121"/>
      <c r="W290" s="1121"/>
      <c r="X290" s="1121"/>
      <c r="Y290" s="1121"/>
      <c r="Z290" s="1121"/>
      <c r="AA290" s="1121"/>
      <c r="AB290" s="1121"/>
      <c r="AC290" s="1121"/>
      <c r="AD290" s="1121"/>
      <c r="AE290" s="1121"/>
      <c r="AF290" s="1121"/>
      <c r="AG290" s="288" t="s">
        <v>695</v>
      </c>
      <c r="AH290" s="1121" t="s">
        <v>695</v>
      </c>
      <c r="AI290" s="289"/>
      <c r="AJ290" s="1121"/>
      <c r="AK290" s="1121"/>
      <c r="AL290" s="1121"/>
      <c r="AM290" s="1121"/>
      <c r="AN290" s="315"/>
      <c r="AO290" s="315"/>
      <c r="AP290" s="315"/>
      <c r="AQ290" s="315">
        <f>+FL_1($T$291,$T$289,$G$290,1200,9.28, 1*$F$291)</f>
        <v>1.4243076108108165E-2</v>
      </c>
      <c r="AR290" s="315"/>
      <c r="AS290" s="315"/>
      <c r="AT290" s="315"/>
      <c r="AU290" s="315"/>
      <c r="AV290" s="315"/>
      <c r="AW290" s="315" t="s">
        <v>2630</v>
      </c>
      <c r="AX290" s="315" t="s">
        <v>1639</v>
      </c>
      <c r="AY290" s="315"/>
      <c r="AZ290" s="315">
        <v>2.5</v>
      </c>
      <c r="BA290" s="315"/>
      <c r="BB290" s="306"/>
    </row>
    <row r="291" spans="1:69" ht="14.25">
      <c r="A291" s="340"/>
      <c r="B291" s="340" t="s">
        <v>2377</v>
      </c>
      <c r="C291" s="288">
        <f>+$C$289+$G$290</f>
        <v>18091</v>
      </c>
      <c r="D291" s="1121"/>
      <c r="E291" s="1121"/>
      <c r="F291" s="289">
        <v>0</v>
      </c>
      <c r="G291" s="292"/>
      <c r="H291" s="1121" t="s">
        <v>138</v>
      </c>
      <c r="I291" s="294" t="s">
        <v>656</v>
      </c>
      <c r="J291" s="288"/>
      <c r="K291" s="1121"/>
      <c r="L291" s="1121" t="s">
        <v>880</v>
      </c>
      <c r="M291" s="1121" t="s">
        <v>2676</v>
      </c>
      <c r="N291" s="1121" t="s">
        <v>144</v>
      </c>
      <c r="O291" s="1121"/>
      <c r="P291" s="1121"/>
      <c r="Q291" s="1121">
        <v>0</v>
      </c>
      <c r="R291" s="289">
        <v>0</v>
      </c>
      <c r="S291" s="292"/>
      <c r="T291" s="1121">
        <v>-30</v>
      </c>
      <c r="U291" s="1121"/>
      <c r="V291" s="1121"/>
      <c r="W291" s="1121">
        <v>1.4</v>
      </c>
      <c r="X291" s="1121"/>
      <c r="Y291" s="1121"/>
      <c r="Z291" s="1121"/>
      <c r="AA291" s="1121"/>
      <c r="AB291" s="1121"/>
      <c r="AC291" s="1121" t="s">
        <v>1700</v>
      </c>
      <c r="AD291" s="1121"/>
      <c r="AE291" s="1121"/>
      <c r="AF291" s="1121">
        <v>6000</v>
      </c>
      <c r="AG291" s="288">
        <v>18090.939999999999</v>
      </c>
      <c r="AH291" s="1121">
        <v>2163</v>
      </c>
      <c r="AI291" s="289">
        <v>446</v>
      </c>
      <c r="AJ291" s="1121"/>
      <c r="AK291" s="1121"/>
      <c r="AL291" s="1121"/>
      <c r="AM291" s="1121" t="s">
        <v>1228</v>
      </c>
      <c r="AN291" s="315">
        <v>5.45</v>
      </c>
      <c r="AO291" s="315"/>
      <c r="AP291" s="315"/>
      <c r="AQ291" s="315"/>
      <c r="AR291" s="315"/>
      <c r="AS291" s="315"/>
      <c r="AT291" s="315">
        <f>+ab($T$291,$T$289,$U$293,$G$290,$G$292, 1*$F$291,1200)</f>
        <v>75.84513566224561</v>
      </c>
      <c r="AU291" s="315"/>
      <c r="AV291" s="315"/>
      <c r="AW291" s="315" t="s">
        <v>2630</v>
      </c>
      <c r="AX291" s="315" t="s">
        <v>1639</v>
      </c>
      <c r="AY291" s="315">
        <v>3.3</v>
      </c>
      <c r="AZ291" s="315"/>
      <c r="BA291" s="315"/>
      <c r="BB291" s="306"/>
    </row>
    <row r="292" spans="1:69" ht="14.25">
      <c r="A292" s="340"/>
      <c r="B292" s="287"/>
      <c r="C292" s="288"/>
      <c r="D292" s="1121"/>
      <c r="E292" s="1121"/>
      <c r="F292" s="289"/>
      <c r="G292" s="292">
        <v>55</v>
      </c>
      <c r="H292" s="291"/>
      <c r="I292" s="294"/>
      <c r="J292" s="288"/>
      <c r="K292" s="1121"/>
      <c r="L292" s="1121"/>
      <c r="M292" s="1121"/>
      <c r="N292" s="1121"/>
      <c r="O292" s="1121"/>
      <c r="P292" s="1121"/>
      <c r="Q292" s="1121"/>
      <c r="R292" s="292"/>
      <c r="S292" s="292">
        <f t="shared" si="40"/>
        <v>54.870000000002619</v>
      </c>
      <c r="T292" s="1121"/>
      <c r="U292" s="1121"/>
      <c r="V292" s="1121"/>
      <c r="W292" s="1121"/>
      <c r="X292" s="1121"/>
      <c r="Y292" s="1121"/>
      <c r="Z292" s="1121"/>
      <c r="AA292" s="1121"/>
      <c r="AB292" s="1121"/>
      <c r="AC292" s="1121"/>
      <c r="AD292" s="1121"/>
      <c r="AE292" s="1121"/>
      <c r="AF292" s="1121"/>
      <c r="AG292" s="288" t="s">
        <v>695</v>
      </c>
      <c r="AH292" s="1121" t="s">
        <v>695</v>
      </c>
      <c r="AI292" s="289"/>
      <c r="AJ292" s="1121"/>
      <c r="AK292" s="1121"/>
      <c r="AL292" s="1121"/>
      <c r="AM292" s="1121"/>
      <c r="AN292" s="315"/>
      <c r="AO292" s="315"/>
      <c r="AP292" s="315"/>
      <c r="AQ292" s="315">
        <f>+FL_2($U$293,$T$291,$G$292,1200,9.28, 1*$F$293)</f>
        <v>-0.59241666666666659</v>
      </c>
      <c r="AR292" s="315"/>
      <c r="AS292" s="315"/>
      <c r="AT292" s="315"/>
      <c r="AU292" s="315"/>
      <c r="AV292" s="315"/>
      <c r="AW292" s="315"/>
      <c r="AX292" s="315"/>
      <c r="AY292" s="315"/>
      <c r="AZ292" s="315"/>
      <c r="BA292" s="315"/>
      <c r="BB292" s="306"/>
    </row>
    <row r="293" spans="1:69" s="307" customFormat="1" ht="14.25">
      <c r="A293" s="340"/>
      <c r="B293" s="340" t="s">
        <v>2378</v>
      </c>
      <c r="C293" s="288">
        <f>+$C$291+$G$292</f>
        <v>18146</v>
      </c>
      <c r="D293" s="1121"/>
      <c r="E293" s="1121"/>
      <c r="F293" s="289">
        <v>0</v>
      </c>
      <c r="G293" s="292"/>
      <c r="H293" s="291" t="s">
        <v>651</v>
      </c>
      <c r="I293" s="294"/>
      <c r="J293" s="288"/>
      <c r="K293" s="1121"/>
      <c r="L293" s="1121" t="s">
        <v>231</v>
      </c>
      <c r="M293" s="1121" t="s">
        <v>2672</v>
      </c>
      <c r="N293" s="1121" t="s">
        <v>140</v>
      </c>
      <c r="O293" s="1121" t="s">
        <v>144</v>
      </c>
      <c r="P293" s="1121"/>
      <c r="Q293" s="1121">
        <v>0</v>
      </c>
      <c r="R293" s="289">
        <v>0</v>
      </c>
      <c r="S293" s="292"/>
      <c r="T293" s="1121">
        <v>15</v>
      </c>
      <c r="U293" s="1121">
        <v>-30</v>
      </c>
      <c r="V293" s="1121"/>
      <c r="W293" s="1121">
        <v>1.4</v>
      </c>
      <c r="X293" s="1121">
        <v>2.2999999999999998</v>
      </c>
      <c r="Y293" s="1121"/>
      <c r="Z293" s="1121">
        <v>0.5</v>
      </c>
      <c r="AA293" s="1121"/>
      <c r="AB293" s="1121"/>
      <c r="AC293" s="1121" t="s">
        <v>1704</v>
      </c>
      <c r="AD293" s="1121"/>
      <c r="AE293" s="1121"/>
      <c r="AF293" s="1121">
        <v>6000</v>
      </c>
      <c r="AG293" s="288">
        <v>18145.810000000001</v>
      </c>
      <c r="AH293" s="1121">
        <v>2730</v>
      </c>
      <c r="AI293" s="289">
        <v>500</v>
      </c>
      <c r="AJ293" s="1121"/>
      <c r="AK293" s="1121"/>
      <c r="AL293" s="1121"/>
      <c r="AM293" s="1121" t="s">
        <v>1228</v>
      </c>
      <c r="AN293" s="315">
        <v>5.5</v>
      </c>
      <c r="AO293" s="315"/>
      <c r="AP293" s="315"/>
      <c r="AQ293" s="315"/>
      <c r="AR293" s="315"/>
      <c r="AS293" s="315"/>
      <c r="AT293" s="315">
        <f>+ab($U$293,$T$291,$U$295,$G$292,$G$294, 1*$F$293,1200)</f>
        <v>-52.798139748825392</v>
      </c>
      <c r="AU293" s="315"/>
      <c r="AV293" s="315"/>
      <c r="AW293" s="315" t="s">
        <v>2630</v>
      </c>
      <c r="AX293" s="315" t="s">
        <v>1639</v>
      </c>
      <c r="AY293" s="315">
        <v>3.4</v>
      </c>
      <c r="AZ293" s="315"/>
      <c r="BA293" s="315"/>
      <c r="BB293" s="306"/>
      <c r="BC293" s="1119"/>
      <c r="BD293" s="1119"/>
      <c r="BE293" s="1119"/>
      <c r="BI293" s="1119"/>
      <c r="BJ293" s="1119"/>
      <c r="BK293" s="1119"/>
      <c r="BL293" s="1119"/>
      <c r="BM293" s="1119"/>
      <c r="BN293" s="1119"/>
      <c r="BO293" s="1119"/>
      <c r="BP293" s="1119"/>
      <c r="BQ293" s="1119"/>
    </row>
    <row r="294" spans="1:69" s="307" customFormat="1" ht="14.25">
      <c r="A294" s="340"/>
      <c r="B294" s="287"/>
      <c r="C294" s="288"/>
      <c r="D294" s="1121"/>
      <c r="E294" s="1121"/>
      <c r="F294" s="289"/>
      <c r="G294" s="292">
        <v>59</v>
      </c>
      <c r="H294" s="291"/>
      <c r="I294" s="294"/>
      <c r="J294" s="288"/>
      <c r="K294" s="1121"/>
      <c r="L294" s="1121"/>
      <c r="M294" s="1121"/>
      <c r="N294" s="1121"/>
      <c r="O294" s="1121"/>
      <c r="P294" s="1121"/>
      <c r="Q294" s="1121"/>
      <c r="R294" s="292"/>
      <c r="S294" s="292">
        <f t="shared" si="40"/>
        <v>59.389999999999418</v>
      </c>
      <c r="T294" s="1121"/>
      <c r="U294" s="1121"/>
      <c r="V294" s="1121"/>
      <c r="W294" s="1121"/>
      <c r="X294" s="1121"/>
      <c r="Y294" s="1121"/>
      <c r="Z294" s="1121"/>
      <c r="AA294" s="1121"/>
      <c r="AB294" s="1121"/>
      <c r="AC294" s="1121"/>
      <c r="AD294" s="1121"/>
      <c r="AE294" s="1121"/>
      <c r="AF294" s="1121"/>
      <c r="AG294" s="288"/>
      <c r="AH294" s="1121"/>
      <c r="AI294" s="289"/>
      <c r="AJ294" s="1121"/>
      <c r="AK294" s="1121"/>
      <c r="AL294" s="1121"/>
      <c r="AM294" s="1121"/>
      <c r="AN294" s="315"/>
      <c r="AO294" s="315"/>
      <c r="AP294" s="315"/>
      <c r="AQ294" s="315">
        <f>+FL_1($T$295,$U$293,$G$294,1200,9.28, 1*$F$295)</f>
        <v>0.403362113559322</v>
      </c>
      <c r="AR294" s="315"/>
      <c r="AS294" s="315"/>
      <c r="AT294" s="315"/>
      <c r="AU294" s="315"/>
      <c r="AV294" s="315"/>
      <c r="AW294" s="315"/>
      <c r="AX294" s="315"/>
      <c r="AY294" s="315"/>
      <c r="AZ294" s="315"/>
      <c r="BA294" s="315"/>
      <c r="BB294" s="306"/>
      <c r="BC294" s="1119"/>
      <c r="BD294" s="1119"/>
      <c r="BE294" s="1119"/>
      <c r="BI294" s="1119"/>
      <c r="BJ294" s="1119"/>
      <c r="BK294" s="1119"/>
      <c r="BL294" s="1119"/>
      <c r="BM294" s="1119"/>
      <c r="BN294" s="1119"/>
      <c r="BO294" s="1119"/>
      <c r="BP294" s="1119"/>
      <c r="BQ294" s="1119"/>
    </row>
    <row r="295" spans="1:69" s="307" customFormat="1" ht="14.25">
      <c r="A295" s="340" t="s">
        <v>3229</v>
      </c>
      <c r="B295" s="340" t="s">
        <v>2379</v>
      </c>
      <c r="C295" s="288">
        <f>+$C$293+$G$294</f>
        <v>18205</v>
      </c>
      <c r="D295" s="1121"/>
      <c r="E295" s="1121"/>
      <c r="F295" s="289">
        <v>0</v>
      </c>
      <c r="G295" s="292"/>
      <c r="H295" s="291" t="s">
        <v>651</v>
      </c>
      <c r="I295" s="294" t="s">
        <v>2016</v>
      </c>
      <c r="J295" s="288"/>
      <c r="K295" s="1121"/>
      <c r="L295" s="1121" t="s">
        <v>231</v>
      </c>
      <c r="M295" s="1121" t="s">
        <v>2672</v>
      </c>
      <c r="N295" s="1121" t="s">
        <v>145</v>
      </c>
      <c r="O295" s="1121" t="s">
        <v>140</v>
      </c>
      <c r="P295" s="1121"/>
      <c r="Q295" s="1121">
        <v>0</v>
      </c>
      <c r="R295" s="289">
        <v>0</v>
      </c>
      <c r="S295" s="292"/>
      <c r="T295" s="1121">
        <v>30</v>
      </c>
      <c r="U295" s="1121">
        <v>-15</v>
      </c>
      <c r="V295" s="1121"/>
      <c r="W295" s="1121">
        <v>1.4</v>
      </c>
      <c r="X295" s="1121">
        <v>2.2999999999999998</v>
      </c>
      <c r="Y295" s="1121"/>
      <c r="Z295" s="1121"/>
      <c r="AA295" s="1121">
        <v>0.5</v>
      </c>
      <c r="AB295" s="1121"/>
      <c r="AC295" s="1121" t="s">
        <v>2995</v>
      </c>
      <c r="AD295" s="1121"/>
      <c r="AE295" s="1121"/>
      <c r="AF295" s="1121">
        <v>6000</v>
      </c>
      <c r="AG295" s="288">
        <v>18205.2</v>
      </c>
      <c r="AH295" s="1121">
        <v>2867</v>
      </c>
      <c r="AI295" s="289">
        <v>523</v>
      </c>
      <c r="AJ295" s="1121" t="s">
        <v>3224</v>
      </c>
      <c r="AK295" s="1121"/>
      <c r="AL295" s="1121"/>
      <c r="AM295" s="1121" t="s">
        <v>1228</v>
      </c>
      <c r="AN295" s="315">
        <v>5.5</v>
      </c>
      <c r="AO295" s="315"/>
      <c r="AP295" s="315"/>
      <c r="AQ295" s="315"/>
      <c r="AR295" s="315"/>
      <c r="AS295" s="315"/>
      <c r="AT295" s="315">
        <f>+ab($T$295,$T$293,$T$299,$G$294,$G$297, 1*$F$295,1200)</f>
        <v>14.950646483453857</v>
      </c>
      <c r="AU295" s="315"/>
      <c r="AV295" s="315"/>
      <c r="AW295" s="315" t="s">
        <v>2630</v>
      </c>
      <c r="AX295" s="315" t="s">
        <v>1639</v>
      </c>
      <c r="AY295" s="315">
        <v>3.4</v>
      </c>
      <c r="AZ295" s="315"/>
      <c r="BA295" s="315"/>
      <c r="BB295" s="306"/>
      <c r="BC295" s="1119"/>
      <c r="BD295" s="1119"/>
      <c r="BE295" s="1119"/>
      <c r="BI295" s="1119"/>
      <c r="BJ295" s="1119"/>
      <c r="BK295" s="1119"/>
      <c r="BL295" s="1119"/>
      <c r="BM295" s="1119"/>
      <c r="BN295" s="1119"/>
      <c r="BO295" s="1119"/>
      <c r="BP295" s="1119"/>
      <c r="BQ295" s="1119"/>
    </row>
    <row r="296" spans="1:69" s="307" customFormat="1" ht="14.25">
      <c r="A296" s="340"/>
      <c r="B296" s="340"/>
      <c r="C296" s="288"/>
      <c r="D296" s="1121"/>
      <c r="E296" s="1121"/>
      <c r="F296" s="289"/>
      <c r="G296" s="292"/>
      <c r="H296" s="291"/>
      <c r="I296" s="294"/>
      <c r="J296" s="288"/>
      <c r="K296" s="1121"/>
      <c r="L296" s="1121"/>
      <c r="M296" s="1121"/>
      <c r="N296" s="1121"/>
      <c r="O296" s="1121"/>
      <c r="P296" s="1121"/>
      <c r="Q296" s="1121"/>
      <c r="R296" s="292"/>
      <c r="S296" s="292">
        <f>+AG299-AG295</f>
        <v>64.779999999998836</v>
      </c>
      <c r="T296" s="1121"/>
      <c r="U296" s="1121"/>
      <c r="V296" s="1121"/>
      <c r="W296" s="1121"/>
      <c r="X296" s="1121"/>
      <c r="Y296" s="1121"/>
      <c r="Z296" s="1121"/>
      <c r="AA296" s="1121"/>
      <c r="AB296" s="1121"/>
      <c r="AC296" s="1121"/>
      <c r="AD296" s="1121"/>
      <c r="AE296" s="1121"/>
      <c r="AF296" s="1121"/>
      <c r="AG296" s="288"/>
      <c r="AH296" s="1121"/>
      <c r="AI296" s="289"/>
      <c r="AJ296" s="1121" t="s">
        <v>3002</v>
      </c>
      <c r="AK296" s="1121"/>
      <c r="AL296" s="1121"/>
      <c r="AM296" s="1121"/>
      <c r="AN296" s="315"/>
      <c r="AO296" s="315"/>
      <c r="AP296" s="315"/>
      <c r="AQ296" s="315"/>
      <c r="AR296" s="315"/>
      <c r="AS296" s="315"/>
      <c r="AT296" s="315"/>
      <c r="AU296" s="315"/>
      <c r="AV296" s="315"/>
      <c r="AW296" s="315"/>
      <c r="AX296" s="315"/>
      <c r="AY296" s="315"/>
      <c r="AZ296" s="315"/>
      <c r="BA296" s="315"/>
      <c r="BB296" s="306"/>
      <c r="BC296" s="1119"/>
      <c r="BD296" s="1119"/>
      <c r="BE296" s="1119"/>
      <c r="BI296" s="1119"/>
      <c r="BJ296" s="1119"/>
      <c r="BK296" s="1119"/>
      <c r="BL296" s="1119"/>
      <c r="BM296" s="1119"/>
      <c r="BN296" s="1119"/>
      <c r="BO296" s="1119"/>
      <c r="BP296" s="1119"/>
      <c r="BQ296" s="1119"/>
    </row>
    <row r="297" spans="1:69" s="307" customFormat="1" ht="14.25">
      <c r="A297" s="340"/>
      <c r="B297" s="287" t="s">
        <v>3004</v>
      </c>
      <c r="C297" s="288">
        <v>18240</v>
      </c>
      <c r="D297" s="1121"/>
      <c r="E297" s="1121"/>
      <c r="F297" s="289"/>
      <c r="G297" s="292">
        <v>65</v>
      </c>
      <c r="H297" s="291" t="s">
        <v>138</v>
      </c>
      <c r="I297" s="294" t="s">
        <v>2718</v>
      </c>
      <c r="J297" s="288"/>
      <c r="K297" s="1121"/>
      <c r="L297" s="1121" t="s">
        <v>1061</v>
      </c>
      <c r="M297" s="1121" t="s">
        <v>2672</v>
      </c>
      <c r="N297" s="1121"/>
      <c r="O297" s="1121"/>
      <c r="P297" s="1121"/>
      <c r="Q297" s="1121"/>
      <c r="R297" s="292"/>
      <c r="S297" s="292"/>
      <c r="T297" s="1121"/>
      <c r="U297" s="1121"/>
      <c r="V297" s="1121"/>
      <c r="W297" s="1121"/>
      <c r="X297" s="1121"/>
      <c r="Y297" s="1121"/>
      <c r="Z297" s="1121"/>
      <c r="AA297" s="1121"/>
      <c r="AB297" s="1121"/>
      <c r="AC297" s="1121"/>
      <c r="AD297" s="1121"/>
      <c r="AE297" s="1121"/>
      <c r="AF297" s="1121"/>
      <c r="AG297" s="288">
        <v>18239.810000000001</v>
      </c>
      <c r="AH297" s="1121">
        <v>2147</v>
      </c>
      <c r="AI297" s="289">
        <v>381</v>
      </c>
      <c r="AJ297" s="1121"/>
      <c r="AK297" s="1121"/>
      <c r="AL297" s="1121"/>
      <c r="AM297" s="1121" t="s">
        <v>1228</v>
      </c>
      <c r="AN297" s="315"/>
      <c r="AO297" s="315"/>
      <c r="AP297" s="315"/>
      <c r="AQ297" s="315">
        <f>+FL_2($T$299,$T$295,$G$297,1200,9.28, 1*$F$299)</f>
        <v>-0.49807183866666666</v>
      </c>
      <c r="AR297" s="315"/>
      <c r="AS297" s="315"/>
      <c r="AT297" s="315"/>
      <c r="AU297" s="315"/>
      <c r="AV297" s="315"/>
      <c r="AW297" s="315" t="s">
        <v>2630</v>
      </c>
      <c r="AX297" s="315" t="s">
        <v>1639</v>
      </c>
      <c r="AY297" s="315">
        <v>3.4</v>
      </c>
      <c r="AZ297" s="315"/>
      <c r="BA297" s="1025" t="s">
        <v>3012</v>
      </c>
      <c r="BB297" s="306"/>
      <c r="BC297" s="1119"/>
      <c r="BD297" s="1119"/>
      <c r="BE297" s="1119"/>
      <c r="BI297" s="1119"/>
      <c r="BJ297" s="1119"/>
      <c r="BK297" s="1119"/>
      <c r="BL297" s="1119"/>
      <c r="BM297" s="1119"/>
      <c r="BN297" s="1119"/>
      <c r="BO297" s="1119"/>
      <c r="BP297" s="1119"/>
      <c r="BQ297" s="1119"/>
    </row>
    <row r="298" spans="1:69" s="307" customFormat="1" ht="14.25">
      <c r="A298" s="340"/>
      <c r="B298" s="287"/>
      <c r="C298" s="288"/>
      <c r="D298" s="1121"/>
      <c r="E298" s="1121"/>
      <c r="F298" s="289"/>
      <c r="G298" s="292"/>
      <c r="H298" s="291"/>
      <c r="I298" s="294"/>
      <c r="J298" s="288">
        <f>C297+7.5</f>
        <v>18247.5</v>
      </c>
      <c r="K298" s="1121" t="s">
        <v>653</v>
      </c>
      <c r="L298" s="1121"/>
      <c r="M298" s="1121"/>
      <c r="N298" s="1121"/>
      <c r="O298" s="1121"/>
      <c r="P298" s="1121"/>
      <c r="Q298" s="1121"/>
      <c r="R298" s="292"/>
      <c r="S298" s="292"/>
      <c r="T298" s="1121"/>
      <c r="U298" s="1121"/>
      <c r="V298" s="1121"/>
      <c r="W298" s="1121"/>
      <c r="X298" s="1121"/>
      <c r="Y298" s="1121"/>
      <c r="Z298" s="1121"/>
      <c r="AA298" s="1121"/>
      <c r="AB298" s="1121"/>
      <c r="AC298" s="1121"/>
      <c r="AD298" s="1121"/>
      <c r="AE298" s="1121"/>
      <c r="AF298" s="1121"/>
      <c r="AG298" s="288" t="s">
        <v>695</v>
      </c>
      <c r="AH298" s="1121" t="s">
        <v>695</v>
      </c>
      <c r="AI298" s="289"/>
      <c r="AJ298" s="1121"/>
      <c r="AK298" s="1121"/>
      <c r="AL298" s="1121"/>
      <c r="AM298" s="1121"/>
      <c r="AN298" s="315"/>
      <c r="AO298" s="315"/>
      <c r="AP298" s="315"/>
      <c r="AQ298" s="315"/>
      <c r="AR298" s="315"/>
      <c r="AS298" s="315"/>
      <c r="AT298" s="315"/>
      <c r="AU298" s="315"/>
      <c r="AV298" s="315"/>
      <c r="AW298" s="315" t="s">
        <v>2630</v>
      </c>
      <c r="AX298" s="315" t="s">
        <v>1639</v>
      </c>
      <c r="AY298" s="315"/>
      <c r="AZ298" s="315">
        <v>2.5</v>
      </c>
      <c r="BA298" s="1025" t="s">
        <v>3012</v>
      </c>
      <c r="BB298" s="306"/>
      <c r="BC298" s="1119"/>
      <c r="BD298" s="1119"/>
      <c r="BE298" s="1119"/>
      <c r="BI298" s="1119"/>
      <c r="BJ298" s="1119"/>
      <c r="BK298" s="1119"/>
      <c r="BL298" s="1119"/>
      <c r="BM298" s="1119"/>
      <c r="BN298" s="1119"/>
      <c r="BO298" s="1119"/>
      <c r="BP298" s="1119"/>
      <c r="BQ298" s="1119"/>
    </row>
    <row r="299" spans="1:69" s="307" customFormat="1" ht="14.25">
      <c r="A299" s="340"/>
      <c r="B299" s="1036" t="s">
        <v>2380</v>
      </c>
      <c r="C299" s="288">
        <f>+$C$295+$G$297</f>
        <v>18270</v>
      </c>
      <c r="D299" s="1121"/>
      <c r="E299" s="1121"/>
      <c r="F299" s="289">
        <v>0</v>
      </c>
      <c r="G299" s="292"/>
      <c r="H299" s="291"/>
      <c r="I299" s="291"/>
      <c r="L299" s="1121" t="s">
        <v>231</v>
      </c>
      <c r="M299" s="1121" t="s">
        <v>2672</v>
      </c>
      <c r="N299" s="1121" t="s">
        <v>144</v>
      </c>
      <c r="O299" s="1121"/>
      <c r="P299" s="1121"/>
      <c r="Q299" s="1121">
        <v>0</v>
      </c>
      <c r="R299" s="289">
        <v>0</v>
      </c>
      <c r="S299" s="292"/>
      <c r="T299" s="1121">
        <v>-35</v>
      </c>
      <c r="U299" s="1121"/>
      <c r="V299" s="1121"/>
      <c r="W299" s="1121">
        <v>1.4</v>
      </c>
      <c r="X299" s="1121"/>
      <c r="Y299" s="1121"/>
      <c r="Z299" s="1121"/>
      <c r="AA299" s="1121"/>
      <c r="AB299" s="1121"/>
      <c r="AC299" s="1121" t="s">
        <v>1704</v>
      </c>
      <c r="AD299" s="1121"/>
      <c r="AE299" s="1121"/>
      <c r="AF299" s="1121">
        <v>6000</v>
      </c>
      <c r="AG299" s="288">
        <v>18269.98</v>
      </c>
      <c r="AH299" s="1121">
        <v>3114</v>
      </c>
      <c r="AI299" s="289">
        <v>550</v>
      </c>
      <c r="AJ299" s="1121"/>
      <c r="AK299" s="1121"/>
      <c r="AL299" s="1121"/>
      <c r="AM299" s="1121" t="s">
        <v>1228</v>
      </c>
      <c r="AN299" s="315">
        <v>5.5</v>
      </c>
      <c r="AO299" s="315"/>
      <c r="AP299" s="315"/>
      <c r="AQ299" s="315"/>
      <c r="AR299" s="315"/>
      <c r="AS299" s="315"/>
      <c r="AT299" s="315">
        <f>+ab($T$299,$T$295,$T$301,$G$297,$G$300, 1*$F$299,1200)</f>
        <v>-8.3829653856280508</v>
      </c>
      <c r="AU299" s="315"/>
      <c r="AV299" s="315"/>
      <c r="AW299" s="315" t="s">
        <v>2630</v>
      </c>
      <c r="AX299" s="315" t="s">
        <v>1639</v>
      </c>
      <c r="AY299" s="315">
        <v>3.4</v>
      </c>
      <c r="AZ299" s="315"/>
      <c r="BA299" s="315"/>
      <c r="BB299" s="306"/>
      <c r="BC299" s="1119"/>
      <c r="BD299" s="1119"/>
      <c r="BE299" s="1119"/>
      <c r="BI299" s="1119"/>
      <c r="BJ299" s="1119"/>
      <c r="BK299" s="1119"/>
      <c r="BL299" s="1119"/>
      <c r="BM299" s="1119"/>
      <c r="BN299" s="1119"/>
      <c r="BO299" s="1119"/>
      <c r="BP299" s="1119"/>
      <c r="BQ299" s="1119"/>
    </row>
    <row r="300" spans="1:69" s="307" customFormat="1" ht="14.25">
      <c r="A300" s="340"/>
      <c r="B300" s="287"/>
      <c r="C300" s="288"/>
      <c r="D300" s="1121"/>
      <c r="E300" s="1121"/>
      <c r="F300" s="289"/>
      <c r="G300" s="292">
        <v>55</v>
      </c>
      <c r="H300" s="291"/>
      <c r="I300" s="291"/>
      <c r="J300" s="288"/>
      <c r="K300" s="1121"/>
      <c r="L300" s="1121"/>
      <c r="M300" s="1121"/>
      <c r="N300" s="1121"/>
      <c r="O300" s="1121"/>
      <c r="P300" s="1121"/>
      <c r="Q300" s="1121"/>
      <c r="R300" s="292"/>
      <c r="S300" s="292">
        <f t="shared" si="40"/>
        <v>55.5</v>
      </c>
      <c r="T300" s="1121"/>
      <c r="U300" s="1121"/>
      <c r="V300" s="1121"/>
      <c r="W300" s="1121"/>
      <c r="X300" s="1121"/>
      <c r="Y300" s="1121"/>
      <c r="Z300" s="1121"/>
      <c r="AA300" s="1121"/>
      <c r="AB300" s="1121" t="s">
        <v>2767</v>
      </c>
      <c r="AC300" s="1121"/>
      <c r="AD300" s="1121"/>
      <c r="AE300" s="1121"/>
      <c r="AF300" s="1121"/>
      <c r="AG300" s="288"/>
      <c r="AH300" s="1121"/>
      <c r="AI300" s="289"/>
      <c r="AJ300" s="1121"/>
      <c r="AK300" s="1121"/>
      <c r="AL300" s="1121"/>
      <c r="AM300" s="1121"/>
      <c r="AN300" s="315"/>
      <c r="AO300" s="315"/>
      <c r="AP300" s="315"/>
      <c r="AQ300" s="315">
        <f>+FL_1($T$301,$T$299,$G$300,1200,9.28, 1*$F$301)</f>
        <v>0.39714735709090909</v>
      </c>
      <c r="AR300" s="315"/>
      <c r="AS300" s="315"/>
      <c r="AT300" s="315"/>
      <c r="AU300" s="315"/>
      <c r="AV300" s="315"/>
      <c r="BA300" s="315"/>
      <c r="BB300" s="306"/>
      <c r="BC300" s="1119"/>
      <c r="BD300" s="1119"/>
      <c r="BE300" s="1119"/>
      <c r="BI300" s="1119"/>
      <c r="BJ300" s="1119"/>
      <c r="BK300" s="1119"/>
      <c r="BL300" s="1119"/>
      <c r="BM300" s="1119"/>
      <c r="BN300" s="1119"/>
      <c r="BO300" s="1119"/>
      <c r="BP300" s="1119"/>
      <c r="BQ300" s="1119"/>
    </row>
    <row r="301" spans="1:69" s="307" customFormat="1" ht="14.25">
      <c r="A301" s="340"/>
      <c r="B301" s="1064" t="s">
        <v>2381</v>
      </c>
      <c r="C301" s="288">
        <f>+$C$299+$G$300</f>
        <v>18325</v>
      </c>
      <c r="D301" s="1121"/>
      <c r="E301" s="1121"/>
      <c r="F301" s="289">
        <v>0</v>
      </c>
      <c r="G301" s="292"/>
      <c r="H301" s="1121"/>
      <c r="I301" s="294"/>
      <c r="J301" s="288"/>
      <c r="K301" s="1121"/>
      <c r="L301" s="1121" t="s">
        <v>230</v>
      </c>
      <c r="M301" s="1121" t="s">
        <v>2671</v>
      </c>
      <c r="N301" s="1121" t="s">
        <v>145</v>
      </c>
      <c r="O301" s="1121"/>
      <c r="P301" s="1121"/>
      <c r="Q301" s="1121">
        <v>0</v>
      </c>
      <c r="R301" s="289">
        <v>0</v>
      </c>
      <c r="S301" s="292"/>
      <c r="T301" s="1121">
        <v>35</v>
      </c>
      <c r="U301" s="1121"/>
      <c r="V301" s="1121"/>
      <c r="W301" s="1121">
        <v>1.4</v>
      </c>
      <c r="X301" s="1121"/>
      <c r="Y301" s="1121"/>
      <c r="Z301" s="1121"/>
      <c r="AA301" s="1121"/>
      <c r="AB301" s="1121"/>
      <c r="AC301" s="1121" t="s">
        <v>2963</v>
      </c>
      <c r="AD301" s="1121"/>
      <c r="AE301" s="1121"/>
      <c r="AF301" s="1121">
        <v>6000</v>
      </c>
      <c r="AG301" s="288">
        <v>18325.48</v>
      </c>
      <c r="AH301" s="1121">
        <v>2163</v>
      </c>
      <c r="AI301" s="289">
        <v>367</v>
      </c>
      <c r="AJ301" s="1121"/>
      <c r="AK301" s="1121"/>
      <c r="AL301" s="1121"/>
      <c r="AM301" s="1121" t="s">
        <v>1228</v>
      </c>
      <c r="AN301" s="315">
        <v>5.5</v>
      </c>
      <c r="AO301" s="315"/>
      <c r="AP301" s="315"/>
      <c r="AQ301" s="315"/>
      <c r="AR301" s="315"/>
      <c r="AS301" s="315"/>
      <c r="AT301" s="315">
        <f>+ab($T$301,$T$299,$T$303,$G$300,$G$302, 1*$F$301,1200)</f>
        <v>7.4275732076367458</v>
      </c>
      <c r="AU301" s="315"/>
      <c r="AV301" s="315"/>
      <c r="AW301" s="315" t="s">
        <v>2630</v>
      </c>
      <c r="AX301" s="315" t="s">
        <v>1639</v>
      </c>
      <c r="AY301" s="315">
        <v>3.4</v>
      </c>
      <c r="AZ301" s="315"/>
      <c r="BA301" s="1025" t="s">
        <v>3012</v>
      </c>
      <c r="BB301" s="306"/>
      <c r="BC301" s="1119"/>
      <c r="BD301" s="1119"/>
      <c r="BE301" s="1119"/>
      <c r="BI301" s="1119"/>
      <c r="BJ301" s="1119"/>
      <c r="BK301" s="1119"/>
      <c r="BL301" s="1119"/>
      <c r="BM301" s="1119"/>
      <c r="BN301" s="1119"/>
      <c r="BO301" s="1119"/>
      <c r="BP301" s="1119"/>
      <c r="BQ301" s="1119"/>
    </row>
    <row r="302" spans="1:69" s="307" customFormat="1" ht="14.25">
      <c r="A302" s="340"/>
      <c r="B302" s="287"/>
      <c r="C302" s="288"/>
      <c r="D302" s="1121"/>
      <c r="E302" s="1121"/>
      <c r="F302" s="289"/>
      <c r="G302" s="292">
        <v>54</v>
      </c>
      <c r="H302" s="1121"/>
      <c r="I302" s="294"/>
      <c r="J302" s="288"/>
      <c r="K302" s="1121"/>
      <c r="L302" s="1121"/>
      <c r="M302" s="1121"/>
      <c r="N302" s="1121"/>
      <c r="O302" s="1121"/>
      <c r="P302" s="1121"/>
      <c r="Q302" s="1121"/>
      <c r="R302" s="292"/>
      <c r="S302" s="292">
        <f t="shared" si="40"/>
        <v>53.529999999998836</v>
      </c>
      <c r="T302" s="1121"/>
      <c r="U302" s="1121"/>
      <c r="V302" s="1121"/>
      <c r="W302" s="1121"/>
      <c r="X302" s="1121"/>
      <c r="Y302" s="1121"/>
      <c r="Z302" s="1121"/>
      <c r="AA302" s="1121"/>
      <c r="AB302" s="1121"/>
      <c r="AC302" s="1121"/>
      <c r="AD302" s="1121"/>
      <c r="AE302" s="1121"/>
      <c r="AF302" s="1121"/>
      <c r="AG302" s="288" t="s">
        <v>695</v>
      </c>
      <c r="AH302" s="1121" t="s">
        <v>695</v>
      </c>
      <c r="AI302" s="289"/>
      <c r="AJ302" s="1121"/>
      <c r="AK302" s="1121"/>
      <c r="AL302" s="1121"/>
      <c r="AM302" s="1121"/>
      <c r="AN302" s="315"/>
      <c r="AO302" s="315"/>
      <c r="AP302" s="315"/>
      <c r="AQ302" s="315">
        <f>+FL_1($T$303,$T$301,$G$302,1200,9.28, 1*$F$303)</f>
        <v>0.39052552059259249</v>
      </c>
      <c r="AR302" s="315"/>
      <c r="AS302" s="315"/>
      <c r="AT302" s="315"/>
      <c r="AU302" s="315"/>
      <c r="AV302" s="315"/>
      <c r="AW302" s="315"/>
      <c r="AX302" s="315"/>
      <c r="AY302" s="315" t="s">
        <v>695</v>
      </c>
      <c r="AZ302" s="315"/>
      <c r="BA302" s="315"/>
      <c r="BB302" s="306"/>
      <c r="BC302" s="1119"/>
      <c r="BD302" s="1119"/>
      <c r="BE302" s="1119"/>
      <c r="BI302" s="1119"/>
      <c r="BJ302" s="1119"/>
      <c r="BK302" s="1119"/>
      <c r="BL302" s="1119"/>
      <c r="BM302" s="1119"/>
      <c r="BN302" s="1119"/>
      <c r="BO302" s="1119"/>
      <c r="BP302" s="1119"/>
      <c r="BQ302" s="1119"/>
    </row>
    <row r="303" spans="1:69" s="307" customFormat="1" ht="14.25">
      <c r="A303" s="340"/>
      <c r="B303" s="1064" t="s">
        <v>2382</v>
      </c>
      <c r="C303" s="288">
        <f>+$C$301+$G$302</f>
        <v>18379</v>
      </c>
      <c r="D303" s="1121"/>
      <c r="E303" s="1121"/>
      <c r="F303" s="289">
        <v>0</v>
      </c>
      <c r="G303" s="292"/>
      <c r="H303" s="1121"/>
      <c r="I303" s="294"/>
      <c r="J303" s="288"/>
      <c r="K303" s="1121"/>
      <c r="L303" s="1121" t="s">
        <v>230</v>
      </c>
      <c r="M303" s="1121" t="s">
        <v>2671</v>
      </c>
      <c r="N303" s="1121" t="s">
        <v>3250</v>
      </c>
      <c r="O303" s="1121"/>
      <c r="P303" s="1121"/>
      <c r="Q303" s="1121">
        <v>0</v>
      </c>
      <c r="R303" s="289">
        <v>0</v>
      </c>
      <c r="S303" s="292"/>
      <c r="T303" s="1121">
        <v>-35</v>
      </c>
      <c r="U303" s="1121"/>
      <c r="V303" s="1121"/>
      <c r="W303" s="1121">
        <v>1.4</v>
      </c>
      <c r="X303" s="1121"/>
      <c r="Y303" s="1121"/>
      <c r="Z303" s="1121"/>
      <c r="AA303" s="1121"/>
      <c r="AB303" s="1121"/>
      <c r="AC303" s="1121" t="s">
        <v>2967</v>
      </c>
      <c r="AD303" s="1121"/>
      <c r="AE303" s="1121"/>
      <c r="AF303" s="1121">
        <v>6000</v>
      </c>
      <c r="AG303" s="288">
        <v>18379.009999999998</v>
      </c>
      <c r="AH303" s="1121">
        <v>2178</v>
      </c>
      <c r="AI303" s="289">
        <v>385</v>
      </c>
      <c r="AJ303" s="1121"/>
      <c r="AK303" s="1121"/>
      <c r="AL303" s="1121"/>
      <c r="AM303" s="1121" t="s">
        <v>1228</v>
      </c>
      <c r="AN303" s="315">
        <v>5.5</v>
      </c>
      <c r="AO303" s="315"/>
      <c r="AP303" s="315"/>
      <c r="AQ303" s="315"/>
      <c r="AR303" s="315"/>
      <c r="AS303" s="315"/>
      <c r="AT303" s="315">
        <f>+ab($T$303,$T$301,$T$305,$G$302,$G$304, 1*$F$303,1200)</f>
        <v>-7.0806447505394168</v>
      </c>
      <c r="AU303" s="315"/>
      <c r="AV303" s="315"/>
      <c r="AW303" s="315" t="s">
        <v>2630</v>
      </c>
      <c r="AX303" s="315" t="s">
        <v>1639</v>
      </c>
      <c r="AY303" s="315">
        <v>3.4</v>
      </c>
      <c r="AZ303" s="315"/>
      <c r="BA303" s="1025" t="s">
        <v>3012</v>
      </c>
      <c r="BB303" s="306"/>
      <c r="BC303" s="1119"/>
      <c r="BD303" s="1119"/>
      <c r="BE303" s="1119"/>
      <c r="BI303" s="1119"/>
      <c r="BJ303" s="1119"/>
      <c r="BK303" s="1119"/>
      <c r="BL303" s="1119"/>
      <c r="BM303" s="1119"/>
      <c r="BN303" s="1119"/>
      <c r="BO303" s="1119"/>
      <c r="BP303" s="1119"/>
      <c r="BQ303" s="1119"/>
    </row>
    <row r="304" spans="1:69" s="307" customFormat="1" ht="14.25">
      <c r="A304" s="340"/>
      <c r="B304" s="287"/>
      <c r="C304" s="288"/>
      <c r="D304" s="1121"/>
      <c r="E304" s="1121"/>
      <c r="F304" s="289"/>
      <c r="G304" s="292">
        <v>50</v>
      </c>
      <c r="H304" s="1121"/>
      <c r="I304" s="294"/>
      <c r="J304" s="288"/>
      <c r="K304" s="1121"/>
      <c r="L304" s="1121"/>
      <c r="M304" s="1121"/>
      <c r="N304" s="1121"/>
      <c r="O304" s="1121"/>
      <c r="P304" s="1121"/>
      <c r="Q304" s="1121"/>
      <c r="R304" s="292"/>
      <c r="S304" s="292">
        <f t="shared" si="40"/>
        <v>49.960000000002765</v>
      </c>
      <c r="T304" s="1121"/>
      <c r="U304" s="1121"/>
      <c r="V304" s="1121"/>
      <c r="W304" s="1121"/>
      <c r="X304" s="1121"/>
      <c r="Y304" s="1121"/>
      <c r="Z304" s="1121"/>
      <c r="AA304" s="1121"/>
      <c r="AB304" s="1121"/>
      <c r="AC304" s="1121"/>
      <c r="AD304" s="1121"/>
      <c r="AE304" s="1121"/>
      <c r="AF304" s="1121"/>
      <c r="AG304" s="288" t="s">
        <v>695</v>
      </c>
      <c r="AH304" s="1121" t="s">
        <v>695</v>
      </c>
      <c r="AI304" s="289"/>
      <c r="AJ304" s="1121"/>
      <c r="AK304" s="1121"/>
      <c r="AL304" s="1121"/>
      <c r="AM304" s="1121"/>
      <c r="AN304" s="315"/>
      <c r="AO304" s="315"/>
      <c r="AP304" s="315"/>
      <c r="AQ304" s="315">
        <f>+FL_1($T$305,$T$303,$G$304,1200,9.28, 1*$F$305)</f>
        <v>0.36839079999999996</v>
      </c>
      <c r="AR304" s="315"/>
      <c r="AS304" s="315"/>
      <c r="AT304" s="315"/>
      <c r="AU304" s="315"/>
      <c r="AV304" s="315"/>
      <c r="AW304" s="315"/>
      <c r="AX304" s="315"/>
      <c r="AY304" s="315" t="s">
        <v>695</v>
      </c>
      <c r="AZ304" s="315"/>
      <c r="BA304" s="315"/>
      <c r="BB304" s="306"/>
      <c r="BC304" s="1119"/>
      <c r="BD304" s="1119"/>
      <c r="BE304" s="1119"/>
      <c r="BI304" s="1119"/>
      <c r="BJ304" s="1119"/>
      <c r="BK304" s="1119"/>
      <c r="BL304" s="1119"/>
      <c r="BM304" s="1119"/>
      <c r="BN304" s="1119"/>
      <c r="BO304" s="1119"/>
      <c r="BP304" s="1119"/>
      <c r="BQ304" s="1119"/>
    </row>
    <row r="305" spans="1:69" s="307" customFormat="1" ht="14.25">
      <c r="A305" s="340"/>
      <c r="B305" s="1064" t="s">
        <v>2383</v>
      </c>
      <c r="C305" s="288">
        <f>+$C$303+$G$304</f>
        <v>18429</v>
      </c>
      <c r="D305" s="1121"/>
      <c r="E305" s="1121"/>
      <c r="F305" s="289">
        <v>0</v>
      </c>
      <c r="G305" s="292"/>
      <c r="H305" s="1121"/>
      <c r="I305" s="294"/>
      <c r="J305" s="288"/>
      <c r="K305" s="1121"/>
      <c r="L305" s="1121" t="s">
        <v>230</v>
      </c>
      <c r="M305" s="1121" t="s">
        <v>2671</v>
      </c>
      <c r="N305" s="1121" t="s">
        <v>145</v>
      </c>
      <c r="O305" s="1121"/>
      <c r="P305" s="1121"/>
      <c r="Q305" s="1121">
        <v>0</v>
      </c>
      <c r="R305" s="289">
        <v>0</v>
      </c>
      <c r="S305" s="292"/>
      <c r="T305" s="1121">
        <v>35</v>
      </c>
      <c r="U305" s="1121"/>
      <c r="V305" s="1121"/>
      <c r="W305" s="1121">
        <v>1.4</v>
      </c>
      <c r="X305" s="1121"/>
      <c r="Y305" s="1121"/>
      <c r="Z305" s="1121"/>
      <c r="AA305" s="1121"/>
      <c r="AB305" s="1121"/>
      <c r="AC305" s="1121" t="s">
        <v>2963</v>
      </c>
      <c r="AD305" s="1121"/>
      <c r="AE305" s="1121"/>
      <c r="AF305" s="1121">
        <v>6000</v>
      </c>
      <c r="AG305" s="288">
        <v>18428.97</v>
      </c>
      <c r="AH305" s="1121">
        <v>2158</v>
      </c>
      <c r="AI305" s="289">
        <v>410</v>
      </c>
      <c r="AJ305" s="1121"/>
      <c r="AK305" s="1121"/>
      <c r="AL305" s="1121"/>
      <c r="AM305" s="1121" t="s">
        <v>1228</v>
      </c>
      <c r="AN305" s="315">
        <v>5.5</v>
      </c>
      <c r="AO305" s="315"/>
      <c r="AP305" s="315"/>
      <c r="AQ305" s="315"/>
      <c r="AR305" s="315"/>
      <c r="AS305" s="315"/>
      <c r="AT305" s="315">
        <f>+ab($T$305,$T$303,$T$307,$G$304,$G$306, 1*$F$305,1200)</f>
        <v>7.3297252458607467</v>
      </c>
      <c r="AU305" s="315"/>
      <c r="AV305" s="315"/>
      <c r="AW305" s="315" t="s">
        <v>2630</v>
      </c>
      <c r="AX305" s="315" t="s">
        <v>1639</v>
      </c>
      <c r="AY305" s="315">
        <v>3.4</v>
      </c>
      <c r="AZ305" s="315"/>
      <c r="BA305" s="1025" t="s">
        <v>3012</v>
      </c>
      <c r="BB305" s="306"/>
      <c r="BC305" s="1119"/>
      <c r="BD305" s="1119"/>
      <c r="BE305" s="1119"/>
      <c r="BI305" s="1119"/>
      <c r="BJ305" s="1119"/>
      <c r="BK305" s="1119"/>
      <c r="BL305" s="1119"/>
      <c r="BM305" s="1119"/>
      <c r="BN305" s="1119"/>
      <c r="BO305" s="1119"/>
      <c r="BP305" s="1119"/>
      <c r="BQ305" s="1119"/>
    </row>
    <row r="306" spans="1:69" ht="14.25">
      <c r="A306" s="340"/>
      <c r="B306" s="287"/>
      <c r="C306" s="288"/>
      <c r="D306" s="1121"/>
      <c r="E306" s="1121"/>
      <c r="F306" s="289"/>
      <c r="G306" s="292">
        <v>54</v>
      </c>
      <c r="H306" s="1121"/>
      <c r="I306" s="294"/>
      <c r="J306" s="288"/>
      <c r="K306" s="1121"/>
      <c r="L306" s="1121"/>
      <c r="M306" s="1121"/>
      <c r="N306" s="1121"/>
      <c r="O306" s="1121"/>
      <c r="P306" s="1121"/>
      <c r="Q306" s="1121"/>
      <c r="R306" s="292"/>
      <c r="S306" s="292">
        <f t="shared" si="40"/>
        <v>54.079999999998108</v>
      </c>
      <c r="T306" s="1121"/>
      <c r="U306" s="1121"/>
      <c r="V306" s="1121"/>
      <c r="W306" s="1121"/>
      <c r="X306" s="1121"/>
      <c r="Y306" s="1121"/>
      <c r="Z306" s="1121"/>
      <c r="AA306" s="1121"/>
      <c r="AB306" s="1121"/>
      <c r="AC306" s="1121"/>
      <c r="AD306" s="1121"/>
      <c r="AE306" s="1121"/>
      <c r="AF306" s="1121"/>
      <c r="AG306" s="288" t="s">
        <v>695</v>
      </c>
      <c r="AH306" s="1121" t="s">
        <v>695</v>
      </c>
      <c r="AI306" s="289"/>
      <c r="AJ306" s="1121"/>
      <c r="AK306" s="1121"/>
      <c r="AL306" s="1121"/>
      <c r="AM306" s="1121"/>
      <c r="AN306" s="315"/>
      <c r="AO306" s="315"/>
      <c r="AP306" s="315"/>
      <c r="AQ306" s="315">
        <f>+FL_2($T$307,$T$305,$G$306,1200,9.28, 1*$F$307)</f>
        <v>-0.40077506562368309</v>
      </c>
      <c r="AR306" s="315"/>
      <c r="AS306" s="315"/>
      <c r="AT306" s="315"/>
      <c r="AU306" s="315"/>
      <c r="AV306" s="315"/>
      <c r="AW306" s="315"/>
      <c r="AX306" s="315"/>
      <c r="AY306" s="315" t="s">
        <v>695</v>
      </c>
      <c r="AZ306" s="315"/>
      <c r="BA306" s="315"/>
      <c r="BB306" s="306"/>
    </row>
    <row r="307" spans="1:69" ht="14.25">
      <c r="A307" s="340"/>
      <c r="B307" s="1064" t="s">
        <v>2384</v>
      </c>
      <c r="C307" s="288">
        <f>+$C$305+$G$306</f>
        <v>18483</v>
      </c>
      <c r="D307" s="1121"/>
      <c r="E307" s="1121"/>
      <c r="F307" s="289">
        <f>(1500*195)/(C307-18428)</f>
        <v>5318.181818181818</v>
      </c>
      <c r="G307" s="292"/>
      <c r="H307" s="1121"/>
      <c r="I307" s="294"/>
      <c r="J307" s="288"/>
      <c r="K307" s="1121"/>
      <c r="L307" s="1121" t="s">
        <v>230</v>
      </c>
      <c r="M307" s="1121" t="s">
        <v>2671</v>
      </c>
      <c r="N307" s="1121" t="s">
        <v>144</v>
      </c>
      <c r="O307" s="1121"/>
      <c r="P307" s="1121"/>
      <c r="Q307" s="1121">
        <v>37</v>
      </c>
      <c r="R307" s="292">
        <v>5523</v>
      </c>
      <c r="S307" s="292"/>
      <c r="T307" s="1121">
        <v>-30</v>
      </c>
      <c r="U307" s="1121"/>
      <c r="V307" s="1121"/>
      <c r="W307" s="1121">
        <v>1.4</v>
      </c>
      <c r="X307" s="1121"/>
      <c r="Y307" s="1121"/>
      <c r="Z307" s="1121"/>
      <c r="AA307" s="1121"/>
      <c r="AB307" s="1121"/>
      <c r="AC307" s="1121" t="s">
        <v>1700</v>
      </c>
      <c r="AD307" s="1121"/>
      <c r="AE307" s="1121"/>
      <c r="AF307" s="1121">
        <v>6000</v>
      </c>
      <c r="AG307" s="288">
        <v>18483.05</v>
      </c>
      <c r="AH307" s="1121">
        <v>2140</v>
      </c>
      <c r="AI307" s="289">
        <v>313</v>
      </c>
      <c r="AJ307" s="1121"/>
      <c r="AK307" s="1121"/>
      <c r="AL307" s="1121"/>
      <c r="AM307" s="1121" t="s">
        <v>1228</v>
      </c>
      <c r="AN307" s="315">
        <v>5.444</v>
      </c>
      <c r="AO307" s="315"/>
      <c r="AP307" s="315"/>
      <c r="AQ307" s="315"/>
      <c r="AR307" s="315"/>
      <c r="AS307" s="315"/>
      <c r="AT307" s="315">
        <f>+ab($T$307,$T$305,$T$309,$G$306,$G$308, 1*$F$307,1200)</f>
        <v>-13.217821092020028</v>
      </c>
      <c r="AU307" s="315"/>
      <c r="AV307" s="315"/>
      <c r="AW307" s="315" t="s">
        <v>2630</v>
      </c>
      <c r="AX307" s="315" t="s">
        <v>1639</v>
      </c>
      <c r="AY307" s="315">
        <v>3.4</v>
      </c>
      <c r="AZ307" s="315"/>
      <c r="BA307" s="1025" t="s">
        <v>3012</v>
      </c>
      <c r="BB307" s="306"/>
    </row>
    <row r="308" spans="1:69" ht="14.25">
      <c r="A308" s="340"/>
      <c r="B308" s="287"/>
      <c r="C308" s="288"/>
      <c r="D308" s="1121"/>
      <c r="E308" s="1121"/>
      <c r="F308" s="289"/>
      <c r="G308" s="292">
        <v>50</v>
      </c>
      <c r="H308" s="1121"/>
      <c r="I308" s="294"/>
      <c r="J308" s="288"/>
      <c r="K308" s="1121"/>
      <c r="L308" s="1121"/>
      <c r="M308" s="1121"/>
      <c r="N308" s="1121"/>
      <c r="O308" s="1121"/>
      <c r="P308" s="1121"/>
      <c r="Q308" s="1121"/>
      <c r="R308" s="292"/>
      <c r="S308" s="292">
        <f t="shared" si="40"/>
        <v>50.040000000000873</v>
      </c>
      <c r="T308" s="1121"/>
      <c r="U308" s="1121"/>
      <c r="V308" s="1121"/>
      <c r="W308" s="1121"/>
      <c r="X308" s="1121"/>
      <c r="Y308" s="1121"/>
      <c r="Z308" s="1121"/>
      <c r="AA308" s="1121"/>
      <c r="AB308" s="1121"/>
      <c r="AC308" s="1121"/>
      <c r="AD308" s="1121"/>
      <c r="AE308" s="1121"/>
      <c r="AF308" s="1121"/>
      <c r="AG308" s="288" t="s">
        <v>695</v>
      </c>
      <c r="AH308" s="1121" t="s">
        <v>695</v>
      </c>
      <c r="AI308" s="289"/>
      <c r="AJ308" s="1121"/>
      <c r="AK308" s="1121"/>
      <c r="AL308" s="1121"/>
      <c r="AM308" s="1121"/>
      <c r="AN308" s="315"/>
      <c r="AO308" s="315"/>
      <c r="AP308" s="315"/>
      <c r="AQ308" s="315">
        <f>+FL_2($T$309,$T$307,$G$308,1200,9.28, 1*$F$309)</f>
        <v>-0.41743462732863412</v>
      </c>
      <c r="AR308" s="315"/>
      <c r="AS308" s="315"/>
      <c r="AT308" s="315"/>
      <c r="AU308" s="315"/>
      <c r="AV308" s="315"/>
      <c r="AW308" s="315"/>
      <c r="AX308" s="315"/>
      <c r="AY308" s="315" t="s">
        <v>695</v>
      </c>
      <c r="AZ308" s="315"/>
      <c r="BA308" s="315"/>
      <c r="BB308" s="306"/>
    </row>
    <row r="309" spans="1:69" ht="14.25">
      <c r="A309" s="340"/>
      <c r="B309" s="340" t="s">
        <v>2385</v>
      </c>
      <c r="C309" s="288">
        <f>+$C$307+$G$308</f>
        <v>18533</v>
      </c>
      <c r="D309" s="1121"/>
      <c r="E309" s="1121"/>
      <c r="F309" s="289">
        <f>(1500*195)/(C309-18428)</f>
        <v>2785.7142857142858</v>
      </c>
      <c r="G309" s="292"/>
      <c r="H309" s="1121"/>
      <c r="I309" s="1121" t="s">
        <v>1226</v>
      </c>
      <c r="J309" s="288"/>
      <c r="K309" s="1121"/>
      <c r="L309" s="1121" t="s">
        <v>230</v>
      </c>
      <c r="M309" s="1121" t="s">
        <v>2671</v>
      </c>
      <c r="N309" s="1121" t="s">
        <v>145</v>
      </c>
      <c r="O309" s="1121"/>
      <c r="P309" s="1121"/>
      <c r="Q309" s="1121">
        <v>67</v>
      </c>
      <c r="R309" s="292">
        <v>2803.5</v>
      </c>
      <c r="S309" s="292"/>
      <c r="T309" s="1121">
        <v>30</v>
      </c>
      <c r="U309" s="1121"/>
      <c r="V309" s="1121"/>
      <c r="W309" s="1121">
        <v>1.4</v>
      </c>
      <c r="X309" s="1121"/>
      <c r="Y309" s="1121"/>
      <c r="Z309" s="1121"/>
      <c r="AA309" s="1121"/>
      <c r="AB309" s="1121"/>
      <c r="AC309" s="1121" t="s">
        <v>2963</v>
      </c>
      <c r="AD309" s="1121"/>
      <c r="AE309" s="1121"/>
      <c r="AF309" s="1121">
        <v>5800</v>
      </c>
      <c r="AG309" s="288">
        <v>18533.09</v>
      </c>
      <c r="AH309" s="1121">
        <v>2560</v>
      </c>
      <c r="AI309" s="289">
        <v>261</v>
      </c>
      <c r="AJ309" s="1121"/>
      <c r="AK309" s="1121"/>
      <c r="AL309" s="1121"/>
      <c r="AM309" s="1121" t="s">
        <v>1228</v>
      </c>
      <c r="AN309" s="315">
        <v>5.31</v>
      </c>
      <c r="AO309" s="315"/>
      <c r="AP309" s="315"/>
      <c r="AQ309" s="315"/>
      <c r="AR309" s="315"/>
      <c r="AS309" s="315"/>
      <c r="AT309" s="315">
        <f>+ab($T$309,$T$307,$T$311,$G$308,$G$310, 1*$F$309,1200)</f>
        <v>6.4190153875995213</v>
      </c>
      <c r="AU309" s="315"/>
      <c r="AV309" s="315"/>
      <c r="AW309" s="315" t="s">
        <v>2630</v>
      </c>
      <c r="AX309" s="315" t="s">
        <v>1639</v>
      </c>
      <c r="AY309" s="315">
        <v>3.4</v>
      </c>
      <c r="AZ309" s="315"/>
      <c r="BA309" s="1025" t="s">
        <v>3012</v>
      </c>
      <c r="BB309" s="306"/>
    </row>
    <row r="310" spans="1:69" ht="14.25">
      <c r="A310" s="1226" t="s">
        <v>2188</v>
      </c>
      <c r="B310" s="378"/>
      <c r="C310" s="367"/>
      <c r="D310" s="1062"/>
      <c r="E310" s="368"/>
      <c r="F310" s="369"/>
      <c r="G310" s="370">
        <v>49</v>
      </c>
      <c r="H310" s="371"/>
      <c r="I310" s="372" t="s">
        <v>1226</v>
      </c>
      <c r="J310" s="367"/>
      <c r="K310" s="368"/>
      <c r="L310" s="368"/>
      <c r="M310" s="368"/>
      <c r="N310" s="368"/>
      <c r="O310" s="368"/>
      <c r="P310" s="368"/>
      <c r="Q310" s="368"/>
      <c r="R310" s="370"/>
      <c r="S310" s="370">
        <f t="shared" si="40"/>
        <v>48.900000000001455</v>
      </c>
      <c r="T310" s="368"/>
      <c r="U310" s="368"/>
      <c r="V310" s="368"/>
      <c r="W310" s="368"/>
      <c r="X310" s="368"/>
      <c r="Y310" s="368"/>
      <c r="Z310" s="368"/>
      <c r="AA310" s="368"/>
      <c r="AB310" s="368"/>
      <c r="AC310" s="368"/>
      <c r="AD310" s="368"/>
      <c r="AE310" s="368"/>
      <c r="AF310" s="368"/>
      <c r="AG310" s="367"/>
      <c r="AH310" s="368"/>
      <c r="AI310" s="369"/>
      <c r="AJ310" s="368"/>
      <c r="AK310" s="368"/>
      <c r="AL310" s="368"/>
      <c r="AM310" s="374"/>
      <c r="AN310" s="373"/>
      <c r="AO310" s="366"/>
      <c r="AP310" s="367"/>
      <c r="AQ310" s="373">
        <f>+FL_1($T$311,$T$309,$G$310,1200,9.28, 1*$F$311)</f>
        <v>0.37407556327671077</v>
      </c>
      <c r="AR310" s="368"/>
      <c r="AS310" s="368"/>
      <c r="AT310" s="368"/>
      <c r="AU310" s="368"/>
      <c r="AV310" s="368"/>
      <c r="AW310" s="368"/>
      <c r="AX310" s="368"/>
      <c r="AY310" s="368" t="s">
        <v>695</v>
      </c>
      <c r="AZ310" s="368"/>
      <c r="BA310" s="368"/>
      <c r="BB310" s="306"/>
    </row>
    <row r="311" spans="1:69" ht="14.25">
      <c r="A311" s="1226"/>
      <c r="B311" s="378" t="s">
        <v>2386</v>
      </c>
      <c r="C311" s="367">
        <f>+$C$309+$G$310</f>
        <v>18582</v>
      </c>
      <c r="D311" s="1062"/>
      <c r="E311" s="368"/>
      <c r="F311" s="369">
        <f>292500/(C311-18428)</f>
        <v>1899.3506493506493</v>
      </c>
      <c r="G311" s="370"/>
      <c r="H311" s="371" t="s">
        <v>138</v>
      </c>
      <c r="I311" s="372" t="s">
        <v>2846</v>
      </c>
      <c r="J311" s="367"/>
      <c r="K311" s="368"/>
      <c r="L311" s="368" t="s">
        <v>239</v>
      </c>
      <c r="M311" s="368"/>
      <c r="N311" s="368" t="s">
        <v>674</v>
      </c>
      <c r="O311" s="368"/>
      <c r="P311" s="368"/>
      <c r="Q311" s="368">
        <v>100</v>
      </c>
      <c r="R311" s="370">
        <v>1908</v>
      </c>
      <c r="S311" s="370"/>
      <c r="T311" s="368">
        <v>30</v>
      </c>
      <c r="U311" s="368"/>
      <c r="V311" s="368"/>
      <c r="W311" s="368">
        <v>1.1000000000000001</v>
      </c>
      <c r="X311" s="368"/>
      <c r="Y311" s="368"/>
      <c r="Z311" s="368"/>
      <c r="AA311" s="368"/>
      <c r="AB311" s="368"/>
      <c r="AC311" s="368" t="s">
        <v>2963</v>
      </c>
      <c r="AD311" s="368"/>
      <c r="AE311" s="368"/>
      <c r="AF311" s="368">
        <v>400</v>
      </c>
      <c r="AG311" s="367">
        <v>18581.990000000002</v>
      </c>
      <c r="AH311" s="368">
        <v>2019</v>
      </c>
      <c r="AI311" s="369">
        <v>-4876</v>
      </c>
      <c r="AJ311" s="368"/>
      <c r="AK311" s="368"/>
      <c r="AL311" s="368"/>
      <c r="AM311" s="374" t="s">
        <v>2021</v>
      </c>
      <c r="AN311" s="373">
        <v>5.25</v>
      </c>
      <c r="AO311" s="366"/>
      <c r="AP311" s="367"/>
      <c r="AQ311" s="373"/>
      <c r="AR311" s="368"/>
      <c r="AS311" s="368"/>
      <c r="AT311" s="373">
        <f>+ab($T$311,$T$309,$T$313,$G$310,$G$312, 1*$F$311,1200)</f>
        <v>7.2504775069252574</v>
      </c>
      <c r="AU311" s="368"/>
      <c r="AV311" s="368"/>
      <c r="AW311" s="368" t="s">
        <v>699</v>
      </c>
      <c r="AX311" s="368" t="s">
        <v>699</v>
      </c>
      <c r="AY311" s="368" t="s">
        <v>699</v>
      </c>
      <c r="AZ311" s="368" t="s">
        <v>699</v>
      </c>
      <c r="BA311" s="368"/>
      <c r="BB311" s="306"/>
      <c r="BF311" s="1119"/>
      <c r="BG311" s="1119"/>
      <c r="BH311" s="1119"/>
    </row>
    <row r="312" spans="1:69" ht="14.25">
      <c r="A312" s="374"/>
      <c r="B312" s="378"/>
      <c r="C312" s="367"/>
      <c r="D312" s="1062"/>
      <c r="E312" s="368"/>
      <c r="F312" s="369"/>
      <c r="G312" s="370">
        <v>51</v>
      </c>
      <c r="H312" s="371"/>
      <c r="I312" s="372"/>
      <c r="J312" s="367">
        <f>C311+10</f>
        <v>18592</v>
      </c>
      <c r="K312" s="374" t="s">
        <v>2985</v>
      </c>
      <c r="L312" s="368"/>
      <c r="M312" s="368"/>
      <c r="N312" s="368"/>
      <c r="O312" s="368"/>
      <c r="P312" s="368"/>
      <c r="Q312" s="368"/>
      <c r="R312" s="370"/>
      <c r="S312" s="370">
        <f t="shared" si="40"/>
        <v>50.239999999997963</v>
      </c>
      <c r="T312" s="368"/>
      <c r="U312" s="368"/>
      <c r="V312" s="368"/>
      <c r="W312" s="368"/>
      <c r="X312" s="368"/>
      <c r="Y312" s="368"/>
      <c r="Z312" s="368"/>
      <c r="AA312" s="368"/>
      <c r="AB312" s="368"/>
      <c r="AC312" s="368"/>
      <c r="AD312" s="368"/>
      <c r="AE312" s="368"/>
      <c r="AF312" s="368"/>
      <c r="AG312" s="367"/>
      <c r="AH312" s="368"/>
      <c r="AI312" s="369"/>
      <c r="AJ312" s="368"/>
      <c r="AK312" s="368"/>
      <c r="AL312" s="368"/>
      <c r="AM312" s="374"/>
      <c r="AN312" s="373"/>
      <c r="AO312" s="366"/>
      <c r="AP312" s="367"/>
      <c r="AQ312" s="373">
        <f>+FL_1($U$313,$T$311,$G$312,1200,9.28, 1*$F$313)</f>
        <v>0.30001201034331687</v>
      </c>
      <c r="AR312" s="368"/>
      <c r="AS312" s="368"/>
      <c r="AT312" s="373"/>
      <c r="AU312" s="368"/>
      <c r="AV312" s="368"/>
      <c r="AW312" s="368"/>
      <c r="AX312" s="368"/>
      <c r="AY312" s="368"/>
      <c r="AZ312" s="368"/>
      <c r="BA312" s="368"/>
      <c r="BB312" s="306"/>
      <c r="BF312" s="1119"/>
      <c r="BG312" s="1119"/>
      <c r="BH312" s="1119"/>
    </row>
    <row r="313" spans="1:69" ht="14.25">
      <c r="A313" s="374"/>
      <c r="B313" s="367" t="s">
        <v>2387</v>
      </c>
      <c r="C313" s="367">
        <f>+$C$311+$G$312</f>
        <v>18633</v>
      </c>
      <c r="D313" s="1062"/>
      <c r="E313" s="368">
        <v>130</v>
      </c>
      <c r="F313" s="369">
        <v>1500</v>
      </c>
      <c r="G313" s="370"/>
      <c r="H313" s="371" t="s">
        <v>651</v>
      </c>
      <c r="I313" s="372"/>
      <c r="J313" s="367"/>
      <c r="K313" s="368"/>
      <c r="L313" s="368" t="s">
        <v>458</v>
      </c>
      <c r="M313" s="368"/>
      <c r="N313" s="368" t="s">
        <v>675</v>
      </c>
      <c r="O313" s="368" t="s">
        <v>674</v>
      </c>
      <c r="P313" s="368"/>
      <c r="Q313" s="368">
        <v>126</v>
      </c>
      <c r="R313" s="370">
        <v>1500</v>
      </c>
      <c r="S313" s="370"/>
      <c r="T313" s="368">
        <v>30</v>
      </c>
      <c r="U313" s="368">
        <v>10</v>
      </c>
      <c r="V313" s="368"/>
      <c r="W313" s="368">
        <v>1.1000000000000001</v>
      </c>
      <c r="X313" s="368">
        <v>1.2</v>
      </c>
      <c r="Y313" s="368"/>
      <c r="Z313" s="368">
        <v>0.45</v>
      </c>
      <c r="AA313" s="368"/>
      <c r="AB313" s="368"/>
      <c r="AC313" s="368"/>
      <c r="AD313" s="368" t="s">
        <v>2974</v>
      </c>
      <c r="AE313" s="368"/>
      <c r="AF313" s="368">
        <v>200</v>
      </c>
      <c r="AG313" s="367">
        <v>18632.23</v>
      </c>
      <c r="AH313" s="368">
        <v>2040</v>
      </c>
      <c r="AI313" s="369">
        <v>-5257</v>
      </c>
      <c r="AJ313" s="368"/>
      <c r="AK313" s="368"/>
      <c r="AL313" s="368"/>
      <c r="AM313" s="374" t="s">
        <v>2021</v>
      </c>
      <c r="AN313" s="373">
        <v>5.25</v>
      </c>
      <c r="AO313" s="366"/>
      <c r="AP313" s="367"/>
      <c r="AQ313" s="373"/>
      <c r="AR313" s="368"/>
      <c r="AS313" s="368"/>
      <c r="AT313" s="373">
        <f>+ab($U$313,$T$311,$U$315,$G$312,$G$314, 1*$F$313,1200)</f>
        <v>6.5701901627587134</v>
      </c>
      <c r="AU313" s="368"/>
      <c r="AV313" s="368"/>
      <c r="AW313" s="368" t="s">
        <v>699</v>
      </c>
      <c r="AX313" s="368" t="s">
        <v>699</v>
      </c>
      <c r="AY313" s="368" t="s">
        <v>699</v>
      </c>
      <c r="AZ313" s="368" t="s">
        <v>699</v>
      </c>
      <c r="BA313" s="368"/>
      <c r="BB313" s="306"/>
      <c r="BF313" s="1119"/>
      <c r="BG313" s="1119"/>
      <c r="BH313" s="1119"/>
    </row>
    <row r="314" spans="1:69" ht="14.25">
      <c r="A314" s="374"/>
      <c r="B314" s="378"/>
      <c r="C314" s="367"/>
      <c r="D314" s="1062"/>
      <c r="E314" s="368"/>
      <c r="F314" s="369"/>
      <c r="G314" s="370">
        <v>48</v>
      </c>
      <c r="H314" s="371"/>
      <c r="I314" s="372"/>
      <c r="J314" s="367"/>
      <c r="K314" s="368"/>
      <c r="L314" s="368"/>
      <c r="M314" s="368"/>
      <c r="N314" s="368"/>
      <c r="O314" s="368"/>
      <c r="P314" s="368"/>
      <c r="Q314" s="368">
        <v>127</v>
      </c>
      <c r="R314" s="370">
        <v>1500</v>
      </c>
      <c r="S314" s="370">
        <f t="shared" si="40"/>
        <v>48.069999999999709</v>
      </c>
      <c r="T314" s="368"/>
      <c r="U314" s="368"/>
      <c r="V314" s="368"/>
      <c r="W314" s="368"/>
      <c r="X314" s="368"/>
      <c r="Y314" s="368"/>
      <c r="Z314" s="368"/>
      <c r="AA314" s="368"/>
      <c r="AB314" s="368"/>
      <c r="AC314" s="368"/>
      <c r="AD314" s="368"/>
      <c r="AE314" s="368"/>
      <c r="AF314" s="368"/>
      <c r="AG314" s="367">
        <v>18633.73</v>
      </c>
      <c r="AH314" s="368">
        <v>2012</v>
      </c>
      <c r="AI314" s="369">
        <v>-5256</v>
      </c>
      <c r="AJ314" s="368"/>
      <c r="AK314" s="368"/>
      <c r="AL314" s="368"/>
      <c r="AM314" s="374"/>
      <c r="AN314" s="373"/>
      <c r="AO314" s="366"/>
      <c r="AP314" s="367"/>
      <c r="AQ314" s="373">
        <f>+FL_1($T$315,$U$313,$G$314,1200,9.28, 1*$F$315)</f>
        <v>0.29999999999999993</v>
      </c>
      <c r="AR314" s="368"/>
      <c r="AS314" s="368"/>
      <c r="AT314" s="373"/>
      <c r="AU314" s="368"/>
      <c r="AV314" s="368"/>
      <c r="AW314" s="368"/>
      <c r="AX314" s="368"/>
      <c r="AY314" s="368"/>
      <c r="AZ314" s="368"/>
      <c r="BA314" s="368"/>
      <c r="BB314" s="306"/>
      <c r="BF314" s="1119"/>
      <c r="BG314" s="1119"/>
      <c r="BH314" s="1119"/>
    </row>
    <row r="315" spans="1:69" ht="14.25">
      <c r="A315" s="374"/>
      <c r="B315" s="378" t="s">
        <v>2388</v>
      </c>
      <c r="C315" s="367">
        <f>+$C$313+$G$314</f>
        <v>18681</v>
      </c>
      <c r="D315" s="1062"/>
      <c r="E315" s="368">
        <v>130</v>
      </c>
      <c r="F315" s="369">
        <v>1500</v>
      </c>
      <c r="G315" s="370"/>
      <c r="H315" s="371" t="s">
        <v>651</v>
      </c>
      <c r="I315" s="372"/>
      <c r="J315" s="367"/>
      <c r="K315" s="368"/>
      <c r="L315" s="368" t="s">
        <v>2978</v>
      </c>
      <c r="M315" s="368"/>
      <c r="N315" s="368" t="s">
        <v>674</v>
      </c>
      <c r="O315" s="368" t="s">
        <v>675</v>
      </c>
      <c r="P315" s="368"/>
      <c r="Q315" s="368">
        <v>128</v>
      </c>
      <c r="R315" s="370">
        <v>1500</v>
      </c>
      <c r="S315" s="370"/>
      <c r="T315" s="368">
        <v>30</v>
      </c>
      <c r="U315" s="368">
        <v>10</v>
      </c>
      <c r="V315" s="368"/>
      <c r="W315" s="368">
        <v>1.1000000000000001</v>
      </c>
      <c r="X315" s="368">
        <v>1.2</v>
      </c>
      <c r="Y315" s="368"/>
      <c r="Z315" s="368"/>
      <c r="AA315" s="368">
        <v>0.45</v>
      </c>
      <c r="AB315" s="368"/>
      <c r="AC315" s="368" t="s">
        <v>2963</v>
      </c>
      <c r="AD315" s="368"/>
      <c r="AE315" s="368"/>
      <c r="AF315" s="368">
        <v>600</v>
      </c>
      <c r="AG315" s="367">
        <v>18680.3</v>
      </c>
      <c r="AH315" s="368">
        <v>2765</v>
      </c>
      <c r="AI315" s="369">
        <v>-4896</v>
      </c>
      <c r="AJ315" s="368"/>
      <c r="AK315" s="368"/>
      <c r="AL315" s="368"/>
      <c r="AM315" s="374" t="s">
        <v>2021</v>
      </c>
      <c r="AN315" s="373">
        <v>5.25</v>
      </c>
      <c r="AO315" s="366"/>
      <c r="AP315" s="367"/>
      <c r="AQ315" s="373"/>
      <c r="AR315" s="368"/>
      <c r="AS315" s="368"/>
      <c r="AT315" s="373">
        <f>+ab($T$315,$T$313,$T$317,$G$314,$G$316, 1*$F$315,1200)</f>
        <v>5.7375244864003294</v>
      </c>
      <c r="AU315" s="368"/>
      <c r="AV315" s="368"/>
      <c r="AW315" s="368" t="s">
        <v>699</v>
      </c>
      <c r="AX315" s="368" t="s">
        <v>699</v>
      </c>
      <c r="AY315" s="368" t="s">
        <v>699</v>
      </c>
      <c r="AZ315" s="368" t="s">
        <v>699</v>
      </c>
      <c r="BA315" s="368"/>
      <c r="BB315" s="306"/>
      <c r="BF315" s="1119"/>
      <c r="BG315" s="1119"/>
      <c r="BH315" s="1119"/>
    </row>
    <row r="316" spans="1:69" ht="14.25">
      <c r="A316" s="374"/>
      <c r="B316" s="378"/>
      <c r="C316" s="367"/>
      <c r="D316" s="1062"/>
      <c r="E316" s="368"/>
      <c r="F316" s="369"/>
      <c r="G316" s="370">
        <v>52</v>
      </c>
      <c r="H316" s="371"/>
      <c r="I316" s="372">
        <f>SUM(G292:G317)-10</f>
        <v>632</v>
      </c>
      <c r="J316" s="367">
        <f>C317-10</f>
        <v>18723</v>
      </c>
      <c r="K316" s="368" t="s">
        <v>1055</v>
      </c>
      <c r="L316" s="368"/>
      <c r="M316" s="368"/>
      <c r="N316" s="368"/>
      <c r="O316" s="368"/>
      <c r="P316" s="368"/>
      <c r="Q316" s="368">
        <v>128</v>
      </c>
      <c r="R316" s="370">
        <v>1500</v>
      </c>
      <c r="S316" s="370">
        <f t="shared" si="40"/>
        <v>54.569999999999709</v>
      </c>
      <c r="T316" s="368"/>
      <c r="U316" s="368"/>
      <c r="V316" s="368"/>
      <c r="W316" s="368"/>
      <c r="X316" s="368"/>
      <c r="Y316" s="368"/>
      <c r="Z316" s="368"/>
      <c r="AA316" s="368"/>
      <c r="AB316" s="368"/>
      <c r="AC316" s="368"/>
      <c r="AD316" s="368"/>
      <c r="AE316" s="368"/>
      <c r="AF316" s="368"/>
      <c r="AG316" s="367">
        <v>18681.810000000001</v>
      </c>
      <c r="AH316" s="368">
        <v>2733</v>
      </c>
      <c r="AI316" s="369">
        <v>-4881</v>
      </c>
      <c r="AJ316" s="368"/>
      <c r="AK316" s="368"/>
      <c r="AL316" s="368"/>
      <c r="AM316" s="374"/>
      <c r="AN316" s="373"/>
      <c r="AO316" s="366"/>
      <c r="AP316" s="367"/>
      <c r="AQ316" s="373">
        <f>+FL_1($T$317,$T$315,$G$316,1200,9.28, 1*$F$317)</f>
        <v>0.33603640575339278</v>
      </c>
      <c r="AR316" s="368"/>
      <c r="AS316" s="368"/>
      <c r="AT316" s="373"/>
      <c r="AU316" s="368"/>
      <c r="AV316" s="368"/>
      <c r="AW316" s="368"/>
      <c r="AX316" s="368"/>
      <c r="AY316" s="368"/>
      <c r="AZ316" s="368"/>
      <c r="BA316" s="368"/>
      <c r="BB316" s="306"/>
      <c r="BF316" s="1119"/>
      <c r="BG316" s="1119"/>
      <c r="BH316" s="1119"/>
    </row>
    <row r="317" spans="1:69" ht="14.25">
      <c r="A317" s="1226" t="s">
        <v>2188</v>
      </c>
      <c r="B317" s="378" t="s">
        <v>2389</v>
      </c>
      <c r="C317" s="367">
        <f>+$C$315+$G$316</f>
        <v>18733</v>
      </c>
      <c r="D317" s="1062"/>
      <c r="E317" s="368">
        <v>130</v>
      </c>
      <c r="F317" s="369">
        <v>1500</v>
      </c>
      <c r="G317" s="370"/>
      <c r="H317" s="371" t="s">
        <v>138</v>
      </c>
      <c r="I317" s="372" t="s">
        <v>911</v>
      </c>
      <c r="J317" s="367"/>
      <c r="K317" s="368"/>
      <c r="L317" s="368" t="s">
        <v>2977</v>
      </c>
      <c r="M317" s="368"/>
      <c r="N317" s="368" t="s">
        <v>674</v>
      </c>
      <c r="O317" s="368"/>
      <c r="P317" s="368"/>
      <c r="Q317" s="368">
        <v>127</v>
      </c>
      <c r="R317" s="370">
        <v>1500</v>
      </c>
      <c r="S317" s="370"/>
      <c r="T317" s="368">
        <v>30</v>
      </c>
      <c r="U317" s="368"/>
      <c r="V317" s="368"/>
      <c r="W317" s="368">
        <v>1.1000000000000001</v>
      </c>
      <c r="X317" s="368"/>
      <c r="Y317" s="368"/>
      <c r="Z317" s="368"/>
      <c r="AA317" s="368"/>
      <c r="AB317" s="368"/>
      <c r="AC317" s="368" t="s">
        <v>2963</v>
      </c>
      <c r="AD317" s="368"/>
      <c r="AE317" s="368"/>
      <c r="AF317" s="368">
        <v>600</v>
      </c>
      <c r="AG317" s="367">
        <v>18734.87</v>
      </c>
      <c r="AH317" s="368">
        <v>2689</v>
      </c>
      <c r="AI317" s="369">
        <v>-4377</v>
      </c>
      <c r="AJ317" s="368"/>
      <c r="AK317" s="368"/>
      <c r="AL317" s="368"/>
      <c r="AM317" s="374" t="s">
        <v>2021</v>
      </c>
      <c r="AN317" s="373">
        <v>5.25</v>
      </c>
      <c r="AO317" s="366"/>
      <c r="AP317" s="367"/>
      <c r="AQ317" s="373"/>
      <c r="AR317" s="368"/>
      <c r="AS317" s="368"/>
      <c r="AT317" s="373">
        <f>+ab($T$317,$T$315,$T$319,$G$316,$G$318, 1*$F$317,1200)</f>
        <v>6.166169446835438</v>
      </c>
      <c r="AU317" s="368"/>
      <c r="AV317" s="368"/>
      <c r="AW317" s="368" t="s">
        <v>699</v>
      </c>
      <c r="AX317" s="368" t="s">
        <v>699</v>
      </c>
      <c r="AY317" s="368" t="s">
        <v>699</v>
      </c>
      <c r="AZ317" s="368" t="s">
        <v>699</v>
      </c>
      <c r="BA317" s="368"/>
      <c r="BB317" s="306"/>
      <c r="BF317" s="1119"/>
      <c r="BG317" s="1119"/>
      <c r="BH317" s="1119"/>
    </row>
    <row r="318" spans="1:69" ht="14.25">
      <c r="A318" s="1226"/>
      <c r="B318" s="410"/>
      <c r="C318" s="367"/>
      <c r="D318" s="1062"/>
      <c r="E318" s="368"/>
      <c r="F318" s="369"/>
      <c r="G318" s="370">
        <v>41</v>
      </c>
      <c r="H318" s="371"/>
      <c r="I318" s="372" t="s">
        <v>1226</v>
      </c>
      <c r="J318" s="367"/>
      <c r="K318" s="368"/>
      <c r="L318" s="368"/>
      <c r="M318" s="368"/>
      <c r="N318" s="368"/>
      <c r="O318" s="368"/>
      <c r="P318" s="368"/>
      <c r="Q318" s="368"/>
      <c r="R318" s="370"/>
      <c r="S318" s="370">
        <f t="shared" si="40"/>
        <v>37.889999999999418</v>
      </c>
      <c r="T318" s="368"/>
      <c r="U318" s="368"/>
      <c r="V318" s="368"/>
      <c r="W318" s="368"/>
      <c r="X318" s="368"/>
      <c r="Y318" s="368"/>
      <c r="Z318" s="368"/>
      <c r="AA318" s="368"/>
      <c r="AB318" s="368"/>
      <c r="AC318" s="368"/>
      <c r="AD318" s="368"/>
      <c r="AE318" s="368"/>
      <c r="AF318" s="368"/>
      <c r="AG318" s="367" t="s">
        <v>695</v>
      </c>
      <c r="AH318" s="368" t="s">
        <v>695</v>
      </c>
      <c r="AI318" s="369"/>
      <c r="AJ318" s="368"/>
      <c r="AK318" s="368"/>
      <c r="AL318" s="368"/>
      <c r="AM318" s="374"/>
      <c r="AN318" s="373"/>
      <c r="AO318" s="366"/>
      <c r="AP318" s="367"/>
      <c r="AQ318" s="373">
        <f>+FL_1($T$319,$T$317,$G$318,1200,9.28, 1*$F$319)</f>
        <v>0.32240679160885588</v>
      </c>
      <c r="AR318" s="368"/>
      <c r="AS318" s="368"/>
      <c r="AT318" s="373"/>
      <c r="AU318" s="368"/>
      <c r="AV318" s="368"/>
      <c r="AW318" s="368"/>
      <c r="AX318" s="368"/>
      <c r="AY318" s="368"/>
      <c r="AZ318" s="368"/>
      <c r="BA318" s="368"/>
      <c r="BB318" s="306"/>
      <c r="BF318" s="1119"/>
      <c r="BG318" s="1119"/>
      <c r="BH318" s="1119"/>
    </row>
    <row r="319" spans="1:69" ht="14.25">
      <c r="A319" s="1065"/>
      <c r="B319" s="287" t="s">
        <v>2390</v>
      </c>
      <c r="C319" s="288">
        <f>+$C$317+$G$318</f>
        <v>18774</v>
      </c>
      <c r="D319" s="1121"/>
      <c r="E319" s="1121"/>
      <c r="F319" s="289">
        <v>1500</v>
      </c>
      <c r="G319" s="1121"/>
      <c r="H319" s="1121"/>
      <c r="I319" s="1121" t="s">
        <v>1226</v>
      </c>
      <c r="J319" s="288"/>
      <c r="K319" s="1121"/>
      <c r="L319" s="1121" t="s">
        <v>1066</v>
      </c>
      <c r="M319" s="1121" t="s">
        <v>2548</v>
      </c>
      <c r="N319" s="1121" t="s">
        <v>145</v>
      </c>
      <c r="O319" s="1121"/>
      <c r="P319" s="1121"/>
      <c r="Q319" s="1121">
        <v>126</v>
      </c>
      <c r="R319" s="292">
        <v>1500</v>
      </c>
      <c r="S319" s="292"/>
      <c r="T319" s="1121">
        <v>30</v>
      </c>
      <c r="U319" s="1121"/>
      <c r="V319" s="1121"/>
      <c r="W319" s="1121">
        <v>1.4</v>
      </c>
      <c r="X319" s="1121"/>
      <c r="Y319" s="1121"/>
      <c r="Z319" s="1121"/>
      <c r="AA319" s="1121"/>
      <c r="AB319" s="1121"/>
      <c r="AC319" s="1121" t="s">
        <v>2963</v>
      </c>
      <c r="AD319" s="1121"/>
      <c r="AE319" s="1121"/>
      <c r="AF319" s="1121">
        <v>5800</v>
      </c>
      <c r="AG319" s="288">
        <v>18772.759999999998</v>
      </c>
      <c r="AH319" s="1121">
        <v>3108</v>
      </c>
      <c r="AI319" s="289">
        <v>66</v>
      </c>
      <c r="AJ319" s="1121"/>
      <c r="AK319" s="1121"/>
      <c r="AL319" s="1121"/>
      <c r="AM319" s="1121" t="s">
        <v>1228</v>
      </c>
      <c r="AN319" s="315">
        <v>5.3</v>
      </c>
      <c r="AO319" s="1121"/>
      <c r="AP319" s="1121"/>
      <c r="AQ319" s="315"/>
      <c r="AR319" s="1121"/>
      <c r="AS319" s="1121"/>
      <c r="AT319" s="315">
        <f>+ab($T$319,$T$317,$T$321,$G$318,$G$320, 1*$F$319,1200)</f>
        <v>7.4343330852430922</v>
      </c>
      <c r="AU319" s="1121"/>
      <c r="AV319" s="1121"/>
      <c r="AW319" s="1121" t="s">
        <v>699</v>
      </c>
      <c r="AX319" s="1121" t="s">
        <v>699</v>
      </c>
      <c r="AY319" s="1121" t="s">
        <v>695</v>
      </c>
      <c r="AZ319" s="1121"/>
      <c r="BA319" s="1121"/>
      <c r="BB319" s="306"/>
      <c r="BF319" s="1119"/>
      <c r="BG319" s="1119"/>
      <c r="BH319" s="1119"/>
    </row>
    <row r="320" spans="1:69" ht="14.25">
      <c r="A320" s="1065"/>
      <c r="B320" s="287"/>
      <c r="C320" s="288"/>
      <c r="D320" s="1121"/>
      <c r="E320" s="1121"/>
      <c r="F320" s="289"/>
      <c r="G320" s="1121">
        <v>36</v>
      </c>
      <c r="H320" s="1121"/>
      <c r="I320" s="1121"/>
      <c r="J320" s="288"/>
      <c r="K320" s="1121"/>
      <c r="L320" s="1121"/>
      <c r="M320" s="1121"/>
      <c r="N320" s="1121"/>
      <c r="O320" s="1121"/>
      <c r="P320" s="1121"/>
      <c r="Q320" s="1121"/>
      <c r="R320" s="292"/>
      <c r="S320" s="292">
        <f t="shared" si="40"/>
        <v>36.080000000001746</v>
      </c>
      <c r="T320" s="1121"/>
      <c r="U320" s="1121"/>
      <c r="V320" s="1121"/>
      <c r="W320" s="1121"/>
      <c r="X320" s="1121"/>
      <c r="Y320" s="1121"/>
      <c r="Z320" s="1121"/>
      <c r="AA320" s="1121"/>
      <c r="AB320" s="1121"/>
      <c r="AC320" s="1121"/>
      <c r="AD320" s="1121"/>
      <c r="AE320" s="1121"/>
      <c r="AF320" s="1121"/>
      <c r="AG320" s="288"/>
      <c r="AH320" s="1121"/>
      <c r="AI320" s="289"/>
      <c r="AJ320" s="1121"/>
      <c r="AK320" s="1121"/>
      <c r="AL320" s="1121"/>
      <c r="AM320" s="1121"/>
      <c r="AN320" s="315"/>
      <c r="AO320" s="1121"/>
      <c r="AP320" s="1121"/>
      <c r="AQ320" s="315">
        <f>+FL_1($T$321,$T$319,$G$320,1200,10.96, 1*$F$321)</f>
        <v>0.3482646341026675</v>
      </c>
      <c r="AR320" s="1121"/>
      <c r="AS320" s="1121"/>
      <c r="AT320" s="1121"/>
      <c r="AU320" s="1121"/>
      <c r="AV320" s="1121"/>
      <c r="AW320" s="1121"/>
      <c r="AX320" s="1121"/>
      <c r="AY320" s="1121" t="s">
        <v>695</v>
      </c>
      <c r="AZ320" s="1121"/>
      <c r="BA320" s="1121"/>
      <c r="BB320" s="306"/>
      <c r="BF320" s="1119"/>
      <c r="BG320" s="1119"/>
      <c r="BH320" s="1119"/>
    </row>
    <row r="321" spans="1:60" ht="14.25">
      <c r="A321" s="1066"/>
      <c r="B321" s="287" t="s">
        <v>2391</v>
      </c>
      <c r="C321" s="288">
        <f>+$C$319+$G$320</f>
        <v>18810</v>
      </c>
      <c r="D321" s="1121"/>
      <c r="E321" s="1121"/>
      <c r="F321" s="289">
        <f>(1500*195)/(18990-C321)</f>
        <v>1625</v>
      </c>
      <c r="G321" s="292"/>
      <c r="H321" s="1121"/>
      <c r="I321" s="294"/>
      <c r="J321" s="288"/>
      <c r="K321" s="1121"/>
      <c r="L321" s="1121" t="s">
        <v>1066</v>
      </c>
      <c r="M321" s="1121" t="s">
        <v>2546</v>
      </c>
      <c r="N321" s="1121" t="s">
        <v>145</v>
      </c>
      <c r="O321" s="1121"/>
      <c r="P321" s="1121"/>
      <c r="Q321" s="1121">
        <v>120</v>
      </c>
      <c r="R321" s="292">
        <v>1617</v>
      </c>
      <c r="S321" s="292"/>
      <c r="T321" s="1121">
        <v>30</v>
      </c>
      <c r="U321" s="1121"/>
      <c r="V321" s="1121"/>
      <c r="W321" s="1121">
        <v>1.4</v>
      </c>
      <c r="X321" s="1121"/>
      <c r="Y321" s="1121"/>
      <c r="Z321" s="1121"/>
      <c r="AA321" s="1121"/>
      <c r="AB321" s="1121"/>
      <c r="AC321" s="1121" t="s">
        <v>1704</v>
      </c>
      <c r="AD321" s="1121"/>
      <c r="AE321" s="1121"/>
      <c r="AF321" s="1121">
        <v>5800</v>
      </c>
      <c r="AG321" s="288">
        <v>18808.84</v>
      </c>
      <c r="AH321" s="1121">
        <v>3194</v>
      </c>
      <c r="AI321" s="289">
        <v>6</v>
      </c>
      <c r="AJ321" s="1121"/>
      <c r="AK321" s="1121"/>
      <c r="AL321" s="1121"/>
      <c r="AM321" s="1121" t="s">
        <v>1228</v>
      </c>
      <c r="AN321" s="315">
        <v>5.38</v>
      </c>
      <c r="AO321" s="315"/>
      <c r="AP321" s="315"/>
      <c r="AQ321" s="315"/>
      <c r="AR321" s="315"/>
      <c r="AS321" s="315"/>
      <c r="AT321" s="315">
        <f>+ab($T$321,$T$319,$T$323,$G$320,$G$322, 1*$F$321,1200)</f>
        <v>8.6440272838434087</v>
      </c>
      <c r="AU321" s="315"/>
      <c r="AV321" s="315"/>
      <c r="AW321" s="315"/>
      <c r="AX321" s="315"/>
      <c r="AY321" s="315"/>
      <c r="AZ321" s="315"/>
      <c r="BA321" s="315"/>
      <c r="BB321" s="306"/>
      <c r="BF321" s="1119"/>
      <c r="BG321" s="1119"/>
      <c r="BH321" s="1119"/>
    </row>
    <row r="322" spans="1:60" ht="14.25">
      <c r="A322" s="1067" t="s">
        <v>2193</v>
      </c>
      <c r="B322" s="363"/>
      <c r="C322" s="342"/>
      <c r="D322" s="343"/>
      <c r="E322" s="343"/>
      <c r="F322" s="394"/>
      <c r="G322" s="345">
        <v>35.6</v>
      </c>
      <c r="H322" s="343"/>
      <c r="I322" s="360"/>
      <c r="J322" s="342"/>
      <c r="K322" s="343"/>
      <c r="L322" s="343"/>
      <c r="M322" s="343"/>
      <c r="N322" s="360"/>
      <c r="O322" s="360"/>
      <c r="P322" s="360"/>
      <c r="Q322" s="343"/>
      <c r="R322" s="345"/>
      <c r="S322" s="345">
        <f t="shared" si="40"/>
        <v>36.159999999999854</v>
      </c>
      <c r="T322" s="343"/>
      <c r="U322" s="343"/>
      <c r="V322" s="343"/>
      <c r="W322" s="343"/>
      <c r="X322" s="343"/>
      <c r="Y322" s="343"/>
      <c r="Z322" s="343"/>
      <c r="AA322" s="343"/>
      <c r="AB322" s="343"/>
      <c r="AC322" s="343"/>
      <c r="AD322" s="343"/>
      <c r="AE322" s="343"/>
      <c r="AF322" s="343"/>
      <c r="AG322" s="342"/>
      <c r="AH322" s="343"/>
      <c r="AI322" s="344"/>
      <c r="AJ322" s="343"/>
      <c r="AK322" s="343"/>
      <c r="AL322" s="343"/>
      <c r="AM322" s="343"/>
      <c r="AN322" s="347"/>
      <c r="AO322" s="347"/>
      <c r="AP322" s="347"/>
      <c r="AQ322" s="347">
        <f>+FL_1($T$323,$T$321,$G$322,1200,10.96, 1*$F$323)</f>
        <v>0.366480729476789</v>
      </c>
      <c r="AR322" s="347"/>
      <c r="AS322" s="347"/>
      <c r="AT322" s="347"/>
      <c r="AU322" s="347"/>
      <c r="AV322" s="347"/>
      <c r="AW322" s="347"/>
      <c r="AX322" s="347"/>
      <c r="AY322" s="347" t="s">
        <v>695</v>
      </c>
      <c r="AZ322" s="347" t="s">
        <v>695</v>
      </c>
      <c r="BA322" s="347"/>
      <c r="BB322" s="306"/>
      <c r="BF322" s="1119"/>
      <c r="BG322" s="1119"/>
      <c r="BH322" s="1119"/>
    </row>
    <row r="323" spans="1:60" ht="14.25">
      <c r="A323" s="1067"/>
      <c r="B323" s="363" t="s">
        <v>2392</v>
      </c>
      <c r="C323" s="342">
        <f>+$C$321+$G$322</f>
        <v>18845.599999999999</v>
      </c>
      <c r="D323" s="343"/>
      <c r="E323" s="343"/>
      <c r="F323" s="394">
        <f>(1500*195)/(18990-C323)</f>
        <v>2025.6232686980404</v>
      </c>
      <c r="G323" s="345"/>
      <c r="H323" s="343"/>
      <c r="I323" s="360"/>
      <c r="J323" s="342"/>
      <c r="K323" s="343"/>
      <c r="L323" s="343" t="s">
        <v>1066</v>
      </c>
      <c r="M323" s="343" t="s">
        <v>2544</v>
      </c>
      <c r="N323" s="360" t="s">
        <v>145</v>
      </c>
      <c r="O323" s="360"/>
      <c r="P323" s="360"/>
      <c r="Q323" s="343">
        <v>95</v>
      </c>
      <c r="R323" s="345">
        <v>2018.5</v>
      </c>
      <c r="S323" s="345"/>
      <c r="T323" s="343">
        <v>30</v>
      </c>
      <c r="U323" s="343"/>
      <c r="V323" s="343"/>
      <c r="W323" s="343">
        <v>1.4</v>
      </c>
      <c r="X323" s="343"/>
      <c r="Y323" s="343"/>
      <c r="Z323" s="343"/>
      <c r="AA323" s="343"/>
      <c r="AB323" s="343"/>
      <c r="AC323" s="343" t="s">
        <v>1704</v>
      </c>
      <c r="AD323" s="343"/>
      <c r="AE323" s="343"/>
      <c r="AF323" s="343">
        <v>5800</v>
      </c>
      <c r="AG323" s="342">
        <v>18845</v>
      </c>
      <c r="AH323" s="343">
        <v>3062</v>
      </c>
      <c r="AI323" s="344">
        <v>44</v>
      </c>
      <c r="AJ323" s="343"/>
      <c r="AK323" s="343"/>
      <c r="AL323" s="343"/>
      <c r="AM323" s="343" t="s">
        <v>1228</v>
      </c>
      <c r="AN323" s="347">
        <v>5.45</v>
      </c>
      <c r="AO323" s="347"/>
      <c r="AP323" s="347"/>
      <c r="AQ323" s="347"/>
      <c r="AR323" s="347"/>
      <c r="AS323" s="347"/>
      <c r="AT323" s="347">
        <f>+ab($T$323,$T$321,$T$325,$G$322,$G$324, 1*$F$323,1200)</f>
        <v>9.7956704420633933</v>
      </c>
      <c r="AU323" s="347"/>
      <c r="AV323" s="347"/>
      <c r="AW323" s="347" t="s">
        <v>699</v>
      </c>
      <c r="AX323" s="347" t="s">
        <v>699</v>
      </c>
      <c r="AY323" s="347" t="s">
        <v>699</v>
      </c>
      <c r="AZ323" s="347" t="s">
        <v>699</v>
      </c>
      <c r="BA323" s="347"/>
      <c r="BB323" s="306"/>
      <c r="BF323" s="1119"/>
      <c r="BG323" s="1119"/>
      <c r="BH323" s="1119"/>
    </row>
    <row r="324" spans="1:60" ht="14.25">
      <c r="A324" s="341"/>
      <c r="B324" s="363"/>
      <c r="C324" s="342"/>
      <c r="D324" s="343"/>
      <c r="E324" s="343"/>
      <c r="F324" s="394"/>
      <c r="G324" s="345">
        <v>37.6</v>
      </c>
      <c r="H324" s="343"/>
      <c r="I324" s="360"/>
      <c r="J324" s="342"/>
      <c r="K324" s="343"/>
      <c r="L324" s="343"/>
      <c r="M324" s="343"/>
      <c r="N324" s="360"/>
      <c r="O324" s="360"/>
      <c r="P324" s="360"/>
      <c r="Q324" s="343"/>
      <c r="R324" s="345"/>
      <c r="S324" s="345">
        <f t="shared" si="40"/>
        <v>37.650000000001455</v>
      </c>
      <c r="T324" s="343"/>
      <c r="U324" s="343"/>
      <c r="V324" s="343"/>
      <c r="W324" s="343"/>
      <c r="X324" s="343"/>
      <c r="Y324" s="343"/>
      <c r="Z324" s="343"/>
      <c r="AA324" s="343"/>
      <c r="AB324" s="343"/>
      <c r="AC324" s="343"/>
      <c r="AD324" s="343"/>
      <c r="AE324" s="343"/>
      <c r="AF324" s="343"/>
      <c r="AG324" s="342"/>
      <c r="AH324" s="343"/>
      <c r="AI324" s="344"/>
      <c r="AJ324" s="343"/>
      <c r="AK324" s="343"/>
      <c r="AL324" s="343"/>
      <c r="AM324" s="343"/>
      <c r="AN324" s="347"/>
      <c r="AO324" s="347"/>
      <c r="AP324" s="347"/>
      <c r="AQ324" s="347">
        <f>+FL_1($T$325,$T$323,$G$324,1200,10.96, 1*$F$325)</f>
        <v>0.37349091006157142</v>
      </c>
      <c r="AR324" s="347"/>
      <c r="AS324" s="347"/>
      <c r="AT324" s="347"/>
      <c r="AU324" s="347"/>
      <c r="AV324" s="347"/>
      <c r="AW324" s="347"/>
      <c r="AX324" s="347"/>
      <c r="AY324" s="347"/>
      <c r="AZ324" s="347"/>
      <c r="BA324" s="347"/>
      <c r="BB324" s="306"/>
      <c r="BF324" s="1119"/>
      <c r="BG324" s="1119"/>
      <c r="BH324" s="1119"/>
    </row>
    <row r="325" spans="1:60" ht="14.25">
      <c r="A325" s="341"/>
      <c r="B325" s="363" t="s">
        <v>2393</v>
      </c>
      <c r="C325" s="342">
        <f>+$C$323+$G$324</f>
        <v>18883.199999999997</v>
      </c>
      <c r="D325" s="343"/>
      <c r="E325" s="343"/>
      <c r="F325" s="394">
        <f>(1500*195)/(18990-C325)</f>
        <v>2738.7640449437454</v>
      </c>
      <c r="G325" s="345"/>
      <c r="H325" s="343"/>
      <c r="I325" s="360"/>
      <c r="J325" s="342"/>
      <c r="K325" s="343"/>
      <c r="L325" s="343" t="s">
        <v>1066</v>
      </c>
      <c r="M325" s="343" t="s">
        <v>2544</v>
      </c>
      <c r="N325" s="360" t="s">
        <v>145</v>
      </c>
      <c r="O325" s="360"/>
      <c r="P325" s="360"/>
      <c r="Q325" s="343">
        <v>74</v>
      </c>
      <c r="R325" s="345">
        <v>2761.15</v>
      </c>
      <c r="S325" s="345"/>
      <c r="T325" s="343">
        <v>25</v>
      </c>
      <c r="U325" s="343"/>
      <c r="V325" s="343"/>
      <c r="W325" s="343">
        <v>1.4</v>
      </c>
      <c r="X325" s="343"/>
      <c r="Y325" s="343"/>
      <c r="Z325" s="343"/>
      <c r="AA325" s="343"/>
      <c r="AB325" s="343"/>
      <c r="AC325" s="343" t="s">
        <v>1704</v>
      </c>
      <c r="AD325" s="343"/>
      <c r="AE325" s="343"/>
      <c r="AF325" s="343">
        <v>5400</v>
      </c>
      <c r="AG325" s="342">
        <v>18882.650000000001</v>
      </c>
      <c r="AH325" s="343">
        <v>3078</v>
      </c>
      <c r="AI325" s="344">
        <v>56</v>
      </c>
      <c r="AJ325" s="343"/>
      <c r="AK325" s="343"/>
      <c r="AL325" s="343"/>
      <c r="AM325" s="343" t="s">
        <v>1228</v>
      </c>
      <c r="AN325" s="347">
        <v>5.5</v>
      </c>
      <c r="AO325" s="347"/>
      <c r="AP325" s="347"/>
      <c r="AQ325" s="347"/>
      <c r="AR325" s="347"/>
      <c r="AS325" s="347"/>
      <c r="AT325" s="347">
        <f>+ab($T$325,$T$323,$T$327,$G$324,$G$326, 1*$F$325,1200)</f>
        <v>12.033309117345615</v>
      </c>
      <c r="AU325" s="347"/>
      <c r="AV325" s="347"/>
      <c r="AW325" s="347" t="s">
        <v>699</v>
      </c>
      <c r="AX325" s="347" t="s">
        <v>699</v>
      </c>
      <c r="AY325" s="347" t="s">
        <v>699</v>
      </c>
      <c r="AZ325" s="347" t="s">
        <v>699</v>
      </c>
      <c r="BA325" s="347"/>
      <c r="BB325" s="306"/>
      <c r="BF325" s="1119"/>
      <c r="BG325" s="1119"/>
      <c r="BH325" s="1119"/>
    </row>
    <row r="326" spans="1:60" ht="14.25">
      <c r="A326" s="341"/>
      <c r="B326" s="363"/>
      <c r="C326" s="342"/>
      <c r="D326" s="343"/>
      <c r="E326" s="343"/>
      <c r="F326" s="394"/>
      <c r="G326" s="345">
        <v>50.3</v>
      </c>
      <c r="H326" s="343"/>
      <c r="I326" s="360"/>
      <c r="J326" s="342"/>
      <c r="K326" s="343"/>
      <c r="L326" s="343"/>
      <c r="M326" s="343"/>
      <c r="N326" s="360"/>
      <c r="O326" s="360"/>
      <c r="P326" s="360"/>
      <c r="Q326" s="343"/>
      <c r="R326" s="345"/>
      <c r="S326" s="345">
        <f t="shared" si="40"/>
        <v>50.090000000000146</v>
      </c>
      <c r="T326" s="343"/>
      <c r="U326" s="343"/>
      <c r="V326" s="343"/>
      <c r="W326" s="343"/>
      <c r="X326" s="343"/>
      <c r="Y326" s="343"/>
      <c r="Z326" s="343"/>
      <c r="AA326" s="343"/>
      <c r="AB326" s="343"/>
      <c r="AC326" s="343"/>
      <c r="AD326" s="343"/>
      <c r="AE326" s="343"/>
      <c r="AF326" s="343"/>
      <c r="AG326" s="342"/>
      <c r="AH326" s="343"/>
      <c r="AI326" s="344"/>
      <c r="AJ326" s="343"/>
      <c r="AK326" s="343"/>
      <c r="AL326" s="343"/>
      <c r="AM326" s="343"/>
      <c r="AN326" s="347"/>
      <c r="AO326" s="347"/>
      <c r="AP326" s="347"/>
      <c r="AQ326" s="347">
        <f>+FL_1($T$327,$T$325,$G$326,1200,11.21, 1*$F$327)</f>
        <v>0.46001731371127075</v>
      </c>
      <c r="AR326" s="347"/>
      <c r="AS326" s="347"/>
      <c r="AT326" s="347"/>
      <c r="AU326" s="347"/>
      <c r="AV326" s="347"/>
      <c r="AW326" s="347"/>
      <c r="AX326" s="347"/>
      <c r="AY326" s="347"/>
      <c r="AZ326" s="347"/>
      <c r="BA326" s="347"/>
      <c r="BB326" s="306"/>
      <c r="BF326" s="1119"/>
      <c r="BG326" s="1119"/>
      <c r="BH326" s="1119"/>
    </row>
    <row r="327" spans="1:60" ht="14.25">
      <c r="A327" s="341"/>
      <c r="B327" s="363" t="s">
        <v>2394</v>
      </c>
      <c r="C327" s="342">
        <f>+$C$325+$G$326</f>
        <v>18933.499999999996</v>
      </c>
      <c r="D327" s="343"/>
      <c r="E327" s="343"/>
      <c r="F327" s="394">
        <f>(1500*195)/(18990-C327)</f>
        <v>5176.9911504421443</v>
      </c>
      <c r="G327" s="345"/>
      <c r="H327" s="343"/>
      <c r="I327" s="360"/>
      <c r="J327" s="342"/>
      <c r="K327" s="343"/>
      <c r="L327" s="343" t="s">
        <v>1070</v>
      </c>
      <c r="M327" s="343" t="s">
        <v>2544</v>
      </c>
      <c r="N327" s="360" t="s">
        <v>145</v>
      </c>
      <c r="O327" s="360"/>
      <c r="P327" s="360"/>
      <c r="Q327" s="343">
        <v>39</v>
      </c>
      <c r="R327" s="345">
        <v>5152.83</v>
      </c>
      <c r="S327" s="345"/>
      <c r="T327" s="343">
        <v>20</v>
      </c>
      <c r="U327" s="343"/>
      <c r="V327" s="343"/>
      <c r="W327" s="343">
        <v>1.4</v>
      </c>
      <c r="X327" s="343"/>
      <c r="Y327" s="343"/>
      <c r="Z327" s="343"/>
      <c r="AA327" s="343"/>
      <c r="AB327" s="343"/>
      <c r="AC327" s="343" t="s">
        <v>1704</v>
      </c>
      <c r="AD327" s="343"/>
      <c r="AE327" s="343"/>
      <c r="AF327" s="343">
        <v>5400</v>
      </c>
      <c r="AG327" s="342">
        <v>18932.740000000002</v>
      </c>
      <c r="AH327" s="343">
        <v>3119</v>
      </c>
      <c r="AI327" s="344">
        <v>-14</v>
      </c>
      <c r="AJ327" s="343"/>
      <c r="AK327" s="343"/>
      <c r="AL327" s="343"/>
      <c r="AM327" s="343" t="s">
        <v>1228</v>
      </c>
      <c r="AN327" s="347">
        <v>5.5</v>
      </c>
      <c r="AO327" s="347"/>
      <c r="AP327" s="347"/>
      <c r="AQ327" s="347"/>
      <c r="AR327" s="347"/>
      <c r="AS327" s="347"/>
      <c r="AT327" s="347">
        <f>+ab($T$327,$T$325,$T$329,$G$326,$G$328, 1*$F$327,1200)</f>
        <v>11.001156828077535</v>
      </c>
      <c r="AU327" s="347"/>
      <c r="AV327" s="347"/>
      <c r="AW327" s="347" t="s">
        <v>699</v>
      </c>
      <c r="AX327" s="347" t="s">
        <v>699</v>
      </c>
      <c r="AY327" s="347" t="s">
        <v>699</v>
      </c>
      <c r="AZ327" s="347" t="s">
        <v>699</v>
      </c>
      <c r="BA327" s="347"/>
      <c r="BB327" s="306"/>
      <c r="BF327" s="1119"/>
      <c r="BG327" s="1119"/>
      <c r="BH327" s="1119"/>
    </row>
    <row r="328" spans="1:60" ht="14.25">
      <c r="A328" s="341"/>
      <c r="B328" s="363"/>
      <c r="C328" s="342"/>
      <c r="D328" s="343"/>
      <c r="E328" s="343"/>
      <c r="F328" s="394"/>
      <c r="G328" s="345">
        <v>57.9</v>
      </c>
      <c r="H328" s="343"/>
      <c r="I328" s="360"/>
      <c r="J328" s="342"/>
      <c r="K328" s="343"/>
      <c r="L328" s="343"/>
      <c r="M328" s="343"/>
      <c r="N328" s="360"/>
      <c r="O328" s="360"/>
      <c r="P328" s="360"/>
      <c r="Q328" s="343"/>
      <c r="R328" s="345"/>
      <c r="S328" s="345">
        <f t="shared" si="40"/>
        <v>58.309999999997672</v>
      </c>
      <c r="T328" s="343"/>
      <c r="U328" s="343"/>
      <c r="V328" s="343"/>
      <c r="W328" s="343"/>
      <c r="X328" s="343"/>
      <c r="Y328" s="343"/>
      <c r="Z328" s="343"/>
      <c r="AA328" s="343"/>
      <c r="AB328" s="343"/>
      <c r="AC328" s="343"/>
      <c r="AD328" s="343"/>
      <c r="AE328" s="343"/>
      <c r="AF328" s="343"/>
      <c r="AG328" s="342"/>
      <c r="AH328" s="343"/>
      <c r="AI328" s="344"/>
      <c r="AJ328" s="343"/>
      <c r="AK328" s="343"/>
      <c r="AL328" s="343"/>
      <c r="AM328" s="343"/>
      <c r="AN328" s="347"/>
      <c r="AO328" s="347"/>
      <c r="AP328" s="347"/>
      <c r="AQ328" s="347">
        <f>+FL_2($T$329,$T$327,$G$328,1200,11.21, 1*$F$329)</f>
        <v>-0.44879429247689984</v>
      </c>
      <c r="AR328" s="347"/>
      <c r="AS328" s="347"/>
      <c r="AT328" s="347"/>
      <c r="AU328" s="347"/>
      <c r="AV328" s="347"/>
      <c r="AW328" s="347"/>
      <c r="AX328" s="347"/>
      <c r="AY328" s="347"/>
      <c r="AZ328" s="347"/>
      <c r="BA328" s="347"/>
      <c r="BB328" s="306"/>
      <c r="BF328" s="1119"/>
      <c r="BG328" s="1119"/>
      <c r="BH328" s="1119"/>
    </row>
    <row r="329" spans="1:60" ht="14.25">
      <c r="A329" s="341"/>
      <c r="B329" s="363" t="s">
        <v>2395</v>
      </c>
      <c r="C329" s="342">
        <f>+$C$327+$G$328</f>
        <v>18991.399999999998</v>
      </c>
      <c r="D329" s="343"/>
      <c r="E329" s="343"/>
      <c r="F329" s="394">
        <v>0</v>
      </c>
      <c r="G329" s="345"/>
      <c r="H329" s="343"/>
      <c r="I329" s="360"/>
      <c r="J329" s="342"/>
      <c r="K329" s="343"/>
      <c r="L329" s="343" t="s">
        <v>1070</v>
      </c>
      <c r="M329" s="343" t="s">
        <v>2544</v>
      </c>
      <c r="N329" s="360" t="s">
        <v>144</v>
      </c>
      <c r="O329" s="360"/>
      <c r="P329" s="360"/>
      <c r="Q329" s="343">
        <v>0</v>
      </c>
      <c r="R329" s="344">
        <v>0</v>
      </c>
      <c r="S329" s="345"/>
      <c r="T329" s="343">
        <v>-25</v>
      </c>
      <c r="U329" s="343"/>
      <c r="V329" s="343"/>
      <c r="W329" s="343">
        <v>1.4</v>
      </c>
      <c r="X329" s="343"/>
      <c r="Y329" s="343"/>
      <c r="Z329" s="343"/>
      <c r="AA329" s="343"/>
      <c r="AB329" s="343"/>
      <c r="AC329" s="343" t="s">
        <v>1704</v>
      </c>
      <c r="AD329" s="343"/>
      <c r="AE329" s="343"/>
      <c r="AF329" s="343">
        <v>5400</v>
      </c>
      <c r="AG329" s="342">
        <v>18991.05</v>
      </c>
      <c r="AH329" s="343">
        <v>3083</v>
      </c>
      <c r="AI329" s="344">
        <v>14</v>
      </c>
      <c r="AJ329" s="343"/>
      <c r="AK329" s="343"/>
      <c r="AL329" s="343"/>
      <c r="AM329" s="343" t="s">
        <v>1228</v>
      </c>
      <c r="AN329" s="347">
        <v>5.5</v>
      </c>
      <c r="AO329" s="347"/>
      <c r="AP329" s="347"/>
      <c r="AQ329" s="347"/>
      <c r="AR329" s="347"/>
      <c r="AS329" s="347"/>
      <c r="AT329" s="347">
        <f>+ab($T$329,$T$327,$T$331,$G$328,$G$330, 1*$F$329,1200)</f>
        <v>-23.312557825284458</v>
      </c>
      <c r="AU329" s="347"/>
      <c r="AV329" s="347"/>
      <c r="AW329" s="347" t="s">
        <v>699</v>
      </c>
      <c r="AX329" s="347" t="s">
        <v>699</v>
      </c>
      <c r="AY329" s="347" t="s">
        <v>699</v>
      </c>
      <c r="AZ329" s="347" t="s">
        <v>699</v>
      </c>
      <c r="BA329" s="347"/>
      <c r="BB329" s="306"/>
      <c r="BF329" s="1119"/>
      <c r="BG329" s="1119"/>
      <c r="BH329" s="1119"/>
    </row>
    <row r="330" spans="1:60" ht="14.25">
      <c r="A330" s="341"/>
      <c r="B330" s="363"/>
      <c r="C330" s="342"/>
      <c r="D330" s="343"/>
      <c r="E330" s="343"/>
      <c r="F330" s="394"/>
      <c r="G330" s="345">
        <v>47</v>
      </c>
      <c r="H330" s="343"/>
      <c r="I330" s="360"/>
      <c r="J330" s="342"/>
      <c r="K330" s="343"/>
      <c r="L330" s="343"/>
      <c r="M330" s="343"/>
      <c r="N330" s="360"/>
      <c r="O330" s="360"/>
      <c r="P330" s="360"/>
      <c r="Q330" s="343"/>
      <c r="R330" s="345"/>
      <c r="S330" s="345">
        <f t="shared" si="40"/>
        <v>46.369999999998981</v>
      </c>
      <c r="T330" s="343"/>
      <c r="U330" s="343"/>
      <c r="V330" s="343"/>
      <c r="W330" s="343"/>
      <c r="X330" s="343"/>
      <c r="Y330" s="343"/>
      <c r="Z330" s="343"/>
      <c r="AA330" s="343"/>
      <c r="AB330" s="343"/>
      <c r="AC330" s="343"/>
      <c r="AD330" s="343"/>
      <c r="AE330" s="343"/>
      <c r="AF330" s="343"/>
      <c r="AG330" s="342"/>
      <c r="AH330" s="343"/>
      <c r="AI330" s="344"/>
      <c r="AJ330" s="343"/>
      <c r="AK330" s="343"/>
      <c r="AL330" s="343"/>
      <c r="AM330" s="343"/>
      <c r="AN330" s="347"/>
      <c r="AO330" s="347"/>
      <c r="AP330" s="347"/>
      <c r="AQ330" s="347">
        <f>+FL_2($T$331,$T$329,$G$330,1200,11.21, 1*$F$331)</f>
        <v>-0.50794677083333339</v>
      </c>
      <c r="AR330" s="347"/>
      <c r="AS330" s="347"/>
      <c r="AT330" s="347"/>
      <c r="AU330" s="347"/>
      <c r="AV330" s="347"/>
      <c r="AW330" s="347"/>
      <c r="AX330" s="347"/>
      <c r="AY330" s="347"/>
      <c r="AZ330" s="347"/>
      <c r="BA330" s="347"/>
      <c r="BB330" s="306"/>
      <c r="BF330" s="1119"/>
      <c r="BG330" s="1119"/>
      <c r="BH330" s="1119"/>
    </row>
    <row r="331" spans="1:60" ht="14.25">
      <c r="A331" s="341"/>
      <c r="B331" s="363" t="s">
        <v>2396</v>
      </c>
      <c r="C331" s="342">
        <f>+$C$329+$G$330</f>
        <v>19038.399999999998</v>
      </c>
      <c r="D331" s="343"/>
      <c r="E331" s="343"/>
      <c r="F331" s="394">
        <v>0</v>
      </c>
      <c r="G331" s="345"/>
      <c r="H331" s="343"/>
      <c r="I331" s="360"/>
      <c r="J331" s="342"/>
      <c r="K331" s="343"/>
      <c r="L331" s="343" t="s">
        <v>1070</v>
      </c>
      <c r="M331" s="343" t="s">
        <v>2544</v>
      </c>
      <c r="N331" s="360" t="s">
        <v>144</v>
      </c>
      <c r="O331" s="360"/>
      <c r="P331" s="360"/>
      <c r="Q331" s="343">
        <v>0</v>
      </c>
      <c r="R331" s="344">
        <v>0</v>
      </c>
      <c r="S331" s="345"/>
      <c r="T331" s="343">
        <v>-25</v>
      </c>
      <c r="U331" s="343"/>
      <c r="V331" s="343"/>
      <c r="W331" s="343">
        <v>1.4</v>
      </c>
      <c r="X331" s="343"/>
      <c r="Y331" s="343"/>
      <c r="Z331" s="343"/>
      <c r="AA331" s="343"/>
      <c r="AB331" s="343"/>
      <c r="AC331" s="343" t="s">
        <v>1704</v>
      </c>
      <c r="AD331" s="343"/>
      <c r="AE331" s="343"/>
      <c r="AF331" s="343">
        <v>5400</v>
      </c>
      <c r="AG331" s="342">
        <v>19037.419999999998</v>
      </c>
      <c r="AH331" s="343">
        <v>3101</v>
      </c>
      <c r="AI331" s="344">
        <v>42</v>
      </c>
      <c r="AJ331" s="343"/>
      <c r="AK331" s="343"/>
      <c r="AL331" s="343"/>
      <c r="AM331" s="343" t="s">
        <v>1228</v>
      </c>
      <c r="AN331" s="347">
        <v>5.5</v>
      </c>
      <c r="AO331" s="347"/>
      <c r="AP331" s="347"/>
      <c r="AQ331" s="347"/>
      <c r="AR331" s="347"/>
      <c r="AS331" s="347"/>
      <c r="AT331" s="347">
        <f>+ab($T$331,$T$329,$T$333,$G$330,$G$332, 1*$F$331,1200)</f>
        <v>-15.356651031637782</v>
      </c>
      <c r="AU331" s="347"/>
      <c r="AV331" s="347"/>
      <c r="AW331" s="347" t="s">
        <v>699</v>
      </c>
      <c r="AX331" s="347" t="s">
        <v>699</v>
      </c>
      <c r="AY331" s="347" t="s">
        <v>699</v>
      </c>
      <c r="AZ331" s="347" t="s">
        <v>699</v>
      </c>
      <c r="BA331" s="347"/>
      <c r="BB331" s="306"/>
      <c r="BF331" s="1119"/>
      <c r="BG331" s="1119"/>
      <c r="BH331" s="1119"/>
    </row>
    <row r="332" spans="1:60" ht="14.25">
      <c r="A332" s="341"/>
      <c r="B332" s="363"/>
      <c r="C332" s="342"/>
      <c r="D332" s="343"/>
      <c r="E332" s="343"/>
      <c r="F332" s="394"/>
      <c r="G332" s="345">
        <v>49.2</v>
      </c>
      <c r="H332" s="343"/>
      <c r="I332" s="360"/>
      <c r="J332" s="342"/>
      <c r="K332" s="343"/>
      <c r="L332" s="343"/>
      <c r="M332" s="343"/>
      <c r="N332" s="360"/>
      <c r="O332" s="360"/>
      <c r="P332" s="360"/>
      <c r="Q332" s="343"/>
      <c r="R332" s="345"/>
      <c r="S332" s="345">
        <f t="shared" si="40"/>
        <v>49.360000000000582</v>
      </c>
      <c r="T332" s="343"/>
      <c r="U332" s="343"/>
      <c r="V332" s="343"/>
      <c r="W332" s="343"/>
      <c r="X332" s="343"/>
      <c r="Y332" s="343"/>
      <c r="Z332" s="343"/>
      <c r="AA332" s="343"/>
      <c r="AB332" s="343"/>
      <c r="AC332" s="343"/>
      <c r="AD332" s="343"/>
      <c r="AE332" s="343"/>
      <c r="AF332" s="343"/>
      <c r="AG332" s="342"/>
      <c r="AH332" s="343"/>
      <c r="AI332" s="344"/>
      <c r="AJ332" s="343"/>
      <c r="AK332" s="343"/>
      <c r="AL332" s="343"/>
      <c r="AM332" s="343"/>
      <c r="AN332" s="347"/>
      <c r="AO332" s="347"/>
      <c r="AP332" s="347"/>
      <c r="AQ332" s="347">
        <f>+FL_2($T$333,$T$331,$G$332,1200,11.21, 1*$F$333)</f>
        <v>-0.31226103208841471</v>
      </c>
      <c r="AR332" s="347"/>
      <c r="AS332" s="347"/>
      <c r="AT332" s="347"/>
      <c r="AU332" s="347"/>
      <c r="AV332" s="347"/>
      <c r="AW332" s="347"/>
      <c r="AX332" s="347"/>
      <c r="AY332" s="347"/>
      <c r="AZ332" s="347"/>
      <c r="BA332" s="347"/>
      <c r="BB332" s="306"/>
      <c r="BF332" s="1119"/>
      <c r="BG332" s="1119"/>
      <c r="BH332" s="1119"/>
    </row>
    <row r="333" spans="1:60" ht="14.25">
      <c r="A333" s="341"/>
      <c r="B333" s="363" t="s">
        <v>2397</v>
      </c>
      <c r="C333" s="342">
        <f>+$C$331+$G$332</f>
        <v>19087.599999999999</v>
      </c>
      <c r="D333" s="343"/>
      <c r="E333" s="343"/>
      <c r="F333" s="394">
        <v>0</v>
      </c>
      <c r="G333" s="345"/>
      <c r="H333" s="343" t="s">
        <v>954</v>
      </c>
      <c r="I333" s="360"/>
      <c r="J333" s="342"/>
      <c r="K333" s="343"/>
      <c r="L333" s="343" t="s">
        <v>2542</v>
      </c>
      <c r="M333" s="343" t="s">
        <v>2543</v>
      </c>
      <c r="N333" s="360" t="s">
        <v>145</v>
      </c>
      <c r="O333" s="360"/>
      <c r="P333" s="360"/>
      <c r="Q333" s="343">
        <v>0</v>
      </c>
      <c r="R333" s="344">
        <v>0</v>
      </c>
      <c r="S333" s="345"/>
      <c r="T333" s="343">
        <v>35</v>
      </c>
      <c r="U333" s="343"/>
      <c r="V333" s="343"/>
      <c r="W333" s="343">
        <v>1.4</v>
      </c>
      <c r="X333" s="343"/>
      <c r="Y333" s="343"/>
      <c r="Z333" s="343"/>
      <c r="AA333" s="343"/>
      <c r="AB333" s="343"/>
      <c r="AC333" s="343" t="s">
        <v>2965</v>
      </c>
      <c r="AD333" s="343"/>
      <c r="AE333" s="343"/>
      <c r="AF333" s="343">
        <v>5600</v>
      </c>
      <c r="AG333" s="342">
        <v>19086.78</v>
      </c>
      <c r="AH333" s="343">
        <v>3243</v>
      </c>
      <c r="AI333" s="344">
        <v>200</v>
      </c>
      <c r="AJ333" s="343"/>
      <c r="AK333" s="343"/>
      <c r="AL333" s="343"/>
      <c r="AM333" s="343" t="s">
        <v>1228</v>
      </c>
      <c r="AN333" s="347">
        <v>5.5</v>
      </c>
      <c r="AO333" s="347"/>
      <c r="AP333" s="347"/>
      <c r="AQ333" s="347"/>
      <c r="AR333" s="347"/>
      <c r="AS333" s="347"/>
      <c r="AT333" s="347">
        <f>+ab($T$333,$T$331,$T$335,$G$332,$G$334, 1*$F$333,1200)</f>
        <v>7.9116995665579113</v>
      </c>
      <c r="AU333" s="347"/>
      <c r="AV333" s="347"/>
      <c r="AW333" s="347" t="s">
        <v>699</v>
      </c>
      <c r="AX333" s="347" t="s">
        <v>699</v>
      </c>
      <c r="AY333" s="347" t="s">
        <v>699</v>
      </c>
      <c r="AZ333" s="347" t="s">
        <v>699</v>
      </c>
      <c r="BA333" s="347"/>
      <c r="BB333" s="306"/>
      <c r="BF333" s="1119"/>
      <c r="BG333" s="1119"/>
      <c r="BH333" s="1119"/>
    </row>
    <row r="334" spans="1:60" ht="14.25">
      <c r="A334" s="341"/>
      <c r="B334" s="363"/>
      <c r="C334" s="342"/>
      <c r="D334" s="343"/>
      <c r="E334" s="343"/>
      <c r="F334" s="394"/>
      <c r="G334" s="345">
        <v>58.8</v>
      </c>
      <c r="H334" s="343"/>
      <c r="I334" s="360">
        <f>SUM(G312:G334)-10</f>
        <v>554.4</v>
      </c>
      <c r="J334" s="342"/>
      <c r="K334" s="343"/>
      <c r="L334" s="343"/>
      <c r="M334" s="343"/>
      <c r="N334" s="360"/>
      <c r="O334" s="360"/>
      <c r="P334" s="360"/>
      <c r="Q334" s="343"/>
      <c r="R334" s="345"/>
      <c r="S334" s="345">
        <f t="shared" si="40"/>
        <v>58.960000000002765</v>
      </c>
      <c r="T334" s="343"/>
      <c r="U334" s="343"/>
      <c r="V334" s="343"/>
      <c r="W334" s="343"/>
      <c r="X334" s="343"/>
      <c r="Y334" s="343"/>
      <c r="Z334" s="343"/>
      <c r="AA334" s="343"/>
      <c r="AB334" s="343"/>
      <c r="AC334" s="343"/>
      <c r="AD334" s="343"/>
      <c r="AE334" s="343"/>
      <c r="AF334" s="343"/>
      <c r="AG334" s="342"/>
      <c r="AH334" s="343"/>
      <c r="AI334" s="344"/>
      <c r="AJ334" s="343"/>
      <c r="AK334" s="343"/>
      <c r="AL334" s="343"/>
      <c r="AM334" s="343"/>
      <c r="AN334" s="347"/>
      <c r="AO334" s="347"/>
      <c r="AP334" s="347"/>
      <c r="AQ334" s="347">
        <f>+FL_1($T$335,$T$333,$G$334,1200,11.21, 1*$F$335)</f>
        <v>0.47958364183333346</v>
      </c>
      <c r="AR334" s="347"/>
      <c r="AS334" s="347"/>
      <c r="AT334" s="347"/>
      <c r="AU334" s="347"/>
      <c r="AV334" s="347"/>
      <c r="AW334" s="347"/>
      <c r="AX334" s="347"/>
      <c r="AY334" s="347"/>
      <c r="AZ334" s="347"/>
      <c r="BA334" s="347"/>
      <c r="BB334" s="306"/>
      <c r="BF334" s="1119"/>
      <c r="BG334" s="1119"/>
      <c r="BH334" s="1119"/>
    </row>
    <row r="335" spans="1:60" ht="14.25">
      <c r="A335" s="341"/>
      <c r="B335" s="363" t="s">
        <v>2398</v>
      </c>
      <c r="C335" s="342">
        <f>+$C$333+$G$334</f>
        <v>19146.399999999998</v>
      </c>
      <c r="D335" s="343"/>
      <c r="E335" s="343"/>
      <c r="F335" s="394">
        <v>0</v>
      </c>
      <c r="G335" s="345"/>
      <c r="H335" s="343" t="s">
        <v>955</v>
      </c>
      <c r="I335" s="360"/>
      <c r="J335" s="342"/>
      <c r="K335" s="343"/>
      <c r="L335" s="343" t="s">
        <v>1070</v>
      </c>
      <c r="M335" s="343" t="s">
        <v>2544</v>
      </c>
      <c r="N335" s="360" t="s">
        <v>144</v>
      </c>
      <c r="O335" s="360"/>
      <c r="P335" s="360"/>
      <c r="Q335" s="343">
        <v>0</v>
      </c>
      <c r="R335" s="344">
        <v>0</v>
      </c>
      <c r="S335" s="345"/>
      <c r="T335" s="343">
        <v>-35</v>
      </c>
      <c r="U335" s="343"/>
      <c r="V335" s="343"/>
      <c r="W335" s="343">
        <v>1.4</v>
      </c>
      <c r="X335" s="343"/>
      <c r="Y335" s="343"/>
      <c r="Z335" s="343"/>
      <c r="AA335" s="343"/>
      <c r="AB335" s="343"/>
      <c r="AC335" s="343" t="s">
        <v>2963</v>
      </c>
      <c r="AD335" s="343"/>
      <c r="AE335" s="343"/>
      <c r="AF335" s="343">
        <v>5400</v>
      </c>
      <c r="AG335" s="342">
        <v>19145.740000000002</v>
      </c>
      <c r="AH335" s="343">
        <v>3157</v>
      </c>
      <c r="AI335" s="344">
        <v>-153</v>
      </c>
      <c r="AJ335" s="343"/>
      <c r="AK335" s="343"/>
      <c r="AL335" s="343"/>
      <c r="AM335" s="343" t="s">
        <v>1228</v>
      </c>
      <c r="AN335" s="347">
        <v>5.5</v>
      </c>
      <c r="AO335" s="347"/>
      <c r="AP335" s="347"/>
      <c r="AQ335" s="347"/>
      <c r="AR335" s="347"/>
      <c r="AS335" s="347"/>
      <c r="AT335" s="347">
        <f>+ab($T$335,$T$333,$T$337,$G$334,$G$336, 1*$F$335,1200)</f>
        <v>-8.0203945367721019</v>
      </c>
      <c r="AU335" s="347"/>
      <c r="AV335" s="347"/>
      <c r="AW335" s="347" t="s">
        <v>699</v>
      </c>
      <c r="AX335" s="347" t="s">
        <v>699</v>
      </c>
      <c r="AY335" s="347" t="s">
        <v>699</v>
      </c>
      <c r="AZ335" s="347" t="s">
        <v>699</v>
      </c>
      <c r="BA335" s="347"/>
      <c r="BB335" s="306"/>
      <c r="BF335" s="1119"/>
      <c r="BG335" s="1119"/>
      <c r="BH335" s="1119"/>
    </row>
    <row r="336" spans="1:60" ht="14.25">
      <c r="A336" s="341"/>
      <c r="B336" s="363"/>
      <c r="C336" s="342"/>
      <c r="D336" s="343"/>
      <c r="E336" s="343"/>
      <c r="F336" s="394"/>
      <c r="G336" s="345">
        <v>59</v>
      </c>
      <c r="H336" s="343"/>
      <c r="I336" s="360">
        <f>SUM(G336:G350)</f>
        <v>485.6</v>
      </c>
      <c r="J336" s="342"/>
      <c r="K336" s="343"/>
      <c r="L336" s="343"/>
      <c r="M336" s="343"/>
      <c r="N336" s="360"/>
      <c r="O336" s="360"/>
      <c r="P336" s="360"/>
      <c r="Q336" s="343"/>
      <c r="R336" s="345"/>
      <c r="S336" s="345">
        <f t="shared" si="40"/>
        <v>59.039999999997235</v>
      </c>
      <c r="T336" s="343"/>
      <c r="U336" s="343"/>
      <c r="V336" s="343"/>
      <c r="W336" s="343"/>
      <c r="X336" s="343"/>
      <c r="Y336" s="343"/>
      <c r="Z336" s="343"/>
      <c r="AA336" s="343"/>
      <c r="AB336" s="343"/>
      <c r="AC336" s="343"/>
      <c r="AD336" s="343"/>
      <c r="AE336" s="343"/>
      <c r="AF336" s="343"/>
      <c r="AG336" s="342"/>
      <c r="AH336" s="343"/>
      <c r="AI336" s="344"/>
      <c r="AJ336" s="343"/>
      <c r="AK336" s="343"/>
      <c r="AL336" s="343"/>
      <c r="AM336" s="343"/>
      <c r="AN336" s="347"/>
      <c r="AO336" s="347"/>
      <c r="AP336" s="347"/>
      <c r="AQ336" s="347">
        <f>+FL_2($T$337,$T$335,$G$336,1200,11.21, 1*$F$337)</f>
        <v>-0.48182136610169501</v>
      </c>
      <c r="AR336" s="347"/>
      <c r="AS336" s="347"/>
      <c r="AT336" s="347"/>
      <c r="AU336" s="347"/>
      <c r="AV336" s="347"/>
      <c r="AW336" s="347"/>
      <c r="AX336" s="347"/>
      <c r="AY336" s="347"/>
      <c r="AZ336" s="347"/>
      <c r="BA336" s="347"/>
      <c r="BB336" s="306"/>
      <c r="BF336" s="1119"/>
      <c r="BG336" s="1119"/>
      <c r="BH336" s="1119"/>
    </row>
    <row r="337" spans="1:60" ht="14.25">
      <c r="A337" s="341"/>
      <c r="B337" s="363" t="s">
        <v>2399</v>
      </c>
      <c r="C337" s="342">
        <f>+$C$335+$G$336</f>
        <v>19205.399999999998</v>
      </c>
      <c r="D337" s="343"/>
      <c r="E337" s="343"/>
      <c r="F337" s="394">
        <v>0</v>
      </c>
      <c r="G337" s="345"/>
      <c r="H337" s="343" t="s">
        <v>954</v>
      </c>
      <c r="I337" s="360"/>
      <c r="J337" s="342"/>
      <c r="K337" s="343"/>
      <c r="L337" s="343" t="s">
        <v>2542</v>
      </c>
      <c r="M337" s="343" t="s">
        <v>2543</v>
      </c>
      <c r="N337" s="360" t="s">
        <v>145</v>
      </c>
      <c r="O337" s="360"/>
      <c r="P337" s="360"/>
      <c r="Q337" s="343">
        <v>0</v>
      </c>
      <c r="R337" s="344">
        <v>0</v>
      </c>
      <c r="S337" s="345"/>
      <c r="T337" s="343">
        <v>35</v>
      </c>
      <c r="U337" s="343"/>
      <c r="V337" s="343"/>
      <c r="W337" s="343">
        <v>1.4</v>
      </c>
      <c r="X337" s="343"/>
      <c r="Y337" s="343"/>
      <c r="Z337" s="343"/>
      <c r="AA337" s="343"/>
      <c r="AB337" s="343"/>
      <c r="AC337" s="343" t="s">
        <v>2965</v>
      </c>
      <c r="AD337" s="343"/>
      <c r="AE337" s="343"/>
      <c r="AF337" s="343">
        <v>5600</v>
      </c>
      <c r="AG337" s="342">
        <v>19204.78</v>
      </c>
      <c r="AH337" s="343">
        <v>3163</v>
      </c>
      <c r="AI337" s="344">
        <v>100</v>
      </c>
      <c r="AJ337" s="343"/>
      <c r="AK337" s="343"/>
      <c r="AL337" s="343"/>
      <c r="AM337" s="343" t="s">
        <v>1228</v>
      </c>
      <c r="AN337" s="347">
        <v>5.5</v>
      </c>
      <c r="AO337" s="347"/>
      <c r="AP337" s="347"/>
      <c r="AQ337" s="347"/>
      <c r="AR337" s="347"/>
      <c r="AS337" s="347"/>
      <c r="AT337" s="347">
        <f>+ab($T$337,$T$335,$T$339,$G$336,$G$338, 1*$F$337,1200)</f>
        <v>8.0338173651602922</v>
      </c>
      <c r="AU337" s="347"/>
      <c r="AV337" s="347"/>
      <c r="AW337" s="347" t="s">
        <v>699</v>
      </c>
      <c r="AX337" s="347" t="s">
        <v>699</v>
      </c>
      <c r="AY337" s="347" t="s">
        <v>699</v>
      </c>
      <c r="AZ337" s="347" t="s">
        <v>699</v>
      </c>
      <c r="BA337" s="347"/>
      <c r="BB337" s="306"/>
      <c r="BF337" s="1119"/>
      <c r="BG337" s="1119"/>
      <c r="BH337" s="1119"/>
    </row>
    <row r="338" spans="1:60" ht="14.25">
      <c r="A338" s="341"/>
      <c r="B338" s="363"/>
      <c r="C338" s="342"/>
      <c r="D338" s="343"/>
      <c r="E338" s="343"/>
      <c r="F338" s="394"/>
      <c r="G338" s="345">
        <v>59</v>
      </c>
      <c r="H338" s="343"/>
      <c r="I338" s="360"/>
      <c r="J338" s="342"/>
      <c r="K338" s="343"/>
      <c r="L338" s="343"/>
      <c r="M338" s="343"/>
      <c r="N338" s="360"/>
      <c r="O338" s="360"/>
      <c r="P338" s="360"/>
      <c r="Q338" s="343"/>
      <c r="R338" s="345"/>
      <c r="S338" s="345">
        <f t="shared" si="40"/>
        <v>58.990000000001601</v>
      </c>
      <c r="T338" s="343"/>
      <c r="U338" s="343"/>
      <c r="V338" s="343"/>
      <c r="W338" s="343"/>
      <c r="X338" s="343"/>
      <c r="Y338" s="343"/>
      <c r="Z338" s="343"/>
      <c r="AA338" s="343"/>
      <c r="AB338" s="343"/>
      <c r="AC338" s="343"/>
      <c r="AD338" s="343"/>
      <c r="AE338" s="343"/>
      <c r="AF338" s="343"/>
      <c r="AG338" s="342"/>
      <c r="AH338" s="343"/>
      <c r="AI338" s="344"/>
      <c r="AJ338" s="343"/>
      <c r="AK338" s="343"/>
      <c r="AL338" s="343"/>
      <c r="AM338" s="343"/>
      <c r="AN338" s="347"/>
      <c r="AO338" s="347"/>
      <c r="AP338" s="347"/>
      <c r="AQ338" s="347">
        <f>+FL_1($T$339,$T$337,$G$338,1200,11.21, 1*$F$339)</f>
        <v>0.48182136610169501</v>
      </c>
      <c r="AR338" s="347"/>
      <c r="AS338" s="347"/>
      <c r="AT338" s="347"/>
      <c r="AU338" s="347"/>
      <c r="AV338" s="347"/>
      <c r="AW338" s="347"/>
      <c r="AX338" s="347"/>
      <c r="AY338" s="347"/>
      <c r="AZ338" s="347"/>
      <c r="BA338" s="347"/>
      <c r="BB338" s="306"/>
      <c r="BF338" s="1119"/>
      <c r="BG338" s="1119"/>
      <c r="BH338" s="1119"/>
    </row>
    <row r="339" spans="1:60" ht="14.25">
      <c r="A339" s="341"/>
      <c r="B339" s="363" t="s">
        <v>2400</v>
      </c>
      <c r="C339" s="342">
        <f>+$C$337+$G$338</f>
        <v>19264.399999999998</v>
      </c>
      <c r="D339" s="343"/>
      <c r="E339" s="343"/>
      <c r="F339" s="394">
        <v>0</v>
      </c>
      <c r="G339" s="345"/>
      <c r="H339" s="343"/>
      <c r="I339" s="360"/>
      <c r="J339" s="342"/>
      <c r="K339" s="343"/>
      <c r="L339" s="343" t="s">
        <v>1070</v>
      </c>
      <c r="M339" s="343" t="s">
        <v>2544</v>
      </c>
      <c r="N339" s="360" t="s">
        <v>144</v>
      </c>
      <c r="O339" s="360"/>
      <c r="P339" s="360"/>
      <c r="Q339" s="343">
        <v>0</v>
      </c>
      <c r="R339" s="344">
        <v>0</v>
      </c>
      <c r="S339" s="345"/>
      <c r="T339" s="343">
        <v>-35</v>
      </c>
      <c r="U339" s="343"/>
      <c r="V339" s="343"/>
      <c r="W339" s="343">
        <v>1.4</v>
      </c>
      <c r="X339" s="343"/>
      <c r="Y339" s="343"/>
      <c r="Z339" s="343"/>
      <c r="AA339" s="343"/>
      <c r="AB339" s="343"/>
      <c r="AC339" s="343" t="s">
        <v>2963</v>
      </c>
      <c r="AD339" s="343"/>
      <c r="AE339" s="343"/>
      <c r="AF339" s="343">
        <v>5400</v>
      </c>
      <c r="AG339" s="342">
        <v>19263.77</v>
      </c>
      <c r="AH339" s="343">
        <v>3137</v>
      </c>
      <c r="AI339" s="344">
        <v>92</v>
      </c>
      <c r="AJ339" s="343"/>
      <c r="AK339" s="343"/>
      <c r="AL339" s="343"/>
      <c r="AM339" s="343" t="s">
        <v>1228</v>
      </c>
      <c r="AN339" s="347">
        <v>5.5</v>
      </c>
      <c r="AO339" s="347"/>
      <c r="AP339" s="347"/>
      <c r="AQ339" s="347"/>
      <c r="AR339" s="347"/>
      <c r="AS339" s="347"/>
      <c r="AT339" s="347">
        <f>+ab($T$339,$T$337,$T$341,$G$338,$G$340, 1*$F$339,1200)</f>
        <v>-8.0338567946902995</v>
      </c>
      <c r="AU339" s="347"/>
      <c r="AV339" s="347"/>
      <c r="AW339" s="347" t="s">
        <v>699</v>
      </c>
      <c r="AX339" s="347" t="s">
        <v>699</v>
      </c>
      <c r="AY339" s="347" t="s">
        <v>699</v>
      </c>
      <c r="AZ339" s="347" t="s">
        <v>699</v>
      </c>
      <c r="BA339" s="347"/>
      <c r="BB339" s="306"/>
      <c r="BF339" s="1119"/>
      <c r="BG339" s="1119"/>
      <c r="BH339" s="1119"/>
    </row>
    <row r="340" spans="1:60" ht="14.25">
      <c r="A340" s="341"/>
      <c r="B340" s="363"/>
      <c r="C340" s="342"/>
      <c r="D340" s="343"/>
      <c r="E340" s="343"/>
      <c r="F340" s="394"/>
      <c r="G340" s="345">
        <v>59</v>
      </c>
      <c r="H340" s="343"/>
      <c r="I340" s="360"/>
      <c r="J340" s="342"/>
      <c r="K340" s="343"/>
      <c r="L340" s="343"/>
      <c r="M340" s="343"/>
      <c r="N340" s="360"/>
      <c r="O340" s="360"/>
      <c r="P340" s="360"/>
      <c r="Q340" s="343"/>
      <c r="R340" s="345"/>
      <c r="S340" s="345">
        <f t="shared" si="40"/>
        <v>58.979999999999563</v>
      </c>
      <c r="T340" s="343"/>
      <c r="U340" s="343"/>
      <c r="V340" s="343"/>
      <c r="W340" s="343"/>
      <c r="X340" s="343"/>
      <c r="Y340" s="343"/>
      <c r="Z340" s="343"/>
      <c r="AA340" s="343"/>
      <c r="AB340" s="343"/>
      <c r="AC340" s="343"/>
      <c r="AD340" s="343"/>
      <c r="AE340" s="343"/>
      <c r="AF340" s="343"/>
      <c r="AG340" s="342"/>
      <c r="AH340" s="343"/>
      <c r="AI340" s="344"/>
      <c r="AJ340" s="343"/>
      <c r="AK340" s="343"/>
      <c r="AL340" s="343"/>
      <c r="AM340" s="343"/>
      <c r="AN340" s="347"/>
      <c r="AO340" s="347"/>
      <c r="AP340" s="347"/>
      <c r="AQ340" s="347">
        <f>+FL_2($T$341,$T$339,$G$340,1200,11.21, 1*$F$341)</f>
        <v>-0.48182136610169501</v>
      </c>
      <c r="AR340" s="347"/>
      <c r="AS340" s="347"/>
      <c r="AT340" s="347"/>
      <c r="AU340" s="347"/>
      <c r="AV340" s="347"/>
      <c r="AW340" s="347"/>
      <c r="AX340" s="347"/>
      <c r="AY340" s="347"/>
      <c r="AZ340" s="347"/>
      <c r="BA340" s="347"/>
      <c r="BB340" s="306"/>
      <c r="BF340" s="1119"/>
      <c r="BG340" s="1119"/>
      <c r="BH340" s="1119"/>
    </row>
    <row r="341" spans="1:60" ht="14.25">
      <c r="A341" s="341"/>
      <c r="B341" s="363" t="s">
        <v>2401</v>
      </c>
      <c r="C341" s="342">
        <f>+$C$339+$G$340</f>
        <v>19323.399999999998</v>
      </c>
      <c r="D341" s="343"/>
      <c r="E341" s="343"/>
      <c r="F341" s="394">
        <v>0</v>
      </c>
      <c r="G341" s="345"/>
      <c r="H341" s="343"/>
      <c r="I341" s="360"/>
      <c r="J341" s="342"/>
      <c r="K341" s="343"/>
      <c r="L341" s="343" t="s">
        <v>1070</v>
      </c>
      <c r="M341" s="343" t="s">
        <v>2544</v>
      </c>
      <c r="N341" s="360" t="s">
        <v>145</v>
      </c>
      <c r="O341" s="360"/>
      <c r="P341" s="360"/>
      <c r="Q341" s="343">
        <v>0</v>
      </c>
      <c r="R341" s="344">
        <v>0</v>
      </c>
      <c r="S341" s="345"/>
      <c r="T341" s="343">
        <v>35</v>
      </c>
      <c r="U341" s="343"/>
      <c r="V341" s="343"/>
      <c r="W341" s="343">
        <v>1.4</v>
      </c>
      <c r="X341" s="343"/>
      <c r="Y341" s="343"/>
      <c r="Z341" s="343"/>
      <c r="AA341" s="343"/>
      <c r="AB341" s="343"/>
      <c r="AC341" s="343" t="s">
        <v>2963</v>
      </c>
      <c r="AD341" s="343"/>
      <c r="AE341" s="343"/>
      <c r="AF341" s="343">
        <v>5400</v>
      </c>
      <c r="AG341" s="342">
        <v>19322.75</v>
      </c>
      <c r="AH341" s="343">
        <v>3156</v>
      </c>
      <c r="AI341" s="344">
        <v>35</v>
      </c>
      <c r="AJ341" s="343"/>
      <c r="AK341" s="343"/>
      <c r="AL341" s="343"/>
      <c r="AM341" s="343" t="s">
        <v>1228</v>
      </c>
      <c r="AN341" s="347">
        <v>5.5</v>
      </c>
      <c r="AO341" s="347"/>
      <c r="AP341" s="347"/>
      <c r="AQ341" s="347"/>
      <c r="AR341" s="347"/>
      <c r="AS341" s="347"/>
      <c r="AT341" s="347">
        <f>+ab($T$341,$T$339,$T$343,$G$340,$G$342, 1*$F$341,1200)</f>
        <v>8.0338173651602922</v>
      </c>
      <c r="AU341" s="347"/>
      <c r="AV341" s="347"/>
      <c r="AW341" s="347" t="s">
        <v>699</v>
      </c>
      <c r="AX341" s="347" t="s">
        <v>699</v>
      </c>
      <c r="AY341" s="347" t="s">
        <v>699</v>
      </c>
      <c r="AZ341" s="347" t="s">
        <v>699</v>
      </c>
      <c r="BA341" s="347"/>
      <c r="BB341" s="306"/>
      <c r="BF341" s="1119"/>
      <c r="BG341" s="1119"/>
      <c r="BH341" s="1119"/>
    </row>
    <row r="342" spans="1:60" ht="14.25">
      <c r="A342" s="341"/>
      <c r="B342" s="363"/>
      <c r="C342" s="342"/>
      <c r="D342" s="343"/>
      <c r="E342" s="343"/>
      <c r="F342" s="394"/>
      <c r="G342" s="345">
        <v>59</v>
      </c>
      <c r="H342" s="343"/>
      <c r="I342" s="360"/>
      <c r="J342" s="342"/>
      <c r="K342" s="343"/>
      <c r="L342" s="343"/>
      <c r="M342" s="343"/>
      <c r="N342" s="360"/>
      <c r="O342" s="360"/>
      <c r="P342" s="360"/>
      <c r="Q342" s="343"/>
      <c r="R342" s="345"/>
      <c r="S342" s="345">
        <f t="shared" si="40"/>
        <v>58.990000000001601</v>
      </c>
      <c r="T342" s="343"/>
      <c r="U342" s="343"/>
      <c r="V342" s="343"/>
      <c r="W342" s="343"/>
      <c r="X342" s="343"/>
      <c r="Y342" s="343"/>
      <c r="Z342" s="343"/>
      <c r="AA342" s="343"/>
      <c r="AB342" s="343"/>
      <c r="AC342" s="343"/>
      <c r="AD342" s="343"/>
      <c r="AE342" s="343"/>
      <c r="AF342" s="343"/>
      <c r="AG342" s="342"/>
      <c r="AH342" s="343"/>
      <c r="AI342" s="344"/>
      <c r="AJ342" s="343"/>
      <c r="AK342" s="343"/>
      <c r="AL342" s="343"/>
      <c r="AM342" s="343"/>
      <c r="AN342" s="347"/>
      <c r="AO342" s="347"/>
      <c r="AP342" s="347"/>
      <c r="AQ342" s="347">
        <f>+FL_1($T$343,$T$341,$G$342,1200,11.21, 1*$F$343)</f>
        <v>0.48182136610169501</v>
      </c>
      <c r="AR342" s="347"/>
      <c r="AS342" s="347"/>
      <c r="AT342" s="347"/>
      <c r="AU342" s="347"/>
      <c r="AV342" s="347"/>
      <c r="AW342" s="347"/>
      <c r="AX342" s="347"/>
      <c r="AY342" s="347"/>
      <c r="AZ342" s="347"/>
      <c r="BA342" s="347"/>
      <c r="BB342" s="306"/>
      <c r="BF342" s="1119"/>
      <c r="BG342" s="1119"/>
      <c r="BH342" s="1119"/>
    </row>
    <row r="343" spans="1:60" ht="14.25">
      <c r="A343" s="341" t="s">
        <v>2193</v>
      </c>
      <c r="B343" s="363" t="s">
        <v>2402</v>
      </c>
      <c r="C343" s="342">
        <f>+$C$341+$G$342</f>
        <v>19382.399999999998</v>
      </c>
      <c r="D343" s="343"/>
      <c r="E343" s="343"/>
      <c r="F343" s="394">
        <v>0</v>
      </c>
      <c r="G343" s="345"/>
      <c r="H343" s="343"/>
      <c r="I343" s="360"/>
      <c r="J343" s="342"/>
      <c r="K343" s="343"/>
      <c r="L343" s="343" t="s">
        <v>1070</v>
      </c>
      <c r="M343" s="343" t="s">
        <v>2544</v>
      </c>
      <c r="N343" s="360" t="s">
        <v>144</v>
      </c>
      <c r="O343" s="360"/>
      <c r="P343" s="360"/>
      <c r="Q343" s="343">
        <v>0</v>
      </c>
      <c r="R343" s="344">
        <v>0</v>
      </c>
      <c r="S343" s="345"/>
      <c r="T343" s="343">
        <v>-35</v>
      </c>
      <c r="U343" s="343"/>
      <c r="V343" s="343"/>
      <c r="W343" s="343">
        <v>1.4</v>
      </c>
      <c r="X343" s="343"/>
      <c r="Y343" s="343"/>
      <c r="Z343" s="343"/>
      <c r="AA343" s="343"/>
      <c r="AB343" s="343"/>
      <c r="AC343" s="343" t="s">
        <v>1704</v>
      </c>
      <c r="AD343" s="343"/>
      <c r="AE343" s="343"/>
      <c r="AF343" s="343">
        <v>5400</v>
      </c>
      <c r="AG343" s="342">
        <v>19381.740000000002</v>
      </c>
      <c r="AH343" s="343">
        <v>3121</v>
      </c>
      <c r="AI343" s="344">
        <v>-164</v>
      </c>
      <c r="AJ343" s="343"/>
      <c r="AK343" s="343"/>
      <c r="AL343" s="343"/>
      <c r="AM343" s="343" t="s">
        <v>1228</v>
      </c>
      <c r="AN343" s="347">
        <v>5.5</v>
      </c>
      <c r="AO343" s="347"/>
      <c r="AP343" s="347"/>
      <c r="AQ343" s="347"/>
      <c r="AR343" s="347"/>
      <c r="AS343" s="347"/>
      <c r="AT343" s="347">
        <f>+ab($T$343,$T$341,$T$345,$G$342,$G$344, 1*$F$343,1200)</f>
        <v>-8.6845996750666288</v>
      </c>
      <c r="AU343" s="347"/>
      <c r="AV343" s="347"/>
      <c r="AW343" s="347" t="s">
        <v>699</v>
      </c>
      <c r="AX343" s="347" t="s">
        <v>699</v>
      </c>
      <c r="AY343" s="347" t="s">
        <v>699</v>
      </c>
      <c r="AZ343" s="347" t="s">
        <v>699</v>
      </c>
      <c r="BA343" s="347"/>
      <c r="BB343" s="306"/>
      <c r="BF343" s="1119"/>
      <c r="BG343" s="1119"/>
      <c r="BH343" s="1119"/>
    </row>
    <row r="344" spans="1:60" ht="14.25">
      <c r="A344" s="1121"/>
      <c r="B344" s="287"/>
      <c r="C344" s="288"/>
      <c r="D344" s="1121"/>
      <c r="E344" s="1121"/>
      <c r="F344" s="289"/>
      <c r="G344" s="292">
        <v>64.599999999999994</v>
      </c>
      <c r="H344" s="1121"/>
      <c r="I344" s="294"/>
      <c r="J344" s="288">
        <f>C345-7.5</f>
        <v>19439.499999999996</v>
      </c>
      <c r="K344" s="1121" t="s">
        <v>3017</v>
      </c>
      <c r="L344" s="1121"/>
      <c r="M344" s="1121"/>
      <c r="N344" s="1121"/>
      <c r="O344" s="1121"/>
      <c r="P344" s="1121"/>
      <c r="Q344" s="1121"/>
      <c r="R344" s="292"/>
      <c r="S344" s="292">
        <f t="shared" ref="S344:S356" si="41">+AG345-AG343</f>
        <v>64.539999999997235</v>
      </c>
      <c r="T344" s="1121"/>
      <c r="U344" s="1121"/>
      <c r="V344" s="1121"/>
      <c r="W344" s="1121"/>
      <c r="X344" s="1121"/>
      <c r="Y344" s="1121"/>
      <c r="Z344" s="1121"/>
      <c r="AA344" s="1121"/>
      <c r="AB344" s="1121"/>
      <c r="AC344" s="1121"/>
      <c r="AD344" s="1121"/>
      <c r="AE344" s="1121"/>
      <c r="AF344" s="1121"/>
      <c r="AG344" s="288"/>
      <c r="AH344" s="1121"/>
      <c r="AI344" s="289"/>
      <c r="AJ344" s="1121"/>
      <c r="AK344" s="1121"/>
      <c r="AL344" s="1121"/>
      <c r="AM344" s="1121"/>
      <c r="AN344" s="315"/>
      <c r="AO344" s="315"/>
      <c r="AP344" s="315"/>
      <c r="AQ344" s="315">
        <f>+FL_2($T$345,$T$343,$G$344,1200,9.28, 1*$F$345)</f>
        <v>-0.49386380075541791</v>
      </c>
      <c r="AR344" s="315"/>
      <c r="AS344" s="315"/>
      <c r="AT344" s="315"/>
      <c r="AU344" s="315"/>
      <c r="AV344" s="315"/>
      <c r="AW344" s="315" t="s">
        <v>2634</v>
      </c>
      <c r="AX344" s="315" t="s">
        <v>1641</v>
      </c>
      <c r="AY344" s="315"/>
      <c r="AZ344" s="315">
        <v>3.5</v>
      </c>
      <c r="BA344" s="315"/>
      <c r="BB344" s="306"/>
      <c r="BF344" s="1119"/>
      <c r="BG344" s="1119"/>
      <c r="BH344" s="1119"/>
    </row>
    <row r="345" spans="1:60" ht="14.25">
      <c r="A345" s="340"/>
      <c r="B345" s="287" t="s">
        <v>2403</v>
      </c>
      <c r="C345" s="288">
        <f>+$C$343+$G$344</f>
        <v>19446.999999999996</v>
      </c>
      <c r="D345" s="1121"/>
      <c r="E345" s="1121">
        <v>0</v>
      </c>
      <c r="F345" s="289">
        <v>0</v>
      </c>
      <c r="G345" s="292"/>
      <c r="H345" s="1121" t="s">
        <v>138</v>
      </c>
      <c r="I345" s="294" t="s">
        <v>656</v>
      </c>
      <c r="J345" s="288"/>
      <c r="K345" s="1121"/>
      <c r="L345" s="1121" t="s">
        <v>1061</v>
      </c>
      <c r="M345" s="1121" t="s">
        <v>2756</v>
      </c>
      <c r="N345" s="1121" t="s">
        <v>145</v>
      </c>
      <c r="O345" s="1121"/>
      <c r="P345" s="1121"/>
      <c r="Q345" s="1121">
        <v>1</v>
      </c>
      <c r="R345" s="289">
        <v>0</v>
      </c>
      <c r="S345" s="1068"/>
      <c r="T345" s="1121">
        <v>30</v>
      </c>
      <c r="U345" s="1121"/>
      <c r="V345" s="1121"/>
      <c r="W345" s="1121">
        <v>1.4</v>
      </c>
      <c r="X345" s="1121"/>
      <c r="Y345" s="1121"/>
      <c r="Z345" s="1121"/>
      <c r="AA345" s="1121"/>
      <c r="AB345" s="1121"/>
      <c r="AC345" s="1121" t="s">
        <v>1704</v>
      </c>
      <c r="AD345" s="1121"/>
      <c r="AE345" s="1121"/>
      <c r="AF345" s="1121">
        <v>6000</v>
      </c>
      <c r="AG345" s="288">
        <v>19446.28</v>
      </c>
      <c r="AH345" s="1121">
        <v>2596</v>
      </c>
      <c r="AI345" s="289">
        <v>632</v>
      </c>
      <c r="AJ345" s="1121"/>
      <c r="AK345" s="1121"/>
      <c r="AL345" s="1121"/>
      <c r="AM345" s="1121" t="s">
        <v>1228</v>
      </c>
      <c r="AN345" s="315">
        <v>5.5</v>
      </c>
      <c r="AO345" s="315"/>
      <c r="AP345" s="315"/>
      <c r="AQ345" s="315"/>
      <c r="AR345" s="315"/>
      <c r="AS345" s="315"/>
      <c r="AT345" s="315">
        <f>+ab($T$345,$T$343,$T$347,$G$344,$G$346, 1*$F$345,1200)</f>
        <v>11.154632563591413</v>
      </c>
      <c r="AU345" s="315"/>
      <c r="AV345" s="315"/>
      <c r="AW345" s="315" t="s">
        <v>2634</v>
      </c>
      <c r="AX345" s="315" t="s">
        <v>1641</v>
      </c>
      <c r="AY345" s="315">
        <v>4.2</v>
      </c>
      <c r="AZ345" s="315"/>
      <c r="BA345" s="315"/>
      <c r="BB345" s="306"/>
      <c r="BF345" s="1119"/>
      <c r="BG345" s="1119"/>
      <c r="BH345" s="1119"/>
    </row>
    <row r="346" spans="1:60" ht="14.25">
      <c r="A346" s="340"/>
      <c r="B346" s="287"/>
      <c r="C346" s="288"/>
      <c r="D346" s="1121"/>
      <c r="E346" s="1121"/>
      <c r="F346" s="289"/>
      <c r="G346" s="292">
        <v>65</v>
      </c>
      <c r="H346" s="291"/>
      <c r="I346" s="294"/>
      <c r="J346" s="288"/>
      <c r="K346" s="1121"/>
      <c r="L346" s="1121"/>
      <c r="M346" s="1121"/>
      <c r="N346" s="1121"/>
      <c r="O346" s="291"/>
      <c r="P346" s="1121"/>
      <c r="Q346" s="1121"/>
      <c r="R346" s="292"/>
      <c r="S346" s="292">
        <f t="shared" si="41"/>
        <v>65.170000000001892</v>
      </c>
      <c r="T346" s="1121"/>
      <c r="U346" s="1121"/>
      <c r="V346" s="1121"/>
      <c r="W346" s="1121"/>
      <c r="X346" s="1121"/>
      <c r="Y346" s="1121"/>
      <c r="Z346" s="1121"/>
      <c r="AA346" s="1121"/>
      <c r="AB346" s="1121"/>
      <c r="AC346" s="1121"/>
      <c r="AD346" s="1121"/>
      <c r="AE346" s="1121"/>
      <c r="AF346" s="1121"/>
      <c r="AG346" s="288" t="s">
        <v>695</v>
      </c>
      <c r="AH346" s="1121" t="s">
        <v>695</v>
      </c>
      <c r="AI346" s="289" t="s">
        <v>695</v>
      </c>
      <c r="AJ346" s="1121"/>
      <c r="AK346" s="1121"/>
      <c r="AL346" s="1121"/>
      <c r="AM346" s="1121"/>
      <c r="AN346" s="315"/>
      <c r="AO346" s="315"/>
      <c r="AP346" s="315"/>
      <c r="AQ346" s="315">
        <f>+FL_1($U$347,$T$345,$G$346,1200,9.28, 1*$F$347)</f>
        <v>0.44807183866666656</v>
      </c>
      <c r="AR346" s="315"/>
      <c r="AS346" s="315"/>
      <c r="AT346" s="315"/>
      <c r="AU346" s="315"/>
      <c r="AV346" s="315"/>
      <c r="AW346" s="315"/>
      <c r="AX346" s="315"/>
      <c r="AY346" s="315" t="s">
        <v>695</v>
      </c>
      <c r="AZ346" s="315"/>
      <c r="BA346" s="315"/>
      <c r="BB346" s="306"/>
      <c r="BF346" s="1119"/>
      <c r="BG346" s="1119"/>
      <c r="BH346" s="1119"/>
    </row>
    <row r="347" spans="1:60" ht="14.25">
      <c r="A347" s="340"/>
      <c r="B347" s="287" t="s">
        <v>2404</v>
      </c>
      <c r="C347" s="288">
        <f>+$C$345+$G$346</f>
        <v>19511.999999999996</v>
      </c>
      <c r="D347" s="1121"/>
      <c r="E347" s="1121">
        <v>0</v>
      </c>
      <c r="F347" s="289">
        <v>0</v>
      </c>
      <c r="G347" s="292"/>
      <c r="H347" s="291" t="s">
        <v>651</v>
      </c>
      <c r="I347" s="294"/>
      <c r="J347" s="288"/>
      <c r="K347" s="1121"/>
      <c r="L347" s="1121" t="s">
        <v>231</v>
      </c>
      <c r="M347" s="1121" t="s">
        <v>2672</v>
      </c>
      <c r="N347" s="1121" t="s">
        <v>140</v>
      </c>
      <c r="O347" s="291" t="s">
        <v>144</v>
      </c>
      <c r="P347" s="1121"/>
      <c r="Q347" s="1121">
        <v>3</v>
      </c>
      <c r="R347" s="289">
        <v>0</v>
      </c>
      <c r="S347" s="1068"/>
      <c r="T347" s="1121">
        <v>-15</v>
      </c>
      <c r="U347" s="1121">
        <v>-35</v>
      </c>
      <c r="V347" s="1121"/>
      <c r="W347" s="1121">
        <v>1.4</v>
      </c>
      <c r="X347" s="1121">
        <v>2.2999999999999998</v>
      </c>
      <c r="Y347" s="1121"/>
      <c r="Z347" s="1121">
        <v>0.6</v>
      </c>
      <c r="AA347" s="1121"/>
      <c r="AB347" s="1121"/>
      <c r="AC347" s="1121"/>
      <c r="AD347" s="1121" t="s">
        <v>1704</v>
      </c>
      <c r="AE347" s="1121"/>
      <c r="AF347" s="1121">
        <v>6000</v>
      </c>
      <c r="AG347" s="288">
        <v>19511.45</v>
      </c>
      <c r="AH347" s="1121">
        <v>2520</v>
      </c>
      <c r="AI347" s="289">
        <v>673</v>
      </c>
      <c r="AJ347" s="1121"/>
      <c r="AK347" s="1121"/>
      <c r="AL347" s="1121"/>
      <c r="AM347" s="1121" t="s">
        <v>1228</v>
      </c>
      <c r="AN347" s="315">
        <v>5.5</v>
      </c>
      <c r="AO347" s="315"/>
      <c r="AP347" s="315"/>
      <c r="AQ347" s="315"/>
      <c r="AR347" s="315"/>
      <c r="AS347" s="315"/>
      <c r="AT347" s="315">
        <f>+ab($U$347,$T$345,$U$349,$G$346,$G$348, 1*$F$347,1200)</f>
        <v>-10.719305981852973</v>
      </c>
      <c r="AU347" s="315"/>
      <c r="AV347" s="315"/>
      <c r="AW347" s="315" t="s">
        <v>2634</v>
      </c>
      <c r="AX347" s="315" t="s">
        <v>1639</v>
      </c>
      <c r="AY347" s="315">
        <v>3.4</v>
      </c>
      <c r="AZ347" s="315"/>
      <c r="BA347" s="315"/>
      <c r="BB347" s="306"/>
      <c r="BF347" s="1119"/>
      <c r="BG347" s="1119"/>
      <c r="BH347" s="1119"/>
    </row>
    <row r="348" spans="1:60" ht="14.25">
      <c r="A348" s="340"/>
      <c r="B348" s="287"/>
      <c r="C348" s="288"/>
      <c r="D348" s="1121"/>
      <c r="E348" s="1121"/>
      <c r="F348" s="289"/>
      <c r="G348" s="292">
        <v>65</v>
      </c>
      <c r="H348" s="291"/>
      <c r="I348" s="294"/>
      <c r="J348" s="288"/>
      <c r="K348" s="1121"/>
      <c r="L348" s="1121"/>
      <c r="M348" s="1121"/>
      <c r="N348" s="1121"/>
      <c r="O348" s="291"/>
      <c r="P348" s="1121"/>
      <c r="Q348" s="1121"/>
      <c r="R348" s="292"/>
      <c r="S348" s="292">
        <f t="shared" si="41"/>
        <v>57.059999999997672</v>
      </c>
      <c r="T348" s="1121"/>
      <c r="U348" s="1121"/>
      <c r="V348" s="1121"/>
      <c r="W348" s="1121"/>
      <c r="X348" s="1121"/>
      <c r="Y348" s="1121"/>
      <c r="Z348" s="1121"/>
      <c r="AA348" s="1121"/>
      <c r="AB348" s="1121"/>
      <c r="AC348" s="1121"/>
      <c r="AD348" s="1121"/>
      <c r="AE348" s="1121"/>
      <c r="AF348" s="1121"/>
      <c r="AG348" s="288" t="s">
        <v>695</v>
      </c>
      <c r="AH348" s="1121" t="s">
        <v>695</v>
      </c>
      <c r="AI348" s="289" t="s">
        <v>695</v>
      </c>
      <c r="AJ348" s="1121"/>
      <c r="AK348" s="1121"/>
      <c r="AL348" s="1121"/>
      <c r="AM348" s="1121"/>
      <c r="AN348" s="315"/>
      <c r="AO348" s="315"/>
      <c r="AP348" s="315"/>
      <c r="AQ348" s="315">
        <f>+FL_2($T$349,$U$347,$G$348,1200,9.28, 1*$F$349)</f>
        <v>-0.48340135661538447</v>
      </c>
      <c r="AR348" s="315"/>
      <c r="AS348" s="315"/>
      <c r="AT348" s="315"/>
      <c r="AU348" s="315"/>
      <c r="AV348" s="315"/>
      <c r="AW348" s="315"/>
      <c r="AX348" s="315"/>
      <c r="AY348" s="315" t="s">
        <v>695</v>
      </c>
      <c r="AZ348" s="315"/>
      <c r="BA348" s="315"/>
      <c r="BB348" s="306"/>
      <c r="BF348" s="1119"/>
      <c r="BG348" s="1119"/>
      <c r="BH348" s="1119"/>
    </row>
    <row r="349" spans="1:60" ht="14.25">
      <c r="A349" s="340"/>
      <c r="B349" s="287" t="s">
        <v>2405</v>
      </c>
      <c r="C349" s="288">
        <f>+$C$347+$G$348</f>
        <v>19576.999999999996</v>
      </c>
      <c r="D349" s="1121"/>
      <c r="E349" s="1121">
        <v>0</v>
      </c>
      <c r="F349" s="289">
        <v>0</v>
      </c>
      <c r="G349" s="292"/>
      <c r="H349" s="291" t="s">
        <v>651</v>
      </c>
      <c r="I349" s="294"/>
      <c r="J349" s="288"/>
      <c r="K349" s="1121"/>
      <c r="L349" s="1121" t="s">
        <v>231</v>
      </c>
      <c r="M349" s="1121" t="s">
        <v>2672</v>
      </c>
      <c r="N349" s="1121" t="s">
        <v>145</v>
      </c>
      <c r="O349" s="291" t="s">
        <v>140</v>
      </c>
      <c r="P349" s="1121"/>
      <c r="Q349" s="1121">
        <v>1</v>
      </c>
      <c r="R349" s="289">
        <v>0</v>
      </c>
      <c r="S349" s="1068"/>
      <c r="T349" s="1121">
        <v>35</v>
      </c>
      <c r="U349" s="1121">
        <v>15</v>
      </c>
      <c r="V349" s="1121"/>
      <c r="W349" s="1121">
        <v>1.4</v>
      </c>
      <c r="X349" s="1121">
        <v>2.2999999999999998</v>
      </c>
      <c r="Y349" s="1121"/>
      <c r="Z349" s="1121"/>
      <c r="AA349" s="1121">
        <v>0.6</v>
      </c>
      <c r="AB349" s="1121"/>
      <c r="AC349" s="1121" t="s">
        <v>1704</v>
      </c>
      <c r="AD349" s="1121"/>
      <c r="AE349" s="1121"/>
      <c r="AF349" s="1121">
        <v>6000</v>
      </c>
      <c r="AG349" s="288">
        <v>19568.509999999998</v>
      </c>
      <c r="AH349" s="1121">
        <v>2590</v>
      </c>
      <c r="AI349" s="289">
        <v>601</v>
      </c>
      <c r="AJ349" s="1121"/>
      <c r="AK349" s="1121"/>
      <c r="AL349" s="1121"/>
      <c r="AM349" s="1121" t="s">
        <v>1228</v>
      </c>
      <c r="AN349" s="315">
        <v>5.5</v>
      </c>
      <c r="AO349" s="315"/>
      <c r="AP349" s="315"/>
      <c r="AQ349" s="315"/>
      <c r="AR349" s="315"/>
      <c r="AS349" s="315"/>
      <c r="AT349" s="315">
        <f>+ab($T$349,$T$347,$T$351,$G$348,$G$350, 1*$F$349,1200)</f>
        <v>9.7403959199482539</v>
      </c>
      <c r="AU349" s="315"/>
      <c r="AV349" s="315"/>
      <c r="AW349" s="315" t="s">
        <v>2630</v>
      </c>
      <c r="AX349" s="315" t="s">
        <v>1639</v>
      </c>
      <c r="AY349" s="315">
        <v>3.4</v>
      </c>
      <c r="AZ349" s="315"/>
      <c r="BA349" s="315"/>
      <c r="BB349" s="306"/>
      <c r="BF349" s="1119"/>
      <c r="BG349" s="1119"/>
      <c r="BH349" s="1119"/>
    </row>
    <row r="350" spans="1:60" ht="14.25">
      <c r="A350" s="340"/>
      <c r="B350" s="287"/>
      <c r="C350" s="288"/>
      <c r="D350" s="1121"/>
      <c r="E350" s="1121"/>
      <c r="F350" s="289"/>
      <c r="G350" s="292">
        <v>55</v>
      </c>
      <c r="H350" s="291"/>
      <c r="I350" s="294"/>
      <c r="J350" s="288"/>
      <c r="K350" s="1121"/>
      <c r="L350" s="1121"/>
      <c r="M350" s="1121"/>
      <c r="N350" s="1121"/>
      <c r="O350" s="291"/>
      <c r="P350" s="1121"/>
      <c r="Q350" s="1121"/>
      <c r="R350" s="292"/>
      <c r="S350" s="292">
        <f t="shared" si="41"/>
        <v>62.960000000002765</v>
      </c>
      <c r="T350" s="1121"/>
      <c r="U350" s="1121"/>
      <c r="V350" s="1121"/>
      <c r="W350" s="1121"/>
      <c r="X350" s="1121"/>
      <c r="Y350" s="1121"/>
      <c r="Z350" s="1121"/>
      <c r="AA350" s="1121"/>
      <c r="AB350" s="1121"/>
      <c r="AC350" s="1121"/>
      <c r="AD350" s="1121"/>
      <c r="AE350" s="1121"/>
      <c r="AF350" s="1121"/>
      <c r="AG350" s="288" t="s">
        <v>695</v>
      </c>
      <c r="AH350" s="1121" t="s">
        <v>695</v>
      </c>
      <c r="AI350" s="289" t="s">
        <v>695</v>
      </c>
      <c r="AJ350" s="1121"/>
      <c r="AK350" s="1121"/>
      <c r="AL350" s="1121"/>
      <c r="AM350" s="1121"/>
      <c r="AN350" s="315"/>
      <c r="AO350" s="315"/>
      <c r="AP350" s="315"/>
      <c r="AQ350" s="315">
        <f>+FL_1($T$351,$T$349,$G$350,1200,9.28, 1*$F$351)</f>
        <v>0.43218789880035924</v>
      </c>
      <c r="AR350" s="315"/>
      <c r="AS350" s="315"/>
      <c r="AT350" s="315"/>
      <c r="AU350" s="315"/>
      <c r="AV350" s="315"/>
      <c r="AW350" s="315"/>
      <c r="AX350" s="315"/>
      <c r="AY350" s="315" t="s">
        <v>695</v>
      </c>
      <c r="AZ350" s="315"/>
      <c r="BA350" s="315"/>
      <c r="BB350" s="306"/>
      <c r="BF350" s="1119"/>
      <c r="BG350" s="1119"/>
      <c r="BH350" s="1119"/>
    </row>
    <row r="351" spans="1:60" ht="14.25">
      <c r="A351" s="340"/>
      <c r="B351" s="287" t="s">
        <v>2406</v>
      </c>
      <c r="C351" s="288">
        <f>+$C$349+$G$350</f>
        <v>19631.999999999996</v>
      </c>
      <c r="D351" s="1121"/>
      <c r="E351" s="1121">
        <v>0</v>
      </c>
      <c r="F351" s="289">
        <f>(190*2000)/(19598-C351)</f>
        <v>-11176.470588236491</v>
      </c>
      <c r="G351" s="292"/>
      <c r="H351" s="291" t="s">
        <v>138</v>
      </c>
      <c r="I351" s="294" t="s">
        <v>2718</v>
      </c>
      <c r="J351" s="288"/>
      <c r="K351" s="1121"/>
      <c r="L351" s="1121" t="s">
        <v>1061</v>
      </c>
      <c r="M351" s="1121" t="s">
        <v>2672</v>
      </c>
      <c r="N351" s="291" t="s">
        <v>144</v>
      </c>
      <c r="O351" s="291"/>
      <c r="P351" s="1121"/>
      <c r="Q351" s="1121">
        <v>16</v>
      </c>
      <c r="R351" s="289">
        <v>0</v>
      </c>
      <c r="S351" s="292"/>
      <c r="T351" s="1121">
        <v>-30</v>
      </c>
      <c r="U351" s="1121"/>
      <c r="V351" s="1121"/>
      <c r="W351" s="1121">
        <v>1.4</v>
      </c>
      <c r="X351" s="1121"/>
      <c r="Y351" s="1121"/>
      <c r="Z351" s="1121"/>
      <c r="AA351" s="1121"/>
      <c r="AB351" s="1121"/>
      <c r="AC351" s="1121" t="s">
        <v>1704</v>
      </c>
      <c r="AD351" s="1121"/>
      <c r="AE351" s="1121"/>
      <c r="AF351" s="1121">
        <v>6000</v>
      </c>
      <c r="AG351" s="288">
        <v>19631.47</v>
      </c>
      <c r="AH351" s="1121">
        <v>2583</v>
      </c>
      <c r="AI351" s="289">
        <v>606</v>
      </c>
      <c r="AJ351" s="1121"/>
      <c r="AK351" s="1121"/>
      <c r="AL351" s="1121"/>
      <c r="AM351" s="1121" t="s">
        <v>1228</v>
      </c>
      <c r="AN351" s="315">
        <v>5.5</v>
      </c>
      <c r="AO351" s="315"/>
      <c r="AP351" s="315"/>
      <c r="AQ351" s="315"/>
      <c r="AR351" s="315"/>
      <c r="AS351" s="315"/>
      <c r="AT351" s="315">
        <f>+ab($T$351,$T$349,$T$353,$G$350,$G$352, 1*$F$351,1200)</f>
        <v>-10.236335260076027</v>
      </c>
      <c r="AU351" s="315"/>
      <c r="AV351" s="315"/>
      <c r="AW351" s="315" t="s">
        <v>2630</v>
      </c>
      <c r="AX351" s="315" t="s">
        <v>1639</v>
      </c>
      <c r="AY351" s="315">
        <v>3.4</v>
      </c>
      <c r="AZ351" s="315"/>
      <c r="BA351" s="315"/>
      <c r="BB351" s="306"/>
      <c r="BF351" s="1119"/>
      <c r="BG351" s="1119"/>
      <c r="BH351" s="1119"/>
    </row>
    <row r="352" spans="1:60" ht="14.25">
      <c r="A352" s="340"/>
      <c r="B352" s="287"/>
      <c r="C352" s="288"/>
      <c r="D352" s="1121"/>
      <c r="E352" s="1121"/>
      <c r="F352" s="289"/>
      <c r="G352" s="292">
        <v>54</v>
      </c>
      <c r="H352" s="291"/>
      <c r="I352" s="291"/>
      <c r="J352" s="288">
        <f>C351+7.5</f>
        <v>19639.499999999996</v>
      </c>
      <c r="K352" s="1121" t="s">
        <v>653</v>
      </c>
      <c r="L352" s="1121"/>
      <c r="M352" s="1121"/>
      <c r="N352" s="291"/>
      <c r="O352" s="291"/>
      <c r="P352" s="1121"/>
      <c r="Q352" s="1121"/>
      <c r="R352" s="292"/>
      <c r="S352" s="404">
        <f t="shared" si="41"/>
        <v>53.959999999999127</v>
      </c>
      <c r="T352" s="1121"/>
      <c r="U352" s="1121"/>
      <c r="V352" s="1121"/>
      <c r="W352" s="1121"/>
      <c r="X352" s="1121"/>
      <c r="Y352" s="1121"/>
      <c r="Z352" s="1121"/>
      <c r="AA352" s="1121"/>
      <c r="AB352" s="1121"/>
      <c r="AC352" s="1121"/>
      <c r="AD352" s="1121"/>
      <c r="AE352" s="1121"/>
      <c r="AF352" s="1121"/>
      <c r="AG352" s="288" t="s">
        <v>695</v>
      </c>
      <c r="AH352" s="1121" t="s">
        <v>695</v>
      </c>
      <c r="AI352" s="289" t="s">
        <v>695</v>
      </c>
      <c r="AJ352" s="1121"/>
      <c r="AK352" s="1121"/>
      <c r="AL352" s="1121"/>
      <c r="AM352" s="1121"/>
      <c r="AN352" s="315"/>
      <c r="AO352" s="315"/>
      <c r="AP352" s="315"/>
      <c r="AQ352" s="315">
        <f>+FL_2($T$353,$T$351,$G$352,1200,9.28, 1*$F$353)</f>
        <v>-0.45063372024761128</v>
      </c>
      <c r="AR352" s="315"/>
      <c r="AS352" s="315"/>
      <c r="AT352" s="315"/>
      <c r="AU352" s="315"/>
      <c r="AV352" s="315"/>
      <c r="AW352" s="315" t="s">
        <v>2630</v>
      </c>
      <c r="AX352" s="315" t="s">
        <v>1639</v>
      </c>
      <c r="AY352" s="315"/>
      <c r="AZ352" s="315">
        <v>2.5</v>
      </c>
      <c r="BA352" s="315"/>
      <c r="BB352" s="306"/>
      <c r="BF352" s="1119"/>
      <c r="BG352" s="1119"/>
      <c r="BH352" s="1119"/>
    </row>
    <row r="353" spans="1:60" ht="14.25">
      <c r="A353" s="400"/>
      <c r="B353" s="1069" t="s">
        <v>2407</v>
      </c>
      <c r="C353" s="402">
        <f>+$C$351+$G$352</f>
        <v>19685.999999999996</v>
      </c>
      <c r="D353" s="399"/>
      <c r="E353" s="399"/>
      <c r="F353" s="403">
        <f>(190*2000)/(19598-C353)</f>
        <v>-4318.1818181819963</v>
      </c>
      <c r="G353" s="404"/>
      <c r="H353" s="405"/>
      <c r="I353" s="405"/>
      <c r="J353" s="402"/>
      <c r="K353" s="399"/>
      <c r="L353" s="399" t="s">
        <v>230</v>
      </c>
      <c r="M353" s="399" t="s">
        <v>2671</v>
      </c>
      <c r="N353" s="405" t="s">
        <v>144</v>
      </c>
      <c r="O353" s="405"/>
      <c r="P353" s="399"/>
      <c r="Q353" s="399">
        <v>44</v>
      </c>
      <c r="R353" s="404">
        <v>-4324.54</v>
      </c>
      <c r="S353" s="404"/>
      <c r="T353" s="399">
        <v>-20</v>
      </c>
      <c r="U353" s="399"/>
      <c r="V353" s="399"/>
      <c r="W353" s="399">
        <v>1.4</v>
      </c>
      <c r="X353" s="399"/>
      <c r="Y353" s="399"/>
      <c r="Z353" s="399"/>
      <c r="AA353" s="399"/>
      <c r="AB353" s="399"/>
      <c r="AC353" s="1121" t="s">
        <v>1702</v>
      </c>
      <c r="AD353" s="399"/>
      <c r="AE353" s="399"/>
      <c r="AF353" s="1121">
        <v>6000</v>
      </c>
      <c r="AG353" s="402">
        <v>19685.43</v>
      </c>
      <c r="AH353" s="399">
        <v>2553</v>
      </c>
      <c r="AI353" s="403">
        <v>632</v>
      </c>
      <c r="AJ353" s="1121"/>
      <c r="AK353" s="1121"/>
      <c r="AL353" s="1121"/>
      <c r="AM353" s="1121" t="s">
        <v>1228</v>
      </c>
      <c r="AN353" s="315">
        <v>5.5</v>
      </c>
      <c r="AO353" s="315"/>
      <c r="AP353" s="315"/>
      <c r="AQ353" s="315"/>
      <c r="AR353" s="315"/>
      <c r="AS353" s="315"/>
      <c r="AT353" s="315">
        <f>+ab($T$353,$T$351,$T$355,$G$352,$G$354, 1*$F$353,1200)</f>
        <v>-20.832756670861045</v>
      </c>
      <c r="AU353" s="315"/>
      <c r="AV353" s="315"/>
      <c r="AW353" s="315" t="s">
        <v>2630</v>
      </c>
      <c r="AX353" s="315" t="s">
        <v>1639</v>
      </c>
      <c r="AY353" s="315">
        <v>3.4</v>
      </c>
      <c r="AZ353" s="315"/>
      <c r="BA353" s="315"/>
      <c r="BB353" s="306"/>
      <c r="BF353" s="1119"/>
      <c r="BG353" s="1119"/>
      <c r="BH353" s="1119"/>
    </row>
    <row r="354" spans="1:60" ht="14.25">
      <c r="A354" s="400"/>
      <c r="B354" s="1069"/>
      <c r="C354" s="402"/>
      <c r="D354" s="399"/>
      <c r="E354" s="399"/>
      <c r="F354" s="403"/>
      <c r="G354" s="404">
        <v>54</v>
      </c>
      <c r="H354" s="405"/>
      <c r="I354" s="405"/>
      <c r="J354" s="402"/>
      <c r="K354" s="399"/>
      <c r="L354" s="399"/>
      <c r="M354" s="399"/>
      <c r="N354" s="405"/>
      <c r="O354" s="405"/>
      <c r="P354" s="399"/>
      <c r="Q354" s="399"/>
      <c r="R354" s="404"/>
      <c r="S354" s="404">
        <f t="shared" si="41"/>
        <v>54.029999999998836</v>
      </c>
      <c r="T354" s="399"/>
      <c r="U354" s="399"/>
      <c r="V354" s="399"/>
      <c r="W354" s="399"/>
      <c r="X354" s="399"/>
      <c r="Y354" s="399"/>
      <c r="Z354" s="399"/>
      <c r="AA354" s="399"/>
      <c r="AB354" s="399"/>
      <c r="AC354" s="399"/>
      <c r="AD354" s="399"/>
      <c r="AE354" s="399"/>
      <c r="AF354" s="1121"/>
      <c r="AG354" s="402" t="s">
        <v>695</v>
      </c>
      <c r="AH354" s="399" t="s">
        <v>695</v>
      </c>
      <c r="AI354" s="403" t="s">
        <v>695</v>
      </c>
      <c r="AJ354" s="1121"/>
      <c r="AK354" s="1121"/>
      <c r="AL354" s="1121"/>
      <c r="AM354" s="1121"/>
      <c r="AN354" s="315"/>
      <c r="AO354" s="315"/>
      <c r="AP354" s="315"/>
      <c r="AQ354" s="315">
        <f>+FL_2($T$355,$T$353,$G$354,1200,9.28, 1*$F$355)</f>
        <v>-0.35589591736808979</v>
      </c>
      <c r="AR354" s="315"/>
      <c r="AS354" s="315"/>
      <c r="AT354" s="315"/>
      <c r="AU354" s="315"/>
      <c r="AV354" s="315"/>
      <c r="AW354" s="315"/>
      <c r="AX354" s="315"/>
      <c r="AY354" s="315" t="s">
        <v>695</v>
      </c>
      <c r="AZ354" s="315"/>
      <c r="BA354" s="315"/>
      <c r="BB354" s="306"/>
      <c r="BF354" s="1119"/>
      <c r="BG354" s="1119"/>
      <c r="BH354" s="1119"/>
    </row>
    <row r="355" spans="1:60" ht="14.25">
      <c r="A355" s="400"/>
      <c r="B355" s="1069" t="s">
        <v>2408</v>
      </c>
      <c r="C355" s="402">
        <f>+$C$353+$G$354</f>
        <v>19739.999999999996</v>
      </c>
      <c r="D355" s="399"/>
      <c r="E355" s="399">
        <v>-100</v>
      </c>
      <c r="F355" s="403">
        <v>-2000</v>
      </c>
      <c r="G355" s="404"/>
      <c r="H355" s="405"/>
      <c r="I355" s="405"/>
      <c r="J355" s="402"/>
      <c r="K355" s="399"/>
      <c r="L355" s="399" t="s">
        <v>231</v>
      </c>
      <c r="M355" s="399" t="s">
        <v>2672</v>
      </c>
      <c r="N355" s="405" t="s">
        <v>144</v>
      </c>
      <c r="O355" s="405"/>
      <c r="P355" s="399"/>
      <c r="Q355" s="399">
        <v>73</v>
      </c>
      <c r="R355" s="404">
        <v>-2679.78</v>
      </c>
      <c r="S355" s="404"/>
      <c r="T355" s="399">
        <v>-30</v>
      </c>
      <c r="U355" s="399"/>
      <c r="V355" s="399"/>
      <c r="W355" s="399">
        <v>1.4</v>
      </c>
      <c r="X355" s="399"/>
      <c r="Y355" s="399"/>
      <c r="Z355" s="399"/>
      <c r="AA355" s="399"/>
      <c r="AB355" s="399"/>
      <c r="AC355" s="1121" t="s">
        <v>1704</v>
      </c>
      <c r="AD355" s="399"/>
      <c r="AE355" s="399"/>
      <c r="AF355" s="1121">
        <v>6000</v>
      </c>
      <c r="AG355" s="402">
        <v>19739.46</v>
      </c>
      <c r="AH355" s="399">
        <v>2548</v>
      </c>
      <c r="AI355" s="403">
        <v>649</v>
      </c>
      <c r="AJ355" s="1121"/>
      <c r="AK355" s="1121"/>
      <c r="AL355" s="1121"/>
      <c r="AM355" s="1121" t="s">
        <v>1228</v>
      </c>
      <c r="AN355" s="315">
        <v>5.5</v>
      </c>
      <c r="AO355" s="315"/>
      <c r="AP355" s="315"/>
      <c r="AQ355" s="315"/>
      <c r="AR355" s="315"/>
      <c r="AS355" s="315"/>
      <c r="AT355" s="315">
        <f>+ab($T$355,$T$353,$T$357,$G$354,$G$356, 1*$F$355,1200)</f>
        <v>-6.509514800011388</v>
      </c>
      <c r="AU355" s="315"/>
      <c r="AV355" s="315"/>
      <c r="AW355" s="315" t="s">
        <v>2630</v>
      </c>
      <c r="AX355" s="315" t="s">
        <v>1639</v>
      </c>
      <c r="AY355" s="315">
        <v>3.4</v>
      </c>
      <c r="AZ355" s="315"/>
      <c r="BA355" s="315"/>
      <c r="BB355" s="306"/>
      <c r="BF355" s="1119"/>
      <c r="BG355" s="1119"/>
      <c r="BH355" s="1119"/>
    </row>
    <row r="356" spans="1:60" ht="14.25">
      <c r="A356" s="400"/>
      <c r="B356" s="1069"/>
      <c r="C356" s="402"/>
      <c r="D356" s="399"/>
      <c r="E356" s="399"/>
      <c r="F356" s="403"/>
      <c r="G356" s="404">
        <v>56</v>
      </c>
      <c r="H356" s="399"/>
      <c r="I356" s="403"/>
      <c r="J356" s="402"/>
      <c r="K356" s="399"/>
      <c r="L356" s="399"/>
      <c r="M356" s="399"/>
      <c r="N356" s="405"/>
      <c r="O356" s="399"/>
      <c r="P356" s="399"/>
      <c r="Q356" s="399"/>
      <c r="R356" s="404"/>
      <c r="S356" s="404">
        <f t="shared" si="41"/>
        <v>56.159999999999854</v>
      </c>
      <c r="T356" s="399"/>
      <c r="U356" s="399"/>
      <c r="V356" s="399"/>
      <c r="W356" s="399"/>
      <c r="X356" s="399"/>
      <c r="Y356" s="399"/>
      <c r="Z356" s="399"/>
      <c r="AA356" s="399"/>
      <c r="AB356" s="399"/>
      <c r="AC356" s="399"/>
      <c r="AD356" s="399"/>
      <c r="AE356" s="399"/>
      <c r="AF356" s="1121"/>
      <c r="AG356" s="402" t="s">
        <v>695</v>
      </c>
      <c r="AH356" s="399" t="s">
        <v>695</v>
      </c>
      <c r="AI356" s="403" t="s">
        <v>695</v>
      </c>
      <c r="AJ356" s="1121"/>
      <c r="AK356" s="1121"/>
      <c r="AL356" s="1121"/>
      <c r="AM356" s="1121"/>
      <c r="AN356" s="315"/>
      <c r="AO356" s="315"/>
      <c r="AP356" s="315"/>
      <c r="AQ356" s="315">
        <f>+FL_2($T$357,$T$355,$G$356,1200,9.28, 1*$F$357)</f>
        <v>-0.40713706172535702</v>
      </c>
      <c r="AR356" s="315"/>
      <c r="AS356" s="315"/>
      <c r="AT356" s="315"/>
      <c r="AU356" s="315"/>
      <c r="AV356" s="315"/>
      <c r="AW356" s="315"/>
      <c r="AX356" s="315"/>
      <c r="AY356" s="315" t="s">
        <v>695</v>
      </c>
      <c r="AZ356" s="315"/>
      <c r="BA356" s="315"/>
      <c r="BB356" s="306"/>
      <c r="BF356" s="1119"/>
      <c r="BG356" s="1119"/>
      <c r="BH356" s="1119"/>
    </row>
    <row r="357" spans="1:60" ht="14.25">
      <c r="A357" s="400"/>
      <c r="B357" s="1069" t="s">
        <v>2409</v>
      </c>
      <c r="C357" s="402">
        <f>+$C$355+$G$356</f>
        <v>19795.999999999996</v>
      </c>
      <c r="D357" s="399"/>
      <c r="E357" s="399">
        <v>-100</v>
      </c>
      <c r="F357" s="403">
        <v>-2000</v>
      </c>
      <c r="G357" s="404"/>
      <c r="H357" s="399"/>
      <c r="I357" s="403"/>
      <c r="J357" s="402"/>
      <c r="K357" s="399"/>
      <c r="L357" s="399" t="s">
        <v>231</v>
      </c>
      <c r="M357" s="399" t="s">
        <v>2672</v>
      </c>
      <c r="N357" s="405" t="s">
        <v>144</v>
      </c>
      <c r="O357" s="399"/>
      <c r="P357" s="399"/>
      <c r="Q357" s="399">
        <v>99</v>
      </c>
      <c r="R357" s="404">
        <v>-2002.35</v>
      </c>
      <c r="S357" s="404"/>
      <c r="T357" s="399">
        <v>-30</v>
      </c>
      <c r="U357" s="399"/>
      <c r="V357" s="399"/>
      <c r="W357" s="399">
        <v>1.4</v>
      </c>
      <c r="X357" s="399"/>
      <c r="Y357" s="399"/>
      <c r="Z357" s="399"/>
      <c r="AA357" s="399"/>
      <c r="AB357" s="399"/>
      <c r="AC357" s="1121" t="s">
        <v>2963</v>
      </c>
      <c r="AD357" s="399"/>
      <c r="AE357" s="399"/>
      <c r="AF357" s="1121">
        <v>6000</v>
      </c>
      <c r="AG357" s="402">
        <v>19795.62</v>
      </c>
      <c r="AH357" s="399">
        <v>2593</v>
      </c>
      <c r="AI357" s="403">
        <v>708</v>
      </c>
      <c r="AJ357" s="1121"/>
      <c r="AK357" s="1121"/>
      <c r="AL357" s="1121"/>
      <c r="AM357" s="1121" t="s">
        <v>1228</v>
      </c>
      <c r="AN357" s="315">
        <v>5.5</v>
      </c>
      <c r="AO357" s="315"/>
      <c r="AP357" s="315"/>
      <c r="AQ357" s="382"/>
      <c r="AR357" s="315"/>
      <c r="AS357" s="315"/>
      <c r="AT357" s="315">
        <f>+ab($T$357,$T$355,$T$359,$G$356,$G$358, 1*$F$357,1200)</f>
        <v>-6.820903141098448</v>
      </c>
      <c r="AU357" s="315"/>
      <c r="AV357" s="315"/>
      <c r="AW357" s="315" t="s">
        <v>2630</v>
      </c>
      <c r="AX357" s="315" t="s">
        <v>1639</v>
      </c>
      <c r="AY357" s="315">
        <v>3.4</v>
      </c>
      <c r="AZ357" s="315"/>
      <c r="BA357" s="315"/>
      <c r="BB357" s="306"/>
      <c r="BF357" s="1119"/>
      <c r="BG357" s="1119"/>
      <c r="BH357" s="1119"/>
    </row>
    <row r="358" spans="1:60" ht="14.25">
      <c r="A358" s="400"/>
      <c r="B358" s="1069"/>
      <c r="C358" s="402"/>
      <c r="D358" s="399"/>
      <c r="E358" s="399"/>
      <c r="F358" s="403"/>
      <c r="G358" s="404">
        <v>56</v>
      </c>
      <c r="H358" s="399"/>
      <c r="I358" s="403"/>
      <c r="J358" s="402">
        <f>C359-7.5</f>
        <v>19844.499999999996</v>
      </c>
      <c r="K358" s="399" t="s">
        <v>658</v>
      </c>
      <c r="L358" s="399"/>
      <c r="M358" s="399"/>
      <c r="N358" s="405"/>
      <c r="O358" s="399"/>
      <c r="P358" s="399"/>
      <c r="Q358" s="399"/>
      <c r="R358" s="404"/>
      <c r="S358" s="404">
        <f t="shared" ref="S358:S378" si="42">AG359-AG357</f>
        <v>55.950000000000728</v>
      </c>
      <c r="T358" s="399"/>
      <c r="U358" s="399"/>
      <c r="V358" s="399"/>
      <c r="W358" s="399"/>
      <c r="X358" s="399"/>
      <c r="Y358" s="399"/>
      <c r="Z358" s="399"/>
      <c r="AA358" s="399"/>
      <c r="AB358" s="399"/>
      <c r="AC358" s="399"/>
      <c r="AD358" s="399"/>
      <c r="AE358" s="399"/>
      <c r="AF358" s="1121"/>
      <c r="AG358" s="402" t="s">
        <v>695</v>
      </c>
      <c r="AH358" s="399" t="s">
        <v>695</v>
      </c>
      <c r="AI358" s="403" t="s">
        <v>695</v>
      </c>
      <c r="AJ358" s="1121"/>
      <c r="AK358" s="1121"/>
      <c r="AL358" s="1121"/>
      <c r="AM358" s="1121"/>
      <c r="AN358" s="315"/>
      <c r="AO358" s="315"/>
      <c r="AP358" s="315"/>
      <c r="AQ358" s="315">
        <f>+FL_2($T$359,$T$357,$G$358,1200,9.28, 1*$F$359)</f>
        <v>-0.40713706172535702</v>
      </c>
      <c r="AR358" s="315"/>
      <c r="AS358" s="315"/>
      <c r="AT358" s="382"/>
      <c r="AU358" s="315"/>
      <c r="AV358" s="315"/>
      <c r="AW358" s="315" t="s">
        <v>2634</v>
      </c>
      <c r="AX358" s="315" t="s">
        <v>1639</v>
      </c>
      <c r="AY358" s="315"/>
      <c r="AZ358" s="315">
        <v>2.5</v>
      </c>
      <c r="BA358" s="315"/>
      <c r="BB358" s="306"/>
      <c r="BF358" s="1119"/>
      <c r="BG358" s="1119"/>
      <c r="BH358" s="1119"/>
    </row>
    <row r="359" spans="1:60" ht="14.25">
      <c r="A359" s="400"/>
      <c r="B359" s="1069" t="s">
        <v>2410</v>
      </c>
      <c r="C359" s="402">
        <f>+$C$357+$G$358</f>
        <v>19851.999999999996</v>
      </c>
      <c r="D359" s="399"/>
      <c r="E359" s="399">
        <v>-100</v>
      </c>
      <c r="F359" s="403">
        <v>-2000</v>
      </c>
      <c r="G359" s="404"/>
      <c r="H359" s="405" t="s">
        <v>954</v>
      </c>
      <c r="I359" s="405"/>
      <c r="J359" s="402"/>
      <c r="K359" s="399"/>
      <c r="L359" s="399" t="s">
        <v>231</v>
      </c>
      <c r="M359" s="399" t="s">
        <v>2672</v>
      </c>
      <c r="N359" s="405" t="s">
        <v>144</v>
      </c>
      <c r="O359" s="399"/>
      <c r="P359" s="399"/>
      <c r="Q359" s="399">
        <v>99</v>
      </c>
      <c r="R359" s="404">
        <v>-2002.35</v>
      </c>
      <c r="S359" s="404"/>
      <c r="T359" s="399">
        <v>-30</v>
      </c>
      <c r="U359" s="399"/>
      <c r="V359" s="399"/>
      <c r="W359" s="399">
        <v>1.4</v>
      </c>
      <c r="X359" s="399"/>
      <c r="Y359" s="399"/>
      <c r="Z359" s="399"/>
      <c r="AA359" s="399"/>
      <c r="AB359" s="399"/>
      <c r="AC359" s="1121" t="s">
        <v>2963</v>
      </c>
      <c r="AD359" s="399"/>
      <c r="AE359" s="399"/>
      <c r="AF359" s="1121">
        <v>6000</v>
      </c>
      <c r="AG359" s="402">
        <v>19851.57</v>
      </c>
      <c r="AH359" s="399">
        <v>2566</v>
      </c>
      <c r="AI359" s="403">
        <v>678</v>
      </c>
      <c r="AJ359" s="1121"/>
      <c r="AK359" s="1121"/>
      <c r="AL359" s="1121"/>
      <c r="AM359" s="1121" t="s">
        <v>1228</v>
      </c>
      <c r="AN359" s="315">
        <v>5.5</v>
      </c>
      <c r="AO359" s="315"/>
      <c r="AP359" s="315"/>
      <c r="AQ359" s="382"/>
      <c r="AR359" s="315"/>
      <c r="AS359" s="315"/>
      <c r="AT359" s="315">
        <f>+ab($T$359,$T$357,$T$361,$G$358,$G$360, 1*$F$359,1200)</f>
        <v>-6.820903141098448</v>
      </c>
      <c r="AU359" s="315"/>
      <c r="AV359" s="315"/>
      <c r="AW359" s="315" t="s">
        <v>2634</v>
      </c>
      <c r="AX359" s="315" t="s">
        <v>1639</v>
      </c>
      <c r="AY359" s="315">
        <v>3.4</v>
      </c>
      <c r="AZ359" s="315"/>
      <c r="BA359" s="315"/>
      <c r="BB359" s="306"/>
      <c r="BF359" s="1119"/>
      <c r="BG359" s="1119"/>
      <c r="BH359" s="1119"/>
    </row>
    <row r="360" spans="1:60" ht="14.25">
      <c r="A360" s="400"/>
      <c r="B360" s="1069"/>
      <c r="C360" s="402"/>
      <c r="D360" s="399"/>
      <c r="E360" s="399"/>
      <c r="F360" s="403"/>
      <c r="G360" s="404">
        <v>56</v>
      </c>
      <c r="H360" s="405"/>
      <c r="I360" s="1063">
        <f>SUM(G346:G360)</f>
        <v>461</v>
      </c>
      <c r="J360" s="402"/>
      <c r="K360" s="399"/>
      <c r="L360" s="399"/>
      <c r="M360" s="399"/>
      <c r="N360" s="405"/>
      <c r="O360" s="405"/>
      <c r="P360" s="399"/>
      <c r="Q360" s="399"/>
      <c r="R360" s="404"/>
      <c r="S360" s="404">
        <f t="shared" si="42"/>
        <v>56.099999999998545</v>
      </c>
      <c r="T360" s="399"/>
      <c r="U360" s="399"/>
      <c r="V360" s="399"/>
      <c r="W360" s="399"/>
      <c r="X360" s="399"/>
      <c r="Y360" s="399"/>
      <c r="Z360" s="399"/>
      <c r="AA360" s="399"/>
      <c r="AB360" s="399"/>
      <c r="AC360" s="399"/>
      <c r="AD360" s="399"/>
      <c r="AE360" s="399"/>
      <c r="AF360" s="1121"/>
      <c r="AG360" s="402" t="s">
        <v>695</v>
      </c>
      <c r="AH360" s="399" t="s">
        <v>695</v>
      </c>
      <c r="AI360" s="403" t="s">
        <v>695</v>
      </c>
      <c r="AJ360" s="1121"/>
      <c r="AK360" s="1121"/>
      <c r="AL360" s="1121"/>
      <c r="AM360" s="1121"/>
      <c r="AN360" s="315"/>
      <c r="AO360" s="315"/>
      <c r="AP360" s="315"/>
      <c r="AQ360" s="315">
        <f>+FL_2($T$361,$T$359,$G$360,1200,9.28, 1*$F$361)</f>
        <v>-0.40713706172535702</v>
      </c>
      <c r="AR360" s="315"/>
      <c r="AS360" s="315"/>
      <c r="AT360" s="382"/>
      <c r="AU360" s="315"/>
      <c r="AV360" s="315"/>
      <c r="AW360" s="315"/>
      <c r="AX360" s="315"/>
      <c r="AY360" s="315" t="s">
        <v>695</v>
      </c>
      <c r="AZ360" s="315"/>
      <c r="BA360" s="315"/>
      <c r="BB360" s="306"/>
      <c r="BF360" s="1119"/>
      <c r="BG360" s="1119"/>
      <c r="BH360" s="1119"/>
    </row>
    <row r="361" spans="1:60" ht="14.25">
      <c r="A361" s="400"/>
      <c r="B361" s="1069" t="s">
        <v>2411</v>
      </c>
      <c r="C361" s="402">
        <f>+$C$359+$G$360</f>
        <v>19907.999999999996</v>
      </c>
      <c r="D361" s="399"/>
      <c r="E361" s="399">
        <v>-100</v>
      </c>
      <c r="F361" s="403">
        <v>-2000</v>
      </c>
      <c r="G361" s="404"/>
      <c r="H361" s="405" t="s">
        <v>955</v>
      </c>
      <c r="I361" s="405"/>
      <c r="J361" s="402"/>
      <c r="K361" s="399"/>
      <c r="L361" s="399" t="s">
        <v>231</v>
      </c>
      <c r="M361" s="399" t="s">
        <v>2672</v>
      </c>
      <c r="N361" s="405" t="s">
        <v>144</v>
      </c>
      <c r="O361" s="405"/>
      <c r="P361" s="399"/>
      <c r="Q361" s="399">
        <v>99</v>
      </c>
      <c r="R361" s="404">
        <v>-2002.35</v>
      </c>
      <c r="S361" s="404"/>
      <c r="T361" s="399">
        <v>-30</v>
      </c>
      <c r="U361" s="399"/>
      <c r="V361" s="399"/>
      <c r="W361" s="399">
        <v>1.4</v>
      </c>
      <c r="X361" s="399"/>
      <c r="Y361" s="399"/>
      <c r="Z361" s="399"/>
      <c r="AA361" s="399"/>
      <c r="AB361" s="399"/>
      <c r="AC361" s="1121" t="s">
        <v>2963</v>
      </c>
      <c r="AD361" s="399"/>
      <c r="AE361" s="399"/>
      <c r="AF361" s="1121">
        <v>6000</v>
      </c>
      <c r="AG361" s="402">
        <v>19907.669999999998</v>
      </c>
      <c r="AH361" s="399">
        <v>2567</v>
      </c>
      <c r="AI361" s="403">
        <v>650</v>
      </c>
      <c r="AJ361" s="1121"/>
      <c r="AK361" s="1121"/>
      <c r="AL361" s="1121"/>
      <c r="AM361" s="1121" t="s">
        <v>1228</v>
      </c>
      <c r="AN361" s="315">
        <v>5.5</v>
      </c>
      <c r="AO361" s="315"/>
      <c r="AP361" s="315"/>
      <c r="AQ361" s="315"/>
      <c r="AR361" s="315"/>
      <c r="AS361" s="315"/>
      <c r="AT361" s="315">
        <f>+ab($T$361,$T$359,$T$363,$G$360,$G$362, 1*$F$361,1200)</f>
        <v>-6.820903141098448</v>
      </c>
      <c r="AU361" s="315"/>
      <c r="AV361" s="315"/>
      <c r="AW361" s="315" t="s">
        <v>2634</v>
      </c>
      <c r="AX361" s="315" t="s">
        <v>1639</v>
      </c>
      <c r="AY361" s="315">
        <v>3.4</v>
      </c>
      <c r="AZ361" s="315"/>
      <c r="BA361" s="315"/>
      <c r="BB361" s="306"/>
      <c r="BF361" s="1119"/>
      <c r="BG361" s="1119"/>
      <c r="BH361" s="1119"/>
    </row>
    <row r="362" spans="1:60" ht="14.25">
      <c r="A362" s="400"/>
      <c r="B362" s="1069"/>
      <c r="C362" s="402"/>
      <c r="D362" s="399"/>
      <c r="E362" s="399"/>
      <c r="F362" s="403"/>
      <c r="G362" s="404">
        <v>56</v>
      </c>
      <c r="H362" s="405"/>
      <c r="I362" s="1063">
        <f>SUM(G362:G376)</f>
        <v>437</v>
      </c>
      <c r="J362" s="402"/>
      <c r="K362" s="399"/>
      <c r="L362" s="399"/>
      <c r="M362" s="399"/>
      <c r="N362" s="405"/>
      <c r="O362" s="405"/>
      <c r="P362" s="399"/>
      <c r="Q362" s="399"/>
      <c r="R362" s="404"/>
      <c r="S362" s="404">
        <f t="shared" si="42"/>
        <v>56.140000000003056</v>
      </c>
      <c r="T362" s="399"/>
      <c r="U362" s="399"/>
      <c r="V362" s="399"/>
      <c r="W362" s="399"/>
      <c r="X362" s="399"/>
      <c r="Y362" s="399"/>
      <c r="Z362" s="399"/>
      <c r="AA362" s="399"/>
      <c r="AB362" s="399"/>
      <c r="AC362" s="399"/>
      <c r="AD362" s="399"/>
      <c r="AE362" s="399"/>
      <c r="AF362" s="1121"/>
      <c r="AG362" s="402" t="s">
        <v>695</v>
      </c>
      <c r="AH362" s="399" t="s">
        <v>695</v>
      </c>
      <c r="AI362" s="403" t="s">
        <v>695</v>
      </c>
      <c r="AJ362" s="1121"/>
      <c r="AK362" s="1121"/>
      <c r="AL362" s="1121"/>
      <c r="AM362" s="1121"/>
      <c r="AN362" s="315"/>
      <c r="AO362" s="315"/>
      <c r="AP362" s="315"/>
      <c r="AQ362" s="315">
        <f>+FL_2($T$363,$T$361,$G$362,1200,9.28, 1*$F$363)</f>
        <v>-0.40713706172535702</v>
      </c>
      <c r="AR362" s="315"/>
      <c r="AS362" s="315"/>
      <c r="AT362" s="315"/>
      <c r="AU362" s="315"/>
      <c r="AV362" s="315"/>
      <c r="AW362" s="315"/>
      <c r="AX362" s="315"/>
      <c r="AY362" s="315" t="s">
        <v>695</v>
      </c>
      <c r="AZ362" s="315"/>
      <c r="BA362" s="315"/>
      <c r="BB362" s="306"/>
      <c r="BF362" s="1119"/>
      <c r="BG362" s="1119"/>
      <c r="BH362" s="1119"/>
    </row>
    <row r="363" spans="1:60" ht="14.25">
      <c r="A363" s="400"/>
      <c r="B363" s="1069" t="s">
        <v>2412</v>
      </c>
      <c r="C363" s="402">
        <f>+$C$361+$G$362</f>
        <v>19963.999999999996</v>
      </c>
      <c r="D363" s="399"/>
      <c r="E363" s="399">
        <v>-100</v>
      </c>
      <c r="F363" s="403">
        <v>-2000</v>
      </c>
      <c r="G363" s="404"/>
      <c r="H363" s="399" t="s">
        <v>954</v>
      </c>
      <c r="I363" s="403"/>
      <c r="J363" s="402"/>
      <c r="K363" s="399"/>
      <c r="L363" s="399" t="s">
        <v>231</v>
      </c>
      <c r="M363" s="399" t="s">
        <v>2672</v>
      </c>
      <c r="N363" s="405" t="s">
        <v>144</v>
      </c>
      <c r="O363" s="405"/>
      <c r="P363" s="399"/>
      <c r="Q363" s="399">
        <v>99</v>
      </c>
      <c r="R363" s="404">
        <v>-2002.35</v>
      </c>
      <c r="S363" s="404"/>
      <c r="T363" s="399">
        <v>-30</v>
      </c>
      <c r="U363" s="399"/>
      <c r="V363" s="399"/>
      <c r="W363" s="399">
        <v>1.4</v>
      </c>
      <c r="X363" s="399"/>
      <c r="Y363" s="399"/>
      <c r="Z363" s="399"/>
      <c r="AA363" s="399"/>
      <c r="AB363" s="399"/>
      <c r="AC363" s="1121" t="s">
        <v>2963</v>
      </c>
      <c r="AD363" s="399"/>
      <c r="AE363" s="399"/>
      <c r="AF363" s="1121">
        <v>6000</v>
      </c>
      <c r="AG363" s="402">
        <v>19963.810000000001</v>
      </c>
      <c r="AH363" s="399">
        <v>2577</v>
      </c>
      <c r="AI363" s="403">
        <v>643</v>
      </c>
      <c r="AJ363" s="1121"/>
      <c r="AK363" s="1121"/>
      <c r="AL363" s="1121"/>
      <c r="AM363" s="1121" t="s">
        <v>1228</v>
      </c>
      <c r="AN363" s="315">
        <v>5.5</v>
      </c>
      <c r="AO363" s="315"/>
      <c r="AP363" s="315"/>
      <c r="AQ363" s="315"/>
      <c r="AR363" s="315"/>
      <c r="AS363" s="315"/>
      <c r="AT363" s="315">
        <f>+ab($T$363,$T$361,$T$365,$G$362,$G$364, 1*$F$363,1200)</f>
        <v>-6.820903141098448</v>
      </c>
      <c r="AU363" s="315"/>
      <c r="AV363" s="315"/>
      <c r="AW363" s="315" t="s">
        <v>2634</v>
      </c>
      <c r="AX363" s="315" t="s">
        <v>1639</v>
      </c>
      <c r="AY363" s="315">
        <v>3.4</v>
      </c>
      <c r="AZ363" s="315"/>
      <c r="BA363" s="315"/>
      <c r="BB363" s="306"/>
      <c r="BF363" s="1119"/>
      <c r="BG363" s="1119"/>
      <c r="BH363" s="1119"/>
    </row>
    <row r="364" spans="1:60" ht="14.25">
      <c r="A364" s="400"/>
      <c r="B364" s="1069"/>
      <c r="C364" s="402"/>
      <c r="D364" s="399"/>
      <c r="E364" s="399"/>
      <c r="F364" s="403"/>
      <c r="G364" s="404">
        <v>56</v>
      </c>
      <c r="H364" s="405"/>
      <c r="I364" s="405"/>
      <c r="J364" s="402">
        <f>C363+7.5</f>
        <v>19971.499999999996</v>
      </c>
      <c r="K364" s="399" t="s">
        <v>658</v>
      </c>
      <c r="L364" s="399"/>
      <c r="M364" s="399"/>
      <c r="N364" s="405"/>
      <c r="O364" s="405"/>
      <c r="P364" s="399"/>
      <c r="Q364" s="399"/>
      <c r="R364" s="404"/>
      <c r="S364" s="404">
        <f t="shared" si="42"/>
        <v>56.009999999998399</v>
      </c>
      <c r="T364" s="399"/>
      <c r="U364" s="399"/>
      <c r="V364" s="399"/>
      <c r="W364" s="399"/>
      <c r="X364" s="399"/>
      <c r="Y364" s="399"/>
      <c r="Z364" s="399"/>
      <c r="AA364" s="399"/>
      <c r="AB364" s="399"/>
      <c r="AC364" s="399"/>
      <c r="AD364" s="399"/>
      <c r="AE364" s="399"/>
      <c r="AF364" s="1121"/>
      <c r="AG364" s="402" t="s">
        <v>695</v>
      </c>
      <c r="AH364" s="399" t="s">
        <v>695</v>
      </c>
      <c r="AI364" s="403" t="s">
        <v>695</v>
      </c>
      <c r="AJ364" s="1121"/>
      <c r="AK364" s="1121"/>
      <c r="AL364" s="1121"/>
      <c r="AM364" s="1121"/>
      <c r="AN364" s="315"/>
      <c r="AO364" s="315"/>
      <c r="AP364" s="315"/>
      <c r="AQ364" s="315">
        <f>+FL_2($T$365,$T$363,$G$364,1200,9.28, 1*$F$365)</f>
        <v>-0.40713706172535702</v>
      </c>
      <c r="AR364" s="315"/>
      <c r="AS364" s="315"/>
      <c r="AT364" s="315"/>
      <c r="AU364" s="315"/>
      <c r="AV364" s="315"/>
      <c r="AW364" s="315" t="s">
        <v>2634</v>
      </c>
      <c r="AX364" s="315" t="s">
        <v>1639</v>
      </c>
      <c r="AY364" s="315"/>
      <c r="AZ364" s="315">
        <v>2.5</v>
      </c>
      <c r="BA364" s="315"/>
      <c r="BB364" s="306"/>
      <c r="BF364" s="1119"/>
      <c r="BG364" s="1119"/>
      <c r="BH364" s="1119"/>
    </row>
    <row r="365" spans="1:60" ht="14.25">
      <c r="A365" s="400"/>
      <c r="B365" s="1069" t="s">
        <v>2413</v>
      </c>
      <c r="C365" s="402">
        <f>+$C$363+$G$364</f>
        <v>20019.999999999996</v>
      </c>
      <c r="D365" s="399"/>
      <c r="E365" s="399">
        <v>-100</v>
      </c>
      <c r="F365" s="403">
        <v>-2000</v>
      </c>
      <c r="G365" s="404"/>
      <c r="H365" s="405"/>
      <c r="I365" s="405"/>
      <c r="J365" s="402"/>
      <c r="K365" s="399"/>
      <c r="L365" s="399" t="s">
        <v>231</v>
      </c>
      <c r="M365" s="399" t="s">
        <v>2672</v>
      </c>
      <c r="N365" s="405" t="s">
        <v>144</v>
      </c>
      <c r="O365" s="405"/>
      <c r="P365" s="399"/>
      <c r="Q365" s="399">
        <v>96</v>
      </c>
      <c r="R365" s="404">
        <v>-2002.35</v>
      </c>
      <c r="S365" s="404"/>
      <c r="T365" s="399">
        <v>-30</v>
      </c>
      <c r="U365" s="399"/>
      <c r="V365" s="399"/>
      <c r="W365" s="399">
        <v>1.4</v>
      </c>
      <c r="X365" s="399"/>
      <c r="Y365" s="399"/>
      <c r="Z365" s="399"/>
      <c r="AA365" s="399"/>
      <c r="AB365" s="399"/>
      <c r="AC365" s="1121" t="s">
        <v>2963</v>
      </c>
      <c r="AD365" s="399"/>
      <c r="AE365" s="399"/>
      <c r="AF365" s="1121">
        <v>6000</v>
      </c>
      <c r="AG365" s="402">
        <v>20019.82</v>
      </c>
      <c r="AH365" s="399">
        <v>2571</v>
      </c>
      <c r="AI365" s="403">
        <v>647</v>
      </c>
      <c r="AJ365" s="1121"/>
      <c r="AK365" s="1121"/>
      <c r="AL365" s="1121"/>
      <c r="AM365" s="1121" t="s">
        <v>1228</v>
      </c>
      <c r="AN365" s="315">
        <v>5.5</v>
      </c>
      <c r="AO365" s="315"/>
      <c r="AP365" s="315"/>
      <c r="AQ365" s="315"/>
      <c r="AR365" s="315"/>
      <c r="AS365" s="315"/>
      <c r="AT365" s="315">
        <f>+ab($T$365,$T$363,$T$367,$G$364,$G$366, 1*$F$365,1200)</f>
        <v>-6.820903141098448</v>
      </c>
      <c r="AU365" s="315"/>
      <c r="AV365" s="315"/>
      <c r="AW365" s="315" t="s">
        <v>2634</v>
      </c>
      <c r="AX365" s="315" t="s">
        <v>1639</v>
      </c>
      <c r="AY365" s="315">
        <v>3.4</v>
      </c>
      <c r="AZ365" s="315"/>
      <c r="BA365" s="315"/>
      <c r="BB365" s="306"/>
      <c r="BF365" s="1119"/>
      <c r="BG365" s="1119"/>
      <c r="BH365" s="1119"/>
    </row>
    <row r="366" spans="1:60" ht="14.25">
      <c r="A366" s="400"/>
      <c r="B366" s="1069"/>
      <c r="C366" s="402"/>
      <c r="D366" s="399"/>
      <c r="E366" s="399"/>
      <c r="F366" s="403"/>
      <c r="G366" s="404">
        <v>56</v>
      </c>
      <c r="H366" s="405"/>
      <c r="I366" s="1063"/>
      <c r="J366" s="402"/>
      <c r="K366" s="399"/>
      <c r="L366" s="399"/>
      <c r="M366" s="399"/>
      <c r="N366" s="405"/>
      <c r="O366" s="405"/>
      <c r="P366" s="399"/>
      <c r="Q366" s="399"/>
      <c r="R366" s="404"/>
      <c r="S366" s="404">
        <f t="shared" si="42"/>
        <v>55.920000000001892</v>
      </c>
      <c r="T366" s="399"/>
      <c r="U366" s="399"/>
      <c r="V366" s="399"/>
      <c r="W366" s="399"/>
      <c r="X366" s="399"/>
      <c r="Y366" s="399"/>
      <c r="Z366" s="399"/>
      <c r="AA366" s="399"/>
      <c r="AB366" s="399"/>
      <c r="AC366" s="399"/>
      <c r="AD366" s="399"/>
      <c r="AE366" s="399"/>
      <c r="AF366" s="1121"/>
      <c r="AG366" s="402" t="s">
        <v>695</v>
      </c>
      <c r="AH366" s="399" t="s">
        <v>695</v>
      </c>
      <c r="AI366" s="403" t="s">
        <v>695</v>
      </c>
      <c r="AJ366" s="1121"/>
      <c r="AK366" s="1121"/>
      <c r="AL366" s="1121"/>
      <c r="AM366" s="1121"/>
      <c r="AN366" s="315"/>
      <c r="AO366" s="315"/>
      <c r="AP366" s="315"/>
      <c r="AQ366" s="315">
        <f>+FL_2($T$367,$T$365,$G$366,1200,9.28, 1*$F$367)</f>
        <v>-0.40713706172535702</v>
      </c>
      <c r="AR366" s="315"/>
      <c r="AS366" s="315"/>
      <c r="AT366" s="315"/>
      <c r="AU366" s="315"/>
      <c r="AV366" s="315"/>
      <c r="AW366" s="315"/>
      <c r="AX366" s="315"/>
      <c r="AY366" s="315" t="s">
        <v>695</v>
      </c>
      <c r="AZ366" s="315"/>
      <c r="BA366" s="315"/>
      <c r="BB366" s="306"/>
      <c r="BF366" s="1119"/>
      <c r="BG366" s="1119"/>
      <c r="BH366" s="1119"/>
    </row>
    <row r="367" spans="1:60" ht="14.25">
      <c r="A367" s="400"/>
      <c r="B367" s="1069" t="s">
        <v>2414</v>
      </c>
      <c r="C367" s="402">
        <f>+$C$365+$G$366</f>
        <v>20075.999999999996</v>
      </c>
      <c r="D367" s="399"/>
      <c r="E367" s="399">
        <v>-100</v>
      </c>
      <c r="F367" s="403">
        <v>-2000</v>
      </c>
      <c r="G367" s="404"/>
      <c r="H367" s="405"/>
      <c r="I367" s="405"/>
      <c r="J367" s="402"/>
      <c r="K367" s="399"/>
      <c r="L367" s="399" t="s">
        <v>231</v>
      </c>
      <c r="M367" s="399" t="s">
        <v>2672</v>
      </c>
      <c r="N367" s="405" t="s">
        <v>144</v>
      </c>
      <c r="O367" s="405"/>
      <c r="P367" s="399"/>
      <c r="Q367" s="399">
        <v>101</v>
      </c>
      <c r="R367" s="404">
        <v>-2002.35</v>
      </c>
      <c r="S367" s="404"/>
      <c r="T367" s="399">
        <v>-30</v>
      </c>
      <c r="U367" s="399"/>
      <c r="V367" s="399"/>
      <c r="W367" s="399">
        <v>1.4</v>
      </c>
      <c r="X367" s="399"/>
      <c r="Y367" s="399"/>
      <c r="Z367" s="399"/>
      <c r="AA367" s="399"/>
      <c r="AB367" s="399"/>
      <c r="AC367" s="1121" t="s">
        <v>2963</v>
      </c>
      <c r="AD367" s="399"/>
      <c r="AE367" s="399"/>
      <c r="AF367" s="1121">
        <v>6000</v>
      </c>
      <c r="AG367" s="402">
        <v>20075.740000000002</v>
      </c>
      <c r="AH367" s="399">
        <v>2534</v>
      </c>
      <c r="AI367" s="403">
        <v>630</v>
      </c>
      <c r="AJ367" s="1121"/>
      <c r="AK367" s="1121"/>
      <c r="AL367" s="1121"/>
      <c r="AM367" s="1121" t="s">
        <v>1228</v>
      </c>
      <c r="AN367" s="315">
        <v>5.5</v>
      </c>
      <c r="AO367" s="315"/>
      <c r="AP367" s="315"/>
      <c r="AQ367" s="315"/>
      <c r="AR367" s="315"/>
      <c r="AS367" s="315"/>
      <c r="AT367" s="315">
        <f>+ab($T$367,$T$365,$T$369,$G$366,$G$368, 1*$F$367,1200)</f>
        <v>-6.820903141098448</v>
      </c>
      <c r="AU367" s="315"/>
      <c r="AV367" s="315"/>
      <c r="AW367" s="315" t="s">
        <v>2634</v>
      </c>
      <c r="AX367" s="315" t="s">
        <v>1639</v>
      </c>
      <c r="AY367" s="315">
        <v>3.4</v>
      </c>
      <c r="AZ367" s="315"/>
      <c r="BA367" s="315"/>
      <c r="BB367" s="306"/>
      <c r="BF367" s="1119"/>
      <c r="BG367" s="1119"/>
      <c r="BH367" s="1119"/>
    </row>
    <row r="368" spans="1:60" ht="14.25">
      <c r="A368" s="400"/>
      <c r="B368" s="1069"/>
      <c r="C368" s="402"/>
      <c r="D368" s="399"/>
      <c r="E368" s="399"/>
      <c r="F368" s="403"/>
      <c r="G368" s="404">
        <v>56</v>
      </c>
      <c r="H368" s="405"/>
      <c r="I368" s="405"/>
      <c r="J368" s="402"/>
      <c r="K368" s="399"/>
      <c r="L368" s="399"/>
      <c r="M368" s="399"/>
      <c r="N368" s="405"/>
      <c r="O368" s="405"/>
      <c r="P368" s="399"/>
      <c r="Q368" s="399"/>
      <c r="R368" s="404"/>
      <c r="S368" s="404">
        <f t="shared" si="42"/>
        <v>56.209999999999127</v>
      </c>
      <c r="T368" s="399"/>
      <c r="U368" s="399"/>
      <c r="V368" s="399"/>
      <c r="W368" s="399"/>
      <c r="X368" s="399"/>
      <c r="Y368" s="399"/>
      <c r="Z368" s="399"/>
      <c r="AA368" s="399"/>
      <c r="AB368" s="399"/>
      <c r="AC368" s="399"/>
      <c r="AD368" s="399"/>
      <c r="AE368" s="399"/>
      <c r="AF368" s="399"/>
      <c r="AG368" s="402" t="s">
        <v>695</v>
      </c>
      <c r="AH368" s="399" t="s">
        <v>695</v>
      </c>
      <c r="AI368" s="403" t="s">
        <v>695</v>
      </c>
      <c r="AJ368" s="1121"/>
      <c r="AK368" s="1121"/>
      <c r="AL368" s="1121"/>
      <c r="AM368" s="1121"/>
      <c r="AN368" s="315"/>
      <c r="AO368" s="315"/>
      <c r="AP368" s="315"/>
      <c r="AQ368" s="315">
        <f>+FL_2($T$369,$T$367,$G$368,1200,9.28, 1*$F$369)</f>
        <v>-0.40713706172535702</v>
      </c>
      <c r="AR368" s="315"/>
      <c r="AS368" s="315"/>
      <c r="AT368" s="315"/>
      <c r="AU368" s="315"/>
      <c r="AV368" s="315"/>
      <c r="AW368" s="315"/>
      <c r="AX368" s="315"/>
      <c r="AY368" s="315" t="s">
        <v>695</v>
      </c>
      <c r="AZ368" s="315"/>
      <c r="BA368" s="315"/>
      <c r="BB368" s="306"/>
      <c r="BF368" s="1119"/>
      <c r="BG368" s="1119"/>
      <c r="BH368" s="1119"/>
    </row>
    <row r="369" spans="1:60" ht="14.25">
      <c r="A369" s="341" t="s">
        <v>2219</v>
      </c>
      <c r="B369" s="341" t="s">
        <v>2415</v>
      </c>
      <c r="C369" s="342">
        <f>+$C$367+$G$368</f>
        <v>20131.999999999996</v>
      </c>
      <c r="D369" s="342"/>
      <c r="E369" s="343">
        <v>-100</v>
      </c>
      <c r="F369" s="343">
        <v>-2000</v>
      </c>
      <c r="G369" s="344"/>
      <c r="H369" s="345"/>
      <c r="I369" s="360"/>
      <c r="J369" s="360"/>
      <c r="K369" s="342"/>
      <c r="L369" s="343" t="s">
        <v>231</v>
      </c>
      <c r="M369" s="343" t="s">
        <v>2672</v>
      </c>
      <c r="N369" s="343" t="s">
        <v>144</v>
      </c>
      <c r="O369" s="360"/>
      <c r="P369" s="360"/>
      <c r="Q369" s="343">
        <v>96</v>
      </c>
      <c r="R369" s="345">
        <v>-2002.35</v>
      </c>
      <c r="S369" s="345"/>
      <c r="T369" s="343">
        <v>-30</v>
      </c>
      <c r="U369" s="343"/>
      <c r="V369" s="343"/>
      <c r="W369" s="343">
        <v>1.4</v>
      </c>
      <c r="X369" s="343"/>
      <c r="Y369" s="343"/>
      <c r="Z369" s="343"/>
      <c r="AA369" s="343"/>
      <c r="AB369" s="343"/>
      <c r="AC369" s="343" t="s">
        <v>2963</v>
      </c>
      <c r="AD369" s="343"/>
      <c r="AE369" s="343"/>
      <c r="AF369" s="343">
        <v>6000</v>
      </c>
      <c r="AG369" s="342">
        <v>20131.95</v>
      </c>
      <c r="AH369" s="343">
        <v>2605</v>
      </c>
      <c r="AI369" s="344">
        <v>640</v>
      </c>
      <c r="AJ369" s="343"/>
      <c r="AK369" s="343"/>
      <c r="AL369" s="343"/>
      <c r="AM369" s="343" t="s">
        <v>1228</v>
      </c>
      <c r="AN369" s="347">
        <v>5.5</v>
      </c>
      <c r="AO369" s="347"/>
      <c r="AP369" s="347"/>
      <c r="AQ369" s="347"/>
      <c r="AR369" s="347"/>
      <c r="AS369" s="347"/>
      <c r="AT369" s="347">
        <f>+ab($T$369,$T$367,$T$371,$G$368,$G$370, 1*$F$369,1200)</f>
        <v>-6.9437194600928631</v>
      </c>
      <c r="AU369" s="347"/>
      <c r="AV369" s="347"/>
      <c r="AW369" s="347" t="s">
        <v>2634</v>
      </c>
      <c r="AX369" s="347" t="s">
        <v>1639</v>
      </c>
      <c r="AY369" s="347">
        <v>3.4</v>
      </c>
      <c r="AZ369" s="347"/>
      <c r="BA369" s="347"/>
      <c r="BB369" s="306"/>
      <c r="BF369" s="1119"/>
      <c r="BG369" s="1119"/>
      <c r="BH369" s="1119"/>
    </row>
    <row r="370" spans="1:60" ht="14.25">
      <c r="A370" s="341"/>
      <c r="B370" s="341"/>
      <c r="C370" s="363"/>
      <c r="D370" s="342"/>
      <c r="E370" s="343"/>
      <c r="F370" s="343"/>
      <c r="G370" s="344">
        <v>54</v>
      </c>
      <c r="H370" s="345"/>
      <c r="I370" s="360"/>
      <c r="J370" s="342">
        <f>C371-7.5</f>
        <v>20178.499999999996</v>
      </c>
      <c r="K370" s="342" t="s">
        <v>653</v>
      </c>
      <c r="L370" s="343"/>
      <c r="M370" s="343"/>
      <c r="N370" s="343"/>
      <c r="O370" s="360"/>
      <c r="P370" s="360"/>
      <c r="Q370" s="343"/>
      <c r="R370" s="345"/>
      <c r="S370" s="345">
        <f t="shared" si="42"/>
        <v>54.049999999999272</v>
      </c>
      <c r="T370" s="343"/>
      <c r="U370" s="343"/>
      <c r="V370" s="343"/>
      <c r="W370" s="343"/>
      <c r="X370" s="343"/>
      <c r="Y370" s="343"/>
      <c r="Z370" s="343"/>
      <c r="AA370" s="343"/>
      <c r="AB370" s="343"/>
      <c r="AC370" s="343"/>
      <c r="AD370" s="343"/>
      <c r="AE370" s="343"/>
      <c r="AF370" s="343"/>
      <c r="AG370" s="363" t="s">
        <v>695</v>
      </c>
      <c r="AH370" s="343" t="s">
        <v>695</v>
      </c>
      <c r="AI370" s="344" t="s">
        <v>695</v>
      </c>
      <c r="AJ370" s="343"/>
      <c r="AK370" s="343"/>
      <c r="AL370" s="343"/>
      <c r="AM370" s="343"/>
      <c r="AN370" s="347"/>
      <c r="AO370" s="347"/>
      <c r="AP370" s="347"/>
      <c r="AQ370" s="347">
        <f>+FL_2($T$371,$T$369,$G$370,1200,9.28, 1*$F$371)</f>
        <v>-0.39962169547770721</v>
      </c>
      <c r="AR370" s="347"/>
      <c r="AS370" s="347"/>
      <c r="AT370" s="347"/>
      <c r="AU370" s="347"/>
      <c r="AV370" s="347"/>
      <c r="AW370" s="347" t="s">
        <v>2634</v>
      </c>
      <c r="AX370" s="347" t="s">
        <v>1639</v>
      </c>
      <c r="AY370" s="347"/>
      <c r="AZ370" s="347">
        <v>2.5</v>
      </c>
      <c r="BA370" s="347"/>
      <c r="BB370" s="306"/>
      <c r="BF370" s="1119"/>
      <c r="BG370" s="1119"/>
      <c r="BH370" s="1119"/>
    </row>
    <row r="371" spans="1:60" ht="14.25">
      <c r="A371" s="341"/>
      <c r="B371" s="363" t="s">
        <v>2416</v>
      </c>
      <c r="C371" s="342">
        <f>+$C$369+$G$370</f>
        <v>20185.999999999996</v>
      </c>
      <c r="D371" s="343"/>
      <c r="E371" s="343">
        <v>-100</v>
      </c>
      <c r="F371" s="344">
        <v>-2000</v>
      </c>
      <c r="G371" s="345"/>
      <c r="H371" s="360" t="s">
        <v>138</v>
      </c>
      <c r="I371" s="360" t="s">
        <v>656</v>
      </c>
      <c r="J371" s="342"/>
      <c r="K371" s="343"/>
      <c r="L371" s="343" t="s">
        <v>1062</v>
      </c>
      <c r="M371" s="343" t="s">
        <v>2676</v>
      </c>
      <c r="N371" s="360" t="s">
        <v>144</v>
      </c>
      <c r="O371" s="360"/>
      <c r="P371" s="343"/>
      <c r="Q371" s="343">
        <v>96</v>
      </c>
      <c r="R371" s="345">
        <v>-2002.35</v>
      </c>
      <c r="S371" s="345"/>
      <c r="T371" s="343">
        <v>-30</v>
      </c>
      <c r="U371" s="343"/>
      <c r="V371" s="343"/>
      <c r="W371" s="343">
        <v>1.4</v>
      </c>
      <c r="X371" s="343"/>
      <c r="Y371" s="343"/>
      <c r="Z371" s="343"/>
      <c r="AA371" s="343"/>
      <c r="AB371" s="343"/>
      <c r="AC371" s="343" t="s">
        <v>2963</v>
      </c>
      <c r="AD371" s="343"/>
      <c r="AE371" s="343"/>
      <c r="AF371" s="343">
        <v>6000</v>
      </c>
      <c r="AG371" s="342">
        <v>20186</v>
      </c>
      <c r="AH371" s="343">
        <v>2602</v>
      </c>
      <c r="AI371" s="344">
        <v>656</v>
      </c>
      <c r="AJ371" s="343"/>
      <c r="AK371" s="343"/>
      <c r="AL371" s="343"/>
      <c r="AM371" s="343" t="s">
        <v>1228</v>
      </c>
      <c r="AN371" s="347">
        <v>5.5</v>
      </c>
      <c r="AO371" s="347"/>
      <c r="AP371" s="347"/>
      <c r="AQ371" s="347"/>
      <c r="AR371" s="347"/>
      <c r="AS371" s="347"/>
      <c r="AT371" s="347">
        <f>+ab($T$371,$T$369,$T$373,$G$370,$G$372, 1*$F$371,1200)</f>
        <v>-6.2979708705596806</v>
      </c>
      <c r="AU371" s="347"/>
      <c r="AV371" s="347"/>
      <c r="AW371" s="347" t="s">
        <v>2634</v>
      </c>
      <c r="AX371" s="347" t="s">
        <v>1639</v>
      </c>
      <c r="AY371" s="347">
        <v>3.4</v>
      </c>
      <c r="AZ371" s="347"/>
      <c r="BA371" s="347"/>
      <c r="BB371" s="306"/>
      <c r="BF371" s="1119"/>
      <c r="BG371" s="1119"/>
      <c r="BH371" s="1119"/>
    </row>
    <row r="372" spans="1:60" ht="14.25">
      <c r="A372" s="341"/>
      <c r="B372" s="363"/>
      <c r="C372" s="342"/>
      <c r="D372" s="343"/>
      <c r="E372" s="343"/>
      <c r="F372" s="344"/>
      <c r="G372" s="345">
        <v>52</v>
      </c>
      <c r="H372" s="360"/>
      <c r="I372" s="360"/>
      <c r="J372" s="342"/>
      <c r="K372" s="343"/>
      <c r="L372" s="343"/>
      <c r="M372" s="343"/>
      <c r="N372" s="360"/>
      <c r="O372" s="360"/>
      <c r="P372" s="343"/>
      <c r="Q372" s="343"/>
      <c r="R372" s="345"/>
      <c r="S372" s="345">
        <f t="shared" si="42"/>
        <v>52.080000000001746</v>
      </c>
      <c r="T372" s="343"/>
      <c r="U372" s="343"/>
      <c r="V372" s="343"/>
      <c r="W372" s="343"/>
      <c r="X372" s="343"/>
      <c r="Y372" s="343"/>
      <c r="Z372" s="343"/>
      <c r="AA372" s="343"/>
      <c r="AB372" s="343"/>
      <c r="AC372" s="343"/>
      <c r="AD372" s="343"/>
      <c r="AE372" s="343"/>
      <c r="AF372" s="343"/>
      <c r="AG372" s="342" t="s">
        <v>695</v>
      </c>
      <c r="AH372" s="343" t="s">
        <v>695</v>
      </c>
      <c r="AI372" s="344" t="s">
        <v>695</v>
      </c>
      <c r="AJ372" s="343"/>
      <c r="AK372" s="343"/>
      <c r="AL372" s="343"/>
      <c r="AM372" s="343"/>
      <c r="AN372" s="347"/>
      <c r="AO372" s="347"/>
      <c r="AP372" s="347"/>
      <c r="AQ372" s="347">
        <f>+FL_2($U$373,$T$371,$G$372,1200,9.28, 1*$F$373)</f>
        <v>-0.39237952581325708</v>
      </c>
      <c r="AR372" s="347"/>
      <c r="AS372" s="347"/>
      <c r="AT372" s="347"/>
      <c r="AU372" s="347"/>
      <c r="AV372" s="347"/>
      <c r="AW372" s="347"/>
      <c r="AX372" s="347"/>
      <c r="AY372" s="347" t="s">
        <v>695</v>
      </c>
      <c r="AZ372" s="347"/>
      <c r="BA372" s="347"/>
      <c r="BB372" s="306"/>
      <c r="BF372" s="1119"/>
      <c r="BG372" s="1119"/>
      <c r="BH372" s="1119"/>
    </row>
    <row r="373" spans="1:60" ht="14.25">
      <c r="A373" s="341"/>
      <c r="B373" s="363" t="s">
        <v>2417</v>
      </c>
      <c r="C373" s="342">
        <f>+$C$371+$G$372</f>
        <v>20237.999999999996</v>
      </c>
      <c r="D373" s="343"/>
      <c r="E373" s="343">
        <v>-100</v>
      </c>
      <c r="F373" s="344">
        <v>-2000</v>
      </c>
      <c r="G373" s="345"/>
      <c r="H373" s="360" t="s">
        <v>651</v>
      </c>
      <c r="I373" s="360"/>
      <c r="J373" s="342"/>
      <c r="K373" s="343"/>
      <c r="L373" s="343" t="s">
        <v>1056</v>
      </c>
      <c r="M373" s="343" t="s">
        <v>2760</v>
      </c>
      <c r="N373" s="360" t="s">
        <v>140</v>
      </c>
      <c r="O373" s="360" t="s">
        <v>144</v>
      </c>
      <c r="P373" s="343"/>
      <c r="Q373" s="343">
        <v>99</v>
      </c>
      <c r="R373" s="345">
        <v>-2002.35</v>
      </c>
      <c r="S373" s="345"/>
      <c r="T373" s="343">
        <v>-10</v>
      </c>
      <c r="U373" s="343">
        <v>-30</v>
      </c>
      <c r="V373" s="343"/>
      <c r="W373" s="343">
        <v>1.4</v>
      </c>
      <c r="X373" s="343">
        <v>2.2999999999999998</v>
      </c>
      <c r="Y373" s="343"/>
      <c r="Z373" s="343">
        <v>0.45</v>
      </c>
      <c r="AA373" s="343"/>
      <c r="AB373" s="343"/>
      <c r="AC373" s="343"/>
      <c r="AD373" s="343" t="s">
        <v>2963</v>
      </c>
      <c r="AE373" s="343"/>
      <c r="AF373" s="343">
        <v>6000</v>
      </c>
      <c r="AG373" s="342">
        <v>20238.080000000002</v>
      </c>
      <c r="AH373" s="343">
        <v>2571</v>
      </c>
      <c r="AI373" s="344">
        <v>541</v>
      </c>
      <c r="AJ373" s="343"/>
      <c r="AK373" s="343"/>
      <c r="AL373" s="343"/>
      <c r="AM373" s="343" t="s">
        <v>1228</v>
      </c>
      <c r="AN373" s="347">
        <v>5.5</v>
      </c>
      <c r="AO373" s="347"/>
      <c r="AP373" s="347"/>
      <c r="AQ373" s="347"/>
      <c r="AR373" s="347"/>
      <c r="AS373" s="347"/>
      <c r="AT373" s="347">
        <f>+ab($U$373,$T$371,$U$375,$G$372,$G$374, 1*$F$373,1200)</f>
        <v>-7.2030436965217843</v>
      </c>
      <c r="AU373" s="347"/>
      <c r="AV373" s="347"/>
      <c r="AW373" s="347" t="s">
        <v>2634</v>
      </c>
      <c r="AX373" s="347" t="s">
        <v>1639</v>
      </c>
      <c r="AY373" s="347">
        <v>3.4</v>
      </c>
      <c r="AZ373" s="347"/>
      <c r="BA373" s="347"/>
      <c r="BB373" s="306"/>
      <c r="BF373" s="1119"/>
      <c r="BG373" s="1119"/>
      <c r="BH373" s="1119"/>
    </row>
    <row r="374" spans="1:60" ht="14.25">
      <c r="A374" s="341"/>
      <c r="B374" s="363"/>
      <c r="C374" s="342"/>
      <c r="D374" s="343"/>
      <c r="E374" s="343"/>
      <c r="F374" s="344"/>
      <c r="G374" s="345">
        <v>54</v>
      </c>
      <c r="H374" s="360"/>
      <c r="I374" s="360"/>
      <c r="J374" s="342"/>
      <c r="K374" s="343"/>
      <c r="L374" s="343"/>
      <c r="M374" s="343"/>
      <c r="N374" s="360"/>
      <c r="O374" s="360"/>
      <c r="P374" s="343"/>
      <c r="Q374" s="343"/>
      <c r="R374" s="345"/>
      <c r="S374" s="345">
        <f t="shared" si="42"/>
        <v>54.089999999996508</v>
      </c>
      <c r="T374" s="343"/>
      <c r="U374" s="343"/>
      <c r="V374" s="343"/>
      <c r="W374" s="343"/>
      <c r="X374" s="343"/>
      <c r="Y374" s="343"/>
      <c r="Z374" s="343"/>
      <c r="AA374" s="343"/>
      <c r="AB374" s="343"/>
      <c r="AC374" s="343"/>
      <c r="AD374" s="343"/>
      <c r="AE374" s="343"/>
      <c r="AF374" s="343"/>
      <c r="AG374" s="342" t="s">
        <v>695</v>
      </c>
      <c r="AH374" s="343" t="s">
        <v>695</v>
      </c>
      <c r="AI374" s="344" t="s">
        <v>695</v>
      </c>
      <c r="AJ374" s="343"/>
      <c r="AK374" s="343"/>
      <c r="AL374" s="343"/>
      <c r="AM374" s="343"/>
      <c r="AN374" s="347"/>
      <c r="AO374" s="347"/>
      <c r="AP374" s="347"/>
      <c r="AQ374" s="347">
        <f>+FL_2($T$375,$U$373,$G$374,1200,9.28, 1*$F$375)</f>
        <v>-0.30712243122308003</v>
      </c>
      <c r="AR374" s="347"/>
      <c r="AS374" s="347"/>
      <c r="AT374" s="347"/>
      <c r="AU374" s="347"/>
      <c r="AV374" s="347"/>
      <c r="AW374" s="347"/>
      <c r="AX374" s="347"/>
      <c r="AY374" s="347" t="s">
        <v>695</v>
      </c>
      <c r="AZ374" s="347"/>
      <c r="BA374" s="347"/>
      <c r="BB374" s="306"/>
      <c r="BF374" s="1119"/>
      <c r="BG374" s="1119"/>
      <c r="BH374" s="1119"/>
    </row>
    <row r="375" spans="1:60" ht="14.25">
      <c r="A375" s="341"/>
      <c r="B375" s="363" t="s">
        <v>2418</v>
      </c>
      <c r="C375" s="342">
        <f>+$C$373+$G$374</f>
        <v>20291.999999999996</v>
      </c>
      <c r="D375" s="343"/>
      <c r="E375" s="343"/>
      <c r="F375" s="344">
        <f>(2000*190)/(C375-20510)</f>
        <v>-1743.1192660550169</v>
      </c>
      <c r="G375" s="345"/>
      <c r="H375" s="360" t="s">
        <v>651</v>
      </c>
      <c r="I375" s="360"/>
      <c r="J375" s="342"/>
      <c r="K375" s="343"/>
      <c r="L375" s="343" t="s">
        <v>1056</v>
      </c>
      <c r="M375" s="343" t="s">
        <v>2760</v>
      </c>
      <c r="N375" s="360" t="s">
        <v>144</v>
      </c>
      <c r="O375" s="360" t="s">
        <v>140</v>
      </c>
      <c r="P375" s="343"/>
      <c r="Q375" s="343">
        <v>99</v>
      </c>
      <c r="R375" s="345">
        <v>-2002.35</v>
      </c>
      <c r="S375" s="345"/>
      <c r="T375" s="343">
        <v>-10</v>
      </c>
      <c r="U375" s="343">
        <v>-30</v>
      </c>
      <c r="V375" s="343"/>
      <c r="W375" s="343">
        <v>1.4</v>
      </c>
      <c r="X375" s="343">
        <v>2.2999999999999998</v>
      </c>
      <c r="Y375" s="343"/>
      <c r="Z375" s="343"/>
      <c r="AA375" s="343">
        <v>0.45</v>
      </c>
      <c r="AB375" s="343"/>
      <c r="AC375" s="343" t="s">
        <v>2963</v>
      </c>
      <c r="AD375" s="343"/>
      <c r="AE375" s="343"/>
      <c r="AF375" s="343">
        <v>6000</v>
      </c>
      <c r="AG375" s="342">
        <v>20292.169999999998</v>
      </c>
      <c r="AH375" s="343">
        <v>2559</v>
      </c>
      <c r="AI375" s="344">
        <v>523</v>
      </c>
      <c r="AJ375" s="343"/>
      <c r="AK375" s="343"/>
      <c r="AL375" s="343"/>
      <c r="AM375" s="343" t="s">
        <v>1228</v>
      </c>
      <c r="AN375" s="347">
        <v>5.5</v>
      </c>
      <c r="AO375" s="347"/>
      <c r="AP375" s="347"/>
      <c r="AQ375" s="347"/>
      <c r="AR375" s="347"/>
      <c r="AS375" s="347"/>
      <c r="AT375" s="347">
        <f>+ab($T$375,$T$373,$T$377,$G$374,$G$376, 1*$F$375,1200)</f>
        <v>-6.6319332852334494</v>
      </c>
      <c r="AU375" s="347"/>
      <c r="AV375" s="347"/>
      <c r="AW375" s="347" t="s">
        <v>2634</v>
      </c>
      <c r="AX375" s="347" t="s">
        <v>1639</v>
      </c>
      <c r="AY375" s="347">
        <v>3.4</v>
      </c>
      <c r="AZ375" s="347"/>
      <c r="BA375" s="347"/>
      <c r="BB375" s="306"/>
      <c r="BF375" s="1119"/>
      <c r="BG375" s="1119"/>
      <c r="BH375" s="1119"/>
    </row>
    <row r="376" spans="1:60" ht="14.25">
      <c r="A376" s="341"/>
      <c r="B376" s="363"/>
      <c r="C376" s="342"/>
      <c r="D376" s="343"/>
      <c r="E376" s="343"/>
      <c r="F376" s="344"/>
      <c r="G376" s="345">
        <v>53</v>
      </c>
      <c r="H376" s="360"/>
      <c r="I376" s="360"/>
      <c r="J376" s="342"/>
      <c r="K376" s="343"/>
      <c r="L376" s="343"/>
      <c r="M376" s="343"/>
      <c r="N376" s="360"/>
      <c r="O376" s="360"/>
      <c r="P376" s="343"/>
      <c r="Q376" s="343"/>
      <c r="R376" s="345"/>
      <c r="S376" s="345">
        <f t="shared" si="42"/>
        <v>52.990000000001601</v>
      </c>
      <c r="T376" s="343"/>
      <c r="U376" s="343"/>
      <c r="V376" s="343"/>
      <c r="W376" s="343"/>
      <c r="X376" s="343"/>
      <c r="Y376" s="343"/>
      <c r="Z376" s="343"/>
      <c r="AA376" s="343"/>
      <c r="AB376" s="343"/>
      <c r="AC376" s="343"/>
      <c r="AD376" s="343"/>
      <c r="AE376" s="343"/>
      <c r="AF376" s="343"/>
      <c r="AG376" s="342" t="s">
        <v>695</v>
      </c>
      <c r="AH376" s="343" t="s">
        <v>695</v>
      </c>
      <c r="AI376" s="344" t="s">
        <v>695</v>
      </c>
      <c r="AJ376" s="343"/>
      <c r="AK376" s="343"/>
      <c r="AL376" s="343"/>
      <c r="AM376" s="343"/>
      <c r="AN376" s="347"/>
      <c r="AO376" s="347"/>
      <c r="AP376" s="347"/>
      <c r="AQ376" s="347">
        <f>+FL_1($T$377,$T$375,$G$376,1200,9.28, 1*$F$377)</f>
        <v>0.27547790654133508</v>
      </c>
      <c r="AR376" s="347"/>
      <c r="AS376" s="347"/>
      <c r="AT376" s="347"/>
      <c r="AU376" s="347"/>
      <c r="AV376" s="347"/>
      <c r="AW376" s="347"/>
      <c r="AX376" s="347"/>
      <c r="AY376" s="347" t="s">
        <v>695</v>
      </c>
      <c r="AZ376" s="347"/>
      <c r="BA376" s="347"/>
      <c r="BB376" s="306"/>
      <c r="BF376" s="1119"/>
      <c r="BG376" s="1119"/>
      <c r="BH376" s="1119"/>
    </row>
    <row r="377" spans="1:60" ht="14.25">
      <c r="A377" s="341"/>
      <c r="B377" s="363" t="s">
        <v>2419</v>
      </c>
      <c r="C377" s="342">
        <f>+$C$375+$G$376</f>
        <v>20344.999999999996</v>
      </c>
      <c r="D377" s="343"/>
      <c r="E377" s="343"/>
      <c r="F377" s="344">
        <f>(2000*190)/(C377-20510)</f>
        <v>-2303.0303030302521</v>
      </c>
      <c r="G377" s="345"/>
      <c r="H377" s="360" t="s">
        <v>138</v>
      </c>
      <c r="I377" s="360" t="s">
        <v>656</v>
      </c>
      <c r="J377" s="342"/>
      <c r="K377" s="343"/>
      <c r="L377" s="343" t="s">
        <v>1062</v>
      </c>
      <c r="M377" s="343" t="s">
        <v>235</v>
      </c>
      <c r="N377" s="360" t="s">
        <v>144</v>
      </c>
      <c r="O377" s="360"/>
      <c r="P377" s="343"/>
      <c r="Q377" s="343">
        <v>91</v>
      </c>
      <c r="R377" s="345">
        <v>-2305.25</v>
      </c>
      <c r="S377" s="345"/>
      <c r="T377" s="343">
        <v>-20</v>
      </c>
      <c r="U377" s="343"/>
      <c r="V377" s="343"/>
      <c r="W377" s="343">
        <v>1.4</v>
      </c>
      <c r="X377" s="343"/>
      <c r="Y377" s="343"/>
      <c r="Z377" s="343"/>
      <c r="AA377" s="343"/>
      <c r="AB377" s="343"/>
      <c r="AC377" s="343" t="s">
        <v>2963</v>
      </c>
      <c r="AD377" s="343"/>
      <c r="AE377" s="343"/>
      <c r="AF377" s="343">
        <v>6000</v>
      </c>
      <c r="AG377" s="342">
        <v>20345.16</v>
      </c>
      <c r="AH377" s="343">
        <v>2542</v>
      </c>
      <c r="AI377" s="344">
        <v>685</v>
      </c>
      <c r="AJ377" s="343"/>
      <c r="AK377" s="343"/>
      <c r="AL377" s="343"/>
      <c r="AM377" s="343" t="s">
        <v>1228</v>
      </c>
      <c r="AN377" s="347">
        <v>5.5</v>
      </c>
      <c r="AO377" s="347"/>
      <c r="AP377" s="347"/>
      <c r="AQ377" s="347"/>
      <c r="AR377" s="347"/>
      <c r="AS377" s="347"/>
      <c r="AT377" s="347">
        <f>+ab($T$377,$T$375,$T$379,$G$376,$G$378, 1*$F$377,1200)</f>
        <v>-7.224709100257142</v>
      </c>
      <c r="AU377" s="347"/>
      <c r="AV377" s="347"/>
      <c r="AW377" s="347" t="s">
        <v>2634</v>
      </c>
      <c r="AX377" s="347" t="s">
        <v>1639</v>
      </c>
      <c r="AY377" s="347">
        <v>3.4</v>
      </c>
      <c r="AZ377" s="347"/>
      <c r="BA377" s="347"/>
      <c r="BB377" s="306"/>
      <c r="BF377" s="1119"/>
      <c r="BG377" s="1119"/>
      <c r="BH377" s="1119"/>
    </row>
    <row r="378" spans="1:60" ht="14.25">
      <c r="A378" s="341" t="s">
        <v>2222</v>
      </c>
      <c r="B378" s="363"/>
      <c r="C378" s="342"/>
      <c r="D378" s="343"/>
      <c r="E378" s="343"/>
      <c r="F378" s="344"/>
      <c r="G378" s="345">
        <v>60</v>
      </c>
      <c r="H378" s="360"/>
      <c r="I378" s="360"/>
      <c r="J378" s="342">
        <f>C377+7.5</f>
        <v>20352.499999999996</v>
      </c>
      <c r="K378" s="343" t="s">
        <v>653</v>
      </c>
      <c r="L378" s="343"/>
      <c r="M378" s="343"/>
      <c r="N378" s="360"/>
      <c r="O378" s="360"/>
      <c r="P378" s="343"/>
      <c r="Q378" s="343"/>
      <c r="R378" s="345"/>
      <c r="S378" s="345">
        <f t="shared" si="42"/>
        <v>60.540000000000873</v>
      </c>
      <c r="T378" s="343"/>
      <c r="U378" s="343"/>
      <c r="V378" s="343"/>
      <c r="W378" s="343"/>
      <c r="X378" s="343"/>
      <c r="Y378" s="343"/>
      <c r="Z378" s="343"/>
      <c r="AA378" s="343"/>
      <c r="AB378" s="343"/>
      <c r="AC378" s="343"/>
      <c r="AD378" s="343"/>
      <c r="AE378" s="343"/>
      <c r="AF378" s="343"/>
      <c r="AG378" s="342" t="s">
        <v>695</v>
      </c>
      <c r="AH378" s="343" t="s">
        <v>695</v>
      </c>
      <c r="AI378" s="344" t="s">
        <v>695</v>
      </c>
      <c r="AJ378" s="343"/>
      <c r="AK378" s="343"/>
      <c r="AL378" s="343"/>
      <c r="AM378" s="343"/>
      <c r="AN378" s="347"/>
      <c r="AO378" s="347"/>
      <c r="AP378" s="347"/>
      <c r="AQ378" s="347">
        <f>+FL_2($T$379,$T$377,$G$378,1200,9.28, 1*$F$379)</f>
        <v>-0.42365575860980975</v>
      </c>
      <c r="AR378" s="347"/>
      <c r="AS378" s="347"/>
      <c r="AT378" s="347"/>
      <c r="AU378" s="347"/>
      <c r="AV378" s="347"/>
      <c r="AW378" s="347" t="s">
        <v>2634</v>
      </c>
      <c r="AX378" s="347" t="s">
        <v>1639</v>
      </c>
      <c r="AY378" s="347"/>
      <c r="AZ378" s="347">
        <v>2.5</v>
      </c>
      <c r="BA378" s="347"/>
      <c r="BB378" s="306"/>
      <c r="BF378" s="1119"/>
      <c r="BG378" s="1119"/>
      <c r="BH378" s="1119"/>
    </row>
    <row r="379" spans="1:60" ht="14.25">
      <c r="A379" s="341"/>
      <c r="B379" s="363" t="s">
        <v>2420</v>
      </c>
      <c r="C379" s="342">
        <f>+$C$377+$G$378</f>
        <v>20404.999999999996</v>
      </c>
      <c r="D379" s="343"/>
      <c r="E379" s="343"/>
      <c r="F379" s="344">
        <f>(2000*190)/(C379-20510)</f>
        <v>-3619.0476190474938</v>
      </c>
      <c r="G379" s="345"/>
      <c r="H379" s="360"/>
      <c r="I379" s="360"/>
      <c r="J379" s="342"/>
      <c r="K379" s="343"/>
      <c r="L379" s="343" t="s">
        <v>882</v>
      </c>
      <c r="M379" s="343" t="s">
        <v>2675</v>
      </c>
      <c r="N379" s="360" t="s">
        <v>144</v>
      </c>
      <c r="O379" s="360"/>
      <c r="P379" s="343"/>
      <c r="Q379" s="343">
        <v>52</v>
      </c>
      <c r="R379" s="345">
        <v>-3620</v>
      </c>
      <c r="S379" s="345"/>
      <c r="T379" s="343">
        <v>-20</v>
      </c>
      <c r="U379" s="343"/>
      <c r="V379" s="343"/>
      <c r="W379" s="343">
        <v>1.4</v>
      </c>
      <c r="X379" s="343"/>
      <c r="Y379" s="343"/>
      <c r="Z379" s="343"/>
      <c r="AA379" s="343"/>
      <c r="AB379" s="343"/>
      <c r="AC379" s="343" t="s">
        <v>2963</v>
      </c>
      <c r="AD379" s="343"/>
      <c r="AE379" s="343"/>
      <c r="AF379" s="343">
        <v>6000</v>
      </c>
      <c r="AG379" s="342">
        <v>20405.7</v>
      </c>
      <c r="AH379" s="343">
        <v>2535</v>
      </c>
      <c r="AI379" s="344">
        <v>620</v>
      </c>
      <c r="AJ379" s="343"/>
      <c r="AK379" s="343"/>
      <c r="AL379" s="343" t="s">
        <v>898</v>
      </c>
      <c r="AM379" s="343" t="s">
        <v>1228</v>
      </c>
      <c r="AN379" s="347">
        <v>5.5</v>
      </c>
      <c r="AO379" s="347"/>
      <c r="AP379" s="347"/>
      <c r="AQ379" s="347"/>
      <c r="AR379" s="347"/>
      <c r="AS379" s="347"/>
      <c r="AT379" s="347">
        <f>+ab($T$379,$T$377,$T$381,$G$378,$G$380, 1*$F$379,1200)</f>
        <v>-7.5712048931591411</v>
      </c>
      <c r="AU379" s="347"/>
      <c r="AV379" s="347"/>
      <c r="AW379" s="347" t="s">
        <v>2631</v>
      </c>
      <c r="AX379" s="347" t="s">
        <v>1639</v>
      </c>
      <c r="AY379" s="347">
        <v>3.8</v>
      </c>
      <c r="AZ379" s="347"/>
      <c r="BA379" s="347"/>
      <c r="BB379" s="306"/>
      <c r="BF379" s="1119"/>
      <c r="BG379" s="1119"/>
      <c r="BH379" s="1119"/>
    </row>
    <row r="380" spans="1:60" ht="14.25">
      <c r="A380" s="340"/>
      <c r="B380" s="287"/>
      <c r="C380" s="288"/>
      <c r="D380" s="1121"/>
      <c r="E380" s="1121"/>
      <c r="F380" s="289"/>
      <c r="G380" s="292">
        <v>50</v>
      </c>
      <c r="H380" s="291"/>
      <c r="I380" s="291"/>
      <c r="J380" s="288"/>
      <c r="K380" s="1121"/>
      <c r="L380" s="1121"/>
      <c r="M380" s="1121"/>
      <c r="N380" s="291"/>
      <c r="O380" s="291"/>
      <c r="P380" s="1121"/>
      <c r="Q380" s="1121"/>
      <c r="R380" s="292"/>
      <c r="S380" s="292">
        <f t="shared" ref="S380:S428" si="43">AG381-AG379</f>
        <v>49.419999999998254</v>
      </c>
      <c r="T380" s="1121"/>
      <c r="U380" s="1121"/>
      <c r="V380" s="1121"/>
      <c r="W380" s="1121"/>
      <c r="X380" s="1121"/>
      <c r="Y380" s="1121"/>
      <c r="Z380" s="1121"/>
      <c r="AA380" s="1121"/>
      <c r="AB380" s="1121"/>
      <c r="AC380" s="1121"/>
      <c r="AD380" s="1121"/>
      <c r="AE380" s="1121"/>
      <c r="AF380" s="1121"/>
      <c r="AG380" s="288" t="s">
        <v>695</v>
      </c>
      <c r="AH380" s="1121" t="s">
        <v>695</v>
      </c>
      <c r="AI380" s="289" t="s">
        <v>695</v>
      </c>
      <c r="AJ380" s="1121"/>
      <c r="AK380" s="1121"/>
      <c r="AL380" s="1121"/>
      <c r="AM380" s="1121"/>
      <c r="AN380" s="315"/>
      <c r="AO380" s="315"/>
      <c r="AP380" s="315"/>
      <c r="AQ380" s="315">
        <f>+FL_1($T$381,$T$379,$G$380,1200,9.28, 1*$F$381)</f>
        <v>0.39135909199438979</v>
      </c>
      <c r="AR380" s="315"/>
      <c r="AS380" s="315"/>
      <c r="AT380" s="315"/>
      <c r="AU380" s="315"/>
      <c r="AV380" s="315"/>
      <c r="AW380" s="315"/>
      <c r="AX380" s="315"/>
      <c r="AY380" s="315" t="s">
        <v>695</v>
      </c>
      <c r="AZ380" s="315"/>
      <c r="BA380" s="315"/>
      <c r="BB380" s="306"/>
      <c r="BF380" s="1119"/>
      <c r="BG380" s="1119"/>
      <c r="BH380" s="1119"/>
    </row>
    <row r="381" spans="1:60" ht="14.25">
      <c r="A381" s="384" t="s">
        <v>2225</v>
      </c>
      <c r="B381" s="287" t="s">
        <v>2421</v>
      </c>
      <c r="C381" s="288">
        <f>+$C$379+$G$380</f>
        <v>20454.999999999996</v>
      </c>
      <c r="D381" s="1121"/>
      <c r="E381" s="1121"/>
      <c r="F381" s="289">
        <f>(2000*190)/(C381-20510)</f>
        <v>-6909.0909090904524</v>
      </c>
      <c r="G381" s="292"/>
      <c r="H381" s="291"/>
      <c r="I381" s="291"/>
      <c r="J381" s="288"/>
      <c r="K381" s="1121"/>
      <c r="L381" s="1121" t="s">
        <v>880</v>
      </c>
      <c r="M381" s="1121" t="s">
        <v>2676</v>
      </c>
      <c r="N381" s="291" t="s">
        <v>145</v>
      </c>
      <c r="O381" s="291"/>
      <c r="P381" s="1121"/>
      <c r="Q381" s="1121">
        <v>22</v>
      </c>
      <c r="R381" s="292">
        <v>-6910</v>
      </c>
      <c r="S381" s="292"/>
      <c r="T381" s="1121">
        <v>30</v>
      </c>
      <c r="U381" s="1121"/>
      <c r="V381" s="1121"/>
      <c r="W381" s="1121">
        <v>1.4</v>
      </c>
      <c r="X381" s="1121"/>
      <c r="Y381" s="1121"/>
      <c r="Z381" s="1121"/>
      <c r="AA381" s="1121"/>
      <c r="AB381" s="1121"/>
      <c r="AC381" s="1121" t="s">
        <v>1704</v>
      </c>
      <c r="AD381" s="1121"/>
      <c r="AE381" s="1121"/>
      <c r="AF381" s="1121">
        <v>6000</v>
      </c>
      <c r="AG381" s="288">
        <v>20455.12</v>
      </c>
      <c r="AH381" s="1121">
        <v>2514</v>
      </c>
      <c r="AI381" s="289">
        <v>697</v>
      </c>
      <c r="AJ381" s="1121"/>
      <c r="AK381" s="1121"/>
      <c r="AL381" s="1121" t="s">
        <v>897</v>
      </c>
      <c r="AM381" s="1121" t="s">
        <v>1228</v>
      </c>
      <c r="AN381" s="315">
        <v>5.5</v>
      </c>
      <c r="AO381" s="315"/>
      <c r="AP381" s="315"/>
      <c r="AQ381" s="315"/>
      <c r="AR381" s="315"/>
      <c r="AS381" s="315"/>
      <c r="AT381" s="315">
        <f>+ab($T$381,$T$379,$T$383,$G$380,$G$382, 1*$F$381,1200)</f>
        <v>11.267807838445799</v>
      </c>
      <c r="AU381" s="315"/>
      <c r="AV381" s="315"/>
      <c r="AW381" s="315" t="s">
        <v>2631</v>
      </c>
      <c r="AX381" s="315" t="s">
        <v>1639</v>
      </c>
      <c r="AY381" s="315">
        <v>3.3</v>
      </c>
      <c r="AZ381" s="315"/>
      <c r="BA381" s="315"/>
      <c r="BB381" s="306"/>
      <c r="BF381" s="1119"/>
      <c r="BG381" s="1119"/>
      <c r="BH381" s="1119"/>
    </row>
    <row r="382" spans="1:60" ht="14.25">
      <c r="A382" s="340"/>
      <c r="B382" s="287"/>
      <c r="C382" s="288"/>
      <c r="D382" s="1121"/>
      <c r="E382" s="1121"/>
      <c r="F382" s="289"/>
      <c r="G382" s="292">
        <v>47</v>
      </c>
      <c r="H382" s="291"/>
      <c r="I382" s="291"/>
      <c r="J382" s="288"/>
      <c r="K382" s="1121"/>
      <c r="L382" s="1121"/>
      <c r="M382" s="1121"/>
      <c r="N382" s="291"/>
      <c r="O382" s="291"/>
      <c r="P382" s="1121"/>
      <c r="Q382" s="1121"/>
      <c r="R382" s="292"/>
      <c r="S382" s="292">
        <f t="shared" si="43"/>
        <v>47.090000000000146</v>
      </c>
      <c r="T382" s="1121"/>
      <c r="U382" s="1121"/>
      <c r="V382" s="1121"/>
      <c r="W382" s="1121"/>
      <c r="X382" s="1121"/>
      <c r="Y382" s="1121"/>
      <c r="Z382" s="1121"/>
      <c r="AA382" s="1121"/>
      <c r="AB382" s="1121"/>
      <c r="AC382" s="1121"/>
      <c r="AD382" s="1121"/>
      <c r="AE382" s="1121"/>
      <c r="AF382" s="1121"/>
      <c r="AG382" s="288" t="s">
        <v>695</v>
      </c>
      <c r="AH382" s="1121" t="s">
        <v>695</v>
      </c>
      <c r="AI382" s="289" t="s">
        <v>695</v>
      </c>
      <c r="AJ382" s="1121"/>
      <c r="AK382" s="1121"/>
      <c r="AL382" s="1121"/>
      <c r="AM382" s="1121"/>
      <c r="AN382" s="315"/>
      <c r="AO382" s="315"/>
      <c r="AP382" s="315"/>
      <c r="AQ382" s="315">
        <f>+FL_2($T$383,$T$381,$G$382,1200,9.28, 1*$F$383)</f>
        <v>-0.35984560972658475</v>
      </c>
      <c r="AR382" s="315"/>
      <c r="AS382" s="315"/>
      <c r="AT382" s="315"/>
      <c r="AU382" s="315"/>
      <c r="AV382" s="315"/>
      <c r="AW382" s="315"/>
      <c r="AX382" s="315"/>
      <c r="AY382" s="315" t="s">
        <v>695</v>
      </c>
      <c r="AZ382" s="315"/>
      <c r="BA382" s="315"/>
      <c r="BB382" s="306"/>
      <c r="BF382" s="1119"/>
      <c r="BG382" s="1119"/>
      <c r="BH382" s="1119"/>
    </row>
    <row r="383" spans="1:60" ht="14.25">
      <c r="A383" s="340"/>
      <c r="B383" s="287" t="s">
        <v>2422</v>
      </c>
      <c r="C383" s="288">
        <f>+$C$381+$G$382</f>
        <v>20501.999999999996</v>
      </c>
      <c r="D383" s="1121"/>
      <c r="E383" s="1121"/>
      <c r="F383" s="289">
        <f>(2000*190)/(C383-20510)</f>
        <v>-47499.999999978398</v>
      </c>
      <c r="G383" s="292"/>
      <c r="H383" s="291"/>
      <c r="I383" s="291"/>
      <c r="J383" s="288"/>
      <c r="K383" s="1121"/>
      <c r="L383" s="1121" t="s">
        <v>880</v>
      </c>
      <c r="M383" s="1121" t="s">
        <v>2676</v>
      </c>
      <c r="N383" s="291" t="s">
        <v>144</v>
      </c>
      <c r="O383" s="291"/>
      <c r="P383" s="1121"/>
      <c r="Q383" s="1121">
        <v>4</v>
      </c>
      <c r="R383" s="292">
        <v>-47500</v>
      </c>
      <c r="S383" s="292"/>
      <c r="T383" s="1121">
        <v>-35</v>
      </c>
      <c r="U383" s="1121"/>
      <c r="V383" s="1121"/>
      <c r="W383" s="1121">
        <v>1.4</v>
      </c>
      <c r="X383" s="1121"/>
      <c r="Y383" s="1121"/>
      <c r="Z383" s="1121"/>
      <c r="AA383" s="1121"/>
      <c r="AB383" s="1121"/>
      <c r="AC383" s="1121" t="s">
        <v>2963</v>
      </c>
      <c r="AD383" s="1121"/>
      <c r="AE383" s="1121"/>
      <c r="AF383" s="1121">
        <v>6000</v>
      </c>
      <c r="AG383" s="288">
        <v>20502.21</v>
      </c>
      <c r="AH383" s="1121">
        <v>2595</v>
      </c>
      <c r="AI383" s="289">
        <v>761</v>
      </c>
      <c r="AJ383" s="1121"/>
      <c r="AK383" s="1121"/>
      <c r="AL383" s="1121" t="s">
        <v>897</v>
      </c>
      <c r="AM383" s="1121" t="s">
        <v>1228</v>
      </c>
      <c r="AN383" s="315">
        <v>5.5</v>
      </c>
      <c r="AO383" s="315"/>
      <c r="AP383" s="315"/>
      <c r="AQ383" s="315"/>
      <c r="AR383" s="315"/>
      <c r="AS383" s="315"/>
      <c r="AT383" s="315">
        <f>+ab($T$383,$T$381,$T$385,$G$382,$G$384, 1*$F$383,1200)</f>
        <v>-7.0182097185545773</v>
      </c>
      <c r="AU383" s="315"/>
      <c r="AV383" s="315"/>
      <c r="AW383" s="315" t="s">
        <v>2631</v>
      </c>
      <c r="AX383" s="315" t="s">
        <v>1639</v>
      </c>
      <c r="AY383" s="315">
        <v>3.3</v>
      </c>
      <c r="AZ383" s="315"/>
      <c r="BA383" s="315"/>
      <c r="BB383" s="306"/>
      <c r="BF383" s="1119"/>
      <c r="BG383" s="1119"/>
      <c r="BH383" s="1119"/>
    </row>
    <row r="384" spans="1:60" ht="14.25">
      <c r="A384" s="340"/>
      <c r="B384" s="287"/>
      <c r="C384" s="288"/>
      <c r="D384" s="1121"/>
      <c r="E384" s="1121"/>
      <c r="F384" s="289"/>
      <c r="G384" s="292">
        <v>57</v>
      </c>
      <c r="H384" s="291"/>
      <c r="I384" s="291"/>
      <c r="J384" s="288">
        <f>C385-7.5</f>
        <v>20551.499999999996</v>
      </c>
      <c r="K384" s="1121" t="s">
        <v>658</v>
      </c>
      <c r="L384" s="1121"/>
      <c r="M384" s="1121"/>
      <c r="N384" s="291"/>
      <c r="O384" s="291"/>
      <c r="P384" s="1121"/>
      <c r="Q384" s="1121"/>
      <c r="R384" s="292"/>
      <c r="S384" s="292">
        <f>AG385-AG383</f>
        <v>56.930000000000291</v>
      </c>
      <c r="T384" s="1121"/>
      <c r="U384" s="1121"/>
      <c r="V384" s="1121"/>
      <c r="W384" s="1121"/>
      <c r="X384" s="1121"/>
      <c r="Y384" s="1121"/>
      <c r="Z384" s="1121"/>
      <c r="AA384" s="1121"/>
      <c r="AB384" s="1121"/>
      <c r="AC384" s="399"/>
      <c r="AD384" s="1121"/>
      <c r="AE384" s="1121"/>
      <c r="AF384" s="1121"/>
      <c r="AG384" s="288" t="s">
        <v>695</v>
      </c>
      <c r="AH384" s="1121" t="s">
        <v>695</v>
      </c>
      <c r="AI384" s="289" t="s">
        <v>695</v>
      </c>
      <c r="AJ384" s="1121"/>
      <c r="AK384" s="1121"/>
      <c r="AL384" s="1121"/>
      <c r="AM384" s="1121"/>
      <c r="AN384" s="315"/>
      <c r="AO384" s="315"/>
      <c r="AP384" s="315"/>
      <c r="AQ384" s="315">
        <f>+FL_1($T$385,$T$383,$G$384,1200,9.28, 1*$F$385)</f>
        <v>0.41158010919298244</v>
      </c>
      <c r="AR384" s="315"/>
      <c r="AS384" s="315"/>
      <c r="AT384" s="315"/>
      <c r="AU384" s="315"/>
      <c r="AV384" s="315"/>
      <c r="AW384" s="315" t="s">
        <v>2631</v>
      </c>
      <c r="AX384" s="315" t="s">
        <v>1639</v>
      </c>
      <c r="AY384" s="315"/>
      <c r="AZ384" s="315">
        <v>2.5</v>
      </c>
      <c r="BA384" s="315"/>
      <c r="BB384" s="306"/>
      <c r="BF384" s="1119"/>
      <c r="BG384" s="1119"/>
      <c r="BH384" s="1119"/>
    </row>
    <row r="385" spans="1:60" ht="14.25">
      <c r="A385" s="340"/>
      <c r="B385" s="287" t="s">
        <v>2423</v>
      </c>
      <c r="C385" s="288">
        <f>+$C$383+$G$384</f>
        <v>20558.999999999996</v>
      </c>
      <c r="D385" s="1121"/>
      <c r="E385" s="1121"/>
      <c r="F385" s="289">
        <v>0</v>
      </c>
      <c r="G385" s="292"/>
      <c r="H385" s="291" t="s">
        <v>954</v>
      </c>
      <c r="I385" s="291"/>
      <c r="J385" s="288"/>
      <c r="K385" s="1121"/>
      <c r="L385" s="1121" t="s">
        <v>880</v>
      </c>
      <c r="M385" s="1121" t="s">
        <v>2676</v>
      </c>
      <c r="N385" s="291" t="s">
        <v>145</v>
      </c>
      <c r="O385" s="291"/>
      <c r="P385" s="1121"/>
      <c r="Q385" s="1121">
        <v>0</v>
      </c>
      <c r="R385" s="289">
        <v>0</v>
      </c>
      <c r="S385" s="292"/>
      <c r="T385" s="1121">
        <v>35</v>
      </c>
      <c r="U385" s="1121"/>
      <c r="V385" s="1121"/>
      <c r="W385" s="1121">
        <v>1.4</v>
      </c>
      <c r="X385" s="1121"/>
      <c r="Y385" s="1121"/>
      <c r="Z385" s="1121"/>
      <c r="AA385" s="1121"/>
      <c r="AB385" s="1121"/>
      <c r="AC385" s="1121" t="s">
        <v>2963</v>
      </c>
      <c r="AD385" s="1121"/>
      <c r="AE385" s="1121"/>
      <c r="AF385" s="1121">
        <v>6000</v>
      </c>
      <c r="AG385" s="288">
        <v>20559.14</v>
      </c>
      <c r="AH385" s="1121">
        <v>2527</v>
      </c>
      <c r="AI385" s="289">
        <v>608</v>
      </c>
      <c r="AJ385" s="1121"/>
      <c r="AK385" s="1121"/>
      <c r="AL385" s="1121" t="s">
        <v>897</v>
      </c>
      <c r="AM385" s="1121" t="s">
        <v>1228</v>
      </c>
      <c r="AN385" s="315">
        <v>5.5</v>
      </c>
      <c r="AO385" s="315"/>
      <c r="AP385" s="315"/>
      <c r="AQ385" s="315"/>
      <c r="AR385" s="315"/>
      <c r="AS385" s="315"/>
      <c r="AT385" s="315">
        <f>+ab($T$385,$T$383,$T$387,$G$384,$G$386, 1*$F$385,1200)</f>
        <v>7.6969772891706594</v>
      </c>
      <c r="AU385" s="315"/>
      <c r="AV385" s="315"/>
      <c r="AW385" s="315" t="s">
        <v>2631</v>
      </c>
      <c r="AX385" s="315" t="s">
        <v>1639</v>
      </c>
      <c r="AY385" s="315">
        <v>3.3</v>
      </c>
      <c r="AZ385" s="315"/>
      <c r="BA385" s="315"/>
      <c r="BB385" s="306"/>
      <c r="BF385" s="1119"/>
      <c r="BG385" s="1119"/>
      <c r="BH385" s="1119"/>
    </row>
    <row r="386" spans="1:60" ht="14.25">
      <c r="A386" s="340"/>
      <c r="B386" s="287"/>
      <c r="C386" s="288"/>
      <c r="D386" s="1121"/>
      <c r="E386" s="1121"/>
      <c r="F386" s="289"/>
      <c r="G386" s="292">
        <v>56</v>
      </c>
      <c r="H386" s="291"/>
      <c r="I386" s="294">
        <f>SUM(G372:G386)</f>
        <v>429</v>
      </c>
      <c r="J386" s="288"/>
      <c r="K386" s="1121"/>
      <c r="L386" s="1121"/>
      <c r="M386" s="1121"/>
      <c r="N386" s="291"/>
      <c r="O386" s="291"/>
      <c r="P386" s="1121"/>
      <c r="Q386" s="1121"/>
      <c r="R386" s="292"/>
      <c r="S386" s="292">
        <f t="shared" si="43"/>
        <v>56.190000000002328</v>
      </c>
      <c r="T386" s="1121"/>
      <c r="U386" s="1121"/>
      <c r="V386" s="1121"/>
      <c r="W386" s="1121"/>
      <c r="X386" s="1121"/>
      <c r="Y386" s="1121"/>
      <c r="Z386" s="1121"/>
      <c r="AA386" s="1121"/>
      <c r="AB386" s="1121"/>
      <c r="AC386" s="399"/>
      <c r="AD386" s="1121"/>
      <c r="AE386" s="1121"/>
      <c r="AF386" s="1121"/>
      <c r="AG386" s="288" t="s">
        <v>695</v>
      </c>
      <c r="AH386" s="1121" t="s">
        <v>695</v>
      </c>
      <c r="AI386" s="289" t="s">
        <v>695</v>
      </c>
      <c r="AJ386" s="1121"/>
      <c r="AK386" s="1121"/>
      <c r="AL386" s="1121"/>
      <c r="AM386" s="1121"/>
      <c r="AN386" s="315"/>
      <c r="AO386" s="315"/>
      <c r="AP386" s="315"/>
      <c r="AQ386" s="315">
        <f>+FL_1($T$387,$T$385,$G$386,1200,9.28, 1*$F$387)</f>
        <v>0.40417036800000006</v>
      </c>
      <c r="AR386" s="315"/>
      <c r="AS386" s="315"/>
      <c r="AT386" s="315"/>
      <c r="AU386" s="315"/>
      <c r="AV386" s="315"/>
      <c r="AW386" s="315"/>
      <c r="AX386" s="315"/>
      <c r="AY386" s="315" t="s">
        <v>695</v>
      </c>
      <c r="AZ386" s="315"/>
      <c r="BA386" s="315"/>
      <c r="BB386" s="306"/>
      <c r="BF386" s="1119"/>
      <c r="BG386" s="1119"/>
      <c r="BH386" s="1119"/>
    </row>
    <row r="387" spans="1:60" ht="14.25">
      <c r="A387" s="340"/>
      <c r="B387" s="287" t="s">
        <v>2424</v>
      </c>
      <c r="C387" s="288">
        <f>+$C$385+$G$386</f>
        <v>20614.999999999996</v>
      </c>
      <c r="D387" s="1121"/>
      <c r="E387" s="1121"/>
      <c r="F387" s="289">
        <v>0</v>
      </c>
      <c r="G387" s="292"/>
      <c r="H387" s="291" t="s">
        <v>955</v>
      </c>
      <c r="I387" s="291"/>
      <c r="J387" s="288"/>
      <c r="K387" s="1121"/>
      <c r="L387" s="1121" t="s">
        <v>880</v>
      </c>
      <c r="M387" s="1121" t="s">
        <v>2676</v>
      </c>
      <c r="N387" s="291" t="s">
        <v>144</v>
      </c>
      <c r="O387" s="291"/>
      <c r="P387" s="1121"/>
      <c r="Q387" s="1121">
        <v>2</v>
      </c>
      <c r="R387" s="289">
        <v>0</v>
      </c>
      <c r="S387" s="292"/>
      <c r="T387" s="1121">
        <v>-35</v>
      </c>
      <c r="U387" s="1121"/>
      <c r="V387" s="1121"/>
      <c r="W387" s="1121">
        <v>1.4</v>
      </c>
      <c r="X387" s="1121"/>
      <c r="Y387" s="1121"/>
      <c r="Z387" s="1121"/>
      <c r="AA387" s="1121"/>
      <c r="AB387" s="1121"/>
      <c r="AC387" s="1121" t="s">
        <v>2963</v>
      </c>
      <c r="AD387" s="1121"/>
      <c r="AE387" s="1121"/>
      <c r="AF387" s="1121">
        <v>6000</v>
      </c>
      <c r="AG387" s="288">
        <v>20615.330000000002</v>
      </c>
      <c r="AH387" s="1121">
        <v>2566</v>
      </c>
      <c r="AI387" s="289">
        <v>583</v>
      </c>
      <c r="AJ387" s="1121"/>
      <c r="AK387" s="1121"/>
      <c r="AL387" s="1121" t="s">
        <v>897</v>
      </c>
      <c r="AM387" s="1121" t="s">
        <v>1228</v>
      </c>
      <c r="AN387" s="315">
        <v>5.5</v>
      </c>
      <c r="AO387" s="315"/>
      <c r="AP387" s="315"/>
      <c r="AQ387" s="315"/>
      <c r="AR387" s="315"/>
      <c r="AS387" s="315"/>
      <c r="AT387" s="315">
        <f>+ab($T$387,$T$385,$T$389,$G$386,$G$388, 1*$F$387,1200)</f>
        <v>-7.6302929409195475</v>
      </c>
      <c r="AU387" s="315"/>
      <c r="AV387" s="315"/>
      <c r="AW387" s="315" t="s">
        <v>2631</v>
      </c>
      <c r="AX387" s="315" t="s">
        <v>1639</v>
      </c>
      <c r="AY387" s="315">
        <v>3.3</v>
      </c>
      <c r="AZ387" s="315"/>
      <c r="BA387" s="315"/>
      <c r="BB387" s="306"/>
      <c r="BF387" s="1119"/>
      <c r="BG387" s="1119"/>
      <c r="BH387" s="1119"/>
    </row>
    <row r="388" spans="1:60" ht="14.25">
      <c r="A388" s="340"/>
      <c r="B388" s="287"/>
      <c r="C388" s="288"/>
      <c r="D388" s="1121"/>
      <c r="E388" s="1121"/>
      <c r="F388" s="289"/>
      <c r="G388" s="292">
        <v>56</v>
      </c>
      <c r="H388" s="291"/>
      <c r="I388" s="294">
        <f>SUM(G388:G402)+25</f>
        <v>415</v>
      </c>
      <c r="J388" s="288"/>
      <c r="K388" s="1121"/>
      <c r="L388" s="1121"/>
      <c r="M388" s="1121"/>
      <c r="N388" s="291"/>
      <c r="O388" s="291"/>
      <c r="P388" s="1121"/>
      <c r="Q388" s="1121"/>
      <c r="R388" s="292"/>
      <c r="S388" s="292">
        <f t="shared" si="43"/>
        <v>55.889999999999418</v>
      </c>
      <c r="T388" s="1121"/>
      <c r="U388" s="1121"/>
      <c r="V388" s="1121"/>
      <c r="W388" s="1121"/>
      <c r="X388" s="1121"/>
      <c r="Y388" s="1121"/>
      <c r="Z388" s="1121"/>
      <c r="AA388" s="1121"/>
      <c r="AB388" s="1121"/>
      <c r="AC388" s="399"/>
      <c r="AD388" s="1121"/>
      <c r="AE388" s="1121"/>
      <c r="AF388" s="1121"/>
      <c r="AG388" s="288" t="s">
        <v>695</v>
      </c>
      <c r="AH388" s="1121" t="s">
        <v>695</v>
      </c>
      <c r="AI388" s="289" t="s">
        <v>695</v>
      </c>
      <c r="AJ388" s="1121"/>
      <c r="AK388" s="1121"/>
      <c r="AL388" s="1121"/>
      <c r="AM388" s="1121"/>
      <c r="AN388" s="315"/>
      <c r="AO388" s="315"/>
      <c r="AP388" s="315"/>
      <c r="AQ388" s="315">
        <f>+FL_2($T$389,$T$387,$G$388,1200,9.28, 1*$F$389)</f>
        <v>-0.40417036800000006</v>
      </c>
      <c r="AR388" s="315"/>
      <c r="AS388" s="315"/>
      <c r="AT388" s="315"/>
      <c r="AU388" s="315"/>
      <c r="AV388" s="315"/>
      <c r="AW388" s="315"/>
      <c r="AX388" s="315"/>
      <c r="AY388" s="315" t="s">
        <v>695</v>
      </c>
      <c r="AZ388" s="315"/>
      <c r="BA388" s="315"/>
      <c r="BB388" s="306"/>
      <c r="BF388" s="1119"/>
      <c r="BG388" s="1119"/>
      <c r="BH388" s="1119"/>
    </row>
    <row r="389" spans="1:60" ht="14.25">
      <c r="A389" s="340"/>
      <c r="B389" s="287" t="s">
        <v>2425</v>
      </c>
      <c r="C389" s="288">
        <f>+$C$387+$G$388</f>
        <v>20670.999999999996</v>
      </c>
      <c r="D389" s="1121"/>
      <c r="E389" s="1121"/>
      <c r="F389" s="289">
        <v>0</v>
      </c>
      <c r="G389" s="292"/>
      <c r="H389" s="1121" t="s">
        <v>954</v>
      </c>
      <c r="I389" s="291"/>
      <c r="J389" s="288"/>
      <c r="K389" s="1121"/>
      <c r="L389" s="1121" t="s">
        <v>880</v>
      </c>
      <c r="M389" s="1121" t="s">
        <v>2676</v>
      </c>
      <c r="N389" s="291" t="s">
        <v>145</v>
      </c>
      <c r="O389" s="291"/>
      <c r="P389" s="1121"/>
      <c r="Q389" s="1121">
        <v>1</v>
      </c>
      <c r="R389" s="289">
        <v>0</v>
      </c>
      <c r="S389" s="292"/>
      <c r="T389" s="1121">
        <v>35</v>
      </c>
      <c r="U389" s="1121"/>
      <c r="V389" s="1121"/>
      <c r="W389" s="1121">
        <v>1.4</v>
      </c>
      <c r="X389" s="1121"/>
      <c r="Y389" s="1121"/>
      <c r="Z389" s="1121"/>
      <c r="AA389" s="1121"/>
      <c r="AB389" s="1121"/>
      <c r="AC389" s="1121" t="s">
        <v>2963</v>
      </c>
      <c r="AD389" s="1121"/>
      <c r="AE389" s="1121"/>
      <c r="AF389" s="1121">
        <v>6000</v>
      </c>
      <c r="AG389" s="288">
        <v>20671.22</v>
      </c>
      <c r="AH389" s="1121">
        <v>2558</v>
      </c>
      <c r="AI389" s="289">
        <v>529</v>
      </c>
      <c r="AJ389" s="1121"/>
      <c r="AK389" s="1121"/>
      <c r="AL389" s="1121" t="s">
        <v>897</v>
      </c>
      <c r="AM389" s="1121" t="s">
        <v>1228</v>
      </c>
      <c r="AN389" s="315">
        <v>5.5</v>
      </c>
      <c r="AO389" s="315"/>
      <c r="AP389" s="315"/>
      <c r="AQ389" s="315"/>
      <c r="AR389" s="315"/>
      <c r="AS389" s="315"/>
      <c r="AT389" s="315">
        <f>+ab($T$389,$T$387,$T$391,$G$388,$G$390, 1*$F$389,1200)</f>
        <v>7.6969772891706594</v>
      </c>
      <c r="AU389" s="315"/>
      <c r="AV389" s="315"/>
      <c r="AW389" s="315" t="s">
        <v>2631</v>
      </c>
      <c r="AX389" s="315" t="s">
        <v>1639</v>
      </c>
      <c r="AY389" s="315">
        <v>3.3</v>
      </c>
      <c r="AZ389" s="315"/>
      <c r="BA389" s="315"/>
      <c r="BB389" s="306"/>
      <c r="BF389" s="1119"/>
      <c r="BG389" s="1119"/>
      <c r="BH389" s="1119"/>
    </row>
    <row r="390" spans="1:60" ht="14.25">
      <c r="A390" s="340"/>
      <c r="B390" s="287"/>
      <c r="C390" s="288"/>
      <c r="D390" s="1121"/>
      <c r="E390" s="1121"/>
      <c r="F390" s="289"/>
      <c r="G390" s="292">
        <v>57</v>
      </c>
      <c r="H390" s="291"/>
      <c r="I390" s="294"/>
      <c r="J390" s="288">
        <f>C389+7.5</f>
        <v>20678.499999999996</v>
      </c>
      <c r="K390" s="1121" t="s">
        <v>658</v>
      </c>
      <c r="L390" s="1121"/>
      <c r="M390" s="1121"/>
      <c r="N390" s="291"/>
      <c r="O390" s="291"/>
      <c r="P390" s="1121"/>
      <c r="Q390" s="1121"/>
      <c r="R390" s="292"/>
      <c r="S390" s="292">
        <f t="shared" si="43"/>
        <v>57.099999999998545</v>
      </c>
      <c r="T390" s="1121"/>
      <c r="U390" s="1121"/>
      <c r="V390" s="1121"/>
      <c r="W390" s="1121"/>
      <c r="X390" s="1121"/>
      <c r="Y390" s="1121"/>
      <c r="Z390" s="1121"/>
      <c r="AA390" s="1121"/>
      <c r="AB390" s="1121"/>
      <c r="AC390" s="399"/>
      <c r="AD390" s="1121"/>
      <c r="AE390" s="1121"/>
      <c r="AF390" s="1121"/>
      <c r="AG390" s="288" t="s">
        <v>695</v>
      </c>
      <c r="AH390" s="1121" t="s">
        <v>695</v>
      </c>
      <c r="AI390" s="289" t="s">
        <v>695</v>
      </c>
      <c r="AJ390" s="1121"/>
      <c r="AK390" s="1121"/>
      <c r="AL390" s="1121"/>
      <c r="AM390" s="1121"/>
      <c r="AN390" s="315"/>
      <c r="AO390" s="315"/>
      <c r="AP390" s="315"/>
      <c r="AQ390" s="315">
        <f>+FL_2($T$391,$T$389,$G$390,1200,9.28, 1*$F$391)</f>
        <v>-0.41158010919298244</v>
      </c>
      <c r="AR390" s="315"/>
      <c r="AS390" s="315"/>
      <c r="AT390" s="315"/>
      <c r="AU390" s="315"/>
      <c r="AV390" s="315"/>
      <c r="AW390" s="315" t="s">
        <v>2631</v>
      </c>
      <c r="AX390" s="315" t="s">
        <v>1639</v>
      </c>
      <c r="AY390" s="315"/>
      <c r="AZ390" s="315">
        <v>2.5</v>
      </c>
      <c r="BA390" s="315"/>
      <c r="BB390" s="306"/>
      <c r="BF390" s="1119"/>
      <c r="BG390" s="1119"/>
      <c r="BH390" s="1119"/>
    </row>
    <row r="391" spans="1:60" ht="14.25">
      <c r="A391" s="340"/>
      <c r="B391" s="287" t="s">
        <v>2426</v>
      </c>
      <c r="C391" s="288">
        <f>+$C$389+$G$390</f>
        <v>20727.999999999996</v>
      </c>
      <c r="D391" s="1121"/>
      <c r="E391" s="1121"/>
      <c r="F391" s="289">
        <v>0</v>
      </c>
      <c r="G391" s="292"/>
      <c r="H391" s="1121"/>
      <c r="I391" s="294"/>
      <c r="J391" s="288"/>
      <c r="K391" s="1121"/>
      <c r="L391" s="1121" t="s">
        <v>880</v>
      </c>
      <c r="M391" s="1121" t="s">
        <v>2676</v>
      </c>
      <c r="N391" s="291" t="s">
        <v>144</v>
      </c>
      <c r="O391" s="291"/>
      <c r="P391" s="1121"/>
      <c r="Q391" s="1121">
        <v>0</v>
      </c>
      <c r="R391" s="289">
        <v>0</v>
      </c>
      <c r="S391" s="292"/>
      <c r="T391" s="1121">
        <v>-35</v>
      </c>
      <c r="U391" s="1121"/>
      <c r="V391" s="1121"/>
      <c r="W391" s="1121">
        <v>1.4</v>
      </c>
      <c r="X391" s="1121"/>
      <c r="Y391" s="1121"/>
      <c r="Z391" s="1121"/>
      <c r="AA391" s="1121"/>
      <c r="AB391" s="1121"/>
      <c r="AC391" s="1121" t="s">
        <v>2963</v>
      </c>
      <c r="AD391" s="1121"/>
      <c r="AE391" s="1121"/>
      <c r="AF391" s="1121">
        <v>6000</v>
      </c>
      <c r="AG391" s="288">
        <v>20728.32</v>
      </c>
      <c r="AH391" s="1121">
        <v>2550</v>
      </c>
      <c r="AI391" s="289">
        <v>652</v>
      </c>
      <c r="AJ391" s="1121"/>
      <c r="AK391" s="1121"/>
      <c r="AL391" s="1121" t="s">
        <v>897</v>
      </c>
      <c r="AM391" s="1121" t="s">
        <v>1228</v>
      </c>
      <c r="AN391" s="315">
        <v>5.5</v>
      </c>
      <c r="AO391" s="315"/>
      <c r="AP391" s="315"/>
      <c r="AQ391" s="315"/>
      <c r="AR391" s="315"/>
      <c r="AS391" s="315"/>
      <c r="AT391" s="315">
        <f>+ab($T$391,$T$389,$T$393,$G$390,$G$392, 1*$F$391,1200)</f>
        <v>-7.6970119667141104</v>
      </c>
      <c r="AU391" s="315"/>
      <c r="AV391" s="315"/>
      <c r="AW391" s="315" t="s">
        <v>2631</v>
      </c>
      <c r="AX391" s="315" t="s">
        <v>1639</v>
      </c>
      <c r="AY391" s="315">
        <v>3.3</v>
      </c>
      <c r="AZ391" s="315"/>
      <c r="BA391" s="315"/>
      <c r="BB391" s="306"/>
      <c r="BF391" s="1119"/>
      <c r="BG391" s="1119"/>
      <c r="BH391" s="1119"/>
    </row>
    <row r="392" spans="1:60" ht="14.25">
      <c r="A392" s="340"/>
      <c r="B392" s="287"/>
      <c r="C392" s="288"/>
      <c r="D392" s="1121"/>
      <c r="E392" s="1121"/>
      <c r="F392" s="289"/>
      <c r="G392" s="292">
        <v>56</v>
      </c>
      <c r="H392" s="291"/>
      <c r="I392" s="294"/>
      <c r="J392" s="288"/>
      <c r="K392" s="1121"/>
      <c r="L392" s="1121"/>
      <c r="M392" s="1121"/>
      <c r="N392" s="291"/>
      <c r="O392" s="291"/>
      <c r="P392" s="1121"/>
      <c r="Q392" s="1121"/>
      <c r="R392" s="292"/>
      <c r="S392" s="292">
        <f t="shared" si="43"/>
        <v>55.920000000001892</v>
      </c>
      <c r="T392" s="1121"/>
      <c r="U392" s="1121"/>
      <c r="V392" s="1121"/>
      <c r="W392" s="1121"/>
      <c r="X392" s="1121"/>
      <c r="Y392" s="1121"/>
      <c r="Z392" s="1121"/>
      <c r="AA392" s="1121"/>
      <c r="AB392" s="1121"/>
      <c r="AC392" s="399"/>
      <c r="AD392" s="1121"/>
      <c r="AE392" s="1121"/>
      <c r="AF392" s="1121"/>
      <c r="AG392" s="288" t="s">
        <v>695</v>
      </c>
      <c r="AH392" s="1121" t="s">
        <v>695</v>
      </c>
      <c r="AI392" s="289" t="s">
        <v>695</v>
      </c>
      <c r="AJ392" s="1121"/>
      <c r="AK392" s="1121"/>
      <c r="AL392" s="1121"/>
      <c r="AM392" s="1121"/>
      <c r="AN392" s="315"/>
      <c r="AO392" s="315"/>
      <c r="AP392" s="315"/>
      <c r="AQ392" s="315">
        <f>+FL_1($T$393,$T$391,$G$392,1200,9.28, 1*$F$393)</f>
        <v>0.404170368</v>
      </c>
      <c r="AR392" s="315"/>
      <c r="AS392" s="315"/>
      <c r="AT392" s="315"/>
      <c r="AU392" s="315"/>
      <c r="AV392" s="315"/>
      <c r="AW392" s="315"/>
      <c r="AX392" s="315"/>
      <c r="AY392" s="315" t="s">
        <v>695</v>
      </c>
      <c r="AZ392" s="315"/>
      <c r="BA392" s="315"/>
      <c r="BB392" s="306"/>
      <c r="BF392" s="1119"/>
      <c r="BG392" s="1119"/>
      <c r="BH392" s="1119"/>
    </row>
    <row r="393" spans="1:60" ht="14.25">
      <c r="A393" s="340"/>
      <c r="B393" s="287" t="s">
        <v>2427</v>
      </c>
      <c r="C393" s="288">
        <f>+$C$391+$G$392</f>
        <v>20783.999999999996</v>
      </c>
      <c r="D393" s="1121"/>
      <c r="E393" s="1121"/>
      <c r="F393" s="289">
        <v>0</v>
      </c>
      <c r="G393" s="292"/>
      <c r="H393" s="1121"/>
      <c r="I393" s="294"/>
      <c r="J393" s="288"/>
      <c r="K393" s="1121"/>
      <c r="L393" s="1121" t="s">
        <v>880</v>
      </c>
      <c r="M393" s="1121" t="s">
        <v>2676</v>
      </c>
      <c r="N393" s="291" t="s">
        <v>145</v>
      </c>
      <c r="O393" s="291"/>
      <c r="P393" s="1121"/>
      <c r="Q393" s="1121">
        <v>2</v>
      </c>
      <c r="R393" s="289">
        <v>0</v>
      </c>
      <c r="S393" s="292"/>
      <c r="T393" s="1121">
        <v>35</v>
      </c>
      <c r="U393" s="1121"/>
      <c r="V393" s="1121"/>
      <c r="W393" s="1121">
        <v>1.4</v>
      </c>
      <c r="X393" s="1121"/>
      <c r="Y393" s="1121"/>
      <c r="Z393" s="1121"/>
      <c r="AA393" s="1121"/>
      <c r="AB393" s="1121"/>
      <c r="AC393" s="1121" t="s">
        <v>2963</v>
      </c>
      <c r="AD393" s="1121"/>
      <c r="AE393" s="1121"/>
      <c r="AF393" s="1121">
        <v>6000</v>
      </c>
      <c r="AG393" s="288">
        <v>20784.240000000002</v>
      </c>
      <c r="AH393" s="1121">
        <v>2566</v>
      </c>
      <c r="AI393" s="289">
        <v>545</v>
      </c>
      <c r="AJ393" s="1121"/>
      <c r="AK393" s="1121"/>
      <c r="AL393" s="1121" t="s">
        <v>897</v>
      </c>
      <c r="AM393" s="1121" t="s">
        <v>1228</v>
      </c>
      <c r="AN393" s="315">
        <v>5.5</v>
      </c>
      <c r="AO393" s="315"/>
      <c r="AP393" s="315"/>
      <c r="AQ393" s="315"/>
      <c r="AR393" s="315"/>
      <c r="AS393" s="315"/>
      <c r="AT393" s="315">
        <f>+ab($T$393,$T$391,$T$395,$G$392,$G$394, 1*$F$393,1200)</f>
        <v>7.5623175042336799</v>
      </c>
      <c r="AU393" s="315"/>
      <c r="AV393" s="315"/>
      <c r="AW393" s="315" t="s">
        <v>2634</v>
      </c>
      <c r="AX393" s="315" t="s">
        <v>1639</v>
      </c>
      <c r="AY393" s="315">
        <v>3.3</v>
      </c>
      <c r="AZ393" s="315"/>
      <c r="BA393" s="315"/>
      <c r="BB393" s="306"/>
      <c r="BF393" s="1119"/>
      <c r="BG393" s="1119"/>
      <c r="BH393" s="1119"/>
    </row>
    <row r="394" spans="1:60" ht="14.25">
      <c r="A394" s="340"/>
      <c r="B394" s="287"/>
      <c r="C394" s="288"/>
      <c r="D394" s="1121"/>
      <c r="E394" s="1121"/>
      <c r="F394" s="289"/>
      <c r="G394" s="292">
        <v>55</v>
      </c>
      <c r="H394" s="291"/>
      <c r="I394" s="291"/>
      <c r="J394" s="288">
        <f>C395-7.5</f>
        <v>20831.499999999996</v>
      </c>
      <c r="K394" s="1121" t="s">
        <v>653</v>
      </c>
      <c r="L394" s="1121"/>
      <c r="M394" s="1121"/>
      <c r="N394" s="291"/>
      <c r="O394" s="291"/>
      <c r="P394" s="1121"/>
      <c r="Q394" s="1121"/>
      <c r="R394" s="292"/>
      <c r="S394" s="292">
        <f t="shared" si="43"/>
        <v>55.849999999998545</v>
      </c>
      <c r="T394" s="1121"/>
      <c r="U394" s="1121"/>
      <c r="V394" s="1121"/>
      <c r="W394" s="1121"/>
      <c r="X394" s="1121"/>
      <c r="Y394" s="1121"/>
      <c r="Z394" s="1121"/>
      <c r="AA394" s="1121"/>
      <c r="AB394" s="1121"/>
      <c r="AC394" s="1121"/>
      <c r="AD394" s="1121"/>
      <c r="AE394" s="1121"/>
      <c r="AF394" s="1121"/>
      <c r="AG394" s="288" t="s">
        <v>695</v>
      </c>
      <c r="AH394" s="1121" t="s">
        <v>695</v>
      </c>
      <c r="AI394" s="289" t="s">
        <v>695</v>
      </c>
      <c r="AJ394" s="1121"/>
      <c r="AK394" s="1121"/>
      <c r="AL394" s="1121"/>
      <c r="AM394" s="1121"/>
      <c r="AN394" s="315"/>
      <c r="AO394" s="315"/>
      <c r="AP394" s="315"/>
      <c r="AQ394" s="315">
        <f>+FL_2($T$395,$T$393,$G$394,1200,9.28, 1*$F$395)</f>
        <v>-0.39714735709090909</v>
      </c>
      <c r="AR394" s="315"/>
      <c r="AS394" s="315"/>
      <c r="AT394" s="315"/>
      <c r="AU394" s="315"/>
      <c r="AV394" s="315"/>
      <c r="AW394" s="315" t="s">
        <v>2634</v>
      </c>
      <c r="AX394" s="315" t="s">
        <v>1639</v>
      </c>
      <c r="AY394" s="315"/>
      <c r="AZ394" s="315">
        <v>2.5</v>
      </c>
      <c r="BA394" s="315"/>
      <c r="BB394" s="306"/>
      <c r="BF394" s="1119"/>
      <c r="BG394" s="1119"/>
      <c r="BH394" s="1119"/>
    </row>
    <row r="395" spans="1:60" ht="14.25">
      <c r="A395" s="340"/>
      <c r="B395" s="287" t="s">
        <v>2428</v>
      </c>
      <c r="C395" s="288">
        <f>+$C$393+$G$394</f>
        <v>20838.999999999996</v>
      </c>
      <c r="D395" s="1121"/>
      <c r="E395" s="1121"/>
      <c r="F395" s="289">
        <v>0</v>
      </c>
      <c r="G395" s="292"/>
      <c r="H395" s="291" t="s">
        <v>138</v>
      </c>
      <c r="I395" s="294" t="s">
        <v>657</v>
      </c>
      <c r="J395" s="288"/>
      <c r="K395" s="1121"/>
      <c r="L395" s="1121" t="s">
        <v>880</v>
      </c>
      <c r="M395" s="1121" t="s">
        <v>2676</v>
      </c>
      <c r="N395" s="291" t="s">
        <v>144</v>
      </c>
      <c r="O395" s="291"/>
      <c r="P395" s="1121"/>
      <c r="Q395" s="1121">
        <v>3</v>
      </c>
      <c r="R395" s="289">
        <v>0</v>
      </c>
      <c r="S395" s="292"/>
      <c r="T395" s="1121">
        <v>-35</v>
      </c>
      <c r="U395" s="1121"/>
      <c r="V395" s="1121"/>
      <c r="W395" s="1121">
        <v>1.4</v>
      </c>
      <c r="X395" s="1121"/>
      <c r="Y395" s="1121"/>
      <c r="Z395" s="1121"/>
      <c r="AA395" s="1121"/>
      <c r="AB395" s="1121"/>
      <c r="AC395" s="1121" t="s">
        <v>1704</v>
      </c>
      <c r="AD395" s="1121"/>
      <c r="AE395" s="1121"/>
      <c r="AF395" s="1121">
        <v>6000</v>
      </c>
      <c r="AG395" s="288">
        <v>20840.09</v>
      </c>
      <c r="AH395" s="1121">
        <v>3487</v>
      </c>
      <c r="AI395" s="289">
        <v>535</v>
      </c>
      <c r="AJ395" s="1121"/>
      <c r="AK395" s="1121"/>
      <c r="AL395" s="1121" t="s">
        <v>897</v>
      </c>
      <c r="AM395" s="1121" t="s">
        <v>1228</v>
      </c>
      <c r="AN395" s="315">
        <v>5.5</v>
      </c>
      <c r="AO395" s="315"/>
      <c r="AP395" s="315"/>
      <c r="AQ395" s="315"/>
      <c r="AR395" s="315"/>
      <c r="AS395" s="315"/>
      <c r="AT395" s="315">
        <f>+ab($T$395,$T$393,$U$397,$G$394,$G$396, 1*$F$395,1200)</f>
        <v>-9.6204793360747871</v>
      </c>
      <c r="AU395" s="315"/>
      <c r="AV395" s="315"/>
      <c r="AW395" s="315" t="s">
        <v>2634</v>
      </c>
      <c r="AX395" s="315" t="s">
        <v>1639</v>
      </c>
      <c r="AY395" s="315">
        <v>3.3</v>
      </c>
      <c r="AZ395" s="315"/>
      <c r="BA395" s="315"/>
      <c r="BB395" s="306"/>
      <c r="BF395" s="1119"/>
      <c r="BG395" s="1119"/>
      <c r="BH395" s="1119"/>
    </row>
    <row r="396" spans="1:60" ht="14.25">
      <c r="A396" s="340"/>
      <c r="B396" s="287"/>
      <c r="C396" s="288"/>
      <c r="D396" s="1121"/>
      <c r="E396" s="1121"/>
      <c r="F396" s="289"/>
      <c r="G396" s="292">
        <v>64</v>
      </c>
      <c r="H396" s="291"/>
      <c r="I396" s="294">
        <f>SUM(G396:G418)</f>
        <v>582</v>
      </c>
      <c r="J396" s="288"/>
      <c r="K396" s="1121"/>
      <c r="L396" s="1121"/>
      <c r="M396" s="1121"/>
      <c r="N396" s="291"/>
      <c r="O396" s="291"/>
      <c r="P396" s="1121"/>
      <c r="Q396" s="1121"/>
      <c r="R396" s="292"/>
      <c r="S396" s="292">
        <f t="shared" si="43"/>
        <v>63.119999999998981</v>
      </c>
      <c r="T396" s="1121"/>
      <c r="U396" s="1121"/>
      <c r="V396" s="1121"/>
      <c r="W396" s="1121"/>
      <c r="X396" s="1121"/>
      <c r="Y396" s="1121"/>
      <c r="Z396" s="1121"/>
      <c r="AA396" s="1121"/>
      <c r="AB396" s="1121"/>
      <c r="AC396" s="1121"/>
      <c r="AD396" s="1121"/>
      <c r="AE396" s="1121"/>
      <c r="AF396" s="1121"/>
      <c r="AG396" s="288" t="s">
        <v>695</v>
      </c>
      <c r="AH396" s="1121" t="s">
        <v>695</v>
      </c>
      <c r="AI396" s="289" t="s">
        <v>695</v>
      </c>
      <c r="AJ396" s="1121"/>
      <c r="AK396" s="1121"/>
      <c r="AL396" s="1121"/>
      <c r="AM396" s="1121"/>
      <c r="AN396" s="315"/>
      <c r="AO396" s="315"/>
      <c r="AP396" s="315"/>
      <c r="AQ396" s="315">
        <f>+FL_1($U$397,$T$395,$G$396,1200,9.28, 1*$F$397)</f>
        <v>0.30291119716666665</v>
      </c>
      <c r="AR396" s="315"/>
      <c r="AS396" s="315"/>
      <c r="AT396" s="315"/>
      <c r="AU396" s="315"/>
      <c r="AV396" s="315"/>
      <c r="AW396" s="315"/>
      <c r="AX396" s="315"/>
      <c r="AY396" s="315" t="s">
        <v>695</v>
      </c>
      <c r="AZ396" s="315"/>
      <c r="BA396" s="315"/>
      <c r="BB396" s="306"/>
      <c r="BF396" s="1119"/>
      <c r="BG396" s="1119"/>
      <c r="BH396" s="1119"/>
    </row>
    <row r="397" spans="1:60" ht="14.25">
      <c r="A397" s="340"/>
      <c r="B397" s="287" t="s">
        <v>2429</v>
      </c>
      <c r="C397" s="288">
        <f>+$C$395+$G$396</f>
        <v>20902.999999999996</v>
      </c>
      <c r="D397" s="1121"/>
      <c r="E397" s="1121"/>
      <c r="F397" s="289">
        <v>0</v>
      </c>
      <c r="G397" s="292"/>
      <c r="H397" s="291" t="s">
        <v>2523</v>
      </c>
      <c r="I397" s="294" t="s">
        <v>656</v>
      </c>
      <c r="J397" s="288"/>
      <c r="K397" s="1121"/>
      <c r="L397" s="1121" t="s">
        <v>882</v>
      </c>
      <c r="M397" s="1121" t="s">
        <v>2675</v>
      </c>
      <c r="N397" s="291" t="s">
        <v>140</v>
      </c>
      <c r="O397" s="291" t="s">
        <v>145</v>
      </c>
      <c r="P397" s="1121"/>
      <c r="Q397" s="1121">
        <v>7</v>
      </c>
      <c r="R397" s="289">
        <v>0</v>
      </c>
      <c r="S397" s="292"/>
      <c r="T397" s="1121">
        <v>55</v>
      </c>
      <c r="U397" s="1121">
        <v>10</v>
      </c>
      <c r="V397" s="1121"/>
      <c r="W397" s="1121">
        <v>1.4</v>
      </c>
      <c r="X397" s="1121">
        <v>2.2999999999999998</v>
      </c>
      <c r="Y397" s="1121"/>
      <c r="Z397" s="1121">
        <v>0.45</v>
      </c>
      <c r="AA397" s="1121"/>
      <c r="AB397" s="1121"/>
      <c r="AC397" s="1121"/>
      <c r="AD397" s="1121" t="s">
        <v>1704</v>
      </c>
      <c r="AE397" s="1121"/>
      <c r="AF397" s="1121">
        <v>5900</v>
      </c>
      <c r="AG397" s="288">
        <v>20903.21</v>
      </c>
      <c r="AH397" s="1121">
        <v>2589</v>
      </c>
      <c r="AI397" s="289">
        <v>567</v>
      </c>
      <c r="AJ397" s="1121"/>
      <c r="AK397" s="1121"/>
      <c r="AL397" s="1121" t="s">
        <v>898</v>
      </c>
      <c r="AM397" s="1121" t="s">
        <v>1228</v>
      </c>
      <c r="AN397" s="315">
        <v>5.5</v>
      </c>
      <c r="AO397" s="315"/>
      <c r="AP397" s="315"/>
      <c r="AQ397" s="315"/>
      <c r="AR397" s="315"/>
      <c r="AS397" s="315"/>
      <c r="AT397" s="315">
        <f>+ab($U$397,$T$395,$U$401,$G$396,$G$400, 1*$F$397,1200)</f>
        <v>9.8468598928573048</v>
      </c>
      <c r="AU397" s="315"/>
      <c r="AV397" s="315"/>
      <c r="AW397" s="315" t="s">
        <v>2634</v>
      </c>
      <c r="AX397" s="315" t="s">
        <v>1639</v>
      </c>
      <c r="AY397" s="315">
        <v>3.8</v>
      </c>
      <c r="AZ397" s="315"/>
      <c r="BA397" s="315"/>
      <c r="BB397" s="306"/>
      <c r="BF397" s="1119"/>
      <c r="BG397" s="1119"/>
      <c r="BH397" s="1119"/>
    </row>
    <row r="398" spans="1:60" ht="14.25">
      <c r="A398" s="340"/>
      <c r="B398" s="287"/>
      <c r="C398" s="288"/>
      <c r="D398" s="1121"/>
      <c r="E398" s="1121"/>
      <c r="F398" s="289"/>
      <c r="G398" s="1121">
        <v>0</v>
      </c>
      <c r="H398" s="291"/>
      <c r="I398" s="294"/>
      <c r="J398" s="288">
        <f>C399+7.5</f>
        <v>20931.5</v>
      </c>
      <c r="K398" s="1121" t="s">
        <v>653</v>
      </c>
      <c r="L398" s="1121"/>
      <c r="M398" s="1121"/>
      <c r="N398" s="291"/>
      <c r="O398" s="291"/>
      <c r="P398" s="1121"/>
      <c r="Q398" s="1121"/>
      <c r="R398" s="292"/>
      <c r="S398" s="292">
        <f>AG401-AG397</f>
        <v>52.790000000000873</v>
      </c>
      <c r="T398" s="1121"/>
      <c r="U398" s="1121"/>
      <c r="V398" s="1121"/>
      <c r="W398" s="1121"/>
      <c r="X398" s="1121"/>
      <c r="Y398" s="1121"/>
      <c r="Z398" s="1121"/>
      <c r="AA398" s="1121"/>
      <c r="AB398" s="1121"/>
      <c r="AC398" s="1121"/>
      <c r="AD398" s="1121"/>
      <c r="AE398" s="1121"/>
      <c r="AF398" s="1121"/>
      <c r="AG398" s="288" t="s">
        <v>695</v>
      </c>
      <c r="AH398" s="1121" t="s">
        <v>695</v>
      </c>
      <c r="AI398" s="289" t="s">
        <v>695</v>
      </c>
      <c r="AJ398" s="1121"/>
      <c r="AK398" s="1121"/>
      <c r="AL398" s="1121"/>
      <c r="AM398" s="1121"/>
      <c r="AN398" s="315"/>
      <c r="AO398" s="315"/>
      <c r="AP398" s="315"/>
      <c r="AQ398" s="315"/>
      <c r="AR398" s="315"/>
      <c r="AS398" s="315"/>
      <c r="AT398" s="315"/>
      <c r="AU398" s="315"/>
      <c r="AV398" s="315"/>
      <c r="AW398" s="315" t="s">
        <v>2634</v>
      </c>
      <c r="AX398" s="315" t="s">
        <v>1639</v>
      </c>
      <c r="AY398" s="315" t="s">
        <v>695</v>
      </c>
      <c r="AZ398" s="315">
        <v>2.5</v>
      </c>
      <c r="BA398" s="315"/>
      <c r="BB398" s="306"/>
      <c r="BF398" s="1119"/>
      <c r="BG398" s="1119"/>
      <c r="BH398" s="1119"/>
    </row>
    <row r="399" spans="1:60" ht="14.25">
      <c r="A399" s="340"/>
      <c r="B399" s="287" t="s">
        <v>2564</v>
      </c>
      <c r="C399" s="288">
        <v>20924</v>
      </c>
      <c r="D399" s="1121"/>
      <c r="E399" s="1121"/>
      <c r="F399" s="289">
        <v>0</v>
      </c>
      <c r="G399" s="1121"/>
      <c r="H399" s="291"/>
      <c r="I399" s="291" t="s">
        <v>1223</v>
      </c>
      <c r="J399" s="288">
        <f>C399+7.5</f>
        <v>20931.5</v>
      </c>
      <c r="K399" s="1121" t="s">
        <v>658</v>
      </c>
      <c r="L399" s="1121" t="s">
        <v>880</v>
      </c>
      <c r="M399" s="1121" t="s">
        <v>2676</v>
      </c>
      <c r="N399" s="291"/>
      <c r="O399" s="291"/>
      <c r="P399" s="1121"/>
      <c r="Q399" s="1121"/>
      <c r="R399" s="292"/>
      <c r="S399" s="292"/>
      <c r="T399" s="1121"/>
      <c r="U399" s="1121"/>
      <c r="V399" s="1121"/>
      <c r="W399" s="1121"/>
      <c r="X399" s="1121"/>
      <c r="Y399" s="1121"/>
      <c r="Z399" s="1121"/>
      <c r="AA399" s="1121"/>
      <c r="AB399" s="1121"/>
      <c r="AC399" s="1121"/>
      <c r="AD399" s="1121"/>
      <c r="AE399" s="1121"/>
      <c r="AF399" s="1121"/>
      <c r="AG399" s="288"/>
      <c r="AH399" s="1121" t="s">
        <v>695</v>
      </c>
      <c r="AI399" s="289" t="s">
        <v>695</v>
      </c>
      <c r="AJ399" s="1121"/>
      <c r="AK399" s="1121"/>
      <c r="AL399" s="1121" t="s">
        <v>895</v>
      </c>
      <c r="AM399" s="1121"/>
      <c r="AN399" s="315"/>
      <c r="AO399" s="315"/>
      <c r="AP399" s="315"/>
      <c r="AQ399" s="315"/>
      <c r="AR399" s="315"/>
      <c r="AS399" s="315"/>
      <c r="AT399" s="315">
        <f>+ab($U$397,$T$395,$U$401,$G$396,$G$400, 1*$F$397,1200)</f>
        <v>9.8468598928573048</v>
      </c>
      <c r="AU399" s="315"/>
      <c r="AV399" s="315"/>
      <c r="AW399" s="315" t="s">
        <v>2634</v>
      </c>
      <c r="AX399" s="315" t="s">
        <v>1639</v>
      </c>
      <c r="AY399" s="315">
        <v>3.3</v>
      </c>
      <c r="AZ399" s="315">
        <v>2.5</v>
      </c>
      <c r="BA399" s="315"/>
      <c r="BB399" s="306"/>
      <c r="BF399" s="1119"/>
      <c r="BG399" s="1119"/>
      <c r="BH399" s="1119"/>
    </row>
    <row r="400" spans="1:60" ht="14.25">
      <c r="A400" s="340"/>
      <c r="B400" s="287"/>
      <c r="C400" s="288"/>
      <c r="D400" s="1121"/>
      <c r="E400" s="1121"/>
      <c r="F400" s="289"/>
      <c r="G400" s="292">
        <v>53</v>
      </c>
      <c r="H400" s="291"/>
      <c r="I400" s="291" t="s">
        <v>2668</v>
      </c>
      <c r="J400" s="288">
        <f>C399+9.5</f>
        <v>20933.5</v>
      </c>
      <c r="K400" s="1121" t="s">
        <v>658</v>
      </c>
      <c r="L400" s="1121"/>
      <c r="M400" s="1121"/>
      <c r="N400" s="291"/>
      <c r="O400" s="291"/>
      <c r="P400" s="1121"/>
      <c r="Q400" s="1121"/>
      <c r="R400" s="292"/>
      <c r="S400" s="292"/>
      <c r="T400" s="1121"/>
      <c r="U400" s="1121"/>
      <c r="V400" s="1121"/>
      <c r="W400" s="1121"/>
      <c r="X400" s="1121"/>
      <c r="Y400" s="1121"/>
      <c r="Z400" s="1121"/>
      <c r="AA400" s="1121"/>
      <c r="AB400" s="1121"/>
      <c r="AC400" s="1121"/>
      <c r="AD400" s="1121"/>
      <c r="AE400" s="1121"/>
      <c r="AF400" s="1121"/>
      <c r="AG400" s="288" t="s">
        <v>695</v>
      </c>
      <c r="AH400" s="1121" t="s">
        <v>695</v>
      </c>
      <c r="AI400" s="289" t="s">
        <v>695</v>
      </c>
      <c r="AJ400" s="1121"/>
      <c r="AK400" s="1121"/>
      <c r="AL400" s="1121"/>
      <c r="AM400" s="1121"/>
      <c r="AN400" s="315"/>
      <c r="AO400" s="315"/>
      <c r="AP400" s="315"/>
      <c r="AQ400" s="315">
        <f>+FL_1($T$401,$U$397,$S$398,1200,9.28, 1*$R$401)</f>
        <v>0.27866937901118494</v>
      </c>
      <c r="AR400" s="315"/>
      <c r="AS400" s="315"/>
      <c r="AT400" s="315"/>
      <c r="AU400" s="315"/>
      <c r="AV400" s="315"/>
      <c r="AW400" s="315" t="s">
        <v>2634</v>
      </c>
      <c r="AX400" s="315" t="s">
        <v>1639</v>
      </c>
      <c r="AY400" s="315"/>
      <c r="AZ400" s="315">
        <v>2.5</v>
      </c>
      <c r="BA400" s="315"/>
      <c r="BB400" s="306"/>
      <c r="BF400" s="1119"/>
      <c r="BG400" s="1119"/>
      <c r="BH400" s="1119"/>
    </row>
    <row r="401" spans="1:60" ht="14.25">
      <c r="A401" s="340" t="s">
        <v>3232</v>
      </c>
      <c r="B401" s="453" t="s">
        <v>2749</v>
      </c>
      <c r="C401" s="288">
        <f>+$C$397+$G$400</f>
        <v>20955.999999999996</v>
      </c>
      <c r="D401" s="1121"/>
      <c r="E401" s="1121"/>
      <c r="F401" s="289">
        <v>0</v>
      </c>
      <c r="G401" s="292"/>
      <c r="H401" s="291" t="s">
        <v>651</v>
      </c>
      <c r="I401" s="291" t="s">
        <v>2016</v>
      </c>
      <c r="J401" s="288"/>
      <c r="K401" s="1121"/>
      <c r="L401" s="1121"/>
      <c r="M401" s="1121"/>
      <c r="N401" s="291" t="s">
        <v>917</v>
      </c>
      <c r="O401" s="291" t="s">
        <v>918</v>
      </c>
      <c r="P401" s="1121"/>
      <c r="Q401" s="1121">
        <v>1</v>
      </c>
      <c r="R401" s="289">
        <v>0</v>
      </c>
      <c r="S401" s="292"/>
      <c r="T401" s="1121">
        <v>-10</v>
      </c>
      <c r="U401" s="1121">
        <v>-55</v>
      </c>
      <c r="V401" s="1121"/>
      <c r="W401" s="1121">
        <v>1.4</v>
      </c>
      <c r="X401" s="1121">
        <v>2.2999999999999998</v>
      </c>
      <c r="Y401" s="1121"/>
      <c r="Z401" s="1121"/>
      <c r="AA401" s="1121">
        <v>0.45</v>
      </c>
      <c r="AB401" s="1121"/>
      <c r="AC401" s="1121" t="s">
        <v>1704</v>
      </c>
      <c r="AD401" s="1121"/>
      <c r="AE401" s="1121"/>
      <c r="AF401" s="1121">
        <v>200</v>
      </c>
      <c r="AG401" s="288">
        <v>20956</v>
      </c>
      <c r="AH401" s="1121">
        <v>1783</v>
      </c>
      <c r="AI401" s="289">
        <v>-5000</v>
      </c>
      <c r="AJ401" s="1121" t="s">
        <v>3231</v>
      </c>
      <c r="AK401" s="1121" t="s">
        <v>229</v>
      </c>
      <c r="AL401" s="1121"/>
      <c r="AM401" s="1121"/>
      <c r="AN401" s="315">
        <v>5.5</v>
      </c>
      <c r="AO401" s="315"/>
      <c r="AP401" s="315"/>
      <c r="AQ401" s="315"/>
      <c r="AR401" s="315"/>
      <c r="AS401" s="315"/>
      <c r="AT401" s="315">
        <f>+ab($T$401,$T$397,$T$403,$S$398,$S$402, 1*$R$401,1200)</f>
        <v>-19.867365963688044</v>
      </c>
      <c r="AU401" s="315"/>
      <c r="AV401" s="315"/>
      <c r="AW401" s="315" t="s">
        <v>699</v>
      </c>
      <c r="AX401" s="315" t="s">
        <v>699</v>
      </c>
      <c r="AY401" s="315" t="s">
        <v>699</v>
      </c>
      <c r="AZ401" s="315"/>
      <c r="BA401" s="315"/>
      <c r="BB401" s="306"/>
      <c r="BF401" s="1119"/>
      <c r="BG401" s="1119"/>
      <c r="BH401" s="1119"/>
    </row>
    <row r="402" spans="1:60" ht="14.25">
      <c r="A402" s="340"/>
      <c r="B402" s="287"/>
      <c r="C402" s="288"/>
      <c r="D402" s="1121"/>
      <c r="E402" s="1121"/>
      <c r="F402" s="289"/>
      <c r="G402" s="292">
        <v>49</v>
      </c>
      <c r="H402" s="291"/>
      <c r="I402" s="291"/>
      <c r="J402" s="288"/>
      <c r="K402" s="1121"/>
      <c r="L402" s="1121"/>
      <c r="M402" s="1121"/>
      <c r="N402" s="291"/>
      <c r="O402" s="291"/>
      <c r="P402" s="1121"/>
      <c r="Q402" s="1121"/>
      <c r="R402" s="292"/>
      <c r="S402" s="292">
        <f t="shared" si="43"/>
        <v>49.270000000000437</v>
      </c>
      <c r="T402" s="1121"/>
      <c r="U402" s="1121"/>
      <c r="V402" s="1121"/>
      <c r="W402" s="1121"/>
      <c r="X402" s="1121"/>
      <c r="Y402" s="1121"/>
      <c r="Z402" s="1121"/>
      <c r="AA402" s="1121"/>
      <c r="AB402" s="1121"/>
      <c r="AC402" s="1121"/>
      <c r="AD402" s="1121"/>
      <c r="AE402" s="1121"/>
      <c r="AF402" s="1121"/>
      <c r="AG402" s="288" t="s">
        <v>695</v>
      </c>
      <c r="AH402" s="1121" t="s">
        <v>695</v>
      </c>
      <c r="AI402" s="289" t="s">
        <v>695</v>
      </c>
      <c r="AJ402" s="1121" t="s">
        <v>3002</v>
      </c>
      <c r="AK402" s="1121"/>
      <c r="AL402" s="1121"/>
      <c r="AM402" s="1121"/>
      <c r="AN402" s="315"/>
      <c r="AO402" s="315"/>
      <c r="AP402" s="315"/>
      <c r="AQ402" s="315">
        <f>+FL_2($T$403,$T$401,$S$402,1200,9.28, 1*$R$403)</f>
        <v>-0.41565418663690279</v>
      </c>
      <c r="AR402" s="315"/>
      <c r="AS402" s="315"/>
      <c r="AT402" s="315"/>
      <c r="AU402" s="315"/>
      <c r="AV402" s="315"/>
      <c r="AW402" s="315"/>
      <c r="AX402" s="315"/>
      <c r="AY402" s="315"/>
      <c r="AZ402" s="315"/>
      <c r="BA402" s="315"/>
      <c r="BB402" s="306"/>
      <c r="BF402" s="1119"/>
      <c r="BG402" s="1119"/>
      <c r="BH402" s="1119"/>
    </row>
    <row r="403" spans="1:60" ht="14.25">
      <c r="A403" s="340"/>
      <c r="B403" s="287" t="s">
        <v>2747</v>
      </c>
      <c r="C403" s="288">
        <f>+$C$401+$G$402</f>
        <v>21004.999999999996</v>
      </c>
      <c r="D403" s="1121"/>
      <c r="E403" s="1121"/>
      <c r="F403" s="289">
        <v>0</v>
      </c>
      <c r="G403" s="292"/>
      <c r="H403" s="293" t="s">
        <v>138</v>
      </c>
      <c r="I403" s="291"/>
      <c r="J403" s="288"/>
      <c r="K403" s="1121"/>
      <c r="L403" s="1121"/>
      <c r="M403" s="1121"/>
      <c r="N403" s="291" t="s">
        <v>916</v>
      </c>
      <c r="O403" s="291"/>
      <c r="P403" s="1121"/>
      <c r="Q403" s="1121">
        <v>1</v>
      </c>
      <c r="R403" s="289">
        <v>0</v>
      </c>
      <c r="S403" s="292"/>
      <c r="T403" s="1121">
        <v>-25</v>
      </c>
      <c r="U403" s="1121"/>
      <c r="V403" s="1121"/>
      <c r="W403" s="1121">
        <v>1.4</v>
      </c>
      <c r="X403" s="1121"/>
      <c r="Y403" s="1121"/>
      <c r="Z403" s="1121"/>
      <c r="AA403" s="1121"/>
      <c r="AB403" s="1121"/>
      <c r="AC403" s="1121" t="s">
        <v>1704</v>
      </c>
      <c r="AD403" s="1121"/>
      <c r="AE403" s="1121"/>
      <c r="AF403" s="1121">
        <v>500</v>
      </c>
      <c r="AG403" s="288">
        <v>21005.27</v>
      </c>
      <c r="AH403" s="1121">
        <v>1783</v>
      </c>
      <c r="AI403" s="289">
        <v>-5000</v>
      </c>
      <c r="AJ403" s="1121"/>
      <c r="AK403" s="1121" t="s">
        <v>139</v>
      </c>
      <c r="AL403" s="1121"/>
      <c r="AM403" s="1121"/>
      <c r="AN403" s="315">
        <v>5.5</v>
      </c>
      <c r="AO403" s="315"/>
      <c r="AP403" s="315"/>
      <c r="AQ403" s="315"/>
      <c r="AR403" s="315"/>
      <c r="AS403" s="315"/>
      <c r="AT403" s="315">
        <f>+ab($T$403,$T$401,$T$405,$S$402,$S$404, 1*$R$403,1200)</f>
        <v>-14.408157186451781</v>
      </c>
      <c r="AU403" s="315"/>
      <c r="AV403" s="315"/>
      <c r="AW403" s="315" t="s">
        <v>699</v>
      </c>
      <c r="AX403" s="315" t="s">
        <v>699</v>
      </c>
      <c r="AY403" s="315" t="s">
        <v>699</v>
      </c>
      <c r="AZ403" s="315" t="s">
        <v>699</v>
      </c>
      <c r="BA403" s="315"/>
      <c r="BB403" s="306"/>
      <c r="BF403" s="1119"/>
      <c r="BG403" s="1119"/>
      <c r="BH403" s="1119"/>
    </row>
    <row r="404" spans="1:60" ht="14.25">
      <c r="A404" s="340"/>
      <c r="B404" s="287"/>
      <c r="C404" s="288"/>
      <c r="D404" s="1121"/>
      <c r="E404" s="1121"/>
      <c r="F404" s="289"/>
      <c r="G404" s="292">
        <v>49</v>
      </c>
      <c r="H404" s="291"/>
      <c r="I404" s="294"/>
      <c r="J404" s="288"/>
      <c r="K404" s="1121"/>
      <c r="L404" s="1121"/>
      <c r="M404" s="1121"/>
      <c r="N404" s="291"/>
      <c r="O404" s="291"/>
      <c r="P404" s="1121"/>
      <c r="Q404" s="1121"/>
      <c r="R404" s="292"/>
      <c r="S404" s="292">
        <f t="shared" si="43"/>
        <v>50.040000000000873</v>
      </c>
      <c r="T404" s="1121"/>
      <c r="U404" s="1121"/>
      <c r="V404" s="1121"/>
      <c r="W404" s="1121"/>
      <c r="X404" s="1121"/>
      <c r="Y404" s="1121"/>
      <c r="Z404" s="1121"/>
      <c r="AA404" s="1121"/>
      <c r="AB404" s="1121"/>
      <c r="AC404" s="1121"/>
      <c r="AD404" s="1121"/>
      <c r="AE404" s="1121"/>
      <c r="AF404" s="1121"/>
      <c r="AG404" s="288" t="s">
        <v>695</v>
      </c>
      <c r="AH404" s="1121" t="s">
        <v>695</v>
      </c>
      <c r="AI404" s="289" t="s">
        <v>695</v>
      </c>
      <c r="AJ404" s="1121"/>
      <c r="AK404" s="1121"/>
      <c r="AL404" s="1121"/>
      <c r="AM404" s="1121"/>
      <c r="AN404" s="315"/>
      <c r="AO404" s="315"/>
      <c r="AP404" s="315"/>
      <c r="AQ404" s="315">
        <f>+FL_1($T$405,$T$403,$S$404,1200,9.28, 1*$R$405)</f>
        <v>0.30660533595524203</v>
      </c>
      <c r="AR404" s="315"/>
      <c r="AS404" s="315"/>
      <c r="AT404" s="315"/>
      <c r="AU404" s="315"/>
      <c r="AV404" s="315"/>
      <c r="AW404" s="315"/>
      <c r="AX404" s="315"/>
      <c r="AY404" s="315"/>
      <c r="AZ404" s="315"/>
      <c r="BA404" s="315"/>
      <c r="BB404" s="306"/>
      <c r="BF404" s="1119"/>
      <c r="BG404" s="1119"/>
      <c r="BH404" s="1119"/>
    </row>
    <row r="405" spans="1:60" ht="14.25">
      <c r="A405" s="340"/>
      <c r="B405" s="287" t="s">
        <v>2562</v>
      </c>
      <c r="C405" s="288">
        <f>+$C$403+$G$404</f>
        <v>21053.999999999996</v>
      </c>
      <c r="D405" s="1121"/>
      <c r="E405" s="1121"/>
      <c r="F405" s="289">
        <v>0</v>
      </c>
      <c r="G405" s="292"/>
      <c r="H405" s="291"/>
      <c r="I405" s="294"/>
      <c r="J405" s="288"/>
      <c r="K405" s="1121"/>
      <c r="L405" s="1121"/>
      <c r="M405" s="1121"/>
      <c r="N405" s="291" t="s">
        <v>917</v>
      </c>
      <c r="O405" s="291"/>
      <c r="P405" s="1121"/>
      <c r="Q405" s="1121">
        <v>4</v>
      </c>
      <c r="R405" s="289">
        <v>0</v>
      </c>
      <c r="S405" s="292"/>
      <c r="T405" s="1121">
        <v>25</v>
      </c>
      <c r="U405" s="1121"/>
      <c r="V405" s="1121"/>
      <c r="W405" s="1121">
        <v>1.4</v>
      </c>
      <c r="X405" s="1121"/>
      <c r="Y405" s="1121"/>
      <c r="Z405" s="1121"/>
      <c r="AA405" s="1121"/>
      <c r="AB405" s="1121"/>
      <c r="AC405" s="1121" t="s">
        <v>2963</v>
      </c>
      <c r="AD405" s="1121"/>
      <c r="AE405" s="1121"/>
      <c r="AF405" s="1121">
        <v>100</v>
      </c>
      <c r="AG405" s="288">
        <v>21055.31</v>
      </c>
      <c r="AH405" s="1121">
        <v>1783</v>
      </c>
      <c r="AI405" s="289">
        <v>-5000</v>
      </c>
      <c r="AJ405" s="1121"/>
      <c r="AK405" s="1121" t="s">
        <v>139</v>
      </c>
      <c r="AL405" s="1121"/>
      <c r="AM405" s="1121"/>
      <c r="AN405" s="315">
        <v>5.5</v>
      </c>
      <c r="AO405" s="315"/>
      <c r="AP405" s="315"/>
      <c r="AQ405" s="315"/>
      <c r="AR405" s="315"/>
      <c r="AS405" s="315"/>
      <c r="AT405" s="315">
        <f>+ab($T$405,$T$403,$T$407,$S$404,$S$406, 1*$R$405,1200)</f>
        <v>8.315129260708467</v>
      </c>
      <c r="AU405" s="315"/>
      <c r="AV405" s="315"/>
      <c r="AW405" s="315" t="s">
        <v>699</v>
      </c>
      <c r="AX405" s="315" t="s">
        <v>699</v>
      </c>
      <c r="AY405" s="315" t="s">
        <v>699</v>
      </c>
      <c r="AZ405" s="315" t="s">
        <v>699</v>
      </c>
      <c r="BA405" s="315"/>
      <c r="BB405" s="306"/>
      <c r="BF405" s="1119"/>
      <c r="BG405" s="1119"/>
      <c r="BH405" s="1119"/>
    </row>
    <row r="406" spans="1:60" ht="14.25">
      <c r="A406" s="340"/>
      <c r="B406" s="1121"/>
      <c r="C406" s="288"/>
      <c r="D406" s="1121"/>
      <c r="E406" s="1121"/>
      <c r="F406" s="289"/>
      <c r="G406" s="292">
        <v>40</v>
      </c>
      <c r="H406" s="291"/>
      <c r="I406" s="294"/>
      <c r="J406" s="288"/>
      <c r="K406" s="1121"/>
      <c r="L406" s="1121"/>
      <c r="M406" s="1121"/>
      <c r="N406" s="291"/>
      <c r="O406" s="291"/>
      <c r="P406" s="1121"/>
      <c r="Q406" s="1121"/>
      <c r="R406" s="292"/>
      <c r="S406" s="292">
        <f t="shared" si="43"/>
        <v>38.68999999999869</v>
      </c>
      <c r="T406" s="1121"/>
      <c r="U406" s="1121"/>
      <c r="V406" s="1121"/>
      <c r="W406" s="1121"/>
      <c r="X406" s="1121"/>
      <c r="Y406" s="1121"/>
      <c r="Z406" s="1121"/>
      <c r="AA406" s="1121"/>
      <c r="AB406" s="1121"/>
      <c r="AC406" s="1121"/>
      <c r="AD406" s="1121"/>
      <c r="AE406" s="1121"/>
      <c r="AF406" s="1121"/>
      <c r="AG406" s="288" t="s">
        <v>695</v>
      </c>
      <c r="AH406" s="1121" t="s">
        <v>695</v>
      </c>
      <c r="AI406" s="289" t="s">
        <v>695</v>
      </c>
      <c r="AJ406" s="1121"/>
      <c r="AK406" s="1121"/>
      <c r="AL406" s="1121"/>
      <c r="AM406" s="1121"/>
      <c r="AN406" s="315"/>
      <c r="AO406" s="315"/>
      <c r="AP406" s="315"/>
      <c r="AQ406" s="315">
        <f>+FL_1($T$407,$T$405,$S$406,1200,9.28, 1*$R$407)</f>
        <v>0.25268250537709763</v>
      </c>
      <c r="AR406" s="315"/>
      <c r="AS406" s="315"/>
      <c r="AT406" s="315"/>
      <c r="AU406" s="315"/>
      <c r="AV406" s="315"/>
      <c r="AW406" s="315"/>
      <c r="AX406" s="315"/>
      <c r="AY406" s="315"/>
      <c r="AZ406" s="315"/>
      <c r="BA406" s="315"/>
      <c r="BB406" s="306"/>
      <c r="BF406" s="1119"/>
      <c r="BG406" s="1119"/>
      <c r="BH406" s="1119"/>
    </row>
    <row r="407" spans="1:60" ht="14.25">
      <c r="A407" s="340"/>
      <c r="B407" s="453" t="s">
        <v>2750</v>
      </c>
      <c r="C407" s="288">
        <f>+$C$405+$G$406</f>
        <v>21093.999999999996</v>
      </c>
      <c r="D407" s="1121"/>
      <c r="E407" s="1121"/>
      <c r="F407" s="289">
        <v>0</v>
      </c>
      <c r="G407" s="292"/>
      <c r="H407" s="291" t="s">
        <v>142</v>
      </c>
      <c r="I407" s="294"/>
      <c r="J407" s="288"/>
      <c r="K407" s="1121"/>
      <c r="L407" s="1121"/>
      <c r="M407" s="1121"/>
      <c r="N407" s="291" t="s">
        <v>916</v>
      </c>
      <c r="O407" s="291" t="s">
        <v>917</v>
      </c>
      <c r="P407" s="291"/>
      <c r="Q407" s="1121">
        <v>1</v>
      </c>
      <c r="R407" s="289">
        <v>0</v>
      </c>
      <c r="S407" s="292"/>
      <c r="T407" s="1121">
        <v>-25</v>
      </c>
      <c r="U407" s="1121">
        <v>-80</v>
      </c>
      <c r="V407" s="1121"/>
      <c r="W407" s="1121">
        <v>1.4</v>
      </c>
      <c r="X407" s="1121">
        <v>2.2999999999999998</v>
      </c>
      <c r="Y407" s="1121"/>
      <c r="Z407" s="1121"/>
      <c r="AA407" s="1121">
        <v>-0.05</v>
      </c>
      <c r="AB407" s="1121"/>
      <c r="AC407" s="1121" t="s">
        <v>1710</v>
      </c>
      <c r="AD407" s="1121" t="s">
        <v>2966</v>
      </c>
      <c r="AE407" s="1121"/>
      <c r="AF407" s="1121">
        <v>200</v>
      </c>
      <c r="AG407" s="288">
        <v>21094</v>
      </c>
      <c r="AH407" s="1121">
        <v>2432</v>
      </c>
      <c r="AI407" s="289">
        <v>-5425</v>
      </c>
      <c r="AJ407" s="1121"/>
      <c r="AK407" s="1121" t="s">
        <v>229</v>
      </c>
      <c r="AL407" s="1121"/>
      <c r="AM407" s="1121"/>
      <c r="AN407" s="315">
        <v>5.5</v>
      </c>
      <c r="AO407" s="315"/>
      <c r="AP407" s="315"/>
      <c r="AQ407" s="315"/>
      <c r="AR407" s="315"/>
      <c r="AS407" s="315"/>
      <c r="AT407" s="315">
        <f>+ab($T$407,$T$405,$T$409,$S$406,$S$408, 1*$R$407,1200)</f>
        <v>-14.529060714449169</v>
      </c>
      <c r="AU407" s="315"/>
      <c r="AV407" s="315"/>
      <c r="AW407" s="315" t="s">
        <v>699</v>
      </c>
      <c r="AX407" s="315" t="s">
        <v>699</v>
      </c>
      <c r="AY407" s="315" t="s">
        <v>699</v>
      </c>
      <c r="AZ407" s="315" t="s">
        <v>699</v>
      </c>
      <c r="BA407" s="315"/>
      <c r="BB407" s="306"/>
      <c r="BF407" s="1119"/>
      <c r="BG407" s="1119"/>
      <c r="BH407" s="1119"/>
    </row>
    <row r="408" spans="1:60" ht="14.25">
      <c r="A408" s="340"/>
      <c r="B408" s="287"/>
      <c r="C408" s="288"/>
      <c r="D408" s="1121"/>
      <c r="E408" s="1121"/>
      <c r="F408" s="289"/>
      <c r="G408" s="292">
        <v>52</v>
      </c>
      <c r="H408" s="291"/>
      <c r="I408" s="294"/>
      <c r="J408" s="288">
        <f>C409-7.5</f>
        <v>21138.499999999996</v>
      </c>
      <c r="K408" s="1121" t="s">
        <v>653</v>
      </c>
      <c r="L408" s="1121"/>
      <c r="M408" s="1121"/>
      <c r="N408" s="291"/>
      <c r="O408" s="291"/>
      <c r="P408" s="1121"/>
      <c r="Q408" s="1121"/>
      <c r="R408" s="292"/>
      <c r="S408" s="292">
        <f t="shared" si="43"/>
        <v>51.080000000001746</v>
      </c>
      <c r="T408" s="1121"/>
      <c r="U408" s="1121"/>
      <c r="V408" s="1121"/>
      <c r="W408" s="1121"/>
      <c r="X408" s="1121"/>
      <c r="Y408" s="1121"/>
      <c r="Z408" s="1121"/>
      <c r="AA408" s="1121"/>
      <c r="AB408" s="1121"/>
      <c r="AC408" s="1121"/>
      <c r="AD408" s="1121"/>
      <c r="AE408" s="1121"/>
      <c r="AF408" s="1121"/>
      <c r="AG408" s="288" t="s">
        <v>695</v>
      </c>
      <c r="AH408" s="1121" t="s">
        <v>695</v>
      </c>
      <c r="AI408" s="289" t="s">
        <v>695</v>
      </c>
      <c r="AJ408" s="1121"/>
      <c r="AK408" s="1121"/>
      <c r="AL408" s="1121"/>
      <c r="AM408" s="1121"/>
      <c r="AN408" s="315"/>
      <c r="AO408" s="315"/>
      <c r="AP408" s="315"/>
      <c r="AQ408" s="315">
        <f>+FL_2($T$409,$T$407,$S$408,1200,9.28, 1*$R$409)</f>
        <v>-0.50221941866668385</v>
      </c>
      <c r="AR408" s="315"/>
      <c r="AS408" s="315"/>
      <c r="AT408" s="315"/>
      <c r="AU408" s="315"/>
      <c r="AV408" s="315"/>
      <c r="AW408" s="315" t="s">
        <v>2634</v>
      </c>
      <c r="AX408" s="315" t="s">
        <v>1639</v>
      </c>
      <c r="AY408" s="315"/>
      <c r="AZ408" s="315">
        <v>2.5</v>
      </c>
      <c r="BA408" s="315"/>
      <c r="BB408" s="306"/>
      <c r="BF408" s="1119"/>
      <c r="BG408" s="1119"/>
      <c r="BH408" s="1119"/>
    </row>
    <row r="409" spans="1:60" ht="14.25">
      <c r="A409" s="340"/>
      <c r="B409" s="287" t="s">
        <v>2430</v>
      </c>
      <c r="C409" s="288">
        <f>+$C$407+$G$408</f>
        <v>21145.999999999996</v>
      </c>
      <c r="D409" s="1121"/>
      <c r="E409" s="1121"/>
      <c r="F409" s="289">
        <v>0</v>
      </c>
      <c r="G409" s="292"/>
      <c r="H409" s="291" t="s">
        <v>2229</v>
      </c>
      <c r="I409" s="294" t="s">
        <v>656</v>
      </c>
      <c r="J409" s="288"/>
      <c r="K409" s="1121"/>
      <c r="L409" s="1121" t="s">
        <v>1062</v>
      </c>
      <c r="M409" s="1121" t="s">
        <v>235</v>
      </c>
      <c r="N409" s="1121" t="s">
        <v>144</v>
      </c>
      <c r="O409" s="291" t="s">
        <v>140</v>
      </c>
      <c r="P409" s="1121"/>
      <c r="Q409" s="1121">
        <v>17</v>
      </c>
      <c r="R409" s="289">
        <v>0</v>
      </c>
      <c r="S409" s="292"/>
      <c r="T409" s="1121">
        <v>-25</v>
      </c>
      <c r="U409" s="1121">
        <v>-80</v>
      </c>
      <c r="V409" s="1121"/>
      <c r="W409" s="1121">
        <v>1.4</v>
      </c>
      <c r="X409" s="1121">
        <v>2.2999999999999998</v>
      </c>
      <c r="Y409" s="1121"/>
      <c r="Z409" s="1121"/>
      <c r="AA409" s="1121">
        <v>0.5</v>
      </c>
      <c r="AB409" s="1121"/>
      <c r="AC409" s="1121" t="s">
        <v>1700</v>
      </c>
      <c r="AD409" s="1121"/>
      <c r="AE409" s="1121"/>
      <c r="AF409" s="1121">
        <v>5900</v>
      </c>
      <c r="AG409" s="288">
        <v>21145.08</v>
      </c>
      <c r="AH409" s="1121">
        <v>2560</v>
      </c>
      <c r="AI409" s="289">
        <v>557</v>
      </c>
      <c r="AJ409" s="1121"/>
      <c r="AK409" s="1121"/>
      <c r="AL409" s="1121"/>
      <c r="AM409" s="1121" t="s">
        <v>1228</v>
      </c>
      <c r="AN409" s="315">
        <v>5.5</v>
      </c>
      <c r="AO409" s="315"/>
      <c r="AP409" s="315"/>
      <c r="AQ409" s="315"/>
      <c r="AR409" s="315"/>
      <c r="AS409" s="315"/>
      <c r="AT409" s="315">
        <f>+ab($T$409,$T$407,$U$411,$S$408,$S$410, 1*$R$409,1200)</f>
        <v>-23.584429366857904</v>
      </c>
      <c r="AU409" s="315"/>
      <c r="AV409" s="315"/>
      <c r="AW409" s="315" t="s">
        <v>2634</v>
      </c>
      <c r="AX409" s="315" t="s">
        <v>1639</v>
      </c>
      <c r="AY409" s="315">
        <v>3.4</v>
      </c>
      <c r="AZ409" s="315"/>
      <c r="BA409" s="315"/>
      <c r="BB409" s="306"/>
      <c r="BF409" s="1119"/>
      <c r="BG409" s="1119"/>
      <c r="BH409" s="1119"/>
    </row>
    <row r="410" spans="1:60" ht="14.25">
      <c r="A410" s="340"/>
      <c r="B410" s="287"/>
      <c r="C410" s="288"/>
      <c r="D410" s="1121"/>
      <c r="E410" s="1121"/>
      <c r="F410" s="289"/>
      <c r="G410" s="292">
        <v>51</v>
      </c>
      <c r="H410" s="291"/>
      <c r="I410" s="291"/>
      <c r="J410" s="288"/>
      <c r="K410" s="1121"/>
      <c r="L410" s="1121"/>
      <c r="M410" s="1121"/>
      <c r="N410" s="291"/>
      <c r="O410" s="291"/>
      <c r="P410" s="1121"/>
      <c r="Q410" s="1121"/>
      <c r="R410" s="292"/>
      <c r="S410" s="292">
        <f t="shared" si="43"/>
        <v>52.139999999999418</v>
      </c>
      <c r="T410" s="1121"/>
      <c r="U410" s="1121"/>
      <c r="V410" s="1121"/>
      <c r="W410" s="1121"/>
      <c r="X410" s="1121"/>
      <c r="Y410" s="1121"/>
      <c r="Z410" s="1121"/>
      <c r="AA410" s="1121"/>
      <c r="AB410" s="1121"/>
      <c r="AC410" s="1121"/>
      <c r="AD410" s="1121"/>
      <c r="AE410" s="1121"/>
      <c r="AF410" s="1121"/>
      <c r="AG410" s="288" t="s">
        <v>695</v>
      </c>
      <c r="AH410" s="1121" t="s">
        <v>695</v>
      </c>
      <c r="AI410" s="289" t="s">
        <v>695</v>
      </c>
      <c r="AJ410" s="1121"/>
      <c r="AK410" s="1121"/>
      <c r="AL410" s="1121"/>
      <c r="AM410" s="1121"/>
      <c r="AN410" s="315"/>
      <c r="AO410" s="315"/>
      <c r="AP410" s="315"/>
      <c r="AQ410" s="315">
        <f>+FL_2($T$411,$T$409,$S$410,1200,9.28, 1*$R$411)</f>
        <v>-0.25210344585071054</v>
      </c>
      <c r="AR410" s="315"/>
      <c r="AS410" s="315"/>
      <c r="AT410" s="315"/>
      <c r="AU410" s="315"/>
      <c r="AV410" s="315"/>
      <c r="AW410" s="315"/>
      <c r="AX410" s="315"/>
      <c r="AY410" s="315" t="s">
        <v>695</v>
      </c>
      <c r="AZ410" s="315"/>
      <c r="BA410" s="315"/>
      <c r="BB410" s="306"/>
      <c r="BF410" s="1119"/>
      <c r="BG410" s="1119"/>
      <c r="BH410" s="1119"/>
    </row>
    <row r="411" spans="1:60" ht="14.25">
      <c r="A411" s="340"/>
      <c r="B411" s="287" t="s">
        <v>2431</v>
      </c>
      <c r="C411" s="288">
        <f>+$C$409+$G$410</f>
        <v>21196.999999999996</v>
      </c>
      <c r="D411" s="1121"/>
      <c r="E411" s="1121"/>
      <c r="F411" s="289">
        <f>(160*3500)/(21150-C411)</f>
        <v>-11914.893617022199</v>
      </c>
      <c r="G411" s="292"/>
      <c r="H411" s="291" t="s">
        <v>2249</v>
      </c>
      <c r="I411" s="291" t="s">
        <v>656</v>
      </c>
      <c r="J411" s="288">
        <f>C411+7.5</f>
        <v>21204.499999999996</v>
      </c>
      <c r="K411" s="1121" t="s">
        <v>653</v>
      </c>
      <c r="L411" s="1121" t="s">
        <v>1062</v>
      </c>
      <c r="M411" s="1121" t="s">
        <v>235</v>
      </c>
      <c r="N411" s="291" t="s">
        <v>140</v>
      </c>
      <c r="O411" s="291" t="s">
        <v>145</v>
      </c>
      <c r="P411" s="291"/>
      <c r="Q411" s="1121">
        <v>20</v>
      </c>
      <c r="R411" s="292">
        <v>-12103.58</v>
      </c>
      <c r="S411" s="292"/>
      <c r="T411" s="1121">
        <v>60</v>
      </c>
      <c r="U411" s="1121">
        <v>15</v>
      </c>
      <c r="V411" s="1121"/>
      <c r="W411" s="1121">
        <v>1.4</v>
      </c>
      <c r="X411" s="1121">
        <v>2.2999999999999998</v>
      </c>
      <c r="Y411" s="1121"/>
      <c r="Z411" s="1121">
        <v>0.5</v>
      </c>
      <c r="AA411" s="1121"/>
      <c r="AB411" s="1121"/>
      <c r="AC411" s="1121"/>
      <c r="AD411" s="1121" t="s">
        <v>1704</v>
      </c>
      <c r="AE411" s="1121"/>
      <c r="AF411" s="1121">
        <v>5900</v>
      </c>
      <c r="AG411" s="288">
        <v>21197.22</v>
      </c>
      <c r="AH411" s="1121">
        <v>2573</v>
      </c>
      <c r="AI411" s="289">
        <v>638</v>
      </c>
      <c r="AJ411" s="1121"/>
      <c r="AK411" s="1121"/>
      <c r="AL411" s="1121"/>
      <c r="AM411" s="1121" t="s">
        <v>1228</v>
      </c>
      <c r="AN411" s="315">
        <v>5.5</v>
      </c>
      <c r="AO411" s="315"/>
      <c r="AP411" s="315"/>
      <c r="AQ411" s="315"/>
      <c r="AR411" s="315"/>
      <c r="AS411" s="315"/>
      <c r="AT411" s="315">
        <f>+ab($U$411,$T$409,$U$413,$S$410,$S$412, 1*$R$411,1200)</f>
        <v>12.054455169958967</v>
      </c>
      <c r="AU411" s="315"/>
      <c r="AV411" s="315"/>
      <c r="AW411" s="315" t="s">
        <v>2634</v>
      </c>
      <c r="AX411" s="315" t="s">
        <v>1639</v>
      </c>
      <c r="AY411" s="315">
        <v>3.4</v>
      </c>
      <c r="AZ411" s="315">
        <v>2.5</v>
      </c>
      <c r="BA411" s="315"/>
      <c r="BB411" s="306"/>
      <c r="BF411" s="1119"/>
      <c r="BG411" s="1119"/>
      <c r="BH411" s="1119"/>
    </row>
    <row r="412" spans="1:60" ht="14.25">
      <c r="A412" s="340"/>
      <c r="B412" s="287"/>
      <c r="C412" s="288"/>
      <c r="D412" s="1121"/>
      <c r="E412" s="1121"/>
      <c r="F412" s="289"/>
      <c r="G412" s="292">
        <v>56</v>
      </c>
      <c r="H412" s="291"/>
      <c r="I412" s="294" t="s">
        <v>2668</v>
      </c>
      <c r="J412" s="288">
        <f>C413-9.5</f>
        <v>21243.499999999996</v>
      </c>
      <c r="K412" s="1121" t="s">
        <v>658</v>
      </c>
      <c r="L412" s="1121"/>
      <c r="M412" s="1121"/>
      <c r="N412" s="291"/>
      <c r="O412" s="291"/>
      <c r="P412" s="291"/>
      <c r="Q412" s="1121"/>
      <c r="R412" s="292"/>
      <c r="S412" s="292">
        <f t="shared" si="43"/>
        <v>56.079999999998108</v>
      </c>
      <c r="T412" s="1121"/>
      <c r="U412" s="1121"/>
      <c r="V412" s="1121"/>
      <c r="W412" s="1121"/>
      <c r="X412" s="1121"/>
      <c r="Y412" s="1121"/>
      <c r="Z412" s="1121"/>
      <c r="AA412" s="1121"/>
      <c r="AB412" s="1121"/>
      <c r="AC412" s="1121"/>
      <c r="AD412" s="1121"/>
      <c r="AE412" s="1121"/>
      <c r="AF412" s="1121"/>
      <c r="AG412" s="288" t="s">
        <v>695</v>
      </c>
      <c r="AH412" s="1121" t="s">
        <v>695</v>
      </c>
      <c r="AI412" s="289" t="s">
        <v>695</v>
      </c>
      <c r="AJ412" s="1121"/>
      <c r="AK412" s="1121"/>
      <c r="AL412" s="1121"/>
      <c r="AM412" s="1121"/>
      <c r="AN412" s="315"/>
      <c r="AO412" s="315"/>
      <c r="AP412" s="315"/>
      <c r="AQ412" s="315">
        <f>+FL_1($T$413,$U$411,$S$412,1200,9.28, 1*$R$413)</f>
        <v>0.41118630904614029</v>
      </c>
      <c r="AR412" s="315"/>
      <c r="AS412" s="315"/>
      <c r="AT412" s="315"/>
      <c r="AU412" s="315"/>
      <c r="AV412" s="315"/>
      <c r="AW412" s="315" t="s">
        <v>2634</v>
      </c>
      <c r="AX412" s="315" t="s">
        <v>1639</v>
      </c>
      <c r="AY412" s="315"/>
      <c r="AZ412" s="315">
        <v>2.5</v>
      </c>
      <c r="BA412" s="315"/>
      <c r="BB412" s="306"/>
      <c r="BF412" s="1119"/>
      <c r="BG412" s="1119"/>
      <c r="BH412" s="1119"/>
    </row>
    <row r="413" spans="1:60" ht="14.25">
      <c r="A413" s="340" t="s">
        <v>3236</v>
      </c>
      <c r="B413" s="287" t="s">
        <v>2432</v>
      </c>
      <c r="C413" s="288">
        <f>+$C$411+$G$412</f>
        <v>21252.999999999996</v>
      </c>
      <c r="D413" s="1121"/>
      <c r="E413" s="1121"/>
      <c r="F413" s="289">
        <f>(160*3500)/(21150-C413)</f>
        <v>-5436.8932038836874</v>
      </c>
      <c r="G413" s="292"/>
      <c r="H413" s="1121" t="s">
        <v>651</v>
      </c>
      <c r="I413" s="294" t="s">
        <v>1223</v>
      </c>
      <c r="J413" s="288">
        <f>C413-7.5</f>
        <v>21245.499999999996</v>
      </c>
      <c r="K413" s="1121" t="s">
        <v>658</v>
      </c>
      <c r="L413" s="1121" t="s">
        <v>231</v>
      </c>
      <c r="M413" s="1121" t="s">
        <v>2672</v>
      </c>
      <c r="N413" s="291" t="s">
        <v>144</v>
      </c>
      <c r="O413" s="291" t="s">
        <v>140</v>
      </c>
      <c r="P413" s="291"/>
      <c r="Q413" s="1121">
        <v>34</v>
      </c>
      <c r="R413" s="292">
        <v>-5476.92</v>
      </c>
      <c r="S413" s="292"/>
      <c r="T413" s="1121">
        <v>-10</v>
      </c>
      <c r="U413" s="1121">
        <v>-55</v>
      </c>
      <c r="V413" s="1121"/>
      <c r="W413" s="1121">
        <v>1.4</v>
      </c>
      <c r="X413" s="1121">
        <v>2.2999999999999998</v>
      </c>
      <c r="Y413" s="1121"/>
      <c r="Z413" s="1121"/>
      <c r="AA413" s="1121">
        <v>0.5</v>
      </c>
      <c r="AB413" s="1121"/>
      <c r="AC413" s="1121" t="s">
        <v>1702</v>
      </c>
      <c r="AD413" s="1121"/>
      <c r="AE413" s="1121"/>
      <c r="AF413" s="1121">
        <v>6000</v>
      </c>
      <c r="AG413" s="288">
        <v>21253.3</v>
      </c>
      <c r="AH413" s="1121">
        <v>2553</v>
      </c>
      <c r="AI413" s="289">
        <v>641</v>
      </c>
      <c r="AJ413" s="1121" t="s">
        <v>3224</v>
      </c>
      <c r="AK413" s="1121"/>
      <c r="AL413" s="1121"/>
      <c r="AM413" s="1121" t="s">
        <v>1228</v>
      </c>
      <c r="AN413" s="315">
        <v>5.5</v>
      </c>
      <c r="AO413" s="315"/>
      <c r="AP413" s="315"/>
      <c r="AQ413" s="315"/>
      <c r="AR413" s="315"/>
      <c r="AS413" s="315"/>
      <c r="AT413" s="315">
        <f>+ab($T$413,$T$411,$T$415,$S$412,$S$414, 1*$R$413,1200)</f>
        <v>-8.9392026265932394</v>
      </c>
      <c r="AU413" s="315"/>
      <c r="AV413" s="315"/>
      <c r="AW413" s="315" t="s">
        <v>2634</v>
      </c>
      <c r="AX413" s="315" t="s">
        <v>1639</v>
      </c>
      <c r="AY413" s="315">
        <v>3.4</v>
      </c>
      <c r="AZ413" s="315">
        <v>2.5</v>
      </c>
      <c r="BA413" s="315"/>
      <c r="BB413" s="306"/>
      <c r="BF413" s="1119"/>
      <c r="BG413" s="1119"/>
      <c r="BH413" s="1119"/>
    </row>
    <row r="414" spans="1:60" ht="14.25">
      <c r="A414" s="340"/>
      <c r="B414" s="287"/>
      <c r="C414" s="288"/>
      <c r="D414" s="1121"/>
      <c r="E414" s="1121"/>
      <c r="F414" s="289"/>
      <c r="G414" s="292">
        <v>59</v>
      </c>
      <c r="H414" s="291"/>
      <c r="I414" s="291"/>
      <c r="J414" s="288"/>
      <c r="K414" s="1121"/>
      <c r="L414" s="1121"/>
      <c r="M414" s="1121"/>
      <c r="N414" s="1121"/>
      <c r="O414" s="1121"/>
      <c r="P414" s="291"/>
      <c r="Q414" s="1121"/>
      <c r="R414" s="292"/>
      <c r="S414" s="292">
        <f t="shared" si="43"/>
        <v>58.990000000001601</v>
      </c>
      <c r="T414" s="1121"/>
      <c r="U414" s="1121"/>
      <c r="V414" s="1121"/>
      <c r="W414" s="1121"/>
      <c r="X414" s="1121"/>
      <c r="Y414" s="1121"/>
      <c r="Z414" s="1121"/>
      <c r="AA414" s="1121"/>
      <c r="AB414" s="1121"/>
      <c r="AC414" s="1121"/>
      <c r="AD414" s="1121"/>
      <c r="AE414" s="1121"/>
      <c r="AF414" s="1121"/>
      <c r="AG414" s="288" t="s">
        <v>695</v>
      </c>
      <c r="AH414" s="1121" t="s">
        <v>695</v>
      </c>
      <c r="AI414" s="289" t="s">
        <v>695</v>
      </c>
      <c r="AJ414" s="1121"/>
      <c r="AK414" s="1121"/>
      <c r="AL414" s="1121"/>
      <c r="AM414" s="1121"/>
      <c r="AN414" s="315"/>
      <c r="AO414" s="315"/>
      <c r="AP414" s="315"/>
      <c r="AQ414" s="315">
        <f>+FL_1($T$415,$T$413,$S$414,1200,9.28, 1*$R$415)</f>
        <v>0.31193767985744048</v>
      </c>
      <c r="AR414" s="315"/>
      <c r="AS414" s="315"/>
      <c r="AT414" s="315"/>
      <c r="AU414" s="315"/>
      <c r="AV414" s="315"/>
      <c r="AW414" s="315"/>
      <c r="AX414" s="315"/>
      <c r="AY414" s="315" t="s">
        <v>695</v>
      </c>
      <c r="AZ414" s="315"/>
      <c r="BA414" s="315"/>
      <c r="BB414" s="306"/>
      <c r="BF414" s="1119"/>
      <c r="BG414" s="1119"/>
      <c r="BH414" s="1119"/>
    </row>
    <row r="415" spans="1:60" ht="14.25">
      <c r="A415" s="1233" t="s">
        <v>2230</v>
      </c>
      <c r="B415" s="1036" t="s">
        <v>2433</v>
      </c>
      <c r="C415" s="288">
        <f>+$C$413+$G$414</f>
        <v>21311.999999999996</v>
      </c>
      <c r="D415" s="1121"/>
      <c r="E415" s="1121">
        <v>-60</v>
      </c>
      <c r="F415" s="289">
        <v>-3500</v>
      </c>
      <c r="G415" s="292"/>
      <c r="H415" s="1121" t="s">
        <v>651</v>
      </c>
      <c r="I415" s="289"/>
      <c r="J415" s="450"/>
      <c r="K415" s="1121"/>
      <c r="L415" s="1121" t="s">
        <v>231</v>
      </c>
      <c r="M415" s="1121" t="s">
        <v>2756</v>
      </c>
      <c r="N415" s="291" t="s">
        <v>144</v>
      </c>
      <c r="O415" s="291" t="s">
        <v>140</v>
      </c>
      <c r="P415" s="291"/>
      <c r="Q415" s="1121">
        <v>57</v>
      </c>
      <c r="R415" s="292">
        <v>-3502.35</v>
      </c>
      <c r="S415" s="292"/>
      <c r="T415" s="1121">
        <v>-20</v>
      </c>
      <c r="U415" s="1121">
        <v>-65</v>
      </c>
      <c r="V415" s="1121"/>
      <c r="W415" s="1121">
        <v>1.4</v>
      </c>
      <c r="X415" s="1121">
        <v>2.2999999999999998</v>
      </c>
      <c r="Y415" s="1121"/>
      <c r="Z415" s="1121"/>
      <c r="AA415" s="1121">
        <v>0.5</v>
      </c>
      <c r="AB415" s="1121"/>
      <c r="AC415" s="1121" t="s">
        <v>1704</v>
      </c>
      <c r="AD415" s="1121"/>
      <c r="AE415" s="1121"/>
      <c r="AF415" s="1121">
        <v>6000</v>
      </c>
      <c r="AG415" s="288">
        <v>21312.29</v>
      </c>
      <c r="AH415" s="1121">
        <v>2553</v>
      </c>
      <c r="AI415" s="289">
        <v>642</v>
      </c>
      <c r="AJ415" s="1121"/>
      <c r="AK415" s="1121"/>
      <c r="AL415" s="1121"/>
      <c r="AM415" s="1121" t="s">
        <v>1228</v>
      </c>
      <c r="AN415" s="315">
        <v>5.5</v>
      </c>
      <c r="AO415" s="315"/>
      <c r="AP415" s="315"/>
      <c r="AQ415" s="315"/>
      <c r="AR415" s="315"/>
      <c r="AS415" s="315"/>
      <c r="AT415" s="315" t="e">
        <f>+ab($T$415,$T$413,$T$417,$S$414,$S$416, 1*$R$415,1200)</f>
        <v>#VALUE!</v>
      </c>
      <c r="AU415" s="315"/>
      <c r="AV415" s="315"/>
      <c r="AW415" s="315" t="s">
        <v>2634</v>
      </c>
      <c r="AX415" s="315" t="s">
        <v>1641</v>
      </c>
      <c r="AY415" s="315">
        <v>4.2</v>
      </c>
      <c r="AZ415" s="315"/>
      <c r="BA415" s="1025"/>
      <c r="BB415" s="306"/>
      <c r="BF415" s="1119"/>
      <c r="BG415" s="1119"/>
      <c r="BH415" s="1119"/>
    </row>
    <row r="416" spans="1:60" ht="14.25">
      <c r="A416" s="1234"/>
      <c r="B416" s="287"/>
      <c r="C416" s="288"/>
      <c r="D416" s="1121"/>
      <c r="E416" s="1121"/>
      <c r="F416" s="289"/>
      <c r="G416" s="292">
        <v>57</v>
      </c>
      <c r="H416" s="291"/>
      <c r="I416" s="291"/>
      <c r="J416" s="288"/>
      <c r="K416" s="1121"/>
      <c r="L416" s="1121"/>
      <c r="M416" s="1121"/>
      <c r="N416" s="291"/>
      <c r="O416" s="291"/>
      <c r="P416" s="291"/>
      <c r="Q416" s="1121"/>
      <c r="R416" s="292"/>
      <c r="S416" s="292"/>
      <c r="T416" s="1121"/>
      <c r="U416" s="1121"/>
      <c r="V416" s="1121"/>
      <c r="W416" s="1121"/>
      <c r="X416" s="1121"/>
      <c r="Y416" s="1121"/>
      <c r="Z416" s="1121"/>
      <c r="AA416" s="1121"/>
      <c r="AB416" s="1121"/>
      <c r="AC416" s="1121"/>
      <c r="AD416" s="1121"/>
      <c r="AE416" s="1121"/>
      <c r="AF416" s="1121"/>
      <c r="AG416" s="288" t="s">
        <v>695</v>
      </c>
      <c r="AH416" s="1121" t="s">
        <v>695</v>
      </c>
      <c r="AI416" s="289" t="s">
        <v>695</v>
      </c>
      <c r="AJ416" s="1121"/>
      <c r="AK416" s="1121"/>
      <c r="AL416" s="1121"/>
      <c r="AM416" s="1121"/>
      <c r="AN416" s="315"/>
      <c r="AO416" s="315"/>
      <c r="AP416" s="315"/>
      <c r="AQ416" s="315">
        <f>+FL_2($T$417,$T$415,$G$416,1200,9.28, 1*$R$417)</f>
        <v>-0.39811022346867353</v>
      </c>
      <c r="AR416" s="315"/>
      <c r="AS416" s="315"/>
      <c r="AT416" s="315"/>
      <c r="AU416" s="315"/>
      <c r="AV416" s="315"/>
      <c r="AW416" s="315"/>
      <c r="AX416" s="315"/>
      <c r="AY416" s="315"/>
      <c r="AZ416" s="315"/>
      <c r="BA416" s="315"/>
      <c r="BB416" s="306"/>
      <c r="BF416" s="1119"/>
      <c r="BG416" s="1119"/>
      <c r="BH416" s="1119"/>
    </row>
    <row r="417" spans="1:60" ht="14.25">
      <c r="A417" s="340"/>
      <c r="B417" s="1036" t="s">
        <v>2434</v>
      </c>
      <c r="C417" s="288">
        <f>+$C$415+$G$416</f>
        <v>21368.999999999996</v>
      </c>
      <c r="D417" s="1121"/>
      <c r="E417" s="1121">
        <v>-60</v>
      </c>
      <c r="F417" s="289">
        <v>-3500</v>
      </c>
      <c r="G417" s="292"/>
      <c r="H417" s="291" t="s">
        <v>651</v>
      </c>
      <c r="I417" s="289"/>
      <c r="J417" s="450"/>
      <c r="K417" s="1121"/>
      <c r="L417" s="1121" t="s">
        <v>231</v>
      </c>
      <c r="M417" s="1121" t="s">
        <v>2756</v>
      </c>
      <c r="N417" s="291" t="s">
        <v>144</v>
      </c>
      <c r="O417" s="291" t="s">
        <v>140</v>
      </c>
      <c r="P417" s="291"/>
      <c r="Q417" s="1121">
        <v>53</v>
      </c>
      <c r="R417" s="292">
        <v>-3502.35</v>
      </c>
      <c r="S417" s="292"/>
      <c r="T417" s="1121">
        <v>-20</v>
      </c>
      <c r="U417" s="1121">
        <v>-65</v>
      </c>
      <c r="V417" s="1121"/>
      <c r="W417" s="1121">
        <v>1.4</v>
      </c>
      <c r="X417" s="1121">
        <v>2.2999999999999998</v>
      </c>
      <c r="Y417" s="1121"/>
      <c r="Z417" s="1121"/>
      <c r="AA417" s="1121">
        <v>0.5</v>
      </c>
      <c r="AB417" s="1121"/>
      <c r="AC417" s="1121" t="s">
        <v>1704</v>
      </c>
      <c r="AD417" s="1121"/>
      <c r="AE417" s="1121"/>
      <c r="AF417" s="1121">
        <v>6000</v>
      </c>
      <c r="AG417" s="288">
        <v>21369</v>
      </c>
      <c r="AH417" s="1121">
        <v>2551</v>
      </c>
      <c r="AI417" s="289">
        <v>641</v>
      </c>
      <c r="AJ417" s="1121"/>
      <c r="AK417" s="1121"/>
      <c r="AL417" s="1121"/>
      <c r="AM417" s="1121" t="s">
        <v>1228</v>
      </c>
      <c r="AN417" s="315">
        <v>5.5</v>
      </c>
      <c r="AO417" s="315"/>
      <c r="AP417" s="315"/>
      <c r="AQ417" s="315"/>
      <c r="AR417" s="315"/>
      <c r="AS417" s="315"/>
      <c r="AT417" s="315" t="e">
        <f>+ab($T$417,$T$415,$T$419,$S$416,$S$418, 1*$R$417,1200)</f>
        <v>#VALUE!</v>
      </c>
      <c r="AU417" s="315"/>
      <c r="AV417" s="315"/>
      <c r="AW417" s="315" t="s">
        <v>2634</v>
      </c>
      <c r="AX417" s="315" t="s">
        <v>1641</v>
      </c>
      <c r="AY417" s="315">
        <v>4.2</v>
      </c>
      <c r="AZ417" s="315"/>
      <c r="BA417" s="1025" t="s">
        <v>3012</v>
      </c>
      <c r="BB417" s="306"/>
      <c r="BF417" s="1119"/>
      <c r="BG417" s="1119"/>
      <c r="BH417" s="1119"/>
    </row>
    <row r="418" spans="1:60" ht="14.25">
      <c r="A418" s="340"/>
      <c r="B418" s="287"/>
      <c r="C418" s="288"/>
      <c r="D418" s="1121"/>
      <c r="E418" s="1121"/>
      <c r="F418" s="289"/>
      <c r="G418" s="292">
        <v>52</v>
      </c>
      <c r="H418" s="291"/>
      <c r="I418" s="291"/>
      <c r="J418" s="288"/>
      <c r="K418" s="1121"/>
      <c r="L418" s="1121"/>
      <c r="M418" s="1121"/>
      <c r="N418" s="1121"/>
      <c r="O418" s="1121"/>
      <c r="P418" s="291"/>
      <c r="Q418" s="1121"/>
      <c r="R418" s="292"/>
      <c r="S418" s="292"/>
      <c r="T418" s="1121"/>
      <c r="U418" s="1121"/>
      <c r="V418" s="1121"/>
      <c r="W418" s="1121"/>
      <c r="X418" s="1121"/>
      <c r="Y418" s="1121"/>
      <c r="Z418" s="1121"/>
      <c r="AA418" s="1121"/>
      <c r="AB418" s="1121"/>
      <c r="AC418" s="1121"/>
      <c r="AD418" s="1121"/>
      <c r="AE418" s="1121"/>
      <c r="AF418" s="1121"/>
      <c r="AG418" s="288" t="s">
        <v>695</v>
      </c>
      <c r="AH418" s="1121" t="s">
        <v>695</v>
      </c>
      <c r="AI418" s="289" t="s">
        <v>695</v>
      </c>
      <c r="AJ418" s="1121"/>
      <c r="AK418" s="1121"/>
      <c r="AL418" s="1121"/>
      <c r="AM418" s="1121"/>
      <c r="AN418" s="315"/>
      <c r="AO418" s="315"/>
      <c r="AP418" s="315"/>
      <c r="AQ418" s="315">
        <f>+FL_2($T$419,$T$417,$G$418,1200,9.28, 1*$R$419)</f>
        <v>-0.36487870575666365</v>
      </c>
      <c r="AR418" s="315"/>
      <c r="AS418" s="315"/>
      <c r="AT418" s="315"/>
      <c r="AU418" s="315"/>
      <c r="AV418" s="315"/>
      <c r="AW418" s="315"/>
      <c r="AX418" s="315"/>
      <c r="AY418" s="315" t="s">
        <v>695</v>
      </c>
      <c r="AZ418" s="315"/>
      <c r="BA418" s="315"/>
      <c r="BB418" s="306"/>
      <c r="BF418" s="1119"/>
      <c r="BG418" s="1119"/>
      <c r="BH418" s="1119"/>
    </row>
    <row r="419" spans="1:60" ht="14.25">
      <c r="A419" s="340"/>
      <c r="B419" s="1036" t="s">
        <v>2435</v>
      </c>
      <c r="C419" s="288">
        <f>+$C$417+$G$418</f>
        <v>21420.999999999996</v>
      </c>
      <c r="D419" s="1121"/>
      <c r="E419" s="1121">
        <v>-60</v>
      </c>
      <c r="F419" s="289">
        <v>-3500</v>
      </c>
      <c r="G419" s="292"/>
      <c r="H419" s="291" t="s">
        <v>138</v>
      </c>
      <c r="I419" s="294" t="s">
        <v>656</v>
      </c>
      <c r="J419" s="288"/>
      <c r="K419" s="1121"/>
      <c r="L419" s="1121" t="s">
        <v>1061</v>
      </c>
      <c r="M419" s="1121" t="s">
        <v>2672</v>
      </c>
      <c r="N419" s="291" t="s">
        <v>144</v>
      </c>
      <c r="O419" s="1121"/>
      <c r="P419" s="1121"/>
      <c r="Q419" s="1121">
        <v>57</v>
      </c>
      <c r="R419" s="292">
        <v>-3502.35</v>
      </c>
      <c r="S419" s="292"/>
      <c r="T419" s="1121">
        <v>-20</v>
      </c>
      <c r="U419" s="1121"/>
      <c r="V419" s="1121"/>
      <c r="W419" s="1121">
        <v>1.4</v>
      </c>
      <c r="X419" s="1121"/>
      <c r="Y419" s="1121"/>
      <c r="Z419" s="1121"/>
      <c r="AA419" s="1121"/>
      <c r="AB419" s="1121"/>
      <c r="AC419" s="1121" t="s">
        <v>1704</v>
      </c>
      <c r="AD419" s="1121"/>
      <c r="AE419" s="1121"/>
      <c r="AF419" s="1121">
        <v>6000</v>
      </c>
      <c r="AG419" s="288">
        <v>21421</v>
      </c>
      <c r="AH419" s="1121">
        <v>2613</v>
      </c>
      <c r="AI419" s="289">
        <v>623</v>
      </c>
      <c r="AJ419" s="1121"/>
      <c r="AK419" s="1121"/>
      <c r="AL419" s="1121"/>
      <c r="AM419" s="1121" t="s">
        <v>1228</v>
      </c>
      <c r="AN419" s="315">
        <v>5.5</v>
      </c>
      <c r="AO419" s="315"/>
      <c r="AP419" s="315"/>
      <c r="AQ419" s="315"/>
      <c r="AR419" s="315"/>
      <c r="AS419" s="315"/>
      <c r="AT419" s="315" t="e">
        <f>+ab($T$419,$T$417,$T$421,$S$418,$S$420, 1*$R$419,1200)</f>
        <v>#VALUE!</v>
      </c>
      <c r="AU419" s="315"/>
      <c r="AV419" s="315"/>
      <c r="AW419" s="315" t="s">
        <v>2630</v>
      </c>
      <c r="AX419" s="315" t="s">
        <v>1639</v>
      </c>
      <c r="AY419" s="315">
        <v>3.4</v>
      </c>
      <c r="AZ419" s="315"/>
      <c r="BA419" s="1025" t="s">
        <v>3012</v>
      </c>
      <c r="BB419" s="306"/>
      <c r="BF419" s="1119"/>
      <c r="BG419" s="1119"/>
      <c r="BH419" s="1119"/>
    </row>
    <row r="420" spans="1:60" ht="14.25">
      <c r="A420" s="340"/>
      <c r="B420" s="287"/>
      <c r="C420" s="288"/>
      <c r="D420" s="1121"/>
      <c r="E420" s="1121"/>
      <c r="F420" s="289"/>
      <c r="G420" s="292">
        <v>54</v>
      </c>
      <c r="H420" s="291"/>
      <c r="I420" s="294"/>
      <c r="J420" s="288">
        <f>C419+7.5</f>
        <v>21428.499999999996</v>
      </c>
      <c r="K420" s="1121" t="s">
        <v>653</v>
      </c>
      <c r="L420" s="1121"/>
      <c r="M420" s="1121"/>
      <c r="N420" s="291"/>
      <c r="O420" s="291"/>
      <c r="P420" s="291"/>
      <c r="Q420" s="1121"/>
      <c r="R420" s="292"/>
      <c r="S420" s="292"/>
      <c r="T420" s="1121"/>
      <c r="U420" s="1121"/>
      <c r="V420" s="1121"/>
      <c r="W420" s="1121"/>
      <c r="X420" s="1121"/>
      <c r="Y420" s="1121"/>
      <c r="Z420" s="1121"/>
      <c r="AA420" s="1121"/>
      <c r="AB420" s="1121"/>
      <c r="AC420" s="1121"/>
      <c r="AD420" s="1121"/>
      <c r="AE420" s="1121"/>
      <c r="AF420" s="1121"/>
      <c r="AG420" s="288" t="s">
        <v>695</v>
      </c>
      <c r="AH420" s="1121" t="s">
        <v>695</v>
      </c>
      <c r="AI420" s="289" t="s">
        <v>695</v>
      </c>
      <c r="AJ420" s="1121"/>
      <c r="AK420" s="1121"/>
      <c r="AL420" s="1121"/>
      <c r="AM420" s="1121"/>
      <c r="AN420" s="315"/>
      <c r="AO420" s="315"/>
      <c r="AP420" s="315"/>
      <c r="AQ420" s="315">
        <f>+FL_2($T$421,$T$419,$G$420,1200,9.28, 1*$R$421)</f>
        <v>-0.37780547410939003</v>
      </c>
      <c r="AR420" s="315"/>
      <c r="AS420" s="315"/>
      <c r="AT420" s="315"/>
      <c r="AU420" s="315"/>
      <c r="AV420" s="315"/>
      <c r="AW420" s="315" t="s">
        <v>2630</v>
      </c>
      <c r="AX420" s="315" t="s">
        <v>1639</v>
      </c>
      <c r="AY420" s="315" t="s">
        <v>695</v>
      </c>
      <c r="AZ420" s="315">
        <v>2.5</v>
      </c>
      <c r="BA420" s="1025" t="s">
        <v>3012</v>
      </c>
      <c r="BB420" s="306"/>
      <c r="BF420" s="1119"/>
      <c r="BG420" s="1119"/>
      <c r="BH420" s="1119"/>
    </row>
    <row r="421" spans="1:60" ht="14.25">
      <c r="A421" s="340"/>
      <c r="B421" s="287" t="s">
        <v>2436</v>
      </c>
      <c r="C421" s="288">
        <f>+$C$419+$G$420</f>
        <v>21474.999999999996</v>
      </c>
      <c r="D421" s="1121"/>
      <c r="E421" s="1121">
        <v>-60</v>
      </c>
      <c r="F421" s="289">
        <v>-3500</v>
      </c>
      <c r="G421" s="292"/>
      <c r="H421" s="291"/>
      <c r="I421" s="291"/>
      <c r="J421" s="288"/>
      <c r="K421" s="1121"/>
      <c r="L421" s="1121" t="s">
        <v>230</v>
      </c>
      <c r="M421" s="1121" t="s">
        <v>2671</v>
      </c>
      <c r="N421" s="291" t="s">
        <v>144</v>
      </c>
      <c r="O421" s="291"/>
      <c r="P421" s="291"/>
      <c r="Q421" s="1121">
        <v>56</v>
      </c>
      <c r="R421" s="292">
        <v>-3502.35</v>
      </c>
      <c r="S421" s="292"/>
      <c r="T421" s="1121">
        <v>-20</v>
      </c>
      <c r="U421" s="1121"/>
      <c r="V421" s="1121"/>
      <c r="W421" s="1121">
        <v>1.4</v>
      </c>
      <c r="X421" s="1121"/>
      <c r="Y421" s="1121"/>
      <c r="Z421" s="1121"/>
      <c r="AA421" s="1121"/>
      <c r="AB421" s="1121"/>
      <c r="AC421" s="1121" t="s">
        <v>1704</v>
      </c>
      <c r="AD421" s="1121"/>
      <c r="AE421" s="1121"/>
      <c r="AF421" s="1121">
        <v>6000</v>
      </c>
      <c r="AG421" s="288">
        <v>21475.49</v>
      </c>
      <c r="AH421" s="1121">
        <v>2578</v>
      </c>
      <c r="AI421" s="289">
        <v>629</v>
      </c>
      <c r="AJ421" s="1121"/>
      <c r="AK421" s="1121"/>
      <c r="AL421" s="1121"/>
      <c r="AM421" s="1121" t="s">
        <v>1228</v>
      </c>
      <c r="AN421" s="315">
        <v>5.5</v>
      </c>
      <c r="AO421" s="315"/>
      <c r="AP421" s="315"/>
      <c r="AQ421" s="315"/>
      <c r="AR421" s="315"/>
      <c r="AS421" s="315"/>
      <c r="AT421" s="315" t="e">
        <f>+ab($T$421,$T$419,$T$423,$S$420,$S$422, 1*$R$421,1200)</f>
        <v>#VALUE!</v>
      </c>
      <c r="AU421" s="315"/>
      <c r="AV421" s="315"/>
      <c r="AW421" s="315" t="s">
        <v>2630</v>
      </c>
      <c r="AX421" s="315" t="s">
        <v>1639</v>
      </c>
      <c r="AY421" s="315">
        <v>3.4</v>
      </c>
      <c r="AZ421" s="315"/>
      <c r="BA421" s="315"/>
      <c r="BB421" s="306"/>
      <c r="BF421" s="1119"/>
      <c r="BG421" s="1119"/>
      <c r="BH421" s="1119"/>
    </row>
    <row r="422" spans="1:60" ht="14.25">
      <c r="A422" s="340"/>
      <c r="B422" s="287"/>
      <c r="C422" s="288"/>
      <c r="D422" s="1121"/>
      <c r="E422" s="1121"/>
      <c r="F422" s="289"/>
      <c r="G422" s="292">
        <v>55</v>
      </c>
      <c r="H422" s="291"/>
      <c r="I422" s="291"/>
      <c r="J422" s="288"/>
      <c r="K422" s="1121"/>
      <c r="L422" s="1121"/>
      <c r="M422" s="1121"/>
      <c r="N422" s="1121"/>
      <c r="O422" s="291"/>
      <c r="P422" s="291"/>
      <c r="Q422" s="1121"/>
      <c r="R422" s="292"/>
      <c r="S422" s="292">
        <f t="shared" si="43"/>
        <v>54.989999999997963</v>
      </c>
      <c r="T422" s="1121"/>
      <c r="U422" s="1121"/>
      <c r="V422" s="1121"/>
      <c r="W422" s="1121"/>
      <c r="X422" s="1121"/>
      <c r="Y422" s="1121"/>
      <c r="Z422" s="1121"/>
      <c r="AA422" s="1121"/>
      <c r="AB422" s="1121"/>
      <c r="AC422" s="1121"/>
      <c r="AD422" s="1121"/>
      <c r="AE422" s="1121"/>
      <c r="AF422" s="1121"/>
      <c r="AG422" s="288" t="s">
        <v>695</v>
      </c>
      <c r="AH422" s="1121" t="s">
        <v>695</v>
      </c>
      <c r="AI422" s="289" t="s">
        <v>695</v>
      </c>
      <c r="AJ422" s="1121"/>
      <c r="AK422" s="1121"/>
      <c r="AL422" s="1121"/>
      <c r="AM422" s="1121"/>
      <c r="AN422" s="315"/>
      <c r="AO422" s="315"/>
      <c r="AP422" s="315"/>
      <c r="AQ422" s="315">
        <f>+FL_2($T$423,$T$421,$S$422,1200,9.28, 1*$R$423)</f>
        <v>-0.38438470512051454</v>
      </c>
      <c r="AR422" s="315"/>
      <c r="AS422" s="315"/>
      <c r="AT422" s="315"/>
      <c r="AU422" s="315"/>
      <c r="AV422" s="315"/>
      <c r="AW422" s="315"/>
      <c r="AX422" s="315"/>
      <c r="AY422" s="315" t="s">
        <v>695</v>
      </c>
      <c r="AZ422" s="315"/>
      <c r="BA422" s="315"/>
      <c r="BB422" s="306"/>
      <c r="BF422" s="1119"/>
      <c r="BG422" s="1119"/>
      <c r="BH422" s="1119"/>
    </row>
    <row r="423" spans="1:60" ht="14.25">
      <c r="A423" s="340"/>
      <c r="B423" s="287" t="s">
        <v>2437</v>
      </c>
      <c r="C423" s="288">
        <f>+$C$421+$G$422</f>
        <v>21529.999999999996</v>
      </c>
      <c r="D423" s="1121"/>
      <c r="E423" s="1121">
        <v>-60</v>
      </c>
      <c r="F423" s="289">
        <v>-3500</v>
      </c>
      <c r="G423" s="292"/>
      <c r="H423" s="291"/>
      <c r="I423" s="294"/>
      <c r="J423" s="288"/>
      <c r="K423" s="1121"/>
      <c r="L423" s="1121" t="s">
        <v>230</v>
      </c>
      <c r="M423" s="1121" t="s">
        <v>2671</v>
      </c>
      <c r="N423" s="291" t="s">
        <v>144</v>
      </c>
      <c r="O423" s="291"/>
      <c r="P423" s="291"/>
      <c r="Q423" s="1121">
        <v>60</v>
      </c>
      <c r="R423" s="292">
        <v>-3502.35</v>
      </c>
      <c r="S423" s="292"/>
      <c r="T423" s="1121">
        <v>-20</v>
      </c>
      <c r="U423" s="1121"/>
      <c r="V423" s="1121"/>
      <c r="W423" s="1121">
        <v>1.4</v>
      </c>
      <c r="X423" s="1121"/>
      <c r="Y423" s="1121"/>
      <c r="Z423" s="1121"/>
      <c r="AA423" s="1121"/>
      <c r="AB423" s="1121"/>
      <c r="AC423" s="1121" t="s">
        <v>1704</v>
      </c>
      <c r="AD423" s="1121"/>
      <c r="AE423" s="1121"/>
      <c r="AF423" s="1121">
        <v>6000</v>
      </c>
      <c r="AG423" s="288">
        <v>21530.48</v>
      </c>
      <c r="AH423" s="1121">
        <v>2587</v>
      </c>
      <c r="AI423" s="289">
        <v>656</v>
      </c>
      <c r="AJ423" s="1121"/>
      <c r="AK423" s="1121"/>
      <c r="AL423" s="1121"/>
      <c r="AM423" s="1121" t="s">
        <v>1228</v>
      </c>
      <c r="AN423" s="315">
        <v>5.5</v>
      </c>
      <c r="AO423" s="315"/>
      <c r="AP423" s="315"/>
      <c r="AQ423" s="315"/>
      <c r="AR423" s="315"/>
      <c r="AS423" s="315"/>
      <c r="AT423" s="315">
        <f>+ab($T$423,$T$421,$T$425,$S$422,$S$424, 1*$R$423,1200)</f>
        <v>-11.931753642135728</v>
      </c>
      <c r="AU423" s="315"/>
      <c r="AV423" s="315"/>
      <c r="AW423" s="315" t="s">
        <v>2630</v>
      </c>
      <c r="AX423" s="315" t="s">
        <v>1639</v>
      </c>
      <c r="AY423" s="315">
        <v>3.4</v>
      </c>
      <c r="AZ423" s="315"/>
      <c r="BA423" s="315"/>
      <c r="BB423" s="306"/>
      <c r="BF423" s="1119"/>
      <c r="BG423" s="1119"/>
      <c r="BH423" s="1119"/>
    </row>
    <row r="424" spans="1:60" ht="14.25">
      <c r="A424" s="340"/>
      <c r="B424" s="287"/>
      <c r="C424" s="288"/>
      <c r="D424" s="1121"/>
      <c r="E424" s="1121"/>
      <c r="F424" s="289"/>
      <c r="G424" s="292">
        <v>56</v>
      </c>
      <c r="H424" s="291"/>
      <c r="I424" s="291"/>
      <c r="J424" s="288"/>
      <c r="K424" s="1121"/>
      <c r="L424" s="1121"/>
      <c r="M424" s="1121"/>
      <c r="N424" s="291"/>
      <c r="O424" s="291"/>
      <c r="P424" s="291"/>
      <c r="Q424" s="1121"/>
      <c r="R424" s="292"/>
      <c r="S424" s="292">
        <f t="shared" si="43"/>
        <v>56.029999999998836</v>
      </c>
      <c r="T424" s="1121"/>
      <c r="U424" s="1121"/>
      <c r="V424" s="1121"/>
      <c r="W424" s="1121"/>
      <c r="X424" s="1121"/>
      <c r="Y424" s="1121"/>
      <c r="Z424" s="1121"/>
      <c r="AA424" s="1121"/>
      <c r="AB424" s="1121"/>
      <c r="AC424" s="1121"/>
      <c r="AD424" s="1121"/>
      <c r="AE424" s="1121"/>
      <c r="AF424" s="1121"/>
      <c r="AG424" s="288" t="s">
        <v>695</v>
      </c>
      <c r="AH424" s="1121" t="s">
        <v>695</v>
      </c>
      <c r="AI424" s="289" t="s">
        <v>695</v>
      </c>
      <c r="AJ424" s="1121"/>
      <c r="AK424" s="1121"/>
      <c r="AL424" s="1121"/>
      <c r="AM424" s="1121"/>
      <c r="AN424" s="315"/>
      <c r="AO424" s="315"/>
      <c r="AP424" s="315"/>
      <c r="AQ424" s="315">
        <f>+FL_2($T$425,$T$423,$S$424,1200,9.28, 1*$R$425)</f>
        <v>-0.39142495321977744</v>
      </c>
      <c r="AR424" s="315"/>
      <c r="AS424" s="315"/>
      <c r="AT424" s="315"/>
      <c r="AU424" s="315"/>
      <c r="AV424" s="315"/>
      <c r="AW424" s="315"/>
      <c r="AX424" s="315"/>
      <c r="AY424" s="315" t="s">
        <v>695</v>
      </c>
      <c r="AZ424" s="315"/>
      <c r="BA424" s="315"/>
      <c r="BB424" s="306"/>
      <c r="BF424" s="1119"/>
      <c r="BG424" s="1119"/>
      <c r="BH424" s="1119"/>
    </row>
    <row r="425" spans="1:60" ht="14.25">
      <c r="A425" s="340"/>
      <c r="B425" s="287" t="s">
        <v>2438</v>
      </c>
      <c r="C425" s="288">
        <f>+$C$423+$G$424</f>
        <v>21585.999999999996</v>
      </c>
      <c r="D425" s="1121"/>
      <c r="E425" s="1121">
        <v>-60</v>
      </c>
      <c r="F425" s="289">
        <v>-3500</v>
      </c>
      <c r="G425" s="292"/>
      <c r="H425" s="291"/>
      <c r="I425" s="291"/>
      <c r="J425" s="288"/>
      <c r="K425" s="1121"/>
      <c r="L425" s="1121" t="s">
        <v>230</v>
      </c>
      <c r="M425" s="1121" t="s">
        <v>2671</v>
      </c>
      <c r="N425" s="291" t="s">
        <v>144</v>
      </c>
      <c r="O425" s="291"/>
      <c r="P425" s="291"/>
      <c r="Q425" s="1121">
        <v>59</v>
      </c>
      <c r="R425" s="292">
        <v>-3502.35</v>
      </c>
      <c r="S425" s="292"/>
      <c r="T425" s="1121">
        <v>-20</v>
      </c>
      <c r="U425" s="1121"/>
      <c r="V425" s="1121"/>
      <c r="W425" s="1121">
        <v>1.4</v>
      </c>
      <c r="X425" s="1121"/>
      <c r="Y425" s="1121"/>
      <c r="Z425" s="1121"/>
      <c r="AA425" s="1121"/>
      <c r="AB425" s="1121"/>
      <c r="AC425" s="1121" t="s">
        <v>1704</v>
      </c>
      <c r="AD425" s="1121"/>
      <c r="AE425" s="1121"/>
      <c r="AF425" s="1121">
        <v>6000</v>
      </c>
      <c r="AG425" s="288">
        <v>21586.51</v>
      </c>
      <c r="AH425" s="1121">
        <v>2555</v>
      </c>
      <c r="AI425" s="289">
        <v>669</v>
      </c>
      <c r="AJ425" s="1121"/>
      <c r="AK425" s="1121"/>
      <c r="AL425" s="1121"/>
      <c r="AM425" s="1121" t="s">
        <v>1228</v>
      </c>
      <c r="AN425" s="315">
        <v>5.5</v>
      </c>
      <c r="AO425" s="315"/>
      <c r="AP425" s="315"/>
      <c r="AQ425" s="315"/>
      <c r="AR425" s="315"/>
      <c r="AS425" s="315"/>
      <c r="AT425" s="315">
        <f>+ab($T$425,$T$423,$T$427,$S$424,$S$426, 1*$R$425,1200)</f>
        <v>-11.922365513019981</v>
      </c>
      <c r="AU425" s="315"/>
      <c r="AV425" s="315"/>
      <c r="AW425" s="315" t="s">
        <v>2630</v>
      </c>
      <c r="AX425" s="315" t="s">
        <v>1639</v>
      </c>
      <c r="AY425" s="315">
        <v>3.4</v>
      </c>
      <c r="AZ425" s="315"/>
      <c r="BA425" s="315"/>
      <c r="BB425" s="306"/>
      <c r="BF425" s="1119"/>
      <c r="BG425" s="1119"/>
      <c r="BH425" s="1119"/>
    </row>
    <row r="426" spans="1:60" ht="14.25">
      <c r="A426" s="340"/>
      <c r="B426" s="287"/>
      <c r="C426" s="288"/>
      <c r="D426" s="1121"/>
      <c r="E426" s="1121"/>
      <c r="F426" s="289"/>
      <c r="G426" s="292">
        <v>55</v>
      </c>
      <c r="H426" s="291"/>
      <c r="I426" s="294"/>
      <c r="J426" s="288"/>
      <c r="K426" s="1121"/>
      <c r="L426" s="1121"/>
      <c r="M426" s="1121"/>
      <c r="N426" s="1121"/>
      <c r="O426" s="291"/>
      <c r="P426" s="291"/>
      <c r="Q426" s="1121"/>
      <c r="R426" s="292"/>
      <c r="S426" s="292">
        <f t="shared" si="43"/>
        <v>55.080000000001746</v>
      </c>
      <c r="T426" s="1121"/>
      <c r="U426" s="1121"/>
      <c r="V426" s="1121"/>
      <c r="W426" s="1121"/>
      <c r="X426" s="1121"/>
      <c r="Y426" s="1121"/>
      <c r="Z426" s="1121"/>
      <c r="AA426" s="1121"/>
      <c r="AB426" s="1121"/>
      <c r="AC426" s="1121"/>
      <c r="AD426" s="1121"/>
      <c r="AE426" s="1121"/>
      <c r="AF426" s="1121"/>
      <c r="AG426" s="288" t="s">
        <v>695</v>
      </c>
      <c r="AH426" s="1121" t="s">
        <v>695</v>
      </c>
      <c r="AI426" s="289" t="s">
        <v>695</v>
      </c>
      <c r="AJ426" s="1121"/>
      <c r="AK426" s="1121"/>
      <c r="AL426" s="1121"/>
      <c r="AM426" s="1121"/>
      <c r="AN426" s="315"/>
      <c r="AO426" s="315"/>
      <c r="AP426" s="315"/>
      <c r="AQ426" s="315">
        <f>+FL_2($T$427,$T$425,$S$426,1200,9.28, 1*$R$427)</f>
        <v>-0.38498875026586965</v>
      </c>
      <c r="AR426" s="315"/>
      <c r="AS426" s="315"/>
      <c r="AT426" s="315"/>
      <c r="AU426" s="315"/>
      <c r="AV426" s="315"/>
      <c r="AW426" s="315"/>
      <c r="AX426" s="315"/>
      <c r="AY426" s="315" t="s">
        <v>695</v>
      </c>
      <c r="AZ426" s="315"/>
      <c r="BA426" s="315"/>
      <c r="BB426" s="306"/>
      <c r="BF426" s="1119"/>
      <c r="BG426" s="1119"/>
      <c r="BH426" s="1119"/>
    </row>
    <row r="427" spans="1:60" ht="14.25">
      <c r="A427" s="340"/>
      <c r="B427" s="287" t="s">
        <v>2439</v>
      </c>
      <c r="C427" s="288">
        <f>+$C$425+$G$426</f>
        <v>21640.999999999996</v>
      </c>
      <c r="D427" s="1121"/>
      <c r="E427" s="1121">
        <v>-60</v>
      </c>
      <c r="F427" s="289">
        <v>-3500</v>
      </c>
      <c r="G427" s="292"/>
      <c r="H427" s="291"/>
      <c r="I427" s="291"/>
      <c r="J427" s="288"/>
      <c r="K427" s="1121"/>
      <c r="L427" s="1121" t="s">
        <v>230</v>
      </c>
      <c r="M427" s="1121" t="s">
        <v>2671</v>
      </c>
      <c r="N427" s="291" t="s">
        <v>144</v>
      </c>
      <c r="O427" s="291"/>
      <c r="P427" s="291"/>
      <c r="Q427" s="1121">
        <v>59</v>
      </c>
      <c r="R427" s="292">
        <v>-3502.35</v>
      </c>
      <c r="S427" s="292"/>
      <c r="T427" s="1121">
        <v>-20</v>
      </c>
      <c r="U427" s="1121"/>
      <c r="V427" s="1121"/>
      <c r="W427" s="1121">
        <v>1.4</v>
      </c>
      <c r="X427" s="1121"/>
      <c r="Y427" s="1121"/>
      <c r="Z427" s="1121"/>
      <c r="AA427" s="1121"/>
      <c r="AB427" s="1121"/>
      <c r="AC427" s="1121" t="s">
        <v>1704</v>
      </c>
      <c r="AD427" s="1121"/>
      <c r="AE427" s="1121"/>
      <c r="AF427" s="1121">
        <v>6000</v>
      </c>
      <c r="AG427" s="288">
        <v>21641.59</v>
      </c>
      <c r="AH427" s="1121">
        <v>2578</v>
      </c>
      <c r="AI427" s="289">
        <v>646</v>
      </c>
      <c r="AJ427" s="1121"/>
      <c r="AK427" s="1121"/>
      <c r="AL427" s="1121"/>
      <c r="AM427" s="1121" t="s">
        <v>1228</v>
      </c>
      <c r="AN427" s="315">
        <v>5.5</v>
      </c>
      <c r="AO427" s="315"/>
      <c r="AP427" s="315"/>
      <c r="AQ427" s="315"/>
      <c r="AR427" s="315"/>
      <c r="AS427" s="315"/>
      <c r="AT427" s="315">
        <f>+ab($T$427,$T$425,$T$429,$S$426,$S$428, 1*$R$427,1200)</f>
        <v>-11.923407919420164</v>
      </c>
      <c r="AU427" s="315"/>
      <c r="AV427" s="315"/>
      <c r="AW427" s="315" t="s">
        <v>2630</v>
      </c>
      <c r="AX427" s="315" t="s">
        <v>1639</v>
      </c>
      <c r="AY427" s="315">
        <v>3.4</v>
      </c>
      <c r="AZ427" s="315"/>
      <c r="BA427" s="315"/>
      <c r="BB427" s="306"/>
      <c r="BF427" s="1119"/>
      <c r="BG427" s="1119"/>
      <c r="BH427" s="1119"/>
    </row>
    <row r="428" spans="1:60" ht="14.25">
      <c r="A428" s="340"/>
      <c r="B428" s="287"/>
      <c r="C428" s="288"/>
      <c r="D428" s="1121"/>
      <c r="E428" s="1121"/>
      <c r="F428" s="289"/>
      <c r="G428" s="292">
        <v>56</v>
      </c>
      <c r="H428" s="291"/>
      <c r="I428" s="294"/>
      <c r="J428" s="288"/>
      <c r="K428" s="1121"/>
      <c r="L428" s="1121"/>
      <c r="M428" s="1121"/>
      <c r="N428" s="291"/>
      <c r="O428" s="291"/>
      <c r="P428" s="291"/>
      <c r="Q428" s="1121"/>
      <c r="R428" s="292"/>
      <c r="S428" s="292">
        <f t="shared" si="43"/>
        <v>56.020000000000437</v>
      </c>
      <c r="T428" s="1121"/>
      <c r="U428" s="1121"/>
      <c r="V428" s="1121"/>
      <c r="W428" s="1121"/>
      <c r="X428" s="1121"/>
      <c r="Y428" s="1121"/>
      <c r="Z428" s="1121"/>
      <c r="AA428" s="1121"/>
      <c r="AB428" s="1121"/>
      <c r="AC428" s="1121"/>
      <c r="AD428" s="1121"/>
      <c r="AE428" s="1121"/>
      <c r="AF428" s="1121"/>
      <c r="AG428" s="288" t="s">
        <v>695</v>
      </c>
      <c r="AH428" s="1121" t="s">
        <v>695</v>
      </c>
      <c r="AI428" s="289" t="s">
        <v>695</v>
      </c>
      <c r="AJ428" s="1121"/>
      <c r="AK428" s="1121"/>
      <c r="AL428" s="1121"/>
      <c r="AM428" s="1121"/>
      <c r="AN428" s="315"/>
      <c r="AO428" s="315"/>
      <c r="AP428" s="315"/>
      <c r="AQ428" s="315">
        <f>+FL_2($T$429,$T$427,$S$428,1200,9.28, 1*$R$429)</f>
        <v>-0.39135663660225972</v>
      </c>
      <c r="AR428" s="315"/>
      <c r="AS428" s="315"/>
      <c r="AT428" s="315"/>
      <c r="AU428" s="315"/>
      <c r="AV428" s="315"/>
      <c r="AW428" s="315"/>
      <c r="AX428" s="315"/>
      <c r="AY428" s="315" t="s">
        <v>695</v>
      </c>
      <c r="AZ428" s="315"/>
      <c r="BA428" s="315"/>
      <c r="BB428" s="306"/>
      <c r="BF428" s="1119"/>
      <c r="BG428" s="1119"/>
      <c r="BH428" s="1119"/>
    </row>
    <row r="429" spans="1:60" ht="14.25">
      <c r="A429" s="340"/>
      <c r="B429" s="287" t="s">
        <v>2440</v>
      </c>
      <c r="C429" s="288">
        <f>+$C$427+$G$428</f>
        <v>21696.999999999996</v>
      </c>
      <c r="D429" s="1121"/>
      <c r="E429" s="1121">
        <v>-60</v>
      </c>
      <c r="F429" s="289">
        <v>-3500</v>
      </c>
      <c r="G429" s="292"/>
      <c r="H429" s="291"/>
      <c r="I429" s="294"/>
      <c r="J429" s="288"/>
      <c r="K429" s="1121"/>
      <c r="L429" s="1121" t="s">
        <v>230</v>
      </c>
      <c r="M429" s="1121" t="s">
        <v>2671</v>
      </c>
      <c r="N429" s="291" t="s">
        <v>144</v>
      </c>
      <c r="O429" s="291"/>
      <c r="P429" s="291"/>
      <c r="Q429" s="1121">
        <v>56</v>
      </c>
      <c r="R429" s="292">
        <v>-3502.35</v>
      </c>
      <c r="S429" s="292"/>
      <c r="T429" s="1121">
        <v>-20</v>
      </c>
      <c r="U429" s="1121"/>
      <c r="V429" s="1121"/>
      <c r="W429" s="1121">
        <v>1.4</v>
      </c>
      <c r="X429" s="1121"/>
      <c r="Y429" s="1121"/>
      <c r="Z429" s="1121"/>
      <c r="AA429" s="1121"/>
      <c r="AB429" s="1121"/>
      <c r="AC429" s="1121" t="s">
        <v>1704</v>
      </c>
      <c r="AD429" s="1121"/>
      <c r="AE429" s="1121"/>
      <c r="AF429" s="1121">
        <v>6000</v>
      </c>
      <c r="AG429" s="288">
        <v>21697.61</v>
      </c>
      <c r="AH429" s="1121">
        <v>2641</v>
      </c>
      <c r="AI429" s="289">
        <v>621</v>
      </c>
      <c r="AJ429" s="1121"/>
      <c r="AK429" s="1121"/>
      <c r="AL429" s="1121"/>
      <c r="AM429" s="1121" t="s">
        <v>1228</v>
      </c>
      <c r="AN429" s="315">
        <v>5.5</v>
      </c>
      <c r="AO429" s="315"/>
      <c r="AP429" s="315"/>
      <c r="AQ429" s="315"/>
      <c r="AR429" s="315"/>
      <c r="AS429" s="315"/>
      <c r="AT429" s="315">
        <f>+ab($T$429,$T$427,$T$431,$S$428,$S$430, 1*$R$429,1200)</f>
        <v>-11.936975568120141</v>
      </c>
      <c r="AU429" s="315"/>
      <c r="AV429" s="315"/>
      <c r="AW429" s="315" t="s">
        <v>2630</v>
      </c>
      <c r="AX429" s="315" t="s">
        <v>1639</v>
      </c>
      <c r="AY429" s="315">
        <v>3.4</v>
      </c>
      <c r="AZ429" s="315"/>
      <c r="BA429" s="315"/>
      <c r="BB429" s="306"/>
      <c r="BF429" s="1119"/>
      <c r="BG429" s="1119"/>
      <c r="BH429" s="1119"/>
    </row>
    <row r="430" spans="1:60" ht="14.25">
      <c r="A430" s="340"/>
      <c r="B430" s="287"/>
      <c r="C430" s="288"/>
      <c r="D430" s="1121"/>
      <c r="E430" s="1121"/>
      <c r="F430" s="289"/>
      <c r="G430" s="292">
        <v>55</v>
      </c>
      <c r="H430" s="291"/>
      <c r="I430" s="294"/>
      <c r="J430" s="288"/>
      <c r="K430" s="1121"/>
      <c r="L430" s="1121"/>
      <c r="M430" s="1121"/>
      <c r="N430" s="1121"/>
      <c r="O430" s="291"/>
      <c r="P430" s="291"/>
      <c r="Q430" s="1121"/>
      <c r="R430" s="292"/>
      <c r="S430" s="292">
        <f t="shared" ref="S430" si="44">AG431-AG429</f>
        <v>54.950000000000728</v>
      </c>
      <c r="T430" s="1121"/>
      <c r="U430" s="1121"/>
      <c r="V430" s="1121"/>
      <c r="W430" s="1121"/>
      <c r="X430" s="1121"/>
      <c r="Y430" s="1121"/>
      <c r="Z430" s="1121"/>
      <c r="AA430" s="1121"/>
      <c r="AB430" s="1121"/>
      <c r="AC430" s="1121"/>
      <c r="AD430" s="1121"/>
      <c r="AE430" s="1121"/>
      <c r="AF430" s="1121"/>
      <c r="AG430" s="288" t="s">
        <v>695</v>
      </c>
      <c r="AH430" s="1121" t="s">
        <v>695</v>
      </c>
      <c r="AI430" s="289" t="s">
        <v>695</v>
      </c>
      <c r="AJ430" s="1121"/>
      <c r="AK430" s="1121"/>
      <c r="AL430" s="1121"/>
      <c r="AM430" s="1121"/>
      <c r="AN430" s="315"/>
      <c r="AO430" s="315"/>
      <c r="AP430" s="315"/>
      <c r="AQ430" s="315">
        <f>+FL_2($T$431,$T$429,$S$430,1200,9.28, 1*$R$431)</f>
        <v>-0.38411656038152059</v>
      </c>
      <c r="AR430" s="315"/>
      <c r="AS430" s="315"/>
      <c r="AT430" s="315"/>
      <c r="AU430" s="315"/>
      <c r="AV430" s="315"/>
      <c r="AW430" s="315"/>
      <c r="AX430" s="315"/>
      <c r="AY430" s="315" t="s">
        <v>695</v>
      </c>
      <c r="AZ430" s="315"/>
      <c r="BA430" s="315"/>
      <c r="BB430" s="306"/>
      <c r="BF430" s="1119"/>
      <c r="BG430" s="1119"/>
      <c r="BH430" s="1119"/>
    </row>
    <row r="431" spans="1:60" ht="14.25">
      <c r="A431" s="340"/>
      <c r="B431" s="287" t="s">
        <v>2441</v>
      </c>
      <c r="C431" s="288">
        <f>+$C$429+$G$430</f>
        <v>21751.999999999996</v>
      </c>
      <c r="D431" s="1121"/>
      <c r="E431" s="1121">
        <v>-60</v>
      </c>
      <c r="F431" s="289">
        <v>-3500</v>
      </c>
      <c r="G431" s="292"/>
      <c r="H431" s="292"/>
      <c r="I431" s="294"/>
      <c r="J431" s="288"/>
      <c r="K431" s="1121"/>
      <c r="L431" s="1121" t="s">
        <v>230</v>
      </c>
      <c r="M431" s="386" t="s">
        <v>2757</v>
      </c>
      <c r="N431" s="291" t="s">
        <v>144</v>
      </c>
      <c r="O431" s="291"/>
      <c r="P431" s="291"/>
      <c r="Q431" s="1121">
        <v>56</v>
      </c>
      <c r="R431" s="292">
        <v>-3502.35</v>
      </c>
      <c r="S431" s="292"/>
      <c r="T431" s="1121">
        <v>-20</v>
      </c>
      <c r="U431" s="1121"/>
      <c r="V431" s="1121"/>
      <c r="W431" s="1121">
        <v>1.4</v>
      </c>
      <c r="X431" s="1121"/>
      <c r="Y431" s="1121"/>
      <c r="Z431" s="1121"/>
      <c r="AA431" s="1121"/>
      <c r="AB431" s="1121"/>
      <c r="AC431" s="1121" t="s">
        <v>1704</v>
      </c>
      <c r="AD431" s="1121"/>
      <c r="AE431" s="1121"/>
      <c r="AF431" s="1121">
        <v>6000</v>
      </c>
      <c r="AG431" s="288">
        <v>21752.560000000001</v>
      </c>
      <c r="AH431" s="1121">
        <v>2566</v>
      </c>
      <c r="AI431" s="289">
        <v>667</v>
      </c>
      <c r="AJ431" s="1121"/>
      <c r="AK431" s="1121"/>
      <c r="AL431" s="1121"/>
      <c r="AM431" s="1121" t="s">
        <v>1228</v>
      </c>
      <c r="AN431" s="315">
        <v>5.5</v>
      </c>
      <c r="AO431" s="315"/>
      <c r="AP431" s="315"/>
      <c r="AQ431" s="315"/>
      <c r="AR431" s="315"/>
      <c r="AS431" s="315"/>
      <c r="AT431" s="315">
        <f>+ab($T$431,$T$429,$T$433,$S$430,$S$432, 1*$R$431,1200)</f>
        <v>-12.10863723492386</v>
      </c>
      <c r="AU431" s="315"/>
      <c r="AV431" s="315"/>
      <c r="AW431" s="315" t="s">
        <v>2634</v>
      </c>
      <c r="AX431" s="315" t="s">
        <v>1641</v>
      </c>
      <c r="AY431" s="315">
        <v>4.2</v>
      </c>
      <c r="AZ431" s="315"/>
      <c r="BA431" s="315"/>
      <c r="BB431" s="306"/>
      <c r="BF431" s="1119"/>
      <c r="BG431" s="1119"/>
      <c r="BH431" s="1119"/>
    </row>
    <row r="432" spans="1:60" ht="14.25">
      <c r="A432" s="340"/>
      <c r="B432" s="287"/>
      <c r="C432" s="288"/>
      <c r="D432" s="1121"/>
      <c r="E432" s="1121"/>
      <c r="F432" s="289"/>
      <c r="G432" s="292">
        <v>55</v>
      </c>
      <c r="H432" s="291"/>
      <c r="I432" s="294"/>
      <c r="J432" s="288">
        <f>C433-7.5</f>
        <v>21799.499999999996</v>
      </c>
      <c r="K432" s="1121" t="s">
        <v>3018</v>
      </c>
      <c r="L432" s="1121"/>
      <c r="M432" s="386"/>
      <c r="N432" s="291"/>
      <c r="O432" s="291"/>
      <c r="P432" s="291"/>
      <c r="Q432" s="1121"/>
      <c r="R432" s="292"/>
      <c r="S432" s="292">
        <f t="shared" ref="S432" si="45">AG433-AG431</f>
        <v>54.400000000001455</v>
      </c>
      <c r="T432" s="1121"/>
      <c r="U432" s="1121"/>
      <c r="V432" s="1121"/>
      <c r="W432" s="1121"/>
      <c r="X432" s="1121"/>
      <c r="Y432" s="1121"/>
      <c r="Z432" s="1121"/>
      <c r="AA432" s="1121"/>
      <c r="AB432" s="1121"/>
      <c r="AC432" s="1121"/>
      <c r="AD432" s="1121"/>
      <c r="AE432" s="1121"/>
      <c r="AF432" s="1121"/>
      <c r="AG432" s="288" t="s">
        <v>695</v>
      </c>
      <c r="AH432" s="1121" t="s">
        <v>695</v>
      </c>
      <c r="AI432" s="289" t="s">
        <v>695</v>
      </c>
      <c r="AJ432" s="1121"/>
      <c r="AK432" s="1121"/>
      <c r="AL432" s="1121"/>
      <c r="AM432" s="1121"/>
      <c r="AN432" s="315"/>
      <c r="AO432" s="315"/>
      <c r="AP432" s="315"/>
      <c r="AQ432" s="315">
        <f>+FL_2($T$433,$T$431,$S$432,1200,9.28, 1*$R$433)</f>
        <v>-0.38044936207566132</v>
      </c>
      <c r="AR432" s="315"/>
      <c r="AS432" s="315"/>
      <c r="AT432" s="315"/>
      <c r="AU432" s="315"/>
      <c r="AV432" s="315"/>
      <c r="AW432" s="315" t="s">
        <v>2634</v>
      </c>
      <c r="AX432" s="315" t="s">
        <v>1641</v>
      </c>
      <c r="AY432" s="315"/>
      <c r="AZ432" s="315">
        <v>3.5</v>
      </c>
      <c r="BA432" s="315"/>
      <c r="BB432" s="306"/>
      <c r="BF432" s="1119"/>
      <c r="BG432" s="1119"/>
      <c r="BH432" s="1119"/>
    </row>
    <row r="433" spans="1:60" ht="14.25">
      <c r="A433" s="340"/>
      <c r="B433" s="453" t="s">
        <v>2754</v>
      </c>
      <c r="C433" s="288">
        <f>+$C$431+$G$432</f>
        <v>21806.999999999996</v>
      </c>
      <c r="D433" s="1121"/>
      <c r="E433" s="1121">
        <v>-60</v>
      </c>
      <c r="F433" s="289">
        <v>-3500</v>
      </c>
      <c r="G433" s="292"/>
      <c r="H433" s="292" t="s">
        <v>954</v>
      </c>
      <c r="I433" s="291"/>
      <c r="J433" s="288"/>
      <c r="K433" s="1121"/>
      <c r="L433" s="1121" t="s">
        <v>231</v>
      </c>
      <c r="M433" s="1121" t="s">
        <v>3208</v>
      </c>
      <c r="N433" s="291" t="s">
        <v>144</v>
      </c>
      <c r="O433" s="291"/>
      <c r="P433" s="291"/>
      <c r="Q433" s="1121">
        <v>56</v>
      </c>
      <c r="R433" s="292">
        <v>-3502.35</v>
      </c>
      <c r="S433" s="292"/>
      <c r="T433" s="1121">
        <v>-20</v>
      </c>
      <c r="U433" s="1121"/>
      <c r="V433" s="1121"/>
      <c r="W433" s="1121">
        <v>1.4</v>
      </c>
      <c r="X433" s="1121"/>
      <c r="Y433" s="1121"/>
      <c r="Z433" s="1121"/>
      <c r="AA433" s="1121"/>
      <c r="AB433" s="1121"/>
      <c r="AC433" s="1121" t="s">
        <v>1704</v>
      </c>
      <c r="AD433" s="1121"/>
      <c r="AE433" s="1121"/>
      <c r="AF433" s="1121">
        <v>5300</v>
      </c>
      <c r="AG433" s="288">
        <v>21806.960000000003</v>
      </c>
      <c r="AH433" s="1121">
        <v>3850</v>
      </c>
      <c r="AI433" s="289">
        <v>-394</v>
      </c>
      <c r="AJ433" s="1121"/>
      <c r="AK433" s="1121"/>
      <c r="AL433" s="1121"/>
      <c r="AM433" s="1121" t="s">
        <v>1228</v>
      </c>
      <c r="AN433" s="315">
        <v>5.5</v>
      </c>
      <c r="AO433" s="315"/>
      <c r="AP433" s="315"/>
      <c r="AQ433" s="315"/>
      <c r="AR433" s="315"/>
      <c r="AS433" s="315"/>
      <c r="AT433" s="315">
        <f>+ab($T$433,$T$431,$T$435,$G$432,$G$434, 1*$F$433,1200)</f>
        <v>-12.181833233705119</v>
      </c>
      <c r="AU433" s="315"/>
      <c r="AV433" s="315"/>
      <c r="AW433" s="315" t="s">
        <v>2634</v>
      </c>
      <c r="AX433" s="315" t="s">
        <v>1641</v>
      </c>
      <c r="AY433" s="315">
        <v>4.2</v>
      </c>
      <c r="AZ433" s="315"/>
      <c r="BA433" s="315"/>
      <c r="BB433" s="306"/>
      <c r="BF433" s="1119"/>
      <c r="BG433" s="1119"/>
      <c r="BH433" s="1119"/>
    </row>
    <row r="434" spans="1:60" ht="14.25">
      <c r="A434" s="341" t="s">
        <v>2238</v>
      </c>
      <c r="B434" s="341"/>
      <c r="C434" s="342"/>
      <c r="D434" s="343"/>
      <c r="E434" s="344"/>
      <c r="F434" s="344"/>
      <c r="G434" s="345">
        <v>53.6</v>
      </c>
      <c r="H434" s="360"/>
      <c r="I434" s="364">
        <f>SUM(G410:G434)</f>
        <v>714.6</v>
      </c>
      <c r="J434" s="389"/>
      <c r="K434" s="390"/>
      <c r="L434" s="390"/>
      <c r="M434" s="390"/>
      <c r="N434" s="390"/>
      <c r="O434" s="387"/>
      <c r="P434" s="387"/>
      <c r="Q434" s="390"/>
      <c r="R434" s="395"/>
      <c r="S434" s="395">
        <f t="shared" ref="S434" si="46">AG435-AG433</f>
        <v>54.319999999996071</v>
      </c>
      <c r="T434" s="390"/>
      <c r="U434" s="390"/>
      <c r="V434" s="390"/>
      <c r="W434" s="390"/>
      <c r="X434" s="390"/>
      <c r="Y434" s="390"/>
      <c r="Z434" s="390"/>
      <c r="AA434" s="390"/>
      <c r="AB434" s="390"/>
      <c r="AC434" s="390"/>
      <c r="AD434" s="390"/>
      <c r="AE434" s="390"/>
      <c r="AF434" s="390"/>
      <c r="AG434" s="342" t="s">
        <v>695</v>
      </c>
      <c r="AH434" s="390" t="s">
        <v>695</v>
      </c>
      <c r="AI434" s="394" t="s">
        <v>695</v>
      </c>
      <c r="AJ434" s="390"/>
      <c r="AK434" s="390"/>
      <c r="AL434" s="390"/>
      <c r="AM434" s="390"/>
      <c r="AN434" s="381"/>
      <c r="AO434" s="381"/>
      <c r="AP434" s="381"/>
      <c r="AQ434" s="381">
        <f>+FL_2($T$435,$T$433,$G$434,1200,9.28, 1*$F$435)</f>
        <v>-0.37511224834629431</v>
      </c>
      <c r="AR434" s="381"/>
      <c r="AS434" s="381"/>
      <c r="AT434" s="381"/>
      <c r="AU434" s="381"/>
      <c r="AV434" s="381"/>
      <c r="AW434" s="381"/>
      <c r="AX434" s="381"/>
      <c r="AY434" s="381" t="s">
        <v>695</v>
      </c>
      <c r="AZ434" s="381"/>
      <c r="BA434" s="381"/>
      <c r="BB434" s="306"/>
      <c r="BF434" s="1119"/>
      <c r="BG434" s="1119"/>
      <c r="BH434" s="1119"/>
    </row>
    <row r="435" spans="1:60" ht="14.25">
      <c r="A435" s="341"/>
      <c r="B435" s="341" t="s">
        <v>2442</v>
      </c>
      <c r="C435" s="342">
        <f>+$C$433+$G$434</f>
        <v>21860.599999999995</v>
      </c>
      <c r="D435" s="343"/>
      <c r="E435" s="344">
        <v>-60</v>
      </c>
      <c r="F435" s="344">
        <v>-3500</v>
      </c>
      <c r="G435" s="345"/>
      <c r="H435" s="360" t="s">
        <v>955</v>
      </c>
      <c r="I435" s="360"/>
      <c r="J435" s="389"/>
      <c r="K435" s="390"/>
      <c r="L435" s="390" t="s">
        <v>1066</v>
      </c>
      <c r="M435" s="390" t="s">
        <v>2544</v>
      </c>
      <c r="N435" s="390" t="s">
        <v>144</v>
      </c>
      <c r="O435" s="387"/>
      <c r="P435" s="387"/>
      <c r="Q435" s="390">
        <v>61</v>
      </c>
      <c r="R435" s="395">
        <v>-3502.35</v>
      </c>
      <c r="S435" s="395"/>
      <c r="T435" s="390">
        <v>-20</v>
      </c>
      <c r="U435" s="390"/>
      <c r="V435" s="390"/>
      <c r="W435" s="390">
        <v>1.4</v>
      </c>
      <c r="X435" s="390"/>
      <c r="Y435" s="390"/>
      <c r="Z435" s="390"/>
      <c r="AA435" s="390"/>
      <c r="AB435" s="390"/>
      <c r="AC435" s="390" t="s">
        <v>1704</v>
      </c>
      <c r="AD435" s="390"/>
      <c r="AE435" s="390"/>
      <c r="AF435" s="390">
        <v>5300</v>
      </c>
      <c r="AG435" s="342">
        <v>21861.279999999999</v>
      </c>
      <c r="AH435" s="390">
        <v>3173</v>
      </c>
      <c r="AI435" s="394">
        <v>-394</v>
      </c>
      <c r="AJ435" s="390"/>
      <c r="AK435" s="390"/>
      <c r="AL435" s="390"/>
      <c r="AM435" s="390" t="s">
        <v>1228</v>
      </c>
      <c r="AN435" s="381">
        <v>5.5</v>
      </c>
      <c r="AO435" s="381"/>
      <c r="AP435" s="381"/>
      <c r="AQ435" s="381"/>
      <c r="AR435" s="381"/>
      <c r="AS435" s="381"/>
      <c r="AT435" s="381">
        <f>+ab($T$435,$T$433,$T$437,$G$434,$G$436, 1*$F$435,1200)</f>
        <v>-11.660666762991085</v>
      </c>
      <c r="AU435" s="381"/>
      <c r="AV435" s="381"/>
      <c r="AW435" s="381" t="s">
        <v>699</v>
      </c>
      <c r="AX435" s="381" t="s">
        <v>699</v>
      </c>
      <c r="AY435" s="381" t="s">
        <v>699</v>
      </c>
      <c r="AZ435" s="381" t="s">
        <v>699</v>
      </c>
      <c r="BA435" s="381"/>
      <c r="BB435" s="306"/>
      <c r="BF435" s="1119"/>
      <c r="BG435" s="1119"/>
      <c r="BH435" s="1119"/>
    </row>
    <row r="436" spans="1:60" ht="14.25">
      <c r="A436" s="341"/>
      <c r="B436" s="341"/>
      <c r="C436" s="342"/>
      <c r="D436" s="343"/>
      <c r="E436" s="344"/>
      <c r="F436" s="344"/>
      <c r="G436" s="345">
        <v>60</v>
      </c>
      <c r="H436" s="360"/>
      <c r="I436" s="360">
        <f>SUM(G436:G458)</f>
        <v>677.4</v>
      </c>
      <c r="J436" s="389"/>
      <c r="K436" s="390"/>
      <c r="L436" s="390"/>
      <c r="M436" s="390"/>
      <c r="N436" s="390"/>
      <c r="O436" s="387"/>
      <c r="P436" s="387"/>
      <c r="Q436" s="390"/>
      <c r="R436" s="395"/>
      <c r="S436" s="395">
        <f t="shared" ref="S436" si="47">AG437-AG435</f>
        <v>60.030000000002474</v>
      </c>
      <c r="T436" s="390"/>
      <c r="U436" s="390"/>
      <c r="V436" s="390"/>
      <c r="W436" s="390"/>
      <c r="X436" s="390"/>
      <c r="Y436" s="390"/>
      <c r="Z436" s="390"/>
      <c r="AA436" s="390"/>
      <c r="AB436" s="390"/>
      <c r="AC436" s="390"/>
      <c r="AD436" s="390"/>
      <c r="AE436" s="390"/>
      <c r="AF436" s="390"/>
      <c r="AG436" s="342" t="s">
        <v>695</v>
      </c>
      <c r="AH436" s="390" t="s">
        <v>695</v>
      </c>
      <c r="AI436" s="394" t="s">
        <v>695</v>
      </c>
      <c r="AJ436" s="390"/>
      <c r="AK436" s="390"/>
      <c r="AL436" s="390"/>
      <c r="AM436" s="390"/>
      <c r="AN436" s="381"/>
      <c r="AO436" s="381"/>
      <c r="AP436" s="381"/>
      <c r="AQ436" s="381">
        <f>+FL_2($T$437,$T$435,$G$436,1200,10.96, 1*$F$437)</f>
        <v>-0.48242620982558582</v>
      </c>
      <c r="AR436" s="381"/>
      <c r="AS436" s="381"/>
      <c r="AT436" s="381"/>
      <c r="AU436" s="381"/>
      <c r="AV436" s="381"/>
      <c r="AW436" s="381"/>
      <c r="AX436" s="381"/>
      <c r="AY436" s="381"/>
      <c r="AZ436" s="381"/>
      <c r="BA436" s="381"/>
      <c r="BB436" s="306"/>
      <c r="BF436" s="1119"/>
      <c r="BG436" s="1119"/>
      <c r="BH436" s="1119"/>
    </row>
    <row r="437" spans="1:60" ht="14.25">
      <c r="A437" s="341"/>
      <c r="B437" s="341" t="s">
        <v>2443</v>
      </c>
      <c r="C437" s="342">
        <f>+$C$435+$G$436</f>
        <v>21920.599999999995</v>
      </c>
      <c r="D437" s="343"/>
      <c r="E437" s="344">
        <v>-60</v>
      </c>
      <c r="F437" s="344">
        <v>-3500</v>
      </c>
      <c r="G437" s="345"/>
      <c r="H437" s="360" t="s">
        <v>954</v>
      </c>
      <c r="I437" s="360"/>
      <c r="J437" s="389"/>
      <c r="K437" s="390"/>
      <c r="L437" s="390" t="s">
        <v>2542</v>
      </c>
      <c r="M437" s="390" t="s">
        <v>2543</v>
      </c>
      <c r="N437" s="390" t="s">
        <v>144</v>
      </c>
      <c r="O437" s="387"/>
      <c r="P437" s="387"/>
      <c r="Q437" s="390">
        <v>59</v>
      </c>
      <c r="R437" s="395">
        <v>-3502.35</v>
      </c>
      <c r="S437" s="395"/>
      <c r="T437" s="390">
        <v>-20</v>
      </c>
      <c r="U437" s="390"/>
      <c r="V437" s="390"/>
      <c r="W437" s="390">
        <v>1.4</v>
      </c>
      <c r="X437" s="390"/>
      <c r="Y437" s="390"/>
      <c r="Z437" s="390"/>
      <c r="AA437" s="390"/>
      <c r="AB437" s="390"/>
      <c r="AC437" s="390" t="s">
        <v>1704</v>
      </c>
      <c r="AD437" s="390"/>
      <c r="AE437" s="390"/>
      <c r="AF437" s="390">
        <v>5300</v>
      </c>
      <c r="AG437" s="342">
        <v>21921.31</v>
      </c>
      <c r="AH437" s="390">
        <v>3020</v>
      </c>
      <c r="AI437" s="394">
        <v>-79</v>
      </c>
      <c r="AJ437" s="390"/>
      <c r="AK437" s="390"/>
      <c r="AL437" s="390"/>
      <c r="AM437" s="390" t="s">
        <v>1228</v>
      </c>
      <c r="AN437" s="381">
        <v>5.5</v>
      </c>
      <c r="AO437" s="381"/>
      <c r="AP437" s="381"/>
      <c r="AQ437" s="381"/>
      <c r="AR437" s="381"/>
      <c r="AS437" s="381"/>
      <c r="AT437" s="381">
        <f>+ab($T$437,$T$435,$T$439,$G$436,$G$438, 1*$F$437,1200)</f>
        <v>-10.757120356290399</v>
      </c>
      <c r="AU437" s="381"/>
      <c r="AV437" s="381"/>
      <c r="AW437" s="381" t="s">
        <v>699</v>
      </c>
      <c r="AX437" s="381" t="s">
        <v>699</v>
      </c>
      <c r="AY437" s="381" t="s">
        <v>699</v>
      </c>
      <c r="AZ437" s="381" t="s">
        <v>699</v>
      </c>
      <c r="BA437" s="381"/>
      <c r="BB437" s="306"/>
      <c r="BF437" s="1119"/>
      <c r="BG437" s="1119"/>
      <c r="BH437" s="1119"/>
    </row>
    <row r="438" spans="1:60" ht="14.25">
      <c r="A438" s="341" t="s">
        <v>2240</v>
      </c>
      <c r="B438" s="341"/>
      <c r="C438" s="342"/>
      <c r="D438" s="343"/>
      <c r="E438" s="344"/>
      <c r="F438" s="344"/>
      <c r="G438" s="345">
        <v>63.4</v>
      </c>
      <c r="H438" s="360"/>
      <c r="I438" s="360"/>
      <c r="J438" s="389"/>
      <c r="K438" s="390"/>
      <c r="L438" s="390"/>
      <c r="M438" s="390"/>
      <c r="N438" s="390"/>
      <c r="O438" s="387"/>
      <c r="P438" s="387"/>
      <c r="Q438" s="390"/>
      <c r="R438" s="395"/>
      <c r="S438" s="395">
        <f t="shared" ref="S438" si="48">AG439-AG437</f>
        <v>63.489999999997963</v>
      </c>
      <c r="T438" s="390"/>
      <c r="U438" s="390"/>
      <c r="V438" s="390"/>
      <c r="W438" s="390"/>
      <c r="X438" s="390"/>
      <c r="Y438" s="390"/>
      <c r="Z438" s="390"/>
      <c r="AA438" s="390"/>
      <c r="AB438" s="390"/>
      <c r="AC438" s="390"/>
      <c r="AD438" s="390"/>
      <c r="AE438" s="390"/>
      <c r="AF438" s="390"/>
      <c r="AG438" s="342" t="s">
        <v>695</v>
      </c>
      <c r="AH438" s="390" t="s">
        <v>695</v>
      </c>
      <c r="AI438" s="394" t="s">
        <v>695</v>
      </c>
      <c r="AJ438" s="390"/>
      <c r="AK438" s="390"/>
      <c r="AL438" s="390"/>
      <c r="AM438" s="390"/>
      <c r="AN438" s="381"/>
      <c r="AO438" s="381"/>
      <c r="AP438" s="381"/>
      <c r="AQ438" s="381">
        <f>+FL_2($T$439,$T$437,$G$438,1200,9.28, 1*$F$439)</f>
        <v>-0.44499880822548721</v>
      </c>
      <c r="AR438" s="381"/>
      <c r="AS438" s="381"/>
      <c r="AT438" s="381"/>
      <c r="AU438" s="381"/>
      <c r="AV438" s="381"/>
      <c r="AW438" s="381"/>
      <c r="AX438" s="381"/>
      <c r="AY438" s="381"/>
      <c r="AZ438" s="381"/>
      <c r="BA438" s="381"/>
      <c r="BB438" s="306"/>
      <c r="BF438" s="1119"/>
      <c r="BG438" s="1119"/>
      <c r="BH438" s="1119"/>
    </row>
    <row r="439" spans="1:60" ht="14.25">
      <c r="A439" s="340"/>
      <c r="B439" s="287" t="s">
        <v>2563</v>
      </c>
      <c r="C439" s="288">
        <f>+$C$437+$G$438</f>
        <v>21983.999999999996</v>
      </c>
      <c r="D439" s="1121"/>
      <c r="E439" s="289">
        <v>-60</v>
      </c>
      <c r="F439" s="289">
        <v>-3500</v>
      </c>
      <c r="G439" s="292"/>
      <c r="H439" s="291"/>
      <c r="I439" s="291"/>
      <c r="J439" s="288"/>
      <c r="K439" s="1121"/>
      <c r="L439" s="1121" t="s">
        <v>231</v>
      </c>
      <c r="M439" s="386" t="s">
        <v>2756</v>
      </c>
      <c r="N439" s="291" t="s">
        <v>144</v>
      </c>
      <c r="O439" s="291"/>
      <c r="P439" s="291"/>
      <c r="Q439" s="1121">
        <v>60</v>
      </c>
      <c r="R439" s="292">
        <v>-3502.35</v>
      </c>
      <c r="S439" s="292"/>
      <c r="T439" s="1121">
        <v>-20</v>
      </c>
      <c r="U439" s="1121"/>
      <c r="V439" s="1121"/>
      <c r="W439" s="1121">
        <v>1.4</v>
      </c>
      <c r="X439" s="1121"/>
      <c r="Y439" s="1121"/>
      <c r="Z439" s="1121"/>
      <c r="AA439" s="1121"/>
      <c r="AB439" s="1121"/>
      <c r="AC439" s="1121" t="s">
        <v>1704</v>
      </c>
      <c r="AD439" s="1121"/>
      <c r="AE439" s="1121"/>
      <c r="AF439" s="1121">
        <v>6000</v>
      </c>
      <c r="AG439" s="288">
        <v>21984.799999999999</v>
      </c>
      <c r="AH439" s="1121">
        <v>2197</v>
      </c>
      <c r="AI439" s="289">
        <v>638</v>
      </c>
      <c r="AJ439" s="1121"/>
      <c r="AK439" s="1121"/>
      <c r="AL439" s="1121"/>
      <c r="AM439" s="1121" t="s">
        <v>1228</v>
      </c>
      <c r="AN439" s="315">
        <v>5.5</v>
      </c>
      <c r="AO439" s="315"/>
      <c r="AP439" s="315"/>
      <c r="AQ439" s="315"/>
      <c r="AR439" s="315"/>
      <c r="AS439" s="315"/>
      <c r="AT439" s="315">
        <f>+ab($T$439,$T$437,$T$441,$G$438,$G$440, 1*$F$439,1200)</f>
        <v>-11.293089632691093</v>
      </c>
      <c r="AU439" s="315"/>
      <c r="AV439" s="315"/>
      <c r="AW439" s="315" t="s">
        <v>2634</v>
      </c>
      <c r="AX439" s="315" t="s">
        <v>1641</v>
      </c>
      <c r="AY439" s="315">
        <v>4.2</v>
      </c>
      <c r="AZ439" s="315"/>
      <c r="BA439" s="315"/>
      <c r="BB439" s="306"/>
      <c r="BF439" s="1119"/>
      <c r="BG439" s="1119"/>
      <c r="BH439" s="1119"/>
    </row>
    <row r="440" spans="1:60" ht="14.25">
      <c r="A440" s="340"/>
      <c r="B440" s="340"/>
      <c r="C440" s="288"/>
      <c r="D440" s="1121"/>
      <c r="E440" s="1121"/>
      <c r="F440" s="289"/>
      <c r="G440" s="292">
        <v>54</v>
      </c>
      <c r="H440" s="291"/>
      <c r="I440" s="294"/>
      <c r="J440" s="288"/>
      <c r="K440" s="1121"/>
      <c r="L440" s="1121"/>
      <c r="M440" s="1121"/>
      <c r="N440" s="291"/>
      <c r="O440" s="291"/>
      <c r="P440" s="291"/>
      <c r="Q440" s="1121"/>
      <c r="R440" s="292"/>
      <c r="S440" s="292">
        <f t="shared" ref="S440" si="49">AG441-AG439</f>
        <v>54.020000000000437</v>
      </c>
      <c r="T440" s="1121"/>
      <c r="U440" s="1121"/>
      <c r="V440" s="1121"/>
      <c r="W440" s="1121"/>
      <c r="X440" s="1121"/>
      <c r="Y440" s="1121"/>
      <c r="Z440" s="1121"/>
      <c r="AA440" s="1121"/>
      <c r="AB440" s="1121"/>
      <c r="AC440" s="1121"/>
      <c r="AD440" s="1121"/>
      <c r="AE440" s="1121"/>
      <c r="AF440" s="1121"/>
      <c r="AG440" s="288" t="s">
        <v>695</v>
      </c>
      <c r="AH440" s="1121" t="s">
        <v>695</v>
      </c>
      <c r="AI440" s="289" t="s">
        <v>695</v>
      </c>
      <c r="AJ440" s="1121"/>
      <c r="AK440" s="1121"/>
      <c r="AL440" s="1121"/>
      <c r="AM440" s="1121"/>
      <c r="AN440" s="315"/>
      <c r="AO440" s="315"/>
      <c r="AP440" s="315"/>
      <c r="AQ440" s="315">
        <f>+FL_2($T$441,$T$439,$G$440,1200,9.28, 1*$F$441)</f>
        <v>-0.37773559342049234</v>
      </c>
      <c r="AR440" s="315"/>
      <c r="AS440" s="315"/>
      <c r="AT440" s="315"/>
      <c r="AU440" s="315"/>
      <c r="AV440" s="315"/>
      <c r="AW440" s="1121"/>
      <c r="AX440" s="1121"/>
      <c r="AY440" s="1121" t="s">
        <v>695</v>
      </c>
      <c r="AZ440" s="1121"/>
      <c r="BA440" s="1121"/>
      <c r="BB440" s="306"/>
      <c r="BF440" s="1119"/>
      <c r="BG440" s="1119"/>
      <c r="BH440" s="1119"/>
    </row>
    <row r="441" spans="1:60" ht="14.25">
      <c r="A441" s="340"/>
      <c r="B441" s="287" t="s">
        <v>2444</v>
      </c>
      <c r="C441" s="288">
        <f>+$C$439+$G$440</f>
        <v>22037.999999999996</v>
      </c>
      <c r="D441" s="1121"/>
      <c r="E441" s="1121">
        <v>-60</v>
      </c>
      <c r="F441" s="289">
        <v>-3500</v>
      </c>
      <c r="G441" s="292"/>
      <c r="H441" s="291"/>
      <c r="I441" s="291"/>
      <c r="J441" s="288"/>
      <c r="K441" s="1121"/>
      <c r="L441" s="1121" t="s">
        <v>230</v>
      </c>
      <c r="M441" s="1121" t="s">
        <v>2757</v>
      </c>
      <c r="N441" s="291" t="s">
        <v>144</v>
      </c>
      <c r="O441" s="291"/>
      <c r="P441" s="291"/>
      <c r="Q441" s="1121">
        <v>59</v>
      </c>
      <c r="R441" s="292">
        <v>-3502.35</v>
      </c>
      <c r="S441" s="292"/>
      <c r="T441" s="1121">
        <v>-20</v>
      </c>
      <c r="U441" s="1121"/>
      <c r="V441" s="1121"/>
      <c r="W441" s="1121">
        <v>1.4</v>
      </c>
      <c r="X441" s="1121"/>
      <c r="Y441" s="1121"/>
      <c r="Z441" s="1121"/>
      <c r="AA441" s="1121"/>
      <c r="AB441" s="1121"/>
      <c r="AC441" s="1121" t="s">
        <v>1704</v>
      </c>
      <c r="AD441" s="1121"/>
      <c r="AE441" s="1121"/>
      <c r="AF441" s="1121">
        <v>6000</v>
      </c>
      <c r="AG441" s="288">
        <v>22038.82</v>
      </c>
      <c r="AH441" s="1121">
        <v>2627</v>
      </c>
      <c r="AI441" s="289">
        <v>633</v>
      </c>
      <c r="AJ441" s="1121"/>
      <c r="AK441" s="1121"/>
      <c r="AL441" s="1121"/>
      <c r="AM441" s="1121" t="s">
        <v>1228</v>
      </c>
      <c r="AN441" s="315">
        <v>5.5</v>
      </c>
      <c r="AO441" s="315"/>
      <c r="AP441" s="315"/>
      <c r="AQ441" s="315"/>
      <c r="AR441" s="315"/>
      <c r="AS441" s="315"/>
      <c r="AT441" s="315">
        <f>+ab($T$441,$T$439,$T$443,$G$440,$G$442, 1*$F$441,1200)</f>
        <v>-12.944286856565929</v>
      </c>
      <c r="AU441" s="315"/>
      <c r="AV441" s="315"/>
      <c r="AW441" s="315" t="s">
        <v>2634</v>
      </c>
      <c r="AX441" s="315" t="s">
        <v>1641</v>
      </c>
      <c r="AY441" s="315">
        <v>4.2</v>
      </c>
      <c r="AZ441" s="315"/>
      <c r="BA441" s="315"/>
      <c r="BB441" s="306"/>
      <c r="BF441" s="1119"/>
      <c r="BG441" s="1119"/>
      <c r="BH441" s="1119"/>
    </row>
    <row r="442" spans="1:60" ht="14.25">
      <c r="A442" s="340"/>
      <c r="B442" s="287"/>
      <c r="C442" s="288"/>
      <c r="D442" s="1121"/>
      <c r="E442" s="1121"/>
      <c r="F442" s="289"/>
      <c r="G442" s="292">
        <v>48</v>
      </c>
      <c r="H442" s="291"/>
      <c r="I442" s="291"/>
      <c r="J442" s="288"/>
      <c r="K442" s="1121"/>
      <c r="L442" s="1121"/>
      <c r="M442" s="1121"/>
      <c r="N442" s="1121"/>
      <c r="O442" s="291"/>
      <c r="P442" s="291"/>
      <c r="Q442" s="1121"/>
      <c r="R442" s="292"/>
      <c r="S442" s="292">
        <f t="shared" ref="S442" si="50">AG443-AG441</f>
        <v>48</v>
      </c>
      <c r="T442" s="1121"/>
      <c r="U442" s="1121"/>
      <c r="V442" s="1121"/>
      <c r="W442" s="1121"/>
      <c r="X442" s="1121"/>
      <c r="Y442" s="1121"/>
      <c r="Z442" s="1121"/>
      <c r="AA442" s="1121"/>
      <c r="AB442" s="1121"/>
      <c r="AC442" s="1121"/>
      <c r="AD442" s="1121"/>
      <c r="AE442" s="1121"/>
      <c r="AF442" s="1121"/>
      <c r="AG442" s="288" t="s">
        <v>695</v>
      </c>
      <c r="AH442" s="1121" t="s">
        <v>695</v>
      </c>
      <c r="AI442" s="289" t="s">
        <v>695</v>
      </c>
      <c r="AJ442" s="1121"/>
      <c r="AK442" s="1121"/>
      <c r="AL442" s="1121"/>
      <c r="AM442" s="1121"/>
      <c r="AN442" s="315"/>
      <c r="AO442" s="315"/>
      <c r="AP442" s="315"/>
      <c r="AQ442" s="315">
        <f>+FL_2($T$443,$T$441,$S$442,1200,9.28, 1*$R$443)</f>
        <v>-0.34048853226929232</v>
      </c>
      <c r="AR442" s="315"/>
      <c r="AS442" s="315"/>
      <c r="AT442" s="315"/>
      <c r="AU442" s="315"/>
      <c r="AV442" s="315"/>
      <c r="AW442" s="1121"/>
      <c r="AX442" s="1121"/>
      <c r="AY442" s="1121" t="s">
        <v>695</v>
      </c>
      <c r="AZ442" s="1121"/>
      <c r="BA442" s="1121"/>
      <c r="BB442" s="306"/>
      <c r="BF442" s="1119"/>
      <c r="BG442" s="1119"/>
      <c r="BH442" s="1119"/>
    </row>
    <row r="443" spans="1:60" ht="14.25">
      <c r="A443" s="340"/>
      <c r="B443" s="287" t="s">
        <v>2445</v>
      </c>
      <c r="C443" s="288">
        <f>+$C$441+$G$442</f>
        <v>22085.999999999996</v>
      </c>
      <c r="D443" s="1121"/>
      <c r="E443" s="1121">
        <v>-60</v>
      </c>
      <c r="F443" s="289">
        <v>-3500</v>
      </c>
      <c r="G443" s="292"/>
      <c r="H443" s="291"/>
      <c r="I443" s="291"/>
      <c r="J443" s="288"/>
      <c r="K443" s="1121"/>
      <c r="L443" s="1121" t="s">
        <v>230</v>
      </c>
      <c r="M443" s="1121" t="s">
        <v>2671</v>
      </c>
      <c r="N443" s="291" t="s">
        <v>144</v>
      </c>
      <c r="O443" s="291"/>
      <c r="P443" s="291"/>
      <c r="Q443" s="1121">
        <v>56</v>
      </c>
      <c r="R443" s="292">
        <v>-3502.35</v>
      </c>
      <c r="S443" s="292"/>
      <c r="T443" s="1121">
        <v>-20</v>
      </c>
      <c r="U443" s="1121"/>
      <c r="V443" s="1121"/>
      <c r="W443" s="1121">
        <v>1.4</v>
      </c>
      <c r="X443" s="1121"/>
      <c r="Y443" s="1121"/>
      <c r="Z443" s="1121"/>
      <c r="AA443" s="1121"/>
      <c r="AB443" s="1121"/>
      <c r="AC443" s="1121" t="s">
        <v>1704</v>
      </c>
      <c r="AD443" s="1121"/>
      <c r="AE443" s="1121"/>
      <c r="AF443" s="1121">
        <v>6000</v>
      </c>
      <c r="AG443" s="288">
        <v>22086.82</v>
      </c>
      <c r="AH443" s="1121">
        <v>2568</v>
      </c>
      <c r="AI443" s="289">
        <v>625</v>
      </c>
      <c r="AJ443" s="1121"/>
      <c r="AK443" s="1121"/>
      <c r="AL443" s="1121"/>
      <c r="AM443" s="1121" t="s">
        <v>1228</v>
      </c>
      <c r="AN443" s="315">
        <v>5.5</v>
      </c>
      <c r="AO443" s="315"/>
      <c r="AP443" s="315"/>
      <c r="AQ443" s="315"/>
      <c r="AR443" s="315"/>
      <c r="AS443" s="315"/>
      <c r="AT443" s="315">
        <f>+ab($T$443,$T$441,$T$445,$G$442,$G$444, 1*$F$443,1200)</f>
        <v>-12.471390525552774</v>
      </c>
      <c r="AU443" s="315"/>
      <c r="AV443" s="315"/>
      <c r="AW443" s="315" t="s">
        <v>2630</v>
      </c>
      <c r="AX443" s="315" t="s">
        <v>1639</v>
      </c>
      <c r="AY443" s="315">
        <v>3.4</v>
      </c>
      <c r="AZ443" s="315"/>
      <c r="BA443" s="315"/>
      <c r="BB443" s="306"/>
      <c r="BF443" s="1119"/>
      <c r="BG443" s="1119"/>
      <c r="BH443" s="1119"/>
    </row>
    <row r="444" spans="1:60" ht="14.25">
      <c r="A444" s="340"/>
      <c r="B444" s="287"/>
      <c r="C444" s="288"/>
      <c r="D444" s="1121"/>
      <c r="E444" s="1121"/>
      <c r="F444" s="289"/>
      <c r="G444" s="292">
        <v>58</v>
      </c>
      <c r="H444" s="291"/>
      <c r="I444" s="291"/>
      <c r="J444" s="288"/>
      <c r="K444" s="1121"/>
      <c r="L444" s="1121"/>
      <c r="M444" s="1121"/>
      <c r="N444" s="291"/>
      <c r="O444" s="291"/>
      <c r="P444" s="291"/>
      <c r="Q444" s="1121"/>
      <c r="R444" s="292"/>
      <c r="S444" s="292">
        <f t="shared" ref="S444" si="51">AG445-AG443</f>
        <v>58.010000000002037</v>
      </c>
      <c r="T444" s="1121"/>
      <c r="U444" s="1121"/>
      <c r="V444" s="1121"/>
      <c r="W444" s="1121"/>
      <c r="X444" s="1121"/>
      <c r="Y444" s="1121"/>
      <c r="Z444" s="1121"/>
      <c r="AA444" s="1121"/>
      <c r="AB444" s="1121"/>
      <c r="AC444" s="1121"/>
      <c r="AD444" s="1121"/>
      <c r="AE444" s="1121"/>
      <c r="AF444" s="1121"/>
      <c r="AG444" s="288" t="s">
        <v>695</v>
      </c>
      <c r="AH444" s="1121" t="s">
        <v>695</v>
      </c>
      <c r="AI444" s="289" t="s">
        <v>695</v>
      </c>
      <c r="AJ444" s="1121"/>
      <c r="AK444" s="1121"/>
      <c r="AL444" s="1121"/>
      <c r="AM444" s="1121"/>
      <c r="AN444" s="315"/>
      <c r="AO444" s="315"/>
      <c r="AP444" s="315"/>
      <c r="AQ444" s="315">
        <f>+FL_2($T$445,$T$443,$S$444,1200,9.28, 1*$R$445)</f>
        <v>-0.4051930959183706</v>
      </c>
      <c r="AR444" s="315"/>
      <c r="AS444" s="315"/>
      <c r="AT444" s="315"/>
      <c r="AU444" s="315"/>
      <c r="AV444" s="315"/>
      <c r="AW444" s="1121"/>
      <c r="AX444" s="1121"/>
      <c r="AY444" s="1121" t="s">
        <v>695</v>
      </c>
      <c r="AZ444" s="1121"/>
      <c r="BA444" s="1121"/>
      <c r="BB444" s="306"/>
      <c r="BF444" s="1119"/>
      <c r="BG444" s="1119"/>
      <c r="BH444" s="1119"/>
    </row>
    <row r="445" spans="1:60" ht="14.25">
      <c r="A445" s="340"/>
      <c r="B445" s="287" t="s">
        <v>2446</v>
      </c>
      <c r="C445" s="288">
        <f>+$C$443+$G$444</f>
        <v>22143.999999999996</v>
      </c>
      <c r="D445" s="1121"/>
      <c r="E445" s="1121">
        <v>-60</v>
      </c>
      <c r="F445" s="289">
        <v>-3500</v>
      </c>
      <c r="G445" s="292"/>
      <c r="H445" s="291"/>
      <c r="I445" s="291"/>
      <c r="J445" s="288"/>
      <c r="K445" s="1121"/>
      <c r="L445" s="1121" t="s">
        <v>230</v>
      </c>
      <c r="M445" s="1121" t="s">
        <v>2671</v>
      </c>
      <c r="N445" s="291" t="s">
        <v>144</v>
      </c>
      <c r="O445" s="291"/>
      <c r="P445" s="291"/>
      <c r="Q445" s="1121">
        <v>56</v>
      </c>
      <c r="R445" s="292">
        <v>-3502.35</v>
      </c>
      <c r="S445" s="292"/>
      <c r="T445" s="1121">
        <v>-20</v>
      </c>
      <c r="U445" s="1121"/>
      <c r="V445" s="1121"/>
      <c r="W445" s="1121">
        <v>1.4</v>
      </c>
      <c r="X445" s="1121"/>
      <c r="Y445" s="1121"/>
      <c r="Z445" s="1121"/>
      <c r="AA445" s="1121"/>
      <c r="AB445" s="1121"/>
      <c r="AC445" s="1121" t="s">
        <v>1704</v>
      </c>
      <c r="AD445" s="1121"/>
      <c r="AE445" s="1121"/>
      <c r="AF445" s="1121">
        <v>6000</v>
      </c>
      <c r="AG445" s="288">
        <v>22144.83</v>
      </c>
      <c r="AH445" s="1121">
        <v>2551</v>
      </c>
      <c r="AI445" s="289">
        <v>648</v>
      </c>
      <c r="AJ445" s="1121"/>
      <c r="AK445" s="1121"/>
      <c r="AL445" s="1121"/>
      <c r="AM445" s="1121" t="s">
        <v>1228</v>
      </c>
      <c r="AN445" s="315">
        <v>5.5</v>
      </c>
      <c r="AO445" s="315"/>
      <c r="AP445" s="315"/>
      <c r="AQ445" s="315"/>
      <c r="AR445" s="315"/>
      <c r="AS445" s="315"/>
      <c r="AT445" s="315">
        <f>+ab($T$445,$T$443,$T$447,$G$444,$G$446, 1*$F$445,1200)</f>
        <v>-11.237131949351888</v>
      </c>
      <c r="AU445" s="315"/>
      <c r="AV445" s="315"/>
      <c r="AW445" s="315" t="s">
        <v>2630</v>
      </c>
      <c r="AX445" s="315" t="s">
        <v>1639</v>
      </c>
      <c r="AY445" s="315">
        <v>3.4</v>
      </c>
      <c r="AZ445" s="315"/>
      <c r="BA445" s="315"/>
      <c r="BB445" s="306"/>
      <c r="BF445" s="1119"/>
      <c r="BG445" s="1119"/>
      <c r="BH445" s="1119"/>
    </row>
    <row r="446" spans="1:60" ht="14.25">
      <c r="A446" s="340"/>
      <c r="B446" s="287"/>
      <c r="C446" s="288"/>
      <c r="D446" s="1121"/>
      <c r="E446" s="1121"/>
      <c r="F446" s="289"/>
      <c r="G446" s="292">
        <v>60</v>
      </c>
      <c r="H446" s="291"/>
      <c r="I446" s="294"/>
      <c r="J446" s="288"/>
      <c r="K446" s="1121"/>
      <c r="L446" s="1121"/>
      <c r="M446" s="1121"/>
      <c r="N446" s="1121"/>
      <c r="O446" s="291"/>
      <c r="P446" s="291"/>
      <c r="Q446" s="1121"/>
      <c r="R446" s="292"/>
      <c r="S446" s="292">
        <f t="shared" ref="S446" si="52">AG447-AG445</f>
        <v>60.129999999997381</v>
      </c>
      <c r="T446" s="1121"/>
      <c r="U446" s="1121"/>
      <c r="V446" s="1121"/>
      <c r="W446" s="1121"/>
      <c r="X446" s="1121"/>
      <c r="Y446" s="1121"/>
      <c r="Z446" s="1121"/>
      <c r="AA446" s="1121"/>
      <c r="AB446" s="1121"/>
      <c r="AC446" s="1121"/>
      <c r="AD446" s="1121"/>
      <c r="AE446" s="1121"/>
      <c r="AF446" s="1121"/>
      <c r="AG446" s="288" t="s">
        <v>695</v>
      </c>
      <c r="AH446" s="1121" t="s">
        <v>695</v>
      </c>
      <c r="AI446" s="289" t="s">
        <v>695</v>
      </c>
      <c r="AJ446" s="1121"/>
      <c r="AK446" s="1121"/>
      <c r="AL446" s="1121"/>
      <c r="AM446" s="1121"/>
      <c r="AN446" s="315"/>
      <c r="AO446" s="315"/>
      <c r="AP446" s="315"/>
      <c r="AQ446" s="315">
        <f>+FL_2($T$447,$T$445,$S$446,1200,9.28, 1*$R$447)</f>
        <v>-0.42046471806705465</v>
      </c>
      <c r="AR446" s="315"/>
      <c r="AS446" s="315"/>
      <c r="AT446" s="315"/>
      <c r="AU446" s="315"/>
      <c r="AV446" s="315"/>
      <c r="AW446" s="1121"/>
      <c r="AX446" s="1121"/>
      <c r="AY446" s="1121" t="s">
        <v>695</v>
      </c>
      <c r="AZ446" s="1121"/>
      <c r="BA446" s="1121"/>
      <c r="BB446" s="306"/>
      <c r="BF446" s="1119"/>
      <c r="BG446" s="1119"/>
      <c r="BH446" s="1119"/>
    </row>
    <row r="447" spans="1:60" ht="14.25">
      <c r="A447" s="340"/>
      <c r="B447" s="287" t="s">
        <v>2447</v>
      </c>
      <c r="C447" s="288">
        <f>+$C$445+$G$446</f>
        <v>22203.999999999996</v>
      </c>
      <c r="D447" s="1121"/>
      <c r="E447" s="1121">
        <v>-60</v>
      </c>
      <c r="F447" s="289">
        <v>-3500</v>
      </c>
      <c r="G447" s="292"/>
      <c r="H447" s="1121"/>
      <c r="I447" s="294"/>
      <c r="J447" s="288"/>
      <c r="K447" s="1121"/>
      <c r="L447" s="1121" t="s">
        <v>230</v>
      </c>
      <c r="M447" s="1121" t="s">
        <v>2671</v>
      </c>
      <c r="N447" s="291" t="s">
        <v>144</v>
      </c>
      <c r="O447" s="291"/>
      <c r="P447" s="291"/>
      <c r="Q447" s="1121">
        <v>58</v>
      </c>
      <c r="R447" s="292">
        <v>-3502.35</v>
      </c>
      <c r="S447" s="292"/>
      <c r="T447" s="1121">
        <v>-20</v>
      </c>
      <c r="U447" s="1121"/>
      <c r="V447" s="1121"/>
      <c r="W447" s="1121">
        <v>1.4</v>
      </c>
      <c r="X447" s="1121"/>
      <c r="Y447" s="1121"/>
      <c r="Z447" s="1121"/>
      <c r="AA447" s="1121"/>
      <c r="AB447" s="1121"/>
      <c r="AC447" s="1121" t="s">
        <v>1704</v>
      </c>
      <c r="AD447" s="1121"/>
      <c r="AE447" s="1121"/>
      <c r="AF447" s="1121">
        <v>6000</v>
      </c>
      <c r="AG447" s="288">
        <v>22204.959999999999</v>
      </c>
      <c r="AH447" s="1121">
        <v>2558</v>
      </c>
      <c r="AI447" s="289">
        <v>619</v>
      </c>
      <c r="AJ447" s="1121"/>
      <c r="AK447" s="1121"/>
      <c r="AL447" s="1121"/>
      <c r="AM447" s="1121" t="s">
        <v>1228</v>
      </c>
      <c r="AN447" s="315">
        <v>5.5</v>
      </c>
      <c r="AO447" s="315"/>
      <c r="AP447" s="315"/>
      <c r="AQ447" s="315"/>
      <c r="AR447" s="315"/>
      <c r="AS447" s="315"/>
      <c r="AT447" s="315">
        <f>+ab($T$447,$T$445,$T$449,$G$446,$G$448, 1*$F$447,1200)</f>
        <v>-11.054497279482726</v>
      </c>
      <c r="AU447" s="315"/>
      <c r="AV447" s="315"/>
      <c r="AW447" s="315" t="s">
        <v>2630</v>
      </c>
      <c r="AX447" s="315" t="s">
        <v>1639</v>
      </c>
      <c r="AY447" s="315">
        <v>3.4</v>
      </c>
      <c r="AZ447" s="315"/>
      <c r="BA447" s="315"/>
      <c r="BB447" s="306"/>
      <c r="BF447" s="1119"/>
      <c r="BG447" s="1119"/>
      <c r="BH447" s="1119"/>
    </row>
    <row r="448" spans="1:60" ht="14.25">
      <c r="A448" s="340"/>
      <c r="B448" s="287"/>
      <c r="C448" s="288"/>
      <c r="D448" s="1121"/>
      <c r="E448" s="1121"/>
      <c r="F448" s="289"/>
      <c r="G448" s="292">
        <v>60</v>
      </c>
      <c r="H448" s="291"/>
      <c r="I448" s="294"/>
      <c r="J448" s="288"/>
      <c r="K448" s="1121"/>
      <c r="L448" s="1121"/>
      <c r="M448" s="1121"/>
      <c r="N448" s="291"/>
      <c r="O448" s="291"/>
      <c r="P448" s="291"/>
      <c r="Q448" s="1121"/>
      <c r="R448" s="292"/>
      <c r="S448" s="292">
        <f t="shared" ref="S448" si="53">AG449-AG447</f>
        <v>59.930000000000291</v>
      </c>
      <c r="T448" s="1121"/>
      <c r="U448" s="1121"/>
      <c r="V448" s="1121"/>
      <c r="W448" s="1121"/>
      <c r="X448" s="1121"/>
      <c r="Y448" s="1121"/>
      <c r="Z448" s="1121"/>
      <c r="AA448" s="1121"/>
      <c r="AB448" s="1121"/>
      <c r="AC448" s="1121"/>
      <c r="AD448" s="1121"/>
      <c r="AE448" s="1121"/>
      <c r="AF448" s="1121"/>
      <c r="AG448" s="288" t="s">
        <v>695</v>
      </c>
      <c r="AH448" s="1121" t="s">
        <v>695</v>
      </c>
      <c r="AI448" s="289" t="s">
        <v>695</v>
      </c>
      <c r="AJ448" s="1121"/>
      <c r="AK448" s="1121"/>
      <c r="AL448" s="1121"/>
      <c r="AM448" s="1121"/>
      <c r="AN448" s="315"/>
      <c r="AO448" s="315"/>
      <c r="AP448" s="315"/>
      <c r="AQ448" s="315">
        <f>+FL_2($T$449,$T$447,$S$448,1200,9.28, 1*$R$449)</f>
        <v>-0.41900058555656217</v>
      </c>
      <c r="AR448" s="315"/>
      <c r="AS448" s="315"/>
      <c r="AT448" s="315"/>
      <c r="AU448" s="315"/>
      <c r="AV448" s="315"/>
      <c r="AW448" s="1121"/>
      <c r="AX448" s="1121"/>
      <c r="AY448" s="1121" t="s">
        <v>695</v>
      </c>
      <c r="AZ448" s="1121"/>
      <c r="BA448" s="1121"/>
      <c r="BB448" s="306"/>
      <c r="BF448" s="1119"/>
      <c r="BG448" s="1119"/>
      <c r="BH448" s="1119"/>
    </row>
    <row r="449" spans="1:60" ht="14.25">
      <c r="A449" s="340"/>
      <c r="B449" s="287" t="s">
        <v>2448</v>
      </c>
      <c r="C449" s="288">
        <f>+$C$447+$G$448</f>
        <v>22263.999999999996</v>
      </c>
      <c r="D449" s="1121"/>
      <c r="E449" s="1121">
        <v>-60</v>
      </c>
      <c r="F449" s="289">
        <v>-3500</v>
      </c>
      <c r="G449" s="292"/>
      <c r="H449" s="1121"/>
      <c r="I449" s="294"/>
      <c r="J449" s="288"/>
      <c r="K449" s="1121"/>
      <c r="L449" s="1121" t="s">
        <v>230</v>
      </c>
      <c r="M449" s="1121" t="s">
        <v>2671</v>
      </c>
      <c r="N449" s="291" t="s">
        <v>144</v>
      </c>
      <c r="O449" s="291"/>
      <c r="P449" s="291"/>
      <c r="Q449" s="1121">
        <v>55</v>
      </c>
      <c r="R449" s="292">
        <v>-3502.35</v>
      </c>
      <c r="S449" s="292"/>
      <c r="T449" s="1121">
        <v>-20</v>
      </c>
      <c r="U449" s="1121"/>
      <c r="V449" s="1121"/>
      <c r="W449" s="1121">
        <v>1.4</v>
      </c>
      <c r="X449" s="1121"/>
      <c r="Y449" s="1121"/>
      <c r="Z449" s="1121"/>
      <c r="AA449" s="1121"/>
      <c r="AB449" s="1121"/>
      <c r="AC449" s="1121" t="s">
        <v>1704</v>
      </c>
      <c r="AD449" s="1121"/>
      <c r="AE449" s="1121"/>
      <c r="AF449" s="1121">
        <v>6000</v>
      </c>
      <c r="AG449" s="288">
        <v>22264.89</v>
      </c>
      <c r="AH449" s="1121">
        <v>2577</v>
      </c>
      <c r="AI449" s="289">
        <v>621</v>
      </c>
      <c r="AJ449" s="1121"/>
      <c r="AK449" s="1121"/>
      <c r="AL449" s="1121"/>
      <c r="AM449" s="1121" t="s">
        <v>1228</v>
      </c>
      <c r="AN449" s="315">
        <v>5.5</v>
      </c>
      <c r="AO449" s="315"/>
      <c r="AP449" s="315"/>
      <c r="AQ449" s="315"/>
      <c r="AR449" s="315"/>
      <c r="AS449" s="315"/>
      <c r="AT449" s="315">
        <f>+ab($T$449,$T$447,$T$451,$G$448,$G$450, 1*$F$449,1200)</f>
        <v>-11.33070134109105</v>
      </c>
      <c r="AU449" s="315"/>
      <c r="AV449" s="315"/>
      <c r="AW449" s="315" t="s">
        <v>2630</v>
      </c>
      <c r="AX449" s="315" t="s">
        <v>1639</v>
      </c>
      <c r="AY449" s="315">
        <v>3.4</v>
      </c>
      <c r="AZ449" s="315"/>
      <c r="BA449" s="315"/>
      <c r="BB449" s="306"/>
      <c r="BF449" s="1119"/>
      <c r="BG449" s="1119"/>
      <c r="BH449" s="1119"/>
    </row>
    <row r="450" spans="1:60" ht="14.25">
      <c r="A450" s="340"/>
      <c r="B450" s="287"/>
      <c r="C450" s="288"/>
      <c r="D450" s="1121"/>
      <c r="E450" s="1121"/>
      <c r="F450" s="289"/>
      <c r="G450" s="292">
        <v>57</v>
      </c>
      <c r="H450" s="291"/>
      <c r="I450" s="294"/>
      <c r="J450" s="288"/>
      <c r="K450" s="1121"/>
      <c r="L450" s="1121"/>
      <c r="M450" s="1121"/>
      <c r="N450" s="291"/>
      <c r="O450" s="291"/>
      <c r="P450" s="291"/>
      <c r="Q450" s="1121"/>
      <c r="R450" s="292"/>
      <c r="S450" s="292">
        <f t="shared" ref="S450" si="54">AG451-AG449</f>
        <v>57.139999999999418</v>
      </c>
      <c r="T450" s="1121"/>
      <c r="U450" s="1121"/>
      <c r="V450" s="1121"/>
      <c r="W450" s="1121"/>
      <c r="X450" s="1121"/>
      <c r="Y450" s="1121"/>
      <c r="Z450" s="1121"/>
      <c r="AA450" s="1121"/>
      <c r="AB450" s="1121"/>
      <c r="AC450" s="1121"/>
      <c r="AD450" s="1121"/>
      <c r="AE450" s="1121"/>
      <c r="AF450" s="1121"/>
      <c r="AG450" s="288" t="s">
        <v>695</v>
      </c>
      <c r="AH450" s="1121" t="s">
        <v>695</v>
      </c>
      <c r="AI450" s="289" t="s">
        <v>695</v>
      </c>
      <c r="AJ450" s="1121"/>
      <c r="AK450" s="1121"/>
      <c r="AL450" s="1121"/>
      <c r="AM450" s="1121"/>
      <c r="AN450" s="315"/>
      <c r="AO450" s="315"/>
      <c r="AP450" s="315"/>
      <c r="AQ450" s="315">
        <f>+FL_2($T$451,$T$449,$S$450,1200,9.28, 1*$R$451)</f>
        <v>-0.39908458213282283</v>
      </c>
      <c r="AR450" s="315"/>
      <c r="AS450" s="315"/>
      <c r="AT450" s="315"/>
      <c r="AU450" s="315"/>
      <c r="AV450" s="315"/>
      <c r="AW450" s="1121"/>
      <c r="AX450" s="1121"/>
      <c r="AY450" s="1121" t="s">
        <v>695</v>
      </c>
      <c r="AZ450" s="1121"/>
      <c r="BA450" s="1121"/>
      <c r="BB450" s="306"/>
      <c r="BF450" s="1119"/>
      <c r="BG450" s="1119"/>
      <c r="BH450" s="1119"/>
    </row>
    <row r="451" spans="1:60" ht="14.25">
      <c r="A451" s="340" t="s">
        <v>2246</v>
      </c>
      <c r="B451" s="287" t="s">
        <v>2449</v>
      </c>
      <c r="C451" s="288">
        <f>+$C$449+$G$450</f>
        <v>22320.999999999996</v>
      </c>
      <c r="D451" s="1121"/>
      <c r="E451" s="1121">
        <v>-60</v>
      </c>
      <c r="F451" s="289">
        <v>-3500</v>
      </c>
      <c r="G451" s="292"/>
      <c r="H451" s="291"/>
      <c r="I451" s="294"/>
      <c r="J451" s="288"/>
      <c r="K451" s="1121"/>
      <c r="L451" s="1121" t="s">
        <v>230</v>
      </c>
      <c r="M451" s="1121" t="s">
        <v>2671</v>
      </c>
      <c r="N451" s="291" t="s">
        <v>144</v>
      </c>
      <c r="O451" s="291"/>
      <c r="P451" s="291"/>
      <c r="Q451" s="1121">
        <v>53</v>
      </c>
      <c r="R451" s="292">
        <v>-3502.35</v>
      </c>
      <c r="S451" s="292"/>
      <c r="T451" s="1121">
        <v>-20</v>
      </c>
      <c r="U451" s="1121"/>
      <c r="V451" s="1121"/>
      <c r="W451" s="1121">
        <v>1.4</v>
      </c>
      <c r="X451" s="1121"/>
      <c r="Y451" s="1121"/>
      <c r="Z451" s="1121"/>
      <c r="AA451" s="1121"/>
      <c r="AB451" s="1121"/>
      <c r="AC451" s="1121" t="s">
        <v>1704</v>
      </c>
      <c r="AD451" s="1121"/>
      <c r="AE451" s="1121"/>
      <c r="AF451" s="1121">
        <v>6000</v>
      </c>
      <c r="AG451" s="288">
        <v>22322.03</v>
      </c>
      <c r="AH451" s="1121">
        <v>2598</v>
      </c>
      <c r="AI451" s="289">
        <v>563</v>
      </c>
      <c r="AJ451" s="1121"/>
      <c r="AK451" s="1121"/>
      <c r="AL451" s="1121"/>
      <c r="AM451" s="1121" t="s">
        <v>1228</v>
      </c>
      <c r="AN451" s="315">
        <v>5.5</v>
      </c>
      <c r="AO451" s="315"/>
      <c r="AP451" s="315"/>
      <c r="AQ451" s="315"/>
      <c r="AR451" s="315"/>
      <c r="AS451" s="315"/>
      <c r="AT451" s="315">
        <f>+ab($T$451,$T$449,$T$453,$G$450,$G$452, 1*$F$451,1200)</f>
        <v>-11.720873178323368</v>
      </c>
      <c r="AU451" s="315"/>
      <c r="AV451" s="315"/>
      <c r="AW451" s="315" t="s">
        <v>2630</v>
      </c>
      <c r="AX451" s="315" t="s">
        <v>1639</v>
      </c>
      <c r="AY451" s="315">
        <v>3.4</v>
      </c>
      <c r="AZ451" s="315"/>
      <c r="BA451" s="315"/>
      <c r="BB451" s="306"/>
      <c r="BF451" s="1119"/>
      <c r="BG451" s="1119"/>
      <c r="BH451" s="1119"/>
    </row>
    <row r="452" spans="1:60" ht="14.25">
      <c r="A452" s="340"/>
      <c r="B452" s="287"/>
      <c r="C452" s="288"/>
      <c r="D452" s="1121"/>
      <c r="E452" s="1121"/>
      <c r="F452" s="289"/>
      <c r="G452" s="292">
        <v>56</v>
      </c>
      <c r="H452" s="291"/>
      <c r="I452" s="294"/>
      <c r="J452" s="288">
        <f>C453-7.5</f>
        <v>22369.499999999996</v>
      </c>
      <c r="K452" s="1121" t="s">
        <v>653</v>
      </c>
      <c r="L452" s="1121"/>
      <c r="M452" s="1121"/>
      <c r="N452" s="291"/>
      <c r="O452" s="291"/>
      <c r="P452" s="291"/>
      <c r="Q452" s="1121"/>
      <c r="R452" s="292"/>
      <c r="S452" s="292">
        <f t="shared" ref="S452" si="55">AG453-AG451</f>
        <v>56.100000000002183</v>
      </c>
      <c r="T452" s="1121"/>
      <c r="U452" s="1121"/>
      <c r="V452" s="1121"/>
      <c r="W452" s="1121"/>
      <c r="X452" s="1121"/>
      <c r="Y452" s="1121"/>
      <c r="Z452" s="1121"/>
      <c r="AA452" s="1121"/>
      <c r="AB452" s="1121"/>
      <c r="AC452" s="1121"/>
      <c r="AD452" s="1121"/>
      <c r="AE452" s="1121"/>
      <c r="AF452" s="1121"/>
      <c r="AG452" s="288" t="s">
        <v>695</v>
      </c>
      <c r="AH452" s="1121" t="s">
        <v>695</v>
      </c>
      <c r="AI452" s="289" t="s">
        <v>695</v>
      </c>
      <c r="AJ452" s="1121"/>
      <c r="AK452" s="1121"/>
      <c r="AL452" s="1121"/>
      <c r="AM452" s="1121"/>
      <c r="AN452" s="315"/>
      <c r="AO452" s="315"/>
      <c r="AP452" s="315"/>
      <c r="AQ452" s="315">
        <f>+FL_2($T$453,$T$451,$S$452,1200,9.28, 1*$R$453)</f>
        <v>-0.39190355976871327</v>
      </c>
      <c r="AR452" s="315"/>
      <c r="AS452" s="315"/>
      <c r="AT452" s="315"/>
      <c r="AU452" s="315"/>
      <c r="AV452" s="315"/>
      <c r="AW452" s="1121" t="s">
        <v>2630</v>
      </c>
      <c r="AX452" s="1121" t="s">
        <v>1639</v>
      </c>
      <c r="AY452" s="1121"/>
      <c r="AZ452" s="1121">
        <v>2.5</v>
      </c>
      <c r="BA452" s="1121"/>
      <c r="BB452" s="306"/>
      <c r="BF452" s="1119"/>
      <c r="BG452" s="1119"/>
      <c r="BH452" s="1119"/>
    </row>
    <row r="453" spans="1:60" ht="14.25">
      <c r="A453" s="340"/>
      <c r="B453" s="287" t="s">
        <v>2450</v>
      </c>
      <c r="C453" s="288">
        <f>+$C$451+$G$452</f>
        <v>22376.999999999996</v>
      </c>
      <c r="D453" s="1121"/>
      <c r="E453" s="1121">
        <v>-60</v>
      </c>
      <c r="F453" s="289">
        <v>-3500</v>
      </c>
      <c r="G453" s="292"/>
      <c r="H453" s="291" t="s">
        <v>138</v>
      </c>
      <c r="I453" s="294" t="s">
        <v>656</v>
      </c>
      <c r="J453" s="288"/>
      <c r="K453" s="1121"/>
      <c r="L453" s="1121" t="s">
        <v>1061</v>
      </c>
      <c r="M453" s="1121" t="s">
        <v>2672</v>
      </c>
      <c r="N453" s="291" t="s">
        <v>144</v>
      </c>
      <c r="O453" s="291"/>
      <c r="P453" s="291"/>
      <c r="Q453" s="1121">
        <v>59</v>
      </c>
      <c r="R453" s="292">
        <v>-3502.35</v>
      </c>
      <c r="S453" s="292"/>
      <c r="T453" s="1121">
        <v>-20</v>
      </c>
      <c r="U453" s="1121"/>
      <c r="V453" s="1121"/>
      <c r="W453" s="1121">
        <v>1.4</v>
      </c>
      <c r="X453" s="1121"/>
      <c r="Y453" s="1121"/>
      <c r="Z453" s="1121"/>
      <c r="AA453" s="1121"/>
      <c r="AB453" s="1121"/>
      <c r="AC453" s="1121" t="s">
        <v>1704</v>
      </c>
      <c r="AD453" s="1121"/>
      <c r="AE453" s="1121"/>
      <c r="AF453" s="1121">
        <v>6000</v>
      </c>
      <c r="AG453" s="288">
        <v>22378.13</v>
      </c>
      <c r="AH453" s="1121">
        <v>2531</v>
      </c>
      <c r="AI453" s="289">
        <v>574</v>
      </c>
      <c r="AJ453" s="1121"/>
      <c r="AK453" s="1121"/>
      <c r="AL453" s="1121"/>
      <c r="AM453" s="1121" t="s">
        <v>1228</v>
      </c>
      <c r="AN453" s="315">
        <v>5.5</v>
      </c>
      <c r="AO453" s="315"/>
      <c r="AP453" s="315"/>
      <c r="AQ453" s="315"/>
      <c r="AR453" s="315"/>
      <c r="AS453" s="315"/>
      <c r="AT453" s="315">
        <f>+ab($T$453,$T$451,$U$455,$G$452,$G$454, 1*$F$453,1200)</f>
        <v>-11.822590957682909</v>
      </c>
      <c r="AU453" s="315"/>
      <c r="AV453" s="315"/>
      <c r="AW453" s="315" t="s">
        <v>2630</v>
      </c>
      <c r="AX453" s="315" t="s">
        <v>1639</v>
      </c>
      <c r="AY453" s="315">
        <v>3.4</v>
      </c>
      <c r="AZ453" s="315"/>
      <c r="BA453" s="315"/>
      <c r="BB453" s="306"/>
      <c r="BF453" s="1119"/>
      <c r="BG453" s="1119"/>
      <c r="BH453" s="1119"/>
    </row>
    <row r="454" spans="1:60" ht="14.25">
      <c r="A454" s="340"/>
      <c r="B454" s="287"/>
      <c r="C454" s="288"/>
      <c r="D454" s="1121"/>
      <c r="E454" s="1121"/>
      <c r="F454" s="289"/>
      <c r="G454" s="292">
        <v>56</v>
      </c>
      <c r="H454" s="291"/>
      <c r="I454" s="294"/>
      <c r="J454" s="288"/>
      <c r="K454" s="1121"/>
      <c r="L454" s="1121"/>
      <c r="M454" s="1121"/>
      <c r="N454" s="291"/>
      <c r="O454" s="291"/>
      <c r="P454" s="291"/>
      <c r="Q454" s="1121"/>
      <c r="R454" s="292"/>
      <c r="S454" s="292">
        <f t="shared" ref="S454" si="56">AG455-AG453</f>
        <v>56.069999999999709</v>
      </c>
      <c r="T454" s="1121"/>
      <c r="U454" s="1121"/>
      <c r="V454" s="1121"/>
      <c r="W454" s="1121"/>
      <c r="X454" s="1121"/>
      <c r="Y454" s="1121"/>
      <c r="Z454" s="1121"/>
      <c r="AA454" s="1121"/>
      <c r="AB454" s="1121"/>
      <c r="AC454" s="1121"/>
      <c r="AD454" s="1121"/>
      <c r="AE454" s="1121"/>
      <c r="AF454" s="1121"/>
      <c r="AG454" s="288" t="s">
        <v>695</v>
      </c>
      <c r="AH454" s="1121" t="s">
        <v>695</v>
      </c>
      <c r="AI454" s="289" t="s">
        <v>695</v>
      </c>
      <c r="AJ454" s="1121"/>
      <c r="AK454" s="1121"/>
      <c r="AL454" s="1121"/>
      <c r="AM454" s="1121"/>
      <c r="AN454" s="315"/>
      <c r="AO454" s="315"/>
      <c r="AP454" s="315"/>
      <c r="AQ454" s="315">
        <f>+FL_2($U$455,$T$453,$S$454,1200,9.28, 1*$R$455)</f>
        <v>-0.39169836602462127</v>
      </c>
      <c r="AR454" s="315"/>
      <c r="AS454" s="315"/>
      <c r="AT454" s="315"/>
      <c r="AU454" s="315"/>
      <c r="AV454" s="315"/>
      <c r="AW454" s="1121"/>
      <c r="AX454" s="1121"/>
      <c r="AY454" s="1121" t="s">
        <v>695</v>
      </c>
      <c r="AZ454" s="1121"/>
      <c r="BA454" s="1121"/>
      <c r="BB454" s="306"/>
      <c r="BF454" s="1119"/>
      <c r="BG454" s="1119"/>
      <c r="BH454" s="1119"/>
    </row>
    <row r="455" spans="1:60" ht="14.25">
      <c r="A455" s="340" t="s">
        <v>3237</v>
      </c>
      <c r="B455" s="287" t="s">
        <v>2451</v>
      </c>
      <c r="C455" s="288">
        <f>+$C$453+$G$454</f>
        <v>22432.999999999996</v>
      </c>
      <c r="D455" s="1121"/>
      <c r="E455" s="1121"/>
      <c r="F455" s="289">
        <v>-3500</v>
      </c>
      <c r="G455" s="292"/>
      <c r="H455" s="291" t="s">
        <v>651</v>
      </c>
      <c r="I455" s="294" t="s">
        <v>2016</v>
      </c>
      <c r="J455" s="288"/>
      <c r="K455" s="1121"/>
      <c r="L455" s="1121" t="s">
        <v>231</v>
      </c>
      <c r="M455" s="1121" t="s">
        <v>2672</v>
      </c>
      <c r="N455" s="291" t="s">
        <v>140</v>
      </c>
      <c r="O455" s="291" t="s">
        <v>144</v>
      </c>
      <c r="P455" s="291"/>
      <c r="Q455" s="1121">
        <v>57</v>
      </c>
      <c r="R455" s="292">
        <v>-3502.35</v>
      </c>
      <c r="S455" s="292"/>
      <c r="T455" s="1121">
        <v>25</v>
      </c>
      <c r="U455" s="1121">
        <v>-20</v>
      </c>
      <c r="V455" s="1121"/>
      <c r="W455" s="1121">
        <v>1.4</v>
      </c>
      <c r="X455" s="1121">
        <v>2.2999999999999998</v>
      </c>
      <c r="Y455" s="1121"/>
      <c r="Z455" s="1121">
        <v>0.5</v>
      </c>
      <c r="AA455" s="1121"/>
      <c r="AB455" s="1121"/>
      <c r="AC455" s="1121"/>
      <c r="AD455" s="1121" t="s">
        <v>1704</v>
      </c>
      <c r="AE455" s="1121"/>
      <c r="AF455" s="1121">
        <v>6000</v>
      </c>
      <c r="AG455" s="288">
        <v>22434.2</v>
      </c>
      <c r="AH455" s="1121">
        <v>2629</v>
      </c>
      <c r="AI455" s="289">
        <v>616</v>
      </c>
      <c r="AJ455" s="1121" t="s">
        <v>3224</v>
      </c>
      <c r="AK455" s="1121"/>
      <c r="AL455" s="1121"/>
      <c r="AM455" s="1121" t="s">
        <v>1228</v>
      </c>
      <c r="AN455" s="315">
        <v>5.5</v>
      </c>
      <c r="AO455" s="315"/>
      <c r="AP455" s="315"/>
      <c r="AQ455" s="315"/>
      <c r="AR455" s="315"/>
      <c r="AS455" s="315"/>
      <c r="AT455" s="315">
        <f>+ab($U$455,$T$453,$U$457,$G$454,$G$456, 1*$F$455,1200)</f>
        <v>-19.432031819907898</v>
      </c>
      <c r="AU455" s="315"/>
      <c r="AV455" s="315"/>
      <c r="AW455" s="315" t="s">
        <v>2630</v>
      </c>
      <c r="AX455" s="315" t="s">
        <v>1639</v>
      </c>
      <c r="AY455" s="315">
        <v>3.4</v>
      </c>
      <c r="AZ455" s="315"/>
      <c r="BA455" s="315"/>
      <c r="BB455" s="306"/>
      <c r="BF455" s="1119"/>
      <c r="BG455" s="1119"/>
      <c r="BH455" s="1119"/>
    </row>
    <row r="456" spans="1:60" ht="14.25">
      <c r="A456" s="340"/>
      <c r="B456" s="287"/>
      <c r="C456" s="288"/>
      <c r="D456" s="1121"/>
      <c r="E456" s="1121"/>
      <c r="F456" s="289"/>
      <c r="G456" s="292">
        <v>55</v>
      </c>
      <c r="H456" s="291"/>
      <c r="I456" s="291"/>
      <c r="J456" s="288">
        <f>C457-7.5</f>
        <v>22480.499999999996</v>
      </c>
      <c r="K456" s="1121" t="s">
        <v>653</v>
      </c>
      <c r="L456" s="1121"/>
      <c r="M456" s="1121"/>
      <c r="N456" s="291"/>
      <c r="O456" s="291"/>
      <c r="P456" s="291"/>
      <c r="Q456" s="1121"/>
      <c r="R456" s="292"/>
      <c r="S456" s="292">
        <f t="shared" ref="S456" si="57">AG457-AG455</f>
        <v>54.889999999999418</v>
      </c>
      <c r="T456" s="1121"/>
      <c r="U456" s="1121"/>
      <c r="V456" s="1121"/>
      <c r="W456" s="1121"/>
      <c r="X456" s="1121"/>
      <c r="Y456" s="1121"/>
      <c r="Z456" s="1121"/>
      <c r="AA456" s="1121"/>
      <c r="AB456" s="1121"/>
      <c r="AC456" s="1121"/>
      <c r="AD456" s="1121"/>
      <c r="AE456" s="1121"/>
      <c r="AF456" s="1121"/>
      <c r="AG456" s="288" t="s">
        <v>695</v>
      </c>
      <c r="AH456" s="1121" t="s">
        <v>695</v>
      </c>
      <c r="AI456" s="289" t="s">
        <v>695</v>
      </c>
      <c r="AJ456" s="1121"/>
      <c r="AK456" s="1121"/>
      <c r="AL456" s="1121"/>
      <c r="AM456" s="1121"/>
      <c r="AN456" s="315"/>
      <c r="AO456" s="315"/>
      <c r="AP456" s="315"/>
      <c r="AQ456" s="315">
        <f>+FL_2($T$457,$U$455,$S$456,1200,9.28, 1*$R$457)</f>
        <v>-0.33711675901882804</v>
      </c>
      <c r="AR456" s="315"/>
      <c r="AS456" s="315"/>
      <c r="AT456" s="315"/>
      <c r="AU456" s="315"/>
      <c r="AV456" s="315"/>
      <c r="AW456" s="1121" t="s">
        <v>2630</v>
      </c>
      <c r="AX456" s="1121" t="s">
        <v>1639</v>
      </c>
      <c r="AY456" s="1121"/>
      <c r="AZ456" s="1121">
        <v>2.5</v>
      </c>
      <c r="BA456" s="1121"/>
      <c r="BB456" s="306"/>
      <c r="BF456" s="1119"/>
      <c r="BG456" s="1119"/>
      <c r="BH456" s="1119"/>
    </row>
    <row r="457" spans="1:60" ht="14.25">
      <c r="A457" s="340"/>
      <c r="B457" s="287" t="s">
        <v>2452</v>
      </c>
      <c r="C457" s="288">
        <f>+$C$455+$G$456</f>
        <v>22487.999999999996</v>
      </c>
      <c r="D457" s="1121"/>
      <c r="E457" s="1121"/>
      <c r="F457" s="289">
        <f>(160*3500)/(C457-22604)</f>
        <v>-4827.5862068964007</v>
      </c>
      <c r="G457" s="292"/>
      <c r="H457" s="291" t="s">
        <v>2755</v>
      </c>
      <c r="I457" s="291" t="s">
        <v>656</v>
      </c>
      <c r="J457" s="288"/>
      <c r="K457" s="1121"/>
      <c r="L457" s="1121" t="s">
        <v>1062</v>
      </c>
      <c r="M457" s="1121" t="s">
        <v>235</v>
      </c>
      <c r="N457" s="291" t="s">
        <v>144</v>
      </c>
      <c r="O457" s="291" t="s">
        <v>140</v>
      </c>
      <c r="P457" s="291"/>
      <c r="Q457" s="1121">
        <v>38</v>
      </c>
      <c r="R457" s="292">
        <v>-3502.35</v>
      </c>
      <c r="S457" s="292"/>
      <c r="T457" s="1121">
        <v>-10</v>
      </c>
      <c r="U457" s="1121">
        <v>-55</v>
      </c>
      <c r="V457" s="1121"/>
      <c r="W457" s="1121">
        <v>1.4</v>
      </c>
      <c r="X457" s="1121">
        <v>2.2999999999999998</v>
      </c>
      <c r="Y457" s="1121"/>
      <c r="Z457" s="1121"/>
      <c r="AA457" s="1121">
        <v>0.5</v>
      </c>
      <c r="AB457" s="1121"/>
      <c r="AC457" s="1121" t="s">
        <v>2963</v>
      </c>
      <c r="AD457" s="1121"/>
      <c r="AE457" s="1121"/>
      <c r="AF457" s="1121">
        <v>5900</v>
      </c>
      <c r="AG457" s="288">
        <v>22489.09</v>
      </c>
      <c r="AH457" s="1121">
        <v>2548</v>
      </c>
      <c r="AI457" s="289">
        <v>626</v>
      </c>
      <c r="AJ457" s="1121"/>
      <c r="AK457" s="1121"/>
      <c r="AL457" s="1121"/>
      <c r="AM457" s="1121" t="s">
        <v>1228</v>
      </c>
      <c r="AN457" s="315">
        <v>5.5</v>
      </c>
      <c r="AO457" s="315"/>
      <c r="AP457" s="315"/>
      <c r="AQ457" s="315"/>
      <c r="AR457" s="315"/>
      <c r="AS457" s="315"/>
      <c r="AT457" s="315">
        <f>+ab($T$457,$T$455,$U$459,$G$456,$G$458, 1*$F$457,1200)</f>
        <v>-12.395434579793642</v>
      </c>
      <c r="AU457" s="315"/>
      <c r="AV457" s="315"/>
      <c r="AW457" s="315" t="s">
        <v>2630</v>
      </c>
      <c r="AX457" s="315" t="s">
        <v>1639</v>
      </c>
      <c r="AY457" s="315">
        <v>3.4</v>
      </c>
      <c r="AZ457" s="315"/>
      <c r="BA457" s="315"/>
      <c r="BB457" s="306"/>
      <c r="BF457" s="1119"/>
      <c r="BG457" s="1119"/>
      <c r="BH457" s="1119"/>
    </row>
    <row r="458" spans="1:60" ht="14.25">
      <c r="A458" s="340"/>
      <c r="B458" s="287"/>
      <c r="C458" s="288"/>
      <c r="D458" s="1121"/>
      <c r="E458" s="1121"/>
      <c r="F458" s="289"/>
      <c r="G458" s="292">
        <v>50</v>
      </c>
      <c r="H458" s="291"/>
      <c r="I458" s="294"/>
      <c r="J458" s="288"/>
      <c r="K458" s="1121"/>
      <c r="L458" s="1121"/>
      <c r="M458" s="1121"/>
      <c r="N458" s="291"/>
      <c r="O458" s="1121"/>
      <c r="P458" s="291"/>
      <c r="Q458" s="1121"/>
      <c r="R458" s="292"/>
      <c r="S458" s="292">
        <f t="shared" ref="S458" si="58">AG459-AG457</f>
        <v>49.990000000001601</v>
      </c>
      <c r="T458" s="1121"/>
      <c r="U458" s="1121"/>
      <c r="V458" s="1121"/>
      <c r="W458" s="1121"/>
      <c r="X458" s="1121"/>
      <c r="Y458" s="1121"/>
      <c r="Z458" s="1121"/>
      <c r="AA458" s="1121"/>
      <c r="AB458" s="1121"/>
      <c r="AC458" s="1121"/>
      <c r="AD458" s="1121"/>
      <c r="AE458" s="1121"/>
      <c r="AF458" s="1121"/>
      <c r="AG458" s="288" t="s">
        <v>695</v>
      </c>
      <c r="AH458" s="1121" t="s">
        <v>695</v>
      </c>
      <c r="AI458" s="289" t="s">
        <v>695</v>
      </c>
      <c r="AJ458" s="1121"/>
      <c r="AK458" s="1121"/>
      <c r="AL458" s="1121"/>
      <c r="AM458" s="1121"/>
      <c r="AN458" s="315"/>
      <c r="AO458" s="315"/>
      <c r="AP458" s="315"/>
      <c r="AQ458" s="315">
        <f>+FL_2($U$459,$T$457,$S$458,1200,9.28, 1*$R$459)</f>
        <v>-0.33059217521731232</v>
      </c>
      <c r="AR458" s="315"/>
      <c r="AS458" s="315"/>
      <c r="AT458" s="315"/>
      <c r="AU458" s="315"/>
      <c r="AV458" s="315"/>
      <c r="AW458" s="1121"/>
      <c r="AX458" s="1121"/>
      <c r="AY458" s="1121"/>
      <c r="AZ458" s="1121"/>
      <c r="BA458" s="1121"/>
      <c r="BB458" s="306"/>
      <c r="BF458" s="1119"/>
      <c r="BG458" s="1119"/>
      <c r="BH458" s="1119"/>
    </row>
    <row r="459" spans="1:60" ht="14.25">
      <c r="A459" s="340"/>
      <c r="B459" s="287" t="s">
        <v>2453</v>
      </c>
      <c r="C459" s="288">
        <f>+$C$457+$G$458</f>
        <v>22537.999999999996</v>
      </c>
      <c r="D459" s="1121"/>
      <c r="E459" s="1121"/>
      <c r="F459" s="289">
        <f>(160*3500)/(C459-22604)</f>
        <v>-8484.8484848480166</v>
      </c>
      <c r="G459" s="292"/>
      <c r="H459" s="291" t="s">
        <v>2523</v>
      </c>
      <c r="I459" s="294" t="s">
        <v>656</v>
      </c>
      <c r="J459" s="288"/>
      <c r="K459" s="1121"/>
      <c r="L459" s="1121" t="s">
        <v>1062</v>
      </c>
      <c r="M459" s="1121" t="s">
        <v>235</v>
      </c>
      <c r="N459" s="291" t="s">
        <v>140</v>
      </c>
      <c r="O459" s="291" t="s">
        <v>144</v>
      </c>
      <c r="P459" s="291"/>
      <c r="Q459" s="1121">
        <v>21</v>
      </c>
      <c r="R459" s="292">
        <v>-4842.4799999999996</v>
      </c>
      <c r="S459" s="292"/>
      <c r="T459" s="1121">
        <v>30</v>
      </c>
      <c r="U459" s="1121">
        <v>-20</v>
      </c>
      <c r="V459" s="1121"/>
      <c r="W459" s="1121">
        <v>1.4</v>
      </c>
      <c r="X459" s="1121">
        <v>2.2999999999999998</v>
      </c>
      <c r="Y459" s="1121"/>
      <c r="Z459" s="1121">
        <v>0.6</v>
      </c>
      <c r="AA459" s="1121"/>
      <c r="AB459" s="1121"/>
      <c r="AC459" s="1121"/>
      <c r="AD459" s="1121" t="s">
        <v>1704</v>
      </c>
      <c r="AE459" s="1121"/>
      <c r="AF459" s="1121">
        <v>5900</v>
      </c>
      <c r="AG459" s="288">
        <v>22539.08</v>
      </c>
      <c r="AH459" s="1121">
        <v>2569</v>
      </c>
      <c r="AI459" s="289">
        <v>646</v>
      </c>
      <c r="AJ459" s="1121"/>
      <c r="AK459" s="1121"/>
      <c r="AL459" s="1121"/>
      <c r="AM459" s="1121" t="s">
        <v>1228</v>
      </c>
      <c r="AN459" s="315">
        <v>5.5</v>
      </c>
      <c r="AO459" s="315"/>
      <c r="AP459" s="315"/>
      <c r="AQ459" s="315"/>
      <c r="AR459" s="315"/>
      <c r="AS459" s="315"/>
      <c r="AT459" s="315">
        <f>+ab($U$459,$T$457,$U$463,$G$458,$G$461, 1*$F$459,1200)</f>
        <v>-22.840004591941263</v>
      </c>
      <c r="AU459" s="315"/>
      <c r="AV459" s="315"/>
      <c r="AW459" s="315" t="s">
        <v>2630</v>
      </c>
      <c r="AX459" s="315" t="s">
        <v>1639</v>
      </c>
      <c r="AY459" s="315">
        <v>3.4</v>
      </c>
      <c r="AZ459" s="315"/>
      <c r="BA459" s="315"/>
      <c r="BB459" s="306"/>
      <c r="BF459" s="1119"/>
      <c r="BG459" s="1119"/>
      <c r="BH459" s="1119"/>
    </row>
    <row r="460" spans="1:60" ht="14.25">
      <c r="A460" s="340"/>
      <c r="B460" s="287"/>
      <c r="C460" s="288"/>
      <c r="D460" s="1121"/>
      <c r="E460" s="1121"/>
      <c r="F460" s="289"/>
      <c r="G460" s="1119"/>
      <c r="H460" s="291"/>
      <c r="I460" s="294"/>
      <c r="J460" s="288">
        <f>C459+7.5</f>
        <v>22545.499999999996</v>
      </c>
      <c r="K460" s="1121" t="s">
        <v>653</v>
      </c>
      <c r="L460" s="1121"/>
      <c r="M460" s="1121"/>
      <c r="N460" s="291"/>
      <c r="O460" s="291"/>
      <c r="P460" s="291"/>
      <c r="Q460" s="1121"/>
      <c r="R460" s="292"/>
      <c r="S460" s="292">
        <f t="shared" ref="S460" si="59">AG463-AG459</f>
        <v>51</v>
      </c>
      <c r="T460" s="1121"/>
      <c r="U460" s="1121"/>
      <c r="V460" s="1121"/>
      <c r="W460" s="1121"/>
      <c r="X460" s="1121"/>
      <c r="Y460" s="1121"/>
      <c r="Z460" s="1121"/>
      <c r="AA460" s="1121"/>
      <c r="AB460" s="1121"/>
      <c r="AC460" s="1121"/>
      <c r="AD460" s="1121"/>
      <c r="AE460" s="1121"/>
      <c r="AF460" s="1121"/>
      <c r="AG460" s="288" t="s">
        <v>695</v>
      </c>
      <c r="AH460" s="1121" t="s">
        <v>695</v>
      </c>
      <c r="AI460" s="289" t="s">
        <v>695</v>
      </c>
      <c r="AJ460" s="1121"/>
      <c r="AK460" s="1121"/>
      <c r="AL460" s="1121"/>
      <c r="AM460" s="1121"/>
      <c r="AN460" s="315"/>
      <c r="AO460" s="315"/>
      <c r="AP460" s="315"/>
      <c r="AQ460" s="315">
        <f>+FL_2($U$463,$U$459,$S$460,1200,9.28, 1*$R$463)</f>
        <v>-0.44282376547100255</v>
      </c>
      <c r="AR460" s="315"/>
      <c r="AS460" s="315"/>
      <c r="AT460" s="315"/>
      <c r="AU460" s="315"/>
      <c r="AV460" s="315"/>
      <c r="AW460" s="1121" t="s">
        <v>2630</v>
      </c>
      <c r="AX460" s="1121" t="s">
        <v>1639</v>
      </c>
      <c r="AY460" s="1121"/>
      <c r="AZ460" s="1121">
        <v>2.5</v>
      </c>
      <c r="BA460" s="1121"/>
      <c r="BB460" s="306"/>
      <c r="BF460" s="1119"/>
      <c r="BG460" s="1119"/>
      <c r="BH460" s="1119"/>
    </row>
    <row r="461" spans="1:60" ht="14.25">
      <c r="A461" s="340"/>
      <c r="B461" s="287" t="s">
        <v>3153</v>
      </c>
      <c r="C461" s="288">
        <v>22585</v>
      </c>
      <c r="D461" s="1121"/>
      <c r="E461" s="1121"/>
      <c r="F461" s="289"/>
      <c r="G461" s="292">
        <v>51</v>
      </c>
      <c r="H461" s="291"/>
      <c r="I461" s="294"/>
      <c r="J461" s="288"/>
      <c r="K461" s="1121"/>
      <c r="L461" s="1121" t="s">
        <v>881</v>
      </c>
      <c r="M461" s="1121" t="s">
        <v>2780</v>
      </c>
      <c r="N461" s="291"/>
      <c r="O461" s="291"/>
      <c r="P461" s="291"/>
      <c r="Q461" s="1121"/>
      <c r="R461" s="292"/>
      <c r="S461" s="292"/>
      <c r="T461" s="1121"/>
      <c r="U461" s="1121"/>
      <c r="V461" s="1121"/>
      <c r="W461" s="1121"/>
      <c r="X461" s="1121"/>
      <c r="Y461" s="1121"/>
      <c r="Z461" s="1121"/>
      <c r="AA461" s="1121"/>
      <c r="AB461" s="1121"/>
      <c r="AC461" s="1121"/>
      <c r="AD461" s="1121"/>
      <c r="AE461" s="1121"/>
      <c r="AF461" s="1121"/>
      <c r="AG461" s="288"/>
      <c r="AH461" s="1121"/>
      <c r="AI461" s="289"/>
      <c r="AJ461" s="1121"/>
      <c r="AK461" s="1121"/>
      <c r="AL461" s="1121"/>
      <c r="AM461" s="1121"/>
      <c r="AN461" s="315"/>
      <c r="AO461" s="315"/>
      <c r="AP461" s="315"/>
      <c r="AQ461" s="315"/>
      <c r="AR461" s="315"/>
      <c r="AS461" s="315"/>
      <c r="AT461" s="315"/>
      <c r="AU461" s="315"/>
      <c r="AV461" s="315"/>
      <c r="AW461" s="1121" t="s">
        <v>2630</v>
      </c>
      <c r="AX461" s="1121" t="s">
        <v>1639</v>
      </c>
      <c r="AY461" s="315">
        <v>3.4</v>
      </c>
      <c r="AZ461" s="1121"/>
      <c r="BA461" s="1025" t="s">
        <v>3012</v>
      </c>
      <c r="BB461" s="306"/>
      <c r="BF461" s="1119"/>
      <c r="BG461" s="1119"/>
      <c r="BH461" s="1119"/>
    </row>
    <row r="462" spans="1:60" ht="14.25">
      <c r="A462" s="340"/>
      <c r="B462" s="287"/>
      <c r="C462" s="288"/>
      <c r="D462" s="1121"/>
      <c r="E462" s="1121"/>
      <c r="F462" s="289"/>
      <c r="G462" s="292"/>
      <c r="H462" s="291"/>
      <c r="I462" s="294"/>
      <c r="J462" s="288"/>
      <c r="K462" s="1121"/>
      <c r="L462" s="1121"/>
      <c r="M462" s="1121"/>
      <c r="N462" s="291"/>
      <c r="O462" s="291"/>
      <c r="P462" s="291"/>
      <c r="Q462" s="1121"/>
      <c r="R462" s="292"/>
      <c r="S462" s="292"/>
      <c r="T462" s="1121"/>
      <c r="U462" s="1121"/>
      <c r="V462" s="1121"/>
      <c r="W462" s="1121"/>
      <c r="X462" s="1121"/>
      <c r="Y462" s="1121"/>
      <c r="Z462" s="1121"/>
      <c r="AA462" s="1121"/>
      <c r="AB462" s="1121"/>
      <c r="AC462" s="1121"/>
      <c r="AD462" s="1121"/>
      <c r="AE462" s="1121"/>
      <c r="AF462" s="1121"/>
      <c r="AG462" s="288"/>
      <c r="AH462" s="1121"/>
      <c r="AI462" s="289"/>
      <c r="AJ462" s="1121"/>
      <c r="AK462" s="1121"/>
      <c r="AL462" s="1121"/>
      <c r="AM462" s="1121"/>
      <c r="AN462" s="315"/>
      <c r="AO462" s="315"/>
      <c r="AP462" s="315"/>
      <c r="AQ462" s="315"/>
      <c r="AR462" s="315"/>
      <c r="AS462" s="315"/>
      <c r="AT462" s="315"/>
      <c r="AU462" s="315"/>
      <c r="AV462" s="315"/>
      <c r="AW462" s="1121"/>
      <c r="AX462" s="1121"/>
      <c r="AY462" s="1121"/>
      <c r="AZ462" s="1121"/>
      <c r="BA462" s="1121"/>
      <c r="BB462" s="306"/>
      <c r="BF462" s="1119"/>
      <c r="BG462" s="1119"/>
      <c r="BH462" s="1119"/>
    </row>
    <row r="463" spans="1:60" ht="14.25">
      <c r="A463" s="340"/>
      <c r="B463" s="1036" t="s">
        <v>2454</v>
      </c>
      <c r="C463" s="288">
        <f>+$C$459+$G$461</f>
        <v>22588.999999999996</v>
      </c>
      <c r="D463" s="1121"/>
      <c r="E463" s="1121"/>
      <c r="F463" s="289">
        <v>0</v>
      </c>
      <c r="G463" s="292"/>
      <c r="H463" s="291" t="s">
        <v>651</v>
      </c>
      <c r="I463" s="294"/>
      <c r="J463" s="288"/>
      <c r="K463" s="1121"/>
      <c r="L463" s="1121" t="s">
        <v>231</v>
      </c>
      <c r="M463" s="1121" t="s">
        <v>2672</v>
      </c>
      <c r="N463" s="291" t="s">
        <v>140</v>
      </c>
      <c r="O463" s="291" t="s">
        <v>145</v>
      </c>
      <c r="P463" s="291"/>
      <c r="Q463" s="1121">
        <v>5</v>
      </c>
      <c r="R463" s="292">
        <v>-37777.85</v>
      </c>
      <c r="S463" s="292"/>
      <c r="T463" s="1121">
        <v>-55</v>
      </c>
      <c r="U463" s="1121">
        <v>-20</v>
      </c>
      <c r="V463" s="1121"/>
      <c r="W463" s="1121">
        <v>2</v>
      </c>
      <c r="X463" s="1121">
        <v>1.4</v>
      </c>
      <c r="Y463" s="1121"/>
      <c r="Z463" s="1121">
        <v>0.45</v>
      </c>
      <c r="AA463" s="1121"/>
      <c r="AB463" s="1121"/>
      <c r="AC463" s="1121"/>
      <c r="AD463" s="1121" t="s">
        <v>1704</v>
      </c>
      <c r="AE463" s="1121"/>
      <c r="AF463" s="1121">
        <v>6000</v>
      </c>
      <c r="AG463" s="288">
        <v>22590.080000000002</v>
      </c>
      <c r="AH463" s="1121">
        <v>2559</v>
      </c>
      <c r="AI463" s="289">
        <v>565</v>
      </c>
      <c r="AJ463" s="1121"/>
      <c r="AK463" s="1121"/>
      <c r="AL463" s="1121"/>
      <c r="AM463" s="1121" t="s">
        <v>1228</v>
      </c>
      <c r="AN463" s="315">
        <v>5.5</v>
      </c>
      <c r="AO463" s="315"/>
      <c r="AP463" s="315"/>
      <c r="AQ463" s="315"/>
      <c r="AR463" s="315"/>
      <c r="AS463" s="315"/>
      <c r="AT463" s="315">
        <f>+ab($U$463,$U$459,$U$465,$S$460,$S$464, 1*$R$463,1200)</f>
        <v>-15.859864794725707</v>
      </c>
      <c r="AU463" s="315"/>
      <c r="AV463" s="315"/>
      <c r="AW463" s="315" t="s">
        <v>2630</v>
      </c>
      <c r="AX463" s="315" t="s">
        <v>1639</v>
      </c>
      <c r="AY463" s="315">
        <v>3.4</v>
      </c>
      <c r="AZ463" s="315"/>
      <c r="BA463" s="315"/>
      <c r="BB463" s="306"/>
      <c r="BF463" s="1119"/>
      <c r="BG463" s="1119"/>
      <c r="BH463" s="1119"/>
    </row>
    <row r="464" spans="1:60" ht="14.25">
      <c r="A464" s="340"/>
      <c r="B464" s="287"/>
      <c r="C464" s="288"/>
      <c r="D464" s="1121"/>
      <c r="E464" s="1121"/>
      <c r="F464" s="289"/>
      <c r="G464" s="292">
        <v>52.4</v>
      </c>
      <c r="H464" s="291"/>
      <c r="I464" s="294"/>
      <c r="J464" s="288">
        <f>C465-7.5</f>
        <v>22633.899999999998</v>
      </c>
      <c r="K464" s="1121" t="s">
        <v>653</v>
      </c>
      <c r="L464" s="1121"/>
      <c r="M464" s="1121"/>
      <c r="N464" s="291"/>
      <c r="O464" s="291"/>
      <c r="P464" s="291"/>
      <c r="Q464" s="1121"/>
      <c r="R464" s="292"/>
      <c r="S464" s="292">
        <f t="shared" ref="S464" si="60">AG465-AG463</f>
        <v>52.809999999997672</v>
      </c>
      <c r="T464" s="1121"/>
      <c r="U464" s="1121"/>
      <c r="V464" s="1121"/>
      <c r="W464" s="1121"/>
      <c r="X464" s="1121"/>
      <c r="Y464" s="1121"/>
      <c r="Z464" s="1121"/>
      <c r="AA464" s="1121"/>
      <c r="AB464" s="1121"/>
      <c r="AC464" s="1121"/>
      <c r="AD464" s="1121"/>
      <c r="AE464" s="1121"/>
      <c r="AF464" s="1121"/>
      <c r="AG464" s="288" t="s">
        <v>695</v>
      </c>
      <c r="AH464" s="1121" t="s">
        <v>695</v>
      </c>
      <c r="AI464" s="289" t="s">
        <v>695</v>
      </c>
      <c r="AJ464" s="1121"/>
      <c r="AK464" s="1121"/>
      <c r="AL464" s="1121"/>
      <c r="AM464" s="1121"/>
      <c r="AN464" s="315"/>
      <c r="AO464" s="315"/>
      <c r="AP464" s="315"/>
      <c r="AQ464" s="315">
        <f>+FL_1($U$465,$U$463,$G$464,1200,8.28, 1*$F$465)</f>
        <v>0.3916550320648855</v>
      </c>
      <c r="AR464" s="315"/>
      <c r="AS464" s="315"/>
      <c r="AT464" s="315"/>
      <c r="AU464" s="315"/>
      <c r="AV464" s="315"/>
      <c r="AW464" s="1121" t="s">
        <v>2630</v>
      </c>
      <c r="AX464" s="1121" t="s">
        <v>1639</v>
      </c>
      <c r="AY464" s="1121"/>
      <c r="AZ464" s="1121">
        <v>2.5</v>
      </c>
      <c r="BA464" s="1121"/>
      <c r="BB464" s="306"/>
      <c r="BF464" s="1119"/>
      <c r="BG464" s="1119"/>
      <c r="BH464" s="1119"/>
    </row>
    <row r="465" spans="1:60" ht="14.25">
      <c r="A465" s="340"/>
      <c r="B465" s="287" t="s">
        <v>2455</v>
      </c>
      <c r="C465" s="288">
        <f>+$C$463+$G$464</f>
        <v>22641.399999999998</v>
      </c>
      <c r="D465" s="1121"/>
      <c r="E465" s="1121"/>
      <c r="F465" s="289">
        <v>0</v>
      </c>
      <c r="G465" s="292"/>
      <c r="H465" s="291" t="s">
        <v>2568</v>
      </c>
      <c r="I465" s="294" t="s">
        <v>656</v>
      </c>
      <c r="J465" s="288"/>
      <c r="K465" s="1121"/>
      <c r="L465" s="1121" t="s">
        <v>1062</v>
      </c>
      <c r="M465" s="1121" t="s">
        <v>235</v>
      </c>
      <c r="N465" s="291" t="s">
        <v>3250</v>
      </c>
      <c r="O465" s="291" t="s">
        <v>145</v>
      </c>
      <c r="P465" s="291"/>
      <c r="Q465" s="1121">
        <v>0</v>
      </c>
      <c r="R465" s="289">
        <v>0</v>
      </c>
      <c r="S465" s="292"/>
      <c r="T465" s="1121">
        <v>55</v>
      </c>
      <c r="U465" s="1121">
        <v>35</v>
      </c>
      <c r="V465" s="1121"/>
      <c r="W465" s="1121">
        <v>1.4</v>
      </c>
      <c r="X465" s="1121">
        <v>2</v>
      </c>
      <c r="Y465" s="1121"/>
      <c r="Z465" s="1121">
        <v>0</v>
      </c>
      <c r="AA465" s="1121"/>
      <c r="AB465" s="1121"/>
      <c r="AC465" s="1121" t="s">
        <v>3259</v>
      </c>
      <c r="AD465" s="1121" t="s">
        <v>2990</v>
      </c>
      <c r="AE465" s="1121"/>
      <c r="AF465" s="1121">
        <v>5900</v>
      </c>
      <c r="AG465" s="288">
        <v>22642.89</v>
      </c>
      <c r="AH465" s="1121">
        <v>2619</v>
      </c>
      <c r="AI465" s="289">
        <v>228</v>
      </c>
      <c r="AJ465" s="1121"/>
      <c r="AK465" s="1121"/>
      <c r="AL465" s="1121"/>
      <c r="AM465" s="1121" t="s">
        <v>1228</v>
      </c>
      <c r="AN465" s="315">
        <v>5.5</v>
      </c>
      <c r="AO465" s="315"/>
      <c r="AP465" s="315"/>
      <c r="AQ465" s="315"/>
      <c r="AR465" s="315"/>
      <c r="AS465" s="315"/>
      <c r="AT465" s="315">
        <f>+ab($U$465,$U$463,$U$467,$G$464,$G$466, 1*$F$465,1200)</f>
        <v>7.449876308233879</v>
      </c>
      <c r="AU465" s="315"/>
      <c r="AV465" s="315"/>
      <c r="AW465" s="315" t="s">
        <v>2630</v>
      </c>
      <c r="AX465" s="315" t="s">
        <v>1639</v>
      </c>
      <c r="AY465" s="315">
        <v>3.4</v>
      </c>
      <c r="AZ465" s="315"/>
      <c r="BA465" s="315"/>
      <c r="BB465" s="306"/>
      <c r="BF465" s="1119"/>
      <c r="BG465" s="1119"/>
      <c r="BH465" s="1119"/>
    </row>
    <row r="466" spans="1:60" ht="14.25">
      <c r="A466" s="340"/>
      <c r="B466" s="287"/>
      <c r="C466" s="288"/>
      <c r="D466" s="1121"/>
      <c r="E466" s="1121"/>
      <c r="F466" s="289"/>
      <c r="G466" s="292">
        <v>43</v>
      </c>
      <c r="H466" s="291"/>
      <c r="I466" s="294"/>
      <c r="J466" s="288"/>
      <c r="K466" s="1121"/>
      <c r="L466" s="1121"/>
      <c r="M466" s="1121"/>
      <c r="N466" s="1121"/>
      <c r="O466" s="291"/>
      <c r="P466" s="291"/>
      <c r="Q466" s="1121"/>
      <c r="R466" s="292"/>
      <c r="S466" s="292">
        <f t="shared" ref="S466:S470" si="61">AG467-AG465</f>
        <v>42.779999999998836</v>
      </c>
      <c r="T466" s="1121"/>
      <c r="U466" s="1121"/>
      <c r="V466" s="1121"/>
      <c r="W466" s="1121"/>
      <c r="X466" s="1121"/>
      <c r="Y466" s="1121"/>
      <c r="Z466" s="1121"/>
      <c r="AA466" s="1121"/>
      <c r="AB466" s="1121"/>
      <c r="AC466" s="1121"/>
      <c r="AD466" s="1121"/>
      <c r="AE466" s="1121"/>
      <c r="AF466" s="1121"/>
      <c r="AG466" s="288" t="s">
        <v>695</v>
      </c>
      <c r="AH466" s="1121" t="s">
        <v>695</v>
      </c>
      <c r="AI466" s="289" t="s">
        <v>695</v>
      </c>
      <c r="AJ466" s="1121"/>
      <c r="AK466" s="1121"/>
      <c r="AL466" s="1121"/>
      <c r="AM466" s="1121"/>
      <c r="AN466" s="315"/>
      <c r="AO466" s="315"/>
      <c r="AP466" s="315"/>
      <c r="AQ466" s="315">
        <f>+FL_2($U$467,$U$465,$G$466,1200,9.28, 1*$F$467)</f>
        <v>-0.3014749558139535</v>
      </c>
      <c r="AR466" s="315"/>
      <c r="AS466" s="315"/>
      <c r="AT466" s="315"/>
      <c r="AU466" s="315"/>
      <c r="AV466" s="315"/>
      <c r="AW466" s="1121"/>
      <c r="AX466" s="1121"/>
      <c r="AY466" s="1121"/>
      <c r="AZ466" s="1121"/>
      <c r="BA466" s="1121"/>
      <c r="BB466" s="306"/>
      <c r="BF466" s="1119"/>
      <c r="BG466" s="1119"/>
      <c r="BH466" s="1119"/>
    </row>
    <row r="467" spans="1:60" ht="14.25">
      <c r="A467" s="340" t="s">
        <v>3240</v>
      </c>
      <c r="B467" s="287" t="s">
        <v>2456</v>
      </c>
      <c r="C467" s="288">
        <f>+$C$465+$G$466</f>
        <v>22684.399999999998</v>
      </c>
      <c r="D467" s="1121"/>
      <c r="E467" s="1121"/>
      <c r="F467" s="289">
        <v>0</v>
      </c>
      <c r="G467" s="292"/>
      <c r="H467" s="291" t="s">
        <v>651</v>
      </c>
      <c r="I467" s="294" t="s">
        <v>2016</v>
      </c>
      <c r="J467" s="288"/>
      <c r="K467" s="1121"/>
      <c r="L467" s="1121" t="s">
        <v>1056</v>
      </c>
      <c r="M467" s="1121" t="s">
        <v>2760</v>
      </c>
      <c r="N467" s="291" t="s">
        <v>140</v>
      </c>
      <c r="O467" s="291" t="s">
        <v>144</v>
      </c>
      <c r="P467" s="291"/>
      <c r="Q467" s="1121">
        <v>1</v>
      </c>
      <c r="R467" s="289">
        <v>0</v>
      </c>
      <c r="S467" s="292"/>
      <c r="T467" s="1121">
        <v>15</v>
      </c>
      <c r="U467" s="1121">
        <v>-30</v>
      </c>
      <c r="V467" s="1121"/>
      <c r="W467" s="1121">
        <v>1.4</v>
      </c>
      <c r="X467" s="1121">
        <v>2.2999999999999998</v>
      </c>
      <c r="Y467" s="1121"/>
      <c r="Z467" s="1121">
        <v>0.6</v>
      </c>
      <c r="AA467" s="1121"/>
      <c r="AB467" s="1121"/>
      <c r="AC467" s="1121"/>
      <c r="AD467" s="1121" t="s">
        <v>1704</v>
      </c>
      <c r="AE467" s="1121"/>
      <c r="AF467" s="1121">
        <v>6000</v>
      </c>
      <c r="AG467" s="288">
        <v>22685.67</v>
      </c>
      <c r="AH467" s="1121">
        <v>2505</v>
      </c>
      <c r="AI467" s="289">
        <v>594</v>
      </c>
      <c r="AJ467" s="1121" t="s">
        <v>2017</v>
      </c>
      <c r="AK467" s="1121"/>
      <c r="AL467" s="1121"/>
      <c r="AM467" s="1121" t="s">
        <v>1228</v>
      </c>
      <c r="AN467" s="315">
        <v>5.5</v>
      </c>
      <c r="AO467" s="315"/>
      <c r="AP467" s="315"/>
      <c r="AQ467" s="315"/>
      <c r="AR467" s="315"/>
      <c r="AS467" s="315"/>
      <c r="AT467" s="315">
        <f>+ab($U$467,$U$465,U469,$G$466,$G$468, 1*$F$467,1200)</f>
        <v>-18.248477444290238</v>
      </c>
      <c r="AU467" s="315"/>
      <c r="AV467" s="315"/>
      <c r="AW467" s="315" t="s">
        <v>2630</v>
      </c>
      <c r="AX467" s="315" t="s">
        <v>1639</v>
      </c>
      <c r="AY467" s="315">
        <v>3.4</v>
      </c>
      <c r="AZ467" s="315"/>
      <c r="BA467" s="315"/>
      <c r="BB467" s="306"/>
      <c r="BF467" s="1119"/>
      <c r="BG467" s="1119"/>
      <c r="BH467" s="1119"/>
    </row>
    <row r="468" spans="1:60" ht="14.25">
      <c r="A468" s="340"/>
      <c r="B468" s="287"/>
      <c r="C468" s="288"/>
      <c r="D468" s="1121"/>
      <c r="E468" s="1121"/>
      <c r="F468" s="289"/>
      <c r="G468" s="292">
        <v>60.5</v>
      </c>
      <c r="H468" s="291"/>
      <c r="I468" s="294"/>
      <c r="J468" s="288"/>
      <c r="K468" s="1121"/>
      <c r="L468" s="1121"/>
      <c r="M468" s="1121"/>
      <c r="N468" s="291"/>
      <c r="O468" s="291"/>
      <c r="P468" s="291"/>
      <c r="Q468" s="1121"/>
      <c r="R468" s="292"/>
      <c r="S468" s="292">
        <f t="shared" si="61"/>
        <v>60.180000000000291</v>
      </c>
      <c r="T468" s="1121"/>
      <c r="U468" s="1121"/>
      <c r="V468" s="1121"/>
      <c r="W468" s="1121"/>
      <c r="X468" s="1121"/>
      <c r="Y468" s="1121"/>
      <c r="Z468" s="1121"/>
      <c r="AA468" s="1121"/>
      <c r="AB468" s="1121"/>
      <c r="AC468" s="1121"/>
      <c r="AD468" s="1121"/>
      <c r="AE468" s="1121"/>
      <c r="AF468" s="1121"/>
      <c r="AG468" s="288" t="s">
        <v>695</v>
      </c>
      <c r="AH468" s="1121" t="s">
        <v>695</v>
      </c>
      <c r="AI468" s="289" t="s">
        <v>695</v>
      </c>
      <c r="AJ468" s="1121"/>
      <c r="AK468" s="1121"/>
      <c r="AL468" s="1121"/>
      <c r="AM468" s="1121"/>
      <c r="AN468" s="315"/>
      <c r="AO468" s="315"/>
      <c r="AP468" s="315"/>
      <c r="AQ468" s="315">
        <f>+FL_2(U465,$U$467,$G$468,1200,9.28, 1*F469)</f>
        <v>-0.4034551596253444</v>
      </c>
      <c r="AR468" s="315"/>
      <c r="AS468" s="315"/>
      <c r="AT468" s="315"/>
      <c r="AU468" s="315"/>
      <c r="AV468" s="315"/>
      <c r="AW468" s="1121"/>
      <c r="AX468" s="1121"/>
      <c r="AY468" s="1121"/>
      <c r="AZ468" s="1121"/>
      <c r="BA468" s="1121"/>
      <c r="BB468" s="306"/>
      <c r="BF468" s="1119"/>
      <c r="BG468" s="1119"/>
      <c r="BH468" s="1119"/>
    </row>
    <row r="469" spans="1:60" ht="14.25">
      <c r="A469" s="1070"/>
      <c r="B469" s="287" t="s">
        <v>2571</v>
      </c>
      <c r="C469" s="288">
        <f>+C467+G468</f>
        <v>22744.899999999998</v>
      </c>
      <c r="D469" s="334" t="e">
        <f>+#REF!+#REF!</f>
        <v>#REF!</v>
      </c>
      <c r="E469" s="334" t="e">
        <f>+#REF!+#REF!</f>
        <v>#REF!</v>
      </c>
      <c r="F469" s="289">
        <v>0</v>
      </c>
      <c r="G469" s="292"/>
      <c r="H469" s="291" t="s">
        <v>651</v>
      </c>
      <c r="I469" s="294"/>
      <c r="J469" s="288"/>
      <c r="K469" s="1121"/>
      <c r="L469" s="1121" t="s">
        <v>882</v>
      </c>
      <c r="M469" s="1121" t="s">
        <v>2675</v>
      </c>
      <c r="N469" s="291" t="s">
        <v>144</v>
      </c>
      <c r="O469" s="291" t="s">
        <v>140</v>
      </c>
      <c r="P469" s="291"/>
      <c r="Q469" s="1121">
        <v>0</v>
      </c>
      <c r="R469" s="289">
        <v>0</v>
      </c>
      <c r="S469" s="292"/>
      <c r="T469" s="1121">
        <v>-15</v>
      </c>
      <c r="U469" s="1121">
        <v>-60</v>
      </c>
      <c r="V469" s="1121"/>
      <c r="W469" s="1121">
        <v>1.4</v>
      </c>
      <c r="X469" s="1121">
        <v>2.2999999999999998</v>
      </c>
      <c r="Y469" s="1121"/>
      <c r="Z469" s="1121"/>
      <c r="AA469" s="1121">
        <v>0.6</v>
      </c>
      <c r="AB469" s="1121"/>
      <c r="AC469" s="1121" t="s">
        <v>2963</v>
      </c>
      <c r="AD469" s="1121"/>
      <c r="AE469" s="1121"/>
      <c r="AF469" s="1121">
        <v>6000</v>
      </c>
      <c r="AG469" s="288">
        <v>22745.85</v>
      </c>
      <c r="AH469" s="1121">
        <v>2509</v>
      </c>
      <c r="AI469" s="289">
        <v>535</v>
      </c>
      <c r="AJ469" s="1121"/>
      <c r="AK469" s="1121"/>
      <c r="AL469" s="1121" t="s">
        <v>898</v>
      </c>
      <c r="AM469" s="1121" t="s">
        <v>1228</v>
      </c>
      <c r="AN469" s="315">
        <v>5.5</v>
      </c>
      <c r="AO469" s="315"/>
      <c r="AP469" s="315"/>
      <c r="AQ469" s="315"/>
      <c r="AR469" s="315"/>
      <c r="AS469" s="315"/>
      <c r="AT469" s="315">
        <f>+ab($T$469,T467,$T$473,G468,($G$470+G472), 1*$F$469,1200)</f>
        <v>-10.415019103150343</v>
      </c>
      <c r="AU469" s="315"/>
      <c r="AV469" s="315"/>
      <c r="AW469" s="315" t="s">
        <v>2630</v>
      </c>
      <c r="AX469" s="315" t="s">
        <v>1639</v>
      </c>
      <c r="AY469" s="315">
        <v>3.8</v>
      </c>
      <c r="AZ469" s="315"/>
      <c r="BA469" s="315"/>
      <c r="BB469" s="306"/>
      <c r="BF469" s="1119"/>
      <c r="BG469" s="1119"/>
      <c r="BH469" s="1119"/>
    </row>
    <row r="470" spans="1:60" ht="14.25">
      <c r="A470" s="340"/>
      <c r="B470" s="287"/>
      <c r="C470" s="288"/>
      <c r="D470" s="334"/>
      <c r="E470" s="334"/>
      <c r="F470" s="289"/>
      <c r="G470" s="292">
        <v>28.1</v>
      </c>
      <c r="H470" s="291"/>
      <c r="I470" s="294"/>
      <c r="J470" s="288"/>
      <c r="K470" s="1121"/>
      <c r="L470" s="1121"/>
      <c r="M470" s="1121"/>
      <c r="N470" s="291"/>
      <c r="O470" s="291"/>
      <c r="P470" s="291"/>
      <c r="Q470" s="1121"/>
      <c r="R470" s="292"/>
      <c r="S470" s="292">
        <f t="shared" si="61"/>
        <v>28.390000000003056</v>
      </c>
      <c r="T470" s="1121"/>
      <c r="U470" s="1121"/>
      <c r="V470" s="1121"/>
      <c r="W470" s="1121"/>
      <c r="X470" s="1121"/>
      <c r="Y470" s="1121"/>
      <c r="Z470" s="1121"/>
      <c r="AA470" s="1121"/>
      <c r="AB470" s="1121"/>
      <c r="AC470" s="1121"/>
      <c r="AD470" s="1121"/>
      <c r="AE470" s="1121"/>
      <c r="AF470" s="1121"/>
      <c r="AG470" s="288" t="s">
        <v>695</v>
      </c>
      <c r="AH470" s="1121" t="s">
        <v>695</v>
      </c>
      <c r="AI470" s="289" t="s">
        <v>695</v>
      </c>
      <c r="AJ470" s="1121"/>
      <c r="AK470" s="1121"/>
      <c r="AL470" s="1121"/>
      <c r="AM470" s="1121"/>
      <c r="AN470" s="315"/>
      <c r="AO470" s="315"/>
      <c r="AP470" s="315"/>
      <c r="AQ470" s="315">
        <f>+FL_1($T$473,$T$469,$G$470,1200,9.28, 1*$F$471)</f>
        <v>0.35</v>
      </c>
      <c r="AR470" s="315"/>
      <c r="AS470" s="315"/>
      <c r="AT470" s="315"/>
      <c r="AU470" s="315"/>
      <c r="AV470" s="315"/>
      <c r="AW470" s="1121" t="s">
        <v>2630</v>
      </c>
      <c r="AX470" s="1121" t="s">
        <v>1639</v>
      </c>
      <c r="AY470" s="1121"/>
      <c r="AZ470" s="1121">
        <v>2.5</v>
      </c>
      <c r="BA470" s="1121"/>
      <c r="BB470" s="306"/>
      <c r="BF470" s="1119"/>
      <c r="BG470" s="1119"/>
      <c r="BH470" s="1119"/>
    </row>
    <row r="471" spans="1:60" ht="14.25">
      <c r="A471" s="340"/>
      <c r="B471" s="287" t="s">
        <v>2457</v>
      </c>
      <c r="C471" s="288">
        <v>22772.999999999996</v>
      </c>
      <c r="D471" s="1121"/>
      <c r="E471" s="1121"/>
      <c r="F471" s="289">
        <v>0</v>
      </c>
      <c r="G471" s="292"/>
      <c r="H471" s="291"/>
      <c r="I471" s="385"/>
      <c r="J471" s="288"/>
      <c r="K471" s="1121"/>
      <c r="L471" s="1121" t="s">
        <v>882</v>
      </c>
      <c r="M471" s="1121" t="s">
        <v>2675</v>
      </c>
      <c r="N471" s="291"/>
      <c r="O471" s="291"/>
      <c r="P471" s="291"/>
      <c r="Q471" s="1121">
        <v>5</v>
      </c>
      <c r="R471" s="289">
        <v>0</v>
      </c>
      <c r="S471" s="292"/>
      <c r="T471" s="1121"/>
      <c r="U471" s="1121"/>
      <c r="V471" s="1121"/>
      <c r="W471" s="1121"/>
      <c r="X471" s="1121"/>
      <c r="Y471" s="1121"/>
      <c r="Z471" s="1121"/>
      <c r="AA471" s="1121"/>
      <c r="AB471" s="1121"/>
      <c r="AC471" s="1121"/>
      <c r="AD471" s="1121"/>
      <c r="AE471" s="1121"/>
      <c r="AF471" s="1121">
        <v>6000</v>
      </c>
      <c r="AG471" s="288">
        <v>22774.240000000002</v>
      </c>
      <c r="AH471" s="1121">
        <v>3652</v>
      </c>
      <c r="AI471" s="289">
        <v>834</v>
      </c>
      <c r="AJ471" s="1121"/>
      <c r="AK471" s="1121"/>
      <c r="AL471" s="1121" t="s">
        <v>898</v>
      </c>
      <c r="AM471" s="1121" t="s">
        <v>1228</v>
      </c>
      <c r="AN471" s="315"/>
      <c r="AO471" s="315"/>
      <c r="AP471" s="315"/>
      <c r="AQ471" s="315"/>
      <c r="AR471" s="315"/>
      <c r="AS471" s="315"/>
      <c r="AT471" s="315"/>
      <c r="AU471" s="315"/>
      <c r="AV471" s="315"/>
      <c r="AW471" s="315" t="s">
        <v>2630</v>
      </c>
      <c r="AX471" s="315" t="s">
        <v>1639</v>
      </c>
      <c r="AY471" s="315">
        <v>3.8</v>
      </c>
      <c r="AZ471" s="315"/>
      <c r="BA471" s="315"/>
      <c r="BB471" s="306"/>
      <c r="BF471" s="1119"/>
      <c r="BG471" s="1119"/>
      <c r="BH471" s="1119"/>
    </row>
    <row r="472" spans="1:60" ht="14.25">
      <c r="A472" s="340"/>
      <c r="B472" s="287"/>
      <c r="C472" s="288"/>
      <c r="D472" s="1121"/>
      <c r="E472" s="1121"/>
      <c r="F472" s="289"/>
      <c r="G472" s="292">
        <v>9.6</v>
      </c>
      <c r="H472" s="291"/>
      <c r="I472" s="385">
        <f>SUM(G454:G472)</f>
        <v>405.6</v>
      </c>
      <c r="J472" s="288"/>
      <c r="K472" s="1121"/>
      <c r="L472" s="1121"/>
      <c r="M472" s="1121"/>
      <c r="N472" s="291"/>
      <c r="O472" s="291"/>
      <c r="P472" s="291"/>
      <c r="Q472" s="1121"/>
      <c r="R472" s="292"/>
      <c r="S472" s="292">
        <f t="shared" ref="S472" si="62">AG473-AG471</f>
        <v>9.5099999999983993</v>
      </c>
      <c r="T472" s="1121"/>
      <c r="U472" s="1121"/>
      <c r="V472" s="1121"/>
      <c r="W472" s="1121"/>
      <c r="X472" s="1121"/>
      <c r="Y472" s="1121"/>
      <c r="Z472" s="1121"/>
      <c r="AA472" s="1121"/>
      <c r="AB472" s="1121"/>
      <c r="AC472" s="1121"/>
      <c r="AD472" s="1121"/>
      <c r="AE472" s="1121"/>
      <c r="AF472" s="1121"/>
      <c r="AG472" s="288" t="s">
        <v>695</v>
      </c>
      <c r="AH472" s="1121" t="s">
        <v>695</v>
      </c>
      <c r="AI472" s="289" t="s">
        <v>695</v>
      </c>
      <c r="AJ472" s="1121"/>
      <c r="AK472" s="1121"/>
      <c r="AL472" s="1121"/>
      <c r="AM472" s="1121"/>
      <c r="AN472" s="315"/>
      <c r="AO472" s="315"/>
      <c r="AP472" s="315"/>
      <c r="AQ472" s="315"/>
      <c r="AR472" s="315"/>
      <c r="AS472" s="315"/>
      <c r="AT472" s="315"/>
      <c r="AU472" s="315"/>
      <c r="AV472" s="315"/>
      <c r="AW472" s="1121"/>
      <c r="AX472" s="1121"/>
      <c r="AY472" s="1121" t="s">
        <v>695</v>
      </c>
      <c r="AZ472" s="1121"/>
      <c r="BA472" s="1121"/>
      <c r="BB472" s="306"/>
      <c r="BF472" s="1119"/>
      <c r="BG472" s="1119"/>
      <c r="BH472" s="1119"/>
    </row>
    <row r="473" spans="1:60" ht="14.25">
      <c r="A473" s="340"/>
      <c r="B473" s="287" t="s">
        <v>2570</v>
      </c>
      <c r="C473" s="288">
        <f>+$C471+$G472</f>
        <v>22782.599999999995</v>
      </c>
      <c r="D473" s="1121"/>
      <c r="E473" s="1121"/>
      <c r="F473" s="289">
        <v>0</v>
      </c>
      <c r="G473" s="292"/>
      <c r="H473" s="291" t="s">
        <v>2569</v>
      </c>
      <c r="I473" s="294" t="s">
        <v>657</v>
      </c>
      <c r="J473" s="288"/>
      <c r="K473" s="1121"/>
      <c r="L473" s="1121" t="s">
        <v>1056</v>
      </c>
      <c r="M473" s="1121" t="s">
        <v>2760</v>
      </c>
      <c r="N473" s="291" t="s">
        <v>145</v>
      </c>
      <c r="O473" s="291" t="s">
        <v>144</v>
      </c>
      <c r="P473" s="291"/>
      <c r="Q473" s="1121">
        <v>4</v>
      </c>
      <c r="R473" s="289">
        <v>0</v>
      </c>
      <c r="S473" s="292"/>
      <c r="T473" s="1121">
        <v>35</v>
      </c>
      <c r="U473" s="1121">
        <v>55</v>
      </c>
      <c r="V473" s="1121"/>
      <c r="W473" s="1121">
        <v>2</v>
      </c>
      <c r="X473" s="1121">
        <v>1.4</v>
      </c>
      <c r="Y473" s="1121"/>
      <c r="Z473" s="1121"/>
      <c r="AA473" s="1121">
        <v>0</v>
      </c>
      <c r="AB473" s="1121"/>
      <c r="AC473" s="1121" t="s">
        <v>1704</v>
      </c>
      <c r="AD473" s="1121" t="s">
        <v>3259</v>
      </c>
      <c r="AE473" s="1121"/>
      <c r="AF473" s="1121">
        <v>6000</v>
      </c>
      <c r="AG473" s="288">
        <v>22783.75</v>
      </c>
      <c r="AH473" s="1121">
        <v>3792</v>
      </c>
      <c r="AI473" s="289">
        <v>885</v>
      </c>
      <c r="AJ473" s="1121"/>
      <c r="AK473" s="1121"/>
      <c r="AL473" s="1121"/>
      <c r="AM473" s="1121" t="s">
        <v>1228</v>
      </c>
      <c r="AN473" s="315">
        <v>5.5</v>
      </c>
      <c r="AO473" s="315"/>
      <c r="AP473" s="315"/>
      <c r="AQ473" s="315"/>
      <c r="AR473" s="315"/>
      <c r="AS473" s="315"/>
      <c r="AT473" s="315">
        <f>+ab($T$473,$T$469,$T$477,$G$472,$G$474, 1*$F$473,1200)</f>
        <v>2.1246056819120374</v>
      </c>
      <c r="AU473" s="315"/>
      <c r="AV473" s="315"/>
      <c r="AW473" s="315" t="s">
        <v>2630</v>
      </c>
      <c r="AX473" s="315" t="s">
        <v>1639</v>
      </c>
      <c r="AY473" s="315">
        <v>3.4</v>
      </c>
      <c r="AZ473" s="315"/>
      <c r="BA473" s="315"/>
      <c r="BB473" s="306"/>
      <c r="BF473" s="1119"/>
      <c r="BG473" s="1119"/>
      <c r="BH473" s="1119"/>
    </row>
    <row r="474" spans="1:60" ht="14.25">
      <c r="A474" s="340"/>
      <c r="B474" s="287"/>
      <c r="C474" s="288"/>
      <c r="D474" s="1121"/>
      <c r="E474" s="1121"/>
      <c r="F474" s="289"/>
      <c r="G474" s="292">
        <v>14.4</v>
      </c>
      <c r="H474" s="291"/>
      <c r="I474" s="385"/>
      <c r="J474" s="288">
        <f>C473+7.5</f>
        <v>22790.099999999995</v>
      </c>
      <c r="K474" s="1121" t="s">
        <v>653</v>
      </c>
      <c r="L474" s="1121"/>
      <c r="M474" s="1121"/>
      <c r="N474" s="291"/>
      <c r="O474" s="291"/>
      <c r="P474" s="291"/>
      <c r="Q474" s="1121"/>
      <c r="R474" s="292"/>
      <c r="S474" s="292">
        <f t="shared" ref="S474" si="63">AG475-AG473</f>
        <v>14.389999999999418</v>
      </c>
      <c r="T474" s="1121"/>
      <c r="U474" s="1121"/>
      <c r="V474" s="1121"/>
      <c r="W474" s="1121"/>
      <c r="X474" s="1121"/>
      <c r="Y474" s="1121"/>
      <c r="Z474" s="1121"/>
      <c r="AA474" s="1121"/>
      <c r="AB474" s="1121"/>
      <c r="AC474" s="1121"/>
      <c r="AD474" s="1121"/>
      <c r="AE474" s="1121"/>
      <c r="AF474" s="1121"/>
      <c r="AG474" s="288" t="s">
        <v>695</v>
      </c>
      <c r="AH474" s="1121" t="s">
        <v>695</v>
      </c>
      <c r="AI474" s="289" t="s">
        <v>695</v>
      </c>
      <c r="AJ474" s="1121"/>
      <c r="AK474" s="1121"/>
      <c r="AL474" s="1121"/>
      <c r="AM474" s="1121"/>
      <c r="AN474" s="315"/>
      <c r="AO474" s="315"/>
      <c r="AP474" s="315"/>
      <c r="AQ474" s="315">
        <f>+FL_1($T$477,$T$473,$G$474,1200,9.28, 1*$F$475)</f>
        <v>0.35032622577776912</v>
      </c>
      <c r="AR474" s="315"/>
      <c r="AS474" s="315"/>
      <c r="AT474" s="315"/>
      <c r="AU474" s="315"/>
      <c r="AV474" s="315"/>
      <c r="AW474" s="1121" t="s">
        <v>2630</v>
      </c>
      <c r="AX474" s="1121" t="s">
        <v>1639</v>
      </c>
      <c r="AY474" s="1121"/>
      <c r="AZ474" s="1121">
        <v>2.5</v>
      </c>
      <c r="BA474" s="1121"/>
      <c r="BB474" s="306"/>
      <c r="BF474" s="1119"/>
      <c r="BG474" s="1119"/>
      <c r="BH474" s="1119"/>
    </row>
    <row r="475" spans="1:60" ht="14.25">
      <c r="A475" s="340"/>
      <c r="B475" s="287" t="s">
        <v>2573</v>
      </c>
      <c r="C475" s="288">
        <f>+$C473+$G474</f>
        <v>22796.999999999996</v>
      </c>
      <c r="D475" s="1121"/>
      <c r="E475" s="1121"/>
      <c r="F475" s="289">
        <v>0</v>
      </c>
      <c r="G475" s="292"/>
      <c r="H475" s="291"/>
      <c r="I475" s="294" t="s">
        <v>1223</v>
      </c>
      <c r="J475" s="288">
        <f>C475+7.5</f>
        <v>22804.499999999996</v>
      </c>
      <c r="K475" s="1121" t="s">
        <v>658</v>
      </c>
      <c r="L475" s="1121" t="s">
        <v>880</v>
      </c>
      <c r="M475" s="1121" t="s">
        <v>2676</v>
      </c>
      <c r="N475" s="291"/>
      <c r="O475" s="291"/>
      <c r="P475" s="291"/>
      <c r="Q475" s="1121">
        <v>7</v>
      </c>
      <c r="R475" s="289">
        <v>0</v>
      </c>
      <c r="S475" s="292"/>
      <c r="T475" s="1121"/>
      <c r="U475" s="1121"/>
      <c r="V475" s="1121"/>
      <c r="W475" s="1121"/>
      <c r="X475" s="1121"/>
      <c r="Y475" s="1121"/>
      <c r="Z475" s="1121"/>
      <c r="AA475" s="1121"/>
      <c r="AB475" s="1121"/>
      <c r="AC475" s="1121"/>
      <c r="AD475" s="1121"/>
      <c r="AE475" s="1121"/>
      <c r="AF475" s="1121">
        <v>6000</v>
      </c>
      <c r="AG475" s="288">
        <v>22798.14</v>
      </c>
      <c r="AH475" s="1121">
        <v>3732</v>
      </c>
      <c r="AI475" s="289">
        <v>804</v>
      </c>
      <c r="AJ475" s="1121"/>
      <c r="AK475" s="1121"/>
      <c r="AL475" s="1121" t="s">
        <v>897</v>
      </c>
      <c r="AM475" s="1121" t="s">
        <v>1228</v>
      </c>
      <c r="AN475" s="315">
        <v>5.5</v>
      </c>
      <c r="AO475" s="315"/>
      <c r="AP475" s="315"/>
      <c r="AQ475" s="315"/>
      <c r="AR475" s="315"/>
      <c r="AS475" s="315"/>
      <c r="AT475" s="315"/>
      <c r="AU475" s="315"/>
      <c r="AV475" s="315"/>
      <c r="AW475" s="315" t="s">
        <v>2630</v>
      </c>
      <c r="AX475" s="315" t="s">
        <v>1639</v>
      </c>
      <c r="AY475" s="315">
        <v>3.3</v>
      </c>
      <c r="AZ475" s="315">
        <v>2.5</v>
      </c>
      <c r="BA475" s="315"/>
      <c r="BB475" s="306"/>
      <c r="BF475" s="1119"/>
      <c r="BG475" s="1119"/>
      <c r="BH475" s="1119"/>
    </row>
    <row r="476" spans="1:60" ht="14.25">
      <c r="A476" s="340"/>
      <c r="B476" s="287"/>
      <c r="C476" s="288"/>
      <c r="D476" s="1121"/>
      <c r="E476" s="1121"/>
      <c r="F476" s="289"/>
      <c r="G476" s="292">
        <v>20</v>
      </c>
      <c r="H476" s="291"/>
      <c r="I476" s="294" t="s">
        <v>2668</v>
      </c>
      <c r="J476" s="288">
        <f>+J475+2</f>
        <v>22806.499999999996</v>
      </c>
      <c r="K476" s="1121" t="s">
        <v>658</v>
      </c>
      <c r="L476" s="1121"/>
      <c r="M476" s="1121"/>
      <c r="N476" s="291"/>
      <c r="O476" s="291"/>
      <c r="P476" s="291"/>
      <c r="Q476" s="1121"/>
      <c r="R476" s="292"/>
      <c r="S476" s="292">
        <f t="shared" ref="S476" si="64">AG477-AG475</f>
        <v>20.240000000001601</v>
      </c>
      <c r="T476" s="1121"/>
      <c r="U476" s="1121"/>
      <c r="V476" s="1121"/>
      <c r="W476" s="1121"/>
      <c r="X476" s="1121"/>
      <c r="Y476" s="1121"/>
      <c r="Z476" s="1121"/>
      <c r="AA476" s="1121"/>
      <c r="AB476" s="1121"/>
      <c r="AC476" s="1121"/>
      <c r="AD476" s="1121"/>
      <c r="AE476" s="1121"/>
      <c r="AF476" s="1121"/>
      <c r="AG476" s="288" t="s">
        <v>695</v>
      </c>
      <c r="AH476" s="1121" t="s">
        <v>695</v>
      </c>
      <c r="AI476" s="289" t="s">
        <v>695</v>
      </c>
      <c r="AJ476" s="1121"/>
      <c r="AK476" s="1121"/>
      <c r="AL476" s="1121"/>
      <c r="AM476" s="1121"/>
      <c r="AN476" s="315"/>
      <c r="AO476" s="315"/>
      <c r="AP476" s="315"/>
      <c r="AQ476" s="315"/>
      <c r="AR476" s="315"/>
      <c r="AS476" s="315"/>
      <c r="AT476" s="315"/>
      <c r="AU476" s="315"/>
      <c r="AV476" s="315"/>
      <c r="AW476" s="1121" t="s">
        <v>2630</v>
      </c>
      <c r="AX476" s="1121" t="s">
        <v>1639</v>
      </c>
      <c r="AY476" s="1121"/>
      <c r="AZ476" s="1121">
        <v>2.5</v>
      </c>
      <c r="BA476" s="1121"/>
      <c r="BB476" s="306"/>
      <c r="BF476" s="1119"/>
      <c r="BG476" s="1119"/>
      <c r="BH476" s="1119"/>
    </row>
    <row r="477" spans="1:60" ht="14.25">
      <c r="A477" s="340"/>
      <c r="B477" s="287" t="s">
        <v>2458</v>
      </c>
      <c r="C477" s="288">
        <f t="shared" ref="C477" si="65">+$C475+$G476</f>
        <v>22816.999999999996</v>
      </c>
      <c r="D477" s="1121"/>
      <c r="E477" s="1121"/>
      <c r="F477" s="289">
        <v>0</v>
      </c>
      <c r="G477" s="292"/>
      <c r="H477" s="291" t="s">
        <v>651</v>
      </c>
      <c r="I477" s="294"/>
      <c r="J477" s="288"/>
      <c r="K477" s="1121"/>
      <c r="L477" s="1121" t="s">
        <v>231</v>
      </c>
      <c r="M477" s="1121" t="s">
        <v>2672</v>
      </c>
      <c r="N477" s="291" t="s">
        <v>145</v>
      </c>
      <c r="O477" s="291" t="s">
        <v>140</v>
      </c>
      <c r="P477" s="291"/>
      <c r="Q477" s="1121">
        <v>4</v>
      </c>
      <c r="R477" s="289">
        <v>0</v>
      </c>
      <c r="S477" s="292"/>
      <c r="T477" s="1121">
        <v>-20</v>
      </c>
      <c r="U477" s="1121">
        <v>-55</v>
      </c>
      <c r="V477" s="1121"/>
      <c r="W477" s="1121">
        <v>1.4</v>
      </c>
      <c r="X477" s="1121">
        <v>2</v>
      </c>
      <c r="Y477" s="1121"/>
      <c r="Z477" s="1121"/>
      <c r="AA477" s="1121">
        <v>0.25</v>
      </c>
      <c r="AB477" s="1121"/>
      <c r="AC477" s="1121" t="s">
        <v>2995</v>
      </c>
      <c r="AD477" s="1121"/>
      <c r="AE477" s="1121"/>
      <c r="AF477" s="1121">
        <v>6000</v>
      </c>
      <c r="AG477" s="288">
        <v>22818.38</v>
      </c>
      <c r="AH477" s="1121">
        <v>3801</v>
      </c>
      <c r="AI477" s="289">
        <v>890</v>
      </c>
      <c r="AJ477" s="1121"/>
      <c r="AK477" s="1121"/>
      <c r="AL477" s="1121"/>
      <c r="AM477" s="1121" t="s">
        <v>1228</v>
      </c>
      <c r="AN477" s="315">
        <v>5.5</v>
      </c>
      <c r="AO477" s="315"/>
      <c r="AP477" s="315"/>
      <c r="AQ477" s="315"/>
      <c r="AR477" s="315"/>
      <c r="AS477" s="315"/>
      <c r="AT477" s="315">
        <f>+ab($T$477,$T$473,$T$479,$G$476,$G$478, 1*$F$477,1200)</f>
        <v>-7.3562024216195949</v>
      </c>
      <c r="AU477" s="315"/>
      <c r="AV477" s="315"/>
      <c r="AW477" s="315" t="s">
        <v>2630</v>
      </c>
      <c r="AX477" s="315" t="s">
        <v>1639</v>
      </c>
      <c r="AY477" s="315">
        <v>3.4</v>
      </c>
      <c r="AZ477" s="315"/>
      <c r="BA477" s="315"/>
      <c r="BB477" s="306"/>
      <c r="BF477" s="1119"/>
      <c r="BG477" s="1119"/>
      <c r="BH477" s="1119"/>
    </row>
    <row r="478" spans="1:60" ht="14.25">
      <c r="A478" s="340"/>
      <c r="B478" s="287"/>
      <c r="C478" s="288"/>
      <c r="D478" s="1121"/>
      <c r="E478" s="1121"/>
      <c r="F478" s="289"/>
      <c r="G478" s="292">
        <v>32.1</v>
      </c>
      <c r="H478" s="291"/>
      <c r="I478" s="1121"/>
      <c r="J478" s="288"/>
      <c r="K478" s="1121"/>
      <c r="L478" s="1121"/>
      <c r="M478" s="1121"/>
      <c r="N478" s="291"/>
      <c r="O478" s="291"/>
      <c r="P478" s="291"/>
      <c r="Q478" s="1121"/>
      <c r="R478" s="292"/>
      <c r="S478" s="292">
        <f t="shared" ref="S478" si="66">AG479-AG477</f>
        <v>31.819999999999709</v>
      </c>
      <c r="T478" s="1121"/>
      <c r="U478" s="1121"/>
      <c r="V478" s="1121"/>
      <c r="W478" s="1121"/>
      <c r="X478" s="1121"/>
      <c r="Y478" s="1121"/>
      <c r="Z478" s="1121"/>
      <c r="AA478" s="1121"/>
      <c r="AB478" s="1121"/>
      <c r="AC478" s="1121"/>
      <c r="AD478" s="1121"/>
      <c r="AE478" s="1121"/>
      <c r="AF478" s="1121"/>
      <c r="AG478" s="288" t="s">
        <v>695</v>
      </c>
      <c r="AH478" s="1121" t="s">
        <v>695</v>
      </c>
      <c r="AI478" s="289" t="s">
        <v>695</v>
      </c>
      <c r="AJ478" s="1121"/>
      <c r="AK478" s="1121"/>
      <c r="AL478" s="1121"/>
      <c r="AM478" s="1121"/>
      <c r="AN478" s="315"/>
      <c r="AO478" s="315"/>
      <c r="AP478" s="315"/>
      <c r="AQ478" s="315">
        <f>+FL_2($T$479,$T$477,$G$478,1200,9.28, 1*$F$479)</f>
        <v>-0.3261749691214953</v>
      </c>
      <c r="AR478" s="315"/>
      <c r="AS478" s="315"/>
      <c r="AT478" s="315"/>
      <c r="AU478" s="315"/>
      <c r="AV478" s="315"/>
      <c r="AW478" s="1121"/>
      <c r="AX478" s="1121"/>
      <c r="AY478" s="1121"/>
      <c r="AZ478" s="1121"/>
      <c r="BA478" s="1121"/>
      <c r="BB478" s="306"/>
      <c r="BF478" s="1119"/>
      <c r="BG478" s="1119"/>
      <c r="BH478" s="1119"/>
    </row>
    <row r="479" spans="1:60" ht="14.25">
      <c r="A479" s="340"/>
      <c r="B479" s="287" t="s">
        <v>2459</v>
      </c>
      <c r="C479" s="288">
        <f>+$C477+$G478</f>
        <v>22849.099999999995</v>
      </c>
      <c r="D479" s="1121"/>
      <c r="E479" s="1121"/>
      <c r="F479" s="289">
        <v>0</v>
      </c>
      <c r="G479" s="292"/>
      <c r="H479" s="291" t="s">
        <v>651</v>
      </c>
      <c r="I479" s="294"/>
      <c r="J479" s="288"/>
      <c r="K479" s="1121"/>
      <c r="L479" s="1121"/>
      <c r="M479" s="1121"/>
      <c r="N479" s="291" t="s">
        <v>916</v>
      </c>
      <c r="O479" s="291" t="s">
        <v>918</v>
      </c>
      <c r="P479" s="291"/>
      <c r="Q479" s="1121">
        <v>4</v>
      </c>
      <c r="R479" s="289">
        <v>0</v>
      </c>
      <c r="S479" s="292"/>
      <c r="T479" s="1121">
        <v>-25</v>
      </c>
      <c r="U479" s="1121">
        <v>50</v>
      </c>
      <c r="V479" s="1121"/>
      <c r="W479" s="1121">
        <v>2.2999999999999998</v>
      </c>
      <c r="X479" s="1121">
        <v>1.4</v>
      </c>
      <c r="Y479" s="1121"/>
      <c r="Z479" s="1121"/>
      <c r="AA479" s="1121">
        <v>0.6</v>
      </c>
      <c r="AB479" s="1121"/>
      <c r="AC479" s="1121" t="s">
        <v>2963</v>
      </c>
      <c r="AD479" s="1121"/>
      <c r="AE479" s="1121"/>
      <c r="AF479" s="1121">
        <v>6000</v>
      </c>
      <c r="AG479" s="288">
        <v>22850.2</v>
      </c>
      <c r="AH479" s="1121">
        <v>2539</v>
      </c>
      <c r="AI479" s="289">
        <v>675</v>
      </c>
      <c r="AJ479" s="1121"/>
      <c r="AK479" s="1121" t="s">
        <v>229</v>
      </c>
      <c r="AL479" s="1121"/>
      <c r="AM479" s="1121"/>
      <c r="AN479" s="315">
        <v>5.5</v>
      </c>
      <c r="AO479" s="315"/>
      <c r="AP479" s="315"/>
      <c r="AQ479" s="315"/>
      <c r="AR479" s="315"/>
      <c r="AS479" s="315"/>
      <c r="AT479" s="315">
        <f>+ab($T$479,$T$477,$T$481,$G$478,$G$480, 1*$F$479,1200)</f>
        <v>-10.722626957831652</v>
      </c>
      <c r="AU479" s="315"/>
      <c r="AV479" s="315"/>
      <c r="AW479" s="315" t="s">
        <v>699</v>
      </c>
      <c r="AX479" s="315" t="s">
        <v>699</v>
      </c>
      <c r="AY479" s="315" t="s">
        <v>699</v>
      </c>
      <c r="AZ479" s="315" t="s">
        <v>699</v>
      </c>
      <c r="BA479" s="315"/>
      <c r="BB479" s="306"/>
      <c r="BF479" s="1119"/>
      <c r="BG479" s="1119"/>
      <c r="BH479" s="1119"/>
    </row>
    <row r="480" spans="1:60" ht="14.25">
      <c r="A480" s="340"/>
      <c r="B480" s="287"/>
      <c r="C480" s="288"/>
      <c r="D480" s="1121"/>
      <c r="E480" s="1121"/>
      <c r="F480" s="289"/>
      <c r="G480" s="292">
        <v>31</v>
      </c>
      <c r="H480" s="291"/>
      <c r="I480" s="385"/>
      <c r="J480" s="288"/>
      <c r="K480" s="1121"/>
      <c r="L480" s="1121"/>
      <c r="M480" s="1121"/>
      <c r="N480" s="291"/>
      <c r="O480" s="291"/>
      <c r="P480" s="291"/>
      <c r="Q480" s="1121"/>
      <c r="R480" s="292"/>
      <c r="S480" s="292">
        <f t="shared" ref="S480" si="67">AG481-AG479</f>
        <v>31.059999999997672</v>
      </c>
      <c r="T480" s="1121"/>
      <c r="U480" s="1121"/>
      <c r="V480" s="1121"/>
      <c r="W480" s="1121"/>
      <c r="X480" s="1121"/>
      <c r="Y480" s="1121"/>
      <c r="Z480" s="1121"/>
      <c r="AA480" s="1121"/>
      <c r="AB480" s="1121"/>
      <c r="AC480" s="1121"/>
      <c r="AD480" s="1121"/>
      <c r="AE480" s="1121"/>
      <c r="AF480" s="1121"/>
      <c r="AG480" s="288" t="s">
        <v>695</v>
      </c>
      <c r="AH480" s="1121" t="s">
        <v>695</v>
      </c>
      <c r="AI480" s="289" t="s">
        <v>695</v>
      </c>
      <c r="AJ480" s="1121"/>
      <c r="AK480" s="1121"/>
      <c r="AL480" s="1121"/>
      <c r="AM480" s="1121"/>
      <c r="AN480" s="315"/>
      <c r="AO480" s="315"/>
      <c r="AP480" s="315"/>
      <c r="AQ480" s="315">
        <f>+FL_2($T$481,$T$479,$G$480,1200,9.28, 1*$F$481)</f>
        <v>-0.25000000000000855</v>
      </c>
      <c r="AR480" s="315"/>
      <c r="AS480" s="315"/>
      <c r="AT480" s="315"/>
      <c r="AU480" s="315"/>
      <c r="AV480" s="315"/>
      <c r="AW480" s="1121"/>
      <c r="AX480" s="1121"/>
      <c r="AY480" s="1121"/>
      <c r="AZ480" s="1121"/>
      <c r="BA480" s="1121"/>
      <c r="BB480" s="306"/>
      <c r="BF480" s="1119"/>
      <c r="BG480" s="1119"/>
      <c r="BH480" s="1119"/>
    </row>
    <row r="481" spans="1:60" ht="14.25">
      <c r="A481" s="340"/>
      <c r="B481" s="287" t="s">
        <v>2572</v>
      </c>
      <c r="C481" s="288">
        <f t="shared" ref="C481" si="68">+$C479+$G480</f>
        <v>22880.099999999995</v>
      </c>
      <c r="D481" s="1121"/>
      <c r="E481" s="1121"/>
      <c r="F481" s="289">
        <v>0</v>
      </c>
      <c r="G481" s="292"/>
      <c r="H481" s="291" t="s">
        <v>651</v>
      </c>
      <c r="I481" s="294"/>
      <c r="J481" s="288"/>
      <c r="K481" s="1121"/>
      <c r="L481" s="1121"/>
      <c r="M481" s="1121"/>
      <c r="N481" s="291" t="s">
        <v>917</v>
      </c>
      <c r="O481" s="291" t="s">
        <v>918</v>
      </c>
      <c r="P481" s="291"/>
      <c r="Q481" s="1121">
        <v>6</v>
      </c>
      <c r="R481" s="289">
        <v>0</v>
      </c>
      <c r="S481" s="292"/>
      <c r="T481" s="1121">
        <v>25</v>
      </c>
      <c r="U481" s="1121">
        <v>50</v>
      </c>
      <c r="V481" s="1121"/>
      <c r="W481" s="1121">
        <v>2.2999999999999998</v>
      </c>
      <c r="X481" s="1121">
        <v>1.4</v>
      </c>
      <c r="Y481" s="1121"/>
      <c r="Z481" s="1121"/>
      <c r="AA481" s="1121">
        <v>0.6</v>
      </c>
      <c r="AB481" s="1121"/>
      <c r="AC481" s="1121" t="s">
        <v>2963</v>
      </c>
      <c r="AD481" s="1121"/>
      <c r="AE481" s="1121"/>
      <c r="AF481" s="1121">
        <v>6000</v>
      </c>
      <c r="AG481" s="288">
        <v>22881.26</v>
      </c>
      <c r="AH481" s="1121">
        <v>2543</v>
      </c>
      <c r="AI481" s="289">
        <v>488</v>
      </c>
      <c r="AJ481" s="1121"/>
      <c r="AK481" s="1121" t="s">
        <v>229</v>
      </c>
      <c r="AL481" s="1121"/>
      <c r="AM481" s="1121"/>
      <c r="AN481" s="315">
        <v>5.5</v>
      </c>
      <c r="AO481" s="315"/>
      <c r="AP481" s="315"/>
      <c r="AQ481" s="315"/>
      <c r="AR481" s="315"/>
      <c r="AS481" s="315"/>
      <c r="AT481" s="315">
        <f>+ab($T$481,$T$479,$T$483,$G$480,$G$482, 1*$F$481,1200)</f>
        <v>6.5428595131650376</v>
      </c>
      <c r="AU481" s="315"/>
      <c r="AV481" s="315"/>
      <c r="AW481" s="315" t="s">
        <v>699</v>
      </c>
      <c r="AX481" s="315" t="s">
        <v>699</v>
      </c>
      <c r="AY481" s="315" t="s">
        <v>699</v>
      </c>
      <c r="AZ481" s="315" t="s">
        <v>699</v>
      </c>
      <c r="BA481" s="315"/>
      <c r="BB481" s="306"/>
      <c r="BF481" s="1119"/>
      <c r="BG481" s="1119"/>
      <c r="BH481" s="1119"/>
    </row>
    <row r="482" spans="1:60" ht="14.25">
      <c r="A482" s="340"/>
      <c r="B482" s="287"/>
      <c r="C482" s="288"/>
      <c r="D482" s="1121"/>
      <c r="E482" s="1121"/>
      <c r="F482" s="289"/>
      <c r="G482" s="292">
        <v>45.9</v>
      </c>
      <c r="H482" s="291"/>
      <c r="I482" s="385">
        <f>SUM(G458:G482)</f>
        <v>438</v>
      </c>
      <c r="J482" s="288"/>
      <c r="K482" s="1121"/>
      <c r="L482" s="1121"/>
      <c r="M482" s="1121"/>
      <c r="N482" s="291"/>
      <c r="O482" s="291"/>
      <c r="P482" s="291"/>
      <c r="Q482" s="1121"/>
      <c r="R482" s="292"/>
      <c r="S482" s="292">
        <f t="shared" ref="S482" si="69">AG483-AG481</f>
        <v>45.820000000003347</v>
      </c>
      <c r="T482" s="1121"/>
      <c r="U482" s="1121"/>
      <c r="V482" s="1121"/>
      <c r="W482" s="1121"/>
      <c r="X482" s="1121"/>
      <c r="Y482" s="1121"/>
      <c r="Z482" s="1121"/>
      <c r="AA482" s="1121"/>
      <c r="AB482" s="1121"/>
      <c r="AC482" s="1121"/>
      <c r="AD482" s="1121"/>
      <c r="AE482" s="1121"/>
      <c r="AF482" s="1121"/>
      <c r="AG482" s="288" t="s">
        <v>695</v>
      </c>
      <c r="AH482" s="1121" t="s">
        <v>695</v>
      </c>
      <c r="AI482" s="289" t="s">
        <v>695</v>
      </c>
      <c r="AJ482" s="1121"/>
      <c r="AK482" s="1121"/>
      <c r="AL482" s="1121"/>
      <c r="AM482" s="1121"/>
      <c r="AN482" s="315"/>
      <c r="AO482" s="315"/>
      <c r="AP482" s="315"/>
      <c r="AQ482" s="315">
        <f>+FL_1($T$483,$T$481,$G$482,1200,9.28, 1*$F$483)</f>
        <v>0.26413746601307186</v>
      </c>
      <c r="AR482" s="315"/>
      <c r="AS482" s="315"/>
      <c r="AT482" s="315"/>
      <c r="AU482" s="315"/>
      <c r="AV482" s="315"/>
      <c r="AW482" s="1121"/>
      <c r="AX482" s="1121"/>
      <c r="AY482" s="1121"/>
      <c r="AZ482" s="1121"/>
      <c r="BA482" s="1121"/>
      <c r="BB482" s="306"/>
      <c r="BF482" s="1119"/>
      <c r="BG482" s="1119"/>
      <c r="BH482" s="1119"/>
    </row>
    <row r="483" spans="1:60" ht="14.25">
      <c r="A483" s="340"/>
      <c r="B483" s="287" t="s">
        <v>2460</v>
      </c>
      <c r="C483" s="288">
        <f t="shared" ref="C483" si="70">+$C481+$G482</f>
        <v>22925.999999999996</v>
      </c>
      <c r="D483" s="1121"/>
      <c r="E483" s="1121"/>
      <c r="F483" s="289">
        <v>0</v>
      </c>
      <c r="G483" s="292"/>
      <c r="H483" s="291" t="s">
        <v>2725</v>
      </c>
      <c r="I483" s="294" t="s">
        <v>657</v>
      </c>
      <c r="J483" s="288">
        <f>C483+7.5</f>
        <v>22933.499999999996</v>
      </c>
      <c r="K483" s="1121" t="s">
        <v>653</v>
      </c>
      <c r="L483" s="1121" t="s">
        <v>882</v>
      </c>
      <c r="M483" s="1121" t="s">
        <v>2675</v>
      </c>
      <c r="N483" s="291" t="s">
        <v>144</v>
      </c>
      <c r="O483" s="291"/>
      <c r="P483" s="291"/>
      <c r="Q483" s="1121">
        <v>4</v>
      </c>
      <c r="R483" s="289">
        <v>0</v>
      </c>
      <c r="S483" s="292"/>
      <c r="T483" s="1121">
        <v>-35</v>
      </c>
      <c r="U483" s="1121"/>
      <c r="V483" s="1121"/>
      <c r="W483" s="1121">
        <v>1.4</v>
      </c>
      <c r="X483" s="1121"/>
      <c r="Y483" s="1121"/>
      <c r="Z483" s="1121"/>
      <c r="AA483" s="1121"/>
      <c r="AB483" s="1121"/>
      <c r="AC483" s="1121" t="s">
        <v>2963</v>
      </c>
      <c r="AD483" s="1121"/>
      <c r="AE483" s="1121"/>
      <c r="AF483" s="1121">
        <v>6000</v>
      </c>
      <c r="AG483" s="288">
        <v>22927.08</v>
      </c>
      <c r="AH483" s="1121">
        <v>3759</v>
      </c>
      <c r="AI483" s="289">
        <v>798</v>
      </c>
      <c r="AJ483" s="1121"/>
      <c r="AK483" s="1121"/>
      <c r="AL483" s="1121" t="s">
        <v>898</v>
      </c>
      <c r="AM483" s="1121" t="s">
        <v>1228</v>
      </c>
      <c r="AN483" s="315">
        <v>5.5</v>
      </c>
      <c r="AO483" s="315"/>
      <c r="AP483" s="315"/>
      <c r="AQ483" s="315"/>
      <c r="AR483" s="315"/>
      <c r="AS483" s="315"/>
      <c r="AT483" s="315">
        <f>+ab($T$483,$T$481,$T$485,$G$482,$G$484, 1*$F$483,1200)</f>
        <v>-6.6727774257304127</v>
      </c>
      <c r="AU483" s="315"/>
      <c r="AV483" s="315"/>
      <c r="AW483" s="315" t="s">
        <v>2630</v>
      </c>
      <c r="AX483" s="315" t="s">
        <v>1639</v>
      </c>
      <c r="AY483" s="315">
        <v>3.8</v>
      </c>
      <c r="AZ483" s="315">
        <v>2.5</v>
      </c>
      <c r="BA483" s="315"/>
      <c r="BB483" s="306"/>
      <c r="BF483" s="1119"/>
      <c r="BG483" s="1119"/>
      <c r="BH483" s="1119"/>
    </row>
    <row r="484" spans="1:60" ht="14.25">
      <c r="A484" s="340"/>
      <c r="B484" s="287"/>
      <c r="C484" s="288"/>
      <c r="D484" s="1121"/>
      <c r="E484" s="1121"/>
      <c r="F484" s="289"/>
      <c r="G484" s="292">
        <v>45</v>
      </c>
      <c r="H484" s="291"/>
      <c r="I484" s="294" t="s">
        <v>2668</v>
      </c>
      <c r="J484" s="288">
        <f>J485-2</f>
        <v>22961.499999999996</v>
      </c>
      <c r="K484" s="1121" t="s">
        <v>658</v>
      </c>
      <c r="L484" s="1121"/>
      <c r="M484" s="1121"/>
      <c r="N484" s="291"/>
      <c r="O484" s="291"/>
      <c r="P484" s="291"/>
      <c r="Q484" s="1121"/>
      <c r="R484" s="292"/>
      <c r="S484" s="292">
        <f t="shared" ref="S484" si="71">AG485-AG483</f>
        <v>45.099999999998545</v>
      </c>
      <c r="T484" s="1121"/>
      <c r="U484" s="1121"/>
      <c r="V484" s="1121"/>
      <c r="W484" s="1121"/>
      <c r="X484" s="1121"/>
      <c r="Y484" s="1121"/>
      <c r="Z484" s="1121"/>
      <c r="AA484" s="1121"/>
      <c r="AB484" s="1121"/>
      <c r="AC484" s="1121"/>
      <c r="AD484" s="1121"/>
      <c r="AE484" s="1121"/>
      <c r="AF484" s="1121"/>
      <c r="AG484" s="288" t="s">
        <v>695</v>
      </c>
      <c r="AH484" s="1121" t="s">
        <v>695</v>
      </c>
      <c r="AI484" s="289" t="s">
        <v>695</v>
      </c>
      <c r="AJ484" s="1121"/>
      <c r="AK484" s="1121"/>
      <c r="AL484" s="1121"/>
      <c r="AM484" s="1121"/>
      <c r="AN484" s="315"/>
      <c r="AO484" s="315"/>
      <c r="AP484" s="315"/>
      <c r="AQ484" s="315">
        <f>+FL_1($T$485,$T$483,$G$484,1200,9.28, 1*$F$485)</f>
        <v>0.35219954355555555</v>
      </c>
      <c r="AR484" s="315"/>
      <c r="AS484" s="315"/>
      <c r="AT484" s="315"/>
      <c r="AU484" s="315"/>
      <c r="AV484" s="315"/>
      <c r="AW484" s="1121" t="s">
        <v>2630</v>
      </c>
      <c r="AX484" s="1121" t="s">
        <v>1639</v>
      </c>
      <c r="AY484" s="1121"/>
      <c r="AZ484" s="315">
        <v>2.5</v>
      </c>
      <c r="BA484" s="1121"/>
      <c r="BB484" s="306"/>
      <c r="BF484" s="1119"/>
      <c r="BG484" s="1119"/>
      <c r="BH484" s="1119"/>
    </row>
    <row r="485" spans="1:60" ht="14.25">
      <c r="A485" s="340"/>
      <c r="B485" s="287" t="s">
        <v>2574</v>
      </c>
      <c r="C485" s="288">
        <f t="shared" ref="C485" si="72">+$C483+$G484</f>
        <v>22970.999999999996</v>
      </c>
      <c r="D485" s="1121"/>
      <c r="E485" s="1121"/>
      <c r="F485" s="289">
        <v>0</v>
      </c>
      <c r="G485" s="292"/>
      <c r="H485" s="291"/>
      <c r="I485" s="294" t="s">
        <v>1223</v>
      </c>
      <c r="J485" s="288">
        <f>+C485-7.5</f>
        <v>22963.499999999996</v>
      </c>
      <c r="K485" s="1121" t="s">
        <v>658</v>
      </c>
      <c r="L485" s="1121" t="s">
        <v>882</v>
      </c>
      <c r="M485" s="1121" t="s">
        <v>2675</v>
      </c>
      <c r="N485" s="291" t="s">
        <v>145</v>
      </c>
      <c r="O485" s="291"/>
      <c r="P485" s="291"/>
      <c r="Q485" s="1121">
        <v>8</v>
      </c>
      <c r="R485" s="289">
        <v>0</v>
      </c>
      <c r="S485" s="292"/>
      <c r="T485" s="1121">
        <v>35</v>
      </c>
      <c r="U485" s="1121"/>
      <c r="V485" s="1121"/>
      <c r="W485" s="1121">
        <v>1.4</v>
      </c>
      <c r="X485" s="1121"/>
      <c r="Y485" s="1121"/>
      <c r="Z485" s="1121"/>
      <c r="AA485" s="1121"/>
      <c r="AB485" s="1121"/>
      <c r="AC485" s="1121" t="s">
        <v>2963</v>
      </c>
      <c r="AD485" s="1121"/>
      <c r="AE485" s="1121"/>
      <c r="AF485" s="1121">
        <v>6000</v>
      </c>
      <c r="AG485" s="288">
        <v>22972.18</v>
      </c>
      <c r="AH485" s="1121">
        <v>3724</v>
      </c>
      <c r="AI485" s="289">
        <v>641</v>
      </c>
      <c r="AJ485" s="1121"/>
      <c r="AK485" s="1121"/>
      <c r="AL485" s="1121" t="s">
        <v>898</v>
      </c>
      <c r="AM485" s="1121" t="s">
        <v>1228</v>
      </c>
      <c r="AN485" s="315">
        <v>5.5</v>
      </c>
      <c r="AO485" s="315"/>
      <c r="AP485" s="315"/>
      <c r="AQ485" s="315"/>
      <c r="AR485" s="315"/>
      <c r="AS485" s="315"/>
      <c r="AT485" s="315">
        <f>+ab($T$485,$T$483,$T$487,$G$484,$G$486, 1*$F$485,1200)</f>
        <v>6.4650205683818722</v>
      </c>
      <c r="AU485" s="315"/>
      <c r="AV485" s="315"/>
      <c r="AW485" s="315" t="s">
        <v>2630</v>
      </c>
      <c r="AX485" s="315" t="s">
        <v>1639</v>
      </c>
      <c r="AY485" s="315">
        <v>3.8</v>
      </c>
      <c r="AZ485" s="315">
        <v>2.5</v>
      </c>
      <c r="BA485" s="315"/>
      <c r="BB485" s="306"/>
      <c r="BF485" s="1119"/>
      <c r="BG485" s="1119"/>
      <c r="BH485" s="1119"/>
    </row>
    <row r="486" spans="1:60" ht="14.25">
      <c r="A486" s="340"/>
      <c r="B486" s="287"/>
      <c r="C486" s="288"/>
      <c r="D486" s="1121"/>
      <c r="E486" s="1121"/>
      <c r="F486" s="289"/>
      <c r="G486" s="292">
        <v>50</v>
      </c>
      <c r="H486" s="294"/>
      <c r="I486" s="294"/>
      <c r="J486" s="288">
        <f>C487-7.5</f>
        <v>23013.499999999996</v>
      </c>
      <c r="K486" s="1121" t="s">
        <v>658</v>
      </c>
      <c r="L486" s="1121"/>
      <c r="M486" s="1121"/>
      <c r="N486" s="291"/>
      <c r="O486" s="291"/>
      <c r="P486" s="291"/>
      <c r="Q486" s="1121"/>
      <c r="R486" s="292"/>
      <c r="S486" s="292">
        <f t="shared" ref="S486" si="73">AG487-AG485</f>
        <v>50.069999999999709</v>
      </c>
      <c r="T486" s="1121"/>
      <c r="U486" s="1121"/>
      <c r="V486" s="1121"/>
      <c r="W486" s="1121"/>
      <c r="X486" s="1121"/>
      <c r="Y486" s="1121"/>
      <c r="Z486" s="1121"/>
      <c r="AA486" s="1121"/>
      <c r="AB486" s="1121"/>
      <c r="AC486" s="1121"/>
      <c r="AD486" s="1121"/>
      <c r="AE486" s="1121"/>
      <c r="AF486" s="1121"/>
      <c r="AG486" s="288" t="s">
        <v>695</v>
      </c>
      <c r="AH486" s="1121" t="s">
        <v>695</v>
      </c>
      <c r="AI486" s="289" t="s">
        <v>695</v>
      </c>
      <c r="AJ486" s="1121"/>
      <c r="AK486" s="1121"/>
      <c r="AL486" s="1121"/>
      <c r="AM486" s="1121"/>
      <c r="AN486" s="315"/>
      <c r="AO486" s="315"/>
      <c r="AP486" s="315"/>
      <c r="AQ486" s="315">
        <f>+FL_2($T$487,$T$485,$G$486,1200,9.28, 1*$F$487)</f>
        <v>-0.36839079999999996</v>
      </c>
      <c r="AR486" s="315"/>
      <c r="AS486" s="315"/>
      <c r="AT486" s="315"/>
      <c r="AU486" s="315"/>
      <c r="AV486" s="315"/>
      <c r="AW486" s="315" t="s">
        <v>2630</v>
      </c>
      <c r="AX486" s="315" t="s">
        <v>1639</v>
      </c>
      <c r="AY486" s="1121"/>
      <c r="AZ486" s="315">
        <v>2.5</v>
      </c>
      <c r="BA486" s="1121"/>
      <c r="BB486" s="306"/>
      <c r="BF486" s="1119"/>
      <c r="BG486" s="1119"/>
      <c r="BH486" s="1119"/>
    </row>
    <row r="487" spans="1:60" ht="14.25">
      <c r="A487" s="340"/>
      <c r="B487" s="287" t="s">
        <v>2461</v>
      </c>
      <c r="C487" s="288">
        <f>+$C485+$G486</f>
        <v>23020.999999999996</v>
      </c>
      <c r="D487" s="1121"/>
      <c r="E487" s="1121"/>
      <c r="F487" s="289">
        <v>0</v>
      </c>
      <c r="G487" s="292"/>
      <c r="H487" s="1121" t="s">
        <v>954</v>
      </c>
      <c r="I487" s="291"/>
      <c r="J487" s="288"/>
      <c r="K487" s="1121"/>
      <c r="L487" s="1121" t="s">
        <v>882</v>
      </c>
      <c r="M487" s="1121" t="s">
        <v>2675</v>
      </c>
      <c r="N487" s="291" t="s">
        <v>144</v>
      </c>
      <c r="O487" s="291"/>
      <c r="P487" s="291"/>
      <c r="Q487" s="1121">
        <v>0</v>
      </c>
      <c r="R487" s="289">
        <v>0</v>
      </c>
      <c r="S487" s="292"/>
      <c r="T487" s="1121">
        <v>-35</v>
      </c>
      <c r="U487" s="1121"/>
      <c r="V487" s="1121"/>
      <c r="W487" s="1121">
        <v>1.4</v>
      </c>
      <c r="X487" s="1121"/>
      <c r="Y487" s="1121"/>
      <c r="Z487" s="1121"/>
      <c r="AA487" s="1121"/>
      <c r="AB487" s="1121"/>
      <c r="AC487" s="1121" t="s">
        <v>1704</v>
      </c>
      <c r="AD487" s="1121"/>
      <c r="AE487" s="1121"/>
      <c r="AF487" s="1121">
        <v>6000</v>
      </c>
      <c r="AG487" s="288">
        <v>23022.25</v>
      </c>
      <c r="AH487" s="1121">
        <v>3685</v>
      </c>
      <c r="AI487" s="289">
        <v>604</v>
      </c>
      <c r="AJ487" s="1121"/>
      <c r="AK487" s="1121"/>
      <c r="AL487" s="1121" t="s">
        <v>898</v>
      </c>
      <c r="AM487" s="1121" t="s">
        <v>1228</v>
      </c>
      <c r="AN487" s="315">
        <v>5.5</v>
      </c>
      <c r="AO487" s="315"/>
      <c r="AP487" s="315"/>
      <c r="AQ487" s="315"/>
      <c r="AR487" s="315"/>
      <c r="AS487" s="315"/>
      <c r="AT487" s="315">
        <f>+ab($T$487,$T$485,$T$489,$G$486,$G$488, 1*$F$487,1200)</f>
        <v>-6.8209152065487553</v>
      </c>
      <c r="AU487" s="315"/>
      <c r="AV487" s="315"/>
      <c r="AW487" s="315" t="s">
        <v>2630</v>
      </c>
      <c r="AX487" s="315" t="s">
        <v>1639</v>
      </c>
      <c r="AY487" s="315">
        <v>3.8</v>
      </c>
      <c r="AZ487" s="315"/>
      <c r="BA487" s="315"/>
      <c r="BB487" s="306"/>
      <c r="BF487" s="1119"/>
      <c r="BG487" s="1119"/>
      <c r="BH487" s="1119"/>
    </row>
    <row r="488" spans="1:60" ht="14.25">
      <c r="A488" s="340"/>
      <c r="B488" s="287"/>
      <c r="C488" s="288"/>
      <c r="D488" s="1121"/>
      <c r="E488" s="1121"/>
      <c r="F488" s="289"/>
      <c r="G488" s="292">
        <v>50</v>
      </c>
      <c r="H488" s="291"/>
      <c r="I488" s="294">
        <f>SUM(G466:G488)</f>
        <v>429.59999999999997</v>
      </c>
      <c r="J488" s="288"/>
      <c r="K488" s="1121"/>
      <c r="L488" s="1121"/>
      <c r="M488" s="1121"/>
      <c r="N488" s="291"/>
      <c r="O488" s="291"/>
      <c r="P488" s="291"/>
      <c r="Q488" s="1121"/>
      <c r="R488" s="292"/>
      <c r="S488" s="292">
        <f t="shared" ref="S488" si="74">AG489-AG487</f>
        <v>50.090000000000146</v>
      </c>
      <c r="T488" s="1121"/>
      <c r="U488" s="1121"/>
      <c r="V488" s="1121"/>
      <c r="W488" s="1121"/>
      <c r="X488" s="1121"/>
      <c r="Y488" s="1121"/>
      <c r="Z488" s="1121"/>
      <c r="AA488" s="1121"/>
      <c r="AB488" s="1121"/>
      <c r="AC488" s="1121"/>
      <c r="AD488" s="1121"/>
      <c r="AE488" s="1121"/>
      <c r="AF488" s="1121"/>
      <c r="AG488" s="288" t="s">
        <v>695</v>
      </c>
      <c r="AH488" s="1121" t="s">
        <v>695</v>
      </c>
      <c r="AI488" s="289" t="s">
        <v>695</v>
      </c>
      <c r="AJ488" s="1121"/>
      <c r="AK488" s="1121"/>
      <c r="AL488" s="1121"/>
      <c r="AM488" s="1121"/>
      <c r="AN488" s="315"/>
      <c r="AO488" s="315"/>
      <c r="AP488" s="315"/>
      <c r="AQ488" s="315">
        <f>+FL_1($T$489,$T$487,$G$488,1200,9.28, 1*$F$489)</f>
        <v>0.36839079999999996</v>
      </c>
      <c r="AR488" s="315"/>
      <c r="AS488" s="315"/>
      <c r="AT488" s="315"/>
      <c r="AU488" s="315"/>
      <c r="AV488" s="315"/>
      <c r="AW488" s="1121"/>
      <c r="AX488" s="1121"/>
      <c r="AY488" s="1121"/>
      <c r="AZ488" s="1121"/>
      <c r="BA488" s="1121"/>
      <c r="BB488" s="306"/>
      <c r="BF488" s="1119"/>
      <c r="BG488" s="1119"/>
      <c r="BH488" s="1119"/>
    </row>
    <row r="489" spans="1:60" ht="14.25">
      <c r="A489" s="340"/>
      <c r="B489" s="287" t="s">
        <v>2535</v>
      </c>
      <c r="C489" s="288">
        <f>+$C$487+$G$488</f>
        <v>23070.999999999996</v>
      </c>
      <c r="D489" s="1121"/>
      <c r="E489" s="1121"/>
      <c r="F489" s="289">
        <v>0</v>
      </c>
      <c r="G489" s="292"/>
      <c r="H489" s="291" t="s">
        <v>955</v>
      </c>
      <c r="I489" s="291"/>
      <c r="J489" s="288"/>
      <c r="K489" s="1121"/>
      <c r="L489" s="1121" t="s">
        <v>882</v>
      </c>
      <c r="M489" s="1121" t="s">
        <v>2675</v>
      </c>
      <c r="N489" s="291" t="s">
        <v>145</v>
      </c>
      <c r="O489" s="291"/>
      <c r="P489" s="291"/>
      <c r="Q489" s="1121">
        <v>1</v>
      </c>
      <c r="R489" s="289">
        <v>0</v>
      </c>
      <c r="S489" s="292"/>
      <c r="T489" s="1121">
        <v>35</v>
      </c>
      <c r="U489" s="1121"/>
      <c r="V489" s="1121"/>
      <c r="W489" s="1121">
        <v>1.4</v>
      </c>
      <c r="X489" s="1121"/>
      <c r="Y489" s="1121"/>
      <c r="Z489" s="1121"/>
      <c r="AA489" s="1121"/>
      <c r="AB489" s="1121"/>
      <c r="AC489" s="1121" t="s">
        <v>2963</v>
      </c>
      <c r="AD489" s="1121"/>
      <c r="AE489" s="1121"/>
      <c r="AF489" s="1121">
        <v>6000</v>
      </c>
      <c r="AG489" s="288">
        <v>23072.34</v>
      </c>
      <c r="AH489" s="1121">
        <v>3818</v>
      </c>
      <c r="AI489" s="289">
        <v>560</v>
      </c>
      <c r="AJ489" s="1121"/>
      <c r="AK489" s="1121"/>
      <c r="AL489" s="1121" t="s">
        <v>898</v>
      </c>
      <c r="AM489" s="1121" t="s">
        <v>1228</v>
      </c>
      <c r="AN489" s="315">
        <v>5.5</v>
      </c>
      <c r="AO489" s="315"/>
      <c r="AP489" s="315"/>
      <c r="AQ489" s="315"/>
      <c r="AR489" s="315"/>
      <c r="AS489" s="315"/>
      <c r="AT489" s="315">
        <f>+ab($T$489,$T$487,$T$491,$G$488,$G$490, 1*$F$489,1200)</f>
        <v>6.820891075690624</v>
      </c>
      <c r="AU489" s="315"/>
      <c r="AV489" s="315"/>
      <c r="AW489" s="315" t="s">
        <v>2630</v>
      </c>
      <c r="AX489" s="315" t="s">
        <v>1639</v>
      </c>
      <c r="AY489" s="315">
        <v>3.8</v>
      </c>
      <c r="AZ489" s="315"/>
      <c r="BA489" s="315"/>
      <c r="BB489" s="306"/>
      <c r="BF489" s="1119"/>
      <c r="BG489" s="1119"/>
      <c r="BH489" s="1119"/>
    </row>
    <row r="490" spans="1:60" ht="14.25">
      <c r="A490" s="340"/>
      <c r="B490" s="287"/>
      <c r="C490" s="288"/>
      <c r="D490" s="1121"/>
      <c r="E490" s="1121"/>
      <c r="F490" s="289"/>
      <c r="G490" s="292">
        <v>50</v>
      </c>
      <c r="H490" s="291"/>
      <c r="I490" s="294">
        <f>SUM(G490:G511)</f>
        <v>419.8</v>
      </c>
      <c r="J490" s="288"/>
      <c r="K490" s="1121"/>
      <c r="L490" s="1121"/>
      <c r="M490" s="1121"/>
      <c r="N490" s="291"/>
      <c r="O490" s="291"/>
      <c r="P490" s="291"/>
      <c r="Q490" s="1121"/>
      <c r="R490" s="292"/>
      <c r="S490" s="292">
        <f t="shared" ref="S490" si="75">AG491-AG489</f>
        <v>49.610000000000582</v>
      </c>
      <c r="T490" s="1121"/>
      <c r="U490" s="1121"/>
      <c r="V490" s="1121"/>
      <c r="W490" s="1121"/>
      <c r="X490" s="1121"/>
      <c r="Y490" s="1121"/>
      <c r="Z490" s="1121"/>
      <c r="AA490" s="1121"/>
      <c r="AB490" s="1121"/>
      <c r="AC490" s="1121"/>
      <c r="AD490" s="1121"/>
      <c r="AE490" s="1121"/>
      <c r="AF490" s="1121"/>
      <c r="AG490" s="288" t="s">
        <v>695</v>
      </c>
      <c r="AH490" s="1121" t="s">
        <v>695</v>
      </c>
      <c r="AI490" s="289" t="s">
        <v>695</v>
      </c>
      <c r="AJ490" s="1121"/>
      <c r="AK490" s="1121"/>
      <c r="AL490" s="1121"/>
      <c r="AM490" s="1121"/>
      <c r="AN490" s="315"/>
      <c r="AO490" s="315"/>
      <c r="AP490" s="315"/>
      <c r="AQ490" s="315">
        <f>+FL_2($T$491,$T$489,$G$490,1200,9.28, 1*$F$491)</f>
        <v>-0.36839079999999996</v>
      </c>
      <c r="AR490" s="315"/>
      <c r="AS490" s="315"/>
      <c r="AT490" s="315"/>
      <c r="AU490" s="315"/>
      <c r="AV490" s="315"/>
      <c r="AW490" s="1121"/>
      <c r="AX490" s="1121"/>
      <c r="AY490" s="1121"/>
      <c r="AZ490" s="1121"/>
      <c r="BA490" s="1121"/>
      <c r="BB490" s="306"/>
      <c r="BF490" s="1119"/>
      <c r="BG490" s="1119"/>
      <c r="BH490" s="1119"/>
    </row>
    <row r="491" spans="1:60" ht="14.25">
      <c r="A491" s="340"/>
      <c r="B491" s="287" t="s">
        <v>2462</v>
      </c>
      <c r="C491" s="288">
        <f>+$C$489+$G$490</f>
        <v>23120.999999999996</v>
      </c>
      <c r="D491" s="1121"/>
      <c r="E491" s="1121"/>
      <c r="F491" s="289">
        <v>0</v>
      </c>
      <c r="G491" s="292"/>
      <c r="H491" s="291" t="s">
        <v>954</v>
      </c>
      <c r="I491" s="291"/>
      <c r="J491" s="288"/>
      <c r="K491" s="1121"/>
      <c r="L491" s="1121" t="s">
        <v>882</v>
      </c>
      <c r="M491" s="1121" t="s">
        <v>2675</v>
      </c>
      <c r="N491" s="291" t="s">
        <v>144</v>
      </c>
      <c r="O491" s="291"/>
      <c r="P491" s="291"/>
      <c r="Q491" s="1121">
        <v>1</v>
      </c>
      <c r="R491" s="289">
        <v>0</v>
      </c>
      <c r="S491" s="292"/>
      <c r="T491" s="1121">
        <v>-35</v>
      </c>
      <c r="U491" s="1121"/>
      <c r="V491" s="1121"/>
      <c r="W491" s="1121">
        <v>1.4</v>
      </c>
      <c r="X491" s="1121"/>
      <c r="Y491" s="1121"/>
      <c r="Z491" s="1121"/>
      <c r="AA491" s="1121"/>
      <c r="AB491" s="1121"/>
      <c r="AC491" s="1121" t="s">
        <v>2963</v>
      </c>
      <c r="AD491" s="1121"/>
      <c r="AE491" s="1121"/>
      <c r="AF491" s="1121">
        <v>6000</v>
      </c>
      <c r="AG491" s="288">
        <v>23121.95</v>
      </c>
      <c r="AH491" s="1121">
        <v>3715</v>
      </c>
      <c r="AI491" s="289">
        <v>589</v>
      </c>
      <c r="AJ491" s="1121"/>
      <c r="AK491" s="1121"/>
      <c r="AL491" s="1121" t="s">
        <v>898</v>
      </c>
      <c r="AM491" s="1121" t="s">
        <v>1228</v>
      </c>
      <c r="AN491" s="315">
        <v>5.5</v>
      </c>
      <c r="AO491" s="315"/>
      <c r="AP491" s="315"/>
      <c r="AQ491" s="315"/>
      <c r="AR491" s="315"/>
      <c r="AS491" s="315"/>
      <c r="AT491" s="315">
        <f>+ab($T$491,$T$489,$T$493,$G$490,$G$492, 1*$F$491,1200)</f>
        <v>-6.8209152065487553</v>
      </c>
      <c r="AU491" s="315"/>
      <c r="AV491" s="315"/>
      <c r="AW491" s="315" t="s">
        <v>2630</v>
      </c>
      <c r="AX491" s="315" t="s">
        <v>1639</v>
      </c>
      <c r="AY491" s="315">
        <v>3.8</v>
      </c>
      <c r="AZ491" s="315"/>
      <c r="BA491" s="315"/>
      <c r="BB491" s="306"/>
      <c r="BF491" s="1119"/>
      <c r="BG491" s="1119"/>
      <c r="BH491" s="1119"/>
    </row>
    <row r="492" spans="1:60" ht="14.25">
      <c r="A492" s="340"/>
      <c r="B492" s="287"/>
      <c r="C492" s="288"/>
      <c r="D492" s="1121"/>
      <c r="E492" s="1121"/>
      <c r="F492" s="289"/>
      <c r="G492" s="292">
        <v>50</v>
      </c>
      <c r="H492" s="291"/>
      <c r="I492" s="294"/>
      <c r="J492" s="288">
        <f>C491+7.5</f>
        <v>23128.499999999996</v>
      </c>
      <c r="K492" s="1121" t="s">
        <v>658</v>
      </c>
      <c r="L492" s="1121"/>
      <c r="M492" s="1121"/>
      <c r="N492" s="291"/>
      <c r="O492" s="291"/>
      <c r="P492" s="291"/>
      <c r="Q492" s="1121"/>
      <c r="R492" s="292"/>
      <c r="S492" s="292">
        <f t="shared" ref="S492" si="76">AG493-AG491</f>
        <v>49.979999999999563</v>
      </c>
      <c r="T492" s="1121"/>
      <c r="U492" s="1121"/>
      <c r="V492" s="1121"/>
      <c r="W492" s="1121"/>
      <c r="X492" s="1121"/>
      <c r="Y492" s="1121"/>
      <c r="Z492" s="1121"/>
      <c r="AA492" s="1121"/>
      <c r="AB492" s="1121"/>
      <c r="AC492" s="1121"/>
      <c r="AD492" s="1121"/>
      <c r="AE492" s="1121"/>
      <c r="AF492" s="1121"/>
      <c r="AG492" s="288" t="s">
        <v>695</v>
      </c>
      <c r="AH492" s="1121" t="s">
        <v>695</v>
      </c>
      <c r="AI492" s="289" t="s">
        <v>695</v>
      </c>
      <c r="AJ492" s="1121"/>
      <c r="AK492" s="1121"/>
      <c r="AL492" s="1121"/>
      <c r="AM492" s="1121"/>
      <c r="AN492" s="315"/>
      <c r="AO492" s="315"/>
      <c r="AP492" s="315"/>
      <c r="AQ492" s="315">
        <f>+FL_1($T$493,$T$491,$G$492,1200,9.28, 1*$F$493)</f>
        <v>0.36839079999999996</v>
      </c>
      <c r="AR492" s="315"/>
      <c r="AS492" s="315"/>
      <c r="AT492" s="315"/>
      <c r="AU492" s="315"/>
      <c r="AV492" s="315"/>
      <c r="AW492" s="1121" t="s">
        <v>2630</v>
      </c>
      <c r="AX492" s="1121" t="s">
        <v>1639</v>
      </c>
      <c r="AY492" s="1121"/>
      <c r="AZ492" s="1121">
        <v>2.5</v>
      </c>
      <c r="BA492" s="1121"/>
      <c r="BB492" s="306"/>
      <c r="BF492" s="1119"/>
      <c r="BG492" s="1119"/>
      <c r="BH492" s="1119"/>
    </row>
    <row r="493" spans="1:60" ht="14.25">
      <c r="A493" s="340"/>
      <c r="B493" s="287" t="s">
        <v>2463</v>
      </c>
      <c r="C493" s="288">
        <f>+$C$491+$G$492</f>
        <v>23170.999999999996</v>
      </c>
      <c r="D493" s="1121"/>
      <c r="E493" s="1121"/>
      <c r="F493" s="289">
        <v>0</v>
      </c>
      <c r="G493" s="292"/>
      <c r="H493" s="1121"/>
      <c r="I493" s="1121"/>
      <c r="J493" s="288"/>
      <c r="K493" s="1121"/>
      <c r="L493" s="1121" t="s">
        <v>882</v>
      </c>
      <c r="M493" s="1121" t="s">
        <v>2675</v>
      </c>
      <c r="N493" s="291" t="s">
        <v>145</v>
      </c>
      <c r="O493" s="291"/>
      <c r="P493" s="291"/>
      <c r="Q493" s="1121">
        <v>2</v>
      </c>
      <c r="R493" s="289">
        <v>0</v>
      </c>
      <c r="S493" s="292"/>
      <c r="T493" s="1121">
        <v>35</v>
      </c>
      <c r="U493" s="1121"/>
      <c r="V493" s="1121"/>
      <c r="W493" s="1121">
        <v>1.4</v>
      </c>
      <c r="X493" s="1121"/>
      <c r="Y493" s="1121"/>
      <c r="Z493" s="1121"/>
      <c r="AA493" s="1121"/>
      <c r="AB493" s="1121"/>
      <c r="AC493" s="1121" t="s">
        <v>2963</v>
      </c>
      <c r="AD493" s="1121"/>
      <c r="AE493" s="1121"/>
      <c r="AF493" s="1121">
        <v>6000</v>
      </c>
      <c r="AG493" s="288">
        <v>23171.93</v>
      </c>
      <c r="AH493" s="1121">
        <v>3743</v>
      </c>
      <c r="AI493" s="289">
        <v>510</v>
      </c>
      <c r="AJ493" s="1121"/>
      <c r="AK493" s="1121"/>
      <c r="AL493" s="1121" t="s">
        <v>898</v>
      </c>
      <c r="AM493" s="1121" t="s">
        <v>1228</v>
      </c>
      <c r="AN493" s="315">
        <v>5.5</v>
      </c>
      <c r="AO493" s="315"/>
      <c r="AP493" s="315"/>
      <c r="AQ493" s="315"/>
      <c r="AR493" s="315"/>
      <c r="AS493" s="315"/>
      <c r="AT493" s="315">
        <f>+ab($T$493,$T$491,$T$495,$G$492,$G$494, 1*$F$493,1200)</f>
        <v>6.0690214289301956</v>
      </c>
      <c r="AU493" s="315"/>
      <c r="AV493" s="315"/>
      <c r="AW493" s="315" t="s">
        <v>2630</v>
      </c>
      <c r="AX493" s="315" t="s">
        <v>1639</v>
      </c>
      <c r="AY493" s="315">
        <v>3.8</v>
      </c>
      <c r="AZ493" s="315"/>
      <c r="BA493" s="315"/>
      <c r="BB493" s="306"/>
      <c r="BF493" s="1119"/>
      <c r="BG493" s="1119"/>
      <c r="BH493" s="1119"/>
    </row>
    <row r="494" spans="1:60" ht="14.25">
      <c r="A494" s="340"/>
      <c r="B494" s="287"/>
      <c r="C494" s="288"/>
      <c r="D494" s="1121"/>
      <c r="E494" s="1121"/>
      <c r="F494" s="289"/>
      <c r="G494" s="292">
        <v>40</v>
      </c>
      <c r="H494" s="1121"/>
      <c r="I494" s="1121"/>
      <c r="J494" s="288"/>
      <c r="K494" s="1121"/>
      <c r="L494" s="1121"/>
      <c r="M494" s="1121"/>
      <c r="N494" s="291"/>
      <c r="O494" s="291"/>
      <c r="P494" s="291"/>
      <c r="Q494" s="1121"/>
      <c r="R494" s="292"/>
      <c r="S494" s="292">
        <f t="shared" ref="S494" si="77">AG495-AG493</f>
        <v>40.159999999999854</v>
      </c>
      <c r="T494" s="1121"/>
      <c r="U494" s="1121"/>
      <c r="V494" s="1121"/>
      <c r="W494" s="1121"/>
      <c r="X494" s="1121"/>
      <c r="Y494" s="1121"/>
      <c r="Z494" s="1121"/>
      <c r="AA494" s="1121"/>
      <c r="AB494" s="1121"/>
      <c r="AC494" s="1121"/>
      <c r="AD494" s="1121"/>
      <c r="AE494" s="1121"/>
      <c r="AF494" s="1121"/>
      <c r="AG494" s="288" t="s">
        <v>695</v>
      </c>
      <c r="AH494" s="1121" t="s">
        <v>695</v>
      </c>
      <c r="AI494" s="289" t="s">
        <v>695</v>
      </c>
      <c r="AJ494" s="1121"/>
      <c r="AK494" s="1121"/>
      <c r="AL494" s="1121"/>
      <c r="AM494" s="1121"/>
      <c r="AN494" s="315"/>
      <c r="AO494" s="315"/>
      <c r="AP494" s="315"/>
      <c r="AQ494" s="315">
        <f>+FL_2($T$495,$T$493,$G$494,1200,9.28, 1*$F$495)</f>
        <v>-0.35</v>
      </c>
      <c r="AR494" s="315"/>
      <c r="AS494" s="315"/>
      <c r="AT494" s="315"/>
      <c r="AU494" s="315"/>
      <c r="AV494" s="315"/>
      <c r="AW494" s="1121"/>
      <c r="AX494" s="1121"/>
      <c r="AY494" s="1121"/>
      <c r="AZ494" s="1121"/>
      <c r="BA494" s="1121"/>
      <c r="BB494" s="306"/>
      <c r="BF494" s="1119"/>
      <c r="BG494" s="1119"/>
      <c r="BH494" s="1119"/>
    </row>
    <row r="495" spans="1:60" ht="14.25">
      <c r="A495" s="340"/>
      <c r="B495" s="287" t="s">
        <v>2464</v>
      </c>
      <c r="C495" s="288">
        <f>+$C493+$G494</f>
        <v>23210.999999999996</v>
      </c>
      <c r="D495" s="1121"/>
      <c r="E495" s="1121"/>
      <c r="F495" s="289">
        <v>0</v>
      </c>
      <c r="G495" s="292"/>
      <c r="H495" s="1121"/>
      <c r="I495" s="1121"/>
      <c r="J495" s="288"/>
      <c r="K495" s="1121"/>
      <c r="L495" s="1121" t="s">
        <v>882</v>
      </c>
      <c r="M495" s="1121" t="s">
        <v>2675</v>
      </c>
      <c r="N495" s="291" t="s">
        <v>144</v>
      </c>
      <c r="O495" s="291"/>
      <c r="P495" s="291"/>
      <c r="Q495" s="1121">
        <v>3</v>
      </c>
      <c r="R495" s="289">
        <v>0</v>
      </c>
      <c r="S495" s="292"/>
      <c r="T495" s="1121">
        <v>-35</v>
      </c>
      <c r="U495" s="1121"/>
      <c r="V495" s="1121"/>
      <c r="W495" s="1121">
        <v>1.4</v>
      </c>
      <c r="X495" s="1121"/>
      <c r="Y495" s="1121"/>
      <c r="Z495" s="1121"/>
      <c r="AA495" s="1121"/>
      <c r="AB495" s="1121"/>
      <c r="AC495" s="1121" t="s">
        <v>2963</v>
      </c>
      <c r="AD495" s="1121"/>
      <c r="AE495" s="1121"/>
      <c r="AF495" s="1121">
        <v>6000</v>
      </c>
      <c r="AG495" s="288">
        <v>23212.09</v>
      </c>
      <c r="AH495" s="1121">
        <v>3768</v>
      </c>
      <c r="AI495" s="289">
        <v>601</v>
      </c>
      <c r="AJ495" s="1121"/>
      <c r="AK495" s="1121"/>
      <c r="AL495" s="1121" t="s">
        <v>898</v>
      </c>
      <c r="AM495" s="1121" t="s">
        <v>1228</v>
      </c>
      <c r="AN495" s="315">
        <v>5.5</v>
      </c>
      <c r="AO495" s="315"/>
      <c r="AP495" s="315"/>
      <c r="AQ495" s="315"/>
      <c r="AR495" s="315"/>
      <c r="AS495" s="315"/>
      <c r="AT495" s="315">
        <f>+ab($T$495,$T$493,$T$497,$G$494,$G$496, 1*$F$495,1200)</f>
        <v>-5.6623163402266732</v>
      </c>
      <c r="AU495" s="315"/>
      <c r="AV495" s="315"/>
      <c r="AW495" s="315" t="s">
        <v>2630</v>
      </c>
      <c r="AX495" s="315" t="s">
        <v>1639</v>
      </c>
      <c r="AY495" s="315">
        <v>3.8</v>
      </c>
      <c r="AZ495" s="315"/>
      <c r="BA495" s="315"/>
      <c r="BB495" s="306"/>
      <c r="BF495" s="1119"/>
      <c r="BG495" s="1119"/>
      <c r="BH495" s="1119"/>
    </row>
    <row r="496" spans="1:60" ht="14.25">
      <c r="A496" s="340"/>
      <c r="B496" s="287"/>
      <c r="C496" s="288"/>
      <c r="D496" s="1121"/>
      <c r="E496" s="1121"/>
      <c r="F496" s="289"/>
      <c r="G496" s="292">
        <v>43</v>
      </c>
      <c r="H496" s="1121"/>
      <c r="I496" s="1121"/>
      <c r="J496" s="288"/>
      <c r="K496" s="1121"/>
      <c r="L496" s="1121"/>
      <c r="M496" s="1121"/>
      <c r="N496" s="291"/>
      <c r="O496" s="291"/>
      <c r="P496" s="291"/>
      <c r="Q496" s="1121"/>
      <c r="R496" s="292"/>
      <c r="S496" s="292">
        <f t="shared" ref="S496" si="78">AG497-AG495</f>
        <v>43.040000000000873</v>
      </c>
      <c r="T496" s="1121"/>
      <c r="U496" s="1121"/>
      <c r="V496" s="1121"/>
      <c r="W496" s="1121"/>
      <c r="X496" s="1121"/>
      <c r="Y496" s="1121"/>
      <c r="Z496" s="1121"/>
      <c r="AA496" s="1121"/>
      <c r="AB496" s="1121"/>
      <c r="AC496" s="1121"/>
      <c r="AD496" s="1121"/>
      <c r="AE496" s="1121"/>
      <c r="AF496" s="1121"/>
      <c r="AG496" s="288" t="s">
        <v>695</v>
      </c>
      <c r="AH496" s="1121" t="s">
        <v>695</v>
      </c>
      <c r="AI496" s="289" t="s">
        <v>695</v>
      </c>
      <c r="AJ496" s="1121"/>
      <c r="AK496" s="1121"/>
      <c r="AL496" s="1121"/>
      <c r="AM496" s="1121"/>
      <c r="AN496" s="315"/>
      <c r="AO496" s="315"/>
      <c r="AP496" s="315"/>
      <c r="AQ496" s="315">
        <f>+FL_2($T$497,$T$495,$G$496,1200,9.28, 1*$F$497)</f>
        <v>-0.35007811860465121</v>
      </c>
      <c r="AR496" s="315"/>
      <c r="AS496" s="315"/>
      <c r="AT496" s="315"/>
      <c r="AU496" s="315"/>
      <c r="AV496" s="315"/>
      <c r="AW496" s="1121"/>
      <c r="AX496" s="1121"/>
      <c r="AY496" s="1121"/>
      <c r="AZ496" s="1121"/>
      <c r="BA496" s="1121"/>
      <c r="BB496" s="306"/>
      <c r="BF496" s="1119"/>
      <c r="BG496" s="1119"/>
      <c r="BH496" s="1119"/>
    </row>
    <row r="497" spans="1:60" ht="14.25">
      <c r="A497" s="340"/>
      <c r="B497" s="287" t="s">
        <v>2581</v>
      </c>
      <c r="C497" s="288">
        <f t="shared" ref="C497" si="79">+$C495+$G496</f>
        <v>23253.999999999996</v>
      </c>
      <c r="D497" s="1121"/>
      <c r="E497" s="1121"/>
      <c r="F497" s="289">
        <v>0</v>
      </c>
      <c r="G497" s="292"/>
      <c r="H497" s="1121"/>
      <c r="I497" s="1121"/>
      <c r="J497" s="288"/>
      <c r="K497" s="1121"/>
      <c r="L497" s="1121" t="s">
        <v>882</v>
      </c>
      <c r="M497" s="1121" t="s">
        <v>2675</v>
      </c>
      <c r="N497" s="291" t="s">
        <v>145</v>
      </c>
      <c r="O497" s="291"/>
      <c r="P497" s="291"/>
      <c r="Q497" s="1121">
        <v>1</v>
      </c>
      <c r="R497" s="289">
        <v>0</v>
      </c>
      <c r="S497" s="292"/>
      <c r="T497" s="1121">
        <v>35</v>
      </c>
      <c r="U497" s="1121"/>
      <c r="V497" s="1121"/>
      <c r="W497" s="1121">
        <v>1.4</v>
      </c>
      <c r="X497" s="1121"/>
      <c r="Y497" s="1121"/>
      <c r="Z497" s="1121"/>
      <c r="AA497" s="1121"/>
      <c r="AB497" s="1121"/>
      <c r="AC497" s="1121" t="s">
        <v>2963</v>
      </c>
      <c r="AD497" s="1121"/>
      <c r="AE497" s="1121"/>
      <c r="AF497" s="1121">
        <v>6000</v>
      </c>
      <c r="AG497" s="288">
        <v>23255.13</v>
      </c>
      <c r="AH497" s="1121">
        <v>3817</v>
      </c>
      <c r="AI497" s="289">
        <v>504</v>
      </c>
      <c r="AJ497" s="1121"/>
      <c r="AK497" s="1121"/>
      <c r="AL497" s="1121" t="s">
        <v>898</v>
      </c>
      <c r="AM497" s="1121" t="s">
        <v>1228</v>
      </c>
      <c r="AN497" s="315">
        <v>5.5</v>
      </c>
      <c r="AO497" s="315"/>
      <c r="AP497" s="315"/>
      <c r="AQ497" s="315"/>
      <c r="AR497" s="315"/>
      <c r="AS497" s="315"/>
      <c r="AT497" s="315">
        <f>+ab($T$497,$T$495,$T$499,$G$496,$G$498, 1*$F$497,1200)</f>
        <v>5.7342864307053967</v>
      </c>
      <c r="AU497" s="315"/>
      <c r="AV497" s="315"/>
      <c r="AW497" s="315" t="s">
        <v>2630</v>
      </c>
      <c r="AX497" s="315" t="s">
        <v>1639</v>
      </c>
      <c r="AY497" s="315">
        <v>3.8</v>
      </c>
      <c r="AZ497" s="315"/>
      <c r="BA497" s="315"/>
      <c r="BB497" s="306"/>
      <c r="BF497" s="1119"/>
      <c r="BG497" s="1119"/>
      <c r="BH497" s="1119"/>
    </row>
    <row r="498" spans="1:60" ht="14.25">
      <c r="A498" s="340"/>
      <c r="B498" s="287"/>
      <c r="C498" s="288"/>
      <c r="D498" s="1121"/>
      <c r="E498" s="1121"/>
      <c r="F498" s="289"/>
      <c r="G498" s="292">
        <v>41</v>
      </c>
      <c r="H498" s="1121"/>
      <c r="I498" s="1121"/>
      <c r="J498" s="288"/>
      <c r="K498" s="1121"/>
      <c r="L498" s="1121"/>
      <c r="M498" s="1121"/>
      <c r="N498" s="291"/>
      <c r="O498" s="291"/>
      <c r="P498" s="291"/>
      <c r="Q498" s="1121"/>
      <c r="R498" s="292"/>
      <c r="S498" s="292">
        <f t="shared" ref="S498" si="80">AG499-AG497</f>
        <v>40.879999999997381</v>
      </c>
      <c r="T498" s="1121"/>
      <c r="U498" s="1121"/>
      <c r="V498" s="1121"/>
      <c r="W498" s="1121"/>
      <c r="X498" s="1121"/>
      <c r="Y498" s="1121"/>
      <c r="Z498" s="1121"/>
      <c r="AA498" s="1121"/>
      <c r="AB498" s="1121"/>
      <c r="AC498" s="1121"/>
      <c r="AD498" s="1121"/>
      <c r="AE498" s="1121"/>
      <c r="AF498" s="1121"/>
      <c r="AG498" s="288" t="s">
        <v>695</v>
      </c>
      <c r="AH498" s="1121" t="s">
        <v>695</v>
      </c>
      <c r="AI498" s="289" t="s">
        <v>695</v>
      </c>
      <c r="AJ498" s="1121"/>
      <c r="AK498" s="1121"/>
      <c r="AL498" s="1121"/>
      <c r="AM498" s="1121"/>
      <c r="AN498" s="315"/>
      <c r="AO498" s="315"/>
      <c r="AP498" s="315"/>
      <c r="AQ498" s="315">
        <f>+FL_1($T$499,$T$497,$G$498,1200,9.28, 1*$F$499)</f>
        <v>0.35000000000000048</v>
      </c>
      <c r="AR498" s="315"/>
      <c r="AS498" s="315"/>
      <c r="AT498" s="315"/>
      <c r="AU498" s="315"/>
      <c r="AV498" s="315"/>
      <c r="AW498" s="1121"/>
      <c r="AX498" s="1121"/>
      <c r="AY498" s="1121"/>
      <c r="AZ498" s="1121"/>
      <c r="BA498" s="1121"/>
      <c r="BB498" s="306"/>
      <c r="BF498" s="1119"/>
      <c r="BG498" s="1119"/>
      <c r="BH498" s="1119"/>
    </row>
    <row r="499" spans="1:60" ht="14.25">
      <c r="A499" s="340"/>
      <c r="B499" s="287" t="s">
        <v>2536</v>
      </c>
      <c r="C499" s="288">
        <f t="shared" ref="C499" si="81">+$C497+$G498</f>
        <v>23294.999999999996</v>
      </c>
      <c r="D499" s="315"/>
      <c r="E499" s="292"/>
      <c r="F499" s="289">
        <v>0</v>
      </c>
      <c r="G499" s="292"/>
      <c r="H499" s="291"/>
      <c r="I499" s="294"/>
      <c r="J499" s="288"/>
      <c r="K499" s="1121"/>
      <c r="L499" s="1121" t="s">
        <v>882</v>
      </c>
      <c r="M499" s="1121" t="s">
        <v>2675</v>
      </c>
      <c r="N499" s="291" t="s">
        <v>144</v>
      </c>
      <c r="O499" s="291"/>
      <c r="P499" s="291"/>
      <c r="Q499" s="1121">
        <v>2</v>
      </c>
      <c r="R499" s="289">
        <v>0</v>
      </c>
      <c r="S499" s="292"/>
      <c r="T499" s="1121">
        <v>-35</v>
      </c>
      <c r="U499" s="1121"/>
      <c r="V499" s="1121"/>
      <c r="W499" s="1121">
        <v>1.4</v>
      </c>
      <c r="X499" s="1121"/>
      <c r="Y499" s="1121"/>
      <c r="Z499" s="1121"/>
      <c r="AA499" s="1121"/>
      <c r="AB499" s="1121"/>
      <c r="AC499" s="1121" t="s">
        <v>2963</v>
      </c>
      <c r="AD499" s="1121"/>
      <c r="AE499" s="1121"/>
      <c r="AF499" s="1121">
        <v>6000</v>
      </c>
      <c r="AG499" s="288">
        <v>23296.01</v>
      </c>
      <c r="AH499" s="1121">
        <v>3789</v>
      </c>
      <c r="AI499" s="289">
        <v>461</v>
      </c>
      <c r="AJ499" s="1121"/>
      <c r="AK499" s="1121"/>
      <c r="AL499" s="1121" t="s">
        <v>898</v>
      </c>
      <c r="AM499" s="1121" t="s">
        <v>1228</v>
      </c>
      <c r="AN499" s="315">
        <v>5.5</v>
      </c>
      <c r="AO499" s="315"/>
      <c r="AP499" s="315"/>
      <c r="AQ499" s="315"/>
      <c r="AR499" s="315"/>
      <c r="AS499" s="315"/>
      <c r="AT499" s="315">
        <f>+ab($T$499,$T$497,$T$501,$G$498,$G$500, 1*$F$499,1200)</f>
        <v>-4.9147868890804842</v>
      </c>
      <c r="AU499" s="315"/>
      <c r="AV499" s="315"/>
      <c r="AW499" s="315" t="s">
        <v>2630</v>
      </c>
      <c r="AX499" s="315" t="s">
        <v>1639</v>
      </c>
      <c r="AY499" s="315">
        <v>3.8</v>
      </c>
      <c r="AZ499" s="315"/>
      <c r="BA499" s="315"/>
      <c r="BB499" s="306"/>
      <c r="BF499" s="1119"/>
      <c r="BG499" s="1119"/>
      <c r="BH499" s="1119"/>
    </row>
    <row r="500" spans="1:60" ht="14.25">
      <c r="A500" s="340"/>
      <c r="B500" s="287"/>
      <c r="C500" s="288"/>
      <c r="D500" s="315"/>
      <c r="E500" s="1121"/>
      <c r="F500" s="289"/>
      <c r="G500" s="292">
        <v>32</v>
      </c>
      <c r="H500" s="291"/>
      <c r="I500" s="294"/>
      <c r="J500" s="288">
        <f>C501-7.5</f>
        <v>23319.499999999996</v>
      </c>
      <c r="K500" s="1121" t="s">
        <v>653</v>
      </c>
      <c r="L500" s="1121"/>
      <c r="M500" s="1121"/>
      <c r="N500" s="291"/>
      <c r="O500" s="291"/>
      <c r="P500" s="291"/>
      <c r="Q500" s="1121"/>
      <c r="R500" s="292"/>
      <c r="S500" s="292">
        <f t="shared" ref="S500" si="82">AG501-AG499</f>
        <v>32.040000000000873</v>
      </c>
      <c r="T500" s="1121"/>
      <c r="U500" s="1121"/>
      <c r="V500" s="1121"/>
      <c r="W500" s="1121"/>
      <c r="X500" s="1121"/>
      <c r="Y500" s="1121"/>
      <c r="Z500" s="1121"/>
      <c r="AA500" s="1121"/>
      <c r="AB500" s="1121"/>
      <c r="AC500" s="1121"/>
      <c r="AD500" s="1121"/>
      <c r="AE500" s="1121"/>
      <c r="AF500" s="1121"/>
      <c r="AG500" s="288" t="s">
        <v>695</v>
      </c>
      <c r="AH500" s="1121" t="s">
        <v>695</v>
      </c>
      <c r="AI500" s="289" t="s">
        <v>695</v>
      </c>
      <c r="AJ500" s="1121"/>
      <c r="AK500" s="1121"/>
      <c r="AL500" s="1121"/>
      <c r="AM500" s="1121"/>
      <c r="AN500" s="315"/>
      <c r="AO500" s="315"/>
      <c r="AP500" s="315"/>
      <c r="AQ500" s="315">
        <f>+FL_2($T$501,$T$499,$G$500,1200,9.28, 1*$F$501)</f>
        <v>-0.35000000000002096</v>
      </c>
      <c r="AR500" s="315"/>
      <c r="AS500" s="315"/>
      <c r="AT500" s="315"/>
      <c r="AU500" s="315"/>
      <c r="AV500" s="315"/>
      <c r="AW500" s="1121" t="s">
        <v>2630</v>
      </c>
      <c r="AX500" s="1121" t="s">
        <v>1639</v>
      </c>
      <c r="AY500" s="1121"/>
      <c r="AZ500" s="1121">
        <v>2.5</v>
      </c>
      <c r="BA500" s="1121"/>
      <c r="BB500" s="306"/>
      <c r="BF500" s="1119"/>
      <c r="BG500" s="1119"/>
      <c r="BH500" s="1119"/>
    </row>
    <row r="501" spans="1:60" ht="14.25">
      <c r="A501" s="340"/>
      <c r="B501" s="287" t="s">
        <v>2582</v>
      </c>
      <c r="C501" s="288">
        <f t="shared" ref="C501" si="83">+$C499+$G500</f>
        <v>23326.999999999996</v>
      </c>
      <c r="D501" s="315"/>
      <c r="E501" s="292"/>
      <c r="F501" s="289">
        <v>0</v>
      </c>
      <c r="G501" s="292"/>
      <c r="H501" s="291" t="s">
        <v>138</v>
      </c>
      <c r="I501" s="294" t="s">
        <v>657</v>
      </c>
      <c r="J501" s="288"/>
      <c r="K501" s="1121"/>
      <c r="L501" s="1121" t="s">
        <v>880</v>
      </c>
      <c r="M501" s="1121" t="s">
        <v>2676</v>
      </c>
      <c r="N501" s="291" t="s">
        <v>145</v>
      </c>
      <c r="O501" s="291"/>
      <c r="P501" s="291"/>
      <c r="Q501" s="1121">
        <v>0</v>
      </c>
      <c r="R501" s="289">
        <v>0</v>
      </c>
      <c r="S501" s="292"/>
      <c r="T501" s="1121">
        <v>35</v>
      </c>
      <c r="U501" s="1121"/>
      <c r="V501" s="1121"/>
      <c r="W501" s="1121">
        <v>1.4</v>
      </c>
      <c r="X501" s="1121"/>
      <c r="Y501" s="1121"/>
      <c r="Z501" s="1121"/>
      <c r="AA501" s="1121"/>
      <c r="AB501" s="1121"/>
      <c r="AC501" s="1121" t="s">
        <v>2963</v>
      </c>
      <c r="AD501" s="1121"/>
      <c r="AE501" s="1121"/>
      <c r="AF501" s="1121">
        <v>6000</v>
      </c>
      <c r="AG501" s="288">
        <v>23328.05</v>
      </c>
      <c r="AH501" s="1121">
        <v>3772</v>
      </c>
      <c r="AI501" s="289">
        <v>660</v>
      </c>
      <c r="AJ501" s="1121"/>
      <c r="AK501" s="1121"/>
      <c r="AL501" s="1121" t="s">
        <v>897</v>
      </c>
      <c r="AM501" s="1121" t="s">
        <v>1228</v>
      </c>
      <c r="AN501" s="315">
        <v>5.5</v>
      </c>
      <c r="AO501" s="315"/>
      <c r="AP501" s="315"/>
      <c r="AQ501" s="315"/>
      <c r="AR501" s="315"/>
      <c r="AS501" s="315"/>
      <c r="AT501" s="315">
        <f>+ab($T$501,$T$499,$T$503,$G$500,$G$502, 1*$F$501,1200)</f>
        <v>3.8157615661417772</v>
      </c>
      <c r="AU501" s="315"/>
      <c r="AV501" s="315"/>
      <c r="AW501" s="315" t="s">
        <v>2630</v>
      </c>
      <c r="AX501" s="315" t="s">
        <v>1639</v>
      </c>
      <c r="AY501" s="315">
        <v>3.3</v>
      </c>
      <c r="AZ501" s="315"/>
      <c r="BA501" s="315"/>
      <c r="BB501" s="306"/>
      <c r="BF501" s="1119"/>
      <c r="BG501" s="1119"/>
      <c r="BH501" s="1119"/>
    </row>
    <row r="502" spans="1:60" ht="14.25">
      <c r="A502" s="340"/>
      <c r="B502" s="287"/>
      <c r="C502" s="288"/>
      <c r="D502" s="315"/>
      <c r="E502" s="1121"/>
      <c r="F502" s="289"/>
      <c r="G502" s="292">
        <v>24.7</v>
      </c>
      <c r="H502" s="291"/>
      <c r="I502" s="294">
        <f>+C525-C501</f>
        <v>501.00000000000364</v>
      </c>
      <c r="J502" s="288"/>
      <c r="K502" s="1121"/>
      <c r="L502" s="1121"/>
      <c r="M502" s="1121"/>
      <c r="N502" s="291"/>
      <c r="O502" s="291"/>
      <c r="P502" s="291"/>
      <c r="Q502" s="1121"/>
      <c r="R502" s="292"/>
      <c r="S502" s="292">
        <f t="shared" ref="S502" si="84">AG503-AG501</f>
        <v>24.650000000001455</v>
      </c>
      <c r="T502" s="1121"/>
      <c r="U502" s="1121"/>
      <c r="V502" s="1121"/>
      <c r="W502" s="1121"/>
      <c r="X502" s="1121"/>
      <c r="Y502" s="1121"/>
      <c r="Z502" s="1121"/>
      <c r="AA502" s="1121"/>
      <c r="AB502" s="1121"/>
      <c r="AC502" s="1121"/>
      <c r="AD502" s="1121"/>
      <c r="AE502" s="1121"/>
      <c r="AF502" s="1121"/>
      <c r="AG502" s="288" t="s">
        <v>695</v>
      </c>
      <c r="AH502" s="1121" t="s">
        <v>695</v>
      </c>
      <c r="AI502" s="289" t="s">
        <v>695</v>
      </c>
      <c r="AJ502" s="1121"/>
      <c r="AK502" s="1121"/>
      <c r="AL502" s="1121"/>
      <c r="AM502" s="1121"/>
      <c r="AN502" s="315"/>
      <c r="AO502" s="315"/>
      <c r="AP502" s="315"/>
      <c r="AQ502" s="315">
        <f>+FL_1($T$503,$T$501,$G$502,1200,9.28, 1*$F$503)</f>
        <v>0.35000000000001996</v>
      </c>
      <c r="AR502" s="315"/>
      <c r="AS502" s="315"/>
      <c r="AT502" s="315"/>
      <c r="AU502" s="315"/>
      <c r="AV502" s="315"/>
      <c r="AW502" s="1121"/>
      <c r="AX502" s="1121"/>
      <c r="AY502" s="1121"/>
      <c r="AZ502" s="1121"/>
      <c r="BA502" s="1121"/>
      <c r="BB502" s="306"/>
      <c r="BF502" s="1119"/>
      <c r="BG502" s="1119"/>
      <c r="BH502" s="1119"/>
    </row>
    <row r="503" spans="1:60" ht="14.25">
      <c r="A503" s="340"/>
      <c r="B503" s="287" t="s">
        <v>2583</v>
      </c>
      <c r="C503" s="288">
        <f t="shared" ref="C503" si="85">+$C501+$G502</f>
        <v>23351.699999999997</v>
      </c>
      <c r="D503" s="315"/>
      <c r="E503" s="292"/>
      <c r="F503" s="289">
        <v>0</v>
      </c>
      <c r="G503" s="292"/>
      <c r="H503" s="291"/>
      <c r="I503" s="294" t="s">
        <v>1223</v>
      </c>
      <c r="J503" s="288">
        <f>C503+7.5</f>
        <v>23359.199999999997</v>
      </c>
      <c r="K503" s="1121" t="s">
        <v>658</v>
      </c>
      <c r="L503" s="1121" t="s">
        <v>880</v>
      </c>
      <c r="M503" s="1121" t="s">
        <v>2676</v>
      </c>
      <c r="N503" s="291" t="s">
        <v>144</v>
      </c>
      <c r="O503" s="291"/>
      <c r="P503" s="291"/>
      <c r="Q503" s="1121">
        <v>0</v>
      </c>
      <c r="R503" s="289">
        <v>0</v>
      </c>
      <c r="S503" s="292"/>
      <c r="T503" s="1121">
        <v>-35</v>
      </c>
      <c r="U503" s="1121"/>
      <c r="V503" s="1121"/>
      <c r="W503" s="1121">
        <v>1.4</v>
      </c>
      <c r="X503" s="1121"/>
      <c r="Y503" s="1121"/>
      <c r="Z503" s="1121"/>
      <c r="AA503" s="1121"/>
      <c r="AB503" s="1121"/>
      <c r="AC503" s="1121" t="s">
        <v>2963</v>
      </c>
      <c r="AD503" s="1121"/>
      <c r="AE503" s="1121"/>
      <c r="AF503" s="1121">
        <v>6000</v>
      </c>
      <c r="AG503" s="288">
        <v>23352.7</v>
      </c>
      <c r="AH503" s="1121">
        <v>4382</v>
      </c>
      <c r="AI503" s="289">
        <v>589</v>
      </c>
      <c r="AJ503" s="1121"/>
      <c r="AK503" s="1121"/>
      <c r="AL503" s="1121" t="s">
        <v>896</v>
      </c>
      <c r="AM503" s="1121" t="s">
        <v>1228</v>
      </c>
      <c r="AN503" s="315">
        <v>5.5</v>
      </c>
      <c r="AO503" s="315"/>
      <c r="AP503" s="315"/>
      <c r="AQ503" s="315"/>
      <c r="AR503" s="315"/>
      <c r="AS503" s="315"/>
      <c r="AT503" s="315">
        <f>+ab($T$503,$T$501,$T$505,$G$502,$G$504, 1*$F$503,1200)</f>
        <v>-3.5016105853479864</v>
      </c>
      <c r="AU503" s="315"/>
      <c r="AV503" s="315"/>
      <c r="AW503" s="315" t="s">
        <v>2630</v>
      </c>
      <c r="AX503" s="315" t="s">
        <v>1639</v>
      </c>
      <c r="AY503" s="315">
        <v>3.3</v>
      </c>
      <c r="AZ503" s="315">
        <v>2.5</v>
      </c>
      <c r="BA503" s="315"/>
      <c r="BB503" s="306"/>
      <c r="BF503" s="1119"/>
      <c r="BG503" s="1119"/>
      <c r="BH503" s="1119"/>
    </row>
    <row r="504" spans="1:60" ht="14.25">
      <c r="A504" s="340"/>
      <c r="B504" s="287"/>
      <c r="C504" s="288"/>
      <c r="D504" s="315"/>
      <c r="E504" s="1121"/>
      <c r="F504" s="289"/>
      <c r="G504" s="292">
        <v>34.1</v>
      </c>
      <c r="H504" s="291"/>
      <c r="I504" s="294" t="s">
        <v>2668</v>
      </c>
      <c r="J504" s="288">
        <f>+J503+2</f>
        <v>23361.199999999997</v>
      </c>
      <c r="K504" s="1121" t="s">
        <v>658</v>
      </c>
      <c r="L504" s="1121"/>
      <c r="M504" s="1121"/>
      <c r="N504" s="291"/>
      <c r="O504" s="291"/>
      <c r="P504" s="291"/>
      <c r="Q504" s="1121"/>
      <c r="R504" s="292"/>
      <c r="S504" s="292">
        <f t="shared" ref="S504" si="86">AG505-AG503</f>
        <v>34.149999999997817</v>
      </c>
      <c r="T504" s="1121"/>
      <c r="U504" s="1121"/>
      <c r="V504" s="1121"/>
      <c r="W504" s="1121"/>
      <c r="X504" s="1121"/>
      <c r="Y504" s="1121"/>
      <c r="Z504" s="1121"/>
      <c r="AA504" s="1121"/>
      <c r="AB504" s="1121"/>
      <c r="AC504" s="1121"/>
      <c r="AD504" s="1121"/>
      <c r="AE504" s="1121"/>
      <c r="AF504" s="1121"/>
      <c r="AG504" s="288" t="s">
        <v>695</v>
      </c>
      <c r="AH504" s="1121" t="s">
        <v>695</v>
      </c>
      <c r="AI504" s="289" t="s">
        <v>695</v>
      </c>
      <c r="AJ504" s="1121"/>
      <c r="AK504" s="1121"/>
      <c r="AL504" s="1121"/>
      <c r="AM504" s="1121"/>
      <c r="AN504" s="315"/>
      <c r="AO504" s="315"/>
      <c r="AP504" s="315"/>
      <c r="AQ504" s="315">
        <f>+FL_2($U$505,$T$503,$G$504,1200,9.28, 1*$F$505)</f>
        <v>-0.35000000000000003</v>
      </c>
      <c r="AR504" s="315"/>
      <c r="AS504" s="315"/>
      <c r="AT504" s="315"/>
      <c r="AU504" s="315"/>
      <c r="AV504" s="315"/>
      <c r="AW504" s="1121" t="s">
        <v>2630</v>
      </c>
      <c r="AX504" s="1121" t="s">
        <v>1639</v>
      </c>
      <c r="AY504" s="1121"/>
      <c r="AZ504" s="1121">
        <v>2.5</v>
      </c>
      <c r="BA504" s="1121"/>
      <c r="BB504" s="306"/>
      <c r="BF504" s="1119"/>
      <c r="BG504" s="1119"/>
      <c r="BH504" s="1119"/>
    </row>
    <row r="505" spans="1:60" ht="14.25">
      <c r="A505" s="340" t="s">
        <v>3244</v>
      </c>
      <c r="B505" s="287" t="s">
        <v>2537</v>
      </c>
      <c r="C505" s="288">
        <f t="shared" ref="C505" si="87">+$C503+$G504</f>
        <v>23385.799999999996</v>
      </c>
      <c r="D505" s="315"/>
      <c r="E505" s="292"/>
      <c r="F505" s="289">
        <v>0</v>
      </c>
      <c r="G505" s="292"/>
      <c r="H505" s="291" t="s">
        <v>651</v>
      </c>
      <c r="I505" s="294"/>
      <c r="J505" s="288"/>
      <c r="K505" s="1121"/>
      <c r="L505" s="1121"/>
      <c r="M505" s="1121"/>
      <c r="N505" s="291" t="s">
        <v>918</v>
      </c>
      <c r="O505" s="291" t="s">
        <v>917</v>
      </c>
      <c r="P505" s="291"/>
      <c r="Q505" s="1121">
        <v>0</v>
      </c>
      <c r="R505" s="289">
        <v>0</v>
      </c>
      <c r="S505" s="292"/>
      <c r="T505" s="1121">
        <v>55</v>
      </c>
      <c r="U505" s="1121">
        <v>10</v>
      </c>
      <c r="V505" s="1121"/>
      <c r="W505" s="1121">
        <v>1.4</v>
      </c>
      <c r="X505" s="1121">
        <v>2.1</v>
      </c>
      <c r="Y505" s="1121"/>
      <c r="Z505" s="1121">
        <v>0.5</v>
      </c>
      <c r="AA505" s="1121"/>
      <c r="AB505" s="1121"/>
      <c r="AC505" s="1121"/>
      <c r="AD505" s="1121" t="s">
        <v>1704</v>
      </c>
      <c r="AE505" s="1121"/>
      <c r="AF505" s="1121">
        <v>100</v>
      </c>
      <c r="AG505" s="288">
        <v>23386.85</v>
      </c>
      <c r="AH505" s="1121">
        <v>1782</v>
      </c>
      <c r="AI505" s="289">
        <v>-5200</v>
      </c>
      <c r="AJ505" s="1121" t="s">
        <v>3103</v>
      </c>
      <c r="AK505" s="1121" t="s">
        <v>229</v>
      </c>
      <c r="AL505" s="1121"/>
      <c r="AM505" s="1121"/>
      <c r="AN505" s="315">
        <v>5.5</v>
      </c>
      <c r="AO505" s="315"/>
      <c r="AP505" s="315"/>
      <c r="AQ505" s="315"/>
      <c r="AR505" s="315"/>
      <c r="AS505" s="315"/>
      <c r="AT505" s="315">
        <f>+ab($U$505,$T$503,$U$507,$G$504,$G$506, 1*$F$505,1200)</f>
        <v>7.4395021325859281</v>
      </c>
      <c r="AU505" s="315"/>
      <c r="AV505" s="315"/>
      <c r="AW505" s="315" t="s">
        <v>699</v>
      </c>
      <c r="AX505" s="315" t="s">
        <v>699</v>
      </c>
      <c r="AY505" s="315" t="s">
        <v>699</v>
      </c>
      <c r="AZ505" s="315" t="s">
        <v>699</v>
      </c>
      <c r="BA505" s="315"/>
      <c r="BB505" s="306"/>
      <c r="BF505" s="1119"/>
      <c r="BG505" s="1119"/>
      <c r="BH505" s="1119"/>
    </row>
    <row r="506" spans="1:60" ht="14.25">
      <c r="A506" s="340"/>
      <c r="B506" s="287"/>
      <c r="C506" s="288"/>
      <c r="D506" s="1121"/>
      <c r="E506" s="1121"/>
      <c r="F506" s="289"/>
      <c r="G506" s="292">
        <v>52.2</v>
      </c>
      <c r="H506" s="291"/>
      <c r="I506" s="294"/>
      <c r="J506" s="288"/>
      <c r="K506" s="1121"/>
      <c r="L506" s="1121"/>
      <c r="M506" s="1121"/>
      <c r="N506" s="291"/>
      <c r="O506" s="291"/>
      <c r="P506" s="291"/>
      <c r="Q506" s="1121"/>
      <c r="R506" s="292"/>
      <c r="S506" s="292">
        <f>AG507-AG505</f>
        <v>52.150000000001455</v>
      </c>
      <c r="T506" s="1121"/>
      <c r="U506" s="1121"/>
      <c r="V506" s="1121"/>
      <c r="W506" s="1121"/>
      <c r="X506" s="1121"/>
      <c r="Y506" s="1121"/>
      <c r="Z506" s="1121"/>
      <c r="AA506" s="1121"/>
      <c r="AB506" s="1121"/>
      <c r="AC506" s="1121"/>
      <c r="AD506" s="1121"/>
      <c r="AE506" s="1121"/>
      <c r="AF506" s="1121"/>
      <c r="AG506" s="288" t="s">
        <v>695</v>
      </c>
      <c r="AH506" s="1121" t="s">
        <v>695</v>
      </c>
      <c r="AI506" s="289" t="s">
        <v>695</v>
      </c>
      <c r="AJ506" s="1121"/>
      <c r="AK506" s="1121"/>
      <c r="AL506" s="1121"/>
      <c r="AM506" s="1121"/>
      <c r="AN506" s="315"/>
      <c r="AO506" s="315"/>
      <c r="AP506" s="315"/>
      <c r="AQ506" s="315">
        <f>+FL_2($T$507,$U$505,$G$506,1200,9.28, 1*$F$507)</f>
        <v>-0.27289241724137936</v>
      </c>
      <c r="AR506" s="315"/>
      <c r="AS506" s="315"/>
      <c r="AT506" s="315"/>
      <c r="AU506" s="315"/>
      <c r="AV506" s="315"/>
      <c r="AW506" s="1121"/>
      <c r="AX506" s="1121"/>
      <c r="AY506" s="1121"/>
      <c r="AZ506" s="1121"/>
      <c r="BA506" s="1121"/>
      <c r="BB506" s="306"/>
      <c r="BF506" s="1119"/>
      <c r="BG506" s="1119"/>
      <c r="BH506" s="1119"/>
    </row>
    <row r="507" spans="1:60" ht="14.25">
      <c r="A507" s="340"/>
      <c r="B507" s="287" t="s">
        <v>2538</v>
      </c>
      <c r="C507" s="288">
        <f>+$C505+$G506</f>
        <v>23437.999999999996</v>
      </c>
      <c r="D507" s="1121"/>
      <c r="E507" s="292"/>
      <c r="F507" s="289">
        <v>0</v>
      </c>
      <c r="G507" s="292"/>
      <c r="H507" s="291" t="s">
        <v>651</v>
      </c>
      <c r="I507" s="294"/>
      <c r="J507" s="288"/>
      <c r="K507" s="1121"/>
      <c r="L507" s="1121"/>
      <c r="M507" s="1121"/>
      <c r="N507" s="291" t="s">
        <v>916</v>
      </c>
      <c r="O507" s="291" t="s">
        <v>918</v>
      </c>
      <c r="P507" s="291"/>
      <c r="Q507" s="1121">
        <v>0</v>
      </c>
      <c r="R507" s="289">
        <v>0</v>
      </c>
      <c r="S507" s="292"/>
      <c r="T507" s="1121">
        <v>-10</v>
      </c>
      <c r="U507" s="1121">
        <v>-55</v>
      </c>
      <c r="V507" s="1121"/>
      <c r="W507" s="1121">
        <v>1.4</v>
      </c>
      <c r="X507" s="1121">
        <v>2.1</v>
      </c>
      <c r="Y507" s="1121"/>
      <c r="Z507" s="1121"/>
      <c r="AA507" s="1121">
        <v>0.5</v>
      </c>
      <c r="AB507" s="1121"/>
      <c r="AC507" s="1121" t="s">
        <v>1704</v>
      </c>
      <c r="AD507" s="1121"/>
      <c r="AE507" s="1121"/>
      <c r="AF507" s="1121">
        <v>200</v>
      </c>
      <c r="AG507" s="288">
        <v>23439</v>
      </c>
      <c r="AH507" s="1121">
        <v>2900</v>
      </c>
      <c r="AI507" s="289">
        <v>-5550</v>
      </c>
      <c r="AJ507" s="1121"/>
      <c r="AK507" s="1121" t="s">
        <v>229</v>
      </c>
      <c r="AL507" s="1121"/>
      <c r="AM507" s="1121"/>
      <c r="AN507" s="315">
        <v>5.5</v>
      </c>
      <c r="AO507" s="315"/>
      <c r="AP507" s="315"/>
      <c r="AQ507" s="315"/>
      <c r="AR507" s="315"/>
      <c r="AS507" s="315"/>
      <c r="AT507" s="315">
        <f>+ab($T$507,$T$505,$T$511,$G$506,$G$509, 1*$F$507,1200)</f>
        <v>-9.9554111958394156</v>
      </c>
      <c r="AU507" s="315"/>
      <c r="AV507" s="315"/>
      <c r="AW507" s="315" t="s">
        <v>699</v>
      </c>
      <c r="AX507" s="315" t="s">
        <v>699</v>
      </c>
      <c r="AY507" s="315" t="s">
        <v>699</v>
      </c>
      <c r="AZ507" s="315" t="s">
        <v>699</v>
      </c>
      <c r="BA507" s="315"/>
      <c r="BB507" s="306"/>
      <c r="BF507" s="1119"/>
      <c r="BG507" s="1119"/>
      <c r="BH507" s="1119"/>
    </row>
    <row r="508" spans="1:60" ht="14.25">
      <c r="A508" s="340"/>
      <c r="B508" s="287"/>
      <c r="C508" s="288"/>
      <c r="D508" s="1121"/>
      <c r="E508" s="1121"/>
      <c r="F508" s="289"/>
      <c r="G508" s="292"/>
      <c r="H508" s="291"/>
      <c r="I508" s="294" t="s">
        <v>2668</v>
      </c>
      <c r="J508" s="288">
        <f>J509-2</f>
        <v>23454.499999999996</v>
      </c>
      <c r="K508" s="1121" t="s">
        <v>658</v>
      </c>
      <c r="L508" s="1121"/>
      <c r="M508" s="1121"/>
      <c r="N508" s="291"/>
      <c r="O508" s="291"/>
      <c r="P508" s="291"/>
      <c r="Q508" s="1121"/>
      <c r="R508" s="292"/>
      <c r="S508" s="292">
        <f>AG511-AG507</f>
        <v>51.740000000001601</v>
      </c>
      <c r="T508" s="1121"/>
      <c r="U508" s="1121"/>
      <c r="V508" s="1121"/>
      <c r="W508" s="1121"/>
      <c r="X508" s="1121"/>
      <c r="Y508" s="1121"/>
      <c r="Z508" s="1121"/>
      <c r="AA508" s="1121"/>
      <c r="AB508" s="1121"/>
      <c r="AC508" s="1121"/>
      <c r="AD508" s="1121"/>
      <c r="AE508" s="1121"/>
      <c r="AF508" s="1121"/>
      <c r="AG508" s="288" t="s">
        <v>695</v>
      </c>
      <c r="AH508" s="1121" t="s">
        <v>695</v>
      </c>
      <c r="AI508" s="289" t="s">
        <v>695</v>
      </c>
      <c r="AJ508" s="1121"/>
      <c r="AK508" s="1121"/>
      <c r="AL508" s="1121"/>
      <c r="AM508" s="1121"/>
      <c r="AN508" s="315"/>
      <c r="AO508" s="315"/>
      <c r="AP508" s="315"/>
      <c r="AQ508" s="315"/>
      <c r="AR508" s="315"/>
      <c r="AS508" s="315"/>
      <c r="AT508" s="315"/>
      <c r="AU508" s="315"/>
      <c r="AV508" s="315"/>
      <c r="AW508" s="1121" t="s">
        <v>2630</v>
      </c>
      <c r="AX508" s="1121" t="s">
        <v>1639</v>
      </c>
      <c r="AY508" s="1121"/>
      <c r="AZ508" s="1121">
        <v>2.5</v>
      </c>
      <c r="BA508" s="1121"/>
      <c r="BB508" s="306"/>
      <c r="BF508" s="1119"/>
      <c r="BG508" s="1119"/>
      <c r="BH508" s="1119"/>
    </row>
    <row r="509" spans="1:60" ht="14.25">
      <c r="A509" s="340"/>
      <c r="B509" s="287" t="s">
        <v>2539</v>
      </c>
      <c r="C509" s="288">
        <v>23463.999999999996</v>
      </c>
      <c r="D509" s="1121"/>
      <c r="E509" s="1121"/>
      <c r="F509" s="289">
        <v>0</v>
      </c>
      <c r="G509" s="292">
        <v>52.8</v>
      </c>
      <c r="H509" s="291"/>
      <c r="I509" s="294" t="s">
        <v>1223</v>
      </c>
      <c r="J509" s="288">
        <f>+C509-7.5</f>
        <v>23456.499999999996</v>
      </c>
      <c r="K509" s="1121" t="s">
        <v>658</v>
      </c>
      <c r="L509" s="1121" t="s">
        <v>231</v>
      </c>
      <c r="M509" s="1121" t="s">
        <v>2672</v>
      </c>
      <c r="N509" s="291"/>
      <c r="O509" s="291"/>
      <c r="P509" s="291"/>
      <c r="Q509" s="1121">
        <v>0</v>
      </c>
      <c r="R509" s="289">
        <v>0</v>
      </c>
      <c r="S509" s="292"/>
      <c r="T509" s="1121"/>
      <c r="U509" s="1121"/>
      <c r="V509" s="1121"/>
      <c r="W509" s="1121"/>
      <c r="X509" s="1121"/>
      <c r="Y509" s="1121"/>
      <c r="Z509" s="1121"/>
      <c r="AA509" s="1121"/>
      <c r="AB509" s="1121"/>
      <c r="AC509" s="1121"/>
      <c r="AD509" s="1121"/>
      <c r="AE509" s="1121"/>
      <c r="AF509" s="1121"/>
      <c r="AG509" s="288">
        <v>23465.09</v>
      </c>
      <c r="AH509" s="1121">
        <v>3736</v>
      </c>
      <c r="AI509" s="289">
        <v>959</v>
      </c>
      <c r="AJ509" s="1121"/>
      <c r="AK509" s="1121"/>
      <c r="AL509" s="1121"/>
      <c r="AM509" s="1121" t="s">
        <v>1228</v>
      </c>
      <c r="AN509" s="315"/>
      <c r="AO509" s="315"/>
      <c r="AP509" s="315"/>
      <c r="AQ509" s="315">
        <f>+FL_1($T$511,$T$507,$G$509,1200,9.28, 1*$F$509)</f>
        <v>0.37290121745454541</v>
      </c>
      <c r="AR509" s="315"/>
      <c r="AS509" s="315"/>
      <c r="AT509" s="315"/>
      <c r="AU509" s="315"/>
      <c r="AV509" s="315"/>
      <c r="AW509" s="315" t="s">
        <v>2630</v>
      </c>
      <c r="AX509" s="315" t="s">
        <v>1639</v>
      </c>
      <c r="AY509" s="315">
        <v>3.4</v>
      </c>
      <c r="AZ509" s="315">
        <v>2.5</v>
      </c>
      <c r="BA509" s="315"/>
      <c r="BB509" s="306"/>
      <c r="BF509" s="1119"/>
      <c r="BG509" s="1119"/>
      <c r="BH509" s="1119"/>
    </row>
    <row r="510" spans="1:60" ht="14.25">
      <c r="A510" s="340"/>
      <c r="B510" s="287"/>
      <c r="C510" s="288"/>
      <c r="D510" s="1121"/>
      <c r="E510" s="1121"/>
      <c r="F510" s="289"/>
      <c r="G510" s="292"/>
      <c r="H510" s="291"/>
      <c r="I510" s="294"/>
      <c r="J510" s="288"/>
      <c r="K510" s="1121"/>
      <c r="L510" s="1121"/>
      <c r="M510" s="1121"/>
      <c r="N510" s="291"/>
      <c r="O510" s="291"/>
      <c r="P510" s="291"/>
      <c r="Q510" s="1121"/>
      <c r="R510" s="292"/>
      <c r="S510" s="292"/>
      <c r="T510" s="1121"/>
      <c r="U510" s="1121"/>
      <c r="V510" s="1121"/>
      <c r="W510" s="1121"/>
      <c r="X510" s="1121"/>
      <c r="Y510" s="1121"/>
      <c r="Z510" s="1121"/>
      <c r="AA510" s="1121"/>
      <c r="AB510" s="1121"/>
      <c r="AC510" s="1121"/>
      <c r="AD510" s="1121"/>
      <c r="AE510" s="1121"/>
      <c r="AF510" s="1121"/>
      <c r="AG510" s="288" t="s">
        <v>695</v>
      </c>
      <c r="AH510" s="1121" t="s">
        <v>695</v>
      </c>
      <c r="AI510" s="289" t="s">
        <v>695</v>
      </c>
      <c r="AJ510" s="1121"/>
      <c r="AK510" s="1121"/>
      <c r="AL510" s="1121"/>
      <c r="AM510" s="1121"/>
      <c r="AN510" s="315"/>
      <c r="AO510" s="315"/>
      <c r="AP510" s="315"/>
      <c r="AQ510" s="1119"/>
      <c r="AR510" s="315"/>
      <c r="AS510" s="315"/>
      <c r="AT510" s="315"/>
      <c r="AU510" s="315"/>
      <c r="AV510" s="315"/>
      <c r="AW510" s="1121"/>
      <c r="AX510" s="1121"/>
      <c r="AY510" s="1121"/>
      <c r="AZ510" s="1121"/>
      <c r="BA510" s="1121"/>
      <c r="BB510" s="306"/>
      <c r="BF510" s="1119"/>
      <c r="BG510" s="1119"/>
      <c r="BH510" s="1119"/>
    </row>
    <row r="511" spans="1:60" ht="14.25">
      <c r="A511" s="1070"/>
      <c r="B511" s="287" t="s">
        <v>2465</v>
      </c>
      <c r="C511" s="288">
        <f>+$C507+$G509</f>
        <v>23490.799999999996</v>
      </c>
      <c r="D511" s="1121"/>
      <c r="E511" s="1121"/>
      <c r="F511" s="289">
        <v>0</v>
      </c>
      <c r="G511" s="292"/>
      <c r="H511" s="291" t="s">
        <v>2726</v>
      </c>
      <c r="I511" s="294" t="s">
        <v>656</v>
      </c>
      <c r="J511" s="288"/>
      <c r="K511" s="1121"/>
      <c r="L511" s="1121" t="s">
        <v>1056</v>
      </c>
      <c r="M511" s="1121" t="s">
        <v>2760</v>
      </c>
      <c r="N511" s="291" t="s">
        <v>145</v>
      </c>
      <c r="O511" s="291" t="s">
        <v>144</v>
      </c>
      <c r="P511" s="291"/>
      <c r="Q511" s="1121">
        <v>2</v>
      </c>
      <c r="R511" s="289">
        <v>0</v>
      </c>
      <c r="S511" s="292"/>
      <c r="T511" s="1121">
        <v>25</v>
      </c>
      <c r="U511" s="1121">
        <v>80</v>
      </c>
      <c r="V511" s="1121"/>
      <c r="W511" s="1121">
        <v>2.2999999999999998</v>
      </c>
      <c r="X511" s="1121">
        <v>1.4</v>
      </c>
      <c r="Y511" s="1121"/>
      <c r="Z511" s="1121"/>
      <c r="AA511" s="1121">
        <v>-0.05</v>
      </c>
      <c r="AB511" s="1121"/>
      <c r="AC511" s="1121" t="s">
        <v>2970</v>
      </c>
      <c r="AD511" s="1121" t="s">
        <v>480</v>
      </c>
      <c r="AE511" s="1121"/>
      <c r="AF511" s="1121">
        <v>5900</v>
      </c>
      <c r="AG511" s="288">
        <v>23490.74</v>
      </c>
      <c r="AH511" s="1121">
        <v>3772</v>
      </c>
      <c r="AI511" s="289">
        <v>1011</v>
      </c>
      <c r="AJ511" s="1121"/>
      <c r="AK511" s="1121"/>
      <c r="AL511" s="1121"/>
      <c r="AM511" s="1121" t="s">
        <v>1228</v>
      </c>
      <c r="AN511" s="315">
        <v>5.5</v>
      </c>
      <c r="AO511" s="315"/>
      <c r="AP511" s="315"/>
      <c r="AQ511" s="315"/>
      <c r="AR511" s="315"/>
      <c r="AS511" s="315"/>
      <c r="AT511" s="315">
        <f>+ab($T511,$T507,U513,$G509,$G512, 1*$F511,1200)</f>
        <v>9.0540913336191942</v>
      </c>
      <c r="AU511" s="315"/>
      <c r="AV511" s="315"/>
      <c r="AW511" s="315" t="s">
        <v>2630</v>
      </c>
      <c r="AX511" s="315" t="s">
        <v>1639</v>
      </c>
      <c r="AY511" s="315">
        <v>3.4</v>
      </c>
      <c r="AZ511" s="315"/>
      <c r="BA511" s="315"/>
      <c r="BB511" s="306"/>
      <c r="BF511" s="1119"/>
      <c r="BG511" s="1119"/>
      <c r="BH511" s="1119"/>
    </row>
    <row r="512" spans="1:60" ht="14.25">
      <c r="A512" s="340"/>
      <c r="B512" s="287"/>
      <c r="C512" s="288"/>
      <c r="D512" s="1121"/>
      <c r="E512" s="1121"/>
      <c r="F512" s="289"/>
      <c r="G512" s="292">
        <v>27.8</v>
      </c>
      <c r="H512" s="1121"/>
      <c r="I512" s="385"/>
      <c r="J512" s="288">
        <f>C511+7.5</f>
        <v>23498.299999999996</v>
      </c>
      <c r="K512" s="1121" t="s">
        <v>653</v>
      </c>
      <c r="L512" s="1121"/>
      <c r="M512" s="1121"/>
      <c r="N512" s="291"/>
      <c r="O512" s="291"/>
      <c r="P512" s="291"/>
      <c r="Q512" s="1121"/>
      <c r="R512" s="292"/>
      <c r="S512" s="292">
        <f t="shared" ref="S512:S518" si="88">AG513-AG511</f>
        <v>27.859999999996944</v>
      </c>
      <c r="T512" s="1121"/>
      <c r="U512" s="1121"/>
      <c r="V512" s="1121"/>
      <c r="W512" s="1121"/>
      <c r="X512" s="1121"/>
      <c r="Y512" s="1121"/>
      <c r="Z512" s="1121"/>
      <c r="AA512" s="1121"/>
      <c r="AB512" s="1121"/>
      <c r="AC512" s="1121"/>
      <c r="AD512" s="1121"/>
      <c r="AE512" s="1121"/>
      <c r="AF512" s="1121"/>
      <c r="AG512" s="288" t="s">
        <v>695</v>
      </c>
      <c r="AH512" s="1121" t="s">
        <v>695</v>
      </c>
      <c r="AI512" s="289" t="s">
        <v>695</v>
      </c>
      <c r="AJ512" s="1121"/>
      <c r="AK512" s="1121"/>
      <c r="AL512" s="1121"/>
      <c r="AM512" s="1121"/>
      <c r="AN512" s="315"/>
      <c r="AO512" s="315"/>
      <c r="AP512" s="315"/>
      <c r="AQ512" s="315">
        <f>+FL_1(U513,$T511,$G512,1200,9.28, 1*F515)</f>
        <v>0.25000000000000555</v>
      </c>
      <c r="AR512" s="315"/>
      <c r="AS512" s="315"/>
      <c r="AT512" s="315"/>
      <c r="AU512" s="315"/>
      <c r="AV512" s="315"/>
      <c r="AW512" s="1121"/>
      <c r="AX512" s="1121"/>
      <c r="AY512" s="1121"/>
      <c r="AZ512" s="1121"/>
      <c r="BA512" s="1121"/>
      <c r="BB512" s="306"/>
      <c r="BF512" s="1119"/>
      <c r="BG512" s="1119"/>
      <c r="BH512" s="1119"/>
    </row>
    <row r="513" spans="1:116" ht="14.25">
      <c r="A513" s="340"/>
      <c r="B513" s="287" t="s">
        <v>3210</v>
      </c>
      <c r="C513" s="288">
        <f>+$C511+$G512</f>
        <v>23518.599999999995</v>
      </c>
      <c r="D513" s="1121"/>
      <c r="E513" s="1121"/>
      <c r="F513" s="289"/>
      <c r="G513" s="292"/>
      <c r="H513" s="1121"/>
      <c r="I513" s="385"/>
      <c r="J513" s="288"/>
      <c r="K513" s="1121"/>
      <c r="L513" s="1121" t="s">
        <v>231</v>
      </c>
      <c r="M513" s="1121" t="s">
        <v>2672</v>
      </c>
      <c r="N513" s="291" t="s">
        <v>140</v>
      </c>
      <c r="O513" s="291" t="s">
        <v>144</v>
      </c>
      <c r="P513" s="291"/>
      <c r="Q513" s="1121">
        <v>0</v>
      </c>
      <c r="R513" s="289">
        <v>0</v>
      </c>
      <c r="S513" s="292"/>
      <c r="T513" s="1121">
        <v>65</v>
      </c>
      <c r="U513" s="1121">
        <v>-15</v>
      </c>
      <c r="V513" s="1121"/>
      <c r="W513" s="1121">
        <v>1.4</v>
      </c>
      <c r="X513" s="1121">
        <v>2.2999999999999998</v>
      </c>
      <c r="Y513" s="1121"/>
      <c r="Z513" s="1121">
        <v>0.45</v>
      </c>
      <c r="AA513" s="1121"/>
      <c r="AB513" s="1121"/>
      <c r="AC513" s="1121"/>
      <c r="AD513" s="1121" t="s">
        <v>2963</v>
      </c>
      <c r="AE513" s="1121"/>
      <c r="AF513" s="1121">
        <v>6000</v>
      </c>
      <c r="AG513" s="288">
        <v>23518.6</v>
      </c>
      <c r="AH513" s="1121">
        <v>2480</v>
      </c>
      <c r="AI513" s="289">
        <v>660</v>
      </c>
      <c r="AJ513" s="1121"/>
      <c r="AK513" s="1121"/>
      <c r="AL513" s="1121"/>
      <c r="AM513" s="1121" t="s">
        <v>1228</v>
      </c>
      <c r="AN513" s="315">
        <v>5.5</v>
      </c>
      <c r="AO513" s="315"/>
      <c r="AP513" s="315"/>
      <c r="AQ513" s="315"/>
      <c r="AR513" s="315"/>
      <c r="AS513" s="315"/>
      <c r="AT513" s="315">
        <f>+ab($U513,$T511,U515,$G512,$G514, 1*$F513,1200)</f>
        <v>-7.6051304693763129</v>
      </c>
      <c r="AU513" s="315"/>
      <c r="AV513" s="315"/>
      <c r="AW513" s="315" t="s">
        <v>2630</v>
      </c>
      <c r="AX513" s="315" t="s">
        <v>1639</v>
      </c>
      <c r="AY513" s="315">
        <v>3.4</v>
      </c>
      <c r="AZ513" s="1121"/>
      <c r="BA513" s="1121"/>
      <c r="BB513" s="306"/>
      <c r="BF513" s="1119"/>
      <c r="BG513" s="1119"/>
      <c r="BH513" s="1119"/>
    </row>
    <row r="514" spans="1:116" ht="14.25">
      <c r="A514" s="340"/>
      <c r="B514" s="287"/>
      <c r="C514" s="288"/>
      <c r="D514" s="1121"/>
      <c r="E514" s="1121"/>
      <c r="F514" s="289"/>
      <c r="G514" s="292">
        <v>37.4</v>
      </c>
      <c r="H514" s="1121"/>
      <c r="I514" s="385"/>
      <c r="J514" s="288"/>
      <c r="K514" s="1121"/>
      <c r="L514" s="1121"/>
      <c r="M514" s="1121"/>
      <c r="N514" s="291"/>
      <c r="O514" s="291"/>
      <c r="P514" s="291"/>
      <c r="Q514" s="1121"/>
      <c r="R514" s="292"/>
      <c r="S514" s="292">
        <f t="shared" si="88"/>
        <v>37.400000000001455</v>
      </c>
      <c r="T514" s="1121"/>
      <c r="U514" s="1121"/>
      <c r="V514" s="1121"/>
      <c r="W514" s="1121"/>
      <c r="X514" s="1121"/>
      <c r="Y514" s="1121"/>
      <c r="Z514" s="1121"/>
      <c r="AA514" s="1121"/>
      <c r="AB514" s="1121"/>
      <c r="AC514" s="1121"/>
      <c r="AD514" s="1121"/>
      <c r="AE514" s="1121"/>
      <c r="AF514" s="1121"/>
      <c r="AG514" s="288"/>
      <c r="AH514" s="1121"/>
      <c r="AI514" s="289"/>
      <c r="AJ514" s="1121"/>
      <c r="AK514" s="1121"/>
      <c r="AL514" s="1121"/>
      <c r="AM514" s="1121"/>
      <c r="AN514" s="315"/>
      <c r="AO514" s="315"/>
      <c r="AP514" s="315"/>
      <c r="AQ514" s="315">
        <f>+FL_1(U515,$U513,$G514,1200,9.28, 1*F517)</f>
        <v>0.25917059716934043</v>
      </c>
      <c r="AR514" s="315"/>
      <c r="AS514" s="315"/>
      <c r="AT514" s="315"/>
      <c r="AU514" s="315"/>
      <c r="AV514" s="315"/>
      <c r="AW514" s="1121"/>
      <c r="AX514" s="1121"/>
      <c r="AY514" s="1121"/>
      <c r="AZ514" s="1121"/>
      <c r="BA514" s="1121"/>
      <c r="BB514" s="306"/>
      <c r="BF514" s="1119"/>
      <c r="BG514" s="1119"/>
      <c r="BH514" s="1119"/>
    </row>
    <row r="515" spans="1:116" ht="14.25">
      <c r="A515" s="1070"/>
      <c r="B515" s="287" t="s">
        <v>1864</v>
      </c>
      <c r="C515" s="288">
        <f>C513+G514</f>
        <v>23555.999999999996</v>
      </c>
      <c r="D515" s="1121"/>
      <c r="E515" s="1121"/>
      <c r="F515" s="289">
        <v>0</v>
      </c>
      <c r="G515" s="292"/>
      <c r="H515" s="1121" t="s">
        <v>142</v>
      </c>
      <c r="I515" s="294"/>
      <c r="J515" s="288"/>
      <c r="K515" s="1121"/>
      <c r="L515" s="1121" t="s">
        <v>1056</v>
      </c>
      <c r="M515" s="1121" t="s">
        <v>2760</v>
      </c>
      <c r="N515" s="291" t="s">
        <v>144</v>
      </c>
      <c r="O515" s="291" t="s">
        <v>145</v>
      </c>
      <c r="P515" s="291"/>
      <c r="Q515" s="1121">
        <v>3</v>
      </c>
      <c r="R515" s="289">
        <v>0</v>
      </c>
      <c r="S515" s="292"/>
      <c r="T515" s="1121">
        <v>80</v>
      </c>
      <c r="U515" s="1121">
        <v>25</v>
      </c>
      <c r="V515" s="1121"/>
      <c r="W515" s="1121">
        <v>1.4</v>
      </c>
      <c r="X515" s="1121">
        <v>2.2999999999999998</v>
      </c>
      <c r="Y515" s="1121"/>
      <c r="Z515" s="1121">
        <v>-0.05</v>
      </c>
      <c r="AA515" s="1121"/>
      <c r="AB515" s="1121"/>
      <c r="AC515" s="1121" t="s">
        <v>2967</v>
      </c>
      <c r="AD515" s="1121" t="s">
        <v>2963</v>
      </c>
      <c r="AE515" s="1121"/>
      <c r="AF515" s="1121">
        <v>6000</v>
      </c>
      <c r="AG515" s="288">
        <v>23556</v>
      </c>
      <c r="AH515" s="1121">
        <v>2587</v>
      </c>
      <c r="AI515" s="289">
        <v>598</v>
      </c>
      <c r="AJ515" s="1121"/>
      <c r="AK515" s="1121"/>
      <c r="AL515" s="1121"/>
      <c r="AM515" s="1121" t="s">
        <v>1228</v>
      </c>
      <c r="AN515" s="315">
        <v>5.5</v>
      </c>
      <c r="AO515" s="315"/>
      <c r="AP515" s="315"/>
      <c r="AQ515" s="315"/>
      <c r="AR515" s="315"/>
      <c r="AS515" s="315"/>
      <c r="AT515" s="315">
        <f>+ab($U$515,U513,$T$517,G514,$G$516, 1*$F$515,1200)</f>
        <v>7.5322016860979097</v>
      </c>
      <c r="AU515" s="315"/>
      <c r="AV515" s="315"/>
      <c r="AW515" s="315" t="s">
        <v>2630</v>
      </c>
      <c r="AX515" s="315" t="s">
        <v>1639</v>
      </c>
      <c r="AY515" s="315">
        <v>3.4</v>
      </c>
      <c r="AZ515" s="315"/>
      <c r="BA515" s="1025"/>
      <c r="BB515" s="306"/>
      <c r="BF515" s="1119"/>
      <c r="BG515" s="1119"/>
      <c r="BH515" s="1119"/>
    </row>
    <row r="516" spans="1:116" ht="14.25">
      <c r="A516" s="340"/>
      <c r="B516" s="287"/>
      <c r="C516" s="288"/>
      <c r="D516" s="1121"/>
      <c r="E516" s="1121"/>
      <c r="F516" s="289"/>
      <c r="G516" s="292">
        <v>41</v>
      </c>
      <c r="H516" s="291"/>
      <c r="I516" s="294"/>
      <c r="J516" s="288"/>
      <c r="K516" s="1121"/>
      <c r="L516" s="1121"/>
      <c r="M516" s="1121"/>
      <c r="N516" s="291"/>
      <c r="O516" s="291"/>
      <c r="P516" s="291"/>
      <c r="Q516" s="1121"/>
      <c r="R516" s="292"/>
      <c r="S516" s="292">
        <f t="shared" si="88"/>
        <v>42.090000000000146</v>
      </c>
      <c r="T516" s="1121"/>
      <c r="U516" s="1121"/>
      <c r="V516" s="1121"/>
      <c r="W516" s="1121"/>
      <c r="X516" s="1121"/>
      <c r="Y516" s="1121"/>
      <c r="Z516" s="1121"/>
      <c r="AA516" s="1121"/>
      <c r="AB516" s="1121"/>
      <c r="AC516" s="1121"/>
      <c r="AD516" s="1121"/>
      <c r="AE516" s="1121"/>
      <c r="AF516" s="1121"/>
      <c r="AG516" s="288" t="s">
        <v>695</v>
      </c>
      <c r="AH516" s="1121" t="s">
        <v>695</v>
      </c>
      <c r="AI516" s="289" t="s">
        <v>695</v>
      </c>
      <c r="AJ516" s="1121"/>
      <c r="AK516" s="1121"/>
      <c r="AL516" s="1121"/>
      <c r="AM516" s="1121"/>
      <c r="AN516" s="315"/>
      <c r="AO516" s="315"/>
      <c r="AP516" s="315"/>
      <c r="AQ516" s="315">
        <f>+FL_1($T$517,$U$515,$G$516,1200,9.28, 1*$F$517)</f>
        <v>0.2509610407804877</v>
      </c>
      <c r="AR516" s="315"/>
      <c r="AS516" s="315"/>
      <c r="AT516" s="315"/>
      <c r="AU516" s="315"/>
      <c r="AV516" s="315"/>
      <c r="AW516" s="1121"/>
      <c r="AX516" s="1121"/>
      <c r="AY516" s="1121"/>
      <c r="AZ516" s="1121"/>
      <c r="BA516" s="1121"/>
      <c r="BB516" s="306"/>
      <c r="BF516" s="1119"/>
      <c r="BG516" s="1119"/>
      <c r="BH516" s="1119"/>
    </row>
    <row r="517" spans="1:116" ht="14.25">
      <c r="A517" s="340"/>
      <c r="B517" s="287" t="s">
        <v>1865</v>
      </c>
      <c r="C517" s="288">
        <f>+$C$515+$G$516</f>
        <v>23596.999999999996</v>
      </c>
      <c r="D517" s="1121"/>
      <c r="E517" s="1121"/>
      <c r="F517" s="289">
        <v>0</v>
      </c>
      <c r="G517" s="292"/>
      <c r="H517" s="291"/>
      <c r="I517" s="294"/>
      <c r="J517" s="288"/>
      <c r="K517" s="1121"/>
      <c r="L517" s="1121" t="s">
        <v>230</v>
      </c>
      <c r="M517" s="1121" t="s">
        <v>2671</v>
      </c>
      <c r="N517" s="291" t="s">
        <v>144</v>
      </c>
      <c r="O517" s="291"/>
      <c r="P517" s="291"/>
      <c r="Q517" s="1121">
        <v>2</v>
      </c>
      <c r="R517" s="289">
        <v>0</v>
      </c>
      <c r="S517" s="292"/>
      <c r="T517" s="1121">
        <v>-35</v>
      </c>
      <c r="U517" s="1121"/>
      <c r="V517" s="1121"/>
      <c r="W517" s="1121">
        <v>1.4</v>
      </c>
      <c r="X517" s="1121"/>
      <c r="Y517" s="1121"/>
      <c r="Z517" s="1121"/>
      <c r="AA517" s="1121"/>
      <c r="AB517" s="1121"/>
      <c r="AC517" s="1121" t="s">
        <v>2963</v>
      </c>
      <c r="AD517" s="1121"/>
      <c r="AE517" s="1121"/>
      <c r="AF517" s="1121">
        <v>6000</v>
      </c>
      <c r="AG517" s="288">
        <v>23598.09</v>
      </c>
      <c r="AH517" s="1121">
        <v>2562</v>
      </c>
      <c r="AI517" s="289">
        <v>620</v>
      </c>
      <c r="AJ517" s="1121"/>
      <c r="AK517" s="1121"/>
      <c r="AL517" s="1121"/>
      <c r="AM517" s="1121" t="s">
        <v>1228</v>
      </c>
      <c r="AN517" s="315">
        <v>5.5</v>
      </c>
      <c r="AO517" s="315"/>
      <c r="AP517" s="315"/>
      <c r="AQ517" s="315"/>
      <c r="AR517" s="315"/>
      <c r="AS517" s="315"/>
      <c r="AT517" s="315">
        <f>+ab($T$517,$T$515,$T$519,$G$516,$G$518, 1*$F$517,1200)</f>
        <v>-5.0937957550204862</v>
      </c>
      <c r="AU517" s="315"/>
      <c r="AV517" s="315"/>
      <c r="AW517" s="315" t="s">
        <v>2630</v>
      </c>
      <c r="AX517" s="315" t="s">
        <v>1639</v>
      </c>
      <c r="AY517" s="315">
        <v>3.4</v>
      </c>
      <c r="AZ517" s="315"/>
      <c r="BA517" s="315"/>
      <c r="BB517" s="306"/>
      <c r="BF517" s="1119"/>
      <c r="BG517" s="1119"/>
      <c r="BH517" s="1119"/>
    </row>
    <row r="518" spans="1:116" ht="14.25">
      <c r="A518" s="340"/>
      <c r="B518" s="287"/>
      <c r="C518" s="288"/>
      <c r="D518" s="1121"/>
      <c r="E518" s="1121"/>
      <c r="F518" s="289"/>
      <c r="G518" s="292">
        <v>63</v>
      </c>
      <c r="H518" s="291"/>
      <c r="I518" s="294"/>
      <c r="J518" s="288">
        <f>C519-7.5</f>
        <v>23652.5</v>
      </c>
      <c r="K518" s="1121" t="s">
        <v>653</v>
      </c>
      <c r="L518" s="1121"/>
      <c r="M518" s="1121"/>
      <c r="N518" s="291"/>
      <c r="O518" s="291"/>
      <c r="P518" s="291"/>
      <c r="Q518" s="1121"/>
      <c r="R518" s="292"/>
      <c r="S518" s="292">
        <f t="shared" si="88"/>
        <v>62.639999999999418</v>
      </c>
      <c r="T518" s="1121"/>
      <c r="U518" s="1121"/>
      <c r="V518" s="1121"/>
      <c r="W518" s="1121"/>
      <c r="X518" s="1121"/>
      <c r="Y518" s="1121"/>
      <c r="Z518" s="1121"/>
      <c r="AA518" s="1121"/>
      <c r="AB518" s="1121"/>
      <c r="AC518" s="1121"/>
      <c r="AD518" s="1121"/>
      <c r="AE518" s="1121"/>
      <c r="AF518" s="1121"/>
      <c r="AG518" s="288" t="s">
        <v>695</v>
      </c>
      <c r="AH518" s="1121" t="s">
        <v>695</v>
      </c>
      <c r="AI518" s="289" t="s">
        <v>695</v>
      </c>
      <c r="AJ518" s="1121"/>
      <c r="AK518" s="1121"/>
      <c r="AL518" s="1121"/>
      <c r="AM518" s="1121"/>
      <c r="AN518" s="315"/>
      <c r="AO518" s="315"/>
      <c r="AP518" s="315"/>
      <c r="AQ518" s="315">
        <f>+FL_1($T$519,$T$517,$G$518,1200,9.28, 1*$F$519)</f>
        <v>0.39231413866666665</v>
      </c>
      <c r="AR518" s="315"/>
      <c r="AS518" s="315"/>
      <c r="AT518" s="315"/>
      <c r="AU518" s="315"/>
      <c r="AV518" s="315"/>
      <c r="AW518" s="1121" t="s">
        <v>2630</v>
      </c>
      <c r="AX518" s="1121" t="s">
        <v>1639</v>
      </c>
      <c r="AY518" s="1121"/>
      <c r="AZ518" s="1121">
        <v>2.2999999999999998</v>
      </c>
      <c r="BA518" s="1121"/>
      <c r="BB518" s="306"/>
      <c r="BF518" s="1119"/>
      <c r="BG518" s="1119"/>
      <c r="BH518" s="1119"/>
    </row>
    <row r="519" spans="1:116" ht="14.25">
      <c r="A519" s="340"/>
      <c r="B519" s="287" t="s">
        <v>1866</v>
      </c>
      <c r="C519" s="288">
        <v>23660</v>
      </c>
      <c r="D519" s="293"/>
      <c r="E519" s="1121"/>
      <c r="F519" s="289">
        <v>0</v>
      </c>
      <c r="G519" s="292"/>
      <c r="H519" s="291" t="s">
        <v>138</v>
      </c>
      <c r="I519" s="294" t="s">
        <v>656</v>
      </c>
      <c r="J519" s="288"/>
      <c r="K519" s="1121"/>
      <c r="L519" s="1121" t="s">
        <v>1061</v>
      </c>
      <c r="M519" s="1121" t="s">
        <v>2672</v>
      </c>
      <c r="N519" s="291" t="s">
        <v>145</v>
      </c>
      <c r="O519" s="291"/>
      <c r="P519" s="291"/>
      <c r="Q519" s="1121">
        <v>15</v>
      </c>
      <c r="R519" s="292">
        <v>-13245.96</v>
      </c>
      <c r="S519" s="292"/>
      <c r="T519" s="1121">
        <v>25</v>
      </c>
      <c r="U519" s="1121"/>
      <c r="V519" s="1121"/>
      <c r="W519" s="1121">
        <v>1.4</v>
      </c>
      <c r="X519" s="1121"/>
      <c r="Y519" s="1121"/>
      <c r="Z519" s="1121"/>
      <c r="AA519" s="1121"/>
      <c r="AB519" s="1121"/>
      <c r="AC519" s="1121" t="s">
        <v>1704</v>
      </c>
      <c r="AD519" s="1121"/>
      <c r="AE519" s="1121"/>
      <c r="AF519" s="1121">
        <v>6000</v>
      </c>
      <c r="AG519" s="288">
        <v>23660.73</v>
      </c>
      <c r="AH519" s="1121">
        <v>2573</v>
      </c>
      <c r="AI519" s="289">
        <v>580</v>
      </c>
      <c r="AJ519" s="1121"/>
      <c r="AK519" s="1121"/>
      <c r="AL519" s="1121"/>
      <c r="AM519" s="1121" t="s">
        <v>1228</v>
      </c>
      <c r="AN519" s="315">
        <v>5.5</v>
      </c>
      <c r="AO519" s="315"/>
      <c r="AP519" s="315"/>
      <c r="AQ519" s="315"/>
      <c r="AR519" s="315"/>
      <c r="AS519" s="315"/>
      <c r="AT519" s="315">
        <f>+ab($T$519,$T$517,$U$521,$G$518,$G$520, 1*$F$519,1200)</f>
        <v>11.049384885058391</v>
      </c>
      <c r="AU519" s="315"/>
      <c r="AV519" s="315"/>
      <c r="AW519" s="1121" t="s">
        <v>2630</v>
      </c>
      <c r="AX519" s="1121" t="s">
        <v>1639</v>
      </c>
      <c r="AY519" s="1121">
        <v>3.2</v>
      </c>
      <c r="AZ519" s="1121"/>
      <c r="BA519" s="1121"/>
      <c r="BB519" s="306"/>
      <c r="BF519" s="1119"/>
      <c r="BG519" s="1119"/>
      <c r="BH519" s="1119"/>
    </row>
    <row r="520" spans="1:116" ht="14.25">
      <c r="A520" s="340"/>
      <c r="B520" s="287"/>
      <c r="C520" s="288"/>
      <c r="D520" s="293"/>
      <c r="E520" s="1121"/>
      <c r="F520" s="289"/>
      <c r="G520" s="292">
        <v>59</v>
      </c>
      <c r="H520" s="291"/>
      <c r="I520" s="294"/>
      <c r="J520" s="288"/>
      <c r="K520" s="1121"/>
      <c r="L520" s="1121"/>
      <c r="M520" s="1121"/>
      <c r="N520" s="291"/>
      <c r="O520" s="291"/>
      <c r="P520" s="291"/>
      <c r="Q520" s="1121"/>
      <c r="R520" s="292"/>
      <c r="S520" s="292">
        <f>AG521-AG519</f>
        <v>58.920000000001892</v>
      </c>
      <c r="T520" s="1121"/>
      <c r="U520" s="1121"/>
      <c r="V520" s="1121"/>
      <c r="W520" s="1121"/>
      <c r="X520" s="1121"/>
      <c r="Y520" s="1121"/>
      <c r="Z520" s="1121"/>
      <c r="AA520" s="1121"/>
      <c r="AB520" s="1121"/>
      <c r="AC520" s="1121"/>
      <c r="AD520" s="1121"/>
      <c r="AE520" s="1121"/>
      <c r="AF520" s="1121"/>
      <c r="AG520" s="288" t="s">
        <v>695</v>
      </c>
      <c r="AH520" s="1121" t="s">
        <v>695</v>
      </c>
      <c r="AI520" s="289" t="s">
        <v>695</v>
      </c>
      <c r="AJ520" s="1121"/>
      <c r="AK520" s="1121"/>
      <c r="AL520" s="1121"/>
      <c r="AM520" s="1121"/>
      <c r="AN520" s="315"/>
      <c r="AO520" s="315"/>
      <c r="AP520" s="315"/>
      <c r="AQ520" s="315">
        <f>+FL_1($U$521,$T$519,$G$520,1200,9.28, 1*$F$521)</f>
        <v>0.49120776828574114</v>
      </c>
      <c r="AR520" s="315"/>
      <c r="AS520" s="315"/>
      <c r="AT520" s="315"/>
      <c r="AU520" s="315"/>
      <c r="AV520" s="315"/>
      <c r="AW520" s="1121"/>
      <c r="AX520" s="1121"/>
      <c r="AY520" s="1121"/>
      <c r="AZ520" s="1121"/>
      <c r="BA520" s="1121"/>
      <c r="BB520" s="306"/>
      <c r="BF520" s="1119"/>
      <c r="BG520" s="1119"/>
      <c r="BH520" s="1119"/>
    </row>
    <row r="521" spans="1:116" ht="14.25">
      <c r="A521" s="340"/>
      <c r="B521" s="287" t="s">
        <v>1867</v>
      </c>
      <c r="C521" s="288">
        <f>+$C$519+$G$520</f>
        <v>23719</v>
      </c>
      <c r="D521" s="293"/>
      <c r="E521" s="1121"/>
      <c r="F521" s="289">
        <f>-380000/(C521-23631)</f>
        <v>-4318.181818181818</v>
      </c>
      <c r="G521" s="292"/>
      <c r="H521" s="291" t="s">
        <v>651</v>
      </c>
      <c r="I521" s="294"/>
      <c r="J521" s="288"/>
      <c r="K521" s="1121"/>
      <c r="L521" s="1121" t="s">
        <v>231</v>
      </c>
      <c r="M521" s="1121" t="s">
        <v>2672</v>
      </c>
      <c r="N521" s="291" t="s">
        <v>140</v>
      </c>
      <c r="O521" s="291" t="s">
        <v>144</v>
      </c>
      <c r="P521" s="291"/>
      <c r="Q521" s="1121">
        <v>44</v>
      </c>
      <c r="R521" s="292">
        <v>-4342.79</v>
      </c>
      <c r="S521" s="292"/>
      <c r="T521" s="1121">
        <v>25</v>
      </c>
      <c r="U521" s="1121">
        <v>-20</v>
      </c>
      <c r="V521" s="1121"/>
      <c r="W521" s="1121">
        <v>1.4</v>
      </c>
      <c r="X521" s="1121">
        <v>2.2999999999999998</v>
      </c>
      <c r="Y521" s="1121"/>
      <c r="Z521" s="1121">
        <v>0.45</v>
      </c>
      <c r="AA521" s="1121"/>
      <c r="AB521" s="1121"/>
      <c r="AC521" s="1121"/>
      <c r="AD521" s="1121" t="s">
        <v>1704</v>
      </c>
      <c r="AE521" s="1121"/>
      <c r="AF521" s="1121">
        <v>6000</v>
      </c>
      <c r="AG521" s="288">
        <v>23719.65</v>
      </c>
      <c r="AH521" s="1121">
        <v>2544</v>
      </c>
      <c r="AI521" s="289">
        <v>582</v>
      </c>
      <c r="AJ521" s="1121"/>
      <c r="AK521" s="1121"/>
      <c r="AL521" s="1121"/>
      <c r="AM521" s="1121" t="s">
        <v>1228</v>
      </c>
      <c r="AN521" s="315">
        <v>5.5</v>
      </c>
      <c r="AO521" s="315"/>
      <c r="AP521" s="315"/>
      <c r="AQ521" s="315"/>
      <c r="AR521" s="315"/>
      <c r="AS521" s="315"/>
      <c r="AT521" s="315" t="e">
        <f>+ab($U$521,$T$519,$U$523,$G$520,#REF!, 1*$F$521,1200)</f>
        <v>#VALUE!</v>
      </c>
      <c r="AU521" s="315"/>
      <c r="AV521" s="315"/>
      <c r="AW521" s="1121" t="s">
        <v>2630</v>
      </c>
      <c r="AX521" s="1121" t="s">
        <v>1639</v>
      </c>
      <c r="AY521" s="1121">
        <v>3.2</v>
      </c>
      <c r="AZ521" s="1121"/>
      <c r="BA521" s="1121"/>
      <c r="BB521" s="306"/>
      <c r="BF521" s="1119"/>
      <c r="BG521" s="1119"/>
      <c r="BH521" s="1119"/>
    </row>
    <row r="522" spans="1:116" ht="14.25">
      <c r="A522" s="340"/>
      <c r="B522" s="287"/>
      <c r="C522" s="288"/>
      <c r="D522" s="293"/>
      <c r="E522" s="1121"/>
      <c r="F522" s="289"/>
      <c r="G522" s="292">
        <v>53</v>
      </c>
      <c r="H522" s="291"/>
      <c r="I522" s="291"/>
      <c r="J522" s="288"/>
      <c r="K522" s="1121"/>
      <c r="L522" s="1121"/>
      <c r="M522" s="1121"/>
      <c r="N522" s="291"/>
      <c r="O522" s="291"/>
      <c r="P522" s="291"/>
      <c r="Q522" s="1121"/>
      <c r="R522" s="292"/>
      <c r="S522" s="292">
        <f>AG523-AG521</f>
        <v>52.879999999997381</v>
      </c>
      <c r="T522" s="1121"/>
      <c r="U522" s="1121"/>
      <c r="V522" s="1121"/>
      <c r="W522" s="1121"/>
      <c r="X522" s="1121"/>
      <c r="Y522" s="1121"/>
      <c r="Z522" s="1121"/>
      <c r="AA522" s="1121"/>
      <c r="AB522" s="1121"/>
      <c r="AC522" s="1121"/>
      <c r="AD522" s="1121"/>
      <c r="AE522" s="1121"/>
      <c r="AF522" s="1121"/>
      <c r="AG522" s="288" t="s">
        <v>695</v>
      </c>
      <c r="AH522" s="1121" t="s">
        <v>695</v>
      </c>
      <c r="AI522" s="289" t="s">
        <v>695</v>
      </c>
      <c r="AJ522" s="1121"/>
      <c r="AK522" s="1121"/>
      <c r="AL522" s="1121"/>
      <c r="AM522" s="1121"/>
      <c r="AN522" s="315"/>
      <c r="AO522" s="315"/>
      <c r="AP522" s="315"/>
      <c r="AQ522" s="315" t="e">
        <f>+FL_1($T$523,$U$521,#REF!,1200,9.28, 1*$F$523)</f>
        <v>#VALUE!</v>
      </c>
      <c r="AR522" s="315"/>
      <c r="AS522" s="315"/>
      <c r="AT522" s="315"/>
      <c r="AU522" s="315"/>
      <c r="AV522" s="315"/>
      <c r="AW522" s="1121"/>
      <c r="AX522" s="1121"/>
      <c r="AY522" s="1121"/>
      <c r="AZ522" s="1121"/>
      <c r="BA522" s="1121"/>
      <c r="BB522" s="306"/>
      <c r="BF522" s="1119"/>
      <c r="BG522" s="1119"/>
      <c r="BH522" s="1119"/>
    </row>
    <row r="523" spans="1:116" ht="14.25">
      <c r="A523" s="340" t="s">
        <v>3246</v>
      </c>
      <c r="B523" s="287" t="s">
        <v>1868</v>
      </c>
      <c r="C523" s="288">
        <f>+$C$521+G522</f>
        <v>23772</v>
      </c>
      <c r="D523" s="293"/>
      <c r="E523" s="1121"/>
      <c r="F523" s="289">
        <f>-380000/(C523-23631)</f>
        <v>-2695.0354609929077</v>
      </c>
      <c r="G523" s="292"/>
      <c r="H523" s="291" t="s">
        <v>651</v>
      </c>
      <c r="I523" s="291" t="s">
        <v>2016</v>
      </c>
      <c r="J523" s="288"/>
      <c r="K523" s="1121"/>
      <c r="L523" s="1121" t="s">
        <v>1056</v>
      </c>
      <c r="M523" s="1121" t="s">
        <v>2760</v>
      </c>
      <c r="N523" s="291" t="s">
        <v>144</v>
      </c>
      <c r="O523" s="291" t="s">
        <v>140</v>
      </c>
      <c r="P523" s="291"/>
      <c r="Q523" s="1121">
        <v>71</v>
      </c>
      <c r="R523" s="292">
        <v>-2707.03</v>
      </c>
      <c r="S523" s="292"/>
      <c r="T523" s="1121">
        <v>10</v>
      </c>
      <c r="U523" s="1121">
        <v>-35</v>
      </c>
      <c r="V523" s="1121"/>
      <c r="W523" s="1121">
        <v>1.4</v>
      </c>
      <c r="X523" s="1121">
        <v>2.2999999999999998</v>
      </c>
      <c r="Y523" s="1121"/>
      <c r="Z523" s="1121"/>
      <c r="AA523" s="1121">
        <v>0.45</v>
      </c>
      <c r="AB523" s="1121"/>
      <c r="AC523" s="1121" t="s">
        <v>1710</v>
      </c>
      <c r="AD523" s="1121"/>
      <c r="AE523" s="1121"/>
      <c r="AF523" s="1121">
        <v>6000</v>
      </c>
      <c r="AG523" s="288">
        <v>23772.53</v>
      </c>
      <c r="AH523" s="1121">
        <v>2587</v>
      </c>
      <c r="AI523" s="289">
        <v>648</v>
      </c>
      <c r="AJ523" s="1121" t="s">
        <v>2017</v>
      </c>
      <c r="AK523" s="1121"/>
      <c r="AL523" s="1121"/>
      <c r="AM523" s="1121" t="s">
        <v>1228</v>
      </c>
      <c r="AN523" s="315">
        <v>5.5</v>
      </c>
      <c r="AO523" s="315"/>
      <c r="AP523" s="315"/>
      <c r="AQ523" s="315"/>
      <c r="AR523" s="315"/>
      <c r="AS523" s="315"/>
      <c r="AT523" s="315" t="e">
        <f>+ab($T$523,$T$521,$T$525,#REF!,$G$524, 1*$F$523,1200)</f>
        <v>#VALUE!</v>
      </c>
      <c r="AU523" s="315"/>
      <c r="AV523" s="315"/>
      <c r="AW523" s="1121" t="s">
        <v>2630</v>
      </c>
      <c r="AX523" s="1121" t="s">
        <v>1639</v>
      </c>
      <c r="AY523" s="1121">
        <v>3.3</v>
      </c>
      <c r="AZ523" s="1121"/>
      <c r="BA523" s="1121"/>
      <c r="BB523" s="306"/>
      <c r="BF523" s="1119"/>
      <c r="BG523" s="1119"/>
      <c r="BH523" s="1119"/>
    </row>
    <row r="524" spans="1:116" s="1071" customFormat="1" ht="14.25">
      <c r="A524" s="340"/>
      <c r="B524" s="287"/>
      <c r="C524" s="288"/>
      <c r="D524" s="293"/>
      <c r="E524" s="1121"/>
      <c r="F524" s="289"/>
      <c r="G524" s="292">
        <v>56</v>
      </c>
      <c r="H524" s="291"/>
      <c r="I524" s="291"/>
      <c r="J524" s="288"/>
      <c r="K524" s="1121"/>
      <c r="L524" s="1121"/>
      <c r="M524" s="1121"/>
      <c r="N524" s="291"/>
      <c r="O524" s="291"/>
      <c r="P524" s="291"/>
      <c r="Q524" s="1121"/>
      <c r="R524" s="292"/>
      <c r="S524" s="292">
        <f t="shared" ref="S524" si="89">AG525-AG523</f>
        <v>56.100000000002183</v>
      </c>
      <c r="T524" s="1121"/>
      <c r="U524" s="1121"/>
      <c r="V524" s="1121"/>
      <c r="W524" s="1121"/>
      <c r="X524" s="1121"/>
      <c r="Y524" s="1121"/>
      <c r="Z524" s="1121"/>
      <c r="AA524" s="1121"/>
      <c r="AB524" s="1121"/>
      <c r="AC524" s="1121"/>
      <c r="AD524" s="1121"/>
      <c r="AE524" s="1121"/>
      <c r="AF524" s="1121"/>
      <c r="AG524" s="288" t="s">
        <v>695</v>
      </c>
      <c r="AH524" s="1121" t="s">
        <v>695</v>
      </c>
      <c r="AI524" s="289" t="s">
        <v>695</v>
      </c>
      <c r="AJ524" s="1121"/>
      <c r="AK524" s="1121"/>
      <c r="AL524" s="1121"/>
      <c r="AM524" s="1121"/>
      <c r="AN524" s="315"/>
      <c r="AO524" s="315"/>
      <c r="AP524" s="315"/>
      <c r="AQ524" s="315">
        <f>+FL_1($T$525,$T$523,$G$524,1200,9.28, 1*$F$525)</f>
        <v>0.41918970748061002</v>
      </c>
      <c r="AR524" s="315"/>
      <c r="AS524" s="315"/>
      <c r="AT524" s="315"/>
      <c r="AU524" s="315"/>
      <c r="AV524" s="315"/>
      <c r="AW524" s="1121"/>
      <c r="AX524" s="1121"/>
      <c r="AY524" s="1121"/>
      <c r="AZ524" s="1121"/>
      <c r="BA524" s="1121"/>
      <c r="BB524" s="306"/>
      <c r="BC524" s="1016"/>
      <c r="BD524" s="1016"/>
      <c r="BE524" s="1016"/>
      <c r="BF524" s="1016"/>
      <c r="BG524" s="1016"/>
      <c r="BH524" s="1016"/>
      <c r="BI524" s="1016"/>
      <c r="BJ524" s="1016"/>
      <c r="BK524" s="1016"/>
      <c r="BL524" s="1016"/>
      <c r="BM524" s="1016"/>
      <c r="BN524" s="1016"/>
      <c r="BO524" s="1016"/>
      <c r="BP524" s="1016"/>
      <c r="BQ524" s="1016"/>
      <c r="BR524" s="1016"/>
      <c r="BS524" s="1016"/>
      <c r="BT524" s="1016"/>
      <c r="BU524" s="1016"/>
      <c r="BV524" s="1016"/>
      <c r="BW524" s="1016"/>
      <c r="BX524" s="1016"/>
      <c r="BY524" s="1016"/>
      <c r="BZ524" s="1016"/>
      <c r="CA524" s="1016"/>
      <c r="CB524" s="1016"/>
      <c r="CC524" s="1016"/>
      <c r="CD524" s="1016"/>
      <c r="CE524" s="1016"/>
      <c r="CF524" s="1016"/>
      <c r="CG524" s="1016"/>
      <c r="CH524" s="1016"/>
      <c r="CI524" s="1016"/>
      <c r="CJ524" s="1016"/>
      <c r="CK524" s="1016"/>
      <c r="CL524" s="1016"/>
      <c r="CM524" s="1016"/>
      <c r="CN524" s="1016"/>
      <c r="CO524" s="1016"/>
      <c r="CP524" s="1016"/>
      <c r="CQ524" s="1016"/>
      <c r="CR524" s="1016"/>
      <c r="CS524" s="1016"/>
      <c r="CT524" s="1016"/>
      <c r="CU524" s="1016"/>
      <c r="CV524" s="1016"/>
      <c r="CW524" s="1016"/>
      <c r="CX524" s="1016"/>
      <c r="CY524" s="1016"/>
      <c r="CZ524" s="1016"/>
      <c r="DA524" s="1016"/>
      <c r="DB524" s="1016"/>
      <c r="DC524" s="1016"/>
      <c r="DD524" s="1016"/>
      <c r="DE524" s="1016"/>
      <c r="DF524" s="1016"/>
      <c r="DG524" s="1016"/>
      <c r="DH524" s="1016"/>
      <c r="DI524" s="1016"/>
      <c r="DJ524" s="1016"/>
      <c r="DK524" s="1016"/>
      <c r="DL524" s="1016"/>
    </row>
    <row r="525" spans="1:116" ht="14.25">
      <c r="A525" s="340" t="s">
        <v>1712</v>
      </c>
      <c r="B525" s="287" t="s">
        <v>1869</v>
      </c>
      <c r="C525" s="288">
        <f>+$C$523+$G$524</f>
        <v>23828</v>
      </c>
      <c r="D525" s="293"/>
      <c r="E525" s="1121">
        <v>-100</v>
      </c>
      <c r="F525" s="289">
        <v>-2000</v>
      </c>
      <c r="G525" s="292"/>
      <c r="H525" s="291" t="s">
        <v>138</v>
      </c>
      <c r="I525" s="291" t="s">
        <v>656</v>
      </c>
      <c r="J525" s="288"/>
      <c r="K525" s="1121"/>
      <c r="L525" s="1121" t="s">
        <v>1062</v>
      </c>
      <c r="M525" s="1121" t="s">
        <v>235</v>
      </c>
      <c r="N525" s="291" t="s">
        <v>144</v>
      </c>
      <c r="O525" s="291"/>
      <c r="P525" s="291"/>
      <c r="Q525" s="1121">
        <v>100</v>
      </c>
      <c r="R525" s="292">
        <v>-2002.35</v>
      </c>
      <c r="S525" s="292"/>
      <c r="T525" s="1121">
        <v>-30</v>
      </c>
      <c r="U525" s="1121"/>
      <c r="V525" s="1121"/>
      <c r="W525" s="1121">
        <v>1.4</v>
      </c>
      <c r="X525" s="1121"/>
      <c r="Y525" s="1121"/>
      <c r="Z525" s="1121"/>
      <c r="AA525" s="1121"/>
      <c r="AB525" s="1121"/>
      <c r="AC525" s="1121" t="s">
        <v>2963</v>
      </c>
      <c r="AD525" s="1121"/>
      <c r="AE525" s="1121"/>
      <c r="AF525" s="1121">
        <v>6000</v>
      </c>
      <c r="AG525" s="288">
        <v>23828.63</v>
      </c>
      <c r="AH525" s="1121">
        <v>2561</v>
      </c>
      <c r="AI525" s="289">
        <v>647</v>
      </c>
      <c r="AJ525" s="1121"/>
      <c r="AK525" s="1121"/>
      <c r="AL525" s="1121"/>
      <c r="AM525" s="1121" t="s">
        <v>1228</v>
      </c>
      <c r="AN525" s="315">
        <v>5.5</v>
      </c>
      <c r="AO525" s="315"/>
      <c r="AP525" s="315"/>
      <c r="AQ525" s="315"/>
      <c r="AR525" s="315"/>
      <c r="AS525" s="315"/>
      <c r="AT525" s="315">
        <f>+ab($T$525,$T$523,$T$527,$G$524,$G$526, 1*$F$525,1200)</f>
        <v>-5.4439189112906563</v>
      </c>
      <c r="AU525" s="315"/>
      <c r="AV525" s="315"/>
      <c r="AW525" s="1121" t="s">
        <v>2630</v>
      </c>
      <c r="AX525" s="1121" t="s">
        <v>1639</v>
      </c>
      <c r="AY525" s="1121">
        <v>3.2</v>
      </c>
      <c r="AZ525" s="1121"/>
      <c r="BA525" s="1121"/>
      <c r="BB525" s="306"/>
      <c r="BF525" s="1119"/>
      <c r="BG525" s="1119"/>
      <c r="BH525" s="1119"/>
    </row>
    <row r="526" spans="1:116" ht="14.25">
      <c r="A526" s="340"/>
      <c r="B526" s="287"/>
      <c r="C526" s="288"/>
      <c r="D526" s="293"/>
      <c r="E526" s="1121"/>
      <c r="F526" s="289"/>
      <c r="G526" s="292">
        <v>56</v>
      </c>
      <c r="H526" s="291"/>
      <c r="I526" s="291"/>
      <c r="J526" s="288">
        <f>C525+7.5</f>
        <v>23835.5</v>
      </c>
      <c r="K526" s="1121" t="s">
        <v>653</v>
      </c>
      <c r="L526" s="1121"/>
      <c r="M526" s="1121"/>
      <c r="N526" s="291"/>
      <c r="O526" s="291"/>
      <c r="P526" s="291"/>
      <c r="Q526" s="1121"/>
      <c r="R526" s="292"/>
      <c r="S526" s="292">
        <f t="shared" ref="S526" si="90">AG527-AG525</f>
        <v>56.169999999998254</v>
      </c>
      <c r="T526" s="1121"/>
      <c r="U526" s="1121"/>
      <c r="V526" s="1121"/>
      <c r="W526" s="1121"/>
      <c r="X526" s="1121"/>
      <c r="Y526" s="1121"/>
      <c r="Z526" s="1121"/>
      <c r="AA526" s="1121"/>
      <c r="AB526" s="1121"/>
      <c r="AC526" s="1121"/>
      <c r="AD526" s="1121"/>
      <c r="AE526" s="1121"/>
      <c r="AF526" s="1121"/>
      <c r="AG526" s="288" t="s">
        <v>695</v>
      </c>
      <c r="AH526" s="1121" t="s">
        <v>695</v>
      </c>
      <c r="AI526" s="289" t="s">
        <v>695</v>
      </c>
      <c r="AJ526" s="1121"/>
      <c r="AK526" s="1121"/>
      <c r="AL526" s="1121"/>
      <c r="AM526" s="1121"/>
      <c r="AN526" s="315"/>
      <c r="AO526" s="315"/>
      <c r="AP526" s="315"/>
      <c r="AQ526" s="315">
        <f>+FL_2($T$527,$T$525,$G$526,1200,9.28, 1*$F$527)</f>
        <v>-0.40713706172535702</v>
      </c>
      <c r="AR526" s="315"/>
      <c r="AS526" s="315"/>
      <c r="AT526" s="315"/>
      <c r="AU526" s="315"/>
      <c r="AV526" s="315"/>
      <c r="AW526" s="1121" t="s">
        <v>2630</v>
      </c>
      <c r="AX526" s="1121" t="s">
        <v>1639</v>
      </c>
      <c r="AY526" s="1121"/>
      <c r="AZ526" s="1121">
        <v>2.2999999999999998</v>
      </c>
      <c r="BA526" s="1121"/>
      <c r="BB526" s="306"/>
      <c r="BF526" s="1119"/>
      <c r="BG526" s="1119"/>
      <c r="BH526" s="1119"/>
    </row>
    <row r="527" spans="1:116" ht="14.25">
      <c r="A527" s="340"/>
      <c r="B527" s="287" t="s">
        <v>2595</v>
      </c>
      <c r="C527" s="288">
        <f>+$C$525+$G$526</f>
        <v>23884</v>
      </c>
      <c r="D527" s="293"/>
      <c r="E527" s="1121">
        <v>-100</v>
      </c>
      <c r="F527" s="289">
        <v>-2000</v>
      </c>
      <c r="G527" s="292"/>
      <c r="H527" s="291"/>
      <c r="I527" s="291"/>
      <c r="J527" s="288"/>
      <c r="K527" s="1121"/>
      <c r="L527" s="1121" t="s">
        <v>231</v>
      </c>
      <c r="M527" s="1121" t="s">
        <v>2672</v>
      </c>
      <c r="N527" s="291" t="s">
        <v>144</v>
      </c>
      <c r="O527" s="291"/>
      <c r="P527" s="291"/>
      <c r="Q527" s="1121">
        <v>100</v>
      </c>
      <c r="R527" s="292">
        <v>-2002.35</v>
      </c>
      <c r="S527" s="292"/>
      <c r="T527" s="1121">
        <v>-30</v>
      </c>
      <c r="U527" s="1121"/>
      <c r="V527" s="1121"/>
      <c r="W527" s="1121">
        <v>1.4</v>
      </c>
      <c r="X527" s="1121"/>
      <c r="Y527" s="1121"/>
      <c r="Z527" s="1121"/>
      <c r="AA527" s="1121"/>
      <c r="AB527" s="1121"/>
      <c r="AC527" s="1121" t="s">
        <v>2963</v>
      </c>
      <c r="AD527" s="1121"/>
      <c r="AE527" s="1121"/>
      <c r="AF527" s="1121">
        <v>6000</v>
      </c>
      <c r="AG527" s="288">
        <v>23884.799999999999</v>
      </c>
      <c r="AH527" s="1121">
        <v>2563</v>
      </c>
      <c r="AI527" s="289">
        <v>645</v>
      </c>
      <c r="AJ527" s="1121"/>
      <c r="AK527" s="1121"/>
      <c r="AL527" s="1121"/>
      <c r="AM527" s="1121" t="s">
        <v>1228</v>
      </c>
      <c r="AN527" s="315">
        <v>5.5</v>
      </c>
      <c r="AO527" s="315"/>
      <c r="AP527" s="315"/>
      <c r="AQ527" s="315"/>
      <c r="AR527" s="315"/>
      <c r="AS527" s="315"/>
      <c r="AT527" s="315">
        <f>+ab($T$527,$T$525,$T$529,$G$526,$G$528, 1*$F$527,1200)</f>
        <v>-6.820903141098448</v>
      </c>
      <c r="AU527" s="315"/>
      <c r="AV527" s="315"/>
      <c r="AW527" s="1121" t="s">
        <v>2630</v>
      </c>
      <c r="AX527" s="1121" t="s">
        <v>1639</v>
      </c>
      <c r="AY527" s="1121">
        <v>3.2</v>
      </c>
      <c r="AZ527" s="1121"/>
      <c r="BA527" s="1121"/>
      <c r="BB527" s="306"/>
      <c r="BF527" s="1119"/>
      <c r="BG527" s="1119"/>
      <c r="BH527" s="1119"/>
    </row>
    <row r="528" spans="1:116" ht="14.25">
      <c r="A528" s="340"/>
      <c r="B528" s="287"/>
      <c r="C528" s="288"/>
      <c r="D528" s="293"/>
      <c r="E528" s="1121"/>
      <c r="F528" s="289"/>
      <c r="G528" s="292">
        <v>56</v>
      </c>
      <c r="H528" s="291"/>
      <c r="I528" s="291"/>
      <c r="J528" s="288"/>
      <c r="K528" s="1121"/>
      <c r="L528" s="1121"/>
      <c r="M528" s="1121"/>
      <c r="N528" s="291"/>
      <c r="O528" s="291"/>
      <c r="P528" s="291"/>
      <c r="Q528" s="1121"/>
      <c r="R528" s="292"/>
      <c r="S528" s="292">
        <f t="shared" ref="S528" si="91">AG529-AG527</f>
        <v>56.100000000002183</v>
      </c>
      <c r="T528" s="1121"/>
      <c r="U528" s="1121"/>
      <c r="V528" s="1121"/>
      <c r="W528" s="1121"/>
      <c r="X528" s="1121"/>
      <c r="Y528" s="1121"/>
      <c r="Z528" s="1121"/>
      <c r="AA528" s="1121"/>
      <c r="AB528" s="1121"/>
      <c r="AC528" s="1121"/>
      <c r="AD528" s="1121"/>
      <c r="AE528" s="1121"/>
      <c r="AF528" s="1121"/>
      <c r="AG528" s="288" t="s">
        <v>695</v>
      </c>
      <c r="AH528" s="1121" t="s">
        <v>695</v>
      </c>
      <c r="AI528" s="289" t="s">
        <v>695</v>
      </c>
      <c r="AJ528" s="1121"/>
      <c r="AK528" s="1121"/>
      <c r="AL528" s="1121"/>
      <c r="AM528" s="1121"/>
      <c r="AN528" s="315"/>
      <c r="AO528" s="315"/>
      <c r="AP528" s="315"/>
      <c r="AQ528" s="315">
        <f>+FL_2($T$529,$T$527,$G$528,1200,9.28, 1*$F$529)</f>
        <v>-0.40713706172535702</v>
      </c>
      <c r="AR528" s="315"/>
      <c r="AS528" s="315"/>
      <c r="AT528" s="315"/>
      <c r="AU528" s="315"/>
      <c r="AV528" s="315"/>
      <c r="AW528" s="1121"/>
      <c r="AX528" s="1121"/>
      <c r="AY528" s="1121"/>
      <c r="AZ528" s="1121"/>
      <c r="BA528" s="1121"/>
      <c r="BB528" s="306"/>
      <c r="BF528" s="1119"/>
      <c r="BG528" s="1119"/>
      <c r="BH528" s="1119"/>
    </row>
    <row r="529" spans="1:60" ht="14.25">
      <c r="A529" s="340"/>
      <c r="B529" s="287" t="s">
        <v>2641</v>
      </c>
      <c r="C529" s="288">
        <f>+$C$527+$G$528</f>
        <v>23940</v>
      </c>
      <c r="D529" s="293"/>
      <c r="E529" s="1121">
        <v>-100</v>
      </c>
      <c r="F529" s="289">
        <v>-2000</v>
      </c>
      <c r="G529" s="292"/>
      <c r="H529" s="291"/>
      <c r="I529" s="291"/>
      <c r="J529" s="288"/>
      <c r="K529" s="1121"/>
      <c r="L529" s="1121" t="s">
        <v>231</v>
      </c>
      <c r="M529" s="1121" t="s">
        <v>2672</v>
      </c>
      <c r="N529" s="291" t="s">
        <v>144</v>
      </c>
      <c r="O529" s="291"/>
      <c r="P529" s="291"/>
      <c r="Q529" s="1121">
        <v>100</v>
      </c>
      <c r="R529" s="292">
        <v>-2002.35</v>
      </c>
      <c r="S529" s="292"/>
      <c r="T529" s="1121">
        <v>-30</v>
      </c>
      <c r="U529" s="1121"/>
      <c r="V529" s="1121"/>
      <c r="W529" s="1121">
        <v>1.4</v>
      </c>
      <c r="X529" s="1121"/>
      <c r="Y529" s="1121"/>
      <c r="Z529" s="1121"/>
      <c r="AA529" s="1121"/>
      <c r="AB529" s="1121"/>
      <c r="AC529" s="1121" t="s">
        <v>2963</v>
      </c>
      <c r="AD529" s="1121"/>
      <c r="AE529" s="1121"/>
      <c r="AF529" s="1121">
        <v>6000</v>
      </c>
      <c r="AG529" s="288">
        <v>23940.9</v>
      </c>
      <c r="AH529" s="1121">
        <v>2569</v>
      </c>
      <c r="AI529" s="289">
        <v>676</v>
      </c>
      <c r="AJ529" s="1121"/>
      <c r="AK529" s="1121"/>
      <c r="AL529" s="1121"/>
      <c r="AM529" s="1121" t="s">
        <v>1228</v>
      </c>
      <c r="AN529" s="315">
        <v>5.5</v>
      </c>
      <c r="AO529" s="315"/>
      <c r="AP529" s="315"/>
      <c r="AQ529" s="315"/>
      <c r="AR529" s="315"/>
      <c r="AS529" s="315"/>
      <c r="AT529" s="315">
        <f>+ab($T$529,$T$527,$T$531,$G$528,$G$530, 1*$F$529,1200)</f>
        <v>-6.820903141098448</v>
      </c>
      <c r="AU529" s="315"/>
      <c r="AV529" s="315"/>
      <c r="AW529" s="1121" t="s">
        <v>2630</v>
      </c>
      <c r="AX529" s="1121" t="s">
        <v>1639</v>
      </c>
      <c r="AY529" s="1121">
        <v>3.2</v>
      </c>
      <c r="AZ529" s="1121"/>
      <c r="BA529" s="1121"/>
      <c r="BB529" s="306"/>
      <c r="BF529" s="1119"/>
      <c r="BG529" s="1119"/>
      <c r="BH529" s="1119"/>
    </row>
    <row r="530" spans="1:60" ht="14.25">
      <c r="A530" s="340"/>
      <c r="B530" s="287"/>
      <c r="C530" s="288"/>
      <c r="D530" s="293"/>
      <c r="E530" s="1121"/>
      <c r="F530" s="289"/>
      <c r="G530" s="292">
        <v>56</v>
      </c>
      <c r="H530" s="291"/>
      <c r="I530" s="294"/>
      <c r="J530" s="288"/>
      <c r="K530" s="1121"/>
      <c r="L530" s="1121"/>
      <c r="M530" s="1121"/>
      <c r="N530" s="291"/>
      <c r="O530" s="291"/>
      <c r="P530" s="291"/>
      <c r="Q530" s="1121"/>
      <c r="R530" s="292"/>
      <c r="S530" s="292">
        <f t="shared" ref="S530" si="92">AG531-AG529</f>
        <v>56.009999999998399</v>
      </c>
      <c r="T530" s="1121"/>
      <c r="U530" s="1121"/>
      <c r="V530" s="1121"/>
      <c r="W530" s="1121"/>
      <c r="X530" s="1121"/>
      <c r="Y530" s="1121"/>
      <c r="Z530" s="1121"/>
      <c r="AA530" s="1121"/>
      <c r="AB530" s="1121"/>
      <c r="AC530" s="1121"/>
      <c r="AD530" s="1121"/>
      <c r="AE530" s="1121"/>
      <c r="AF530" s="1121"/>
      <c r="AG530" s="288" t="s">
        <v>695</v>
      </c>
      <c r="AH530" s="1121" t="s">
        <v>695</v>
      </c>
      <c r="AI530" s="289" t="s">
        <v>695</v>
      </c>
      <c r="AJ530" s="1121"/>
      <c r="AK530" s="1121"/>
      <c r="AL530" s="1121"/>
      <c r="AM530" s="1121"/>
      <c r="AN530" s="315"/>
      <c r="AO530" s="315"/>
      <c r="AP530" s="315"/>
      <c r="AQ530" s="315">
        <f>+FL_2($T$531,$T$529,$G$530,1200,9.28, 1*$F$531)</f>
        <v>-0.40713706172535702</v>
      </c>
      <c r="AR530" s="315"/>
      <c r="AS530" s="315"/>
      <c r="AT530" s="315"/>
      <c r="AU530" s="315"/>
      <c r="AV530" s="315"/>
      <c r="AW530" s="1121"/>
      <c r="AX530" s="1121"/>
      <c r="AY530" s="1121"/>
      <c r="AZ530" s="1121"/>
      <c r="BA530" s="1121"/>
      <c r="BB530" s="306"/>
      <c r="BF530" s="1119"/>
      <c r="BG530" s="1119"/>
      <c r="BH530" s="1119"/>
    </row>
    <row r="531" spans="1:60" ht="14.25">
      <c r="A531" s="340"/>
      <c r="B531" s="287" t="s">
        <v>2642</v>
      </c>
      <c r="C531" s="288">
        <f>+$C$529+$G$530</f>
        <v>23996</v>
      </c>
      <c r="D531" s="293"/>
      <c r="E531" s="1121">
        <v>-100</v>
      </c>
      <c r="F531" s="289">
        <v>-2000</v>
      </c>
      <c r="G531" s="292"/>
      <c r="H531" s="291"/>
      <c r="I531" s="291"/>
      <c r="J531" s="288"/>
      <c r="K531" s="1121"/>
      <c r="L531" s="1121" t="s">
        <v>231</v>
      </c>
      <c r="M531" s="1121" t="s">
        <v>2672</v>
      </c>
      <c r="N531" s="291" t="s">
        <v>144</v>
      </c>
      <c r="O531" s="291"/>
      <c r="P531" s="291"/>
      <c r="Q531" s="1121">
        <v>100</v>
      </c>
      <c r="R531" s="292">
        <v>-2002.35</v>
      </c>
      <c r="S531" s="292"/>
      <c r="T531" s="1121">
        <v>-30</v>
      </c>
      <c r="U531" s="1121"/>
      <c r="V531" s="1121"/>
      <c r="W531" s="1121">
        <v>1.4</v>
      </c>
      <c r="X531" s="1121"/>
      <c r="Y531" s="1121"/>
      <c r="Z531" s="1121"/>
      <c r="AA531" s="1121"/>
      <c r="AB531" s="1121"/>
      <c r="AC531" s="1121" t="s">
        <v>2963</v>
      </c>
      <c r="AD531" s="1121"/>
      <c r="AE531" s="1121"/>
      <c r="AF531" s="1121">
        <v>6000</v>
      </c>
      <c r="AG531" s="288">
        <v>23996.91</v>
      </c>
      <c r="AH531" s="1121">
        <v>2534</v>
      </c>
      <c r="AI531" s="289">
        <v>685</v>
      </c>
      <c r="AJ531" s="1121"/>
      <c r="AK531" s="1121"/>
      <c r="AL531" s="1121"/>
      <c r="AM531" s="1121" t="s">
        <v>1228</v>
      </c>
      <c r="AN531" s="315">
        <v>5.5</v>
      </c>
      <c r="AO531" s="315"/>
      <c r="AP531" s="315"/>
      <c r="AQ531" s="315"/>
      <c r="AR531" s="315"/>
      <c r="AS531" s="315"/>
      <c r="AT531" s="315">
        <f>+ab($T$531,$T$529,$T$533,$G$530,$G$532, 1*$F$531,1200)</f>
        <v>-6.820903141098448</v>
      </c>
      <c r="AU531" s="315"/>
      <c r="AV531" s="315"/>
      <c r="AW531" s="1121" t="s">
        <v>2630</v>
      </c>
      <c r="AX531" s="1121" t="s">
        <v>1639</v>
      </c>
      <c r="AY531" s="1121">
        <v>3.2</v>
      </c>
      <c r="AZ531" s="1121"/>
      <c r="BA531" s="1121"/>
      <c r="BB531" s="306"/>
      <c r="BF531" s="1119"/>
      <c r="BG531" s="1119"/>
      <c r="BH531" s="1119"/>
    </row>
    <row r="532" spans="1:60" ht="14.25">
      <c r="A532" s="340"/>
      <c r="B532" s="287"/>
      <c r="C532" s="288"/>
      <c r="D532" s="293"/>
      <c r="E532" s="1121"/>
      <c r="F532" s="289"/>
      <c r="G532" s="292">
        <v>56</v>
      </c>
      <c r="H532" s="291"/>
      <c r="I532" s="294"/>
      <c r="J532" s="288">
        <f>C533-7.5</f>
        <v>24044.5</v>
      </c>
      <c r="K532" s="1121" t="s">
        <v>658</v>
      </c>
      <c r="L532" s="1121"/>
      <c r="M532" s="1121"/>
      <c r="N532" s="291"/>
      <c r="O532" s="291"/>
      <c r="P532" s="291"/>
      <c r="Q532" s="1121"/>
      <c r="R532" s="292"/>
      <c r="S532" s="292">
        <f t="shared" ref="S532" si="93">AG533-AG531</f>
        <v>56.110000000000582</v>
      </c>
      <c r="T532" s="1121"/>
      <c r="U532" s="1121"/>
      <c r="V532" s="1121"/>
      <c r="W532" s="1121"/>
      <c r="X532" s="1121"/>
      <c r="Y532" s="1121"/>
      <c r="Z532" s="1121"/>
      <c r="AA532" s="1121"/>
      <c r="AB532" s="1121"/>
      <c r="AC532" s="1121"/>
      <c r="AD532" s="1121"/>
      <c r="AE532" s="1121"/>
      <c r="AF532" s="1121"/>
      <c r="AG532" s="288" t="s">
        <v>695</v>
      </c>
      <c r="AH532" s="1121" t="s">
        <v>695</v>
      </c>
      <c r="AI532" s="289" t="s">
        <v>695</v>
      </c>
      <c r="AJ532" s="1121"/>
      <c r="AK532" s="1121"/>
      <c r="AL532" s="1121"/>
      <c r="AM532" s="1121"/>
      <c r="AN532" s="315"/>
      <c r="AO532" s="315"/>
      <c r="AP532" s="315"/>
      <c r="AQ532" s="315">
        <f>+FL_2($T$533,$T$531,$G$532,1200,9.28, 1*$F$533)</f>
        <v>-0.40713706172535702</v>
      </c>
      <c r="AR532" s="315"/>
      <c r="AS532" s="315"/>
      <c r="AT532" s="315"/>
      <c r="AU532" s="315"/>
      <c r="AV532" s="315"/>
      <c r="AW532" s="1121" t="s">
        <v>2630</v>
      </c>
      <c r="AX532" s="1121" t="s">
        <v>1639</v>
      </c>
      <c r="AY532" s="1121"/>
      <c r="AZ532" s="1121">
        <v>2</v>
      </c>
      <c r="BA532" s="1121"/>
      <c r="BB532" s="306"/>
      <c r="BF532" s="1119"/>
      <c r="BG532" s="1119"/>
      <c r="BH532" s="1119"/>
    </row>
    <row r="533" spans="1:60" ht="14.25">
      <c r="A533" s="340"/>
      <c r="B533" s="287" t="s">
        <v>1870</v>
      </c>
      <c r="C533" s="288">
        <f>+$C$531+$G$532</f>
        <v>24052</v>
      </c>
      <c r="D533" s="293"/>
      <c r="E533" s="1121">
        <v>-100</v>
      </c>
      <c r="F533" s="289">
        <v>-2000</v>
      </c>
      <c r="G533" s="292"/>
      <c r="H533" s="1121" t="s">
        <v>954</v>
      </c>
      <c r="I533" s="291"/>
      <c r="J533" s="288"/>
      <c r="K533" s="1121"/>
      <c r="L533" s="1121" t="s">
        <v>231</v>
      </c>
      <c r="M533" s="1121" t="s">
        <v>2672</v>
      </c>
      <c r="N533" s="291" t="s">
        <v>144</v>
      </c>
      <c r="O533" s="291"/>
      <c r="P533" s="291"/>
      <c r="Q533" s="1121">
        <v>100</v>
      </c>
      <c r="R533" s="292">
        <v>-2002.35</v>
      </c>
      <c r="S533" s="292"/>
      <c r="T533" s="1121">
        <v>-30</v>
      </c>
      <c r="U533" s="1121"/>
      <c r="V533" s="1121"/>
      <c r="W533" s="1121">
        <v>1.4</v>
      </c>
      <c r="X533" s="1121"/>
      <c r="Y533" s="1121"/>
      <c r="Z533" s="1121"/>
      <c r="AA533" s="1121"/>
      <c r="AB533" s="1121"/>
      <c r="AC533" s="1121" t="s">
        <v>2963</v>
      </c>
      <c r="AD533" s="1121"/>
      <c r="AE533" s="1121"/>
      <c r="AF533" s="1121">
        <v>6000</v>
      </c>
      <c r="AG533" s="288">
        <v>24053.02</v>
      </c>
      <c r="AH533" s="1121">
        <v>2607</v>
      </c>
      <c r="AI533" s="289">
        <v>655</v>
      </c>
      <c r="AJ533" s="1121"/>
      <c r="AK533" s="1121"/>
      <c r="AL533" s="1121"/>
      <c r="AM533" s="1121" t="s">
        <v>1228</v>
      </c>
      <c r="AN533" s="315">
        <v>5.5</v>
      </c>
      <c r="AO533" s="315"/>
      <c r="AP533" s="315"/>
      <c r="AQ533" s="315"/>
      <c r="AR533" s="315"/>
      <c r="AS533" s="315"/>
      <c r="AT533" s="315">
        <f>+ab($T$533,$T$531,$T$535,$G$532,$G$534, 1*$F$533,1200)</f>
        <v>-6.820903141098448</v>
      </c>
      <c r="AU533" s="315"/>
      <c r="AV533" s="315"/>
      <c r="AW533" s="1121" t="s">
        <v>2630</v>
      </c>
      <c r="AX533" s="1121" t="s">
        <v>1639</v>
      </c>
      <c r="AY533" s="1121">
        <v>3.2</v>
      </c>
      <c r="AZ533" s="1121"/>
      <c r="BA533" s="1121"/>
      <c r="BB533" s="306"/>
      <c r="BF533" s="1119"/>
      <c r="BG533" s="1119"/>
      <c r="BH533" s="1119"/>
    </row>
    <row r="534" spans="1:60" ht="14.25">
      <c r="A534" s="340"/>
      <c r="B534" s="287"/>
      <c r="C534" s="288"/>
      <c r="D534" s="293"/>
      <c r="E534" s="1121"/>
      <c r="F534" s="289"/>
      <c r="G534" s="292">
        <v>56</v>
      </c>
      <c r="H534" s="291"/>
      <c r="I534" s="294">
        <f>SUM(G520:G534)</f>
        <v>448</v>
      </c>
      <c r="J534" s="288"/>
      <c r="K534" s="1121"/>
      <c r="L534" s="1121"/>
      <c r="M534" s="1121"/>
      <c r="N534" s="291"/>
      <c r="O534" s="291"/>
      <c r="P534" s="291"/>
      <c r="Q534" s="1121"/>
      <c r="R534" s="292"/>
      <c r="S534" s="292">
        <f t="shared" ref="S534" si="94">AG535-AG533</f>
        <v>56.180000000000291</v>
      </c>
      <c r="T534" s="1121"/>
      <c r="U534" s="1121"/>
      <c r="V534" s="1121"/>
      <c r="W534" s="1121"/>
      <c r="X534" s="1121"/>
      <c r="Y534" s="1121"/>
      <c r="Z534" s="1121"/>
      <c r="AA534" s="1121"/>
      <c r="AB534" s="1121"/>
      <c r="AC534" s="1121"/>
      <c r="AD534" s="1121"/>
      <c r="AE534" s="1121"/>
      <c r="AF534" s="1121"/>
      <c r="AG534" s="288" t="s">
        <v>695</v>
      </c>
      <c r="AH534" s="1121" t="s">
        <v>695</v>
      </c>
      <c r="AI534" s="289" t="s">
        <v>695</v>
      </c>
      <c r="AJ534" s="1121"/>
      <c r="AK534" s="1121"/>
      <c r="AL534" s="1121"/>
      <c r="AM534" s="1121"/>
      <c r="AN534" s="315"/>
      <c r="AO534" s="315"/>
      <c r="AP534" s="315"/>
      <c r="AQ534" s="315">
        <f>+FL_2($T$535,$T$533,$G$534,1200,9.28, 1*$F$535)</f>
        <v>-0.40713706172535702</v>
      </c>
      <c r="AR534" s="315"/>
      <c r="AS534" s="315"/>
      <c r="AT534" s="315"/>
      <c r="AU534" s="315"/>
      <c r="AV534" s="315"/>
      <c r="AW534" s="1121"/>
      <c r="AX534" s="1121"/>
      <c r="AY534" s="1121"/>
      <c r="AZ534" s="1121"/>
      <c r="BA534" s="1121"/>
      <c r="BB534" s="306"/>
      <c r="BF534" s="1119"/>
      <c r="BG534" s="1119"/>
      <c r="BH534" s="1119"/>
    </row>
    <row r="535" spans="1:60" ht="14.25">
      <c r="A535" s="340"/>
      <c r="B535" s="287" t="s">
        <v>1871</v>
      </c>
      <c r="C535" s="288">
        <f>+$C$533+$G$534</f>
        <v>24108</v>
      </c>
      <c r="D535" s="293"/>
      <c r="E535" s="1121">
        <v>-100</v>
      </c>
      <c r="F535" s="289">
        <v>-2000</v>
      </c>
      <c r="G535" s="292"/>
      <c r="H535" s="291" t="s">
        <v>955</v>
      </c>
      <c r="I535" s="291"/>
      <c r="J535" s="383"/>
      <c r="K535" s="1121"/>
      <c r="L535" s="1121" t="s">
        <v>231</v>
      </c>
      <c r="M535" s="1121" t="s">
        <v>2672</v>
      </c>
      <c r="N535" s="291" t="s">
        <v>144</v>
      </c>
      <c r="O535" s="291"/>
      <c r="P535" s="291"/>
      <c r="Q535" s="1121">
        <v>100</v>
      </c>
      <c r="R535" s="292">
        <v>-2002.35</v>
      </c>
      <c r="S535" s="292"/>
      <c r="T535" s="1121">
        <v>-30</v>
      </c>
      <c r="U535" s="1121"/>
      <c r="V535" s="1121"/>
      <c r="W535" s="1121">
        <v>1.4</v>
      </c>
      <c r="X535" s="1121"/>
      <c r="Y535" s="1121"/>
      <c r="Z535" s="1121"/>
      <c r="AA535" s="1121"/>
      <c r="AB535" s="1121"/>
      <c r="AC535" s="1121" t="s">
        <v>2963</v>
      </c>
      <c r="AD535" s="1121"/>
      <c r="AE535" s="1121"/>
      <c r="AF535" s="1121">
        <v>6000</v>
      </c>
      <c r="AG535" s="288">
        <v>24109.200000000001</v>
      </c>
      <c r="AH535" s="1121">
        <v>2562</v>
      </c>
      <c r="AI535" s="289">
        <v>621</v>
      </c>
      <c r="AJ535" s="1121"/>
      <c r="AK535" s="1121"/>
      <c r="AL535" s="1121"/>
      <c r="AM535" s="1121" t="s">
        <v>1228</v>
      </c>
      <c r="AN535" s="315">
        <v>5.5</v>
      </c>
      <c r="AO535" s="315"/>
      <c r="AP535" s="315"/>
      <c r="AQ535" s="315"/>
      <c r="AR535" s="315"/>
      <c r="AS535" s="315"/>
      <c r="AT535" s="315">
        <f>+ab($T$535,$T$533,$T$537,$G$534,$G$536, 1*$F$535,1200)</f>
        <v>-6.820903141098448</v>
      </c>
      <c r="AU535" s="315"/>
      <c r="AV535" s="315"/>
      <c r="AW535" s="1121" t="s">
        <v>2630</v>
      </c>
      <c r="AX535" s="1121" t="s">
        <v>1639</v>
      </c>
      <c r="AY535" s="1121">
        <v>2.6</v>
      </c>
      <c r="AZ535" s="1121"/>
      <c r="BA535" s="1121"/>
      <c r="BB535" s="306"/>
      <c r="BF535" s="1119"/>
      <c r="BG535" s="1119"/>
      <c r="BH535" s="1119"/>
    </row>
    <row r="536" spans="1:60" ht="14.25">
      <c r="A536" s="340"/>
      <c r="B536" s="287"/>
      <c r="C536" s="288"/>
      <c r="D536" s="293"/>
      <c r="E536" s="1121"/>
      <c r="F536" s="289"/>
      <c r="G536" s="292">
        <v>56</v>
      </c>
      <c r="H536" s="291"/>
      <c r="I536" s="291">
        <f>SUM(G536:G548)</f>
        <v>400</v>
      </c>
      <c r="J536" s="383"/>
      <c r="K536" s="1121"/>
      <c r="L536" s="1121"/>
      <c r="M536" s="1121"/>
      <c r="N536" s="291"/>
      <c r="O536" s="291"/>
      <c r="P536" s="291"/>
      <c r="Q536" s="1121"/>
      <c r="R536" s="292"/>
      <c r="S536" s="292">
        <f t="shared" ref="S536" si="95">AG537-AG535</f>
        <v>55.959999999999127</v>
      </c>
      <c r="T536" s="1121"/>
      <c r="U536" s="1121"/>
      <c r="V536" s="1121"/>
      <c r="W536" s="1121"/>
      <c r="X536" s="1121"/>
      <c r="Y536" s="1121"/>
      <c r="Z536" s="1121"/>
      <c r="AA536" s="1121"/>
      <c r="AB536" s="1121"/>
      <c r="AC536" s="1121"/>
      <c r="AD536" s="1121"/>
      <c r="AE536" s="1121"/>
      <c r="AF536" s="1121"/>
      <c r="AG536" s="288" t="s">
        <v>695</v>
      </c>
      <c r="AH536" s="1121" t="s">
        <v>695</v>
      </c>
      <c r="AI536" s="289" t="s">
        <v>695</v>
      </c>
      <c r="AJ536" s="1121"/>
      <c r="AK536" s="1121"/>
      <c r="AL536" s="1121"/>
      <c r="AM536" s="1121"/>
      <c r="AN536" s="315"/>
      <c r="AO536" s="315"/>
      <c r="AP536" s="315"/>
      <c r="AQ536" s="315">
        <f>+FL_2($T$537,$T$535,$G$536,1200,9.28, 1*$F$537)</f>
        <v>-0.40713706172535702</v>
      </c>
      <c r="AR536" s="315"/>
      <c r="AS536" s="315"/>
      <c r="AT536" s="315"/>
      <c r="AU536" s="315"/>
      <c r="AV536" s="315"/>
      <c r="AW536" s="1121"/>
      <c r="AX536" s="1121"/>
      <c r="AY536" s="1121"/>
      <c r="AZ536" s="1121"/>
      <c r="BA536" s="1121"/>
      <c r="BB536" s="306"/>
      <c r="BF536" s="1119"/>
      <c r="BG536" s="1119"/>
      <c r="BH536" s="1119"/>
    </row>
    <row r="537" spans="1:60" ht="14.25">
      <c r="A537" s="340"/>
      <c r="B537" s="287" t="s">
        <v>1872</v>
      </c>
      <c r="C537" s="288">
        <f>+$C$535+$G$536</f>
        <v>24164</v>
      </c>
      <c r="D537" s="293"/>
      <c r="E537" s="1121">
        <v>-100</v>
      </c>
      <c r="F537" s="289">
        <v>-2000</v>
      </c>
      <c r="G537" s="292"/>
      <c r="H537" s="291" t="s">
        <v>954</v>
      </c>
      <c r="I537" s="291"/>
      <c r="J537" s="383"/>
      <c r="K537" s="1121"/>
      <c r="L537" s="1121" t="s">
        <v>231</v>
      </c>
      <c r="M537" s="1121" t="s">
        <v>2672</v>
      </c>
      <c r="N537" s="291" t="s">
        <v>144</v>
      </c>
      <c r="O537" s="291"/>
      <c r="P537" s="291"/>
      <c r="Q537" s="1121">
        <v>100</v>
      </c>
      <c r="R537" s="292">
        <v>-2002.35</v>
      </c>
      <c r="S537" s="292"/>
      <c r="T537" s="1121">
        <v>-30</v>
      </c>
      <c r="U537" s="1121"/>
      <c r="V537" s="1121"/>
      <c r="W537" s="1121">
        <v>1.4</v>
      </c>
      <c r="X537" s="1121"/>
      <c r="Y537" s="1121"/>
      <c r="Z537" s="1121"/>
      <c r="AA537" s="1121"/>
      <c r="AB537" s="1121"/>
      <c r="AC537" s="1121" t="s">
        <v>2963</v>
      </c>
      <c r="AD537" s="1121"/>
      <c r="AE537" s="1121"/>
      <c r="AF537" s="1121">
        <v>6000</v>
      </c>
      <c r="AG537" s="288">
        <v>24165.16</v>
      </c>
      <c r="AH537" s="1121">
        <v>2534</v>
      </c>
      <c r="AI537" s="289">
        <v>663</v>
      </c>
      <c r="AJ537" s="1121"/>
      <c r="AK537" s="1121"/>
      <c r="AL537" s="1121"/>
      <c r="AM537" s="1121" t="s">
        <v>1228</v>
      </c>
      <c r="AN537" s="315">
        <v>5.5</v>
      </c>
      <c r="AO537" s="315"/>
      <c r="AP537" s="315"/>
      <c r="AQ537" s="315"/>
      <c r="AR537" s="315"/>
      <c r="AS537" s="315"/>
      <c r="AT537" s="315">
        <f>+ab($T$537,$T$535,$T$539,$G$536,$G$538, 1*$F$537,1200)</f>
        <v>-6.820903141098448</v>
      </c>
      <c r="AU537" s="315"/>
      <c r="AV537" s="315"/>
      <c r="AW537" s="1121" t="s">
        <v>2630</v>
      </c>
      <c r="AX537" s="1121" t="s">
        <v>1639</v>
      </c>
      <c r="AY537" s="1121">
        <v>3.2</v>
      </c>
      <c r="AZ537" s="1121"/>
      <c r="BA537" s="1121"/>
      <c r="BB537" s="306"/>
      <c r="BF537" s="1119"/>
      <c r="BG537" s="1119"/>
      <c r="BH537" s="1119"/>
    </row>
    <row r="538" spans="1:60" ht="14.25">
      <c r="A538" s="340"/>
      <c r="B538" s="287"/>
      <c r="C538" s="288"/>
      <c r="D538" s="293"/>
      <c r="E538" s="1121"/>
      <c r="F538" s="289"/>
      <c r="G538" s="292">
        <v>56</v>
      </c>
      <c r="H538" s="291"/>
      <c r="I538" s="294"/>
      <c r="J538" s="288">
        <f>C537+7.5</f>
        <v>24171.5</v>
      </c>
      <c r="K538" s="1121" t="s">
        <v>658</v>
      </c>
      <c r="L538" s="1121"/>
      <c r="M538" s="1121"/>
      <c r="N538" s="291"/>
      <c r="O538" s="291"/>
      <c r="P538" s="291"/>
      <c r="Q538" s="1121"/>
      <c r="R538" s="292"/>
      <c r="S538" s="292">
        <f t="shared" ref="S538" si="96">AG539-AG537</f>
        <v>56.080000000001746</v>
      </c>
      <c r="T538" s="1121"/>
      <c r="U538" s="1121"/>
      <c r="V538" s="1121"/>
      <c r="W538" s="1121"/>
      <c r="X538" s="1121"/>
      <c r="Y538" s="1121"/>
      <c r="Z538" s="1121"/>
      <c r="AA538" s="1121"/>
      <c r="AB538" s="1121"/>
      <c r="AC538" s="1121"/>
      <c r="AD538" s="1121"/>
      <c r="AE538" s="1121"/>
      <c r="AF538" s="1121"/>
      <c r="AG538" s="288" t="s">
        <v>695</v>
      </c>
      <c r="AH538" s="1121" t="s">
        <v>695</v>
      </c>
      <c r="AI538" s="289" t="s">
        <v>695</v>
      </c>
      <c r="AJ538" s="1121"/>
      <c r="AK538" s="1121"/>
      <c r="AL538" s="1121"/>
      <c r="AM538" s="1121"/>
      <c r="AN538" s="315"/>
      <c r="AO538" s="315"/>
      <c r="AP538" s="315"/>
      <c r="AQ538" s="315">
        <f>+FL_2($T$539,$T$537,$G$538,1200,9.28, 1*$F$539)</f>
        <v>-0.40713706172535702</v>
      </c>
      <c r="AR538" s="315"/>
      <c r="AS538" s="315"/>
      <c r="AT538" s="315"/>
      <c r="AU538" s="315"/>
      <c r="AV538" s="315"/>
      <c r="AW538" s="1121" t="s">
        <v>2630</v>
      </c>
      <c r="AX538" s="1121" t="s">
        <v>1639</v>
      </c>
      <c r="AY538" s="1121"/>
      <c r="AZ538" s="1121">
        <v>2.1</v>
      </c>
      <c r="BA538" s="1121"/>
      <c r="BB538" s="306"/>
      <c r="BF538" s="1119"/>
      <c r="BG538" s="1119"/>
      <c r="BH538" s="1119"/>
    </row>
    <row r="539" spans="1:60" ht="14.25">
      <c r="A539" s="340"/>
      <c r="B539" s="287" t="s">
        <v>1873</v>
      </c>
      <c r="C539" s="288">
        <f>+$C$537+$G$538</f>
        <v>24220</v>
      </c>
      <c r="D539" s="293"/>
      <c r="E539" s="1121">
        <v>-100</v>
      </c>
      <c r="F539" s="289">
        <v>-2000</v>
      </c>
      <c r="G539" s="292"/>
      <c r="H539" s="1121"/>
      <c r="I539" s="294"/>
      <c r="J539" s="288"/>
      <c r="K539" s="1121"/>
      <c r="L539" s="1121" t="s">
        <v>231</v>
      </c>
      <c r="M539" s="1121" t="s">
        <v>2672</v>
      </c>
      <c r="N539" s="291" t="s">
        <v>144</v>
      </c>
      <c r="O539" s="291"/>
      <c r="P539" s="291"/>
      <c r="Q539" s="1121">
        <v>100</v>
      </c>
      <c r="R539" s="292">
        <v>-2002.35</v>
      </c>
      <c r="S539" s="292"/>
      <c r="T539" s="1121">
        <v>-30</v>
      </c>
      <c r="U539" s="1121"/>
      <c r="V539" s="1121"/>
      <c r="W539" s="1121">
        <v>1.4</v>
      </c>
      <c r="X539" s="1121"/>
      <c r="Y539" s="1121"/>
      <c r="Z539" s="1121"/>
      <c r="AA539" s="1121"/>
      <c r="AB539" s="1121"/>
      <c r="AC539" s="1121" t="s">
        <v>2963</v>
      </c>
      <c r="AD539" s="1121"/>
      <c r="AE539" s="1121"/>
      <c r="AF539" s="1121">
        <v>6000</v>
      </c>
      <c r="AG539" s="288">
        <v>24221.24</v>
      </c>
      <c r="AH539" s="1121">
        <v>2564</v>
      </c>
      <c r="AI539" s="289">
        <v>646</v>
      </c>
      <c r="AJ539" s="1121"/>
      <c r="AK539" s="1121"/>
      <c r="AL539" s="1121"/>
      <c r="AM539" s="1121" t="s">
        <v>1228</v>
      </c>
      <c r="AN539" s="315">
        <v>5.5</v>
      </c>
      <c r="AO539" s="315"/>
      <c r="AP539" s="315"/>
      <c r="AQ539" s="315"/>
      <c r="AR539" s="315"/>
      <c r="AS539" s="315"/>
      <c r="AT539" s="315">
        <f>+ab($T$539,$T$537,$T$541,$G$538,$G$540, 1*$F$539,1200)</f>
        <v>-6.820903141098448</v>
      </c>
      <c r="AU539" s="315"/>
      <c r="AV539" s="315"/>
      <c r="AW539" s="1121" t="s">
        <v>2630</v>
      </c>
      <c r="AX539" s="1121" t="s">
        <v>1639</v>
      </c>
      <c r="AY539" s="1121">
        <v>3.2</v>
      </c>
      <c r="AZ539" s="1121"/>
      <c r="BA539" s="1121"/>
      <c r="BB539" s="306"/>
      <c r="BF539" s="1119"/>
      <c r="BG539" s="1119"/>
      <c r="BH539" s="1119"/>
    </row>
    <row r="540" spans="1:60" ht="14.25">
      <c r="A540" s="340"/>
      <c r="B540" s="287"/>
      <c r="C540" s="288"/>
      <c r="D540" s="293"/>
      <c r="E540" s="1121"/>
      <c r="F540" s="289"/>
      <c r="G540" s="292">
        <v>56</v>
      </c>
      <c r="H540" s="291"/>
      <c r="I540" s="294"/>
      <c r="J540" s="288"/>
      <c r="K540" s="1121"/>
      <c r="L540" s="1121"/>
      <c r="M540" s="1121"/>
      <c r="N540" s="291"/>
      <c r="O540" s="291"/>
      <c r="P540" s="291"/>
      <c r="Q540" s="1121"/>
      <c r="R540" s="292"/>
      <c r="S540" s="292">
        <f t="shared" ref="S540" si="97">AG541-AG539</f>
        <v>56.019999999996799</v>
      </c>
      <c r="T540" s="1121"/>
      <c r="U540" s="1121"/>
      <c r="V540" s="1121"/>
      <c r="W540" s="1121"/>
      <c r="X540" s="1121"/>
      <c r="Y540" s="1121"/>
      <c r="Z540" s="1121"/>
      <c r="AA540" s="1121"/>
      <c r="AB540" s="1121"/>
      <c r="AC540" s="1121"/>
      <c r="AD540" s="1121"/>
      <c r="AE540" s="1121"/>
      <c r="AF540" s="1121"/>
      <c r="AG540" s="288" t="s">
        <v>695</v>
      </c>
      <c r="AH540" s="1121" t="s">
        <v>695</v>
      </c>
      <c r="AI540" s="289" t="s">
        <v>695</v>
      </c>
      <c r="AJ540" s="1121"/>
      <c r="AK540" s="1121"/>
      <c r="AL540" s="1121"/>
      <c r="AM540" s="1121"/>
      <c r="AN540" s="315"/>
      <c r="AO540" s="315"/>
      <c r="AP540" s="315"/>
      <c r="AQ540" s="315">
        <f>+FL_2($T$541,$T$539,$G$540,1200,9.28, 1*$F$541)</f>
        <v>-0.41745428943143914</v>
      </c>
      <c r="AR540" s="315"/>
      <c r="AS540" s="315"/>
      <c r="AT540" s="315"/>
      <c r="AU540" s="315"/>
      <c r="AV540" s="315"/>
      <c r="AW540" s="1121"/>
      <c r="AX540" s="1121"/>
      <c r="AY540" s="1121"/>
      <c r="AZ540" s="1121"/>
      <c r="BA540" s="1121"/>
      <c r="BB540" s="306"/>
      <c r="BF540" s="1119"/>
      <c r="BG540" s="1119"/>
      <c r="BH540" s="1119"/>
    </row>
    <row r="541" spans="1:60" ht="14.25">
      <c r="A541" s="340"/>
      <c r="B541" s="287" t="s">
        <v>1874</v>
      </c>
      <c r="C541" s="288">
        <f>+$C$539+$G$540</f>
        <v>24276</v>
      </c>
      <c r="D541" s="293"/>
      <c r="E541" s="1121"/>
      <c r="F541" s="289">
        <f>-380000/(24456-C541)</f>
        <v>-2111.1111111111113</v>
      </c>
      <c r="G541" s="292"/>
      <c r="H541" s="291"/>
      <c r="I541" s="294"/>
      <c r="J541" s="288"/>
      <c r="K541" s="1121"/>
      <c r="L541" s="1121" t="s">
        <v>231</v>
      </c>
      <c r="M541" s="1121" t="s">
        <v>2672</v>
      </c>
      <c r="N541" s="291" t="s">
        <v>144</v>
      </c>
      <c r="O541" s="291"/>
      <c r="P541" s="1121"/>
      <c r="Q541" s="1121">
        <v>91</v>
      </c>
      <c r="R541" s="292">
        <v>-2112.0100000000002</v>
      </c>
      <c r="S541" s="292"/>
      <c r="T541" s="1121">
        <v>-30</v>
      </c>
      <c r="U541" s="1121"/>
      <c r="V541" s="1121"/>
      <c r="W541" s="1121">
        <v>1.4</v>
      </c>
      <c r="X541" s="1121"/>
      <c r="Y541" s="1121"/>
      <c r="Z541" s="1121"/>
      <c r="AA541" s="1121"/>
      <c r="AB541" s="1121"/>
      <c r="AC541" s="1121" t="s">
        <v>2963</v>
      </c>
      <c r="AD541" s="1121"/>
      <c r="AE541" s="1121"/>
      <c r="AF541" s="1121">
        <v>6000</v>
      </c>
      <c r="AG541" s="288">
        <v>24277.26</v>
      </c>
      <c r="AH541" s="1121">
        <v>2574</v>
      </c>
      <c r="AI541" s="289">
        <v>614</v>
      </c>
      <c r="AJ541" s="1121"/>
      <c r="AK541" s="1121"/>
      <c r="AL541" s="1121"/>
      <c r="AM541" s="1121" t="s">
        <v>1228</v>
      </c>
      <c r="AN541" s="315">
        <v>5.5</v>
      </c>
      <c r="AO541" s="315"/>
      <c r="AP541" s="315"/>
      <c r="AQ541" s="315"/>
      <c r="AR541" s="315"/>
      <c r="AS541" s="315"/>
      <c r="AT541" s="315">
        <f>+ab($T$541,$T$539,$T$543,$G$540,$G$542, 1*$F$541,1200)</f>
        <v>-6.7950230475527942</v>
      </c>
      <c r="AU541" s="315"/>
      <c r="AV541" s="315"/>
      <c r="AW541" s="1121" t="s">
        <v>2630</v>
      </c>
      <c r="AX541" s="1121" t="s">
        <v>1639</v>
      </c>
      <c r="AY541" s="1121">
        <v>3.2</v>
      </c>
      <c r="AZ541" s="1121"/>
      <c r="BA541" s="1121"/>
      <c r="BB541" s="306"/>
      <c r="BF541" s="1119"/>
      <c r="BG541" s="1119"/>
      <c r="BH541" s="1119"/>
    </row>
    <row r="542" spans="1:60" ht="14.25">
      <c r="A542" s="340"/>
      <c r="B542" s="287"/>
      <c r="C542" s="288"/>
      <c r="D542" s="293"/>
      <c r="E542" s="1121"/>
      <c r="F542" s="289"/>
      <c r="G542" s="292">
        <v>55</v>
      </c>
      <c r="H542" s="291"/>
      <c r="I542" s="294"/>
      <c r="J542" s="288">
        <f>C543-7.5</f>
        <v>24323.5</v>
      </c>
      <c r="K542" s="1121" t="s">
        <v>653</v>
      </c>
      <c r="L542" s="1121"/>
      <c r="M542" s="1121"/>
      <c r="N542" s="291"/>
      <c r="O542" s="291"/>
      <c r="P542" s="1121"/>
      <c r="Q542" s="1121"/>
      <c r="R542" s="292"/>
      <c r="S542" s="292">
        <f t="shared" ref="S542" si="98">AG543-AG541</f>
        <v>55.110000000000582</v>
      </c>
      <c r="T542" s="1121"/>
      <c r="U542" s="1121"/>
      <c r="V542" s="1121"/>
      <c r="W542" s="1121"/>
      <c r="X542" s="1121"/>
      <c r="Y542" s="1121"/>
      <c r="Z542" s="1121"/>
      <c r="AA542" s="1121"/>
      <c r="AB542" s="1121"/>
      <c r="AC542" s="1121"/>
      <c r="AD542" s="1121"/>
      <c r="AE542" s="1121"/>
      <c r="AF542" s="1121"/>
      <c r="AG542" s="288" t="s">
        <v>695</v>
      </c>
      <c r="AH542" s="1121" t="s">
        <v>695</v>
      </c>
      <c r="AI542" s="289" t="s">
        <v>695</v>
      </c>
      <c r="AJ542" s="1121"/>
      <c r="AK542" s="1121"/>
      <c r="AL542" s="1121"/>
      <c r="AM542" s="1121"/>
      <c r="AN542" s="315"/>
      <c r="AO542" s="315"/>
      <c r="AP542" s="315"/>
      <c r="AQ542" s="315">
        <f>+FL_2($T$543,$T$541,$G$542,1200,9.28, 1*$F$543)</f>
        <v>-0.42175050681569948</v>
      </c>
      <c r="AR542" s="315"/>
      <c r="AS542" s="315"/>
      <c r="AT542" s="315"/>
      <c r="AU542" s="315"/>
      <c r="AV542" s="315"/>
      <c r="AW542" s="1121" t="s">
        <v>2630</v>
      </c>
      <c r="AX542" s="1121" t="s">
        <v>1639</v>
      </c>
      <c r="AY542" s="1121"/>
      <c r="AZ542" s="1121">
        <v>2.2999999999999998</v>
      </c>
      <c r="BA542" s="1121"/>
      <c r="BB542" s="306"/>
      <c r="BF542" s="1119"/>
      <c r="BG542" s="1119"/>
      <c r="BH542" s="1119"/>
    </row>
    <row r="543" spans="1:60" ht="14.25">
      <c r="A543" s="340"/>
      <c r="B543" s="287" t="s">
        <v>1875</v>
      </c>
      <c r="C543" s="288">
        <f>+$C$541+$G$542</f>
        <v>24331</v>
      </c>
      <c r="D543" s="293"/>
      <c r="E543" s="1121"/>
      <c r="F543" s="289">
        <f>-380000/(24456-C543)</f>
        <v>-3040</v>
      </c>
      <c r="G543" s="292"/>
      <c r="H543" s="291" t="s">
        <v>138</v>
      </c>
      <c r="I543" s="294" t="s">
        <v>656</v>
      </c>
      <c r="J543" s="288"/>
      <c r="K543" s="1121"/>
      <c r="L543" s="1121" t="s">
        <v>1061</v>
      </c>
      <c r="M543" s="1121" t="s">
        <v>2672</v>
      </c>
      <c r="N543" s="291" t="s">
        <v>144</v>
      </c>
      <c r="O543" s="291"/>
      <c r="P543" s="1121"/>
      <c r="Q543" s="1121">
        <v>63</v>
      </c>
      <c r="R543" s="292">
        <v>-3042.1</v>
      </c>
      <c r="S543" s="292"/>
      <c r="T543" s="1121">
        <v>-20</v>
      </c>
      <c r="U543" s="1121"/>
      <c r="V543" s="1121"/>
      <c r="W543" s="1121">
        <v>1.4</v>
      </c>
      <c r="X543" s="1121"/>
      <c r="Y543" s="1121"/>
      <c r="Z543" s="1121"/>
      <c r="AA543" s="1121"/>
      <c r="AB543" s="1121"/>
      <c r="AC543" s="1121" t="s">
        <v>2963</v>
      </c>
      <c r="AD543" s="1121"/>
      <c r="AE543" s="1121"/>
      <c r="AF543" s="1121">
        <v>6000</v>
      </c>
      <c r="AG543" s="288">
        <v>24332.37</v>
      </c>
      <c r="AH543" s="1121">
        <v>2502</v>
      </c>
      <c r="AI543" s="289">
        <v>647</v>
      </c>
      <c r="AJ543" s="1121"/>
      <c r="AK543" s="1121"/>
      <c r="AL543" s="1121"/>
      <c r="AM543" s="1121" t="s">
        <v>1228</v>
      </c>
      <c r="AN543" s="315">
        <v>5.5</v>
      </c>
      <c r="AO543" s="315"/>
      <c r="AP543" s="315"/>
      <c r="AQ543" s="315"/>
      <c r="AR543" s="315"/>
      <c r="AS543" s="315"/>
      <c r="AT543" s="315">
        <f>+ab($T$543,$T$541,$T$545,$G$542,$G$544, 1*$F$543,1200)</f>
        <v>-6.8379273687995807</v>
      </c>
      <c r="AU543" s="315"/>
      <c r="AV543" s="315"/>
      <c r="AW543" s="1121" t="s">
        <v>2630</v>
      </c>
      <c r="AX543" s="1121" t="s">
        <v>1639</v>
      </c>
      <c r="AY543" s="1121">
        <v>3.2</v>
      </c>
      <c r="AZ543" s="1121"/>
      <c r="BA543" s="1121"/>
      <c r="BB543" s="306"/>
      <c r="BF543" s="1119"/>
      <c r="BG543" s="1119"/>
      <c r="BH543" s="1119"/>
    </row>
    <row r="544" spans="1:60" ht="14.25">
      <c r="A544" s="340"/>
      <c r="B544" s="287"/>
      <c r="C544" s="288"/>
      <c r="D544" s="293"/>
      <c r="E544" s="1121"/>
      <c r="F544" s="289"/>
      <c r="G544" s="292">
        <v>60</v>
      </c>
      <c r="H544" s="291"/>
      <c r="I544" s="294"/>
      <c r="J544" s="288"/>
      <c r="K544" s="1121"/>
      <c r="L544" s="1121"/>
      <c r="M544" s="1121"/>
      <c r="N544" s="291"/>
      <c r="O544" s="291"/>
      <c r="P544" s="1121"/>
      <c r="Q544" s="1121"/>
      <c r="R544" s="292"/>
      <c r="S544" s="292">
        <f t="shared" ref="S544" si="99">AG545-AG543</f>
        <v>60.530000000002474</v>
      </c>
      <c r="T544" s="1121"/>
      <c r="U544" s="1121"/>
      <c r="V544" s="1121"/>
      <c r="W544" s="1121"/>
      <c r="X544" s="1121"/>
      <c r="Y544" s="1121"/>
      <c r="Z544" s="1121"/>
      <c r="AA544" s="1121"/>
      <c r="AB544" s="1121"/>
      <c r="AC544" s="1121"/>
      <c r="AD544" s="1121"/>
      <c r="AE544" s="1121"/>
      <c r="AF544" s="1121"/>
      <c r="AG544" s="288" t="s">
        <v>695</v>
      </c>
      <c r="AH544" s="1121" t="s">
        <v>695</v>
      </c>
      <c r="AI544" s="289" t="s">
        <v>695</v>
      </c>
      <c r="AJ544" s="1121"/>
      <c r="AK544" s="1121"/>
      <c r="AL544" s="1121"/>
      <c r="AM544" s="1121"/>
      <c r="AN544" s="315"/>
      <c r="AO544" s="315"/>
      <c r="AP544" s="315"/>
      <c r="AQ544" s="315">
        <f>+FL_1($U$545,$T$543,$G$544,1200,9.28, 1*$F$545)</f>
        <v>0.47975537694024351</v>
      </c>
      <c r="AR544" s="315"/>
      <c r="AS544" s="315"/>
      <c r="AT544" s="315"/>
      <c r="AU544" s="315"/>
      <c r="AV544" s="315"/>
      <c r="AW544" s="1121"/>
      <c r="AX544" s="1121"/>
      <c r="AY544" s="1121"/>
      <c r="AZ544" s="1121"/>
      <c r="BA544" s="1121"/>
      <c r="BB544" s="306"/>
      <c r="BF544" s="1119"/>
      <c r="BG544" s="1119"/>
      <c r="BH544" s="1119"/>
    </row>
    <row r="545" spans="1:116" ht="14.25">
      <c r="A545" s="340"/>
      <c r="B545" s="287" t="s">
        <v>1876</v>
      </c>
      <c r="C545" s="288">
        <f>+$C$543+$G$544</f>
        <v>24391</v>
      </c>
      <c r="D545" s="293"/>
      <c r="E545" s="1121"/>
      <c r="F545" s="289">
        <f>-380000/(24456-C545)</f>
        <v>-5846.1538461538457</v>
      </c>
      <c r="G545" s="292"/>
      <c r="H545" s="291" t="s">
        <v>651</v>
      </c>
      <c r="I545" s="294" t="s">
        <v>1223</v>
      </c>
      <c r="J545" s="288">
        <f>C545-7.5</f>
        <v>24383.5</v>
      </c>
      <c r="K545" s="1121"/>
      <c r="L545" s="1121" t="s">
        <v>231</v>
      </c>
      <c r="M545" s="1121" t="s">
        <v>2672</v>
      </c>
      <c r="N545" s="291" t="s">
        <v>140</v>
      </c>
      <c r="O545" s="291" t="s">
        <v>145</v>
      </c>
      <c r="P545" s="1121"/>
      <c r="Q545" s="1121">
        <v>33</v>
      </c>
      <c r="R545" s="292">
        <v>-5892.11</v>
      </c>
      <c r="S545" s="292"/>
      <c r="T545" s="1121">
        <v>45</v>
      </c>
      <c r="U545" s="1121">
        <v>25</v>
      </c>
      <c r="V545" s="1121"/>
      <c r="W545" s="1121">
        <v>1.4</v>
      </c>
      <c r="X545" s="1121">
        <v>2.2999999999999998</v>
      </c>
      <c r="Y545" s="1121"/>
      <c r="Z545" s="1121">
        <v>0.6</v>
      </c>
      <c r="AA545" s="1121"/>
      <c r="AB545" s="1121"/>
      <c r="AC545" s="1121"/>
      <c r="AD545" s="1121" t="s">
        <v>1704</v>
      </c>
      <c r="AE545" s="1121"/>
      <c r="AF545" s="1121">
        <v>6000</v>
      </c>
      <c r="AG545" s="288">
        <v>24392.9</v>
      </c>
      <c r="AH545" s="1121">
        <v>2506</v>
      </c>
      <c r="AI545" s="289">
        <v>679</v>
      </c>
      <c r="AJ545" s="1121"/>
      <c r="AK545" s="1121"/>
      <c r="AL545" s="1121"/>
      <c r="AM545" s="1121" t="s">
        <v>1228</v>
      </c>
      <c r="AN545" s="315">
        <v>5.5</v>
      </c>
      <c r="AO545" s="315"/>
      <c r="AP545" s="315"/>
      <c r="AQ545" s="315"/>
      <c r="AR545" s="315"/>
      <c r="AS545" s="315"/>
      <c r="AT545" s="315">
        <f>+ab($U$545,$T$543,$U$547,$G$544,$G$546, 1*$R$545,1200)</f>
        <v>21.649983767166624</v>
      </c>
      <c r="AU545" s="315"/>
      <c r="AV545" s="315"/>
      <c r="AW545" s="1121" t="s">
        <v>2630</v>
      </c>
      <c r="AX545" s="1121" t="s">
        <v>1639</v>
      </c>
      <c r="AY545" s="1121">
        <v>3.2</v>
      </c>
      <c r="AZ545" s="1121">
        <v>2.1</v>
      </c>
      <c r="BA545" s="1121"/>
      <c r="BB545" s="306"/>
      <c r="BF545" s="1119"/>
      <c r="BG545" s="1119"/>
      <c r="BH545" s="1119"/>
    </row>
    <row r="546" spans="1:116" s="1071" customFormat="1" ht="14.25">
      <c r="A546" s="340"/>
      <c r="B546" s="334"/>
      <c r="C546" s="288"/>
      <c r="D546" s="293"/>
      <c r="E546" s="1121"/>
      <c r="F546" s="289"/>
      <c r="G546" s="292">
        <v>62</v>
      </c>
      <c r="H546" s="291"/>
      <c r="I546" s="291" t="s">
        <v>1223</v>
      </c>
      <c r="J546" s="288">
        <f>C545+7.5</f>
        <v>24398.5</v>
      </c>
      <c r="K546" s="1121"/>
      <c r="L546" s="1121"/>
      <c r="M546" s="1121"/>
      <c r="N546" s="291"/>
      <c r="O546" s="291"/>
      <c r="P546" s="1121"/>
      <c r="Q546" s="1121"/>
      <c r="R546" s="292"/>
      <c r="S546" s="292">
        <f t="shared" ref="S546" si="100">AG547-AG545</f>
        <v>62.090000000000146</v>
      </c>
      <c r="T546" s="1121"/>
      <c r="U546" s="1121"/>
      <c r="V546" s="1121"/>
      <c r="W546" s="1121"/>
      <c r="X546" s="1121"/>
      <c r="Y546" s="1121"/>
      <c r="Z546" s="1121"/>
      <c r="AA546" s="1121"/>
      <c r="AB546" s="1121"/>
      <c r="AC546" s="1121"/>
      <c r="AD546" s="1121"/>
      <c r="AE546" s="1121"/>
      <c r="AF546" s="1121"/>
      <c r="AG546" s="288" t="s">
        <v>695</v>
      </c>
      <c r="AH546" s="1121" t="s">
        <v>695</v>
      </c>
      <c r="AI546" s="289" t="s">
        <v>695</v>
      </c>
      <c r="AJ546" s="1121"/>
      <c r="AK546" s="1121"/>
      <c r="AL546" s="1121"/>
      <c r="AM546" s="1121"/>
      <c r="AN546" s="315"/>
      <c r="AO546" s="315"/>
      <c r="AP546" s="315"/>
      <c r="AQ546" s="315">
        <f>+FL_1($T$547,$U$545,$G$546,1200,9.28, 1*$F$547)</f>
        <v>0.41363607522580648</v>
      </c>
      <c r="AR546" s="315"/>
      <c r="AS546" s="315"/>
      <c r="AT546" s="315"/>
      <c r="AU546" s="315"/>
      <c r="AV546" s="315"/>
      <c r="AW546" s="1121" t="s">
        <v>2630</v>
      </c>
      <c r="AX546" s="1121" t="s">
        <v>1639</v>
      </c>
      <c r="AY546" s="1121"/>
      <c r="AZ546" s="1121">
        <v>2.1</v>
      </c>
      <c r="BA546" s="1121"/>
      <c r="BB546" s="306"/>
      <c r="BC546" s="1016"/>
      <c r="BD546" s="1016"/>
      <c r="BE546" s="1016"/>
      <c r="BF546" s="1016"/>
      <c r="BG546" s="1016"/>
      <c r="BH546" s="1016"/>
      <c r="BI546" s="1016"/>
      <c r="BJ546" s="1016"/>
      <c r="BK546" s="1016"/>
      <c r="BL546" s="1016"/>
      <c r="BM546" s="1016"/>
      <c r="BN546" s="1016"/>
      <c r="BO546" s="1016"/>
      <c r="BP546" s="1016"/>
      <c r="BQ546" s="1016"/>
      <c r="BR546" s="1016"/>
      <c r="BS546" s="1016"/>
      <c r="BT546" s="1016"/>
      <c r="BU546" s="1016"/>
      <c r="BV546" s="1016"/>
      <c r="BW546" s="1016"/>
      <c r="BX546" s="1016"/>
      <c r="BY546" s="1016"/>
      <c r="BZ546" s="1016"/>
      <c r="CA546" s="1016"/>
      <c r="CB546" s="1016"/>
      <c r="CC546" s="1016"/>
      <c r="CD546" s="1016"/>
      <c r="CE546" s="1016"/>
      <c r="CF546" s="1016"/>
      <c r="CG546" s="1016"/>
      <c r="CH546" s="1016"/>
      <c r="CI546" s="1016"/>
      <c r="CJ546" s="1016"/>
      <c r="CK546" s="1016"/>
      <c r="CL546" s="1016"/>
      <c r="CM546" s="1016"/>
      <c r="CN546" s="1016"/>
      <c r="CO546" s="1016"/>
      <c r="CP546" s="1016"/>
      <c r="CQ546" s="1016"/>
      <c r="CR546" s="1016"/>
      <c r="CS546" s="1016"/>
      <c r="CT546" s="1016"/>
      <c r="CU546" s="1016"/>
      <c r="CV546" s="1016"/>
      <c r="CW546" s="1016"/>
      <c r="CX546" s="1016"/>
      <c r="CY546" s="1016"/>
      <c r="CZ546" s="1016"/>
      <c r="DA546" s="1016"/>
      <c r="DB546" s="1016"/>
      <c r="DC546" s="1016"/>
      <c r="DD546" s="1016"/>
      <c r="DE546" s="1016"/>
      <c r="DF546" s="1016"/>
      <c r="DG546" s="1016"/>
      <c r="DH546" s="1016"/>
      <c r="DI546" s="1016"/>
      <c r="DJ546" s="1016"/>
      <c r="DK546" s="1016"/>
      <c r="DL546" s="1016"/>
    </row>
    <row r="547" spans="1:116" ht="14.25">
      <c r="A547" s="340"/>
      <c r="B547" s="334" t="s">
        <v>1877</v>
      </c>
      <c r="C547" s="288">
        <f>+$C$545+$G$546</f>
        <v>24453</v>
      </c>
      <c r="D547" s="293"/>
      <c r="E547" s="1121"/>
      <c r="F547" s="289">
        <v>0</v>
      </c>
      <c r="G547" s="292"/>
      <c r="H547" s="291" t="s">
        <v>651</v>
      </c>
      <c r="I547" s="291" t="s">
        <v>1223</v>
      </c>
      <c r="J547" s="383">
        <f>C547-7.5</f>
        <v>24445.5</v>
      </c>
      <c r="K547" s="1121"/>
      <c r="L547" s="1121" t="s">
        <v>231</v>
      </c>
      <c r="M547" s="1121" t="s">
        <v>2672</v>
      </c>
      <c r="N547" s="291" t="s">
        <v>144</v>
      </c>
      <c r="O547" s="291" t="s">
        <v>140</v>
      </c>
      <c r="P547" s="1121"/>
      <c r="Q547" s="1121">
        <v>1</v>
      </c>
      <c r="R547" s="292">
        <v>-151067.06</v>
      </c>
      <c r="S547" s="292"/>
      <c r="T547" s="1121">
        <v>-25</v>
      </c>
      <c r="U547" s="1121">
        <v>-45</v>
      </c>
      <c r="V547" s="1121"/>
      <c r="W547" s="1121">
        <v>1.4</v>
      </c>
      <c r="X547" s="1121">
        <v>2.2999999999999998</v>
      </c>
      <c r="Y547" s="1121"/>
      <c r="Z547" s="1121"/>
      <c r="AA547" s="1121">
        <v>0.6</v>
      </c>
      <c r="AB547" s="1121"/>
      <c r="AC547" s="1121" t="s">
        <v>1704</v>
      </c>
      <c r="AD547" s="1121"/>
      <c r="AE547" s="1121"/>
      <c r="AF547" s="1121">
        <v>6000</v>
      </c>
      <c r="AG547" s="288">
        <v>24454.99</v>
      </c>
      <c r="AH547" s="1121">
        <v>2541</v>
      </c>
      <c r="AI547" s="289">
        <v>658</v>
      </c>
      <c r="AJ547" s="1121"/>
      <c r="AK547" s="1121"/>
      <c r="AL547" s="1121"/>
      <c r="AM547" s="1121" t="s">
        <v>1228</v>
      </c>
      <c r="AN547" s="315">
        <v>5.5</v>
      </c>
      <c r="AO547" s="315"/>
      <c r="AP547" s="315"/>
      <c r="AQ547" s="315"/>
      <c r="AR547" s="315"/>
      <c r="AS547" s="315"/>
      <c r="AT547" s="315">
        <f>+ab($T$547,$T$545,$T$549,$G$546,$G$548, 1*$F$547,1200)</f>
        <v>-9.7592684721646386</v>
      </c>
      <c r="AU547" s="315"/>
      <c r="AV547" s="315"/>
      <c r="AW547" s="1121" t="s">
        <v>2630</v>
      </c>
      <c r="AX547" s="1121" t="s">
        <v>1639</v>
      </c>
      <c r="AY547" s="1121">
        <v>3.2</v>
      </c>
      <c r="AZ547" s="1121">
        <v>2.1</v>
      </c>
      <c r="BA547" s="1121"/>
      <c r="BB547" s="306"/>
      <c r="BF547" s="1119"/>
      <c r="BG547" s="1119"/>
      <c r="BH547" s="1119"/>
    </row>
    <row r="548" spans="1:116" ht="14.25">
      <c r="A548" s="340"/>
      <c r="B548" s="334"/>
      <c r="C548" s="288"/>
      <c r="D548" s="293"/>
      <c r="E548" s="1121"/>
      <c r="F548" s="289"/>
      <c r="G548" s="292">
        <v>55</v>
      </c>
      <c r="H548" s="291"/>
      <c r="I548" s="291" t="s">
        <v>1223</v>
      </c>
      <c r="J548" s="383">
        <f>C547+7.5</f>
        <v>24460.5</v>
      </c>
      <c r="K548" s="1121"/>
      <c r="L548" s="1121"/>
      <c r="M548" s="1121"/>
      <c r="N548" s="291"/>
      <c r="O548" s="291"/>
      <c r="P548" s="1121"/>
      <c r="Q548" s="1121"/>
      <c r="R548" s="292"/>
      <c r="S548" s="292">
        <f t="shared" ref="S548" si="101">AG549-AG547</f>
        <v>55.079999999998108</v>
      </c>
      <c r="T548" s="1121"/>
      <c r="U548" s="1121"/>
      <c r="V548" s="1121"/>
      <c r="W548" s="1121"/>
      <c r="X548" s="1121"/>
      <c r="Y548" s="1121"/>
      <c r="Z548" s="1121"/>
      <c r="AA548" s="1121"/>
      <c r="AB548" s="1121"/>
      <c r="AC548" s="1121"/>
      <c r="AD548" s="1121"/>
      <c r="AE548" s="1121"/>
      <c r="AF548" s="1121"/>
      <c r="AG548" s="288" t="s">
        <v>695</v>
      </c>
      <c r="AH548" s="1121" t="s">
        <v>695</v>
      </c>
      <c r="AI548" s="289" t="s">
        <v>695</v>
      </c>
      <c r="AJ548" s="1121"/>
      <c r="AK548" s="1121"/>
      <c r="AL548" s="1121"/>
      <c r="AM548" s="1121"/>
      <c r="AN548" s="315"/>
      <c r="AO548" s="315"/>
      <c r="AP548" s="315"/>
      <c r="AQ548" s="315">
        <f>+FL_2($T$549,$T$547,$G$548,1200,9.28, 1*$F$549)</f>
        <v>-0.36069822836363635</v>
      </c>
      <c r="AR548" s="315"/>
      <c r="AS548" s="315"/>
      <c r="AT548" s="315"/>
      <c r="AU548" s="315"/>
      <c r="AV548" s="315"/>
      <c r="AW548" s="1121" t="s">
        <v>2630</v>
      </c>
      <c r="AX548" s="1121" t="s">
        <v>1639</v>
      </c>
      <c r="AY548" s="1121"/>
      <c r="AZ548" s="1121">
        <v>2.1</v>
      </c>
      <c r="BA548" s="1121"/>
      <c r="BB548" s="306"/>
      <c r="BF548" s="1119"/>
      <c r="BG548" s="1119"/>
      <c r="BH548" s="1119"/>
    </row>
    <row r="549" spans="1:116" ht="14.25">
      <c r="A549" s="340"/>
      <c r="B549" s="334" t="s">
        <v>1878</v>
      </c>
      <c r="C549" s="288">
        <f>+$C$547+$G$548</f>
        <v>24508</v>
      </c>
      <c r="D549" s="293"/>
      <c r="E549" s="1121"/>
      <c r="F549" s="289">
        <v>0</v>
      </c>
      <c r="G549" s="292"/>
      <c r="H549" s="291" t="s">
        <v>138</v>
      </c>
      <c r="I549" s="291" t="s">
        <v>656</v>
      </c>
      <c r="J549" s="383"/>
      <c r="K549" s="1121"/>
      <c r="L549" s="1121" t="s">
        <v>1061</v>
      </c>
      <c r="M549" s="1121" t="s">
        <v>2672</v>
      </c>
      <c r="N549" s="291" t="s">
        <v>145</v>
      </c>
      <c r="O549" s="291"/>
      <c r="P549" s="1121"/>
      <c r="Q549" s="1121">
        <v>7</v>
      </c>
      <c r="R549" s="292">
        <v>28275.41</v>
      </c>
      <c r="S549" s="292"/>
      <c r="T549" s="1121">
        <v>20</v>
      </c>
      <c r="U549" s="1121"/>
      <c r="V549" s="1121"/>
      <c r="W549" s="1121">
        <v>1.4</v>
      </c>
      <c r="X549" s="1121"/>
      <c r="Y549" s="1121"/>
      <c r="Z549" s="1121"/>
      <c r="AA549" s="1121"/>
      <c r="AB549" s="1121"/>
      <c r="AC549" s="1121" t="s">
        <v>1704</v>
      </c>
      <c r="AD549" s="1121"/>
      <c r="AE549" s="1121"/>
      <c r="AF549" s="1121">
        <v>6000</v>
      </c>
      <c r="AG549" s="288">
        <v>24510.07</v>
      </c>
      <c r="AH549" s="1121">
        <v>2525</v>
      </c>
      <c r="AI549" s="289">
        <v>626</v>
      </c>
      <c r="AJ549" s="1121"/>
      <c r="AK549" s="1121"/>
      <c r="AL549" s="1121"/>
      <c r="AM549" s="1121" t="s">
        <v>1228</v>
      </c>
      <c r="AN549" s="315">
        <v>5.5</v>
      </c>
      <c r="AO549" s="315"/>
      <c r="AP549" s="315"/>
      <c r="AQ549" s="315"/>
      <c r="AR549" s="315"/>
      <c r="AS549" s="315"/>
      <c r="AT549" s="315">
        <f>+ab($T$549,$T$547,$T$551,$G$548,$G$550, 1*$R$549,1200)</f>
        <v>18.122636047571358</v>
      </c>
      <c r="AU549" s="315"/>
      <c r="AV549" s="315"/>
      <c r="AW549" s="1121" t="s">
        <v>2630</v>
      </c>
      <c r="AX549" s="1121" t="s">
        <v>1639</v>
      </c>
      <c r="AY549" s="1121">
        <v>3.2</v>
      </c>
      <c r="AZ549" s="1121"/>
      <c r="BA549" s="1121"/>
      <c r="BB549" s="306"/>
      <c r="BF549" s="1119"/>
      <c r="BG549" s="1119"/>
      <c r="BH549" s="1119"/>
    </row>
    <row r="550" spans="1:116" ht="14.25">
      <c r="A550" s="340"/>
      <c r="B550" s="334"/>
      <c r="C550" s="288"/>
      <c r="D550" s="1121"/>
      <c r="E550" s="1121"/>
      <c r="F550" s="289"/>
      <c r="G550" s="292">
        <v>61</v>
      </c>
      <c r="H550" s="291"/>
      <c r="I550" s="291"/>
      <c r="J550" s="383">
        <f>C549+7.5</f>
        <v>24515.5</v>
      </c>
      <c r="K550" s="1121" t="s">
        <v>653</v>
      </c>
      <c r="L550" s="1121"/>
      <c r="M550" s="1121"/>
      <c r="N550" s="291"/>
      <c r="O550" s="291"/>
      <c r="P550" s="1121"/>
      <c r="Q550" s="1121"/>
      <c r="R550" s="292"/>
      <c r="S550" s="292">
        <f t="shared" ref="S550" si="102">AG551-AG549</f>
        <v>64.930000000000291</v>
      </c>
      <c r="T550" s="1121"/>
      <c r="U550" s="1121"/>
      <c r="V550" s="1121"/>
      <c r="W550" s="1121"/>
      <c r="X550" s="1121"/>
      <c r="Y550" s="1121"/>
      <c r="Z550" s="1121"/>
      <c r="AA550" s="1121"/>
      <c r="AB550" s="1121"/>
      <c r="AC550" s="1121"/>
      <c r="AD550" s="1121"/>
      <c r="AE550" s="1121"/>
      <c r="AF550" s="1121"/>
      <c r="AG550" s="288" t="s">
        <v>695</v>
      </c>
      <c r="AH550" s="1121" t="s">
        <v>695</v>
      </c>
      <c r="AI550" s="289" t="s">
        <v>695</v>
      </c>
      <c r="AJ550" s="1121"/>
      <c r="AK550" s="1121"/>
      <c r="AL550" s="1121"/>
      <c r="AM550" s="1121"/>
      <c r="AN550" s="315"/>
      <c r="AO550" s="315"/>
      <c r="AP550" s="315"/>
      <c r="AQ550" s="315">
        <f>+FL_1($T$551,$T$549,$G$550,1200,9.28, 1*$F$551)</f>
        <v>0.46911889413919916</v>
      </c>
      <c r="AR550" s="315"/>
      <c r="AS550" s="315"/>
      <c r="AT550" s="315"/>
      <c r="AU550" s="315"/>
      <c r="AV550" s="315"/>
      <c r="AW550" s="1121" t="s">
        <v>2630</v>
      </c>
      <c r="AX550" s="1121" t="s">
        <v>1639</v>
      </c>
      <c r="AY550" s="1121"/>
      <c r="AZ550" s="1121">
        <v>2</v>
      </c>
      <c r="BA550" s="1121"/>
      <c r="BB550" s="306"/>
      <c r="BF550" s="1119"/>
      <c r="BG550" s="1119"/>
      <c r="BH550" s="1119"/>
    </row>
    <row r="551" spans="1:116" ht="14.25">
      <c r="A551" s="340"/>
      <c r="B551" s="334" t="s">
        <v>2743</v>
      </c>
      <c r="C551" s="288">
        <f>+$C$549+$G$550</f>
        <v>24569</v>
      </c>
      <c r="D551" s="1121"/>
      <c r="E551" s="1121"/>
      <c r="F551" s="289">
        <f>380000/(C551-24495)</f>
        <v>5135.135135135135</v>
      </c>
      <c r="G551" s="292"/>
      <c r="H551" s="291"/>
      <c r="I551" s="291"/>
      <c r="J551" s="383"/>
      <c r="K551" s="1121"/>
      <c r="L551" s="1121" t="s">
        <v>230</v>
      </c>
      <c r="M551" s="1121" t="s">
        <v>2671</v>
      </c>
      <c r="N551" s="291" t="s">
        <v>145</v>
      </c>
      <c r="O551" s="291"/>
      <c r="P551" s="1121"/>
      <c r="Q551" s="1121">
        <v>46</v>
      </c>
      <c r="R551" s="292">
        <v>4843.09</v>
      </c>
      <c r="S551" s="292"/>
      <c r="T551" s="1121">
        <v>20</v>
      </c>
      <c r="U551" s="1121"/>
      <c r="V551" s="1121"/>
      <c r="W551" s="1121">
        <v>1.4</v>
      </c>
      <c r="X551" s="1121"/>
      <c r="Y551" s="1121"/>
      <c r="Z551" s="1121"/>
      <c r="AA551" s="1121"/>
      <c r="AB551" s="1121"/>
      <c r="AC551" s="1121" t="s">
        <v>1704</v>
      </c>
      <c r="AD551" s="1121"/>
      <c r="AE551" s="1121"/>
      <c r="AF551" s="1121">
        <v>6000</v>
      </c>
      <c r="AG551" s="288">
        <v>24575</v>
      </c>
      <c r="AH551" s="1121">
        <v>3959</v>
      </c>
      <c r="AI551" s="289">
        <v>621</v>
      </c>
      <c r="AJ551" s="1121"/>
      <c r="AK551" s="1121"/>
      <c r="AL551" s="1121"/>
      <c r="AM551" s="1121" t="s">
        <v>1228</v>
      </c>
      <c r="AN551" s="315">
        <v>5.5</v>
      </c>
      <c r="AO551" s="315"/>
      <c r="AP551" s="315"/>
      <c r="AQ551" s="315"/>
      <c r="AR551" s="315"/>
      <c r="AS551" s="315"/>
      <c r="AT551" s="315">
        <f>+ab($T$551,$T$549,$T$553,$G$550,$G$552, 1*$R$551,1200)</f>
        <v>18.248319930680342</v>
      </c>
      <c r="AU551" s="315"/>
      <c r="AV551" s="315"/>
      <c r="AW551" s="1121" t="s">
        <v>2630</v>
      </c>
      <c r="AX551" s="1121" t="s">
        <v>1639</v>
      </c>
      <c r="AY551" s="1121">
        <v>3</v>
      </c>
      <c r="AZ551" s="1121"/>
      <c r="BA551" s="1121"/>
      <c r="BB551" s="306"/>
      <c r="BF551" s="1119"/>
      <c r="BG551" s="1119"/>
      <c r="BH551" s="1119"/>
    </row>
    <row r="552" spans="1:116" ht="14.25">
      <c r="A552" s="392" t="s">
        <v>1725</v>
      </c>
      <c r="B552" s="393"/>
      <c r="C552" s="389"/>
      <c r="D552" s="390"/>
      <c r="E552" s="390"/>
      <c r="F552" s="394"/>
      <c r="G552" s="395">
        <v>55</v>
      </c>
      <c r="H552" s="387"/>
      <c r="I552" s="387"/>
      <c r="J552" s="396"/>
      <c r="K552" s="390"/>
      <c r="L552" s="390"/>
      <c r="M552" s="397"/>
      <c r="N552" s="387"/>
      <c r="O552" s="387"/>
      <c r="P552" s="390"/>
      <c r="Q552" s="390"/>
      <c r="R552" s="395"/>
      <c r="S552" s="395">
        <f t="shared" ref="S552" si="103">AG553-AG551</f>
        <v>51.06000000000131</v>
      </c>
      <c r="T552" s="390"/>
      <c r="U552" s="390"/>
      <c r="V552" s="390"/>
      <c r="W552" s="390"/>
      <c r="X552" s="390"/>
      <c r="Y552" s="390"/>
      <c r="Z552" s="390"/>
      <c r="AA552" s="390"/>
      <c r="AB552" s="390"/>
      <c r="AC552" s="390"/>
      <c r="AD552" s="390"/>
      <c r="AE552" s="390"/>
      <c r="AF552" s="390"/>
      <c r="AG552" s="389" t="s">
        <v>695</v>
      </c>
      <c r="AH552" s="390" t="s">
        <v>695</v>
      </c>
      <c r="AI552" s="394" t="s">
        <v>695</v>
      </c>
      <c r="AJ552" s="390"/>
      <c r="AK552" s="390"/>
      <c r="AL552" s="390"/>
      <c r="AM552" s="390"/>
      <c r="AN552" s="381"/>
      <c r="AO552" s="381"/>
      <c r="AP552" s="381"/>
      <c r="AQ552" s="381">
        <f>+FL_1($T$553,$T$551,$G$552,1200,9.28, 1*$F$553)</f>
        <v>0.41786025139671301</v>
      </c>
      <c r="AR552" s="381"/>
      <c r="AS552" s="381"/>
      <c r="AT552" s="381"/>
      <c r="AU552" s="381"/>
      <c r="AV552" s="381"/>
      <c r="AW552" s="381"/>
      <c r="AX552" s="381"/>
      <c r="AY552" s="381"/>
      <c r="AZ552" s="381"/>
      <c r="BA552" s="381"/>
      <c r="BB552" s="306"/>
      <c r="BF552" s="1119"/>
      <c r="BG552" s="1119"/>
      <c r="BH552" s="1119"/>
    </row>
    <row r="553" spans="1:116" ht="14.25">
      <c r="A553" s="392"/>
      <c r="B553" s="393" t="s">
        <v>1879</v>
      </c>
      <c r="C553" s="389">
        <f>+$C$551+$G$552</f>
        <v>24624</v>
      </c>
      <c r="D553" s="390"/>
      <c r="E553" s="390"/>
      <c r="F553" s="394">
        <f>380000/(C553-24495)</f>
        <v>2945.7364341085272</v>
      </c>
      <c r="G553" s="395"/>
      <c r="H553" s="387"/>
      <c r="I553" s="387"/>
      <c r="J553" s="396"/>
      <c r="K553" s="390"/>
      <c r="L553" s="390" t="s">
        <v>1066</v>
      </c>
      <c r="M553" s="397" t="s">
        <v>2544</v>
      </c>
      <c r="N553" s="387" t="s">
        <v>145</v>
      </c>
      <c r="O553" s="387"/>
      <c r="P553" s="390"/>
      <c r="Q553" s="390">
        <v>70</v>
      </c>
      <c r="R553" s="395">
        <v>2932.2</v>
      </c>
      <c r="S553" s="395"/>
      <c r="T553" s="390">
        <v>30</v>
      </c>
      <c r="U553" s="390"/>
      <c r="V553" s="390"/>
      <c r="W553" s="390">
        <v>1.4</v>
      </c>
      <c r="X553" s="390"/>
      <c r="Y553" s="390"/>
      <c r="Z553" s="390"/>
      <c r="AA553" s="390"/>
      <c r="AB553" s="390"/>
      <c r="AC553" s="390" t="s">
        <v>1704</v>
      </c>
      <c r="AD553" s="390"/>
      <c r="AE553" s="390"/>
      <c r="AF553" s="390">
        <v>5400</v>
      </c>
      <c r="AG553" s="389">
        <v>24626.06</v>
      </c>
      <c r="AH553" s="390">
        <v>2861</v>
      </c>
      <c r="AI553" s="394">
        <v>88</v>
      </c>
      <c r="AJ553" s="390"/>
      <c r="AK553" s="390"/>
      <c r="AL553" s="390"/>
      <c r="AM553" s="390" t="s">
        <v>1228</v>
      </c>
      <c r="AN553" s="381">
        <v>5.5</v>
      </c>
      <c r="AO553" s="381"/>
      <c r="AP553" s="381"/>
      <c r="AQ553" s="381"/>
      <c r="AR553" s="381"/>
      <c r="AS553" s="381"/>
      <c r="AT553" s="381">
        <f>+ab($T$553,$T$551,$T$555,$G$552,$G$554, 1*$F$553,1200)</f>
        <v>8.9202578923698539</v>
      </c>
      <c r="AU553" s="381"/>
      <c r="AV553" s="381"/>
      <c r="AW553" s="381" t="s">
        <v>699</v>
      </c>
      <c r="AX553" s="381" t="s">
        <v>699</v>
      </c>
      <c r="AY553" s="381" t="s">
        <v>699</v>
      </c>
      <c r="AZ553" s="381" t="s">
        <v>699</v>
      </c>
      <c r="BA553" s="381"/>
      <c r="BB553" s="306"/>
      <c r="BF553" s="1119"/>
      <c r="BG553" s="1119"/>
      <c r="BH553" s="1119"/>
    </row>
    <row r="554" spans="1:116" ht="14.25">
      <c r="A554" s="392"/>
      <c r="B554" s="393"/>
      <c r="C554" s="389"/>
      <c r="D554" s="390"/>
      <c r="E554" s="390"/>
      <c r="F554" s="394"/>
      <c r="G554" s="395">
        <v>60</v>
      </c>
      <c r="H554" s="387"/>
      <c r="I554" s="387"/>
      <c r="J554" s="396"/>
      <c r="K554" s="390"/>
      <c r="L554" s="390"/>
      <c r="M554" s="397"/>
      <c r="N554" s="387"/>
      <c r="O554" s="387"/>
      <c r="P554" s="390"/>
      <c r="Q554" s="390"/>
      <c r="R554" s="395"/>
      <c r="S554" s="395">
        <f t="shared" ref="S554" si="104">AG555-AG553</f>
        <v>59.989999999997963</v>
      </c>
      <c r="T554" s="390"/>
      <c r="U554" s="390"/>
      <c r="V554" s="390"/>
      <c r="W554" s="390"/>
      <c r="X554" s="390"/>
      <c r="Y554" s="390"/>
      <c r="Z554" s="390"/>
      <c r="AA554" s="390"/>
      <c r="AB554" s="390"/>
      <c r="AC554" s="390"/>
      <c r="AD554" s="390"/>
      <c r="AE554" s="390"/>
      <c r="AF554" s="390"/>
      <c r="AG554" s="389" t="s">
        <v>695</v>
      </c>
      <c r="AH554" s="390" t="s">
        <v>695</v>
      </c>
      <c r="AI554" s="394" t="s">
        <v>695</v>
      </c>
      <c r="AJ554" s="390"/>
      <c r="AK554" s="390"/>
      <c r="AL554" s="390"/>
      <c r="AM554" s="390"/>
      <c r="AN554" s="381"/>
      <c r="AO554" s="381"/>
      <c r="AP554" s="381"/>
      <c r="AQ554" s="381">
        <f>+FL_1($T$555,$T$553,$G$554,1200,11.08, 1*$F$555)</f>
        <v>0.49048734232608515</v>
      </c>
      <c r="AR554" s="381"/>
      <c r="AS554" s="381"/>
      <c r="AT554" s="381"/>
      <c r="AU554" s="381"/>
      <c r="AV554" s="381"/>
      <c r="AW554" s="381"/>
      <c r="AX554" s="381"/>
      <c r="AY554" s="381"/>
      <c r="AZ554" s="381"/>
      <c r="BA554" s="381"/>
      <c r="BB554" s="306"/>
      <c r="BF554" s="1119"/>
      <c r="BG554" s="1119"/>
      <c r="BH554" s="1119"/>
    </row>
    <row r="555" spans="1:116" ht="14.25">
      <c r="A555" s="392"/>
      <c r="B555" s="393" t="s">
        <v>1880</v>
      </c>
      <c r="C555" s="389">
        <f>+$C$553+$G$554</f>
        <v>24684</v>
      </c>
      <c r="D555" s="390"/>
      <c r="E555" s="390">
        <v>100</v>
      </c>
      <c r="F555" s="394">
        <v>2000</v>
      </c>
      <c r="G555" s="395"/>
      <c r="H555" s="387"/>
      <c r="I555" s="387"/>
      <c r="J555" s="396"/>
      <c r="K555" s="390"/>
      <c r="L555" s="390" t="s">
        <v>1068</v>
      </c>
      <c r="M555" s="397" t="s">
        <v>2544</v>
      </c>
      <c r="N555" s="387" t="s">
        <v>145</v>
      </c>
      <c r="O555" s="387"/>
      <c r="P555" s="390"/>
      <c r="Q555" s="390">
        <v>100</v>
      </c>
      <c r="R555" s="395">
        <v>2003.46</v>
      </c>
      <c r="S555" s="395"/>
      <c r="T555" s="390">
        <v>30</v>
      </c>
      <c r="U555" s="390"/>
      <c r="V555" s="390"/>
      <c r="W555" s="390">
        <v>1.4</v>
      </c>
      <c r="X555" s="390"/>
      <c r="Y555" s="390"/>
      <c r="Z555" s="390"/>
      <c r="AA555" s="390"/>
      <c r="AB555" s="390"/>
      <c r="AC555" s="390" t="s">
        <v>2963</v>
      </c>
      <c r="AD555" s="390"/>
      <c r="AE555" s="390"/>
      <c r="AF555" s="390">
        <v>5400</v>
      </c>
      <c r="AG555" s="389">
        <v>24686.05</v>
      </c>
      <c r="AH555" s="390">
        <v>2904</v>
      </c>
      <c r="AI555" s="394">
        <v>-173</v>
      </c>
      <c r="AJ555" s="390"/>
      <c r="AK555" s="390"/>
      <c r="AL555" s="390"/>
      <c r="AM555" s="390" t="s">
        <v>1228</v>
      </c>
      <c r="AN555" s="381">
        <v>5.5</v>
      </c>
      <c r="AO555" s="381"/>
      <c r="AP555" s="381"/>
      <c r="AQ555" s="381"/>
      <c r="AR555" s="381"/>
      <c r="AS555" s="381"/>
      <c r="AT555" s="381">
        <f>+ab($T$555,$T$553,$T$557,$G$554,$G$556, 1*$F$555,1200)</f>
        <v>6.3700457825922534</v>
      </c>
      <c r="AU555" s="381"/>
      <c r="AV555" s="381"/>
      <c r="AW555" s="381" t="s">
        <v>699</v>
      </c>
      <c r="AX555" s="381" t="s">
        <v>699</v>
      </c>
      <c r="AY555" s="381" t="s">
        <v>699</v>
      </c>
      <c r="AZ555" s="381" t="s">
        <v>699</v>
      </c>
      <c r="BA555" s="381"/>
      <c r="BB555" s="306"/>
      <c r="BF555" s="1119"/>
      <c r="BG555" s="1119"/>
      <c r="BH555" s="1119"/>
    </row>
    <row r="556" spans="1:116" ht="14.25">
      <c r="A556" s="392"/>
      <c r="B556" s="393"/>
      <c r="C556" s="389"/>
      <c r="D556" s="390"/>
      <c r="E556" s="390"/>
      <c r="F556" s="394"/>
      <c r="G556" s="395">
        <v>60</v>
      </c>
      <c r="H556" s="387"/>
      <c r="I556" s="387"/>
      <c r="J556" s="396"/>
      <c r="K556" s="390"/>
      <c r="L556" s="390"/>
      <c r="M556" s="397"/>
      <c r="N556" s="387"/>
      <c r="O556" s="387"/>
      <c r="P556" s="390"/>
      <c r="Q556" s="390"/>
      <c r="R556" s="395"/>
      <c r="S556" s="395">
        <f t="shared" ref="S556" si="105">AG557-AG555</f>
        <v>59.819999999999709</v>
      </c>
      <c r="T556" s="390"/>
      <c r="U556" s="390"/>
      <c r="V556" s="390"/>
      <c r="W556" s="390"/>
      <c r="X556" s="390"/>
      <c r="Y556" s="390"/>
      <c r="Z556" s="390"/>
      <c r="AA556" s="390"/>
      <c r="AB556" s="390"/>
      <c r="AC556" s="390"/>
      <c r="AD556" s="390"/>
      <c r="AE556" s="390"/>
      <c r="AF556" s="390"/>
      <c r="AG556" s="389" t="s">
        <v>695</v>
      </c>
      <c r="AH556" s="390" t="s">
        <v>695</v>
      </c>
      <c r="AI556" s="394" t="s">
        <v>695</v>
      </c>
      <c r="AJ556" s="390"/>
      <c r="AK556" s="390"/>
      <c r="AL556" s="390"/>
      <c r="AM556" s="390"/>
      <c r="AN556" s="381"/>
      <c r="AO556" s="381"/>
      <c r="AP556" s="381"/>
      <c r="AQ556" s="381">
        <f>+FL_1($T$557,$T$555,$G$556,1200,11.08, 1*$F$557)</f>
        <v>0.49048734232608515</v>
      </c>
      <c r="AR556" s="381"/>
      <c r="AS556" s="381"/>
      <c r="AT556" s="381"/>
      <c r="AU556" s="381"/>
      <c r="AV556" s="381"/>
      <c r="AW556" s="381"/>
      <c r="AX556" s="381"/>
      <c r="AY556" s="381"/>
      <c r="AZ556" s="381"/>
      <c r="BA556" s="381"/>
      <c r="BB556" s="306"/>
      <c r="BF556" s="1119"/>
      <c r="BG556" s="1119"/>
      <c r="BH556" s="1119"/>
    </row>
    <row r="557" spans="1:116" ht="14.25">
      <c r="A557" s="392"/>
      <c r="B557" s="393" t="s">
        <v>1881</v>
      </c>
      <c r="C557" s="389">
        <f>+$C$555+$G$556</f>
        <v>24744</v>
      </c>
      <c r="D557" s="390"/>
      <c r="E557" s="390">
        <v>100</v>
      </c>
      <c r="F557" s="394">
        <v>2000</v>
      </c>
      <c r="G557" s="395"/>
      <c r="H557" s="387"/>
      <c r="I557" s="387"/>
      <c r="J557" s="396"/>
      <c r="K557" s="390"/>
      <c r="L557" s="390" t="s">
        <v>1066</v>
      </c>
      <c r="M557" s="397" t="s">
        <v>2544</v>
      </c>
      <c r="N557" s="387" t="s">
        <v>145</v>
      </c>
      <c r="O557" s="387"/>
      <c r="P557" s="390"/>
      <c r="Q557" s="390">
        <v>100</v>
      </c>
      <c r="R557" s="395">
        <v>1997.65</v>
      </c>
      <c r="S557" s="395"/>
      <c r="T557" s="390">
        <v>30</v>
      </c>
      <c r="U557" s="390"/>
      <c r="V557" s="390"/>
      <c r="W557" s="390">
        <v>1.4</v>
      </c>
      <c r="X557" s="390"/>
      <c r="Y557" s="390"/>
      <c r="Z557" s="390"/>
      <c r="AA557" s="390"/>
      <c r="AB557" s="390"/>
      <c r="AC557" s="390" t="s">
        <v>2963</v>
      </c>
      <c r="AD557" s="390"/>
      <c r="AE557" s="390"/>
      <c r="AF557" s="390">
        <v>5200</v>
      </c>
      <c r="AG557" s="389">
        <v>24745.87</v>
      </c>
      <c r="AH557" s="390">
        <v>3032</v>
      </c>
      <c r="AI557" s="394">
        <v>108</v>
      </c>
      <c r="AJ557" s="390"/>
      <c r="AK557" s="390"/>
      <c r="AL557" s="390"/>
      <c r="AM557" s="390" t="s">
        <v>1228</v>
      </c>
      <c r="AN557" s="381">
        <v>5.5</v>
      </c>
      <c r="AO557" s="381"/>
      <c r="AP557" s="381"/>
      <c r="AQ557" s="381"/>
      <c r="AR557" s="381"/>
      <c r="AS557" s="381"/>
      <c r="AT557" s="381">
        <f>+ab($T$557,$T$555,$T$559,$G$556,$G$558, 1*$F$557,1200)</f>
        <v>6.7023364205300391</v>
      </c>
      <c r="AU557" s="381"/>
      <c r="AV557" s="381"/>
      <c r="AW557" s="381" t="s">
        <v>699</v>
      </c>
      <c r="AX557" s="381" t="s">
        <v>699</v>
      </c>
      <c r="AY557" s="381" t="s">
        <v>699</v>
      </c>
      <c r="AZ557" s="381" t="s">
        <v>699</v>
      </c>
      <c r="BA557" s="381"/>
      <c r="BB557" s="306"/>
      <c r="BF557" s="1119"/>
      <c r="BG557" s="1119"/>
      <c r="BH557" s="1119"/>
    </row>
    <row r="558" spans="1:116" ht="14.25">
      <c r="A558" s="392" t="s">
        <v>1882</v>
      </c>
      <c r="B558" s="393"/>
      <c r="C558" s="389"/>
      <c r="D558" s="390"/>
      <c r="E558" s="390"/>
      <c r="F558" s="394"/>
      <c r="G558" s="395">
        <v>54</v>
      </c>
      <c r="H558" s="387"/>
      <c r="I558" s="387"/>
      <c r="J558" s="396"/>
      <c r="K558" s="390"/>
      <c r="L558" s="390"/>
      <c r="M558" s="397"/>
      <c r="N558" s="387"/>
      <c r="O558" s="387"/>
      <c r="P558" s="390"/>
      <c r="Q558" s="390"/>
      <c r="R558" s="395"/>
      <c r="S558" s="395">
        <f t="shared" ref="S558" si="106">AG559-AG557</f>
        <v>53.960000000002765</v>
      </c>
      <c r="T558" s="390"/>
      <c r="U558" s="390"/>
      <c r="V558" s="390"/>
      <c r="W558" s="390"/>
      <c r="X558" s="390"/>
      <c r="Y558" s="390"/>
      <c r="Z558" s="390"/>
      <c r="AA558" s="390"/>
      <c r="AB558" s="390"/>
      <c r="AC558" s="390"/>
      <c r="AD558" s="390"/>
      <c r="AE558" s="390"/>
      <c r="AF558" s="390"/>
      <c r="AG558" s="389" t="s">
        <v>695</v>
      </c>
      <c r="AH558" s="390" t="s">
        <v>695</v>
      </c>
      <c r="AI558" s="394" t="s">
        <v>695</v>
      </c>
      <c r="AJ558" s="390"/>
      <c r="AK558" s="390"/>
      <c r="AL558" s="390"/>
      <c r="AM558" s="390"/>
      <c r="AN558" s="381"/>
      <c r="AO558" s="381"/>
      <c r="AP558" s="381"/>
      <c r="AQ558" s="381">
        <f>+FL_1($T$559,$T$557,$G$558,1200,9.28, 1*$F$559)</f>
        <v>0.39962169547770721</v>
      </c>
      <c r="AR558" s="381"/>
      <c r="AS558" s="381"/>
      <c r="AT558" s="381"/>
      <c r="AU558" s="381"/>
      <c r="AV558" s="381"/>
      <c r="AW558" s="381"/>
      <c r="AX558" s="381"/>
      <c r="AY558" s="381"/>
      <c r="AZ558" s="381"/>
      <c r="BA558" s="381"/>
      <c r="BB558" s="306"/>
      <c r="BF558" s="1119"/>
      <c r="BG558" s="1119"/>
      <c r="BH558" s="1119"/>
    </row>
    <row r="559" spans="1:116" ht="14.25">
      <c r="A559" s="340"/>
      <c r="B559" s="287" t="s">
        <v>1883</v>
      </c>
      <c r="C559" s="288">
        <f>+$C$557+$G$558</f>
        <v>24798</v>
      </c>
      <c r="D559" s="1121"/>
      <c r="E559" s="1121">
        <v>100</v>
      </c>
      <c r="F559" s="289">
        <v>2000</v>
      </c>
      <c r="G559" s="292"/>
      <c r="H559" s="291" t="s">
        <v>954</v>
      </c>
      <c r="I559" s="294"/>
      <c r="J559" s="288">
        <f>C559-7.5</f>
        <v>24790.5</v>
      </c>
      <c r="K559" s="1121" t="s">
        <v>658</v>
      </c>
      <c r="L559" s="1121" t="s">
        <v>231</v>
      </c>
      <c r="M559" s="1121" t="s">
        <v>2672</v>
      </c>
      <c r="N559" s="291" t="s">
        <v>145</v>
      </c>
      <c r="O559" s="291"/>
      <c r="P559" s="1121"/>
      <c r="Q559" s="1121">
        <v>100</v>
      </c>
      <c r="R559" s="292">
        <v>1997.65</v>
      </c>
      <c r="S559" s="292"/>
      <c r="T559" s="1121">
        <v>30</v>
      </c>
      <c r="U559" s="1121"/>
      <c r="V559" s="1121"/>
      <c r="W559" s="1121">
        <v>1.4</v>
      </c>
      <c r="X559" s="1121"/>
      <c r="Y559" s="1121"/>
      <c r="Z559" s="1121"/>
      <c r="AA559" s="1121"/>
      <c r="AB559" s="1121"/>
      <c r="AC559" s="1121" t="s">
        <v>2963</v>
      </c>
      <c r="AD559" s="1121"/>
      <c r="AE559" s="1121"/>
      <c r="AF559" s="1121">
        <v>6000</v>
      </c>
      <c r="AG559" s="288">
        <v>24799.83</v>
      </c>
      <c r="AH559" s="1121">
        <v>2520</v>
      </c>
      <c r="AI559" s="289">
        <v>628</v>
      </c>
      <c r="AJ559" s="1121"/>
      <c r="AK559" s="1121"/>
      <c r="AL559" s="1121"/>
      <c r="AM559" s="1121" t="s">
        <v>1228</v>
      </c>
      <c r="AN559" s="315">
        <v>5.5</v>
      </c>
      <c r="AO559" s="315"/>
      <c r="AP559" s="315"/>
      <c r="AQ559" s="315"/>
      <c r="AR559" s="315"/>
      <c r="AS559" s="315"/>
      <c r="AT559" s="315">
        <f>+ab($T$559,$T$557,$T$561,$G$558,$G$560, 1*$F$559,1200)</f>
        <v>7.2030436965217843</v>
      </c>
      <c r="AU559" s="315"/>
      <c r="AV559" s="315"/>
      <c r="AW559" s="1121" t="s">
        <v>2630</v>
      </c>
      <c r="AX559" s="1121" t="s">
        <v>1639</v>
      </c>
      <c r="AY559" s="1121"/>
      <c r="AZ559" s="1121">
        <v>3.2</v>
      </c>
      <c r="BA559" s="1121"/>
      <c r="BB559" s="306"/>
      <c r="BF559" s="1119"/>
      <c r="BG559" s="1119"/>
      <c r="BH559" s="1119"/>
    </row>
    <row r="560" spans="1:116" ht="14.25">
      <c r="A560" s="340"/>
      <c r="B560" s="287"/>
      <c r="C560" s="288"/>
      <c r="D560" s="1121"/>
      <c r="E560" s="1121"/>
      <c r="F560" s="289"/>
      <c r="G560" s="292">
        <v>52</v>
      </c>
      <c r="H560" s="291"/>
      <c r="I560" s="294">
        <f>SUM(G544:G560)</f>
        <v>519</v>
      </c>
      <c r="J560" s="288"/>
      <c r="K560" s="1121"/>
      <c r="L560" s="1121"/>
      <c r="M560" s="1121"/>
      <c r="N560" s="291"/>
      <c r="O560" s="291"/>
      <c r="P560" s="1121"/>
      <c r="Q560" s="1121"/>
      <c r="R560" s="292"/>
      <c r="S560" s="292">
        <f t="shared" ref="S560" si="107">AG561-AG559</f>
        <v>52.089999999996508</v>
      </c>
      <c r="T560" s="1121"/>
      <c r="U560" s="1121"/>
      <c r="V560" s="1121"/>
      <c r="W560" s="1121"/>
      <c r="X560" s="1121"/>
      <c r="Y560" s="1121"/>
      <c r="Z560" s="1121"/>
      <c r="AA560" s="1121"/>
      <c r="AB560" s="1121"/>
      <c r="AC560" s="1121"/>
      <c r="AD560" s="1121"/>
      <c r="AE560" s="1121"/>
      <c r="AF560" s="1121"/>
      <c r="AG560" s="288" t="s">
        <v>695</v>
      </c>
      <c r="AH560" s="1121" t="s">
        <v>695</v>
      </c>
      <c r="AI560" s="289" t="s">
        <v>695</v>
      </c>
      <c r="AJ560" s="1121"/>
      <c r="AK560" s="1121"/>
      <c r="AL560" s="1121"/>
      <c r="AM560" s="1121"/>
      <c r="AN560" s="315"/>
      <c r="AO560" s="315"/>
      <c r="AP560" s="315"/>
      <c r="AQ560" s="315">
        <f>+FL_1($T$561,$T$559,$G$560,1200,9.28, 1*$F$561)</f>
        <v>0.39237952581325708</v>
      </c>
      <c r="AR560" s="315"/>
      <c r="AS560" s="315"/>
      <c r="AT560" s="315"/>
      <c r="AU560" s="315"/>
      <c r="AV560" s="315"/>
      <c r="AW560" s="1121"/>
      <c r="AX560" s="1121"/>
      <c r="AY560" s="1121"/>
      <c r="AZ560" s="1121"/>
      <c r="BA560" s="1121"/>
      <c r="BB560" s="306"/>
      <c r="BF560" s="1119"/>
      <c r="BG560" s="1119"/>
      <c r="BH560" s="1119"/>
    </row>
    <row r="561" spans="1:60" ht="14.25">
      <c r="A561" s="340"/>
      <c r="B561" s="287" t="s">
        <v>1884</v>
      </c>
      <c r="C561" s="288">
        <f>+$C$559+$G$560</f>
        <v>24850</v>
      </c>
      <c r="D561" s="1121"/>
      <c r="E561" s="1121">
        <v>100</v>
      </c>
      <c r="F561" s="289">
        <v>2000</v>
      </c>
      <c r="G561" s="292"/>
      <c r="H561" s="291" t="s">
        <v>955</v>
      </c>
      <c r="I561" s="294"/>
      <c r="J561" s="288"/>
      <c r="K561" s="1121"/>
      <c r="L561" s="1121" t="s">
        <v>231</v>
      </c>
      <c r="M561" s="1121" t="s">
        <v>2672</v>
      </c>
      <c r="N561" s="291" t="s">
        <v>145</v>
      </c>
      <c r="O561" s="291"/>
      <c r="P561" s="1121"/>
      <c r="Q561" s="1121">
        <v>100</v>
      </c>
      <c r="R561" s="292">
        <v>1997.65</v>
      </c>
      <c r="S561" s="292"/>
      <c r="T561" s="1121">
        <v>30</v>
      </c>
      <c r="U561" s="1121"/>
      <c r="V561" s="1121"/>
      <c r="W561" s="1121">
        <v>1.4</v>
      </c>
      <c r="X561" s="1121"/>
      <c r="Y561" s="1121"/>
      <c r="Z561" s="1121"/>
      <c r="AA561" s="1121"/>
      <c r="AB561" s="1121"/>
      <c r="AC561" s="1121" t="s">
        <v>2963</v>
      </c>
      <c r="AD561" s="1121"/>
      <c r="AE561" s="1121"/>
      <c r="AF561" s="1121">
        <v>6000</v>
      </c>
      <c r="AG561" s="288">
        <v>24851.919999999998</v>
      </c>
      <c r="AH561" s="1121">
        <v>2549</v>
      </c>
      <c r="AI561" s="289">
        <v>645</v>
      </c>
      <c r="AJ561" s="1121"/>
      <c r="AK561" s="1121"/>
      <c r="AL561" s="1121"/>
      <c r="AM561" s="1121" t="s">
        <v>1228</v>
      </c>
      <c r="AN561" s="315">
        <v>5.5</v>
      </c>
      <c r="AO561" s="315"/>
      <c r="AP561" s="315"/>
      <c r="AQ561" s="315"/>
      <c r="AR561" s="315"/>
      <c r="AS561" s="315"/>
      <c r="AT561" s="315">
        <f>+ab($T$561,$T$559,$T$563,$G$560,$G$562, 1*$F$561,1200)</f>
        <v>7.0710168220035321</v>
      </c>
      <c r="AU561" s="315"/>
      <c r="AV561" s="315"/>
      <c r="AW561" s="1121" t="s">
        <v>2630</v>
      </c>
      <c r="AX561" s="1121" t="s">
        <v>1639</v>
      </c>
      <c r="AY561" s="1121">
        <v>2.6</v>
      </c>
      <c r="AZ561" s="1121"/>
      <c r="BA561" s="1121"/>
      <c r="BB561" s="306"/>
      <c r="BF561" s="1119"/>
      <c r="BG561" s="1119"/>
      <c r="BH561" s="1119"/>
    </row>
    <row r="562" spans="1:60" ht="14.25">
      <c r="A562" s="340"/>
      <c r="B562" s="287"/>
      <c r="C562" s="288"/>
      <c r="D562" s="1121"/>
      <c r="E562" s="1121"/>
      <c r="F562" s="289"/>
      <c r="G562" s="292">
        <v>56</v>
      </c>
      <c r="H562" s="291"/>
      <c r="I562" s="294">
        <f>SUM(G562:G584)</f>
        <v>433</v>
      </c>
      <c r="J562" s="288"/>
      <c r="K562" s="1121"/>
      <c r="L562" s="1121"/>
      <c r="M562" s="1121"/>
      <c r="N562" s="291"/>
      <c r="O562" s="291"/>
      <c r="P562" s="1121"/>
      <c r="Q562" s="1121"/>
      <c r="R562" s="292"/>
      <c r="S562" s="292">
        <f t="shared" ref="S562" si="108">AG563-AG561</f>
        <v>55.900000000001455</v>
      </c>
      <c r="T562" s="1121"/>
      <c r="U562" s="1121"/>
      <c r="V562" s="1121"/>
      <c r="W562" s="1121"/>
      <c r="X562" s="1121"/>
      <c r="Y562" s="1121"/>
      <c r="Z562" s="1121"/>
      <c r="AA562" s="1121"/>
      <c r="AB562" s="1121"/>
      <c r="AC562" s="1121"/>
      <c r="AD562" s="1121"/>
      <c r="AE562" s="1121"/>
      <c r="AF562" s="1121"/>
      <c r="AG562" s="288" t="s">
        <v>695</v>
      </c>
      <c r="AH562" s="1121" t="s">
        <v>695</v>
      </c>
      <c r="AI562" s="289" t="s">
        <v>695</v>
      </c>
      <c r="AJ562" s="1121"/>
      <c r="AK562" s="1121"/>
      <c r="AL562" s="1121"/>
      <c r="AM562" s="1121"/>
      <c r="AN562" s="315"/>
      <c r="AO562" s="315"/>
      <c r="AP562" s="315"/>
      <c r="AQ562" s="315">
        <f>+FL_1($T$563,$T$561,$G$562,1200,9.28, 1*$F$563)</f>
        <v>0.45356345035710099</v>
      </c>
      <c r="AR562" s="315"/>
      <c r="AS562" s="315"/>
      <c r="AT562" s="315"/>
      <c r="AU562" s="315"/>
      <c r="AV562" s="315"/>
      <c r="AW562" s="1121" t="s">
        <v>2630</v>
      </c>
      <c r="AX562" s="1121" t="s">
        <v>1639</v>
      </c>
      <c r="AY562" s="1121"/>
      <c r="AZ562" s="1121">
        <v>2</v>
      </c>
      <c r="BA562" s="1121"/>
      <c r="BB562" s="306"/>
      <c r="BF562" s="1119"/>
      <c r="BG562" s="1119"/>
      <c r="BH562" s="1119"/>
    </row>
    <row r="563" spans="1:60" ht="14.25">
      <c r="A563" s="340"/>
      <c r="B563" s="287" t="s">
        <v>1885</v>
      </c>
      <c r="C563" s="288">
        <f>+$C$561+$G$562</f>
        <v>24906</v>
      </c>
      <c r="D563" s="1121"/>
      <c r="E563" s="1121"/>
      <c r="F563" s="289">
        <f>380000/(25051-C563)</f>
        <v>2620.6896551724139</v>
      </c>
      <c r="G563" s="292"/>
      <c r="H563" s="291" t="s">
        <v>954</v>
      </c>
      <c r="I563" s="294"/>
      <c r="J563" s="288">
        <f>C563+7.5</f>
        <v>24913.5</v>
      </c>
      <c r="K563" s="1121" t="s">
        <v>658</v>
      </c>
      <c r="L563" s="1121" t="s">
        <v>231</v>
      </c>
      <c r="M563" s="1121" t="s">
        <v>2672</v>
      </c>
      <c r="N563" s="291" t="s">
        <v>145</v>
      </c>
      <c r="O563" s="291"/>
      <c r="P563" s="1121"/>
      <c r="Q563" s="1121">
        <v>73</v>
      </c>
      <c r="R563" s="292">
        <v>2620.5500000000002</v>
      </c>
      <c r="S563" s="292"/>
      <c r="T563" s="1121">
        <v>30</v>
      </c>
      <c r="U563" s="1121"/>
      <c r="V563" s="1121"/>
      <c r="W563" s="1121">
        <v>1.4</v>
      </c>
      <c r="X563" s="1121"/>
      <c r="Y563" s="1121"/>
      <c r="Z563" s="1121"/>
      <c r="AA563" s="1121"/>
      <c r="AB563" s="1121"/>
      <c r="AC563" s="1121" t="s">
        <v>2963</v>
      </c>
      <c r="AD563" s="1121"/>
      <c r="AE563" s="1121"/>
      <c r="AF563" s="1121">
        <v>6000</v>
      </c>
      <c r="AG563" s="288">
        <v>24907.82</v>
      </c>
      <c r="AH563" s="1121">
        <v>2542</v>
      </c>
      <c r="AI563" s="289">
        <v>616</v>
      </c>
      <c r="AJ563" s="1121"/>
      <c r="AK563" s="1121"/>
      <c r="AL563" s="1121"/>
      <c r="AM563" s="1121" t="s">
        <v>1228</v>
      </c>
      <c r="AN563" s="315">
        <v>5.5</v>
      </c>
      <c r="AO563" s="315"/>
      <c r="AP563" s="315"/>
      <c r="AQ563" s="315"/>
      <c r="AR563" s="315"/>
      <c r="AS563" s="315"/>
      <c r="AT563" s="315">
        <f>+ab($T$563,$T$561,$T$565,$G$562,$G$564, 1*$F$563,1200)</f>
        <v>8.0107028302117378</v>
      </c>
      <c r="AU563" s="315"/>
      <c r="AV563" s="315"/>
      <c r="AW563" s="1121" t="s">
        <v>2630</v>
      </c>
      <c r="AX563" s="1121" t="s">
        <v>1639</v>
      </c>
      <c r="AY563" s="1121">
        <v>2.6</v>
      </c>
      <c r="AZ563" s="1121"/>
      <c r="BA563" s="1121"/>
      <c r="BB563" s="306"/>
      <c r="BF563" s="1119"/>
      <c r="BG563" s="1119"/>
      <c r="BH563" s="1119"/>
    </row>
    <row r="564" spans="1:60" ht="14.25">
      <c r="A564" s="340"/>
      <c r="B564" s="287"/>
      <c r="C564" s="288"/>
      <c r="D564" s="1121"/>
      <c r="E564" s="1121"/>
      <c r="F564" s="289"/>
      <c r="G564" s="292">
        <v>60</v>
      </c>
      <c r="H564" s="291"/>
      <c r="I564" s="294"/>
      <c r="J564" s="288"/>
      <c r="K564" s="1121"/>
      <c r="L564" s="1121"/>
      <c r="M564" s="1121"/>
      <c r="N564" s="291"/>
      <c r="O564" s="291"/>
      <c r="P564" s="1121"/>
      <c r="Q564" s="1121"/>
      <c r="R564" s="292"/>
      <c r="S564" s="292">
        <f t="shared" ref="S564" si="109">AG565-AG563</f>
        <v>59.869999999998981</v>
      </c>
      <c r="T564" s="1121"/>
      <c r="U564" s="1121"/>
      <c r="V564" s="1121"/>
      <c r="W564" s="1121"/>
      <c r="X564" s="1121"/>
      <c r="Y564" s="1121"/>
      <c r="Z564" s="1121"/>
      <c r="AA564" s="1121"/>
      <c r="AB564" s="1121"/>
      <c r="AC564" s="1121"/>
      <c r="AD564" s="1121"/>
      <c r="AE564" s="1121"/>
      <c r="AF564" s="1121"/>
      <c r="AG564" s="288" t="s">
        <v>695</v>
      </c>
      <c r="AH564" s="1121" t="s">
        <v>695</v>
      </c>
      <c r="AI564" s="289" t="s">
        <v>695</v>
      </c>
      <c r="AJ564" s="1121"/>
      <c r="AK564" s="1121"/>
      <c r="AL564" s="1121"/>
      <c r="AM564" s="1121"/>
      <c r="AN564" s="315"/>
      <c r="AO564" s="315"/>
      <c r="AP564" s="315"/>
      <c r="AQ564" s="315">
        <f>+FL_1($T$565,$T$563,$G$564,1200,9.28, 1*$F$565)</f>
        <v>0.49986785823813551</v>
      </c>
      <c r="AR564" s="315"/>
      <c r="AS564" s="315"/>
      <c r="AT564" s="315"/>
      <c r="AU564" s="315"/>
      <c r="AV564" s="315"/>
      <c r="AW564" s="1121"/>
      <c r="AX564" s="1121"/>
      <c r="AY564" s="1121"/>
      <c r="AZ564" s="1121"/>
      <c r="BA564" s="1121"/>
      <c r="BB564" s="306"/>
      <c r="BF564" s="1119"/>
      <c r="BG564" s="1119"/>
      <c r="BH564" s="1119"/>
    </row>
    <row r="565" spans="1:60" ht="14.25">
      <c r="A565" s="340"/>
      <c r="B565" s="287" t="s">
        <v>1886</v>
      </c>
      <c r="C565" s="288">
        <f>+$C$563+$G$564</f>
        <v>24966</v>
      </c>
      <c r="D565" s="1121"/>
      <c r="E565" s="1121"/>
      <c r="F565" s="289">
        <f>380000/(25051-C565)</f>
        <v>4470.588235294118</v>
      </c>
      <c r="G565" s="292"/>
      <c r="H565" s="291"/>
      <c r="I565" s="294"/>
      <c r="J565" s="288"/>
      <c r="K565" s="1121"/>
      <c r="L565" s="1121" t="s">
        <v>230</v>
      </c>
      <c r="M565" s="1121" t="s">
        <v>2671</v>
      </c>
      <c r="N565" s="291" t="s">
        <v>145</v>
      </c>
      <c r="O565" s="291"/>
      <c r="P565" s="1121"/>
      <c r="Q565" s="1121">
        <v>43</v>
      </c>
      <c r="R565" s="292">
        <v>4469.45</v>
      </c>
      <c r="S565" s="292"/>
      <c r="T565" s="1121">
        <v>20</v>
      </c>
      <c r="U565" s="1121"/>
      <c r="V565" s="1121"/>
      <c r="W565" s="1121">
        <v>1.4</v>
      </c>
      <c r="X565" s="1121"/>
      <c r="Y565" s="1121"/>
      <c r="Z565" s="1121"/>
      <c r="AA565" s="1121"/>
      <c r="AB565" s="1121"/>
      <c r="AC565" s="1121" t="s">
        <v>1704</v>
      </c>
      <c r="AD565" s="1121"/>
      <c r="AE565" s="1121"/>
      <c r="AF565" s="1121">
        <v>6000</v>
      </c>
      <c r="AG565" s="288">
        <v>24967.69</v>
      </c>
      <c r="AH565" s="1121">
        <v>2551</v>
      </c>
      <c r="AI565" s="289">
        <v>655</v>
      </c>
      <c r="AJ565" s="1121"/>
      <c r="AK565" s="1121"/>
      <c r="AL565" s="1121"/>
      <c r="AM565" s="1121" t="s">
        <v>1228</v>
      </c>
      <c r="AN565" s="315">
        <v>5.5</v>
      </c>
      <c r="AO565" s="315"/>
      <c r="AP565" s="315"/>
      <c r="AQ565" s="315"/>
      <c r="AR565" s="315"/>
      <c r="AS565" s="315"/>
      <c r="AT565" s="315">
        <f>+ab($T$565,$T$563,$T$567,$G$564,$G$566, 1*$F$565,1200)</f>
        <v>9.8674527669951893</v>
      </c>
      <c r="AU565" s="315"/>
      <c r="AV565" s="315"/>
      <c r="AW565" s="1121" t="s">
        <v>2630</v>
      </c>
      <c r="AX565" s="1121" t="s">
        <v>1639</v>
      </c>
      <c r="AY565" s="1121">
        <v>3</v>
      </c>
      <c r="AZ565" s="1121"/>
      <c r="BA565" s="1121"/>
      <c r="BB565" s="306"/>
      <c r="BF565" s="1119"/>
      <c r="BG565" s="1119"/>
      <c r="BH565" s="1119"/>
    </row>
    <row r="566" spans="1:60" ht="14.25">
      <c r="A566" s="318"/>
      <c r="B566" s="329"/>
      <c r="C566" s="320"/>
      <c r="D566" s="976"/>
      <c r="E566" s="976"/>
      <c r="F566" s="326"/>
      <c r="G566" s="327">
        <v>60</v>
      </c>
      <c r="H566" s="337"/>
      <c r="I566" s="319"/>
      <c r="J566" s="320">
        <f>C567-7.5</f>
        <v>25018.5</v>
      </c>
      <c r="K566" s="976" t="s">
        <v>653</v>
      </c>
      <c r="L566" s="976"/>
      <c r="M566" s="976"/>
      <c r="N566" s="337"/>
      <c r="O566" s="337"/>
      <c r="P566" s="976"/>
      <c r="Q566" s="976"/>
      <c r="R566" s="327"/>
      <c r="S566" s="327">
        <f t="shared" ref="S566" si="110">AG567-AG565</f>
        <v>60.030000000002474</v>
      </c>
      <c r="T566" s="976"/>
      <c r="U566" s="976"/>
      <c r="V566" s="976"/>
      <c r="W566" s="976"/>
      <c r="X566" s="976"/>
      <c r="Y566" s="976"/>
      <c r="Z566" s="976"/>
      <c r="AA566" s="976"/>
      <c r="AB566" s="976"/>
      <c r="AC566" s="976"/>
      <c r="AD566" s="976"/>
      <c r="AE566" s="976"/>
      <c r="AF566" s="976"/>
      <c r="AG566" s="320" t="s">
        <v>695</v>
      </c>
      <c r="AH566" s="976" t="s">
        <v>695</v>
      </c>
      <c r="AI566" s="326" t="s">
        <v>695</v>
      </c>
      <c r="AJ566" s="976"/>
      <c r="AK566" s="976"/>
      <c r="AL566" s="976"/>
      <c r="AM566" s="976"/>
      <c r="AN566" s="321"/>
      <c r="AO566" s="321"/>
      <c r="AP566" s="321"/>
      <c r="AQ566" s="321">
        <f>+FL_2($T$567,$T$565,$G$566,1200,9.28, 1*$F$567)</f>
        <v>-0.40936853333333328</v>
      </c>
      <c r="AR566" s="321"/>
      <c r="AS566" s="321"/>
      <c r="AT566" s="321"/>
      <c r="AU566" s="321"/>
      <c r="AV566" s="321"/>
      <c r="AW566" s="976" t="s">
        <v>2630</v>
      </c>
      <c r="AX566" s="976" t="s">
        <v>1639</v>
      </c>
      <c r="AY566" s="976"/>
      <c r="AZ566" s="976">
        <v>2.1</v>
      </c>
      <c r="BA566" s="976"/>
      <c r="BB566" s="306"/>
      <c r="BF566" s="1119"/>
      <c r="BG566" s="1119"/>
      <c r="BH566" s="1119"/>
    </row>
    <row r="567" spans="1:60" ht="14.25">
      <c r="A567" s="318"/>
      <c r="B567" s="329" t="s">
        <v>1887</v>
      </c>
      <c r="C567" s="320">
        <f>+$C$565+$G$566</f>
        <v>25026</v>
      </c>
      <c r="D567" s="976"/>
      <c r="E567" s="976"/>
      <c r="F567" s="326">
        <v>0</v>
      </c>
      <c r="G567" s="327"/>
      <c r="H567" s="337" t="s">
        <v>138</v>
      </c>
      <c r="I567" s="319" t="s">
        <v>656</v>
      </c>
      <c r="J567" s="320"/>
      <c r="K567" s="976"/>
      <c r="L567" s="976" t="s">
        <v>1061</v>
      </c>
      <c r="M567" s="976" t="s">
        <v>2672</v>
      </c>
      <c r="N567" s="337" t="s">
        <v>144</v>
      </c>
      <c r="O567" s="337"/>
      <c r="P567" s="976"/>
      <c r="Q567" s="976">
        <v>12</v>
      </c>
      <c r="R567" s="327">
        <v>15251.45</v>
      </c>
      <c r="S567" s="327"/>
      <c r="T567" s="976">
        <v>-25</v>
      </c>
      <c r="U567" s="976"/>
      <c r="V567" s="976"/>
      <c r="W567" s="976">
        <v>1.4</v>
      </c>
      <c r="X567" s="976"/>
      <c r="Y567" s="976"/>
      <c r="Z567" s="976"/>
      <c r="AA567" s="976"/>
      <c r="AB567" s="976"/>
      <c r="AC567" s="976" t="s">
        <v>1702</v>
      </c>
      <c r="AD567" s="976"/>
      <c r="AE567" s="976"/>
      <c r="AF567" s="976">
        <v>6000</v>
      </c>
      <c r="AG567" s="320">
        <v>25027.72</v>
      </c>
      <c r="AH567" s="976">
        <v>2553</v>
      </c>
      <c r="AI567" s="326">
        <v>638</v>
      </c>
      <c r="AJ567" s="976"/>
      <c r="AK567" s="976"/>
      <c r="AL567" s="976"/>
      <c r="AM567" s="976" t="s">
        <v>1228</v>
      </c>
      <c r="AN567" s="321">
        <v>5.5</v>
      </c>
      <c r="AO567" s="321"/>
      <c r="AP567" s="321"/>
      <c r="AQ567" s="321"/>
      <c r="AR567" s="321"/>
      <c r="AS567" s="321"/>
      <c r="AT567" s="321">
        <f>+ab($T$567,$T$565,$T$571,$G$566,$G$570, 1*$F$567,1200)</f>
        <v>-8.9387537206333114</v>
      </c>
      <c r="AU567" s="321"/>
      <c r="AV567" s="321"/>
      <c r="AW567" s="976" t="s">
        <v>2630</v>
      </c>
      <c r="AX567" s="976" t="s">
        <v>1639</v>
      </c>
      <c r="AY567" s="976">
        <v>3.2</v>
      </c>
      <c r="AZ567" s="976"/>
      <c r="BA567" s="976"/>
      <c r="BB567" s="306"/>
      <c r="BF567" s="1119"/>
      <c r="BG567" s="1119"/>
      <c r="BH567" s="1119"/>
    </row>
    <row r="568" spans="1:60" s="1204" customFormat="1" ht="14.25">
      <c r="A568" s="318"/>
      <c r="B568" s="329"/>
      <c r="C568" s="320"/>
      <c r="D568" s="976"/>
      <c r="E568" s="976"/>
      <c r="F568" s="326"/>
      <c r="G568" s="327"/>
      <c r="H568" s="337"/>
      <c r="I568" s="319"/>
      <c r="J568" s="320"/>
      <c r="K568" s="976"/>
      <c r="L568" s="976"/>
      <c r="M568" s="976"/>
      <c r="N568" s="337"/>
      <c r="O568" s="337"/>
      <c r="P568" s="976"/>
      <c r="Q568" s="976"/>
      <c r="R568" s="327"/>
      <c r="S568" s="327"/>
      <c r="T568" s="976"/>
      <c r="U568" s="976"/>
      <c r="V568" s="976"/>
      <c r="W568" s="976"/>
      <c r="X568" s="976"/>
      <c r="Y568" s="976"/>
      <c r="Z568" s="976"/>
      <c r="AA568" s="976"/>
      <c r="AB568" s="976"/>
      <c r="AC568" s="976"/>
      <c r="AD568" s="976"/>
      <c r="AE568" s="976"/>
      <c r="AF568" s="976"/>
      <c r="AG568" s="320"/>
      <c r="AH568" s="976" t="s">
        <v>695</v>
      </c>
      <c r="AI568" s="326" t="s">
        <v>695</v>
      </c>
      <c r="AJ568" s="976"/>
      <c r="AK568" s="976"/>
      <c r="AL568" s="976"/>
      <c r="AM568" s="976"/>
      <c r="AN568" s="321"/>
      <c r="AO568" s="321"/>
      <c r="AP568" s="321"/>
      <c r="AQ568" s="321"/>
      <c r="AR568" s="321"/>
      <c r="AS568" s="321"/>
      <c r="AT568" s="321"/>
      <c r="AU568" s="321"/>
      <c r="AV568" s="321"/>
      <c r="AW568" s="976"/>
      <c r="AX568" s="976"/>
      <c r="AY568" s="321"/>
      <c r="AZ568" s="321"/>
      <c r="BA568" s="321"/>
      <c r="BB568" s="306"/>
      <c r="BE568" s="307"/>
      <c r="BF568" s="307"/>
      <c r="BG568" s="307"/>
    </row>
    <row r="569" spans="1:60" s="1204" customFormat="1" ht="14.25">
      <c r="A569" s="318"/>
      <c r="B569" s="329" t="s">
        <v>3276</v>
      </c>
      <c r="C569" s="320"/>
      <c r="D569" s="976"/>
      <c r="E569" s="976"/>
      <c r="F569" s="326"/>
      <c r="G569" s="327"/>
      <c r="H569" s="337"/>
      <c r="I569" s="319"/>
      <c r="J569" s="320"/>
      <c r="K569" s="976"/>
      <c r="L569" s="976" t="s">
        <v>3274</v>
      </c>
      <c r="M569" s="1208" t="s">
        <v>3273</v>
      </c>
      <c r="N569" s="337"/>
      <c r="O569" s="337"/>
      <c r="P569" s="976"/>
      <c r="Q569" s="976"/>
      <c r="R569" s="327"/>
      <c r="S569" s="327"/>
      <c r="T569" s="976"/>
      <c r="U569" s="976"/>
      <c r="V569" s="976"/>
      <c r="W569" s="976"/>
      <c r="X569" s="976"/>
      <c r="Y569" s="976"/>
      <c r="Z569" s="976"/>
      <c r="AA569" s="976"/>
      <c r="AB569" s="976"/>
      <c r="AC569" s="976"/>
      <c r="AD569" s="976"/>
      <c r="AE569" s="976"/>
      <c r="AF569" s="976"/>
      <c r="AG569" s="320">
        <v>25060</v>
      </c>
      <c r="AH569" s="976"/>
      <c r="AI569" s="326"/>
      <c r="AJ569" s="976"/>
      <c r="AK569" s="976"/>
      <c r="AL569" s="976"/>
      <c r="AM569" s="976"/>
      <c r="AN569" s="321"/>
      <c r="AO569" s="321"/>
      <c r="AP569" s="321"/>
      <c r="AQ569" s="321"/>
      <c r="AR569" s="321"/>
      <c r="AS569" s="321"/>
      <c r="AT569" s="321"/>
      <c r="AU569" s="321"/>
      <c r="AV569" s="321"/>
      <c r="AW569" s="321" t="s">
        <v>2631</v>
      </c>
      <c r="AX569" s="321" t="s">
        <v>1639</v>
      </c>
      <c r="AY569" s="321">
        <v>1.2</v>
      </c>
      <c r="AZ569" s="321"/>
      <c r="BA569" s="321"/>
      <c r="BB569" s="306"/>
      <c r="BE569" s="307"/>
      <c r="BF569" s="307"/>
      <c r="BG569" s="307"/>
    </row>
    <row r="570" spans="1:60" ht="14.25">
      <c r="A570" s="318"/>
      <c r="B570" s="329"/>
      <c r="C570" s="320"/>
      <c r="D570" s="976"/>
      <c r="E570" s="976"/>
      <c r="F570" s="326"/>
      <c r="G570" s="327">
        <v>58</v>
      </c>
      <c r="H570" s="337"/>
      <c r="I570" s="319"/>
      <c r="J570" s="320"/>
      <c r="K570" s="976"/>
      <c r="L570" s="976"/>
      <c r="M570" s="976"/>
      <c r="N570" s="337"/>
      <c r="O570" s="337"/>
      <c r="P570" s="976"/>
      <c r="Q570" s="976"/>
      <c r="R570" s="327"/>
      <c r="S570" s="327">
        <f>AG571-AG567</f>
        <v>57.340000000000146</v>
      </c>
      <c r="T570" s="976"/>
      <c r="U570" s="976"/>
      <c r="V570" s="976"/>
      <c r="W570" s="976"/>
      <c r="X570" s="976"/>
      <c r="Y570" s="976"/>
      <c r="Z570" s="976"/>
      <c r="AA570" s="976"/>
      <c r="AB570" s="976"/>
      <c r="AC570" s="976"/>
      <c r="AD570" s="976"/>
      <c r="AE570" s="976"/>
      <c r="AF570" s="976"/>
      <c r="AG570" s="320" t="s">
        <v>695</v>
      </c>
      <c r="AH570" s="976" t="s">
        <v>695</v>
      </c>
      <c r="AI570" s="326" t="s">
        <v>695</v>
      </c>
      <c r="AJ570" s="976"/>
      <c r="AK570" s="976"/>
      <c r="AL570" s="976"/>
      <c r="AM570" s="976"/>
      <c r="AN570" s="321"/>
      <c r="AO570" s="321"/>
      <c r="AP570" s="321"/>
      <c r="AQ570" s="321">
        <f>+FL_2($U$571,$T$567,$G$570,1200,9.28, 1*$F$571)</f>
        <v>-0.423730832183908</v>
      </c>
      <c r="AR570" s="321"/>
      <c r="AS570" s="321"/>
      <c r="AT570" s="321"/>
      <c r="AU570" s="321"/>
      <c r="AV570" s="321"/>
      <c r="AW570" s="976"/>
      <c r="AX570" s="976"/>
      <c r="AY570" s="976"/>
      <c r="AZ570" s="976"/>
      <c r="BA570" s="976"/>
      <c r="BB570" s="306"/>
      <c r="BF570" s="1119"/>
      <c r="BG570" s="1119"/>
      <c r="BH570" s="1119"/>
    </row>
    <row r="571" spans="1:60" ht="14.25">
      <c r="A571" s="318"/>
      <c r="B571" s="329" t="s">
        <v>1888</v>
      </c>
      <c r="C571" s="320">
        <f>+$C$567+$G$570</f>
        <v>25084</v>
      </c>
      <c r="D571" s="976"/>
      <c r="E571" s="976"/>
      <c r="F571" s="326">
        <v>0</v>
      </c>
      <c r="G571" s="327"/>
      <c r="H571" s="337" t="s">
        <v>651</v>
      </c>
      <c r="I571" s="319" t="s">
        <v>2016</v>
      </c>
      <c r="J571" s="320"/>
      <c r="K571" s="976"/>
      <c r="L571" s="976" t="s">
        <v>231</v>
      </c>
      <c r="M571" s="976" t="s">
        <v>2672</v>
      </c>
      <c r="N571" s="337" t="s">
        <v>140</v>
      </c>
      <c r="O571" s="337" t="s">
        <v>145</v>
      </c>
      <c r="P571" s="976"/>
      <c r="Q571" s="976">
        <v>0</v>
      </c>
      <c r="R571" s="326">
        <v>0</v>
      </c>
      <c r="S571" s="327"/>
      <c r="T571" s="976">
        <v>55</v>
      </c>
      <c r="U571" s="976">
        <v>10</v>
      </c>
      <c r="V571" s="976"/>
      <c r="W571" s="976">
        <v>1.4</v>
      </c>
      <c r="X571" s="976">
        <v>2.2999999999999998</v>
      </c>
      <c r="Y571" s="976"/>
      <c r="Z571" s="976">
        <v>0.45</v>
      </c>
      <c r="AA571" s="976"/>
      <c r="AB571" s="976"/>
      <c r="AC571" s="976"/>
      <c r="AD571" s="976" t="s">
        <v>2971</v>
      </c>
      <c r="AE571" s="976"/>
      <c r="AF571" s="976">
        <v>6000</v>
      </c>
      <c r="AG571" s="320">
        <v>25085.06</v>
      </c>
      <c r="AH571" s="976">
        <v>2547</v>
      </c>
      <c r="AI571" s="326">
        <v>613</v>
      </c>
      <c r="AJ571" s="976" t="s">
        <v>3248</v>
      </c>
      <c r="AK571" s="976"/>
      <c r="AL571" s="976"/>
      <c r="AM571" s="976" t="s">
        <v>1228</v>
      </c>
      <c r="AN571" s="321">
        <v>5.5</v>
      </c>
      <c r="AO571" s="321"/>
      <c r="AP571" s="321"/>
      <c r="AQ571" s="321"/>
      <c r="AR571" s="321"/>
      <c r="AS571" s="321"/>
      <c r="AT571" s="321">
        <f>+ab($U$571,$T$567,$U$575,$G$570,$G$572, 1*$F$571,1200)</f>
        <v>8.8497365409128648</v>
      </c>
      <c r="AU571" s="321"/>
      <c r="AV571" s="321"/>
      <c r="AW571" s="976" t="s">
        <v>2630</v>
      </c>
      <c r="AX571" s="976" t="s">
        <v>1639</v>
      </c>
      <c r="AY571" s="976">
        <v>3.2</v>
      </c>
      <c r="AZ571" s="976"/>
      <c r="BA571" s="976"/>
      <c r="BB571" s="306"/>
      <c r="BF571" s="1119"/>
      <c r="BG571" s="1119"/>
      <c r="BH571" s="1119"/>
    </row>
    <row r="572" spans="1:60" ht="14.25">
      <c r="A572" s="318"/>
      <c r="B572" s="329"/>
      <c r="C572" s="320"/>
      <c r="D572" s="976"/>
      <c r="E572" s="976"/>
      <c r="F572" s="326"/>
      <c r="G572" s="327">
        <v>42</v>
      </c>
      <c r="H572" s="337"/>
      <c r="I572" s="319"/>
      <c r="J572" s="320"/>
      <c r="K572" s="976"/>
      <c r="L572" s="976"/>
      <c r="M572" s="976"/>
      <c r="N572" s="337"/>
      <c r="O572" s="337"/>
      <c r="P572" s="976"/>
      <c r="Q572" s="976"/>
      <c r="R572" s="327"/>
      <c r="S572" s="327">
        <f t="shared" ref="S572" si="111">AG573-AG571</f>
        <v>42.459999999999127</v>
      </c>
      <c r="T572" s="976"/>
      <c r="U572" s="976"/>
      <c r="V572" s="976"/>
      <c r="W572" s="976"/>
      <c r="X572" s="976"/>
      <c r="Y572" s="976"/>
      <c r="Z572" s="976"/>
      <c r="AA572" s="976"/>
      <c r="AB572" s="976"/>
      <c r="AC572" s="976"/>
      <c r="AD572" s="976"/>
      <c r="AE572" s="976"/>
      <c r="AF572" s="976"/>
      <c r="AG572" s="320" t="s">
        <v>695</v>
      </c>
      <c r="AH572" s="976" t="s">
        <v>695</v>
      </c>
      <c r="AI572" s="326" t="s">
        <v>695</v>
      </c>
      <c r="AJ572" s="976" t="s">
        <v>1593</v>
      </c>
      <c r="AK572" s="976"/>
      <c r="AL572" s="976"/>
      <c r="AM572" s="976"/>
      <c r="AN572" s="321"/>
      <c r="AO572" s="321"/>
      <c r="AP572" s="321"/>
      <c r="AQ572" s="321">
        <f>+FL_1($T$575,$U$571,$G$572+5,1200,9.28, 1*$F$573)</f>
        <v>0.22524425531914893</v>
      </c>
      <c r="AR572" s="321"/>
      <c r="AS572" s="321"/>
      <c r="AT572" s="321"/>
      <c r="AU572" s="321"/>
      <c r="AV572" s="321"/>
      <c r="AW572" s="976"/>
      <c r="AX572" s="976"/>
      <c r="AY572" s="976"/>
      <c r="AZ572" s="976"/>
      <c r="BA572" s="976"/>
      <c r="BB572" s="306"/>
      <c r="BF572" s="1119"/>
      <c r="BG572" s="1119"/>
      <c r="BH572" s="1119"/>
    </row>
    <row r="573" spans="1:60" ht="14.25">
      <c r="A573" s="318"/>
      <c r="B573" s="329" t="s">
        <v>1889</v>
      </c>
      <c r="C573" s="320">
        <f>+$C$571+$G$572</f>
        <v>25126</v>
      </c>
      <c r="D573" s="976"/>
      <c r="E573" s="976"/>
      <c r="F573" s="326">
        <v>0</v>
      </c>
      <c r="G573" s="327"/>
      <c r="H573" s="337"/>
      <c r="I573" s="319"/>
      <c r="J573" s="320"/>
      <c r="K573" s="976"/>
      <c r="L573" s="976" t="s">
        <v>881</v>
      </c>
      <c r="M573" s="976" t="s">
        <v>1057</v>
      </c>
      <c r="N573" s="337"/>
      <c r="O573" s="337"/>
      <c r="P573" s="976"/>
      <c r="Q573" s="976">
        <v>0</v>
      </c>
      <c r="R573" s="326">
        <v>0</v>
      </c>
      <c r="S573" s="327"/>
      <c r="T573" s="976"/>
      <c r="U573" s="976"/>
      <c r="V573" s="976"/>
      <c r="W573" s="976"/>
      <c r="X573" s="976"/>
      <c r="Y573" s="976"/>
      <c r="Z573" s="976"/>
      <c r="AA573" s="976"/>
      <c r="AB573" s="976"/>
      <c r="AC573" s="976"/>
      <c r="AD573" s="976"/>
      <c r="AE573" s="976"/>
      <c r="AF573" s="976">
        <v>6000</v>
      </c>
      <c r="AG573" s="320">
        <v>25127.52</v>
      </c>
      <c r="AH573" s="976">
        <v>2543</v>
      </c>
      <c r="AI573" s="326">
        <v>656</v>
      </c>
      <c r="AJ573" s="976" t="s">
        <v>1590</v>
      </c>
      <c r="AK573" s="976"/>
      <c r="AL573" s="976"/>
      <c r="AM573" s="976" t="s">
        <v>1228</v>
      </c>
      <c r="AN573" s="321"/>
      <c r="AO573" s="321"/>
      <c r="AP573" s="321"/>
      <c r="AQ573" s="321"/>
      <c r="AR573" s="321"/>
      <c r="AS573" s="321"/>
      <c r="AT573" s="321"/>
      <c r="AU573" s="321"/>
      <c r="AV573" s="321"/>
      <c r="AW573" s="976" t="s">
        <v>2630</v>
      </c>
      <c r="AX573" s="976" t="s">
        <v>1639</v>
      </c>
      <c r="AY573" s="976">
        <v>3.4</v>
      </c>
      <c r="AZ573" s="976"/>
      <c r="BA573" s="976"/>
      <c r="BB573" s="306"/>
      <c r="BF573" s="1119"/>
      <c r="BG573" s="1119"/>
      <c r="BH573" s="1119"/>
    </row>
    <row r="574" spans="1:60" ht="14.25">
      <c r="A574" s="318"/>
      <c r="B574" s="329"/>
      <c r="C574" s="320"/>
      <c r="D574" s="976"/>
      <c r="E574" s="976"/>
      <c r="F574" s="326"/>
      <c r="G574" s="327">
        <v>5</v>
      </c>
      <c r="H574" s="337"/>
      <c r="I574" s="319"/>
      <c r="J574" s="320"/>
      <c r="K574" s="976"/>
      <c r="L574" s="976"/>
      <c r="M574" s="976"/>
      <c r="N574" s="337"/>
      <c r="O574" s="337"/>
      <c r="P574" s="976"/>
      <c r="Q574" s="976"/>
      <c r="R574" s="327"/>
      <c r="S574" s="327">
        <f t="shared" ref="S574" si="112">AG575-AG573</f>
        <v>4.9700000000011642</v>
      </c>
      <c r="T574" s="976"/>
      <c r="U574" s="976"/>
      <c r="V574" s="976"/>
      <c r="W574" s="976"/>
      <c r="X574" s="976"/>
      <c r="Y574" s="976"/>
      <c r="Z574" s="976"/>
      <c r="AA574" s="976"/>
      <c r="AB574" s="976"/>
      <c r="AC574" s="976"/>
      <c r="AD574" s="976"/>
      <c r="AE574" s="976"/>
      <c r="AF574" s="976"/>
      <c r="AG574" s="320" t="s">
        <v>695</v>
      </c>
      <c r="AH574" s="976" t="s">
        <v>695</v>
      </c>
      <c r="AI574" s="326" t="s">
        <v>695</v>
      </c>
      <c r="AJ574" s="976"/>
      <c r="AK574" s="976"/>
      <c r="AL574" s="976"/>
      <c r="AM574" s="976"/>
      <c r="AN574" s="321"/>
      <c r="AO574" s="321"/>
      <c r="AP574" s="321"/>
      <c r="AQ574" s="321"/>
      <c r="AR574" s="321"/>
      <c r="AS574" s="321"/>
      <c r="AT574" s="321"/>
      <c r="AU574" s="321"/>
      <c r="AV574" s="321"/>
      <c r="AW574" s="976"/>
      <c r="AX574" s="976"/>
      <c r="AY574" s="976"/>
      <c r="AZ574" s="976"/>
      <c r="BA574" s="976"/>
      <c r="BB574" s="306"/>
      <c r="BF574" s="1119"/>
      <c r="BG574" s="1119"/>
      <c r="BH574" s="1119"/>
    </row>
    <row r="575" spans="1:60" ht="14.25">
      <c r="A575" s="318"/>
      <c r="B575" s="329" t="s">
        <v>1890</v>
      </c>
      <c r="C575" s="320">
        <f>+$C$573+$G$574</f>
        <v>25131</v>
      </c>
      <c r="D575" s="976"/>
      <c r="E575" s="976"/>
      <c r="F575" s="326">
        <v>0</v>
      </c>
      <c r="G575" s="327"/>
      <c r="H575" s="337" t="s">
        <v>651</v>
      </c>
      <c r="I575" s="319" t="s">
        <v>2016</v>
      </c>
      <c r="J575" s="320"/>
      <c r="K575" s="976"/>
      <c r="L575" s="976" t="s">
        <v>231</v>
      </c>
      <c r="M575" s="976" t="s">
        <v>2672</v>
      </c>
      <c r="N575" s="337" t="s">
        <v>144</v>
      </c>
      <c r="O575" s="337" t="s">
        <v>140</v>
      </c>
      <c r="P575" s="976"/>
      <c r="Q575" s="976">
        <v>0</v>
      </c>
      <c r="R575" s="326">
        <v>0</v>
      </c>
      <c r="S575" s="327"/>
      <c r="T575" s="976">
        <v>-10</v>
      </c>
      <c r="U575" s="976">
        <v>-55</v>
      </c>
      <c r="V575" s="976"/>
      <c r="W575" s="976">
        <v>1.4</v>
      </c>
      <c r="X575" s="976">
        <v>2.2999999999999998</v>
      </c>
      <c r="Y575" s="976"/>
      <c r="Z575" s="976"/>
      <c r="AA575" s="976">
        <v>0.45</v>
      </c>
      <c r="AB575" s="976"/>
      <c r="AC575" s="976" t="s">
        <v>2963</v>
      </c>
      <c r="AD575" s="976"/>
      <c r="AE575" s="976"/>
      <c r="AF575" s="976">
        <v>6000</v>
      </c>
      <c r="AG575" s="320">
        <v>25132.49</v>
      </c>
      <c r="AH575" s="976">
        <v>2540</v>
      </c>
      <c r="AI575" s="326">
        <v>620</v>
      </c>
      <c r="AJ575" s="976" t="s">
        <v>3248</v>
      </c>
      <c r="AK575" s="976"/>
      <c r="AL575" s="976"/>
      <c r="AM575" s="976" t="s">
        <v>1228</v>
      </c>
      <c r="AN575" s="321">
        <v>5.5</v>
      </c>
      <c r="AO575" s="321"/>
      <c r="AP575" s="321"/>
      <c r="AQ575" s="321"/>
      <c r="AR575" s="321"/>
      <c r="AS575" s="321"/>
      <c r="AT575" s="321">
        <f>+ab($T$575,$T$571,$T$577,$G$574,$G$576, 1*$F$575,1200)</f>
        <v>-1.333924168909056</v>
      </c>
      <c r="AU575" s="321"/>
      <c r="AV575" s="321"/>
      <c r="AW575" s="976" t="s">
        <v>2630</v>
      </c>
      <c r="AX575" s="976" t="s">
        <v>1639</v>
      </c>
      <c r="AY575" s="976">
        <v>3.2</v>
      </c>
      <c r="AZ575" s="976"/>
      <c r="BA575" s="976"/>
      <c r="BB575" s="306"/>
      <c r="BF575" s="1119"/>
      <c r="BG575" s="1119"/>
      <c r="BH575" s="1119"/>
    </row>
    <row r="576" spans="1:60" ht="14.25">
      <c r="A576" s="318"/>
      <c r="B576" s="329"/>
      <c r="C576" s="320"/>
      <c r="D576" s="976"/>
      <c r="E576" s="976"/>
      <c r="F576" s="326"/>
      <c r="G576" s="327">
        <v>47</v>
      </c>
      <c r="H576" s="337"/>
      <c r="I576" s="319"/>
      <c r="J576" s="320"/>
      <c r="K576" s="976"/>
      <c r="L576" s="976"/>
      <c r="M576" s="976"/>
      <c r="N576" s="337"/>
      <c r="O576" s="337"/>
      <c r="P576" s="976"/>
      <c r="Q576" s="976"/>
      <c r="R576" s="327"/>
      <c r="S576" s="327">
        <f t="shared" ref="S576" si="113">AG577-AG575</f>
        <v>47.489999999997963</v>
      </c>
      <c r="T576" s="976"/>
      <c r="U576" s="976"/>
      <c r="V576" s="976"/>
      <c r="W576" s="976"/>
      <c r="X576" s="976"/>
      <c r="Y576" s="976"/>
      <c r="Z576" s="976"/>
      <c r="AA576" s="976"/>
      <c r="AB576" s="976"/>
      <c r="AC576" s="976"/>
      <c r="AD576" s="976"/>
      <c r="AE576" s="976"/>
      <c r="AF576" s="976"/>
      <c r="AG576" s="320" t="s">
        <v>695</v>
      </c>
      <c r="AH576" s="976" t="s">
        <v>695</v>
      </c>
      <c r="AI576" s="326" t="s">
        <v>695</v>
      </c>
      <c r="AJ576" s="976"/>
      <c r="AK576" s="976"/>
      <c r="AL576" s="976"/>
      <c r="AM576" s="976"/>
      <c r="AN576" s="321"/>
      <c r="AO576" s="321"/>
      <c r="AP576" s="321"/>
      <c r="AQ576" s="321">
        <f>+FL_2($U$577,$T$575,$G$576,1200,9.28, 1*$F$577)</f>
        <v>-0.22524425531914893</v>
      </c>
      <c r="AR576" s="321"/>
      <c r="AS576" s="321"/>
      <c r="AT576" s="321"/>
      <c r="AU576" s="321"/>
      <c r="AV576" s="321"/>
      <c r="AW576" s="976"/>
      <c r="AX576" s="976"/>
      <c r="AY576" s="976"/>
      <c r="AZ576" s="976"/>
      <c r="BA576" s="976"/>
      <c r="BB576" s="306"/>
      <c r="BF576" s="1119"/>
      <c r="BG576" s="1119"/>
      <c r="BH576" s="1119"/>
    </row>
    <row r="577" spans="1:60" ht="14.25">
      <c r="A577" s="318"/>
      <c r="B577" s="329" t="s">
        <v>1891</v>
      </c>
      <c r="C577" s="320">
        <f>+$C$575+$G$576</f>
        <v>25178</v>
      </c>
      <c r="D577" s="976"/>
      <c r="E577" s="976"/>
      <c r="F577" s="326">
        <v>0</v>
      </c>
      <c r="G577" s="327"/>
      <c r="H577" s="337" t="s">
        <v>651</v>
      </c>
      <c r="I577" s="319"/>
      <c r="J577" s="320"/>
      <c r="K577" s="976"/>
      <c r="L577" s="976" t="s">
        <v>231</v>
      </c>
      <c r="M577" s="976" t="s">
        <v>2672</v>
      </c>
      <c r="N577" s="337" t="s">
        <v>140</v>
      </c>
      <c r="O577" s="337" t="s">
        <v>145</v>
      </c>
      <c r="P577" s="976"/>
      <c r="Q577" s="976">
        <v>0</v>
      </c>
      <c r="R577" s="326">
        <v>0</v>
      </c>
      <c r="S577" s="327"/>
      <c r="T577" s="976">
        <v>55</v>
      </c>
      <c r="U577" s="976">
        <v>10</v>
      </c>
      <c r="V577" s="976"/>
      <c r="W577" s="976">
        <v>1.4</v>
      </c>
      <c r="X577" s="976">
        <v>2.2999999999999998</v>
      </c>
      <c r="Y577" s="976"/>
      <c r="Z577" s="976">
        <v>0.45</v>
      </c>
      <c r="AA577" s="976"/>
      <c r="AB577" s="976"/>
      <c r="AC577" s="976"/>
      <c r="AD577" s="976" t="s">
        <v>2970</v>
      </c>
      <c r="AE577" s="976"/>
      <c r="AF577" s="976">
        <v>6000</v>
      </c>
      <c r="AG577" s="320">
        <v>25179.98</v>
      </c>
      <c r="AH577" s="976">
        <v>2516</v>
      </c>
      <c r="AI577" s="326">
        <v>614</v>
      </c>
      <c r="AJ577" s="976"/>
      <c r="AK577" s="976"/>
      <c r="AL577" s="976"/>
      <c r="AM577" s="976" t="s">
        <v>1228</v>
      </c>
      <c r="AN577" s="321">
        <v>5.5</v>
      </c>
      <c r="AO577" s="321"/>
      <c r="AP577" s="321"/>
      <c r="AQ577" s="321"/>
      <c r="AR577" s="321"/>
      <c r="AS577" s="321"/>
      <c r="AT577" s="321">
        <f>+ab($U$577,$U$575,$U$581,$G$576,$G$578, 1*$F$577,1200)</f>
        <v>1.3339236868184989</v>
      </c>
      <c r="AU577" s="321"/>
      <c r="AV577" s="321"/>
      <c r="AW577" s="976" t="s">
        <v>2630</v>
      </c>
      <c r="AX577" s="976" t="s">
        <v>1639</v>
      </c>
      <c r="AY577" s="976">
        <v>3.2</v>
      </c>
      <c r="AZ577" s="976"/>
      <c r="BA577" s="976"/>
      <c r="BB577" s="306"/>
      <c r="BF577" s="1119"/>
      <c r="BG577" s="1119"/>
      <c r="BH577" s="1119"/>
    </row>
    <row r="578" spans="1:60" ht="14.25">
      <c r="A578" s="318"/>
      <c r="B578" s="329"/>
      <c r="C578" s="320"/>
      <c r="D578" s="976"/>
      <c r="E578" s="976"/>
      <c r="F578" s="326"/>
      <c r="G578" s="327">
        <v>5</v>
      </c>
      <c r="H578" s="337"/>
      <c r="I578" s="319"/>
      <c r="J578" s="320"/>
      <c r="K578" s="976"/>
      <c r="L578" s="976"/>
      <c r="M578" s="976"/>
      <c r="N578" s="337"/>
      <c r="O578" s="337"/>
      <c r="P578" s="976"/>
      <c r="Q578" s="976"/>
      <c r="R578" s="327"/>
      <c r="S578" s="327">
        <f t="shared" ref="S578" si="114">AG579-AG577</f>
        <v>4.8899999999994179</v>
      </c>
      <c r="T578" s="976"/>
      <c r="U578" s="976"/>
      <c r="V578" s="976"/>
      <c r="W578" s="976"/>
      <c r="X578" s="976"/>
      <c r="Y578" s="976"/>
      <c r="Z578" s="976"/>
      <c r="AA578" s="976"/>
      <c r="AB578" s="976"/>
      <c r="AC578" s="976"/>
      <c r="AD578" s="976"/>
      <c r="AE578" s="976"/>
      <c r="AF578" s="976"/>
      <c r="AG578" s="320" t="s">
        <v>695</v>
      </c>
      <c r="AH578" s="976" t="s">
        <v>695</v>
      </c>
      <c r="AI578" s="326" t="s">
        <v>695</v>
      </c>
      <c r="AJ578" s="976"/>
      <c r="AK578" s="976"/>
      <c r="AL578" s="976"/>
      <c r="AM578" s="976"/>
      <c r="AN578" s="321"/>
      <c r="AO578" s="321"/>
      <c r="AP578" s="321"/>
      <c r="AQ578" s="321">
        <f>+FL_1($T$581,$U$577,$G$578+42,1200,9.28, 1*$F$579)</f>
        <v>0.22524425531914893</v>
      </c>
      <c r="AR578" s="321"/>
      <c r="AS578" s="321"/>
      <c r="AT578" s="321"/>
      <c r="AU578" s="321"/>
      <c r="AV578" s="321"/>
      <c r="AW578" s="976"/>
      <c r="AX578" s="976"/>
      <c r="AY578" s="976"/>
      <c r="AZ578" s="976"/>
      <c r="BA578" s="976"/>
      <c r="BB578" s="306"/>
      <c r="BF578" s="1119"/>
      <c r="BG578" s="1119"/>
      <c r="BH578" s="1119"/>
    </row>
    <row r="579" spans="1:60" ht="14.25">
      <c r="A579" s="318"/>
      <c r="B579" s="329" t="s">
        <v>1892</v>
      </c>
      <c r="C579" s="320">
        <f>+$C$577+$G$578</f>
        <v>25183</v>
      </c>
      <c r="D579" s="976"/>
      <c r="E579" s="976"/>
      <c r="F579" s="326">
        <v>0</v>
      </c>
      <c r="G579" s="327"/>
      <c r="H579" s="337"/>
      <c r="I579" s="319"/>
      <c r="J579" s="320"/>
      <c r="K579" s="976"/>
      <c r="L579" s="976" t="s">
        <v>881</v>
      </c>
      <c r="M579" s="976" t="s">
        <v>1057</v>
      </c>
      <c r="N579" s="337"/>
      <c r="O579" s="337"/>
      <c r="P579" s="976"/>
      <c r="Q579" s="976">
        <v>0</v>
      </c>
      <c r="R579" s="326">
        <v>0</v>
      </c>
      <c r="S579" s="327"/>
      <c r="T579" s="976"/>
      <c r="U579" s="976"/>
      <c r="V579" s="976"/>
      <c r="W579" s="976"/>
      <c r="X579" s="976"/>
      <c r="Y579" s="976"/>
      <c r="Z579" s="976"/>
      <c r="AA579" s="976"/>
      <c r="AB579" s="976"/>
      <c r="AC579" s="976"/>
      <c r="AD579" s="976"/>
      <c r="AE579" s="976"/>
      <c r="AF579" s="976">
        <v>6000</v>
      </c>
      <c r="AG579" s="320">
        <v>25184.87</v>
      </c>
      <c r="AH579" s="976">
        <v>2522</v>
      </c>
      <c r="AI579" s="326">
        <v>651</v>
      </c>
      <c r="AJ579" s="976"/>
      <c r="AK579" s="976"/>
      <c r="AL579" s="976"/>
      <c r="AM579" s="976" t="s">
        <v>1228</v>
      </c>
      <c r="AN579" s="321"/>
      <c r="AO579" s="321"/>
      <c r="AP579" s="321"/>
      <c r="AQ579" s="321"/>
      <c r="AR579" s="321"/>
      <c r="AS579" s="321"/>
      <c r="AT579" s="321"/>
      <c r="AU579" s="321"/>
      <c r="AV579" s="321"/>
      <c r="AW579" s="976" t="s">
        <v>2630</v>
      </c>
      <c r="AX579" s="976" t="s">
        <v>1639</v>
      </c>
      <c r="AY579" s="976">
        <v>3.4</v>
      </c>
      <c r="AZ579" s="976"/>
      <c r="BA579" s="976"/>
      <c r="BB579" s="306"/>
      <c r="BF579" s="1119"/>
      <c r="BG579" s="1119"/>
      <c r="BH579" s="1119"/>
    </row>
    <row r="580" spans="1:60" ht="14.25">
      <c r="A580" s="318"/>
      <c r="B580" s="329"/>
      <c r="C580" s="320"/>
      <c r="D580" s="976"/>
      <c r="E580" s="976"/>
      <c r="F580" s="326"/>
      <c r="G580" s="327">
        <v>42</v>
      </c>
      <c r="H580" s="337"/>
      <c r="I580" s="319"/>
      <c r="J580" s="320"/>
      <c r="K580" s="976"/>
      <c r="L580" s="976"/>
      <c r="M580" s="976"/>
      <c r="N580" s="337"/>
      <c r="O580" s="337"/>
      <c r="P580" s="976"/>
      <c r="Q580" s="976"/>
      <c r="R580" s="327"/>
      <c r="S580" s="327">
        <f t="shared" ref="S580" si="115">AG581-AG579</f>
        <v>42.409999999999854</v>
      </c>
      <c r="T580" s="976"/>
      <c r="U580" s="976"/>
      <c r="V580" s="976"/>
      <c r="W580" s="976"/>
      <c r="X580" s="976"/>
      <c r="Y580" s="976"/>
      <c r="Z580" s="976"/>
      <c r="AA580" s="976"/>
      <c r="AB580" s="976"/>
      <c r="AC580" s="976"/>
      <c r="AD580" s="976"/>
      <c r="AE580" s="976"/>
      <c r="AF580" s="976"/>
      <c r="AG580" s="320" t="s">
        <v>695</v>
      </c>
      <c r="AH580" s="976" t="s">
        <v>695</v>
      </c>
      <c r="AI580" s="326" t="s">
        <v>695</v>
      </c>
      <c r="AJ580" s="976"/>
      <c r="AK580" s="976"/>
      <c r="AL580" s="976"/>
      <c r="AM580" s="976"/>
      <c r="AN580" s="321"/>
      <c r="AO580" s="321"/>
      <c r="AP580" s="321"/>
      <c r="AQ580" s="321"/>
      <c r="AR580" s="321"/>
      <c r="AS580" s="321"/>
      <c r="AT580" s="321"/>
      <c r="AU580" s="321"/>
      <c r="AV580" s="321"/>
      <c r="AW580" s="976"/>
      <c r="AX580" s="976"/>
      <c r="AY580" s="976"/>
      <c r="AZ580" s="976"/>
      <c r="BA580" s="976"/>
      <c r="BB580" s="306"/>
      <c r="BF580" s="1119"/>
      <c r="BG580" s="1119"/>
      <c r="BH580" s="1119"/>
    </row>
    <row r="581" spans="1:60" ht="14.25">
      <c r="A581" s="318"/>
      <c r="B581" s="329" t="s">
        <v>1893</v>
      </c>
      <c r="C581" s="320">
        <f>+$C$579+$G$580</f>
        <v>25225</v>
      </c>
      <c r="D581" s="976"/>
      <c r="E581" s="976"/>
      <c r="F581" s="326">
        <v>0</v>
      </c>
      <c r="G581" s="327"/>
      <c r="H581" s="337" t="s">
        <v>651</v>
      </c>
      <c r="I581" s="319" t="s">
        <v>2016</v>
      </c>
      <c r="J581" s="320"/>
      <c r="K581" s="976"/>
      <c r="L581" s="976" t="s">
        <v>231</v>
      </c>
      <c r="M581" s="976" t="s">
        <v>2672</v>
      </c>
      <c r="N581" s="337" t="s">
        <v>144</v>
      </c>
      <c r="O581" s="337" t="s">
        <v>140</v>
      </c>
      <c r="P581" s="976"/>
      <c r="Q581" s="976">
        <v>0</v>
      </c>
      <c r="R581" s="326">
        <v>0</v>
      </c>
      <c r="S581" s="327"/>
      <c r="T581" s="976">
        <v>-10</v>
      </c>
      <c r="U581" s="976">
        <v>-55</v>
      </c>
      <c r="V581" s="976"/>
      <c r="W581" s="976">
        <v>1.4</v>
      </c>
      <c r="X581" s="976">
        <v>2.2999999999999998</v>
      </c>
      <c r="Y581" s="976"/>
      <c r="Z581" s="976"/>
      <c r="AA581" s="976">
        <v>0.45</v>
      </c>
      <c r="AB581" s="976"/>
      <c r="AC581" s="976" t="s">
        <v>1704</v>
      </c>
      <c r="AD581" s="976"/>
      <c r="AE581" s="976"/>
      <c r="AF581" s="976">
        <v>6000</v>
      </c>
      <c r="AG581" s="320">
        <v>25227.279999999999</v>
      </c>
      <c r="AH581" s="976">
        <v>2523</v>
      </c>
      <c r="AI581" s="326">
        <v>675</v>
      </c>
      <c r="AJ581" s="976" t="s">
        <v>3248</v>
      </c>
      <c r="AK581" s="976"/>
      <c r="AL581" s="976"/>
      <c r="AM581" s="976" t="s">
        <v>1228</v>
      </c>
      <c r="AN581" s="321">
        <v>5.5</v>
      </c>
      <c r="AO581" s="321"/>
      <c r="AP581" s="321"/>
      <c r="AQ581" s="321"/>
      <c r="AR581" s="321"/>
      <c r="AS581" s="321"/>
      <c r="AT581" s="321">
        <f>+ab($T$581,$T$577,$T$585,$G$580,$G$584, 1*$F$581,1200)</f>
        <v>-8.8497770309206096</v>
      </c>
      <c r="AU581" s="321"/>
      <c r="AV581" s="321"/>
      <c r="AW581" s="976" t="s">
        <v>2630</v>
      </c>
      <c r="AX581" s="976" t="s">
        <v>1639</v>
      </c>
      <c r="AY581" s="976">
        <v>3.2</v>
      </c>
      <c r="AZ581" s="976"/>
      <c r="BA581" s="976"/>
      <c r="BB581" s="306"/>
      <c r="BF581" s="1119"/>
      <c r="BG581" s="1119"/>
      <c r="BH581" s="1119"/>
    </row>
    <row r="582" spans="1:60" s="1204" customFormat="1" ht="14.25">
      <c r="A582" s="318"/>
      <c r="B582" s="329"/>
      <c r="C582" s="320"/>
      <c r="D582" s="976"/>
      <c r="E582" s="976"/>
      <c r="F582" s="326"/>
      <c r="G582" s="327"/>
      <c r="H582" s="337"/>
      <c r="I582" s="319"/>
      <c r="J582" s="320"/>
      <c r="K582" s="976"/>
      <c r="L582" s="976"/>
      <c r="M582" s="976"/>
      <c r="N582" s="337"/>
      <c r="O582" s="337"/>
      <c r="P582" s="976"/>
      <c r="Q582" s="976"/>
      <c r="R582" s="327"/>
      <c r="S582" s="327"/>
      <c r="T582" s="976"/>
      <c r="U582" s="976"/>
      <c r="V582" s="976"/>
      <c r="W582" s="976"/>
      <c r="X582" s="976"/>
      <c r="Y582" s="976"/>
      <c r="Z582" s="976"/>
      <c r="AA582" s="976"/>
      <c r="AB582" s="976"/>
      <c r="AC582" s="976"/>
      <c r="AD582" s="976"/>
      <c r="AE582" s="976"/>
      <c r="AF582" s="976"/>
      <c r="AG582" s="320"/>
      <c r="AH582" s="976" t="s">
        <v>695</v>
      </c>
      <c r="AI582" s="326" t="s">
        <v>695</v>
      </c>
      <c r="AJ582" s="976" t="s">
        <v>1593</v>
      </c>
      <c r="AK582" s="976"/>
      <c r="AL582" s="976"/>
      <c r="AM582" s="976"/>
      <c r="AN582" s="321"/>
      <c r="AO582" s="321"/>
      <c r="AP582" s="321"/>
      <c r="AQ582" s="321"/>
      <c r="AR582" s="321"/>
      <c r="AS582" s="321"/>
      <c r="AT582" s="321"/>
      <c r="AU582" s="321"/>
      <c r="AV582" s="321"/>
      <c r="AW582" s="976"/>
      <c r="AX582" s="976"/>
      <c r="AY582" s="321"/>
      <c r="AZ582" s="321"/>
      <c r="BA582" s="321"/>
      <c r="BB582" s="306"/>
      <c r="BE582" s="307"/>
      <c r="BF582" s="307"/>
      <c r="BG582" s="307"/>
    </row>
    <row r="583" spans="1:60" s="1204" customFormat="1" ht="14.25">
      <c r="A583" s="318"/>
      <c r="B583" s="329" t="s">
        <v>3277</v>
      </c>
      <c r="C583" s="320"/>
      <c r="D583" s="976"/>
      <c r="E583" s="976"/>
      <c r="F583" s="326"/>
      <c r="G583" s="327"/>
      <c r="H583" s="337"/>
      <c r="I583" s="319"/>
      <c r="J583" s="320"/>
      <c r="K583" s="976"/>
      <c r="L583" s="976" t="s">
        <v>3274</v>
      </c>
      <c r="M583" s="1208" t="s">
        <v>3273</v>
      </c>
      <c r="N583" s="337"/>
      <c r="O583" s="337"/>
      <c r="P583" s="976"/>
      <c r="Q583" s="976"/>
      <c r="R583" s="327"/>
      <c r="S583" s="327"/>
      <c r="T583" s="976"/>
      <c r="U583" s="976"/>
      <c r="V583" s="976"/>
      <c r="W583" s="976"/>
      <c r="X583" s="976"/>
      <c r="Y583" s="976"/>
      <c r="Z583" s="976"/>
      <c r="AA583" s="976"/>
      <c r="AB583" s="976"/>
      <c r="AC583" s="976"/>
      <c r="AD583" s="976"/>
      <c r="AE583" s="976"/>
      <c r="AF583" s="976"/>
      <c r="AG583" s="320">
        <v>25252.28</v>
      </c>
      <c r="AH583" s="976"/>
      <c r="AI583" s="326"/>
      <c r="AJ583" s="976" t="s">
        <v>1590</v>
      </c>
      <c r="AK583" s="976"/>
      <c r="AL583" s="976"/>
      <c r="AM583" s="976"/>
      <c r="AN583" s="321"/>
      <c r="AO583" s="321"/>
      <c r="AP583" s="321"/>
      <c r="AQ583" s="321"/>
      <c r="AR583" s="321"/>
      <c r="AS583" s="321"/>
      <c r="AT583" s="321"/>
      <c r="AU583" s="321"/>
      <c r="AV583" s="321"/>
      <c r="AW583" s="321" t="s">
        <v>2631</v>
      </c>
      <c r="AX583" s="321" t="s">
        <v>1639</v>
      </c>
      <c r="AY583" s="321">
        <v>1.2</v>
      </c>
      <c r="AZ583" s="321"/>
      <c r="BA583" s="321"/>
      <c r="BB583" s="306"/>
      <c r="BE583" s="307"/>
      <c r="BF583" s="307"/>
      <c r="BG583" s="307"/>
    </row>
    <row r="584" spans="1:60" ht="14.25">
      <c r="A584" s="318"/>
      <c r="B584" s="329"/>
      <c r="C584" s="320"/>
      <c r="D584" s="976"/>
      <c r="E584" s="976"/>
      <c r="F584" s="326"/>
      <c r="G584" s="327">
        <v>58</v>
      </c>
      <c r="H584" s="337"/>
      <c r="I584" s="319"/>
      <c r="J584" s="320"/>
      <c r="K584" s="976"/>
      <c r="L584" s="976"/>
      <c r="M584" s="976"/>
      <c r="N584" s="337"/>
      <c r="O584" s="337"/>
      <c r="P584" s="976"/>
      <c r="Q584" s="976"/>
      <c r="R584" s="327"/>
      <c r="S584" s="327">
        <f>AG585-AG581</f>
        <v>57.380000000001019</v>
      </c>
      <c r="T584" s="976"/>
      <c r="U584" s="976"/>
      <c r="V584" s="976"/>
      <c r="W584" s="976"/>
      <c r="X584" s="976"/>
      <c r="Y584" s="976"/>
      <c r="Z584" s="976"/>
      <c r="AA584" s="976"/>
      <c r="AB584" s="976"/>
      <c r="AC584" s="976"/>
      <c r="AD584" s="976"/>
      <c r="AE584" s="976"/>
      <c r="AF584" s="976"/>
      <c r="AG584" s="320" t="s">
        <v>695</v>
      </c>
      <c r="AH584" s="976" t="s">
        <v>695</v>
      </c>
      <c r="AI584" s="326" t="s">
        <v>695</v>
      </c>
      <c r="AJ584" s="976"/>
      <c r="AK584" s="976"/>
      <c r="AL584" s="976"/>
      <c r="AM584" s="976"/>
      <c r="AN584" s="321"/>
      <c r="AO584" s="321"/>
      <c r="AP584" s="321"/>
      <c r="AQ584" s="321">
        <f>+FL_1($T$585,$T$581,$S$584,1200,9.28, 1*$R$585)</f>
        <v>0.41732727158825256</v>
      </c>
      <c r="AR584" s="321"/>
      <c r="AS584" s="321"/>
      <c r="AT584" s="321"/>
      <c r="AU584" s="321"/>
      <c r="AV584" s="321"/>
      <c r="AW584" s="976"/>
      <c r="AX584" s="976"/>
      <c r="AY584" s="976"/>
      <c r="AZ584" s="976"/>
      <c r="BA584" s="976"/>
      <c r="BB584" s="306"/>
      <c r="BF584" s="1119"/>
      <c r="BG584" s="1119"/>
      <c r="BH584" s="1119"/>
    </row>
    <row r="585" spans="1:60" ht="14.25">
      <c r="A585" s="318"/>
      <c r="B585" s="329" t="s">
        <v>1894</v>
      </c>
      <c r="C585" s="320">
        <f>+$C$581+$G$584</f>
        <v>25283</v>
      </c>
      <c r="D585" s="976"/>
      <c r="E585" s="976"/>
      <c r="F585" s="326">
        <v>0</v>
      </c>
      <c r="G585" s="327"/>
      <c r="H585" s="337" t="s">
        <v>138</v>
      </c>
      <c r="I585" s="319" t="s">
        <v>656</v>
      </c>
      <c r="J585" s="320"/>
      <c r="K585" s="976"/>
      <c r="L585" s="976" t="s">
        <v>1061</v>
      </c>
      <c r="M585" s="976" t="s">
        <v>2672</v>
      </c>
      <c r="N585" s="337" t="s">
        <v>145</v>
      </c>
      <c r="O585" s="337"/>
      <c r="P585" s="976"/>
      <c r="Q585" s="976">
        <v>0</v>
      </c>
      <c r="R585" s="326">
        <v>0</v>
      </c>
      <c r="S585" s="327"/>
      <c r="T585" s="976">
        <v>25</v>
      </c>
      <c r="U585" s="976"/>
      <c r="V585" s="976"/>
      <c r="W585" s="976">
        <v>1.4</v>
      </c>
      <c r="X585" s="976"/>
      <c r="Y585" s="976"/>
      <c r="Z585" s="976"/>
      <c r="AA585" s="976"/>
      <c r="AB585" s="976"/>
      <c r="AC585" s="976" t="s">
        <v>1704</v>
      </c>
      <c r="AD585" s="976"/>
      <c r="AE585" s="976"/>
      <c r="AF585" s="976">
        <v>6000</v>
      </c>
      <c r="AG585" s="320">
        <v>25284.66</v>
      </c>
      <c r="AH585" s="976">
        <v>2538</v>
      </c>
      <c r="AI585" s="326">
        <v>692</v>
      </c>
      <c r="AJ585" s="976"/>
      <c r="AK585" s="976"/>
      <c r="AL585" s="976"/>
      <c r="AM585" s="976" t="s">
        <v>1228</v>
      </c>
      <c r="AN585" s="321">
        <v>5.5</v>
      </c>
      <c r="AO585" s="321"/>
      <c r="AP585" s="321"/>
      <c r="AQ585" s="321"/>
      <c r="AR585" s="321"/>
      <c r="AS585" s="321"/>
      <c r="AT585" s="321">
        <f>+ab($T$585,$T$581,$T$587,$S$584,$S$586, 1*$R$585,1200)</f>
        <v>11.267707802716256</v>
      </c>
      <c r="AU585" s="321"/>
      <c r="AV585" s="321"/>
      <c r="AW585" s="976" t="s">
        <v>2630</v>
      </c>
      <c r="AX585" s="976" t="s">
        <v>1639</v>
      </c>
      <c r="AY585" s="976">
        <v>3.2</v>
      </c>
      <c r="AZ585" s="976"/>
      <c r="BA585" s="976"/>
      <c r="BB585" s="306"/>
      <c r="BF585" s="1119"/>
      <c r="BG585" s="1119"/>
      <c r="BH585" s="1119"/>
    </row>
    <row r="586" spans="1:60" ht="14.25">
      <c r="A586" s="318"/>
      <c r="B586" s="329"/>
      <c r="C586" s="320"/>
      <c r="D586" s="976"/>
      <c r="E586" s="976"/>
      <c r="F586" s="326"/>
      <c r="G586" s="327">
        <v>56</v>
      </c>
      <c r="H586" s="337"/>
      <c r="I586" s="319"/>
      <c r="J586" s="320">
        <f>C585+7.5</f>
        <v>25290.5</v>
      </c>
      <c r="K586" s="976" t="s">
        <v>653</v>
      </c>
      <c r="L586" s="976"/>
      <c r="M586" s="976"/>
      <c r="N586" s="337"/>
      <c r="O586" s="337"/>
      <c r="P586" s="976"/>
      <c r="Q586" s="976"/>
      <c r="R586" s="327"/>
      <c r="S586" s="327">
        <f t="shared" ref="S586" si="116">AG587-AG585</f>
        <v>56.020000000000437</v>
      </c>
      <c r="T586" s="976"/>
      <c r="U586" s="976"/>
      <c r="V586" s="976"/>
      <c r="W586" s="976"/>
      <c r="X586" s="976"/>
      <c r="Y586" s="976"/>
      <c r="Z586" s="976"/>
      <c r="AA586" s="976"/>
      <c r="AB586" s="976"/>
      <c r="AC586" s="976"/>
      <c r="AD586" s="976"/>
      <c r="AE586" s="976"/>
      <c r="AF586" s="976"/>
      <c r="AG586" s="320" t="s">
        <v>695</v>
      </c>
      <c r="AH586" s="976" t="s">
        <v>695</v>
      </c>
      <c r="AI586" s="326" t="s">
        <v>695</v>
      </c>
      <c r="AJ586" s="976"/>
      <c r="AK586" s="976"/>
      <c r="AL586" s="976"/>
      <c r="AM586" s="976"/>
      <c r="AN586" s="321"/>
      <c r="AO586" s="321"/>
      <c r="AP586" s="321"/>
      <c r="AQ586" s="321">
        <f>+FL_2($T$587,$T$585,$S$586,1200,9.28, 1*$R$587)</f>
        <v>-0.44380836672249996</v>
      </c>
      <c r="AR586" s="321"/>
      <c r="AS586" s="321"/>
      <c r="AT586" s="321"/>
      <c r="AU586" s="321"/>
      <c r="AV586" s="321"/>
      <c r="AW586" s="976" t="s">
        <v>2630</v>
      </c>
      <c r="AX586" s="976" t="s">
        <v>1639</v>
      </c>
      <c r="AY586" s="976"/>
      <c r="AZ586" s="976">
        <v>2.2999999999999998</v>
      </c>
      <c r="BA586" s="976"/>
      <c r="BB586" s="306"/>
      <c r="BF586" s="1119"/>
      <c r="BG586" s="1119"/>
      <c r="BH586" s="1119"/>
    </row>
    <row r="587" spans="1:60" ht="14.25">
      <c r="A587" s="340"/>
      <c r="B587" s="287" t="s">
        <v>1895</v>
      </c>
      <c r="C587" s="288">
        <f>+$C$585+$G$586</f>
        <v>25339</v>
      </c>
      <c r="D587" s="1121"/>
      <c r="E587" s="1121"/>
      <c r="F587" s="289">
        <v>0</v>
      </c>
      <c r="G587" s="292"/>
      <c r="H587" s="291"/>
      <c r="I587" s="294"/>
      <c r="J587" s="288"/>
      <c r="K587" s="1121"/>
      <c r="L587" s="1121" t="s">
        <v>230</v>
      </c>
      <c r="M587" s="1121" t="s">
        <v>2671</v>
      </c>
      <c r="N587" s="291" t="s">
        <v>144</v>
      </c>
      <c r="O587" s="291"/>
      <c r="P587" s="1121"/>
      <c r="Q587" s="1121">
        <v>8</v>
      </c>
      <c r="R587" s="292">
        <v>18591.669999999998</v>
      </c>
      <c r="S587" s="292"/>
      <c r="T587" s="1121">
        <v>-35</v>
      </c>
      <c r="U587" s="1121"/>
      <c r="V587" s="1121"/>
      <c r="W587" s="1121">
        <v>1.4</v>
      </c>
      <c r="X587" s="1121"/>
      <c r="Y587" s="1121"/>
      <c r="Z587" s="1121"/>
      <c r="AA587" s="1121"/>
      <c r="AB587" s="1121"/>
      <c r="AC587" s="1121" t="s">
        <v>1704</v>
      </c>
      <c r="AD587" s="1121"/>
      <c r="AE587" s="1121"/>
      <c r="AF587" s="1121">
        <v>6000</v>
      </c>
      <c r="AG587" s="288">
        <v>25340.68</v>
      </c>
      <c r="AH587" s="1121">
        <v>2562</v>
      </c>
      <c r="AI587" s="289">
        <v>639</v>
      </c>
      <c r="AJ587" s="1121"/>
      <c r="AK587" s="1121"/>
      <c r="AL587" s="1121"/>
      <c r="AM587" s="1121" t="s">
        <v>1228</v>
      </c>
      <c r="AN587" s="315">
        <v>5.5</v>
      </c>
      <c r="AO587" s="315"/>
      <c r="AP587" s="315"/>
      <c r="AQ587" s="315"/>
      <c r="AR587" s="315"/>
      <c r="AS587" s="315"/>
      <c r="AT587" s="315">
        <f>+ab($T$587,$T$585,$T$589,$S$586,$S$588, 1*$R$587,1200)</f>
        <v>-10.07133081789417</v>
      </c>
      <c r="AU587" s="315"/>
      <c r="AV587" s="315"/>
      <c r="AW587" s="1121" t="s">
        <v>2630</v>
      </c>
      <c r="AX587" s="1121" t="s">
        <v>1639</v>
      </c>
      <c r="AY587" s="1121">
        <v>3</v>
      </c>
      <c r="AZ587" s="1121"/>
      <c r="BA587" s="1121"/>
      <c r="BB587" s="306"/>
      <c r="BF587" s="1119"/>
      <c r="BG587" s="1119"/>
      <c r="BH587" s="1119"/>
    </row>
    <row r="588" spans="1:60" ht="14.25">
      <c r="A588" s="340"/>
      <c r="B588" s="287"/>
      <c r="C588" s="288"/>
      <c r="D588" s="1121"/>
      <c r="E588" s="1121"/>
      <c r="F588" s="289"/>
      <c r="G588" s="292">
        <v>50</v>
      </c>
      <c r="H588" s="291"/>
      <c r="I588" s="294"/>
      <c r="J588" s="288"/>
      <c r="K588" s="1121"/>
      <c r="L588" s="1121"/>
      <c r="M588" s="1121"/>
      <c r="N588" s="291"/>
      <c r="O588" s="291"/>
      <c r="P588" s="1121"/>
      <c r="Q588" s="1121"/>
      <c r="R588" s="292"/>
      <c r="S588" s="292">
        <f t="shared" ref="S588" si="117">AG589-AG587</f>
        <v>50.009999999998399</v>
      </c>
      <c r="T588" s="1121"/>
      <c r="U588" s="1121"/>
      <c r="V588" s="1121"/>
      <c r="W588" s="1121"/>
      <c r="X588" s="1121"/>
      <c r="Y588" s="1121"/>
      <c r="Z588" s="1121"/>
      <c r="AA588" s="1121"/>
      <c r="AB588" s="1121"/>
      <c r="AC588" s="1121"/>
      <c r="AD588" s="1121"/>
      <c r="AE588" s="1121"/>
      <c r="AF588" s="1121"/>
      <c r="AG588" s="288" t="s">
        <v>695</v>
      </c>
      <c r="AH588" s="1121" t="s">
        <v>695</v>
      </c>
      <c r="AI588" s="289" t="s">
        <v>695</v>
      </c>
      <c r="AJ588" s="1121"/>
      <c r="AK588" s="1121"/>
      <c r="AL588" s="1121"/>
      <c r="AM588" s="1121"/>
      <c r="AN588" s="315"/>
      <c r="AO588" s="315"/>
      <c r="AP588" s="315"/>
      <c r="AQ588" s="315">
        <f>+FL_2($T$589,$T$587,$S$588,1200,9.28, 1*$R$589)</f>
        <v>-0.43783484862523053</v>
      </c>
      <c r="AR588" s="315"/>
      <c r="AS588" s="315"/>
      <c r="AT588" s="315"/>
      <c r="AU588" s="315"/>
      <c r="AV588" s="315"/>
      <c r="AW588" s="1121"/>
      <c r="AX588" s="1121"/>
      <c r="AY588" s="1121"/>
      <c r="AZ588" s="1121"/>
      <c r="BA588" s="1121"/>
      <c r="BB588" s="306"/>
      <c r="BF588" s="1119"/>
      <c r="BG588" s="1119"/>
      <c r="BH588" s="1119"/>
    </row>
    <row r="589" spans="1:60" ht="14.25">
      <c r="A589" s="340"/>
      <c r="B589" s="287" t="s">
        <v>1896</v>
      </c>
      <c r="C589" s="288">
        <f>+$C$587+$G$588</f>
        <v>25389</v>
      </c>
      <c r="D589" s="1121"/>
      <c r="E589" s="1121"/>
      <c r="F589" s="289">
        <f>380000/(C589-25319)</f>
        <v>5428.5714285714284</v>
      </c>
      <c r="G589" s="292"/>
      <c r="H589" s="291"/>
      <c r="I589" s="294"/>
      <c r="J589" s="383"/>
      <c r="K589" s="1121"/>
      <c r="L589" s="1121" t="s">
        <v>230</v>
      </c>
      <c r="M589" s="1121" t="s">
        <v>2671</v>
      </c>
      <c r="N589" s="291" t="s">
        <v>145</v>
      </c>
      <c r="O589" s="1121"/>
      <c r="P589" s="1121"/>
      <c r="Q589" s="1121">
        <v>36</v>
      </c>
      <c r="R589" s="292">
        <v>5390</v>
      </c>
      <c r="S589" s="292"/>
      <c r="T589" s="1121">
        <v>20</v>
      </c>
      <c r="U589" s="1121"/>
      <c r="V589" s="1121"/>
      <c r="W589" s="1121">
        <v>1.4</v>
      </c>
      <c r="X589" s="1121"/>
      <c r="Y589" s="1121"/>
      <c r="Z589" s="1121"/>
      <c r="AA589" s="1121"/>
      <c r="AB589" s="1121"/>
      <c r="AC589" s="1121" t="s">
        <v>1704</v>
      </c>
      <c r="AD589" s="1121"/>
      <c r="AE589" s="1121"/>
      <c r="AF589" s="1121">
        <v>6000</v>
      </c>
      <c r="AG589" s="288">
        <v>25390.69</v>
      </c>
      <c r="AH589" s="1121">
        <v>2553</v>
      </c>
      <c r="AI589" s="289">
        <v>640</v>
      </c>
      <c r="AJ589" s="1121"/>
      <c r="AK589" s="1121"/>
      <c r="AL589" s="1121"/>
      <c r="AM589" s="1121" t="s">
        <v>1228</v>
      </c>
      <c r="AN589" s="315">
        <v>5.5</v>
      </c>
      <c r="AO589" s="315"/>
      <c r="AP589" s="315"/>
      <c r="AQ589" s="315"/>
      <c r="AR589" s="315"/>
      <c r="AS589" s="315"/>
      <c r="AT589" s="315">
        <f>+ab($T$589,$T$587,$T$591,$S$588,$S$590, 1*$R$589,1200)</f>
        <v>9.378875491573627</v>
      </c>
      <c r="AU589" s="315"/>
      <c r="AV589" s="315"/>
      <c r="AW589" s="1121" t="s">
        <v>2630</v>
      </c>
      <c r="AX589" s="1121" t="s">
        <v>1639</v>
      </c>
      <c r="AY589" s="1121">
        <v>3</v>
      </c>
      <c r="AZ589" s="1121"/>
      <c r="BA589" s="1121"/>
      <c r="BB589" s="306"/>
      <c r="BF589" s="1119"/>
      <c r="BG589" s="1119"/>
      <c r="BH589" s="1119"/>
    </row>
    <row r="590" spans="1:60" ht="14.25">
      <c r="A590" s="340"/>
      <c r="B590" s="287"/>
      <c r="C590" s="288"/>
      <c r="D590" s="1121"/>
      <c r="E590" s="1121"/>
      <c r="F590" s="289"/>
      <c r="G590" s="292">
        <v>50</v>
      </c>
      <c r="H590" s="291"/>
      <c r="I590" s="294"/>
      <c r="J590" s="383"/>
      <c r="K590" s="1121"/>
      <c r="L590" s="1121"/>
      <c r="M590" s="1121"/>
      <c r="N590" s="291"/>
      <c r="O590" s="1121"/>
      <c r="P590" s="1121"/>
      <c r="Q590" s="1121"/>
      <c r="R590" s="292"/>
      <c r="S590" s="292">
        <f t="shared" ref="S590" si="118">AG591-AG589</f>
        <v>50.020000000000437</v>
      </c>
      <c r="T590" s="1121"/>
      <c r="U590" s="1121"/>
      <c r="V590" s="1121"/>
      <c r="W590" s="1121"/>
      <c r="X590" s="1121"/>
      <c r="Y590" s="1121"/>
      <c r="Z590" s="1121"/>
      <c r="AA590" s="1121"/>
      <c r="AB590" s="1121"/>
      <c r="AC590" s="1121"/>
      <c r="AD590" s="1121"/>
      <c r="AE590" s="1121"/>
      <c r="AF590" s="1121"/>
      <c r="AG590" s="288" t="s">
        <v>695</v>
      </c>
      <c r="AH590" s="1121" t="s">
        <v>695</v>
      </c>
      <c r="AI590" s="289" t="s">
        <v>695</v>
      </c>
      <c r="AJ590" s="1121"/>
      <c r="AK590" s="1121"/>
      <c r="AL590" s="1121"/>
      <c r="AM590" s="1121"/>
      <c r="AN590" s="315"/>
      <c r="AO590" s="315"/>
      <c r="AP590" s="315"/>
      <c r="AQ590" s="315">
        <f>+FL_1($T$591,$T$589,$S$590,1200,9.28, 1*$R$591)</f>
        <v>0.34259102243191375</v>
      </c>
      <c r="AR590" s="315"/>
      <c r="AS590" s="315"/>
      <c r="AT590" s="315"/>
      <c r="AU590" s="315"/>
      <c r="AV590" s="315"/>
      <c r="AW590" s="1121"/>
      <c r="AX590" s="1121"/>
      <c r="AY590" s="1121"/>
      <c r="AZ590" s="1121"/>
      <c r="BA590" s="1121"/>
      <c r="BB590" s="306"/>
      <c r="BF590" s="1119"/>
      <c r="BG590" s="1119"/>
      <c r="BH590" s="1119"/>
    </row>
    <row r="591" spans="1:60" ht="14.25">
      <c r="A591" s="340"/>
      <c r="B591" s="287" t="s">
        <v>1897</v>
      </c>
      <c r="C591" s="288">
        <f>+$C$589+$G$590</f>
        <v>25439</v>
      </c>
      <c r="D591" s="1121"/>
      <c r="E591" s="1121"/>
      <c r="F591" s="289">
        <f>380000/(C591-25319)</f>
        <v>3166.6666666666665</v>
      </c>
      <c r="G591" s="292"/>
      <c r="H591" s="291"/>
      <c r="I591" s="294"/>
      <c r="J591" s="383"/>
      <c r="K591" s="1121"/>
      <c r="L591" s="1121" t="s">
        <v>230</v>
      </c>
      <c r="M591" s="1121" t="s">
        <v>2671</v>
      </c>
      <c r="N591" s="291" t="s">
        <v>145</v>
      </c>
      <c r="O591" s="1121"/>
      <c r="P591" s="1121"/>
      <c r="Q591" s="1121">
        <v>64</v>
      </c>
      <c r="R591" s="292">
        <v>3150.58</v>
      </c>
      <c r="S591" s="292"/>
      <c r="T591" s="1121">
        <v>20</v>
      </c>
      <c r="U591" s="1121"/>
      <c r="V591" s="1121"/>
      <c r="W591" s="1121">
        <v>1.4</v>
      </c>
      <c r="X591" s="1121"/>
      <c r="Y591" s="1121"/>
      <c r="Z591" s="1121"/>
      <c r="AA591" s="1121"/>
      <c r="AB591" s="1121"/>
      <c r="AC591" s="1121" t="s">
        <v>1704</v>
      </c>
      <c r="AD591" s="1121"/>
      <c r="AE591" s="1121"/>
      <c r="AF591" s="1121">
        <v>6000</v>
      </c>
      <c r="AG591" s="288">
        <v>25440.71</v>
      </c>
      <c r="AH591" s="1121">
        <v>2548</v>
      </c>
      <c r="AI591" s="289">
        <v>630</v>
      </c>
      <c r="AJ591" s="1121"/>
      <c r="AK591" s="1121"/>
      <c r="AL591" s="1121"/>
      <c r="AM591" s="1121" t="s">
        <v>1228</v>
      </c>
      <c r="AN591" s="315">
        <v>5.5</v>
      </c>
      <c r="AO591" s="315"/>
      <c r="AP591" s="315"/>
      <c r="AQ591" s="315"/>
      <c r="AR591" s="315"/>
      <c r="AS591" s="315"/>
      <c r="AT591" s="315">
        <f>+ab($T$591,$T$589,$T$593,$S$590,$S$592, 1*$R$591,1200)</f>
        <v>11.927037202896241</v>
      </c>
      <c r="AU591" s="315"/>
      <c r="AV591" s="315"/>
      <c r="AW591" s="1121" t="s">
        <v>2630</v>
      </c>
      <c r="AX591" s="1121" t="s">
        <v>1639</v>
      </c>
      <c r="AY591" s="1121">
        <v>3</v>
      </c>
      <c r="AZ591" s="1121"/>
      <c r="BA591" s="1121"/>
      <c r="BB591" s="306"/>
      <c r="BF591" s="1119"/>
      <c r="BG591" s="1119"/>
      <c r="BH591" s="1119"/>
    </row>
    <row r="592" spans="1:60" ht="14.25">
      <c r="A592" s="340"/>
      <c r="B592" s="287"/>
      <c r="C592" s="288"/>
      <c r="D592" s="1121"/>
      <c r="E592" s="1121"/>
      <c r="F592" s="289"/>
      <c r="G592" s="292">
        <v>50</v>
      </c>
      <c r="H592" s="291"/>
      <c r="I592" s="291"/>
      <c r="J592" s="288"/>
      <c r="K592" s="1121"/>
      <c r="L592" s="1121"/>
      <c r="M592" s="1121"/>
      <c r="N592" s="291"/>
      <c r="O592" s="1121"/>
      <c r="P592" s="1121"/>
      <c r="Q592" s="1121"/>
      <c r="R592" s="292"/>
      <c r="S592" s="292">
        <f t="shared" ref="S592" si="119">AG593-AG591</f>
        <v>49.889999999999418</v>
      </c>
      <c r="T592" s="1121"/>
      <c r="U592" s="1121"/>
      <c r="V592" s="1121"/>
      <c r="W592" s="1121"/>
      <c r="X592" s="1121"/>
      <c r="Y592" s="1121"/>
      <c r="Z592" s="1121"/>
      <c r="AA592" s="1121"/>
      <c r="AB592" s="1121"/>
      <c r="AC592" s="1121"/>
      <c r="AD592" s="1121"/>
      <c r="AE592" s="1121"/>
      <c r="AF592" s="1121"/>
      <c r="AG592" s="288" t="s">
        <v>695</v>
      </c>
      <c r="AH592" s="1121" t="s">
        <v>695</v>
      </c>
      <c r="AI592" s="289" t="s">
        <v>695</v>
      </c>
      <c r="AJ592" s="1121"/>
      <c r="AK592" s="1121"/>
      <c r="AL592" s="1121"/>
      <c r="AM592" s="1121"/>
      <c r="AN592" s="315"/>
      <c r="AO592" s="315"/>
      <c r="AP592" s="315"/>
      <c r="AQ592" s="315">
        <f>+FL_1($T$593,$T$591,$S$592,1200,9.28, 1*$R$593)</f>
        <v>0.3009374585261384</v>
      </c>
      <c r="AR592" s="315"/>
      <c r="AS592" s="315"/>
      <c r="AT592" s="315"/>
      <c r="AU592" s="315"/>
      <c r="AV592" s="315"/>
      <c r="AW592" s="1121"/>
      <c r="AX592" s="1121"/>
      <c r="AY592" s="1121"/>
      <c r="AZ592" s="1121"/>
      <c r="BA592" s="1121"/>
      <c r="BB592" s="306"/>
      <c r="BF592" s="1119"/>
      <c r="BG592" s="1119"/>
      <c r="BH592" s="1119"/>
    </row>
    <row r="593" spans="1:60" ht="14.25">
      <c r="A593" s="340"/>
      <c r="B593" s="287" t="s">
        <v>1898</v>
      </c>
      <c r="C593" s="288">
        <f>+$C$591+$G$592</f>
        <v>25489</v>
      </c>
      <c r="D593" s="1121"/>
      <c r="E593" s="1121"/>
      <c r="F593" s="289">
        <f>380000/(C593-25319)</f>
        <v>2235.294117647059</v>
      </c>
      <c r="G593" s="292"/>
      <c r="H593" s="291"/>
      <c r="I593" s="291"/>
      <c r="J593" s="288"/>
      <c r="K593" s="1121"/>
      <c r="L593" s="1121" t="s">
        <v>231</v>
      </c>
      <c r="M593" s="1121" t="s">
        <v>2672</v>
      </c>
      <c r="N593" s="291" t="s">
        <v>145</v>
      </c>
      <c r="O593" s="1121"/>
      <c r="P593" s="1121"/>
      <c r="Q593" s="1121">
        <v>90</v>
      </c>
      <c r="R593" s="292">
        <v>2227.6999999999998</v>
      </c>
      <c r="S593" s="292"/>
      <c r="T593" s="1121">
        <v>20</v>
      </c>
      <c r="U593" s="1121"/>
      <c r="V593" s="1121"/>
      <c r="W593" s="1121">
        <v>1.4</v>
      </c>
      <c r="X593" s="1121"/>
      <c r="Y593" s="1121"/>
      <c r="Z593" s="1121"/>
      <c r="AA593" s="1121"/>
      <c r="AB593" s="1121"/>
      <c r="AC593" s="1121" t="s">
        <v>1704</v>
      </c>
      <c r="AD593" s="1121"/>
      <c r="AE593" s="1121"/>
      <c r="AF593" s="1121">
        <v>6000</v>
      </c>
      <c r="AG593" s="288">
        <v>25490.6</v>
      </c>
      <c r="AH593" s="1121">
        <v>2506</v>
      </c>
      <c r="AI593" s="289">
        <v>682</v>
      </c>
      <c r="AJ593" s="1121"/>
      <c r="AK593" s="1121"/>
      <c r="AL593" s="1121"/>
      <c r="AM593" s="1121" t="s">
        <v>1228</v>
      </c>
      <c r="AN593" s="315">
        <v>5.5</v>
      </c>
      <c r="AO593" s="315"/>
      <c r="AP593" s="315"/>
      <c r="AQ593" s="315"/>
      <c r="AR593" s="315"/>
      <c r="AS593" s="315"/>
      <c r="AT593" s="315">
        <f>+ab($T$593,$T$591,$T$595,$S$592,$S$594, 1*$R$593,1200)</f>
        <v>9.0967749725431215</v>
      </c>
      <c r="AU593" s="315"/>
      <c r="AV593" s="315"/>
      <c r="AW593" s="1121" t="s">
        <v>2630</v>
      </c>
      <c r="AX593" s="1121" t="s">
        <v>1639</v>
      </c>
      <c r="AY593" s="1121">
        <v>3.2</v>
      </c>
      <c r="AZ593" s="1121"/>
      <c r="BA593" s="1121"/>
      <c r="BB593" s="306"/>
      <c r="BF593" s="1119"/>
      <c r="BG593" s="1119"/>
      <c r="BH593" s="1119"/>
    </row>
    <row r="594" spans="1:60" ht="14.25">
      <c r="A594" s="340"/>
      <c r="B594" s="287"/>
      <c r="C594" s="288"/>
      <c r="D594" s="1121"/>
      <c r="E594" s="1121"/>
      <c r="F594" s="289"/>
      <c r="G594" s="292">
        <v>52</v>
      </c>
      <c r="H594" s="291"/>
      <c r="I594" s="294"/>
      <c r="J594" s="288"/>
      <c r="K594" s="1121"/>
      <c r="L594" s="1121"/>
      <c r="M594" s="1121"/>
      <c r="N594" s="291"/>
      <c r="O594" s="1121"/>
      <c r="P594" s="1121"/>
      <c r="Q594" s="1121"/>
      <c r="R594" s="292"/>
      <c r="S594" s="292">
        <f t="shared" ref="S594" si="120">AG595-AG593</f>
        <v>51.890000000003056</v>
      </c>
      <c r="T594" s="1121"/>
      <c r="U594" s="1121"/>
      <c r="V594" s="1121"/>
      <c r="W594" s="1121"/>
      <c r="X594" s="1121"/>
      <c r="Y594" s="1121"/>
      <c r="Z594" s="1121"/>
      <c r="AA594" s="1121"/>
      <c r="AB594" s="1121"/>
      <c r="AC594" s="1121"/>
      <c r="AD594" s="1121"/>
      <c r="AE594" s="1121"/>
      <c r="AF594" s="1121"/>
      <c r="AG594" s="288" t="s">
        <v>695</v>
      </c>
      <c r="AH594" s="1121" t="s">
        <v>695</v>
      </c>
      <c r="AI594" s="289" t="s">
        <v>695</v>
      </c>
      <c r="AJ594" s="1121"/>
      <c r="AK594" s="1121"/>
      <c r="AL594" s="1121"/>
      <c r="AM594" s="1121"/>
      <c r="AN594" s="315"/>
      <c r="AO594" s="315"/>
      <c r="AP594" s="315"/>
      <c r="AQ594" s="315">
        <f>+FL_1($T$595,$T$593,$S$594,1200,9.28, 1*$R$595)</f>
        <v>0.34878389641232033</v>
      </c>
      <c r="AR594" s="315"/>
      <c r="AS594" s="315"/>
      <c r="AT594" s="315"/>
      <c r="AU594" s="315"/>
      <c r="AV594" s="315"/>
      <c r="AW594" s="1121"/>
      <c r="AX594" s="1121"/>
      <c r="AY594" s="1121"/>
      <c r="AZ594" s="1121"/>
      <c r="BA594" s="1121"/>
      <c r="BB594" s="306"/>
      <c r="BF594" s="1119"/>
      <c r="BG594" s="1119"/>
      <c r="BH594" s="1119"/>
    </row>
    <row r="595" spans="1:60" ht="14.25">
      <c r="A595" s="340"/>
      <c r="B595" s="287" t="s">
        <v>1899</v>
      </c>
      <c r="C595" s="288">
        <f>+$C$593+$G$594</f>
        <v>25541</v>
      </c>
      <c r="D595" s="1121"/>
      <c r="E595" s="1121">
        <v>100</v>
      </c>
      <c r="F595" s="289">
        <v>2000</v>
      </c>
      <c r="G595" s="292"/>
      <c r="H595" s="291"/>
      <c r="I595" s="294"/>
      <c r="J595" s="288"/>
      <c r="K595" s="1121"/>
      <c r="L595" s="1121" t="s">
        <v>231</v>
      </c>
      <c r="M595" s="1121" t="s">
        <v>2672</v>
      </c>
      <c r="N595" s="291" t="s">
        <v>145</v>
      </c>
      <c r="O595" s="1121"/>
      <c r="P595" s="1121"/>
      <c r="Q595" s="1121">
        <v>102</v>
      </c>
      <c r="R595" s="292">
        <v>2000</v>
      </c>
      <c r="S595" s="292"/>
      <c r="T595" s="1121">
        <v>30</v>
      </c>
      <c r="U595" s="1121"/>
      <c r="V595" s="1121"/>
      <c r="W595" s="1121">
        <v>1.4</v>
      </c>
      <c r="X595" s="1121"/>
      <c r="Y595" s="1121"/>
      <c r="Z595" s="1121"/>
      <c r="AA595" s="1121"/>
      <c r="AB595" s="1121"/>
      <c r="AC595" s="1121" t="s">
        <v>2963</v>
      </c>
      <c r="AD595" s="1121"/>
      <c r="AE595" s="1121"/>
      <c r="AF595" s="1121">
        <v>6000</v>
      </c>
      <c r="AG595" s="288">
        <v>25542.49</v>
      </c>
      <c r="AH595" s="1121">
        <v>2620</v>
      </c>
      <c r="AI595" s="289">
        <v>746</v>
      </c>
      <c r="AJ595" s="1121"/>
      <c r="AK595" s="1121"/>
      <c r="AL595" s="1121"/>
      <c r="AM595" s="1121" t="s">
        <v>1228</v>
      </c>
      <c r="AN595" s="315">
        <v>5.5</v>
      </c>
      <c r="AO595" s="315"/>
      <c r="AP595" s="315"/>
      <c r="AQ595" s="315"/>
      <c r="AR595" s="315"/>
      <c r="AS595" s="315"/>
      <c r="AT595" s="315">
        <f>+ab($T$595,$T$593,$T$597,$S$594,$S$596, 1*$R$595,1200)</f>
        <v>6.8549381188226199</v>
      </c>
      <c r="AU595" s="315"/>
      <c r="AV595" s="315"/>
      <c r="AW595" s="1121" t="s">
        <v>2630</v>
      </c>
      <c r="AX595" s="1121" t="s">
        <v>1639</v>
      </c>
      <c r="AY595" s="1121">
        <v>3.2</v>
      </c>
      <c r="AZ595" s="1121"/>
      <c r="BA595" s="1121"/>
      <c r="BB595" s="306"/>
      <c r="BF595" s="1119"/>
      <c r="BG595" s="1119"/>
      <c r="BH595" s="1119"/>
    </row>
    <row r="596" spans="1:60" ht="14.25">
      <c r="A596" s="340"/>
      <c r="B596" s="287"/>
      <c r="C596" s="288"/>
      <c r="D596" s="1121"/>
      <c r="E596" s="1121"/>
      <c r="F596" s="289"/>
      <c r="G596" s="292">
        <v>52</v>
      </c>
      <c r="H596" s="291"/>
      <c r="I596" s="385"/>
      <c r="J596" s="288"/>
      <c r="K596" s="1121"/>
      <c r="L596" s="1121"/>
      <c r="M596" s="1121"/>
      <c r="N596" s="291"/>
      <c r="O596" s="1121"/>
      <c r="P596" s="1121"/>
      <c r="Q596" s="1121"/>
      <c r="R596" s="292"/>
      <c r="S596" s="292">
        <f t="shared" ref="S596" si="121">AG597-AG595</f>
        <v>51.840000000000146</v>
      </c>
      <c r="T596" s="1121"/>
      <c r="U596" s="1121"/>
      <c r="V596" s="1121"/>
      <c r="W596" s="1121"/>
      <c r="X596" s="1121"/>
      <c r="Y596" s="1121"/>
      <c r="Z596" s="1121"/>
      <c r="AA596" s="1121"/>
      <c r="AB596" s="1121"/>
      <c r="AC596" s="1121"/>
      <c r="AD596" s="1121"/>
      <c r="AE596" s="1121"/>
      <c r="AF596" s="1121"/>
      <c r="AG596" s="288" t="s">
        <v>695</v>
      </c>
      <c r="AH596" s="1121" t="s">
        <v>695</v>
      </c>
      <c r="AI596" s="289" t="s">
        <v>695</v>
      </c>
      <c r="AJ596" s="1121"/>
      <c r="AK596" s="1121"/>
      <c r="AL596" s="1121"/>
      <c r="AM596" s="1121"/>
      <c r="AN596" s="315"/>
      <c r="AO596" s="315"/>
      <c r="AP596" s="315"/>
      <c r="AQ596" s="315">
        <f>+FL_1($T$597,$T$595,$S$596,1200,9.28, 1*$R$597)</f>
        <v>0.39181195463290397</v>
      </c>
      <c r="AR596" s="315"/>
      <c r="AS596" s="315"/>
      <c r="AT596" s="315"/>
      <c r="AU596" s="315"/>
      <c r="AV596" s="315"/>
      <c r="AW596" s="1121"/>
      <c r="AX596" s="1121"/>
      <c r="AY596" s="1121"/>
      <c r="AZ596" s="1121"/>
      <c r="BA596" s="1121"/>
      <c r="BB596" s="306"/>
      <c r="BF596" s="1119"/>
      <c r="BG596" s="1119"/>
      <c r="BH596" s="1119"/>
    </row>
    <row r="597" spans="1:60" ht="14.25">
      <c r="A597" s="340"/>
      <c r="B597" s="287" t="s">
        <v>1900</v>
      </c>
      <c r="C597" s="288">
        <f>+$C$595+$G$596</f>
        <v>25593</v>
      </c>
      <c r="D597" s="1121"/>
      <c r="E597" s="1121">
        <v>100</v>
      </c>
      <c r="F597" s="289">
        <v>2000</v>
      </c>
      <c r="G597" s="292"/>
      <c r="H597" s="1121"/>
      <c r="I597" s="291"/>
      <c r="J597" s="288"/>
      <c r="K597" s="1121"/>
      <c r="L597" s="1121" t="s">
        <v>231</v>
      </c>
      <c r="M597" s="1121" t="s">
        <v>2672</v>
      </c>
      <c r="N597" s="291" t="s">
        <v>145</v>
      </c>
      <c r="O597" s="1121"/>
      <c r="P597" s="1121"/>
      <c r="Q597" s="1121">
        <v>92</v>
      </c>
      <c r="R597" s="292">
        <v>2000</v>
      </c>
      <c r="S597" s="292"/>
      <c r="T597" s="1121">
        <v>30</v>
      </c>
      <c r="U597" s="1121"/>
      <c r="V597" s="1121"/>
      <c r="W597" s="1121">
        <v>1.4</v>
      </c>
      <c r="X597" s="1121"/>
      <c r="Y597" s="1121"/>
      <c r="Z597" s="1121"/>
      <c r="AA597" s="1121"/>
      <c r="AB597" s="1121"/>
      <c r="AC597" s="1121" t="s">
        <v>2963</v>
      </c>
      <c r="AD597" s="1121"/>
      <c r="AE597" s="1121"/>
      <c r="AF597" s="1121">
        <v>6000</v>
      </c>
      <c r="AG597" s="288">
        <v>25594.33</v>
      </c>
      <c r="AH597" s="1121">
        <v>2508</v>
      </c>
      <c r="AI597" s="289">
        <v>693</v>
      </c>
      <c r="AJ597" s="1121"/>
      <c r="AK597" s="1121"/>
      <c r="AL597" s="1121"/>
      <c r="AM597" s="1121" t="s">
        <v>1228</v>
      </c>
      <c r="AN597" s="315">
        <v>5.5</v>
      </c>
      <c r="AO597" s="315"/>
      <c r="AP597" s="315"/>
      <c r="AQ597" s="315"/>
      <c r="AR597" s="315"/>
      <c r="AS597" s="315"/>
      <c r="AT597" s="315">
        <f>+ab($T$597,$T$595,$T$599,$S$596,$S$598, 1*$R$597,1200)</f>
        <v>8.1306536299945815</v>
      </c>
      <c r="AU597" s="315"/>
      <c r="AV597" s="315"/>
      <c r="AW597" s="1121" t="s">
        <v>2630</v>
      </c>
      <c r="AX597" s="1121" t="s">
        <v>1639</v>
      </c>
      <c r="AY597" s="1121">
        <v>3.2</v>
      </c>
      <c r="AZ597" s="1121"/>
      <c r="BA597" s="1121"/>
      <c r="BB597" s="306"/>
      <c r="BF597" s="1119"/>
      <c r="BG597" s="1119"/>
      <c r="BH597" s="1119"/>
    </row>
    <row r="598" spans="1:60" ht="14.25">
      <c r="A598" s="340"/>
      <c r="B598" s="287"/>
      <c r="C598" s="288"/>
      <c r="D598" s="1121"/>
      <c r="E598" s="1121"/>
      <c r="F598" s="289"/>
      <c r="G598" s="292">
        <v>42</v>
      </c>
      <c r="H598" s="1121"/>
      <c r="I598" s="1121"/>
      <c r="J598" s="288"/>
      <c r="K598" s="1121"/>
      <c r="L598" s="1121"/>
      <c r="M598" s="1121"/>
      <c r="N598" s="291"/>
      <c r="O598" s="1121"/>
      <c r="P598" s="1121"/>
      <c r="Q598" s="1121"/>
      <c r="R598" s="292"/>
      <c r="S598" s="292">
        <f t="shared" ref="S598" si="122">AG599-AG597</f>
        <v>41.929999999996653</v>
      </c>
      <c r="T598" s="1121"/>
      <c r="U598" s="1121"/>
      <c r="V598" s="1121"/>
      <c r="W598" s="1121"/>
      <c r="X598" s="1121"/>
      <c r="Y598" s="1121"/>
      <c r="Z598" s="1121"/>
      <c r="AA598" s="1121"/>
      <c r="AB598" s="1121"/>
      <c r="AC598" s="1121"/>
      <c r="AD598" s="1121"/>
      <c r="AE598" s="1121"/>
      <c r="AF598" s="1121"/>
      <c r="AG598" s="288" t="s">
        <v>695</v>
      </c>
      <c r="AH598" s="1121" t="s">
        <v>695</v>
      </c>
      <c r="AI598" s="289" t="s">
        <v>695</v>
      </c>
      <c r="AJ598" s="1121"/>
      <c r="AK598" s="1121"/>
      <c r="AL598" s="1121"/>
      <c r="AM598" s="1121"/>
      <c r="AN598" s="315"/>
      <c r="AO598" s="315"/>
      <c r="AP598" s="315"/>
      <c r="AQ598" s="315">
        <f>+FL_1($T$599,$T$597,$S$598,1200,9.28, 1*$R$599)</f>
        <v>0.36006624527663106</v>
      </c>
      <c r="AR598" s="315"/>
      <c r="AS598" s="315"/>
      <c r="AT598" s="315"/>
      <c r="AU598" s="315"/>
      <c r="AV598" s="315"/>
      <c r="AW598" s="1121"/>
      <c r="AX598" s="1121"/>
      <c r="AY598" s="1121"/>
      <c r="AZ598" s="1121"/>
      <c r="BA598" s="1121"/>
      <c r="BB598" s="306"/>
      <c r="BF598" s="1119"/>
      <c r="BG598" s="1119"/>
      <c r="BH598" s="1119"/>
    </row>
    <row r="599" spans="1:60" ht="14.25">
      <c r="A599" s="340"/>
      <c r="B599" s="287" t="s">
        <v>1901</v>
      </c>
      <c r="C599" s="288">
        <f>+$C$597+$G$598</f>
        <v>25635</v>
      </c>
      <c r="D599" s="1121"/>
      <c r="E599" s="1121">
        <v>100</v>
      </c>
      <c r="F599" s="289">
        <v>2000</v>
      </c>
      <c r="G599" s="292"/>
      <c r="H599" s="1121"/>
      <c r="I599" s="291"/>
      <c r="J599" s="288"/>
      <c r="K599" s="1121"/>
      <c r="L599" s="1121" t="s">
        <v>231</v>
      </c>
      <c r="M599" s="1121" t="s">
        <v>2672</v>
      </c>
      <c r="N599" s="291" t="s">
        <v>145</v>
      </c>
      <c r="O599" s="1121"/>
      <c r="P599" s="1121"/>
      <c r="Q599" s="1121">
        <v>107</v>
      </c>
      <c r="R599" s="292">
        <v>2000</v>
      </c>
      <c r="S599" s="292"/>
      <c r="T599" s="1121">
        <v>30</v>
      </c>
      <c r="U599" s="1121"/>
      <c r="V599" s="1121"/>
      <c r="W599" s="1121">
        <v>1.4</v>
      </c>
      <c r="X599" s="1121"/>
      <c r="Y599" s="1121"/>
      <c r="Z599" s="1121"/>
      <c r="AA599" s="1121"/>
      <c r="AB599" s="1121"/>
      <c r="AC599" s="1121" t="s">
        <v>1704</v>
      </c>
      <c r="AD599" s="1121"/>
      <c r="AE599" s="1121"/>
      <c r="AF599" s="1121">
        <v>6000</v>
      </c>
      <c r="AG599" s="288">
        <v>25636.26</v>
      </c>
      <c r="AH599" s="1121">
        <v>2553</v>
      </c>
      <c r="AI599" s="289">
        <v>741</v>
      </c>
      <c r="AJ599" s="1121"/>
      <c r="AK599" s="1121"/>
      <c r="AL599" s="1121"/>
      <c r="AM599" s="1121" t="s">
        <v>1228</v>
      </c>
      <c r="AN599" s="315">
        <v>5.5</v>
      </c>
      <c r="AO599" s="315"/>
      <c r="AP599" s="315"/>
      <c r="AQ599" s="315"/>
      <c r="AR599" s="315"/>
      <c r="AS599" s="315"/>
      <c r="AT599" s="315">
        <f>+ab($T$599,$T$597,$T$601,$S$598,$S$600, 1*$R$599,1200)</f>
        <v>9.0805690290576582</v>
      </c>
      <c r="AU599" s="315"/>
      <c r="AV599" s="315"/>
      <c r="AW599" s="1121" t="s">
        <v>2630</v>
      </c>
      <c r="AX599" s="1121" t="s">
        <v>1639</v>
      </c>
      <c r="AY599" s="1121">
        <v>3.2</v>
      </c>
      <c r="AZ599" s="1121"/>
      <c r="BA599" s="1121"/>
      <c r="BB599" s="306"/>
      <c r="BF599" s="1119"/>
      <c r="BG599" s="1119"/>
      <c r="BH599" s="1119"/>
    </row>
    <row r="600" spans="1:60" ht="14.25">
      <c r="A600" s="340"/>
      <c r="B600" s="334"/>
      <c r="C600" s="288"/>
      <c r="D600" s="1121"/>
      <c r="E600" s="1121"/>
      <c r="F600" s="289"/>
      <c r="G600" s="292">
        <v>42</v>
      </c>
      <c r="H600" s="291"/>
      <c r="I600" s="294"/>
      <c r="J600" s="383">
        <f>C601-7.5</f>
        <v>25669.5</v>
      </c>
      <c r="K600" s="1121" t="s">
        <v>658</v>
      </c>
      <c r="L600" s="1121"/>
      <c r="M600" s="1121"/>
      <c r="N600" s="291"/>
      <c r="O600" s="291"/>
      <c r="P600" s="291"/>
      <c r="Q600" s="1121"/>
      <c r="R600" s="292"/>
      <c r="S600" s="292">
        <f t="shared" ref="S600" si="123">AG601-AG599</f>
        <v>41.890000000003056</v>
      </c>
      <c r="T600" s="1121"/>
      <c r="U600" s="1121"/>
      <c r="V600" s="1121"/>
      <c r="W600" s="1121"/>
      <c r="X600" s="1121"/>
      <c r="Y600" s="1121"/>
      <c r="Z600" s="1121"/>
      <c r="AA600" s="1121"/>
      <c r="AB600" s="1121"/>
      <c r="AC600" s="1121"/>
      <c r="AD600" s="1121"/>
      <c r="AE600" s="1121"/>
      <c r="AF600" s="1121"/>
      <c r="AG600" s="288" t="s">
        <v>695</v>
      </c>
      <c r="AH600" s="1121" t="s">
        <v>695</v>
      </c>
      <c r="AI600" s="289" t="s">
        <v>695</v>
      </c>
      <c r="AJ600" s="1121"/>
      <c r="AK600" s="1121"/>
      <c r="AL600" s="1121"/>
      <c r="AM600" s="1121"/>
      <c r="AN600" s="315"/>
      <c r="AO600" s="315"/>
      <c r="AP600" s="315"/>
      <c r="AQ600" s="315">
        <f>+FL_1($T$601,$T$599,$S$600,1200,9.28, 1*$R$601)</f>
        <v>0.35995170277965316</v>
      </c>
      <c r="AR600" s="315"/>
      <c r="AS600" s="315"/>
      <c r="AT600" s="315"/>
      <c r="AU600" s="315"/>
      <c r="AV600" s="315"/>
      <c r="AW600" s="1121" t="s">
        <v>2630</v>
      </c>
      <c r="AX600" s="1121" t="s">
        <v>1639</v>
      </c>
      <c r="AY600" s="1121"/>
      <c r="AZ600" s="1121">
        <v>2.1</v>
      </c>
      <c r="BA600" s="1121"/>
      <c r="BB600" s="306"/>
      <c r="BF600" s="1119"/>
      <c r="BG600" s="1119"/>
      <c r="BH600" s="1119"/>
    </row>
    <row r="601" spans="1:60" ht="14.25">
      <c r="A601" s="340"/>
      <c r="B601" s="334" t="s">
        <v>1902</v>
      </c>
      <c r="C601" s="288">
        <f>+$C$599+$G$600</f>
        <v>25677</v>
      </c>
      <c r="D601" s="1121"/>
      <c r="E601" s="1121">
        <v>100</v>
      </c>
      <c r="F601" s="289">
        <v>2000</v>
      </c>
      <c r="G601" s="292"/>
      <c r="H601" s="291" t="s">
        <v>954</v>
      </c>
      <c r="I601" s="291"/>
      <c r="J601" s="383"/>
      <c r="K601" s="1121"/>
      <c r="L601" s="1121" t="s">
        <v>231</v>
      </c>
      <c r="M601" s="1121" t="s">
        <v>2672</v>
      </c>
      <c r="N601" s="291" t="s">
        <v>145</v>
      </c>
      <c r="O601" s="291"/>
      <c r="P601" s="291"/>
      <c r="Q601" s="1121">
        <v>101</v>
      </c>
      <c r="R601" s="292">
        <v>2000</v>
      </c>
      <c r="S601" s="292"/>
      <c r="T601" s="1121">
        <v>30</v>
      </c>
      <c r="U601" s="1121"/>
      <c r="V601" s="1121"/>
      <c r="W601" s="1121">
        <v>1.4</v>
      </c>
      <c r="X601" s="1121"/>
      <c r="Y601" s="1121"/>
      <c r="Z601" s="1121"/>
      <c r="AA601" s="1121"/>
      <c r="AB601" s="1121"/>
      <c r="AC601" s="1121" t="s">
        <v>1704</v>
      </c>
      <c r="AD601" s="1121"/>
      <c r="AE601" s="1121"/>
      <c r="AF601" s="1121">
        <v>6000</v>
      </c>
      <c r="AG601" s="288">
        <v>25678.15</v>
      </c>
      <c r="AH601" s="1121">
        <v>2510</v>
      </c>
      <c r="AI601" s="289">
        <v>756</v>
      </c>
      <c r="AJ601" s="1121"/>
      <c r="AK601" s="1121"/>
      <c r="AL601" s="1121"/>
      <c r="AM601" s="1121" t="s">
        <v>1228</v>
      </c>
      <c r="AN601" s="315">
        <v>5.5</v>
      </c>
      <c r="AO601" s="315"/>
      <c r="AP601" s="315"/>
      <c r="AQ601" s="315"/>
      <c r="AR601" s="315"/>
      <c r="AS601" s="315"/>
      <c r="AT601" s="315">
        <f>+ab($T$601,$T$599,$T$603,$S$600,$S$602, 1*$R$601,1200)</f>
        <v>9.0582524240506554</v>
      </c>
      <c r="AU601" s="315"/>
      <c r="AV601" s="315"/>
      <c r="AW601" s="1121" t="s">
        <v>2630</v>
      </c>
      <c r="AX601" s="1121" t="s">
        <v>1639</v>
      </c>
      <c r="AY601" s="1121">
        <v>3.2</v>
      </c>
      <c r="AZ601" s="1121"/>
      <c r="BA601" s="1121"/>
      <c r="BB601" s="306"/>
      <c r="BF601" s="1119"/>
      <c r="BG601" s="1119"/>
      <c r="BH601" s="1119"/>
    </row>
    <row r="602" spans="1:60" ht="14.25">
      <c r="A602" s="340"/>
      <c r="B602" s="334"/>
      <c r="C602" s="288"/>
      <c r="D602" s="1121"/>
      <c r="E602" s="1121"/>
      <c r="F602" s="289"/>
      <c r="G602" s="292">
        <v>43</v>
      </c>
      <c r="H602" s="291"/>
      <c r="I602" s="385">
        <f>SUM(G570:G602)</f>
        <v>694</v>
      </c>
      <c r="J602" s="383"/>
      <c r="K602" s="1121"/>
      <c r="L602" s="1121"/>
      <c r="M602" s="1121"/>
      <c r="N602" s="291"/>
      <c r="O602" s="291"/>
      <c r="P602" s="291"/>
      <c r="Q602" s="1121"/>
      <c r="R602" s="292"/>
      <c r="S602" s="292">
        <f t="shared" ref="S602" si="124">AG603-AG601</f>
        <v>42.139999999999418</v>
      </c>
      <c r="T602" s="1121"/>
      <c r="U602" s="1121"/>
      <c r="V602" s="1121"/>
      <c r="W602" s="1121"/>
      <c r="X602" s="1121"/>
      <c r="Y602" s="1121"/>
      <c r="Z602" s="1121"/>
      <c r="AA602" s="1121"/>
      <c r="AB602" s="1121"/>
      <c r="AC602" s="1121"/>
      <c r="AD602" s="1121"/>
      <c r="AE602" s="1121"/>
      <c r="AF602" s="1121"/>
      <c r="AG602" s="288" t="s">
        <v>695</v>
      </c>
      <c r="AH602" s="1121" t="s">
        <v>695</v>
      </c>
      <c r="AI602" s="289" t="s">
        <v>695</v>
      </c>
      <c r="AJ602" s="1121"/>
      <c r="AK602" s="1121"/>
      <c r="AL602" s="1121"/>
      <c r="AM602" s="1121"/>
      <c r="AN602" s="315"/>
      <c r="AO602" s="315"/>
      <c r="AP602" s="315"/>
      <c r="AQ602" s="315">
        <f>+FL_1($T$603,$T$601,$S$602,1200,9.28, 1*$R$603)</f>
        <v>0.360669390010248</v>
      </c>
      <c r="AR602" s="315"/>
      <c r="AS602" s="315"/>
      <c r="AT602" s="315"/>
      <c r="AU602" s="315"/>
      <c r="AV602" s="315"/>
      <c r="AW602" s="1121"/>
      <c r="AX602" s="1121"/>
      <c r="AY602" s="1121"/>
      <c r="AZ602" s="1121"/>
      <c r="BA602" s="1121"/>
      <c r="BB602" s="306"/>
      <c r="BF602" s="1119"/>
      <c r="BG602" s="1119"/>
      <c r="BH602" s="1119"/>
    </row>
    <row r="603" spans="1:60" ht="14.25">
      <c r="A603" s="340"/>
      <c r="B603" s="334" t="s">
        <v>1903</v>
      </c>
      <c r="C603" s="288">
        <f>+$C$601+$G$602</f>
        <v>25720</v>
      </c>
      <c r="D603" s="1121"/>
      <c r="E603" s="1121">
        <v>100</v>
      </c>
      <c r="F603" s="289">
        <v>2000</v>
      </c>
      <c r="G603" s="292"/>
      <c r="H603" s="291" t="s">
        <v>955</v>
      </c>
      <c r="I603" s="291"/>
      <c r="J603" s="383"/>
      <c r="K603" s="1121"/>
      <c r="L603" s="1121" t="s">
        <v>231</v>
      </c>
      <c r="M603" s="1121" t="s">
        <v>2672</v>
      </c>
      <c r="N603" s="291" t="s">
        <v>145</v>
      </c>
      <c r="O603" s="291"/>
      <c r="P603" s="291"/>
      <c r="Q603" s="1121">
        <v>101</v>
      </c>
      <c r="R603" s="292">
        <v>2000</v>
      </c>
      <c r="S603" s="292"/>
      <c r="T603" s="1121">
        <v>30</v>
      </c>
      <c r="U603" s="1121"/>
      <c r="V603" s="1121"/>
      <c r="W603" s="1121">
        <v>1.4</v>
      </c>
      <c r="X603" s="1121"/>
      <c r="Y603" s="1121"/>
      <c r="Z603" s="1121"/>
      <c r="AA603" s="1121"/>
      <c r="AB603" s="1121"/>
      <c r="AC603" s="1121" t="s">
        <v>1704</v>
      </c>
      <c r="AD603" s="1121"/>
      <c r="AE603" s="1121"/>
      <c r="AF603" s="1121">
        <v>6000</v>
      </c>
      <c r="AG603" s="288">
        <v>25720.29</v>
      </c>
      <c r="AH603" s="1121">
        <v>2478</v>
      </c>
      <c r="AI603" s="289">
        <v>799</v>
      </c>
      <c r="AJ603" s="1121"/>
      <c r="AK603" s="1121"/>
      <c r="AL603" s="1121"/>
      <c r="AM603" s="1121" t="s">
        <v>1228</v>
      </c>
      <c r="AN603" s="315">
        <v>5.5</v>
      </c>
      <c r="AO603" s="315"/>
      <c r="AP603" s="315"/>
      <c r="AQ603" s="315"/>
      <c r="AR603" s="315"/>
      <c r="AS603" s="315"/>
      <c r="AT603" s="315">
        <f>+ab($T$603,$T$601,$T$605,$S$602,$S$604, 1*$R$603,1200)</f>
        <v>8.9742241932916507</v>
      </c>
      <c r="AU603" s="315"/>
      <c r="AV603" s="315"/>
      <c r="AW603" s="1121" t="s">
        <v>2630</v>
      </c>
      <c r="AX603" s="1121" t="s">
        <v>1639</v>
      </c>
      <c r="AY603" s="1121">
        <v>3.2</v>
      </c>
      <c r="AZ603" s="1121"/>
      <c r="BA603" s="1121"/>
      <c r="BB603" s="306"/>
      <c r="BF603" s="1119"/>
      <c r="BG603" s="1119"/>
      <c r="BH603" s="1119"/>
    </row>
    <row r="604" spans="1:60" ht="14.25">
      <c r="A604" s="392" t="s">
        <v>1752</v>
      </c>
      <c r="B604" s="393"/>
      <c r="C604" s="389"/>
      <c r="D604" s="390"/>
      <c r="E604" s="390"/>
      <c r="F604" s="394"/>
      <c r="G604" s="395">
        <v>42.6</v>
      </c>
      <c r="H604" s="387"/>
      <c r="I604" s="387">
        <f>SUM(G604:G626)</f>
        <v>613.9</v>
      </c>
      <c r="J604" s="396"/>
      <c r="K604" s="390"/>
      <c r="L604" s="390"/>
      <c r="M604" s="390"/>
      <c r="N604" s="387"/>
      <c r="O604" s="387"/>
      <c r="P604" s="387"/>
      <c r="Q604" s="390"/>
      <c r="R604" s="395"/>
      <c r="S604" s="395">
        <f t="shared" ref="S604" si="125">AG605-AG603</f>
        <v>42.68999999999869</v>
      </c>
      <c r="T604" s="390"/>
      <c r="U604" s="390"/>
      <c r="V604" s="390"/>
      <c r="W604" s="390"/>
      <c r="X604" s="390"/>
      <c r="Y604" s="390"/>
      <c r="Z604" s="390"/>
      <c r="AA604" s="390"/>
      <c r="AB604" s="390"/>
      <c r="AC604" s="390"/>
      <c r="AD604" s="390"/>
      <c r="AE604" s="390"/>
      <c r="AF604" s="390"/>
      <c r="AG604" s="389" t="s">
        <v>695</v>
      </c>
      <c r="AH604" s="390" t="s">
        <v>695</v>
      </c>
      <c r="AI604" s="394" t="s">
        <v>695</v>
      </c>
      <c r="AJ604" s="390"/>
      <c r="AK604" s="390"/>
      <c r="AL604" s="390"/>
      <c r="AM604" s="390"/>
      <c r="AN604" s="381"/>
      <c r="AO604" s="381"/>
      <c r="AP604" s="381"/>
      <c r="AQ604" s="381">
        <f>+FL_1($T$605,$T$603,$S$604,1200,11.33, 1*$R$605)</f>
        <v>0.40117992180120554</v>
      </c>
      <c r="AR604" s="381"/>
      <c r="AS604" s="381"/>
      <c r="AT604" s="381"/>
      <c r="AU604" s="381"/>
      <c r="AV604" s="381"/>
      <c r="AW604" s="390"/>
      <c r="AX604" s="390"/>
      <c r="AY604" s="390"/>
      <c r="AZ604" s="390"/>
      <c r="BA604" s="390"/>
      <c r="BB604" s="306"/>
      <c r="BF604" s="1119"/>
      <c r="BG604" s="1119"/>
      <c r="BH604" s="1119"/>
    </row>
    <row r="605" spans="1:60" ht="14.25">
      <c r="A605" s="392"/>
      <c r="B605" s="393" t="s">
        <v>1904</v>
      </c>
      <c r="C605" s="389">
        <f>+$C$603+$G$604</f>
        <v>25762.6</v>
      </c>
      <c r="D605" s="390"/>
      <c r="E605" s="390">
        <v>100</v>
      </c>
      <c r="F605" s="394">
        <v>2000</v>
      </c>
      <c r="G605" s="395"/>
      <c r="H605" s="387" t="s">
        <v>954</v>
      </c>
      <c r="I605" s="387"/>
      <c r="J605" s="396"/>
      <c r="K605" s="390"/>
      <c r="L605" s="390" t="s">
        <v>2542</v>
      </c>
      <c r="M605" s="390" t="s">
        <v>2545</v>
      </c>
      <c r="N605" s="387" t="s">
        <v>145</v>
      </c>
      <c r="O605" s="387"/>
      <c r="P605" s="387"/>
      <c r="Q605" s="390">
        <v>89</v>
      </c>
      <c r="R605" s="395">
        <v>2000</v>
      </c>
      <c r="S605" s="395"/>
      <c r="T605" s="390">
        <v>30</v>
      </c>
      <c r="U605" s="390"/>
      <c r="V605" s="390"/>
      <c r="W605" s="390">
        <v>1.4</v>
      </c>
      <c r="X605" s="390"/>
      <c r="Y605" s="390"/>
      <c r="Z605" s="390"/>
      <c r="AA605" s="390"/>
      <c r="AB605" s="390"/>
      <c r="AC605" s="390" t="s">
        <v>1704</v>
      </c>
      <c r="AD605" s="390"/>
      <c r="AE605" s="390"/>
      <c r="AF605" s="390">
        <v>5200</v>
      </c>
      <c r="AG605" s="389">
        <v>25762.98</v>
      </c>
      <c r="AH605" s="390">
        <v>3059</v>
      </c>
      <c r="AI605" s="394">
        <v>22</v>
      </c>
      <c r="AJ605" s="343"/>
      <c r="AK605" s="343"/>
      <c r="AL605" s="343"/>
      <c r="AM605" s="343" t="s">
        <v>1228</v>
      </c>
      <c r="AN605" s="347">
        <v>5.5</v>
      </c>
      <c r="AO605" s="347"/>
      <c r="AP605" s="347"/>
      <c r="AQ605" s="347"/>
      <c r="AR605" s="347"/>
      <c r="AS605" s="347"/>
      <c r="AT605" s="347">
        <f>+ab($T$605,$T$603,$T$607,$S$604,$S$606, 1*$R$605,1200)</f>
        <v>8.273006915065185</v>
      </c>
      <c r="AU605" s="381"/>
      <c r="AV605" s="381"/>
      <c r="AW605" s="390" t="s">
        <v>699</v>
      </c>
      <c r="AX605" s="390" t="s">
        <v>699</v>
      </c>
      <c r="AY605" s="390" t="s">
        <v>699</v>
      </c>
      <c r="AZ605" s="390" t="s">
        <v>699</v>
      </c>
      <c r="BA605" s="390"/>
      <c r="BB605" s="306"/>
      <c r="BF605" s="1119"/>
      <c r="BG605" s="1119"/>
      <c r="BH605" s="1119"/>
    </row>
    <row r="606" spans="1:60" ht="14.25">
      <c r="A606" s="392"/>
      <c r="B606" s="393"/>
      <c r="C606" s="389"/>
      <c r="D606" s="390"/>
      <c r="E606" s="390"/>
      <c r="F606" s="394"/>
      <c r="G606" s="395">
        <v>45.1</v>
      </c>
      <c r="H606" s="387"/>
      <c r="I606" s="387"/>
      <c r="J606" s="396"/>
      <c r="K606" s="390"/>
      <c r="L606" s="390"/>
      <c r="M606" s="390"/>
      <c r="N606" s="387"/>
      <c r="O606" s="387"/>
      <c r="P606" s="387"/>
      <c r="Q606" s="390"/>
      <c r="R606" s="395"/>
      <c r="S606" s="395">
        <f t="shared" ref="S606" si="126">AG607-AG605</f>
        <v>45</v>
      </c>
      <c r="T606" s="390"/>
      <c r="U606" s="390"/>
      <c r="V606" s="390"/>
      <c r="W606" s="390"/>
      <c r="X606" s="390"/>
      <c r="Y606" s="390"/>
      <c r="Z606" s="390"/>
      <c r="AA606" s="390"/>
      <c r="AB606" s="390"/>
      <c r="AC606" s="390"/>
      <c r="AD606" s="390"/>
      <c r="AE606" s="390"/>
      <c r="AF606" s="390"/>
      <c r="AG606" s="389" t="s">
        <v>695</v>
      </c>
      <c r="AH606" s="390" t="s">
        <v>695</v>
      </c>
      <c r="AI606" s="394" t="s">
        <v>695</v>
      </c>
      <c r="AJ606" s="343"/>
      <c r="AK606" s="343"/>
      <c r="AL606" s="343"/>
      <c r="AM606" s="343"/>
      <c r="AN606" s="347"/>
      <c r="AO606" s="347"/>
      <c r="AP606" s="347"/>
      <c r="AQ606" s="347">
        <f>+FL_1($T$607,$T$605,$S$606,1200,11.33, 1*$R$607)</f>
        <v>0.38881553795028556</v>
      </c>
      <c r="AR606" s="347"/>
      <c r="AS606" s="347"/>
      <c r="AT606" s="347"/>
      <c r="AU606" s="381"/>
      <c r="AV606" s="381"/>
      <c r="AW606" s="390"/>
      <c r="AX606" s="390"/>
      <c r="AY606" s="390"/>
      <c r="AZ606" s="390"/>
      <c r="BA606" s="390"/>
      <c r="BB606" s="306"/>
      <c r="BF606" s="1119"/>
      <c r="BG606" s="1119"/>
      <c r="BH606" s="1119"/>
    </row>
    <row r="607" spans="1:60" ht="14.25">
      <c r="A607" s="392"/>
      <c r="B607" s="393" t="s">
        <v>1905</v>
      </c>
      <c r="C607" s="389">
        <f>+$C$605+$G$606</f>
        <v>25807.699999999997</v>
      </c>
      <c r="D607" s="390"/>
      <c r="E607" s="390">
        <v>100</v>
      </c>
      <c r="F607" s="394">
        <v>2000</v>
      </c>
      <c r="G607" s="395"/>
      <c r="H607" s="387"/>
      <c r="I607" s="387"/>
      <c r="J607" s="396"/>
      <c r="K607" s="390"/>
      <c r="L607" s="390" t="s">
        <v>1066</v>
      </c>
      <c r="M607" s="390" t="s">
        <v>2544</v>
      </c>
      <c r="N607" s="387" t="s">
        <v>145</v>
      </c>
      <c r="O607" s="387"/>
      <c r="P607" s="387"/>
      <c r="Q607" s="390">
        <v>106</v>
      </c>
      <c r="R607" s="395">
        <v>2000</v>
      </c>
      <c r="S607" s="395"/>
      <c r="T607" s="390">
        <v>25</v>
      </c>
      <c r="U607" s="390"/>
      <c r="V607" s="390"/>
      <c r="W607" s="390">
        <v>1.4</v>
      </c>
      <c r="X607" s="390"/>
      <c r="Y607" s="390"/>
      <c r="Z607" s="390"/>
      <c r="AA607" s="390"/>
      <c r="AB607" s="390"/>
      <c r="AC607" s="390" t="s">
        <v>1704</v>
      </c>
      <c r="AD607" s="390"/>
      <c r="AE607" s="390"/>
      <c r="AF607" s="390">
        <v>5200</v>
      </c>
      <c r="AG607" s="389">
        <v>25807.98</v>
      </c>
      <c r="AH607" s="390">
        <v>3106</v>
      </c>
      <c r="AI607" s="394">
        <v>-26</v>
      </c>
      <c r="AJ607" s="343"/>
      <c r="AK607" s="343"/>
      <c r="AL607" s="343"/>
      <c r="AM607" s="343" t="s">
        <v>1228</v>
      </c>
      <c r="AN607" s="347">
        <v>5.5</v>
      </c>
      <c r="AO607" s="347"/>
      <c r="AP607" s="347"/>
      <c r="AQ607" s="347"/>
      <c r="AR607" s="347"/>
      <c r="AS607" s="347"/>
      <c r="AT607" s="347">
        <f>+ab($T$607,$T$605,$T$609,$S$606,$S$608, 1*$R$607,1200)</f>
        <v>8.3044601885360407</v>
      </c>
      <c r="AU607" s="381"/>
      <c r="AV607" s="381"/>
      <c r="AW607" s="390" t="s">
        <v>699</v>
      </c>
      <c r="AX607" s="390" t="s">
        <v>699</v>
      </c>
      <c r="AY607" s="390" t="s">
        <v>699</v>
      </c>
      <c r="AZ607" s="390" t="s">
        <v>699</v>
      </c>
      <c r="BA607" s="390"/>
      <c r="BB607" s="306"/>
      <c r="BF607" s="1119"/>
      <c r="BG607" s="1119"/>
      <c r="BH607" s="1119"/>
    </row>
    <row r="608" spans="1:60" ht="14.25">
      <c r="A608" s="392"/>
      <c r="B608" s="393"/>
      <c r="C608" s="389"/>
      <c r="D608" s="390"/>
      <c r="E608" s="390"/>
      <c r="F608" s="394"/>
      <c r="G608" s="395">
        <v>55.3</v>
      </c>
      <c r="H608" s="387"/>
      <c r="I608" s="387"/>
      <c r="J608" s="396"/>
      <c r="K608" s="390"/>
      <c r="L608" s="390"/>
      <c r="M608" s="390"/>
      <c r="N608" s="387"/>
      <c r="O608" s="387"/>
      <c r="P608" s="387"/>
      <c r="Q608" s="390"/>
      <c r="R608" s="395"/>
      <c r="S608" s="395">
        <f t="shared" ref="S608" si="127">AG609-AG607</f>
        <v>54.869999999998981</v>
      </c>
      <c r="T608" s="390"/>
      <c r="U608" s="390"/>
      <c r="V608" s="390"/>
      <c r="W608" s="390"/>
      <c r="X608" s="390"/>
      <c r="Y608" s="390"/>
      <c r="Z608" s="390"/>
      <c r="AA608" s="390"/>
      <c r="AB608" s="390"/>
      <c r="AC608" s="390"/>
      <c r="AD608" s="390"/>
      <c r="AE608" s="390"/>
      <c r="AF608" s="390"/>
      <c r="AG608" s="389" t="s">
        <v>695</v>
      </c>
      <c r="AH608" s="390" t="s">
        <v>695</v>
      </c>
      <c r="AI608" s="394" t="s">
        <v>695</v>
      </c>
      <c r="AJ608" s="343"/>
      <c r="AK608" s="343"/>
      <c r="AL608" s="343"/>
      <c r="AM608" s="343"/>
      <c r="AN608" s="347"/>
      <c r="AO608" s="347"/>
      <c r="AP608" s="347"/>
      <c r="AQ608" s="347">
        <f>+FL_1($T$609,$T$607,$S$608,1200,11.88, 1*$R$609)</f>
        <v>0.46024494599198718</v>
      </c>
      <c r="AR608" s="347"/>
      <c r="AS608" s="347"/>
      <c r="AT608" s="347"/>
      <c r="AU608" s="381"/>
      <c r="AV608" s="381"/>
      <c r="AW608" s="390"/>
      <c r="AX608" s="390"/>
      <c r="AY608" s="390"/>
      <c r="AZ608" s="390"/>
      <c r="BA608" s="390"/>
      <c r="BB608" s="306"/>
      <c r="BF608" s="1119"/>
      <c r="BG608" s="1119"/>
      <c r="BH608" s="1119"/>
    </row>
    <row r="609" spans="1:60" ht="14.25">
      <c r="A609" s="392"/>
      <c r="B609" s="393" t="s">
        <v>1906</v>
      </c>
      <c r="C609" s="389">
        <f>+$C$607+$G$608</f>
        <v>25862.999999999996</v>
      </c>
      <c r="D609" s="390"/>
      <c r="E609" s="390">
        <v>100</v>
      </c>
      <c r="F609" s="394">
        <v>2000</v>
      </c>
      <c r="G609" s="395"/>
      <c r="H609" s="387"/>
      <c r="I609" s="387"/>
      <c r="J609" s="396"/>
      <c r="K609" s="390"/>
      <c r="L609" s="390" t="s">
        <v>1068</v>
      </c>
      <c r="M609" s="390" t="s">
        <v>2545</v>
      </c>
      <c r="N609" s="387" t="s">
        <v>145</v>
      </c>
      <c r="O609" s="387"/>
      <c r="P609" s="387"/>
      <c r="Q609" s="390">
        <v>101</v>
      </c>
      <c r="R609" s="395">
        <v>2000</v>
      </c>
      <c r="S609" s="395"/>
      <c r="T609" s="390">
        <v>30</v>
      </c>
      <c r="U609" s="390"/>
      <c r="V609" s="390"/>
      <c r="W609" s="390">
        <v>1.4</v>
      </c>
      <c r="X609" s="390"/>
      <c r="Y609" s="390"/>
      <c r="Z609" s="390"/>
      <c r="AA609" s="390"/>
      <c r="AB609" s="390"/>
      <c r="AC609" s="390" t="s">
        <v>2963</v>
      </c>
      <c r="AD609" s="390"/>
      <c r="AE609" s="390"/>
      <c r="AF609" s="390">
        <v>5200</v>
      </c>
      <c r="AG609" s="389">
        <v>25862.85</v>
      </c>
      <c r="AH609" s="390">
        <v>3041</v>
      </c>
      <c r="AI609" s="394">
        <v>-32</v>
      </c>
      <c r="AJ609" s="343"/>
      <c r="AK609" s="343"/>
      <c r="AL609" s="343"/>
      <c r="AM609" s="343" t="s">
        <v>1228</v>
      </c>
      <c r="AN609" s="347">
        <v>5.5</v>
      </c>
      <c r="AO609" s="347"/>
      <c r="AP609" s="347"/>
      <c r="AQ609" s="347"/>
      <c r="AR609" s="347"/>
      <c r="AS609" s="347"/>
      <c r="AT609" s="347">
        <f>+ab($T$609,$T$607,$T$611,$S$608,$S$610, 1*$R$609,1200)</f>
        <v>6.5179535246836977</v>
      </c>
      <c r="AU609" s="381"/>
      <c r="AV609" s="381"/>
      <c r="AW609" s="390" t="s">
        <v>699</v>
      </c>
      <c r="AX609" s="390" t="s">
        <v>699</v>
      </c>
      <c r="AY609" s="390" t="s">
        <v>699</v>
      </c>
      <c r="AZ609" s="390" t="s">
        <v>699</v>
      </c>
      <c r="BA609" s="390"/>
      <c r="BB609" s="306"/>
      <c r="BF609" s="1119"/>
      <c r="BG609" s="1119"/>
      <c r="BH609" s="1119"/>
    </row>
    <row r="610" spans="1:60" ht="14.25">
      <c r="A610" s="392"/>
      <c r="B610" s="393"/>
      <c r="C610" s="389"/>
      <c r="D610" s="390"/>
      <c r="E610" s="390"/>
      <c r="F610" s="394"/>
      <c r="G610" s="395">
        <v>55.2</v>
      </c>
      <c r="H610" s="387"/>
      <c r="I610" s="387"/>
      <c r="J610" s="396"/>
      <c r="K610" s="390"/>
      <c r="L610" s="390"/>
      <c r="M610" s="390"/>
      <c r="N610" s="387"/>
      <c r="O610" s="387"/>
      <c r="P610" s="387"/>
      <c r="Q610" s="390"/>
      <c r="R610" s="395"/>
      <c r="S610" s="395">
        <f t="shared" ref="S610" si="128">AG611-AG609</f>
        <v>55.110000000000582</v>
      </c>
      <c r="T610" s="390"/>
      <c r="U610" s="390"/>
      <c r="V610" s="390"/>
      <c r="W610" s="390"/>
      <c r="X610" s="390"/>
      <c r="Y610" s="390"/>
      <c r="Z610" s="390"/>
      <c r="AA610" s="390"/>
      <c r="AB610" s="390"/>
      <c r="AC610" s="390"/>
      <c r="AD610" s="390"/>
      <c r="AE610" s="390"/>
      <c r="AF610" s="390"/>
      <c r="AG610" s="389" t="s">
        <v>695</v>
      </c>
      <c r="AH610" s="390" t="s">
        <v>695</v>
      </c>
      <c r="AI610" s="394" t="s">
        <v>695</v>
      </c>
      <c r="AJ610" s="343"/>
      <c r="AK610" s="343"/>
      <c r="AL610" s="343"/>
      <c r="AM610" s="343"/>
      <c r="AN610" s="347"/>
      <c r="AO610" s="347"/>
      <c r="AP610" s="347"/>
      <c r="AQ610" s="347">
        <f>+FL_1($T$611,$T$609,$S$610,1200,12.26, 1*$R$611)</f>
        <v>0.47382503822213007</v>
      </c>
      <c r="AR610" s="347"/>
      <c r="AS610" s="347"/>
      <c r="AT610" s="347"/>
      <c r="AU610" s="381"/>
      <c r="AV610" s="381"/>
      <c r="AW610" s="390"/>
      <c r="AX610" s="390"/>
      <c r="AY610" s="390"/>
      <c r="AZ610" s="390"/>
      <c r="BA610" s="390"/>
      <c r="BB610" s="306"/>
      <c r="BF610" s="1119"/>
      <c r="BG610" s="1119"/>
      <c r="BH610" s="1119"/>
    </row>
    <row r="611" spans="1:60" ht="14.25">
      <c r="A611" s="392"/>
      <c r="B611" s="393" t="s">
        <v>1907</v>
      </c>
      <c r="C611" s="389">
        <f>+$C$609+$G$610</f>
        <v>25918.199999999997</v>
      </c>
      <c r="D611" s="390"/>
      <c r="E611" s="390">
        <v>100</v>
      </c>
      <c r="F611" s="394">
        <v>2000</v>
      </c>
      <c r="G611" s="395"/>
      <c r="H611" s="387"/>
      <c r="I611" s="387"/>
      <c r="J611" s="396"/>
      <c r="K611" s="390"/>
      <c r="L611" s="390" t="s">
        <v>1068</v>
      </c>
      <c r="M611" s="390" t="s">
        <v>2544</v>
      </c>
      <c r="N611" s="387" t="s">
        <v>145</v>
      </c>
      <c r="O611" s="387"/>
      <c r="P611" s="387"/>
      <c r="Q611" s="390">
        <v>104</v>
      </c>
      <c r="R611" s="395">
        <v>2000</v>
      </c>
      <c r="S611" s="395"/>
      <c r="T611" s="390">
        <v>25</v>
      </c>
      <c r="U611" s="390"/>
      <c r="V611" s="390"/>
      <c r="W611" s="390">
        <v>1.4</v>
      </c>
      <c r="X611" s="390"/>
      <c r="Y611" s="390"/>
      <c r="Z611" s="390"/>
      <c r="AA611" s="390"/>
      <c r="AB611" s="390"/>
      <c r="AC611" s="390" t="s">
        <v>2963</v>
      </c>
      <c r="AD611" s="390"/>
      <c r="AE611" s="390"/>
      <c r="AF611" s="390">
        <v>5200</v>
      </c>
      <c r="AG611" s="389">
        <v>25917.96</v>
      </c>
      <c r="AH611" s="390">
        <v>3034</v>
      </c>
      <c r="AI611" s="394">
        <v>-287</v>
      </c>
      <c r="AJ611" s="343"/>
      <c r="AK611" s="343"/>
      <c r="AL611" s="343"/>
      <c r="AM611" s="343" t="s">
        <v>1228</v>
      </c>
      <c r="AN611" s="347">
        <v>5.5</v>
      </c>
      <c r="AO611" s="347"/>
      <c r="AP611" s="347"/>
      <c r="AQ611" s="347"/>
      <c r="AR611" s="347"/>
      <c r="AS611" s="347"/>
      <c r="AT611" s="347">
        <f>+ab($T$611,$T$609,$T$613,$S$610,$S$612, 1*$R$611,1200)</f>
        <v>7.1775227969695754</v>
      </c>
      <c r="AU611" s="381"/>
      <c r="AV611" s="381"/>
      <c r="AW611" s="390" t="s">
        <v>699</v>
      </c>
      <c r="AX611" s="390" t="s">
        <v>699</v>
      </c>
      <c r="AY611" s="390" t="s">
        <v>699</v>
      </c>
      <c r="AZ611" s="390" t="s">
        <v>699</v>
      </c>
      <c r="BA611" s="390"/>
      <c r="BB611" s="306"/>
      <c r="BF611" s="1119"/>
      <c r="BG611" s="1119"/>
      <c r="BH611" s="1119"/>
    </row>
    <row r="612" spans="1:60" ht="14.25">
      <c r="A612" s="392"/>
      <c r="B612" s="393"/>
      <c r="C612" s="389"/>
      <c r="D612" s="390"/>
      <c r="E612" s="390"/>
      <c r="F612" s="394"/>
      <c r="G612" s="395">
        <v>55.2</v>
      </c>
      <c r="H612" s="387"/>
      <c r="I612" s="387"/>
      <c r="J612" s="396"/>
      <c r="K612" s="390"/>
      <c r="L612" s="390"/>
      <c r="M612" s="390"/>
      <c r="N612" s="387"/>
      <c r="O612" s="387"/>
      <c r="P612" s="387"/>
      <c r="Q612" s="390"/>
      <c r="R612" s="395"/>
      <c r="S612" s="395">
        <f t="shared" ref="S612" si="129">AG613-AG611</f>
        <v>54.900000000001455</v>
      </c>
      <c r="T612" s="390"/>
      <c r="U612" s="390"/>
      <c r="V612" s="390"/>
      <c r="W612" s="390"/>
      <c r="X612" s="390"/>
      <c r="Y612" s="390"/>
      <c r="Z612" s="390"/>
      <c r="AA612" s="390"/>
      <c r="AB612" s="390"/>
      <c r="AC612" s="390"/>
      <c r="AD612" s="390"/>
      <c r="AE612" s="390"/>
      <c r="AF612" s="390"/>
      <c r="AG612" s="389" t="s">
        <v>695</v>
      </c>
      <c r="AH612" s="390" t="s">
        <v>695</v>
      </c>
      <c r="AI612" s="394" t="s">
        <v>695</v>
      </c>
      <c r="AJ612" s="343"/>
      <c r="AK612" s="343"/>
      <c r="AL612" s="343"/>
      <c r="AM612" s="343"/>
      <c r="AN612" s="347"/>
      <c r="AO612" s="347"/>
      <c r="AP612" s="347"/>
      <c r="AQ612" s="347">
        <f>+FL_1($T$613,$T$611,$S$612,1200,12.53, 1*$R$613)</f>
        <v>0.45500659969538015</v>
      </c>
      <c r="AR612" s="347"/>
      <c r="AS612" s="347"/>
      <c r="AT612" s="347"/>
      <c r="AU612" s="381"/>
      <c r="AV612" s="381"/>
      <c r="AW612" s="390"/>
      <c r="AX612" s="390"/>
      <c r="AY612" s="390"/>
      <c r="AZ612" s="390"/>
      <c r="BA612" s="390"/>
      <c r="BB612" s="306"/>
      <c r="BF612" s="1119"/>
      <c r="BG612" s="1119"/>
      <c r="BH612" s="1119"/>
    </row>
    <row r="613" spans="1:60" ht="14.25">
      <c r="A613" s="392"/>
      <c r="B613" s="393" t="s">
        <v>1908</v>
      </c>
      <c r="C613" s="389">
        <f>+$C$611+$G$612</f>
        <v>25973.399999999998</v>
      </c>
      <c r="D613" s="390"/>
      <c r="E613" s="390">
        <v>100</v>
      </c>
      <c r="F613" s="394">
        <v>2000</v>
      </c>
      <c r="G613" s="395"/>
      <c r="H613" s="387"/>
      <c r="I613" s="387"/>
      <c r="J613" s="396"/>
      <c r="K613" s="390"/>
      <c r="L613" s="390" t="s">
        <v>1068</v>
      </c>
      <c r="M613" s="390" t="s">
        <v>2544</v>
      </c>
      <c r="N613" s="387" t="s">
        <v>145</v>
      </c>
      <c r="O613" s="387"/>
      <c r="P613" s="387"/>
      <c r="Q613" s="390">
        <v>103</v>
      </c>
      <c r="R613" s="395">
        <v>2000</v>
      </c>
      <c r="S613" s="395"/>
      <c r="T613" s="390">
        <v>25</v>
      </c>
      <c r="U613" s="390"/>
      <c r="V613" s="390"/>
      <c r="W613" s="390">
        <v>1.4</v>
      </c>
      <c r="X613" s="390"/>
      <c r="Y613" s="390"/>
      <c r="Z613" s="390"/>
      <c r="AA613" s="390"/>
      <c r="AB613" s="390"/>
      <c r="AC613" s="390" t="s">
        <v>2963</v>
      </c>
      <c r="AD613" s="390"/>
      <c r="AE613" s="390"/>
      <c r="AF613" s="390">
        <v>5200</v>
      </c>
      <c r="AG613" s="389">
        <v>25972.86</v>
      </c>
      <c r="AH613" s="390">
        <v>3023</v>
      </c>
      <c r="AI613" s="394">
        <v>-286</v>
      </c>
      <c r="AJ613" s="343"/>
      <c r="AK613" s="343"/>
      <c r="AL613" s="343"/>
      <c r="AM613" s="343" t="s">
        <v>1228</v>
      </c>
      <c r="AN613" s="347">
        <v>5.5</v>
      </c>
      <c r="AO613" s="347"/>
      <c r="AP613" s="347"/>
      <c r="AQ613" s="347"/>
      <c r="AR613" s="347"/>
      <c r="AS613" s="347"/>
      <c r="AT613" s="347">
        <f>+ab($T$613,$T$611,$T$615,$S$612,$S$614, 1*$R$613,1200)</f>
        <v>7.8224384565503557</v>
      </c>
      <c r="AU613" s="381"/>
      <c r="AV613" s="381"/>
      <c r="AW613" s="390" t="s">
        <v>699</v>
      </c>
      <c r="AX613" s="390" t="s">
        <v>699</v>
      </c>
      <c r="AY613" s="390" t="s">
        <v>699</v>
      </c>
      <c r="AZ613" s="390" t="s">
        <v>699</v>
      </c>
      <c r="BA613" s="390"/>
      <c r="BB613" s="306"/>
      <c r="BF613" s="1119"/>
      <c r="BG613" s="1119"/>
      <c r="BH613" s="1119"/>
    </row>
    <row r="614" spans="1:60" ht="14.25">
      <c r="A614" s="392"/>
      <c r="B614" s="393"/>
      <c r="C614" s="389"/>
      <c r="D614" s="390"/>
      <c r="E614" s="390"/>
      <c r="F614" s="394"/>
      <c r="G614" s="395">
        <v>47</v>
      </c>
      <c r="H614" s="387"/>
      <c r="I614" s="387"/>
      <c r="J614" s="396"/>
      <c r="K614" s="390"/>
      <c r="L614" s="390"/>
      <c r="M614" s="390"/>
      <c r="N614" s="387"/>
      <c r="O614" s="387"/>
      <c r="P614" s="387"/>
      <c r="Q614" s="390"/>
      <c r="R614" s="395"/>
      <c r="S614" s="395">
        <f t="shared" ref="S614" si="130">AG615-AG613</f>
        <v>46.880000000001019</v>
      </c>
      <c r="T614" s="390"/>
      <c r="U614" s="390"/>
      <c r="V614" s="390"/>
      <c r="W614" s="390"/>
      <c r="X614" s="390"/>
      <c r="Y614" s="390"/>
      <c r="Z614" s="390"/>
      <c r="AA614" s="390"/>
      <c r="AB614" s="390"/>
      <c r="AC614" s="390"/>
      <c r="AD614" s="390"/>
      <c r="AE614" s="390"/>
      <c r="AF614" s="390"/>
      <c r="AG614" s="389" t="s">
        <v>695</v>
      </c>
      <c r="AH614" s="390" t="s">
        <v>695</v>
      </c>
      <c r="AI614" s="394" t="s">
        <v>695</v>
      </c>
      <c r="AJ614" s="343"/>
      <c r="AK614" s="343"/>
      <c r="AL614" s="343"/>
      <c r="AM614" s="343"/>
      <c r="AN614" s="347"/>
      <c r="AO614" s="347"/>
      <c r="AP614" s="347"/>
      <c r="AQ614" s="347">
        <f>+FL_1($T$615,$T$613,$S$614,1200,12.7, 1*$R$615)</f>
        <v>0.42939758006996653</v>
      </c>
      <c r="AR614" s="347"/>
      <c r="AS614" s="347"/>
      <c r="AT614" s="347"/>
      <c r="AU614" s="381"/>
      <c r="AV614" s="381"/>
      <c r="AW614" s="390"/>
      <c r="AX614" s="390"/>
      <c r="AY614" s="390"/>
      <c r="AZ614" s="390"/>
      <c r="BA614" s="390"/>
      <c r="BB614" s="306"/>
      <c r="BF614" s="1119"/>
      <c r="BG614" s="1119"/>
      <c r="BH614" s="1119"/>
    </row>
    <row r="615" spans="1:60" ht="14.25">
      <c r="A615" s="392"/>
      <c r="B615" s="393" t="s">
        <v>1909</v>
      </c>
      <c r="C615" s="389">
        <f>+$C$613+$G$614</f>
        <v>26020.399999999998</v>
      </c>
      <c r="D615" s="390"/>
      <c r="E615" s="390">
        <v>100</v>
      </c>
      <c r="F615" s="394">
        <v>2000</v>
      </c>
      <c r="G615" s="395"/>
      <c r="H615" s="387"/>
      <c r="I615" s="387"/>
      <c r="J615" s="396"/>
      <c r="K615" s="390"/>
      <c r="L615" s="390" t="s">
        <v>1066</v>
      </c>
      <c r="M615" s="390" t="s">
        <v>2544</v>
      </c>
      <c r="N615" s="387" t="s">
        <v>145</v>
      </c>
      <c r="O615" s="387"/>
      <c r="P615" s="387"/>
      <c r="Q615" s="390">
        <v>102</v>
      </c>
      <c r="R615" s="395">
        <v>2000</v>
      </c>
      <c r="S615" s="395"/>
      <c r="T615" s="390">
        <v>30</v>
      </c>
      <c r="U615" s="390"/>
      <c r="V615" s="390"/>
      <c r="W615" s="390">
        <v>1.4</v>
      </c>
      <c r="X615" s="390"/>
      <c r="Y615" s="390"/>
      <c r="Z615" s="390"/>
      <c r="AA615" s="390"/>
      <c r="AB615" s="390"/>
      <c r="AC615" s="390" t="s">
        <v>2963</v>
      </c>
      <c r="AD615" s="390"/>
      <c r="AE615" s="390"/>
      <c r="AF615" s="390">
        <v>5200</v>
      </c>
      <c r="AG615" s="389">
        <v>26019.74</v>
      </c>
      <c r="AH615" s="390">
        <v>3017</v>
      </c>
      <c r="AI615" s="394">
        <v>-63</v>
      </c>
      <c r="AJ615" s="343"/>
      <c r="AK615" s="343"/>
      <c r="AL615" s="343"/>
      <c r="AM615" s="343" t="s">
        <v>1228</v>
      </c>
      <c r="AN615" s="347">
        <v>5.5</v>
      </c>
      <c r="AO615" s="347"/>
      <c r="AP615" s="347"/>
      <c r="AQ615" s="347"/>
      <c r="AR615" s="347"/>
      <c r="AS615" s="347"/>
      <c r="AT615" s="347">
        <f>+ab($T$615,$T$613,$T$617,$S$614,$S$616, 1*$R$615,1200)</f>
        <v>7.5665506496773522</v>
      </c>
      <c r="AU615" s="381"/>
      <c r="AV615" s="381"/>
      <c r="AW615" s="390" t="s">
        <v>699</v>
      </c>
      <c r="AX615" s="390" t="s">
        <v>699</v>
      </c>
      <c r="AY615" s="390" t="s">
        <v>699</v>
      </c>
      <c r="AZ615" s="390" t="s">
        <v>699</v>
      </c>
      <c r="BA615" s="390"/>
      <c r="BB615" s="306"/>
      <c r="BF615" s="1119"/>
      <c r="BG615" s="1119"/>
      <c r="BH615" s="1119"/>
    </row>
    <row r="616" spans="1:60" ht="14.25">
      <c r="A616" s="392"/>
      <c r="B616" s="393"/>
      <c r="C616" s="389"/>
      <c r="D616" s="390"/>
      <c r="E616" s="390"/>
      <c r="F616" s="394"/>
      <c r="G616" s="395">
        <v>46.4</v>
      </c>
      <c r="H616" s="387"/>
      <c r="I616" s="387"/>
      <c r="J616" s="396"/>
      <c r="K616" s="390"/>
      <c r="L616" s="390"/>
      <c r="M616" s="390"/>
      <c r="N616" s="387"/>
      <c r="O616" s="387"/>
      <c r="P616" s="387"/>
      <c r="Q616" s="390"/>
      <c r="R616" s="395"/>
      <c r="S616" s="395">
        <f t="shared" ref="S616" si="131">AG617-AG615</f>
        <v>45.289999999997235</v>
      </c>
      <c r="T616" s="390"/>
      <c r="U616" s="390"/>
      <c r="V616" s="390"/>
      <c r="W616" s="390"/>
      <c r="X616" s="390"/>
      <c r="Y616" s="390"/>
      <c r="Z616" s="390"/>
      <c r="AA616" s="390"/>
      <c r="AB616" s="390"/>
      <c r="AC616" s="390"/>
      <c r="AD616" s="390"/>
      <c r="AE616" s="390"/>
      <c r="AF616" s="390"/>
      <c r="AG616" s="389" t="s">
        <v>695</v>
      </c>
      <c r="AH616" s="390" t="s">
        <v>695</v>
      </c>
      <c r="AI616" s="394" t="s">
        <v>695</v>
      </c>
      <c r="AJ616" s="343"/>
      <c r="AK616" s="343"/>
      <c r="AL616" s="343"/>
      <c r="AM616" s="343"/>
      <c r="AN616" s="347"/>
      <c r="AO616" s="347"/>
      <c r="AP616" s="347"/>
      <c r="AQ616" s="347">
        <f>+FL_1($T$617,$T$615,$S$616,1200,12.86, 1*$R$617)</f>
        <v>0.42263615677512245</v>
      </c>
      <c r="AR616" s="347"/>
      <c r="AS616" s="347"/>
      <c r="AT616" s="347"/>
      <c r="AU616" s="381"/>
      <c r="AV616" s="381"/>
      <c r="AW616" s="390"/>
      <c r="AX616" s="390"/>
      <c r="AY616" s="390"/>
      <c r="AZ616" s="390"/>
      <c r="BA616" s="390"/>
      <c r="BB616" s="306"/>
      <c r="BF616" s="1119"/>
      <c r="BG616" s="1119"/>
      <c r="BH616" s="1119"/>
    </row>
    <row r="617" spans="1:60" ht="14.25">
      <c r="A617" s="392"/>
      <c r="B617" s="393" t="s">
        <v>1910</v>
      </c>
      <c r="C617" s="389">
        <f>+$C$615+$G$616</f>
        <v>26066.799999999999</v>
      </c>
      <c r="D617" s="390"/>
      <c r="E617" s="390">
        <v>100</v>
      </c>
      <c r="F617" s="394">
        <v>2000</v>
      </c>
      <c r="G617" s="395"/>
      <c r="H617" s="387"/>
      <c r="I617" s="387"/>
      <c r="J617" s="396"/>
      <c r="K617" s="390"/>
      <c r="L617" s="390" t="s">
        <v>1068</v>
      </c>
      <c r="M617" s="390" t="s">
        <v>2544</v>
      </c>
      <c r="N617" s="387" t="s">
        <v>145</v>
      </c>
      <c r="O617" s="387"/>
      <c r="P617" s="387"/>
      <c r="Q617" s="390">
        <v>100</v>
      </c>
      <c r="R617" s="395">
        <v>2000</v>
      </c>
      <c r="S617" s="395"/>
      <c r="T617" s="390">
        <v>25</v>
      </c>
      <c r="U617" s="390"/>
      <c r="V617" s="390"/>
      <c r="W617" s="390">
        <v>1.4</v>
      </c>
      <c r="X617" s="390"/>
      <c r="Y617" s="390"/>
      <c r="Z617" s="390"/>
      <c r="AA617" s="390"/>
      <c r="AB617" s="390"/>
      <c r="AC617" s="390" t="s">
        <v>2963</v>
      </c>
      <c r="AD617" s="390"/>
      <c r="AE617" s="390"/>
      <c r="AF617" s="390">
        <v>5200</v>
      </c>
      <c r="AG617" s="389">
        <v>26065.03</v>
      </c>
      <c r="AH617" s="390">
        <v>3026</v>
      </c>
      <c r="AI617" s="394">
        <v>-282</v>
      </c>
      <c r="AJ617" s="343"/>
      <c r="AK617" s="343"/>
      <c r="AL617" s="343"/>
      <c r="AM617" s="343" t="s">
        <v>1228</v>
      </c>
      <c r="AN617" s="347">
        <v>5.5</v>
      </c>
      <c r="AO617" s="347"/>
      <c r="AP617" s="347"/>
      <c r="AQ617" s="347"/>
      <c r="AR617" s="347"/>
      <c r="AS617" s="347"/>
      <c r="AT617" s="347">
        <f>+ab($T$617,$T$615,$T$619,$S$616,$S$618, 1*$R$617,1200)</f>
        <v>8.0894550718860785</v>
      </c>
      <c r="AU617" s="381"/>
      <c r="AV617" s="381"/>
      <c r="AW617" s="390" t="s">
        <v>699</v>
      </c>
      <c r="AX617" s="390" t="s">
        <v>699</v>
      </c>
      <c r="AY617" s="390" t="s">
        <v>699</v>
      </c>
      <c r="AZ617" s="390" t="s">
        <v>699</v>
      </c>
      <c r="BA617" s="390"/>
      <c r="BB617" s="306"/>
      <c r="BF617" s="1119"/>
      <c r="BG617" s="1119"/>
      <c r="BH617" s="1119"/>
    </row>
    <row r="618" spans="1:60" ht="14.25">
      <c r="A618" s="392"/>
      <c r="B618" s="393"/>
      <c r="C618" s="389"/>
      <c r="D618" s="390"/>
      <c r="E618" s="390"/>
      <c r="F618" s="394"/>
      <c r="G618" s="395">
        <v>54.2</v>
      </c>
      <c r="H618" s="387"/>
      <c r="I618" s="387"/>
      <c r="J618" s="396"/>
      <c r="K618" s="390"/>
      <c r="L618" s="390"/>
      <c r="M618" s="390"/>
      <c r="N618" s="387"/>
      <c r="O618" s="387"/>
      <c r="P618" s="387"/>
      <c r="Q618" s="390"/>
      <c r="R618" s="395"/>
      <c r="S618" s="395">
        <f t="shared" ref="S618" si="132">AG619-AG617</f>
        <v>53.380000000001019</v>
      </c>
      <c r="T618" s="390"/>
      <c r="U618" s="390"/>
      <c r="V618" s="390"/>
      <c r="W618" s="390"/>
      <c r="X618" s="390"/>
      <c r="Y618" s="390"/>
      <c r="Z618" s="390"/>
      <c r="AA618" s="390"/>
      <c r="AB618" s="390"/>
      <c r="AC618" s="390"/>
      <c r="AD618" s="390"/>
      <c r="AE618" s="390"/>
      <c r="AF618" s="390"/>
      <c r="AG618" s="389" t="s">
        <v>695</v>
      </c>
      <c r="AH618" s="390" t="s">
        <v>695</v>
      </c>
      <c r="AI618" s="394" t="s">
        <v>695</v>
      </c>
      <c r="AJ618" s="343"/>
      <c r="AK618" s="343"/>
      <c r="AL618" s="343"/>
      <c r="AM618" s="343"/>
      <c r="AN618" s="347"/>
      <c r="AO618" s="347"/>
      <c r="AP618" s="347"/>
      <c r="AQ618" s="347">
        <f>+FL_1($T$619,$T$617,$S$618,1200,13.02, 1*$R$619)</f>
        <v>0.45835622961881395</v>
      </c>
      <c r="AR618" s="347"/>
      <c r="AS618" s="347"/>
      <c r="AT618" s="347"/>
      <c r="AU618" s="381"/>
      <c r="AV618" s="381"/>
      <c r="AW618" s="390"/>
      <c r="AX618" s="390"/>
      <c r="AY618" s="390"/>
      <c r="AZ618" s="390"/>
      <c r="BA618" s="390"/>
      <c r="BB618" s="306"/>
      <c r="BF618" s="1119"/>
      <c r="BG618" s="1119"/>
      <c r="BH618" s="1119"/>
    </row>
    <row r="619" spans="1:60" ht="14.25">
      <c r="A619" s="392"/>
      <c r="B619" s="393" t="s">
        <v>1911</v>
      </c>
      <c r="C619" s="389">
        <f>+$C$617+$G$618</f>
        <v>26121</v>
      </c>
      <c r="D619" s="390"/>
      <c r="E619" s="390">
        <v>100</v>
      </c>
      <c r="F619" s="394">
        <v>2000</v>
      </c>
      <c r="G619" s="395"/>
      <c r="H619" s="387"/>
      <c r="I619" s="387"/>
      <c r="J619" s="396"/>
      <c r="K619" s="390"/>
      <c r="L619" s="390" t="s">
        <v>1068</v>
      </c>
      <c r="M619" s="390" t="s">
        <v>2544</v>
      </c>
      <c r="N619" s="387" t="s">
        <v>145</v>
      </c>
      <c r="O619" s="387"/>
      <c r="P619" s="387"/>
      <c r="Q619" s="390">
        <v>105</v>
      </c>
      <c r="R619" s="395">
        <v>2000</v>
      </c>
      <c r="S619" s="395"/>
      <c r="T619" s="390">
        <v>25</v>
      </c>
      <c r="U619" s="390"/>
      <c r="V619" s="390"/>
      <c r="W619" s="390">
        <v>1.4</v>
      </c>
      <c r="X619" s="390"/>
      <c r="Y619" s="390"/>
      <c r="Z619" s="390"/>
      <c r="AA619" s="390"/>
      <c r="AB619" s="390"/>
      <c r="AC619" s="390" t="s">
        <v>2963</v>
      </c>
      <c r="AD619" s="390"/>
      <c r="AE619" s="390"/>
      <c r="AF619" s="390">
        <v>5200</v>
      </c>
      <c r="AG619" s="389">
        <v>26118.41</v>
      </c>
      <c r="AH619" s="390">
        <v>3096</v>
      </c>
      <c r="AI619" s="394">
        <v>-355</v>
      </c>
      <c r="AJ619" s="343"/>
      <c r="AK619" s="343"/>
      <c r="AL619" s="343"/>
      <c r="AM619" s="343" t="s">
        <v>1228</v>
      </c>
      <c r="AN619" s="347">
        <v>5.5</v>
      </c>
      <c r="AO619" s="347"/>
      <c r="AP619" s="347"/>
      <c r="AQ619" s="347"/>
      <c r="AR619" s="347"/>
      <c r="AS619" s="347"/>
      <c r="AT619" s="347">
        <f>+ab($T$619,$T$617,$T$621,$S$618,$S$620, 1*$R$619,1200)</f>
        <v>7.180242387159554</v>
      </c>
      <c r="AU619" s="381"/>
      <c r="AV619" s="381"/>
      <c r="AW619" s="390" t="s">
        <v>699</v>
      </c>
      <c r="AX619" s="390" t="s">
        <v>699</v>
      </c>
      <c r="AY619" s="390" t="s">
        <v>699</v>
      </c>
      <c r="AZ619" s="390" t="s">
        <v>699</v>
      </c>
      <c r="BA619" s="390"/>
      <c r="BB619" s="306"/>
      <c r="BF619" s="1119"/>
      <c r="BG619" s="1119"/>
      <c r="BH619" s="1119"/>
    </row>
    <row r="620" spans="1:60" ht="14.25">
      <c r="A620" s="392"/>
      <c r="B620" s="393"/>
      <c r="C620" s="389"/>
      <c r="D620" s="390"/>
      <c r="E620" s="390"/>
      <c r="F620" s="394"/>
      <c r="G620" s="395">
        <v>55.3</v>
      </c>
      <c r="H620" s="387"/>
      <c r="I620" s="387"/>
      <c r="J620" s="396"/>
      <c r="K620" s="390"/>
      <c r="L620" s="390"/>
      <c r="M620" s="390"/>
      <c r="N620" s="387"/>
      <c r="O620" s="387"/>
      <c r="P620" s="387"/>
      <c r="Q620" s="390"/>
      <c r="R620" s="395"/>
      <c r="S620" s="395">
        <f t="shared" ref="S620" si="133">AG621-AG619</f>
        <v>56.5</v>
      </c>
      <c r="T620" s="390"/>
      <c r="U620" s="390"/>
      <c r="V620" s="390"/>
      <c r="W620" s="390"/>
      <c r="X620" s="390"/>
      <c r="Y620" s="390"/>
      <c r="Z620" s="390"/>
      <c r="AA620" s="390"/>
      <c r="AB620" s="390"/>
      <c r="AC620" s="390"/>
      <c r="AD620" s="390"/>
      <c r="AE620" s="390"/>
      <c r="AF620" s="390"/>
      <c r="AG620" s="389" t="s">
        <v>695</v>
      </c>
      <c r="AH620" s="390" t="s">
        <v>695</v>
      </c>
      <c r="AI620" s="394" t="s">
        <v>695</v>
      </c>
      <c r="AJ620" s="343"/>
      <c r="AK620" s="343"/>
      <c r="AL620" s="343"/>
      <c r="AM620" s="343"/>
      <c r="AN620" s="347"/>
      <c r="AO620" s="347"/>
      <c r="AP620" s="347"/>
      <c r="AQ620" s="347">
        <f>+FL_1($T$621,$T$619,$S$620,1200,13.09, 1*$R$621)</f>
        <v>0.51141381309899681</v>
      </c>
      <c r="AR620" s="347"/>
      <c r="AS620" s="347"/>
      <c r="AT620" s="347"/>
      <c r="AU620" s="381"/>
      <c r="AV620" s="381"/>
      <c r="AW620" s="390"/>
      <c r="AX620" s="390"/>
      <c r="AY620" s="390"/>
      <c r="AZ620" s="390"/>
      <c r="BA620" s="390"/>
      <c r="BB620" s="306"/>
      <c r="BF620" s="1119"/>
      <c r="BG620" s="1119"/>
      <c r="BH620" s="1119"/>
    </row>
    <row r="621" spans="1:60" ht="14.25">
      <c r="A621" s="392"/>
      <c r="B621" s="393" t="s">
        <v>1912</v>
      </c>
      <c r="C621" s="389">
        <f>+$C$619+$G$620</f>
        <v>26176.3</v>
      </c>
      <c r="D621" s="390"/>
      <c r="E621" s="390">
        <v>100</v>
      </c>
      <c r="F621" s="394">
        <v>2000</v>
      </c>
      <c r="G621" s="395"/>
      <c r="H621" s="387" t="s">
        <v>138</v>
      </c>
      <c r="I621" s="387" t="s">
        <v>2718</v>
      </c>
      <c r="J621" s="396"/>
      <c r="K621" s="390"/>
      <c r="L621" s="390" t="s">
        <v>2599</v>
      </c>
      <c r="M621" s="390" t="s">
        <v>2546</v>
      </c>
      <c r="N621" s="387" t="s">
        <v>145</v>
      </c>
      <c r="O621" s="387"/>
      <c r="P621" s="387"/>
      <c r="Q621" s="390">
        <v>100</v>
      </c>
      <c r="R621" s="395">
        <v>2000</v>
      </c>
      <c r="S621" s="395"/>
      <c r="T621" s="390">
        <v>30</v>
      </c>
      <c r="U621" s="390"/>
      <c r="V621" s="390"/>
      <c r="W621" s="390">
        <v>1.4</v>
      </c>
      <c r="X621" s="390"/>
      <c r="Y621" s="390"/>
      <c r="Z621" s="390"/>
      <c r="AA621" s="390"/>
      <c r="AB621" s="390"/>
      <c r="AC621" s="390" t="s">
        <v>2963</v>
      </c>
      <c r="AD621" s="390"/>
      <c r="AE621" s="390"/>
      <c r="AF621" s="390">
        <v>5200</v>
      </c>
      <c r="AG621" s="389">
        <v>26174.91</v>
      </c>
      <c r="AH621" s="390">
        <v>3103</v>
      </c>
      <c r="AI621" s="394">
        <v>-37</v>
      </c>
      <c r="AJ621" s="343"/>
      <c r="AK621" s="343"/>
      <c r="AL621" s="343"/>
      <c r="AM621" s="343" t="s">
        <v>1228</v>
      </c>
      <c r="AN621" s="347">
        <v>5.5</v>
      </c>
      <c r="AO621" s="347"/>
      <c r="AP621" s="347"/>
      <c r="AQ621" s="347"/>
      <c r="AR621" s="347"/>
      <c r="AS621" s="347"/>
      <c r="AT621" s="347">
        <f>+ab($T$621,$T$619,$T$623,$S$620,$S$622, 1*$R$621,1200)</f>
        <v>6.4415140350612905</v>
      </c>
      <c r="AU621" s="381"/>
      <c r="AV621" s="381"/>
      <c r="AW621" s="390" t="s">
        <v>699</v>
      </c>
      <c r="AX621" s="390" t="s">
        <v>699</v>
      </c>
      <c r="AY621" s="390" t="s">
        <v>699</v>
      </c>
      <c r="AZ621" s="390" t="s">
        <v>699</v>
      </c>
      <c r="BA621" s="390"/>
      <c r="BB621" s="306"/>
      <c r="BF621" s="1119"/>
      <c r="BG621" s="1119"/>
      <c r="BH621" s="1119"/>
    </row>
    <row r="622" spans="1:60" ht="14.25">
      <c r="A622" s="392"/>
      <c r="B622" s="393"/>
      <c r="C622" s="389"/>
      <c r="D622" s="390"/>
      <c r="E622" s="390"/>
      <c r="F622" s="394"/>
      <c r="G622" s="395">
        <v>55.3</v>
      </c>
      <c r="H622" s="387"/>
      <c r="I622" s="387"/>
      <c r="J622" s="396"/>
      <c r="K622" s="390"/>
      <c r="L622" s="390"/>
      <c r="M622" s="390"/>
      <c r="N622" s="387"/>
      <c r="O622" s="387"/>
      <c r="P622" s="387"/>
      <c r="Q622" s="390"/>
      <c r="R622" s="395"/>
      <c r="S622" s="395">
        <f t="shared" ref="S622" si="134">AG623-AG621</f>
        <v>54.979999999999563</v>
      </c>
      <c r="T622" s="390"/>
      <c r="U622" s="390"/>
      <c r="V622" s="390"/>
      <c r="W622" s="390"/>
      <c r="X622" s="390"/>
      <c r="Y622" s="390"/>
      <c r="Z622" s="390"/>
      <c r="AA622" s="390"/>
      <c r="AB622" s="390"/>
      <c r="AC622" s="390"/>
      <c r="AD622" s="390"/>
      <c r="AE622" s="390"/>
      <c r="AF622" s="390"/>
      <c r="AG622" s="389" t="s">
        <v>695</v>
      </c>
      <c r="AH622" s="390" t="s">
        <v>695</v>
      </c>
      <c r="AI622" s="394" t="s">
        <v>695</v>
      </c>
      <c r="AJ622" s="343"/>
      <c r="AK622" s="343"/>
      <c r="AL622" s="343"/>
      <c r="AM622" s="343"/>
      <c r="AN622" s="347"/>
      <c r="AO622" s="347"/>
      <c r="AP622" s="347"/>
      <c r="AQ622" s="347">
        <f>+FL_2($U$623,$T$621,$S$622,1200,13.24, 1*$R$623)</f>
        <v>-0.43727617885640802</v>
      </c>
      <c r="AR622" s="347"/>
      <c r="AS622" s="347"/>
      <c r="AT622" s="347"/>
      <c r="AU622" s="381"/>
      <c r="AV622" s="381"/>
      <c r="AW622" s="390"/>
      <c r="AX622" s="390"/>
      <c r="AY622" s="390"/>
      <c r="AZ622" s="390"/>
      <c r="BA622" s="390"/>
      <c r="BB622" s="306"/>
      <c r="BF622" s="1119"/>
      <c r="BG622" s="1119"/>
      <c r="BH622" s="1119"/>
    </row>
    <row r="623" spans="1:60" ht="14.25">
      <c r="A623" s="392"/>
      <c r="B623" s="393" t="s">
        <v>1913</v>
      </c>
      <c r="C623" s="389">
        <f>+$C$621+$G$622</f>
        <v>26231.599999999999</v>
      </c>
      <c r="D623" s="390"/>
      <c r="E623" s="390">
        <v>100</v>
      </c>
      <c r="F623" s="394">
        <v>2000</v>
      </c>
      <c r="G623" s="395"/>
      <c r="H623" s="387" t="s">
        <v>651</v>
      </c>
      <c r="I623" s="387"/>
      <c r="J623" s="396"/>
      <c r="K623" s="390"/>
      <c r="L623" s="390" t="s">
        <v>1072</v>
      </c>
      <c r="M623" s="390" t="s">
        <v>2545</v>
      </c>
      <c r="N623" s="387" t="s">
        <v>140</v>
      </c>
      <c r="O623" s="387" t="s">
        <v>145</v>
      </c>
      <c r="P623" s="387"/>
      <c r="Q623" s="390">
        <v>103</v>
      </c>
      <c r="R623" s="395">
        <v>2000</v>
      </c>
      <c r="S623" s="395"/>
      <c r="T623" s="390">
        <v>25</v>
      </c>
      <c r="U623" s="390">
        <v>5</v>
      </c>
      <c r="V623" s="390"/>
      <c r="W623" s="390">
        <v>1.4</v>
      </c>
      <c r="X623" s="390">
        <v>2.2999999999999998</v>
      </c>
      <c r="Y623" s="390"/>
      <c r="Z623" s="390">
        <v>0.5</v>
      </c>
      <c r="AA623" s="390"/>
      <c r="AB623" s="390"/>
      <c r="AC623" s="390"/>
      <c r="AD623" s="390" t="s">
        <v>1704</v>
      </c>
      <c r="AE623" s="390"/>
      <c r="AF623" s="390">
        <v>5200</v>
      </c>
      <c r="AG623" s="389">
        <v>26229.89</v>
      </c>
      <c r="AH623" s="390">
        <v>3067</v>
      </c>
      <c r="AI623" s="394">
        <v>-78</v>
      </c>
      <c r="AJ623" s="343"/>
      <c r="AK623" s="343"/>
      <c r="AL623" s="343"/>
      <c r="AM623" s="343" t="s">
        <v>1228</v>
      </c>
      <c r="AN623" s="347">
        <v>5.5</v>
      </c>
      <c r="AO623" s="347"/>
      <c r="AP623" s="347"/>
      <c r="AQ623" s="347"/>
      <c r="AR623" s="347"/>
      <c r="AS623" s="347"/>
      <c r="AT623" s="347">
        <f>+ab($U$623,$T$621,$U$625,$S$622,$S$624, 1*$R$623,1200)</f>
        <v>8.3079419824303926</v>
      </c>
      <c r="AU623" s="381"/>
      <c r="AV623" s="381"/>
      <c r="AW623" s="390" t="s">
        <v>699</v>
      </c>
      <c r="AX623" s="390" t="s">
        <v>699</v>
      </c>
      <c r="AY623" s="390" t="s">
        <v>699</v>
      </c>
      <c r="AZ623" s="390" t="s">
        <v>699</v>
      </c>
      <c r="BA623" s="390"/>
      <c r="BB623" s="306"/>
      <c r="BF623" s="1119"/>
      <c r="BG623" s="1119"/>
      <c r="BH623" s="1119"/>
    </row>
    <row r="624" spans="1:60" ht="14.25">
      <c r="A624" s="392"/>
      <c r="B624" s="393"/>
      <c r="C624" s="389"/>
      <c r="D624" s="390"/>
      <c r="E624" s="390"/>
      <c r="F624" s="394"/>
      <c r="G624" s="395">
        <v>55.3</v>
      </c>
      <c r="H624" s="387"/>
      <c r="I624" s="387"/>
      <c r="J624" s="396"/>
      <c r="K624" s="390"/>
      <c r="L624" s="390"/>
      <c r="M624" s="390"/>
      <c r="N624" s="387"/>
      <c r="O624" s="387"/>
      <c r="P624" s="387"/>
      <c r="Q624" s="390"/>
      <c r="R624" s="395"/>
      <c r="S624" s="395">
        <f t="shared" ref="S624" si="135">AG625-AG623</f>
        <v>54.950000000000728</v>
      </c>
      <c r="T624" s="390"/>
      <c r="U624" s="390"/>
      <c r="V624" s="390"/>
      <c r="W624" s="390"/>
      <c r="X624" s="390"/>
      <c r="Y624" s="390"/>
      <c r="Z624" s="390"/>
      <c r="AA624" s="390"/>
      <c r="AB624" s="390"/>
      <c r="AC624" s="390"/>
      <c r="AD624" s="390"/>
      <c r="AE624" s="390"/>
      <c r="AF624" s="390"/>
      <c r="AG624" s="389" t="s">
        <v>695</v>
      </c>
      <c r="AH624" s="390" t="s">
        <v>695</v>
      </c>
      <c r="AI624" s="394" t="s">
        <v>695</v>
      </c>
      <c r="AJ624" s="343"/>
      <c r="AK624" s="343"/>
      <c r="AL624" s="343"/>
      <c r="AM624" s="343"/>
      <c r="AN624" s="347"/>
      <c r="AO624" s="347"/>
      <c r="AP624" s="347"/>
      <c r="AQ624" s="347">
        <f>+FL_2($T$625,$U$623,$S$624,1200,13.31, 1*$R$625)</f>
        <v>-0.46148529505560326</v>
      </c>
      <c r="AR624" s="347"/>
      <c r="AS624" s="347"/>
      <c r="AT624" s="347"/>
      <c r="AU624" s="381"/>
      <c r="AV624" s="381"/>
      <c r="AW624" s="390"/>
      <c r="AX624" s="390"/>
      <c r="AY624" s="390"/>
      <c r="AZ624" s="390"/>
      <c r="BA624" s="390"/>
      <c r="BB624" s="306"/>
      <c r="BF624" s="1119"/>
      <c r="BG624" s="1119"/>
      <c r="BH624" s="1119"/>
    </row>
    <row r="625" spans="1:60" ht="14.25">
      <c r="A625" s="392"/>
      <c r="B625" s="393" t="s">
        <v>1914</v>
      </c>
      <c r="C625" s="389">
        <f>+$C$623+$G$624</f>
        <v>26286.899999999998</v>
      </c>
      <c r="D625" s="390"/>
      <c r="E625" s="390">
        <v>100</v>
      </c>
      <c r="F625" s="394">
        <v>2000</v>
      </c>
      <c r="G625" s="395"/>
      <c r="H625" s="387" t="s">
        <v>651</v>
      </c>
      <c r="I625" s="387"/>
      <c r="J625" s="396"/>
      <c r="K625" s="390"/>
      <c r="L625" s="390" t="s">
        <v>1072</v>
      </c>
      <c r="M625" s="390" t="s">
        <v>2546</v>
      </c>
      <c r="N625" s="387" t="s">
        <v>145</v>
      </c>
      <c r="O625" s="387" t="s">
        <v>140</v>
      </c>
      <c r="P625" s="387"/>
      <c r="Q625" s="390">
        <v>100</v>
      </c>
      <c r="R625" s="395">
        <v>2000</v>
      </c>
      <c r="S625" s="395"/>
      <c r="T625" s="390">
        <v>25</v>
      </c>
      <c r="U625" s="390">
        <v>5</v>
      </c>
      <c r="V625" s="390"/>
      <c r="W625" s="390">
        <v>1.4</v>
      </c>
      <c r="X625" s="390">
        <v>2.2999999999999998</v>
      </c>
      <c r="Y625" s="390"/>
      <c r="Z625" s="390"/>
      <c r="AA625" s="390">
        <v>0.5</v>
      </c>
      <c r="AB625" s="390"/>
      <c r="AC625" s="390" t="s">
        <v>2963</v>
      </c>
      <c r="AD625" s="390"/>
      <c r="AE625" s="390"/>
      <c r="AF625" s="390">
        <v>5200</v>
      </c>
      <c r="AG625" s="389">
        <v>26284.84</v>
      </c>
      <c r="AH625" s="390">
        <v>3038</v>
      </c>
      <c r="AI625" s="394">
        <v>-56</v>
      </c>
      <c r="AJ625" s="343"/>
      <c r="AK625" s="343"/>
      <c r="AL625" s="343"/>
      <c r="AM625" s="343" t="s">
        <v>1228</v>
      </c>
      <c r="AN625" s="347">
        <v>5.5</v>
      </c>
      <c r="AO625" s="347"/>
      <c r="AP625" s="347"/>
      <c r="AQ625" s="347"/>
      <c r="AR625" s="347"/>
      <c r="AS625" s="347"/>
      <c r="AT625" s="347">
        <f>+ab($T$625,$T$623,$T$627,$S$624,$S$626, 1*$R$625,1200)</f>
        <v>7.4910878090899864</v>
      </c>
      <c r="AU625" s="381"/>
      <c r="AV625" s="381"/>
      <c r="AW625" s="390" t="s">
        <v>699</v>
      </c>
      <c r="AX625" s="390" t="s">
        <v>699</v>
      </c>
      <c r="AY625" s="390" t="s">
        <v>699</v>
      </c>
      <c r="AZ625" s="390" t="s">
        <v>699</v>
      </c>
      <c r="BA625" s="390"/>
      <c r="BB625" s="306"/>
      <c r="BF625" s="1119"/>
      <c r="BG625" s="1119"/>
      <c r="BH625" s="1119"/>
    </row>
    <row r="626" spans="1:60" ht="14.25">
      <c r="A626" s="392"/>
      <c r="B626" s="393"/>
      <c r="C626" s="389"/>
      <c r="D626" s="390"/>
      <c r="E626" s="390"/>
      <c r="F626" s="394"/>
      <c r="G626" s="395">
        <v>47</v>
      </c>
      <c r="H626" s="387"/>
      <c r="I626" s="387"/>
      <c r="J626" s="396"/>
      <c r="K626" s="390"/>
      <c r="L626" s="390"/>
      <c r="M626" s="390"/>
      <c r="N626" s="387"/>
      <c r="O626" s="387"/>
      <c r="P626" s="387"/>
      <c r="Q626" s="390"/>
      <c r="R626" s="395"/>
      <c r="S626" s="395">
        <f t="shared" ref="S626" si="136">AG627-AG625</f>
        <v>46.930000000000291</v>
      </c>
      <c r="T626" s="390"/>
      <c r="U626" s="390"/>
      <c r="V626" s="390"/>
      <c r="W626" s="390"/>
      <c r="X626" s="390"/>
      <c r="Y626" s="390"/>
      <c r="Z626" s="390"/>
      <c r="AA626" s="390"/>
      <c r="AB626" s="390"/>
      <c r="AC626" s="390"/>
      <c r="AD626" s="390"/>
      <c r="AE626" s="390"/>
      <c r="AF626" s="390"/>
      <c r="AG626" s="389" t="s">
        <v>695</v>
      </c>
      <c r="AH626" s="390" t="s">
        <v>695</v>
      </c>
      <c r="AI626" s="394" t="s">
        <v>695</v>
      </c>
      <c r="AJ626" s="343"/>
      <c r="AK626" s="343"/>
      <c r="AL626" s="343"/>
      <c r="AM626" s="343"/>
      <c r="AN626" s="347"/>
      <c r="AO626" s="347"/>
      <c r="AP626" s="347"/>
      <c r="AQ626" s="347">
        <f>+FL_1($T$627,$T$625,$S$626,1200,13.24, 1*$R$627)</f>
        <v>0.41609479968665575</v>
      </c>
      <c r="AR626" s="347"/>
      <c r="AS626" s="347"/>
      <c r="AT626" s="347"/>
      <c r="AU626" s="381"/>
      <c r="AV626" s="381"/>
      <c r="AW626" s="390"/>
      <c r="AX626" s="390"/>
      <c r="AY626" s="390"/>
      <c r="AZ626" s="390"/>
      <c r="BA626" s="390"/>
      <c r="BB626" s="306"/>
      <c r="BF626" s="1119"/>
      <c r="BG626" s="1119"/>
      <c r="BH626" s="1119"/>
    </row>
    <row r="627" spans="1:60" ht="14.25">
      <c r="A627" s="392"/>
      <c r="B627" s="393" t="s">
        <v>1915</v>
      </c>
      <c r="C627" s="389">
        <f>+$C$625+$G$626</f>
        <v>26333.899999999998</v>
      </c>
      <c r="D627" s="390"/>
      <c r="E627" s="390">
        <v>100</v>
      </c>
      <c r="F627" s="394">
        <v>2000</v>
      </c>
      <c r="G627" s="395"/>
      <c r="H627" s="387" t="s">
        <v>138</v>
      </c>
      <c r="I627" s="387" t="s">
        <v>656</v>
      </c>
      <c r="J627" s="396"/>
      <c r="K627" s="390"/>
      <c r="L627" s="390" t="s">
        <v>2599</v>
      </c>
      <c r="M627" s="390" t="s">
        <v>2545</v>
      </c>
      <c r="N627" s="387" t="s">
        <v>145</v>
      </c>
      <c r="O627" s="387"/>
      <c r="P627" s="387"/>
      <c r="Q627" s="390">
        <v>102</v>
      </c>
      <c r="R627" s="395">
        <v>2000</v>
      </c>
      <c r="S627" s="395"/>
      <c r="T627" s="390">
        <v>25</v>
      </c>
      <c r="U627" s="390"/>
      <c r="V627" s="390"/>
      <c r="W627" s="390">
        <v>1.4</v>
      </c>
      <c r="X627" s="390"/>
      <c r="Y627" s="390"/>
      <c r="Z627" s="390"/>
      <c r="AA627" s="390"/>
      <c r="AB627" s="390"/>
      <c r="AC627" s="390" t="s">
        <v>2963</v>
      </c>
      <c r="AD627" s="390"/>
      <c r="AE627" s="390"/>
      <c r="AF627" s="390">
        <v>5200</v>
      </c>
      <c r="AG627" s="389">
        <v>26331.77</v>
      </c>
      <c r="AH627" s="390">
        <v>3064</v>
      </c>
      <c r="AI627" s="394">
        <v>-52</v>
      </c>
      <c r="AJ627" s="343"/>
      <c r="AK627" s="343"/>
      <c r="AL627" s="343"/>
      <c r="AM627" s="343" t="s">
        <v>1228</v>
      </c>
      <c r="AN627" s="347">
        <v>5.5</v>
      </c>
      <c r="AO627" s="347"/>
      <c r="AP627" s="347"/>
      <c r="AQ627" s="347"/>
      <c r="AR627" s="347"/>
      <c r="AS627" s="347"/>
      <c r="AT627" s="347">
        <f>+ab($T$627,$T$625,$T$629,$S$626,$S$628, 1*$R$627,1200)</f>
        <v>7.9035310693759877</v>
      </c>
      <c r="AU627" s="381"/>
      <c r="AV627" s="381"/>
      <c r="AW627" s="390" t="s">
        <v>699</v>
      </c>
      <c r="AX627" s="390" t="s">
        <v>699</v>
      </c>
      <c r="AY627" s="390" t="s">
        <v>699</v>
      </c>
      <c r="AZ627" s="390" t="s">
        <v>699</v>
      </c>
      <c r="BA627" s="390"/>
      <c r="BB627" s="306"/>
      <c r="BF627" s="1119"/>
      <c r="BG627" s="1119"/>
      <c r="BH627" s="1119"/>
    </row>
    <row r="628" spans="1:60" ht="14.25">
      <c r="A628" s="392"/>
      <c r="B628" s="393"/>
      <c r="C628" s="389"/>
      <c r="D628" s="390"/>
      <c r="E628" s="390"/>
      <c r="F628" s="394"/>
      <c r="G628" s="395">
        <v>45.5</v>
      </c>
      <c r="H628" s="387"/>
      <c r="I628" s="387"/>
      <c r="J628" s="396"/>
      <c r="K628" s="390"/>
      <c r="L628" s="390"/>
      <c r="M628" s="390"/>
      <c r="N628" s="387"/>
      <c r="O628" s="387"/>
      <c r="P628" s="387"/>
      <c r="Q628" s="390"/>
      <c r="R628" s="395"/>
      <c r="S628" s="395">
        <f t="shared" ref="S628" si="137">AG629-AG627</f>
        <v>45.139999999999418</v>
      </c>
      <c r="T628" s="390"/>
      <c r="U628" s="390"/>
      <c r="V628" s="390"/>
      <c r="W628" s="390"/>
      <c r="X628" s="390"/>
      <c r="Y628" s="390"/>
      <c r="Z628" s="390"/>
      <c r="AA628" s="390"/>
      <c r="AB628" s="390"/>
      <c r="AC628" s="390"/>
      <c r="AD628" s="390"/>
      <c r="AE628" s="390"/>
      <c r="AF628" s="390"/>
      <c r="AG628" s="389" t="s">
        <v>695</v>
      </c>
      <c r="AH628" s="390" t="s">
        <v>695</v>
      </c>
      <c r="AI628" s="394" t="s">
        <v>695</v>
      </c>
      <c r="AJ628" s="343"/>
      <c r="AK628" s="343"/>
      <c r="AL628" s="343"/>
      <c r="AM628" s="343"/>
      <c r="AN628" s="347"/>
      <c r="AO628" s="347"/>
      <c r="AP628" s="347"/>
      <c r="AQ628" s="347">
        <f>+FL_1($T$629,$T$627,$S$628,1200,13.24, 1*$R$629)</f>
        <v>0.39560278735568633</v>
      </c>
      <c r="AR628" s="347"/>
      <c r="AS628" s="347"/>
      <c r="AT628" s="347"/>
      <c r="AU628" s="381"/>
      <c r="AV628" s="381"/>
      <c r="AW628" s="390"/>
      <c r="AX628" s="390"/>
      <c r="AY628" s="390"/>
      <c r="AZ628" s="390"/>
      <c r="BA628" s="390"/>
      <c r="BB628" s="306"/>
      <c r="BF628" s="1119"/>
      <c r="BG628" s="1119"/>
      <c r="BH628" s="1119"/>
    </row>
    <row r="629" spans="1:60" ht="14.25">
      <c r="A629" s="392"/>
      <c r="B629" s="393" t="s">
        <v>1916</v>
      </c>
      <c r="C629" s="389">
        <f>+$C$627+$G$628</f>
        <v>26379.399999999998</v>
      </c>
      <c r="D629" s="390"/>
      <c r="E629" s="390"/>
      <c r="F629" s="394">
        <f>380000/(26545-C629)</f>
        <v>2294.6859903381342</v>
      </c>
      <c r="G629" s="395"/>
      <c r="H629" s="387"/>
      <c r="I629" s="387"/>
      <c r="J629" s="396"/>
      <c r="K629" s="390"/>
      <c r="L629" s="390" t="s">
        <v>1068</v>
      </c>
      <c r="M629" s="390" t="s">
        <v>2544</v>
      </c>
      <c r="N629" s="387" t="s">
        <v>145</v>
      </c>
      <c r="O629" s="387"/>
      <c r="P629" s="387"/>
      <c r="Q629" s="390">
        <v>86</v>
      </c>
      <c r="R629" s="395">
        <v>2287.67</v>
      </c>
      <c r="S629" s="395"/>
      <c r="T629" s="390">
        <v>20</v>
      </c>
      <c r="U629" s="390"/>
      <c r="V629" s="390"/>
      <c r="W629" s="390">
        <v>1.4</v>
      </c>
      <c r="X629" s="390"/>
      <c r="Y629" s="390"/>
      <c r="Z629" s="390"/>
      <c r="AA629" s="390"/>
      <c r="AB629" s="390"/>
      <c r="AC629" s="390" t="s">
        <v>1704</v>
      </c>
      <c r="AD629" s="390"/>
      <c r="AE629" s="390"/>
      <c r="AF629" s="390">
        <v>5200</v>
      </c>
      <c r="AG629" s="389">
        <v>26376.91</v>
      </c>
      <c r="AH629" s="390">
        <v>2949</v>
      </c>
      <c r="AI629" s="394">
        <v>-342</v>
      </c>
      <c r="AJ629" s="343"/>
      <c r="AK629" s="343"/>
      <c r="AL629" s="343"/>
      <c r="AM629" s="343" t="s">
        <v>1228</v>
      </c>
      <c r="AN629" s="347">
        <v>5.5</v>
      </c>
      <c r="AO629" s="347"/>
      <c r="AP629" s="347"/>
      <c r="AQ629" s="347"/>
      <c r="AR629" s="347"/>
      <c r="AS629" s="347"/>
      <c r="AT629" s="347">
        <f>+ab($T$629,$T$627,$T$631,$S$628,$S$630, 1*$R$629,1200)</f>
        <v>9.153244477754054</v>
      </c>
      <c r="AU629" s="381"/>
      <c r="AV629" s="381"/>
      <c r="AW629" s="390" t="s">
        <v>699</v>
      </c>
      <c r="AX629" s="390" t="s">
        <v>699</v>
      </c>
      <c r="AY629" s="390" t="s">
        <v>699</v>
      </c>
      <c r="AZ629" s="390" t="s">
        <v>699</v>
      </c>
      <c r="BA629" s="390"/>
      <c r="BB629" s="306"/>
      <c r="BF629" s="1119"/>
      <c r="BG629" s="1119"/>
      <c r="BH629" s="1119"/>
    </row>
    <row r="630" spans="1:60" ht="14.25">
      <c r="A630" s="392"/>
      <c r="B630" s="393"/>
      <c r="C630" s="389"/>
      <c r="D630" s="390"/>
      <c r="E630" s="390"/>
      <c r="F630" s="394"/>
      <c r="G630" s="395">
        <v>55.2</v>
      </c>
      <c r="H630" s="387"/>
      <c r="I630" s="387"/>
      <c r="J630" s="396"/>
      <c r="K630" s="390"/>
      <c r="L630" s="390"/>
      <c r="M630" s="390"/>
      <c r="N630" s="387"/>
      <c r="O630" s="387"/>
      <c r="P630" s="387"/>
      <c r="Q630" s="390"/>
      <c r="R630" s="395"/>
      <c r="S630" s="395">
        <f t="shared" ref="S630" si="138">AG631-AG629</f>
        <v>55.029999999998836</v>
      </c>
      <c r="T630" s="390"/>
      <c r="U630" s="390"/>
      <c r="V630" s="390"/>
      <c r="W630" s="390"/>
      <c r="X630" s="390"/>
      <c r="Y630" s="390"/>
      <c r="Z630" s="390"/>
      <c r="AA630" s="390"/>
      <c r="AB630" s="390"/>
      <c r="AC630" s="390"/>
      <c r="AD630" s="390"/>
      <c r="AE630" s="390"/>
      <c r="AF630" s="390"/>
      <c r="AG630" s="389" t="s">
        <v>695</v>
      </c>
      <c r="AH630" s="390" t="s">
        <v>695</v>
      </c>
      <c r="AI630" s="394" t="s">
        <v>695</v>
      </c>
      <c r="AJ630" s="343"/>
      <c r="AK630" s="343"/>
      <c r="AL630" s="343"/>
      <c r="AM630" s="343"/>
      <c r="AN630" s="347"/>
      <c r="AO630" s="347"/>
      <c r="AP630" s="347"/>
      <c r="AQ630" s="347">
        <f>+FL_1($T$631,$T$629,$S$630,1200,13.16, 1*$R$631)</f>
        <v>0.50455613841659974</v>
      </c>
      <c r="AR630" s="347"/>
      <c r="AS630" s="347"/>
      <c r="AT630" s="347"/>
      <c r="AU630" s="381"/>
      <c r="AV630" s="381"/>
      <c r="AW630" s="390"/>
      <c r="AX630" s="390"/>
      <c r="AY630" s="390"/>
      <c r="AZ630" s="390"/>
      <c r="BA630" s="390"/>
      <c r="BB630" s="306"/>
      <c r="BF630" s="1119"/>
      <c r="BG630" s="1119"/>
      <c r="BH630" s="1119"/>
    </row>
    <row r="631" spans="1:60" ht="14.25">
      <c r="A631" s="392"/>
      <c r="B631" s="393" t="s">
        <v>1917</v>
      </c>
      <c r="C631" s="389">
        <f>+$C$629+$G$630</f>
        <v>26434.6</v>
      </c>
      <c r="D631" s="390"/>
      <c r="E631" s="390"/>
      <c r="F631" s="394">
        <f>380000/(26545-C631)</f>
        <v>3442.028985507201</v>
      </c>
      <c r="G631" s="395"/>
      <c r="H631" s="387"/>
      <c r="I631" s="387"/>
      <c r="J631" s="396"/>
      <c r="K631" s="390"/>
      <c r="L631" s="390" t="s">
        <v>1066</v>
      </c>
      <c r="M631" s="390" t="s">
        <v>2544</v>
      </c>
      <c r="N631" s="387" t="s">
        <v>145</v>
      </c>
      <c r="O631" s="387"/>
      <c r="P631" s="387"/>
      <c r="Q631" s="390">
        <v>56</v>
      </c>
      <c r="R631" s="395">
        <v>3423.46</v>
      </c>
      <c r="S631" s="395"/>
      <c r="T631" s="390">
        <v>20</v>
      </c>
      <c r="U631" s="390"/>
      <c r="V631" s="390"/>
      <c r="W631" s="390">
        <v>1.4</v>
      </c>
      <c r="X631" s="390"/>
      <c r="Y631" s="390"/>
      <c r="Z631" s="390"/>
      <c r="AA631" s="390"/>
      <c r="AB631" s="390"/>
      <c r="AC631" s="390" t="s">
        <v>1704</v>
      </c>
      <c r="AD631" s="390"/>
      <c r="AE631" s="390"/>
      <c r="AF631" s="390">
        <v>5200</v>
      </c>
      <c r="AG631" s="389">
        <v>26431.94</v>
      </c>
      <c r="AH631" s="390">
        <v>3041</v>
      </c>
      <c r="AI631" s="394">
        <v>-104</v>
      </c>
      <c r="AJ631" s="343"/>
      <c r="AK631" s="343"/>
      <c r="AL631" s="343"/>
      <c r="AM631" s="343" t="s">
        <v>1228</v>
      </c>
      <c r="AN631" s="347">
        <v>5.5</v>
      </c>
      <c r="AO631" s="347"/>
      <c r="AP631" s="347"/>
      <c r="AQ631" s="347"/>
      <c r="AR631" s="347"/>
      <c r="AS631" s="347"/>
      <c r="AT631" s="347">
        <f>+ab($T$631,$T$629,$T$633,$S$630,$S$632, 1*$R$631,1200)</f>
        <v>8.1650810275530699</v>
      </c>
      <c r="AU631" s="381"/>
      <c r="AV631" s="381"/>
      <c r="AW631" s="390" t="s">
        <v>699</v>
      </c>
      <c r="AX631" s="390" t="s">
        <v>699</v>
      </c>
      <c r="AY631" s="390" t="s">
        <v>699</v>
      </c>
      <c r="AZ631" s="390" t="s">
        <v>699</v>
      </c>
      <c r="BA631" s="390"/>
      <c r="BB631" s="306"/>
      <c r="BF631" s="1119"/>
      <c r="BG631" s="1119"/>
      <c r="BH631" s="1119"/>
    </row>
    <row r="632" spans="1:60" ht="14.25">
      <c r="A632" s="392"/>
      <c r="B632" s="393"/>
      <c r="C632" s="389"/>
      <c r="D632" s="390"/>
      <c r="E632" s="390"/>
      <c r="F632" s="394"/>
      <c r="G632" s="395">
        <v>55.2</v>
      </c>
      <c r="H632" s="387"/>
      <c r="I632" s="387"/>
      <c r="J632" s="396"/>
      <c r="K632" s="390"/>
      <c r="L632" s="390"/>
      <c r="M632" s="390"/>
      <c r="N632" s="387"/>
      <c r="O632" s="387"/>
      <c r="P632" s="387"/>
      <c r="Q632" s="390"/>
      <c r="R632" s="395"/>
      <c r="S632" s="395">
        <f t="shared" ref="S632" si="139">AG633-AG631</f>
        <v>54.970000000001164</v>
      </c>
      <c r="T632" s="390"/>
      <c r="U632" s="390"/>
      <c r="V632" s="390"/>
      <c r="W632" s="390"/>
      <c r="X632" s="390"/>
      <c r="Y632" s="390"/>
      <c r="Z632" s="390"/>
      <c r="AA632" s="390"/>
      <c r="AB632" s="390"/>
      <c r="AC632" s="390"/>
      <c r="AD632" s="390"/>
      <c r="AE632" s="390"/>
      <c r="AF632" s="390"/>
      <c r="AG632" s="389" t="s">
        <v>695</v>
      </c>
      <c r="AH632" s="390" t="s">
        <v>695</v>
      </c>
      <c r="AI632" s="394" t="s">
        <v>695</v>
      </c>
      <c r="AJ632" s="343"/>
      <c r="AK632" s="343"/>
      <c r="AL632" s="343"/>
      <c r="AM632" s="343"/>
      <c r="AN632" s="347"/>
      <c r="AO632" s="347"/>
      <c r="AP632" s="347"/>
      <c r="AQ632" s="347">
        <f>+FL_2($T$633,$T$631,$S$632,1200,13.16, 1*$R$633)</f>
        <v>-0.49112223207816308</v>
      </c>
      <c r="AR632" s="347"/>
      <c r="AS632" s="347"/>
      <c r="AT632" s="347"/>
      <c r="AU632" s="381"/>
      <c r="AV632" s="381"/>
      <c r="AW632" s="390"/>
      <c r="AX632" s="390"/>
      <c r="AY632" s="390"/>
      <c r="AZ632" s="390"/>
      <c r="BA632" s="390"/>
      <c r="BB632" s="306"/>
      <c r="BF632" s="1119"/>
      <c r="BG632" s="1119"/>
      <c r="BH632" s="1119"/>
    </row>
    <row r="633" spans="1:60" ht="14.25">
      <c r="A633" s="392"/>
      <c r="B633" s="393" t="s">
        <v>1918</v>
      </c>
      <c r="C633" s="389">
        <f>+$C$631+$G$632</f>
        <v>26489.8</v>
      </c>
      <c r="D633" s="390"/>
      <c r="E633" s="390"/>
      <c r="F633" s="394">
        <f>380000/(26545-C633)</f>
        <v>6884.057971014402</v>
      </c>
      <c r="G633" s="395"/>
      <c r="H633" s="387"/>
      <c r="I633" s="387"/>
      <c r="J633" s="396"/>
      <c r="K633" s="390"/>
      <c r="L633" s="390" t="s">
        <v>1066</v>
      </c>
      <c r="M633" s="390" t="s">
        <v>2544</v>
      </c>
      <c r="N633" s="387" t="s">
        <v>144</v>
      </c>
      <c r="O633" s="387"/>
      <c r="P633" s="387"/>
      <c r="Q633" s="390">
        <v>29</v>
      </c>
      <c r="R633" s="395">
        <v>6791.77</v>
      </c>
      <c r="S633" s="395"/>
      <c r="T633" s="390">
        <v>-20</v>
      </c>
      <c r="U633" s="390"/>
      <c r="V633" s="390"/>
      <c r="W633" s="390">
        <v>1.4</v>
      </c>
      <c r="X633" s="390"/>
      <c r="Y633" s="390"/>
      <c r="Z633" s="390"/>
      <c r="AA633" s="390"/>
      <c r="AB633" s="390"/>
      <c r="AC633" s="390" t="s">
        <v>1700</v>
      </c>
      <c r="AD633" s="390"/>
      <c r="AE633" s="390"/>
      <c r="AF633" s="390">
        <v>5200</v>
      </c>
      <c r="AG633" s="389">
        <v>26486.91</v>
      </c>
      <c r="AH633" s="390">
        <v>3053</v>
      </c>
      <c r="AI633" s="394">
        <v>-30</v>
      </c>
      <c r="AJ633" s="343"/>
      <c r="AK633" s="343"/>
      <c r="AL633" s="343"/>
      <c r="AM633" s="343" t="s">
        <v>1228</v>
      </c>
      <c r="AN633" s="347">
        <v>5.5</v>
      </c>
      <c r="AO633" s="347"/>
      <c r="AP633" s="347"/>
      <c r="AQ633" s="347"/>
      <c r="AR633" s="347"/>
      <c r="AS633" s="347"/>
      <c r="AT633" s="347">
        <f>+ab($T$633,$T$631,$T$635,$S$632,$S$634, 1*$R$633,1200)</f>
        <v>-22.019505551201178</v>
      </c>
      <c r="AU633" s="381"/>
      <c r="AV633" s="381"/>
      <c r="AW633" s="390" t="s">
        <v>699</v>
      </c>
      <c r="AX633" s="390" t="s">
        <v>699</v>
      </c>
      <c r="AY633" s="390" t="s">
        <v>699</v>
      </c>
      <c r="AZ633" s="390" t="s">
        <v>699</v>
      </c>
      <c r="BA633" s="390"/>
      <c r="BB633" s="306"/>
      <c r="BF633" s="1119"/>
      <c r="BG633" s="1119"/>
      <c r="BH633" s="1119"/>
    </row>
    <row r="634" spans="1:60" ht="14.25">
      <c r="A634" s="392"/>
      <c r="B634" s="393"/>
      <c r="C634" s="389"/>
      <c r="D634" s="390"/>
      <c r="E634" s="390"/>
      <c r="F634" s="394"/>
      <c r="G634" s="395">
        <v>55.1</v>
      </c>
      <c r="H634" s="387"/>
      <c r="I634" s="387"/>
      <c r="J634" s="396"/>
      <c r="K634" s="390"/>
      <c r="L634" s="390"/>
      <c r="M634" s="390"/>
      <c r="N634" s="387"/>
      <c r="O634" s="387"/>
      <c r="P634" s="387"/>
      <c r="Q634" s="390"/>
      <c r="R634" s="395"/>
      <c r="S634" s="395">
        <f t="shared" ref="S634" si="140">AG635-AG633</f>
        <v>54.959999999999127</v>
      </c>
      <c r="T634" s="390"/>
      <c r="U634" s="390"/>
      <c r="V634" s="390"/>
      <c r="W634" s="390"/>
      <c r="X634" s="390"/>
      <c r="Y634" s="390"/>
      <c r="Z634" s="390"/>
      <c r="AA634" s="390"/>
      <c r="AB634" s="390"/>
      <c r="AC634" s="390"/>
      <c r="AD634" s="390"/>
      <c r="AE634" s="390"/>
      <c r="AF634" s="390"/>
      <c r="AG634" s="389" t="s">
        <v>695</v>
      </c>
      <c r="AH634" s="390" t="s">
        <v>695</v>
      </c>
      <c r="AI634" s="394" t="s">
        <v>695</v>
      </c>
      <c r="AJ634" s="343"/>
      <c r="AK634" s="343"/>
      <c r="AL634" s="343"/>
      <c r="AM634" s="343"/>
      <c r="AN634" s="347"/>
      <c r="AO634" s="347"/>
      <c r="AP634" s="347"/>
      <c r="AQ634" s="347">
        <f>+FL_1($T$635,$T$633,$S$634,1200,13.16, 1*$R$635)</f>
        <v>0.50180891409314676</v>
      </c>
      <c r="AR634" s="347"/>
      <c r="AS634" s="347"/>
      <c r="AT634" s="347"/>
      <c r="AU634" s="381"/>
      <c r="AV634" s="381"/>
      <c r="AW634" s="390"/>
      <c r="AX634" s="390"/>
      <c r="AY634" s="390"/>
      <c r="AZ634" s="390"/>
      <c r="BA634" s="390"/>
      <c r="BB634" s="306"/>
      <c r="BF634" s="1119"/>
      <c r="BG634" s="1119"/>
      <c r="BH634" s="1119"/>
    </row>
    <row r="635" spans="1:60" ht="14.25">
      <c r="A635" s="392"/>
      <c r="B635" s="393" t="s">
        <v>1919</v>
      </c>
      <c r="C635" s="389">
        <f>+$C$633+$G$634</f>
        <v>26544.899999999998</v>
      </c>
      <c r="D635" s="390"/>
      <c r="E635" s="390"/>
      <c r="F635" s="394">
        <v>0</v>
      </c>
      <c r="G635" s="395"/>
      <c r="H635" s="387"/>
      <c r="I635" s="387"/>
      <c r="J635" s="396"/>
      <c r="K635" s="390"/>
      <c r="L635" s="390" t="s">
        <v>1070</v>
      </c>
      <c r="M635" s="390" t="s">
        <v>2544</v>
      </c>
      <c r="N635" s="387" t="s">
        <v>145</v>
      </c>
      <c r="O635" s="387"/>
      <c r="P635" s="387"/>
      <c r="Q635" s="390">
        <v>0</v>
      </c>
      <c r="R635" s="394">
        <v>0</v>
      </c>
      <c r="S635" s="395"/>
      <c r="T635" s="390">
        <v>30</v>
      </c>
      <c r="U635" s="390"/>
      <c r="V635" s="390"/>
      <c r="W635" s="390">
        <v>1.4</v>
      </c>
      <c r="X635" s="390"/>
      <c r="Y635" s="390"/>
      <c r="Z635" s="390"/>
      <c r="AA635" s="390"/>
      <c r="AB635" s="390"/>
      <c r="AC635" s="390" t="s">
        <v>1704</v>
      </c>
      <c r="AD635" s="390"/>
      <c r="AE635" s="390"/>
      <c r="AF635" s="390">
        <v>5200</v>
      </c>
      <c r="AG635" s="389">
        <v>26541.87</v>
      </c>
      <c r="AH635" s="390">
        <v>3038</v>
      </c>
      <c r="AI635" s="394">
        <v>-78</v>
      </c>
      <c r="AJ635" s="343"/>
      <c r="AK635" s="343"/>
      <c r="AL635" s="343"/>
      <c r="AM635" s="343" t="s">
        <v>1228</v>
      </c>
      <c r="AN635" s="347">
        <v>5.5</v>
      </c>
      <c r="AO635" s="347"/>
      <c r="AP635" s="347"/>
      <c r="AQ635" s="347"/>
      <c r="AR635" s="347"/>
      <c r="AS635" s="347"/>
      <c r="AT635" s="347">
        <f>+ab($T$635,$T$633,$T$637,$S$634,$S$636, 1*$R$635,1200)</f>
        <v>9.3690435247681325</v>
      </c>
      <c r="AU635" s="381"/>
      <c r="AV635" s="381"/>
      <c r="AW635" s="390" t="s">
        <v>699</v>
      </c>
      <c r="AX635" s="390" t="s">
        <v>699</v>
      </c>
      <c r="AY635" s="390" t="s">
        <v>699</v>
      </c>
      <c r="AZ635" s="390" t="s">
        <v>699</v>
      </c>
      <c r="BA635" s="390"/>
      <c r="BB635" s="306"/>
      <c r="BF635" s="1119"/>
      <c r="BG635" s="1119"/>
      <c r="BH635" s="1119"/>
    </row>
    <row r="636" spans="1:60" ht="14.25">
      <c r="A636" s="392"/>
      <c r="B636" s="393"/>
      <c r="C636" s="389"/>
      <c r="D636" s="390"/>
      <c r="E636" s="390"/>
      <c r="F636" s="394"/>
      <c r="G636" s="395">
        <v>55</v>
      </c>
      <c r="H636" s="387"/>
      <c r="I636" s="387"/>
      <c r="J636" s="396"/>
      <c r="K636" s="390"/>
      <c r="L636" s="390"/>
      <c r="M636" s="390"/>
      <c r="N636" s="387"/>
      <c r="O636" s="387"/>
      <c r="P636" s="387"/>
      <c r="Q636" s="390"/>
      <c r="R636" s="395"/>
      <c r="S636" s="395">
        <f t="shared" ref="S636" si="141">AG637-AG635</f>
        <v>58.030000000002474</v>
      </c>
      <c r="T636" s="390"/>
      <c r="U636" s="390"/>
      <c r="V636" s="390"/>
      <c r="W636" s="390"/>
      <c r="X636" s="390"/>
      <c r="Y636" s="390"/>
      <c r="Z636" s="390"/>
      <c r="AA636" s="390"/>
      <c r="AB636" s="390"/>
      <c r="AC636" s="390"/>
      <c r="AD636" s="390"/>
      <c r="AE636" s="390"/>
      <c r="AF636" s="390"/>
      <c r="AG636" s="389" t="s">
        <v>695</v>
      </c>
      <c r="AH636" s="390" t="s">
        <v>695</v>
      </c>
      <c r="AI636" s="394" t="s">
        <v>695</v>
      </c>
      <c r="AJ636" s="343"/>
      <c r="AK636" s="343"/>
      <c r="AL636" s="343"/>
      <c r="AM636" s="343"/>
      <c r="AN636" s="347"/>
      <c r="AO636" s="347"/>
      <c r="AP636" s="347"/>
      <c r="AQ636" s="347">
        <f>+FL_1($T$637,$T$635,$S$636,1200,13.16, 1*$R$637)</f>
        <v>0.49382825923031753</v>
      </c>
      <c r="AR636" s="347"/>
      <c r="AS636" s="347"/>
      <c r="AT636" s="347"/>
      <c r="AU636" s="381"/>
      <c r="AV636" s="381"/>
      <c r="AW636" s="390"/>
      <c r="AX636" s="390"/>
      <c r="AY636" s="390"/>
      <c r="AZ636" s="390"/>
      <c r="BA636" s="390"/>
      <c r="BB636" s="306"/>
      <c r="BF636" s="1119"/>
      <c r="BG636" s="1119"/>
      <c r="BH636" s="1119"/>
    </row>
    <row r="637" spans="1:60" ht="14.25">
      <c r="A637" s="392"/>
      <c r="B637" s="393" t="s">
        <v>1920</v>
      </c>
      <c r="C637" s="389">
        <f>+$C$635+$G$636</f>
        <v>26599.899999999998</v>
      </c>
      <c r="D637" s="390"/>
      <c r="E637" s="390"/>
      <c r="F637" s="394">
        <v>0</v>
      </c>
      <c r="G637" s="395"/>
      <c r="H637" s="387" t="s">
        <v>954</v>
      </c>
      <c r="I637" s="387"/>
      <c r="J637" s="396"/>
      <c r="K637" s="390"/>
      <c r="L637" s="390" t="s">
        <v>2542</v>
      </c>
      <c r="M637" s="390" t="s">
        <v>2545</v>
      </c>
      <c r="N637" s="387" t="s">
        <v>144</v>
      </c>
      <c r="O637" s="387"/>
      <c r="P637" s="387"/>
      <c r="Q637" s="390">
        <v>0</v>
      </c>
      <c r="R637" s="394">
        <v>0</v>
      </c>
      <c r="S637" s="395"/>
      <c r="T637" s="390">
        <v>-35</v>
      </c>
      <c r="U637" s="390"/>
      <c r="V637" s="390"/>
      <c r="W637" s="390">
        <v>1.4</v>
      </c>
      <c r="X637" s="390"/>
      <c r="Y637" s="390"/>
      <c r="Z637" s="390"/>
      <c r="AA637" s="390"/>
      <c r="AB637" s="390"/>
      <c r="AC637" s="390" t="s">
        <v>2963</v>
      </c>
      <c r="AD637" s="390"/>
      <c r="AE637" s="390"/>
      <c r="AF637" s="390">
        <v>5200</v>
      </c>
      <c r="AG637" s="389">
        <v>26599.9</v>
      </c>
      <c r="AH637" s="390">
        <v>3102</v>
      </c>
      <c r="AI637" s="394">
        <v>-125</v>
      </c>
      <c r="AJ637" s="343"/>
      <c r="AK637" s="343"/>
      <c r="AL637" s="343"/>
      <c r="AM637" s="343" t="s">
        <v>1228</v>
      </c>
      <c r="AN637" s="347">
        <v>5.5</v>
      </c>
      <c r="AO637" s="347"/>
      <c r="AP637" s="347"/>
      <c r="AQ637" s="347"/>
      <c r="AR637" s="347"/>
      <c r="AS637" s="347"/>
      <c r="AT637" s="347">
        <f>+ab($T$637,$T$635,$T$639,$S$636,$S$638, 1*$R$637,1200)</f>
        <v>-7.0425778407688098</v>
      </c>
      <c r="AU637" s="381"/>
      <c r="AV637" s="381"/>
      <c r="AW637" s="390" t="s">
        <v>699</v>
      </c>
      <c r="AX637" s="390" t="s">
        <v>699</v>
      </c>
      <c r="AY637" s="390" t="s">
        <v>699</v>
      </c>
      <c r="AZ637" s="390" t="s">
        <v>699</v>
      </c>
      <c r="BA637" s="390"/>
      <c r="BB637" s="306"/>
      <c r="BF637" s="1119"/>
      <c r="BG637" s="1119"/>
      <c r="BH637" s="1119"/>
    </row>
    <row r="638" spans="1:60" ht="14.25">
      <c r="A638" s="392"/>
      <c r="B638" s="393"/>
      <c r="C638" s="389"/>
      <c r="D638" s="390"/>
      <c r="E638" s="390"/>
      <c r="F638" s="394"/>
      <c r="G638" s="395">
        <v>46.8</v>
      </c>
      <c r="H638" s="387"/>
      <c r="I638" s="387">
        <f>SUM(G622:G638)</f>
        <v>470.40000000000003</v>
      </c>
      <c r="J638" s="396"/>
      <c r="K638" s="390"/>
      <c r="L638" s="390"/>
      <c r="M638" s="390"/>
      <c r="N638" s="387"/>
      <c r="O638" s="387"/>
      <c r="P638" s="387"/>
      <c r="Q638" s="390"/>
      <c r="R638" s="395"/>
      <c r="S638" s="395">
        <f t="shared" ref="S638" si="142">AG639-AG637</f>
        <v>44</v>
      </c>
      <c r="T638" s="390"/>
      <c r="U638" s="390"/>
      <c r="V638" s="390"/>
      <c r="W638" s="390"/>
      <c r="X638" s="390"/>
      <c r="Y638" s="390"/>
      <c r="Z638" s="390"/>
      <c r="AA638" s="390"/>
      <c r="AB638" s="390"/>
      <c r="AC638" s="390"/>
      <c r="AD638" s="390"/>
      <c r="AE638" s="390"/>
      <c r="AF638" s="390"/>
      <c r="AG638" s="389" t="s">
        <v>695</v>
      </c>
      <c r="AH638" s="390" t="s">
        <v>695</v>
      </c>
      <c r="AI638" s="394" t="s">
        <v>695</v>
      </c>
      <c r="AJ638" s="390"/>
      <c r="AK638" s="390"/>
      <c r="AL638" s="390"/>
      <c r="AM638" s="390"/>
      <c r="AN638" s="381"/>
      <c r="AO638" s="381"/>
      <c r="AP638" s="381"/>
      <c r="AQ638" s="381">
        <f>+FL_1($T$639,$T$637,$S$638,1200,13.16, 1*$R$639)</f>
        <v>0.3807880875909091</v>
      </c>
      <c r="AR638" s="381"/>
      <c r="AS638" s="381"/>
      <c r="AT638" s="381"/>
      <c r="AU638" s="381"/>
      <c r="AV638" s="381"/>
      <c r="AW638" s="390"/>
      <c r="AX638" s="390"/>
      <c r="AY638" s="390"/>
      <c r="AZ638" s="390"/>
      <c r="BA638" s="390"/>
      <c r="BB638" s="306"/>
      <c r="BF638" s="1119"/>
      <c r="BG638" s="1119"/>
      <c r="BH638" s="1119"/>
    </row>
    <row r="639" spans="1:60" ht="14.25">
      <c r="A639" s="392"/>
      <c r="B639" s="393" t="s">
        <v>1921</v>
      </c>
      <c r="C639" s="389">
        <v>26644.799999999999</v>
      </c>
      <c r="D639" s="390" t="s">
        <v>2014</v>
      </c>
      <c r="E639" s="390"/>
      <c r="F639" s="394">
        <v>0</v>
      </c>
      <c r="G639" s="395"/>
      <c r="H639" s="387" t="s">
        <v>955</v>
      </c>
      <c r="I639" s="387"/>
      <c r="J639" s="396"/>
      <c r="K639" s="390"/>
      <c r="L639" s="390" t="s">
        <v>1070</v>
      </c>
      <c r="M639" s="390" t="s">
        <v>2545</v>
      </c>
      <c r="N639" s="387" t="s">
        <v>145</v>
      </c>
      <c r="O639" s="387"/>
      <c r="P639" s="387"/>
      <c r="Q639" s="390">
        <v>6</v>
      </c>
      <c r="R639" s="394">
        <v>0</v>
      </c>
      <c r="S639" s="395"/>
      <c r="T639" s="390">
        <v>35</v>
      </c>
      <c r="U639" s="390"/>
      <c r="V639" s="390"/>
      <c r="W639" s="390">
        <v>1.4</v>
      </c>
      <c r="X639" s="390"/>
      <c r="Y639" s="390"/>
      <c r="Z639" s="390"/>
      <c r="AA639" s="390"/>
      <c r="AB639" s="390"/>
      <c r="AC639" s="390" t="s">
        <v>2963</v>
      </c>
      <c r="AD639" s="390"/>
      <c r="AE639" s="390"/>
      <c r="AF639" s="390">
        <v>5200</v>
      </c>
      <c r="AG639" s="389">
        <v>26643.9</v>
      </c>
      <c r="AH639" s="390">
        <v>3058</v>
      </c>
      <c r="AI639" s="394">
        <v>-40</v>
      </c>
      <c r="AJ639" s="343"/>
      <c r="AK639" s="343"/>
      <c r="AL639" s="343"/>
      <c r="AM639" s="343" t="s">
        <v>1228</v>
      </c>
      <c r="AN639" s="347">
        <v>5.5</v>
      </c>
      <c r="AO639" s="347"/>
      <c r="AP639" s="347"/>
      <c r="AQ639" s="347"/>
      <c r="AR639" s="347"/>
      <c r="AS639" s="347"/>
      <c r="AT639" s="347">
        <f>+ab($T$639,$T$637,$T$641,$S$638,$S$640, 1*$R$639,1200)</f>
        <v>6.083068153175498</v>
      </c>
      <c r="AU639" s="381"/>
      <c r="AV639" s="381"/>
      <c r="AW639" s="390" t="s">
        <v>699</v>
      </c>
      <c r="AX639" s="390" t="s">
        <v>699</v>
      </c>
      <c r="AY639" s="390" t="s">
        <v>699</v>
      </c>
      <c r="AZ639" s="390" t="s">
        <v>699</v>
      </c>
      <c r="BA639" s="390"/>
      <c r="BB639" s="306"/>
      <c r="BF639" s="1119"/>
      <c r="BG639" s="1119"/>
      <c r="BH639" s="1119"/>
    </row>
    <row r="640" spans="1:60" ht="14.25">
      <c r="A640" s="392"/>
      <c r="B640" s="393"/>
      <c r="C640" s="389"/>
      <c r="D640" s="390"/>
      <c r="E640" s="390"/>
      <c r="F640" s="394"/>
      <c r="G640" s="395">
        <v>45.2</v>
      </c>
      <c r="H640" s="387"/>
      <c r="I640" s="387">
        <f>SUM(G640:G656)</f>
        <v>480.2</v>
      </c>
      <c r="J640" s="396"/>
      <c r="K640" s="390"/>
      <c r="L640" s="390"/>
      <c r="M640" s="390"/>
      <c r="N640" s="387"/>
      <c r="O640" s="387"/>
      <c r="P640" s="387"/>
      <c r="Q640" s="390"/>
      <c r="R640" s="395"/>
      <c r="S640" s="395">
        <f t="shared" ref="S640" si="143">AG641-AG639</f>
        <v>45.109999999996944</v>
      </c>
      <c r="T640" s="390"/>
      <c r="U640" s="390"/>
      <c r="V640" s="390"/>
      <c r="W640" s="390"/>
      <c r="X640" s="390"/>
      <c r="Y640" s="390"/>
      <c r="Z640" s="390"/>
      <c r="AA640" s="390"/>
      <c r="AB640" s="390"/>
      <c r="AC640" s="390"/>
      <c r="AD640" s="390"/>
      <c r="AE640" s="390"/>
      <c r="AF640" s="390"/>
      <c r="AG640" s="389" t="s">
        <v>695</v>
      </c>
      <c r="AH640" s="390" t="s">
        <v>695</v>
      </c>
      <c r="AI640" s="394" t="s">
        <v>695</v>
      </c>
      <c r="AJ640" s="343"/>
      <c r="AK640" s="343"/>
      <c r="AL640" s="343"/>
      <c r="AM640" s="343"/>
      <c r="AN640" s="347"/>
      <c r="AO640" s="347"/>
      <c r="AP640" s="347"/>
      <c r="AQ640" s="347">
        <f>+FL_2($T$641,$T$639,$S$640,1200,13.24, 1*$R$641)</f>
        <v>-0.38977063874814788</v>
      </c>
      <c r="AR640" s="347"/>
      <c r="AS640" s="347"/>
      <c r="AT640" s="347"/>
      <c r="AU640" s="381"/>
      <c r="AV640" s="381"/>
      <c r="AW640" s="390"/>
      <c r="AX640" s="390"/>
      <c r="AY640" s="390"/>
      <c r="AZ640" s="390"/>
      <c r="BA640" s="390"/>
      <c r="BB640" s="306"/>
      <c r="BF640" s="1119"/>
      <c r="BG640" s="1119"/>
      <c r="BH640" s="1119"/>
    </row>
    <row r="641" spans="1:65" ht="14.25">
      <c r="A641" s="392"/>
      <c r="B641" s="393" t="s">
        <v>1922</v>
      </c>
      <c r="C641" s="389">
        <f>+$C$639+$G$640</f>
        <v>26690</v>
      </c>
      <c r="D641" s="390"/>
      <c r="E641" s="390"/>
      <c r="F641" s="394">
        <v>0</v>
      </c>
      <c r="G641" s="395"/>
      <c r="H641" s="387" t="s">
        <v>954</v>
      </c>
      <c r="I641" s="387"/>
      <c r="J641" s="396"/>
      <c r="K641" s="390"/>
      <c r="L641" s="390" t="s">
        <v>2542</v>
      </c>
      <c r="M641" s="390" t="s">
        <v>2545</v>
      </c>
      <c r="N641" s="387" t="s">
        <v>144</v>
      </c>
      <c r="O641" s="387"/>
      <c r="P641" s="387"/>
      <c r="Q641" s="390">
        <v>4</v>
      </c>
      <c r="R641" s="394">
        <v>0</v>
      </c>
      <c r="S641" s="395"/>
      <c r="T641" s="390">
        <v>-35</v>
      </c>
      <c r="U641" s="390"/>
      <c r="V641" s="390"/>
      <c r="W641" s="390">
        <v>1.4</v>
      </c>
      <c r="X641" s="390"/>
      <c r="Y641" s="390"/>
      <c r="Z641" s="390"/>
      <c r="AA641" s="390"/>
      <c r="AB641" s="390"/>
      <c r="AC641" s="390" t="s">
        <v>2963</v>
      </c>
      <c r="AD641" s="390"/>
      <c r="AE641" s="390"/>
      <c r="AF641" s="390">
        <v>5200</v>
      </c>
      <c r="AG641" s="389">
        <v>26689.01</v>
      </c>
      <c r="AH641" s="390">
        <v>3049</v>
      </c>
      <c r="AI641" s="394">
        <v>-20</v>
      </c>
      <c r="AJ641" s="343"/>
      <c r="AK641" s="343"/>
      <c r="AL641" s="343"/>
      <c r="AM641" s="343" t="s">
        <v>1228</v>
      </c>
      <c r="AN641" s="347">
        <v>5.5</v>
      </c>
      <c r="AO641" s="347"/>
      <c r="AP641" s="347"/>
      <c r="AQ641" s="347"/>
      <c r="AR641" s="347"/>
      <c r="AS641" s="347"/>
      <c r="AT641" s="347">
        <f>+ab($T$641,$T$639,$T$643,$S$640,$S$642, 1*$R$641,1200)</f>
        <v>-6.7623246728394877</v>
      </c>
      <c r="AU641" s="381"/>
      <c r="AV641" s="381"/>
      <c r="AW641" s="390" t="s">
        <v>699</v>
      </c>
      <c r="AX641" s="390" t="s">
        <v>699</v>
      </c>
      <c r="AY641" s="390" t="s">
        <v>699</v>
      </c>
      <c r="AZ641" s="390" t="s">
        <v>699</v>
      </c>
      <c r="BA641" s="390"/>
      <c r="BB641" s="306"/>
      <c r="BF641" s="1119"/>
      <c r="BG641" s="1119"/>
      <c r="BH641" s="1119"/>
    </row>
    <row r="642" spans="1:65" ht="14.25">
      <c r="A642" s="392"/>
      <c r="B642" s="393"/>
      <c r="C642" s="389"/>
      <c r="D642" s="390"/>
      <c r="E642" s="390"/>
      <c r="F642" s="394"/>
      <c r="G642" s="395">
        <v>55</v>
      </c>
      <c r="H642" s="387"/>
      <c r="I642" s="387"/>
      <c r="J642" s="396"/>
      <c r="K642" s="390"/>
      <c r="L642" s="390"/>
      <c r="M642" s="390"/>
      <c r="N642" s="387"/>
      <c r="O642" s="387"/>
      <c r="P642" s="387"/>
      <c r="Q642" s="390"/>
      <c r="R642" s="395"/>
      <c r="S642" s="395">
        <f t="shared" ref="S642" si="144">AG643-AG641</f>
        <v>55</v>
      </c>
      <c r="T642" s="390"/>
      <c r="U642" s="390"/>
      <c r="V642" s="390"/>
      <c r="W642" s="390"/>
      <c r="X642" s="390"/>
      <c r="Y642" s="390"/>
      <c r="Z642" s="390"/>
      <c r="AA642" s="390"/>
      <c r="AB642" s="390"/>
      <c r="AC642" s="390"/>
      <c r="AD642" s="390"/>
      <c r="AE642" s="390"/>
      <c r="AF642" s="390"/>
      <c r="AG642" s="389" t="s">
        <v>695</v>
      </c>
      <c r="AH642" s="390" t="s">
        <v>695</v>
      </c>
      <c r="AI642" s="394" t="s">
        <v>695</v>
      </c>
      <c r="AJ642" s="343"/>
      <c r="AK642" s="343"/>
      <c r="AL642" s="343"/>
      <c r="AM642" s="343"/>
      <c r="AN642" s="347"/>
      <c r="AO642" s="347"/>
      <c r="AP642" s="347"/>
      <c r="AQ642" s="347">
        <f>+FL_2($T$643,$T$641,$S$642,1200,13.16, 1*$R$643)</f>
        <v>-0.48852971819696961</v>
      </c>
      <c r="AR642" s="347"/>
      <c r="AS642" s="347"/>
      <c r="AT642" s="347"/>
      <c r="AU642" s="381"/>
      <c r="AV642" s="381"/>
      <c r="AW642" s="390"/>
      <c r="AX642" s="390"/>
      <c r="AY642" s="390"/>
      <c r="AZ642" s="390"/>
      <c r="BA642" s="390"/>
      <c r="BB642" s="306"/>
      <c r="BC642" s="307"/>
      <c r="BD642" s="307"/>
      <c r="BE642" s="307"/>
      <c r="BF642" s="1119"/>
      <c r="BG642" s="1119"/>
      <c r="BH642" s="1119"/>
    </row>
    <row r="643" spans="1:65" ht="14.25">
      <c r="A643" s="392"/>
      <c r="B643" s="393" t="s">
        <v>1923</v>
      </c>
      <c r="C643" s="389">
        <f>+$C$641+$G$642</f>
        <v>26745</v>
      </c>
      <c r="D643" s="390"/>
      <c r="E643" s="390"/>
      <c r="F643" s="394">
        <v>0</v>
      </c>
      <c r="G643" s="395"/>
      <c r="H643" s="387"/>
      <c r="I643" s="387"/>
      <c r="J643" s="396"/>
      <c r="K643" s="390"/>
      <c r="L643" s="390" t="s">
        <v>1070</v>
      </c>
      <c r="M643" s="390" t="s">
        <v>2544</v>
      </c>
      <c r="N643" s="387" t="s">
        <v>145</v>
      </c>
      <c r="O643" s="387"/>
      <c r="P643" s="387"/>
      <c r="Q643" s="390">
        <v>4</v>
      </c>
      <c r="R643" s="394">
        <v>0</v>
      </c>
      <c r="S643" s="395"/>
      <c r="T643" s="390">
        <v>35</v>
      </c>
      <c r="U643" s="390"/>
      <c r="V643" s="390"/>
      <c r="W643" s="390">
        <v>1.4</v>
      </c>
      <c r="X643" s="390"/>
      <c r="Y643" s="390"/>
      <c r="Z643" s="390"/>
      <c r="AA643" s="390"/>
      <c r="AB643" s="390"/>
      <c r="AC643" s="390" t="s">
        <v>2963</v>
      </c>
      <c r="AD643" s="390"/>
      <c r="AE643" s="390"/>
      <c r="AF643" s="390">
        <v>5200</v>
      </c>
      <c r="AG643" s="389">
        <v>26744.01</v>
      </c>
      <c r="AH643" s="390">
        <v>3110</v>
      </c>
      <c r="AI643" s="394">
        <v>-76</v>
      </c>
      <c r="AJ643" s="343"/>
      <c r="AK643" s="343"/>
      <c r="AL643" s="343"/>
      <c r="AM643" s="343" t="s">
        <v>1228</v>
      </c>
      <c r="AN643" s="347">
        <v>5.5</v>
      </c>
      <c r="AO643" s="347"/>
      <c r="AP643" s="347"/>
      <c r="AQ643" s="347"/>
      <c r="AR643" s="347"/>
      <c r="AS643" s="347"/>
      <c r="AT643" s="347">
        <f>+ab($T$643,$T$641,$T$645,$S$642,$S$644, 1*$R$643,1200)</f>
        <v>7.4948945307563344</v>
      </c>
      <c r="AU643" s="381"/>
      <c r="AV643" s="381"/>
      <c r="AW643" s="390" t="s">
        <v>699</v>
      </c>
      <c r="AX643" s="390" t="s">
        <v>699</v>
      </c>
      <c r="AY643" s="390" t="s">
        <v>699</v>
      </c>
      <c r="AZ643" s="390" t="s">
        <v>699</v>
      </c>
      <c r="BA643" s="390"/>
      <c r="BB643" s="306"/>
      <c r="BF643" s="1119"/>
      <c r="BG643" s="1119"/>
      <c r="BH643" s="1119"/>
    </row>
    <row r="644" spans="1:65" ht="14.25">
      <c r="A644" s="392"/>
      <c r="B644" s="393"/>
      <c r="C644" s="389"/>
      <c r="D644" s="390"/>
      <c r="E644" s="390"/>
      <c r="F644" s="394"/>
      <c r="G644" s="395">
        <v>55</v>
      </c>
      <c r="H644" s="387"/>
      <c r="I644" s="387"/>
      <c r="J644" s="396"/>
      <c r="K644" s="390"/>
      <c r="L644" s="390"/>
      <c r="M644" s="390"/>
      <c r="N644" s="387"/>
      <c r="O644" s="387"/>
      <c r="P644" s="387"/>
      <c r="Q644" s="390"/>
      <c r="R644" s="395"/>
      <c r="S644" s="395">
        <f t="shared" ref="S644" si="145">AG645-AG643</f>
        <v>54.990000000001601</v>
      </c>
      <c r="T644" s="390"/>
      <c r="U644" s="390"/>
      <c r="V644" s="390"/>
      <c r="W644" s="390"/>
      <c r="X644" s="390"/>
      <c r="Y644" s="390"/>
      <c r="Z644" s="390"/>
      <c r="AA644" s="390"/>
      <c r="AB644" s="390"/>
      <c r="AC644" s="390"/>
      <c r="AD644" s="390"/>
      <c r="AE644" s="390"/>
      <c r="AF644" s="390"/>
      <c r="AG644" s="389" t="s">
        <v>695</v>
      </c>
      <c r="AH644" s="390" t="s">
        <v>695</v>
      </c>
      <c r="AI644" s="394" t="s">
        <v>695</v>
      </c>
      <c r="AJ644" s="343"/>
      <c r="AK644" s="343"/>
      <c r="AL644" s="343"/>
      <c r="AM644" s="343"/>
      <c r="AN644" s="347"/>
      <c r="AO644" s="347"/>
      <c r="AP644" s="347"/>
      <c r="AQ644" s="347">
        <f>+FL_1($T$645,$T$643,$S$644,1200,13.02, 1*$R$645)</f>
        <v>0.48479035976470386</v>
      </c>
      <c r="AR644" s="347"/>
      <c r="AS644" s="347"/>
      <c r="AT644" s="347"/>
      <c r="AU644" s="381"/>
      <c r="AV644" s="381"/>
      <c r="AW644" s="390"/>
      <c r="AX644" s="390"/>
      <c r="AY644" s="390"/>
      <c r="AZ644" s="390"/>
      <c r="BA644" s="390"/>
      <c r="BB644" s="306"/>
      <c r="BF644" s="1119"/>
      <c r="BG644" s="1119"/>
      <c r="BH644" s="1119"/>
    </row>
    <row r="645" spans="1:65" ht="14.25">
      <c r="A645" s="392"/>
      <c r="B645" s="393" t="s">
        <v>1924</v>
      </c>
      <c r="C645" s="389">
        <f>+$C$643+$G$644</f>
        <v>26800</v>
      </c>
      <c r="D645" s="390"/>
      <c r="E645" s="390"/>
      <c r="F645" s="394">
        <v>0</v>
      </c>
      <c r="G645" s="395"/>
      <c r="H645" s="387"/>
      <c r="I645" s="387"/>
      <c r="J645" s="396"/>
      <c r="K645" s="390"/>
      <c r="L645" s="390" t="s">
        <v>1070</v>
      </c>
      <c r="M645" s="390" t="s">
        <v>2544</v>
      </c>
      <c r="N645" s="387" t="s">
        <v>144</v>
      </c>
      <c r="O645" s="387"/>
      <c r="P645" s="387"/>
      <c r="Q645" s="390">
        <v>0</v>
      </c>
      <c r="R645" s="394">
        <v>0</v>
      </c>
      <c r="S645" s="395"/>
      <c r="T645" s="390">
        <v>-35</v>
      </c>
      <c r="U645" s="390"/>
      <c r="V645" s="390"/>
      <c r="W645" s="390">
        <v>1.4</v>
      </c>
      <c r="X645" s="390"/>
      <c r="Y645" s="390"/>
      <c r="Z645" s="390"/>
      <c r="AA645" s="390"/>
      <c r="AB645" s="390"/>
      <c r="AC645" s="390" t="s">
        <v>2963</v>
      </c>
      <c r="AD645" s="390"/>
      <c r="AE645" s="390"/>
      <c r="AF645" s="390">
        <v>5200</v>
      </c>
      <c r="AG645" s="389">
        <v>26799</v>
      </c>
      <c r="AH645" s="390">
        <v>3097</v>
      </c>
      <c r="AI645" s="394">
        <v>-88</v>
      </c>
      <c r="AJ645" s="343"/>
      <c r="AK645" s="343"/>
      <c r="AL645" s="343"/>
      <c r="AM645" s="343" t="s">
        <v>1228</v>
      </c>
      <c r="AN645" s="347">
        <v>5.5</v>
      </c>
      <c r="AO645" s="347"/>
      <c r="AP645" s="347"/>
      <c r="AQ645" s="347"/>
      <c r="AR645" s="347"/>
      <c r="AS645" s="347"/>
      <c r="AT645" s="347">
        <f>+ab($T$645,$T$643,$T$647,$S$644,$S$646, 1*$R$645,1200)</f>
        <v>-7.4949265454363028</v>
      </c>
      <c r="AU645" s="381"/>
      <c r="AV645" s="381"/>
      <c r="AW645" s="390" t="s">
        <v>699</v>
      </c>
      <c r="AX645" s="390" t="s">
        <v>699</v>
      </c>
      <c r="AY645" s="390" t="s">
        <v>699</v>
      </c>
      <c r="AZ645" s="390" t="s">
        <v>699</v>
      </c>
      <c r="BA645" s="390"/>
      <c r="BB645" s="306"/>
      <c r="BF645" s="1119"/>
      <c r="BG645" s="1119"/>
      <c r="BH645" s="1119"/>
    </row>
    <row r="646" spans="1:65" ht="14.25">
      <c r="A646" s="392"/>
      <c r="B646" s="393"/>
      <c r="C646" s="389"/>
      <c r="D646" s="390"/>
      <c r="E646" s="390"/>
      <c r="F646" s="394"/>
      <c r="G646" s="395">
        <v>55</v>
      </c>
      <c r="H646" s="387"/>
      <c r="I646" s="387"/>
      <c r="J646" s="396"/>
      <c r="K646" s="390"/>
      <c r="L646" s="390"/>
      <c r="M646" s="390"/>
      <c r="N646" s="387"/>
      <c r="O646" s="387"/>
      <c r="P646" s="387"/>
      <c r="Q646" s="390"/>
      <c r="R646" s="395"/>
      <c r="S646" s="395">
        <f t="shared" ref="S646" si="146">AG647-AG645</f>
        <v>55</v>
      </c>
      <c r="T646" s="390"/>
      <c r="U646" s="390"/>
      <c r="V646" s="390"/>
      <c r="W646" s="390"/>
      <c r="X646" s="390"/>
      <c r="Y646" s="390"/>
      <c r="Z646" s="390"/>
      <c r="AA646" s="390"/>
      <c r="AB646" s="390"/>
      <c r="AC646" s="390"/>
      <c r="AD646" s="390"/>
      <c r="AE646" s="390"/>
      <c r="AF646" s="390"/>
      <c r="AG646" s="389" t="s">
        <v>695</v>
      </c>
      <c r="AH646" s="390" t="s">
        <v>695</v>
      </c>
      <c r="AI646" s="394" t="s">
        <v>695</v>
      </c>
      <c r="AJ646" s="343"/>
      <c r="AK646" s="343"/>
      <c r="AL646" s="343"/>
      <c r="AM646" s="343"/>
      <c r="AN646" s="347"/>
      <c r="AO646" s="347"/>
      <c r="AP646" s="347"/>
      <c r="AQ646" s="347">
        <f>+FL_2($T$647,$T$645,$S$646,1200,12.78, 1*$R$647)</f>
        <v>-0.47875170284090918</v>
      </c>
      <c r="AR646" s="347"/>
      <c r="AS646" s="347"/>
      <c r="AT646" s="347"/>
      <c r="AU646" s="381"/>
      <c r="AV646" s="381"/>
      <c r="AW646" s="390"/>
      <c r="AX646" s="390"/>
      <c r="AY646" s="390"/>
      <c r="AZ646" s="390"/>
      <c r="BA646" s="390"/>
      <c r="BB646" s="306"/>
      <c r="BF646" s="1119"/>
      <c r="BG646" s="1119"/>
      <c r="BH646" s="1119"/>
    </row>
    <row r="647" spans="1:65" ht="14.25">
      <c r="A647" s="392"/>
      <c r="B647" s="393" t="s">
        <v>1925</v>
      </c>
      <c r="C647" s="389">
        <f>+$C$645+$G$646</f>
        <v>26855</v>
      </c>
      <c r="D647" s="390"/>
      <c r="E647" s="390"/>
      <c r="F647" s="394">
        <v>0</v>
      </c>
      <c r="G647" s="395"/>
      <c r="H647" s="387"/>
      <c r="I647" s="387"/>
      <c r="J647" s="396"/>
      <c r="K647" s="390"/>
      <c r="L647" s="390" t="s">
        <v>1070</v>
      </c>
      <c r="M647" s="390" t="s">
        <v>2544</v>
      </c>
      <c r="N647" s="387" t="s">
        <v>145</v>
      </c>
      <c r="O647" s="387"/>
      <c r="P647" s="387"/>
      <c r="Q647" s="390">
        <v>2</v>
      </c>
      <c r="R647" s="394">
        <v>0</v>
      </c>
      <c r="S647" s="395"/>
      <c r="T647" s="390">
        <v>35</v>
      </c>
      <c r="U647" s="390"/>
      <c r="V647" s="390"/>
      <c r="W647" s="390">
        <v>1.4</v>
      </c>
      <c r="X647" s="390"/>
      <c r="Y647" s="390"/>
      <c r="Z647" s="390"/>
      <c r="AA647" s="390"/>
      <c r="AB647" s="390"/>
      <c r="AC647" s="390" t="s">
        <v>2963</v>
      </c>
      <c r="AD647" s="390"/>
      <c r="AE647" s="390"/>
      <c r="AF647" s="390">
        <v>5200</v>
      </c>
      <c r="AG647" s="389">
        <v>26854</v>
      </c>
      <c r="AH647" s="390">
        <v>2995</v>
      </c>
      <c r="AI647" s="394">
        <v>-134</v>
      </c>
      <c r="AJ647" s="343"/>
      <c r="AK647" s="343"/>
      <c r="AL647" s="343"/>
      <c r="AM647" s="343" t="s">
        <v>1228</v>
      </c>
      <c r="AN647" s="347">
        <v>5.5</v>
      </c>
      <c r="AO647" s="347"/>
      <c r="AP647" s="347"/>
      <c r="AQ647" s="347"/>
      <c r="AR647" s="347"/>
      <c r="AS647" s="347"/>
      <c r="AT647" s="347">
        <f>+ab($T$647,$T$645,$T$649,$S$646,$S$648, 1*$R$647,1200)</f>
        <v>7.4895002301719726</v>
      </c>
      <c r="AU647" s="381"/>
      <c r="AV647" s="381"/>
      <c r="AW647" s="390" t="s">
        <v>699</v>
      </c>
      <c r="AX647" s="390" t="s">
        <v>699</v>
      </c>
      <c r="AY647" s="390" t="s">
        <v>699</v>
      </c>
      <c r="AZ647" s="390" t="s">
        <v>699</v>
      </c>
      <c r="BA647" s="390"/>
      <c r="BB647" s="306"/>
      <c r="BF647" s="1119"/>
      <c r="BG647" s="1119"/>
      <c r="BH647" s="1119"/>
    </row>
    <row r="648" spans="1:65" ht="14.25">
      <c r="A648" s="392"/>
      <c r="B648" s="393"/>
      <c r="C648" s="389"/>
      <c r="D648" s="390"/>
      <c r="E648" s="390"/>
      <c r="F648" s="394"/>
      <c r="G648" s="395">
        <v>55</v>
      </c>
      <c r="H648" s="387"/>
      <c r="I648" s="387"/>
      <c r="J648" s="396"/>
      <c r="K648" s="390"/>
      <c r="L648" s="390"/>
      <c r="M648" s="390"/>
      <c r="N648" s="387"/>
      <c r="O648" s="387"/>
      <c r="P648" s="387"/>
      <c r="Q648" s="390"/>
      <c r="R648" s="395"/>
      <c r="S648" s="395">
        <f t="shared" ref="S648" si="147">AG649-AG647</f>
        <v>54.909999999999854</v>
      </c>
      <c r="T648" s="390"/>
      <c r="U648" s="390"/>
      <c r="V648" s="390"/>
      <c r="W648" s="390"/>
      <c r="X648" s="390"/>
      <c r="Y648" s="390"/>
      <c r="Z648" s="390"/>
      <c r="AA648" s="390"/>
      <c r="AB648" s="390"/>
      <c r="AC648" s="390"/>
      <c r="AD648" s="390"/>
      <c r="AE648" s="390"/>
      <c r="AF648" s="390"/>
      <c r="AG648" s="389" t="s">
        <v>695</v>
      </c>
      <c r="AH648" s="390" t="s">
        <v>695</v>
      </c>
      <c r="AI648" s="394" t="s">
        <v>695</v>
      </c>
      <c r="AJ648" s="343"/>
      <c r="AK648" s="343"/>
      <c r="AL648" s="343"/>
      <c r="AM648" s="343"/>
      <c r="AN648" s="347"/>
      <c r="AO648" s="347"/>
      <c r="AP648" s="347"/>
      <c r="AQ648" s="347">
        <f>+FL_1($T$649,$T$647,$S$648,1200,12.26, 1*$R$649)</f>
        <v>0.46458863653041177</v>
      </c>
      <c r="AR648" s="347"/>
      <c r="AS648" s="347"/>
      <c r="AT648" s="347"/>
      <c r="AU648" s="381"/>
      <c r="AV648" s="381"/>
      <c r="AW648" s="390"/>
      <c r="AX648" s="390"/>
      <c r="AY648" s="390"/>
      <c r="AZ648" s="390"/>
      <c r="BA648" s="390"/>
      <c r="BB648" s="306"/>
      <c r="BF648" s="1119"/>
      <c r="BG648" s="1119"/>
      <c r="BH648" s="1119"/>
    </row>
    <row r="649" spans="1:65" ht="14.25">
      <c r="A649" s="392"/>
      <c r="B649" s="393" t="s">
        <v>1926</v>
      </c>
      <c r="C649" s="389">
        <f>+$C$647+$G$648</f>
        <v>26910</v>
      </c>
      <c r="D649" s="390"/>
      <c r="E649" s="390"/>
      <c r="F649" s="394">
        <v>0</v>
      </c>
      <c r="G649" s="395"/>
      <c r="H649" s="387"/>
      <c r="I649" s="387"/>
      <c r="J649" s="396"/>
      <c r="K649" s="390"/>
      <c r="L649" s="390" t="s">
        <v>1070</v>
      </c>
      <c r="M649" s="390" t="s">
        <v>2544</v>
      </c>
      <c r="N649" s="387" t="s">
        <v>144</v>
      </c>
      <c r="O649" s="387"/>
      <c r="P649" s="387"/>
      <c r="Q649" s="390">
        <v>3</v>
      </c>
      <c r="R649" s="394">
        <v>0</v>
      </c>
      <c r="S649" s="395"/>
      <c r="T649" s="390">
        <v>-35</v>
      </c>
      <c r="U649" s="390"/>
      <c r="V649" s="390"/>
      <c r="W649" s="390">
        <v>1.4</v>
      </c>
      <c r="X649" s="390"/>
      <c r="Y649" s="390"/>
      <c r="Z649" s="390"/>
      <c r="AA649" s="390"/>
      <c r="AB649" s="390"/>
      <c r="AC649" s="390" t="s">
        <v>2963</v>
      </c>
      <c r="AD649" s="390"/>
      <c r="AE649" s="390"/>
      <c r="AF649" s="390">
        <v>5200</v>
      </c>
      <c r="AG649" s="389">
        <v>26908.91</v>
      </c>
      <c r="AH649" s="390">
        <v>2977</v>
      </c>
      <c r="AI649" s="394">
        <v>-121</v>
      </c>
      <c r="AJ649" s="343"/>
      <c r="AK649" s="343"/>
      <c r="AL649" s="343"/>
      <c r="AM649" s="343" t="s">
        <v>1228</v>
      </c>
      <c r="AN649" s="347">
        <v>5.5</v>
      </c>
      <c r="AO649" s="347"/>
      <c r="AP649" s="347"/>
      <c r="AQ649" s="347"/>
      <c r="AR649" s="347"/>
      <c r="AS649" s="347"/>
      <c r="AT649" s="347">
        <f>+ab($T$649,$T$647,$T$651,$S$648,$S$650, 1*$R$649,1200)</f>
        <v>-6.7671454826727473</v>
      </c>
      <c r="AU649" s="381"/>
      <c r="AV649" s="381"/>
      <c r="AW649" s="390" t="s">
        <v>699</v>
      </c>
      <c r="AX649" s="390" t="s">
        <v>699</v>
      </c>
      <c r="AY649" s="390" t="s">
        <v>699</v>
      </c>
      <c r="AZ649" s="390" t="s">
        <v>699</v>
      </c>
      <c r="BA649" s="390"/>
      <c r="BB649" s="306"/>
    </row>
    <row r="650" spans="1:65" ht="14.25">
      <c r="A650" s="392"/>
      <c r="B650" s="393"/>
      <c r="C650" s="389"/>
      <c r="D650" s="390"/>
      <c r="E650" s="390"/>
      <c r="F650" s="394"/>
      <c r="G650" s="395">
        <v>45</v>
      </c>
      <c r="H650" s="387"/>
      <c r="I650" s="387"/>
      <c r="J650" s="396"/>
      <c r="K650" s="390"/>
      <c r="L650" s="390"/>
      <c r="M650" s="390"/>
      <c r="N650" s="387"/>
      <c r="O650" s="387"/>
      <c r="P650" s="387"/>
      <c r="Q650" s="390"/>
      <c r="R650" s="395"/>
      <c r="S650" s="395">
        <f t="shared" ref="S650" si="148">AG651-AG649</f>
        <v>45.229999999999563</v>
      </c>
      <c r="T650" s="390"/>
      <c r="U650" s="390"/>
      <c r="V650" s="390"/>
      <c r="W650" s="390"/>
      <c r="X650" s="390"/>
      <c r="Y650" s="390"/>
      <c r="Z650" s="390"/>
      <c r="AA650" s="390"/>
      <c r="AB650" s="390"/>
      <c r="AC650" s="390"/>
      <c r="AD650" s="390"/>
      <c r="AE650" s="390"/>
      <c r="AF650" s="390"/>
      <c r="AG650" s="389" t="s">
        <v>695</v>
      </c>
      <c r="AH650" s="390" t="s">
        <v>695</v>
      </c>
      <c r="AI650" s="394" t="s">
        <v>695</v>
      </c>
      <c r="AJ650" s="343"/>
      <c r="AK650" s="343"/>
      <c r="AL650" s="343"/>
      <c r="AM650" s="343"/>
      <c r="AN650" s="347"/>
      <c r="AO650" s="347"/>
      <c r="AP650" s="347"/>
      <c r="AQ650" s="347">
        <f>+FL_1($T$651,$T$649,$S$650,1200,11.67, 1*$R$651)</f>
        <v>0.37183368408605771</v>
      </c>
      <c r="AR650" s="347"/>
      <c r="AS650" s="347"/>
      <c r="AT650" s="347"/>
      <c r="AU650" s="381"/>
      <c r="AV650" s="381"/>
      <c r="AW650" s="390"/>
      <c r="AX650" s="390"/>
      <c r="AY650" s="390"/>
      <c r="AZ650" s="390"/>
      <c r="BA650" s="390"/>
      <c r="BB650" s="306"/>
      <c r="BI650" s="307"/>
      <c r="BJ650" s="307"/>
      <c r="BK650" s="307"/>
      <c r="BL650" s="307"/>
      <c r="BM650" s="307"/>
    </row>
    <row r="651" spans="1:65" ht="14.25">
      <c r="A651" s="392"/>
      <c r="B651" s="393" t="s">
        <v>1927</v>
      </c>
      <c r="C651" s="389">
        <f>+$C$649+$G$650</f>
        <v>26955</v>
      </c>
      <c r="D651" s="390"/>
      <c r="E651" s="390"/>
      <c r="F651" s="394">
        <v>0</v>
      </c>
      <c r="G651" s="395"/>
      <c r="H651" s="387" t="s">
        <v>138</v>
      </c>
      <c r="I651" s="387" t="s">
        <v>656</v>
      </c>
      <c r="J651" s="396"/>
      <c r="K651" s="390"/>
      <c r="L651" s="390" t="s">
        <v>2599</v>
      </c>
      <c r="M651" s="390" t="s">
        <v>2546</v>
      </c>
      <c r="N651" s="387" t="s">
        <v>145</v>
      </c>
      <c r="O651" s="387"/>
      <c r="P651" s="387"/>
      <c r="Q651" s="390">
        <v>2</v>
      </c>
      <c r="R651" s="394">
        <v>0</v>
      </c>
      <c r="S651" s="395"/>
      <c r="T651" s="390">
        <v>35</v>
      </c>
      <c r="U651" s="390"/>
      <c r="V651" s="390"/>
      <c r="W651" s="390">
        <v>1.4</v>
      </c>
      <c r="X651" s="390"/>
      <c r="Y651" s="390"/>
      <c r="Z651" s="390"/>
      <c r="AA651" s="390"/>
      <c r="AB651" s="390"/>
      <c r="AC651" s="390" t="s">
        <v>2963</v>
      </c>
      <c r="AD651" s="390"/>
      <c r="AE651" s="390"/>
      <c r="AF651" s="390">
        <v>5200</v>
      </c>
      <c r="AG651" s="389">
        <v>26954.14</v>
      </c>
      <c r="AH651" s="390">
        <v>3047</v>
      </c>
      <c r="AI651" s="394">
        <v>-37</v>
      </c>
      <c r="AJ651" s="343"/>
      <c r="AK651" s="343"/>
      <c r="AL651" s="343"/>
      <c r="AM651" s="343" t="s">
        <v>1228</v>
      </c>
      <c r="AN651" s="347">
        <v>5.5</v>
      </c>
      <c r="AO651" s="347"/>
      <c r="AP651" s="347"/>
      <c r="AQ651" s="347"/>
      <c r="AR651" s="347"/>
      <c r="AS651" s="347"/>
      <c r="AT651" s="347">
        <f>+ab($T$651,$T$649,$T$653,$S$650,$S$652, 1*$R$651,1200)</f>
        <v>9.9383890862555244</v>
      </c>
      <c r="AU651" s="381"/>
      <c r="AV651" s="381"/>
      <c r="AW651" s="390" t="s">
        <v>699</v>
      </c>
      <c r="AX651" s="390" t="s">
        <v>699</v>
      </c>
      <c r="AY651" s="390" t="s">
        <v>699</v>
      </c>
      <c r="AZ651" s="390" t="s">
        <v>699</v>
      </c>
      <c r="BA651" s="390"/>
      <c r="BB651" s="306"/>
    </row>
    <row r="652" spans="1:65" ht="14.25">
      <c r="A652" s="392" t="s">
        <v>1777</v>
      </c>
      <c r="B652" s="393"/>
      <c r="C652" s="389"/>
      <c r="D652" s="390"/>
      <c r="E652" s="390"/>
      <c r="F652" s="394"/>
      <c r="G652" s="395">
        <v>55</v>
      </c>
      <c r="H652" s="387"/>
      <c r="I652" s="387"/>
      <c r="J652" s="396"/>
      <c r="K652" s="390"/>
      <c r="L652" s="390"/>
      <c r="M652" s="390"/>
      <c r="N652" s="387"/>
      <c r="O652" s="387"/>
      <c r="P652" s="387"/>
      <c r="Q652" s="390"/>
      <c r="R652" s="395"/>
      <c r="S652" s="395">
        <f t="shared" ref="S652" si="149">AG653-AG651</f>
        <v>54.979999999999563</v>
      </c>
      <c r="T652" s="390"/>
      <c r="U652" s="390"/>
      <c r="V652" s="390"/>
      <c r="W652" s="390"/>
      <c r="X652" s="390"/>
      <c r="Y652" s="390"/>
      <c r="Z652" s="390"/>
      <c r="AA652" s="390"/>
      <c r="AB652" s="390"/>
      <c r="AC652" s="390"/>
      <c r="AD652" s="390"/>
      <c r="AE652" s="390"/>
      <c r="AF652" s="390"/>
      <c r="AG652" s="389" t="s">
        <v>695</v>
      </c>
      <c r="AH652" s="390" t="s">
        <v>695</v>
      </c>
      <c r="AI652" s="394" t="s">
        <v>695</v>
      </c>
      <c r="AJ652" s="343"/>
      <c r="AK652" s="343"/>
      <c r="AL652" s="343"/>
      <c r="AM652" s="343"/>
      <c r="AN652" s="347"/>
      <c r="AO652" s="347"/>
      <c r="AP652" s="347"/>
      <c r="AQ652" s="347">
        <f>+FL_1($U$653,$T$651,$S$652,1200,11.33, 1*$R$653)</f>
        <v>0.44259701670984464</v>
      </c>
      <c r="AR652" s="347"/>
      <c r="AS652" s="347"/>
      <c r="AT652" s="347"/>
      <c r="AU652" s="381"/>
      <c r="AV652" s="381"/>
      <c r="AW652" s="390"/>
      <c r="AX652" s="390"/>
      <c r="AY652" s="390"/>
      <c r="AZ652" s="390"/>
      <c r="BA652" s="390"/>
      <c r="BB652" s="306"/>
    </row>
    <row r="653" spans="1:65" ht="14.25">
      <c r="A653" s="400" t="s">
        <v>3005</v>
      </c>
      <c r="B653" s="1069" t="s">
        <v>1928</v>
      </c>
      <c r="C653" s="402">
        <f>+$C$651+$G$652</f>
        <v>27010</v>
      </c>
      <c r="D653" s="399"/>
      <c r="E653" s="399"/>
      <c r="F653" s="403">
        <v>0</v>
      </c>
      <c r="G653" s="404"/>
      <c r="H653" s="403" t="s">
        <v>651</v>
      </c>
      <c r="I653" s="403"/>
      <c r="J653" s="402"/>
      <c r="K653" s="403"/>
      <c r="L653" s="399" t="s">
        <v>231</v>
      </c>
      <c r="M653" s="399" t="s">
        <v>2672</v>
      </c>
      <c r="N653" s="405" t="s">
        <v>140</v>
      </c>
      <c r="O653" s="405" t="s">
        <v>144</v>
      </c>
      <c r="P653" s="405"/>
      <c r="Q653" s="399">
        <v>0</v>
      </c>
      <c r="R653" s="403">
        <v>0</v>
      </c>
      <c r="S653" s="404"/>
      <c r="T653" s="399">
        <v>15</v>
      </c>
      <c r="U653" s="399">
        <v>-35</v>
      </c>
      <c r="V653" s="399"/>
      <c r="W653" s="399">
        <v>1.4</v>
      </c>
      <c r="X653" s="399">
        <v>2.2999999999999998</v>
      </c>
      <c r="Y653" s="399"/>
      <c r="Z653" s="399">
        <v>0.6</v>
      </c>
      <c r="AA653" s="399"/>
      <c r="AB653" s="399"/>
      <c r="AC653" s="399"/>
      <c r="AD653" s="399" t="s">
        <v>1704</v>
      </c>
      <c r="AE653" s="399"/>
      <c r="AF653" s="399">
        <v>6000</v>
      </c>
      <c r="AG653" s="402">
        <v>27009.119999999999</v>
      </c>
      <c r="AH653" s="399">
        <v>2167</v>
      </c>
      <c r="AI653" s="403">
        <v>772</v>
      </c>
      <c r="AJ653" s="1121" t="s">
        <v>1603</v>
      </c>
      <c r="AK653" s="1121"/>
      <c r="AL653" s="1121"/>
      <c r="AM653" s="1121" t="s">
        <v>1228</v>
      </c>
      <c r="AN653" s="315">
        <v>5.5</v>
      </c>
      <c r="AO653" s="315"/>
      <c r="AP653" s="315"/>
      <c r="AQ653" s="315"/>
      <c r="AR653" s="315"/>
      <c r="AS653" s="315"/>
      <c r="AT653" s="315">
        <f>+ab($U$653,$T$651,$U$655,$S$652,$S$654, 1*$R$653,1200)</f>
        <v>-11.22329400080546</v>
      </c>
      <c r="AU653" s="315"/>
      <c r="AV653" s="315"/>
      <c r="AW653" s="1121" t="s">
        <v>2634</v>
      </c>
      <c r="AX653" s="1121" t="s">
        <v>1639</v>
      </c>
      <c r="AY653" s="1121">
        <v>3.4</v>
      </c>
      <c r="AZ653" s="1121"/>
      <c r="BA653" s="1025" t="s">
        <v>3012</v>
      </c>
      <c r="BB653" s="306"/>
    </row>
    <row r="654" spans="1:65" ht="14.25">
      <c r="A654" s="340"/>
      <c r="B654" s="334"/>
      <c r="C654" s="288"/>
      <c r="D654" s="1121"/>
      <c r="E654" s="1121"/>
      <c r="F654" s="289"/>
      <c r="G654" s="292">
        <v>60</v>
      </c>
      <c r="H654" s="289"/>
      <c r="I654" s="291"/>
      <c r="J654" s="288"/>
      <c r="K654" s="289"/>
      <c r="L654" s="1121"/>
      <c r="M654" s="1121"/>
      <c r="N654" s="291"/>
      <c r="O654" s="291"/>
      <c r="P654" s="291"/>
      <c r="Q654" s="1121"/>
      <c r="R654" s="292"/>
      <c r="S654" s="292">
        <f t="shared" ref="S654" si="150">AG655-AG653</f>
        <v>60.290000000000873</v>
      </c>
      <c r="T654" s="1121"/>
      <c r="U654" s="1121"/>
      <c r="V654" s="1121"/>
      <c r="W654" s="1121"/>
      <c r="X654" s="1121"/>
      <c r="Y654" s="1121"/>
      <c r="Z654" s="1121"/>
      <c r="AA654" s="1121"/>
      <c r="AB654" s="1121"/>
      <c r="AC654" s="1121"/>
      <c r="AD654" s="1121"/>
      <c r="AE654" s="1121"/>
      <c r="AF654" s="1121"/>
      <c r="AG654" s="288" t="s">
        <v>695</v>
      </c>
      <c r="AH654" s="1121" t="s">
        <v>695</v>
      </c>
      <c r="AI654" s="289" t="s">
        <v>695</v>
      </c>
      <c r="AJ654" s="1121" t="s">
        <v>1593</v>
      </c>
      <c r="AK654" s="1121"/>
      <c r="AL654" s="1121"/>
      <c r="AM654" s="1121"/>
      <c r="AN654" s="315"/>
      <c r="AO654" s="315"/>
      <c r="AP654" s="315"/>
      <c r="AQ654" s="315">
        <f>+FL_1($T$655,$U$653,$S$654,1200,9.28, 1*$R$655)</f>
        <v>0.43853043609842079</v>
      </c>
      <c r="AR654" s="315"/>
      <c r="AS654" s="315"/>
      <c r="AT654" s="315"/>
      <c r="AU654" s="315"/>
      <c r="AV654" s="315"/>
      <c r="AW654" s="1121"/>
      <c r="AX654" s="1121"/>
      <c r="AY654" s="1121"/>
      <c r="AZ654" s="1121"/>
      <c r="BA654" s="1121"/>
      <c r="BB654" s="306"/>
    </row>
    <row r="655" spans="1:65" ht="14.25">
      <c r="A655" s="400"/>
      <c r="B655" s="401" t="s">
        <v>1929</v>
      </c>
      <c r="C655" s="402">
        <f>+$C$653+$G$654</f>
        <v>27070</v>
      </c>
      <c r="D655" s="399"/>
      <c r="E655" s="403"/>
      <c r="F655" s="403">
        <v>0</v>
      </c>
      <c r="G655" s="403"/>
      <c r="H655" s="291" t="s">
        <v>651</v>
      </c>
      <c r="I655" s="405"/>
      <c r="J655" s="402"/>
      <c r="K655" s="403"/>
      <c r="L655" s="399" t="s">
        <v>231</v>
      </c>
      <c r="M655" s="399" t="s">
        <v>2028</v>
      </c>
      <c r="N655" s="405" t="s">
        <v>145</v>
      </c>
      <c r="O655" s="405" t="s">
        <v>145</v>
      </c>
      <c r="P655" s="405"/>
      <c r="Q655" s="399">
        <v>6</v>
      </c>
      <c r="R655" s="403">
        <v>0</v>
      </c>
      <c r="S655" s="404"/>
      <c r="T655" s="399">
        <v>35</v>
      </c>
      <c r="U655" s="399">
        <v>-10</v>
      </c>
      <c r="V655" s="399"/>
      <c r="W655" s="399">
        <v>1.4</v>
      </c>
      <c r="X655" s="399">
        <v>2.2999999999999998</v>
      </c>
      <c r="Y655" s="399"/>
      <c r="Z655" s="399"/>
      <c r="AA655" s="399">
        <v>0.6</v>
      </c>
      <c r="AB655" s="399"/>
      <c r="AC655" s="399" t="s">
        <v>1704</v>
      </c>
      <c r="AD655" s="399"/>
      <c r="AE655" s="399"/>
      <c r="AF655" s="399">
        <v>5800</v>
      </c>
      <c r="AG655" s="402">
        <v>27069.41</v>
      </c>
      <c r="AH655" s="399">
        <v>2506</v>
      </c>
      <c r="AI655" s="403">
        <v>61</v>
      </c>
      <c r="AJ655" s="1121"/>
      <c r="AK655" s="1121"/>
      <c r="AL655" s="1121"/>
      <c r="AM655" s="1121" t="s">
        <v>1228</v>
      </c>
      <c r="AN655" s="315">
        <v>5.44</v>
      </c>
      <c r="AO655" s="315"/>
      <c r="AP655" s="315"/>
      <c r="AQ655" s="315"/>
      <c r="AR655" s="315"/>
      <c r="AS655" s="315"/>
      <c r="AT655" s="315">
        <f>+ab($T$655,$T$653,$T$657,$S$654,$S$656, 1*$R$655,1200)</f>
        <v>16.355285793463551</v>
      </c>
      <c r="AU655" s="315"/>
      <c r="AV655" s="315"/>
      <c r="AW655" s="1121"/>
      <c r="AX655" s="1121"/>
      <c r="AY655" s="1121"/>
      <c r="AZ655" s="1121"/>
      <c r="BA655" s="1121"/>
      <c r="BB655" s="306"/>
    </row>
    <row r="656" spans="1:65" ht="14.25">
      <c r="A656" s="340"/>
      <c r="B656" s="334"/>
      <c r="C656" s="288"/>
      <c r="D656" s="1121"/>
      <c r="E656" s="1121"/>
      <c r="F656" s="289"/>
      <c r="G656" s="292">
        <v>55</v>
      </c>
      <c r="H656" s="291"/>
      <c r="I656" s="291"/>
      <c r="J656" s="383"/>
      <c r="K656" s="1121"/>
      <c r="L656" s="1121"/>
      <c r="M656" s="1121"/>
      <c r="N656" s="291"/>
      <c r="O656" s="291"/>
      <c r="P656" s="291"/>
      <c r="Q656" s="1121"/>
      <c r="R656" s="292"/>
      <c r="S656" s="292">
        <f t="shared" ref="S656" si="151">AG657-AG655</f>
        <v>55.590000000000146</v>
      </c>
      <c r="T656" s="1121"/>
      <c r="U656" s="1121"/>
      <c r="V656" s="1121"/>
      <c r="W656" s="1121"/>
      <c r="X656" s="1121"/>
      <c r="Y656" s="1121"/>
      <c r="Z656" s="1121"/>
      <c r="AA656" s="1121"/>
      <c r="AB656" s="1121"/>
      <c r="AC656" s="1121"/>
      <c r="AD656" s="1121"/>
      <c r="AE656" s="1121"/>
      <c r="AF656" s="1121"/>
      <c r="AG656" s="288" t="s">
        <v>695</v>
      </c>
      <c r="AH656" s="1121" t="s">
        <v>695</v>
      </c>
      <c r="AI656" s="289" t="s">
        <v>695</v>
      </c>
      <c r="AJ656" s="1121"/>
      <c r="AK656" s="1121"/>
      <c r="AL656" s="1121"/>
      <c r="AM656" s="1121"/>
      <c r="AN656" s="315"/>
      <c r="AO656" s="315"/>
      <c r="AP656" s="315"/>
      <c r="AQ656" s="315">
        <f>+FL_1($T$657,$T$655,$S$656,1200,9.28, 1*$R$657)</f>
        <v>0.46609168666738759</v>
      </c>
      <c r="AR656" s="315"/>
      <c r="AS656" s="315"/>
      <c r="AT656" s="315"/>
      <c r="AU656" s="315"/>
      <c r="AV656" s="315"/>
      <c r="AW656" s="1121"/>
      <c r="AX656" s="1121"/>
      <c r="AY656" s="1121"/>
      <c r="AZ656" s="1121"/>
      <c r="BA656" s="1121"/>
      <c r="BB656" s="306"/>
    </row>
    <row r="657" spans="1:60" ht="14.25">
      <c r="A657" s="340"/>
      <c r="B657" s="334" t="s">
        <v>1930</v>
      </c>
      <c r="C657" s="288">
        <f>+C655+G656</f>
        <v>27125</v>
      </c>
      <c r="D657" s="1121"/>
      <c r="E657" s="1121"/>
      <c r="F657" s="289">
        <v>0</v>
      </c>
      <c r="G657" s="292"/>
      <c r="H657" s="291" t="s">
        <v>651</v>
      </c>
      <c r="I657" s="294"/>
      <c r="J657" s="383"/>
      <c r="K657" s="1121"/>
      <c r="L657" s="1225" t="s">
        <v>2030</v>
      </c>
      <c r="M657" s="1225"/>
      <c r="N657" s="291" t="s">
        <v>144</v>
      </c>
      <c r="O657" s="291" t="s">
        <v>140</v>
      </c>
      <c r="P657" s="291"/>
      <c r="Q657" s="1121">
        <v>0</v>
      </c>
      <c r="R657" s="289">
        <v>0</v>
      </c>
      <c r="S657" s="292"/>
      <c r="T657" s="1121">
        <v>-10</v>
      </c>
      <c r="U657" s="1121">
        <v>-55</v>
      </c>
      <c r="V657" s="1121"/>
      <c r="W657" s="1121">
        <v>1.4</v>
      </c>
      <c r="X657" s="1121">
        <v>2.2999999999999998</v>
      </c>
      <c r="Y657" s="1121"/>
      <c r="Z657" s="1121"/>
      <c r="AA657" s="399">
        <v>0.7</v>
      </c>
      <c r="AB657" s="1121"/>
      <c r="AC657" s="399" t="s">
        <v>1702</v>
      </c>
      <c r="AD657" s="1121"/>
      <c r="AE657" s="1121"/>
      <c r="AF657" s="1121">
        <v>5200</v>
      </c>
      <c r="AG657" s="288">
        <v>27125</v>
      </c>
      <c r="AH657" s="1121">
        <v>2017</v>
      </c>
      <c r="AI657" s="289" t="s">
        <v>695</v>
      </c>
      <c r="AJ657" s="1121"/>
      <c r="AK657" s="1121"/>
      <c r="AL657" s="1121"/>
      <c r="AM657" s="1121" t="s">
        <v>1228</v>
      </c>
      <c r="AN657" s="315">
        <v>5.31</v>
      </c>
      <c r="AO657" s="315"/>
      <c r="AP657" s="315"/>
      <c r="AQ657" s="315"/>
      <c r="AR657" s="315"/>
      <c r="AS657" s="315"/>
      <c r="AT657" s="315">
        <f>+ab($T$657,$T$655,$T$660,$S$656,$S$659, 1*$R$657,1200)</f>
        <v>-11.163011888964103</v>
      </c>
      <c r="AU657" s="315"/>
      <c r="AV657" s="315"/>
      <c r="AW657" s="1121"/>
      <c r="AX657" s="1121"/>
      <c r="AY657" s="1121"/>
      <c r="AZ657" s="1121"/>
      <c r="BA657" s="1121"/>
      <c r="BB657" s="306"/>
    </row>
    <row r="658" spans="1:60" ht="14.25">
      <c r="A658" s="378" t="s">
        <v>1931</v>
      </c>
      <c r="B658" s="406"/>
      <c r="C658" s="377"/>
      <c r="D658" s="374"/>
      <c r="E658" s="374"/>
      <c r="F658" s="407"/>
      <c r="G658" s="408">
        <v>45</v>
      </c>
      <c r="H658" s="374"/>
      <c r="I658" s="374" t="s">
        <v>1226</v>
      </c>
      <c r="J658" s="409"/>
      <c r="K658" s="374" t="s">
        <v>1060</v>
      </c>
      <c r="L658" s="374"/>
      <c r="M658" s="374"/>
      <c r="N658" s="376"/>
      <c r="O658" s="376"/>
      <c r="P658" s="376"/>
      <c r="Q658" s="374"/>
      <c r="R658" s="408"/>
      <c r="S658" s="408"/>
      <c r="T658" s="374"/>
      <c r="U658" s="374"/>
      <c r="V658" s="374"/>
      <c r="W658" s="374"/>
      <c r="X658" s="374"/>
      <c r="Y658" s="374"/>
      <c r="Z658" s="374"/>
      <c r="AA658" s="1072"/>
      <c r="AB658" s="374"/>
      <c r="AC658" s="374"/>
      <c r="AD658" s="374"/>
      <c r="AE658" s="374"/>
      <c r="AF658" s="374"/>
      <c r="AG658" s="377" t="s">
        <v>695</v>
      </c>
      <c r="AH658" s="374" t="s">
        <v>695</v>
      </c>
      <c r="AI658" s="407"/>
      <c r="AJ658" s="374"/>
      <c r="AK658" s="374"/>
      <c r="AL658" s="374"/>
      <c r="AM658" s="374"/>
      <c r="AN658" s="379"/>
      <c r="AO658" s="379"/>
      <c r="AP658" s="379"/>
      <c r="AQ658" s="379">
        <f>+FL_1($T$660,$T$657,$S$659,1200,9.28, 1*$R$660)</f>
        <v>0.34722195968931158</v>
      </c>
      <c r="AR658" s="379"/>
      <c r="AS658" s="379"/>
      <c r="AT658" s="379"/>
      <c r="AU658" s="379"/>
      <c r="AV658" s="379"/>
      <c r="AW658" s="374"/>
      <c r="AX658" s="374"/>
      <c r="AY658" s="374"/>
      <c r="AZ658" s="374"/>
      <c r="BA658" s="374"/>
      <c r="BB658" s="306"/>
    </row>
    <row r="659" spans="1:60" ht="14.25">
      <c r="A659" s="378"/>
      <c r="B659" s="406"/>
      <c r="C659" s="377" t="s">
        <v>2744</v>
      </c>
      <c r="D659" s="374"/>
      <c r="E659" s="374"/>
      <c r="F659" s="407"/>
      <c r="G659" s="408"/>
      <c r="H659" s="374" t="s">
        <v>138</v>
      </c>
      <c r="I659" s="374" t="s">
        <v>2846</v>
      </c>
      <c r="J659" s="409">
        <f>C660-5</f>
        <v>27165</v>
      </c>
      <c r="K659" s="374" t="s">
        <v>1055</v>
      </c>
      <c r="L659" s="374"/>
      <c r="M659" s="374"/>
      <c r="N659" s="376"/>
      <c r="O659" s="376"/>
      <c r="P659" s="376"/>
      <c r="Q659" s="374"/>
      <c r="R659" s="408"/>
      <c r="S659" s="408">
        <f>AG660-AG657</f>
        <v>45.06000000000131</v>
      </c>
      <c r="T659" s="374"/>
      <c r="U659" s="374"/>
      <c r="V659" s="374"/>
      <c r="W659" s="374"/>
      <c r="X659" s="374"/>
      <c r="Y659" s="374"/>
      <c r="Z659" s="374"/>
      <c r="AA659" s="374"/>
      <c r="AB659" s="374"/>
      <c r="AC659" s="374"/>
      <c r="AD659" s="374"/>
      <c r="AE659" s="374"/>
      <c r="AF659" s="374"/>
      <c r="AG659" s="377" t="s">
        <v>695</v>
      </c>
      <c r="AH659" s="374" t="s">
        <v>695</v>
      </c>
      <c r="AI659" s="407"/>
      <c r="AJ659" s="374"/>
      <c r="AK659" s="374"/>
      <c r="AL659" s="374"/>
      <c r="AM659" s="374" t="s">
        <v>2021</v>
      </c>
      <c r="AN659" s="379"/>
      <c r="AO659" s="379"/>
      <c r="AP659" s="379"/>
      <c r="AQ659" s="379"/>
      <c r="AR659" s="379"/>
      <c r="AS659" s="379"/>
      <c r="AT659" s="379"/>
      <c r="AU659" s="379"/>
      <c r="AV659" s="379"/>
      <c r="AW659" s="374"/>
      <c r="AX659" s="374"/>
      <c r="AY659" s="374"/>
      <c r="AZ659" s="374"/>
      <c r="BA659" s="374"/>
      <c r="BB659" s="306"/>
    </row>
    <row r="660" spans="1:60" ht="14.25">
      <c r="A660" s="378" t="s">
        <v>1781</v>
      </c>
      <c r="B660" s="406" t="s">
        <v>1932</v>
      </c>
      <c r="C660" s="377">
        <f>+$C$657+$G$658</f>
        <v>27170</v>
      </c>
      <c r="D660" s="374"/>
      <c r="E660" s="374"/>
      <c r="F660" s="407">
        <v>0</v>
      </c>
      <c r="G660" s="408"/>
      <c r="H660" s="374"/>
      <c r="I660" s="374"/>
      <c r="J660" s="409"/>
      <c r="K660" s="374"/>
      <c r="L660" s="374" t="s">
        <v>239</v>
      </c>
      <c r="M660" s="374"/>
      <c r="N660" s="376" t="s">
        <v>674</v>
      </c>
      <c r="O660" s="376"/>
      <c r="P660" s="376"/>
      <c r="Q660" s="407">
        <v>0</v>
      </c>
      <c r="R660" s="407">
        <v>0</v>
      </c>
      <c r="S660" s="408"/>
      <c r="T660" s="374">
        <v>30</v>
      </c>
      <c r="U660" s="374"/>
      <c r="V660" s="374"/>
      <c r="W660" s="374">
        <v>1.1000000000000001</v>
      </c>
      <c r="X660" s="374"/>
      <c r="Y660" s="374"/>
      <c r="Z660" s="374"/>
      <c r="AA660" s="374"/>
      <c r="AB660" s="374"/>
      <c r="AC660" s="374" t="s">
        <v>2963</v>
      </c>
      <c r="AD660" s="374"/>
      <c r="AE660" s="374"/>
      <c r="AF660" s="374">
        <v>100</v>
      </c>
      <c r="AG660" s="377">
        <v>27170.06</v>
      </c>
      <c r="AH660" s="374">
        <v>1577</v>
      </c>
      <c r="AI660" s="407">
        <v>-5163</v>
      </c>
      <c r="AJ660" s="374"/>
      <c r="AK660" s="374"/>
      <c r="AL660" s="374"/>
      <c r="AM660" s="374" t="s">
        <v>2021</v>
      </c>
      <c r="AN660" s="379">
        <v>5.25</v>
      </c>
      <c r="AO660" s="379"/>
      <c r="AP660" s="379"/>
      <c r="AQ660" s="379"/>
      <c r="AR660" s="379"/>
      <c r="AS660" s="379"/>
      <c r="AT660" s="379">
        <f>+ab($T$660,$T$657,$T$662,$S$659,$S$661, 1*$R$660,1200)</f>
        <v>7.9311430090205493</v>
      </c>
      <c r="AU660" s="379"/>
      <c r="AV660" s="379"/>
      <c r="AW660" s="374" t="s">
        <v>699</v>
      </c>
      <c r="AX660" s="374" t="s">
        <v>699</v>
      </c>
      <c r="AY660" s="374" t="s">
        <v>699</v>
      </c>
      <c r="AZ660" s="374" t="s">
        <v>699</v>
      </c>
      <c r="BA660" s="374"/>
      <c r="BB660" s="306"/>
    </row>
    <row r="661" spans="1:60" ht="14.25">
      <c r="A661" s="378"/>
      <c r="B661" s="406"/>
      <c r="C661" s="377"/>
      <c r="D661" s="374"/>
      <c r="E661" s="374"/>
      <c r="F661" s="407"/>
      <c r="G661" s="408">
        <v>40</v>
      </c>
      <c r="H661" s="376"/>
      <c r="I661" s="376"/>
      <c r="J661" s="409"/>
      <c r="K661" s="374"/>
      <c r="L661" s="374"/>
      <c r="M661" s="374"/>
      <c r="N661" s="376"/>
      <c r="O661" s="376"/>
      <c r="P661" s="376"/>
      <c r="Q661" s="407"/>
      <c r="R661" s="408"/>
      <c r="S661" s="408">
        <f>AG662-AG660</f>
        <v>39.569999999999709</v>
      </c>
      <c r="T661" s="374"/>
      <c r="U661" s="374"/>
      <c r="V661" s="374"/>
      <c r="W661" s="374"/>
      <c r="X661" s="374"/>
      <c r="Y661" s="374"/>
      <c r="Z661" s="374"/>
      <c r="AA661" s="374"/>
      <c r="AB661" s="374"/>
      <c r="AC661" s="374"/>
      <c r="AD661" s="374"/>
      <c r="AE661" s="374"/>
      <c r="AF661" s="374"/>
      <c r="AG661" s="377" t="s">
        <v>695</v>
      </c>
      <c r="AH661" s="374" t="s">
        <v>695</v>
      </c>
      <c r="AI661" s="407" t="s">
        <v>695</v>
      </c>
      <c r="AJ661" s="374"/>
      <c r="AK661" s="374"/>
      <c r="AL661" s="374"/>
      <c r="AM661" s="374"/>
      <c r="AN661" s="379"/>
      <c r="AO661" s="379"/>
      <c r="AP661" s="379"/>
      <c r="AQ661" s="379">
        <f>+FL_1($T$662,$T$660,$G$661,1200,9.28, 1*$F$662)</f>
        <v>0.30014079999999987</v>
      </c>
      <c r="AR661" s="379"/>
      <c r="AS661" s="379"/>
      <c r="AT661" s="379"/>
      <c r="AU661" s="379"/>
      <c r="AV661" s="379"/>
      <c r="AW661" s="374"/>
      <c r="AX661" s="374"/>
      <c r="AY661" s="374"/>
      <c r="AZ661" s="374"/>
      <c r="BA661" s="374"/>
      <c r="BB661" s="306"/>
    </row>
    <row r="662" spans="1:60" ht="14.25">
      <c r="A662" s="378" t="s">
        <v>1781</v>
      </c>
      <c r="B662" s="406" t="s">
        <v>1933</v>
      </c>
      <c r="C662" s="377">
        <f>+$C$660+$G$661</f>
        <v>27210</v>
      </c>
      <c r="D662" s="374"/>
      <c r="E662" s="374"/>
      <c r="F662" s="407">
        <v>0</v>
      </c>
      <c r="G662" s="408"/>
      <c r="H662" s="376"/>
      <c r="I662" s="376"/>
      <c r="J662" s="409"/>
      <c r="K662" s="374"/>
      <c r="L662" s="374" t="s">
        <v>239</v>
      </c>
      <c r="M662" s="374"/>
      <c r="N662" s="376" t="s">
        <v>673</v>
      </c>
      <c r="O662" s="376"/>
      <c r="P662" s="376"/>
      <c r="Q662" s="407">
        <v>0</v>
      </c>
      <c r="R662" s="407">
        <v>0</v>
      </c>
      <c r="S662" s="408"/>
      <c r="T662" s="374">
        <v>-30</v>
      </c>
      <c r="U662" s="374"/>
      <c r="V662" s="374"/>
      <c r="W662" s="374">
        <v>1.1000000000000001</v>
      </c>
      <c r="X662" s="374"/>
      <c r="Y662" s="374"/>
      <c r="Z662" s="374"/>
      <c r="AA662" s="374"/>
      <c r="AB662" s="374"/>
      <c r="AC662" s="374" t="s">
        <v>2972</v>
      </c>
      <c r="AD662" s="374"/>
      <c r="AE662" s="374"/>
      <c r="AF662" s="374">
        <v>100</v>
      </c>
      <c r="AG662" s="377">
        <v>27209.63</v>
      </c>
      <c r="AH662" s="374">
        <v>1522</v>
      </c>
      <c r="AI662" s="407">
        <v>-5189</v>
      </c>
      <c r="AJ662" s="374"/>
      <c r="AK662" s="374"/>
      <c r="AL662" s="374"/>
      <c r="AM662" s="374" t="s">
        <v>2021</v>
      </c>
      <c r="AN662" s="379">
        <v>5.25</v>
      </c>
      <c r="AO662" s="379"/>
      <c r="AP662" s="379"/>
      <c r="AQ662" s="379"/>
      <c r="AR662" s="379"/>
      <c r="AS662" s="379"/>
      <c r="AT662" s="379">
        <f>+ab($T$662,$T$660,$T$664,$G$661,$G$663, 1*$F$662,1200)</f>
        <v>-6.3700542061812016</v>
      </c>
      <c r="AU662" s="379"/>
      <c r="AV662" s="379"/>
      <c r="AW662" s="374" t="s">
        <v>699</v>
      </c>
      <c r="AX662" s="374" t="s">
        <v>699</v>
      </c>
      <c r="AY662" s="374" t="s">
        <v>699</v>
      </c>
      <c r="AZ662" s="374" t="s">
        <v>699</v>
      </c>
      <c r="BA662" s="374"/>
      <c r="BB662" s="306"/>
    </row>
    <row r="663" spans="1:60" ht="14.25">
      <c r="A663" s="378"/>
      <c r="B663" s="406"/>
      <c r="C663" s="377"/>
      <c r="D663" s="374"/>
      <c r="E663" s="374"/>
      <c r="F663" s="407"/>
      <c r="G663" s="408">
        <v>40</v>
      </c>
      <c r="H663" s="376"/>
      <c r="I663" s="376"/>
      <c r="J663" s="409"/>
      <c r="K663" s="374"/>
      <c r="L663" s="374"/>
      <c r="M663" s="374"/>
      <c r="N663" s="376"/>
      <c r="O663" s="376"/>
      <c r="P663" s="376"/>
      <c r="Q663" s="407"/>
      <c r="R663" s="408"/>
      <c r="S663" s="408">
        <f>AG664-AG662</f>
        <v>41.770000000000437</v>
      </c>
      <c r="T663" s="374"/>
      <c r="U663" s="374"/>
      <c r="V663" s="374"/>
      <c r="W663" s="374"/>
      <c r="X663" s="374"/>
      <c r="Y663" s="374"/>
      <c r="Z663" s="374"/>
      <c r="AA663" s="374"/>
      <c r="AB663" s="374"/>
      <c r="AC663" s="374"/>
      <c r="AD663" s="374"/>
      <c r="AE663" s="374"/>
      <c r="AF663" s="374"/>
      <c r="AG663" s="377" t="s">
        <v>695</v>
      </c>
      <c r="AH663" s="374" t="s">
        <v>695</v>
      </c>
      <c r="AI663" s="407" t="s">
        <v>695</v>
      </c>
      <c r="AJ663" s="374"/>
      <c r="AK663" s="374"/>
      <c r="AL663" s="374"/>
      <c r="AM663" s="374"/>
      <c r="AN663" s="379"/>
      <c r="AO663" s="379"/>
      <c r="AP663" s="379"/>
      <c r="AQ663" s="379">
        <f>+FL_2($T$664,$T$662,$G$663,1200,9.28, 1*$F$664)</f>
        <v>-0.30014079999999987</v>
      </c>
      <c r="AR663" s="379"/>
      <c r="AS663" s="379"/>
      <c r="AT663" s="379"/>
      <c r="AU663" s="379"/>
      <c r="AV663" s="379"/>
      <c r="AW663" s="374"/>
      <c r="AX663" s="374"/>
      <c r="AY663" s="374"/>
      <c r="AZ663" s="374"/>
      <c r="BA663" s="374"/>
      <c r="BB663" s="306"/>
    </row>
    <row r="664" spans="1:60" ht="14.25">
      <c r="A664" s="378" t="s">
        <v>1781</v>
      </c>
      <c r="B664" s="406" t="s">
        <v>1934</v>
      </c>
      <c r="C664" s="377">
        <f>+$C$662+$G$663</f>
        <v>27250</v>
      </c>
      <c r="D664" s="374"/>
      <c r="E664" s="374"/>
      <c r="F664" s="407">
        <v>0</v>
      </c>
      <c r="G664" s="408"/>
      <c r="H664" s="376"/>
      <c r="I664" s="376"/>
      <c r="J664" s="409"/>
      <c r="K664" s="374"/>
      <c r="L664" s="374" t="s">
        <v>239</v>
      </c>
      <c r="M664" s="374"/>
      <c r="N664" s="376" t="s">
        <v>674</v>
      </c>
      <c r="O664" s="376"/>
      <c r="P664" s="376"/>
      <c r="Q664" s="407">
        <v>0</v>
      </c>
      <c r="R664" s="407">
        <v>0</v>
      </c>
      <c r="S664" s="408"/>
      <c r="T664" s="374">
        <v>30</v>
      </c>
      <c r="U664" s="374"/>
      <c r="V664" s="374"/>
      <c r="W664" s="374">
        <v>1.1000000000000001</v>
      </c>
      <c r="X664" s="374"/>
      <c r="Y664" s="374"/>
      <c r="Z664" s="374"/>
      <c r="AA664" s="374"/>
      <c r="AB664" s="374"/>
      <c r="AC664" s="374" t="s">
        <v>2963</v>
      </c>
      <c r="AD664" s="374"/>
      <c r="AE664" s="374"/>
      <c r="AF664" s="374">
        <v>100</v>
      </c>
      <c r="AG664" s="377">
        <v>27251.4</v>
      </c>
      <c r="AH664" s="374">
        <v>1574</v>
      </c>
      <c r="AI664" s="407">
        <v>-5189</v>
      </c>
      <c r="AJ664" s="374"/>
      <c r="AK664" s="374"/>
      <c r="AL664" s="374"/>
      <c r="AM664" s="374" t="s">
        <v>2021</v>
      </c>
      <c r="AN664" s="379">
        <v>5.25</v>
      </c>
      <c r="AO664" s="379"/>
      <c r="AP664" s="379"/>
      <c r="AQ664" s="379"/>
      <c r="AR664" s="379"/>
      <c r="AS664" s="379"/>
      <c r="AT664" s="379">
        <f>+ab($T$664,$T$662,$T$666,$G$663,$G$665, 1*$F$664,1200)</f>
        <v>7.0710051562936558</v>
      </c>
      <c r="AU664" s="379"/>
      <c r="AV664" s="379"/>
      <c r="AW664" s="374" t="s">
        <v>699</v>
      </c>
      <c r="AX664" s="374" t="s">
        <v>699</v>
      </c>
      <c r="AY664" s="374" t="s">
        <v>699</v>
      </c>
      <c r="AZ664" s="374" t="s">
        <v>699</v>
      </c>
      <c r="BA664" s="374"/>
      <c r="BB664" s="306"/>
    </row>
    <row r="665" spans="1:60" ht="14.25">
      <c r="A665" s="378"/>
      <c r="B665" s="406"/>
      <c r="C665" s="377"/>
      <c r="D665" s="374"/>
      <c r="E665" s="374"/>
      <c r="F665" s="407"/>
      <c r="G665" s="408">
        <v>50</v>
      </c>
      <c r="H665" s="376"/>
      <c r="I665" s="376"/>
      <c r="J665" s="409"/>
      <c r="K665" s="374"/>
      <c r="L665" s="374"/>
      <c r="M665" s="374"/>
      <c r="N665" s="376"/>
      <c r="O665" s="376"/>
      <c r="P665" s="376"/>
      <c r="Q665" s="407"/>
      <c r="R665" s="408"/>
      <c r="S665" s="408">
        <f>AG666-AG664</f>
        <v>48.379999999997381</v>
      </c>
      <c r="T665" s="374"/>
      <c r="U665" s="374"/>
      <c r="V665" s="374"/>
      <c r="W665" s="374"/>
      <c r="X665" s="374"/>
      <c r="Y665" s="374"/>
      <c r="Z665" s="374"/>
      <c r="AA665" s="374"/>
      <c r="AB665" s="374"/>
      <c r="AC665" s="374"/>
      <c r="AD665" s="374"/>
      <c r="AE665" s="374"/>
      <c r="AF665" s="374"/>
      <c r="AG665" s="377" t="s">
        <v>695</v>
      </c>
      <c r="AH665" s="374" t="s">
        <v>695</v>
      </c>
      <c r="AI665" s="407" t="s">
        <v>695</v>
      </c>
      <c r="AJ665" s="374"/>
      <c r="AK665" s="374"/>
      <c r="AL665" s="374"/>
      <c r="AM665" s="374"/>
      <c r="AN665" s="379"/>
      <c r="AO665" s="379"/>
      <c r="AP665" s="379"/>
      <c r="AQ665" s="379">
        <f>+FL_2($T$666,$T$664,$G$665,1200,9.28, 1*$F$666)</f>
        <v>-0.33477011200000001</v>
      </c>
      <c r="AR665" s="379"/>
      <c r="AS665" s="379"/>
      <c r="AT665" s="379"/>
      <c r="AU665" s="379"/>
      <c r="AV665" s="379"/>
      <c r="AW665" s="374"/>
      <c r="AX665" s="374"/>
      <c r="AY665" s="374"/>
      <c r="AZ665" s="374"/>
      <c r="BA665" s="374"/>
      <c r="BB665" s="306"/>
    </row>
    <row r="666" spans="1:60" ht="14.25">
      <c r="A666" s="378" t="s">
        <v>1781</v>
      </c>
      <c r="B666" s="406" t="s">
        <v>1935</v>
      </c>
      <c r="C666" s="377">
        <f>+$C$664+$G$665</f>
        <v>27300</v>
      </c>
      <c r="D666" s="374"/>
      <c r="E666" s="374"/>
      <c r="F666" s="407">
        <v>0</v>
      </c>
      <c r="G666" s="408"/>
      <c r="H666" s="376"/>
      <c r="I666" s="376"/>
      <c r="J666" s="409"/>
      <c r="K666" s="374"/>
      <c r="L666" s="374" t="s">
        <v>239</v>
      </c>
      <c r="M666" s="374"/>
      <c r="N666" s="376" t="s">
        <v>673</v>
      </c>
      <c r="O666" s="376"/>
      <c r="P666" s="376"/>
      <c r="Q666" s="407">
        <v>0</v>
      </c>
      <c r="R666" s="407">
        <v>0</v>
      </c>
      <c r="S666" s="408"/>
      <c r="T666" s="374">
        <v>-30</v>
      </c>
      <c r="U666" s="374"/>
      <c r="V666" s="374"/>
      <c r="W666" s="374">
        <v>1.1000000000000001</v>
      </c>
      <c r="X666" s="374"/>
      <c r="Y666" s="374"/>
      <c r="Z666" s="374"/>
      <c r="AA666" s="374"/>
      <c r="AB666" s="374"/>
      <c r="AC666" s="374" t="s">
        <v>2972</v>
      </c>
      <c r="AD666" s="374"/>
      <c r="AE666" s="374"/>
      <c r="AF666" s="374">
        <v>100</v>
      </c>
      <c r="AG666" s="377">
        <v>27299.78</v>
      </c>
      <c r="AH666" s="374">
        <v>1483</v>
      </c>
      <c r="AI666" s="407">
        <v>-5223</v>
      </c>
      <c r="AJ666" s="374"/>
      <c r="AK666" s="374"/>
      <c r="AL666" s="374"/>
      <c r="AM666" s="374" t="s">
        <v>2021</v>
      </c>
      <c r="AN666" s="379">
        <v>5.25</v>
      </c>
      <c r="AO666" s="379"/>
      <c r="AP666" s="379"/>
      <c r="AQ666" s="379"/>
      <c r="AR666" s="379"/>
      <c r="AS666" s="379"/>
      <c r="AT666" s="379">
        <f>+ab($T$666,$T$664,$T$668,$G$665,$G$667, 1*$F$666,1200)</f>
        <v>-7.9442410717051439</v>
      </c>
      <c r="AU666" s="379"/>
      <c r="AV666" s="379"/>
      <c r="AW666" s="374" t="s">
        <v>699</v>
      </c>
      <c r="AX666" s="374" t="s">
        <v>699</v>
      </c>
      <c r="AY666" s="374" t="s">
        <v>699</v>
      </c>
      <c r="AZ666" s="374" t="s">
        <v>699</v>
      </c>
      <c r="BA666" s="374"/>
      <c r="BB666" s="306"/>
      <c r="BF666" s="1119"/>
      <c r="BG666" s="1119"/>
      <c r="BH666" s="1119"/>
    </row>
    <row r="667" spans="1:60" ht="14.25">
      <c r="A667" s="378"/>
      <c r="B667" s="406"/>
      <c r="C667" s="377"/>
      <c r="D667" s="374"/>
      <c r="E667" s="374"/>
      <c r="F667" s="407"/>
      <c r="G667" s="408">
        <v>50</v>
      </c>
      <c r="H667" s="376"/>
      <c r="I667" s="376"/>
      <c r="J667" s="409"/>
      <c r="K667" s="374"/>
      <c r="L667" s="374"/>
      <c r="M667" s="374"/>
      <c r="N667" s="376"/>
      <c r="O667" s="376"/>
      <c r="P667" s="376"/>
      <c r="Q667" s="407"/>
      <c r="R667" s="408"/>
      <c r="S667" s="408">
        <f>AG668-AG666</f>
        <v>49.760000000002037</v>
      </c>
      <c r="T667" s="374"/>
      <c r="U667" s="374"/>
      <c r="V667" s="374"/>
      <c r="W667" s="374"/>
      <c r="X667" s="374"/>
      <c r="Y667" s="374"/>
      <c r="Z667" s="374"/>
      <c r="AA667" s="374"/>
      <c r="AB667" s="374"/>
      <c r="AC667" s="374"/>
      <c r="AD667" s="374"/>
      <c r="AE667" s="374"/>
      <c r="AF667" s="374"/>
      <c r="AG667" s="377" t="s">
        <v>695</v>
      </c>
      <c r="AH667" s="374" t="s">
        <v>695</v>
      </c>
      <c r="AI667" s="407" t="s">
        <v>695</v>
      </c>
      <c r="AJ667" s="374"/>
      <c r="AK667" s="374"/>
      <c r="AL667" s="374"/>
      <c r="AM667" s="374"/>
      <c r="AN667" s="379"/>
      <c r="AO667" s="379"/>
      <c r="AP667" s="379"/>
      <c r="AQ667" s="379">
        <f>+FL_1($T$668,$T$666,$G$667,1200,9.28, 1*$F$668)</f>
        <v>0.33477011200000001</v>
      </c>
      <c r="AR667" s="379"/>
      <c r="AS667" s="379"/>
      <c r="AT667" s="379"/>
      <c r="AU667" s="379"/>
      <c r="AV667" s="379"/>
      <c r="AW667" s="374"/>
      <c r="AX667" s="374"/>
      <c r="AY667" s="374"/>
      <c r="AZ667" s="374"/>
      <c r="BA667" s="374"/>
      <c r="BB667" s="306"/>
      <c r="BF667" s="1119"/>
      <c r="BG667" s="1119"/>
      <c r="BH667" s="1119"/>
    </row>
    <row r="668" spans="1:60" ht="14.25">
      <c r="A668" s="378" t="s">
        <v>1781</v>
      </c>
      <c r="B668" s="406" t="s">
        <v>1936</v>
      </c>
      <c r="C668" s="377">
        <f>+$C$666+$G$667</f>
        <v>27350</v>
      </c>
      <c r="D668" s="374"/>
      <c r="E668" s="374"/>
      <c r="F668" s="407">
        <v>0</v>
      </c>
      <c r="G668" s="408"/>
      <c r="H668" s="376"/>
      <c r="I668" s="376"/>
      <c r="J668" s="409"/>
      <c r="K668" s="374"/>
      <c r="L668" s="374" t="s">
        <v>239</v>
      </c>
      <c r="M668" s="374"/>
      <c r="N668" s="376" t="s">
        <v>674</v>
      </c>
      <c r="O668" s="376"/>
      <c r="P668" s="376"/>
      <c r="Q668" s="407">
        <v>0</v>
      </c>
      <c r="R668" s="407">
        <v>0</v>
      </c>
      <c r="S668" s="408"/>
      <c r="T668" s="374">
        <v>30</v>
      </c>
      <c r="U668" s="374"/>
      <c r="V668" s="374"/>
      <c r="W668" s="374">
        <v>1.1000000000000001</v>
      </c>
      <c r="X668" s="374"/>
      <c r="Y668" s="374"/>
      <c r="Z668" s="374"/>
      <c r="AA668" s="374"/>
      <c r="AB668" s="374"/>
      <c r="AC668" s="374" t="s">
        <v>2963</v>
      </c>
      <c r="AD668" s="374"/>
      <c r="AE668" s="374"/>
      <c r="AF668" s="374">
        <v>100</v>
      </c>
      <c r="AG668" s="377">
        <v>27349.54</v>
      </c>
      <c r="AH668" s="374">
        <v>1485</v>
      </c>
      <c r="AI668" s="407">
        <v>-5234</v>
      </c>
      <c r="AJ668" s="374"/>
      <c r="AK668" s="374"/>
      <c r="AL668" s="374"/>
      <c r="AM668" s="374" t="s">
        <v>2021</v>
      </c>
      <c r="AN668" s="379">
        <v>5.25</v>
      </c>
      <c r="AO668" s="379"/>
      <c r="AP668" s="379"/>
      <c r="AQ668" s="379"/>
      <c r="AR668" s="379"/>
      <c r="AS668" s="379"/>
      <c r="AT668" s="379">
        <f>+ab($T$668,$T$666,$T$670,$G$667,$G$669, 1*$F$668,1200)</f>
        <v>7.9442083933778509</v>
      </c>
      <c r="AU668" s="379"/>
      <c r="AV668" s="379"/>
      <c r="AW668" s="374" t="s">
        <v>699</v>
      </c>
      <c r="AX668" s="374" t="s">
        <v>699</v>
      </c>
      <c r="AY668" s="374" t="s">
        <v>699</v>
      </c>
      <c r="AZ668" s="374" t="s">
        <v>699</v>
      </c>
      <c r="BA668" s="374"/>
      <c r="BB668" s="306"/>
      <c r="BF668" s="1119"/>
      <c r="BG668" s="1119"/>
      <c r="BH668" s="1119"/>
    </row>
    <row r="669" spans="1:60" ht="14.25">
      <c r="A669" s="378"/>
      <c r="B669" s="406"/>
      <c r="C669" s="377"/>
      <c r="D669" s="374"/>
      <c r="E669" s="374"/>
      <c r="F669" s="407"/>
      <c r="G669" s="408">
        <v>50</v>
      </c>
      <c r="H669" s="376"/>
      <c r="I669" s="376"/>
      <c r="J669" s="409"/>
      <c r="K669" s="374"/>
      <c r="L669" s="374"/>
      <c r="M669" s="374"/>
      <c r="N669" s="376"/>
      <c r="O669" s="376"/>
      <c r="P669" s="376"/>
      <c r="Q669" s="407"/>
      <c r="R669" s="408"/>
      <c r="S669" s="408">
        <f>AG670-AG668</f>
        <v>50.5</v>
      </c>
      <c r="T669" s="374"/>
      <c r="U669" s="374"/>
      <c r="V669" s="374"/>
      <c r="W669" s="374"/>
      <c r="X669" s="374"/>
      <c r="Y669" s="374"/>
      <c r="Z669" s="374"/>
      <c r="AA669" s="374"/>
      <c r="AB669" s="374"/>
      <c r="AC669" s="374"/>
      <c r="AD669" s="374"/>
      <c r="AE669" s="374"/>
      <c r="AF669" s="374"/>
      <c r="AG669" s="377" t="s">
        <v>695</v>
      </c>
      <c r="AH669" s="374" t="s">
        <v>695</v>
      </c>
      <c r="AI669" s="407" t="s">
        <v>695</v>
      </c>
      <c r="AJ669" s="374"/>
      <c r="AK669" s="374"/>
      <c r="AL669" s="374"/>
      <c r="AM669" s="374"/>
      <c r="AN669" s="379"/>
      <c r="AO669" s="379"/>
      <c r="AP669" s="379"/>
      <c r="AQ669" s="379">
        <f>+FL_2($T$670,$T$668,$G$669,1200,9.28, 1*$F$670)</f>
        <v>-0.33477011200000001</v>
      </c>
      <c r="AR669" s="379"/>
      <c r="AS669" s="379"/>
      <c r="AT669" s="379"/>
      <c r="AU669" s="379"/>
      <c r="AV669" s="379"/>
      <c r="AW669" s="374"/>
      <c r="AX669" s="374"/>
      <c r="AY669" s="374"/>
      <c r="AZ669" s="374"/>
      <c r="BA669" s="374"/>
      <c r="BB669" s="306"/>
      <c r="BF669" s="1119"/>
      <c r="BG669" s="1119"/>
      <c r="BH669" s="1119"/>
    </row>
    <row r="670" spans="1:60" ht="14.25">
      <c r="A670" s="378" t="s">
        <v>1781</v>
      </c>
      <c r="B670" s="406" t="s">
        <v>1937</v>
      </c>
      <c r="C670" s="377">
        <f>+$C$668+$G$669</f>
        <v>27400</v>
      </c>
      <c r="D670" s="374"/>
      <c r="E670" s="374"/>
      <c r="F670" s="407">
        <v>0</v>
      </c>
      <c r="G670" s="408"/>
      <c r="H670" s="376" t="s">
        <v>1059</v>
      </c>
      <c r="I670" s="376"/>
      <c r="J670" s="409"/>
      <c r="K670" s="374"/>
      <c r="L670" s="374" t="s">
        <v>239</v>
      </c>
      <c r="M670" s="374"/>
      <c r="N670" s="376" t="s">
        <v>673</v>
      </c>
      <c r="O670" s="376"/>
      <c r="P670" s="376"/>
      <c r="Q670" s="407">
        <v>0</v>
      </c>
      <c r="R670" s="407">
        <v>0</v>
      </c>
      <c r="S670" s="408"/>
      <c r="T670" s="374">
        <v>-30</v>
      </c>
      <c r="U670" s="374"/>
      <c r="V670" s="374"/>
      <c r="W670" s="374">
        <v>1.1000000000000001</v>
      </c>
      <c r="X670" s="374"/>
      <c r="Y670" s="374"/>
      <c r="Z670" s="374"/>
      <c r="AA670" s="374"/>
      <c r="AB670" s="374"/>
      <c r="AC670" s="374" t="s">
        <v>2972</v>
      </c>
      <c r="AD670" s="374"/>
      <c r="AE670" s="374"/>
      <c r="AF670" s="374">
        <v>100</v>
      </c>
      <c r="AG670" s="377">
        <v>27400.04</v>
      </c>
      <c r="AH670" s="374">
        <v>1496</v>
      </c>
      <c r="AI670" s="407">
        <v>-5243</v>
      </c>
      <c r="AJ670" s="374"/>
      <c r="AK670" s="374"/>
      <c r="AL670" s="374"/>
      <c r="AM670" s="374" t="s">
        <v>2021</v>
      </c>
      <c r="AN670" s="379">
        <v>5.25</v>
      </c>
      <c r="AO670" s="379"/>
      <c r="AP670" s="379"/>
      <c r="AQ670" s="379"/>
      <c r="AR670" s="379"/>
      <c r="AS670" s="379"/>
      <c r="AT670" s="379">
        <f>+ab($T$670,$T$668,$T$672,$G$669,$G$671, 1*$F$670,1200)</f>
        <v>-7.9442410717051439</v>
      </c>
      <c r="AU670" s="379"/>
      <c r="AV670" s="379"/>
      <c r="AW670" s="374" t="s">
        <v>699</v>
      </c>
      <c r="AX670" s="374" t="s">
        <v>699</v>
      </c>
      <c r="AY670" s="374" t="s">
        <v>699</v>
      </c>
      <c r="AZ670" s="374" t="s">
        <v>699</v>
      </c>
      <c r="BA670" s="374"/>
      <c r="BB670" s="306"/>
      <c r="BF670" s="1119"/>
      <c r="BG670" s="1119"/>
      <c r="BH670" s="1119"/>
    </row>
    <row r="671" spans="1:60" ht="14.25">
      <c r="A671" s="378"/>
      <c r="B671" s="406"/>
      <c r="C671" s="377"/>
      <c r="D671" s="374"/>
      <c r="E671" s="374"/>
      <c r="F671" s="407"/>
      <c r="G671" s="408">
        <v>50</v>
      </c>
      <c r="H671" s="376"/>
      <c r="I671" s="376">
        <f>SUM(G652:G671)</f>
        <v>495</v>
      </c>
      <c r="J671" s="409">
        <f>C670+10</f>
        <v>27410</v>
      </c>
      <c r="K671" s="374" t="s">
        <v>1060</v>
      </c>
      <c r="L671" s="374"/>
      <c r="M671" s="374"/>
      <c r="N671" s="376"/>
      <c r="O671" s="376"/>
      <c r="P671" s="376"/>
      <c r="Q671" s="407"/>
      <c r="R671" s="408"/>
      <c r="S671" s="408">
        <f>AG672-AG670</f>
        <v>49.989999999997963</v>
      </c>
      <c r="T671" s="374"/>
      <c r="U671" s="374"/>
      <c r="V671" s="374"/>
      <c r="W671" s="374"/>
      <c r="X671" s="374"/>
      <c r="Y671" s="374"/>
      <c r="Z671" s="374"/>
      <c r="AA671" s="374"/>
      <c r="AB671" s="374"/>
      <c r="AC671" s="374"/>
      <c r="AD671" s="374"/>
      <c r="AE671" s="374"/>
      <c r="AF671" s="374"/>
      <c r="AG671" s="377" t="s">
        <v>695</v>
      </c>
      <c r="AH671" s="374" t="s">
        <v>695</v>
      </c>
      <c r="AI671" s="407" t="s">
        <v>695</v>
      </c>
      <c r="AJ671" s="374"/>
      <c r="AK671" s="374"/>
      <c r="AL671" s="374"/>
      <c r="AM671" s="374"/>
      <c r="AN671" s="379"/>
      <c r="AO671" s="379"/>
      <c r="AP671" s="379"/>
      <c r="AQ671" s="379">
        <f>+FL_1($T$672,$T$670,$G$671,1200,9.28, 1*$F$672)</f>
        <v>0.33477011200000001</v>
      </c>
      <c r="AR671" s="379"/>
      <c r="AS671" s="379"/>
      <c r="AT671" s="379"/>
      <c r="AU671" s="379"/>
      <c r="AV671" s="379"/>
      <c r="AW671" s="374"/>
      <c r="AX671" s="374"/>
      <c r="AY671" s="374"/>
      <c r="AZ671" s="374"/>
      <c r="BA671" s="374"/>
      <c r="BB671" s="306"/>
      <c r="BF671" s="1119"/>
      <c r="BG671" s="1119"/>
      <c r="BH671" s="1119"/>
    </row>
    <row r="672" spans="1:60" ht="14.25">
      <c r="A672" s="378" t="s">
        <v>1781</v>
      </c>
      <c r="B672" s="406" t="s">
        <v>1938</v>
      </c>
      <c r="C672" s="377">
        <f>+$C$670+$G$671</f>
        <v>27450</v>
      </c>
      <c r="D672" s="374"/>
      <c r="E672" s="374"/>
      <c r="F672" s="407">
        <v>0</v>
      </c>
      <c r="G672" s="408"/>
      <c r="H672" s="376" t="s">
        <v>956</v>
      </c>
      <c r="I672" s="376"/>
      <c r="J672" s="409"/>
      <c r="K672" s="374"/>
      <c r="L672" s="374" t="s">
        <v>239</v>
      </c>
      <c r="M672" s="374"/>
      <c r="N672" s="376" t="s">
        <v>674</v>
      </c>
      <c r="O672" s="376"/>
      <c r="P672" s="376"/>
      <c r="Q672" s="407">
        <v>0</v>
      </c>
      <c r="R672" s="407">
        <v>0</v>
      </c>
      <c r="S672" s="408"/>
      <c r="T672" s="374">
        <v>30</v>
      </c>
      <c r="U672" s="374"/>
      <c r="V672" s="374"/>
      <c r="W672" s="374">
        <v>1.1000000000000001</v>
      </c>
      <c r="X672" s="374"/>
      <c r="Y672" s="374"/>
      <c r="Z672" s="374"/>
      <c r="AA672" s="374"/>
      <c r="AB672" s="374"/>
      <c r="AC672" s="374" t="s">
        <v>2963</v>
      </c>
      <c r="AD672" s="374"/>
      <c r="AE672" s="374"/>
      <c r="AF672" s="374">
        <v>100</v>
      </c>
      <c r="AG672" s="377">
        <v>27450.03</v>
      </c>
      <c r="AH672" s="374">
        <v>1495</v>
      </c>
      <c r="AI672" s="407">
        <v>-5234</v>
      </c>
      <c r="AJ672" s="374"/>
      <c r="AK672" s="374"/>
      <c r="AL672" s="374"/>
      <c r="AM672" s="374" t="s">
        <v>2021</v>
      </c>
      <c r="AN672" s="379">
        <v>5.25</v>
      </c>
      <c r="AO672" s="379"/>
      <c r="AP672" s="379"/>
      <c r="AQ672" s="379"/>
      <c r="AR672" s="379"/>
      <c r="AS672" s="379"/>
      <c r="AT672" s="379">
        <f>+ab($T$672,$T$670,$T$674,$G$671,$G$673, 1*$F$672,1200)</f>
        <v>7.9442083933778509</v>
      </c>
      <c r="AU672" s="379"/>
      <c r="AV672" s="379"/>
      <c r="AW672" s="374" t="s">
        <v>699</v>
      </c>
      <c r="AX672" s="374" t="s">
        <v>699</v>
      </c>
      <c r="AY672" s="374" t="s">
        <v>699</v>
      </c>
      <c r="AZ672" s="374" t="s">
        <v>699</v>
      </c>
      <c r="BA672" s="374"/>
      <c r="BB672" s="306"/>
      <c r="BF672" s="1119"/>
      <c r="BG672" s="1119"/>
      <c r="BH672" s="1119"/>
    </row>
    <row r="673" spans="1:60" ht="14.25">
      <c r="A673" s="378"/>
      <c r="B673" s="406"/>
      <c r="C673" s="377"/>
      <c r="D673" s="374"/>
      <c r="E673" s="374"/>
      <c r="F673" s="407"/>
      <c r="G673" s="408">
        <v>50</v>
      </c>
      <c r="H673" s="376"/>
      <c r="I673" s="376">
        <f>SUM(G673:G689)</f>
        <v>450</v>
      </c>
      <c r="J673" s="409">
        <f>C674-10</f>
        <v>27490</v>
      </c>
      <c r="K673" s="374" t="s">
        <v>1060</v>
      </c>
      <c r="L673" s="374"/>
      <c r="M673" s="374"/>
      <c r="N673" s="376"/>
      <c r="O673" s="376"/>
      <c r="P673" s="376"/>
      <c r="Q673" s="407"/>
      <c r="R673" s="408"/>
      <c r="S673" s="408">
        <f>AG674-AG672</f>
        <v>49.960000000002765</v>
      </c>
      <c r="T673" s="374"/>
      <c r="U673" s="374"/>
      <c r="V673" s="374"/>
      <c r="W673" s="374"/>
      <c r="X673" s="374"/>
      <c r="Y673" s="374"/>
      <c r="Z673" s="374"/>
      <c r="AA673" s="374"/>
      <c r="AB673" s="374"/>
      <c r="AC673" s="374"/>
      <c r="AD673" s="374"/>
      <c r="AE673" s="374"/>
      <c r="AF673" s="374"/>
      <c r="AG673" s="377" t="s">
        <v>695</v>
      </c>
      <c r="AH673" s="374" t="s">
        <v>695</v>
      </c>
      <c r="AI673" s="407" t="s">
        <v>695</v>
      </c>
      <c r="AJ673" s="374"/>
      <c r="AK673" s="374"/>
      <c r="AL673" s="374"/>
      <c r="AM673" s="374"/>
      <c r="AN673" s="379"/>
      <c r="AO673" s="379"/>
      <c r="AP673" s="379"/>
      <c r="AQ673" s="379">
        <f>+FL_2($T$674,$T$672,$G$673,1200,9.28, 1*$F$674)</f>
        <v>-0.33477011200000001</v>
      </c>
      <c r="AR673" s="379"/>
      <c r="AS673" s="379"/>
      <c r="AT673" s="379"/>
      <c r="AU673" s="379"/>
      <c r="AV673" s="379"/>
      <c r="AW673" s="374"/>
      <c r="AX673" s="374"/>
      <c r="AY673" s="374"/>
      <c r="AZ673" s="374"/>
      <c r="BA673" s="374"/>
      <c r="BB673" s="306"/>
      <c r="BF673" s="1119"/>
      <c r="BG673" s="1119"/>
      <c r="BH673" s="1119"/>
    </row>
    <row r="674" spans="1:60" ht="14.25">
      <c r="A674" s="378" t="s">
        <v>1781</v>
      </c>
      <c r="B674" s="406" t="s">
        <v>1939</v>
      </c>
      <c r="C674" s="377">
        <f>+$C$672+$G$673</f>
        <v>27500</v>
      </c>
      <c r="D674" s="374"/>
      <c r="E674" s="374"/>
      <c r="F674" s="407">
        <v>0</v>
      </c>
      <c r="G674" s="408"/>
      <c r="H674" s="376" t="s">
        <v>1059</v>
      </c>
      <c r="I674" s="376"/>
      <c r="J674" s="409"/>
      <c r="K674" s="374"/>
      <c r="L674" s="374" t="s">
        <v>239</v>
      </c>
      <c r="M674" s="374"/>
      <c r="N674" s="376" t="s">
        <v>673</v>
      </c>
      <c r="O674" s="376"/>
      <c r="P674" s="376"/>
      <c r="Q674" s="407">
        <v>0</v>
      </c>
      <c r="R674" s="407">
        <v>0</v>
      </c>
      <c r="S674" s="408"/>
      <c r="T674" s="374">
        <v>-30</v>
      </c>
      <c r="U674" s="374"/>
      <c r="V674" s="374"/>
      <c r="W674" s="374">
        <v>1.1000000000000001</v>
      </c>
      <c r="X674" s="374"/>
      <c r="Y674" s="374"/>
      <c r="Z674" s="374"/>
      <c r="AA674" s="374"/>
      <c r="AB674" s="374"/>
      <c r="AC674" s="374" t="s">
        <v>2972</v>
      </c>
      <c r="AD674" s="374"/>
      <c r="AE674" s="374"/>
      <c r="AF674" s="374">
        <v>100</v>
      </c>
      <c r="AG674" s="377">
        <v>27499.99</v>
      </c>
      <c r="AH674" s="374">
        <v>1493</v>
      </c>
      <c r="AI674" s="407">
        <v>-5245</v>
      </c>
      <c r="AJ674" s="374"/>
      <c r="AK674" s="374"/>
      <c r="AL674" s="374"/>
      <c r="AM674" s="374" t="s">
        <v>2021</v>
      </c>
      <c r="AN674" s="379">
        <v>5.25</v>
      </c>
      <c r="AO674" s="379"/>
      <c r="AP674" s="379"/>
      <c r="AQ674" s="379"/>
      <c r="AR674" s="379"/>
      <c r="AS674" s="379"/>
      <c r="AT674" s="379">
        <f>+ab($T$674,$T$672,$T$676,$G$673,$G$675, 1*$F$674,1200)</f>
        <v>-7.9442410717051439</v>
      </c>
      <c r="AU674" s="379"/>
      <c r="AV674" s="379"/>
      <c r="AW674" s="374" t="s">
        <v>699</v>
      </c>
      <c r="AX674" s="374" t="s">
        <v>699</v>
      </c>
      <c r="AY674" s="374" t="s">
        <v>699</v>
      </c>
      <c r="AZ674" s="374" t="s">
        <v>699</v>
      </c>
      <c r="BA674" s="374"/>
      <c r="BB674" s="306"/>
      <c r="BF674" s="1119"/>
      <c r="BG674" s="1119"/>
      <c r="BH674" s="1119"/>
    </row>
    <row r="675" spans="1:60" ht="14.25">
      <c r="A675" s="378"/>
      <c r="B675" s="406"/>
      <c r="C675" s="377"/>
      <c r="D675" s="374"/>
      <c r="E675" s="374"/>
      <c r="F675" s="407"/>
      <c r="G675" s="408">
        <v>50</v>
      </c>
      <c r="H675" s="376"/>
      <c r="I675" s="376"/>
      <c r="J675" s="409"/>
      <c r="K675" s="374"/>
      <c r="L675" s="374"/>
      <c r="M675" s="374"/>
      <c r="N675" s="376"/>
      <c r="O675" s="376"/>
      <c r="P675" s="376"/>
      <c r="Q675" s="407"/>
      <c r="R675" s="408"/>
      <c r="S675" s="408">
        <f>AG676-AG674</f>
        <v>50</v>
      </c>
      <c r="T675" s="374"/>
      <c r="U675" s="374"/>
      <c r="V675" s="374"/>
      <c r="W675" s="374"/>
      <c r="X675" s="374"/>
      <c r="Y675" s="374"/>
      <c r="Z675" s="374"/>
      <c r="AA675" s="374"/>
      <c r="AB675" s="374"/>
      <c r="AC675" s="374"/>
      <c r="AD675" s="374"/>
      <c r="AE675" s="374"/>
      <c r="AF675" s="374"/>
      <c r="AG675" s="377" t="s">
        <v>695</v>
      </c>
      <c r="AH675" s="374" t="s">
        <v>695</v>
      </c>
      <c r="AI675" s="407" t="s">
        <v>695</v>
      </c>
      <c r="AJ675" s="374"/>
      <c r="AK675" s="374"/>
      <c r="AL675" s="374"/>
      <c r="AM675" s="374"/>
      <c r="AN675" s="379"/>
      <c r="AO675" s="379"/>
      <c r="AP675" s="379"/>
      <c r="AQ675" s="379">
        <f>+FL_1($T$676,$T$674,$G$675,1200,9.28, 1*$F$676)</f>
        <v>0.33477011200000001</v>
      </c>
      <c r="AR675" s="379"/>
      <c r="AS675" s="379"/>
      <c r="AT675" s="379"/>
      <c r="AU675" s="379"/>
      <c r="AV675" s="379"/>
      <c r="AW675" s="374"/>
      <c r="AX675" s="374"/>
      <c r="AY675" s="374"/>
      <c r="AZ675" s="374"/>
      <c r="BA675" s="374"/>
      <c r="BB675" s="306"/>
      <c r="BF675" s="1119"/>
      <c r="BG675" s="1119"/>
      <c r="BH675" s="1119"/>
    </row>
    <row r="676" spans="1:60" ht="14.25">
      <c r="A676" s="378" t="s">
        <v>1781</v>
      </c>
      <c r="B676" s="406" t="s">
        <v>1940</v>
      </c>
      <c r="C676" s="377">
        <f>+$C$674+$G$675</f>
        <v>27550</v>
      </c>
      <c r="D676" s="374"/>
      <c r="E676" s="374"/>
      <c r="F676" s="407">
        <v>0</v>
      </c>
      <c r="G676" s="408"/>
      <c r="H676" s="376"/>
      <c r="I676" s="376"/>
      <c r="J676" s="409"/>
      <c r="K676" s="374"/>
      <c r="L676" s="374" t="s">
        <v>239</v>
      </c>
      <c r="M676" s="374"/>
      <c r="N676" s="376" t="s">
        <v>674</v>
      </c>
      <c r="O676" s="376"/>
      <c r="P676" s="376"/>
      <c r="Q676" s="407">
        <v>0</v>
      </c>
      <c r="R676" s="407">
        <v>0</v>
      </c>
      <c r="S676" s="408"/>
      <c r="T676" s="374">
        <v>30</v>
      </c>
      <c r="U676" s="374"/>
      <c r="V676" s="374"/>
      <c r="W676" s="374">
        <v>1.1000000000000001</v>
      </c>
      <c r="X676" s="374"/>
      <c r="Y676" s="374"/>
      <c r="Z676" s="374"/>
      <c r="AA676" s="374"/>
      <c r="AB676" s="374"/>
      <c r="AC676" s="374" t="s">
        <v>2963</v>
      </c>
      <c r="AD676" s="374"/>
      <c r="AE676" s="374"/>
      <c r="AF676" s="374">
        <v>100</v>
      </c>
      <c r="AG676" s="377">
        <v>27549.99</v>
      </c>
      <c r="AH676" s="374">
        <v>1481</v>
      </c>
      <c r="AI676" s="407">
        <v>-5169</v>
      </c>
      <c r="AJ676" s="374"/>
      <c r="AK676" s="374"/>
      <c r="AL676" s="374"/>
      <c r="AM676" s="374" t="s">
        <v>2021</v>
      </c>
      <c r="AN676" s="379">
        <v>5.25</v>
      </c>
      <c r="AO676" s="379"/>
      <c r="AP676" s="379"/>
      <c r="AQ676" s="379"/>
      <c r="AR676" s="379"/>
      <c r="AS676" s="379"/>
      <c r="AT676" s="379">
        <f>+ab($T$676,$T$674,$T$678,$G$675,$G$677, 1*$F$676,1200)</f>
        <v>7.9442083933778509</v>
      </c>
      <c r="AU676" s="379"/>
      <c r="AV676" s="379"/>
      <c r="AW676" s="374" t="s">
        <v>699</v>
      </c>
      <c r="AX676" s="374" t="s">
        <v>699</v>
      </c>
      <c r="AY676" s="374" t="s">
        <v>699</v>
      </c>
      <c r="AZ676" s="374" t="s">
        <v>699</v>
      </c>
      <c r="BA676" s="374"/>
      <c r="BB676" s="306"/>
      <c r="BF676" s="1119"/>
      <c r="BG676" s="1119"/>
      <c r="BH676" s="1119"/>
    </row>
    <row r="677" spans="1:60" ht="14.25">
      <c r="A677" s="378"/>
      <c r="B677" s="406"/>
      <c r="C677" s="377"/>
      <c r="D677" s="374"/>
      <c r="E677" s="374"/>
      <c r="F677" s="407"/>
      <c r="G677" s="408">
        <v>50</v>
      </c>
      <c r="H677" s="376"/>
      <c r="I677" s="376"/>
      <c r="J677" s="409"/>
      <c r="K677" s="374"/>
      <c r="L677" s="374"/>
      <c r="M677" s="374"/>
      <c r="N677" s="376"/>
      <c r="O677" s="376"/>
      <c r="P677" s="376"/>
      <c r="Q677" s="407"/>
      <c r="R677" s="408"/>
      <c r="S677" s="408">
        <f>AG678-AG676</f>
        <v>49.979999999999563</v>
      </c>
      <c r="T677" s="374"/>
      <c r="U677" s="374"/>
      <c r="V677" s="374"/>
      <c r="W677" s="374"/>
      <c r="X677" s="374"/>
      <c r="Y677" s="374"/>
      <c r="Z677" s="374"/>
      <c r="AA677" s="374"/>
      <c r="AB677" s="374"/>
      <c r="AC677" s="374"/>
      <c r="AD677" s="374"/>
      <c r="AE677" s="374"/>
      <c r="AF677" s="374"/>
      <c r="AG677" s="377" t="s">
        <v>695</v>
      </c>
      <c r="AH677" s="374" t="s">
        <v>695</v>
      </c>
      <c r="AI677" s="407" t="s">
        <v>695</v>
      </c>
      <c r="AJ677" s="374"/>
      <c r="AK677" s="374"/>
      <c r="AL677" s="374"/>
      <c r="AM677" s="374"/>
      <c r="AN677" s="379"/>
      <c r="AO677" s="379"/>
      <c r="AP677" s="379"/>
      <c r="AQ677" s="379">
        <f>+FL_2($T$678,$T$676,$G$677,1200,9.28, 1*$F$678)</f>
        <v>-0.33477011200000001</v>
      </c>
      <c r="AR677" s="379"/>
      <c r="AS677" s="379"/>
      <c r="AT677" s="379"/>
      <c r="AU677" s="379"/>
      <c r="AV677" s="379"/>
      <c r="AW677" s="374"/>
      <c r="AX677" s="374"/>
      <c r="AY677" s="374"/>
      <c r="AZ677" s="374"/>
      <c r="BA677" s="374"/>
      <c r="BB677" s="306"/>
      <c r="BF677" s="1119"/>
      <c r="BG677" s="1119"/>
      <c r="BH677" s="1119"/>
    </row>
    <row r="678" spans="1:60" ht="14.25">
      <c r="A678" s="378" t="s">
        <v>1781</v>
      </c>
      <c r="B678" s="406" t="s">
        <v>1941</v>
      </c>
      <c r="C678" s="377">
        <f>+$C$676+$G$677</f>
        <v>27600</v>
      </c>
      <c r="D678" s="374"/>
      <c r="E678" s="374"/>
      <c r="F678" s="407">
        <v>0</v>
      </c>
      <c r="G678" s="408"/>
      <c r="H678" s="376"/>
      <c r="I678" s="376"/>
      <c r="J678" s="409"/>
      <c r="K678" s="374"/>
      <c r="L678" s="374" t="s">
        <v>239</v>
      </c>
      <c r="M678" s="374"/>
      <c r="N678" s="376" t="s">
        <v>673</v>
      </c>
      <c r="O678" s="376"/>
      <c r="P678" s="376"/>
      <c r="Q678" s="407">
        <v>0</v>
      </c>
      <c r="R678" s="407">
        <v>0</v>
      </c>
      <c r="S678" s="408"/>
      <c r="T678" s="374">
        <v>-30</v>
      </c>
      <c r="U678" s="374"/>
      <c r="V678" s="374"/>
      <c r="W678" s="374">
        <v>1.1000000000000001</v>
      </c>
      <c r="X678" s="374"/>
      <c r="Y678" s="374"/>
      <c r="Z678" s="374"/>
      <c r="AA678" s="374"/>
      <c r="AB678" s="374"/>
      <c r="AC678" s="374" t="s">
        <v>2972</v>
      </c>
      <c r="AD678" s="374"/>
      <c r="AE678" s="374"/>
      <c r="AF678" s="374">
        <v>100</v>
      </c>
      <c r="AG678" s="377">
        <v>27599.97</v>
      </c>
      <c r="AH678" s="374">
        <v>1461</v>
      </c>
      <c r="AI678" s="407">
        <v>-5222</v>
      </c>
      <c r="AJ678" s="374"/>
      <c r="AK678" s="374"/>
      <c r="AL678" s="374"/>
      <c r="AM678" s="374" t="s">
        <v>2021</v>
      </c>
      <c r="AN678" s="379">
        <v>5.25</v>
      </c>
      <c r="AO678" s="379"/>
      <c r="AP678" s="379"/>
      <c r="AQ678" s="379"/>
      <c r="AR678" s="379"/>
      <c r="AS678" s="379"/>
      <c r="AT678" s="379">
        <f>+ab($T$678,$T$676,$T$680,$G$677,$G$679, 1*$F$678,1200)</f>
        <v>-7.9442410717051439</v>
      </c>
      <c r="AU678" s="379"/>
      <c r="AV678" s="379"/>
      <c r="AW678" s="374" t="s">
        <v>699</v>
      </c>
      <c r="AX678" s="374" t="s">
        <v>699</v>
      </c>
      <c r="AY678" s="374" t="s">
        <v>699</v>
      </c>
      <c r="AZ678" s="374" t="s">
        <v>699</v>
      </c>
      <c r="BA678" s="374"/>
      <c r="BB678" s="306"/>
      <c r="BF678" s="1119"/>
      <c r="BG678" s="1119"/>
      <c r="BH678" s="1119"/>
    </row>
    <row r="679" spans="1:60" ht="14.25">
      <c r="A679" s="378"/>
      <c r="B679" s="406"/>
      <c r="C679" s="377"/>
      <c r="D679" s="374"/>
      <c r="E679" s="374"/>
      <c r="F679" s="407"/>
      <c r="G679" s="408">
        <v>50</v>
      </c>
      <c r="H679" s="376"/>
      <c r="I679" s="376"/>
      <c r="J679" s="409"/>
      <c r="K679" s="374"/>
      <c r="L679" s="374"/>
      <c r="M679" s="374"/>
      <c r="N679" s="376"/>
      <c r="O679" s="376"/>
      <c r="P679" s="376"/>
      <c r="Q679" s="407"/>
      <c r="R679" s="408"/>
      <c r="S679" s="408">
        <f>AG680-AG678</f>
        <v>50.029999999998836</v>
      </c>
      <c r="T679" s="374"/>
      <c r="U679" s="374"/>
      <c r="V679" s="374"/>
      <c r="W679" s="374"/>
      <c r="X679" s="374"/>
      <c r="Y679" s="374"/>
      <c r="Z679" s="374"/>
      <c r="AA679" s="374"/>
      <c r="AB679" s="374"/>
      <c r="AC679" s="374"/>
      <c r="AD679" s="374"/>
      <c r="AE679" s="374"/>
      <c r="AF679" s="374"/>
      <c r="AG679" s="377" t="s">
        <v>695</v>
      </c>
      <c r="AH679" s="374" t="s">
        <v>695</v>
      </c>
      <c r="AI679" s="407" t="s">
        <v>695</v>
      </c>
      <c r="AJ679" s="374"/>
      <c r="AK679" s="374"/>
      <c r="AL679" s="374"/>
      <c r="AM679" s="374"/>
      <c r="AN679" s="379"/>
      <c r="AO679" s="379"/>
      <c r="AP679" s="379"/>
      <c r="AQ679" s="379">
        <f>+FL_1($T$680,$T$678,$G$679,1200,9.28, 1*$F$680)</f>
        <v>0.33477011200000001</v>
      </c>
      <c r="AR679" s="379"/>
      <c r="AS679" s="379"/>
      <c r="AT679" s="379"/>
      <c r="AU679" s="379"/>
      <c r="AV679" s="379"/>
      <c r="AW679" s="374"/>
      <c r="AX679" s="374"/>
      <c r="AY679" s="374"/>
      <c r="AZ679" s="374"/>
      <c r="BA679" s="374"/>
      <c r="BB679" s="306"/>
      <c r="BF679" s="1119"/>
      <c r="BG679" s="1119"/>
      <c r="BH679" s="1119"/>
    </row>
    <row r="680" spans="1:60" ht="14.25">
      <c r="A680" s="378" t="s">
        <v>1781</v>
      </c>
      <c r="B680" s="406" t="s">
        <v>1942</v>
      </c>
      <c r="C680" s="377">
        <f>+$C$678+$G$679</f>
        <v>27650</v>
      </c>
      <c r="D680" s="374"/>
      <c r="E680" s="374"/>
      <c r="F680" s="407">
        <v>0</v>
      </c>
      <c r="G680" s="408"/>
      <c r="H680" s="376"/>
      <c r="I680" s="376"/>
      <c r="J680" s="409"/>
      <c r="K680" s="374"/>
      <c r="L680" s="374" t="s">
        <v>239</v>
      </c>
      <c r="M680" s="374"/>
      <c r="N680" s="376" t="s">
        <v>674</v>
      </c>
      <c r="O680" s="376"/>
      <c r="P680" s="376"/>
      <c r="Q680" s="407">
        <v>0</v>
      </c>
      <c r="R680" s="407">
        <v>0</v>
      </c>
      <c r="S680" s="408"/>
      <c r="T680" s="374">
        <v>30</v>
      </c>
      <c r="U680" s="374"/>
      <c r="V680" s="374"/>
      <c r="W680" s="374">
        <v>1.1000000000000001</v>
      </c>
      <c r="X680" s="374"/>
      <c r="Y680" s="374"/>
      <c r="Z680" s="374"/>
      <c r="AA680" s="374"/>
      <c r="AB680" s="374"/>
      <c r="AC680" s="374" t="s">
        <v>2963</v>
      </c>
      <c r="AD680" s="374"/>
      <c r="AE680" s="374"/>
      <c r="AF680" s="374">
        <v>100</v>
      </c>
      <c r="AG680" s="377">
        <v>27650</v>
      </c>
      <c r="AH680" s="374">
        <v>1458</v>
      </c>
      <c r="AI680" s="407">
        <v>-5278</v>
      </c>
      <c r="AJ680" s="374"/>
      <c r="AK680" s="374"/>
      <c r="AL680" s="374"/>
      <c r="AM680" s="374" t="s">
        <v>2021</v>
      </c>
      <c r="AN680" s="379">
        <v>5.25</v>
      </c>
      <c r="AO680" s="379"/>
      <c r="AP680" s="379"/>
      <c r="AQ680" s="379"/>
      <c r="AR680" s="379"/>
      <c r="AS680" s="379"/>
      <c r="AT680" s="379">
        <f>+ab($T$680,$T$678,$T$682,$G$679,$G$681, 1*$F$680,1200)</f>
        <v>7.9442083933778509</v>
      </c>
      <c r="AU680" s="379"/>
      <c r="AV680" s="379"/>
      <c r="AW680" s="374" t="s">
        <v>699</v>
      </c>
      <c r="AX680" s="374" t="s">
        <v>699</v>
      </c>
      <c r="AY680" s="374" t="s">
        <v>699</v>
      </c>
      <c r="AZ680" s="374" t="s">
        <v>699</v>
      </c>
      <c r="BA680" s="374"/>
      <c r="BB680" s="306"/>
      <c r="BF680" s="1119"/>
      <c r="BG680" s="1119"/>
      <c r="BH680" s="1119"/>
    </row>
    <row r="681" spans="1:60" ht="14.25">
      <c r="A681" s="378"/>
      <c r="B681" s="406"/>
      <c r="C681" s="377"/>
      <c r="D681" s="374"/>
      <c r="E681" s="374"/>
      <c r="F681" s="407"/>
      <c r="G681" s="408">
        <v>50</v>
      </c>
      <c r="H681" s="376"/>
      <c r="I681" s="376"/>
      <c r="J681" s="409"/>
      <c r="K681" s="374"/>
      <c r="L681" s="374"/>
      <c r="M681" s="374"/>
      <c r="N681" s="376"/>
      <c r="O681" s="376"/>
      <c r="P681" s="376"/>
      <c r="Q681" s="407"/>
      <c r="R681" s="408"/>
      <c r="S681" s="408">
        <f>AG682-AG680</f>
        <v>49.990000000001601</v>
      </c>
      <c r="T681" s="374"/>
      <c r="U681" s="374"/>
      <c r="V681" s="374"/>
      <c r="W681" s="374"/>
      <c r="X681" s="374"/>
      <c r="Y681" s="374"/>
      <c r="Z681" s="374"/>
      <c r="AA681" s="374"/>
      <c r="AB681" s="374"/>
      <c r="AC681" s="374"/>
      <c r="AD681" s="374"/>
      <c r="AE681" s="374"/>
      <c r="AF681" s="374"/>
      <c r="AG681" s="377" t="s">
        <v>695</v>
      </c>
      <c r="AH681" s="374" t="s">
        <v>695</v>
      </c>
      <c r="AI681" s="407" t="s">
        <v>695</v>
      </c>
      <c r="AJ681" s="374"/>
      <c r="AK681" s="374"/>
      <c r="AL681" s="374"/>
      <c r="AM681" s="374"/>
      <c r="AN681" s="379"/>
      <c r="AO681" s="379"/>
      <c r="AP681" s="379"/>
      <c r="AQ681" s="379">
        <f>+FL_2($T$682,$T$680,$G$681,1200,9.28, 1*$F$682)</f>
        <v>-0.33477011200000001</v>
      </c>
      <c r="AR681" s="379"/>
      <c r="AS681" s="379"/>
      <c r="AT681" s="379"/>
      <c r="AU681" s="379"/>
      <c r="AV681" s="379"/>
      <c r="AW681" s="374"/>
      <c r="AX681" s="374"/>
      <c r="AY681" s="374"/>
      <c r="AZ681" s="374"/>
      <c r="BA681" s="374"/>
      <c r="BB681" s="306"/>
      <c r="BF681" s="1119"/>
      <c r="BG681" s="1119"/>
      <c r="BH681" s="1119"/>
    </row>
    <row r="682" spans="1:60" ht="14.25">
      <c r="A682" s="378" t="s">
        <v>1781</v>
      </c>
      <c r="B682" s="406" t="s">
        <v>1943</v>
      </c>
      <c r="C682" s="377">
        <f>+$C$680+$G$681</f>
        <v>27700</v>
      </c>
      <c r="D682" s="374"/>
      <c r="E682" s="374"/>
      <c r="F682" s="407">
        <v>0</v>
      </c>
      <c r="G682" s="408"/>
      <c r="H682" s="376"/>
      <c r="I682" s="376"/>
      <c r="J682" s="409"/>
      <c r="K682" s="374"/>
      <c r="L682" s="374" t="s">
        <v>239</v>
      </c>
      <c r="M682" s="374"/>
      <c r="N682" s="376" t="s">
        <v>673</v>
      </c>
      <c r="O682" s="376"/>
      <c r="P682" s="376"/>
      <c r="Q682" s="407">
        <v>0</v>
      </c>
      <c r="R682" s="407">
        <v>0</v>
      </c>
      <c r="S682" s="408"/>
      <c r="T682" s="374">
        <v>-30</v>
      </c>
      <c r="U682" s="374"/>
      <c r="V682" s="374"/>
      <c r="W682" s="374">
        <v>1.1000000000000001</v>
      </c>
      <c r="X682" s="374"/>
      <c r="Y682" s="374"/>
      <c r="Z682" s="374"/>
      <c r="AA682" s="374"/>
      <c r="AB682" s="374"/>
      <c r="AC682" s="374" t="s">
        <v>2972</v>
      </c>
      <c r="AD682" s="374"/>
      <c r="AE682" s="374"/>
      <c r="AF682" s="374">
        <v>100</v>
      </c>
      <c r="AG682" s="377">
        <v>27699.99</v>
      </c>
      <c r="AH682" s="374">
        <v>1471</v>
      </c>
      <c r="AI682" s="407">
        <v>-5270</v>
      </c>
      <c r="AJ682" s="374"/>
      <c r="AK682" s="374"/>
      <c r="AL682" s="374"/>
      <c r="AM682" s="374" t="s">
        <v>2021</v>
      </c>
      <c r="AN682" s="379">
        <v>5.25</v>
      </c>
      <c r="AO682" s="379"/>
      <c r="AP682" s="379"/>
      <c r="AQ682" s="379"/>
      <c r="AR682" s="379"/>
      <c r="AS682" s="379"/>
      <c r="AT682" s="379">
        <f>+ab($T$682,$T$680,$T$684,$G$681,$G$683, 1*$F$682,1200)</f>
        <v>-7.9442410717051439</v>
      </c>
      <c r="AU682" s="379"/>
      <c r="AV682" s="379"/>
      <c r="AW682" s="374" t="s">
        <v>699</v>
      </c>
      <c r="AX682" s="374" t="s">
        <v>699</v>
      </c>
      <c r="AY682" s="374" t="s">
        <v>699</v>
      </c>
      <c r="AZ682" s="374" t="s">
        <v>699</v>
      </c>
      <c r="BA682" s="374"/>
      <c r="BB682" s="306"/>
      <c r="BF682" s="1119"/>
      <c r="BG682" s="1119"/>
      <c r="BH682" s="1119"/>
    </row>
    <row r="683" spans="1:60" ht="14.25">
      <c r="A683" s="378"/>
      <c r="B683" s="406"/>
      <c r="C683" s="377"/>
      <c r="D683" s="374"/>
      <c r="E683" s="374"/>
      <c r="F683" s="407"/>
      <c r="G683" s="408">
        <v>50</v>
      </c>
      <c r="H683" s="376"/>
      <c r="I683" s="376"/>
      <c r="J683" s="409"/>
      <c r="K683" s="374"/>
      <c r="L683" s="374"/>
      <c r="M683" s="374"/>
      <c r="N683" s="376"/>
      <c r="O683" s="376"/>
      <c r="P683" s="376"/>
      <c r="Q683" s="407"/>
      <c r="R683" s="408"/>
      <c r="S683" s="408">
        <f>AG684-AG682</f>
        <v>49.840000000000146</v>
      </c>
      <c r="T683" s="374"/>
      <c r="U683" s="374"/>
      <c r="V683" s="374"/>
      <c r="W683" s="374"/>
      <c r="X683" s="374"/>
      <c r="Y683" s="374"/>
      <c r="Z683" s="374"/>
      <c r="AA683" s="374"/>
      <c r="AB683" s="374"/>
      <c r="AC683" s="374"/>
      <c r="AD683" s="374"/>
      <c r="AE683" s="374"/>
      <c r="AF683" s="374"/>
      <c r="AG683" s="377" t="s">
        <v>695</v>
      </c>
      <c r="AH683" s="374" t="s">
        <v>695</v>
      </c>
      <c r="AI683" s="407" t="s">
        <v>695</v>
      </c>
      <c r="AJ683" s="374"/>
      <c r="AK683" s="374"/>
      <c r="AL683" s="374"/>
      <c r="AM683" s="374"/>
      <c r="AN683" s="379"/>
      <c r="AO683" s="379"/>
      <c r="AP683" s="379"/>
      <c r="AQ683" s="379">
        <f>+FL_1($T$684,$T$682,$G$683,1200,9.28, 1*$F$684)</f>
        <v>0.33477011200000001</v>
      </c>
      <c r="AR683" s="379"/>
      <c r="AS683" s="379"/>
      <c r="AT683" s="379"/>
      <c r="AU683" s="379"/>
      <c r="AV683" s="379"/>
      <c r="AW683" s="374"/>
      <c r="AX683" s="374"/>
      <c r="AY683" s="374"/>
      <c r="AZ683" s="374"/>
      <c r="BA683" s="374"/>
      <c r="BB683" s="306"/>
      <c r="BF683" s="1119"/>
      <c r="BG683" s="1119"/>
      <c r="BH683" s="1119"/>
    </row>
    <row r="684" spans="1:60" ht="14.25">
      <c r="A684" s="378" t="s">
        <v>1781</v>
      </c>
      <c r="B684" s="406" t="s">
        <v>1944</v>
      </c>
      <c r="C684" s="377">
        <f>+$C$682+$G$683</f>
        <v>27750</v>
      </c>
      <c r="D684" s="374"/>
      <c r="E684" s="374"/>
      <c r="F684" s="407">
        <v>0</v>
      </c>
      <c r="G684" s="408"/>
      <c r="H684" s="376" t="s">
        <v>138</v>
      </c>
      <c r="I684" s="376" t="s">
        <v>912</v>
      </c>
      <c r="J684" s="409"/>
      <c r="K684" s="374"/>
      <c r="L684" s="374" t="s">
        <v>239</v>
      </c>
      <c r="M684" s="374"/>
      <c r="N684" s="376" t="s">
        <v>674</v>
      </c>
      <c r="O684" s="376"/>
      <c r="P684" s="376"/>
      <c r="Q684" s="407">
        <v>0</v>
      </c>
      <c r="R684" s="407">
        <v>0</v>
      </c>
      <c r="S684" s="408"/>
      <c r="T684" s="374">
        <v>30</v>
      </c>
      <c r="U684" s="374"/>
      <c r="V684" s="374"/>
      <c r="W684" s="374">
        <v>1.1000000000000001</v>
      </c>
      <c r="X684" s="374"/>
      <c r="Y684" s="374"/>
      <c r="Z684" s="374"/>
      <c r="AA684" s="374"/>
      <c r="AB684" s="374"/>
      <c r="AC684" s="374" t="s">
        <v>1704</v>
      </c>
      <c r="AD684" s="374"/>
      <c r="AE684" s="374"/>
      <c r="AF684" s="374">
        <v>100</v>
      </c>
      <c r="AG684" s="377">
        <v>27749.83</v>
      </c>
      <c r="AH684" s="374">
        <v>1595</v>
      </c>
      <c r="AI684" s="407">
        <v>-5247</v>
      </c>
      <c r="AJ684" s="374"/>
      <c r="AK684" s="374"/>
      <c r="AL684" s="374"/>
      <c r="AM684" s="374" t="s">
        <v>2021</v>
      </c>
      <c r="AN684" s="379">
        <v>5.25</v>
      </c>
      <c r="AO684" s="379"/>
      <c r="AP684" s="379"/>
      <c r="AQ684" s="379"/>
      <c r="AR684" s="379"/>
      <c r="AS684" s="379"/>
      <c r="AT684" s="379">
        <f>+ab($T$684,$T$682,$T$686,$G$683,$G$685, 1*$F$684,1200)</f>
        <v>9.9968917440918084</v>
      </c>
      <c r="AU684" s="379"/>
      <c r="AV684" s="379"/>
      <c r="AW684" s="374" t="s">
        <v>699</v>
      </c>
      <c r="AX684" s="374" t="s">
        <v>699</v>
      </c>
      <c r="AY684" s="374" t="s">
        <v>699</v>
      </c>
      <c r="AZ684" s="374" t="s">
        <v>699</v>
      </c>
      <c r="BA684" s="374"/>
      <c r="BB684" s="306"/>
      <c r="BF684" s="1119"/>
      <c r="BG684" s="1119"/>
      <c r="BH684" s="1119"/>
    </row>
    <row r="685" spans="1:60" ht="14.25">
      <c r="A685" s="378"/>
      <c r="B685" s="406"/>
      <c r="C685" s="377"/>
      <c r="D685" s="374"/>
      <c r="E685" s="374"/>
      <c r="F685" s="407"/>
      <c r="G685" s="408">
        <v>50</v>
      </c>
      <c r="H685" s="376"/>
      <c r="I685" s="376"/>
      <c r="J685" s="409">
        <f>C684+10</f>
        <v>27760</v>
      </c>
      <c r="K685" s="374" t="s">
        <v>1055</v>
      </c>
      <c r="L685" s="374"/>
      <c r="M685" s="374"/>
      <c r="N685" s="376"/>
      <c r="O685" s="376"/>
      <c r="P685" s="376"/>
      <c r="Q685" s="407"/>
      <c r="R685" s="408"/>
      <c r="S685" s="408">
        <f>AG686-AG684</f>
        <v>49.209999999999127</v>
      </c>
      <c r="T685" s="374"/>
      <c r="U685" s="374"/>
      <c r="V685" s="374"/>
      <c r="W685" s="374"/>
      <c r="X685" s="374"/>
      <c r="Y685" s="374"/>
      <c r="Z685" s="374"/>
      <c r="AA685" s="374"/>
      <c r="AB685" s="374"/>
      <c r="AC685" s="374"/>
      <c r="AD685" s="374"/>
      <c r="AE685" s="374"/>
      <c r="AF685" s="374"/>
      <c r="AG685" s="377" t="s">
        <v>695</v>
      </c>
      <c r="AH685" s="374" t="s">
        <v>695</v>
      </c>
      <c r="AI685" s="407" t="s">
        <v>695</v>
      </c>
      <c r="AJ685" s="374"/>
      <c r="AK685" s="374"/>
      <c r="AL685" s="374"/>
      <c r="AM685" s="374"/>
      <c r="AN685" s="379"/>
      <c r="AO685" s="379"/>
      <c r="AP685" s="379"/>
      <c r="AQ685" s="379">
        <f>+FL_2($U$686,$T$684,$G$685,1200,9.28, 1*$F$686)</f>
        <v>-0.29489941866666664</v>
      </c>
      <c r="AR685" s="379"/>
      <c r="AS685" s="379"/>
      <c r="AT685" s="379"/>
      <c r="AU685" s="379"/>
      <c r="AV685" s="379"/>
      <c r="AW685" s="374"/>
      <c r="AX685" s="374"/>
      <c r="AY685" s="374"/>
      <c r="AZ685" s="374"/>
      <c r="BA685" s="374"/>
      <c r="BB685" s="306"/>
      <c r="BF685" s="1119"/>
      <c r="BG685" s="1119"/>
      <c r="BH685" s="1119"/>
    </row>
    <row r="686" spans="1:60" ht="14.25">
      <c r="A686" s="378" t="s">
        <v>1781</v>
      </c>
      <c r="B686" s="406" t="s">
        <v>1945</v>
      </c>
      <c r="C686" s="377">
        <f>+$C$684+$G$685</f>
        <v>27800</v>
      </c>
      <c r="D686" s="374"/>
      <c r="E686" s="374"/>
      <c r="F686" s="407">
        <v>0</v>
      </c>
      <c r="G686" s="408"/>
      <c r="H686" s="376" t="s">
        <v>651</v>
      </c>
      <c r="I686" s="376"/>
      <c r="J686" s="409"/>
      <c r="K686" s="374"/>
      <c r="L686" s="374" t="s">
        <v>458</v>
      </c>
      <c r="M686" s="374"/>
      <c r="N686" s="376" t="s">
        <v>675</v>
      </c>
      <c r="O686" s="376" t="s">
        <v>673</v>
      </c>
      <c r="P686" s="376"/>
      <c r="Q686" s="407">
        <v>0</v>
      </c>
      <c r="R686" s="407">
        <v>0</v>
      </c>
      <c r="S686" s="408">
        <f>AG687-AG686</f>
        <v>1.5</v>
      </c>
      <c r="T686" s="374">
        <v>-5</v>
      </c>
      <c r="U686" s="374">
        <v>-25</v>
      </c>
      <c r="V686" s="374"/>
      <c r="W686" s="374">
        <v>1.1000000000000001</v>
      </c>
      <c r="X686" s="374">
        <v>1.2</v>
      </c>
      <c r="Y686" s="374"/>
      <c r="Z686" s="374">
        <v>0.45</v>
      </c>
      <c r="AA686" s="374"/>
      <c r="AB686" s="374"/>
      <c r="AC686" s="374"/>
      <c r="AD686" s="374" t="s">
        <v>1702</v>
      </c>
      <c r="AE686" s="374"/>
      <c r="AF686" s="374">
        <v>100</v>
      </c>
      <c r="AG686" s="377">
        <v>27799.040000000001</v>
      </c>
      <c r="AH686" s="454">
        <v>1575</v>
      </c>
      <c r="AI686" s="978">
        <v>-5214</v>
      </c>
      <c r="AJ686" s="454"/>
      <c r="AK686" s="374"/>
      <c r="AL686" s="374"/>
      <c r="AM686" s="374" t="s">
        <v>2021</v>
      </c>
      <c r="AN686" s="379">
        <v>5.25</v>
      </c>
      <c r="AO686" s="379"/>
      <c r="AP686" s="379"/>
      <c r="AQ686" s="379"/>
      <c r="AR686" s="379"/>
      <c r="AS686" s="379"/>
      <c r="AT686" s="379">
        <f>+ab($U$686,$T$684,$U$688,$G$685,$G$687, 1*$F$686,1200)</f>
        <v>-11.145107873316856</v>
      </c>
      <c r="AU686" s="379"/>
      <c r="AV686" s="379"/>
      <c r="AW686" s="374" t="s">
        <v>699</v>
      </c>
      <c r="AX686" s="374" t="s">
        <v>699</v>
      </c>
      <c r="AY686" s="374" t="s">
        <v>699</v>
      </c>
      <c r="AZ686" s="374" t="s">
        <v>699</v>
      </c>
      <c r="BA686" s="374"/>
      <c r="BB686" s="306"/>
      <c r="BF686" s="1119"/>
      <c r="BG686" s="1119"/>
      <c r="BH686" s="1119"/>
    </row>
    <row r="687" spans="1:60" ht="14.25">
      <c r="A687" s="378"/>
      <c r="B687" s="406"/>
      <c r="C687" s="377"/>
      <c r="D687" s="374"/>
      <c r="E687" s="374"/>
      <c r="F687" s="407"/>
      <c r="G687" s="408">
        <v>50</v>
      </c>
      <c r="H687" s="376"/>
      <c r="I687" s="376"/>
      <c r="J687" s="409"/>
      <c r="K687" s="374"/>
      <c r="L687" s="374"/>
      <c r="M687" s="374"/>
      <c r="N687" s="376"/>
      <c r="O687" s="376"/>
      <c r="P687" s="376"/>
      <c r="Q687" s="407"/>
      <c r="R687" s="408"/>
      <c r="S687" s="408">
        <f t="shared" ref="S687:S688" si="152">AG688-AG687</f>
        <v>48.619999999998981</v>
      </c>
      <c r="T687" s="374"/>
      <c r="U687" s="374"/>
      <c r="V687" s="374"/>
      <c r="W687" s="374"/>
      <c r="X687" s="374"/>
      <c r="Y687" s="374"/>
      <c r="Z687" s="374"/>
      <c r="AA687" s="374"/>
      <c r="AB687" s="374"/>
      <c r="AC687" s="374"/>
      <c r="AD687" s="374"/>
      <c r="AE687" s="374"/>
      <c r="AF687" s="374">
        <v>100</v>
      </c>
      <c r="AG687" s="377">
        <v>27800.54</v>
      </c>
      <c r="AH687" s="454" t="s">
        <v>695</v>
      </c>
      <c r="AI687" s="978" t="s">
        <v>695</v>
      </c>
      <c r="AJ687" s="454"/>
      <c r="AK687" s="374"/>
      <c r="AL687" s="374"/>
      <c r="AM687" s="374"/>
      <c r="AN687" s="379"/>
      <c r="AO687" s="379"/>
      <c r="AP687" s="379"/>
      <c r="AQ687" s="379">
        <f>+FL_1($T$688,$U$686,$G$687,1200,9.28, 1*$F$688)</f>
        <v>0.30632183866666668</v>
      </c>
      <c r="AR687" s="379"/>
      <c r="AS687" s="379"/>
      <c r="AT687" s="379"/>
      <c r="AU687" s="379"/>
      <c r="AV687" s="379"/>
      <c r="AW687" s="374"/>
      <c r="AX687" s="374"/>
      <c r="AY687" s="374"/>
      <c r="AZ687" s="374"/>
      <c r="BA687" s="374"/>
      <c r="BB687" s="306"/>
      <c r="BF687" s="1119"/>
      <c r="BG687" s="1119"/>
      <c r="BH687" s="1119"/>
    </row>
    <row r="688" spans="1:60" ht="14.25">
      <c r="A688" s="378" t="s">
        <v>1781</v>
      </c>
      <c r="B688" s="406" t="s">
        <v>1946</v>
      </c>
      <c r="C688" s="377">
        <f>+$C$686+$G$687</f>
        <v>27850</v>
      </c>
      <c r="D688" s="374"/>
      <c r="E688" s="374"/>
      <c r="F688" s="407">
        <v>0</v>
      </c>
      <c r="G688" s="408"/>
      <c r="H688" s="376" t="s">
        <v>651</v>
      </c>
      <c r="I688" s="376"/>
      <c r="J688" s="409"/>
      <c r="K688" s="374"/>
      <c r="L688" s="374" t="s">
        <v>458</v>
      </c>
      <c r="M688" s="374"/>
      <c r="N688" s="376" t="s">
        <v>674</v>
      </c>
      <c r="O688" s="376" t="s">
        <v>675</v>
      </c>
      <c r="P688" s="376"/>
      <c r="Q688" s="407">
        <v>0</v>
      </c>
      <c r="R688" s="407">
        <v>0</v>
      </c>
      <c r="S688" s="408">
        <f t="shared" si="152"/>
        <v>1.5</v>
      </c>
      <c r="T688" s="374">
        <v>25</v>
      </c>
      <c r="U688" s="374">
        <v>5</v>
      </c>
      <c r="V688" s="374"/>
      <c r="W688" s="374">
        <v>1.1000000000000001</v>
      </c>
      <c r="X688" s="374">
        <v>1.2</v>
      </c>
      <c r="Y688" s="374"/>
      <c r="Z688" s="374"/>
      <c r="AA688" s="374">
        <v>0.45</v>
      </c>
      <c r="AB688" s="374"/>
      <c r="AC688" s="374" t="s">
        <v>1704</v>
      </c>
      <c r="AD688" s="374"/>
      <c r="AE688" s="374"/>
      <c r="AF688" s="374">
        <v>100</v>
      </c>
      <c r="AG688" s="377">
        <v>27849.16</v>
      </c>
      <c r="AH688" s="454">
        <v>1571</v>
      </c>
      <c r="AI688" s="978">
        <v>-5257</v>
      </c>
      <c r="AJ688" s="454"/>
      <c r="AK688" s="374"/>
      <c r="AL688" s="374"/>
      <c r="AM688" s="374" t="s">
        <v>2021</v>
      </c>
      <c r="AN688" s="379">
        <v>5.25</v>
      </c>
      <c r="AO688" s="379"/>
      <c r="AP688" s="379"/>
      <c r="AQ688" s="379"/>
      <c r="AR688" s="379"/>
      <c r="AS688" s="379"/>
      <c r="AT688" s="379">
        <f>+ab($T$688,$T$686,$T$690,$G$687,$G$689, 1*$F$688,1200)</f>
        <v>11.14504395531122</v>
      </c>
      <c r="AU688" s="379"/>
      <c r="AV688" s="379"/>
      <c r="AW688" s="374" t="s">
        <v>699</v>
      </c>
      <c r="AX688" s="374" t="s">
        <v>699</v>
      </c>
      <c r="AY688" s="374" t="s">
        <v>699</v>
      </c>
      <c r="AZ688" s="374" t="s">
        <v>699</v>
      </c>
      <c r="BA688" s="374"/>
      <c r="BB688" s="306"/>
      <c r="BF688" s="1119"/>
      <c r="BG688" s="1119"/>
      <c r="BH688" s="1119"/>
    </row>
    <row r="689" spans="1:60" ht="14.25">
      <c r="A689" s="378"/>
      <c r="B689" s="406"/>
      <c r="C689" s="377"/>
      <c r="D689" s="374"/>
      <c r="E689" s="374"/>
      <c r="F689" s="407"/>
      <c r="G689" s="408">
        <v>50</v>
      </c>
      <c r="H689" s="376"/>
      <c r="I689" s="376"/>
      <c r="J689" s="409">
        <f>C690-10</f>
        <v>27890</v>
      </c>
      <c r="K689" s="374" t="s">
        <v>1055</v>
      </c>
      <c r="L689" s="374"/>
      <c r="M689" s="374"/>
      <c r="N689" s="376"/>
      <c r="O689" s="376"/>
      <c r="P689" s="376"/>
      <c r="Q689" s="407"/>
      <c r="R689" s="408"/>
      <c r="S689" s="408">
        <f>AG690-AG689</f>
        <v>49.18999999999869</v>
      </c>
      <c r="T689" s="374"/>
      <c r="U689" s="374"/>
      <c r="V689" s="374"/>
      <c r="W689" s="374"/>
      <c r="X689" s="374"/>
      <c r="Y689" s="374"/>
      <c r="Z689" s="374"/>
      <c r="AA689" s="374"/>
      <c r="AB689" s="374"/>
      <c r="AC689" s="374"/>
      <c r="AD689" s="374"/>
      <c r="AE689" s="374"/>
      <c r="AF689" s="374">
        <v>100</v>
      </c>
      <c r="AG689" s="377">
        <v>27850.66</v>
      </c>
      <c r="AH689" s="454" t="s">
        <v>695</v>
      </c>
      <c r="AI689" s="978" t="s">
        <v>695</v>
      </c>
      <c r="AJ689" s="454"/>
      <c r="AK689" s="374"/>
      <c r="AL689" s="374"/>
      <c r="AM689" s="374"/>
      <c r="AN689" s="379"/>
      <c r="AO689" s="379"/>
      <c r="AP689" s="379"/>
      <c r="AQ689" s="379">
        <f>+FL_2($T$690,$T$688,$G$689,1200,9.28, 1*$F$690)</f>
        <v>-0.34489941866666662</v>
      </c>
      <c r="AR689" s="379"/>
      <c r="AS689" s="379"/>
      <c r="AT689" s="379"/>
      <c r="AU689" s="379"/>
      <c r="AV689" s="379"/>
      <c r="AW689" s="374"/>
      <c r="AX689" s="374"/>
      <c r="AY689" s="374"/>
      <c r="AZ689" s="374"/>
      <c r="BA689" s="374"/>
      <c r="BB689" s="306"/>
      <c r="BF689" s="1119"/>
      <c r="BG689" s="1119"/>
      <c r="BH689" s="1119"/>
    </row>
    <row r="690" spans="1:60" ht="14.25">
      <c r="A690" s="378" t="s">
        <v>1781</v>
      </c>
      <c r="B690" s="406" t="s">
        <v>1947</v>
      </c>
      <c r="C690" s="377">
        <f>+$C$688+$G$689</f>
        <v>27900</v>
      </c>
      <c r="D690" s="374"/>
      <c r="E690" s="374"/>
      <c r="F690" s="407">
        <v>0</v>
      </c>
      <c r="G690" s="408"/>
      <c r="H690" s="376" t="s">
        <v>138</v>
      </c>
      <c r="I690" s="376" t="s">
        <v>912</v>
      </c>
      <c r="J690" s="409"/>
      <c r="K690" s="374"/>
      <c r="L690" s="374" t="s">
        <v>239</v>
      </c>
      <c r="M690" s="374"/>
      <c r="N690" s="376" t="s">
        <v>673</v>
      </c>
      <c r="O690" s="376"/>
      <c r="P690" s="376"/>
      <c r="Q690" s="407">
        <v>0</v>
      </c>
      <c r="R690" s="407">
        <v>0</v>
      </c>
      <c r="S690" s="408"/>
      <c r="T690" s="374">
        <v>-30</v>
      </c>
      <c r="U690" s="374"/>
      <c r="V690" s="374"/>
      <c r="W690" s="374">
        <v>1.1000000000000001</v>
      </c>
      <c r="X690" s="374"/>
      <c r="Y690" s="374"/>
      <c r="Z690" s="374"/>
      <c r="AA690" s="374"/>
      <c r="AB690" s="374"/>
      <c r="AC690" s="374" t="s">
        <v>2972</v>
      </c>
      <c r="AD690" s="374"/>
      <c r="AE690" s="374"/>
      <c r="AF690" s="374">
        <v>100</v>
      </c>
      <c r="AG690" s="377">
        <v>27899.85</v>
      </c>
      <c r="AH690" s="454">
        <v>1547</v>
      </c>
      <c r="AI690" s="978">
        <v>-5245</v>
      </c>
      <c r="AJ690" s="454"/>
      <c r="AK690" s="374"/>
      <c r="AL690" s="374"/>
      <c r="AM690" s="374" t="s">
        <v>2021</v>
      </c>
      <c r="AN690" s="379">
        <v>5.25</v>
      </c>
      <c r="AO690" s="379"/>
      <c r="AP690" s="379"/>
      <c r="AQ690" s="379"/>
      <c r="AR690" s="379"/>
      <c r="AS690" s="379"/>
      <c r="AT690" s="379">
        <f>+ab($T$690,$T$688,$T$692,$G$689,$G$691, 1*$F$690,1200)</f>
        <v>-8.2849467556123688</v>
      </c>
      <c r="AU690" s="379"/>
      <c r="AV690" s="379"/>
      <c r="AW690" s="374" t="s">
        <v>699</v>
      </c>
      <c r="AX690" s="374" t="s">
        <v>699</v>
      </c>
      <c r="AY690" s="374" t="s">
        <v>699</v>
      </c>
      <c r="AZ690" s="374" t="s">
        <v>699</v>
      </c>
      <c r="BA690" s="374"/>
      <c r="BB690" s="306"/>
      <c r="BF690" s="1119"/>
      <c r="BG690" s="1119"/>
      <c r="BH690" s="1119"/>
    </row>
    <row r="691" spans="1:60" ht="14.25">
      <c r="A691" s="378"/>
      <c r="B691" s="406"/>
      <c r="C691" s="377"/>
      <c r="D691" s="374"/>
      <c r="E691" s="374"/>
      <c r="F691" s="407"/>
      <c r="G691" s="408">
        <v>50</v>
      </c>
      <c r="H691" s="376"/>
      <c r="I691" s="376"/>
      <c r="J691" s="409"/>
      <c r="K691" s="374"/>
      <c r="L691" s="374"/>
      <c r="M691" s="374"/>
      <c r="N691" s="376"/>
      <c r="O691" s="376"/>
      <c r="P691" s="376"/>
      <c r="Q691" s="407"/>
      <c r="R691" s="408"/>
      <c r="S691" s="408">
        <f>AG692-AG690</f>
        <v>50.020000000000437</v>
      </c>
      <c r="T691" s="374"/>
      <c r="U691" s="374"/>
      <c r="V691" s="374"/>
      <c r="W691" s="374"/>
      <c r="X691" s="374"/>
      <c r="Y691" s="374"/>
      <c r="Z691" s="374"/>
      <c r="AA691" s="374"/>
      <c r="AB691" s="374"/>
      <c r="AC691" s="374"/>
      <c r="AD691" s="374"/>
      <c r="AE691" s="374"/>
      <c r="AF691" s="374"/>
      <c r="AG691" s="377" t="s">
        <v>695</v>
      </c>
      <c r="AH691" s="454" t="s">
        <v>695</v>
      </c>
      <c r="AI691" s="978" t="s">
        <v>695</v>
      </c>
      <c r="AJ691" s="454"/>
      <c r="AK691" s="374"/>
      <c r="AL691" s="374"/>
      <c r="AM691" s="374"/>
      <c r="AN691" s="379"/>
      <c r="AO691" s="379"/>
      <c r="AP691" s="379"/>
      <c r="AQ691" s="379">
        <f>+FL_1($T$692,$T$690,$G$691,1200,9.28, 1*$F$692)</f>
        <v>0.33477011200000001</v>
      </c>
      <c r="AR691" s="379"/>
      <c r="AS691" s="379"/>
      <c r="AT691" s="379"/>
      <c r="AU691" s="379"/>
      <c r="AV691" s="379"/>
      <c r="AW691" s="374"/>
      <c r="AX691" s="374"/>
      <c r="AY691" s="374"/>
      <c r="AZ691" s="374"/>
      <c r="BA691" s="374"/>
      <c r="BB691" s="306"/>
      <c r="BF691" s="1119"/>
      <c r="BG691" s="1119"/>
      <c r="BH691" s="1119"/>
    </row>
    <row r="692" spans="1:60" ht="14.25">
      <c r="A692" s="378" t="s">
        <v>1781</v>
      </c>
      <c r="B692" s="406" t="s">
        <v>1948</v>
      </c>
      <c r="C692" s="377">
        <f>+$C$690+$G$691</f>
        <v>27950</v>
      </c>
      <c r="D692" s="374"/>
      <c r="E692" s="374"/>
      <c r="F692" s="407">
        <v>0</v>
      </c>
      <c r="G692" s="408"/>
      <c r="H692" s="376"/>
      <c r="I692" s="376"/>
      <c r="J692" s="409"/>
      <c r="K692" s="374"/>
      <c r="L692" s="374" t="s">
        <v>239</v>
      </c>
      <c r="M692" s="374"/>
      <c r="N692" s="376" t="s">
        <v>674</v>
      </c>
      <c r="O692" s="376"/>
      <c r="P692" s="376"/>
      <c r="Q692" s="407">
        <v>0</v>
      </c>
      <c r="R692" s="407">
        <v>0</v>
      </c>
      <c r="S692" s="408"/>
      <c r="T692" s="374">
        <v>30</v>
      </c>
      <c r="U692" s="374"/>
      <c r="V692" s="374"/>
      <c r="W692" s="374">
        <v>1.1000000000000001</v>
      </c>
      <c r="X692" s="374"/>
      <c r="Y692" s="374"/>
      <c r="Z692" s="374"/>
      <c r="AA692" s="374"/>
      <c r="AB692" s="374"/>
      <c r="AC692" s="374" t="s">
        <v>2963</v>
      </c>
      <c r="AD692" s="374"/>
      <c r="AE692" s="374"/>
      <c r="AF692" s="374">
        <v>100</v>
      </c>
      <c r="AG692" s="377">
        <v>27949.87</v>
      </c>
      <c r="AH692" s="454">
        <v>1557</v>
      </c>
      <c r="AI692" s="978">
        <v>-5219</v>
      </c>
      <c r="AJ692" s="454"/>
      <c r="AK692" s="374"/>
      <c r="AL692" s="374"/>
      <c r="AM692" s="374" t="s">
        <v>2021</v>
      </c>
      <c r="AN692" s="379">
        <v>5.25</v>
      </c>
      <c r="AO692" s="379"/>
      <c r="AP692" s="379"/>
      <c r="AQ692" s="379"/>
      <c r="AR692" s="379"/>
      <c r="AS692" s="379"/>
      <c r="AT692" s="379">
        <f>+ab($T$692,$T$690,$T$694,$G$691,$G$693, 1*$F$692,1200)</f>
        <v>7.9442083933778509</v>
      </c>
      <c r="AU692" s="379"/>
      <c r="AV692" s="379"/>
      <c r="AW692" s="374" t="s">
        <v>699</v>
      </c>
      <c r="AX692" s="374" t="s">
        <v>699</v>
      </c>
      <c r="AY692" s="374" t="s">
        <v>699</v>
      </c>
      <c r="AZ692" s="374" t="s">
        <v>699</v>
      </c>
      <c r="BA692" s="374"/>
      <c r="BB692" s="306"/>
      <c r="BF692" s="1119"/>
      <c r="BG692" s="1119"/>
      <c r="BH692" s="1119"/>
    </row>
    <row r="693" spans="1:60" ht="14.25">
      <c r="A693" s="378"/>
      <c r="B693" s="406"/>
      <c r="C693" s="377"/>
      <c r="D693" s="374"/>
      <c r="E693" s="374"/>
      <c r="F693" s="407"/>
      <c r="G693" s="408">
        <v>50</v>
      </c>
      <c r="H693" s="376"/>
      <c r="I693" s="376"/>
      <c r="J693" s="409"/>
      <c r="K693" s="374"/>
      <c r="L693" s="374"/>
      <c r="M693" s="374"/>
      <c r="N693" s="376"/>
      <c r="O693" s="376"/>
      <c r="P693" s="376"/>
      <c r="Q693" s="407"/>
      <c r="R693" s="408"/>
      <c r="S693" s="408">
        <f>AG694-AG692</f>
        <v>49.930000000000291</v>
      </c>
      <c r="T693" s="374"/>
      <c r="U693" s="374"/>
      <c r="V693" s="374"/>
      <c r="W693" s="374"/>
      <c r="X693" s="374"/>
      <c r="Y693" s="374"/>
      <c r="Z693" s="374"/>
      <c r="AA693" s="374"/>
      <c r="AB693" s="374"/>
      <c r="AC693" s="374"/>
      <c r="AD693" s="374"/>
      <c r="AE693" s="374"/>
      <c r="AF693" s="374"/>
      <c r="AG693" s="377" t="s">
        <v>695</v>
      </c>
      <c r="AH693" s="454" t="s">
        <v>695</v>
      </c>
      <c r="AI693" s="978" t="s">
        <v>695</v>
      </c>
      <c r="AJ693" s="454"/>
      <c r="AK693" s="374"/>
      <c r="AL693" s="374"/>
      <c r="AM693" s="374"/>
      <c r="AN693" s="379"/>
      <c r="AO693" s="379"/>
      <c r="AP693" s="379"/>
      <c r="AQ693" s="379">
        <f>+FL_2($T$694,$T$692,$G$693,1200,9.28, 1*$F$694)</f>
        <v>-0.33477011200000001</v>
      </c>
      <c r="AR693" s="379"/>
      <c r="AS693" s="379"/>
      <c r="AT693" s="379"/>
      <c r="AU693" s="379"/>
      <c r="AV693" s="379"/>
      <c r="AW693" s="374"/>
      <c r="AX693" s="374"/>
      <c r="AY693" s="374"/>
      <c r="AZ693" s="374"/>
      <c r="BA693" s="374"/>
      <c r="BB693" s="306"/>
      <c r="BF693" s="1119"/>
      <c r="BG693" s="1119"/>
      <c r="BH693" s="1119"/>
    </row>
    <row r="694" spans="1:60" ht="14.25">
      <c r="A694" s="378" t="s">
        <v>1781</v>
      </c>
      <c r="B694" s="406" t="s">
        <v>1949</v>
      </c>
      <c r="C694" s="377">
        <f>+$C$692+$G$693</f>
        <v>28000</v>
      </c>
      <c r="D694" s="374"/>
      <c r="E694" s="374"/>
      <c r="F694" s="407">
        <v>0</v>
      </c>
      <c r="G694" s="408"/>
      <c r="H694" s="376"/>
      <c r="I694" s="376"/>
      <c r="J694" s="409"/>
      <c r="K694" s="374"/>
      <c r="L694" s="374" t="s">
        <v>239</v>
      </c>
      <c r="M694" s="374"/>
      <c r="N694" s="376" t="s">
        <v>673</v>
      </c>
      <c r="O694" s="376"/>
      <c r="P694" s="376"/>
      <c r="Q694" s="407">
        <v>0</v>
      </c>
      <c r="R694" s="407">
        <v>0</v>
      </c>
      <c r="S694" s="408"/>
      <c r="T694" s="374">
        <v>-30</v>
      </c>
      <c r="U694" s="374"/>
      <c r="V694" s="374"/>
      <c r="W694" s="374">
        <v>1.1000000000000001</v>
      </c>
      <c r="X694" s="374"/>
      <c r="Y694" s="374"/>
      <c r="Z694" s="374"/>
      <c r="AA694" s="374"/>
      <c r="AB694" s="374"/>
      <c r="AC694" s="374" t="s">
        <v>2972</v>
      </c>
      <c r="AD694" s="374"/>
      <c r="AE694" s="374"/>
      <c r="AF694" s="374">
        <v>100</v>
      </c>
      <c r="AG694" s="377">
        <v>27999.8</v>
      </c>
      <c r="AH694" s="454">
        <v>1530</v>
      </c>
      <c r="AI694" s="978">
        <v>-5215</v>
      </c>
      <c r="AJ694" s="454"/>
      <c r="AK694" s="374"/>
      <c r="AL694" s="374"/>
      <c r="AM694" s="374" t="s">
        <v>2021</v>
      </c>
      <c r="AN694" s="379">
        <v>5.25</v>
      </c>
      <c r="AO694" s="379"/>
      <c r="AP694" s="379"/>
      <c r="AQ694" s="379"/>
      <c r="AR694" s="379"/>
      <c r="AS694" s="379"/>
      <c r="AT694" s="379">
        <f>+ab($T$694,$T$692,$T$696,$G$693,$G$695, 1*$F$694,1200)</f>
        <v>-7.9442410717051439</v>
      </c>
      <c r="AU694" s="379"/>
      <c r="AV694" s="379"/>
      <c r="AW694" s="374" t="s">
        <v>699</v>
      </c>
      <c r="AX694" s="374" t="s">
        <v>699</v>
      </c>
      <c r="AY694" s="374" t="s">
        <v>699</v>
      </c>
      <c r="AZ694" s="374" t="s">
        <v>699</v>
      </c>
      <c r="BA694" s="374"/>
      <c r="BB694" s="306"/>
      <c r="BF694" s="1119"/>
      <c r="BG694" s="1119"/>
      <c r="BH694" s="1119"/>
    </row>
    <row r="695" spans="1:60" ht="14.25">
      <c r="A695" s="378"/>
      <c r="B695" s="406"/>
      <c r="C695" s="377"/>
      <c r="D695" s="374"/>
      <c r="E695" s="374"/>
      <c r="F695" s="407"/>
      <c r="G695" s="408">
        <v>50</v>
      </c>
      <c r="H695" s="376"/>
      <c r="I695" s="376"/>
      <c r="J695" s="409"/>
      <c r="K695" s="374"/>
      <c r="L695" s="374"/>
      <c r="M695" s="374"/>
      <c r="N695" s="376"/>
      <c r="O695" s="376"/>
      <c r="P695" s="376"/>
      <c r="Q695" s="407"/>
      <c r="R695" s="408"/>
      <c r="S695" s="408">
        <f>AG696-AG694</f>
        <v>50.080000000001746</v>
      </c>
      <c r="T695" s="374"/>
      <c r="U695" s="374"/>
      <c r="V695" s="374"/>
      <c r="W695" s="374"/>
      <c r="X695" s="374"/>
      <c r="Y695" s="374"/>
      <c r="Z695" s="374"/>
      <c r="AA695" s="374"/>
      <c r="AB695" s="374"/>
      <c r="AC695" s="374"/>
      <c r="AD695" s="374"/>
      <c r="AE695" s="374"/>
      <c r="AF695" s="374"/>
      <c r="AG695" s="377" t="s">
        <v>695</v>
      </c>
      <c r="AH695" s="454" t="s">
        <v>695</v>
      </c>
      <c r="AI695" s="978" t="s">
        <v>695</v>
      </c>
      <c r="AJ695" s="454"/>
      <c r="AK695" s="374"/>
      <c r="AL695" s="374"/>
      <c r="AM695" s="374"/>
      <c r="AN695" s="379"/>
      <c r="AO695" s="379"/>
      <c r="AP695" s="379"/>
      <c r="AQ695" s="379">
        <f>+FL_1($T$696,$T$694,$G$695,1200,9.28, 1*$F$696)</f>
        <v>0.33477011200000001</v>
      </c>
      <c r="AR695" s="379"/>
      <c r="AS695" s="379"/>
      <c r="AT695" s="379"/>
      <c r="AU695" s="379"/>
      <c r="AV695" s="379"/>
      <c r="AW695" s="374"/>
      <c r="AX695" s="374"/>
      <c r="AY695" s="374"/>
      <c r="AZ695" s="374"/>
      <c r="BA695" s="374"/>
      <c r="BB695" s="306"/>
      <c r="BF695" s="1119"/>
      <c r="BG695" s="1119"/>
      <c r="BH695" s="1119"/>
    </row>
    <row r="696" spans="1:60" ht="14.25">
      <c r="A696" s="378" t="s">
        <v>1781</v>
      </c>
      <c r="B696" s="406" t="s">
        <v>1950</v>
      </c>
      <c r="C696" s="377">
        <f>+$C$694+$G$695</f>
        <v>28050</v>
      </c>
      <c r="D696" s="374"/>
      <c r="E696" s="374"/>
      <c r="F696" s="407">
        <v>0</v>
      </c>
      <c r="G696" s="408"/>
      <c r="H696" s="376"/>
      <c r="I696" s="376"/>
      <c r="J696" s="409"/>
      <c r="K696" s="374"/>
      <c r="L696" s="374" t="s">
        <v>239</v>
      </c>
      <c r="M696" s="374"/>
      <c r="N696" s="376" t="s">
        <v>674</v>
      </c>
      <c r="O696" s="376"/>
      <c r="P696" s="376"/>
      <c r="Q696" s="407">
        <v>0</v>
      </c>
      <c r="R696" s="407">
        <v>0</v>
      </c>
      <c r="S696" s="408"/>
      <c r="T696" s="374">
        <v>30</v>
      </c>
      <c r="U696" s="374"/>
      <c r="V696" s="374"/>
      <c r="W696" s="374">
        <v>1.1000000000000001</v>
      </c>
      <c r="X696" s="374"/>
      <c r="Y696" s="374"/>
      <c r="Z696" s="374"/>
      <c r="AA696" s="374"/>
      <c r="AB696" s="374"/>
      <c r="AC696" s="374" t="s">
        <v>2963</v>
      </c>
      <c r="AD696" s="374"/>
      <c r="AE696" s="374"/>
      <c r="AF696" s="374">
        <v>100</v>
      </c>
      <c r="AG696" s="377">
        <v>28049.88</v>
      </c>
      <c r="AH696" s="454">
        <v>1550</v>
      </c>
      <c r="AI696" s="978">
        <v>-5203</v>
      </c>
      <c r="AJ696" s="454"/>
      <c r="AK696" s="374"/>
      <c r="AL696" s="374"/>
      <c r="AM696" s="374" t="s">
        <v>2021</v>
      </c>
      <c r="AN696" s="379">
        <v>5.25</v>
      </c>
      <c r="AO696" s="379"/>
      <c r="AP696" s="379"/>
      <c r="AQ696" s="379"/>
      <c r="AR696" s="379"/>
      <c r="AS696" s="379"/>
      <c r="AT696" s="379">
        <f>+ab($T$696,$T$694,$T$698,$G$695,$G$697, 1*$F$696,1200)</f>
        <v>7.9442083933778509</v>
      </c>
      <c r="AU696" s="379"/>
      <c r="AV696" s="379"/>
      <c r="AW696" s="374" t="s">
        <v>699</v>
      </c>
      <c r="AX696" s="374" t="s">
        <v>699</v>
      </c>
      <c r="AY696" s="374" t="s">
        <v>699</v>
      </c>
      <c r="AZ696" s="374" t="s">
        <v>699</v>
      </c>
      <c r="BA696" s="374"/>
      <c r="BB696" s="306"/>
      <c r="BF696" s="1119"/>
      <c r="BG696" s="1119"/>
      <c r="BH696" s="1119"/>
    </row>
    <row r="697" spans="1:60" ht="14.25">
      <c r="A697" s="378"/>
      <c r="B697" s="406"/>
      <c r="C697" s="377"/>
      <c r="D697" s="374"/>
      <c r="E697" s="374"/>
      <c r="F697" s="407"/>
      <c r="G697" s="408">
        <v>50</v>
      </c>
      <c r="H697" s="376"/>
      <c r="I697" s="376"/>
      <c r="J697" s="409"/>
      <c r="K697" s="374"/>
      <c r="L697" s="374"/>
      <c r="M697" s="374"/>
      <c r="N697" s="376"/>
      <c r="O697" s="376"/>
      <c r="P697" s="376"/>
      <c r="Q697" s="407"/>
      <c r="R697" s="408"/>
      <c r="S697" s="408">
        <f>AG698-AG696</f>
        <v>50.289999999997235</v>
      </c>
      <c r="T697" s="374"/>
      <c r="U697" s="374"/>
      <c r="V697" s="374"/>
      <c r="W697" s="374"/>
      <c r="X697" s="374"/>
      <c r="Y697" s="374"/>
      <c r="Z697" s="374"/>
      <c r="AA697" s="374"/>
      <c r="AB697" s="374"/>
      <c r="AC697" s="374"/>
      <c r="AD697" s="374"/>
      <c r="AE697" s="374"/>
      <c r="AF697" s="374"/>
      <c r="AG697" s="377" t="s">
        <v>695</v>
      </c>
      <c r="AH697" s="454" t="s">
        <v>695</v>
      </c>
      <c r="AI697" s="978" t="s">
        <v>695</v>
      </c>
      <c r="AJ697" s="454"/>
      <c r="AK697" s="374"/>
      <c r="AL697" s="374"/>
      <c r="AM697" s="374"/>
      <c r="AN697" s="379"/>
      <c r="AO697" s="379"/>
      <c r="AP697" s="379"/>
      <c r="AQ697" s="379">
        <f>+FL_2($T$698,$T$696,$G$697,1200,9.28, 1*$F$698)</f>
        <v>-0.33477011200000001</v>
      </c>
      <c r="AR697" s="379"/>
      <c r="AS697" s="379"/>
      <c r="AT697" s="379"/>
      <c r="AU697" s="379"/>
      <c r="AV697" s="379"/>
      <c r="AW697" s="374"/>
      <c r="AX697" s="374"/>
      <c r="AY697" s="374"/>
      <c r="AZ697" s="374"/>
      <c r="BA697" s="374"/>
      <c r="BB697" s="306"/>
      <c r="BF697" s="1119"/>
      <c r="BG697" s="1119"/>
      <c r="BH697" s="1119"/>
    </row>
    <row r="698" spans="1:60" ht="14.25">
      <c r="A698" s="378" t="s">
        <v>1781</v>
      </c>
      <c r="B698" s="406" t="s">
        <v>1951</v>
      </c>
      <c r="C698" s="377">
        <f>+$C$696+$G$697</f>
        <v>28100</v>
      </c>
      <c r="D698" s="374"/>
      <c r="E698" s="374"/>
      <c r="F698" s="407">
        <v>0</v>
      </c>
      <c r="G698" s="408"/>
      <c r="H698" s="376"/>
      <c r="I698" s="376"/>
      <c r="J698" s="409"/>
      <c r="K698" s="374"/>
      <c r="L698" s="374" t="s">
        <v>239</v>
      </c>
      <c r="M698" s="374"/>
      <c r="N698" s="376" t="s">
        <v>673</v>
      </c>
      <c r="O698" s="376"/>
      <c r="P698" s="376"/>
      <c r="Q698" s="407">
        <v>0</v>
      </c>
      <c r="R698" s="407">
        <v>0</v>
      </c>
      <c r="S698" s="408"/>
      <c r="T698" s="374">
        <v>-30</v>
      </c>
      <c r="U698" s="374"/>
      <c r="V698" s="374"/>
      <c r="W698" s="374">
        <v>1.1000000000000001</v>
      </c>
      <c r="X698" s="374"/>
      <c r="Y698" s="374"/>
      <c r="Z698" s="374"/>
      <c r="AA698" s="374"/>
      <c r="AB698" s="374"/>
      <c r="AC698" s="374" t="s">
        <v>2972</v>
      </c>
      <c r="AD698" s="374"/>
      <c r="AE698" s="374"/>
      <c r="AF698" s="374">
        <v>100</v>
      </c>
      <c r="AG698" s="377">
        <v>28100.17</v>
      </c>
      <c r="AH698" s="454">
        <v>1546</v>
      </c>
      <c r="AI698" s="978">
        <v>-5216</v>
      </c>
      <c r="AJ698" s="454"/>
      <c r="AK698" s="374"/>
      <c r="AL698" s="374"/>
      <c r="AM698" s="374" t="s">
        <v>2021</v>
      </c>
      <c r="AN698" s="379">
        <v>5.25</v>
      </c>
      <c r="AO698" s="379"/>
      <c r="AP698" s="379"/>
      <c r="AQ698" s="379"/>
      <c r="AR698" s="379"/>
      <c r="AS698" s="379"/>
      <c r="AT698" s="379">
        <f>+ab($T$698,$T$696,$T$700,$G$697,$G$699, 1*$F$698,1200)</f>
        <v>-7.9442410717051439</v>
      </c>
      <c r="AU698" s="379"/>
      <c r="AV698" s="379"/>
      <c r="AW698" s="374" t="s">
        <v>699</v>
      </c>
      <c r="AX698" s="374" t="s">
        <v>699</v>
      </c>
      <c r="AY698" s="374" t="s">
        <v>699</v>
      </c>
      <c r="AZ698" s="374" t="s">
        <v>699</v>
      </c>
      <c r="BA698" s="374"/>
      <c r="BB698" s="306"/>
      <c r="BF698" s="1119"/>
      <c r="BG698" s="1119"/>
      <c r="BH698" s="1119"/>
    </row>
    <row r="699" spans="1:60" ht="14.25">
      <c r="A699" s="378"/>
      <c r="B699" s="406"/>
      <c r="C699" s="377"/>
      <c r="D699" s="374"/>
      <c r="E699" s="374"/>
      <c r="F699" s="407"/>
      <c r="G699" s="408">
        <v>50</v>
      </c>
      <c r="H699" s="376"/>
      <c r="I699" s="376"/>
      <c r="J699" s="409"/>
      <c r="K699" s="374"/>
      <c r="L699" s="374"/>
      <c r="M699" s="374"/>
      <c r="N699" s="376"/>
      <c r="O699" s="376"/>
      <c r="P699" s="376"/>
      <c r="Q699" s="407"/>
      <c r="R699" s="408"/>
      <c r="S699" s="408">
        <f>AG700-AG698</f>
        <v>48.030000000002474</v>
      </c>
      <c r="T699" s="374"/>
      <c r="U699" s="374"/>
      <c r="V699" s="374"/>
      <c r="W699" s="374"/>
      <c r="X699" s="374"/>
      <c r="Y699" s="374"/>
      <c r="Z699" s="374"/>
      <c r="AA699" s="374"/>
      <c r="AB699" s="374"/>
      <c r="AC699" s="374"/>
      <c r="AD699" s="374"/>
      <c r="AE699" s="374"/>
      <c r="AF699" s="374"/>
      <c r="AG699" s="377" t="s">
        <v>695</v>
      </c>
      <c r="AH699" s="454" t="s">
        <v>695</v>
      </c>
      <c r="AI699" s="978" t="s">
        <v>695</v>
      </c>
      <c r="AJ699" s="454"/>
      <c r="AK699" s="374"/>
      <c r="AL699" s="374"/>
      <c r="AM699" s="374"/>
      <c r="AN699" s="379"/>
      <c r="AO699" s="379"/>
      <c r="AP699" s="379"/>
      <c r="AQ699" s="379">
        <f>+FL_1($T$700,$T$698,$G$699,1200,9.28, 1*$F$700)</f>
        <v>0.33477011200000001</v>
      </c>
      <c r="AR699" s="379"/>
      <c r="AS699" s="379"/>
      <c r="AT699" s="379"/>
      <c r="AU699" s="379"/>
      <c r="AV699" s="379"/>
      <c r="AW699" s="374"/>
      <c r="AX699" s="374"/>
      <c r="AY699" s="374"/>
      <c r="AZ699" s="374"/>
      <c r="BA699" s="374"/>
      <c r="BB699" s="306"/>
      <c r="BF699" s="1119"/>
      <c r="BG699" s="1119"/>
      <c r="BH699" s="1119"/>
    </row>
    <row r="700" spans="1:60" ht="14.25">
      <c r="A700" s="378" t="s">
        <v>1781</v>
      </c>
      <c r="B700" s="406" t="s">
        <v>1952</v>
      </c>
      <c r="C700" s="377">
        <f>+$C$698+$G$699</f>
        <v>28150</v>
      </c>
      <c r="D700" s="374"/>
      <c r="E700" s="374"/>
      <c r="F700" s="407">
        <v>0</v>
      </c>
      <c r="G700" s="408"/>
      <c r="H700" s="376"/>
      <c r="I700" s="376"/>
      <c r="J700" s="409"/>
      <c r="K700" s="374"/>
      <c r="L700" s="374" t="s">
        <v>239</v>
      </c>
      <c r="M700" s="374"/>
      <c r="N700" s="376" t="s">
        <v>674</v>
      </c>
      <c r="O700" s="376"/>
      <c r="P700" s="376"/>
      <c r="Q700" s="407">
        <v>0</v>
      </c>
      <c r="R700" s="407">
        <v>0</v>
      </c>
      <c r="S700" s="408"/>
      <c r="T700" s="374">
        <v>30</v>
      </c>
      <c r="U700" s="374"/>
      <c r="V700" s="374"/>
      <c r="W700" s="374">
        <v>1.1000000000000001</v>
      </c>
      <c r="X700" s="374"/>
      <c r="Y700" s="374"/>
      <c r="Z700" s="374"/>
      <c r="AA700" s="374"/>
      <c r="AB700" s="374"/>
      <c r="AC700" s="374" t="s">
        <v>2963</v>
      </c>
      <c r="AD700" s="374"/>
      <c r="AE700" s="374"/>
      <c r="AF700" s="374">
        <v>100</v>
      </c>
      <c r="AG700" s="377">
        <v>28148.2</v>
      </c>
      <c r="AH700" s="454">
        <v>1513</v>
      </c>
      <c r="AI700" s="978">
        <v>-5247</v>
      </c>
      <c r="AJ700" s="454"/>
      <c r="AK700" s="374"/>
      <c r="AL700" s="374"/>
      <c r="AM700" s="374" t="s">
        <v>2021</v>
      </c>
      <c r="AN700" s="379">
        <v>5.25</v>
      </c>
      <c r="AO700" s="379"/>
      <c r="AP700" s="379"/>
      <c r="AQ700" s="379"/>
      <c r="AR700" s="379"/>
      <c r="AS700" s="379"/>
      <c r="AT700" s="379">
        <f>+ab($T$700,$T$698,$T$702,$G$699,$G$701, 1*$F$700,1200)</f>
        <v>7.9442083933778509</v>
      </c>
      <c r="AU700" s="379"/>
      <c r="AV700" s="379"/>
      <c r="AW700" s="374" t="s">
        <v>699</v>
      </c>
      <c r="AX700" s="374" t="s">
        <v>699</v>
      </c>
      <c r="AY700" s="374" t="s">
        <v>699</v>
      </c>
      <c r="AZ700" s="374" t="s">
        <v>699</v>
      </c>
      <c r="BA700" s="374"/>
      <c r="BB700" s="306"/>
      <c r="BF700" s="1119"/>
      <c r="BG700" s="1119"/>
      <c r="BH700" s="1119"/>
    </row>
    <row r="701" spans="1:60" ht="14.25">
      <c r="A701" s="378"/>
      <c r="B701" s="406"/>
      <c r="C701" s="377"/>
      <c r="D701" s="374"/>
      <c r="E701" s="374"/>
      <c r="F701" s="407"/>
      <c r="G701" s="408">
        <v>50</v>
      </c>
      <c r="H701" s="376"/>
      <c r="I701" s="376"/>
      <c r="J701" s="409"/>
      <c r="K701" s="374"/>
      <c r="L701" s="374"/>
      <c r="M701" s="374"/>
      <c r="N701" s="376"/>
      <c r="O701" s="376"/>
      <c r="P701" s="376"/>
      <c r="Q701" s="407"/>
      <c r="R701" s="408"/>
      <c r="S701" s="408">
        <f>AG702-AG700</f>
        <v>51.880000000001019</v>
      </c>
      <c r="T701" s="374"/>
      <c r="U701" s="374"/>
      <c r="V701" s="374"/>
      <c r="W701" s="374"/>
      <c r="X701" s="374"/>
      <c r="Y701" s="374"/>
      <c r="Z701" s="374"/>
      <c r="AA701" s="374"/>
      <c r="AB701" s="374"/>
      <c r="AC701" s="374"/>
      <c r="AD701" s="374"/>
      <c r="AE701" s="374"/>
      <c r="AF701" s="374"/>
      <c r="AG701" s="377" t="s">
        <v>695</v>
      </c>
      <c r="AH701" s="454" t="s">
        <v>695</v>
      </c>
      <c r="AI701" s="978" t="s">
        <v>695</v>
      </c>
      <c r="AJ701" s="454"/>
      <c r="AK701" s="374"/>
      <c r="AL701" s="374"/>
      <c r="AM701" s="374"/>
      <c r="AN701" s="379"/>
      <c r="AO701" s="379"/>
      <c r="AP701" s="379"/>
      <c r="AQ701" s="379">
        <f>+FL_2($T$702,$T$700,$G$701,1200,9.28, 1*$F$702)</f>
        <v>-0.33477011200000001</v>
      </c>
      <c r="AR701" s="379"/>
      <c r="AS701" s="379"/>
      <c r="AT701" s="379"/>
      <c r="AU701" s="379"/>
      <c r="AV701" s="379"/>
      <c r="AW701" s="374"/>
      <c r="AX701" s="374"/>
      <c r="AY701" s="374"/>
      <c r="AZ701" s="374"/>
      <c r="BA701" s="374"/>
      <c r="BB701" s="306"/>
      <c r="BF701" s="1119"/>
      <c r="BG701" s="1119"/>
      <c r="BH701" s="1119"/>
    </row>
    <row r="702" spans="1:60" ht="14.25">
      <c r="A702" s="378" t="s">
        <v>1781</v>
      </c>
      <c r="B702" s="406" t="s">
        <v>1953</v>
      </c>
      <c r="C702" s="377">
        <f>+$C$700+$G$701</f>
        <v>28200</v>
      </c>
      <c r="D702" s="374"/>
      <c r="E702" s="374"/>
      <c r="F702" s="407">
        <v>0</v>
      </c>
      <c r="G702" s="408"/>
      <c r="H702" s="376" t="s">
        <v>1059</v>
      </c>
      <c r="I702" s="376"/>
      <c r="J702" s="409"/>
      <c r="K702" s="374"/>
      <c r="L702" s="374" t="s">
        <v>239</v>
      </c>
      <c r="M702" s="374"/>
      <c r="N702" s="376" t="s">
        <v>673</v>
      </c>
      <c r="O702" s="376"/>
      <c r="P702" s="376"/>
      <c r="Q702" s="407">
        <v>0</v>
      </c>
      <c r="R702" s="407">
        <v>0</v>
      </c>
      <c r="S702" s="408"/>
      <c r="T702" s="374">
        <v>-30</v>
      </c>
      <c r="U702" s="374"/>
      <c r="V702" s="374"/>
      <c r="W702" s="374">
        <v>1.1000000000000001</v>
      </c>
      <c r="X702" s="374"/>
      <c r="Y702" s="374"/>
      <c r="Z702" s="374"/>
      <c r="AA702" s="374"/>
      <c r="AB702" s="374"/>
      <c r="AC702" s="374" t="s">
        <v>2972</v>
      </c>
      <c r="AD702" s="374"/>
      <c r="AE702" s="374"/>
      <c r="AF702" s="374">
        <v>100</v>
      </c>
      <c r="AG702" s="377">
        <v>28200.080000000002</v>
      </c>
      <c r="AH702" s="454">
        <v>1543</v>
      </c>
      <c r="AI702" s="978">
        <v>-5248</v>
      </c>
      <c r="AJ702" s="454"/>
      <c r="AK702" s="374"/>
      <c r="AL702" s="374"/>
      <c r="AM702" s="374" t="s">
        <v>2021</v>
      </c>
      <c r="AN702" s="379">
        <v>5.25</v>
      </c>
      <c r="AO702" s="379"/>
      <c r="AP702" s="379"/>
      <c r="AQ702" s="379"/>
      <c r="AR702" s="379"/>
      <c r="AS702" s="379"/>
      <c r="AT702" s="379">
        <f>+ab($T$702,$T$700,$T$704,$G$701,$G$703, 1*$F$702,1200)</f>
        <v>-7.9442410717051439</v>
      </c>
      <c r="AU702" s="379"/>
      <c r="AV702" s="379"/>
      <c r="AW702" s="374" t="s">
        <v>699</v>
      </c>
      <c r="AX702" s="374" t="s">
        <v>699</v>
      </c>
      <c r="AY702" s="374" t="s">
        <v>699</v>
      </c>
      <c r="AZ702" s="374" t="s">
        <v>699</v>
      </c>
      <c r="BA702" s="374"/>
      <c r="BB702" s="306"/>
      <c r="BF702" s="1119"/>
      <c r="BG702" s="1119"/>
      <c r="BH702" s="1119"/>
    </row>
    <row r="703" spans="1:60" ht="14.25">
      <c r="A703" s="378"/>
      <c r="B703" s="406"/>
      <c r="C703" s="377"/>
      <c r="D703" s="374"/>
      <c r="E703" s="374"/>
      <c r="F703" s="407"/>
      <c r="G703" s="408">
        <v>50</v>
      </c>
      <c r="H703" s="376"/>
      <c r="I703" s="376">
        <f>SUM(G685:G703)</f>
        <v>500</v>
      </c>
      <c r="J703" s="409">
        <f>C702+10</f>
        <v>28210</v>
      </c>
      <c r="K703" s="374" t="s">
        <v>1060</v>
      </c>
      <c r="L703" s="374"/>
      <c r="M703" s="374"/>
      <c r="N703" s="376"/>
      <c r="O703" s="376"/>
      <c r="P703" s="376"/>
      <c r="Q703" s="407"/>
      <c r="R703" s="408"/>
      <c r="S703" s="408">
        <f>AG704-AG702</f>
        <v>48.239999999997963</v>
      </c>
      <c r="T703" s="374"/>
      <c r="U703" s="374"/>
      <c r="V703" s="374"/>
      <c r="W703" s="374"/>
      <c r="X703" s="374"/>
      <c r="Y703" s="374"/>
      <c r="Z703" s="374"/>
      <c r="AA703" s="374"/>
      <c r="AB703" s="374"/>
      <c r="AC703" s="374"/>
      <c r="AD703" s="374"/>
      <c r="AE703" s="374"/>
      <c r="AF703" s="374"/>
      <c r="AG703" s="377" t="s">
        <v>695</v>
      </c>
      <c r="AH703" s="454" t="s">
        <v>695</v>
      </c>
      <c r="AI703" s="978" t="s">
        <v>695</v>
      </c>
      <c r="AJ703" s="454"/>
      <c r="AK703" s="374"/>
      <c r="AL703" s="374"/>
      <c r="AM703" s="374"/>
      <c r="AN703" s="379"/>
      <c r="AO703" s="379"/>
      <c r="AP703" s="379"/>
      <c r="AQ703" s="379">
        <f>+FL_1($T$704,$T$702,$G$703,1200,9.28, 1*$F$704)</f>
        <v>0.33477011200000001</v>
      </c>
      <c r="AR703" s="379"/>
      <c r="AS703" s="379"/>
      <c r="AT703" s="379"/>
      <c r="AU703" s="379"/>
      <c r="AV703" s="379"/>
      <c r="AW703" s="374"/>
      <c r="AX703" s="374"/>
      <c r="AY703" s="374"/>
      <c r="AZ703" s="374"/>
      <c r="BA703" s="374"/>
      <c r="BB703" s="306"/>
      <c r="BF703" s="1119"/>
      <c r="BG703" s="1119"/>
      <c r="BH703" s="1119"/>
    </row>
    <row r="704" spans="1:60" ht="14.25">
      <c r="A704" s="378" t="s">
        <v>1781</v>
      </c>
      <c r="B704" s="406" t="s">
        <v>1954</v>
      </c>
      <c r="C704" s="377">
        <f>+$C$702+$G$703</f>
        <v>28250</v>
      </c>
      <c r="D704" s="374"/>
      <c r="E704" s="374"/>
      <c r="F704" s="407">
        <v>0</v>
      </c>
      <c r="G704" s="408"/>
      <c r="H704" s="376" t="s">
        <v>956</v>
      </c>
      <c r="I704" s="376"/>
      <c r="J704" s="409"/>
      <c r="K704" s="374"/>
      <c r="L704" s="374" t="s">
        <v>239</v>
      </c>
      <c r="M704" s="374"/>
      <c r="N704" s="376" t="s">
        <v>674</v>
      </c>
      <c r="O704" s="376"/>
      <c r="P704" s="376"/>
      <c r="Q704" s="407">
        <v>0</v>
      </c>
      <c r="R704" s="407">
        <v>0</v>
      </c>
      <c r="S704" s="408"/>
      <c r="T704" s="374">
        <v>30</v>
      </c>
      <c r="U704" s="374"/>
      <c r="V704" s="374"/>
      <c r="W704" s="374">
        <v>1.1000000000000001</v>
      </c>
      <c r="X704" s="374"/>
      <c r="Y704" s="374"/>
      <c r="Z704" s="374"/>
      <c r="AA704" s="374"/>
      <c r="AB704" s="374"/>
      <c r="AC704" s="374" t="s">
        <v>2963</v>
      </c>
      <c r="AD704" s="374"/>
      <c r="AE704" s="374"/>
      <c r="AF704" s="374">
        <v>100</v>
      </c>
      <c r="AG704" s="377">
        <v>28248.32</v>
      </c>
      <c r="AH704" s="454">
        <v>1538</v>
      </c>
      <c r="AI704" s="978">
        <v>-5285</v>
      </c>
      <c r="AJ704" s="454"/>
      <c r="AK704" s="374"/>
      <c r="AL704" s="374"/>
      <c r="AM704" s="374" t="s">
        <v>2021</v>
      </c>
      <c r="AN704" s="379">
        <v>5.25</v>
      </c>
      <c r="AO704" s="379"/>
      <c r="AP704" s="379"/>
      <c r="AQ704" s="379"/>
      <c r="AR704" s="379"/>
      <c r="AS704" s="379"/>
      <c r="AT704" s="379">
        <f>+ab($T$704,$T$702,$T$706,$G$703,$G$705, 1*$F$704,1200)</f>
        <v>7.9442083933778509</v>
      </c>
      <c r="AU704" s="379"/>
      <c r="AV704" s="379"/>
      <c r="AW704" s="374" t="s">
        <v>699</v>
      </c>
      <c r="AX704" s="374" t="s">
        <v>699</v>
      </c>
      <c r="AY704" s="374" t="s">
        <v>699</v>
      </c>
      <c r="AZ704" s="374" t="s">
        <v>699</v>
      </c>
      <c r="BA704" s="374"/>
      <c r="BB704" s="306"/>
      <c r="BF704" s="1119"/>
      <c r="BG704" s="1119"/>
      <c r="BH704" s="1119"/>
    </row>
    <row r="705" spans="1:60" ht="14.25">
      <c r="A705" s="378"/>
      <c r="B705" s="406"/>
      <c r="C705" s="377"/>
      <c r="D705" s="374"/>
      <c r="E705" s="374"/>
      <c r="F705" s="407"/>
      <c r="G705" s="408">
        <v>50</v>
      </c>
      <c r="H705" s="376"/>
      <c r="I705" s="376">
        <f>SUM(G705:G721)</f>
        <v>450</v>
      </c>
      <c r="J705" s="409">
        <f>C706-10</f>
        <v>28290</v>
      </c>
      <c r="K705" s="374" t="s">
        <v>1060</v>
      </c>
      <c r="L705" s="374"/>
      <c r="M705" s="374"/>
      <c r="N705" s="376"/>
      <c r="O705" s="376"/>
      <c r="P705" s="376"/>
      <c r="Q705" s="407"/>
      <c r="R705" s="408"/>
      <c r="S705" s="408">
        <f>AG706-AG704</f>
        <v>51.959999999999127</v>
      </c>
      <c r="T705" s="374"/>
      <c r="U705" s="374"/>
      <c r="V705" s="374"/>
      <c r="W705" s="374"/>
      <c r="X705" s="374"/>
      <c r="Y705" s="374"/>
      <c r="Z705" s="374"/>
      <c r="AA705" s="374"/>
      <c r="AB705" s="374"/>
      <c r="AC705" s="374"/>
      <c r="AD705" s="374"/>
      <c r="AE705" s="374"/>
      <c r="AF705" s="374"/>
      <c r="AG705" s="377" t="s">
        <v>695</v>
      </c>
      <c r="AH705" s="454" t="s">
        <v>695</v>
      </c>
      <c r="AI705" s="978" t="s">
        <v>695</v>
      </c>
      <c r="AJ705" s="454"/>
      <c r="AK705" s="374"/>
      <c r="AL705" s="374"/>
      <c r="AM705" s="374"/>
      <c r="AN705" s="379"/>
      <c r="AO705" s="379"/>
      <c r="AP705" s="379"/>
      <c r="AQ705" s="379">
        <f>+FL_2($T$706,$T$704,$G$705,1200,9.28, 1*$F$706)</f>
        <v>-0.33477011200000001</v>
      </c>
      <c r="AR705" s="379"/>
      <c r="AS705" s="379"/>
      <c r="AT705" s="379"/>
      <c r="AU705" s="379"/>
      <c r="AV705" s="379"/>
      <c r="AW705" s="374"/>
      <c r="AX705" s="374"/>
      <c r="AY705" s="374"/>
      <c r="AZ705" s="374"/>
      <c r="BA705" s="374"/>
      <c r="BB705" s="306"/>
      <c r="BF705" s="1119"/>
      <c r="BG705" s="1119"/>
      <c r="BH705" s="1119"/>
    </row>
    <row r="706" spans="1:60" ht="14.25">
      <c r="A706" s="378" t="s">
        <v>1781</v>
      </c>
      <c r="B706" s="406" t="s">
        <v>1955</v>
      </c>
      <c r="C706" s="377">
        <f>+$C$704+$G$705</f>
        <v>28300</v>
      </c>
      <c r="D706" s="374"/>
      <c r="E706" s="374"/>
      <c r="F706" s="407">
        <v>0</v>
      </c>
      <c r="G706" s="408"/>
      <c r="H706" s="376" t="s">
        <v>1059</v>
      </c>
      <c r="I706" s="376"/>
      <c r="J706" s="409"/>
      <c r="K706" s="374"/>
      <c r="L706" s="374" t="s">
        <v>239</v>
      </c>
      <c r="M706" s="374"/>
      <c r="N706" s="376" t="s">
        <v>673</v>
      </c>
      <c r="O706" s="376"/>
      <c r="P706" s="376"/>
      <c r="Q706" s="407">
        <v>0</v>
      </c>
      <c r="R706" s="407">
        <v>0</v>
      </c>
      <c r="S706" s="408"/>
      <c r="T706" s="374">
        <v>-30</v>
      </c>
      <c r="U706" s="374"/>
      <c r="V706" s="374"/>
      <c r="W706" s="374">
        <v>1.1000000000000001</v>
      </c>
      <c r="X706" s="374"/>
      <c r="Y706" s="374"/>
      <c r="Z706" s="374"/>
      <c r="AA706" s="374"/>
      <c r="AB706" s="374"/>
      <c r="AC706" s="374" t="s">
        <v>2963</v>
      </c>
      <c r="AD706" s="374"/>
      <c r="AE706" s="374"/>
      <c r="AF706" s="374">
        <v>100</v>
      </c>
      <c r="AG706" s="377">
        <v>28300.28</v>
      </c>
      <c r="AH706" s="454">
        <v>1531</v>
      </c>
      <c r="AI706" s="978">
        <v>-5292</v>
      </c>
      <c r="AJ706" s="454"/>
      <c r="AK706" s="374"/>
      <c r="AL706" s="374"/>
      <c r="AM706" s="374" t="s">
        <v>2021</v>
      </c>
      <c r="AN706" s="379">
        <v>5.25</v>
      </c>
      <c r="AO706" s="379"/>
      <c r="AP706" s="379"/>
      <c r="AQ706" s="379"/>
      <c r="AR706" s="379"/>
      <c r="AS706" s="379"/>
      <c r="AT706" s="379">
        <f>+ab($T$706,$T$704,$T$708,$G$705,$G$707, 1*$F$706,1200)</f>
        <v>-7.9442410717051439</v>
      </c>
      <c r="AU706" s="379"/>
      <c r="AV706" s="379"/>
      <c r="AW706" s="374" t="s">
        <v>699</v>
      </c>
      <c r="AX706" s="374" t="s">
        <v>699</v>
      </c>
      <c r="AY706" s="374" t="s">
        <v>699</v>
      </c>
      <c r="AZ706" s="374" t="s">
        <v>699</v>
      </c>
      <c r="BA706" s="374"/>
      <c r="BB706" s="306"/>
      <c r="BF706" s="1119"/>
      <c r="BG706" s="1119"/>
      <c r="BH706" s="1119"/>
    </row>
    <row r="707" spans="1:60" ht="14.25">
      <c r="A707" s="378"/>
      <c r="B707" s="406"/>
      <c r="C707" s="377"/>
      <c r="D707" s="374"/>
      <c r="E707" s="374"/>
      <c r="F707" s="407"/>
      <c r="G707" s="408">
        <v>50</v>
      </c>
      <c r="H707" s="376"/>
      <c r="I707" s="376"/>
      <c r="J707" s="409"/>
      <c r="K707" s="374"/>
      <c r="L707" s="374"/>
      <c r="M707" s="374"/>
      <c r="N707" s="376"/>
      <c r="O707" s="376"/>
      <c r="P707" s="376"/>
      <c r="Q707" s="407"/>
      <c r="R707" s="408"/>
      <c r="S707" s="408">
        <f>AG708-AG706</f>
        <v>50.380000000001019</v>
      </c>
      <c r="T707" s="374"/>
      <c r="U707" s="374"/>
      <c r="V707" s="374"/>
      <c r="W707" s="374"/>
      <c r="X707" s="374"/>
      <c r="Y707" s="374"/>
      <c r="Z707" s="374"/>
      <c r="AA707" s="374"/>
      <c r="AB707" s="374"/>
      <c r="AC707" s="374"/>
      <c r="AD707" s="374"/>
      <c r="AE707" s="374"/>
      <c r="AF707" s="374"/>
      <c r="AG707" s="377" t="s">
        <v>695</v>
      </c>
      <c r="AH707" s="454" t="s">
        <v>695</v>
      </c>
      <c r="AI707" s="978" t="s">
        <v>695</v>
      </c>
      <c r="AJ707" s="454"/>
      <c r="AK707" s="374"/>
      <c r="AL707" s="374"/>
      <c r="AM707" s="374"/>
      <c r="AN707" s="379"/>
      <c r="AO707" s="379"/>
      <c r="AP707" s="379"/>
      <c r="AQ707" s="379">
        <f>+FL_1($T$708,$T$706,$G$707,1200,9.28, 1*$F$708)</f>
        <v>0.33477011200000001</v>
      </c>
      <c r="AR707" s="379"/>
      <c r="AS707" s="379"/>
      <c r="AT707" s="379"/>
      <c r="AU707" s="379"/>
      <c r="AV707" s="379"/>
      <c r="AW707" s="374"/>
      <c r="AX707" s="374"/>
      <c r="AY707" s="374"/>
      <c r="AZ707" s="374"/>
      <c r="BA707" s="374"/>
      <c r="BB707" s="306"/>
      <c r="BF707" s="1119"/>
      <c r="BG707" s="1119"/>
      <c r="BH707" s="1119"/>
    </row>
    <row r="708" spans="1:60" ht="14.25">
      <c r="A708" s="378" t="s">
        <v>1781</v>
      </c>
      <c r="B708" s="406" t="s">
        <v>1956</v>
      </c>
      <c r="C708" s="377">
        <f>+$C$706+$G$707</f>
        <v>28350</v>
      </c>
      <c r="D708" s="374"/>
      <c r="E708" s="374"/>
      <c r="F708" s="407">
        <v>0</v>
      </c>
      <c r="G708" s="408"/>
      <c r="H708" s="376"/>
      <c r="I708" s="376"/>
      <c r="J708" s="409"/>
      <c r="K708" s="374"/>
      <c r="L708" s="374" t="s">
        <v>239</v>
      </c>
      <c r="M708" s="374"/>
      <c r="N708" s="376" t="s">
        <v>674</v>
      </c>
      <c r="O708" s="376"/>
      <c r="P708" s="376"/>
      <c r="Q708" s="407">
        <v>0</v>
      </c>
      <c r="R708" s="407">
        <v>0</v>
      </c>
      <c r="S708" s="408"/>
      <c r="T708" s="374">
        <v>30</v>
      </c>
      <c r="U708" s="374"/>
      <c r="V708" s="374"/>
      <c r="W708" s="374">
        <v>1.1000000000000001</v>
      </c>
      <c r="X708" s="374"/>
      <c r="Y708" s="374"/>
      <c r="Z708" s="374"/>
      <c r="AA708" s="374"/>
      <c r="AB708" s="374"/>
      <c r="AC708" s="374" t="s">
        <v>2963</v>
      </c>
      <c r="AD708" s="374"/>
      <c r="AE708" s="374"/>
      <c r="AF708" s="374">
        <v>100</v>
      </c>
      <c r="AG708" s="377">
        <v>28350.66</v>
      </c>
      <c r="AH708" s="454">
        <v>1535</v>
      </c>
      <c r="AI708" s="978">
        <v>-5298</v>
      </c>
      <c r="AJ708" s="454"/>
      <c r="AK708" s="374"/>
      <c r="AL708" s="374"/>
      <c r="AM708" s="374" t="s">
        <v>2021</v>
      </c>
      <c r="AN708" s="379">
        <v>5.25</v>
      </c>
      <c r="AO708" s="379"/>
      <c r="AP708" s="379"/>
      <c r="AQ708" s="379"/>
      <c r="AR708" s="379"/>
      <c r="AS708" s="379"/>
      <c r="AT708" s="379">
        <f>+ab($T$708,$T$706,$T$710,$G$707,$G$709, 1*$F$708,1200)</f>
        <v>7.9442083933778509</v>
      </c>
      <c r="AU708" s="379"/>
      <c r="AV708" s="379"/>
      <c r="AW708" s="374" t="s">
        <v>699</v>
      </c>
      <c r="AX708" s="374" t="s">
        <v>699</v>
      </c>
      <c r="AY708" s="374" t="s">
        <v>699</v>
      </c>
      <c r="AZ708" s="374" t="s">
        <v>699</v>
      </c>
      <c r="BA708" s="374"/>
      <c r="BB708" s="306"/>
      <c r="BF708" s="1119"/>
      <c r="BG708" s="1119"/>
      <c r="BH708" s="1119"/>
    </row>
    <row r="709" spans="1:60" ht="14.25">
      <c r="A709" s="378"/>
      <c r="B709" s="406"/>
      <c r="C709" s="377"/>
      <c r="D709" s="374"/>
      <c r="E709" s="374"/>
      <c r="F709" s="407"/>
      <c r="G709" s="408">
        <v>50</v>
      </c>
      <c r="H709" s="376"/>
      <c r="I709" s="376"/>
      <c r="J709" s="409"/>
      <c r="K709" s="374"/>
      <c r="L709" s="374"/>
      <c r="M709" s="374"/>
      <c r="N709" s="376"/>
      <c r="O709" s="376"/>
      <c r="P709" s="376"/>
      <c r="Q709" s="407"/>
      <c r="R709" s="408"/>
      <c r="S709" s="408">
        <f>AG710-AG708</f>
        <v>49.970000000001164</v>
      </c>
      <c r="T709" s="374"/>
      <c r="U709" s="374"/>
      <c r="V709" s="374"/>
      <c r="W709" s="374"/>
      <c r="X709" s="374"/>
      <c r="Y709" s="374"/>
      <c r="Z709" s="374"/>
      <c r="AA709" s="374"/>
      <c r="AB709" s="374"/>
      <c r="AC709" s="374"/>
      <c r="AD709" s="374"/>
      <c r="AE709" s="374"/>
      <c r="AF709" s="374"/>
      <c r="AG709" s="377" t="s">
        <v>695</v>
      </c>
      <c r="AH709" s="454" t="s">
        <v>695</v>
      </c>
      <c r="AI709" s="978" t="s">
        <v>695</v>
      </c>
      <c r="AJ709" s="454"/>
      <c r="AK709" s="374"/>
      <c r="AL709" s="374"/>
      <c r="AM709" s="374"/>
      <c r="AN709" s="379"/>
      <c r="AO709" s="379"/>
      <c r="AP709" s="379"/>
      <c r="AQ709" s="379">
        <f>+FL_2($T$710,$T$708,$G$709,1200,9.28, 1*$F$710)</f>
        <v>-0.33477011200000001</v>
      </c>
      <c r="AR709" s="379"/>
      <c r="AS709" s="379"/>
      <c r="AT709" s="379"/>
      <c r="AU709" s="379"/>
      <c r="AV709" s="379"/>
      <c r="AW709" s="374"/>
      <c r="AX709" s="374"/>
      <c r="AY709" s="374"/>
      <c r="AZ709" s="374"/>
      <c r="BA709" s="374"/>
      <c r="BB709" s="306"/>
      <c r="BF709" s="1119"/>
      <c r="BG709" s="1119"/>
      <c r="BH709" s="1119"/>
    </row>
    <row r="710" spans="1:60" ht="14.25">
      <c r="A710" s="378" t="s">
        <v>1781</v>
      </c>
      <c r="B710" s="406" t="s">
        <v>1957</v>
      </c>
      <c r="C710" s="377">
        <f>+$C$708+$G$709</f>
        <v>28400</v>
      </c>
      <c r="D710" s="374"/>
      <c r="E710" s="374"/>
      <c r="F710" s="407">
        <v>0</v>
      </c>
      <c r="G710" s="408"/>
      <c r="H710" s="376"/>
      <c r="I710" s="376"/>
      <c r="J710" s="409"/>
      <c r="K710" s="374"/>
      <c r="L710" s="374" t="s">
        <v>239</v>
      </c>
      <c r="M710" s="374"/>
      <c r="N710" s="376" t="s">
        <v>673</v>
      </c>
      <c r="O710" s="376"/>
      <c r="P710" s="376"/>
      <c r="Q710" s="407">
        <v>0</v>
      </c>
      <c r="R710" s="407">
        <v>0</v>
      </c>
      <c r="S710" s="408"/>
      <c r="T710" s="374">
        <v>-30</v>
      </c>
      <c r="U710" s="374"/>
      <c r="V710" s="374"/>
      <c r="W710" s="374">
        <v>1.1000000000000001</v>
      </c>
      <c r="X710" s="374"/>
      <c r="Y710" s="374"/>
      <c r="Z710" s="374"/>
      <c r="AA710" s="374"/>
      <c r="AB710" s="374"/>
      <c r="AC710" s="374" t="s">
        <v>2963</v>
      </c>
      <c r="AD710" s="374"/>
      <c r="AE710" s="374"/>
      <c r="AF710" s="374">
        <v>100</v>
      </c>
      <c r="AG710" s="377">
        <v>28400.63</v>
      </c>
      <c r="AH710" s="454">
        <v>1478</v>
      </c>
      <c r="AI710" s="978">
        <v>-5320</v>
      </c>
      <c r="AJ710" s="454"/>
      <c r="AK710" s="374"/>
      <c r="AL710" s="374"/>
      <c r="AM710" s="374" t="s">
        <v>2021</v>
      </c>
      <c r="AN710" s="379">
        <v>5.25</v>
      </c>
      <c r="AO710" s="379"/>
      <c r="AP710" s="379"/>
      <c r="AQ710" s="379"/>
      <c r="AR710" s="379"/>
      <c r="AS710" s="379"/>
      <c r="AT710" s="379">
        <f>+ab($T$710,$T$708,$T$712,$G$709,$G$711, 1*$F$710,1200)</f>
        <v>-7.9442410717051439</v>
      </c>
      <c r="AU710" s="379"/>
      <c r="AV710" s="379"/>
      <c r="AW710" s="374" t="s">
        <v>699</v>
      </c>
      <c r="AX710" s="374" t="s">
        <v>699</v>
      </c>
      <c r="AY710" s="374" t="s">
        <v>699</v>
      </c>
      <c r="AZ710" s="374" t="s">
        <v>699</v>
      </c>
      <c r="BA710" s="374"/>
      <c r="BB710" s="306"/>
      <c r="BF710" s="1119"/>
      <c r="BG710" s="1119"/>
      <c r="BH710" s="1119"/>
    </row>
    <row r="711" spans="1:60" ht="14.25">
      <c r="A711" s="378"/>
      <c r="B711" s="406"/>
      <c r="C711" s="377"/>
      <c r="D711" s="374"/>
      <c r="E711" s="374"/>
      <c r="F711" s="407"/>
      <c r="G711" s="408">
        <v>50</v>
      </c>
      <c r="H711" s="376"/>
      <c r="I711" s="376"/>
      <c r="J711" s="409"/>
      <c r="K711" s="374"/>
      <c r="L711" s="374"/>
      <c r="M711" s="374"/>
      <c r="N711" s="376"/>
      <c r="O711" s="376"/>
      <c r="P711" s="376"/>
      <c r="Q711" s="407"/>
      <c r="R711" s="408"/>
      <c r="S711" s="408">
        <f>AG712-AG710</f>
        <v>49.909999999999854</v>
      </c>
      <c r="T711" s="374"/>
      <c r="U711" s="374"/>
      <c r="V711" s="374"/>
      <c r="W711" s="374"/>
      <c r="X711" s="374"/>
      <c r="Y711" s="374"/>
      <c r="Z711" s="374"/>
      <c r="AA711" s="374"/>
      <c r="AB711" s="374"/>
      <c r="AC711" s="374"/>
      <c r="AD711" s="374"/>
      <c r="AE711" s="374"/>
      <c r="AF711" s="374"/>
      <c r="AG711" s="377" t="s">
        <v>695</v>
      </c>
      <c r="AH711" s="454" t="s">
        <v>695</v>
      </c>
      <c r="AI711" s="978" t="s">
        <v>695</v>
      </c>
      <c r="AJ711" s="454"/>
      <c r="AK711" s="374"/>
      <c r="AL711" s="374"/>
      <c r="AM711" s="374"/>
      <c r="AN711" s="379"/>
      <c r="AO711" s="379"/>
      <c r="AP711" s="379"/>
      <c r="AQ711" s="379">
        <f>+FL_1($T$712,$T$710,$G$711,1200,9.28, 1*$F$712)</f>
        <v>0.33477011200000001</v>
      </c>
      <c r="AR711" s="379"/>
      <c r="AS711" s="379"/>
      <c r="AT711" s="379"/>
      <c r="AU711" s="379"/>
      <c r="AV711" s="379"/>
      <c r="AW711" s="374"/>
      <c r="AX711" s="374"/>
      <c r="AY711" s="374"/>
      <c r="AZ711" s="374"/>
      <c r="BA711" s="374"/>
      <c r="BB711" s="306"/>
      <c r="BF711" s="1119"/>
      <c r="BG711" s="1119"/>
      <c r="BH711" s="1119"/>
    </row>
    <row r="712" spans="1:60" ht="14.25">
      <c r="A712" s="378" t="s">
        <v>1781</v>
      </c>
      <c r="B712" s="406" t="s">
        <v>1958</v>
      </c>
      <c r="C712" s="377">
        <f>+$C$710+$G$711</f>
        <v>28450</v>
      </c>
      <c r="D712" s="374"/>
      <c r="E712" s="374"/>
      <c r="F712" s="407">
        <v>0</v>
      </c>
      <c r="G712" s="408"/>
      <c r="H712" s="376"/>
      <c r="I712" s="376"/>
      <c r="J712" s="409"/>
      <c r="K712" s="374"/>
      <c r="L712" s="374" t="s">
        <v>239</v>
      </c>
      <c r="M712" s="374"/>
      <c r="N712" s="376" t="s">
        <v>674</v>
      </c>
      <c r="O712" s="376"/>
      <c r="P712" s="376"/>
      <c r="Q712" s="407">
        <v>0</v>
      </c>
      <c r="R712" s="407">
        <v>0</v>
      </c>
      <c r="S712" s="408"/>
      <c r="T712" s="374">
        <v>30</v>
      </c>
      <c r="U712" s="374"/>
      <c r="V712" s="374"/>
      <c r="W712" s="374">
        <v>1.1000000000000001</v>
      </c>
      <c r="X712" s="374"/>
      <c r="Y712" s="374"/>
      <c r="Z712" s="374"/>
      <c r="AA712" s="374"/>
      <c r="AB712" s="374"/>
      <c r="AC712" s="374" t="s">
        <v>2963</v>
      </c>
      <c r="AD712" s="374"/>
      <c r="AE712" s="374"/>
      <c r="AF712" s="374">
        <v>100</v>
      </c>
      <c r="AG712" s="377">
        <v>28450.54</v>
      </c>
      <c r="AH712" s="454">
        <v>1493</v>
      </c>
      <c r="AI712" s="978">
        <v>-5282</v>
      </c>
      <c r="AJ712" s="454"/>
      <c r="AK712" s="374"/>
      <c r="AL712" s="374"/>
      <c r="AM712" s="374" t="s">
        <v>2021</v>
      </c>
      <c r="AN712" s="379">
        <v>5.25</v>
      </c>
      <c r="AO712" s="379"/>
      <c r="AP712" s="379"/>
      <c r="AQ712" s="379"/>
      <c r="AR712" s="379"/>
      <c r="AS712" s="379"/>
      <c r="AT712" s="379">
        <f>+ab($T$712,$T$710,$T$714,$G$711,$G$713, 1*$F$712,1200)</f>
        <v>7.9442083933778509</v>
      </c>
      <c r="AU712" s="379"/>
      <c r="AV712" s="379"/>
      <c r="AW712" s="374" t="s">
        <v>699</v>
      </c>
      <c r="AX712" s="374" t="s">
        <v>699</v>
      </c>
      <c r="AY712" s="374" t="s">
        <v>699</v>
      </c>
      <c r="AZ712" s="374" t="s">
        <v>699</v>
      </c>
      <c r="BA712" s="374"/>
      <c r="BB712" s="306"/>
      <c r="BF712" s="1119"/>
      <c r="BG712" s="1119"/>
      <c r="BH712" s="1119"/>
    </row>
    <row r="713" spans="1:60" ht="14.25">
      <c r="A713" s="378"/>
      <c r="B713" s="406"/>
      <c r="C713" s="377"/>
      <c r="D713" s="374"/>
      <c r="E713" s="374"/>
      <c r="F713" s="407"/>
      <c r="G713" s="408">
        <v>50</v>
      </c>
      <c r="H713" s="376"/>
      <c r="I713" s="376"/>
      <c r="J713" s="409"/>
      <c r="K713" s="374"/>
      <c r="L713" s="374"/>
      <c r="M713" s="374"/>
      <c r="N713" s="376"/>
      <c r="O713" s="376"/>
      <c r="P713" s="376"/>
      <c r="Q713" s="374"/>
      <c r="R713" s="408"/>
      <c r="S713" s="408">
        <f>AG714-AG712</f>
        <v>50.169999999998254</v>
      </c>
      <c r="T713" s="374"/>
      <c r="U713" s="374"/>
      <c r="V713" s="374"/>
      <c r="W713" s="374"/>
      <c r="X713" s="374"/>
      <c r="Y713" s="374"/>
      <c r="Z713" s="374"/>
      <c r="AA713" s="374"/>
      <c r="AB713" s="374"/>
      <c r="AC713" s="374"/>
      <c r="AD713" s="374"/>
      <c r="AE713" s="374"/>
      <c r="AF713" s="374"/>
      <c r="AG713" s="377" t="s">
        <v>695</v>
      </c>
      <c r="AH713" s="454" t="s">
        <v>695</v>
      </c>
      <c r="AI713" s="978" t="s">
        <v>695</v>
      </c>
      <c r="AJ713" s="454"/>
      <c r="AK713" s="374"/>
      <c r="AL713" s="374"/>
      <c r="AM713" s="374"/>
      <c r="AN713" s="379"/>
      <c r="AO713" s="379"/>
      <c r="AP713" s="379"/>
      <c r="AQ713" s="379">
        <f>+FL_2($T$714,$T$712,$G$713,1200,9.28, 1*$F$714)</f>
        <v>-0.33477011200000001</v>
      </c>
      <c r="AR713" s="379"/>
      <c r="AS713" s="379"/>
      <c r="AT713" s="379"/>
      <c r="AU713" s="379"/>
      <c r="AV713" s="379"/>
      <c r="AW713" s="374"/>
      <c r="AX713" s="374"/>
      <c r="AY713" s="374"/>
      <c r="AZ713" s="374"/>
      <c r="BA713" s="374"/>
      <c r="BB713" s="306"/>
      <c r="BF713" s="1119"/>
      <c r="BG713" s="1119"/>
      <c r="BH713" s="1119"/>
    </row>
    <row r="714" spans="1:60" ht="14.25">
      <c r="A714" s="378" t="s">
        <v>1781</v>
      </c>
      <c r="B714" s="406" t="s">
        <v>1959</v>
      </c>
      <c r="C714" s="377">
        <f>+$C$712+$G$713</f>
        <v>28500</v>
      </c>
      <c r="D714" s="374"/>
      <c r="E714" s="374"/>
      <c r="F714" s="407">
        <v>0</v>
      </c>
      <c r="G714" s="408"/>
      <c r="H714" s="376"/>
      <c r="I714" s="376"/>
      <c r="J714" s="409"/>
      <c r="K714" s="374"/>
      <c r="L714" s="374" t="s">
        <v>239</v>
      </c>
      <c r="M714" s="374"/>
      <c r="N714" s="376" t="s">
        <v>673</v>
      </c>
      <c r="O714" s="376"/>
      <c r="P714" s="376"/>
      <c r="Q714" s="374">
        <v>-2</v>
      </c>
      <c r="R714" s="408">
        <v>-92485.462890196752</v>
      </c>
      <c r="S714" s="408"/>
      <c r="T714" s="374">
        <v>-30</v>
      </c>
      <c r="U714" s="374"/>
      <c r="V714" s="374"/>
      <c r="W714" s="374">
        <v>1.1000000000000001</v>
      </c>
      <c r="X714" s="374"/>
      <c r="Y714" s="374"/>
      <c r="Z714" s="374"/>
      <c r="AA714" s="374"/>
      <c r="AB714" s="374"/>
      <c r="AC714" s="374" t="s">
        <v>2965</v>
      </c>
      <c r="AD714" s="374"/>
      <c r="AE714" s="374"/>
      <c r="AF714" s="374">
        <v>100</v>
      </c>
      <c r="AG714" s="377">
        <v>28500.71</v>
      </c>
      <c r="AH714" s="454">
        <v>1575</v>
      </c>
      <c r="AI714" s="978">
        <v>-5173</v>
      </c>
      <c r="AJ714" s="454"/>
      <c r="AK714" s="374"/>
      <c r="AL714" s="374"/>
      <c r="AM714" s="374" t="s">
        <v>2021</v>
      </c>
      <c r="AN714" s="379">
        <v>5.25</v>
      </c>
      <c r="AO714" s="379"/>
      <c r="AP714" s="379"/>
      <c r="AQ714" s="379"/>
      <c r="AR714" s="379"/>
      <c r="AS714" s="379"/>
      <c r="AT714" s="379">
        <f>+ab($T$714,$T$712,$T$716,$G$713,$G$715, 1*$F$714,1200)</f>
        <v>-7.9442410717051439</v>
      </c>
      <c r="AU714" s="379"/>
      <c r="AV714" s="379"/>
      <c r="AW714" s="374" t="s">
        <v>699</v>
      </c>
      <c r="AX714" s="374" t="s">
        <v>699</v>
      </c>
      <c r="AY714" s="374" t="s">
        <v>699</v>
      </c>
      <c r="AZ714" s="374" t="s">
        <v>699</v>
      </c>
      <c r="BA714" s="374"/>
      <c r="BB714" s="306"/>
      <c r="BF714" s="1119"/>
      <c r="BG714" s="1119"/>
      <c r="BH714" s="1119"/>
    </row>
    <row r="715" spans="1:60" ht="14.25">
      <c r="A715" s="378"/>
      <c r="B715" s="406"/>
      <c r="C715" s="377"/>
      <c r="D715" s="374"/>
      <c r="E715" s="374"/>
      <c r="F715" s="407"/>
      <c r="G715" s="408">
        <v>50</v>
      </c>
      <c r="H715" s="376"/>
      <c r="I715" s="376"/>
      <c r="J715" s="409"/>
      <c r="K715" s="374"/>
      <c r="L715" s="374"/>
      <c r="M715" s="374"/>
      <c r="N715" s="376"/>
      <c r="O715" s="376"/>
      <c r="P715" s="376"/>
      <c r="Q715" s="374"/>
      <c r="R715" s="408"/>
      <c r="S715" s="408">
        <f>AG716-AG714</f>
        <v>50.280000000002474</v>
      </c>
      <c r="T715" s="374"/>
      <c r="U715" s="374"/>
      <c r="V715" s="374"/>
      <c r="W715" s="374"/>
      <c r="X715" s="374"/>
      <c r="Y715" s="374"/>
      <c r="Z715" s="374"/>
      <c r="AA715" s="374"/>
      <c r="AB715" s="374"/>
      <c r="AC715" s="374"/>
      <c r="AD715" s="374"/>
      <c r="AE715" s="374"/>
      <c r="AF715" s="374"/>
      <c r="AG715" s="377" t="s">
        <v>695</v>
      </c>
      <c r="AH715" s="454" t="s">
        <v>695</v>
      </c>
      <c r="AI715" s="978" t="s">
        <v>695</v>
      </c>
      <c r="AJ715" s="454"/>
      <c r="AK715" s="374"/>
      <c r="AL715" s="374"/>
      <c r="AM715" s="374"/>
      <c r="AN715" s="379"/>
      <c r="AO715" s="379"/>
      <c r="AP715" s="379"/>
      <c r="AQ715" s="379">
        <f>+FL_2($T$716,$T$714,$G$715,1200,9.28, 1*$F$716)</f>
        <v>-0.31097726529270558</v>
      </c>
      <c r="AR715" s="379"/>
      <c r="AS715" s="379"/>
      <c r="AT715" s="379"/>
      <c r="AU715" s="379"/>
      <c r="AV715" s="379"/>
      <c r="AW715" s="374"/>
      <c r="AX715" s="374"/>
      <c r="AY715" s="374"/>
      <c r="AZ715" s="374"/>
      <c r="BA715" s="374"/>
      <c r="BB715" s="306"/>
      <c r="BF715" s="1119"/>
      <c r="BG715" s="1119"/>
      <c r="BH715" s="1119"/>
    </row>
    <row r="716" spans="1:60" ht="14.25">
      <c r="A716" s="378" t="s">
        <v>1781</v>
      </c>
      <c r="B716" s="406" t="s">
        <v>1960</v>
      </c>
      <c r="C716" s="377">
        <f>+$C$714+$G$715</f>
        <v>28550</v>
      </c>
      <c r="D716" s="374"/>
      <c r="E716" s="374"/>
      <c r="F716" s="407">
        <f>-380000/(C716-28495)</f>
        <v>-6909.090909090909</v>
      </c>
      <c r="G716" s="408"/>
      <c r="H716" s="376" t="s">
        <v>138</v>
      </c>
      <c r="I716" s="376" t="s">
        <v>912</v>
      </c>
      <c r="J716" s="409"/>
      <c r="K716" s="374"/>
      <c r="L716" s="374" t="s">
        <v>239</v>
      </c>
      <c r="M716" s="374"/>
      <c r="N716" s="376" t="s">
        <v>674</v>
      </c>
      <c r="O716" s="376"/>
      <c r="P716" s="376"/>
      <c r="Q716" s="374">
        <v>-22</v>
      </c>
      <c r="R716" s="408">
        <v>-8654.0981231406968</v>
      </c>
      <c r="S716" s="408"/>
      <c r="T716" s="374">
        <v>30</v>
      </c>
      <c r="U716" s="374"/>
      <c r="V716" s="374"/>
      <c r="W716" s="374">
        <v>1.1000000000000001</v>
      </c>
      <c r="X716" s="374"/>
      <c r="Y716" s="374"/>
      <c r="Z716" s="374"/>
      <c r="AA716" s="374"/>
      <c r="AB716" s="374"/>
      <c r="AC716" s="374" t="s">
        <v>1704</v>
      </c>
      <c r="AD716" s="374"/>
      <c r="AE716" s="374"/>
      <c r="AF716" s="374">
        <v>100</v>
      </c>
      <c r="AG716" s="377">
        <v>28550.99</v>
      </c>
      <c r="AH716" s="454">
        <v>1535</v>
      </c>
      <c r="AI716" s="978">
        <v>-5162</v>
      </c>
      <c r="AJ716" s="454"/>
      <c r="AK716" s="374"/>
      <c r="AL716" s="374"/>
      <c r="AM716" s="374" t="s">
        <v>2021</v>
      </c>
      <c r="AN716" s="379">
        <v>5.25</v>
      </c>
      <c r="AO716" s="379"/>
      <c r="AP716" s="379"/>
      <c r="AQ716" s="379"/>
      <c r="AR716" s="379"/>
      <c r="AS716" s="379"/>
      <c r="AT716" s="379">
        <f>+ab($T$716,$T$714,$T$718,$G$715,$G$717, 1*$F$716,1200)</f>
        <v>15.892497399667986</v>
      </c>
      <c r="AU716" s="379"/>
      <c r="AV716" s="379"/>
      <c r="AW716" s="374" t="s">
        <v>699</v>
      </c>
      <c r="AX716" s="374" t="s">
        <v>699</v>
      </c>
      <c r="AY716" s="374" t="s">
        <v>699</v>
      </c>
      <c r="AZ716" s="374" t="s">
        <v>699</v>
      </c>
      <c r="BA716" s="374"/>
      <c r="BB716" s="306"/>
      <c r="BF716" s="1119"/>
      <c r="BG716" s="1119"/>
      <c r="BH716" s="1119"/>
    </row>
    <row r="717" spans="1:60" ht="14.25">
      <c r="A717" s="378"/>
      <c r="B717" s="406"/>
      <c r="C717" s="377"/>
      <c r="D717" s="374"/>
      <c r="E717" s="374"/>
      <c r="F717" s="407"/>
      <c r="G717" s="408">
        <v>50</v>
      </c>
      <c r="H717" s="376"/>
      <c r="I717" s="376"/>
      <c r="J717" s="409">
        <f>C716+10</f>
        <v>28560</v>
      </c>
      <c r="K717" s="374" t="s">
        <v>1055</v>
      </c>
      <c r="L717" s="374"/>
      <c r="M717" s="374"/>
      <c r="N717" s="376"/>
      <c r="O717" s="376"/>
      <c r="P717" s="376"/>
      <c r="Q717" s="374"/>
      <c r="R717" s="408"/>
      <c r="S717" s="408">
        <f>AG718-AG716</f>
        <v>49.909999999999854</v>
      </c>
      <c r="T717" s="374"/>
      <c r="U717" s="374"/>
      <c r="V717" s="374"/>
      <c r="W717" s="374"/>
      <c r="X717" s="374"/>
      <c r="Y717" s="374"/>
      <c r="Z717" s="374"/>
      <c r="AA717" s="374"/>
      <c r="AB717" s="374"/>
      <c r="AC717" s="374"/>
      <c r="AD717" s="374"/>
      <c r="AE717" s="374"/>
      <c r="AF717" s="374"/>
      <c r="AG717" s="377" t="s">
        <v>695</v>
      </c>
      <c r="AH717" s="454" t="s">
        <v>695</v>
      </c>
      <c r="AI717" s="978" t="s">
        <v>695</v>
      </c>
      <c r="AJ717" s="454"/>
      <c r="AK717" s="374"/>
      <c r="AL717" s="374"/>
      <c r="AM717" s="374"/>
      <c r="AN717" s="379"/>
      <c r="AO717" s="379"/>
      <c r="AP717" s="379"/>
      <c r="AQ717" s="379">
        <f>+FL_1($U$718,$T$716,$G$717,1200,9.28, 1*$F$718)</f>
        <v>0.41065435926861965</v>
      </c>
      <c r="AR717" s="379"/>
      <c r="AS717" s="379"/>
      <c r="AT717" s="379"/>
      <c r="AU717" s="379"/>
      <c r="AV717" s="379"/>
      <c r="AW717" s="374"/>
      <c r="AX717" s="374"/>
      <c r="AY717" s="374"/>
      <c r="AZ717" s="374"/>
      <c r="BA717" s="374"/>
      <c r="BB717" s="306"/>
      <c r="BF717" s="1119"/>
      <c r="BG717" s="1119"/>
      <c r="BH717" s="1119"/>
    </row>
    <row r="718" spans="1:60" ht="14.25">
      <c r="A718" s="378" t="s">
        <v>1781</v>
      </c>
      <c r="B718" s="406" t="s">
        <v>1961</v>
      </c>
      <c r="C718" s="377">
        <f>+$C$716+$G$717</f>
        <v>28600</v>
      </c>
      <c r="D718" s="374"/>
      <c r="E718" s="374"/>
      <c r="F718" s="407">
        <f>-380000/(C718-28495)</f>
        <v>-3619.0476190476193</v>
      </c>
      <c r="G718" s="408"/>
      <c r="H718" s="376" t="s">
        <v>651</v>
      </c>
      <c r="I718" s="376"/>
      <c r="J718" s="409"/>
      <c r="K718" s="374"/>
      <c r="L718" s="374" t="s">
        <v>458</v>
      </c>
      <c r="M718" s="374"/>
      <c r="N718" s="376" t="s">
        <v>675</v>
      </c>
      <c r="O718" s="376" t="s">
        <v>673</v>
      </c>
      <c r="P718" s="376"/>
      <c r="Q718" s="374">
        <v>-41</v>
      </c>
      <c r="R718" s="408">
        <v>-4555.1558946619225</v>
      </c>
      <c r="S718" s="408">
        <f>AG719-AG718</f>
        <v>1.680000000000291</v>
      </c>
      <c r="T718" s="374">
        <v>-5</v>
      </c>
      <c r="U718" s="374">
        <v>-25</v>
      </c>
      <c r="V718" s="374"/>
      <c r="W718" s="374">
        <v>1.1000000000000001</v>
      </c>
      <c r="X718" s="374">
        <v>1.2</v>
      </c>
      <c r="Y718" s="374"/>
      <c r="Z718" s="374">
        <v>0.45</v>
      </c>
      <c r="AA718" s="374"/>
      <c r="AB718" s="374"/>
      <c r="AC718" s="374"/>
      <c r="AD718" s="374" t="s">
        <v>1704</v>
      </c>
      <c r="AE718" s="374"/>
      <c r="AF718" s="374">
        <v>100</v>
      </c>
      <c r="AG718" s="377">
        <v>28600.9</v>
      </c>
      <c r="AH718" s="454">
        <v>1571</v>
      </c>
      <c r="AI718" s="978">
        <v>-5228</v>
      </c>
      <c r="AJ718" s="454"/>
      <c r="AK718" s="374"/>
      <c r="AL718" s="374"/>
      <c r="AM718" s="374" t="s">
        <v>2021</v>
      </c>
      <c r="AN718" s="379">
        <v>5.25</v>
      </c>
      <c r="AO718" s="379"/>
      <c r="AP718" s="379"/>
      <c r="AQ718" s="379"/>
      <c r="AR718" s="379"/>
      <c r="AS718" s="379"/>
      <c r="AT718" s="379">
        <f>+ab($U$718,$T$716,$U$720,$G$717,$G$719, 1*$F$718,1200)</f>
        <v>-7.6862418286953673</v>
      </c>
      <c r="AU718" s="379"/>
      <c r="AV718" s="379"/>
      <c r="AW718" s="374" t="s">
        <v>699</v>
      </c>
      <c r="AX718" s="374" t="s">
        <v>699</v>
      </c>
      <c r="AY718" s="374" t="s">
        <v>699</v>
      </c>
      <c r="AZ718" s="374" t="s">
        <v>699</v>
      </c>
      <c r="BA718" s="374"/>
      <c r="BB718" s="306"/>
      <c r="BF718" s="1119"/>
      <c r="BG718" s="1119"/>
      <c r="BH718" s="1119"/>
    </row>
    <row r="719" spans="1:60" ht="14.25">
      <c r="A719" s="378"/>
      <c r="B719" s="406"/>
      <c r="C719" s="377"/>
      <c r="D719" s="374"/>
      <c r="E719" s="374"/>
      <c r="F719" s="407"/>
      <c r="G719" s="408">
        <v>50</v>
      </c>
      <c r="H719" s="376"/>
      <c r="I719" s="376"/>
      <c r="J719" s="409"/>
      <c r="K719" s="374"/>
      <c r="L719" s="374"/>
      <c r="M719" s="374"/>
      <c r="N719" s="376"/>
      <c r="O719" s="376"/>
      <c r="P719" s="376"/>
      <c r="Q719" s="374"/>
      <c r="R719" s="408"/>
      <c r="S719" s="408">
        <f t="shared" ref="S719:S720" si="153">AG720-AG719</f>
        <v>48.099999999998545</v>
      </c>
      <c r="T719" s="374"/>
      <c r="U719" s="374"/>
      <c r="V719" s="374"/>
      <c r="W719" s="374"/>
      <c r="X719" s="374"/>
      <c r="Y719" s="374"/>
      <c r="Z719" s="374"/>
      <c r="AA719" s="374"/>
      <c r="AB719" s="374"/>
      <c r="AC719" s="374"/>
      <c r="AD719" s="374"/>
      <c r="AE719" s="374"/>
      <c r="AF719" s="374">
        <v>100</v>
      </c>
      <c r="AG719" s="377">
        <v>28602.58</v>
      </c>
      <c r="AH719" s="454">
        <v>1607</v>
      </c>
      <c r="AI719" s="978">
        <v>-5211</v>
      </c>
      <c r="AJ719" s="454"/>
      <c r="AK719" s="374"/>
      <c r="AL719" s="374"/>
      <c r="AM719" s="374"/>
      <c r="AN719" s="379"/>
      <c r="AO719" s="379"/>
      <c r="AP719" s="379"/>
      <c r="AQ719" s="379">
        <f>+FL_2($T$720,$U$718,$G$719,1200,9.28, 1*$F$720)</f>
        <v>-0.28608889641774043</v>
      </c>
      <c r="AR719" s="379"/>
      <c r="AS719" s="379"/>
      <c r="AT719" s="379"/>
      <c r="AU719" s="379"/>
      <c r="AV719" s="379"/>
      <c r="AW719" s="374"/>
      <c r="AX719" s="374"/>
      <c r="AY719" s="374"/>
      <c r="AZ719" s="374"/>
      <c r="BA719" s="374"/>
      <c r="BB719" s="306"/>
      <c r="BF719" s="1119"/>
      <c r="BG719" s="1119"/>
      <c r="BH719" s="1119"/>
    </row>
    <row r="720" spans="1:60" ht="14.25">
      <c r="A720" s="378" t="s">
        <v>1781</v>
      </c>
      <c r="B720" s="406" t="s">
        <v>1962</v>
      </c>
      <c r="C720" s="377">
        <f>+$C$718+$G$719</f>
        <v>28650</v>
      </c>
      <c r="D720" s="374"/>
      <c r="E720" s="374"/>
      <c r="F720" s="407">
        <f>-380000/(C720-28495)</f>
        <v>-2451.6129032258063</v>
      </c>
      <c r="G720" s="408"/>
      <c r="H720" s="376" t="s">
        <v>651</v>
      </c>
      <c r="I720" s="376"/>
      <c r="J720" s="409"/>
      <c r="K720" s="374"/>
      <c r="L720" s="374" t="s">
        <v>458</v>
      </c>
      <c r="M720" s="374"/>
      <c r="N720" s="376" t="s">
        <v>673</v>
      </c>
      <c r="O720" s="376" t="s">
        <v>675</v>
      </c>
      <c r="P720" s="376"/>
      <c r="Q720" s="374">
        <v>-61</v>
      </c>
      <c r="R720" s="408">
        <v>-3093.5380595764377</v>
      </c>
      <c r="S720" s="408">
        <f t="shared" si="153"/>
        <v>1.9399999999986903</v>
      </c>
      <c r="T720" s="374">
        <v>-5</v>
      </c>
      <c r="U720" s="374">
        <v>-25</v>
      </c>
      <c r="V720" s="374"/>
      <c r="W720" s="374">
        <v>1.1000000000000001</v>
      </c>
      <c r="X720" s="374">
        <v>1.2</v>
      </c>
      <c r="Y720" s="374"/>
      <c r="Z720" s="374"/>
      <c r="AA720" s="374">
        <v>0.45</v>
      </c>
      <c r="AB720" s="374"/>
      <c r="AC720" s="374" t="s">
        <v>1700</v>
      </c>
      <c r="AD720" s="374"/>
      <c r="AE720" s="374"/>
      <c r="AF720" s="374">
        <v>100</v>
      </c>
      <c r="AG720" s="377">
        <v>28650.68</v>
      </c>
      <c r="AH720" s="454">
        <v>1513</v>
      </c>
      <c r="AI720" s="978">
        <v>-5237</v>
      </c>
      <c r="AJ720" s="454"/>
      <c r="AK720" s="374"/>
      <c r="AL720" s="374"/>
      <c r="AM720" s="374" t="s">
        <v>2021</v>
      </c>
      <c r="AN720" s="379">
        <v>5.25</v>
      </c>
      <c r="AO720" s="379"/>
      <c r="AP720" s="379"/>
      <c r="AQ720" s="379"/>
      <c r="AR720" s="379"/>
      <c r="AS720" s="379"/>
      <c r="AT720" s="379">
        <f>+ab($T$720,$T$718,$T$722,$G$719,$G$721, 1*$F$720,1200)</f>
        <v>-12.273575082756935</v>
      </c>
      <c r="AU720" s="379"/>
      <c r="AV720" s="379"/>
      <c r="AW720" s="374" t="s">
        <v>699</v>
      </c>
      <c r="AX720" s="374" t="s">
        <v>699</v>
      </c>
      <c r="AY720" s="374" t="s">
        <v>699</v>
      </c>
      <c r="AZ720" s="374" t="s">
        <v>699</v>
      </c>
      <c r="BA720" s="374"/>
      <c r="BB720" s="306"/>
      <c r="BF720" s="1119"/>
      <c r="BG720" s="1119"/>
      <c r="BH720" s="1119"/>
    </row>
    <row r="721" spans="1:60" ht="14.25">
      <c r="A721" s="378"/>
      <c r="B721" s="406"/>
      <c r="C721" s="377"/>
      <c r="D721" s="374"/>
      <c r="E721" s="374"/>
      <c r="F721" s="407"/>
      <c r="G721" s="408">
        <v>50</v>
      </c>
      <c r="H721" s="376"/>
      <c r="I721" s="376"/>
      <c r="J721" s="409">
        <f>C722-10</f>
        <v>28690</v>
      </c>
      <c r="K721" s="374" t="s">
        <v>1055</v>
      </c>
      <c r="L721" s="374"/>
      <c r="M721" s="374"/>
      <c r="N721" s="376"/>
      <c r="O721" s="376"/>
      <c r="P721" s="376"/>
      <c r="Q721" s="374"/>
      <c r="R721" s="408"/>
      <c r="S721" s="408">
        <f>AG722-AG721</f>
        <v>48.330000000001746</v>
      </c>
      <c r="T721" s="374"/>
      <c r="U721" s="374"/>
      <c r="V721" s="374"/>
      <c r="W721" s="374"/>
      <c r="X721" s="374"/>
      <c r="Y721" s="374"/>
      <c r="Z721" s="374"/>
      <c r="AA721" s="374"/>
      <c r="AB721" s="374"/>
      <c r="AC721" s="374"/>
      <c r="AD721" s="374"/>
      <c r="AE721" s="374"/>
      <c r="AF721" s="374">
        <v>100</v>
      </c>
      <c r="AG721" s="377">
        <v>28652.62</v>
      </c>
      <c r="AH721" s="454">
        <v>1527</v>
      </c>
      <c r="AI721" s="978">
        <v>-5228</v>
      </c>
      <c r="AJ721" s="454"/>
      <c r="AK721" s="374"/>
      <c r="AL721" s="374"/>
      <c r="AM721" s="374"/>
      <c r="AN721" s="379"/>
      <c r="AO721" s="379"/>
      <c r="AP721" s="379"/>
      <c r="AQ721" s="379">
        <f>+FL_2($T$722,$T$720,$G$721,1200,9.28, 1*$F$722)</f>
        <v>-0.30153144981726915</v>
      </c>
      <c r="AR721" s="379"/>
      <c r="AS721" s="379"/>
      <c r="AT721" s="379"/>
      <c r="AU721" s="379"/>
      <c r="AV721" s="379"/>
      <c r="AW721" s="374"/>
      <c r="AX721" s="374"/>
      <c r="AY721" s="374"/>
      <c r="AZ721" s="374"/>
      <c r="BA721" s="374"/>
      <c r="BB721" s="306"/>
      <c r="BF721" s="1119"/>
      <c r="BG721" s="1119"/>
      <c r="BH721" s="1119"/>
    </row>
    <row r="722" spans="1:60" ht="14.25">
      <c r="A722" s="378" t="s">
        <v>1781</v>
      </c>
      <c r="B722" s="406" t="s">
        <v>1963</v>
      </c>
      <c r="C722" s="377">
        <f>+$C$720+$G$721</f>
        <v>28700</v>
      </c>
      <c r="D722" s="374"/>
      <c r="E722" s="374"/>
      <c r="F722" s="407">
        <f>-380000/(C722-28495)</f>
        <v>-1853.6585365853659</v>
      </c>
      <c r="G722" s="408"/>
      <c r="H722" s="376" t="s">
        <v>138</v>
      </c>
      <c r="I722" s="376" t="s">
        <v>912</v>
      </c>
      <c r="J722" s="409"/>
      <c r="K722" s="374"/>
      <c r="L722" s="374" t="s">
        <v>239</v>
      </c>
      <c r="M722" s="374"/>
      <c r="N722" s="376" t="s">
        <v>673</v>
      </c>
      <c r="O722" s="376"/>
      <c r="P722" s="376"/>
      <c r="Q722" s="374">
        <v>-81</v>
      </c>
      <c r="R722" s="408">
        <v>-2336.5260323316993</v>
      </c>
      <c r="S722" s="408"/>
      <c r="T722" s="374">
        <v>-30</v>
      </c>
      <c r="U722" s="374"/>
      <c r="V722" s="374"/>
      <c r="W722" s="374">
        <v>1.1000000000000001</v>
      </c>
      <c r="X722" s="374"/>
      <c r="Y722" s="374"/>
      <c r="Z722" s="374"/>
      <c r="AA722" s="374"/>
      <c r="AB722" s="374"/>
      <c r="AC722" s="374" t="s">
        <v>2963</v>
      </c>
      <c r="AD722" s="374"/>
      <c r="AE722" s="374"/>
      <c r="AF722" s="374">
        <v>100</v>
      </c>
      <c r="AG722" s="377">
        <v>28700.95</v>
      </c>
      <c r="AH722" s="454">
        <v>1538</v>
      </c>
      <c r="AI722" s="978">
        <v>-5254</v>
      </c>
      <c r="AJ722" s="454"/>
      <c r="AK722" s="374"/>
      <c r="AL722" s="374"/>
      <c r="AM722" s="374" t="s">
        <v>2021</v>
      </c>
      <c r="AN722" s="379">
        <v>5.25</v>
      </c>
      <c r="AO722" s="379"/>
      <c r="AP722" s="379"/>
      <c r="AQ722" s="379"/>
      <c r="AR722" s="379"/>
      <c r="AS722" s="379"/>
      <c r="AT722" s="379">
        <f>+ab($T$722,$T$720,$T$724,$G$721,$G$723, 1*$F$722,1200)</f>
        <v>-5.9797748041989962</v>
      </c>
      <c r="AU722" s="379"/>
      <c r="AV722" s="379"/>
      <c r="AW722" s="374" t="s">
        <v>699</v>
      </c>
      <c r="AX722" s="374" t="s">
        <v>699</v>
      </c>
      <c r="AY722" s="374" t="s">
        <v>699</v>
      </c>
      <c r="AZ722" s="374" t="s">
        <v>699</v>
      </c>
      <c r="BA722" s="374"/>
      <c r="BB722" s="306"/>
      <c r="BF722" s="1119"/>
      <c r="BG722" s="1119"/>
      <c r="BH722" s="1119"/>
    </row>
    <row r="723" spans="1:60" ht="14.25">
      <c r="A723" s="378"/>
      <c r="B723" s="406"/>
      <c r="C723" s="377"/>
      <c r="D723" s="374"/>
      <c r="E723" s="374"/>
      <c r="F723" s="407"/>
      <c r="G723" s="408">
        <v>50</v>
      </c>
      <c r="H723" s="376"/>
      <c r="I723" s="376"/>
      <c r="J723" s="409"/>
      <c r="K723" s="374"/>
      <c r="L723" s="374"/>
      <c r="M723" s="374"/>
      <c r="N723" s="376"/>
      <c r="O723" s="376"/>
      <c r="P723" s="376"/>
      <c r="Q723" s="374"/>
      <c r="R723" s="408"/>
      <c r="S723" s="408">
        <f>AG724-AG722</f>
        <v>50.159999999999854</v>
      </c>
      <c r="T723" s="374"/>
      <c r="U723" s="374"/>
      <c r="V723" s="374"/>
      <c r="W723" s="374"/>
      <c r="X723" s="374"/>
      <c r="Y723" s="374"/>
      <c r="Z723" s="374"/>
      <c r="AA723" s="374"/>
      <c r="AB723" s="374"/>
      <c r="AC723" s="374"/>
      <c r="AD723" s="374"/>
      <c r="AE723" s="374"/>
      <c r="AF723" s="374"/>
      <c r="AG723" s="377" t="s">
        <v>695</v>
      </c>
      <c r="AH723" s="454" t="s">
        <v>695</v>
      </c>
      <c r="AI723" s="978" t="s">
        <v>695</v>
      </c>
      <c r="AJ723" s="454"/>
      <c r="AK723" s="374"/>
      <c r="AL723" s="374"/>
      <c r="AM723" s="374"/>
      <c r="AN723" s="379"/>
      <c r="AO723" s="379"/>
      <c r="AP723" s="379"/>
      <c r="AQ723" s="379">
        <f>+FL_2($T$724,$T$722,$G$723,1200,9.28, 1*$F$724)</f>
        <v>-0.38541056267414808</v>
      </c>
      <c r="AR723" s="379"/>
      <c r="AS723" s="379"/>
      <c r="AT723" s="379"/>
      <c r="AU723" s="379"/>
      <c r="AV723" s="379"/>
      <c r="AW723" s="374"/>
      <c r="AX723" s="374"/>
      <c r="AY723" s="374"/>
      <c r="AZ723" s="374"/>
      <c r="BA723" s="374"/>
      <c r="BB723" s="306"/>
      <c r="BF723" s="1119"/>
      <c r="BG723" s="1119"/>
      <c r="BH723" s="1119"/>
    </row>
    <row r="724" spans="1:60" ht="14.25">
      <c r="A724" s="378" t="s">
        <v>1781</v>
      </c>
      <c r="B724" s="406" t="s">
        <v>1964</v>
      </c>
      <c r="C724" s="377">
        <f>+$C$722+$G$723</f>
        <v>28750</v>
      </c>
      <c r="D724" s="374"/>
      <c r="E724" s="374">
        <v>-90</v>
      </c>
      <c r="F724" s="407">
        <v>-2000</v>
      </c>
      <c r="G724" s="408"/>
      <c r="H724" s="376"/>
      <c r="I724" s="376"/>
      <c r="J724" s="409"/>
      <c r="K724" s="374"/>
      <c r="L724" s="374" t="s">
        <v>239</v>
      </c>
      <c r="M724" s="374"/>
      <c r="N724" s="376" t="s">
        <v>673</v>
      </c>
      <c r="O724" s="376"/>
      <c r="P724" s="376"/>
      <c r="Q724" s="374">
        <v>-90</v>
      </c>
      <c r="R724" s="408">
        <v>-2000</v>
      </c>
      <c r="S724" s="408"/>
      <c r="T724" s="374">
        <v>-30</v>
      </c>
      <c r="U724" s="374"/>
      <c r="V724" s="374"/>
      <c r="W724" s="374">
        <v>1.1000000000000001</v>
      </c>
      <c r="X724" s="374"/>
      <c r="Y724" s="374"/>
      <c r="Z724" s="374"/>
      <c r="AA724" s="374"/>
      <c r="AB724" s="374"/>
      <c r="AC724" s="374" t="s">
        <v>2963</v>
      </c>
      <c r="AD724" s="374"/>
      <c r="AE724" s="374"/>
      <c r="AF724" s="374">
        <v>100</v>
      </c>
      <c r="AG724" s="377">
        <v>28751.11</v>
      </c>
      <c r="AH724" s="454">
        <v>1508</v>
      </c>
      <c r="AI724" s="978">
        <v>-5318</v>
      </c>
      <c r="AJ724" s="454"/>
      <c r="AK724" s="374"/>
      <c r="AL724" s="374"/>
      <c r="AM724" s="374" t="s">
        <v>2021</v>
      </c>
      <c r="AN724" s="379">
        <v>5.25</v>
      </c>
      <c r="AO724" s="379"/>
      <c r="AP724" s="379"/>
      <c r="AQ724" s="379"/>
      <c r="AR724" s="379"/>
      <c r="AS724" s="379"/>
      <c r="AT724" s="379">
        <f>+ab($T$724,$T$722,$T$726,$G$723,$G$725, 1*$F$724,1200)</f>
        <v>-7.6302760504335234</v>
      </c>
      <c r="AU724" s="379"/>
      <c r="AV724" s="379"/>
      <c r="AW724" s="374" t="s">
        <v>699</v>
      </c>
      <c r="AX724" s="374" t="s">
        <v>699</v>
      </c>
      <c r="AY724" s="374" t="s">
        <v>699</v>
      </c>
      <c r="AZ724" s="374" t="s">
        <v>699</v>
      </c>
      <c r="BA724" s="374"/>
      <c r="BB724" s="306"/>
      <c r="BF724" s="1119"/>
      <c r="BG724" s="1119"/>
      <c r="BH724" s="1119"/>
    </row>
    <row r="725" spans="1:60" ht="14.25">
      <c r="A725" s="378"/>
      <c r="B725" s="406"/>
      <c r="C725" s="377"/>
      <c r="D725" s="374"/>
      <c r="E725" s="374"/>
      <c r="F725" s="407"/>
      <c r="G725" s="408">
        <v>50</v>
      </c>
      <c r="H725" s="376"/>
      <c r="I725" s="376"/>
      <c r="J725" s="409"/>
      <c r="K725" s="374"/>
      <c r="L725" s="374"/>
      <c r="M725" s="374"/>
      <c r="N725" s="376"/>
      <c r="O725" s="376"/>
      <c r="P725" s="376"/>
      <c r="Q725" s="374"/>
      <c r="R725" s="408"/>
      <c r="S725" s="408">
        <f>AG726-AG724</f>
        <v>49.799999999999272</v>
      </c>
      <c r="T725" s="374"/>
      <c r="U725" s="374"/>
      <c r="V725" s="374"/>
      <c r="W725" s="374"/>
      <c r="X725" s="374"/>
      <c r="Y725" s="374"/>
      <c r="Z725" s="374"/>
      <c r="AA725" s="374"/>
      <c r="AB725" s="374"/>
      <c r="AC725" s="374"/>
      <c r="AD725" s="374"/>
      <c r="AE725" s="374"/>
      <c r="AF725" s="374"/>
      <c r="AG725" s="377" t="s">
        <v>695</v>
      </c>
      <c r="AH725" s="454" t="s">
        <v>695</v>
      </c>
      <c r="AI725" s="978" t="s">
        <v>695</v>
      </c>
      <c r="AJ725" s="454"/>
      <c r="AK725" s="374"/>
      <c r="AL725" s="374"/>
      <c r="AM725" s="374"/>
      <c r="AN725" s="379"/>
      <c r="AO725" s="379"/>
      <c r="AP725" s="379"/>
      <c r="AQ725" s="379">
        <f>+FL_2($T$726,$T$724,$G$725,1200,9.28, 1*$F$726)</f>
        <v>-0.38541056267414808</v>
      </c>
      <c r="AR725" s="379"/>
      <c r="AS725" s="379"/>
      <c r="AT725" s="379"/>
      <c r="AU725" s="379"/>
      <c r="AV725" s="379"/>
      <c r="AW725" s="374"/>
      <c r="AX725" s="374"/>
      <c r="AY725" s="374"/>
      <c r="AZ725" s="374"/>
      <c r="BA725" s="374"/>
      <c r="BB725" s="306"/>
      <c r="BF725" s="1119"/>
      <c r="BG725" s="1119"/>
      <c r="BH725" s="1119"/>
    </row>
    <row r="726" spans="1:60" ht="14.25">
      <c r="A726" s="378" t="s">
        <v>1781</v>
      </c>
      <c r="B726" s="406" t="s">
        <v>1965</v>
      </c>
      <c r="C726" s="377">
        <f>+$C$724+$G$725</f>
        <v>28800</v>
      </c>
      <c r="D726" s="374"/>
      <c r="E726" s="374">
        <v>-90</v>
      </c>
      <c r="F726" s="407">
        <v>-2000</v>
      </c>
      <c r="G726" s="408"/>
      <c r="H726" s="376"/>
      <c r="I726" s="376"/>
      <c r="J726" s="409"/>
      <c r="K726" s="374"/>
      <c r="L726" s="374" t="s">
        <v>239</v>
      </c>
      <c r="M726" s="374"/>
      <c r="N726" s="376" t="s">
        <v>673</v>
      </c>
      <c r="O726" s="376"/>
      <c r="P726" s="376"/>
      <c r="Q726" s="374">
        <v>-90</v>
      </c>
      <c r="R726" s="408">
        <v>-2000</v>
      </c>
      <c r="S726" s="408"/>
      <c r="T726" s="374">
        <v>-30</v>
      </c>
      <c r="U726" s="374"/>
      <c r="V726" s="374"/>
      <c r="W726" s="374">
        <v>1.1000000000000001</v>
      </c>
      <c r="X726" s="374"/>
      <c r="Y726" s="374"/>
      <c r="Z726" s="374"/>
      <c r="AA726" s="374"/>
      <c r="AB726" s="374"/>
      <c r="AC726" s="374" t="s">
        <v>2963</v>
      </c>
      <c r="AD726" s="374"/>
      <c r="AE726" s="374"/>
      <c r="AF726" s="374">
        <v>100</v>
      </c>
      <c r="AG726" s="377">
        <v>28800.91</v>
      </c>
      <c r="AH726" s="454">
        <v>1465</v>
      </c>
      <c r="AI726" s="978">
        <v>-5297</v>
      </c>
      <c r="AJ726" s="454"/>
      <c r="AK726" s="374"/>
      <c r="AL726" s="374"/>
      <c r="AM726" s="374" t="s">
        <v>2021</v>
      </c>
      <c r="AN726" s="379">
        <v>5.25</v>
      </c>
      <c r="AO726" s="379"/>
      <c r="AP726" s="379"/>
      <c r="AQ726" s="379"/>
      <c r="AR726" s="379"/>
      <c r="AS726" s="379"/>
      <c r="AT726" s="379">
        <f>+ab($T$726,$T$724,$T$728,$G$725,$G$727, 1*$F$726,1200)</f>
        <v>-7.6302760504335234</v>
      </c>
      <c r="AU726" s="379"/>
      <c r="AV726" s="379"/>
      <c r="AW726" s="374" t="s">
        <v>699</v>
      </c>
      <c r="AX726" s="374" t="s">
        <v>699</v>
      </c>
      <c r="AY726" s="374" t="s">
        <v>699</v>
      </c>
      <c r="AZ726" s="374" t="s">
        <v>699</v>
      </c>
      <c r="BA726" s="374"/>
      <c r="BB726" s="306"/>
      <c r="BF726" s="1119"/>
      <c r="BG726" s="1119"/>
      <c r="BH726" s="1119"/>
    </row>
    <row r="727" spans="1:60" ht="14.25">
      <c r="A727" s="378"/>
      <c r="B727" s="406"/>
      <c r="C727" s="377"/>
      <c r="D727" s="374"/>
      <c r="E727" s="374"/>
      <c r="F727" s="407"/>
      <c r="G727" s="408">
        <v>50</v>
      </c>
      <c r="H727" s="376"/>
      <c r="I727" s="376"/>
      <c r="J727" s="409"/>
      <c r="K727" s="374"/>
      <c r="L727" s="374"/>
      <c r="M727" s="374"/>
      <c r="N727" s="376"/>
      <c r="O727" s="376"/>
      <c r="P727" s="376"/>
      <c r="Q727" s="374"/>
      <c r="R727" s="408"/>
      <c r="S727" s="408">
        <f>AG728-AG726</f>
        <v>50.299999999999272</v>
      </c>
      <c r="T727" s="374"/>
      <c r="U727" s="374"/>
      <c r="V727" s="374"/>
      <c r="W727" s="374"/>
      <c r="X727" s="374"/>
      <c r="Y727" s="374"/>
      <c r="Z727" s="374"/>
      <c r="AA727" s="374"/>
      <c r="AB727" s="374"/>
      <c r="AC727" s="374"/>
      <c r="AD727" s="374"/>
      <c r="AE727" s="374"/>
      <c r="AF727" s="374"/>
      <c r="AG727" s="377" t="s">
        <v>695</v>
      </c>
      <c r="AH727" s="454" t="s">
        <v>695</v>
      </c>
      <c r="AI727" s="978" t="s">
        <v>695</v>
      </c>
      <c r="AJ727" s="454"/>
      <c r="AK727" s="374"/>
      <c r="AL727" s="374"/>
      <c r="AM727" s="374"/>
      <c r="AN727" s="379"/>
      <c r="AO727" s="379"/>
      <c r="AP727" s="379"/>
      <c r="AQ727" s="379">
        <f>+FL_2($T$728,$T$726,$G$727,1200,9.28, 1*$F$728)</f>
        <v>-0.38541056267414808</v>
      </c>
      <c r="AR727" s="379"/>
      <c r="AS727" s="379"/>
      <c r="AT727" s="379"/>
      <c r="AU727" s="379"/>
      <c r="AV727" s="379"/>
      <c r="AW727" s="374"/>
      <c r="AX727" s="374"/>
      <c r="AY727" s="374"/>
      <c r="AZ727" s="374"/>
      <c r="BA727" s="374"/>
      <c r="BB727" s="306"/>
      <c r="BF727" s="1119"/>
      <c r="BG727" s="1119"/>
      <c r="BH727" s="1119"/>
    </row>
    <row r="728" spans="1:60" ht="14.25">
      <c r="A728" s="378" t="s">
        <v>1781</v>
      </c>
      <c r="B728" s="406" t="s">
        <v>1966</v>
      </c>
      <c r="C728" s="377">
        <f>+$C$726+$G$727</f>
        <v>28850</v>
      </c>
      <c r="D728" s="374"/>
      <c r="E728" s="374">
        <v>-90</v>
      </c>
      <c r="F728" s="407">
        <v>-2000</v>
      </c>
      <c r="G728" s="408"/>
      <c r="H728" s="376"/>
      <c r="I728" s="376"/>
      <c r="J728" s="409"/>
      <c r="K728" s="374"/>
      <c r="L728" s="374" t="s">
        <v>239</v>
      </c>
      <c r="M728" s="374"/>
      <c r="N728" s="376" t="s">
        <v>673</v>
      </c>
      <c r="O728" s="376"/>
      <c r="P728" s="376"/>
      <c r="Q728" s="374">
        <v>-90</v>
      </c>
      <c r="R728" s="408">
        <v>-2000</v>
      </c>
      <c r="S728" s="408"/>
      <c r="T728" s="374">
        <v>-30</v>
      </c>
      <c r="U728" s="374"/>
      <c r="V728" s="374"/>
      <c r="W728" s="374">
        <v>1.1000000000000001</v>
      </c>
      <c r="X728" s="374"/>
      <c r="Y728" s="374"/>
      <c r="Z728" s="374"/>
      <c r="AA728" s="374"/>
      <c r="AB728" s="374"/>
      <c r="AC728" s="374" t="s">
        <v>2963</v>
      </c>
      <c r="AD728" s="374"/>
      <c r="AE728" s="374"/>
      <c r="AF728" s="374">
        <v>100</v>
      </c>
      <c r="AG728" s="377">
        <v>28851.21</v>
      </c>
      <c r="AH728" s="454">
        <v>1418</v>
      </c>
      <c r="AI728" s="978">
        <v>-5303</v>
      </c>
      <c r="AJ728" s="454"/>
      <c r="AK728" s="374"/>
      <c r="AL728" s="374"/>
      <c r="AM728" s="374" t="s">
        <v>2021</v>
      </c>
      <c r="AN728" s="379">
        <v>5.25</v>
      </c>
      <c r="AO728" s="379"/>
      <c r="AP728" s="379"/>
      <c r="AQ728" s="379"/>
      <c r="AR728" s="379"/>
      <c r="AS728" s="379"/>
      <c r="AT728" s="379">
        <f>+ab($T$728,$T$726,$T$730,$G$727,$G$729, 1*$F$728,1200)</f>
        <v>-7.6302760504335234</v>
      </c>
      <c r="AU728" s="379"/>
      <c r="AV728" s="379"/>
      <c r="AW728" s="374" t="s">
        <v>699</v>
      </c>
      <c r="AX728" s="374" t="s">
        <v>699</v>
      </c>
      <c r="AY728" s="374" t="s">
        <v>699</v>
      </c>
      <c r="AZ728" s="374" t="s">
        <v>699</v>
      </c>
      <c r="BA728" s="374"/>
      <c r="BB728" s="306"/>
      <c r="BF728" s="1119"/>
      <c r="BG728" s="1119"/>
      <c r="BH728" s="1119"/>
    </row>
    <row r="729" spans="1:60" ht="14.25">
      <c r="A729" s="378"/>
      <c r="B729" s="406"/>
      <c r="C729" s="377"/>
      <c r="D729" s="374"/>
      <c r="E729" s="374"/>
      <c r="F729" s="407"/>
      <c r="G729" s="408">
        <v>50</v>
      </c>
      <c r="H729" s="376"/>
      <c r="I729" s="376"/>
      <c r="J729" s="409"/>
      <c r="K729" s="374"/>
      <c r="L729" s="374"/>
      <c r="M729" s="374"/>
      <c r="N729" s="376"/>
      <c r="O729" s="376"/>
      <c r="P729" s="376"/>
      <c r="Q729" s="374"/>
      <c r="R729" s="408"/>
      <c r="S729" s="408">
        <f>AG730-AG728</f>
        <v>49.81000000000131</v>
      </c>
      <c r="T729" s="374"/>
      <c r="U729" s="374"/>
      <c r="V729" s="374"/>
      <c r="W729" s="374"/>
      <c r="X729" s="374"/>
      <c r="Y729" s="374"/>
      <c r="Z729" s="374"/>
      <c r="AA729" s="374"/>
      <c r="AB729" s="374"/>
      <c r="AC729" s="374"/>
      <c r="AD729" s="374"/>
      <c r="AE729" s="374"/>
      <c r="AF729" s="374"/>
      <c r="AG729" s="377" t="s">
        <v>695</v>
      </c>
      <c r="AH729" s="454" t="s">
        <v>695</v>
      </c>
      <c r="AI729" s="978" t="s">
        <v>695</v>
      </c>
      <c r="AJ729" s="454"/>
      <c r="AK729" s="374"/>
      <c r="AL729" s="374"/>
      <c r="AM729" s="374"/>
      <c r="AN729" s="379"/>
      <c r="AO729" s="379"/>
      <c r="AP729" s="379"/>
      <c r="AQ729" s="379">
        <f>+FL_2($T$730,$T$728,$G$729,1200,9.28, 1*$F$730)</f>
        <v>-0.38541056267414808</v>
      </c>
      <c r="AR729" s="379"/>
      <c r="AS729" s="379"/>
      <c r="AT729" s="379"/>
      <c r="AU729" s="379"/>
      <c r="AV729" s="379"/>
      <c r="AW729" s="374"/>
      <c r="AX729" s="374"/>
      <c r="AY729" s="374"/>
      <c r="AZ729" s="374"/>
      <c r="BA729" s="374"/>
      <c r="BB729" s="306"/>
      <c r="BF729" s="1119"/>
      <c r="BG729" s="1119"/>
      <c r="BH729" s="1119"/>
    </row>
    <row r="730" spans="1:60" ht="14.25">
      <c r="A730" s="378" t="s">
        <v>1781</v>
      </c>
      <c r="B730" s="406" t="s">
        <v>1967</v>
      </c>
      <c r="C730" s="377">
        <f>+$C$728+$G$729</f>
        <v>28900</v>
      </c>
      <c r="D730" s="374"/>
      <c r="E730" s="374">
        <v>-90</v>
      </c>
      <c r="F730" s="407">
        <v>-2000</v>
      </c>
      <c r="G730" s="408"/>
      <c r="H730" s="376"/>
      <c r="I730" s="376"/>
      <c r="J730" s="409"/>
      <c r="K730" s="374"/>
      <c r="L730" s="374" t="s">
        <v>239</v>
      </c>
      <c r="M730" s="374"/>
      <c r="N730" s="376" t="s">
        <v>673</v>
      </c>
      <c r="O730" s="376"/>
      <c r="P730" s="376"/>
      <c r="Q730" s="374">
        <v>-90</v>
      </c>
      <c r="R730" s="408">
        <v>-2000</v>
      </c>
      <c r="S730" s="408"/>
      <c r="T730" s="374">
        <v>-30</v>
      </c>
      <c r="U730" s="374"/>
      <c r="V730" s="374"/>
      <c r="W730" s="374">
        <v>1.1000000000000001</v>
      </c>
      <c r="X730" s="374"/>
      <c r="Y730" s="374"/>
      <c r="Z730" s="374"/>
      <c r="AA730" s="374"/>
      <c r="AB730" s="374"/>
      <c r="AC730" s="374" t="s">
        <v>2963</v>
      </c>
      <c r="AD730" s="374"/>
      <c r="AE730" s="374"/>
      <c r="AF730" s="374">
        <v>100</v>
      </c>
      <c r="AG730" s="377">
        <v>28901.02</v>
      </c>
      <c r="AH730" s="454">
        <v>1412</v>
      </c>
      <c r="AI730" s="978">
        <v>-5330</v>
      </c>
      <c r="AJ730" s="454"/>
      <c r="AK730" s="374"/>
      <c r="AL730" s="374"/>
      <c r="AM730" s="374" t="s">
        <v>2021</v>
      </c>
      <c r="AN730" s="379">
        <v>5.25</v>
      </c>
      <c r="AO730" s="379"/>
      <c r="AP730" s="379"/>
      <c r="AQ730" s="379"/>
      <c r="AR730" s="379"/>
      <c r="AS730" s="379"/>
      <c r="AT730" s="379">
        <f>+ab($T$730,$T$728,$T$732,$G$729,$G$731, 1*$F$730,1200)</f>
        <v>-7.6302760504335234</v>
      </c>
      <c r="AU730" s="379"/>
      <c r="AV730" s="379"/>
      <c r="AW730" s="374" t="s">
        <v>699</v>
      </c>
      <c r="AX730" s="374" t="s">
        <v>699</v>
      </c>
      <c r="AY730" s="374" t="s">
        <v>699</v>
      </c>
      <c r="AZ730" s="374" t="s">
        <v>699</v>
      </c>
      <c r="BA730" s="374"/>
      <c r="BB730" s="306"/>
      <c r="BF730" s="1119"/>
      <c r="BG730" s="1119"/>
      <c r="BH730" s="1119"/>
    </row>
    <row r="731" spans="1:60" ht="14.25">
      <c r="A731" s="378"/>
      <c r="B731" s="406"/>
      <c r="C731" s="377"/>
      <c r="D731" s="374"/>
      <c r="E731" s="374"/>
      <c r="F731" s="407"/>
      <c r="G731" s="408">
        <v>50</v>
      </c>
      <c r="H731" s="376"/>
      <c r="I731" s="376"/>
      <c r="J731" s="409"/>
      <c r="K731" s="374"/>
      <c r="L731" s="374"/>
      <c r="M731" s="374"/>
      <c r="N731" s="376"/>
      <c r="O731" s="376"/>
      <c r="P731" s="376"/>
      <c r="Q731" s="374"/>
      <c r="R731" s="408"/>
      <c r="S731" s="408">
        <f>AG732-AG730</f>
        <v>48.290000000000873</v>
      </c>
      <c r="T731" s="374"/>
      <c r="U731" s="374"/>
      <c r="V731" s="374"/>
      <c r="W731" s="374"/>
      <c r="X731" s="374"/>
      <c r="Y731" s="374"/>
      <c r="Z731" s="374"/>
      <c r="AA731" s="374"/>
      <c r="AB731" s="374"/>
      <c r="AC731" s="374"/>
      <c r="AD731" s="374"/>
      <c r="AE731" s="374"/>
      <c r="AF731" s="374"/>
      <c r="AG731" s="377" t="s">
        <v>695</v>
      </c>
      <c r="AH731" s="454" t="s">
        <v>695</v>
      </c>
      <c r="AI731" s="978" t="s">
        <v>695</v>
      </c>
      <c r="AJ731" s="454"/>
      <c r="AK731" s="374"/>
      <c r="AL731" s="374"/>
      <c r="AM731" s="374"/>
      <c r="AN731" s="379"/>
      <c r="AO731" s="379"/>
      <c r="AP731" s="379"/>
      <c r="AQ731" s="379">
        <f>+FL_2($T$732,$T$730,$G$731,1200,9.28, 1*$F$732)</f>
        <v>-0.38541056267414808</v>
      </c>
      <c r="AR731" s="379"/>
      <c r="AS731" s="379"/>
      <c r="AT731" s="379"/>
      <c r="AU731" s="379"/>
      <c r="AV731" s="379"/>
      <c r="AW731" s="374"/>
      <c r="AX731" s="374"/>
      <c r="AY731" s="374"/>
      <c r="AZ731" s="374"/>
      <c r="BA731" s="374"/>
      <c r="BB731" s="306"/>
      <c r="BF731" s="1119"/>
      <c r="BG731" s="1119"/>
      <c r="BH731" s="1119"/>
    </row>
    <row r="732" spans="1:60" ht="14.25">
      <c r="A732" s="378" t="s">
        <v>1781</v>
      </c>
      <c r="B732" s="406" t="s">
        <v>1968</v>
      </c>
      <c r="C732" s="377">
        <f>+$C$730+$G$731</f>
        <v>28950</v>
      </c>
      <c r="D732" s="374"/>
      <c r="E732" s="374">
        <v>-90</v>
      </c>
      <c r="F732" s="407">
        <v>-2000</v>
      </c>
      <c r="G732" s="408"/>
      <c r="H732" s="376"/>
      <c r="I732" s="376"/>
      <c r="J732" s="409"/>
      <c r="K732" s="374"/>
      <c r="L732" s="374" t="s">
        <v>239</v>
      </c>
      <c r="M732" s="374"/>
      <c r="N732" s="376" t="s">
        <v>673</v>
      </c>
      <c r="O732" s="376"/>
      <c r="P732" s="376"/>
      <c r="Q732" s="374">
        <v>-90</v>
      </c>
      <c r="R732" s="408">
        <v>-2000</v>
      </c>
      <c r="S732" s="408"/>
      <c r="T732" s="374">
        <v>-30</v>
      </c>
      <c r="U732" s="374"/>
      <c r="V732" s="374"/>
      <c r="W732" s="374">
        <v>1.1000000000000001</v>
      </c>
      <c r="X732" s="374"/>
      <c r="Y732" s="374"/>
      <c r="Z732" s="374"/>
      <c r="AA732" s="374"/>
      <c r="AB732" s="374"/>
      <c r="AC732" s="374" t="s">
        <v>2963</v>
      </c>
      <c r="AD732" s="374"/>
      <c r="AE732" s="374"/>
      <c r="AF732" s="374">
        <v>100</v>
      </c>
      <c r="AG732" s="377">
        <v>28949.31</v>
      </c>
      <c r="AH732" s="454">
        <v>1382</v>
      </c>
      <c r="AI732" s="978">
        <v>-5341</v>
      </c>
      <c r="AJ732" s="454"/>
      <c r="AK732" s="374"/>
      <c r="AL732" s="374"/>
      <c r="AM732" s="374" t="s">
        <v>2021</v>
      </c>
      <c r="AN732" s="379">
        <v>5.25</v>
      </c>
      <c r="AO732" s="379"/>
      <c r="AP732" s="379"/>
      <c r="AQ732" s="379"/>
      <c r="AR732" s="379"/>
      <c r="AS732" s="379"/>
      <c r="AT732" s="379">
        <f>+ab($T$732,$T$730,$T$734,$G$731,$G$733, 1*$F$732,1200)</f>
        <v>-7.6302760504335234</v>
      </c>
      <c r="AU732" s="379"/>
      <c r="AV732" s="379"/>
      <c r="AW732" s="374" t="s">
        <v>699</v>
      </c>
      <c r="AX732" s="374" t="s">
        <v>699</v>
      </c>
      <c r="AY732" s="374" t="s">
        <v>699</v>
      </c>
      <c r="AZ732" s="374" t="s">
        <v>699</v>
      </c>
      <c r="BA732" s="374"/>
      <c r="BB732" s="306"/>
      <c r="BF732" s="1119"/>
      <c r="BG732" s="1119"/>
      <c r="BH732" s="1119"/>
    </row>
    <row r="733" spans="1:60" ht="14.25">
      <c r="A733" s="378"/>
      <c r="B733" s="406"/>
      <c r="C733" s="377"/>
      <c r="D733" s="374"/>
      <c r="E733" s="374"/>
      <c r="F733" s="407"/>
      <c r="G733" s="408">
        <v>50</v>
      </c>
      <c r="H733" s="376"/>
      <c r="I733" s="376"/>
      <c r="J733" s="409"/>
      <c r="K733" s="374"/>
      <c r="L733" s="374"/>
      <c r="M733" s="374"/>
      <c r="N733" s="376"/>
      <c r="O733" s="376"/>
      <c r="P733" s="376"/>
      <c r="Q733" s="374"/>
      <c r="R733" s="408"/>
      <c r="S733" s="408">
        <f>AG734-AG732</f>
        <v>50.009999999998399</v>
      </c>
      <c r="T733" s="374"/>
      <c r="U733" s="374"/>
      <c r="V733" s="374"/>
      <c r="W733" s="374"/>
      <c r="X733" s="374"/>
      <c r="Y733" s="374"/>
      <c r="Z733" s="374"/>
      <c r="AA733" s="374"/>
      <c r="AB733" s="374"/>
      <c r="AC733" s="374"/>
      <c r="AD733" s="374"/>
      <c r="AE733" s="374"/>
      <c r="AF733" s="374"/>
      <c r="AG733" s="377" t="s">
        <v>695</v>
      </c>
      <c r="AH733" s="454" t="s">
        <v>695</v>
      </c>
      <c r="AI733" s="978" t="s">
        <v>695</v>
      </c>
      <c r="AJ733" s="454"/>
      <c r="AK733" s="374"/>
      <c r="AL733" s="374"/>
      <c r="AM733" s="374"/>
      <c r="AN733" s="379"/>
      <c r="AO733" s="379"/>
      <c r="AP733" s="379"/>
      <c r="AQ733" s="379">
        <f>+FL_2($T$734,$T$732,$G$733,1200,9.28, 1*$F$734)</f>
        <v>-0.38541056267414808</v>
      </c>
      <c r="AR733" s="379"/>
      <c r="AS733" s="379"/>
      <c r="AT733" s="379"/>
      <c r="AU733" s="379"/>
      <c r="AV733" s="379"/>
      <c r="AW733" s="374"/>
      <c r="AX733" s="374"/>
      <c r="AY733" s="374"/>
      <c r="AZ733" s="374"/>
      <c r="BA733" s="374"/>
      <c r="BB733" s="306"/>
      <c r="BF733" s="1119"/>
      <c r="BG733" s="1119"/>
      <c r="BH733" s="1119"/>
    </row>
    <row r="734" spans="1:60" ht="14.25">
      <c r="A734" s="378" t="s">
        <v>1781</v>
      </c>
      <c r="B734" s="406" t="s">
        <v>1969</v>
      </c>
      <c r="C734" s="377">
        <f>+$C$732+$G$733</f>
        <v>29000</v>
      </c>
      <c r="D734" s="374"/>
      <c r="E734" s="374">
        <v>-90</v>
      </c>
      <c r="F734" s="407">
        <v>-2000</v>
      </c>
      <c r="G734" s="408"/>
      <c r="H734" s="376" t="s">
        <v>1059</v>
      </c>
      <c r="I734" s="376"/>
      <c r="J734" s="409"/>
      <c r="K734" s="374"/>
      <c r="L734" s="374" t="s">
        <v>239</v>
      </c>
      <c r="M734" s="374"/>
      <c r="N734" s="376" t="s">
        <v>673</v>
      </c>
      <c r="O734" s="376"/>
      <c r="P734" s="376"/>
      <c r="Q734" s="374">
        <v>-90</v>
      </c>
      <c r="R734" s="408">
        <v>-2000</v>
      </c>
      <c r="S734" s="408"/>
      <c r="T734" s="374">
        <v>-30</v>
      </c>
      <c r="U734" s="374"/>
      <c r="V734" s="374"/>
      <c r="W734" s="374">
        <v>1.1000000000000001</v>
      </c>
      <c r="X734" s="374"/>
      <c r="Y734" s="374"/>
      <c r="Z734" s="374"/>
      <c r="AA734" s="374"/>
      <c r="AB734" s="374"/>
      <c r="AC734" s="374" t="s">
        <v>2963</v>
      </c>
      <c r="AD734" s="374"/>
      <c r="AE734" s="374"/>
      <c r="AF734" s="374">
        <v>100</v>
      </c>
      <c r="AG734" s="377">
        <v>28999.32</v>
      </c>
      <c r="AH734" s="454">
        <v>1564</v>
      </c>
      <c r="AI734" s="978">
        <v>-5238</v>
      </c>
      <c r="AJ734" s="454"/>
      <c r="AK734" s="374"/>
      <c r="AL734" s="374"/>
      <c r="AM734" s="374" t="s">
        <v>2021</v>
      </c>
      <c r="AN734" s="379">
        <v>5.25</v>
      </c>
      <c r="AO734" s="379"/>
      <c r="AP734" s="379"/>
      <c r="AQ734" s="379"/>
      <c r="AR734" s="379"/>
      <c r="AS734" s="379"/>
      <c r="AT734" s="379">
        <f>+ab($T$734,$T$732,$T$736,$G$733,$G$735, 1*$F$734,1200)</f>
        <v>-7.6302760504335234</v>
      </c>
      <c r="AU734" s="379"/>
      <c r="AV734" s="379"/>
      <c r="AW734" s="374" t="s">
        <v>699</v>
      </c>
      <c r="AX734" s="374" t="s">
        <v>699</v>
      </c>
      <c r="AY734" s="374" t="s">
        <v>699</v>
      </c>
      <c r="AZ734" s="374" t="s">
        <v>699</v>
      </c>
      <c r="BA734" s="374"/>
      <c r="BB734" s="306"/>
      <c r="BF734" s="1119"/>
      <c r="BG734" s="1119"/>
      <c r="BH734" s="1119"/>
    </row>
    <row r="735" spans="1:60" ht="14.25">
      <c r="A735" s="378"/>
      <c r="B735" s="406"/>
      <c r="C735" s="377"/>
      <c r="D735" s="374"/>
      <c r="E735" s="374"/>
      <c r="F735" s="407"/>
      <c r="G735" s="408">
        <v>50</v>
      </c>
      <c r="H735" s="376"/>
      <c r="I735" s="376">
        <f>SUM(G717:G735)</f>
        <v>500</v>
      </c>
      <c r="J735" s="409">
        <f>C734+10</f>
        <v>29010</v>
      </c>
      <c r="K735" s="374" t="s">
        <v>1060</v>
      </c>
      <c r="L735" s="374"/>
      <c r="M735" s="374"/>
      <c r="N735" s="376"/>
      <c r="O735" s="376"/>
      <c r="P735" s="376"/>
      <c r="Q735" s="374"/>
      <c r="R735" s="408"/>
      <c r="S735" s="408">
        <f>AG736-AG734</f>
        <v>50.110000000000582</v>
      </c>
      <c r="T735" s="374"/>
      <c r="U735" s="374"/>
      <c r="V735" s="374"/>
      <c r="W735" s="374"/>
      <c r="X735" s="374"/>
      <c r="Y735" s="374"/>
      <c r="Z735" s="374"/>
      <c r="AA735" s="374"/>
      <c r="AB735" s="374"/>
      <c r="AC735" s="374"/>
      <c r="AD735" s="374"/>
      <c r="AE735" s="374"/>
      <c r="AF735" s="374"/>
      <c r="AG735" s="377" t="s">
        <v>695</v>
      </c>
      <c r="AH735" s="454" t="s">
        <v>695</v>
      </c>
      <c r="AI735" s="978" t="s">
        <v>695</v>
      </c>
      <c r="AJ735" s="454"/>
      <c r="AK735" s="374"/>
      <c r="AL735" s="374"/>
      <c r="AM735" s="374"/>
      <c r="AN735" s="379"/>
      <c r="AO735" s="379"/>
      <c r="AP735" s="379"/>
      <c r="AQ735" s="379">
        <f>+FL_2($T$736,$T$734,$G$735,1200,9.28, 1*$F$736)</f>
        <v>-0.38541056267414808</v>
      </c>
      <c r="AR735" s="379"/>
      <c r="AS735" s="379"/>
      <c r="AT735" s="379"/>
      <c r="AU735" s="379"/>
      <c r="AV735" s="379"/>
      <c r="AW735" s="374"/>
      <c r="AX735" s="374"/>
      <c r="AY735" s="374"/>
      <c r="AZ735" s="374"/>
      <c r="BA735" s="374"/>
      <c r="BB735" s="306"/>
      <c r="BF735" s="1119"/>
      <c r="BG735" s="1119"/>
      <c r="BH735" s="1119"/>
    </row>
    <row r="736" spans="1:60" ht="14.25">
      <c r="A736" s="378" t="s">
        <v>1781</v>
      </c>
      <c r="B736" s="406" t="s">
        <v>1970</v>
      </c>
      <c r="C736" s="377">
        <f>+$C$734+$G$735</f>
        <v>29050</v>
      </c>
      <c r="D736" s="374"/>
      <c r="E736" s="374">
        <v>-90</v>
      </c>
      <c r="F736" s="407">
        <v>-2000</v>
      </c>
      <c r="G736" s="408"/>
      <c r="H736" s="376" t="s">
        <v>956</v>
      </c>
      <c r="I736" s="376"/>
      <c r="J736" s="409"/>
      <c r="K736" s="374"/>
      <c r="L736" s="374" t="s">
        <v>239</v>
      </c>
      <c r="M736" s="374"/>
      <c r="N736" s="376" t="s">
        <v>673</v>
      </c>
      <c r="O736" s="376"/>
      <c r="P736" s="376"/>
      <c r="Q736" s="374">
        <v>-90</v>
      </c>
      <c r="R736" s="408">
        <v>-2000</v>
      </c>
      <c r="S736" s="408"/>
      <c r="T736" s="374">
        <v>-30</v>
      </c>
      <c r="U736" s="374"/>
      <c r="V736" s="374"/>
      <c r="W736" s="374">
        <v>1.1000000000000001</v>
      </c>
      <c r="X736" s="374"/>
      <c r="Y736" s="374"/>
      <c r="Z736" s="374"/>
      <c r="AA736" s="374"/>
      <c r="AB736" s="374"/>
      <c r="AC736" s="374" t="s">
        <v>2963</v>
      </c>
      <c r="AD736" s="374"/>
      <c r="AE736" s="374"/>
      <c r="AF736" s="374">
        <v>100</v>
      </c>
      <c r="AG736" s="377">
        <v>29049.43</v>
      </c>
      <c r="AH736" s="454">
        <v>1587</v>
      </c>
      <c r="AI736" s="978">
        <v>-5280</v>
      </c>
      <c r="AJ736" s="454"/>
      <c r="AK736" s="374"/>
      <c r="AL736" s="374"/>
      <c r="AM736" s="374" t="s">
        <v>2021</v>
      </c>
      <c r="AN736" s="379">
        <v>5.25</v>
      </c>
      <c r="AO736" s="379"/>
      <c r="AP736" s="379"/>
      <c r="AQ736" s="379"/>
      <c r="AR736" s="379"/>
      <c r="AS736" s="379"/>
      <c r="AT736" s="379">
        <f>+ab($T$736,$T$734,$T$738,$G$735,$G$737, 1*$F$736,1200)</f>
        <v>-7.6302760504335234</v>
      </c>
      <c r="AU736" s="379"/>
      <c r="AV736" s="379"/>
      <c r="AW736" s="374" t="s">
        <v>699</v>
      </c>
      <c r="AX736" s="374" t="s">
        <v>699</v>
      </c>
      <c r="AY736" s="374" t="s">
        <v>699</v>
      </c>
      <c r="AZ736" s="374" t="s">
        <v>699</v>
      </c>
      <c r="BA736" s="374"/>
      <c r="BB736" s="306"/>
      <c r="BF736" s="1119"/>
      <c r="BG736" s="1119"/>
      <c r="BH736" s="1119"/>
    </row>
    <row r="737" spans="1:60" ht="14.25">
      <c r="A737" s="378"/>
      <c r="B737" s="406"/>
      <c r="C737" s="377"/>
      <c r="D737" s="374"/>
      <c r="E737" s="374"/>
      <c r="F737" s="407"/>
      <c r="G737" s="408">
        <v>50</v>
      </c>
      <c r="H737" s="376"/>
      <c r="I737" s="376">
        <f>SUM(G737:G755)</f>
        <v>500</v>
      </c>
      <c r="J737" s="409">
        <f>C738-10</f>
        <v>29090</v>
      </c>
      <c r="K737" s="374" t="s">
        <v>1060</v>
      </c>
      <c r="L737" s="374"/>
      <c r="M737" s="374"/>
      <c r="N737" s="376"/>
      <c r="O737" s="376"/>
      <c r="P737" s="376"/>
      <c r="Q737" s="374"/>
      <c r="R737" s="408"/>
      <c r="S737" s="408">
        <f>AG738-AG736</f>
        <v>49.840000000000146</v>
      </c>
      <c r="T737" s="374"/>
      <c r="U737" s="374"/>
      <c r="V737" s="374"/>
      <c r="W737" s="374"/>
      <c r="X737" s="374"/>
      <c r="Y737" s="374"/>
      <c r="Z737" s="374"/>
      <c r="AA737" s="374"/>
      <c r="AB737" s="374"/>
      <c r="AC737" s="374"/>
      <c r="AD737" s="374"/>
      <c r="AE737" s="374"/>
      <c r="AF737" s="374"/>
      <c r="AG737" s="377" t="s">
        <v>695</v>
      </c>
      <c r="AH737" s="454" t="s">
        <v>695</v>
      </c>
      <c r="AI737" s="978" t="s">
        <v>695</v>
      </c>
      <c r="AJ737" s="454"/>
      <c r="AK737" s="374"/>
      <c r="AL737" s="374"/>
      <c r="AM737" s="374"/>
      <c r="AN737" s="379"/>
      <c r="AO737" s="379"/>
      <c r="AP737" s="379"/>
      <c r="AQ737" s="379">
        <f>+FL_2($T$738,$T$736,$G$737,1200,9.28, 1*$F$738)</f>
        <v>-0.38541056267414808</v>
      </c>
      <c r="AR737" s="379"/>
      <c r="AS737" s="379"/>
      <c r="AT737" s="379"/>
      <c r="AU737" s="379"/>
      <c r="AV737" s="379"/>
      <c r="AW737" s="374"/>
      <c r="AX737" s="374"/>
      <c r="AY737" s="374"/>
      <c r="AZ737" s="374"/>
      <c r="BA737" s="374"/>
      <c r="BB737" s="306"/>
      <c r="BF737" s="1119"/>
      <c r="BG737" s="1119"/>
      <c r="BH737" s="1119"/>
    </row>
    <row r="738" spans="1:60" ht="14.25">
      <c r="A738" s="378" t="s">
        <v>1781</v>
      </c>
      <c r="B738" s="406" t="s">
        <v>1971</v>
      </c>
      <c r="C738" s="377">
        <f>+$C$736+$G$737</f>
        <v>29100</v>
      </c>
      <c r="D738" s="374"/>
      <c r="E738" s="374">
        <v>-90</v>
      </c>
      <c r="F738" s="407">
        <v>-2000</v>
      </c>
      <c r="G738" s="408"/>
      <c r="H738" s="376" t="s">
        <v>1059</v>
      </c>
      <c r="I738" s="376"/>
      <c r="J738" s="409"/>
      <c r="K738" s="374"/>
      <c r="L738" s="374" t="s">
        <v>239</v>
      </c>
      <c r="M738" s="374"/>
      <c r="N738" s="376" t="s">
        <v>673</v>
      </c>
      <c r="O738" s="376"/>
      <c r="P738" s="376"/>
      <c r="Q738" s="374">
        <v>-90</v>
      </c>
      <c r="R738" s="408">
        <v>-2000</v>
      </c>
      <c r="S738" s="408"/>
      <c r="T738" s="374">
        <v>-30</v>
      </c>
      <c r="U738" s="374"/>
      <c r="V738" s="374"/>
      <c r="W738" s="374">
        <v>1.1000000000000001</v>
      </c>
      <c r="X738" s="374"/>
      <c r="Y738" s="374"/>
      <c r="Z738" s="374"/>
      <c r="AA738" s="374"/>
      <c r="AB738" s="374"/>
      <c r="AC738" s="374" t="s">
        <v>2963</v>
      </c>
      <c r="AD738" s="374"/>
      <c r="AE738" s="374"/>
      <c r="AF738" s="374">
        <v>100</v>
      </c>
      <c r="AG738" s="377">
        <v>29099.27</v>
      </c>
      <c r="AH738" s="454">
        <v>1571</v>
      </c>
      <c r="AI738" s="978">
        <v>-5266</v>
      </c>
      <c r="AJ738" s="454"/>
      <c r="AK738" s="374"/>
      <c r="AL738" s="374"/>
      <c r="AM738" s="374" t="s">
        <v>2021</v>
      </c>
      <c r="AN738" s="379">
        <v>5.25</v>
      </c>
      <c r="AO738" s="379"/>
      <c r="AP738" s="379"/>
      <c r="AQ738" s="379"/>
      <c r="AR738" s="379"/>
      <c r="AS738" s="379"/>
      <c r="AT738" s="379">
        <f>+ab($T$738,$T$736,$T$740,$G$737,$G$739, 1*$F$738,1200)</f>
        <v>-7.6302760504335234</v>
      </c>
      <c r="AU738" s="379"/>
      <c r="AV738" s="379"/>
      <c r="AW738" s="374" t="s">
        <v>699</v>
      </c>
      <c r="AX738" s="374" t="s">
        <v>699</v>
      </c>
      <c r="AY738" s="374" t="s">
        <v>699</v>
      </c>
      <c r="AZ738" s="374" t="s">
        <v>699</v>
      </c>
      <c r="BA738" s="374"/>
      <c r="BB738" s="306"/>
      <c r="BF738" s="1119"/>
      <c r="BG738" s="1119"/>
      <c r="BH738" s="1119"/>
    </row>
    <row r="739" spans="1:60" ht="14.25">
      <c r="A739" s="378"/>
      <c r="B739" s="406"/>
      <c r="C739" s="377"/>
      <c r="D739" s="374"/>
      <c r="E739" s="374"/>
      <c r="F739" s="407"/>
      <c r="G739" s="408">
        <v>50</v>
      </c>
      <c r="H739" s="376"/>
      <c r="I739" s="376"/>
      <c r="J739" s="409"/>
      <c r="K739" s="374"/>
      <c r="L739" s="374"/>
      <c r="M739" s="374"/>
      <c r="N739" s="376"/>
      <c r="O739" s="376"/>
      <c r="P739" s="376"/>
      <c r="Q739" s="374"/>
      <c r="R739" s="408"/>
      <c r="S739" s="408">
        <f>AG740-AG738</f>
        <v>50.229999999999563</v>
      </c>
      <c r="T739" s="374"/>
      <c r="U739" s="374"/>
      <c r="V739" s="374"/>
      <c r="W739" s="374"/>
      <c r="X739" s="374"/>
      <c r="Y739" s="374"/>
      <c r="Z739" s="374"/>
      <c r="AA739" s="374"/>
      <c r="AB739" s="374"/>
      <c r="AC739" s="374"/>
      <c r="AD739" s="374"/>
      <c r="AE739" s="374"/>
      <c r="AF739" s="374"/>
      <c r="AG739" s="377" t="s">
        <v>695</v>
      </c>
      <c r="AH739" s="454" t="s">
        <v>695</v>
      </c>
      <c r="AI739" s="978" t="s">
        <v>695</v>
      </c>
      <c r="AJ739" s="454"/>
      <c r="AK739" s="374"/>
      <c r="AL739" s="374"/>
      <c r="AM739" s="374"/>
      <c r="AN739" s="379"/>
      <c r="AO739" s="379"/>
      <c r="AP739" s="379"/>
      <c r="AQ739" s="379">
        <f>+FL_2($T$740,$T$738,$G$739,1200,9.28, 1*$F$740)</f>
        <v>-0.38541056267414808</v>
      </c>
      <c r="AR739" s="379"/>
      <c r="AS739" s="379"/>
      <c r="AT739" s="379"/>
      <c r="AU739" s="379"/>
      <c r="AV739" s="379"/>
      <c r="AW739" s="374"/>
      <c r="AX739" s="374"/>
      <c r="AY739" s="374"/>
      <c r="AZ739" s="374"/>
      <c r="BA739" s="374"/>
      <c r="BB739" s="306"/>
      <c r="BF739" s="1119"/>
      <c r="BG739" s="1119"/>
      <c r="BH739" s="1119"/>
    </row>
    <row r="740" spans="1:60" ht="14.25">
      <c r="A740" s="378" t="s">
        <v>1781</v>
      </c>
      <c r="B740" s="406" t="s">
        <v>1972</v>
      </c>
      <c r="C740" s="377">
        <f>+$C$738+$G$739</f>
        <v>29150</v>
      </c>
      <c r="D740" s="374"/>
      <c r="E740" s="374">
        <v>-90</v>
      </c>
      <c r="F740" s="407">
        <v>-2000</v>
      </c>
      <c r="G740" s="408"/>
      <c r="H740" s="376"/>
      <c r="I740" s="376"/>
      <c r="J740" s="409"/>
      <c r="K740" s="374"/>
      <c r="L740" s="374" t="s">
        <v>239</v>
      </c>
      <c r="M740" s="374"/>
      <c r="N740" s="376" t="s">
        <v>673</v>
      </c>
      <c r="O740" s="376"/>
      <c r="P740" s="376"/>
      <c r="Q740" s="374">
        <v>-90</v>
      </c>
      <c r="R740" s="408">
        <v>-2000</v>
      </c>
      <c r="S740" s="408"/>
      <c r="T740" s="374">
        <v>-30</v>
      </c>
      <c r="U740" s="374"/>
      <c r="V740" s="374"/>
      <c r="W740" s="374">
        <v>1.1000000000000001</v>
      </c>
      <c r="X740" s="374"/>
      <c r="Y740" s="374"/>
      <c r="Z740" s="374"/>
      <c r="AA740" s="374"/>
      <c r="AB740" s="374"/>
      <c r="AC740" s="374" t="s">
        <v>2963</v>
      </c>
      <c r="AD740" s="374"/>
      <c r="AE740" s="374"/>
      <c r="AF740" s="374">
        <v>100</v>
      </c>
      <c r="AG740" s="377">
        <v>29149.5</v>
      </c>
      <c r="AH740" s="454">
        <v>1560</v>
      </c>
      <c r="AI740" s="978">
        <v>-5246</v>
      </c>
      <c r="AJ740" s="454"/>
      <c r="AK740" s="374"/>
      <c r="AL740" s="374"/>
      <c r="AM740" s="374" t="s">
        <v>2021</v>
      </c>
      <c r="AN740" s="379">
        <v>5.25</v>
      </c>
      <c r="AO740" s="379"/>
      <c r="AP740" s="379"/>
      <c r="AQ740" s="379"/>
      <c r="AR740" s="379"/>
      <c r="AS740" s="379"/>
      <c r="AT740" s="379">
        <f>+ab($T$740,$T$738,$T$742,$G$739,$G$741, 1*$F$740,1200)</f>
        <v>-7.6302760504335234</v>
      </c>
      <c r="AU740" s="379"/>
      <c r="AV740" s="379"/>
      <c r="AW740" s="374" t="s">
        <v>699</v>
      </c>
      <c r="AX740" s="374" t="s">
        <v>699</v>
      </c>
      <c r="AY740" s="374" t="s">
        <v>699</v>
      </c>
      <c r="AZ740" s="374" t="s">
        <v>699</v>
      </c>
      <c r="BA740" s="374"/>
      <c r="BB740" s="306"/>
      <c r="BF740" s="1119"/>
      <c r="BG740" s="1119"/>
      <c r="BH740" s="1119"/>
    </row>
    <row r="741" spans="1:60" ht="14.25">
      <c r="A741" s="378"/>
      <c r="B741" s="406"/>
      <c r="C741" s="377"/>
      <c r="D741" s="374"/>
      <c r="E741" s="374"/>
      <c r="F741" s="407"/>
      <c r="G741" s="408">
        <v>50</v>
      </c>
      <c r="H741" s="376"/>
      <c r="I741" s="376"/>
      <c r="J741" s="409"/>
      <c r="K741" s="374"/>
      <c r="L741" s="374"/>
      <c r="M741" s="374"/>
      <c r="N741" s="376"/>
      <c r="O741" s="376"/>
      <c r="P741" s="376"/>
      <c r="Q741" s="374"/>
      <c r="R741" s="408"/>
      <c r="S741" s="408">
        <f>AG742-AG740</f>
        <v>50.43999999999869</v>
      </c>
      <c r="T741" s="374"/>
      <c r="U741" s="374"/>
      <c r="V741" s="374"/>
      <c r="W741" s="374"/>
      <c r="X741" s="374"/>
      <c r="Y741" s="374"/>
      <c r="Z741" s="374"/>
      <c r="AA741" s="374"/>
      <c r="AB741" s="374"/>
      <c r="AC741" s="374"/>
      <c r="AD741" s="374"/>
      <c r="AE741" s="374"/>
      <c r="AF741" s="374"/>
      <c r="AG741" s="377" t="s">
        <v>695</v>
      </c>
      <c r="AH741" s="454" t="s">
        <v>695</v>
      </c>
      <c r="AI741" s="978" t="s">
        <v>695</v>
      </c>
      <c r="AJ741" s="454"/>
      <c r="AK741" s="374"/>
      <c r="AL741" s="374"/>
      <c r="AM741" s="374"/>
      <c r="AN741" s="379"/>
      <c r="AO741" s="379"/>
      <c r="AP741" s="379"/>
      <c r="AQ741" s="379">
        <f>+FL_2($T$742,$T$740,$G$741,1200,9.28, 1*$F$742)</f>
        <v>-0.38541056267414808</v>
      </c>
      <c r="AR741" s="379"/>
      <c r="AS741" s="379"/>
      <c r="AT741" s="379"/>
      <c r="AU741" s="379"/>
      <c r="AV741" s="379"/>
      <c r="AW741" s="374"/>
      <c r="AX741" s="374"/>
      <c r="AY741" s="374"/>
      <c r="AZ741" s="374"/>
      <c r="BA741" s="374"/>
      <c r="BB741" s="306"/>
      <c r="BF741" s="1119"/>
      <c r="BG741" s="1119"/>
      <c r="BH741" s="1119"/>
    </row>
    <row r="742" spans="1:60" ht="14.25">
      <c r="A742" s="378" t="s">
        <v>1781</v>
      </c>
      <c r="B742" s="406" t="s">
        <v>1973</v>
      </c>
      <c r="C742" s="377">
        <f>+$C$740+$G$741</f>
        <v>29200</v>
      </c>
      <c r="D742" s="374"/>
      <c r="E742" s="374">
        <v>-90</v>
      </c>
      <c r="F742" s="407">
        <v>-2000</v>
      </c>
      <c r="G742" s="408"/>
      <c r="H742" s="376"/>
      <c r="I742" s="376"/>
      <c r="J742" s="409"/>
      <c r="K742" s="374"/>
      <c r="L742" s="374" t="s">
        <v>239</v>
      </c>
      <c r="M742" s="374"/>
      <c r="N742" s="376" t="s">
        <v>673</v>
      </c>
      <c r="O742" s="376"/>
      <c r="P742" s="376"/>
      <c r="Q742" s="374">
        <v>-90</v>
      </c>
      <c r="R742" s="408">
        <v>-2000</v>
      </c>
      <c r="S742" s="408"/>
      <c r="T742" s="374">
        <v>-30</v>
      </c>
      <c r="U742" s="374"/>
      <c r="V742" s="374"/>
      <c r="W742" s="374">
        <v>1.1000000000000001</v>
      </c>
      <c r="X742" s="374"/>
      <c r="Y742" s="374"/>
      <c r="Z742" s="374"/>
      <c r="AA742" s="374"/>
      <c r="AB742" s="374"/>
      <c r="AC742" s="374" t="s">
        <v>2963</v>
      </c>
      <c r="AD742" s="374"/>
      <c r="AE742" s="374"/>
      <c r="AF742" s="374">
        <v>100</v>
      </c>
      <c r="AG742" s="377">
        <v>29199.94</v>
      </c>
      <c r="AH742" s="454">
        <v>1604</v>
      </c>
      <c r="AI742" s="978">
        <v>-5235</v>
      </c>
      <c r="AJ742" s="454"/>
      <c r="AK742" s="374"/>
      <c r="AL742" s="374"/>
      <c r="AM742" s="374" t="s">
        <v>2021</v>
      </c>
      <c r="AN742" s="379">
        <v>5.25</v>
      </c>
      <c r="AO742" s="379"/>
      <c r="AP742" s="379"/>
      <c r="AQ742" s="379"/>
      <c r="AR742" s="379"/>
      <c r="AS742" s="379"/>
      <c r="AT742" s="379">
        <f>+ab($T$742,$T$740,$T$744,$G$741,$G$743, 1*$F$742,1200)</f>
        <v>-7.6302760504335234</v>
      </c>
      <c r="AU742" s="379"/>
      <c r="AV742" s="379"/>
      <c r="AW742" s="374" t="s">
        <v>699</v>
      </c>
      <c r="AX742" s="374" t="s">
        <v>699</v>
      </c>
      <c r="AY742" s="374" t="s">
        <v>699</v>
      </c>
      <c r="AZ742" s="374" t="s">
        <v>699</v>
      </c>
      <c r="BA742" s="374"/>
      <c r="BB742" s="306"/>
      <c r="BF742" s="1119"/>
      <c r="BG742" s="1119"/>
      <c r="BH742" s="1119"/>
    </row>
    <row r="743" spans="1:60" ht="14.25">
      <c r="A743" s="378"/>
      <c r="B743" s="406"/>
      <c r="C743" s="377"/>
      <c r="D743" s="374"/>
      <c r="E743" s="374"/>
      <c r="F743" s="407"/>
      <c r="G743" s="408">
        <v>50</v>
      </c>
      <c r="H743" s="376"/>
      <c r="I743" s="376"/>
      <c r="J743" s="409"/>
      <c r="K743" s="374"/>
      <c r="L743" s="374"/>
      <c r="M743" s="374"/>
      <c r="N743" s="376"/>
      <c r="O743" s="376"/>
      <c r="P743" s="376"/>
      <c r="Q743" s="374"/>
      <c r="R743" s="408"/>
      <c r="S743" s="408">
        <f>AG744-AG742</f>
        <v>49.690000000002328</v>
      </c>
      <c r="T743" s="374"/>
      <c r="U743" s="374"/>
      <c r="V743" s="374"/>
      <c r="W743" s="374"/>
      <c r="X743" s="374"/>
      <c r="Y743" s="374"/>
      <c r="Z743" s="374"/>
      <c r="AA743" s="374"/>
      <c r="AB743" s="374"/>
      <c r="AC743" s="374"/>
      <c r="AD743" s="374"/>
      <c r="AE743" s="374"/>
      <c r="AF743" s="374"/>
      <c r="AG743" s="377" t="s">
        <v>695</v>
      </c>
      <c r="AH743" s="454" t="s">
        <v>695</v>
      </c>
      <c r="AI743" s="978" t="s">
        <v>695</v>
      </c>
      <c r="AJ743" s="454"/>
      <c r="AK743" s="374"/>
      <c r="AL743" s="374"/>
      <c r="AM743" s="374"/>
      <c r="AN743" s="379"/>
      <c r="AO743" s="379"/>
      <c r="AP743" s="379"/>
      <c r="AQ743" s="379">
        <f>+FL_2($T$744,$T$742,$G$743,1200,9.28, 1*$F$744)</f>
        <v>-0.38541056267414808</v>
      </c>
      <c r="AR743" s="379"/>
      <c r="AS743" s="379"/>
      <c r="AT743" s="379"/>
      <c r="AU743" s="379"/>
      <c r="AV743" s="379"/>
      <c r="AW743" s="374"/>
      <c r="AX743" s="374"/>
      <c r="AY743" s="374"/>
      <c r="AZ743" s="374"/>
      <c r="BA743" s="374"/>
      <c r="BB743" s="306"/>
      <c r="BF743" s="1119"/>
      <c r="BG743" s="1119"/>
      <c r="BH743" s="1119"/>
    </row>
    <row r="744" spans="1:60" ht="14.25">
      <c r="A744" s="378" t="s">
        <v>1781</v>
      </c>
      <c r="B744" s="406" t="s">
        <v>1974</v>
      </c>
      <c r="C744" s="377">
        <f>+$C$742+$G$743</f>
        <v>29250</v>
      </c>
      <c r="D744" s="374"/>
      <c r="E744" s="374">
        <v>-90</v>
      </c>
      <c r="F744" s="407">
        <v>-2000</v>
      </c>
      <c r="G744" s="408"/>
      <c r="H744" s="376"/>
      <c r="I744" s="376"/>
      <c r="J744" s="409"/>
      <c r="K744" s="374"/>
      <c r="L744" s="374" t="s">
        <v>239</v>
      </c>
      <c r="M744" s="374"/>
      <c r="N744" s="376" t="s">
        <v>673</v>
      </c>
      <c r="O744" s="376"/>
      <c r="P744" s="376"/>
      <c r="Q744" s="374">
        <v>-90</v>
      </c>
      <c r="R744" s="408">
        <v>-2000</v>
      </c>
      <c r="S744" s="408"/>
      <c r="T744" s="374">
        <v>-30</v>
      </c>
      <c r="U744" s="374"/>
      <c r="V744" s="374"/>
      <c r="W744" s="374">
        <v>1.1000000000000001</v>
      </c>
      <c r="X744" s="374"/>
      <c r="Y744" s="374"/>
      <c r="Z744" s="374"/>
      <c r="AA744" s="374"/>
      <c r="AB744" s="374"/>
      <c r="AC744" s="374" t="s">
        <v>2963</v>
      </c>
      <c r="AD744" s="374"/>
      <c r="AE744" s="374"/>
      <c r="AF744" s="374">
        <v>100</v>
      </c>
      <c r="AG744" s="377">
        <v>29249.63</v>
      </c>
      <c r="AH744" s="454">
        <v>1548</v>
      </c>
      <c r="AI744" s="978">
        <v>-5254</v>
      </c>
      <c r="AJ744" s="454"/>
      <c r="AK744" s="374"/>
      <c r="AL744" s="374"/>
      <c r="AM744" s="374" t="s">
        <v>2021</v>
      </c>
      <c r="AN744" s="379">
        <v>5.25</v>
      </c>
      <c r="AO744" s="379"/>
      <c r="AP744" s="379"/>
      <c r="AQ744" s="379"/>
      <c r="AR744" s="379"/>
      <c r="AS744" s="379"/>
      <c r="AT744" s="379">
        <f>+ab($T$744,$T$742,$T$746,$G$743,$G$745, 1*$F$744,1200)</f>
        <v>-7.6302760504335234</v>
      </c>
      <c r="AU744" s="379"/>
      <c r="AV744" s="379"/>
      <c r="AW744" s="374" t="s">
        <v>699</v>
      </c>
      <c r="AX744" s="374" t="s">
        <v>699</v>
      </c>
      <c r="AY744" s="374" t="s">
        <v>699</v>
      </c>
      <c r="AZ744" s="374" t="s">
        <v>699</v>
      </c>
      <c r="BA744" s="374"/>
      <c r="BB744" s="306"/>
      <c r="BF744" s="1119"/>
      <c r="BG744" s="1119"/>
      <c r="BH744" s="1119"/>
    </row>
    <row r="745" spans="1:60" ht="14.25">
      <c r="A745" s="378"/>
      <c r="B745" s="406"/>
      <c r="C745" s="377"/>
      <c r="D745" s="374"/>
      <c r="E745" s="374"/>
      <c r="F745" s="407"/>
      <c r="G745" s="408">
        <v>50</v>
      </c>
      <c r="H745" s="376"/>
      <c r="I745" s="376"/>
      <c r="J745" s="409"/>
      <c r="K745" s="374"/>
      <c r="L745" s="374"/>
      <c r="M745" s="374"/>
      <c r="N745" s="376"/>
      <c r="O745" s="376"/>
      <c r="P745" s="376"/>
      <c r="Q745" s="374"/>
      <c r="R745" s="408"/>
      <c r="S745" s="408">
        <f>AG746-AG744</f>
        <v>50.009999999998399</v>
      </c>
      <c r="T745" s="374"/>
      <c r="U745" s="374"/>
      <c r="V745" s="374"/>
      <c r="W745" s="374"/>
      <c r="X745" s="374"/>
      <c r="Y745" s="374"/>
      <c r="Z745" s="374"/>
      <c r="AA745" s="374"/>
      <c r="AB745" s="374"/>
      <c r="AC745" s="374"/>
      <c r="AD745" s="374"/>
      <c r="AE745" s="374"/>
      <c r="AF745" s="374"/>
      <c r="AG745" s="377" t="s">
        <v>695</v>
      </c>
      <c r="AH745" s="454" t="s">
        <v>695</v>
      </c>
      <c r="AI745" s="978" t="s">
        <v>695</v>
      </c>
      <c r="AJ745" s="454"/>
      <c r="AK745" s="374"/>
      <c r="AL745" s="374"/>
      <c r="AM745" s="374"/>
      <c r="AN745" s="379"/>
      <c r="AO745" s="379"/>
      <c r="AP745" s="379"/>
      <c r="AQ745" s="379">
        <f>+FL_2($T$746,$T$744,$G$745,1200,9.28, 1*$F$746)</f>
        <v>-0.38541056267414808</v>
      </c>
      <c r="AR745" s="379"/>
      <c r="AS745" s="379"/>
      <c r="AT745" s="379"/>
      <c r="AU745" s="379"/>
      <c r="AV745" s="379"/>
      <c r="AW745" s="374"/>
      <c r="AX745" s="374"/>
      <c r="AY745" s="374"/>
      <c r="AZ745" s="374"/>
      <c r="BA745" s="374"/>
      <c r="BB745" s="306"/>
      <c r="BF745" s="1119"/>
      <c r="BG745" s="1119"/>
      <c r="BH745" s="1119"/>
    </row>
    <row r="746" spans="1:60" ht="14.25">
      <c r="A746" s="378" t="s">
        <v>1781</v>
      </c>
      <c r="B746" s="406" t="s">
        <v>1975</v>
      </c>
      <c r="C746" s="377">
        <f>+$C$744+$G$745</f>
        <v>29300</v>
      </c>
      <c r="D746" s="374"/>
      <c r="E746" s="374">
        <v>-90</v>
      </c>
      <c r="F746" s="407">
        <v>-2000</v>
      </c>
      <c r="G746" s="408"/>
      <c r="H746" s="376"/>
      <c r="I746" s="376"/>
      <c r="J746" s="409"/>
      <c r="K746" s="374"/>
      <c r="L746" s="374" t="s">
        <v>239</v>
      </c>
      <c r="M746" s="374"/>
      <c r="N746" s="376" t="s">
        <v>673</v>
      </c>
      <c r="O746" s="376"/>
      <c r="P746" s="376"/>
      <c r="Q746" s="374">
        <v>-90</v>
      </c>
      <c r="R746" s="408">
        <v>-2000</v>
      </c>
      <c r="S746" s="408"/>
      <c r="T746" s="374">
        <v>-30</v>
      </c>
      <c r="U746" s="374"/>
      <c r="V746" s="374"/>
      <c r="W746" s="374">
        <v>1.1000000000000001</v>
      </c>
      <c r="X746" s="374"/>
      <c r="Y746" s="374"/>
      <c r="Z746" s="374"/>
      <c r="AA746" s="374"/>
      <c r="AB746" s="374"/>
      <c r="AC746" s="374" t="s">
        <v>2963</v>
      </c>
      <c r="AD746" s="374"/>
      <c r="AE746" s="374"/>
      <c r="AF746" s="374">
        <v>100</v>
      </c>
      <c r="AG746" s="377">
        <v>29299.64</v>
      </c>
      <c r="AH746" s="454">
        <v>1539</v>
      </c>
      <c r="AI746" s="978">
        <v>-5227</v>
      </c>
      <c r="AJ746" s="454"/>
      <c r="AK746" s="374"/>
      <c r="AL746" s="374"/>
      <c r="AM746" s="374" t="s">
        <v>2021</v>
      </c>
      <c r="AN746" s="379">
        <v>5.25</v>
      </c>
      <c r="AO746" s="379"/>
      <c r="AP746" s="379"/>
      <c r="AQ746" s="379"/>
      <c r="AR746" s="379"/>
      <c r="AS746" s="379"/>
      <c r="AT746" s="379">
        <f>+ab($T$746,$T$744,$T$748,$G$745,$G$747, 1*$F$746,1200)</f>
        <v>-7.6302760504335234</v>
      </c>
      <c r="AU746" s="379"/>
      <c r="AV746" s="379"/>
      <c r="AW746" s="374" t="s">
        <v>699</v>
      </c>
      <c r="AX746" s="374" t="s">
        <v>699</v>
      </c>
      <c r="AY746" s="374" t="s">
        <v>699</v>
      </c>
      <c r="AZ746" s="374" t="s">
        <v>699</v>
      </c>
      <c r="BA746" s="374"/>
      <c r="BB746" s="306"/>
      <c r="BF746" s="1119"/>
      <c r="BG746" s="1119"/>
      <c r="BH746" s="1119"/>
    </row>
    <row r="747" spans="1:60" ht="14.25">
      <c r="A747" s="378"/>
      <c r="B747" s="406"/>
      <c r="C747" s="377"/>
      <c r="D747" s="374"/>
      <c r="E747" s="374"/>
      <c r="F747" s="407"/>
      <c r="G747" s="408">
        <v>50</v>
      </c>
      <c r="H747" s="376"/>
      <c r="I747" s="376"/>
      <c r="J747" s="409"/>
      <c r="K747" s="374"/>
      <c r="L747" s="374"/>
      <c r="M747" s="374"/>
      <c r="N747" s="376"/>
      <c r="O747" s="376"/>
      <c r="P747" s="376"/>
      <c r="Q747" s="374"/>
      <c r="R747" s="408"/>
      <c r="S747" s="408">
        <f>AG748-AG746</f>
        <v>52.100000000002183</v>
      </c>
      <c r="T747" s="374"/>
      <c r="U747" s="374"/>
      <c r="V747" s="374"/>
      <c r="W747" s="374"/>
      <c r="X747" s="374"/>
      <c r="Y747" s="374"/>
      <c r="Z747" s="374"/>
      <c r="AA747" s="374"/>
      <c r="AB747" s="374"/>
      <c r="AC747" s="374"/>
      <c r="AD747" s="374"/>
      <c r="AE747" s="374"/>
      <c r="AF747" s="374"/>
      <c r="AG747" s="377" t="s">
        <v>695</v>
      </c>
      <c r="AH747" s="454" t="s">
        <v>695</v>
      </c>
      <c r="AI747" s="978" t="s">
        <v>695</v>
      </c>
      <c r="AJ747" s="454"/>
      <c r="AK747" s="374"/>
      <c r="AL747" s="374"/>
      <c r="AM747" s="374"/>
      <c r="AN747" s="379"/>
      <c r="AO747" s="379"/>
      <c r="AP747" s="379"/>
      <c r="AQ747" s="379">
        <f>+FL_2($T$748,$T$746,$G$747,1200,9.28, 1*$F$748)</f>
        <v>-0.38541056267414808</v>
      </c>
      <c r="AR747" s="379"/>
      <c r="AS747" s="379"/>
      <c r="AT747" s="379"/>
      <c r="AU747" s="379"/>
      <c r="AV747" s="379"/>
      <c r="AW747" s="374"/>
      <c r="AX747" s="374"/>
      <c r="AY747" s="374"/>
      <c r="AZ747" s="374"/>
      <c r="BA747" s="374"/>
      <c r="BB747" s="306"/>
      <c r="BF747" s="1119"/>
      <c r="BG747" s="1119"/>
      <c r="BH747" s="1119"/>
    </row>
    <row r="748" spans="1:60" ht="14.25">
      <c r="A748" s="378" t="s">
        <v>1781</v>
      </c>
      <c r="B748" s="406" t="s">
        <v>1976</v>
      </c>
      <c r="C748" s="377">
        <f>+$C$746+$G$747</f>
        <v>29350</v>
      </c>
      <c r="D748" s="374"/>
      <c r="E748" s="374">
        <v>-90</v>
      </c>
      <c r="F748" s="407">
        <v>-2000</v>
      </c>
      <c r="G748" s="408"/>
      <c r="H748" s="376"/>
      <c r="I748" s="376"/>
      <c r="J748" s="409"/>
      <c r="K748" s="374"/>
      <c r="L748" s="374" t="s">
        <v>239</v>
      </c>
      <c r="M748" s="374"/>
      <c r="N748" s="376" t="s">
        <v>673</v>
      </c>
      <c r="O748" s="376"/>
      <c r="P748" s="376"/>
      <c r="Q748" s="374">
        <v>-90</v>
      </c>
      <c r="R748" s="408">
        <v>-2000</v>
      </c>
      <c r="S748" s="408"/>
      <c r="T748" s="374">
        <v>-30</v>
      </c>
      <c r="U748" s="374"/>
      <c r="V748" s="374"/>
      <c r="W748" s="374">
        <v>1.1000000000000001</v>
      </c>
      <c r="X748" s="374"/>
      <c r="Y748" s="374"/>
      <c r="Z748" s="374"/>
      <c r="AA748" s="374"/>
      <c r="AB748" s="374"/>
      <c r="AC748" s="374" t="s">
        <v>2963</v>
      </c>
      <c r="AD748" s="374"/>
      <c r="AE748" s="374"/>
      <c r="AF748" s="374">
        <v>100</v>
      </c>
      <c r="AG748" s="377">
        <v>29351.74</v>
      </c>
      <c r="AH748" s="454">
        <v>1570</v>
      </c>
      <c r="AI748" s="978">
        <v>-5220</v>
      </c>
      <c r="AJ748" s="454"/>
      <c r="AK748" s="374"/>
      <c r="AL748" s="374"/>
      <c r="AM748" s="374" t="s">
        <v>2021</v>
      </c>
      <c r="AN748" s="379">
        <v>5.25</v>
      </c>
      <c r="AO748" s="379"/>
      <c r="AP748" s="379"/>
      <c r="AQ748" s="379"/>
      <c r="AR748" s="379"/>
      <c r="AS748" s="379"/>
      <c r="AT748" s="379">
        <f>+ab($T$748,$T$746,$T$750,$G$747,$G$749, 1*$F$748,1200)</f>
        <v>-7.6302760504335234</v>
      </c>
      <c r="AU748" s="379"/>
      <c r="AV748" s="379"/>
      <c r="AW748" s="374" t="s">
        <v>699</v>
      </c>
      <c r="AX748" s="374" t="s">
        <v>699</v>
      </c>
      <c r="AY748" s="374" t="s">
        <v>699</v>
      </c>
      <c r="AZ748" s="374" t="s">
        <v>699</v>
      </c>
      <c r="BA748" s="374"/>
      <c r="BB748" s="306"/>
      <c r="BF748" s="1119"/>
      <c r="BG748" s="1119"/>
      <c r="BH748" s="1119"/>
    </row>
    <row r="749" spans="1:60" ht="14.25">
      <c r="A749" s="378"/>
      <c r="B749" s="406"/>
      <c r="C749" s="377"/>
      <c r="D749" s="374"/>
      <c r="E749" s="374"/>
      <c r="F749" s="407"/>
      <c r="G749" s="408">
        <v>50</v>
      </c>
      <c r="H749" s="376"/>
      <c r="I749" s="376"/>
      <c r="J749" s="409"/>
      <c r="K749" s="374"/>
      <c r="L749" s="374"/>
      <c r="M749" s="374"/>
      <c r="N749" s="376"/>
      <c r="O749" s="376"/>
      <c r="P749" s="376"/>
      <c r="Q749" s="374"/>
      <c r="R749" s="408"/>
      <c r="S749" s="408">
        <f>AG750-AG748</f>
        <v>50.019999999996799</v>
      </c>
      <c r="T749" s="374"/>
      <c r="U749" s="374"/>
      <c r="V749" s="374"/>
      <c r="W749" s="374"/>
      <c r="X749" s="374"/>
      <c r="Y749" s="374"/>
      <c r="Z749" s="374"/>
      <c r="AA749" s="374"/>
      <c r="AB749" s="374"/>
      <c r="AC749" s="374"/>
      <c r="AD749" s="374"/>
      <c r="AE749" s="374"/>
      <c r="AF749" s="374"/>
      <c r="AG749" s="377" t="s">
        <v>695</v>
      </c>
      <c r="AH749" s="454" t="s">
        <v>695</v>
      </c>
      <c r="AI749" s="978" t="s">
        <v>695</v>
      </c>
      <c r="AJ749" s="454"/>
      <c r="AK749" s="374"/>
      <c r="AL749" s="374"/>
      <c r="AM749" s="374"/>
      <c r="AN749" s="379"/>
      <c r="AO749" s="379"/>
      <c r="AP749" s="379"/>
      <c r="AQ749" s="379">
        <f>+FL_2($T$750,$T$748,$G$749,1200,9.28, 1*$F$750)</f>
        <v>-0.38541056267414808</v>
      </c>
      <c r="AR749" s="379"/>
      <c r="AS749" s="379"/>
      <c r="AT749" s="379"/>
      <c r="AU749" s="379"/>
      <c r="AV749" s="379"/>
      <c r="AW749" s="374"/>
      <c r="AX749" s="374"/>
      <c r="AY749" s="374"/>
      <c r="AZ749" s="374"/>
      <c r="BA749" s="374"/>
      <c r="BB749" s="306"/>
      <c r="BF749" s="1119"/>
      <c r="BG749" s="1119"/>
      <c r="BH749" s="1119"/>
    </row>
    <row r="750" spans="1:60" ht="14.25">
      <c r="A750" s="378" t="s">
        <v>1781</v>
      </c>
      <c r="B750" s="406" t="s">
        <v>1977</v>
      </c>
      <c r="C750" s="377">
        <f>+$C$748+$G$749</f>
        <v>29400</v>
      </c>
      <c r="D750" s="374"/>
      <c r="E750" s="374">
        <v>-90</v>
      </c>
      <c r="F750" s="407">
        <v>-2000</v>
      </c>
      <c r="G750" s="408"/>
      <c r="H750" s="376" t="s">
        <v>138</v>
      </c>
      <c r="I750" s="376" t="s">
        <v>912</v>
      </c>
      <c r="J750" s="409"/>
      <c r="K750" s="374"/>
      <c r="L750" s="374" t="s">
        <v>239</v>
      </c>
      <c r="M750" s="374"/>
      <c r="N750" s="376" t="s">
        <v>673</v>
      </c>
      <c r="O750" s="376"/>
      <c r="P750" s="376"/>
      <c r="Q750" s="374">
        <v>-90</v>
      </c>
      <c r="R750" s="408">
        <v>-2000</v>
      </c>
      <c r="S750" s="408"/>
      <c r="T750" s="374">
        <v>-30</v>
      </c>
      <c r="U750" s="374"/>
      <c r="V750" s="374"/>
      <c r="W750" s="374">
        <v>1.1000000000000001</v>
      </c>
      <c r="X750" s="374"/>
      <c r="Y750" s="374"/>
      <c r="Z750" s="374"/>
      <c r="AA750" s="374"/>
      <c r="AB750" s="374"/>
      <c r="AC750" s="374" t="s">
        <v>2963</v>
      </c>
      <c r="AD750" s="374"/>
      <c r="AE750" s="374"/>
      <c r="AF750" s="374">
        <v>100</v>
      </c>
      <c r="AG750" s="377">
        <v>29401.759999999998</v>
      </c>
      <c r="AH750" s="454">
        <v>1543</v>
      </c>
      <c r="AI750" s="978">
        <v>-5234</v>
      </c>
      <c r="AJ750" s="454"/>
      <c r="AK750" s="374"/>
      <c r="AL750" s="374"/>
      <c r="AM750" s="374" t="s">
        <v>2021</v>
      </c>
      <c r="AN750" s="379">
        <v>5.25</v>
      </c>
      <c r="AO750" s="379"/>
      <c r="AP750" s="379"/>
      <c r="AQ750" s="379"/>
      <c r="AR750" s="379"/>
      <c r="AS750" s="379"/>
      <c r="AT750" s="379">
        <f>+ab($T$750,$T$748,$T$752,$G$749,$G$751, 1*$F$750,1200)</f>
        <v>-6.3700457825922534</v>
      </c>
      <c r="AU750" s="379"/>
      <c r="AV750" s="379"/>
      <c r="AW750" s="374" t="s">
        <v>699</v>
      </c>
      <c r="AX750" s="374" t="s">
        <v>699</v>
      </c>
      <c r="AY750" s="374" t="s">
        <v>699</v>
      </c>
      <c r="AZ750" s="374" t="s">
        <v>699</v>
      </c>
      <c r="BA750" s="374"/>
      <c r="BB750" s="306"/>
      <c r="BF750" s="1119"/>
      <c r="BG750" s="1119"/>
      <c r="BH750" s="1119"/>
    </row>
    <row r="751" spans="1:60" ht="14.25">
      <c r="A751" s="378"/>
      <c r="B751" s="406"/>
      <c r="C751" s="377"/>
      <c r="D751" s="374"/>
      <c r="E751" s="374"/>
      <c r="F751" s="407"/>
      <c r="G751" s="408">
        <v>50</v>
      </c>
      <c r="H751" s="376"/>
      <c r="I751" s="376"/>
      <c r="J751" s="409">
        <f>C750+10</f>
        <v>29410</v>
      </c>
      <c r="K751" s="374" t="s">
        <v>1055</v>
      </c>
      <c r="L751" s="374"/>
      <c r="M751" s="374"/>
      <c r="N751" s="376"/>
      <c r="O751" s="376"/>
      <c r="P751" s="376"/>
      <c r="Q751" s="374"/>
      <c r="R751" s="408"/>
      <c r="S751" s="408">
        <f>AG752-AG750</f>
        <v>48.240000000001601</v>
      </c>
      <c r="T751" s="374"/>
      <c r="U751" s="374"/>
      <c r="V751" s="374"/>
      <c r="W751" s="374"/>
      <c r="X751" s="374"/>
      <c r="Y751" s="374"/>
      <c r="Z751" s="374"/>
      <c r="AA751" s="374"/>
      <c r="AB751" s="374"/>
      <c r="AC751" s="374"/>
      <c r="AD751" s="374"/>
      <c r="AE751" s="374"/>
      <c r="AF751" s="374"/>
      <c r="AG751" s="377" t="s">
        <v>695</v>
      </c>
      <c r="AH751" s="454" t="s">
        <v>695</v>
      </c>
      <c r="AI751" s="978" t="s">
        <v>695</v>
      </c>
      <c r="AJ751" s="454"/>
      <c r="AK751" s="374"/>
      <c r="AL751" s="374"/>
      <c r="AM751" s="374"/>
      <c r="AN751" s="379"/>
      <c r="AO751" s="379"/>
      <c r="AP751" s="379"/>
      <c r="AQ751" s="379">
        <f>+FL_2($U$752,$T$750,$G$751,1200,9.28, 1*$F$752)</f>
        <v>-0.36224008953315456</v>
      </c>
      <c r="AR751" s="379"/>
      <c r="AS751" s="379"/>
      <c r="AT751" s="379"/>
      <c r="AU751" s="379"/>
      <c r="AV751" s="379"/>
      <c r="AW751" s="374"/>
      <c r="AX751" s="374"/>
      <c r="AY751" s="374"/>
      <c r="AZ751" s="374"/>
      <c r="BA751" s="374"/>
      <c r="BB751" s="306"/>
      <c r="BF751" s="1119"/>
      <c r="BG751" s="1119"/>
      <c r="BH751" s="1119"/>
    </row>
    <row r="752" spans="1:60" ht="14.25">
      <c r="A752" s="378" t="s">
        <v>1781</v>
      </c>
      <c r="B752" s="406" t="s">
        <v>1978</v>
      </c>
      <c r="C752" s="377">
        <f>+$C$750+$G$751</f>
        <v>29450</v>
      </c>
      <c r="D752" s="374"/>
      <c r="E752" s="374">
        <v>-90</v>
      </c>
      <c r="F752" s="407">
        <v>-2000</v>
      </c>
      <c r="G752" s="408"/>
      <c r="H752" s="376" t="s">
        <v>651</v>
      </c>
      <c r="I752" s="376"/>
      <c r="J752" s="409"/>
      <c r="K752" s="374"/>
      <c r="L752" s="374" t="s">
        <v>458</v>
      </c>
      <c r="M752" s="374"/>
      <c r="N752" s="376" t="s">
        <v>675</v>
      </c>
      <c r="O752" s="376" t="s">
        <v>673</v>
      </c>
      <c r="P752" s="376"/>
      <c r="Q752" s="374">
        <v>-90</v>
      </c>
      <c r="R752" s="408">
        <v>-2000</v>
      </c>
      <c r="S752" s="408">
        <f>AG753-AG752</f>
        <v>1.7900000000008731</v>
      </c>
      <c r="T752" s="374">
        <v>-5</v>
      </c>
      <c r="U752" s="374">
        <v>-25</v>
      </c>
      <c r="V752" s="374"/>
      <c r="W752" s="374">
        <v>1.1000000000000001</v>
      </c>
      <c r="X752" s="374">
        <v>1.2</v>
      </c>
      <c r="Y752" s="374"/>
      <c r="Z752" s="374">
        <v>0.45</v>
      </c>
      <c r="AA752" s="374"/>
      <c r="AB752" s="374"/>
      <c r="AC752" s="374"/>
      <c r="AD752" s="374" t="s">
        <v>2963</v>
      </c>
      <c r="AE752" s="374"/>
      <c r="AF752" s="374">
        <v>100</v>
      </c>
      <c r="AG752" s="377">
        <v>29450</v>
      </c>
      <c r="AH752" s="454">
        <v>1521</v>
      </c>
      <c r="AI752" s="978">
        <v>-5222</v>
      </c>
      <c r="AJ752" s="454"/>
      <c r="AK752" s="374"/>
      <c r="AL752" s="374"/>
      <c r="AM752" s="374" t="s">
        <v>2021</v>
      </c>
      <c r="AN752" s="379">
        <v>5.25</v>
      </c>
      <c r="AO752" s="379"/>
      <c r="AP752" s="379"/>
      <c r="AQ752" s="379"/>
      <c r="AR752" s="379"/>
      <c r="AS752" s="379"/>
      <c r="AT752" s="379">
        <f>+ab($U$752,$T$750,$U$754,$G$751,$G$753, 1*$F$752,1200)</f>
        <v>-7.9442247325081086</v>
      </c>
      <c r="AU752" s="379"/>
      <c r="AV752" s="379"/>
      <c r="AW752" s="374" t="s">
        <v>699</v>
      </c>
      <c r="AX752" s="374" t="s">
        <v>699</v>
      </c>
      <c r="AY752" s="374" t="s">
        <v>699</v>
      </c>
      <c r="AZ752" s="374" t="s">
        <v>699</v>
      </c>
      <c r="BA752" s="374"/>
      <c r="BB752" s="306"/>
      <c r="BF752" s="1119"/>
      <c r="BG752" s="1119"/>
      <c r="BH752" s="1119"/>
    </row>
    <row r="753" spans="1:60" ht="14.25">
      <c r="A753" s="378"/>
      <c r="B753" s="406"/>
      <c r="C753" s="377"/>
      <c r="D753" s="374"/>
      <c r="E753" s="374"/>
      <c r="F753" s="407"/>
      <c r="G753" s="408">
        <v>50</v>
      </c>
      <c r="H753" s="376"/>
      <c r="I753" s="376"/>
      <c r="J753" s="409"/>
      <c r="K753" s="374"/>
      <c r="L753" s="374"/>
      <c r="M753" s="374"/>
      <c r="N753" s="376"/>
      <c r="O753" s="376"/>
      <c r="P753" s="376"/>
      <c r="Q753" s="374"/>
      <c r="R753" s="408"/>
      <c r="S753" s="408">
        <f t="shared" ref="S753:S754" si="154">AG754-AG753</f>
        <v>48.180000000000291</v>
      </c>
      <c r="T753" s="374"/>
      <c r="U753" s="374"/>
      <c r="V753" s="374"/>
      <c r="W753" s="374"/>
      <c r="X753" s="374"/>
      <c r="Y753" s="374"/>
      <c r="Z753" s="374"/>
      <c r="AA753" s="374"/>
      <c r="AB753" s="374"/>
      <c r="AC753" s="374"/>
      <c r="AD753" s="374"/>
      <c r="AE753" s="374"/>
      <c r="AF753" s="374">
        <v>100</v>
      </c>
      <c r="AG753" s="377">
        <v>29451.79</v>
      </c>
      <c r="AH753" s="454">
        <v>1511</v>
      </c>
      <c r="AI753" s="978">
        <v>-5240</v>
      </c>
      <c r="AJ753" s="454"/>
      <c r="AK753" s="374"/>
      <c r="AL753" s="374"/>
      <c r="AM753" s="374"/>
      <c r="AN753" s="379"/>
      <c r="AO753" s="379"/>
      <c r="AP753" s="379"/>
      <c r="AQ753" s="379">
        <f>+FL_2($T$754,$U$752,$G$753,1200,9.28, 1*$F$754)</f>
        <v>-0.26468231937220765</v>
      </c>
      <c r="AR753" s="379"/>
      <c r="AS753" s="379"/>
      <c r="AT753" s="379"/>
      <c r="AU753" s="379"/>
      <c r="AV753" s="379"/>
      <c r="AW753" s="374"/>
      <c r="AX753" s="374"/>
      <c r="AY753" s="374"/>
      <c r="AZ753" s="374"/>
      <c r="BA753" s="374"/>
      <c r="BB753" s="306"/>
      <c r="BF753" s="1119"/>
      <c r="BG753" s="1119"/>
      <c r="BH753" s="1119"/>
    </row>
    <row r="754" spans="1:60" ht="14.25">
      <c r="A754" s="378" t="s">
        <v>1781</v>
      </c>
      <c r="B754" s="406" t="s">
        <v>1979</v>
      </c>
      <c r="C754" s="377">
        <f>+$C$752+$G$753</f>
        <v>29500</v>
      </c>
      <c r="D754" s="374"/>
      <c r="E754" s="374">
        <v>-90</v>
      </c>
      <c r="F754" s="407">
        <v>-2000</v>
      </c>
      <c r="G754" s="408"/>
      <c r="H754" s="376" t="s">
        <v>651</v>
      </c>
      <c r="I754" s="376"/>
      <c r="J754" s="409"/>
      <c r="K754" s="374"/>
      <c r="L754" s="374" t="s">
        <v>458</v>
      </c>
      <c r="M754" s="374"/>
      <c r="N754" s="376" t="s">
        <v>673</v>
      </c>
      <c r="O754" s="376" t="s">
        <v>675</v>
      </c>
      <c r="P754" s="376"/>
      <c r="Q754" s="374">
        <v>-90</v>
      </c>
      <c r="R754" s="408">
        <v>-2000</v>
      </c>
      <c r="S754" s="408">
        <f t="shared" si="154"/>
        <v>2.1100000000005821</v>
      </c>
      <c r="T754" s="374">
        <v>-5</v>
      </c>
      <c r="U754" s="374">
        <v>-25</v>
      </c>
      <c r="V754" s="374"/>
      <c r="W754" s="374">
        <v>1.1000000000000001</v>
      </c>
      <c r="X754" s="374">
        <v>1.2</v>
      </c>
      <c r="Y754" s="374"/>
      <c r="Z754" s="374"/>
      <c r="AA754" s="374">
        <v>0.45</v>
      </c>
      <c r="AB754" s="374"/>
      <c r="AC754" s="374" t="s">
        <v>1704</v>
      </c>
      <c r="AD754" s="374"/>
      <c r="AE754" s="374"/>
      <c r="AF754" s="374">
        <v>100</v>
      </c>
      <c r="AG754" s="377">
        <v>29499.97</v>
      </c>
      <c r="AH754" s="454">
        <v>1541</v>
      </c>
      <c r="AI754" s="978">
        <v>-5224</v>
      </c>
      <c r="AJ754" s="454"/>
      <c r="AK754" s="374"/>
      <c r="AL754" s="374"/>
      <c r="AM754" s="374" t="s">
        <v>2021</v>
      </c>
      <c r="AN754" s="379">
        <v>5.25</v>
      </c>
      <c r="AO754" s="379"/>
      <c r="AP754" s="379"/>
      <c r="AQ754" s="379"/>
      <c r="AR754" s="379"/>
      <c r="AS754" s="379"/>
      <c r="AT754" s="379">
        <f>+ab($T$754,$T$752,$T$756,$G$753,$G$755, 1*$F$754,1200)</f>
        <v>-9.5064275396827416</v>
      </c>
      <c r="AU754" s="379"/>
      <c r="AV754" s="379"/>
      <c r="AW754" s="374" t="s">
        <v>699</v>
      </c>
      <c r="AX754" s="374" t="s">
        <v>699</v>
      </c>
      <c r="AY754" s="374" t="s">
        <v>699</v>
      </c>
      <c r="AZ754" s="374" t="s">
        <v>699</v>
      </c>
      <c r="BA754" s="374"/>
      <c r="BB754" s="306"/>
      <c r="BF754" s="1119"/>
      <c r="BG754" s="1119"/>
      <c r="BH754" s="1119"/>
    </row>
    <row r="755" spans="1:60" ht="14.25">
      <c r="A755" s="378"/>
      <c r="B755" s="406"/>
      <c r="C755" s="377"/>
      <c r="D755" s="374"/>
      <c r="E755" s="374"/>
      <c r="F755" s="407"/>
      <c r="G755" s="408">
        <v>50</v>
      </c>
      <c r="H755" s="376"/>
      <c r="I755" s="376"/>
      <c r="J755" s="409">
        <f>C756-10</f>
        <v>29540</v>
      </c>
      <c r="K755" s="374" t="s">
        <v>1055</v>
      </c>
      <c r="L755" s="374"/>
      <c r="M755" s="374"/>
      <c r="N755" s="376"/>
      <c r="O755" s="376"/>
      <c r="P755" s="376"/>
      <c r="Q755" s="374"/>
      <c r="R755" s="408"/>
      <c r="S755" s="408">
        <f>AG756-AG755</f>
        <v>47.839999999996508</v>
      </c>
      <c r="T755" s="374"/>
      <c r="U755" s="374"/>
      <c r="V755" s="374"/>
      <c r="W755" s="374"/>
      <c r="X755" s="374"/>
      <c r="Y755" s="374"/>
      <c r="Z755" s="374"/>
      <c r="AA755" s="374"/>
      <c r="AB755" s="374"/>
      <c r="AC755" s="374"/>
      <c r="AD755" s="374"/>
      <c r="AE755" s="374"/>
      <c r="AF755" s="374">
        <v>100</v>
      </c>
      <c r="AG755" s="377">
        <v>29502.080000000002</v>
      </c>
      <c r="AH755" s="454">
        <v>1494</v>
      </c>
      <c r="AI755" s="978">
        <v>-5250</v>
      </c>
      <c r="AJ755" s="454"/>
      <c r="AK755" s="374"/>
      <c r="AL755" s="374"/>
      <c r="AM755" s="374"/>
      <c r="AN755" s="379"/>
      <c r="AO755" s="379"/>
      <c r="AP755" s="379"/>
      <c r="AQ755" s="379">
        <f>+FL_2($T$756,$T$754,$G$755,1200,9.28, 1*$F$756)</f>
        <v>-0.30614705457321872</v>
      </c>
      <c r="AR755" s="379"/>
      <c r="AS755" s="379"/>
      <c r="AT755" s="379"/>
      <c r="AU755" s="379"/>
      <c r="AV755" s="379"/>
      <c r="AW755" s="374"/>
      <c r="AX755" s="374"/>
      <c r="AY755" s="374"/>
      <c r="AZ755" s="374"/>
      <c r="BA755" s="374"/>
      <c r="BB755" s="306"/>
      <c r="BF755" s="1119"/>
      <c r="BG755" s="1119"/>
      <c r="BH755" s="1119"/>
    </row>
    <row r="756" spans="1:60" ht="14.25">
      <c r="A756" s="378" t="s">
        <v>1781</v>
      </c>
      <c r="B756" s="406" t="s">
        <v>1980</v>
      </c>
      <c r="C756" s="377">
        <f>+$C$754+$G$755</f>
        <v>29550</v>
      </c>
      <c r="D756" s="374"/>
      <c r="E756" s="374">
        <v>-90</v>
      </c>
      <c r="F756" s="407">
        <v>-2000</v>
      </c>
      <c r="G756" s="408"/>
      <c r="H756" s="376" t="s">
        <v>138</v>
      </c>
      <c r="I756" s="376" t="s">
        <v>912</v>
      </c>
      <c r="J756" s="409"/>
      <c r="K756" s="374"/>
      <c r="L756" s="374" t="s">
        <v>239</v>
      </c>
      <c r="M756" s="374"/>
      <c r="N756" s="376" t="s">
        <v>673</v>
      </c>
      <c r="O756" s="376"/>
      <c r="P756" s="376"/>
      <c r="Q756" s="374">
        <v>-90</v>
      </c>
      <c r="R756" s="408">
        <v>-2000</v>
      </c>
      <c r="S756" s="408"/>
      <c r="T756" s="374">
        <v>-30</v>
      </c>
      <c r="U756" s="374"/>
      <c r="V756" s="374"/>
      <c r="W756" s="374">
        <v>1.1000000000000001</v>
      </c>
      <c r="X756" s="374"/>
      <c r="Y756" s="374"/>
      <c r="Z756" s="374"/>
      <c r="AA756" s="374"/>
      <c r="AB756" s="374"/>
      <c r="AC756" s="374" t="s">
        <v>2963</v>
      </c>
      <c r="AD756" s="374"/>
      <c r="AE756" s="374"/>
      <c r="AF756" s="374">
        <v>100</v>
      </c>
      <c r="AG756" s="377">
        <v>29549.919999999998</v>
      </c>
      <c r="AH756" s="454">
        <v>1537</v>
      </c>
      <c r="AI756" s="978">
        <v>-5250</v>
      </c>
      <c r="AJ756" s="454"/>
      <c r="AK756" s="374"/>
      <c r="AL756" s="374"/>
      <c r="AM756" s="374" t="s">
        <v>2021</v>
      </c>
      <c r="AN756" s="379">
        <v>5.25</v>
      </c>
      <c r="AO756" s="379"/>
      <c r="AP756" s="379"/>
      <c r="AQ756" s="379"/>
      <c r="AR756" s="379"/>
      <c r="AS756" s="379"/>
      <c r="AT756" s="379">
        <f>+ab($T$756,$T$754,$T$758,$G$755,$G$757, 1*$F$756,1200)</f>
        <v>-6.3700457825922534</v>
      </c>
      <c r="AU756" s="379"/>
      <c r="AV756" s="379"/>
      <c r="AW756" s="374" t="s">
        <v>699</v>
      </c>
      <c r="AX756" s="374" t="s">
        <v>699</v>
      </c>
      <c r="AY756" s="374" t="s">
        <v>699</v>
      </c>
      <c r="AZ756" s="374" t="s">
        <v>699</v>
      </c>
      <c r="BA756" s="374"/>
      <c r="BB756" s="306"/>
      <c r="BF756" s="1119"/>
      <c r="BG756" s="1119"/>
      <c r="BH756" s="1119"/>
    </row>
    <row r="757" spans="1:60" ht="14.25">
      <c r="A757" s="378"/>
      <c r="B757" s="406"/>
      <c r="C757" s="377"/>
      <c r="D757" s="374"/>
      <c r="E757" s="374"/>
      <c r="F757" s="407"/>
      <c r="G757" s="408">
        <v>50</v>
      </c>
      <c r="H757" s="376"/>
      <c r="I757" s="376"/>
      <c r="J757" s="409"/>
      <c r="K757" s="374"/>
      <c r="L757" s="374"/>
      <c r="M757" s="374"/>
      <c r="N757" s="376"/>
      <c r="O757" s="376"/>
      <c r="P757" s="376"/>
      <c r="Q757" s="374"/>
      <c r="R757" s="408"/>
      <c r="S757" s="408">
        <f>AG758-AG756</f>
        <v>50.110000000000582</v>
      </c>
      <c r="T757" s="374"/>
      <c r="U757" s="374"/>
      <c r="V757" s="374"/>
      <c r="W757" s="374"/>
      <c r="X757" s="374"/>
      <c r="Y757" s="374"/>
      <c r="Z757" s="374"/>
      <c r="AA757" s="374"/>
      <c r="AB757" s="374"/>
      <c r="AC757" s="374"/>
      <c r="AD757" s="374"/>
      <c r="AE757" s="374"/>
      <c r="AF757" s="374"/>
      <c r="AG757" s="377" t="s">
        <v>695</v>
      </c>
      <c r="AH757" s="454" t="s">
        <v>695</v>
      </c>
      <c r="AI757" s="978" t="s">
        <v>695</v>
      </c>
      <c r="AJ757" s="454"/>
      <c r="AK757" s="374"/>
      <c r="AL757" s="374"/>
      <c r="AM757" s="374"/>
      <c r="AN757" s="379"/>
      <c r="AO757" s="379"/>
      <c r="AP757" s="379"/>
      <c r="AQ757" s="379">
        <f>+FL_2($T$758,$T$756,$G$757,1200,9.28, 1*$F$758)</f>
        <v>-0.38541056267414808</v>
      </c>
      <c r="AR757" s="379"/>
      <c r="AS757" s="379"/>
      <c r="AT757" s="379"/>
      <c r="AU757" s="379"/>
      <c r="AV757" s="379"/>
      <c r="AW757" s="374"/>
      <c r="AX757" s="374"/>
      <c r="AY757" s="374"/>
      <c r="AZ757" s="374"/>
      <c r="BA757" s="374"/>
      <c r="BB757" s="306"/>
      <c r="BF757" s="1119"/>
      <c r="BG757" s="1119"/>
      <c r="BH757" s="1119"/>
    </row>
    <row r="758" spans="1:60" ht="14.25">
      <c r="A758" s="378" t="s">
        <v>1781</v>
      </c>
      <c r="B758" s="406" t="s">
        <v>1981</v>
      </c>
      <c r="C758" s="377">
        <f>+$C$756+$G$757</f>
        <v>29600</v>
      </c>
      <c r="D758" s="374"/>
      <c r="E758" s="374">
        <v>-90</v>
      </c>
      <c r="F758" s="407">
        <v>-2000</v>
      </c>
      <c r="G758" s="408"/>
      <c r="H758" s="376"/>
      <c r="I758" s="376"/>
      <c r="J758" s="409"/>
      <c r="K758" s="374"/>
      <c r="L758" s="374" t="s">
        <v>239</v>
      </c>
      <c r="M758" s="374"/>
      <c r="N758" s="376" t="s">
        <v>673</v>
      </c>
      <c r="O758" s="376"/>
      <c r="P758" s="376"/>
      <c r="Q758" s="374">
        <v>-90</v>
      </c>
      <c r="R758" s="408">
        <v>-2000</v>
      </c>
      <c r="S758" s="408"/>
      <c r="T758" s="374">
        <v>-30</v>
      </c>
      <c r="U758" s="374"/>
      <c r="V758" s="374"/>
      <c r="W758" s="374">
        <v>1.1000000000000001</v>
      </c>
      <c r="X758" s="374"/>
      <c r="Y758" s="374"/>
      <c r="Z758" s="374"/>
      <c r="AA758" s="374"/>
      <c r="AB758" s="374"/>
      <c r="AC758" s="374" t="s">
        <v>2972</v>
      </c>
      <c r="AD758" s="374"/>
      <c r="AE758" s="374"/>
      <c r="AF758" s="374">
        <v>100</v>
      </c>
      <c r="AG758" s="377">
        <v>29600.03</v>
      </c>
      <c r="AH758" s="454">
        <v>1515</v>
      </c>
      <c r="AI758" s="978">
        <v>-5227</v>
      </c>
      <c r="AJ758" s="454"/>
      <c r="AK758" s="374"/>
      <c r="AL758" s="374"/>
      <c r="AM758" s="374" t="s">
        <v>2021</v>
      </c>
      <c r="AN758" s="379">
        <v>5.25</v>
      </c>
      <c r="AO758" s="379"/>
      <c r="AP758" s="379"/>
      <c r="AQ758" s="379"/>
      <c r="AR758" s="379"/>
      <c r="AS758" s="379"/>
      <c r="AT758" s="379">
        <f>+ab($T$758,$T$756,$T$760,$G$757,$G$759, 1*$F$758,1200)</f>
        <v>-7.6302760504335234</v>
      </c>
      <c r="AU758" s="379"/>
      <c r="AV758" s="379"/>
      <c r="AW758" s="374" t="s">
        <v>699</v>
      </c>
      <c r="AX758" s="374" t="s">
        <v>699</v>
      </c>
      <c r="AY758" s="374" t="s">
        <v>699</v>
      </c>
      <c r="AZ758" s="374" t="s">
        <v>699</v>
      </c>
      <c r="BA758" s="374"/>
      <c r="BB758" s="306"/>
      <c r="BF758" s="1119"/>
      <c r="BG758" s="1119"/>
      <c r="BH758" s="1119"/>
    </row>
    <row r="759" spans="1:60" ht="14.25">
      <c r="A759" s="378"/>
      <c r="B759" s="406"/>
      <c r="C759" s="377"/>
      <c r="D759" s="374"/>
      <c r="E759" s="374"/>
      <c r="F759" s="407"/>
      <c r="G759" s="408">
        <v>50</v>
      </c>
      <c r="H759" s="376"/>
      <c r="I759" s="376"/>
      <c r="J759" s="409"/>
      <c r="K759" s="374"/>
      <c r="L759" s="374"/>
      <c r="M759" s="374"/>
      <c r="N759" s="376"/>
      <c r="O759" s="376"/>
      <c r="P759" s="376"/>
      <c r="Q759" s="374"/>
      <c r="R759" s="408"/>
      <c r="S759" s="408">
        <f>AG760-AG758</f>
        <v>48.150000000001455</v>
      </c>
      <c r="T759" s="374"/>
      <c r="U759" s="374"/>
      <c r="V759" s="374"/>
      <c r="W759" s="374"/>
      <c r="X759" s="374"/>
      <c r="Y759" s="374"/>
      <c r="Z759" s="374"/>
      <c r="AA759" s="374"/>
      <c r="AB759" s="374"/>
      <c r="AC759" s="374"/>
      <c r="AD759" s="374"/>
      <c r="AE759" s="374"/>
      <c r="AF759" s="374"/>
      <c r="AG759" s="377" t="s">
        <v>695</v>
      </c>
      <c r="AH759" s="454" t="s">
        <v>695</v>
      </c>
      <c r="AI759" s="978" t="s">
        <v>695</v>
      </c>
      <c r="AJ759" s="454"/>
      <c r="AK759" s="374"/>
      <c r="AL759" s="374"/>
      <c r="AM759" s="374"/>
      <c r="AN759" s="379"/>
      <c r="AO759" s="379"/>
      <c r="AP759" s="379"/>
      <c r="AQ759" s="379">
        <f>+FL_2($T$760,$T$758,$G$759,1200,9.28, 1*$F$760)</f>
        <v>-0.38376563102785133</v>
      </c>
      <c r="AR759" s="379"/>
      <c r="AS759" s="379"/>
      <c r="AT759" s="379"/>
      <c r="AU759" s="379"/>
      <c r="AV759" s="379"/>
      <c r="AW759" s="374"/>
      <c r="AX759" s="374"/>
      <c r="AY759" s="374"/>
      <c r="AZ759" s="374"/>
      <c r="BA759" s="374"/>
      <c r="BB759" s="306"/>
      <c r="BF759" s="1119"/>
      <c r="BG759" s="1119"/>
      <c r="BH759" s="1119"/>
    </row>
    <row r="760" spans="1:60" ht="14.25">
      <c r="A760" s="378" t="s">
        <v>1781</v>
      </c>
      <c r="B760" s="406" t="s">
        <v>1982</v>
      </c>
      <c r="C760" s="377">
        <f>+$C$758+$G$759</f>
        <v>29650</v>
      </c>
      <c r="D760" s="374"/>
      <c r="E760" s="374"/>
      <c r="F760" s="407">
        <f>-380000/(29842-C760)</f>
        <v>-1979.1666666666667</v>
      </c>
      <c r="G760" s="408"/>
      <c r="H760" s="376"/>
      <c r="I760" s="376"/>
      <c r="J760" s="409"/>
      <c r="K760" s="374"/>
      <c r="L760" s="374" t="s">
        <v>239</v>
      </c>
      <c r="M760" s="374"/>
      <c r="N760" s="376" t="s">
        <v>673</v>
      </c>
      <c r="O760" s="376"/>
      <c r="P760" s="376"/>
      <c r="Q760" s="374">
        <v>-76</v>
      </c>
      <c r="R760" s="408">
        <v>-2474.7219925655245</v>
      </c>
      <c r="S760" s="408"/>
      <c r="T760" s="374">
        <v>-30</v>
      </c>
      <c r="U760" s="374"/>
      <c r="V760" s="374"/>
      <c r="W760" s="374">
        <v>1.1000000000000001</v>
      </c>
      <c r="X760" s="374"/>
      <c r="Y760" s="374"/>
      <c r="Z760" s="374"/>
      <c r="AA760" s="374"/>
      <c r="AB760" s="374"/>
      <c r="AC760" s="374" t="s">
        <v>1700</v>
      </c>
      <c r="AD760" s="374"/>
      <c r="AE760" s="374"/>
      <c r="AF760" s="374">
        <v>100</v>
      </c>
      <c r="AG760" s="377">
        <v>29648.18</v>
      </c>
      <c r="AH760" s="454">
        <v>1478</v>
      </c>
      <c r="AI760" s="978">
        <v>-5209</v>
      </c>
      <c r="AJ760" s="454"/>
      <c r="AK760" s="374"/>
      <c r="AL760" s="374"/>
      <c r="AM760" s="374" t="s">
        <v>2021</v>
      </c>
      <c r="AN760" s="379">
        <v>5.25</v>
      </c>
      <c r="AO760" s="379"/>
      <c r="AP760" s="379"/>
      <c r="AQ760" s="379"/>
      <c r="AR760" s="379"/>
      <c r="AS760" s="379"/>
      <c r="AT760" s="379">
        <f>+ab($T$760,$T$758,$T$762,$G$759,$G$761, 1*$F$760,1200)</f>
        <v>-7.5517160578034046</v>
      </c>
      <c r="AU760" s="379"/>
      <c r="AV760" s="379"/>
      <c r="AW760" s="374" t="s">
        <v>699</v>
      </c>
      <c r="AX760" s="374" t="s">
        <v>699</v>
      </c>
      <c r="AY760" s="374" t="s">
        <v>699</v>
      </c>
      <c r="AZ760" s="374" t="s">
        <v>699</v>
      </c>
      <c r="BA760" s="374"/>
      <c r="BB760" s="306"/>
      <c r="BF760" s="1119"/>
      <c r="BG760" s="1119"/>
      <c r="BH760" s="1119"/>
    </row>
    <row r="761" spans="1:60" ht="14.25">
      <c r="A761" s="378"/>
      <c r="B761" s="406"/>
      <c r="C761" s="377"/>
      <c r="D761" s="374"/>
      <c r="E761" s="374"/>
      <c r="F761" s="407"/>
      <c r="G761" s="408">
        <v>50</v>
      </c>
      <c r="H761" s="376"/>
      <c r="I761" s="376"/>
      <c r="J761" s="409"/>
      <c r="K761" s="374"/>
      <c r="L761" s="374"/>
      <c r="M761" s="374"/>
      <c r="N761" s="376"/>
      <c r="O761" s="376"/>
      <c r="P761" s="376"/>
      <c r="Q761" s="374"/>
      <c r="R761" s="408"/>
      <c r="S761" s="408">
        <f>AG762-AG760</f>
        <v>52.069999999999709</v>
      </c>
      <c r="T761" s="374"/>
      <c r="U761" s="374"/>
      <c r="V761" s="374"/>
      <c r="W761" s="374"/>
      <c r="X761" s="374"/>
      <c r="Y761" s="374"/>
      <c r="Z761" s="374"/>
      <c r="AA761" s="374"/>
      <c r="AB761" s="374"/>
      <c r="AC761" s="374"/>
      <c r="AD761" s="374"/>
      <c r="AE761" s="374"/>
      <c r="AF761" s="374"/>
      <c r="AG761" s="377" t="s">
        <v>695</v>
      </c>
      <c r="AH761" s="374" t="s">
        <v>695</v>
      </c>
      <c r="AI761" s="407" t="s">
        <v>695</v>
      </c>
      <c r="AJ761" s="374"/>
      <c r="AK761" s="374"/>
      <c r="AL761" s="374"/>
      <c r="AM761" s="374"/>
      <c r="AN761" s="379"/>
      <c r="AO761" s="379"/>
      <c r="AP761" s="379"/>
      <c r="AQ761" s="379">
        <f>+FL_2($T$762,$T$760,$G$761,1200,9.28, 1*$F$762)</f>
        <v>-0.42488780285490668</v>
      </c>
      <c r="AR761" s="379"/>
      <c r="AS761" s="379"/>
      <c r="AT761" s="379"/>
      <c r="AU761" s="379"/>
      <c r="AV761" s="379"/>
      <c r="AW761" s="374"/>
      <c r="AX761" s="374"/>
      <c r="AY761" s="374"/>
      <c r="AZ761" s="374"/>
      <c r="BA761" s="374"/>
      <c r="BB761" s="306"/>
      <c r="BF761" s="1119"/>
      <c r="BG761" s="1119"/>
      <c r="BH761" s="1119"/>
    </row>
    <row r="762" spans="1:60" ht="14.25">
      <c r="A762" s="378" t="s">
        <v>1781</v>
      </c>
      <c r="B762" s="406" t="s">
        <v>1983</v>
      </c>
      <c r="C762" s="377">
        <f>+$C$760+$G$761</f>
        <v>29700</v>
      </c>
      <c r="D762" s="374"/>
      <c r="E762" s="374"/>
      <c r="F762" s="407">
        <f>-380000/(29842-C762)</f>
        <v>-2676.0563380281692</v>
      </c>
      <c r="G762" s="408"/>
      <c r="H762" s="376"/>
      <c r="I762" s="376"/>
      <c r="J762" s="409"/>
      <c r="K762" s="374"/>
      <c r="L762" s="374" t="s">
        <v>239</v>
      </c>
      <c r="M762" s="374"/>
      <c r="N762" s="376" t="s">
        <v>673</v>
      </c>
      <c r="O762" s="376"/>
      <c r="P762" s="376"/>
      <c r="Q762" s="374">
        <v>-56</v>
      </c>
      <c r="R762" s="408">
        <v>-3382.8037295445843</v>
      </c>
      <c r="S762" s="408"/>
      <c r="T762" s="374">
        <v>-30</v>
      </c>
      <c r="U762" s="374"/>
      <c r="V762" s="374"/>
      <c r="W762" s="374">
        <v>1.1000000000000001</v>
      </c>
      <c r="X762" s="374"/>
      <c r="Y762" s="374"/>
      <c r="Z762" s="374"/>
      <c r="AA762" s="374"/>
      <c r="AB762" s="374"/>
      <c r="AC762" s="374" t="s">
        <v>1700</v>
      </c>
      <c r="AD762" s="374"/>
      <c r="AE762" s="374"/>
      <c r="AF762" s="374">
        <v>100</v>
      </c>
      <c r="AG762" s="377">
        <v>29700.25</v>
      </c>
      <c r="AH762" s="374">
        <v>1496</v>
      </c>
      <c r="AI762" s="407">
        <v>-5242</v>
      </c>
      <c r="AJ762" s="374"/>
      <c r="AK762" s="374"/>
      <c r="AL762" s="374"/>
      <c r="AM762" s="374" t="s">
        <v>2021</v>
      </c>
      <c r="AN762" s="379">
        <v>5.25</v>
      </c>
      <c r="AO762" s="379"/>
      <c r="AP762" s="379"/>
      <c r="AQ762" s="379"/>
      <c r="AR762" s="379"/>
      <c r="AS762" s="379"/>
      <c r="AT762" s="379">
        <f>+ab($T$762,$T$760,$T$764,$G$761,$G$763, 1*$F$762,1200)</f>
        <v>-9.1974292796549975</v>
      </c>
      <c r="AU762" s="379"/>
      <c r="AV762" s="379"/>
      <c r="AW762" s="374" t="s">
        <v>699</v>
      </c>
      <c r="AX762" s="374" t="s">
        <v>699</v>
      </c>
      <c r="AY762" s="374" t="s">
        <v>699</v>
      </c>
      <c r="AZ762" s="374" t="s">
        <v>699</v>
      </c>
      <c r="BA762" s="374"/>
      <c r="BB762" s="306"/>
      <c r="BF762" s="1119"/>
      <c r="BG762" s="1119"/>
      <c r="BH762" s="1119"/>
    </row>
    <row r="763" spans="1:60" ht="14.25">
      <c r="A763" s="378"/>
      <c r="B763" s="406"/>
      <c r="C763" s="377"/>
      <c r="D763" s="374"/>
      <c r="E763" s="374"/>
      <c r="F763" s="407"/>
      <c r="G763" s="408">
        <v>50</v>
      </c>
      <c r="H763" s="376"/>
      <c r="I763" s="376"/>
      <c r="J763" s="409"/>
      <c r="K763" s="374"/>
      <c r="L763" s="374"/>
      <c r="M763" s="374"/>
      <c r="N763" s="376"/>
      <c r="O763" s="376"/>
      <c r="P763" s="376"/>
      <c r="Q763" s="374"/>
      <c r="R763" s="408"/>
      <c r="S763" s="408">
        <f>AG764-AG762</f>
        <v>49.909999999999854</v>
      </c>
      <c r="T763" s="374"/>
      <c r="U763" s="374"/>
      <c r="V763" s="374"/>
      <c r="W763" s="374"/>
      <c r="X763" s="374"/>
      <c r="Y763" s="374"/>
      <c r="Z763" s="374"/>
      <c r="AA763" s="374"/>
      <c r="AB763" s="374"/>
      <c r="AC763" s="374"/>
      <c r="AD763" s="374"/>
      <c r="AE763" s="374"/>
      <c r="AF763" s="374"/>
      <c r="AG763" s="377" t="s">
        <v>695</v>
      </c>
      <c r="AH763" s="374" t="s">
        <v>695</v>
      </c>
      <c r="AI763" s="407" t="s">
        <v>695</v>
      </c>
      <c r="AJ763" s="374"/>
      <c r="AK763" s="374"/>
      <c r="AL763" s="374"/>
      <c r="AM763" s="374"/>
      <c r="AN763" s="379"/>
      <c r="AO763" s="379"/>
      <c r="AP763" s="379"/>
      <c r="AQ763" s="379">
        <f>+FL_2($T$764,$T$762,$G$763,1200,9.28, 1*$F$764)</f>
        <v>-0.41977296500959105</v>
      </c>
      <c r="AR763" s="379"/>
      <c r="AS763" s="379"/>
      <c r="AT763" s="379"/>
      <c r="AU763" s="379"/>
      <c r="AV763" s="379"/>
      <c r="AW763" s="374"/>
      <c r="AX763" s="374"/>
      <c r="AY763" s="374"/>
      <c r="AZ763" s="374"/>
      <c r="BA763" s="374"/>
      <c r="BB763" s="306"/>
      <c r="BF763" s="1119"/>
      <c r="BG763" s="1119"/>
      <c r="BH763" s="1119"/>
    </row>
    <row r="764" spans="1:60" ht="14.25">
      <c r="A764" s="378" t="s">
        <v>1781</v>
      </c>
      <c r="B764" s="406" t="s">
        <v>1984</v>
      </c>
      <c r="C764" s="377">
        <f>+$C$762+$G$763</f>
        <v>29750</v>
      </c>
      <c r="D764" s="374"/>
      <c r="E764" s="374"/>
      <c r="F764" s="407">
        <f>-380000/(29842-C764)</f>
        <v>-4130.434782608696</v>
      </c>
      <c r="G764" s="408"/>
      <c r="H764" s="376"/>
      <c r="I764" s="376"/>
      <c r="J764" s="409"/>
      <c r="K764" s="374"/>
      <c r="L764" s="374" t="s">
        <v>239</v>
      </c>
      <c r="M764" s="374"/>
      <c r="N764" s="376" t="s">
        <v>673</v>
      </c>
      <c r="O764" s="376"/>
      <c r="P764" s="376"/>
      <c r="Q764" s="374">
        <v>-36</v>
      </c>
      <c r="R764" s="408">
        <v>-5218.5209001957201</v>
      </c>
      <c r="S764" s="408"/>
      <c r="T764" s="374">
        <v>-20</v>
      </c>
      <c r="U764" s="374"/>
      <c r="V764" s="374"/>
      <c r="W764" s="374">
        <v>1.1000000000000001</v>
      </c>
      <c r="X764" s="374"/>
      <c r="Y764" s="374"/>
      <c r="Z764" s="374"/>
      <c r="AA764" s="374"/>
      <c r="AB764" s="374"/>
      <c r="AC764" s="374" t="s">
        <v>1702</v>
      </c>
      <c r="AD764" s="374"/>
      <c r="AE764" s="374"/>
      <c r="AF764" s="374">
        <v>100</v>
      </c>
      <c r="AG764" s="377">
        <v>29750.16</v>
      </c>
      <c r="AH764" s="374">
        <v>1492</v>
      </c>
      <c r="AI764" s="407">
        <v>-5258</v>
      </c>
      <c r="AJ764" s="374"/>
      <c r="AK764" s="374"/>
      <c r="AL764" s="374"/>
      <c r="AM764" s="374" t="s">
        <v>2021</v>
      </c>
      <c r="AN764" s="379">
        <v>5.25</v>
      </c>
      <c r="AO764" s="379"/>
      <c r="AP764" s="379"/>
      <c r="AQ764" s="379"/>
      <c r="AR764" s="379"/>
      <c r="AS764" s="379"/>
      <c r="AT764" s="379">
        <f>+ab($T$764,$T$762,$T$766,$G$763,$G$765, 1*$F$764,1200)</f>
        <v>-9.4575571328424619</v>
      </c>
      <c r="AU764" s="379"/>
      <c r="AV764" s="379"/>
      <c r="AW764" s="374" t="s">
        <v>699</v>
      </c>
      <c r="AX764" s="374" t="s">
        <v>699</v>
      </c>
      <c r="AY764" s="374" t="s">
        <v>699</v>
      </c>
      <c r="AZ764" s="374" t="s">
        <v>699</v>
      </c>
      <c r="BA764" s="374"/>
      <c r="BB764" s="306"/>
      <c r="BF764" s="1119"/>
      <c r="BG764" s="1119"/>
      <c r="BH764" s="1119"/>
    </row>
    <row r="765" spans="1:60" ht="14.25">
      <c r="A765" s="378"/>
      <c r="B765" s="406"/>
      <c r="C765" s="377"/>
      <c r="D765" s="374"/>
      <c r="E765" s="374"/>
      <c r="F765" s="407"/>
      <c r="G765" s="408">
        <v>50</v>
      </c>
      <c r="H765" s="376"/>
      <c r="I765" s="376"/>
      <c r="J765" s="409"/>
      <c r="K765" s="374"/>
      <c r="L765" s="374"/>
      <c r="M765" s="374"/>
      <c r="N765" s="376"/>
      <c r="O765" s="376"/>
      <c r="P765" s="376"/>
      <c r="Q765" s="374"/>
      <c r="R765" s="408"/>
      <c r="S765" s="408">
        <f>AG766-AG764</f>
        <v>48.240000000001601</v>
      </c>
      <c r="T765" s="374"/>
      <c r="U765" s="374"/>
      <c r="V765" s="374"/>
      <c r="W765" s="374"/>
      <c r="X765" s="374"/>
      <c r="Y765" s="374"/>
      <c r="Z765" s="374"/>
      <c r="AA765" s="374"/>
      <c r="AB765" s="374"/>
      <c r="AC765" s="374"/>
      <c r="AD765" s="374"/>
      <c r="AE765" s="374"/>
      <c r="AF765" s="374"/>
      <c r="AG765" s="377" t="s">
        <v>695</v>
      </c>
      <c r="AH765" s="374" t="s">
        <v>695</v>
      </c>
      <c r="AI765" s="407" t="s">
        <v>695</v>
      </c>
      <c r="AJ765" s="374"/>
      <c r="AK765" s="374"/>
      <c r="AL765" s="374"/>
      <c r="AM765" s="374"/>
      <c r="AN765" s="379"/>
      <c r="AO765" s="379"/>
      <c r="AP765" s="379"/>
      <c r="AQ765" s="379">
        <f>+FL_1($T$766,$T$764,$G$765,1200,9.28, 1*$F$766)</f>
        <v>0.38277624242251446</v>
      </c>
      <c r="AR765" s="379"/>
      <c r="AS765" s="379"/>
      <c r="AT765" s="379"/>
      <c r="AU765" s="379"/>
      <c r="AV765" s="379"/>
      <c r="AW765" s="374"/>
      <c r="AX765" s="374"/>
      <c r="AY765" s="374"/>
      <c r="AZ765" s="374"/>
      <c r="BA765" s="374"/>
      <c r="BB765" s="306"/>
      <c r="BF765" s="1119"/>
      <c r="BG765" s="1119"/>
      <c r="BH765" s="1119"/>
    </row>
    <row r="766" spans="1:60" ht="14.25">
      <c r="A766" s="378" t="s">
        <v>1781</v>
      </c>
      <c r="B766" s="406" t="s">
        <v>1985</v>
      </c>
      <c r="C766" s="377">
        <f>+$C$764+$G$765</f>
        <v>29800</v>
      </c>
      <c r="D766" s="374"/>
      <c r="E766" s="374"/>
      <c r="F766" s="407">
        <f>-380000/(29842-C766)</f>
        <v>-9047.6190476190477</v>
      </c>
      <c r="G766" s="408"/>
      <c r="H766" s="376"/>
      <c r="I766" s="376"/>
      <c r="J766" s="409"/>
      <c r="K766" s="374"/>
      <c r="L766" s="374" t="s">
        <v>239</v>
      </c>
      <c r="M766" s="374"/>
      <c r="N766" s="376" t="s">
        <v>674</v>
      </c>
      <c r="O766" s="376"/>
      <c r="P766" s="376"/>
      <c r="Q766" s="374">
        <v>-17</v>
      </c>
      <c r="R766" s="408">
        <v>-10973.675782447135</v>
      </c>
      <c r="S766" s="408"/>
      <c r="T766" s="374">
        <v>30</v>
      </c>
      <c r="U766" s="374"/>
      <c r="V766" s="374"/>
      <c r="W766" s="374">
        <v>1.1000000000000001</v>
      </c>
      <c r="X766" s="374"/>
      <c r="Y766" s="374"/>
      <c r="Z766" s="374"/>
      <c r="AA766" s="374"/>
      <c r="AB766" s="374"/>
      <c r="AC766" s="374" t="s">
        <v>1704</v>
      </c>
      <c r="AD766" s="374"/>
      <c r="AE766" s="374"/>
      <c r="AF766" s="374">
        <v>100</v>
      </c>
      <c r="AG766" s="377">
        <v>29798.400000000001</v>
      </c>
      <c r="AH766" s="374">
        <v>1531</v>
      </c>
      <c r="AI766" s="407">
        <v>-5213</v>
      </c>
      <c r="AJ766" s="374"/>
      <c r="AK766" s="374"/>
      <c r="AL766" s="374"/>
      <c r="AM766" s="374" t="s">
        <v>2021</v>
      </c>
      <c r="AN766" s="379">
        <v>5.25</v>
      </c>
      <c r="AO766" s="379"/>
      <c r="AP766" s="379"/>
      <c r="AQ766" s="379"/>
      <c r="AR766" s="379"/>
      <c r="AS766" s="379"/>
      <c r="AT766" s="379">
        <f>+ab($T$766,$T$764,$T$768,$G$765,$G$767, 1*$F$766,1200)</f>
        <v>11.491816270320196</v>
      </c>
      <c r="AU766" s="379"/>
      <c r="AV766" s="379"/>
      <c r="AW766" s="374" t="s">
        <v>699</v>
      </c>
      <c r="AX766" s="374" t="s">
        <v>699</v>
      </c>
      <c r="AY766" s="374" t="s">
        <v>699</v>
      </c>
      <c r="AZ766" s="374" t="s">
        <v>699</v>
      </c>
      <c r="BA766" s="374"/>
      <c r="BB766" s="306"/>
      <c r="BF766" s="1119"/>
      <c r="BG766" s="1119"/>
      <c r="BH766" s="1119"/>
    </row>
    <row r="767" spans="1:60" ht="14.25">
      <c r="A767" s="378"/>
      <c r="B767" s="406"/>
      <c r="C767" s="377"/>
      <c r="D767" s="374"/>
      <c r="E767" s="374"/>
      <c r="F767" s="407"/>
      <c r="G767" s="408">
        <v>50</v>
      </c>
      <c r="H767" s="376"/>
      <c r="I767" s="376"/>
      <c r="J767" s="409"/>
      <c r="K767" s="374"/>
      <c r="L767" s="374"/>
      <c r="M767" s="374"/>
      <c r="N767" s="376"/>
      <c r="O767" s="376"/>
      <c r="P767" s="376"/>
      <c r="Q767" s="374"/>
      <c r="R767" s="408"/>
      <c r="S767" s="408">
        <f>AG768-AG766</f>
        <v>52.039999999997235</v>
      </c>
      <c r="T767" s="374"/>
      <c r="U767" s="374"/>
      <c r="V767" s="374"/>
      <c r="W767" s="374"/>
      <c r="X767" s="374"/>
      <c r="Y767" s="374"/>
      <c r="Z767" s="374"/>
      <c r="AA767" s="374"/>
      <c r="AB767" s="374"/>
      <c r="AC767" s="374"/>
      <c r="AD767" s="374"/>
      <c r="AE767" s="374"/>
      <c r="AF767" s="374"/>
      <c r="AG767" s="377" t="s">
        <v>695</v>
      </c>
      <c r="AH767" s="374" t="s">
        <v>695</v>
      </c>
      <c r="AI767" s="407" t="s">
        <v>695</v>
      </c>
      <c r="AJ767" s="374"/>
      <c r="AK767" s="374"/>
      <c r="AL767" s="374"/>
      <c r="AM767" s="374"/>
      <c r="AN767" s="379"/>
      <c r="AO767" s="379"/>
      <c r="AP767" s="379"/>
      <c r="AQ767" s="379">
        <f>+FL_2($T$768,$T$766,$G$767,1200,9.28, 1*$F$768)</f>
        <v>-0.33477011200000001</v>
      </c>
      <c r="AR767" s="379"/>
      <c r="AS767" s="379"/>
      <c r="AT767" s="379"/>
      <c r="AU767" s="379"/>
      <c r="AV767" s="379"/>
      <c r="AW767" s="374"/>
      <c r="AX767" s="374"/>
      <c r="AY767" s="374"/>
      <c r="AZ767" s="374"/>
      <c r="BA767" s="374"/>
      <c r="BB767" s="306"/>
      <c r="BF767" s="1119"/>
      <c r="BG767" s="1119"/>
      <c r="BH767" s="1119"/>
    </row>
    <row r="768" spans="1:60" ht="14.25">
      <c r="A768" s="378" t="s">
        <v>1781</v>
      </c>
      <c r="B768" s="406" t="s">
        <v>1986</v>
      </c>
      <c r="C768" s="377">
        <f>+$C$766+$G$767</f>
        <v>29850</v>
      </c>
      <c r="D768" s="374"/>
      <c r="E768" s="374"/>
      <c r="F768" s="407">
        <v>0</v>
      </c>
      <c r="G768" s="408"/>
      <c r="H768" s="376" t="s">
        <v>1059</v>
      </c>
      <c r="I768" s="376"/>
      <c r="J768" s="409"/>
      <c r="K768" s="374"/>
      <c r="L768" s="374" t="s">
        <v>239</v>
      </c>
      <c r="M768" s="374"/>
      <c r="N768" s="376" t="s">
        <v>673</v>
      </c>
      <c r="O768" s="376"/>
      <c r="P768" s="376"/>
      <c r="Q768" s="374">
        <v>0</v>
      </c>
      <c r="R768" s="407">
        <v>0</v>
      </c>
      <c r="S768" s="408"/>
      <c r="T768" s="374">
        <v>-30</v>
      </c>
      <c r="U768" s="374"/>
      <c r="V768" s="374"/>
      <c r="W768" s="374">
        <v>1.1000000000000001</v>
      </c>
      <c r="X768" s="374"/>
      <c r="Y768" s="374"/>
      <c r="Z768" s="374"/>
      <c r="AA768" s="374"/>
      <c r="AB768" s="374"/>
      <c r="AC768" s="374" t="s">
        <v>2973</v>
      </c>
      <c r="AD768" s="374"/>
      <c r="AE768" s="374"/>
      <c r="AF768" s="374">
        <v>100</v>
      </c>
      <c r="AG768" s="377">
        <v>29850.44</v>
      </c>
      <c r="AH768" s="374">
        <v>1513</v>
      </c>
      <c r="AI768" s="407">
        <v>-5240</v>
      </c>
      <c r="AJ768" s="374"/>
      <c r="AK768" s="374"/>
      <c r="AL768" s="374"/>
      <c r="AM768" s="374" t="s">
        <v>2021</v>
      </c>
      <c r="AN768" s="379">
        <v>5.25</v>
      </c>
      <c r="AO768" s="379"/>
      <c r="AP768" s="379"/>
      <c r="AQ768" s="379"/>
      <c r="AR768" s="379"/>
      <c r="AS768" s="379"/>
      <c r="AT768" s="379">
        <f>+ab($T$768,$T$766,$T$770,$G$767,$G$769, 1*$F$768,1200)</f>
        <v>-7.9442410717051439</v>
      </c>
      <c r="AU768" s="379"/>
      <c r="AV768" s="379"/>
      <c r="AW768" s="374" t="s">
        <v>699</v>
      </c>
      <c r="AX768" s="374" t="s">
        <v>699</v>
      </c>
      <c r="AY768" s="374" t="s">
        <v>699</v>
      </c>
      <c r="AZ768" s="374" t="s">
        <v>699</v>
      </c>
      <c r="BA768" s="374"/>
      <c r="BB768" s="306"/>
      <c r="BF768" s="1119"/>
      <c r="BG768" s="1119"/>
      <c r="BH768" s="1119"/>
    </row>
    <row r="769" spans="1:60" ht="14.25">
      <c r="A769" s="378"/>
      <c r="B769" s="406"/>
      <c r="C769" s="377"/>
      <c r="D769" s="374"/>
      <c r="E769" s="374"/>
      <c r="F769" s="407"/>
      <c r="G769" s="408">
        <v>50</v>
      </c>
      <c r="H769" s="376"/>
      <c r="I769" s="376">
        <f>SUM(G751:G769)</f>
        <v>500</v>
      </c>
      <c r="J769" s="409">
        <f>C768+10</f>
        <v>29860</v>
      </c>
      <c r="K769" s="374" t="s">
        <v>1060</v>
      </c>
      <c r="L769" s="374"/>
      <c r="M769" s="374"/>
      <c r="N769" s="376"/>
      <c r="O769" s="376"/>
      <c r="P769" s="376"/>
      <c r="Q769" s="374"/>
      <c r="R769" s="408"/>
      <c r="S769" s="408">
        <f>AG770-AG768</f>
        <v>50.100000000002183</v>
      </c>
      <c r="T769" s="374"/>
      <c r="U769" s="374"/>
      <c r="V769" s="374"/>
      <c r="W769" s="374"/>
      <c r="X769" s="374"/>
      <c r="Y769" s="374"/>
      <c r="Z769" s="374"/>
      <c r="AA769" s="374"/>
      <c r="AB769" s="374"/>
      <c r="AC769" s="374"/>
      <c r="AD769" s="374"/>
      <c r="AE769" s="374"/>
      <c r="AF769" s="374"/>
      <c r="AG769" s="377" t="s">
        <v>695</v>
      </c>
      <c r="AH769" s="374" t="s">
        <v>695</v>
      </c>
      <c r="AI769" s="407" t="s">
        <v>695</v>
      </c>
      <c r="AJ769" s="374"/>
      <c r="AK769" s="374"/>
      <c r="AL769" s="374"/>
      <c r="AM769" s="374"/>
      <c r="AN769" s="379"/>
      <c r="AO769" s="379"/>
      <c r="AP769" s="379"/>
      <c r="AQ769" s="379">
        <f>+FL_1($T$770,$T$768,$G$769,1200,9.28, 1*$F$770)</f>
        <v>0.33477011200000001</v>
      </c>
      <c r="AR769" s="379"/>
      <c r="AS769" s="379"/>
      <c r="AT769" s="379"/>
      <c r="AU769" s="379"/>
      <c r="AV769" s="379"/>
      <c r="AW769" s="374"/>
      <c r="AX769" s="374"/>
      <c r="AY769" s="374"/>
      <c r="AZ769" s="374"/>
      <c r="BA769" s="374"/>
      <c r="BB769" s="306"/>
      <c r="BF769" s="1119"/>
      <c r="BG769" s="1119"/>
      <c r="BH769" s="1119"/>
    </row>
    <row r="770" spans="1:60" ht="14.25">
      <c r="A770" s="378" t="s">
        <v>1781</v>
      </c>
      <c r="B770" s="406" t="s">
        <v>1987</v>
      </c>
      <c r="C770" s="377">
        <f>+$C$768+$G$769</f>
        <v>29900</v>
      </c>
      <c r="D770" s="374"/>
      <c r="E770" s="374"/>
      <c r="F770" s="407">
        <v>0</v>
      </c>
      <c r="G770" s="408"/>
      <c r="H770" s="376" t="s">
        <v>956</v>
      </c>
      <c r="I770" s="376"/>
      <c r="J770" s="409"/>
      <c r="K770" s="374"/>
      <c r="L770" s="374" t="s">
        <v>239</v>
      </c>
      <c r="M770" s="374"/>
      <c r="N770" s="376" t="s">
        <v>674</v>
      </c>
      <c r="O770" s="376"/>
      <c r="P770" s="376"/>
      <c r="Q770" s="374">
        <v>0</v>
      </c>
      <c r="R770" s="407">
        <v>0</v>
      </c>
      <c r="S770" s="408"/>
      <c r="T770" s="374">
        <v>30</v>
      </c>
      <c r="U770" s="374"/>
      <c r="V770" s="374"/>
      <c r="W770" s="374">
        <v>1.1000000000000001</v>
      </c>
      <c r="X770" s="374"/>
      <c r="Y770" s="374"/>
      <c r="Z770" s="374"/>
      <c r="AA770" s="374"/>
      <c r="AB770" s="374"/>
      <c r="AC770" s="374" t="s">
        <v>2963</v>
      </c>
      <c r="AD770" s="374"/>
      <c r="AE770" s="374"/>
      <c r="AF770" s="374">
        <v>100</v>
      </c>
      <c r="AG770" s="377">
        <v>29900.54</v>
      </c>
      <c r="AH770" s="374">
        <v>1530</v>
      </c>
      <c r="AI770" s="407">
        <v>-5219</v>
      </c>
      <c r="AJ770" s="374"/>
      <c r="AK770" s="374"/>
      <c r="AL770" s="374"/>
      <c r="AM770" s="374" t="s">
        <v>2021</v>
      </c>
      <c r="AN770" s="379">
        <v>5.25</v>
      </c>
      <c r="AO770" s="379"/>
      <c r="AP770" s="379"/>
      <c r="AQ770" s="379"/>
      <c r="AR770" s="379"/>
      <c r="AS770" s="379"/>
      <c r="AT770" s="379">
        <f>+ab($T$770,$T$768,$T$772,$G$769,$G$771, 1*$F$770,1200)</f>
        <v>7.9442083933778509</v>
      </c>
      <c r="AU770" s="379"/>
      <c r="AV770" s="379"/>
      <c r="AW770" s="374" t="s">
        <v>699</v>
      </c>
      <c r="AX770" s="374" t="s">
        <v>699</v>
      </c>
      <c r="AY770" s="374" t="s">
        <v>699</v>
      </c>
      <c r="AZ770" s="374" t="s">
        <v>699</v>
      </c>
      <c r="BA770" s="374"/>
      <c r="BB770" s="306"/>
      <c r="BF770" s="1119"/>
      <c r="BG770" s="1119"/>
      <c r="BH770" s="1119"/>
    </row>
    <row r="771" spans="1:60" ht="14.25">
      <c r="A771" s="378"/>
      <c r="B771" s="406"/>
      <c r="C771" s="377"/>
      <c r="D771" s="374"/>
      <c r="E771" s="374"/>
      <c r="F771" s="407"/>
      <c r="G771" s="408">
        <v>50</v>
      </c>
      <c r="H771" s="376"/>
      <c r="I771" s="376">
        <f>SUM(G771:G789)</f>
        <v>500</v>
      </c>
      <c r="J771" s="409">
        <f>C772-10</f>
        <v>29940</v>
      </c>
      <c r="K771" s="374" t="s">
        <v>1060</v>
      </c>
      <c r="L771" s="374"/>
      <c r="M771" s="374"/>
      <c r="N771" s="376"/>
      <c r="O771" s="376"/>
      <c r="P771" s="376"/>
      <c r="Q771" s="374"/>
      <c r="R771" s="408"/>
      <c r="S771" s="408">
        <f>AG772-AG770</f>
        <v>48.090000000000146</v>
      </c>
      <c r="T771" s="374"/>
      <c r="U771" s="374"/>
      <c r="V771" s="374"/>
      <c r="W771" s="374"/>
      <c r="X771" s="374"/>
      <c r="Y771" s="374"/>
      <c r="Z771" s="374"/>
      <c r="AA771" s="374"/>
      <c r="AB771" s="374"/>
      <c r="AC771" s="374"/>
      <c r="AD771" s="374"/>
      <c r="AE771" s="374"/>
      <c r="AF771" s="374"/>
      <c r="AG771" s="377" t="s">
        <v>695</v>
      </c>
      <c r="AH771" s="374" t="s">
        <v>695</v>
      </c>
      <c r="AI771" s="407" t="s">
        <v>695</v>
      </c>
      <c r="AJ771" s="374"/>
      <c r="AK771" s="374"/>
      <c r="AL771" s="374"/>
      <c r="AM771" s="374"/>
      <c r="AN771" s="379"/>
      <c r="AO771" s="379"/>
      <c r="AP771" s="379"/>
      <c r="AQ771" s="379">
        <f>+FL_2($T$772,$T$770,$G$771,1200,9.28, 1*$F$772)</f>
        <v>-0.33477011200000001</v>
      </c>
      <c r="AR771" s="379"/>
      <c r="AS771" s="379"/>
      <c r="AT771" s="379"/>
      <c r="AU771" s="379"/>
      <c r="AV771" s="379"/>
      <c r="AW771" s="374"/>
      <c r="AX771" s="374"/>
      <c r="AY771" s="374"/>
      <c r="AZ771" s="374"/>
      <c r="BA771" s="374"/>
      <c r="BB771" s="306"/>
      <c r="BF771" s="1119"/>
      <c r="BG771" s="1119"/>
      <c r="BH771" s="1119"/>
    </row>
    <row r="772" spans="1:60" ht="14.25">
      <c r="A772" s="378" t="s">
        <v>1781</v>
      </c>
      <c r="B772" s="406" t="s">
        <v>1988</v>
      </c>
      <c r="C772" s="377">
        <f>+$C$770+$G$771</f>
        <v>29950</v>
      </c>
      <c r="D772" s="374"/>
      <c r="E772" s="374"/>
      <c r="F772" s="407">
        <v>0</v>
      </c>
      <c r="G772" s="408"/>
      <c r="H772" s="376" t="s">
        <v>1059</v>
      </c>
      <c r="I772" s="376"/>
      <c r="J772" s="409"/>
      <c r="K772" s="374"/>
      <c r="L772" s="374" t="s">
        <v>239</v>
      </c>
      <c r="M772" s="374"/>
      <c r="N772" s="376" t="s">
        <v>673</v>
      </c>
      <c r="O772" s="376"/>
      <c r="P772" s="376"/>
      <c r="Q772" s="374">
        <v>0</v>
      </c>
      <c r="R772" s="407">
        <v>0</v>
      </c>
      <c r="S772" s="408"/>
      <c r="T772" s="374">
        <v>-30</v>
      </c>
      <c r="U772" s="374"/>
      <c r="V772" s="374"/>
      <c r="W772" s="374">
        <v>1.1000000000000001</v>
      </c>
      <c r="X772" s="374"/>
      <c r="Y772" s="374"/>
      <c r="Z772" s="374"/>
      <c r="AA772" s="374"/>
      <c r="AB772" s="374"/>
      <c r="AC772" s="374" t="s">
        <v>2972</v>
      </c>
      <c r="AD772" s="374"/>
      <c r="AE772" s="374"/>
      <c r="AF772" s="374">
        <v>100</v>
      </c>
      <c r="AG772" s="377">
        <v>29948.63</v>
      </c>
      <c r="AH772" s="374">
        <v>1490</v>
      </c>
      <c r="AI772" s="407">
        <v>-5252</v>
      </c>
      <c r="AJ772" s="374"/>
      <c r="AK772" s="374"/>
      <c r="AL772" s="374"/>
      <c r="AM772" s="374" t="s">
        <v>2021</v>
      </c>
      <c r="AN772" s="379">
        <v>5.25</v>
      </c>
      <c r="AO772" s="379"/>
      <c r="AP772" s="379"/>
      <c r="AQ772" s="379"/>
      <c r="AR772" s="379"/>
      <c r="AS772" s="379"/>
      <c r="AT772" s="379">
        <f>+ab($T$772,$T$770,$T$774,$G$771,$G$773, 1*$F$772,1200)</f>
        <v>-7.9442410717051439</v>
      </c>
      <c r="AU772" s="379"/>
      <c r="AV772" s="379"/>
      <c r="AW772" s="374" t="s">
        <v>699</v>
      </c>
      <c r="AX772" s="374" t="s">
        <v>699</v>
      </c>
      <c r="AY772" s="374" t="s">
        <v>699</v>
      </c>
      <c r="AZ772" s="374" t="s">
        <v>699</v>
      </c>
      <c r="BA772" s="374"/>
      <c r="BB772" s="306"/>
      <c r="BF772" s="1119"/>
      <c r="BG772" s="1119"/>
      <c r="BH772" s="1119"/>
    </row>
    <row r="773" spans="1:60" ht="14.25">
      <c r="A773" s="378"/>
      <c r="B773" s="406"/>
      <c r="C773" s="377"/>
      <c r="D773" s="374"/>
      <c r="E773" s="374"/>
      <c r="F773" s="407"/>
      <c r="G773" s="408">
        <v>50</v>
      </c>
      <c r="H773" s="376"/>
      <c r="I773" s="376"/>
      <c r="J773" s="409"/>
      <c r="K773" s="374"/>
      <c r="L773" s="374"/>
      <c r="M773" s="374"/>
      <c r="N773" s="376"/>
      <c r="O773" s="376"/>
      <c r="P773" s="376"/>
      <c r="Q773" s="374"/>
      <c r="R773" s="408"/>
      <c r="S773" s="408">
        <f>AG774-AG772</f>
        <v>52.009999999998399</v>
      </c>
      <c r="T773" s="374"/>
      <c r="U773" s="374"/>
      <c r="V773" s="374"/>
      <c r="W773" s="374"/>
      <c r="X773" s="374"/>
      <c r="Y773" s="374"/>
      <c r="Z773" s="374"/>
      <c r="AA773" s="374"/>
      <c r="AB773" s="374"/>
      <c r="AC773" s="374"/>
      <c r="AD773" s="374"/>
      <c r="AE773" s="374"/>
      <c r="AF773" s="374"/>
      <c r="AG773" s="377" t="s">
        <v>695</v>
      </c>
      <c r="AH773" s="374" t="s">
        <v>695</v>
      </c>
      <c r="AI773" s="407" t="s">
        <v>695</v>
      </c>
      <c r="AJ773" s="374"/>
      <c r="AK773" s="374"/>
      <c r="AL773" s="374"/>
      <c r="AM773" s="374"/>
      <c r="AN773" s="379"/>
      <c r="AO773" s="379"/>
      <c r="AP773" s="379"/>
      <c r="AQ773" s="379">
        <f>+FL_1($T$774,$T$772,$G$773,1200,9.28, 1*$F$774)</f>
        <v>0.33477011200000001</v>
      </c>
      <c r="AR773" s="379"/>
      <c r="AS773" s="379"/>
      <c r="AT773" s="379"/>
      <c r="AU773" s="379"/>
      <c r="AV773" s="379"/>
      <c r="AW773" s="374"/>
      <c r="AX773" s="374"/>
      <c r="AY773" s="374"/>
      <c r="AZ773" s="374"/>
      <c r="BA773" s="374"/>
      <c r="BB773" s="306"/>
      <c r="BF773" s="1119"/>
      <c r="BG773" s="1119"/>
      <c r="BH773" s="1119"/>
    </row>
    <row r="774" spans="1:60" ht="14.25">
      <c r="A774" s="378" t="s">
        <v>1781</v>
      </c>
      <c r="B774" s="406" t="s">
        <v>1989</v>
      </c>
      <c r="C774" s="377">
        <f>+$C$772+$G$773</f>
        <v>30000</v>
      </c>
      <c r="D774" s="374"/>
      <c r="E774" s="374"/>
      <c r="F774" s="407">
        <v>0</v>
      </c>
      <c r="G774" s="408"/>
      <c r="H774" s="376"/>
      <c r="I774" s="376"/>
      <c r="J774" s="409"/>
      <c r="K774" s="374"/>
      <c r="L774" s="374" t="s">
        <v>239</v>
      </c>
      <c r="M774" s="374"/>
      <c r="N774" s="376" t="s">
        <v>674</v>
      </c>
      <c r="O774" s="376"/>
      <c r="P774" s="376"/>
      <c r="Q774" s="374">
        <v>0</v>
      </c>
      <c r="R774" s="407">
        <v>0</v>
      </c>
      <c r="S774" s="408"/>
      <c r="T774" s="374">
        <v>30</v>
      </c>
      <c r="U774" s="374"/>
      <c r="V774" s="374"/>
      <c r="W774" s="374">
        <v>1.1000000000000001</v>
      </c>
      <c r="X774" s="374"/>
      <c r="Y774" s="374"/>
      <c r="Z774" s="374"/>
      <c r="AA774" s="374"/>
      <c r="AB774" s="374"/>
      <c r="AC774" s="374" t="s">
        <v>2963</v>
      </c>
      <c r="AD774" s="374"/>
      <c r="AE774" s="374"/>
      <c r="AF774" s="374">
        <v>100</v>
      </c>
      <c r="AG774" s="377">
        <v>30000.639999999999</v>
      </c>
      <c r="AH774" s="374">
        <v>1473</v>
      </c>
      <c r="AI774" s="407">
        <v>-5267</v>
      </c>
      <c r="AJ774" s="374"/>
      <c r="AK774" s="374"/>
      <c r="AL774" s="374"/>
      <c r="AM774" s="374" t="s">
        <v>2021</v>
      </c>
      <c r="AN774" s="379">
        <v>5.25</v>
      </c>
      <c r="AO774" s="379"/>
      <c r="AP774" s="379"/>
      <c r="AQ774" s="379"/>
      <c r="AR774" s="379"/>
      <c r="AS774" s="379"/>
      <c r="AT774" s="379">
        <f>+ab($T$774,$T$772,$T$776,$G$773,$G$775, 1*$F$774,1200)</f>
        <v>7.9442083933778509</v>
      </c>
      <c r="AU774" s="379"/>
      <c r="AV774" s="379"/>
      <c r="AW774" s="374" t="s">
        <v>699</v>
      </c>
      <c r="AX774" s="374" t="s">
        <v>699</v>
      </c>
      <c r="AY774" s="374" t="s">
        <v>699</v>
      </c>
      <c r="AZ774" s="374" t="s">
        <v>699</v>
      </c>
      <c r="BA774" s="374"/>
      <c r="BB774" s="306"/>
      <c r="BF774" s="1119"/>
      <c r="BG774" s="1119"/>
      <c r="BH774" s="1119"/>
    </row>
    <row r="775" spans="1:60" ht="14.25">
      <c r="A775" s="378"/>
      <c r="B775" s="406"/>
      <c r="C775" s="377"/>
      <c r="D775" s="374"/>
      <c r="E775" s="374"/>
      <c r="F775" s="407"/>
      <c r="G775" s="408">
        <v>50</v>
      </c>
      <c r="H775" s="376"/>
      <c r="I775" s="376"/>
      <c r="J775" s="409"/>
      <c r="K775" s="374"/>
      <c r="L775" s="374"/>
      <c r="M775" s="374"/>
      <c r="N775" s="376"/>
      <c r="O775" s="376"/>
      <c r="P775" s="376"/>
      <c r="Q775" s="374"/>
      <c r="R775" s="408"/>
      <c r="S775" s="408">
        <f>AG776-AG774</f>
        <v>50.069999999999709</v>
      </c>
      <c r="T775" s="374"/>
      <c r="U775" s="374"/>
      <c r="V775" s="374"/>
      <c r="W775" s="374"/>
      <c r="X775" s="374"/>
      <c r="Y775" s="374"/>
      <c r="Z775" s="374"/>
      <c r="AA775" s="374"/>
      <c r="AB775" s="374"/>
      <c r="AC775" s="374"/>
      <c r="AD775" s="374"/>
      <c r="AE775" s="374"/>
      <c r="AF775" s="374"/>
      <c r="AG775" s="377" t="s">
        <v>695</v>
      </c>
      <c r="AH775" s="374" t="s">
        <v>695</v>
      </c>
      <c r="AI775" s="407" t="s">
        <v>695</v>
      </c>
      <c r="AJ775" s="374"/>
      <c r="AK775" s="374"/>
      <c r="AL775" s="374"/>
      <c r="AM775" s="374"/>
      <c r="AN775" s="379"/>
      <c r="AO775" s="379"/>
      <c r="AP775" s="379"/>
      <c r="AQ775" s="379">
        <f>+FL_2($T$776,$T$774,$G$775,1200,9.28, 1*$F$776)</f>
        <v>-0.33477011200000001</v>
      </c>
      <c r="AR775" s="379"/>
      <c r="AS775" s="379"/>
      <c r="AT775" s="379"/>
      <c r="AU775" s="379"/>
      <c r="AV775" s="379"/>
      <c r="AW775" s="374"/>
      <c r="AX775" s="374"/>
      <c r="AY775" s="374"/>
      <c r="AZ775" s="374"/>
      <c r="BA775" s="374"/>
      <c r="BB775" s="306"/>
      <c r="BF775" s="1119"/>
      <c r="BG775" s="1119"/>
      <c r="BH775" s="1119"/>
    </row>
    <row r="776" spans="1:60" ht="14.25">
      <c r="A776" s="378" t="s">
        <v>1781</v>
      </c>
      <c r="B776" s="406" t="s">
        <v>1990</v>
      </c>
      <c r="C776" s="377">
        <f>+$C$774+$G$775</f>
        <v>30050</v>
      </c>
      <c r="D776" s="374"/>
      <c r="E776" s="374"/>
      <c r="F776" s="407">
        <v>0</v>
      </c>
      <c r="G776" s="408"/>
      <c r="H776" s="376"/>
      <c r="I776" s="376"/>
      <c r="J776" s="409"/>
      <c r="K776" s="374"/>
      <c r="L776" s="374" t="s">
        <v>239</v>
      </c>
      <c r="M776" s="374"/>
      <c r="N776" s="376" t="s">
        <v>673</v>
      </c>
      <c r="O776" s="376"/>
      <c r="P776" s="376"/>
      <c r="Q776" s="374">
        <v>0</v>
      </c>
      <c r="R776" s="407">
        <v>0</v>
      </c>
      <c r="S776" s="408"/>
      <c r="T776" s="374">
        <v>-30</v>
      </c>
      <c r="U776" s="374"/>
      <c r="V776" s="374"/>
      <c r="W776" s="374">
        <v>1.1000000000000001</v>
      </c>
      <c r="X776" s="374"/>
      <c r="Y776" s="374"/>
      <c r="Z776" s="374"/>
      <c r="AA776" s="374"/>
      <c r="AB776" s="374"/>
      <c r="AC776" s="374" t="s">
        <v>2972</v>
      </c>
      <c r="AD776" s="374"/>
      <c r="AE776" s="374"/>
      <c r="AF776" s="374">
        <v>100</v>
      </c>
      <c r="AG776" s="377">
        <v>30050.71</v>
      </c>
      <c r="AH776" s="374">
        <v>1485</v>
      </c>
      <c r="AI776" s="407">
        <v>-5237</v>
      </c>
      <c r="AJ776" s="374"/>
      <c r="AK776" s="374"/>
      <c r="AL776" s="374"/>
      <c r="AM776" s="374" t="s">
        <v>2021</v>
      </c>
      <c r="AN776" s="379">
        <v>5.25</v>
      </c>
      <c r="AO776" s="379"/>
      <c r="AP776" s="379"/>
      <c r="AQ776" s="379"/>
      <c r="AR776" s="379"/>
      <c r="AS776" s="379"/>
      <c r="AT776" s="379">
        <f>+ab($T$776,$T$774,$T$778,$G$775,$G$777, 1*$F$776,1200)</f>
        <v>-7.9442410717051439</v>
      </c>
      <c r="AU776" s="379"/>
      <c r="AV776" s="379"/>
      <c r="AW776" s="374" t="s">
        <v>699</v>
      </c>
      <c r="AX776" s="374" t="s">
        <v>699</v>
      </c>
      <c r="AY776" s="374" t="s">
        <v>699</v>
      </c>
      <c r="AZ776" s="374" t="s">
        <v>699</v>
      </c>
      <c r="BA776" s="374"/>
      <c r="BB776" s="306"/>
      <c r="BF776" s="1119"/>
      <c r="BG776" s="1119"/>
      <c r="BH776" s="1119"/>
    </row>
    <row r="777" spans="1:60" ht="14.25">
      <c r="A777" s="378"/>
      <c r="B777" s="406"/>
      <c r="C777" s="377"/>
      <c r="D777" s="374"/>
      <c r="E777" s="374"/>
      <c r="F777" s="407"/>
      <c r="G777" s="408">
        <v>50</v>
      </c>
      <c r="H777" s="376"/>
      <c r="I777" s="376"/>
      <c r="J777" s="409"/>
      <c r="K777" s="374"/>
      <c r="L777" s="374"/>
      <c r="M777" s="374"/>
      <c r="N777" s="376"/>
      <c r="O777" s="376"/>
      <c r="P777" s="376"/>
      <c r="Q777" s="374"/>
      <c r="R777" s="408"/>
      <c r="S777" s="408">
        <f>AG778-AG776</f>
        <v>50.110000000000582</v>
      </c>
      <c r="T777" s="374"/>
      <c r="U777" s="374"/>
      <c r="V777" s="374"/>
      <c r="W777" s="374"/>
      <c r="X777" s="374"/>
      <c r="Y777" s="374"/>
      <c r="Z777" s="374"/>
      <c r="AA777" s="374"/>
      <c r="AB777" s="374"/>
      <c r="AC777" s="374"/>
      <c r="AD777" s="374"/>
      <c r="AE777" s="374"/>
      <c r="AF777" s="374"/>
      <c r="AG777" s="377" t="s">
        <v>695</v>
      </c>
      <c r="AH777" s="374" t="s">
        <v>695</v>
      </c>
      <c r="AI777" s="407" t="s">
        <v>695</v>
      </c>
      <c r="AJ777" s="374"/>
      <c r="AK777" s="374"/>
      <c r="AL777" s="374"/>
      <c r="AM777" s="374"/>
      <c r="AN777" s="379"/>
      <c r="AO777" s="379"/>
      <c r="AP777" s="379"/>
      <c r="AQ777" s="379">
        <f>+FL_1($T$778,$T$776,$G$777,1200,9.28, 1*$F$778)</f>
        <v>0.33477011200000001</v>
      </c>
      <c r="AR777" s="379"/>
      <c r="AS777" s="379"/>
      <c r="AT777" s="379"/>
      <c r="AU777" s="379"/>
      <c r="AV777" s="379"/>
      <c r="AW777" s="374"/>
      <c r="AX777" s="374"/>
      <c r="AY777" s="374"/>
      <c r="AZ777" s="374"/>
      <c r="BA777" s="374"/>
      <c r="BB777" s="306"/>
      <c r="BF777" s="1119"/>
      <c r="BG777" s="1119"/>
      <c r="BH777" s="1119"/>
    </row>
    <row r="778" spans="1:60" ht="14.25">
      <c r="A778" s="378" t="s">
        <v>1781</v>
      </c>
      <c r="B778" s="406" t="s">
        <v>1991</v>
      </c>
      <c r="C778" s="377">
        <f>+$C$776+$G$777</f>
        <v>30100</v>
      </c>
      <c r="D778" s="374"/>
      <c r="E778" s="374"/>
      <c r="F778" s="407">
        <v>0</v>
      </c>
      <c r="G778" s="408"/>
      <c r="H778" s="376"/>
      <c r="I778" s="376"/>
      <c r="J778" s="409"/>
      <c r="K778" s="374"/>
      <c r="L778" s="374" t="s">
        <v>239</v>
      </c>
      <c r="M778" s="374"/>
      <c r="N778" s="376" t="s">
        <v>674</v>
      </c>
      <c r="O778" s="376"/>
      <c r="P778" s="376"/>
      <c r="Q778" s="374">
        <v>0</v>
      </c>
      <c r="R778" s="407">
        <v>0</v>
      </c>
      <c r="S778" s="408"/>
      <c r="T778" s="374">
        <v>30</v>
      </c>
      <c r="U778" s="374"/>
      <c r="V778" s="374"/>
      <c r="W778" s="374">
        <v>1.1000000000000001</v>
      </c>
      <c r="X778" s="374"/>
      <c r="Y778" s="374"/>
      <c r="Z778" s="374"/>
      <c r="AA778" s="374"/>
      <c r="AB778" s="374"/>
      <c r="AC778" s="374" t="s">
        <v>2963</v>
      </c>
      <c r="AD778" s="374"/>
      <c r="AE778" s="374"/>
      <c r="AF778" s="374">
        <v>100</v>
      </c>
      <c r="AG778" s="377">
        <v>30100.82</v>
      </c>
      <c r="AH778" s="374">
        <v>1467</v>
      </c>
      <c r="AI778" s="407">
        <v>-5198</v>
      </c>
      <c r="AJ778" s="374"/>
      <c r="AK778" s="374"/>
      <c r="AL778" s="374"/>
      <c r="AM778" s="374" t="s">
        <v>2021</v>
      </c>
      <c r="AN778" s="379">
        <v>5.25</v>
      </c>
      <c r="AO778" s="379"/>
      <c r="AP778" s="379"/>
      <c r="AQ778" s="379"/>
      <c r="AR778" s="379"/>
      <c r="AS778" s="379"/>
      <c r="AT778" s="379">
        <f>+ab($T$778,$T$776,$T$780,$G$777,$G$779, 1*$F$778,1200)</f>
        <v>7.9442083933778509</v>
      </c>
      <c r="AU778" s="379"/>
      <c r="AV778" s="379"/>
      <c r="AW778" s="374" t="s">
        <v>699</v>
      </c>
      <c r="AX778" s="374" t="s">
        <v>699</v>
      </c>
      <c r="AY778" s="374" t="s">
        <v>699</v>
      </c>
      <c r="AZ778" s="374" t="s">
        <v>699</v>
      </c>
      <c r="BA778" s="374"/>
      <c r="BB778" s="306"/>
      <c r="BF778" s="1119"/>
      <c r="BG778" s="1119"/>
      <c r="BH778" s="1119"/>
    </row>
    <row r="779" spans="1:60" ht="14.25">
      <c r="A779" s="378"/>
      <c r="B779" s="406"/>
      <c r="C779" s="377"/>
      <c r="D779" s="374"/>
      <c r="E779" s="374"/>
      <c r="F779" s="407"/>
      <c r="G779" s="408">
        <v>50</v>
      </c>
      <c r="H779" s="376"/>
      <c r="I779" s="376"/>
      <c r="J779" s="409"/>
      <c r="K779" s="374"/>
      <c r="L779" s="374"/>
      <c r="M779" s="374"/>
      <c r="N779" s="376"/>
      <c r="O779" s="376"/>
      <c r="P779" s="376"/>
      <c r="Q779" s="374"/>
      <c r="R779" s="408"/>
      <c r="S779" s="408">
        <f>AG780-AG778</f>
        <v>47.930000000000291</v>
      </c>
      <c r="T779" s="374"/>
      <c r="U779" s="374"/>
      <c r="V779" s="374"/>
      <c r="W779" s="374"/>
      <c r="X779" s="374"/>
      <c r="Y779" s="374"/>
      <c r="Z779" s="374"/>
      <c r="AA779" s="374"/>
      <c r="AB779" s="374"/>
      <c r="AC779" s="374"/>
      <c r="AD779" s="374"/>
      <c r="AE779" s="374"/>
      <c r="AF779" s="374"/>
      <c r="AG779" s="377" t="s">
        <v>695</v>
      </c>
      <c r="AH779" s="374" t="s">
        <v>695</v>
      </c>
      <c r="AI779" s="407" t="s">
        <v>695</v>
      </c>
      <c r="AJ779" s="374"/>
      <c r="AK779" s="374"/>
      <c r="AL779" s="374"/>
      <c r="AM779" s="374"/>
      <c r="AN779" s="379"/>
      <c r="AO779" s="379"/>
      <c r="AP779" s="379"/>
      <c r="AQ779" s="379">
        <f>+FL_2($T$780,$T$778,$G$779,1200,9.28, 1*$F$780)</f>
        <v>-0.33477011200000001</v>
      </c>
      <c r="AR779" s="379"/>
      <c r="AS779" s="379"/>
      <c r="AT779" s="379"/>
      <c r="AU779" s="379"/>
      <c r="AV779" s="379"/>
      <c r="AW779" s="374"/>
      <c r="AX779" s="374"/>
      <c r="AY779" s="374"/>
      <c r="AZ779" s="374"/>
      <c r="BA779" s="374"/>
      <c r="BB779" s="306"/>
      <c r="BF779" s="1119"/>
      <c r="BG779" s="1119"/>
      <c r="BH779" s="1119"/>
    </row>
    <row r="780" spans="1:60" ht="14.25">
      <c r="A780" s="378" t="s">
        <v>1781</v>
      </c>
      <c r="B780" s="406" t="s">
        <v>1992</v>
      </c>
      <c r="C780" s="377">
        <f>+$C$778+$G$779</f>
        <v>30150</v>
      </c>
      <c r="D780" s="374"/>
      <c r="E780" s="374"/>
      <c r="F780" s="407">
        <v>0</v>
      </c>
      <c r="G780" s="408"/>
      <c r="H780" s="376"/>
      <c r="I780" s="376"/>
      <c r="J780" s="409"/>
      <c r="K780" s="374"/>
      <c r="L780" s="374" t="s">
        <v>239</v>
      </c>
      <c r="M780" s="374"/>
      <c r="N780" s="376" t="s">
        <v>673</v>
      </c>
      <c r="O780" s="376"/>
      <c r="P780" s="376"/>
      <c r="Q780" s="374">
        <v>0</v>
      </c>
      <c r="R780" s="407">
        <v>0</v>
      </c>
      <c r="S780" s="408"/>
      <c r="T780" s="374">
        <v>-30</v>
      </c>
      <c r="U780" s="374"/>
      <c r="V780" s="374"/>
      <c r="W780" s="374">
        <v>1.1000000000000001</v>
      </c>
      <c r="X780" s="374"/>
      <c r="Y780" s="374"/>
      <c r="Z780" s="374"/>
      <c r="AA780" s="374"/>
      <c r="AB780" s="374"/>
      <c r="AC780" s="374" t="s">
        <v>2965</v>
      </c>
      <c r="AD780" s="374"/>
      <c r="AE780" s="374"/>
      <c r="AF780" s="374">
        <v>100</v>
      </c>
      <c r="AG780" s="377">
        <v>30148.75</v>
      </c>
      <c r="AH780" s="374">
        <v>1481</v>
      </c>
      <c r="AI780" s="407">
        <v>-5208</v>
      </c>
      <c r="AJ780" s="374"/>
      <c r="AK780" s="374"/>
      <c r="AL780" s="374"/>
      <c r="AM780" s="374" t="s">
        <v>2021</v>
      </c>
      <c r="AN780" s="379">
        <v>5.25</v>
      </c>
      <c r="AO780" s="379"/>
      <c r="AP780" s="379"/>
      <c r="AQ780" s="379"/>
      <c r="AR780" s="379"/>
      <c r="AS780" s="379"/>
      <c r="AT780" s="379">
        <f>+ab($T$780,$T$778,$T$782,$G$779,$G$781, 1*$F$780,1200)</f>
        <v>-7.9442410717051439</v>
      </c>
      <c r="AU780" s="379"/>
      <c r="AV780" s="379"/>
      <c r="AW780" s="374" t="s">
        <v>699</v>
      </c>
      <c r="AX780" s="374" t="s">
        <v>699</v>
      </c>
      <c r="AY780" s="374" t="s">
        <v>699</v>
      </c>
      <c r="AZ780" s="374" t="s">
        <v>699</v>
      </c>
      <c r="BA780" s="374"/>
      <c r="BB780" s="306"/>
      <c r="BF780" s="1119"/>
      <c r="BG780" s="1119"/>
      <c r="BH780" s="1119"/>
    </row>
    <row r="781" spans="1:60" ht="14.25">
      <c r="A781" s="378"/>
      <c r="B781" s="406"/>
      <c r="C781" s="377"/>
      <c r="D781" s="374"/>
      <c r="E781" s="374"/>
      <c r="F781" s="407"/>
      <c r="G781" s="408">
        <v>50</v>
      </c>
      <c r="H781" s="376"/>
      <c r="I781" s="376"/>
      <c r="J781" s="409"/>
      <c r="K781" s="374"/>
      <c r="L781" s="374"/>
      <c r="M781" s="374"/>
      <c r="N781" s="376"/>
      <c r="O781" s="376"/>
      <c r="P781" s="376"/>
      <c r="Q781" s="374"/>
      <c r="R781" s="408"/>
      <c r="S781" s="408">
        <f>AG782-AG780</f>
        <v>49.959999999999127</v>
      </c>
      <c r="T781" s="374"/>
      <c r="U781" s="374"/>
      <c r="V781" s="374"/>
      <c r="W781" s="374"/>
      <c r="X781" s="374"/>
      <c r="Y781" s="374"/>
      <c r="Z781" s="374"/>
      <c r="AA781" s="374"/>
      <c r="AB781" s="374"/>
      <c r="AC781" s="374"/>
      <c r="AD781" s="374"/>
      <c r="AE781" s="374"/>
      <c r="AF781" s="374"/>
      <c r="AG781" s="377" t="s">
        <v>695</v>
      </c>
      <c r="AH781" s="374" t="s">
        <v>695</v>
      </c>
      <c r="AI781" s="407" t="s">
        <v>695</v>
      </c>
      <c r="AJ781" s="374"/>
      <c r="AK781" s="374"/>
      <c r="AL781" s="374"/>
      <c r="AM781" s="374"/>
      <c r="AN781" s="379"/>
      <c r="AO781" s="379"/>
      <c r="AP781" s="379"/>
      <c r="AQ781" s="379">
        <f>+FL_2($T$782,$T$780,$G$781,1200,9.28, 1*$F$782)</f>
        <v>-0.33477011200000012</v>
      </c>
      <c r="AR781" s="379"/>
      <c r="AS781" s="379"/>
      <c r="AT781" s="379"/>
      <c r="AU781" s="379"/>
      <c r="AV781" s="379"/>
      <c r="AW781" s="374"/>
      <c r="AX781" s="374"/>
      <c r="AY781" s="374"/>
      <c r="AZ781" s="374"/>
      <c r="BA781" s="374"/>
      <c r="BB781" s="306"/>
      <c r="BF781" s="1119"/>
      <c r="BG781" s="1119"/>
      <c r="BH781" s="1119"/>
    </row>
    <row r="782" spans="1:60" ht="14.25">
      <c r="A782" s="378" t="s">
        <v>1781</v>
      </c>
      <c r="B782" s="406" t="s">
        <v>1993</v>
      </c>
      <c r="C782" s="377">
        <f>+$C$780+$G$781</f>
        <v>30200</v>
      </c>
      <c r="D782" s="374"/>
      <c r="E782" s="374"/>
      <c r="F782" s="407">
        <v>0</v>
      </c>
      <c r="G782" s="408"/>
      <c r="H782" s="376"/>
      <c r="I782" s="376"/>
      <c r="J782" s="409"/>
      <c r="K782" s="374"/>
      <c r="L782" s="374" t="s">
        <v>239</v>
      </c>
      <c r="M782" s="374"/>
      <c r="N782" s="376" t="s">
        <v>674</v>
      </c>
      <c r="O782" s="376"/>
      <c r="P782" s="376"/>
      <c r="Q782" s="374">
        <v>0</v>
      </c>
      <c r="R782" s="407">
        <v>0</v>
      </c>
      <c r="S782" s="408"/>
      <c r="T782" s="374">
        <v>30</v>
      </c>
      <c r="U782" s="374"/>
      <c r="V782" s="374"/>
      <c r="W782" s="374">
        <v>1.1000000000000001</v>
      </c>
      <c r="X782" s="374"/>
      <c r="Y782" s="374"/>
      <c r="Z782" s="374"/>
      <c r="AA782" s="374"/>
      <c r="AB782" s="374"/>
      <c r="AC782" s="374" t="s">
        <v>2963</v>
      </c>
      <c r="AD782" s="374"/>
      <c r="AE782" s="374"/>
      <c r="AF782" s="374">
        <v>100</v>
      </c>
      <c r="AG782" s="377">
        <v>30198.71</v>
      </c>
      <c r="AH782" s="374">
        <v>1534</v>
      </c>
      <c r="AI782" s="407">
        <v>-5202</v>
      </c>
      <c r="AJ782" s="374"/>
      <c r="AK782" s="374"/>
      <c r="AL782" s="374"/>
      <c r="AM782" s="374" t="s">
        <v>2021</v>
      </c>
      <c r="AN782" s="379">
        <v>5.25</v>
      </c>
      <c r="AO782" s="379"/>
      <c r="AP782" s="379"/>
      <c r="AQ782" s="379"/>
      <c r="AR782" s="379"/>
      <c r="AS782" s="379"/>
      <c r="AT782" s="379">
        <f>+ab($T$782,$T$780,$T$784,$G$781,$G$783, 1*$F$782,1200)</f>
        <v>7.9442083933778509</v>
      </c>
      <c r="AU782" s="379"/>
      <c r="AV782" s="379"/>
      <c r="AW782" s="374" t="s">
        <v>699</v>
      </c>
      <c r="AX782" s="374" t="s">
        <v>699</v>
      </c>
      <c r="AY782" s="374" t="s">
        <v>699</v>
      </c>
      <c r="AZ782" s="374" t="s">
        <v>699</v>
      </c>
      <c r="BA782" s="374"/>
      <c r="BB782" s="306"/>
      <c r="BF782" s="1119"/>
      <c r="BG782" s="1119"/>
      <c r="BH782" s="1119"/>
    </row>
    <row r="783" spans="1:60" ht="14.25">
      <c r="A783" s="378"/>
      <c r="B783" s="406"/>
      <c r="C783" s="377"/>
      <c r="D783" s="374"/>
      <c r="E783" s="374"/>
      <c r="F783" s="407"/>
      <c r="G783" s="408">
        <v>50</v>
      </c>
      <c r="H783" s="376"/>
      <c r="I783" s="376"/>
      <c r="J783" s="409"/>
      <c r="K783" s="374"/>
      <c r="L783" s="374"/>
      <c r="M783" s="374"/>
      <c r="N783" s="376"/>
      <c r="O783" s="376"/>
      <c r="P783" s="376"/>
      <c r="Q783" s="374"/>
      <c r="R783" s="408"/>
      <c r="S783" s="408">
        <f>AG784-AG782</f>
        <v>50.430000000000291</v>
      </c>
      <c r="T783" s="374"/>
      <c r="U783" s="374"/>
      <c r="V783" s="374"/>
      <c r="W783" s="374"/>
      <c r="X783" s="374"/>
      <c r="Y783" s="374"/>
      <c r="Z783" s="374"/>
      <c r="AA783" s="374"/>
      <c r="AB783" s="374"/>
      <c r="AC783" s="374"/>
      <c r="AD783" s="374"/>
      <c r="AE783" s="374"/>
      <c r="AF783" s="374"/>
      <c r="AG783" s="377" t="s">
        <v>695</v>
      </c>
      <c r="AH783" s="374" t="s">
        <v>695</v>
      </c>
      <c r="AI783" s="407" t="s">
        <v>695</v>
      </c>
      <c r="AJ783" s="374"/>
      <c r="AK783" s="374"/>
      <c r="AL783" s="374"/>
      <c r="AM783" s="374"/>
      <c r="AN783" s="379"/>
      <c r="AO783" s="379"/>
      <c r="AP783" s="379"/>
      <c r="AQ783" s="379">
        <f>+FL_1($T$784,$T$782,$G$783,1200,9.28, 1*$F$784)</f>
        <v>0.33477011200000012</v>
      </c>
      <c r="AR783" s="379"/>
      <c r="AS783" s="379"/>
      <c r="AT783" s="379"/>
      <c r="AU783" s="379"/>
      <c r="AV783" s="379"/>
      <c r="AW783" s="374"/>
      <c r="AX783" s="374"/>
      <c r="AY783" s="374"/>
      <c r="AZ783" s="374"/>
      <c r="BA783" s="374"/>
      <c r="BB783" s="306"/>
      <c r="BF783" s="1119"/>
      <c r="BG783" s="1119"/>
      <c r="BH783" s="1119"/>
    </row>
    <row r="784" spans="1:60" ht="14.25">
      <c r="A784" s="378" t="s">
        <v>1781</v>
      </c>
      <c r="B784" s="406" t="s">
        <v>1994</v>
      </c>
      <c r="C784" s="377">
        <f>+$C$782+$G$783</f>
        <v>30250</v>
      </c>
      <c r="D784" s="374"/>
      <c r="E784" s="374"/>
      <c r="F784" s="407">
        <v>0</v>
      </c>
      <c r="G784" s="408"/>
      <c r="H784" s="376" t="s">
        <v>138</v>
      </c>
      <c r="I784" s="376" t="s">
        <v>912</v>
      </c>
      <c r="J784" s="409"/>
      <c r="K784" s="374"/>
      <c r="L784" s="374" t="s">
        <v>239</v>
      </c>
      <c r="M784" s="374"/>
      <c r="N784" s="376" t="s">
        <v>673</v>
      </c>
      <c r="O784" s="376"/>
      <c r="P784" s="376"/>
      <c r="Q784" s="374">
        <v>0</v>
      </c>
      <c r="R784" s="407">
        <v>0</v>
      </c>
      <c r="S784" s="408"/>
      <c r="T784" s="374">
        <v>-30</v>
      </c>
      <c r="U784" s="374"/>
      <c r="V784" s="374"/>
      <c r="W784" s="374">
        <v>1.1000000000000001</v>
      </c>
      <c r="X784" s="374"/>
      <c r="Y784" s="374"/>
      <c r="Z784" s="374"/>
      <c r="AA784" s="374"/>
      <c r="AB784" s="374"/>
      <c r="AC784" s="374" t="s">
        <v>2965</v>
      </c>
      <c r="AD784" s="374"/>
      <c r="AE784" s="374"/>
      <c r="AF784" s="374">
        <v>100</v>
      </c>
      <c r="AG784" s="377">
        <v>30249.14</v>
      </c>
      <c r="AH784" s="374">
        <v>1461</v>
      </c>
      <c r="AI784" s="407">
        <v>-5221</v>
      </c>
      <c r="AJ784" s="374"/>
      <c r="AK784" s="374"/>
      <c r="AL784" s="374"/>
      <c r="AM784" s="374" t="s">
        <v>2021</v>
      </c>
      <c r="AN784" s="379">
        <v>5.25</v>
      </c>
      <c r="AO784" s="379"/>
      <c r="AP784" s="379"/>
      <c r="AQ784" s="379"/>
      <c r="AR784" s="379"/>
      <c r="AS784" s="379"/>
      <c r="AT784" s="379">
        <f>+ab($T$784,$T$782,$T$786,$G$783,$G$785, 1*$F$784,1200)</f>
        <v>-8.2849467556123688</v>
      </c>
      <c r="AU784" s="379"/>
      <c r="AV784" s="379"/>
      <c r="AW784" s="374" t="s">
        <v>699</v>
      </c>
      <c r="AX784" s="374" t="s">
        <v>699</v>
      </c>
      <c r="AY784" s="374" t="s">
        <v>699</v>
      </c>
      <c r="AZ784" s="374" t="s">
        <v>699</v>
      </c>
      <c r="BA784" s="374"/>
      <c r="BB784" s="306"/>
      <c r="BF784" s="1119"/>
      <c r="BG784" s="1119"/>
      <c r="BH784" s="1119"/>
    </row>
    <row r="785" spans="1:60" ht="14.25">
      <c r="A785" s="378"/>
      <c r="B785" s="406"/>
      <c r="C785" s="377"/>
      <c r="D785" s="374"/>
      <c r="E785" s="374"/>
      <c r="F785" s="407"/>
      <c r="G785" s="408">
        <v>50</v>
      </c>
      <c r="H785" s="376"/>
      <c r="I785" s="376"/>
      <c r="J785" s="409">
        <f>C784+10</f>
        <v>30260</v>
      </c>
      <c r="K785" s="374" t="s">
        <v>1055</v>
      </c>
      <c r="L785" s="374"/>
      <c r="M785" s="374"/>
      <c r="N785" s="376"/>
      <c r="O785" s="376"/>
      <c r="P785" s="376"/>
      <c r="Q785" s="374"/>
      <c r="R785" s="408"/>
      <c r="S785" s="408">
        <f>AG786-AG784</f>
        <v>49.990000000001601</v>
      </c>
      <c r="T785" s="374"/>
      <c r="U785" s="374"/>
      <c r="V785" s="374"/>
      <c r="W785" s="374"/>
      <c r="X785" s="374"/>
      <c r="Y785" s="374"/>
      <c r="Z785" s="374"/>
      <c r="AA785" s="374"/>
      <c r="AB785" s="374"/>
      <c r="AC785" s="374"/>
      <c r="AD785" s="374"/>
      <c r="AE785" s="374"/>
      <c r="AF785" s="374"/>
      <c r="AG785" s="377" t="s">
        <v>695</v>
      </c>
      <c r="AH785" s="374" t="s">
        <v>695</v>
      </c>
      <c r="AI785" s="407" t="s">
        <v>695</v>
      </c>
      <c r="AJ785" s="374"/>
      <c r="AK785" s="374"/>
      <c r="AL785" s="374"/>
      <c r="AM785" s="374"/>
      <c r="AN785" s="379"/>
      <c r="AO785" s="379"/>
      <c r="AP785" s="379"/>
      <c r="AQ785" s="379">
        <f>+FL_2($U$786,$T$784,$G$785,1200,9.28, 1*$F$786)</f>
        <v>-0.39834769999999992</v>
      </c>
      <c r="AR785" s="379"/>
      <c r="AS785" s="379"/>
      <c r="AT785" s="379"/>
      <c r="AU785" s="379"/>
      <c r="AV785" s="379"/>
      <c r="AW785" s="374"/>
      <c r="AX785" s="374"/>
      <c r="AY785" s="374"/>
      <c r="AZ785" s="374"/>
      <c r="BA785" s="374"/>
      <c r="BB785" s="306"/>
      <c r="BF785" s="1119"/>
      <c r="BG785" s="1119"/>
      <c r="BH785" s="1119"/>
    </row>
    <row r="786" spans="1:60" ht="14.25">
      <c r="A786" s="378" t="s">
        <v>1781</v>
      </c>
      <c r="B786" s="406" t="s">
        <v>1995</v>
      </c>
      <c r="C786" s="377">
        <f>+$C$784+$G$785</f>
        <v>30300</v>
      </c>
      <c r="D786" s="374"/>
      <c r="E786" s="374"/>
      <c r="F786" s="407">
        <v>0</v>
      </c>
      <c r="G786" s="408"/>
      <c r="H786" s="376" t="s">
        <v>651</v>
      </c>
      <c r="I786" s="376"/>
      <c r="J786" s="409"/>
      <c r="K786" s="374"/>
      <c r="L786" s="374" t="s">
        <v>458</v>
      </c>
      <c r="M786" s="374"/>
      <c r="N786" s="376" t="s">
        <v>675</v>
      </c>
      <c r="O786" s="376" t="s">
        <v>674</v>
      </c>
      <c r="P786" s="376"/>
      <c r="Q786" s="374">
        <v>0</v>
      </c>
      <c r="R786" s="407">
        <v>0</v>
      </c>
      <c r="S786" s="408">
        <f>AG787-AG786</f>
        <v>1.8099999999976717</v>
      </c>
      <c r="T786" s="374">
        <v>25</v>
      </c>
      <c r="U786" s="374">
        <v>5</v>
      </c>
      <c r="V786" s="374"/>
      <c r="W786" s="374">
        <v>1.1000000000000001</v>
      </c>
      <c r="X786" s="374">
        <v>1.2</v>
      </c>
      <c r="Y786" s="374"/>
      <c r="Z786" s="374">
        <v>0.45</v>
      </c>
      <c r="AA786" s="374"/>
      <c r="AB786" s="374"/>
      <c r="AC786" s="374"/>
      <c r="AD786" s="374" t="s">
        <v>1704</v>
      </c>
      <c r="AE786" s="374"/>
      <c r="AF786" s="374">
        <v>100</v>
      </c>
      <c r="AG786" s="377">
        <v>30299.13</v>
      </c>
      <c r="AH786" s="408">
        <v>1526</v>
      </c>
      <c r="AI786" s="407">
        <v>-5232</v>
      </c>
      <c r="AJ786" s="374"/>
      <c r="AK786" s="374"/>
      <c r="AL786" s="374"/>
      <c r="AM786" s="374" t="s">
        <v>2021</v>
      </c>
      <c r="AN786" s="379">
        <v>5.25</v>
      </c>
      <c r="AO786" s="379"/>
      <c r="AP786" s="379"/>
      <c r="AQ786" s="379"/>
      <c r="AR786" s="379"/>
      <c r="AS786" s="379"/>
      <c r="AT786" s="379">
        <f>+ab($U$786,$T$784,$U$788,$G$785,$G$787, 1*$F$786,1200)</f>
        <v>14.446766725215634</v>
      </c>
      <c r="AU786" s="379"/>
      <c r="AV786" s="379"/>
      <c r="AW786" s="374" t="s">
        <v>699</v>
      </c>
      <c r="AX786" s="374" t="s">
        <v>699</v>
      </c>
      <c r="AY786" s="374" t="s">
        <v>699</v>
      </c>
      <c r="AZ786" s="374" t="s">
        <v>699</v>
      </c>
      <c r="BA786" s="374"/>
      <c r="BB786" s="306"/>
      <c r="BF786" s="1119"/>
      <c r="BG786" s="1119"/>
      <c r="BH786" s="1119"/>
    </row>
    <row r="787" spans="1:60" ht="14.25">
      <c r="A787" s="378"/>
      <c r="B787" s="406"/>
      <c r="C787" s="377"/>
      <c r="D787" s="374"/>
      <c r="E787" s="374"/>
      <c r="F787" s="407"/>
      <c r="G787" s="408">
        <v>50</v>
      </c>
      <c r="H787" s="376"/>
      <c r="I787" s="376"/>
      <c r="J787" s="409"/>
      <c r="K787" s="374"/>
      <c r="L787" s="374"/>
      <c r="M787" s="374"/>
      <c r="N787" s="376"/>
      <c r="O787" s="376"/>
      <c r="P787" s="376"/>
      <c r="Q787" s="374"/>
      <c r="R787" s="408"/>
      <c r="S787" s="408">
        <f t="shared" ref="S787:S788" si="155">AG788-AG787</f>
        <v>48.409999999999854</v>
      </c>
      <c r="T787" s="374"/>
      <c r="U787" s="374"/>
      <c r="V787" s="374"/>
      <c r="W787" s="374"/>
      <c r="X787" s="374"/>
      <c r="Y787" s="374"/>
      <c r="Z787" s="374"/>
      <c r="AA787" s="374"/>
      <c r="AB787" s="374"/>
      <c r="AC787" s="374"/>
      <c r="AD787" s="374"/>
      <c r="AE787" s="374"/>
      <c r="AF787" s="374">
        <v>100</v>
      </c>
      <c r="AG787" s="377">
        <v>30300.94</v>
      </c>
      <c r="AH787" s="408">
        <v>1535</v>
      </c>
      <c r="AI787" s="407">
        <v>-5237</v>
      </c>
      <c r="AJ787" s="374"/>
      <c r="AK787" s="374"/>
      <c r="AL787" s="374"/>
      <c r="AM787" s="374"/>
      <c r="AN787" s="379"/>
      <c r="AO787" s="379"/>
      <c r="AP787" s="379"/>
      <c r="AQ787" s="379">
        <f>+FL_2($T$788,$U$786,$G$787,1200,9.28, 1*$F$788)</f>
        <v>-0.24425286799999996</v>
      </c>
      <c r="AR787" s="379"/>
      <c r="AS787" s="379"/>
      <c r="AT787" s="379"/>
      <c r="AU787" s="379"/>
      <c r="AV787" s="379"/>
      <c r="AW787" s="374"/>
      <c r="AX787" s="374"/>
      <c r="AY787" s="374"/>
      <c r="AZ787" s="374"/>
      <c r="BA787" s="374"/>
      <c r="BB787" s="306"/>
      <c r="BF787" s="1119"/>
      <c r="BG787" s="1119"/>
      <c r="BH787" s="1119"/>
    </row>
    <row r="788" spans="1:60" ht="14.25">
      <c r="A788" s="378" t="s">
        <v>1781</v>
      </c>
      <c r="B788" s="406" t="s">
        <v>1996</v>
      </c>
      <c r="C788" s="377">
        <f>+$C$786+$G$787</f>
        <v>30350</v>
      </c>
      <c r="D788" s="374"/>
      <c r="E788" s="374"/>
      <c r="F788" s="407">
        <v>0</v>
      </c>
      <c r="G788" s="408"/>
      <c r="H788" s="376" t="s">
        <v>651</v>
      </c>
      <c r="I788" s="376"/>
      <c r="J788" s="409"/>
      <c r="K788" s="374"/>
      <c r="L788" s="374" t="s">
        <v>458</v>
      </c>
      <c r="M788" s="374"/>
      <c r="N788" s="376" t="s">
        <v>673</v>
      </c>
      <c r="O788" s="376" t="s">
        <v>675</v>
      </c>
      <c r="P788" s="376"/>
      <c r="Q788" s="374">
        <v>0</v>
      </c>
      <c r="R788" s="407">
        <v>0</v>
      </c>
      <c r="S788" s="408">
        <f t="shared" si="155"/>
        <v>1.5800000000017462</v>
      </c>
      <c r="T788" s="374">
        <v>-5</v>
      </c>
      <c r="U788" s="374">
        <v>-25</v>
      </c>
      <c r="V788" s="374"/>
      <c r="W788" s="374">
        <v>1.1000000000000001</v>
      </c>
      <c r="X788" s="374">
        <v>1.2</v>
      </c>
      <c r="Y788" s="374"/>
      <c r="Z788" s="374"/>
      <c r="AA788" s="374">
        <v>0.45</v>
      </c>
      <c r="AB788" s="374"/>
      <c r="AC788" s="374" t="s">
        <v>1700</v>
      </c>
      <c r="AD788" s="374"/>
      <c r="AE788" s="374"/>
      <c r="AF788" s="374">
        <v>100</v>
      </c>
      <c r="AG788" s="377">
        <v>30349.35</v>
      </c>
      <c r="AH788" s="408">
        <v>1493</v>
      </c>
      <c r="AI788" s="407">
        <v>-5218</v>
      </c>
      <c r="AJ788" s="374"/>
      <c r="AK788" s="374"/>
      <c r="AL788" s="374"/>
      <c r="AM788" s="374" t="s">
        <v>2021</v>
      </c>
      <c r="AN788" s="379">
        <v>5.25</v>
      </c>
      <c r="AO788" s="379"/>
      <c r="AP788" s="379"/>
      <c r="AQ788" s="379"/>
      <c r="AR788" s="379"/>
      <c r="AS788" s="379"/>
      <c r="AT788" s="379">
        <f>+ab($T$788,$T$786,$T$790,$G$787,$G$789, 1*$F$788,1200)</f>
        <v>-14.446873203935258</v>
      </c>
      <c r="AU788" s="379"/>
      <c r="AV788" s="379"/>
      <c r="AW788" s="374" t="s">
        <v>699</v>
      </c>
      <c r="AX788" s="374" t="s">
        <v>699</v>
      </c>
      <c r="AY788" s="374" t="s">
        <v>699</v>
      </c>
      <c r="AZ788" s="374" t="s">
        <v>699</v>
      </c>
      <c r="BA788" s="374"/>
      <c r="BB788" s="306"/>
      <c r="BF788" s="1119"/>
      <c r="BG788" s="1119"/>
      <c r="BH788" s="1119"/>
    </row>
    <row r="789" spans="1:60" ht="14.25">
      <c r="A789" s="378"/>
      <c r="B789" s="406"/>
      <c r="C789" s="377"/>
      <c r="D789" s="374"/>
      <c r="E789" s="374"/>
      <c r="F789" s="407"/>
      <c r="G789" s="408">
        <v>50</v>
      </c>
      <c r="H789" s="376"/>
      <c r="I789" s="376"/>
      <c r="J789" s="409">
        <f>C790-10</f>
        <v>30390</v>
      </c>
      <c r="K789" s="374" t="s">
        <v>1055</v>
      </c>
      <c r="L789" s="374"/>
      <c r="M789" s="374"/>
      <c r="N789" s="376"/>
      <c r="O789" s="376"/>
      <c r="P789" s="376"/>
      <c r="Q789" s="374"/>
      <c r="R789" s="408"/>
      <c r="S789" s="408">
        <f>AG790-AG789</f>
        <v>48.419999999998254</v>
      </c>
      <c r="T789" s="374"/>
      <c r="U789" s="374"/>
      <c r="V789" s="374"/>
      <c r="W789" s="374"/>
      <c r="X789" s="374"/>
      <c r="Y789" s="374"/>
      <c r="Z789" s="374"/>
      <c r="AA789" s="374"/>
      <c r="AB789" s="374"/>
      <c r="AC789" s="374"/>
      <c r="AD789" s="374"/>
      <c r="AE789" s="374"/>
      <c r="AF789" s="374">
        <v>100</v>
      </c>
      <c r="AG789" s="377">
        <v>30350.93</v>
      </c>
      <c r="AH789" s="408">
        <v>1559</v>
      </c>
      <c r="AI789" s="407">
        <v>-5179</v>
      </c>
      <c r="AJ789" s="374"/>
      <c r="AK789" s="374"/>
      <c r="AL789" s="374"/>
      <c r="AM789" s="374"/>
      <c r="AN789" s="379"/>
      <c r="AO789" s="379"/>
      <c r="AP789" s="379"/>
      <c r="AQ789" s="379">
        <f>+FL_1($T$790,$T$788,$G$789,1200,9.28, 1*$F$790)</f>
        <v>0.39834769999999997</v>
      </c>
      <c r="AR789" s="379"/>
      <c r="AS789" s="379"/>
      <c r="AT789" s="379"/>
      <c r="AU789" s="379"/>
      <c r="AV789" s="379"/>
      <c r="AW789" s="374"/>
      <c r="AX789" s="374"/>
      <c r="AY789" s="374"/>
      <c r="AZ789" s="374"/>
      <c r="BA789" s="374"/>
      <c r="BB789" s="306"/>
      <c r="BF789" s="1119"/>
      <c r="BG789" s="1119"/>
      <c r="BH789" s="1119"/>
    </row>
    <row r="790" spans="1:60" ht="14.25">
      <c r="A790" s="378" t="s">
        <v>1781</v>
      </c>
      <c r="B790" s="406" t="s">
        <v>1997</v>
      </c>
      <c r="C790" s="377">
        <f>+$C$788+$G$789</f>
        <v>30400</v>
      </c>
      <c r="D790" s="374"/>
      <c r="E790" s="374"/>
      <c r="F790" s="407">
        <v>0</v>
      </c>
      <c r="G790" s="408"/>
      <c r="H790" s="376" t="s">
        <v>138</v>
      </c>
      <c r="I790" s="376" t="s">
        <v>912</v>
      </c>
      <c r="J790" s="409"/>
      <c r="K790" s="374"/>
      <c r="L790" s="374" t="s">
        <v>239</v>
      </c>
      <c r="M790" s="374"/>
      <c r="N790" s="376" t="s">
        <v>674</v>
      </c>
      <c r="O790" s="376"/>
      <c r="P790" s="376"/>
      <c r="Q790" s="374">
        <v>0</v>
      </c>
      <c r="R790" s="407">
        <v>0</v>
      </c>
      <c r="S790" s="408"/>
      <c r="T790" s="374">
        <v>30</v>
      </c>
      <c r="U790" s="374"/>
      <c r="V790" s="374"/>
      <c r="W790" s="374">
        <v>1.1000000000000001</v>
      </c>
      <c r="X790" s="374"/>
      <c r="Y790" s="374"/>
      <c r="Z790" s="374"/>
      <c r="AA790" s="374"/>
      <c r="AB790" s="374"/>
      <c r="AC790" s="374" t="s">
        <v>1704</v>
      </c>
      <c r="AD790" s="374"/>
      <c r="AE790" s="374"/>
      <c r="AF790" s="374">
        <v>100</v>
      </c>
      <c r="AG790" s="377">
        <v>30399.35</v>
      </c>
      <c r="AH790" s="408">
        <v>1516</v>
      </c>
      <c r="AI790" s="407">
        <v>-5225</v>
      </c>
      <c r="AJ790" s="374"/>
      <c r="AK790" s="374"/>
      <c r="AL790" s="374"/>
      <c r="AM790" s="374" t="s">
        <v>2021</v>
      </c>
      <c r="AN790" s="379">
        <v>5.25</v>
      </c>
      <c r="AO790" s="379"/>
      <c r="AP790" s="379"/>
      <c r="AQ790" s="379"/>
      <c r="AR790" s="379"/>
      <c r="AS790" s="379"/>
      <c r="AT790" s="379">
        <f>+ab($T$790,$T$788,$T$792,$G$789,$G$791, 1*$F$790,1200)</f>
        <v>9.9968917440918084</v>
      </c>
      <c r="AU790" s="379"/>
      <c r="AV790" s="379"/>
      <c r="AW790" s="374" t="s">
        <v>699</v>
      </c>
      <c r="AX790" s="374" t="s">
        <v>699</v>
      </c>
      <c r="AY790" s="374" t="s">
        <v>699</v>
      </c>
      <c r="AZ790" s="374" t="s">
        <v>699</v>
      </c>
      <c r="BA790" s="374"/>
      <c r="BB790" s="306"/>
      <c r="BF790" s="1119"/>
      <c r="BG790" s="1119"/>
      <c r="BH790" s="1119"/>
    </row>
    <row r="791" spans="1:60" ht="14.25">
      <c r="A791" s="378"/>
      <c r="B791" s="406"/>
      <c r="C791" s="377"/>
      <c r="D791" s="374"/>
      <c r="E791" s="374"/>
      <c r="F791" s="407"/>
      <c r="G791" s="408">
        <v>50</v>
      </c>
      <c r="H791" s="376"/>
      <c r="I791" s="376"/>
      <c r="J791" s="409"/>
      <c r="K791" s="374"/>
      <c r="L791" s="374"/>
      <c r="M791" s="374"/>
      <c r="N791" s="376"/>
      <c r="O791" s="376"/>
      <c r="P791" s="376"/>
      <c r="Q791" s="374"/>
      <c r="R791" s="408"/>
      <c r="S791" s="408">
        <f>AG792-AG790</f>
        <v>51.970000000001164</v>
      </c>
      <c r="T791" s="374"/>
      <c r="U791" s="374"/>
      <c r="V791" s="374"/>
      <c r="W791" s="374"/>
      <c r="X791" s="374"/>
      <c r="Y791" s="374"/>
      <c r="Z791" s="374"/>
      <c r="AA791" s="374"/>
      <c r="AB791" s="374"/>
      <c r="AC791" s="374"/>
      <c r="AD791" s="374"/>
      <c r="AE791" s="374"/>
      <c r="AF791" s="374"/>
      <c r="AG791" s="377" t="s">
        <v>695</v>
      </c>
      <c r="AH791" s="408" t="s">
        <v>695</v>
      </c>
      <c r="AI791" s="407" t="s">
        <v>695</v>
      </c>
      <c r="AJ791" s="374"/>
      <c r="AK791" s="374"/>
      <c r="AL791" s="374"/>
      <c r="AM791" s="374"/>
      <c r="AN791" s="379"/>
      <c r="AO791" s="379"/>
      <c r="AP791" s="379"/>
      <c r="AQ791" s="379">
        <f>+FL_2($T$792,$T$790,$G$791,1200,9.28, 1*$F$792)</f>
        <v>-0.33477011200000001</v>
      </c>
      <c r="AR791" s="379"/>
      <c r="AS791" s="379"/>
      <c r="AT791" s="379"/>
      <c r="AU791" s="379"/>
      <c r="AV791" s="379"/>
      <c r="AW791" s="374"/>
      <c r="AX791" s="374"/>
      <c r="AY791" s="374"/>
      <c r="AZ791" s="374"/>
      <c r="BA791" s="374"/>
      <c r="BB791" s="306"/>
      <c r="BF791" s="1119"/>
      <c r="BG791" s="1119"/>
      <c r="BH791" s="1119"/>
    </row>
    <row r="792" spans="1:60" ht="14.25">
      <c r="A792" s="378" t="s">
        <v>1781</v>
      </c>
      <c r="B792" s="406" t="s">
        <v>1998</v>
      </c>
      <c r="C792" s="377">
        <f>+$C$790+$G$791</f>
        <v>30450</v>
      </c>
      <c r="D792" s="374"/>
      <c r="E792" s="374"/>
      <c r="F792" s="407">
        <v>0</v>
      </c>
      <c r="G792" s="408"/>
      <c r="H792" s="376"/>
      <c r="I792" s="376"/>
      <c r="J792" s="409"/>
      <c r="K792" s="374"/>
      <c r="L792" s="374" t="s">
        <v>239</v>
      </c>
      <c r="M792" s="374"/>
      <c r="N792" s="376" t="s">
        <v>673</v>
      </c>
      <c r="O792" s="376"/>
      <c r="P792" s="376"/>
      <c r="Q792" s="374">
        <v>0</v>
      </c>
      <c r="R792" s="407">
        <v>0</v>
      </c>
      <c r="S792" s="408"/>
      <c r="T792" s="374">
        <v>-30</v>
      </c>
      <c r="U792" s="374"/>
      <c r="V792" s="374"/>
      <c r="W792" s="374">
        <v>1.1000000000000001</v>
      </c>
      <c r="X792" s="374"/>
      <c r="Y792" s="374"/>
      <c r="Z792" s="374"/>
      <c r="AA792" s="374"/>
      <c r="AB792" s="374"/>
      <c r="AC792" s="374" t="s">
        <v>2972</v>
      </c>
      <c r="AD792" s="374"/>
      <c r="AE792" s="374"/>
      <c r="AF792" s="374">
        <v>100</v>
      </c>
      <c r="AG792" s="377">
        <v>30451.32</v>
      </c>
      <c r="AH792" s="408">
        <v>1506</v>
      </c>
      <c r="AI792" s="407">
        <v>-5239</v>
      </c>
      <c r="AJ792" s="374"/>
      <c r="AK792" s="374"/>
      <c r="AL792" s="374"/>
      <c r="AM792" s="374" t="s">
        <v>2021</v>
      </c>
      <c r="AN792" s="379">
        <v>5.25</v>
      </c>
      <c r="AO792" s="379"/>
      <c r="AP792" s="379"/>
      <c r="AQ792" s="379"/>
      <c r="AR792" s="379"/>
      <c r="AS792" s="379"/>
      <c r="AT792" s="379">
        <f>+ab($T$792,$T$790,$T$794,$G$791,$G$793, 1*$F$792,1200)</f>
        <v>-7.9442410717051439</v>
      </c>
      <c r="AU792" s="379"/>
      <c r="AV792" s="379"/>
      <c r="AW792" s="374" t="s">
        <v>699</v>
      </c>
      <c r="AX792" s="374" t="s">
        <v>699</v>
      </c>
      <c r="AY792" s="374" t="s">
        <v>699</v>
      </c>
      <c r="AZ792" s="374" t="s">
        <v>699</v>
      </c>
      <c r="BA792" s="374"/>
      <c r="BB792" s="306"/>
      <c r="BF792" s="1119"/>
      <c r="BG792" s="1119"/>
      <c r="BH792" s="1119"/>
    </row>
    <row r="793" spans="1:60" ht="14.25">
      <c r="A793" s="378"/>
      <c r="B793" s="406"/>
      <c r="C793" s="377"/>
      <c r="D793" s="374"/>
      <c r="E793" s="374"/>
      <c r="F793" s="407"/>
      <c r="G793" s="408">
        <v>50</v>
      </c>
      <c r="H793" s="376"/>
      <c r="I793" s="376"/>
      <c r="J793" s="409"/>
      <c r="K793" s="374"/>
      <c r="L793" s="374"/>
      <c r="M793" s="374"/>
      <c r="N793" s="376"/>
      <c r="O793" s="376"/>
      <c r="P793" s="376"/>
      <c r="Q793" s="374"/>
      <c r="R793" s="408"/>
      <c r="S793" s="408">
        <f>AG794-AG792</f>
        <v>48.340000000000146</v>
      </c>
      <c r="T793" s="374"/>
      <c r="U793" s="374"/>
      <c r="V793" s="374"/>
      <c r="W793" s="374"/>
      <c r="X793" s="374"/>
      <c r="Y793" s="374"/>
      <c r="Z793" s="374"/>
      <c r="AA793" s="374"/>
      <c r="AB793" s="374"/>
      <c r="AC793" s="374"/>
      <c r="AD793" s="374"/>
      <c r="AE793" s="374"/>
      <c r="AF793" s="374"/>
      <c r="AG793" s="377" t="s">
        <v>695</v>
      </c>
      <c r="AH793" s="408" t="s">
        <v>695</v>
      </c>
      <c r="AI793" s="407" t="s">
        <v>695</v>
      </c>
      <c r="AJ793" s="374"/>
      <c r="AK793" s="374"/>
      <c r="AL793" s="374"/>
      <c r="AM793" s="374"/>
      <c r="AN793" s="379"/>
      <c r="AO793" s="379"/>
      <c r="AP793" s="379"/>
      <c r="AQ793" s="379">
        <f>+FL_1($T$794,$T$792,$G$793,1200,9.28, 1*$F$794)</f>
        <v>0.33477011200000001</v>
      </c>
      <c r="AR793" s="379"/>
      <c r="AS793" s="379"/>
      <c r="AT793" s="379"/>
      <c r="AU793" s="379"/>
      <c r="AV793" s="379"/>
      <c r="AW793" s="374"/>
      <c r="AX793" s="374"/>
      <c r="AY793" s="374"/>
      <c r="AZ793" s="374"/>
      <c r="BA793" s="374"/>
      <c r="BB793" s="306"/>
      <c r="BF793" s="1119"/>
      <c r="BG793" s="1119"/>
      <c r="BH793" s="1119"/>
    </row>
    <row r="794" spans="1:60" ht="14.25">
      <c r="A794" s="378" t="s">
        <v>1781</v>
      </c>
      <c r="B794" s="406" t="s">
        <v>1999</v>
      </c>
      <c r="C794" s="377">
        <f>+$C$792+$G$793</f>
        <v>30500</v>
      </c>
      <c r="D794" s="374"/>
      <c r="E794" s="374"/>
      <c r="F794" s="407">
        <v>0</v>
      </c>
      <c r="G794" s="408"/>
      <c r="H794" s="376"/>
      <c r="I794" s="376"/>
      <c r="J794" s="409"/>
      <c r="K794" s="374"/>
      <c r="L794" s="374" t="s">
        <v>239</v>
      </c>
      <c r="M794" s="374"/>
      <c r="N794" s="376" t="s">
        <v>674</v>
      </c>
      <c r="O794" s="376"/>
      <c r="P794" s="376"/>
      <c r="Q794" s="374">
        <v>0</v>
      </c>
      <c r="R794" s="407">
        <v>0</v>
      </c>
      <c r="S794" s="408"/>
      <c r="T794" s="374">
        <v>30</v>
      </c>
      <c r="U794" s="374"/>
      <c r="V794" s="374"/>
      <c r="W794" s="374">
        <v>1.1000000000000001</v>
      </c>
      <c r="X794" s="374"/>
      <c r="Y794" s="374"/>
      <c r="Z794" s="374"/>
      <c r="AA794" s="374"/>
      <c r="AB794" s="374"/>
      <c r="AC794" s="374" t="s">
        <v>2963</v>
      </c>
      <c r="AD794" s="374"/>
      <c r="AE794" s="374"/>
      <c r="AF794" s="374">
        <v>100</v>
      </c>
      <c r="AG794" s="377">
        <v>30499.66</v>
      </c>
      <c r="AH794" s="408">
        <v>1551</v>
      </c>
      <c r="AI794" s="407">
        <v>-5267</v>
      </c>
      <c r="AJ794" s="374"/>
      <c r="AK794" s="374"/>
      <c r="AL794" s="374"/>
      <c r="AM794" s="374" t="s">
        <v>2021</v>
      </c>
      <c r="AN794" s="379">
        <v>5.25</v>
      </c>
      <c r="AO794" s="379"/>
      <c r="AP794" s="379"/>
      <c r="AQ794" s="379"/>
      <c r="AR794" s="379"/>
      <c r="AS794" s="379"/>
      <c r="AT794" s="379">
        <f>+ab($T$794,$T$792,$T$796,$G$793,$G$795, 1*$F$794,1200)</f>
        <v>7.9442083933778509</v>
      </c>
      <c r="AU794" s="379"/>
      <c r="AV794" s="379"/>
      <c r="AW794" s="374" t="s">
        <v>699</v>
      </c>
      <c r="AX794" s="374" t="s">
        <v>699</v>
      </c>
      <c r="AY794" s="374" t="s">
        <v>699</v>
      </c>
      <c r="AZ794" s="374" t="s">
        <v>699</v>
      </c>
      <c r="BA794" s="374"/>
      <c r="BB794" s="306"/>
      <c r="BF794" s="1119"/>
      <c r="BG794" s="1119"/>
      <c r="BH794" s="1119"/>
    </row>
    <row r="795" spans="1:60" ht="14.25">
      <c r="A795" s="378"/>
      <c r="B795" s="406"/>
      <c r="C795" s="377"/>
      <c r="D795" s="374"/>
      <c r="E795" s="374"/>
      <c r="F795" s="407"/>
      <c r="G795" s="408">
        <v>50</v>
      </c>
      <c r="H795" s="376"/>
      <c r="I795" s="376"/>
      <c r="J795" s="409"/>
      <c r="K795" s="374"/>
      <c r="L795" s="374"/>
      <c r="M795" s="374"/>
      <c r="N795" s="376"/>
      <c r="O795" s="376"/>
      <c r="P795" s="376"/>
      <c r="Q795" s="374"/>
      <c r="R795" s="408"/>
      <c r="S795" s="408">
        <f>AG796-AG794</f>
        <v>49.680000000000291</v>
      </c>
      <c r="T795" s="374"/>
      <c r="U795" s="374"/>
      <c r="V795" s="374"/>
      <c r="W795" s="374"/>
      <c r="X795" s="374"/>
      <c r="Y795" s="374"/>
      <c r="Z795" s="374"/>
      <c r="AA795" s="374"/>
      <c r="AB795" s="374"/>
      <c r="AC795" s="374"/>
      <c r="AD795" s="374"/>
      <c r="AE795" s="374"/>
      <c r="AF795" s="374"/>
      <c r="AG795" s="377" t="s">
        <v>695</v>
      </c>
      <c r="AH795" s="408" t="s">
        <v>695</v>
      </c>
      <c r="AI795" s="407" t="s">
        <v>695</v>
      </c>
      <c r="AJ795" s="374"/>
      <c r="AK795" s="374"/>
      <c r="AL795" s="374"/>
      <c r="AM795" s="374"/>
      <c r="AN795" s="379"/>
      <c r="AO795" s="379"/>
      <c r="AP795" s="379"/>
      <c r="AQ795" s="379">
        <f>+FL_2($T$796,$T$794,$G$795,1200,9.28, 1*$F$796)</f>
        <v>-0.33477011200000001</v>
      </c>
      <c r="AR795" s="379"/>
      <c r="AS795" s="379"/>
      <c r="AT795" s="379"/>
      <c r="AU795" s="379"/>
      <c r="AV795" s="379"/>
      <c r="AW795" s="374"/>
      <c r="AX795" s="374"/>
      <c r="AY795" s="374"/>
      <c r="AZ795" s="374"/>
      <c r="BA795" s="374"/>
      <c r="BB795" s="306"/>
      <c r="BF795" s="1119"/>
      <c r="BG795" s="1119"/>
      <c r="BH795" s="1119"/>
    </row>
    <row r="796" spans="1:60" ht="14.25">
      <c r="A796" s="378" t="s">
        <v>1781</v>
      </c>
      <c r="B796" s="406" t="s">
        <v>2000</v>
      </c>
      <c r="C796" s="377">
        <f>+$C$794+$G$795</f>
        <v>30550</v>
      </c>
      <c r="D796" s="374"/>
      <c r="E796" s="374"/>
      <c r="F796" s="407">
        <v>0</v>
      </c>
      <c r="G796" s="408"/>
      <c r="H796" s="376" t="s">
        <v>1059</v>
      </c>
      <c r="I796" s="376"/>
      <c r="J796" s="409"/>
      <c r="K796" s="374"/>
      <c r="L796" s="374" t="s">
        <v>239</v>
      </c>
      <c r="M796" s="374"/>
      <c r="N796" s="376" t="s">
        <v>673</v>
      </c>
      <c r="O796" s="376"/>
      <c r="P796" s="376"/>
      <c r="Q796" s="374">
        <v>0</v>
      </c>
      <c r="R796" s="407">
        <v>0</v>
      </c>
      <c r="S796" s="408"/>
      <c r="T796" s="374">
        <v>-30</v>
      </c>
      <c r="U796" s="374"/>
      <c r="V796" s="374"/>
      <c r="W796" s="374">
        <v>1.1000000000000001</v>
      </c>
      <c r="X796" s="374"/>
      <c r="Y796" s="374"/>
      <c r="Z796" s="374"/>
      <c r="AA796" s="374"/>
      <c r="AB796" s="374"/>
      <c r="AC796" s="374" t="s">
        <v>2972</v>
      </c>
      <c r="AD796" s="374"/>
      <c r="AE796" s="374"/>
      <c r="AF796" s="374">
        <v>100</v>
      </c>
      <c r="AG796" s="377">
        <v>30549.34</v>
      </c>
      <c r="AH796" s="374">
        <v>1508</v>
      </c>
      <c r="AI796" s="407">
        <v>-5231</v>
      </c>
      <c r="AJ796" s="374"/>
      <c r="AK796" s="374"/>
      <c r="AL796" s="374"/>
      <c r="AM796" s="374" t="s">
        <v>2021</v>
      </c>
      <c r="AN796" s="379">
        <v>5.25</v>
      </c>
      <c r="AO796" s="379"/>
      <c r="AP796" s="379"/>
      <c r="AQ796" s="379"/>
      <c r="AR796" s="379"/>
      <c r="AS796" s="379"/>
      <c r="AT796" s="379">
        <f>+ab($T$796,$T$794,$T$798,$G$795,$G$797, 1*$F$796,1200)</f>
        <v>-7.9442410717051439</v>
      </c>
      <c r="AU796" s="379"/>
      <c r="AV796" s="379"/>
      <c r="AW796" s="374" t="s">
        <v>699</v>
      </c>
      <c r="AX796" s="374" t="s">
        <v>699</v>
      </c>
      <c r="AY796" s="374" t="s">
        <v>699</v>
      </c>
      <c r="AZ796" s="374" t="s">
        <v>699</v>
      </c>
      <c r="BA796" s="374"/>
      <c r="BB796" s="306"/>
      <c r="BF796" s="1119"/>
      <c r="BG796" s="1119"/>
      <c r="BH796" s="1119"/>
    </row>
    <row r="797" spans="1:60" ht="14.25">
      <c r="A797" s="378"/>
      <c r="B797" s="406"/>
      <c r="C797" s="377"/>
      <c r="D797" s="374"/>
      <c r="E797" s="374"/>
      <c r="F797" s="407"/>
      <c r="G797" s="408">
        <v>50</v>
      </c>
      <c r="H797" s="376"/>
      <c r="I797" s="376">
        <f>SUM(G785:G797)</f>
        <v>350</v>
      </c>
      <c r="J797" s="409">
        <f>C796+10</f>
        <v>30560</v>
      </c>
      <c r="K797" s="374" t="s">
        <v>1060</v>
      </c>
      <c r="L797" s="374"/>
      <c r="M797" s="374"/>
      <c r="N797" s="376"/>
      <c r="O797" s="376"/>
      <c r="P797" s="376"/>
      <c r="Q797" s="374"/>
      <c r="R797" s="408"/>
      <c r="S797" s="408">
        <f>AG798-AG796</f>
        <v>50.180000000000291</v>
      </c>
      <c r="T797" s="374"/>
      <c r="U797" s="374"/>
      <c r="V797" s="374"/>
      <c r="W797" s="374"/>
      <c r="X797" s="374"/>
      <c r="Y797" s="374"/>
      <c r="Z797" s="374"/>
      <c r="AA797" s="374"/>
      <c r="AB797" s="374"/>
      <c r="AC797" s="374"/>
      <c r="AD797" s="374"/>
      <c r="AE797" s="374"/>
      <c r="AF797" s="374"/>
      <c r="AG797" s="377" t="s">
        <v>695</v>
      </c>
      <c r="AH797" s="374" t="s">
        <v>695</v>
      </c>
      <c r="AI797" s="407" t="s">
        <v>695</v>
      </c>
      <c r="AJ797" s="374"/>
      <c r="AK797" s="374"/>
      <c r="AL797" s="374"/>
      <c r="AM797" s="374"/>
      <c r="AN797" s="379"/>
      <c r="AO797" s="379"/>
      <c r="AP797" s="379"/>
      <c r="AQ797" s="379">
        <f>+FL_1($T$798,$T$796,$G$797,1200,9.28, 1*$F$798)</f>
        <v>0.33477011200000001</v>
      </c>
      <c r="AR797" s="379"/>
      <c r="AS797" s="379"/>
      <c r="AT797" s="379"/>
      <c r="AU797" s="379"/>
      <c r="AV797" s="379"/>
      <c r="AW797" s="374"/>
      <c r="AX797" s="374"/>
      <c r="AY797" s="374"/>
      <c r="AZ797" s="374"/>
      <c r="BA797" s="374"/>
      <c r="BB797" s="306"/>
      <c r="BF797" s="1119"/>
      <c r="BG797" s="1119"/>
      <c r="BH797" s="1119"/>
    </row>
    <row r="798" spans="1:60" ht="14.25">
      <c r="A798" s="378" t="s">
        <v>1781</v>
      </c>
      <c r="B798" s="406" t="s">
        <v>2001</v>
      </c>
      <c r="C798" s="377">
        <f>+$C$796+$G$797</f>
        <v>30600</v>
      </c>
      <c r="D798" s="374"/>
      <c r="E798" s="374"/>
      <c r="F798" s="407">
        <v>0</v>
      </c>
      <c r="G798" s="408"/>
      <c r="H798" s="376" t="s">
        <v>956</v>
      </c>
      <c r="I798" s="376"/>
      <c r="J798" s="409"/>
      <c r="K798" s="374"/>
      <c r="L798" s="374" t="s">
        <v>239</v>
      </c>
      <c r="M798" s="374"/>
      <c r="N798" s="376" t="s">
        <v>674</v>
      </c>
      <c r="O798" s="376"/>
      <c r="P798" s="376"/>
      <c r="Q798" s="374">
        <v>0</v>
      </c>
      <c r="R798" s="407">
        <v>0</v>
      </c>
      <c r="S798" s="408"/>
      <c r="T798" s="374">
        <v>30</v>
      </c>
      <c r="U798" s="374"/>
      <c r="V798" s="374"/>
      <c r="W798" s="374">
        <v>1.1000000000000001</v>
      </c>
      <c r="X798" s="374"/>
      <c r="Y798" s="374"/>
      <c r="Z798" s="374"/>
      <c r="AA798" s="374"/>
      <c r="AB798" s="374"/>
      <c r="AC798" s="374" t="s">
        <v>2963</v>
      </c>
      <c r="AD798" s="374"/>
      <c r="AE798" s="374"/>
      <c r="AF798" s="374">
        <v>100</v>
      </c>
      <c r="AG798" s="377">
        <v>30599.52</v>
      </c>
      <c r="AH798" s="374">
        <v>1487</v>
      </c>
      <c r="AI798" s="407">
        <v>-5228</v>
      </c>
      <c r="AJ798" s="374"/>
      <c r="AK798" s="374"/>
      <c r="AL798" s="374"/>
      <c r="AM798" s="374" t="s">
        <v>2021</v>
      </c>
      <c r="AN798" s="379">
        <v>5.25</v>
      </c>
      <c r="AO798" s="379"/>
      <c r="AP798" s="379"/>
      <c r="AQ798" s="379"/>
      <c r="AR798" s="379"/>
      <c r="AS798" s="379"/>
      <c r="AT798" s="379">
        <f>+ab($T$798,$T$796,$T$800,$S$797,$S$799, 1*$R$798,1200)</f>
        <v>7.2607693849255082</v>
      </c>
      <c r="AU798" s="379"/>
      <c r="AV798" s="379"/>
      <c r="AW798" s="374" t="s">
        <v>699</v>
      </c>
      <c r="AX798" s="374" t="s">
        <v>699</v>
      </c>
      <c r="AY798" s="374" t="s">
        <v>699</v>
      </c>
      <c r="AZ798" s="374" t="s">
        <v>699</v>
      </c>
      <c r="BA798" s="374"/>
      <c r="BB798" s="306"/>
      <c r="BF798" s="1119"/>
      <c r="BG798" s="1119"/>
      <c r="BH798" s="1119"/>
    </row>
    <row r="799" spans="1:60" ht="14.25">
      <c r="A799" s="378"/>
      <c r="B799" s="406"/>
      <c r="C799" s="377"/>
      <c r="D799" s="374"/>
      <c r="E799" s="374"/>
      <c r="F799" s="407"/>
      <c r="G799" s="408">
        <v>41</v>
      </c>
      <c r="H799" s="376"/>
      <c r="I799" s="376">
        <f>SUM(G799:G819)</f>
        <v>320</v>
      </c>
      <c r="J799" s="409">
        <f>C800-10</f>
        <v>30631</v>
      </c>
      <c r="K799" s="374" t="s">
        <v>1060</v>
      </c>
      <c r="L799" s="374"/>
      <c r="M799" s="374"/>
      <c r="N799" s="376"/>
      <c r="O799" s="376"/>
      <c r="P799" s="376"/>
      <c r="Q799" s="374"/>
      <c r="R799" s="408"/>
      <c r="S799" s="408">
        <f>AG800-AG798</f>
        <v>41.869999999998981</v>
      </c>
      <c r="T799" s="374"/>
      <c r="U799" s="374"/>
      <c r="V799" s="374"/>
      <c r="W799" s="374"/>
      <c r="X799" s="374"/>
      <c r="Y799" s="374"/>
      <c r="Z799" s="374"/>
      <c r="AA799" s="374"/>
      <c r="AB799" s="374"/>
      <c r="AC799" s="374"/>
      <c r="AD799" s="374"/>
      <c r="AE799" s="374"/>
      <c r="AF799" s="374"/>
      <c r="AG799" s="377" t="s">
        <v>695</v>
      </c>
      <c r="AH799" s="374" t="s">
        <v>695</v>
      </c>
      <c r="AI799" s="407" t="s">
        <v>695</v>
      </c>
      <c r="AJ799" s="374"/>
      <c r="AK799" s="374"/>
      <c r="AL799" s="374"/>
      <c r="AM799" s="374"/>
      <c r="AN799" s="379"/>
      <c r="AO799" s="379"/>
      <c r="AP799" s="379"/>
      <c r="AQ799" s="379">
        <f>+FL_1($T$800,$T$798,$S$799,1200,9.28, 1*$R$800)</f>
        <v>0.30223599377119476</v>
      </c>
      <c r="AR799" s="379"/>
      <c r="AS799" s="379"/>
      <c r="AT799" s="379"/>
      <c r="AU799" s="379"/>
      <c r="AV799" s="379"/>
      <c r="AW799" s="374"/>
      <c r="AX799" s="374"/>
      <c r="AY799" s="374"/>
      <c r="AZ799" s="374"/>
      <c r="BA799" s="374"/>
      <c r="BB799" s="306"/>
      <c r="BF799" s="1119"/>
      <c r="BG799" s="1119"/>
      <c r="BH799" s="1119"/>
    </row>
    <row r="800" spans="1:60" ht="14.25">
      <c r="A800" s="378" t="s">
        <v>1781</v>
      </c>
      <c r="B800" s="406" t="s">
        <v>2002</v>
      </c>
      <c r="C800" s="377">
        <f>+$C$798+$G$799</f>
        <v>30641</v>
      </c>
      <c r="D800" s="374"/>
      <c r="E800" s="374"/>
      <c r="F800" s="407">
        <v>0</v>
      </c>
      <c r="G800" s="408"/>
      <c r="H800" s="376" t="s">
        <v>1059</v>
      </c>
      <c r="I800" s="376"/>
      <c r="J800" s="409"/>
      <c r="K800" s="374"/>
      <c r="L800" s="374" t="s">
        <v>239</v>
      </c>
      <c r="M800" s="374"/>
      <c r="N800" s="376" t="s">
        <v>673</v>
      </c>
      <c r="O800" s="376"/>
      <c r="P800" s="376"/>
      <c r="Q800" s="374">
        <v>0</v>
      </c>
      <c r="R800" s="407">
        <v>0</v>
      </c>
      <c r="S800" s="408"/>
      <c r="T800" s="374">
        <v>-30</v>
      </c>
      <c r="U800" s="374"/>
      <c r="V800" s="374"/>
      <c r="W800" s="374">
        <v>1.1000000000000001</v>
      </c>
      <c r="X800" s="374"/>
      <c r="Y800" s="374"/>
      <c r="Z800" s="374"/>
      <c r="AA800" s="374"/>
      <c r="AB800" s="374"/>
      <c r="AC800" s="374" t="s">
        <v>2972</v>
      </c>
      <c r="AD800" s="374"/>
      <c r="AE800" s="374"/>
      <c r="AF800" s="374">
        <v>100</v>
      </c>
      <c r="AG800" s="377">
        <v>30641.39</v>
      </c>
      <c r="AH800" s="374">
        <v>1562</v>
      </c>
      <c r="AI800" s="407">
        <v>-5193</v>
      </c>
      <c r="AJ800" s="374"/>
      <c r="AK800" s="374"/>
      <c r="AL800" s="374"/>
      <c r="AM800" s="374" t="s">
        <v>2021</v>
      </c>
      <c r="AN800" s="379">
        <v>5.3</v>
      </c>
      <c r="AO800" s="379"/>
      <c r="AP800" s="379"/>
      <c r="AQ800" s="379"/>
      <c r="AR800" s="379"/>
      <c r="AS800" s="379"/>
      <c r="AT800" s="379">
        <f>+ab($T$800,$T$798,$T$802,$S$799,$S$801, 1*$R$800,1200)</f>
        <v>-6.5192674152397796</v>
      </c>
      <c r="AU800" s="379"/>
      <c r="AV800" s="379"/>
      <c r="AW800" s="374" t="s">
        <v>699</v>
      </c>
      <c r="AX800" s="374" t="s">
        <v>699</v>
      </c>
      <c r="AY800" s="374" t="s">
        <v>699</v>
      </c>
      <c r="AZ800" s="374" t="s">
        <v>699</v>
      </c>
      <c r="BA800" s="374"/>
      <c r="BB800" s="306"/>
      <c r="BF800" s="1119"/>
      <c r="BG800" s="1119"/>
      <c r="BH800" s="1119"/>
    </row>
    <row r="801" spans="1:60" ht="14.25">
      <c r="A801" s="378"/>
      <c r="B801" s="406"/>
      <c r="C801" s="377"/>
      <c r="D801" s="374"/>
      <c r="E801" s="374"/>
      <c r="F801" s="407"/>
      <c r="G801" s="408">
        <v>41</v>
      </c>
      <c r="H801" s="376"/>
      <c r="I801" s="376" t="s">
        <v>1226</v>
      </c>
      <c r="J801" s="409"/>
      <c r="K801" s="374"/>
      <c r="L801" s="374"/>
      <c r="M801" s="374"/>
      <c r="N801" s="376"/>
      <c r="O801" s="376"/>
      <c r="P801" s="376"/>
      <c r="Q801" s="374"/>
      <c r="R801" s="408"/>
      <c r="S801" s="408">
        <f>AG802-AG800</f>
        <v>40.06000000000131</v>
      </c>
      <c r="T801" s="374"/>
      <c r="U801" s="374"/>
      <c r="V801" s="374"/>
      <c r="W801" s="374"/>
      <c r="X801" s="374"/>
      <c r="Y801" s="374"/>
      <c r="Z801" s="374"/>
      <c r="AA801" s="374"/>
      <c r="AB801" s="374"/>
      <c r="AC801" s="374"/>
      <c r="AD801" s="374"/>
      <c r="AE801" s="374"/>
      <c r="AF801" s="374"/>
      <c r="AG801" s="377" t="s">
        <v>695</v>
      </c>
      <c r="AH801" s="374" t="s">
        <v>695</v>
      </c>
      <c r="AI801" s="407" t="s">
        <v>695</v>
      </c>
      <c r="AJ801" s="374"/>
      <c r="AK801" s="374"/>
      <c r="AL801" s="374"/>
      <c r="AM801" s="374"/>
      <c r="AN801" s="379"/>
      <c r="AO801" s="379"/>
      <c r="AP801" s="379"/>
      <c r="AQ801" s="379">
        <f>+FL_2($T$802,$T$800,$S$801,1200,9.28, 1*$R$802)</f>
        <v>-0.3001697077583631</v>
      </c>
      <c r="AR801" s="379"/>
      <c r="AS801" s="379"/>
      <c r="AT801" s="379"/>
      <c r="AU801" s="379"/>
      <c r="AV801" s="379"/>
      <c r="AW801" s="374"/>
      <c r="AX801" s="374"/>
      <c r="AY801" s="374"/>
      <c r="AZ801" s="374"/>
      <c r="BA801" s="374"/>
      <c r="BB801" s="306"/>
      <c r="BF801" s="1119"/>
      <c r="BG801" s="1119"/>
      <c r="BH801" s="1119"/>
    </row>
    <row r="802" spans="1:60" ht="14.25">
      <c r="A802" s="378"/>
      <c r="B802" s="406" t="s">
        <v>2003</v>
      </c>
      <c r="C802" s="377">
        <f>+$C$800+$G$801</f>
        <v>30682</v>
      </c>
      <c r="D802" s="374"/>
      <c r="E802" s="374"/>
      <c r="F802" s="407">
        <v>0</v>
      </c>
      <c r="G802" s="408"/>
      <c r="H802" s="376" t="s">
        <v>138</v>
      </c>
      <c r="I802" s="376" t="s">
        <v>912</v>
      </c>
      <c r="J802" s="409">
        <f>C802+10</f>
        <v>30692</v>
      </c>
      <c r="K802" s="374" t="s">
        <v>1055</v>
      </c>
      <c r="L802" s="374" t="s">
        <v>239</v>
      </c>
      <c r="M802" s="374"/>
      <c r="N802" s="376" t="s">
        <v>674</v>
      </c>
      <c r="O802" s="376"/>
      <c r="P802" s="376"/>
      <c r="Q802" s="374">
        <v>0</v>
      </c>
      <c r="R802" s="407">
        <v>0</v>
      </c>
      <c r="S802" s="408"/>
      <c r="T802" s="374">
        <v>30</v>
      </c>
      <c r="U802" s="374"/>
      <c r="V802" s="374"/>
      <c r="W802" s="374">
        <v>1.1000000000000001</v>
      </c>
      <c r="X802" s="374"/>
      <c r="Y802" s="374"/>
      <c r="Z802" s="374"/>
      <c r="AA802" s="374"/>
      <c r="AB802" s="374"/>
      <c r="AC802" s="374" t="s">
        <v>2963</v>
      </c>
      <c r="AD802" s="374"/>
      <c r="AE802" s="374"/>
      <c r="AF802" s="374">
        <v>100</v>
      </c>
      <c r="AG802" s="377">
        <v>30681.45</v>
      </c>
      <c r="AH802" s="374">
        <v>1497</v>
      </c>
      <c r="AI802" s="407">
        <v>-5212</v>
      </c>
      <c r="AJ802" s="374" t="s">
        <v>3248</v>
      </c>
      <c r="AK802" s="374"/>
      <c r="AL802" s="374"/>
      <c r="AM802" s="374" t="s">
        <v>2021</v>
      </c>
      <c r="AN802" s="379">
        <v>5.38</v>
      </c>
      <c r="AO802" s="379"/>
      <c r="AP802" s="379"/>
      <c r="AQ802" s="379"/>
      <c r="AR802" s="379"/>
      <c r="AS802" s="379"/>
      <c r="AT802" s="379">
        <f>+ab($T$802,$T$800,$T$804,$S$801,$S$803, 1*$R$802,1200)</f>
        <v>9.7134232897470749</v>
      </c>
      <c r="AU802" s="379"/>
      <c r="AV802" s="379"/>
      <c r="AW802" s="374" t="s">
        <v>699</v>
      </c>
      <c r="AX802" s="374" t="s">
        <v>699</v>
      </c>
      <c r="AY802" s="374" t="s">
        <v>699</v>
      </c>
      <c r="AZ802" s="374" t="s">
        <v>699</v>
      </c>
      <c r="BA802" s="374"/>
      <c r="BB802" s="306"/>
      <c r="BF802" s="1119"/>
      <c r="BG802" s="1119"/>
      <c r="BH802" s="1119"/>
    </row>
    <row r="803" spans="1:60" ht="14.25">
      <c r="A803" s="378" t="s">
        <v>1853</v>
      </c>
      <c r="B803" s="406"/>
      <c r="C803" s="377"/>
      <c r="D803" s="374"/>
      <c r="E803" s="374"/>
      <c r="F803" s="407"/>
      <c r="G803" s="408">
        <v>43</v>
      </c>
      <c r="H803" s="376"/>
      <c r="I803" s="376" t="s">
        <v>1226</v>
      </c>
      <c r="J803" s="409"/>
      <c r="K803" s="374" t="s">
        <v>1060</v>
      </c>
      <c r="L803" s="374"/>
      <c r="M803" s="374"/>
      <c r="N803" s="376"/>
      <c r="O803" s="376"/>
      <c r="P803" s="376"/>
      <c r="Q803" s="374"/>
      <c r="R803" s="408"/>
      <c r="S803" s="408">
        <f>AG804-AG802</f>
        <v>43.590000000000146</v>
      </c>
      <c r="T803" s="374"/>
      <c r="U803" s="374"/>
      <c r="V803" s="374"/>
      <c r="W803" s="374"/>
      <c r="X803" s="374"/>
      <c r="Y803" s="374"/>
      <c r="Z803" s="374"/>
      <c r="AA803" s="374"/>
      <c r="AB803" s="374"/>
      <c r="AC803" s="374"/>
      <c r="AD803" s="374"/>
      <c r="AE803" s="374"/>
      <c r="AF803" s="374"/>
      <c r="AG803" s="377" t="s">
        <v>695</v>
      </c>
      <c r="AH803" s="374" t="s">
        <v>695</v>
      </c>
      <c r="AI803" s="407" t="s">
        <v>695</v>
      </c>
      <c r="AJ803" s="374" t="s">
        <v>1593</v>
      </c>
      <c r="AK803" s="374"/>
      <c r="AL803" s="374"/>
      <c r="AM803" s="374"/>
      <c r="AN803" s="379"/>
      <c r="AO803" s="379"/>
      <c r="AP803" s="379"/>
      <c r="AQ803" s="379">
        <f>+FL_1($U$804,$T$802,$G$803,1200,9.28, 1*$F$804)</f>
        <v>0.30147495581395356</v>
      </c>
      <c r="AR803" s="379"/>
      <c r="AS803" s="379"/>
      <c r="AT803" s="379"/>
      <c r="AU803" s="379"/>
      <c r="AV803" s="379"/>
      <c r="AW803" s="374"/>
      <c r="AX803" s="374"/>
      <c r="AY803" s="374"/>
      <c r="AZ803" s="374"/>
      <c r="BA803" s="374"/>
      <c r="BB803" s="306"/>
      <c r="BF803" s="1119"/>
      <c r="BG803" s="1119"/>
      <c r="BH803" s="1119"/>
    </row>
    <row r="804" spans="1:60" ht="14.25">
      <c r="A804" s="318" t="s">
        <v>3282</v>
      </c>
      <c r="B804" s="976" t="s">
        <v>2004</v>
      </c>
      <c r="C804" s="318">
        <f>+$C$802+$G$803</f>
        <v>30725</v>
      </c>
      <c r="D804" s="976"/>
      <c r="E804" s="976"/>
      <c r="F804" s="326">
        <v>0</v>
      </c>
      <c r="G804" s="326"/>
      <c r="H804" s="976" t="s">
        <v>651</v>
      </c>
      <c r="I804" s="319" t="s">
        <v>2016</v>
      </c>
      <c r="J804" s="320"/>
      <c r="K804" s="976" t="s">
        <v>1060</v>
      </c>
      <c r="L804" s="976" t="s">
        <v>2957</v>
      </c>
      <c r="M804" s="976" t="s">
        <v>2029</v>
      </c>
      <c r="N804" s="976" t="s">
        <v>140</v>
      </c>
      <c r="O804" s="976" t="s">
        <v>144</v>
      </c>
      <c r="P804" s="976"/>
      <c r="Q804" s="326">
        <v>0</v>
      </c>
      <c r="R804" s="326">
        <v>0</v>
      </c>
      <c r="S804" s="327"/>
      <c r="T804" s="976">
        <v>10</v>
      </c>
      <c r="U804" s="976">
        <v>-35</v>
      </c>
      <c r="V804" s="976"/>
      <c r="W804" s="976">
        <v>1.4</v>
      </c>
      <c r="X804" s="976">
        <v>2.2999999999999998</v>
      </c>
      <c r="Y804" s="976"/>
      <c r="Z804" s="976">
        <v>0.45</v>
      </c>
      <c r="AA804" s="976"/>
      <c r="AB804" s="976"/>
      <c r="AC804" s="976"/>
      <c r="AD804" s="976"/>
      <c r="AE804" s="976"/>
      <c r="AF804" s="976">
        <v>4300</v>
      </c>
      <c r="AG804" s="320">
        <v>30725.040000000001</v>
      </c>
      <c r="AH804" s="976">
        <v>2836</v>
      </c>
      <c r="AI804" s="976">
        <v>-1001</v>
      </c>
      <c r="AJ804" s="976" t="s">
        <v>3248</v>
      </c>
      <c r="AK804" s="976"/>
      <c r="AL804" s="976"/>
      <c r="AM804" s="976" t="s">
        <v>1228</v>
      </c>
      <c r="AN804" s="321">
        <v>5.46</v>
      </c>
      <c r="AO804" s="321"/>
      <c r="AP804" s="321"/>
      <c r="AQ804" s="321"/>
      <c r="AR804" s="321"/>
      <c r="AS804" s="321"/>
      <c r="AT804" s="321">
        <f>+ab($U$804,$T$802,$U$810,$S$803,$S$805, 1*$R$804,1200)</f>
        <v>-9.3942392199884353</v>
      </c>
      <c r="AU804" s="321"/>
      <c r="AV804" s="321"/>
      <c r="AW804" s="321" t="s">
        <v>699</v>
      </c>
      <c r="AX804" s="321" t="s">
        <v>699</v>
      </c>
      <c r="AY804" s="321" t="s">
        <v>699</v>
      </c>
      <c r="AZ804" s="321" t="s">
        <v>699</v>
      </c>
      <c r="BA804" s="321"/>
      <c r="BB804" s="306"/>
      <c r="BF804" s="1119"/>
      <c r="BG804" s="1119"/>
      <c r="BH804" s="1119"/>
    </row>
    <row r="805" spans="1:60" ht="14.25">
      <c r="A805" s="318" t="s">
        <v>3284</v>
      </c>
      <c r="B805" s="976" t="s">
        <v>2959</v>
      </c>
      <c r="C805" s="318" t="s">
        <v>2960</v>
      </c>
      <c r="D805" s="976"/>
      <c r="E805" s="976"/>
      <c r="F805" s="326"/>
      <c r="G805" s="326">
        <v>37</v>
      </c>
      <c r="H805" s="976"/>
      <c r="I805" s="319"/>
      <c r="J805" s="320"/>
      <c r="K805" s="976"/>
      <c r="L805" s="976" t="s">
        <v>2957</v>
      </c>
      <c r="M805" s="976" t="s">
        <v>2029</v>
      </c>
      <c r="N805" s="976"/>
      <c r="O805" s="976"/>
      <c r="P805" s="976"/>
      <c r="Q805" s="326"/>
      <c r="R805" s="327"/>
      <c r="S805" s="1073">
        <f>+AG810-AG804</f>
        <v>46.889999999999418</v>
      </c>
      <c r="T805" s="976"/>
      <c r="U805" s="976"/>
      <c r="V805" s="976"/>
      <c r="W805" s="976"/>
      <c r="X805" s="976"/>
      <c r="Y805" s="976"/>
      <c r="Z805" s="976"/>
      <c r="AA805" s="976"/>
      <c r="AB805" s="976"/>
      <c r="AC805" s="976"/>
      <c r="AD805" s="976" t="s">
        <v>1704</v>
      </c>
      <c r="AE805" s="976"/>
      <c r="AF805" s="976">
        <v>4300</v>
      </c>
      <c r="AG805" s="320">
        <v>30727.94</v>
      </c>
      <c r="AH805" s="976">
        <v>2829</v>
      </c>
      <c r="AI805" s="976">
        <v>-951</v>
      </c>
      <c r="AJ805" s="976" t="s">
        <v>1603</v>
      </c>
      <c r="AK805" s="976"/>
      <c r="AL805" s="976"/>
      <c r="AM805" s="976"/>
      <c r="AN805" s="321"/>
      <c r="AO805" s="321"/>
      <c r="AP805" s="321"/>
      <c r="AQ805" s="321">
        <f>+FL_1($T$810,$U$804,$S$804+10,1200,9.28, 1*$R$806)</f>
        <v>0.34999999999999992</v>
      </c>
      <c r="AR805" s="321"/>
      <c r="AS805" s="321"/>
      <c r="AT805" s="321"/>
      <c r="AU805" s="321"/>
      <c r="AV805" s="321"/>
      <c r="AW805" s="321"/>
      <c r="AX805" s="321"/>
      <c r="AY805" s="321"/>
      <c r="AZ805" s="321"/>
      <c r="BA805" s="321"/>
      <c r="BB805" s="306"/>
      <c r="BF805" s="1119"/>
      <c r="BG805" s="1119"/>
      <c r="BH805" s="1119"/>
    </row>
    <row r="806" spans="1:60" ht="14.25">
      <c r="A806" s="318" t="s">
        <v>3286</v>
      </c>
      <c r="B806" s="976" t="s">
        <v>2005</v>
      </c>
      <c r="C806" s="318">
        <f>+$C$804+$G$805</f>
        <v>30762</v>
      </c>
      <c r="D806" s="976"/>
      <c r="E806" s="976"/>
      <c r="F806" s="326">
        <v>0</v>
      </c>
      <c r="G806" s="326"/>
      <c r="H806" s="976"/>
      <c r="I806" s="319"/>
      <c r="J806" s="320"/>
      <c r="K806" s="976"/>
      <c r="L806" s="976" t="s">
        <v>230</v>
      </c>
      <c r="M806" s="976" t="s">
        <v>2031</v>
      </c>
      <c r="N806" s="976"/>
      <c r="O806" s="976"/>
      <c r="P806" s="976"/>
      <c r="Q806" s="326"/>
      <c r="R806" s="327"/>
      <c r="S806" s="327"/>
      <c r="T806" s="976"/>
      <c r="U806" s="976"/>
      <c r="V806" s="976"/>
      <c r="W806" s="976"/>
      <c r="X806" s="976"/>
      <c r="Y806" s="976"/>
      <c r="Z806" s="976"/>
      <c r="AA806" s="976"/>
      <c r="AB806" s="976"/>
      <c r="AC806" s="976"/>
      <c r="AD806" s="976"/>
      <c r="AE806" s="976"/>
      <c r="AF806" s="976"/>
      <c r="AG806" s="320">
        <v>30762.04</v>
      </c>
      <c r="AH806" s="976" t="s">
        <v>695</v>
      </c>
      <c r="AI806" s="976"/>
      <c r="AJ806" s="976" t="s">
        <v>3248</v>
      </c>
      <c r="AK806" s="976"/>
      <c r="AL806" s="976"/>
      <c r="AM806" s="976" t="s">
        <v>1228</v>
      </c>
      <c r="AN806" s="321"/>
      <c r="AO806" s="321"/>
      <c r="AP806" s="321"/>
      <c r="AQ806" s="321"/>
      <c r="AR806" s="321"/>
      <c r="AS806" s="321"/>
      <c r="AT806" s="321"/>
      <c r="AU806" s="321"/>
      <c r="AV806" s="321"/>
      <c r="AW806" s="321" t="s">
        <v>699</v>
      </c>
      <c r="AX806" s="321" t="s">
        <v>699</v>
      </c>
      <c r="AY806" s="321" t="s">
        <v>699</v>
      </c>
      <c r="AZ806" s="321" t="s">
        <v>699</v>
      </c>
      <c r="BA806" s="321"/>
      <c r="BB806" s="306"/>
      <c r="BF806" s="1119"/>
      <c r="BG806" s="1119"/>
      <c r="BH806" s="1119"/>
    </row>
    <row r="807" spans="1:60" ht="14.25">
      <c r="A807" s="318"/>
      <c r="B807" s="976"/>
      <c r="C807" s="318"/>
      <c r="D807" s="976"/>
      <c r="E807" s="976"/>
      <c r="F807" s="326"/>
      <c r="G807" s="326">
        <v>5</v>
      </c>
      <c r="H807" s="976"/>
      <c r="I807" s="319"/>
      <c r="J807" s="320"/>
      <c r="K807" s="976"/>
      <c r="L807" s="976"/>
      <c r="M807" s="976"/>
      <c r="N807" s="976"/>
      <c r="O807" s="976"/>
      <c r="P807" s="976"/>
      <c r="Q807" s="326"/>
      <c r="R807" s="327"/>
      <c r="S807" s="327"/>
      <c r="T807" s="976"/>
      <c r="U807" s="976"/>
      <c r="V807" s="976"/>
      <c r="W807" s="976"/>
      <c r="X807" s="976"/>
      <c r="Y807" s="976"/>
      <c r="Z807" s="976"/>
      <c r="AA807" s="976"/>
      <c r="AB807" s="976"/>
      <c r="AC807" s="976"/>
      <c r="AD807" s="976"/>
      <c r="AE807" s="976"/>
      <c r="AF807" s="976"/>
      <c r="AG807" s="320" t="s">
        <v>695</v>
      </c>
      <c r="AH807" s="976" t="s">
        <v>695</v>
      </c>
      <c r="AI807" s="976"/>
      <c r="AJ807" s="374" t="s">
        <v>3248</v>
      </c>
      <c r="AK807" s="976"/>
      <c r="AL807" s="976"/>
      <c r="AM807" s="976"/>
      <c r="AN807" s="321"/>
      <c r="AO807" s="321"/>
      <c r="AP807" s="321"/>
      <c r="AQ807" s="321"/>
      <c r="AR807" s="321"/>
      <c r="AS807" s="321"/>
      <c r="AT807" s="321"/>
      <c r="AU807" s="321"/>
      <c r="AV807" s="321"/>
      <c r="AW807" s="321"/>
      <c r="AX807" s="321"/>
      <c r="AY807" s="321"/>
      <c r="AZ807" s="321"/>
      <c r="BA807" s="321"/>
      <c r="BB807" s="306"/>
      <c r="BF807" s="1119"/>
      <c r="BG807" s="1119"/>
      <c r="BH807" s="1119"/>
    </row>
    <row r="808" spans="1:60" ht="14.25">
      <c r="A808" s="318" t="s">
        <v>3285</v>
      </c>
      <c r="B808" s="976" t="s">
        <v>2006</v>
      </c>
      <c r="C808" s="318">
        <f>+$C$806+$G$807</f>
        <v>30767</v>
      </c>
      <c r="D808" s="976"/>
      <c r="E808" s="976"/>
      <c r="F808" s="326">
        <v>0</v>
      </c>
      <c r="G808" s="326"/>
      <c r="H808" s="976"/>
      <c r="I808" s="319"/>
      <c r="J808" s="320"/>
      <c r="K808" s="976"/>
      <c r="L808" s="976" t="s">
        <v>230</v>
      </c>
      <c r="M808" s="976" t="s">
        <v>2031</v>
      </c>
      <c r="N808" s="976"/>
      <c r="O808" s="976"/>
      <c r="P808" s="976"/>
      <c r="Q808" s="326"/>
      <c r="R808" s="327"/>
      <c r="S808" s="327"/>
      <c r="T808" s="976"/>
      <c r="U808" s="976"/>
      <c r="V808" s="976"/>
      <c r="W808" s="976"/>
      <c r="X808" s="976"/>
      <c r="Y808" s="976"/>
      <c r="Z808" s="976"/>
      <c r="AA808" s="976"/>
      <c r="AB808" s="976"/>
      <c r="AC808" s="976"/>
      <c r="AD808" s="976"/>
      <c r="AE808" s="976"/>
      <c r="AF808" s="976"/>
      <c r="AG808" s="320">
        <v>30766.98</v>
      </c>
      <c r="AH808" s="976" t="s">
        <v>695</v>
      </c>
      <c r="AI808" s="976"/>
      <c r="AJ808" s="976" t="s">
        <v>967</v>
      </c>
      <c r="AK808" s="976"/>
      <c r="AL808" s="976"/>
      <c r="AM808" s="976" t="s">
        <v>1228</v>
      </c>
      <c r="AN808" s="321"/>
      <c r="AO808" s="321"/>
      <c r="AP808" s="321"/>
      <c r="AQ808" s="321"/>
      <c r="AR808" s="321"/>
      <c r="AS808" s="321"/>
      <c r="AT808" s="321"/>
      <c r="AU808" s="321"/>
      <c r="AV808" s="321"/>
      <c r="AW808" s="321" t="s">
        <v>699</v>
      </c>
      <c r="AX808" s="321" t="s">
        <v>699</v>
      </c>
      <c r="AY808" s="321" t="s">
        <v>699</v>
      </c>
      <c r="AZ808" s="321" t="s">
        <v>699</v>
      </c>
      <c r="BA808" s="321"/>
      <c r="BB808" s="306"/>
      <c r="BF808" s="1119"/>
      <c r="BG808" s="1119"/>
      <c r="BH808" s="1119"/>
    </row>
    <row r="809" spans="1:60" ht="14.25">
      <c r="A809" s="318"/>
      <c r="B809" s="976"/>
      <c r="C809" s="318"/>
      <c r="D809" s="976"/>
      <c r="E809" s="976"/>
      <c r="F809" s="326"/>
      <c r="G809" s="326">
        <v>5</v>
      </c>
      <c r="H809" s="976"/>
      <c r="I809" s="319"/>
      <c r="J809" s="320"/>
      <c r="K809" s="976"/>
      <c r="L809" s="976"/>
      <c r="M809" s="976"/>
      <c r="N809" s="976"/>
      <c r="O809" s="976"/>
      <c r="P809" s="976"/>
      <c r="Q809" s="326"/>
      <c r="R809" s="327"/>
      <c r="S809" s="327"/>
      <c r="T809" s="976"/>
      <c r="U809" s="976"/>
      <c r="V809" s="976"/>
      <c r="W809" s="976"/>
      <c r="X809" s="976"/>
      <c r="Y809" s="976"/>
      <c r="Z809" s="976"/>
      <c r="AA809" s="976"/>
      <c r="AB809" s="976"/>
      <c r="AC809" s="976"/>
      <c r="AD809" s="976"/>
      <c r="AE809" s="976"/>
      <c r="AF809" s="976"/>
      <c r="AG809" s="320" t="s">
        <v>695</v>
      </c>
      <c r="AH809" s="976" t="s">
        <v>695</v>
      </c>
      <c r="AI809" s="976"/>
      <c r="AJ809" s="976" t="s">
        <v>1593</v>
      </c>
      <c r="AK809" s="976"/>
      <c r="AL809" s="976"/>
      <c r="AM809" s="976"/>
      <c r="AN809" s="321"/>
      <c r="AO809" s="321"/>
      <c r="AP809" s="321"/>
      <c r="AQ809" s="321"/>
      <c r="AR809" s="321"/>
      <c r="AS809" s="321"/>
      <c r="AT809" s="321"/>
      <c r="AU809" s="321"/>
      <c r="AV809" s="321"/>
      <c r="AW809" s="321"/>
      <c r="AX809" s="321"/>
      <c r="AY809" s="321"/>
      <c r="AZ809" s="321"/>
      <c r="BA809" s="321"/>
      <c r="BB809" s="306"/>
      <c r="BF809" s="1119"/>
      <c r="BG809" s="1119"/>
      <c r="BH809" s="1119"/>
    </row>
    <row r="810" spans="1:60" ht="14.25">
      <c r="A810" s="318" t="s">
        <v>3288</v>
      </c>
      <c r="B810" s="976" t="s">
        <v>2007</v>
      </c>
      <c r="C810" s="318">
        <f>+$C$808+$G$809</f>
        <v>30772</v>
      </c>
      <c r="D810" s="976"/>
      <c r="E810" s="976"/>
      <c r="F810" s="326">
        <v>0</v>
      </c>
      <c r="G810" s="326"/>
      <c r="H810" s="976" t="s">
        <v>651</v>
      </c>
      <c r="I810" s="319" t="s">
        <v>2016</v>
      </c>
      <c r="J810" s="320"/>
      <c r="K810" s="976"/>
      <c r="L810" s="976" t="s">
        <v>231</v>
      </c>
      <c r="M810" s="976" t="s">
        <v>2028</v>
      </c>
      <c r="N810" s="976" t="s">
        <v>145</v>
      </c>
      <c r="O810" s="976" t="s">
        <v>140</v>
      </c>
      <c r="P810" s="976"/>
      <c r="Q810" s="326">
        <v>0</v>
      </c>
      <c r="R810" s="326">
        <v>0</v>
      </c>
      <c r="S810" s="327"/>
      <c r="T810" s="976">
        <v>35</v>
      </c>
      <c r="U810" s="976">
        <v>-10</v>
      </c>
      <c r="V810" s="976"/>
      <c r="W810" s="976">
        <v>1.4</v>
      </c>
      <c r="X810" s="976">
        <v>2.2999999999999998</v>
      </c>
      <c r="Y810" s="976"/>
      <c r="Z810" s="976"/>
      <c r="AA810" s="976">
        <v>0.45</v>
      </c>
      <c r="AB810" s="976"/>
      <c r="AC810" s="976" t="s">
        <v>1704</v>
      </c>
      <c r="AD810" s="976"/>
      <c r="AE810" s="976"/>
      <c r="AF810" s="976">
        <v>5200</v>
      </c>
      <c r="AG810" s="320">
        <v>30771.93</v>
      </c>
      <c r="AH810" s="976">
        <v>3075</v>
      </c>
      <c r="AI810" s="976">
        <v>12</v>
      </c>
      <c r="AJ810" s="976" t="s">
        <v>3248</v>
      </c>
      <c r="AK810" s="976"/>
      <c r="AL810" s="976"/>
      <c r="AM810" s="976" t="s">
        <v>1228</v>
      </c>
      <c r="AN810" s="321">
        <v>5.5</v>
      </c>
      <c r="AO810" s="321"/>
      <c r="AP810" s="321"/>
      <c r="AQ810" s="321"/>
      <c r="AR810" s="321"/>
      <c r="AS810" s="321"/>
      <c r="AT810" s="321">
        <f>+ab($T$810,$T$804,$T$812,$G$805,$G$811, 1*$F$810,1200)</f>
        <v>15.50088886693011</v>
      </c>
      <c r="AU810" s="321"/>
      <c r="AV810" s="321"/>
      <c r="AW810" s="321" t="s">
        <v>699</v>
      </c>
      <c r="AX810" s="321" t="s">
        <v>699</v>
      </c>
      <c r="AY810" s="321" t="s">
        <v>699</v>
      </c>
      <c r="AZ810" s="321" t="s">
        <v>699</v>
      </c>
      <c r="BA810" s="321"/>
      <c r="BB810" s="306"/>
      <c r="BF810" s="1119"/>
      <c r="BG810" s="1119"/>
      <c r="BH810" s="1119"/>
    </row>
    <row r="811" spans="1:60" ht="14.25">
      <c r="A811" s="318" t="s">
        <v>1856</v>
      </c>
      <c r="B811" s="976"/>
      <c r="C811" s="318"/>
      <c r="D811" s="976"/>
      <c r="E811" s="976"/>
      <c r="F811" s="326"/>
      <c r="G811" s="326">
        <v>47</v>
      </c>
      <c r="H811" s="976"/>
      <c r="I811" s="319"/>
      <c r="J811" s="320"/>
      <c r="K811" s="976"/>
      <c r="L811" s="976"/>
      <c r="M811" s="976"/>
      <c r="N811" s="976"/>
      <c r="O811" s="976"/>
      <c r="P811" s="976"/>
      <c r="Q811" s="326"/>
      <c r="R811" s="327"/>
      <c r="S811" s="1073">
        <f>+AG812-AG810</f>
        <v>47.061999999998079</v>
      </c>
      <c r="T811" s="976"/>
      <c r="U811" s="976"/>
      <c r="V811" s="976"/>
      <c r="W811" s="976"/>
      <c r="X811" s="976"/>
      <c r="Y811" s="976"/>
      <c r="Z811" s="976"/>
      <c r="AA811" s="976"/>
      <c r="AB811" s="976"/>
      <c r="AC811" s="976"/>
      <c r="AD811" s="976"/>
      <c r="AE811" s="976"/>
      <c r="AF811" s="976"/>
      <c r="AG811" s="320"/>
      <c r="AH811" s="976"/>
      <c r="AI811" s="976"/>
      <c r="AJ811" s="976"/>
      <c r="AK811" s="976"/>
      <c r="AL811" s="976"/>
      <c r="AM811" s="976"/>
      <c r="AN811" s="321"/>
      <c r="AO811" s="321"/>
      <c r="AP811" s="321"/>
      <c r="AQ811" s="321">
        <f>+FL_1($U$812,$T$810,$G$811,1200,9.28, 1*$F$812)</f>
        <v>0.35695465849645375</v>
      </c>
      <c r="AR811" s="321"/>
      <c r="AS811" s="321"/>
      <c r="AT811" s="321"/>
      <c r="AU811" s="321"/>
      <c r="AV811" s="321"/>
      <c r="AW811" s="321"/>
      <c r="AX811" s="321"/>
      <c r="AY811" s="321"/>
      <c r="AZ811" s="321"/>
      <c r="BA811" s="321"/>
      <c r="BB811" s="306"/>
      <c r="BF811" s="1119"/>
      <c r="BG811" s="1119"/>
      <c r="BH811" s="1119"/>
    </row>
    <row r="812" spans="1:60" ht="14.25">
      <c r="A812" s="318"/>
      <c r="B812" s="976" t="s">
        <v>2008</v>
      </c>
      <c r="C812" s="318">
        <f>+$C$810+$G$811</f>
        <v>30819</v>
      </c>
      <c r="D812" s="976"/>
      <c r="E812" s="976"/>
      <c r="F812" s="326">
        <v>0</v>
      </c>
      <c r="G812" s="326"/>
      <c r="H812" s="976" t="s">
        <v>651</v>
      </c>
      <c r="I812" s="319"/>
      <c r="J812" s="320"/>
      <c r="K812" s="976"/>
      <c r="L812" s="976" t="s">
        <v>231</v>
      </c>
      <c r="M812" s="976" t="s">
        <v>2028</v>
      </c>
      <c r="N812" s="976" t="s">
        <v>140</v>
      </c>
      <c r="O812" s="976" t="s">
        <v>145</v>
      </c>
      <c r="P812" s="976"/>
      <c r="Q812" s="326">
        <v>0</v>
      </c>
      <c r="R812" s="326">
        <v>0</v>
      </c>
      <c r="S812" s="1073"/>
      <c r="T812" s="976">
        <v>10</v>
      </c>
      <c r="U812" s="976">
        <v>-35</v>
      </c>
      <c r="V812" s="976"/>
      <c r="W812" s="976">
        <v>1.4</v>
      </c>
      <c r="X812" s="976">
        <v>2.2999999999999998</v>
      </c>
      <c r="Y812" s="976"/>
      <c r="Z812" s="976">
        <v>0.45</v>
      </c>
      <c r="AA812" s="976"/>
      <c r="AB812" s="976"/>
      <c r="AC812" s="976"/>
      <c r="AD812" s="976" t="s">
        <v>1704</v>
      </c>
      <c r="AE812" s="976"/>
      <c r="AF812" s="976">
        <v>5200</v>
      </c>
      <c r="AG812" s="320">
        <v>30818.991999999998</v>
      </c>
      <c r="AH812" s="976">
        <v>3147</v>
      </c>
      <c r="AI812" s="976">
        <v>-98</v>
      </c>
      <c r="AJ812" s="976"/>
      <c r="AK812" s="976"/>
      <c r="AL812" s="976"/>
      <c r="AM812" s="976" t="s">
        <v>1228</v>
      </c>
      <c r="AN812" s="321">
        <v>5.5</v>
      </c>
      <c r="AO812" s="321"/>
      <c r="AP812" s="321"/>
      <c r="AQ812" s="321"/>
      <c r="AR812" s="321"/>
      <c r="AS812" s="321"/>
      <c r="AT812" s="321">
        <f>+ab($U$812,$U$810,$U$818,$G$811,$G$817, 1*$F$812,1200)</f>
        <v>-15.500991506580739</v>
      </c>
      <c r="AU812" s="321"/>
      <c r="AV812" s="321"/>
      <c r="AW812" s="321" t="s">
        <v>699</v>
      </c>
      <c r="AX812" s="321" t="s">
        <v>699</v>
      </c>
      <c r="AY812" s="321" t="s">
        <v>699</v>
      </c>
      <c r="AZ812" s="321" t="s">
        <v>699</v>
      </c>
      <c r="BA812" s="321"/>
      <c r="BB812" s="306"/>
      <c r="BF812" s="1119"/>
      <c r="BG812" s="1119"/>
      <c r="BH812" s="1119"/>
    </row>
    <row r="813" spans="1:60" ht="14.25">
      <c r="A813" s="318" t="s">
        <v>1860</v>
      </c>
      <c r="B813" s="976"/>
      <c r="C813" s="318"/>
      <c r="D813" s="976"/>
      <c r="E813" s="976"/>
      <c r="F813" s="326"/>
      <c r="G813" s="326">
        <v>5</v>
      </c>
      <c r="H813" s="976"/>
      <c r="I813" s="319"/>
      <c r="J813" s="320"/>
      <c r="K813" s="976"/>
      <c r="L813" s="976"/>
      <c r="M813" s="976"/>
      <c r="N813" s="976"/>
      <c r="O813" s="976"/>
      <c r="P813" s="976"/>
      <c r="Q813" s="326"/>
      <c r="R813" s="327"/>
      <c r="S813" s="1073">
        <f>+AG818-AG812</f>
        <v>48.458000000002357</v>
      </c>
      <c r="T813" s="976"/>
      <c r="U813" s="976"/>
      <c r="V813" s="976"/>
      <c r="W813" s="976"/>
      <c r="X813" s="976"/>
      <c r="Y813" s="976"/>
      <c r="Z813" s="976"/>
      <c r="AA813" s="976"/>
      <c r="AB813" s="976"/>
      <c r="AC813" s="976"/>
      <c r="AD813" s="976"/>
      <c r="AE813" s="976"/>
      <c r="AF813" s="976"/>
      <c r="AG813" s="320"/>
      <c r="AH813" s="976"/>
      <c r="AI813" s="976"/>
      <c r="AJ813" s="976"/>
      <c r="AK813" s="976"/>
      <c r="AL813" s="976"/>
      <c r="AM813" s="976"/>
      <c r="AN813" s="321"/>
      <c r="AO813" s="321"/>
      <c r="AP813" s="321"/>
      <c r="AQ813" s="321">
        <f>+FL_1($T$818,$U$812,$G$813+42,1200,9.28, 1*$F$814)</f>
        <v>0.35695465849645386</v>
      </c>
      <c r="AR813" s="321"/>
      <c r="AS813" s="321"/>
      <c r="AT813" s="321"/>
      <c r="AU813" s="321"/>
      <c r="AV813" s="321"/>
      <c r="AW813" s="321"/>
      <c r="AX813" s="321"/>
      <c r="AY813" s="321"/>
      <c r="AZ813" s="321"/>
      <c r="BA813" s="321"/>
      <c r="BB813" s="306"/>
      <c r="BF813" s="1119"/>
      <c r="BG813" s="1119"/>
      <c r="BH813" s="1119"/>
    </row>
    <row r="814" spans="1:60" ht="14.25">
      <c r="A814" s="318" t="s">
        <v>3290</v>
      </c>
      <c r="B814" s="976" t="s">
        <v>2009</v>
      </c>
      <c r="C814" s="318">
        <f>+$C$812+$G$813</f>
        <v>30824</v>
      </c>
      <c r="D814" s="976"/>
      <c r="E814" s="976"/>
      <c r="F814" s="326">
        <v>0</v>
      </c>
      <c r="G814" s="326"/>
      <c r="H814" s="976"/>
      <c r="I814" s="319"/>
      <c r="J814" s="320"/>
      <c r="K814" s="976"/>
      <c r="L814" s="976" t="s">
        <v>230</v>
      </c>
      <c r="M814" s="976" t="s">
        <v>2031</v>
      </c>
      <c r="N814" s="976"/>
      <c r="O814" s="976"/>
      <c r="P814" s="976"/>
      <c r="Q814" s="326"/>
      <c r="R814" s="327"/>
      <c r="S814" s="327"/>
      <c r="T814" s="976"/>
      <c r="U814" s="976"/>
      <c r="V814" s="976"/>
      <c r="W814" s="976"/>
      <c r="X814" s="976"/>
      <c r="Y814" s="976"/>
      <c r="Z814" s="976"/>
      <c r="AA814" s="976"/>
      <c r="AB814" s="976"/>
      <c r="AC814" s="976"/>
      <c r="AD814" s="976"/>
      <c r="AE814" s="976"/>
      <c r="AF814" s="976"/>
      <c r="AG814" s="320"/>
      <c r="AH814" s="976"/>
      <c r="AI814" s="976"/>
      <c r="AJ814" s="976" t="s">
        <v>3248</v>
      </c>
      <c r="AK814" s="976"/>
      <c r="AL814" s="976"/>
      <c r="AM814" s="976" t="s">
        <v>1228</v>
      </c>
      <c r="AN814" s="321"/>
      <c r="AO814" s="321"/>
      <c r="AP814" s="321"/>
      <c r="AQ814" s="321"/>
      <c r="AR814" s="321"/>
      <c r="AS814" s="321"/>
      <c r="AT814" s="321"/>
      <c r="AU814" s="321"/>
      <c r="AV814" s="321"/>
      <c r="AW814" s="321" t="s">
        <v>699</v>
      </c>
      <c r="AX814" s="321" t="s">
        <v>699</v>
      </c>
      <c r="AY814" s="321" t="s">
        <v>699</v>
      </c>
      <c r="AZ814" s="321" t="s">
        <v>699</v>
      </c>
      <c r="BA814" s="321"/>
      <c r="BB814" s="306"/>
      <c r="BF814" s="1119"/>
      <c r="BG814" s="1119"/>
      <c r="BH814" s="1119"/>
    </row>
    <row r="815" spans="1:60" ht="14.25">
      <c r="A815" s="318"/>
      <c r="B815" s="976"/>
      <c r="C815" s="318"/>
      <c r="D815" s="976"/>
      <c r="E815" s="976"/>
      <c r="F815" s="326"/>
      <c r="G815" s="326">
        <v>5</v>
      </c>
      <c r="H815" s="976"/>
      <c r="I815" s="319"/>
      <c r="J815" s="320"/>
      <c r="K815" s="976"/>
      <c r="L815" s="976"/>
      <c r="M815" s="976"/>
      <c r="N815" s="976"/>
      <c r="O815" s="976"/>
      <c r="P815" s="976"/>
      <c r="Q815" s="326"/>
      <c r="R815" s="327"/>
      <c r="S815" s="327"/>
      <c r="T815" s="976"/>
      <c r="U815" s="976"/>
      <c r="V815" s="976"/>
      <c r="W815" s="976"/>
      <c r="X815" s="976"/>
      <c r="Y815" s="976"/>
      <c r="Z815" s="976"/>
      <c r="AA815" s="976"/>
      <c r="AB815" s="976"/>
      <c r="AC815" s="976"/>
      <c r="AD815" s="976"/>
      <c r="AE815" s="976"/>
      <c r="AF815" s="976"/>
      <c r="AG815" s="320"/>
      <c r="AH815" s="976"/>
      <c r="AI815" s="976"/>
      <c r="AJ815" s="976" t="s">
        <v>1593</v>
      </c>
      <c r="AK815" s="976"/>
      <c r="AL815" s="976"/>
      <c r="AM815" s="976"/>
      <c r="AN815" s="321"/>
      <c r="AO815" s="321"/>
      <c r="AP815" s="321"/>
      <c r="AQ815" s="321"/>
      <c r="AR815" s="321"/>
      <c r="AS815" s="321"/>
      <c r="AT815" s="321"/>
      <c r="AU815" s="321"/>
      <c r="AV815" s="321"/>
      <c r="AW815" s="321"/>
      <c r="AX815" s="321"/>
      <c r="AY815" s="321"/>
      <c r="AZ815" s="321"/>
      <c r="BA815" s="321"/>
      <c r="BB815" s="306"/>
      <c r="BF815" s="1119"/>
      <c r="BG815" s="1119"/>
      <c r="BH815" s="1119"/>
    </row>
    <row r="816" spans="1:60" ht="14.25">
      <c r="A816" s="318" t="s">
        <v>3291</v>
      </c>
      <c r="B816" s="976" t="s">
        <v>2010</v>
      </c>
      <c r="C816" s="318">
        <f>+$C$814+$G$815</f>
        <v>30829</v>
      </c>
      <c r="D816" s="976"/>
      <c r="E816" s="976"/>
      <c r="F816" s="326">
        <v>0</v>
      </c>
      <c r="G816" s="326"/>
      <c r="H816" s="976"/>
      <c r="I816" s="319"/>
      <c r="J816" s="320"/>
      <c r="K816" s="976"/>
      <c r="L816" s="976" t="s">
        <v>230</v>
      </c>
      <c r="M816" s="976" t="s">
        <v>2031</v>
      </c>
      <c r="N816" s="976"/>
      <c r="O816" s="976"/>
      <c r="P816" s="976"/>
      <c r="Q816" s="326"/>
      <c r="R816" s="327"/>
      <c r="S816" s="327"/>
      <c r="T816" s="976"/>
      <c r="U816" s="976"/>
      <c r="V816" s="976"/>
      <c r="W816" s="976"/>
      <c r="X816" s="976"/>
      <c r="Y816" s="976"/>
      <c r="Z816" s="976"/>
      <c r="AA816" s="976"/>
      <c r="AB816" s="976"/>
      <c r="AC816" s="976"/>
      <c r="AD816" s="976"/>
      <c r="AE816" s="976"/>
      <c r="AF816" s="976"/>
      <c r="AG816" s="320"/>
      <c r="AH816" s="976"/>
      <c r="AI816" s="976"/>
      <c r="AJ816" s="976" t="s">
        <v>967</v>
      </c>
      <c r="AK816" s="976"/>
      <c r="AL816" s="976"/>
      <c r="AM816" s="976" t="s">
        <v>1228</v>
      </c>
      <c r="AN816" s="321"/>
      <c r="AO816" s="321"/>
      <c r="AP816" s="321"/>
      <c r="AQ816" s="321"/>
      <c r="AR816" s="321"/>
      <c r="AS816" s="321"/>
      <c r="AT816" s="321"/>
      <c r="AU816" s="321"/>
      <c r="AV816" s="321"/>
      <c r="AW816" s="321" t="s">
        <v>699</v>
      </c>
      <c r="AX816" s="321" t="s">
        <v>699</v>
      </c>
      <c r="AY816" s="321" t="s">
        <v>699</v>
      </c>
      <c r="AZ816" s="321" t="s">
        <v>699</v>
      </c>
      <c r="BA816" s="321"/>
      <c r="BB816" s="306"/>
      <c r="BF816" s="1119"/>
      <c r="BG816" s="1119"/>
      <c r="BH816" s="1119"/>
    </row>
    <row r="817" spans="1:60" ht="14.25">
      <c r="A817" s="318"/>
      <c r="B817" s="976"/>
      <c r="C817" s="318"/>
      <c r="D817" s="976"/>
      <c r="E817" s="976"/>
      <c r="F817" s="326"/>
      <c r="G817" s="326">
        <v>37</v>
      </c>
      <c r="H817" s="976"/>
      <c r="I817" s="319"/>
      <c r="J817" s="320"/>
      <c r="K817" s="976"/>
      <c r="L817" s="976"/>
      <c r="M817" s="976"/>
      <c r="N817" s="976"/>
      <c r="O817" s="976"/>
      <c r="P817" s="976"/>
      <c r="Q817" s="326"/>
      <c r="R817" s="327"/>
      <c r="S817" s="327"/>
      <c r="T817" s="976"/>
      <c r="U817" s="976"/>
      <c r="V817" s="976"/>
      <c r="W817" s="976"/>
      <c r="X817" s="976"/>
      <c r="Y817" s="976"/>
      <c r="Z817" s="976"/>
      <c r="AA817" s="976"/>
      <c r="AB817" s="976"/>
      <c r="AC817" s="976"/>
      <c r="AD817" s="976"/>
      <c r="AE817" s="976"/>
      <c r="AF817" s="976"/>
      <c r="AG817" s="320"/>
      <c r="AH817" s="976"/>
      <c r="AI817" s="976"/>
      <c r="AJ817" s="976" t="s">
        <v>1590</v>
      </c>
      <c r="AK817" s="976"/>
      <c r="AL817" s="976"/>
      <c r="AM817" s="976"/>
      <c r="AN817" s="321"/>
      <c r="AO817" s="321"/>
      <c r="AP817" s="321"/>
      <c r="AQ817" s="321"/>
      <c r="AR817" s="321"/>
      <c r="AS817" s="321"/>
      <c r="AT817" s="321"/>
      <c r="AU817" s="321"/>
      <c r="AV817" s="321"/>
      <c r="AW817" s="321"/>
      <c r="AX817" s="321"/>
      <c r="AY817" s="321"/>
      <c r="AZ817" s="321"/>
      <c r="BA817" s="321"/>
      <c r="BB817" s="306"/>
      <c r="BF817" s="1119"/>
      <c r="BG817" s="1119"/>
      <c r="BH817" s="1119"/>
    </row>
    <row r="818" spans="1:60" ht="14.25">
      <c r="A818" s="318" t="s">
        <v>3293</v>
      </c>
      <c r="B818" s="976" t="s">
        <v>2011</v>
      </c>
      <c r="C818" s="318">
        <f>+$C$816+$G$817</f>
        <v>30866</v>
      </c>
      <c r="D818" s="976"/>
      <c r="E818" s="976"/>
      <c r="F818" s="326">
        <f>-560000/(C818-30775)</f>
        <v>-6153.8461538461543</v>
      </c>
      <c r="G818" s="326"/>
      <c r="H818" s="976" t="s">
        <v>651</v>
      </c>
      <c r="I818" s="319" t="s">
        <v>2016</v>
      </c>
      <c r="J818" s="320"/>
      <c r="K818" s="976" t="s">
        <v>1060</v>
      </c>
      <c r="L818" s="977" t="s">
        <v>2957</v>
      </c>
      <c r="M818" s="977" t="s">
        <v>2029</v>
      </c>
      <c r="N818" s="976" t="s">
        <v>144</v>
      </c>
      <c r="O818" s="976" t="s">
        <v>140</v>
      </c>
      <c r="P818" s="976"/>
      <c r="Q818" s="326">
        <v>-33</v>
      </c>
      <c r="R818" s="327">
        <v>8300</v>
      </c>
      <c r="S818" s="327"/>
      <c r="T818" s="976">
        <v>35</v>
      </c>
      <c r="U818" s="976">
        <v>-10</v>
      </c>
      <c r="V818" s="976"/>
      <c r="W818" s="976">
        <v>1.4</v>
      </c>
      <c r="X818" s="976">
        <v>1.7</v>
      </c>
      <c r="Y818" s="976"/>
      <c r="Z818" s="976"/>
      <c r="AA818" s="976">
        <v>0.45</v>
      </c>
      <c r="AB818" s="976"/>
      <c r="AC818" s="976" t="s">
        <v>1704</v>
      </c>
      <c r="AD818" s="976"/>
      <c r="AE818" s="976"/>
      <c r="AF818" s="976">
        <v>4300</v>
      </c>
      <c r="AG818" s="320">
        <v>30867.45</v>
      </c>
      <c r="AH818" s="976">
        <v>2331</v>
      </c>
      <c r="AI818" s="976">
        <v>-1166</v>
      </c>
      <c r="AJ818" s="976" t="s">
        <v>3248</v>
      </c>
      <c r="AK818" s="976"/>
      <c r="AL818" s="976"/>
      <c r="AM818" s="976" t="s">
        <v>1228</v>
      </c>
      <c r="AN818" s="321">
        <v>5.46</v>
      </c>
      <c r="AO818" s="321"/>
      <c r="AP818" s="321"/>
      <c r="AQ818" s="321"/>
      <c r="AR818" s="321"/>
      <c r="AS818" s="321"/>
      <c r="AT818" s="321">
        <f>+ab($T$818,$T$812,$T$820,$G$817,$G$819, 1*$F$818,1200)</f>
        <v>19.329013530422799</v>
      </c>
      <c r="AU818" s="321"/>
      <c r="AV818" s="321"/>
      <c r="AW818" s="321" t="s">
        <v>699</v>
      </c>
      <c r="AX818" s="321" t="s">
        <v>699</v>
      </c>
      <c r="AY818" s="321" t="s">
        <v>699</v>
      </c>
      <c r="AZ818" s="321" t="s">
        <v>699</v>
      </c>
      <c r="BA818" s="321"/>
      <c r="BB818" s="306"/>
      <c r="BF818" s="1119"/>
      <c r="BG818" s="1119"/>
      <c r="BH818" s="1119"/>
    </row>
    <row r="819" spans="1:60" ht="14.25">
      <c r="A819" s="318"/>
      <c r="B819" s="1074" t="s">
        <v>2958</v>
      </c>
      <c r="C819" s="320" t="s">
        <v>2961</v>
      </c>
      <c r="D819" s="976"/>
      <c r="E819" s="976"/>
      <c r="F819" s="326"/>
      <c r="G819" s="327">
        <v>54</v>
      </c>
      <c r="H819" s="337"/>
      <c r="I819" s="376" t="s">
        <v>1226</v>
      </c>
      <c r="J819" s="414"/>
      <c r="K819" s="976" t="s">
        <v>1060</v>
      </c>
      <c r="L819" s="977" t="s">
        <v>2957</v>
      </c>
      <c r="M819" s="977" t="s">
        <v>2029</v>
      </c>
      <c r="N819" s="337"/>
      <c r="O819" s="337"/>
      <c r="P819" s="337"/>
      <c r="Q819" s="976">
        <v>-34</v>
      </c>
      <c r="R819" s="327">
        <v>8300</v>
      </c>
      <c r="S819" s="1073">
        <f>AG820-AG818</f>
        <v>57.569999999999709</v>
      </c>
      <c r="T819" s="976"/>
      <c r="U819" s="976"/>
      <c r="V819" s="976"/>
      <c r="W819" s="976"/>
      <c r="X819" s="976"/>
      <c r="Y819" s="976"/>
      <c r="Z819" s="976"/>
      <c r="AA819" s="976"/>
      <c r="AB819" s="976"/>
      <c r="AC819" s="976"/>
      <c r="AD819" s="976"/>
      <c r="AE819" s="976"/>
      <c r="AF819" s="976">
        <v>4300</v>
      </c>
      <c r="AG819" s="320">
        <v>30870.28</v>
      </c>
      <c r="AH819" s="976">
        <v>2320</v>
      </c>
      <c r="AI819" s="976">
        <v>-1117</v>
      </c>
      <c r="AJ819" s="976" t="s">
        <v>1603</v>
      </c>
      <c r="AK819" s="976"/>
      <c r="AL819" s="976"/>
      <c r="AM819" s="976"/>
      <c r="AN819" s="321"/>
      <c r="AO819" s="379"/>
      <c r="AP819" s="379"/>
      <c r="AQ819" s="379">
        <f>+FL_1($T$820,$T$818,$G$819,1200,9.28, 1*$F$820)</f>
        <v>0.50150823029418401</v>
      </c>
      <c r="AR819" s="379"/>
      <c r="AS819" s="379"/>
      <c r="AT819" s="379"/>
      <c r="AU819" s="379"/>
      <c r="AV819" s="379"/>
      <c r="AW819" s="374"/>
      <c r="AX819" s="374"/>
      <c r="AY819" s="374"/>
      <c r="AZ819" s="374"/>
      <c r="BA819" s="374"/>
      <c r="BB819" s="306"/>
      <c r="BF819" s="1119"/>
      <c r="BG819" s="1119"/>
      <c r="BH819" s="1119"/>
    </row>
    <row r="820" spans="1:60" ht="14.25">
      <c r="A820" s="378" t="s">
        <v>2012</v>
      </c>
      <c r="B820" s="406" t="s">
        <v>2013</v>
      </c>
      <c r="C820" s="377">
        <f>+$C$818+$G$819</f>
        <v>30920</v>
      </c>
      <c r="D820" s="374"/>
      <c r="E820" s="374"/>
      <c r="F820" s="407">
        <f>-560000/(C820-30775)</f>
        <v>-3862.0689655172414</v>
      </c>
      <c r="G820" s="408"/>
      <c r="H820" s="376" t="s">
        <v>138</v>
      </c>
      <c r="I820" s="376" t="s">
        <v>912</v>
      </c>
      <c r="J820" s="409">
        <f>C820-10</f>
        <v>30910</v>
      </c>
      <c r="K820" s="374" t="s">
        <v>1055</v>
      </c>
      <c r="L820" s="374" t="s">
        <v>239</v>
      </c>
      <c r="M820" s="374"/>
      <c r="N820" s="376" t="s">
        <v>673</v>
      </c>
      <c r="O820" s="376"/>
      <c r="P820" s="376"/>
      <c r="Q820" s="374">
        <v>-50</v>
      </c>
      <c r="R820" s="408">
        <v>-4000</v>
      </c>
      <c r="S820" s="408"/>
      <c r="T820" s="374">
        <v>-20</v>
      </c>
      <c r="U820" s="374"/>
      <c r="V820" s="374"/>
      <c r="W820" s="374">
        <v>1.1000000000000001</v>
      </c>
      <c r="X820" s="374"/>
      <c r="Y820" s="374"/>
      <c r="Z820" s="374"/>
      <c r="AA820" s="374"/>
      <c r="AB820" s="374"/>
      <c r="AC820" s="374" t="s">
        <v>2963</v>
      </c>
      <c r="AD820" s="374"/>
      <c r="AE820" s="374"/>
      <c r="AF820" s="374"/>
      <c r="AG820" s="367">
        <v>30925.02</v>
      </c>
      <c r="AH820" s="374"/>
      <c r="AI820" s="374"/>
      <c r="AJ820" s="374" t="s">
        <v>1593</v>
      </c>
      <c r="AK820" s="374"/>
      <c r="AL820" s="374"/>
      <c r="AM820" s="374" t="s">
        <v>2021</v>
      </c>
      <c r="AN820" s="379">
        <v>5.38</v>
      </c>
      <c r="AO820" s="379"/>
      <c r="AP820" s="379"/>
      <c r="AQ820" s="379"/>
      <c r="AR820" s="379"/>
      <c r="AS820" s="379"/>
      <c r="AT820" s="379">
        <f>+ab($T$800,$T$798,$T$802,$G$799,$G$801, 1*$F$800,1200)</f>
        <v>-6.5279479423009876</v>
      </c>
      <c r="AU820" s="379"/>
      <c r="AV820" s="379"/>
      <c r="AW820" s="374" t="s">
        <v>699</v>
      </c>
      <c r="AX820" s="374" t="s">
        <v>699</v>
      </c>
      <c r="AY820" s="374" t="s">
        <v>699</v>
      </c>
      <c r="AZ820" s="374" t="s">
        <v>699</v>
      </c>
      <c r="BA820" s="374"/>
      <c r="BB820" s="306"/>
      <c r="BF820" s="1119"/>
      <c r="BG820" s="1119"/>
      <c r="BH820" s="1119"/>
    </row>
    <row r="821" spans="1:60" ht="14.25">
      <c r="A821" s="378"/>
      <c r="B821" s="406"/>
      <c r="C821" s="377"/>
      <c r="D821" s="374"/>
      <c r="E821" s="374"/>
      <c r="F821" s="407"/>
      <c r="G821" s="408"/>
      <c r="H821" s="376"/>
      <c r="I821" s="376" t="s">
        <v>1226</v>
      </c>
      <c r="J821" s="409"/>
      <c r="K821" s="374"/>
      <c r="L821" s="374"/>
      <c r="M821" s="374"/>
      <c r="N821" s="376"/>
      <c r="O821" s="376"/>
      <c r="P821" s="376"/>
      <c r="Q821" s="374"/>
      <c r="R821" s="408"/>
      <c r="S821" s="408"/>
      <c r="T821" s="374"/>
      <c r="U821" s="374"/>
      <c r="V821" s="374"/>
      <c r="W821" s="374"/>
      <c r="X821" s="374"/>
      <c r="Y821" s="374"/>
      <c r="Z821" s="374"/>
      <c r="AA821" s="374"/>
      <c r="AB821" s="374"/>
      <c r="AC821" s="374"/>
      <c r="AD821" s="374"/>
      <c r="AE821" s="374"/>
      <c r="AF821" s="374"/>
      <c r="AG821" s="374"/>
      <c r="AH821" s="374"/>
      <c r="AI821" s="374"/>
      <c r="AJ821" s="374"/>
      <c r="AK821" s="374"/>
      <c r="AL821" s="374"/>
      <c r="AM821" s="374"/>
      <c r="AN821" s="379"/>
      <c r="AO821" s="379"/>
      <c r="AP821" s="379"/>
      <c r="AQ821" s="379"/>
      <c r="AR821" s="379"/>
      <c r="AS821" s="379"/>
      <c r="AT821" s="379"/>
      <c r="AU821" s="379"/>
      <c r="AV821" s="379"/>
      <c r="AW821" s="374"/>
      <c r="AX821" s="374"/>
      <c r="AY821" s="374"/>
      <c r="AZ821" s="374"/>
      <c r="BA821" s="374"/>
      <c r="BB821" s="306"/>
      <c r="BF821" s="1119"/>
      <c r="BG821" s="1119"/>
      <c r="BH821" s="1119"/>
    </row>
    <row r="822" spans="1:60" ht="14.25">
      <c r="A822" s="415"/>
      <c r="B822" s="416"/>
      <c r="C822" s="424"/>
      <c r="E822" s="418"/>
      <c r="F822" s="419"/>
      <c r="G822" s="420"/>
      <c r="H822" s="421"/>
      <c r="I822" s="421"/>
      <c r="J822" s="492"/>
      <c r="K822" s="418"/>
      <c r="L822" s="418"/>
      <c r="M822" s="418"/>
      <c r="N822" s="421"/>
      <c r="O822" s="421"/>
      <c r="P822" s="421"/>
      <c r="Q822" s="418"/>
      <c r="R822" s="419"/>
      <c r="S822" s="418"/>
      <c r="T822" s="418"/>
      <c r="U822" s="418"/>
      <c r="V822" s="418"/>
      <c r="W822" s="418"/>
      <c r="X822" s="418"/>
      <c r="Y822" s="418"/>
      <c r="Z822" s="418"/>
      <c r="AA822" s="418"/>
      <c r="AB822" s="418"/>
      <c r="AC822" s="418"/>
      <c r="AD822" s="418"/>
      <c r="AE822" s="418"/>
      <c r="AF822" s="418"/>
      <c r="AG822" s="418"/>
      <c r="AH822" s="418"/>
      <c r="AI822" s="418"/>
      <c r="AJ822" s="418"/>
      <c r="AK822" s="418"/>
      <c r="AL822" s="418"/>
      <c r="AM822" s="418"/>
      <c r="AN822" s="423"/>
      <c r="AO822" s="423"/>
      <c r="AP822" s="423"/>
      <c r="AQ822" s="423"/>
      <c r="AR822" s="423"/>
      <c r="AS822" s="423"/>
      <c r="AT822" s="423"/>
      <c r="AU822" s="423"/>
      <c r="AV822" s="423"/>
      <c r="AW822" s="418"/>
      <c r="AX822" s="418"/>
      <c r="AY822" s="418"/>
      <c r="BB822" s="306"/>
      <c r="BF822" s="1119"/>
      <c r="BG822" s="1119"/>
      <c r="BH822" s="1119"/>
    </row>
    <row r="823" spans="1:60" ht="15.75" customHeight="1">
      <c r="A823" s="492"/>
      <c r="B823" s="492"/>
      <c r="C823" s="492"/>
      <c r="D823" s="492"/>
      <c r="E823" s="492"/>
      <c r="F823" s="492"/>
      <c r="G823" s="492"/>
      <c r="H823" s="492"/>
      <c r="I823" s="492"/>
      <c r="J823" s="492"/>
      <c r="K823" s="418"/>
      <c r="L823" s="418"/>
      <c r="M823" s="418"/>
      <c r="N823" s="421"/>
      <c r="O823" s="421"/>
      <c r="P823" s="421"/>
      <c r="Q823" s="418"/>
      <c r="R823" s="419"/>
      <c r="S823" s="418"/>
      <c r="T823" s="418"/>
      <c r="U823" s="418"/>
      <c r="V823" s="418"/>
      <c r="W823" s="418"/>
      <c r="X823" s="418"/>
      <c r="Y823" s="418"/>
      <c r="Z823" s="418"/>
      <c r="AA823" s="418"/>
      <c r="AB823" s="418"/>
      <c r="AC823" s="418"/>
      <c r="AD823" s="418"/>
      <c r="AE823" s="418"/>
      <c r="AF823" s="418"/>
      <c r="AG823" s="418"/>
      <c r="AH823" s="418"/>
      <c r="AI823" s="418"/>
      <c r="AJ823" s="418"/>
      <c r="AK823" s="418"/>
      <c r="AL823" s="418"/>
      <c r="AM823" s="418"/>
      <c r="AN823" s="423"/>
      <c r="AO823" s="423"/>
      <c r="AP823" s="423"/>
      <c r="AQ823" s="423"/>
      <c r="AR823" s="423"/>
      <c r="AS823" s="423"/>
      <c r="AT823" s="423"/>
      <c r="AU823" s="423"/>
      <c r="AV823" s="423"/>
      <c r="AW823" s="418"/>
      <c r="AX823" s="418"/>
      <c r="AY823" s="418"/>
      <c r="BB823" s="306"/>
      <c r="BF823" s="1119"/>
      <c r="BG823" s="1119"/>
      <c r="BH823" s="1119"/>
    </row>
    <row r="824" spans="1:60" ht="15.75" customHeight="1">
      <c r="A824" s="492"/>
      <c r="B824" s="492"/>
      <c r="C824" s="492"/>
      <c r="D824" s="492"/>
      <c r="E824" s="492"/>
      <c r="F824" s="492"/>
      <c r="G824" s="492"/>
      <c r="H824" s="492"/>
      <c r="I824" s="492"/>
      <c r="J824" s="492"/>
      <c r="K824" s="418"/>
      <c r="L824" s="418"/>
      <c r="M824" s="418"/>
      <c r="N824" s="421"/>
      <c r="O824" s="421"/>
      <c r="P824" s="421"/>
      <c r="Q824" s="418"/>
      <c r="R824" s="419"/>
      <c r="S824" s="418"/>
      <c r="T824" s="418"/>
      <c r="U824" s="418"/>
      <c r="V824" s="418"/>
      <c r="W824" s="418"/>
      <c r="X824" s="418"/>
      <c r="Y824" s="418"/>
      <c r="Z824" s="418"/>
      <c r="AA824" s="418"/>
      <c r="AB824" s="418"/>
      <c r="AC824" s="418"/>
      <c r="AD824" s="418"/>
      <c r="AE824" s="418"/>
      <c r="AF824" s="418"/>
      <c r="AG824" s="418"/>
      <c r="AH824" s="418"/>
      <c r="AI824" s="418"/>
      <c r="AJ824" s="418"/>
      <c r="AK824" s="418"/>
      <c r="AL824" s="418"/>
      <c r="AM824" s="418"/>
      <c r="AN824" s="423"/>
      <c r="AO824" s="423"/>
      <c r="AP824" s="423"/>
      <c r="AQ824" s="423"/>
      <c r="AR824" s="423"/>
      <c r="AS824" s="423"/>
      <c r="AT824" s="423"/>
      <c r="AU824" s="423"/>
      <c r="AV824" s="423"/>
      <c r="AW824" s="418"/>
      <c r="AX824" s="418"/>
      <c r="AY824" s="418"/>
      <c r="BB824" s="306"/>
      <c r="BF824" s="1119"/>
      <c r="BG824" s="1119"/>
      <c r="BH824" s="1119"/>
    </row>
    <row r="825" spans="1:60" ht="15.75" customHeight="1">
      <c r="A825" s="492"/>
      <c r="B825" s="492"/>
      <c r="C825" s="492"/>
      <c r="D825" s="492"/>
      <c r="E825" s="492"/>
      <c r="F825" s="492"/>
      <c r="G825" s="492"/>
      <c r="H825" s="492"/>
      <c r="I825" s="492"/>
      <c r="J825" s="492"/>
      <c r="K825" s="418"/>
      <c r="L825" s="418"/>
      <c r="M825" s="418"/>
      <c r="N825" s="421"/>
      <c r="O825" s="421"/>
      <c r="P825" s="421"/>
      <c r="Q825" s="418"/>
      <c r="R825" s="419"/>
      <c r="S825" s="418"/>
      <c r="T825" s="418"/>
      <c r="U825" s="418"/>
      <c r="V825" s="418"/>
      <c r="W825" s="418"/>
      <c r="X825" s="418"/>
      <c r="Y825" s="418"/>
      <c r="Z825" s="418"/>
      <c r="AA825" s="418"/>
      <c r="AB825" s="418"/>
      <c r="AC825" s="418"/>
      <c r="AD825" s="418"/>
      <c r="AE825" s="418"/>
      <c r="AF825" s="418"/>
      <c r="AG825" s="418"/>
      <c r="AH825" s="418"/>
      <c r="AI825" s="418"/>
      <c r="AJ825" s="418"/>
      <c r="AK825" s="418"/>
      <c r="AL825" s="418"/>
      <c r="AM825" s="418"/>
      <c r="AN825" s="423"/>
      <c r="AO825" s="423"/>
      <c r="AP825" s="423"/>
      <c r="AQ825" s="423"/>
      <c r="AR825" s="423"/>
      <c r="AS825" s="423"/>
      <c r="AT825" s="423"/>
      <c r="AU825" s="423"/>
      <c r="AV825" s="423"/>
      <c r="AW825" s="418"/>
      <c r="AX825" s="418"/>
      <c r="AY825" s="418"/>
      <c r="BB825" s="306"/>
      <c r="BF825" s="1119"/>
      <c r="BG825" s="1119"/>
      <c r="BH825" s="1119"/>
    </row>
    <row r="826" spans="1:60" ht="15.75" customHeight="1">
      <c r="A826" s="492"/>
      <c r="B826" s="492"/>
      <c r="C826" s="492"/>
      <c r="D826" s="492"/>
      <c r="E826" s="492"/>
      <c r="F826" s="492"/>
      <c r="G826" s="492"/>
      <c r="H826" s="492"/>
      <c r="I826" s="492"/>
      <c r="J826" s="492"/>
      <c r="K826" s="418"/>
      <c r="L826" s="418"/>
      <c r="M826" s="418"/>
      <c r="N826" s="421"/>
      <c r="O826" s="421"/>
      <c r="P826" s="421"/>
      <c r="Q826" s="418"/>
      <c r="R826" s="419"/>
      <c r="S826" s="418"/>
      <c r="T826" s="418"/>
      <c r="U826" s="418"/>
      <c r="V826" s="418"/>
      <c r="W826" s="418"/>
      <c r="X826" s="418"/>
      <c r="Y826" s="418"/>
      <c r="Z826" s="418"/>
      <c r="AA826" s="418"/>
      <c r="AB826" s="418"/>
      <c r="AC826" s="418"/>
      <c r="AD826" s="418"/>
      <c r="AE826" s="418"/>
      <c r="AF826" s="418"/>
      <c r="AG826" s="418"/>
      <c r="AH826" s="418"/>
      <c r="AI826" s="418"/>
      <c r="AJ826" s="418"/>
      <c r="AK826" s="418"/>
      <c r="AL826" s="418"/>
      <c r="AM826" s="418"/>
      <c r="AN826" s="423"/>
      <c r="AO826" s="423"/>
      <c r="AP826" s="423"/>
      <c r="AQ826" s="423"/>
      <c r="AR826" s="423"/>
      <c r="AS826" s="423"/>
      <c r="AT826" s="423"/>
      <c r="AU826" s="423"/>
      <c r="AV826" s="423"/>
      <c r="AW826" s="418"/>
      <c r="AX826" s="418"/>
      <c r="AY826" s="418"/>
      <c r="BB826" s="306"/>
      <c r="BF826" s="1119"/>
      <c r="BG826" s="1119"/>
      <c r="BH826" s="1119"/>
    </row>
    <row r="827" spans="1:60" ht="15.75" customHeight="1">
      <c r="A827" s="492"/>
      <c r="B827" s="492"/>
      <c r="C827" s="492"/>
      <c r="D827" s="492"/>
      <c r="E827" s="492"/>
      <c r="F827" s="492"/>
      <c r="G827" s="492"/>
      <c r="H827" s="492"/>
      <c r="I827" s="492"/>
      <c r="J827" s="492"/>
      <c r="K827" s="418"/>
      <c r="L827" s="418"/>
      <c r="M827" s="418"/>
      <c r="N827" s="421"/>
      <c r="O827" s="421"/>
      <c r="P827" s="421"/>
      <c r="Q827" s="418"/>
      <c r="R827" s="419"/>
      <c r="S827" s="418"/>
      <c r="T827" s="418"/>
      <c r="U827" s="418"/>
      <c r="V827" s="418"/>
      <c r="W827" s="418"/>
      <c r="X827" s="418"/>
      <c r="Y827" s="418"/>
      <c r="Z827" s="418"/>
      <c r="AA827" s="418"/>
      <c r="AB827" s="418"/>
      <c r="AC827" s="418"/>
      <c r="AD827" s="418"/>
      <c r="AE827" s="418"/>
      <c r="AF827" s="418"/>
      <c r="AG827" s="418"/>
      <c r="AH827" s="418"/>
      <c r="AI827" s="418"/>
      <c r="AJ827" s="418"/>
      <c r="AK827" s="418"/>
      <c r="AL827" s="418"/>
      <c r="AM827" s="418"/>
      <c r="AN827" s="423"/>
      <c r="AO827" s="423"/>
      <c r="AP827" s="423"/>
      <c r="AQ827" s="423"/>
      <c r="AR827" s="423"/>
      <c r="AS827" s="423"/>
      <c r="AT827" s="423"/>
      <c r="AU827" s="423"/>
      <c r="AV827" s="423"/>
      <c r="AW827" s="418"/>
      <c r="AX827" s="418"/>
      <c r="AY827" s="418"/>
      <c r="BB827" s="306"/>
      <c r="BF827" s="1119"/>
      <c r="BG827" s="1119"/>
      <c r="BH827" s="1119"/>
    </row>
    <row r="828" spans="1:60" ht="15.75" customHeight="1">
      <c r="A828" s="415"/>
      <c r="B828" s="416"/>
      <c r="C828" s="424"/>
      <c r="E828" s="418"/>
      <c r="F828" s="419"/>
      <c r="G828" s="420"/>
      <c r="H828" s="421"/>
      <c r="I828" s="421"/>
      <c r="J828" s="492"/>
      <c r="K828" s="418"/>
      <c r="L828" s="418"/>
      <c r="M828" s="418"/>
      <c r="N828" s="421"/>
      <c r="O828" s="421"/>
      <c r="P828" s="421"/>
      <c r="Q828" s="418"/>
      <c r="R828" s="419"/>
      <c r="S828" s="418"/>
      <c r="T828" s="418"/>
      <c r="U828" s="418"/>
      <c r="V828" s="418"/>
      <c r="W828" s="418"/>
      <c r="X828" s="418"/>
      <c r="Y828" s="418"/>
      <c r="Z828" s="418"/>
      <c r="AA828" s="418"/>
      <c r="AB828" s="418"/>
      <c r="AC828" s="418"/>
      <c r="AD828" s="418"/>
      <c r="AE828" s="418"/>
      <c r="AF828" s="418"/>
      <c r="AG828" s="418"/>
      <c r="AH828" s="418"/>
      <c r="AI828" s="418"/>
      <c r="AJ828" s="418"/>
      <c r="AK828" s="418"/>
      <c r="AL828" s="418"/>
      <c r="AM828" s="418"/>
      <c r="AN828" s="423"/>
      <c r="AO828" s="423"/>
      <c r="AP828" s="423"/>
      <c r="AQ828" s="423"/>
      <c r="AR828" s="423"/>
      <c r="AS828" s="423"/>
      <c r="AT828" s="423"/>
      <c r="AU828" s="423"/>
      <c r="AV828" s="423"/>
      <c r="AW828" s="418"/>
      <c r="AX828" s="418"/>
      <c r="AY828" s="418"/>
      <c r="BB828" s="306"/>
      <c r="BF828" s="1119"/>
      <c r="BG828" s="1119"/>
      <c r="BH828" s="1119"/>
    </row>
    <row r="829" spans="1:60" ht="15.75" customHeight="1">
      <c r="A829" s="415"/>
      <c r="B829" s="416"/>
      <c r="C829" s="424"/>
      <c r="E829" s="418"/>
      <c r="F829" s="419"/>
      <c r="G829" s="420"/>
      <c r="H829" s="421"/>
      <c r="I829" s="421"/>
      <c r="J829" s="492"/>
      <c r="K829" s="418"/>
      <c r="L829" s="418"/>
      <c r="M829" s="418"/>
      <c r="N829" s="421"/>
      <c r="O829" s="421"/>
      <c r="P829" s="421"/>
      <c r="Q829" s="418"/>
      <c r="R829" s="419"/>
      <c r="S829" s="418"/>
      <c r="T829" s="418"/>
      <c r="U829" s="418"/>
      <c r="V829" s="418"/>
      <c r="W829" s="418"/>
      <c r="X829" s="418"/>
      <c r="Y829" s="418"/>
      <c r="Z829" s="418"/>
      <c r="AA829" s="418"/>
      <c r="AB829" s="418"/>
      <c r="AC829" s="418"/>
      <c r="AD829" s="418"/>
      <c r="AE829" s="418"/>
      <c r="AF829" s="418"/>
      <c r="AG829" s="418"/>
      <c r="AH829" s="418"/>
      <c r="AI829" s="418"/>
      <c r="AJ829" s="418"/>
      <c r="AK829" s="418"/>
      <c r="AL829" s="418"/>
      <c r="AM829" s="418"/>
      <c r="AN829" s="423"/>
      <c r="AO829" s="423"/>
      <c r="AP829" s="423"/>
      <c r="AQ829" s="423"/>
      <c r="AR829" s="423"/>
      <c r="AS829" s="423"/>
      <c r="AT829" s="423"/>
      <c r="AU829" s="423"/>
      <c r="AV829" s="423"/>
      <c r="AW829" s="418"/>
      <c r="AX829" s="418"/>
      <c r="AY829" s="418"/>
      <c r="BB829" s="306"/>
      <c r="BF829" s="1119"/>
      <c r="BG829" s="1119"/>
      <c r="BH829" s="1119"/>
    </row>
    <row r="830" spans="1:60" ht="15.75" customHeight="1">
      <c r="A830" s="415"/>
      <c r="B830" s="416"/>
      <c r="C830" s="424"/>
      <c r="E830" s="418"/>
      <c r="F830" s="419"/>
      <c r="G830" s="420"/>
      <c r="H830" s="421"/>
      <c r="I830" s="421"/>
      <c r="J830" s="492"/>
      <c r="K830" s="418"/>
      <c r="L830" s="418"/>
      <c r="M830" s="418"/>
      <c r="N830" s="421"/>
      <c r="O830" s="421"/>
      <c r="P830" s="421"/>
      <c r="Q830" s="418"/>
      <c r="R830" s="419"/>
      <c r="S830" s="418"/>
      <c r="T830" s="418"/>
      <c r="U830" s="418"/>
      <c r="V830" s="418"/>
      <c r="W830" s="418"/>
      <c r="X830" s="418"/>
      <c r="Y830" s="418"/>
      <c r="Z830" s="418"/>
      <c r="AA830" s="418"/>
      <c r="AB830" s="418"/>
      <c r="AC830" s="418"/>
      <c r="AD830" s="418"/>
      <c r="AE830" s="418"/>
      <c r="AF830" s="418"/>
      <c r="AG830" s="418"/>
      <c r="AH830" s="418"/>
      <c r="AI830" s="418"/>
      <c r="AJ830" s="418"/>
      <c r="AK830" s="418"/>
      <c r="AL830" s="418"/>
      <c r="AM830" s="418"/>
      <c r="AN830" s="423"/>
      <c r="AO830" s="423"/>
      <c r="AP830" s="423"/>
      <c r="AQ830" s="423"/>
      <c r="AR830" s="423"/>
      <c r="AS830" s="423"/>
      <c r="AT830" s="423"/>
      <c r="AU830" s="423"/>
      <c r="AV830" s="423"/>
      <c r="AW830" s="418"/>
      <c r="AX830" s="418"/>
      <c r="AY830" s="418"/>
      <c r="BB830" s="306"/>
      <c r="BF830" s="1119"/>
      <c r="BG830" s="1119"/>
      <c r="BH830" s="1119"/>
    </row>
    <row r="831" spans="1:60" ht="15.75" customHeight="1">
      <c r="A831" s="415"/>
      <c r="B831" s="416"/>
      <c r="C831" s="424"/>
      <c r="E831" s="418"/>
      <c r="F831" s="419"/>
      <c r="G831" s="420"/>
      <c r="H831" s="421"/>
      <c r="I831" s="421"/>
      <c r="J831" s="492"/>
      <c r="K831" s="418"/>
      <c r="L831" s="418"/>
      <c r="M831" s="418"/>
      <c r="N831" s="421"/>
      <c r="O831" s="421"/>
      <c r="P831" s="421"/>
      <c r="Q831" s="418"/>
      <c r="R831" s="419"/>
      <c r="S831" s="418"/>
      <c r="T831" s="418"/>
      <c r="U831" s="418"/>
      <c r="V831" s="418"/>
      <c r="W831" s="418"/>
      <c r="X831" s="418"/>
      <c r="Y831" s="418"/>
      <c r="Z831" s="418"/>
      <c r="AA831" s="418"/>
      <c r="AB831" s="418"/>
      <c r="AC831" s="418"/>
      <c r="AD831" s="418"/>
      <c r="AE831" s="418"/>
      <c r="AF831" s="418"/>
      <c r="AG831" s="418"/>
      <c r="AH831" s="418"/>
      <c r="AI831" s="418"/>
      <c r="AJ831" s="418"/>
      <c r="AK831" s="418"/>
      <c r="AL831" s="418"/>
      <c r="AM831" s="418"/>
      <c r="AN831" s="423"/>
      <c r="AO831" s="423"/>
      <c r="AP831" s="423"/>
      <c r="AQ831" s="423"/>
      <c r="AR831" s="423"/>
      <c r="AS831" s="423"/>
      <c r="AT831" s="423"/>
      <c r="AU831" s="423"/>
      <c r="AV831" s="423"/>
      <c r="AW831" s="418"/>
      <c r="AX831" s="418"/>
      <c r="AY831" s="418"/>
      <c r="BB831" s="306"/>
      <c r="BF831" s="1119"/>
      <c r="BG831" s="1119"/>
      <c r="BH831" s="1119"/>
    </row>
    <row r="832" spans="1:60" ht="15.75" customHeight="1">
      <c r="A832" s="415"/>
      <c r="B832" s="416"/>
      <c r="C832" s="424"/>
      <c r="E832" s="418"/>
      <c r="F832" s="419"/>
      <c r="G832" s="420"/>
      <c r="H832" s="421"/>
      <c r="I832" s="421"/>
      <c r="J832" s="492"/>
      <c r="K832" s="418"/>
      <c r="L832" s="418"/>
      <c r="M832" s="418"/>
      <c r="N832" s="421"/>
      <c r="O832" s="421"/>
      <c r="P832" s="421"/>
      <c r="Q832" s="418"/>
      <c r="R832" s="419"/>
      <c r="S832" s="418"/>
      <c r="T832" s="418"/>
      <c r="U832" s="418"/>
      <c r="V832" s="418"/>
      <c r="W832" s="418"/>
      <c r="X832" s="418"/>
      <c r="Y832" s="418"/>
      <c r="Z832" s="418"/>
      <c r="AA832" s="418"/>
      <c r="AB832" s="418"/>
      <c r="AC832" s="418"/>
      <c r="AD832" s="418"/>
      <c r="AE832" s="418"/>
      <c r="AF832" s="418"/>
      <c r="AG832" s="418"/>
      <c r="AH832" s="418"/>
      <c r="AI832" s="418"/>
      <c r="AJ832" s="418"/>
      <c r="AK832" s="418"/>
      <c r="AL832" s="418"/>
      <c r="AM832" s="418"/>
      <c r="AN832" s="423"/>
      <c r="AO832" s="423"/>
      <c r="AP832" s="423"/>
      <c r="AQ832" s="423"/>
      <c r="AR832" s="423"/>
      <c r="AS832" s="423"/>
      <c r="AT832" s="423"/>
      <c r="AU832" s="423"/>
      <c r="AV832" s="423"/>
      <c r="AW832" s="418"/>
      <c r="AX832" s="418"/>
      <c r="AY832" s="418"/>
      <c r="BB832" s="306"/>
      <c r="BF832" s="1119"/>
      <c r="BG832" s="1119"/>
      <c r="BH832" s="1119"/>
    </row>
    <row r="833" spans="1:60" ht="15.75" customHeight="1">
      <c r="A833" s="415"/>
      <c r="B833" s="416"/>
      <c r="C833" s="424"/>
      <c r="E833" s="418"/>
      <c r="F833" s="419"/>
      <c r="G833" s="420"/>
      <c r="H833" s="421"/>
      <c r="I833" s="421"/>
      <c r="J833" s="492"/>
      <c r="K833" s="418"/>
      <c r="L833" s="418"/>
      <c r="M833" s="418"/>
      <c r="N833" s="421"/>
      <c r="O833" s="421"/>
      <c r="P833" s="421"/>
      <c r="Q833" s="418"/>
      <c r="R833" s="419"/>
      <c r="S833" s="418"/>
      <c r="T833" s="418"/>
      <c r="U833" s="418"/>
      <c r="V833" s="418"/>
      <c r="W833" s="418"/>
      <c r="X833" s="418"/>
      <c r="Y833" s="418"/>
      <c r="Z833" s="418"/>
      <c r="AA833" s="418"/>
      <c r="AB833" s="418"/>
      <c r="AC833" s="418"/>
      <c r="AD833" s="418"/>
      <c r="AE833" s="418"/>
      <c r="AF833" s="418"/>
      <c r="AG833" s="418"/>
      <c r="AH833" s="418"/>
      <c r="AI833" s="418"/>
      <c r="AJ833" s="418"/>
      <c r="AK833" s="418"/>
      <c r="AL833" s="418"/>
      <c r="AM833" s="418"/>
      <c r="AN833" s="423"/>
      <c r="AO833" s="423"/>
      <c r="AP833" s="423"/>
      <c r="AQ833" s="423"/>
      <c r="AR833" s="423"/>
      <c r="AS833" s="423"/>
      <c r="AT833" s="423"/>
      <c r="AU833" s="423"/>
      <c r="AV833" s="423"/>
      <c r="AW833" s="418"/>
      <c r="AX833" s="418"/>
      <c r="AY833" s="418"/>
      <c r="BB833" s="306"/>
      <c r="BF833" s="1119"/>
      <c r="BG833" s="1119"/>
      <c r="BH833" s="1119"/>
    </row>
    <row r="834" spans="1:60" ht="15.75" customHeight="1">
      <c r="A834" s="415"/>
      <c r="B834" s="416"/>
      <c r="C834" s="424"/>
      <c r="E834" s="418"/>
      <c r="F834" s="419"/>
      <c r="G834" s="420"/>
      <c r="H834" s="421"/>
      <c r="I834" s="421"/>
      <c r="J834" s="492"/>
      <c r="K834" s="418"/>
      <c r="L834" s="418"/>
      <c r="M834" s="418"/>
      <c r="N834" s="421"/>
      <c r="O834" s="421"/>
      <c r="P834" s="421"/>
      <c r="Q834" s="418"/>
      <c r="R834" s="419"/>
      <c r="S834" s="418"/>
      <c r="T834" s="418"/>
      <c r="U834" s="418"/>
      <c r="V834" s="418"/>
      <c r="W834" s="418"/>
      <c r="X834" s="418"/>
      <c r="Y834" s="418"/>
      <c r="Z834" s="418"/>
      <c r="AA834" s="418"/>
      <c r="AB834" s="418"/>
      <c r="AC834" s="418"/>
      <c r="AD834" s="418"/>
      <c r="AE834" s="418"/>
      <c r="AF834" s="418"/>
      <c r="AG834" s="418"/>
      <c r="AH834" s="418"/>
      <c r="AI834" s="418"/>
      <c r="AJ834" s="418"/>
      <c r="AK834" s="418"/>
      <c r="AL834" s="418"/>
      <c r="AM834" s="418"/>
      <c r="AN834" s="423"/>
      <c r="AO834" s="423"/>
      <c r="AP834" s="423"/>
      <c r="AQ834" s="423"/>
      <c r="AR834" s="423"/>
      <c r="AS834" s="423"/>
      <c r="AT834" s="423"/>
      <c r="AU834" s="423"/>
      <c r="AV834" s="423"/>
      <c r="AW834" s="418"/>
      <c r="AX834" s="418"/>
      <c r="AY834" s="418"/>
      <c r="BB834" s="306"/>
      <c r="BF834" s="1119"/>
      <c r="BG834" s="1119"/>
      <c r="BH834" s="1119"/>
    </row>
    <row r="835" spans="1:60" ht="15.75" customHeight="1">
      <c r="A835" s="415"/>
      <c r="B835" s="416"/>
      <c r="C835" s="424"/>
      <c r="E835" s="418"/>
      <c r="F835" s="419"/>
      <c r="G835" s="420"/>
      <c r="H835" s="421"/>
      <c r="I835" s="421"/>
      <c r="J835" s="492"/>
      <c r="K835" s="418"/>
      <c r="L835" s="418"/>
      <c r="M835" s="418"/>
      <c r="N835" s="421"/>
      <c r="O835" s="421"/>
      <c r="P835" s="421"/>
      <c r="Q835" s="418"/>
      <c r="R835" s="419"/>
      <c r="S835" s="418"/>
      <c r="T835" s="418"/>
      <c r="U835" s="418"/>
      <c r="V835" s="418"/>
      <c r="W835" s="418"/>
      <c r="X835" s="418"/>
      <c r="Y835" s="418"/>
      <c r="Z835" s="418"/>
      <c r="AA835" s="418"/>
      <c r="AB835" s="418"/>
      <c r="AC835" s="418"/>
      <c r="AD835" s="418"/>
      <c r="AE835" s="418"/>
      <c r="AF835" s="418"/>
      <c r="AG835" s="418"/>
      <c r="AH835" s="418"/>
      <c r="AI835" s="418"/>
      <c r="AJ835" s="418"/>
      <c r="AK835" s="418"/>
      <c r="AL835" s="418"/>
      <c r="AM835" s="418"/>
      <c r="AN835" s="423"/>
      <c r="AO835" s="423"/>
      <c r="AP835" s="423"/>
      <c r="AQ835" s="423"/>
      <c r="AR835" s="423"/>
      <c r="AS835" s="423"/>
      <c r="AT835" s="423"/>
      <c r="AU835" s="423"/>
      <c r="AV835" s="423"/>
      <c r="AW835" s="418"/>
      <c r="AX835" s="418"/>
      <c r="AY835" s="418"/>
      <c r="BB835" s="306"/>
      <c r="BF835" s="1119"/>
      <c r="BG835" s="1119"/>
      <c r="BH835" s="1119"/>
    </row>
    <row r="836" spans="1:60" ht="15.75" customHeight="1">
      <c r="A836" s="415"/>
      <c r="B836" s="416"/>
      <c r="C836" s="424"/>
      <c r="E836" s="418"/>
      <c r="F836" s="419"/>
      <c r="G836" s="420"/>
      <c r="H836" s="421"/>
      <c r="I836" s="421"/>
      <c r="J836" s="492"/>
      <c r="K836" s="418"/>
      <c r="L836" s="418"/>
      <c r="M836" s="418"/>
      <c r="N836" s="421"/>
      <c r="O836" s="421"/>
      <c r="P836" s="421"/>
      <c r="Q836" s="418"/>
      <c r="R836" s="419"/>
      <c r="S836" s="418"/>
      <c r="T836" s="418"/>
      <c r="U836" s="418"/>
      <c r="V836" s="418"/>
      <c r="W836" s="418"/>
      <c r="X836" s="418"/>
      <c r="Y836" s="418"/>
      <c r="Z836" s="418"/>
      <c r="AA836" s="418"/>
      <c r="AB836" s="418"/>
      <c r="AC836" s="418"/>
      <c r="AD836" s="418"/>
      <c r="AE836" s="418"/>
      <c r="AF836" s="418"/>
      <c r="AG836" s="418"/>
      <c r="AH836" s="418"/>
      <c r="AI836" s="418"/>
      <c r="AJ836" s="418"/>
      <c r="AK836" s="418"/>
      <c r="AL836" s="418"/>
      <c r="AM836" s="418"/>
      <c r="AN836" s="423"/>
      <c r="AO836" s="423"/>
      <c r="AP836" s="423"/>
      <c r="AQ836" s="423"/>
      <c r="AR836" s="423"/>
      <c r="AS836" s="423"/>
      <c r="AT836" s="423"/>
      <c r="AU836" s="423"/>
      <c r="AV836" s="423"/>
      <c r="AW836" s="418"/>
      <c r="AX836" s="418"/>
      <c r="AY836" s="418"/>
      <c r="BB836" s="306"/>
      <c r="BF836" s="1119"/>
      <c r="BG836" s="1119"/>
      <c r="BH836" s="1119"/>
    </row>
    <row r="837" spans="1:60" ht="15.75" customHeight="1">
      <c r="A837" s="415"/>
      <c r="B837" s="416"/>
      <c r="C837" s="424"/>
      <c r="E837" s="418"/>
      <c r="F837" s="419"/>
      <c r="G837" s="420"/>
      <c r="H837" s="421"/>
      <c r="I837" s="421"/>
      <c r="J837" s="492"/>
      <c r="K837" s="418"/>
      <c r="L837" s="418"/>
      <c r="M837" s="418"/>
      <c r="N837" s="421"/>
      <c r="O837" s="421"/>
      <c r="P837" s="421"/>
      <c r="Q837" s="418"/>
      <c r="R837" s="419"/>
      <c r="S837" s="418"/>
      <c r="T837" s="418"/>
      <c r="U837" s="418"/>
      <c r="V837" s="418"/>
      <c r="W837" s="418"/>
      <c r="X837" s="418"/>
      <c r="Y837" s="418"/>
      <c r="Z837" s="418"/>
      <c r="AA837" s="418"/>
      <c r="AB837" s="418"/>
      <c r="AC837" s="418"/>
      <c r="AD837" s="418"/>
      <c r="AE837" s="418"/>
      <c r="AF837" s="418"/>
      <c r="AG837" s="418"/>
      <c r="AH837" s="418"/>
      <c r="AI837" s="418"/>
      <c r="AJ837" s="418"/>
      <c r="AK837" s="418"/>
      <c r="AL837" s="418"/>
      <c r="AM837" s="418"/>
      <c r="AN837" s="423"/>
      <c r="AO837" s="423"/>
      <c r="AP837" s="423"/>
      <c r="AQ837" s="423"/>
      <c r="AR837" s="423"/>
      <c r="AS837" s="423"/>
      <c r="AT837" s="423"/>
      <c r="AU837" s="423"/>
      <c r="AV837" s="423"/>
      <c r="AW837" s="418"/>
      <c r="AX837" s="418"/>
      <c r="AY837" s="418"/>
      <c r="BB837" s="306"/>
      <c r="BF837" s="1119"/>
      <c r="BG837" s="1119"/>
      <c r="BH837" s="1119"/>
    </row>
    <row r="838" spans="1:60" ht="15.75" customHeight="1">
      <c r="A838" s="415"/>
      <c r="B838" s="416"/>
      <c r="C838" s="424"/>
      <c r="E838" s="418"/>
      <c r="F838" s="419"/>
      <c r="G838" s="420"/>
      <c r="H838" s="421"/>
      <c r="I838" s="421"/>
      <c r="J838" s="492"/>
      <c r="K838" s="418"/>
      <c r="L838" s="418"/>
      <c r="M838" s="418"/>
      <c r="N838" s="421"/>
      <c r="O838" s="421"/>
      <c r="P838" s="421"/>
      <c r="Q838" s="418"/>
      <c r="R838" s="419"/>
      <c r="S838" s="418"/>
      <c r="T838" s="418"/>
      <c r="U838" s="418"/>
      <c r="V838" s="418"/>
      <c r="W838" s="418"/>
      <c r="X838" s="418"/>
      <c r="Y838" s="418"/>
      <c r="Z838" s="418"/>
      <c r="AA838" s="418"/>
      <c r="AB838" s="418"/>
      <c r="AC838" s="418"/>
      <c r="AD838" s="418"/>
      <c r="AE838" s="418"/>
      <c r="AF838" s="418"/>
      <c r="AG838" s="418"/>
      <c r="AH838" s="418"/>
      <c r="AI838" s="418"/>
      <c r="AJ838" s="418"/>
      <c r="AK838" s="418"/>
      <c r="AL838" s="418"/>
      <c r="AM838" s="418"/>
      <c r="AN838" s="423"/>
      <c r="AO838" s="423"/>
      <c r="AP838" s="423"/>
      <c r="AQ838" s="423"/>
      <c r="AR838" s="423"/>
      <c r="AS838" s="423"/>
      <c r="AT838" s="423"/>
      <c r="AU838" s="423"/>
      <c r="AV838" s="423"/>
      <c r="AW838" s="418"/>
      <c r="AX838" s="418"/>
      <c r="AY838" s="418"/>
      <c r="BB838" s="306"/>
      <c r="BF838" s="1119"/>
      <c r="BG838" s="1119"/>
      <c r="BH838" s="1119"/>
    </row>
    <row r="839" spans="1:60" ht="15.75" customHeight="1">
      <c r="A839" s="415"/>
      <c r="B839" s="416"/>
      <c r="C839" s="424"/>
      <c r="E839" s="418"/>
      <c r="F839" s="419"/>
      <c r="G839" s="420"/>
      <c r="H839" s="421"/>
      <c r="I839" s="421"/>
      <c r="J839" s="492"/>
      <c r="K839" s="418"/>
      <c r="L839" s="418"/>
      <c r="M839" s="418"/>
      <c r="N839" s="421"/>
      <c r="O839" s="421"/>
      <c r="P839" s="421"/>
      <c r="Q839" s="418"/>
      <c r="R839" s="419"/>
      <c r="S839" s="418"/>
      <c r="T839" s="418"/>
      <c r="U839" s="418"/>
      <c r="V839" s="418"/>
      <c r="W839" s="418"/>
      <c r="X839" s="418"/>
      <c r="Y839" s="418"/>
      <c r="Z839" s="418"/>
      <c r="AA839" s="418"/>
      <c r="AB839" s="418"/>
      <c r="AC839" s="418"/>
      <c r="AD839" s="418"/>
      <c r="AE839" s="418"/>
      <c r="AF839" s="418"/>
      <c r="AG839" s="418"/>
      <c r="AH839" s="418"/>
      <c r="AI839" s="418"/>
      <c r="AJ839" s="418"/>
      <c r="AK839" s="418"/>
      <c r="AL839" s="418"/>
      <c r="AM839" s="418"/>
      <c r="AN839" s="423"/>
      <c r="AO839" s="423"/>
      <c r="AP839" s="423"/>
      <c r="AQ839" s="423"/>
      <c r="AR839" s="423"/>
      <c r="AS839" s="423"/>
      <c r="AT839" s="423"/>
      <c r="AU839" s="423"/>
      <c r="AV839" s="423"/>
      <c r="AW839" s="418"/>
      <c r="AX839" s="418"/>
      <c r="AY839" s="418"/>
      <c r="BB839" s="306"/>
      <c r="BF839" s="1119"/>
      <c r="BG839" s="1119"/>
      <c r="BH839" s="1119"/>
    </row>
    <row r="840" spans="1:60" ht="15.75" customHeight="1">
      <c r="A840" s="415"/>
      <c r="B840" s="416"/>
      <c r="C840" s="424"/>
      <c r="E840" s="418"/>
      <c r="F840" s="419"/>
      <c r="G840" s="420"/>
      <c r="H840" s="421"/>
      <c r="I840" s="421"/>
      <c r="J840" s="492"/>
      <c r="K840" s="418"/>
      <c r="L840" s="418"/>
      <c r="M840" s="418"/>
      <c r="N840" s="421"/>
      <c r="O840" s="421"/>
      <c r="P840" s="421"/>
      <c r="Q840" s="418"/>
      <c r="R840" s="419"/>
      <c r="S840" s="418"/>
      <c r="T840" s="418"/>
      <c r="U840" s="418"/>
      <c r="V840" s="418"/>
      <c r="W840" s="418"/>
      <c r="X840" s="418"/>
      <c r="Y840" s="418"/>
      <c r="Z840" s="418"/>
      <c r="AA840" s="418"/>
      <c r="AB840" s="418"/>
      <c r="AC840" s="418"/>
      <c r="AD840" s="418"/>
      <c r="AE840" s="418"/>
      <c r="AF840" s="418"/>
      <c r="AG840" s="418"/>
      <c r="AH840" s="418"/>
      <c r="AI840" s="418"/>
      <c r="AJ840" s="418"/>
      <c r="AK840" s="418"/>
      <c r="AL840" s="418"/>
      <c r="AM840" s="418"/>
      <c r="AN840" s="423"/>
      <c r="AO840" s="423"/>
      <c r="AP840" s="423"/>
      <c r="AQ840" s="423"/>
      <c r="AR840" s="423"/>
      <c r="AS840" s="423"/>
      <c r="AT840" s="423"/>
      <c r="AU840" s="423"/>
      <c r="AV840" s="423"/>
      <c r="AW840" s="418"/>
      <c r="AX840" s="418"/>
      <c r="AY840" s="418"/>
      <c r="BB840" s="306"/>
      <c r="BF840" s="1119"/>
      <c r="BG840" s="1119"/>
      <c r="BH840" s="1119"/>
    </row>
    <row r="841" spans="1:60" ht="15.75" customHeight="1">
      <c r="A841" s="415"/>
      <c r="B841" s="416"/>
      <c r="C841" s="424"/>
      <c r="E841" s="418"/>
      <c r="F841" s="419"/>
      <c r="G841" s="420"/>
      <c r="H841" s="421"/>
      <c r="I841" s="421"/>
      <c r="J841" s="492"/>
      <c r="K841" s="418"/>
      <c r="L841" s="418"/>
      <c r="M841" s="418"/>
      <c r="N841" s="421"/>
      <c r="O841" s="421"/>
      <c r="P841" s="421"/>
      <c r="Q841" s="418"/>
      <c r="R841" s="419"/>
      <c r="S841" s="418"/>
      <c r="T841" s="418"/>
      <c r="U841" s="418"/>
      <c r="V841" s="418"/>
      <c r="W841" s="418"/>
      <c r="X841" s="418"/>
      <c r="Y841" s="418"/>
      <c r="Z841" s="418"/>
      <c r="AA841" s="418"/>
      <c r="AB841" s="418"/>
      <c r="AC841" s="418"/>
      <c r="AD841" s="418"/>
      <c r="AE841" s="418"/>
      <c r="AF841" s="418"/>
      <c r="AG841" s="418"/>
      <c r="AH841" s="418"/>
      <c r="AI841" s="418"/>
      <c r="AJ841" s="418"/>
      <c r="AK841" s="418"/>
      <c r="AL841" s="418"/>
      <c r="AM841" s="418"/>
      <c r="AN841" s="423"/>
      <c r="AO841" s="423"/>
      <c r="AP841" s="423"/>
      <c r="AQ841" s="423"/>
      <c r="AR841" s="423"/>
      <c r="AS841" s="423"/>
      <c r="AT841" s="423"/>
      <c r="AU841" s="423"/>
      <c r="AV841" s="423"/>
      <c r="AW841" s="418"/>
      <c r="AX841" s="418"/>
      <c r="AY841" s="418"/>
      <c r="BB841" s="306"/>
      <c r="BF841" s="1119"/>
      <c r="BG841" s="1119"/>
      <c r="BH841" s="1119"/>
    </row>
    <row r="842" spans="1:60" ht="15.75" customHeight="1">
      <c r="A842" s="415"/>
      <c r="B842" s="416"/>
      <c r="C842" s="424"/>
      <c r="E842" s="418"/>
      <c r="F842" s="419"/>
      <c r="G842" s="420"/>
      <c r="H842" s="421"/>
      <c r="I842" s="421"/>
      <c r="J842" s="492"/>
      <c r="K842" s="418"/>
      <c r="L842" s="418"/>
      <c r="M842" s="418"/>
      <c r="N842" s="421"/>
      <c r="O842" s="421"/>
      <c r="P842" s="421"/>
      <c r="Q842" s="418"/>
      <c r="R842" s="419"/>
      <c r="S842" s="418"/>
      <c r="T842" s="418"/>
      <c r="U842" s="418"/>
      <c r="V842" s="418"/>
      <c r="W842" s="418"/>
      <c r="X842" s="418"/>
      <c r="Y842" s="418"/>
      <c r="Z842" s="418"/>
      <c r="AA842" s="418"/>
      <c r="AB842" s="418"/>
      <c r="AC842" s="418"/>
      <c r="AD842" s="418"/>
      <c r="AE842" s="418"/>
      <c r="AF842" s="418"/>
      <c r="AG842" s="418"/>
      <c r="AH842" s="418"/>
      <c r="AI842" s="418"/>
      <c r="AJ842" s="418"/>
      <c r="AK842" s="418"/>
      <c r="AL842" s="418"/>
      <c r="AM842" s="418"/>
      <c r="AN842" s="423"/>
      <c r="AO842" s="423"/>
      <c r="AP842" s="423"/>
      <c r="AQ842" s="423"/>
      <c r="AR842" s="423"/>
      <c r="AS842" s="423"/>
      <c r="AT842" s="423"/>
      <c r="AU842" s="423"/>
      <c r="AV842" s="423"/>
      <c r="AW842" s="418"/>
      <c r="AX842" s="418"/>
      <c r="AY842" s="418"/>
      <c r="BB842" s="306"/>
      <c r="BF842" s="1119"/>
      <c r="BG842" s="1119"/>
      <c r="BH842" s="1119"/>
    </row>
    <row r="843" spans="1:60" ht="15.75" customHeight="1">
      <c r="A843" s="415"/>
      <c r="B843" s="416"/>
      <c r="C843" s="424"/>
      <c r="E843" s="418"/>
      <c r="F843" s="419"/>
      <c r="G843" s="420"/>
      <c r="H843" s="421"/>
      <c r="I843" s="425"/>
      <c r="J843" s="492"/>
      <c r="K843" s="418"/>
      <c r="L843" s="418"/>
      <c r="M843" s="418"/>
      <c r="N843" s="421"/>
      <c r="O843" s="421"/>
      <c r="P843" s="421"/>
      <c r="Q843" s="418"/>
      <c r="R843" s="419"/>
      <c r="S843" s="418"/>
      <c r="T843" s="418"/>
      <c r="U843" s="418"/>
      <c r="V843" s="418"/>
      <c r="W843" s="418"/>
      <c r="X843" s="418"/>
      <c r="Y843" s="418"/>
      <c r="Z843" s="418"/>
      <c r="AA843" s="418"/>
      <c r="AB843" s="418"/>
      <c r="AC843" s="418"/>
      <c r="AD843" s="418"/>
      <c r="AE843" s="418"/>
      <c r="AF843" s="418"/>
      <c r="AG843" s="418"/>
      <c r="AH843" s="418"/>
      <c r="AI843" s="418"/>
      <c r="AJ843" s="418"/>
      <c r="AK843" s="418"/>
      <c r="AL843" s="418"/>
      <c r="AM843" s="418"/>
      <c r="AN843" s="423"/>
      <c r="AO843" s="423"/>
      <c r="AP843" s="423"/>
      <c r="AQ843" s="423"/>
      <c r="AR843" s="423"/>
      <c r="AS843" s="423"/>
      <c r="AT843" s="423"/>
      <c r="AU843" s="423"/>
      <c r="AV843" s="423"/>
      <c r="AW843" s="418"/>
      <c r="AX843" s="418"/>
      <c r="AY843" s="418"/>
      <c r="BB843" s="306"/>
      <c r="BF843" s="1119"/>
      <c r="BG843" s="1119"/>
      <c r="BH843" s="1119"/>
    </row>
    <row r="844" spans="1:60" ht="15.75" customHeight="1">
      <c r="A844" s="415"/>
      <c r="B844" s="416"/>
      <c r="C844" s="424"/>
      <c r="E844" s="418"/>
      <c r="F844" s="419"/>
      <c r="G844" s="420"/>
      <c r="H844" s="421"/>
      <c r="I844" s="421"/>
      <c r="J844" s="492"/>
      <c r="K844" s="418"/>
      <c r="L844" s="418"/>
      <c r="M844" s="418"/>
      <c r="N844" s="421"/>
      <c r="O844" s="421"/>
      <c r="P844" s="421"/>
      <c r="Q844" s="418"/>
      <c r="R844" s="419"/>
      <c r="S844" s="418"/>
      <c r="T844" s="418"/>
      <c r="U844" s="418"/>
      <c r="V844" s="418"/>
      <c r="W844" s="418"/>
      <c r="X844" s="418"/>
      <c r="Y844" s="418"/>
      <c r="Z844" s="418"/>
      <c r="AA844" s="418"/>
      <c r="AB844" s="418"/>
      <c r="AC844" s="418"/>
      <c r="AD844" s="418"/>
      <c r="AE844" s="418"/>
      <c r="AF844" s="418"/>
      <c r="AG844" s="418"/>
      <c r="AH844" s="418"/>
      <c r="AI844" s="418"/>
      <c r="AJ844" s="418"/>
      <c r="AK844" s="418"/>
      <c r="AL844" s="418"/>
      <c r="AM844" s="418"/>
      <c r="AN844" s="423"/>
      <c r="AO844" s="423"/>
      <c r="AP844" s="423"/>
      <c r="AQ844" s="423"/>
      <c r="AR844" s="423"/>
      <c r="AS844" s="423"/>
      <c r="AT844" s="423"/>
      <c r="AU844" s="423"/>
      <c r="AV844" s="423"/>
      <c r="AW844" s="418"/>
      <c r="AX844" s="418"/>
      <c r="AY844" s="418"/>
      <c r="BB844" s="306"/>
      <c r="BF844" s="1119"/>
      <c r="BG844" s="1119"/>
      <c r="BH844" s="1119"/>
    </row>
    <row r="845" spans="1:60" ht="15.75" customHeight="1">
      <c r="A845" s="415"/>
      <c r="B845" s="416"/>
      <c r="C845" s="424"/>
      <c r="E845" s="418"/>
      <c r="F845" s="419"/>
      <c r="G845" s="420"/>
      <c r="H845" s="421"/>
      <c r="I845" s="425"/>
      <c r="J845" s="492"/>
      <c r="K845" s="418"/>
      <c r="L845" s="418"/>
      <c r="M845" s="418"/>
      <c r="N845" s="421"/>
      <c r="O845" s="421"/>
      <c r="P845" s="421"/>
      <c r="Q845" s="418"/>
      <c r="R845" s="419"/>
      <c r="S845" s="418"/>
      <c r="T845" s="418"/>
      <c r="U845" s="418"/>
      <c r="V845" s="418"/>
      <c r="W845" s="418"/>
      <c r="X845" s="418"/>
      <c r="Y845" s="418"/>
      <c r="Z845" s="418"/>
      <c r="AA845" s="418"/>
      <c r="AB845" s="418"/>
      <c r="AC845" s="418"/>
      <c r="AD845" s="418"/>
      <c r="AE845" s="418"/>
      <c r="AF845" s="418"/>
      <c r="AG845" s="418"/>
      <c r="AH845" s="418"/>
      <c r="AI845" s="418"/>
      <c r="AJ845" s="418"/>
      <c r="AK845" s="418"/>
      <c r="AL845" s="418"/>
      <c r="AM845" s="418"/>
      <c r="AN845" s="423"/>
      <c r="AO845" s="423"/>
      <c r="AP845" s="423"/>
      <c r="AQ845" s="423"/>
      <c r="AR845" s="423"/>
      <c r="AS845" s="423"/>
      <c r="AT845" s="423"/>
      <c r="AU845" s="423"/>
      <c r="AV845" s="423"/>
      <c r="AW845" s="418"/>
      <c r="AX845" s="418"/>
      <c r="AY845" s="418"/>
      <c r="BB845" s="306"/>
      <c r="BF845" s="1119"/>
      <c r="BG845" s="1119"/>
      <c r="BH845" s="1119"/>
    </row>
    <row r="846" spans="1:60" ht="15.75" customHeight="1">
      <c r="A846" s="415"/>
      <c r="B846" s="416"/>
      <c r="C846" s="424"/>
      <c r="E846" s="418"/>
      <c r="F846" s="419"/>
      <c r="G846" s="420"/>
      <c r="H846" s="421"/>
      <c r="I846" s="421"/>
      <c r="J846" s="492"/>
      <c r="K846" s="418"/>
      <c r="L846" s="418"/>
      <c r="M846" s="418"/>
      <c r="N846" s="421"/>
      <c r="O846" s="421"/>
      <c r="P846" s="421"/>
      <c r="Q846" s="418"/>
      <c r="R846" s="419"/>
      <c r="S846" s="418"/>
      <c r="T846" s="418"/>
      <c r="U846" s="418"/>
      <c r="V846" s="418"/>
      <c r="W846" s="418"/>
      <c r="X846" s="418"/>
      <c r="Y846" s="418"/>
      <c r="Z846" s="418"/>
      <c r="AA846" s="418"/>
      <c r="AB846" s="418"/>
      <c r="AC846" s="418"/>
      <c r="AD846" s="418"/>
      <c r="AE846" s="418"/>
      <c r="AF846" s="418"/>
      <c r="AG846" s="418"/>
      <c r="AH846" s="418"/>
      <c r="AI846" s="418"/>
      <c r="AJ846" s="418"/>
      <c r="AK846" s="418"/>
      <c r="AL846" s="418"/>
      <c r="AM846" s="418"/>
      <c r="AN846" s="423"/>
      <c r="AO846" s="423"/>
      <c r="AP846" s="423"/>
      <c r="AQ846" s="423"/>
      <c r="AR846" s="423"/>
      <c r="AS846" s="423"/>
      <c r="AT846" s="423"/>
      <c r="AU846" s="423"/>
      <c r="AV846" s="423"/>
      <c r="AW846" s="418"/>
      <c r="AX846" s="418"/>
      <c r="AY846" s="418"/>
      <c r="BB846" s="306"/>
      <c r="BF846" s="1119"/>
      <c r="BG846" s="1119"/>
      <c r="BH846" s="1119"/>
    </row>
    <row r="847" spans="1:60" ht="15.75" customHeight="1">
      <c r="A847" s="415"/>
      <c r="B847" s="416"/>
      <c r="C847" s="424"/>
      <c r="E847" s="418"/>
      <c r="F847" s="419"/>
      <c r="G847" s="420"/>
      <c r="H847" s="421"/>
      <c r="I847" s="425"/>
      <c r="J847" s="492"/>
      <c r="K847" s="418"/>
      <c r="L847" s="418"/>
      <c r="M847" s="418"/>
      <c r="N847" s="421"/>
      <c r="O847" s="421"/>
      <c r="P847" s="421"/>
      <c r="Q847" s="418"/>
      <c r="R847" s="419"/>
      <c r="S847" s="418"/>
      <c r="T847" s="418"/>
      <c r="U847" s="418"/>
      <c r="V847" s="418"/>
      <c r="W847" s="418"/>
      <c r="X847" s="418"/>
      <c r="Y847" s="418"/>
      <c r="Z847" s="418"/>
      <c r="AA847" s="418"/>
      <c r="AB847" s="418"/>
      <c r="AC847" s="418"/>
      <c r="AD847" s="418"/>
      <c r="AE847" s="418"/>
      <c r="AF847" s="418"/>
      <c r="AG847" s="418"/>
      <c r="AH847" s="418"/>
      <c r="AI847" s="418"/>
      <c r="AJ847" s="418"/>
      <c r="AK847" s="418"/>
      <c r="AL847" s="418"/>
      <c r="AM847" s="418"/>
      <c r="AN847" s="423"/>
      <c r="AO847" s="423"/>
      <c r="AP847" s="423"/>
      <c r="AQ847" s="423"/>
      <c r="AR847" s="423"/>
      <c r="AS847" s="423"/>
      <c r="AT847" s="423"/>
      <c r="AU847" s="423"/>
      <c r="AV847" s="423"/>
      <c r="AW847" s="418"/>
      <c r="AX847" s="418"/>
      <c r="AY847" s="418"/>
      <c r="BB847" s="306"/>
      <c r="BF847" s="1119"/>
      <c r="BG847" s="1119"/>
      <c r="BH847" s="1119"/>
    </row>
    <row r="848" spans="1:60" ht="15.75" customHeight="1">
      <c r="A848" s="415"/>
      <c r="B848" s="416"/>
      <c r="C848" s="424"/>
      <c r="E848" s="418"/>
      <c r="F848" s="419"/>
      <c r="G848" s="420"/>
      <c r="H848" s="421"/>
      <c r="I848" s="425"/>
      <c r="J848" s="492"/>
      <c r="K848" s="418"/>
      <c r="L848" s="418"/>
      <c r="M848" s="418"/>
      <c r="N848" s="421"/>
      <c r="O848" s="421"/>
      <c r="P848" s="421"/>
      <c r="Q848" s="418"/>
      <c r="R848" s="419"/>
      <c r="S848" s="418"/>
      <c r="T848" s="418"/>
      <c r="U848" s="418"/>
      <c r="V848" s="418"/>
      <c r="W848" s="418"/>
      <c r="X848" s="418"/>
      <c r="Y848" s="418"/>
      <c r="Z848" s="418"/>
      <c r="AA848" s="418"/>
      <c r="AB848" s="418"/>
      <c r="AC848" s="418"/>
      <c r="AD848" s="418"/>
      <c r="AE848" s="418"/>
      <c r="AF848" s="418"/>
      <c r="AG848" s="418"/>
      <c r="AH848" s="418"/>
      <c r="AI848" s="418"/>
      <c r="AJ848" s="418"/>
      <c r="AK848" s="418"/>
      <c r="AL848" s="418"/>
      <c r="AM848" s="418"/>
      <c r="AN848" s="423"/>
      <c r="AO848" s="423"/>
      <c r="AP848" s="423"/>
      <c r="AQ848" s="423"/>
      <c r="AR848" s="423"/>
      <c r="AS848" s="423"/>
      <c r="AT848" s="423"/>
      <c r="AU848" s="423"/>
      <c r="AV848" s="423"/>
      <c r="AW848" s="418"/>
      <c r="AX848" s="418"/>
      <c r="AY848" s="418"/>
      <c r="BB848" s="306"/>
      <c r="BF848" s="1119"/>
      <c r="BG848" s="1119"/>
      <c r="BH848" s="1119"/>
    </row>
    <row r="849" spans="1:60" ht="15.75" customHeight="1">
      <c r="A849" s="415"/>
      <c r="B849" s="416"/>
      <c r="C849" s="424"/>
      <c r="E849" s="418"/>
      <c r="F849" s="419"/>
      <c r="G849" s="420"/>
      <c r="H849" s="421"/>
      <c r="I849" s="425"/>
      <c r="J849" s="492"/>
      <c r="K849" s="418"/>
      <c r="L849" s="418"/>
      <c r="M849" s="418"/>
      <c r="N849" s="421"/>
      <c r="O849" s="421"/>
      <c r="P849" s="421"/>
      <c r="Q849" s="418"/>
      <c r="R849" s="419"/>
      <c r="S849" s="418"/>
      <c r="T849" s="418"/>
      <c r="U849" s="418"/>
      <c r="V849" s="418"/>
      <c r="W849" s="418"/>
      <c r="X849" s="418"/>
      <c r="Y849" s="418"/>
      <c r="Z849" s="418"/>
      <c r="AA849" s="418"/>
      <c r="AB849" s="418"/>
      <c r="AC849" s="418"/>
      <c r="AD849" s="418"/>
      <c r="AE849" s="418"/>
      <c r="AF849" s="418"/>
      <c r="AG849" s="418"/>
      <c r="AH849" s="418"/>
      <c r="AI849" s="418"/>
      <c r="AJ849" s="418"/>
      <c r="AK849" s="418"/>
      <c r="AL849" s="418"/>
      <c r="AM849" s="418"/>
      <c r="AN849" s="423"/>
      <c r="AO849" s="423"/>
      <c r="AP849" s="423"/>
      <c r="AQ849" s="423"/>
      <c r="AR849" s="423"/>
      <c r="AS849" s="423"/>
      <c r="AT849" s="423"/>
      <c r="AU849" s="423"/>
      <c r="AV849" s="423"/>
      <c r="AW849" s="418"/>
      <c r="AX849" s="418"/>
      <c r="AY849" s="418"/>
      <c r="BB849" s="306"/>
      <c r="BF849" s="1119"/>
      <c r="BG849" s="1119"/>
      <c r="BH849" s="1119"/>
    </row>
    <row r="850" spans="1:60" ht="15.75" customHeight="1">
      <c r="A850" s="415"/>
      <c r="B850" s="416"/>
      <c r="C850" s="424"/>
      <c r="E850" s="418"/>
      <c r="F850" s="419"/>
      <c r="G850" s="420"/>
      <c r="H850" s="421"/>
      <c r="I850" s="421"/>
      <c r="J850" s="492"/>
      <c r="K850" s="418"/>
      <c r="L850" s="418"/>
      <c r="M850" s="418"/>
      <c r="N850" s="421"/>
      <c r="O850" s="421"/>
      <c r="P850" s="421"/>
      <c r="Q850" s="418"/>
      <c r="R850" s="419"/>
      <c r="S850" s="418"/>
      <c r="T850" s="418"/>
      <c r="U850" s="418"/>
      <c r="V850" s="418"/>
      <c r="W850" s="418"/>
      <c r="X850" s="418"/>
      <c r="Y850" s="418"/>
      <c r="Z850" s="418"/>
      <c r="AA850" s="418"/>
      <c r="AB850" s="418"/>
      <c r="AC850" s="418"/>
      <c r="AD850" s="418"/>
      <c r="AE850" s="418"/>
      <c r="AF850" s="418"/>
      <c r="AG850" s="418"/>
      <c r="AH850" s="418"/>
      <c r="AI850" s="418"/>
      <c r="AJ850" s="418"/>
      <c r="AK850" s="418"/>
      <c r="AL850" s="418"/>
      <c r="AM850" s="418"/>
      <c r="AN850" s="423"/>
      <c r="AO850" s="423"/>
      <c r="AP850" s="423"/>
      <c r="AQ850" s="423"/>
      <c r="AR850" s="423"/>
      <c r="AS850" s="423"/>
      <c r="AT850" s="423"/>
      <c r="AU850" s="423"/>
      <c r="AV850" s="423"/>
      <c r="AW850" s="418"/>
      <c r="AX850" s="418"/>
      <c r="AY850" s="418"/>
      <c r="BB850" s="306"/>
      <c r="BF850" s="1119"/>
      <c r="BG850" s="1119"/>
      <c r="BH850" s="1119"/>
    </row>
    <row r="851" spans="1:60" ht="15.75" customHeight="1">
      <c r="A851" s="415"/>
      <c r="B851" s="416"/>
      <c r="C851" s="424"/>
      <c r="E851" s="418"/>
      <c r="F851" s="419"/>
      <c r="G851" s="420"/>
      <c r="H851" s="421"/>
      <c r="I851" s="421"/>
      <c r="J851" s="492"/>
      <c r="K851" s="418"/>
      <c r="L851" s="418"/>
      <c r="M851" s="418"/>
      <c r="N851" s="421"/>
      <c r="O851" s="421"/>
      <c r="P851" s="421"/>
      <c r="Q851" s="418"/>
      <c r="R851" s="419"/>
      <c r="S851" s="418"/>
      <c r="T851" s="418"/>
      <c r="U851" s="418"/>
      <c r="V851" s="418"/>
      <c r="W851" s="418"/>
      <c r="X851" s="418"/>
      <c r="Y851" s="418"/>
      <c r="Z851" s="418"/>
      <c r="AA851" s="418"/>
      <c r="AB851" s="418"/>
      <c r="AC851" s="418"/>
      <c r="AD851" s="418"/>
      <c r="AE851" s="418"/>
      <c r="AF851" s="418"/>
      <c r="AG851" s="418"/>
      <c r="AH851" s="418"/>
      <c r="AI851" s="418"/>
      <c r="AJ851" s="418"/>
      <c r="AK851" s="418"/>
      <c r="AL851" s="418"/>
      <c r="AM851" s="418"/>
      <c r="AN851" s="423"/>
      <c r="AO851" s="423"/>
      <c r="AP851" s="423"/>
      <c r="AQ851" s="423"/>
      <c r="AR851" s="423"/>
      <c r="AS851" s="423"/>
      <c r="AT851" s="423"/>
      <c r="AU851" s="423"/>
      <c r="AV851" s="423"/>
      <c r="AW851" s="418"/>
      <c r="AX851" s="418"/>
      <c r="AY851" s="418"/>
      <c r="BB851" s="306"/>
      <c r="BF851" s="1119"/>
      <c r="BG851" s="1119"/>
      <c r="BH851" s="1119"/>
    </row>
    <row r="852" spans="1:60" ht="15.75" customHeight="1">
      <c r="A852" s="415"/>
      <c r="B852" s="416"/>
      <c r="C852" s="424"/>
      <c r="E852" s="418"/>
      <c r="F852" s="419"/>
      <c r="G852" s="420"/>
      <c r="H852" s="421"/>
      <c r="I852" s="421"/>
      <c r="J852" s="492"/>
      <c r="K852" s="418"/>
      <c r="L852" s="418"/>
      <c r="M852" s="418"/>
      <c r="N852" s="421"/>
      <c r="O852" s="421"/>
      <c r="P852" s="421"/>
      <c r="Q852" s="418"/>
      <c r="R852" s="419"/>
      <c r="S852" s="418"/>
      <c r="T852" s="418"/>
      <c r="U852" s="418"/>
      <c r="V852" s="418"/>
      <c r="W852" s="418"/>
      <c r="X852" s="418"/>
      <c r="Y852" s="418"/>
      <c r="Z852" s="418"/>
      <c r="AA852" s="418"/>
      <c r="AB852" s="418"/>
      <c r="AC852" s="418"/>
      <c r="AD852" s="418"/>
      <c r="AE852" s="418"/>
      <c r="AF852" s="418"/>
      <c r="AG852" s="418"/>
      <c r="AH852" s="418"/>
      <c r="AI852" s="418"/>
      <c r="AJ852" s="418"/>
      <c r="AK852" s="418"/>
      <c r="AL852" s="418"/>
      <c r="AM852" s="418"/>
      <c r="AN852" s="423"/>
      <c r="AO852" s="423"/>
      <c r="AP852" s="423"/>
      <c r="AQ852" s="423"/>
      <c r="AR852" s="423"/>
      <c r="AS852" s="423"/>
      <c r="AT852" s="423"/>
      <c r="AU852" s="423"/>
      <c r="AV852" s="423"/>
      <c r="AW852" s="418"/>
      <c r="AX852" s="418"/>
      <c r="AY852" s="418"/>
      <c r="BB852" s="306"/>
      <c r="BF852" s="1119"/>
      <c r="BG852" s="1119"/>
      <c r="BH852" s="1119"/>
    </row>
    <row r="853" spans="1:60" ht="15.75" customHeight="1">
      <c r="A853" s="415"/>
      <c r="B853" s="416"/>
      <c r="C853" s="424"/>
      <c r="E853" s="418"/>
      <c r="F853" s="419"/>
      <c r="G853" s="420"/>
      <c r="H853" s="421"/>
      <c r="I853" s="421"/>
      <c r="J853" s="492"/>
      <c r="K853" s="418"/>
      <c r="L853" s="418"/>
      <c r="M853" s="418"/>
      <c r="N853" s="421"/>
      <c r="O853" s="421"/>
      <c r="P853" s="421"/>
      <c r="Q853" s="418"/>
      <c r="R853" s="419"/>
      <c r="S853" s="418"/>
      <c r="T853" s="418"/>
      <c r="U853" s="418"/>
      <c r="V853" s="418"/>
      <c r="W853" s="418"/>
      <c r="X853" s="418"/>
      <c r="Y853" s="418"/>
      <c r="Z853" s="418"/>
      <c r="AA853" s="418"/>
      <c r="AB853" s="418"/>
      <c r="AC853" s="418"/>
      <c r="AD853" s="418"/>
      <c r="AE853" s="418"/>
      <c r="AF853" s="418"/>
      <c r="AG853" s="418"/>
      <c r="AH853" s="418"/>
      <c r="AI853" s="418"/>
      <c r="AJ853" s="418"/>
      <c r="AK853" s="418"/>
      <c r="AL853" s="418"/>
      <c r="AM853" s="418"/>
      <c r="AN853" s="423"/>
      <c r="AO853" s="423"/>
      <c r="AP853" s="423"/>
      <c r="AQ853" s="423"/>
      <c r="AR853" s="423"/>
      <c r="AS853" s="423"/>
      <c r="AT853" s="423"/>
      <c r="AU853" s="423"/>
      <c r="AV853" s="423"/>
      <c r="AW853" s="418"/>
      <c r="AX853" s="418"/>
      <c r="AY853" s="418"/>
      <c r="BB853" s="306"/>
      <c r="BF853" s="1119"/>
      <c r="BG853" s="1119"/>
      <c r="BH853" s="1119"/>
    </row>
    <row r="854" spans="1:60" ht="15.75" customHeight="1">
      <c r="A854" s="415"/>
      <c r="B854" s="416"/>
      <c r="C854" s="424"/>
      <c r="E854" s="418"/>
      <c r="F854" s="419"/>
      <c r="G854" s="420"/>
      <c r="H854" s="421"/>
      <c r="I854" s="421"/>
      <c r="J854" s="492"/>
      <c r="K854" s="418"/>
      <c r="L854" s="418"/>
      <c r="M854" s="418"/>
      <c r="N854" s="421"/>
      <c r="O854" s="421"/>
      <c r="P854" s="421"/>
      <c r="Q854" s="418"/>
      <c r="R854" s="419"/>
      <c r="S854" s="418"/>
      <c r="T854" s="418"/>
      <c r="U854" s="418"/>
      <c r="V854" s="418"/>
      <c r="W854" s="418"/>
      <c r="X854" s="418"/>
      <c r="Y854" s="418"/>
      <c r="Z854" s="418"/>
      <c r="AA854" s="418"/>
      <c r="AB854" s="418"/>
      <c r="AC854" s="418"/>
      <c r="AD854" s="418"/>
      <c r="AE854" s="418"/>
      <c r="AF854" s="418"/>
      <c r="AG854" s="418"/>
      <c r="AH854" s="418"/>
      <c r="AI854" s="418"/>
      <c r="AJ854" s="418"/>
      <c r="AK854" s="418"/>
      <c r="AL854" s="418"/>
      <c r="AM854" s="418"/>
      <c r="AN854" s="423"/>
      <c r="AO854" s="423"/>
      <c r="AP854" s="423"/>
      <c r="AQ854" s="423"/>
      <c r="AR854" s="423"/>
      <c r="AS854" s="423"/>
      <c r="AT854" s="423"/>
      <c r="AU854" s="423"/>
      <c r="AV854" s="423"/>
      <c r="AW854" s="418"/>
      <c r="AX854" s="418"/>
      <c r="AY854" s="418"/>
      <c r="BB854" s="306"/>
      <c r="BF854" s="1119"/>
      <c r="BG854" s="1119"/>
      <c r="BH854" s="1119"/>
    </row>
    <row r="855" spans="1:60" ht="15.75" customHeight="1">
      <c r="A855" s="415"/>
      <c r="B855" s="416"/>
      <c r="C855" s="424"/>
      <c r="E855" s="418"/>
      <c r="F855" s="419"/>
      <c r="G855" s="420"/>
      <c r="H855" s="421"/>
      <c r="I855" s="421"/>
      <c r="J855" s="492"/>
      <c r="K855" s="418"/>
      <c r="L855" s="418"/>
      <c r="M855" s="418"/>
      <c r="N855" s="421"/>
      <c r="O855" s="421"/>
      <c r="P855" s="421"/>
      <c r="Q855" s="418"/>
      <c r="R855" s="419"/>
      <c r="S855" s="418"/>
      <c r="T855" s="418"/>
      <c r="U855" s="418"/>
      <c r="V855" s="418"/>
      <c r="W855" s="418"/>
      <c r="X855" s="418"/>
      <c r="Y855" s="418"/>
      <c r="Z855" s="418"/>
      <c r="AA855" s="418"/>
      <c r="AB855" s="418"/>
      <c r="AC855" s="418"/>
      <c r="AD855" s="418"/>
      <c r="AE855" s="418"/>
      <c r="AF855" s="418"/>
      <c r="AG855" s="418"/>
      <c r="AH855" s="418"/>
      <c r="AI855" s="418"/>
      <c r="AJ855" s="418"/>
      <c r="AK855" s="418"/>
      <c r="AL855" s="418"/>
      <c r="AM855" s="418"/>
      <c r="AN855" s="423"/>
      <c r="AO855" s="423"/>
      <c r="AP855" s="423"/>
      <c r="AQ855" s="423"/>
      <c r="AR855" s="423"/>
      <c r="AS855" s="423"/>
      <c r="AT855" s="423"/>
      <c r="AU855" s="423"/>
      <c r="AV855" s="423"/>
      <c r="AW855" s="418"/>
      <c r="AX855" s="418"/>
      <c r="AY855" s="418"/>
      <c r="BB855" s="306"/>
      <c r="BF855" s="1119"/>
      <c r="BG855" s="1119"/>
      <c r="BH855" s="1119"/>
    </row>
    <row r="856" spans="1:60" ht="15.75" customHeight="1">
      <c r="A856" s="415"/>
      <c r="B856" s="416"/>
      <c r="C856" s="424"/>
      <c r="E856" s="418"/>
      <c r="F856" s="419"/>
      <c r="G856" s="420"/>
      <c r="H856" s="421"/>
      <c r="I856" s="421"/>
      <c r="J856" s="492"/>
      <c r="K856" s="418"/>
      <c r="L856" s="418"/>
      <c r="M856" s="418"/>
      <c r="N856" s="421"/>
      <c r="O856" s="421"/>
      <c r="P856" s="421"/>
      <c r="Q856" s="418"/>
      <c r="R856" s="419"/>
      <c r="S856" s="418"/>
      <c r="T856" s="418"/>
      <c r="U856" s="418"/>
      <c r="V856" s="418"/>
      <c r="W856" s="418"/>
      <c r="X856" s="418"/>
      <c r="Y856" s="418"/>
      <c r="Z856" s="418"/>
      <c r="AA856" s="418"/>
      <c r="AB856" s="418"/>
      <c r="AC856" s="418"/>
      <c r="AD856" s="418"/>
      <c r="AE856" s="418"/>
      <c r="AF856" s="418"/>
      <c r="AG856" s="418"/>
      <c r="AH856" s="418"/>
      <c r="AI856" s="418"/>
      <c r="AJ856" s="418"/>
      <c r="AK856" s="418"/>
      <c r="AL856" s="418"/>
      <c r="AM856" s="418"/>
      <c r="AN856" s="423"/>
      <c r="AO856" s="423"/>
      <c r="AP856" s="423"/>
      <c r="AQ856" s="423"/>
      <c r="AR856" s="423"/>
      <c r="AS856" s="423"/>
      <c r="AT856" s="423"/>
      <c r="AU856" s="423"/>
      <c r="AV856" s="423"/>
      <c r="AW856" s="418"/>
      <c r="AX856" s="418"/>
      <c r="AY856" s="418"/>
      <c r="BB856" s="306"/>
      <c r="BF856" s="1119"/>
      <c r="BG856" s="1119"/>
      <c r="BH856" s="1119"/>
    </row>
    <row r="857" spans="1:60" ht="15.75" customHeight="1">
      <c r="A857" s="415"/>
      <c r="B857" s="416"/>
      <c r="C857" s="424"/>
      <c r="E857" s="418"/>
      <c r="F857" s="419"/>
      <c r="G857" s="420"/>
      <c r="H857" s="421"/>
      <c r="I857" s="421"/>
      <c r="J857" s="492"/>
      <c r="K857" s="418"/>
      <c r="L857" s="418"/>
      <c r="M857" s="418"/>
      <c r="N857" s="421"/>
      <c r="O857" s="421"/>
      <c r="P857" s="421"/>
      <c r="Q857" s="418"/>
      <c r="R857" s="419"/>
      <c r="S857" s="418"/>
      <c r="T857" s="418"/>
      <c r="U857" s="418"/>
      <c r="V857" s="418"/>
      <c r="W857" s="418"/>
      <c r="X857" s="418"/>
      <c r="Y857" s="418"/>
      <c r="Z857" s="418"/>
      <c r="AA857" s="418"/>
      <c r="AB857" s="418"/>
      <c r="AC857" s="418"/>
      <c r="AD857" s="418"/>
      <c r="AE857" s="418"/>
      <c r="AF857" s="418"/>
      <c r="AG857" s="418"/>
      <c r="AH857" s="418"/>
      <c r="AI857" s="418"/>
      <c r="AJ857" s="418"/>
      <c r="AK857" s="418"/>
      <c r="AL857" s="418"/>
      <c r="AM857" s="418"/>
      <c r="AN857" s="423"/>
      <c r="AO857" s="423"/>
      <c r="AP857" s="423"/>
      <c r="AQ857" s="423"/>
      <c r="AR857" s="423"/>
      <c r="AS857" s="423"/>
      <c r="AT857" s="423"/>
      <c r="AU857" s="423"/>
      <c r="AV857" s="423"/>
      <c r="AW857" s="418"/>
      <c r="AX857" s="418"/>
      <c r="AY857" s="418"/>
      <c r="BB857" s="306"/>
      <c r="BF857" s="1119"/>
      <c r="BG857" s="1119"/>
      <c r="BH857" s="1119"/>
    </row>
    <row r="858" spans="1:60" ht="15.75" customHeight="1">
      <c r="A858" s="415"/>
      <c r="B858" s="417"/>
      <c r="C858" s="424"/>
      <c r="E858" s="418"/>
      <c r="F858" s="419"/>
      <c r="G858" s="420"/>
      <c r="H858" s="421"/>
      <c r="I858" s="425"/>
      <c r="J858" s="492"/>
      <c r="K858" s="418"/>
      <c r="L858" s="418"/>
      <c r="M858" s="418"/>
      <c r="N858" s="421"/>
      <c r="O858" s="421"/>
      <c r="P858" s="421"/>
      <c r="Q858" s="418"/>
      <c r="R858" s="419"/>
      <c r="S858" s="418"/>
      <c r="T858" s="418"/>
      <c r="U858" s="418"/>
      <c r="V858" s="418"/>
      <c r="W858" s="418"/>
      <c r="X858" s="418"/>
      <c r="Y858" s="418"/>
      <c r="Z858" s="418"/>
      <c r="AA858" s="418"/>
      <c r="AB858" s="418"/>
      <c r="AC858" s="418"/>
      <c r="AD858" s="418"/>
      <c r="AE858" s="418"/>
      <c r="AF858" s="418"/>
      <c r="AG858" s="418"/>
      <c r="AH858" s="418"/>
      <c r="AI858" s="418"/>
      <c r="AJ858" s="418"/>
      <c r="AK858" s="418"/>
      <c r="AL858" s="418"/>
      <c r="AM858" s="418"/>
      <c r="AN858" s="423"/>
      <c r="AO858" s="423"/>
      <c r="AP858" s="423"/>
      <c r="AQ858" s="423"/>
      <c r="AR858" s="423"/>
      <c r="AS858" s="423"/>
      <c r="AT858" s="423"/>
      <c r="AU858" s="423"/>
      <c r="AV858" s="423"/>
      <c r="AW858" s="418"/>
      <c r="AX858" s="418"/>
      <c r="AY858" s="418"/>
      <c r="BB858" s="306"/>
      <c r="BF858" s="1119"/>
      <c r="BG858" s="1119"/>
      <c r="BH858" s="1119"/>
    </row>
    <row r="859" spans="1:60" ht="15.75" customHeight="1">
      <c r="A859" s="415"/>
      <c r="B859" s="417"/>
      <c r="C859" s="424"/>
      <c r="E859" s="418"/>
      <c r="F859" s="419"/>
      <c r="G859" s="420"/>
      <c r="H859" s="421"/>
      <c r="I859" s="425"/>
      <c r="J859" s="492"/>
      <c r="K859" s="418"/>
      <c r="L859" s="418"/>
      <c r="M859" s="418"/>
      <c r="N859" s="421"/>
      <c r="O859" s="421"/>
      <c r="P859" s="421"/>
      <c r="Q859" s="418"/>
      <c r="R859" s="419"/>
      <c r="S859" s="418"/>
      <c r="T859" s="418"/>
      <c r="U859" s="418"/>
      <c r="V859" s="418"/>
      <c r="W859" s="418"/>
      <c r="X859" s="418"/>
      <c r="Y859" s="418"/>
      <c r="Z859" s="418"/>
      <c r="AA859" s="418"/>
      <c r="AB859" s="418"/>
      <c r="AC859" s="418"/>
      <c r="AD859" s="418"/>
      <c r="AE859" s="418"/>
      <c r="AF859" s="418"/>
      <c r="AG859" s="418"/>
      <c r="AH859" s="418"/>
      <c r="AI859" s="418"/>
      <c r="AJ859" s="418"/>
      <c r="AK859" s="418"/>
      <c r="AL859" s="418"/>
      <c r="AM859" s="418"/>
      <c r="AN859" s="423"/>
      <c r="AO859" s="423"/>
      <c r="AP859" s="423"/>
      <c r="AQ859" s="423"/>
      <c r="AR859" s="423"/>
      <c r="AS859" s="423"/>
      <c r="AT859" s="423"/>
      <c r="AU859" s="423"/>
      <c r="AV859" s="423"/>
      <c r="AW859" s="418"/>
      <c r="AX859" s="418"/>
      <c r="AY859" s="418"/>
      <c r="BB859" s="306"/>
      <c r="BF859" s="1119"/>
      <c r="BG859" s="1119"/>
      <c r="BH859" s="1119"/>
    </row>
    <row r="860" spans="1:60" ht="15.75" customHeight="1">
      <c r="A860" s="415"/>
      <c r="B860" s="417"/>
      <c r="C860" s="424"/>
      <c r="E860" s="418"/>
      <c r="F860" s="419"/>
      <c r="G860" s="420"/>
      <c r="H860" s="421"/>
      <c r="I860" s="425"/>
      <c r="J860" s="492"/>
      <c r="K860" s="418"/>
      <c r="L860" s="418"/>
      <c r="M860" s="418"/>
      <c r="N860" s="421"/>
      <c r="O860" s="421"/>
      <c r="P860" s="421"/>
      <c r="Q860" s="418"/>
      <c r="R860" s="419"/>
      <c r="S860" s="418"/>
      <c r="T860" s="418"/>
      <c r="U860" s="418"/>
      <c r="V860" s="418"/>
      <c r="W860" s="418"/>
      <c r="X860" s="418"/>
      <c r="Y860" s="418"/>
      <c r="Z860" s="418"/>
      <c r="AA860" s="418"/>
      <c r="AB860" s="418"/>
      <c r="AC860" s="418"/>
      <c r="AD860" s="418"/>
      <c r="AE860" s="418"/>
      <c r="AF860" s="418"/>
      <c r="AG860" s="418"/>
      <c r="AH860" s="418"/>
      <c r="AI860" s="418"/>
      <c r="AJ860" s="418"/>
      <c r="AK860" s="418"/>
      <c r="AL860" s="418"/>
      <c r="AM860" s="418"/>
      <c r="AN860" s="423"/>
      <c r="AO860" s="423"/>
      <c r="AP860" s="423"/>
      <c r="AQ860" s="423"/>
      <c r="AR860" s="423"/>
      <c r="AS860" s="423"/>
      <c r="AT860" s="423"/>
      <c r="AU860" s="423"/>
      <c r="AV860" s="423"/>
      <c r="AW860" s="418"/>
      <c r="AX860" s="418"/>
      <c r="AY860" s="418"/>
      <c r="BB860" s="306"/>
      <c r="BF860" s="1119"/>
      <c r="BG860" s="1119"/>
      <c r="BH860" s="1119"/>
    </row>
    <row r="861" spans="1:60" ht="15.75" customHeight="1">
      <c r="A861" s="415"/>
      <c r="B861" s="417"/>
      <c r="C861" s="424"/>
      <c r="E861" s="418"/>
      <c r="F861" s="419"/>
      <c r="G861" s="420"/>
      <c r="H861" s="421"/>
      <c r="I861" s="425"/>
      <c r="J861" s="492"/>
      <c r="K861" s="418"/>
      <c r="L861" s="418"/>
      <c r="M861" s="418"/>
      <c r="N861" s="418"/>
      <c r="O861" s="421"/>
      <c r="P861" s="421"/>
      <c r="Q861" s="418"/>
      <c r="R861" s="419"/>
      <c r="S861" s="418"/>
      <c r="T861" s="418"/>
      <c r="U861" s="418"/>
      <c r="V861" s="418"/>
      <c r="W861" s="418"/>
      <c r="X861" s="418"/>
      <c r="Y861" s="418"/>
      <c r="Z861" s="418"/>
      <c r="AA861" s="418"/>
      <c r="AB861" s="418"/>
      <c r="AC861" s="418"/>
      <c r="AD861" s="418"/>
      <c r="AE861" s="418"/>
      <c r="AF861" s="418"/>
      <c r="AG861" s="418"/>
      <c r="AH861" s="418"/>
      <c r="AI861" s="418"/>
      <c r="AJ861" s="418"/>
      <c r="AK861" s="418"/>
      <c r="AL861" s="418"/>
      <c r="AM861" s="418"/>
      <c r="AN861" s="423"/>
      <c r="AO861" s="423"/>
      <c r="AP861" s="423"/>
      <c r="AQ861" s="423"/>
      <c r="AR861" s="423"/>
      <c r="AS861" s="423"/>
      <c r="AT861" s="423"/>
      <c r="AU861" s="423"/>
      <c r="AV861" s="423"/>
      <c r="AW861" s="418"/>
      <c r="AX861" s="418"/>
      <c r="AY861" s="418"/>
      <c r="BB861" s="306"/>
      <c r="BF861" s="1119"/>
      <c r="BG861" s="1119"/>
      <c r="BH861" s="1119"/>
    </row>
    <row r="862" spans="1:60" ht="15.75" customHeight="1">
      <c r="A862" s="415"/>
      <c r="B862" s="417"/>
      <c r="C862" s="424"/>
      <c r="E862" s="418"/>
      <c r="F862" s="419"/>
      <c r="G862" s="420"/>
      <c r="H862" s="421"/>
      <c r="I862" s="425"/>
      <c r="J862" s="492"/>
      <c r="K862" s="418"/>
      <c r="L862" s="418"/>
      <c r="M862" s="418"/>
      <c r="N862" s="418"/>
      <c r="O862" s="421"/>
      <c r="P862" s="421"/>
      <c r="Q862" s="418"/>
      <c r="R862" s="419"/>
      <c r="S862" s="418"/>
      <c r="T862" s="418"/>
      <c r="U862" s="418"/>
      <c r="V862" s="418"/>
      <c r="W862" s="418"/>
      <c r="X862" s="418"/>
      <c r="Y862" s="418"/>
      <c r="Z862" s="418"/>
      <c r="AA862" s="418"/>
      <c r="AB862" s="418"/>
      <c r="AC862" s="418"/>
      <c r="AD862" s="418"/>
      <c r="AE862" s="418"/>
      <c r="AF862" s="418"/>
      <c r="AG862" s="418"/>
      <c r="AH862" s="418"/>
      <c r="AI862" s="418"/>
      <c r="AJ862" s="418"/>
      <c r="AK862" s="418"/>
      <c r="AL862" s="418"/>
      <c r="AM862" s="418"/>
      <c r="AN862" s="423"/>
      <c r="AO862" s="423"/>
      <c r="AP862" s="423"/>
      <c r="AQ862" s="423"/>
      <c r="AR862" s="423"/>
      <c r="AS862" s="423"/>
      <c r="AT862" s="423"/>
      <c r="AU862" s="423"/>
      <c r="AV862" s="423"/>
      <c r="AW862" s="418"/>
      <c r="AX862" s="418"/>
      <c r="AY862" s="418"/>
      <c r="BB862" s="306"/>
      <c r="BF862" s="1119"/>
      <c r="BG862" s="1119"/>
      <c r="BH862" s="1119"/>
    </row>
    <row r="863" spans="1:60" ht="15.75" customHeight="1">
      <c r="A863" s="415"/>
      <c r="B863" s="417"/>
      <c r="C863" s="424"/>
      <c r="E863" s="418"/>
      <c r="F863" s="419"/>
      <c r="G863" s="420"/>
      <c r="H863" s="421"/>
      <c r="I863" s="425"/>
      <c r="J863" s="492"/>
      <c r="K863" s="418"/>
      <c r="L863" s="418"/>
      <c r="M863" s="418"/>
      <c r="N863" s="418"/>
      <c r="O863" s="421"/>
      <c r="P863" s="421"/>
      <c r="Q863" s="418"/>
      <c r="R863" s="419"/>
      <c r="S863" s="418"/>
      <c r="T863" s="418"/>
      <c r="U863" s="418"/>
      <c r="V863" s="418"/>
      <c r="W863" s="418"/>
      <c r="X863" s="418"/>
      <c r="Y863" s="418"/>
      <c r="Z863" s="418"/>
      <c r="AA863" s="418"/>
      <c r="AB863" s="418"/>
      <c r="AC863" s="418"/>
      <c r="AD863" s="418"/>
      <c r="AE863" s="418"/>
      <c r="AF863" s="418"/>
      <c r="AG863" s="418"/>
      <c r="AH863" s="418"/>
      <c r="AI863" s="418"/>
      <c r="AJ863" s="418"/>
      <c r="AK863" s="418"/>
      <c r="AL863" s="418"/>
      <c r="AM863" s="418"/>
      <c r="AN863" s="423"/>
      <c r="AO863" s="423"/>
      <c r="AP863" s="423"/>
      <c r="AQ863" s="423"/>
      <c r="AR863" s="423"/>
      <c r="AS863" s="423"/>
      <c r="AT863" s="423"/>
      <c r="AU863" s="423"/>
      <c r="AV863" s="423"/>
      <c r="AW863" s="418"/>
      <c r="AX863" s="418"/>
      <c r="AY863" s="418"/>
      <c r="BB863" s="306"/>
      <c r="BF863" s="1119"/>
      <c r="BG863" s="1119"/>
      <c r="BH863" s="1119"/>
    </row>
    <row r="864" spans="1:60" ht="15.75" customHeight="1">
      <c r="A864" s="415"/>
      <c r="B864" s="417"/>
      <c r="C864" s="424"/>
      <c r="E864" s="418"/>
      <c r="F864" s="419"/>
      <c r="G864" s="420"/>
      <c r="H864" s="421"/>
      <c r="I864" s="425"/>
      <c r="J864" s="492"/>
      <c r="K864" s="418"/>
      <c r="L864" s="418"/>
      <c r="M864" s="418"/>
      <c r="N864" s="418"/>
      <c r="O864" s="421"/>
      <c r="P864" s="421"/>
      <c r="Q864" s="418"/>
      <c r="R864" s="419"/>
      <c r="S864" s="418"/>
      <c r="T864" s="418"/>
      <c r="U864" s="418"/>
      <c r="V864" s="418"/>
      <c r="W864" s="418"/>
      <c r="X864" s="418"/>
      <c r="Y864" s="418"/>
      <c r="Z864" s="418"/>
      <c r="AA864" s="418"/>
      <c r="AB864" s="418"/>
      <c r="AC864" s="418"/>
      <c r="AD864" s="418"/>
      <c r="AE864" s="418"/>
      <c r="AF864" s="418"/>
      <c r="AG864" s="418"/>
      <c r="AH864" s="418"/>
      <c r="AI864" s="418"/>
      <c r="AJ864" s="418"/>
      <c r="AK864" s="418"/>
      <c r="AL864" s="418"/>
      <c r="AM864" s="418"/>
      <c r="AN864" s="423"/>
      <c r="AO864" s="423"/>
      <c r="AP864" s="423"/>
      <c r="AQ864" s="423"/>
      <c r="AR864" s="423"/>
      <c r="AS864" s="423"/>
      <c r="AT864" s="423"/>
      <c r="AU864" s="423"/>
      <c r="AV864" s="423"/>
      <c r="AW864" s="418"/>
      <c r="AX864" s="418"/>
      <c r="AY864" s="418"/>
      <c r="BB864" s="306"/>
      <c r="BF864" s="1119"/>
      <c r="BG864" s="1119"/>
      <c r="BH864" s="1119"/>
    </row>
    <row r="865" spans="1:60" ht="15.75" customHeight="1">
      <c r="A865" s="415"/>
      <c r="B865" s="417"/>
      <c r="C865" s="424"/>
      <c r="E865" s="418"/>
      <c r="F865" s="419"/>
      <c r="G865" s="420"/>
      <c r="H865" s="421"/>
      <c r="I865" s="425"/>
      <c r="J865" s="492"/>
      <c r="K865" s="418"/>
      <c r="L865" s="418"/>
      <c r="M865" s="418"/>
      <c r="N865" s="418"/>
      <c r="O865" s="421"/>
      <c r="P865" s="421"/>
      <c r="Q865" s="418"/>
      <c r="R865" s="419"/>
      <c r="S865" s="418"/>
      <c r="T865" s="418"/>
      <c r="U865" s="418"/>
      <c r="V865" s="418"/>
      <c r="W865" s="418"/>
      <c r="X865" s="418"/>
      <c r="Y865" s="418"/>
      <c r="Z865" s="418"/>
      <c r="AA865" s="418"/>
      <c r="AB865" s="418"/>
      <c r="AC865" s="418"/>
      <c r="AD865" s="418"/>
      <c r="AE865" s="418"/>
      <c r="AF865" s="418"/>
      <c r="AG865" s="418"/>
      <c r="AH865" s="418"/>
      <c r="AI865" s="418"/>
      <c r="AJ865" s="418"/>
      <c r="AK865" s="418"/>
      <c r="AL865" s="418"/>
      <c r="AM865" s="418"/>
      <c r="AN865" s="423"/>
      <c r="AO865" s="423"/>
      <c r="AP865" s="423"/>
      <c r="AQ865" s="423"/>
      <c r="AR865" s="423"/>
      <c r="AS865" s="423"/>
      <c r="AT865" s="423"/>
      <c r="AU865" s="423"/>
      <c r="AV865" s="423"/>
      <c r="AW865" s="418"/>
      <c r="AX865" s="418"/>
      <c r="AY865" s="418"/>
      <c r="BB865" s="306"/>
      <c r="BF865" s="1119"/>
      <c r="BG865" s="1119"/>
      <c r="BH865" s="1119"/>
    </row>
    <row r="866" spans="1:60" ht="15.75" customHeight="1">
      <c r="A866" s="415"/>
      <c r="B866" s="417"/>
      <c r="C866" s="424"/>
      <c r="E866" s="418"/>
      <c r="F866" s="419"/>
      <c r="G866" s="420"/>
      <c r="H866" s="421"/>
      <c r="I866" s="425"/>
      <c r="J866" s="492"/>
      <c r="K866" s="418"/>
      <c r="L866" s="418"/>
      <c r="M866" s="418"/>
      <c r="N866" s="418"/>
      <c r="O866" s="421"/>
      <c r="P866" s="421"/>
      <c r="Q866" s="418"/>
      <c r="R866" s="419"/>
      <c r="S866" s="418"/>
      <c r="T866" s="418"/>
      <c r="U866" s="418"/>
      <c r="V866" s="418"/>
      <c r="W866" s="418"/>
      <c r="X866" s="418"/>
      <c r="Y866" s="418"/>
      <c r="Z866" s="418"/>
      <c r="AA866" s="418"/>
      <c r="AB866" s="418"/>
      <c r="AC866" s="418"/>
      <c r="AD866" s="418"/>
      <c r="AE866" s="418"/>
      <c r="AF866" s="418"/>
      <c r="AG866" s="418"/>
      <c r="AH866" s="418"/>
      <c r="AI866" s="418"/>
      <c r="AJ866" s="418"/>
      <c r="AK866" s="418"/>
      <c r="AL866" s="418"/>
      <c r="AM866" s="418"/>
      <c r="AN866" s="423"/>
      <c r="AO866" s="423"/>
      <c r="AP866" s="423"/>
      <c r="AQ866" s="423"/>
      <c r="AR866" s="423"/>
      <c r="AS866" s="423"/>
      <c r="AT866" s="423"/>
      <c r="AU866" s="423"/>
      <c r="AV866" s="423"/>
      <c r="AW866" s="418"/>
      <c r="AX866" s="418"/>
      <c r="AY866" s="418"/>
      <c r="BB866" s="306"/>
      <c r="BF866" s="1119"/>
      <c r="BG866" s="1119"/>
      <c r="BH866" s="1119"/>
    </row>
    <row r="867" spans="1:60" ht="15.75" customHeight="1">
      <c r="A867" s="415"/>
      <c r="B867" s="417"/>
      <c r="C867" s="424"/>
      <c r="E867" s="418"/>
      <c r="F867" s="419"/>
      <c r="G867" s="420"/>
      <c r="H867" s="421"/>
      <c r="I867" s="425"/>
      <c r="J867" s="492"/>
      <c r="K867" s="418"/>
      <c r="L867" s="418"/>
      <c r="M867" s="418"/>
      <c r="N867" s="418"/>
      <c r="O867" s="421"/>
      <c r="P867" s="421"/>
      <c r="Q867" s="418"/>
      <c r="R867" s="419"/>
      <c r="S867" s="418"/>
      <c r="T867" s="418"/>
      <c r="U867" s="418"/>
      <c r="V867" s="418"/>
      <c r="W867" s="418"/>
      <c r="X867" s="418"/>
      <c r="Y867" s="418"/>
      <c r="Z867" s="418"/>
      <c r="AA867" s="418"/>
      <c r="AB867" s="418"/>
      <c r="AC867" s="418"/>
      <c r="AD867" s="418"/>
      <c r="AE867" s="418"/>
      <c r="AF867" s="418"/>
      <c r="AG867" s="418"/>
      <c r="AH867" s="418"/>
      <c r="AI867" s="418"/>
      <c r="AJ867" s="418"/>
      <c r="AK867" s="418"/>
      <c r="AL867" s="418"/>
      <c r="AM867" s="418"/>
      <c r="AN867" s="423"/>
      <c r="AO867" s="423"/>
      <c r="AP867" s="423"/>
      <c r="AQ867" s="423"/>
      <c r="AR867" s="423"/>
      <c r="AS867" s="423"/>
      <c r="AT867" s="423"/>
      <c r="AU867" s="423"/>
      <c r="AV867" s="423"/>
      <c r="AW867" s="418"/>
      <c r="AX867" s="418"/>
      <c r="AY867" s="418"/>
      <c r="BB867" s="306"/>
      <c r="BF867" s="1119"/>
      <c r="BG867" s="1119"/>
      <c r="BH867" s="1119"/>
    </row>
    <row r="868" spans="1:60" ht="15.75" customHeight="1">
      <c r="A868" s="415"/>
      <c r="B868" s="417"/>
      <c r="C868" s="424"/>
      <c r="E868" s="418"/>
      <c r="F868" s="419"/>
      <c r="G868" s="420"/>
      <c r="H868" s="421"/>
      <c r="I868" s="425"/>
      <c r="J868" s="492"/>
      <c r="K868" s="418"/>
      <c r="L868" s="418"/>
      <c r="M868" s="418"/>
      <c r="N868" s="418"/>
      <c r="O868" s="421"/>
      <c r="P868" s="421"/>
      <c r="Q868" s="418"/>
      <c r="R868" s="419"/>
      <c r="S868" s="418"/>
      <c r="T868" s="418"/>
      <c r="U868" s="418"/>
      <c r="V868" s="418"/>
      <c r="W868" s="418"/>
      <c r="X868" s="418"/>
      <c r="Y868" s="418"/>
      <c r="Z868" s="418"/>
      <c r="AA868" s="418"/>
      <c r="AB868" s="418"/>
      <c r="AC868" s="418"/>
      <c r="AD868" s="418"/>
      <c r="AE868" s="418"/>
      <c r="AF868" s="418"/>
      <c r="AG868" s="418"/>
      <c r="AH868" s="418"/>
      <c r="AI868" s="418"/>
      <c r="AJ868" s="418"/>
      <c r="AK868" s="418"/>
      <c r="AL868" s="418"/>
      <c r="AM868" s="418"/>
      <c r="AN868" s="423"/>
      <c r="AO868" s="423"/>
      <c r="AP868" s="423"/>
      <c r="AQ868" s="423"/>
      <c r="AR868" s="423"/>
      <c r="AS868" s="423"/>
      <c r="AT868" s="423"/>
      <c r="AU868" s="423"/>
      <c r="AV868" s="423"/>
      <c r="AW868" s="418"/>
      <c r="AX868" s="418"/>
      <c r="AY868" s="418"/>
      <c r="BB868" s="306"/>
      <c r="BF868" s="1119"/>
      <c r="BG868" s="1119"/>
      <c r="BH868" s="1119"/>
    </row>
    <row r="869" spans="1:60" ht="15.75" customHeight="1">
      <c r="A869" s="415"/>
      <c r="B869" s="417"/>
      <c r="C869" s="424"/>
      <c r="E869" s="418"/>
      <c r="F869" s="419"/>
      <c r="G869" s="420"/>
      <c r="H869" s="421"/>
      <c r="I869" s="425"/>
      <c r="J869" s="492"/>
      <c r="K869" s="418"/>
      <c r="L869" s="418"/>
      <c r="M869" s="418"/>
      <c r="N869" s="418"/>
      <c r="O869" s="421"/>
      <c r="P869" s="421"/>
      <c r="Q869" s="418"/>
      <c r="R869" s="419"/>
      <c r="S869" s="418"/>
      <c r="T869" s="418"/>
      <c r="U869" s="418"/>
      <c r="V869" s="418"/>
      <c r="W869" s="418"/>
      <c r="X869" s="418"/>
      <c r="Y869" s="418"/>
      <c r="Z869" s="418"/>
      <c r="AA869" s="418"/>
      <c r="AB869" s="418"/>
      <c r="AC869" s="418"/>
      <c r="AD869" s="418"/>
      <c r="AE869" s="418"/>
      <c r="AF869" s="418"/>
      <c r="AG869" s="418"/>
      <c r="AH869" s="418"/>
      <c r="AI869" s="418"/>
      <c r="AJ869" s="418"/>
      <c r="AK869" s="418"/>
      <c r="AL869" s="418"/>
      <c r="AM869" s="418"/>
      <c r="AN869" s="423"/>
      <c r="AO869" s="423"/>
      <c r="AP869" s="423"/>
      <c r="AQ869" s="423"/>
      <c r="AR869" s="423"/>
      <c r="AS869" s="423"/>
      <c r="AT869" s="423"/>
      <c r="AU869" s="423"/>
      <c r="AV869" s="423"/>
      <c r="AW869" s="418"/>
      <c r="AX869" s="418"/>
      <c r="AY869" s="418"/>
      <c r="BB869" s="306"/>
      <c r="BF869" s="1119"/>
      <c r="BG869" s="1119"/>
      <c r="BH869" s="1119"/>
    </row>
    <row r="870" spans="1:60" ht="15.75" customHeight="1">
      <c r="A870" s="415"/>
      <c r="B870" s="417"/>
      <c r="C870" s="424"/>
      <c r="E870" s="418"/>
      <c r="F870" s="419"/>
      <c r="G870" s="420"/>
      <c r="H870" s="421"/>
      <c r="I870" s="421"/>
      <c r="J870" s="492"/>
      <c r="K870" s="418"/>
      <c r="L870" s="418"/>
      <c r="M870" s="418"/>
      <c r="N870" s="421"/>
      <c r="O870" s="421"/>
      <c r="P870" s="421"/>
      <c r="Q870" s="418"/>
      <c r="R870" s="419"/>
      <c r="S870" s="418"/>
      <c r="T870" s="418"/>
      <c r="U870" s="418"/>
      <c r="V870" s="418"/>
      <c r="W870" s="418"/>
      <c r="X870" s="418"/>
      <c r="Y870" s="418"/>
      <c r="Z870" s="418"/>
      <c r="AA870" s="418"/>
      <c r="AB870" s="418"/>
      <c r="AC870" s="418"/>
      <c r="AD870" s="418"/>
      <c r="AE870" s="418"/>
      <c r="AF870" s="418"/>
      <c r="AG870" s="418"/>
      <c r="AH870" s="418"/>
      <c r="AI870" s="418"/>
      <c r="AJ870" s="418"/>
      <c r="AK870" s="418"/>
      <c r="AL870" s="418"/>
      <c r="AM870" s="418"/>
      <c r="AN870" s="423"/>
      <c r="AO870" s="423"/>
      <c r="AP870" s="423"/>
      <c r="AQ870" s="423"/>
      <c r="AR870" s="423"/>
      <c r="AS870" s="423"/>
      <c r="AT870" s="423"/>
      <c r="AU870" s="423"/>
      <c r="AV870" s="423"/>
      <c r="AW870" s="418"/>
      <c r="AX870" s="418"/>
      <c r="AY870" s="418"/>
      <c r="BB870" s="306"/>
      <c r="BF870" s="1119"/>
      <c r="BG870" s="1119"/>
      <c r="BH870" s="1119"/>
    </row>
    <row r="871" spans="1:60" ht="15.75" customHeight="1">
      <c r="A871" s="415"/>
      <c r="B871" s="417"/>
      <c r="C871" s="424"/>
      <c r="E871" s="418"/>
      <c r="F871" s="419"/>
      <c r="G871" s="420"/>
      <c r="H871" s="421"/>
      <c r="I871" s="421"/>
      <c r="J871" s="492"/>
      <c r="K871" s="418"/>
      <c r="L871" s="418"/>
      <c r="M871" s="418"/>
      <c r="N871" s="421"/>
      <c r="O871" s="421"/>
      <c r="P871" s="421"/>
      <c r="Q871" s="418"/>
      <c r="R871" s="419"/>
      <c r="S871" s="418"/>
      <c r="T871" s="418"/>
      <c r="U871" s="418"/>
      <c r="V871" s="418"/>
      <c r="W871" s="418"/>
      <c r="X871" s="418"/>
      <c r="Y871" s="418"/>
      <c r="Z871" s="418"/>
      <c r="AA871" s="418"/>
      <c r="AB871" s="418"/>
      <c r="AC871" s="418"/>
      <c r="AD871" s="418"/>
      <c r="AE871" s="418"/>
      <c r="AF871" s="418"/>
      <c r="AG871" s="418"/>
      <c r="AH871" s="418"/>
      <c r="AI871" s="418"/>
      <c r="AJ871" s="418"/>
      <c r="AK871" s="418"/>
      <c r="AL871" s="418"/>
      <c r="AM871" s="418"/>
      <c r="AN871" s="423"/>
      <c r="AO871" s="423"/>
      <c r="AP871" s="423"/>
      <c r="AQ871" s="423"/>
      <c r="AR871" s="423"/>
      <c r="AS871" s="423"/>
      <c r="AT871" s="423"/>
      <c r="AU871" s="423"/>
      <c r="AV871" s="423"/>
      <c r="AW871" s="418"/>
      <c r="AX871" s="418"/>
      <c r="AY871" s="418"/>
      <c r="BB871" s="306"/>
      <c r="BF871" s="1119"/>
      <c r="BG871" s="1119"/>
      <c r="BH871" s="1119"/>
    </row>
    <row r="872" spans="1:60" ht="15.75" customHeight="1">
      <c r="A872" s="415"/>
      <c r="B872" s="417"/>
      <c r="C872" s="424"/>
      <c r="E872" s="418"/>
      <c r="F872" s="419"/>
      <c r="G872" s="420"/>
      <c r="H872" s="421"/>
      <c r="I872" s="421"/>
      <c r="J872" s="492"/>
      <c r="K872" s="418"/>
      <c r="L872" s="418"/>
      <c r="M872" s="418"/>
      <c r="N872" s="421"/>
      <c r="O872" s="421"/>
      <c r="P872" s="421"/>
      <c r="Q872" s="418"/>
      <c r="R872" s="419"/>
      <c r="S872" s="418"/>
      <c r="T872" s="418"/>
      <c r="U872" s="418"/>
      <c r="V872" s="418"/>
      <c r="W872" s="418"/>
      <c r="X872" s="418"/>
      <c r="Y872" s="418"/>
      <c r="Z872" s="418"/>
      <c r="AA872" s="418"/>
      <c r="AB872" s="418"/>
      <c r="AC872" s="418"/>
      <c r="AD872" s="418"/>
      <c r="AE872" s="418"/>
      <c r="AF872" s="418"/>
      <c r="AG872" s="418"/>
      <c r="AH872" s="418"/>
      <c r="AI872" s="418"/>
      <c r="AJ872" s="418"/>
      <c r="AK872" s="418"/>
      <c r="AL872" s="418"/>
      <c r="AM872" s="418"/>
      <c r="AN872" s="423"/>
      <c r="AO872" s="423"/>
      <c r="AP872" s="423"/>
      <c r="AQ872" s="423"/>
      <c r="AR872" s="423"/>
      <c r="AS872" s="423"/>
      <c r="AT872" s="423"/>
      <c r="AU872" s="423"/>
      <c r="AV872" s="423"/>
      <c r="AW872" s="418"/>
      <c r="AX872" s="418"/>
      <c r="AY872" s="418"/>
      <c r="BB872" s="306"/>
      <c r="BF872" s="1119"/>
      <c r="BG872" s="1119"/>
      <c r="BH872" s="1119"/>
    </row>
    <row r="873" spans="1:60" ht="15.75" customHeight="1">
      <c r="A873" s="415"/>
      <c r="B873" s="417"/>
      <c r="C873" s="424"/>
      <c r="E873" s="418"/>
      <c r="F873" s="419"/>
      <c r="G873" s="420"/>
      <c r="H873" s="421"/>
      <c r="I873" s="421"/>
      <c r="J873" s="492"/>
      <c r="K873" s="418"/>
      <c r="L873" s="418"/>
      <c r="M873" s="418"/>
      <c r="N873" s="421"/>
      <c r="O873" s="421"/>
      <c r="P873" s="421"/>
      <c r="Q873" s="418"/>
      <c r="R873" s="419"/>
      <c r="S873" s="418"/>
      <c r="T873" s="418"/>
      <c r="U873" s="418"/>
      <c r="V873" s="418"/>
      <c r="W873" s="418"/>
      <c r="X873" s="418"/>
      <c r="Y873" s="418"/>
      <c r="Z873" s="418"/>
      <c r="AA873" s="418"/>
      <c r="AB873" s="418"/>
      <c r="AC873" s="418"/>
      <c r="AD873" s="418"/>
      <c r="AE873" s="418"/>
      <c r="AF873" s="418"/>
      <c r="AG873" s="418"/>
      <c r="AH873" s="418"/>
      <c r="AI873" s="418"/>
      <c r="AJ873" s="418"/>
      <c r="AK873" s="418"/>
      <c r="AL873" s="418"/>
      <c r="AM873" s="418"/>
      <c r="AN873" s="423"/>
      <c r="AO873" s="423"/>
      <c r="AP873" s="423"/>
      <c r="AQ873" s="423"/>
      <c r="AR873" s="423"/>
      <c r="AS873" s="423"/>
      <c r="AT873" s="423"/>
      <c r="AU873" s="423"/>
      <c r="AV873" s="423"/>
      <c r="AW873" s="418"/>
      <c r="AX873" s="418"/>
      <c r="AY873" s="418"/>
      <c r="BB873" s="306"/>
      <c r="BF873" s="1119"/>
      <c r="BG873" s="1119"/>
      <c r="BH873" s="1119"/>
    </row>
    <row r="874" spans="1:60" ht="15.75" customHeight="1">
      <c r="A874" s="415"/>
      <c r="B874" s="417"/>
      <c r="C874" s="424"/>
      <c r="E874" s="418"/>
      <c r="F874" s="419"/>
      <c r="G874" s="420"/>
      <c r="H874" s="421"/>
      <c r="I874" s="421"/>
      <c r="J874" s="492"/>
      <c r="K874" s="418"/>
      <c r="L874" s="418"/>
      <c r="M874" s="418"/>
      <c r="N874" s="421"/>
      <c r="O874" s="421"/>
      <c r="P874" s="421"/>
      <c r="Q874" s="418"/>
      <c r="R874" s="419"/>
      <c r="S874" s="418"/>
      <c r="T874" s="418"/>
      <c r="U874" s="418"/>
      <c r="V874" s="418"/>
      <c r="W874" s="418"/>
      <c r="X874" s="418"/>
      <c r="Y874" s="418"/>
      <c r="Z874" s="418"/>
      <c r="AA874" s="418"/>
      <c r="AB874" s="418"/>
      <c r="AC874" s="418"/>
      <c r="AD874" s="418"/>
      <c r="AE874" s="418"/>
      <c r="AF874" s="418"/>
      <c r="AG874" s="418"/>
      <c r="AH874" s="418"/>
      <c r="AI874" s="418"/>
      <c r="AJ874" s="418"/>
      <c r="AK874" s="418"/>
      <c r="AL874" s="418"/>
      <c r="AM874" s="418"/>
      <c r="AN874" s="423"/>
      <c r="AO874" s="423"/>
      <c r="AP874" s="423"/>
      <c r="AQ874" s="423"/>
      <c r="AR874" s="423"/>
      <c r="AS874" s="423"/>
      <c r="AT874" s="423"/>
      <c r="AU874" s="423"/>
      <c r="AV874" s="423"/>
      <c r="AW874" s="418"/>
      <c r="AX874" s="418"/>
      <c r="AY874" s="418"/>
      <c r="BB874" s="306"/>
      <c r="BF874" s="1119"/>
      <c r="BG874" s="1119"/>
      <c r="BH874" s="1119"/>
    </row>
    <row r="875" spans="1:60" ht="15.75" customHeight="1">
      <c r="A875" s="415"/>
      <c r="B875" s="417"/>
      <c r="C875" s="424"/>
      <c r="E875" s="418"/>
      <c r="F875" s="419"/>
      <c r="G875" s="420"/>
      <c r="H875" s="421"/>
      <c r="I875" s="421"/>
      <c r="J875" s="492"/>
      <c r="K875" s="418"/>
      <c r="L875" s="418"/>
      <c r="M875" s="418"/>
      <c r="N875" s="421"/>
      <c r="O875" s="421"/>
      <c r="P875" s="421"/>
      <c r="Q875" s="418"/>
      <c r="R875" s="419"/>
      <c r="S875" s="418"/>
      <c r="T875" s="418"/>
      <c r="U875" s="418"/>
      <c r="V875" s="418"/>
      <c r="W875" s="418"/>
      <c r="X875" s="418"/>
      <c r="Y875" s="418"/>
      <c r="Z875" s="418"/>
      <c r="AA875" s="418"/>
      <c r="AB875" s="418"/>
      <c r="AC875" s="418"/>
      <c r="AD875" s="418"/>
      <c r="AE875" s="418"/>
      <c r="AF875" s="418"/>
      <c r="AG875" s="418"/>
      <c r="AH875" s="418"/>
      <c r="AI875" s="418"/>
      <c r="AJ875" s="418"/>
      <c r="AK875" s="418"/>
      <c r="AL875" s="418"/>
      <c r="AM875" s="418"/>
      <c r="AN875" s="423"/>
      <c r="AO875" s="423"/>
      <c r="AP875" s="423"/>
      <c r="AQ875" s="423"/>
      <c r="AR875" s="423"/>
      <c r="AS875" s="423"/>
      <c r="AT875" s="423"/>
      <c r="AU875" s="423"/>
      <c r="AV875" s="423"/>
      <c r="AW875" s="418"/>
      <c r="AX875" s="418"/>
      <c r="AY875" s="418"/>
      <c r="BB875" s="306"/>
      <c r="BF875" s="1119"/>
      <c r="BG875" s="1119"/>
      <c r="BH875" s="1119"/>
    </row>
    <row r="876" spans="1:60" ht="15.75" customHeight="1">
      <c r="A876" s="415"/>
      <c r="B876" s="417"/>
      <c r="C876" s="424"/>
      <c r="E876" s="418"/>
      <c r="F876" s="419"/>
      <c r="G876" s="420"/>
      <c r="H876" s="421"/>
      <c r="I876" s="421"/>
      <c r="J876" s="492"/>
      <c r="K876" s="418"/>
      <c r="L876" s="418"/>
      <c r="M876" s="418"/>
      <c r="N876" s="421"/>
      <c r="O876" s="421"/>
      <c r="P876" s="421"/>
      <c r="Q876" s="418"/>
      <c r="R876" s="419"/>
      <c r="S876" s="418"/>
      <c r="T876" s="418"/>
      <c r="U876" s="418"/>
      <c r="V876" s="418"/>
      <c r="W876" s="418"/>
      <c r="X876" s="418"/>
      <c r="Y876" s="418"/>
      <c r="Z876" s="418"/>
      <c r="AA876" s="418"/>
      <c r="AB876" s="418"/>
      <c r="AC876" s="418"/>
      <c r="AD876" s="418"/>
      <c r="AE876" s="418"/>
      <c r="AF876" s="418"/>
      <c r="AG876" s="418"/>
      <c r="AH876" s="418"/>
      <c r="AI876" s="418"/>
      <c r="AJ876" s="418"/>
      <c r="AK876" s="418"/>
      <c r="AL876" s="418"/>
      <c r="AM876" s="418"/>
      <c r="AN876" s="423"/>
      <c r="AO876" s="423"/>
      <c r="AP876" s="423"/>
      <c r="AQ876" s="423"/>
      <c r="AR876" s="423"/>
      <c r="AS876" s="423"/>
      <c r="AT876" s="423"/>
      <c r="AU876" s="423"/>
      <c r="AV876" s="423"/>
      <c r="AW876" s="418"/>
      <c r="AX876" s="418"/>
      <c r="AY876" s="418"/>
      <c r="BB876" s="306"/>
      <c r="BF876" s="1119"/>
      <c r="BG876" s="1119"/>
      <c r="BH876" s="1119"/>
    </row>
    <row r="877" spans="1:60" ht="15.75" customHeight="1">
      <c r="A877" s="415"/>
      <c r="B877" s="417"/>
      <c r="C877" s="424"/>
      <c r="E877" s="418"/>
      <c r="F877" s="419"/>
      <c r="G877" s="420"/>
      <c r="H877" s="421"/>
      <c r="I877" s="425"/>
      <c r="J877" s="492"/>
      <c r="K877" s="418"/>
      <c r="L877" s="418"/>
      <c r="M877" s="418"/>
      <c r="N877" s="421"/>
      <c r="O877" s="421"/>
      <c r="P877" s="421"/>
      <c r="Q877" s="418"/>
      <c r="R877" s="419"/>
      <c r="S877" s="418"/>
      <c r="T877" s="418"/>
      <c r="U877" s="418"/>
      <c r="V877" s="418"/>
      <c r="W877" s="418"/>
      <c r="X877" s="418"/>
      <c r="Y877" s="418"/>
      <c r="Z877" s="418"/>
      <c r="AA877" s="418"/>
      <c r="AB877" s="418"/>
      <c r="AC877" s="418"/>
      <c r="AD877" s="418"/>
      <c r="AE877" s="418"/>
      <c r="AF877" s="418"/>
      <c r="AG877" s="418"/>
      <c r="AH877" s="418"/>
      <c r="AI877" s="418"/>
      <c r="AJ877" s="418"/>
      <c r="AK877" s="418"/>
      <c r="AL877" s="418"/>
      <c r="AM877" s="418"/>
      <c r="AN877" s="423"/>
      <c r="AO877" s="423"/>
      <c r="AP877" s="423"/>
      <c r="AQ877" s="423"/>
      <c r="AR877" s="423"/>
      <c r="AS877" s="423"/>
      <c r="AT877" s="423"/>
      <c r="AU877" s="423"/>
      <c r="AV877" s="423"/>
      <c r="AW877" s="418"/>
      <c r="AX877" s="418"/>
      <c r="AY877" s="418"/>
      <c r="BB877" s="306"/>
      <c r="BF877" s="1119"/>
      <c r="BG877" s="1119"/>
      <c r="BH877" s="1119"/>
    </row>
    <row r="878" spans="1:60" ht="15.75" customHeight="1">
      <c r="A878" s="415"/>
      <c r="B878" s="417"/>
      <c r="C878" s="424"/>
      <c r="E878" s="418"/>
      <c r="F878" s="419"/>
      <c r="G878" s="420"/>
      <c r="H878" s="421"/>
      <c r="I878" s="425"/>
      <c r="J878" s="492"/>
      <c r="K878" s="418"/>
      <c r="L878" s="418"/>
      <c r="M878" s="418"/>
      <c r="N878" s="421"/>
      <c r="O878" s="421"/>
      <c r="P878" s="421"/>
      <c r="Q878" s="418"/>
      <c r="R878" s="419"/>
      <c r="S878" s="418"/>
      <c r="T878" s="418"/>
      <c r="U878" s="418"/>
      <c r="V878" s="418"/>
      <c r="W878" s="418"/>
      <c r="X878" s="418"/>
      <c r="Y878" s="418"/>
      <c r="Z878" s="418"/>
      <c r="AA878" s="418"/>
      <c r="AB878" s="418"/>
      <c r="AC878" s="418"/>
      <c r="AD878" s="418"/>
      <c r="AE878" s="418"/>
      <c r="AF878" s="418"/>
      <c r="AG878" s="418"/>
      <c r="AH878" s="418"/>
      <c r="AI878" s="418"/>
      <c r="AJ878" s="418"/>
      <c r="AK878" s="418"/>
      <c r="AL878" s="418"/>
      <c r="AM878" s="418"/>
      <c r="AN878" s="423"/>
      <c r="AO878" s="423"/>
      <c r="AP878" s="423"/>
      <c r="AQ878" s="423"/>
      <c r="AR878" s="423"/>
      <c r="AS878" s="423"/>
      <c r="AT878" s="423"/>
      <c r="AU878" s="423"/>
      <c r="AV878" s="423"/>
      <c r="AW878" s="418"/>
      <c r="AX878" s="418"/>
      <c r="AY878" s="418"/>
      <c r="BB878" s="306"/>
      <c r="BF878" s="1119"/>
      <c r="BG878" s="1119"/>
      <c r="BH878" s="1119"/>
    </row>
    <row r="879" spans="1:60" ht="15.75" customHeight="1">
      <c r="A879" s="415"/>
      <c r="B879" s="417"/>
      <c r="C879" s="424"/>
      <c r="E879" s="418"/>
      <c r="F879" s="419"/>
      <c r="G879" s="420"/>
      <c r="H879" s="421"/>
      <c r="I879" s="425"/>
      <c r="J879" s="492"/>
      <c r="K879" s="418"/>
      <c r="L879" s="418"/>
      <c r="M879" s="418"/>
      <c r="N879" s="421"/>
      <c r="O879" s="421"/>
      <c r="P879" s="421"/>
      <c r="Q879" s="418"/>
      <c r="R879" s="419"/>
      <c r="S879" s="418"/>
      <c r="T879" s="418"/>
      <c r="U879" s="418"/>
      <c r="V879" s="418"/>
      <c r="W879" s="418"/>
      <c r="X879" s="418"/>
      <c r="Y879" s="418"/>
      <c r="Z879" s="418"/>
      <c r="AA879" s="418"/>
      <c r="AB879" s="418"/>
      <c r="AC879" s="418"/>
      <c r="AD879" s="418"/>
      <c r="AE879" s="418"/>
      <c r="AF879" s="418"/>
      <c r="AG879" s="418"/>
      <c r="AH879" s="418"/>
      <c r="AI879" s="418"/>
      <c r="AJ879" s="418"/>
      <c r="AK879" s="418"/>
      <c r="AL879" s="418"/>
      <c r="AM879" s="418"/>
      <c r="AN879" s="423"/>
      <c r="AO879" s="423"/>
      <c r="AP879" s="423"/>
      <c r="AQ879" s="423"/>
      <c r="AR879" s="423"/>
      <c r="AS879" s="423"/>
      <c r="AT879" s="423"/>
      <c r="AU879" s="423"/>
      <c r="AV879" s="423"/>
      <c r="AW879" s="418"/>
      <c r="AX879" s="418"/>
      <c r="AY879" s="418"/>
      <c r="BB879" s="306"/>
      <c r="BF879" s="1119"/>
      <c r="BG879" s="1119"/>
      <c r="BH879" s="1119"/>
    </row>
    <row r="880" spans="1:60" ht="15.75" customHeight="1">
      <c r="A880" s="415"/>
      <c r="B880" s="417"/>
      <c r="C880" s="424"/>
      <c r="E880" s="418"/>
      <c r="F880" s="419"/>
      <c r="G880" s="420"/>
      <c r="H880" s="421"/>
      <c r="I880" s="421"/>
      <c r="J880" s="492"/>
      <c r="K880" s="418"/>
      <c r="L880" s="418"/>
      <c r="M880" s="418"/>
      <c r="N880" s="421"/>
      <c r="O880" s="421"/>
      <c r="P880" s="421"/>
      <c r="Q880" s="418"/>
      <c r="R880" s="419"/>
      <c r="S880" s="418"/>
      <c r="T880" s="418"/>
      <c r="U880" s="418"/>
      <c r="V880" s="418"/>
      <c r="W880" s="418"/>
      <c r="X880" s="418"/>
      <c r="Y880" s="418"/>
      <c r="Z880" s="418"/>
      <c r="AA880" s="418"/>
      <c r="AB880" s="418"/>
      <c r="AC880" s="418"/>
      <c r="AD880" s="418"/>
      <c r="AE880" s="418"/>
      <c r="AF880" s="418"/>
      <c r="AG880" s="418"/>
      <c r="AH880" s="418"/>
      <c r="AI880" s="418"/>
      <c r="AJ880" s="418"/>
      <c r="AK880" s="418"/>
      <c r="AL880" s="418"/>
      <c r="AM880" s="418"/>
      <c r="AN880" s="423"/>
      <c r="AO880" s="423"/>
      <c r="AP880" s="423"/>
      <c r="AQ880" s="423"/>
      <c r="AR880" s="423"/>
      <c r="AS880" s="423"/>
      <c r="AT880" s="423"/>
      <c r="AU880" s="423"/>
      <c r="AV880" s="423"/>
      <c r="AW880" s="418"/>
      <c r="AX880" s="418"/>
      <c r="AY880" s="418"/>
      <c r="BB880" s="306"/>
      <c r="BF880" s="1119"/>
      <c r="BG880" s="1119"/>
      <c r="BH880" s="1119"/>
    </row>
    <row r="881" spans="1:65" ht="15.75" customHeight="1">
      <c r="A881" s="415"/>
      <c r="B881" s="417"/>
      <c r="C881" s="424"/>
      <c r="E881" s="418"/>
      <c r="F881" s="419"/>
      <c r="G881" s="420"/>
      <c r="H881" s="421"/>
      <c r="I881" s="425"/>
      <c r="J881" s="492"/>
      <c r="K881" s="418"/>
      <c r="L881" s="418"/>
      <c r="M881" s="418"/>
      <c r="N881" s="421"/>
      <c r="O881" s="421"/>
      <c r="P881" s="421"/>
      <c r="Q881" s="418"/>
      <c r="R881" s="419"/>
      <c r="S881" s="418"/>
      <c r="T881" s="418"/>
      <c r="U881" s="418"/>
      <c r="V881" s="418"/>
      <c r="W881" s="418"/>
      <c r="X881" s="418"/>
      <c r="Y881" s="418"/>
      <c r="Z881" s="418"/>
      <c r="AA881" s="418"/>
      <c r="AB881" s="418"/>
      <c r="AC881" s="418"/>
      <c r="AD881" s="418"/>
      <c r="AE881" s="418"/>
      <c r="AF881" s="418"/>
      <c r="AG881" s="418"/>
      <c r="AH881" s="418"/>
      <c r="AI881" s="418"/>
      <c r="AJ881" s="418"/>
      <c r="AK881" s="418"/>
      <c r="AL881" s="418"/>
      <c r="AM881" s="418"/>
      <c r="AN881" s="423"/>
      <c r="AO881" s="423"/>
      <c r="AP881" s="423"/>
      <c r="AQ881" s="423"/>
      <c r="AR881" s="423"/>
      <c r="AS881" s="423"/>
      <c r="AT881" s="423"/>
      <c r="AU881" s="423"/>
      <c r="AV881" s="423"/>
      <c r="AW881" s="418"/>
      <c r="AX881" s="418"/>
      <c r="AY881" s="418"/>
      <c r="BB881" s="306"/>
      <c r="BF881" s="1119"/>
      <c r="BG881" s="1119"/>
      <c r="BH881" s="1119"/>
    </row>
    <row r="882" spans="1:65" ht="15.75" customHeight="1">
      <c r="A882" s="415"/>
      <c r="B882" s="417"/>
      <c r="C882" s="424"/>
      <c r="E882" s="418"/>
      <c r="F882" s="419"/>
      <c r="G882" s="420"/>
      <c r="H882" s="421"/>
      <c r="I882" s="421"/>
      <c r="J882" s="492"/>
      <c r="K882" s="418"/>
      <c r="L882" s="418"/>
      <c r="M882" s="418"/>
      <c r="N882" s="421"/>
      <c r="O882" s="421"/>
      <c r="P882" s="421"/>
      <c r="Q882" s="418"/>
      <c r="R882" s="419"/>
      <c r="S882" s="418"/>
      <c r="T882" s="418"/>
      <c r="U882" s="418"/>
      <c r="V882" s="418"/>
      <c r="W882" s="418"/>
      <c r="X882" s="418"/>
      <c r="Y882" s="418"/>
      <c r="Z882" s="418"/>
      <c r="AA882" s="418"/>
      <c r="AB882" s="418"/>
      <c r="AC882" s="418"/>
      <c r="AD882" s="418"/>
      <c r="AE882" s="418"/>
      <c r="AF882" s="418"/>
      <c r="AG882" s="418"/>
      <c r="AH882" s="418"/>
      <c r="AI882" s="418"/>
      <c r="AJ882" s="418"/>
      <c r="AK882" s="418"/>
      <c r="AL882" s="418"/>
      <c r="AM882" s="418"/>
      <c r="AN882" s="423"/>
      <c r="AO882" s="423"/>
      <c r="AP882" s="423"/>
      <c r="AQ882" s="423"/>
      <c r="AR882" s="423"/>
      <c r="AS882" s="423"/>
      <c r="AT882" s="423"/>
      <c r="AU882" s="423"/>
      <c r="AV882" s="423"/>
      <c r="AW882" s="418"/>
      <c r="AX882" s="418"/>
      <c r="AY882" s="418"/>
      <c r="BB882" s="306"/>
      <c r="BF882" s="1119"/>
      <c r="BG882" s="1119"/>
      <c r="BH882" s="1119"/>
    </row>
    <row r="883" spans="1:65" ht="15.75" customHeight="1">
      <c r="A883" s="415"/>
      <c r="B883" s="417"/>
      <c r="C883" s="424"/>
      <c r="E883" s="418"/>
      <c r="F883" s="419"/>
      <c r="G883" s="420"/>
      <c r="H883" s="421"/>
      <c r="I883" s="425"/>
      <c r="J883" s="492"/>
      <c r="K883" s="418"/>
      <c r="L883" s="418"/>
      <c r="M883" s="418"/>
      <c r="N883" s="421"/>
      <c r="O883" s="421"/>
      <c r="P883" s="421"/>
      <c r="Q883" s="418"/>
      <c r="R883" s="419"/>
      <c r="S883" s="418"/>
      <c r="T883" s="418"/>
      <c r="U883" s="418"/>
      <c r="V883" s="418"/>
      <c r="W883" s="418"/>
      <c r="X883" s="418"/>
      <c r="Y883" s="418"/>
      <c r="Z883" s="418"/>
      <c r="AA883" s="418"/>
      <c r="AB883" s="418"/>
      <c r="AC883" s="418"/>
      <c r="AD883" s="418"/>
      <c r="AE883" s="418"/>
      <c r="AF883" s="418"/>
      <c r="AG883" s="418"/>
      <c r="AH883" s="418"/>
      <c r="AI883" s="418"/>
      <c r="AJ883" s="418"/>
      <c r="AK883" s="418"/>
      <c r="AL883" s="418"/>
      <c r="AM883" s="418"/>
      <c r="AN883" s="423"/>
      <c r="AO883" s="423"/>
      <c r="AP883" s="423"/>
      <c r="AQ883" s="423"/>
      <c r="AR883" s="423"/>
      <c r="AS883" s="423"/>
      <c r="AT883" s="423"/>
      <c r="AU883" s="423"/>
      <c r="AV883" s="423"/>
      <c r="AW883" s="418"/>
      <c r="AX883" s="418"/>
      <c r="AY883" s="418"/>
      <c r="BB883" s="306"/>
      <c r="BF883" s="1119"/>
      <c r="BG883" s="1119"/>
      <c r="BH883" s="1119"/>
    </row>
    <row r="884" spans="1:65" ht="15.75" customHeight="1">
      <c r="A884" s="415"/>
      <c r="B884" s="417"/>
      <c r="C884" s="424"/>
      <c r="E884" s="418"/>
      <c r="F884" s="419"/>
      <c r="G884" s="420"/>
      <c r="H884" s="421"/>
      <c r="I884" s="421"/>
      <c r="J884" s="492"/>
      <c r="K884" s="418"/>
      <c r="L884" s="418"/>
      <c r="M884" s="418"/>
      <c r="N884" s="421"/>
      <c r="O884" s="421"/>
      <c r="P884" s="421"/>
      <c r="Q884" s="418"/>
      <c r="R884" s="419"/>
      <c r="S884" s="418"/>
      <c r="T884" s="418"/>
      <c r="U884" s="418"/>
      <c r="V884" s="418"/>
      <c r="W884" s="418"/>
      <c r="X884" s="418"/>
      <c r="Y884" s="418"/>
      <c r="Z884" s="418"/>
      <c r="AA884" s="418"/>
      <c r="AB884" s="418"/>
      <c r="AC884" s="418"/>
      <c r="AD884" s="418"/>
      <c r="AE884" s="418"/>
      <c r="AF884" s="418"/>
      <c r="AG884" s="418"/>
      <c r="AH884" s="418"/>
      <c r="AI884" s="418"/>
      <c r="AJ884" s="418"/>
      <c r="AK884" s="418"/>
      <c r="AL884" s="418"/>
      <c r="AM884" s="418"/>
      <c r="AN884" s="423"/>
      <c r="AO884" s="423"/>
      <c r="AP884" s="423"/>
      <c r="AQ884" s="423"/>
      <c r="AR884" s="423"/>
      <c r="AS884" s="423"/>
      <c r="AT884" s="423"/>
      <c r="AU884" s="423"/>
      <c r="AV884" s="423"/>
      <c r="AW884" s="418"/>
      <c r="AX884" s="418"/>
      <c r="AY884" s="418"/>
      <c r="BB884" s="306"/>
      <c r="BF884" s="1119"/>
      <c r="BG884" s="1119"/>
      <c r="BH884" s="1119"/>
    </row>
    <row r="885" spans="1:65" ht="15.75" customHeight="1">
      <c r="A885" s="415"/>
      <c r="B885" s="417"/>
      <c r="C885" s="424"/>
      <c r="E885" s="418"/>
      <c r="F885" s="419"/>
      <c r="G885" s="420"/>
      <c r="H885" s="421"/>
      <c r="I885" s="421"/>
      <c r="J885" s="492"/>
      <c r="K885" s="418"/>
      <c r="L885" s="418"/>
      <c r="M885" s="418"/>
      <c r="N885" s="421"/>
      <c r="O885" s="421"/>
      <c r="P885" s="421"/>
      <c r="Q885" s="418"/>
      <c r="R885" s="419"/>
      <c r="S885" s="418"/>
      <c r="T885" s="418"/>
      <c r="U885" s="418"/>
      <c r="V885" s="418"/>
      <c r="W885" s="418"/>
      <c r="X885" s="418"/>
      <c r="Y885" s="418"/>
      <c r="Z885" s="418"/>
      <c r="AA885" s="418"/>
      <c r="AB885" s="418"/>
      <c r="AC885" s="418"/>
      <c r="AD885" s="418"/>
      <c r="AE885" s="418"/>
      <c r="AF885" s="418"/>
      <c r="AG885" s="418"/>
      <c r="AH885" s="418"/>
      <c r="AI885" s="418"/>
      <c r="AJ885" s="418"/>
      <c r="AK885" s="418"/>
      <c r="AL885" s="418"/>
      <c r="AM885" s="418"/>
      <c r="AN885" s="423"/>
      <c r="AO885" s="423"/>
      <c r="AP885" s="423"/>
      <c r="AQ885" s="423"/>
      <c r="AR885" s="423"/>
      <c r="AS885" s="423"/>
      <c r="AT885" s="423"/>
      <c r="AU885" s="423"/>
      <c r="AV885" s="423"/>
      <c r="AW885" s="418"/>
      <c r="AX885" s="418"/>
      <c r="AY885" s="418"/>
      <c r="BB885" s="306"/>
      <c r="BF885" s="1119"/>
      <c r="BG885" s="1119"/>
      <c r="BH885" s="1119"/>
    </row>
    <row r="886" spans="1:65" ht="15.75" customHeight="1">
      <c r="A886" s="415"/>
      <c r="B886" s="417"/>
      <c r="C886" s="424"/>
      <c r="E886" s="418"/>
      <c r="F886" s="419"/>
      <c r="G886" s="420"/>
      <c r="H886" s="421"/>
      <c r="I886" s="421"/>
      <c r="J886" s="492"/>
      <c r="K886" s="418"/>
      <c r="L886" s="418"/>
      <c r="M886" s="418"/>
      <c r="N886" s="421"/>
      <c r="O886" s="421"/>
      <c r="P886" s="421"/>
      <c r="Q886" s="418"/>
      <c r="R886" s="419"/>
      <c r="S886" s="418"/>
      <c r="T886" s="418"/>
      <c r="U886" s="418"/>
      <c r="V886" s="418"/>
      <c r="W886" s="418"/>
      <c r="X886" s="418"/>
      <c r="Y886" s="418"/>
      <c r="Z886" s="418"/>
      <c r="AA886" s="418"/>
      <c r="AB886" s="418"/>
      <c r="AC886" s="418"/>
      <c r="AD886" s="418"/>
      <c r="AE886" s="418"/>
      <c r="AF886" s="418"/>
      <c r="AG886" s="418"/>
      <c r="AH886" s="418"/>
      <c r="AI886" s="418"/>
      <c r="AJ886" s="418"/>
      <c r="AK886" s="418"/>
      <c r="AL886" s="418"/>
      <c r="AM886" s="418"/>
      <c r="AN886" s="423"/>
      <c r="AO886" s="423"/>
      <c r="AP886" s="423"/>
      <c r="AQ886" s="423"/>
      <c r="AR886" s="423"/>
      <c r="AS886" s="423"/>
      <c r="AT886" s="423"/>
      <c r="AU886" s="423"/>
      <c r="AV886" s="423"/>
      <c r="AW886" s="418"/>
      <c r="AX886" s="418"/>
      <c r="AY886" s="418"/>
      <c r="BB886" s="306"/>
      <c r="BF886" s="1119"/>
      <c r="BG886" s="1119"/>
      <c r="BH886" s="1119"/>
    </row>
    <row r="887" spans="1:65" ht="15.75" customHeight="1">
      <c r="A887" s="415"/>
      <c r="B887" s="417"/>
      <c r="C887" s="424"/>
      <c r="E887" s="418"/>
      <c r="F887" s="419"/>
      <c r="G887" s="420"/>
      <c r="H887" s="421"/>
      <c r="I887" s="421"/>
      <c r="J887" s="492"/>
      <c r="K887" s="418"/>
      <c r="L887" s="418"/>
      <c r="M887" s="418"/>
      <c r="N887" s="421"/>
      <c r="O887" s="421"/>
      <c r="P887" s="421"/>
      <c r="Q887" s="418"/>
      <c r="R887" s="419"/>
      <c r="S887" s="418"/>
      <c r="T887" s="418"/>
      <c r="U887" s="418"/>
      <c r="V887" s="418"/>
      <c r="W887" s="418"/>
      <c r="X887" s="418"/>
      <c r="Y887" s="418"/>
      <c r="Z887" s="418"/>
      <c r="AA887" s="418"/>
      <c r="AB887" s="418"/>
      <c r="AC887" s="418"/>
      <c r="AD887" s="418"/>
      <c r="AE887" s="418"/>
      <c r="AF887" s="418"/>
      <c r="AG887" s="418"/>
      <c r="AH887" s="418"/>
      <c r="AI887" s="418"/>
      <c r="AJ887" s="418"/>
      <c r="AK887" s="418"/>
      <c r="AL887" s="418"/>
      <c r="AM887" s="418"/>
      <c r="AN887" s="423"/>
      <c r="AO887" s="423"/>
      <c r="AP887" s="423"/>
      <c r="AQ887" s="423"/>
      <c r="AR887" s="423"/>
      <c r="AS887" s="423"/>
      <c r="AT887" s="423"/>
      <c r="AU887" s="423"/>
      <c r="AV887" s="423"/>
      <c r="AW887" s="418"/>
      <c r="AX887" s="418"/>
      <c r="AY887" s="418"/>
      <c r="BB887" s="306"/>
      <c r="BF887" s="1119"/>
      <c r="BG887" s="1119"/>
      <c r="BH887" s="1119"/>
    </row>
    <row r="888" spans="1:65" ht="15.75" customHeight="1">
      <c r="A888" s="415"/>
      <c r="B888" s="417"/>
      <c r="C888" s="424"/>
      <c r="E888" s="418"/>
      <c r="F888" s="419"/>
      <c r="G888" s="420"/>
      <c r="H888" s="421"/>
      <c r="I888" s="421"/>
      <c r="J888" s="492"/>
      <c r="K888" s="418"/>
      <c r="L888" s="418"/>
      <c r="M888" s="418"/>
      <c r="N888" s="421"/>
      <c r="O888" s="421"/>
      <c r="P888" s="421"/>
      <c r="Q888" s="418"/>
      <c r="R888" s="419"/>
      <c r="S888" s="418"/>
      <c r="T888" s="418"/>
      <c r="U888" s="418"/>
      <c r="V888" s="418"/>
      <c r="W888" s="418"/>
      <c r="X888" s="418"/>
      <c r="Y888" s="418"/>
      <c r="Z888" s="418"/>
      <c r="AA888" s="418"/>
      <c r="AB888" s="418"/>
      <c r="AC888" s="418"/>
      <c r="AD888" s="418"/>
      <c r="AE888" s="418"/>
      <c r="AF888" s="418"/>
      <c r="AG888" s="418"/>
      <c r="AH888" s="418"/>
      <c r="AI888" s="418"/>
      <c r="AJ888" s="418"/>
      <c r="AK888" s="418"/>
      <c r="AL888" s="418"/>
      <c r="AM888" s="418"/>
      <c r="AN888" s="423"/>
      <c r="AO888" s="423"/>
      <c r="AP888" s="423"/>
      <c r="AQ888" s="423"/>
      <c r="AR888" s="423"/>
      <c r="AS888" s="423"/>
      <c r="AT888" s="423"/>
      <c r="AU888" s="423"/>
      <c r="AV888" s="423"/>
      <c r="AW888" s="418"/>
      <c r="AX888" s="418"/>
      <c r="AY888" s="418"/>
      <c r="BB888" s="306"/>
      <c r="BF888" s="1119"/>
      <c r="BG888" s="1119"/>
      <c r="BH888" s="1119"/>
    </row>
    <row r="889" spans="1:65" ht="15.75" customHeight="1">
      <c r="A889" s="415"/>
      <c r="B889" s="417"/>
      <c r="C889" s="424"/>
      <c r="E889" s="418"/>
      <c r="F889" s="419"/>
      <c r="G889" s="420"/>
      <c r="H889" s="421"/>
      <c r="I889" s="421"/>
      <c r="J889" s="492"/>
      <c r="K889" s="418"/>
      <c r="L889" s="418"/>
      <c r="M889" s="418"/>
      <c r="N889" s="421"/>
      <c r="O889" s="421"/>
      <c r="P889" s="421"/>
      <c r="Q889" s="418"/>
      <c r="R889" s="419"/>
      <c r="S889" s="418"/>
      <c r="T889" s="418"/>
      <c r="U889" s="418"/>
      <c r="V889" s="418"/>
      <c r="W889" s="418"/>
      <c r="X889" s="418"/>
      <c r="Y889" s="418"/>
      <c r="Z889" s="418"/>
      <c r="AA889" s="418"/>
      <c r="AB889" s="418"/>
      <c r="AC889" s="418"/>
      <c r="AD889" s="418"/>
      <c r="AE889" s="418"/>
      <c r="AF889" s="418"/>
      <c r="AG889" s="418"/>
      <c r="AH889" s="418"/>
      <c r="AI889" s="418"/>
      <c r="AJ889" s="418"/>
      <c r="AK889" s="418"/>
      <c r="AL889" s="418"/>
      <c r="AM889" s="418"/>
      <c r="AN889" s="423"/>
      <c r="AO889" s="423"/>
      <c r="AP889" s="423"/>
      <c r="AQ889" s="423"/>
      <c r="AR889" s="423"/>
      <c r="AS889" s="423"/>
      <c r="AT889" s="423"/>
      <c r="AU889" s="423"/>
      <c r="AV889" s="423"/>
      <c r="AW889" s="418"/>
      <c r="AX889" s="418"/>
      <c r="AY889" s="418"/>
      <c r="BB889" s="306"/>
      <c r="BF889" s="1119"/>
      <c r="BG889" s="1119"/>
      <c r="BH889" s="1119"/>
    </row>
    <row r="890" spans="1:65" ht="15.75" customHeight="1">
      <c r="A890" s="415"/>
      <c r="B890" s="417"/>
      <c r="C890" s="424"/>
      <c r="E890" s="418"/>
      <c r="F890" s="419"/>
      <c r="G890" s="420"/>
      <c r="H890" s="421"/>
      <c r="I890" s="421"/>
      <c r="J890" s="492"/>
      <c r="K890" s="418"/>
      <c r="L890" s="418"/>
      <c r="M890" s="418"/>
      <c r="N890" s="421"/>
      <c r="O890" s="421"/>
      <c r="P890" s="421"/>
      <c r="Q890" s="418"/>
      <c r="R890" s="419"/>
      <c r="S890" s="418"/>
      <c r="T890" s="418"/>
      <c r="U890" s="418"/>
      <c r="V890" s="418"/>
      <c r="W890" s="418"/>
      <c r="X890" s="418"/>
      <c r="Y890" s="418"/>
      <c r="Z890" s="418"/>
      <c r="AA890" s="418"/>
      <c r="AB890" s="418"/>
      <c r="AC890" s="418"/>
      <c r="AD890" s="418"/>
      <c r="AE890" s="418"/>
      <c r="AF890" s="418"/>
      <c r="AG890" s="418"/>
      <c r="AH890" s="418"/>
      <c r="AI890" s="418"/>
      <c r="AJ890" s="418"/>
      <c r="AK890" s="418"/>
      <c r="AL890" s="418"/>
      <c r="AM890" s="418"/>
      <c r="AN890" s="423"/>
      <c r="AO890" s="423"/>
      <c r="AP890" s="423"/>
      <c r="AQ890" s="423"/>
      <c r="AR890" s="423"/>
      <c r="AS890" s="423"/>
      <c r="AT890" s="423"/>
      <c r="AU890" s="423"/>
      <c r="AV890" s="423"/>
      <c r="AW890" s="418"/>
      <c r="AX890" s="418"/>
      <c r="AY890" s="418"/>
      <c r="BB890" s="306"/>
    </row>
    <row r="891" spans="1:65" s="307" customFormat="1" ht="15.75" customHeight="1">
      <c r="A891" s="415"/>
      <c r="B891" s="417"/>
      <c r="C891" s="424"/>
      <c r="D891" s="418"/>
      <c r="E891" s="418"/>
      <c r="F891" s="419"/>
      <c r="G891" s="420"/>
      <c r="H891" s="421"/>
      <c r="I891" s="421"/>
      <c r="J891" s="492"/>
      <c r="K891" s="418"/>
      <c r="L891" s="418"/>
      <c r="M891" s="418"/>
      <c r="N891" s="421"/>
      <c r="O891" s="421"/>
      <c r="P891" s="421"/>
      <c r="Q891" s="418"/>
      <c r="R891" s="419"/>
      <c r="S891" s="418"/>
      <c r="T891" s="418"/>
      <c r="U891" s="418"/>
      <c r="V891" s="418"/>
      <c r="W891" s="418"/>
      <c r="X891" s="418"/>
      <c r="Y891" s="418"/>
      <c r="Z891" s="418"/>
      <c r="AA891" s="418"/>
      <c r="AB891" s="418"/>
      <c r="AC891" s="418"/>
      <c r="AD891" s="418"/>
      <c r="AE891" s="418"/>
      <c r="AF891" s="418"/>
      <c r="AG891" s="418"/>
      <c r="AH891" s="418"/>
      <c r="AI891" s="418"/>
      <c r="AJ891" s="418"/>
      <c r="AK891" s="418"/>
      <c r="AL891" s="418"/>
      <c r="AM891" s="418"/>
      <c r="AN891" s="423"/>
      <c r="AO891" s="423"/>
      <c r="AP891" s="423"/>
      <c r="AQ891" s="423"/>
      <c r="AR891" s="423"/>
      <c r="AS891" s="423"/>
      <c r="AT891" s="423"/>
      <c r="AU891" s="423"/>
      <c r="AV891" s="423"/>
      <c r="AW891" s="418"/>
      <c r="AX891" s="418"/>
      <c r="AY891" s="418"/>
      <c r="AZ891" s="418"/>
      <c r="BA891" s="418"/>
      <c r="BB891" s="306"/>
      <c r="BC891" s="1119"/>
      <c r="BD891" s="1119"/>
      <c r="BE891" s="1119"/>
      <c r="BI891" s="1119"/>
      <c r="BJ891" s="1119"/>
      <c r="BK891" s="1119"/>
      <c r="BL891" s="1119"/>
      <c r="BM891" s="1119"/>
    </row>
    <row r="892" spans="1:65" ht="15.75" customHeight="1">
      <c r="A892" s="415"/>
      <c r="B892" s="417"/>
      <c r="C892" s="424"/>
      <c r="E892" s="418"/>
      <c r="F892" s="419"/>
      <c r="G892" s="420"/>
      <c r="H892" s="421"/>
      <c r="I892" s="421"/>
      <c r="J892" s="492"/>
      <c r="K892" s="418"/>
      <c r="L892" s="418"/>
      <c r="M892" s="418"/>
      <c r="N892" s="421"/>
      <c r="O892" s="421"/>
      <c r="P892" s="421"/>
      <c r="Q892" s="418"/>
      <c r="R892" s="419"/>
      <c r="S892" s="418"/>
      <c r="T892" s="418"/>
      <c r="U892" s="418"/>
      <c r="V892" s="418"/>
      <c r="W892" s="418"/>
      <c r="X892" s="418"/>
      <c r="Y892" s="418"/>
      <c r="Z892" s="418"/>
      <c r="AA892" s="418"/>
      <c r="AB892" s="418"/>
      <c r="AC892" s="418"/>
      <c r="AD892" s="418"/>
      <c r="AE892" s="418"/>
      <c r="AF892" s="418"/>
      <c r="AG892" s="418"/>
      <c r="AH892" s="418"/>
      <c r="AI892" s="418"/>
      <c r="AJ892" s="418"/>
      <c r="AK892" s="418"/>
      <c r="AL892" s="418"/>
      <c r="AM892" s="418"/>
      <c r="AN892" s="423"/>
      <c r="AO892" s="423"/>
      <c r="AP892" s="423"/>
      <c r="AQ892" s="423"/>
      <c r="AR892" s="423"/>
      <c r="AS892" s="423"/>
      <c r="AT892" s="423"/>
      <c r="AU892" s="423"/>
      <c r="AV892" s="423"/>
      <c r="AW892" s="418"/>
      <c r="AX892" s="418"/>
      <c r="AY892" s="418"/>
      <c r="BB892" s="306"/>
    </row>
    <row r="893" spans="1:65" ht="15.75" customHeight="1">
      <c r="A893" s="415"/>
      <c r="B893" s="417"/>
      <c r="C893" s="424"/>
      <c r="E893" s="418"/>
      <c r="F893" s="419"/>
      <c r="G893" s="420"/>
      <c r="H893" s="421"/>
      <c r="I893" s="421"/>
      <c r="J893" s="492"/>
      <c r="K893" s="418"/>
      <c r="L893" s="418"/>
      <c r="M893" s="418"/>
      <c r="N893" s="421"/>
      <c r="O893" s="421"/>
      <c r="P893" s="421"/>
      <c r="Q893" s="418"/>
      <c r="R893" s="419"/>
      <c r="S893" s="418"/>
      <c r="T893" s="418"/>
      <c r="U893" s="418"/>
      <c r="V893" s="418"/>
      <c r="W893" s="418"/>
      <c r="X893" s="418"/>
      <c r="Y893" s="418"/>
      <c r="Z893" s="418"/>
      <c r="AA893" s="418"/>
      <c r="AB893" s="418"/>
      <c r="AC893" s="418"/>
      <c r="AD893" s="418"/>
      <c r="AE893" s="418"/>
      <c r="AF893" s="418"/>
      <c r="AG893" s="418"/>
      <c r="AH893" s="418"/>
      <c r="AI893" s="418"/>
      <c r="AJ893" s="418"/>
      <c r="AK893" s="418"/>
      <c r="AL893" s="418"/>
      <c r="AM893" s="418"/>
      <c r="AN893" s="423"/>
      <c r="AO893" s="423"/>
      <c r="AP893" s="423"/>
      <c r="AQ893" s="423"/>
      <c r="AR893" s="423"/>
      <c r="AS893" s="423"/>
      <c r="AT893" s="423"/>
      <c r="AU893" s="423"/>
      <c r="AV893" s="423"/>
      <c r="AW893" s="418"/>
      <c r="AX893" s="418"/>
      <c r="AY893" s="418"/>
      <c r="BB893" s="306"/>
    </row>
    <row r="894" spans="1:65" ht="15.75" customHeight="1">
      <c r="A894" s="415"/>
      <c r="B894" s="417"/>
      <c r="C894" s="424"/>
      <c r="E894" s="418"/>
      <c r="F894" s="419"/>
      <c r="G894" s="420"/>
      <c r="H894" s="421"/>
      <c r="I894" s="421"/>
      <c r="J894" s="492"/>
      <c r="K894" s="418"/>
      <c r="L894" s="418"/>
      <c r="M894" s="418"/>
      <c r="N894" s="421"/>
      <c r="O894" s="421"/>
      <c r="P894" s="421"/>
      <c r="Q894" s="418"/>
      <c r="R894" s="419"/>
      <c r="S894" s="418"/>
      <c r="T894" s="418"/>
      <c r="U894" s="418"/>
      <c r="V894" s="418"/>
      <c r="W894" s="418"/>
      <c r="X894" s="418"/>
      <c r="Y894" s="418"/>
      <c r="Z894" s="418"/>
      <c r="AA894" s="418"/>
      <c r="AB894" s="418"/>
      <c r="AC894" s="418"/>
      <c r="AD894" s="418"/>
      <c r="AE894" s="418"/>
      <c r="AF894" s="418"/>
      <c r="AG894" s="418"/>
      <c r="AH894" s="418"/>
      <c r="AI894" s="418"/>
      <c r="AJ894" s="418"/>
      <c r="AK894" s="418"/>
      <c r="AL894" s="418"/>
      <c r="AM894" s="418"/>
      <c r="AN894" s="423"/>
      <c r="AO894" s="423"/>
      <c r="AP894" s="423"/>
      <c r="AQ894" s="423"/>
      <c r="AR894" s="423"/>
      <c r="AS894" s="423"/>
      <c r="AT894" s="423"/>
      <c r="AU894" s="423"/>
      <c r="AV894" s="423"/>
      <c r="AW894" s="418"/>
      <c r="AX894" s="418"/>
      <c r="AY894" s="418"/>
      <c r="BB894" s="306"/>
    </row>
    <row r="895" spans="1:65" ht="15.75" customHeight="1">
      <c r="A895" s="415"/>
      <c r="B895" s="416"/>
      <c r="C895" s="424"/>
      <c r="E895" s="418"/>
      <c r="F895" s="419"/>
      <c r="G895" s="420"/>
      <c r="H895" s="421"/>
      <c r="I895" s="421"/>
      <c r="J895" s="492"/>
      <c r="K895" s="418"/>
      <c r="L895" s="418"/>
      <c r="M895" s="418"/>
      <c r="N895" s="421"/>
      <c r="O895" s="421"/>
      <c r="P895" s="421"/>
      <c r="Q895" s="418"/>
      <c r="R895" s="419"/>
      <c r="S895" s="418"/>
      <c r="T895" s="418"/>
      <c r="U895" s="418"/>
      <c r="V895" s="418"/>
      <c r="W895" s="418"/>
      <c r="X895" s="418"/>
      <c r="Y895" s="418"/>
      <c r="Z895" s="418"/>
      <c r="AA895" s="418"/>
      <c r="AB895" s="418"/>
      <c r="AC895" s="418"/>
      <c r="AD895" s="418"/>
      <c r="AE895" s="418"/>
      <c r="AF895" s="418"/>
      <c r="AG895" s="418"/>
      <c r="AH895" s="418"/>
      <c r="AI895" s="418"/>
      <c r="AJ895" s="418"/>
      <c r="AK895" s="418"/>
      <c r="AL895" s="418"/>
      <c r="AM895" s="418"/>
      <c r="AN895" s="423"/>
      <c r="AO895" s="423"/>
      <c r="AP895" s="423"/>
      <c r="AQ895" s="423"/>
      <c r="AR895" s="423"/>
      <c r="AS895" s="423"/>
      <c r="AT895" s="423"/>
      <c r="AU895" s="423"/>
      <c r="AV895" s="423"/>
      <c r="AW895" s="418"/>
      <c r="AX895" s="418"/>
      <c r="AY895" s="418"/>
      <c r="BB895" s="306"/>
    </row>
    <row r="896" spans="1:65" ht="15.75" customHeight="1">
      <c r="A896" s="415"/>
      <c r="B896" s="416"/>
      <c r="C896" s="424"/>
      <c r="E896" s="418"/>
      <c r="F896" s="419"/>
      <c r="G896" s="420"/>
      <c r="H896" s="421"/>
      <c r="I896" s="421"/>
      <c r="J896" s="492"/>
      <c r="K896" s="418"/>
      <c r="L896" s="418"/>
      <c r="M896" s="418"/>
      <c r="N896" s="421"/>
      <c r="O896" s="421"/>
      <c r="P896" s="421"/>
      <c r="Q896" s="418"/>
      <c r="R896" s="419"/>
      <c r="S896" s="418"/>
      <c r="T896" s="418"/>
      <c r="U896" s="418"/>
      <c r="V896" s="418"/>
      <c r="W896" s="418"/>
      <c r="X896" s="418"/>
      <c r="Y896" s="418"/>
      <c r="Z896" s="418"/>
      <c r="AA896" s="418"/>
      <c r="AB896" s="418"/>
      <c r="AC896" s="418"/>
      <c r="AD896" s="418"/>
      <c r="AE896" s="418"/>
      <c r="AF896" s="418"/>
      <c r="AG896" s="418"/>
      <c r="AH896" s="418"/>
      <c r="AI896" s="418"/>
      <c r="AJ896" s="418"/>
      <c r="AK896" s="418"/>
      <c r="AL896" s="418"/>
      <c r="AM896" s="418"/>
      <c r="AN896" s="423"/>
      <c r="AO896" s="423"/>
      <c r="AP896" s="423"/>
      <c r="AQ896" s="423"/>
      <c r="AR896" s="423"/>
      <c r="AS896" s="423"/>
      <c r="AT896" s="423"/>
      <c r="AU896" s="423"/>
      <c r="AV896" s="423"/>
      <c r="AW896" s="418"/>
      <c r="AX896" s="418"/>
      <c r="AY896" s="418"/>
      <c r="BB896" s="306"/>
    </row>
    <row r="897" spans="1:60" ht="15.75" customHeight="1">
      <c r="A897" s="415"/>
      <c r="B897" s="416"/>
      <c r="C897" s="424"/>
      <c r="E897" s="418"/>
      <c r="F897" s="419"/>
      <c r="G897" s="420"/>
      <c r="H897" s="421"/>
      <c r="I897" s="421"/>
      <c r="J897" s="492"/>
      <c r="K897" s="418"/>
      <c r="L897" s="418"/>
      <c r="M897" s="418"/>
      <c r="N897" s="421"/>
      <c r="O897" s="421"/>
      <c r="P897" s="421"/>
      <c r="Q897" s="418"/>
      <c r="R897" s="419"/>
      <c r="S897" s="418"/>
      <c r="T897" s="418"/>
      <c r="U897" s="418"/>
      <c r="V897" s="418"/>
      <c r="W897" s="418"/>
      <c r="X897" s="418"/>
      <c r="Y897" s="418"/>
      <c r="Z897" s="418"/>
      <c r="AA897" s="418"/>
      <c r="AB897" s="418"/>
      <c r="AC897" s="418"/>
      <c r="AD897" s="418"/>
      <c r="AE897" s="418"/>
      <c r="AF897" s="418"/>
      <c r="AG897" s="418"/>
      <c r="AH897" s="418"/>
      <c r="AI897" s="418"/>
      <c r="AJ897" s="418"/>
      <c r="AK897" s="418"/>
      <c r="AL897" s="418"/>
      <c r="AM897" s="418"/>
      <c r="AN897" s="423"/>
      <c r="AO897" s="423"/>
      <c r="AP897" s="423"/>
      <c r="AQ897" s="423"/>
      <c r="AR897" s="423"/>
      <c r="AS897" s="423"/>
      <c r="AT897" s="423"/>
      <c r="AU897" s="423"/>
      <c r="AV897" s="423"/>
      <c r="AW897" s="418"/>
      <c r="AX897" s="418"/>
      <c r="AY897" s="418"/>
      <c r="BB897" s="306"/>
    </row>
    <row r="898" spans="1:60" ht="15.75" customHeight="1">
      <c r="A898" s="415"/>
      <c r="B898" s="416"/>
      <c r="C898" s="424"/>
      <c r="E898" s="418"/>
      <c r="F898" s="419"/>
      <c r="G898" s="420"/>
      <c r="H898" s="421"/>
      <c r="I898" s="421"/>
      <c r="J898" s="492"/>
      <c r="K898" s="418"/>
      <c r="L898" s="418"/>
      <c r="M898" s="418"/>
      <c r="N898" s="421"/>
      <c r="O898" s="421"/>
      <c r="P898" s="421"/>
      <c r="Q898" s="418"/>
      <c r="R898" s="419"/>
      <c r="S898" s="418"/>
      <c r="T898" s="418"/>
      <c r="U898" s="418"/>
      <c r="V898" s="418"/>
      <c r="W898" s="418"/>
      <c r="X898" s="418"/>
      <c r="Y898" s="418"/>
      <c r="Z898" s="418"/>
      <c r="AA898" s="418"/>
      <c r="AB898" s="418"/>
      <c r="AC898" s="418"/>
      <c r="AD898" s="418"/>
      <c r="AE898" s="418"/>
      <c r="AF898" s="418"/>
      <c r="AG898" s="418"/>
      <c r="AH898" s="418"/>
      <c r="AI898" s="418"/>
      <c r="AJ898" s="418"/>
      <c r="AK898" s="418"/>
      <c r="AL898" s="418"/>
      <c r="AM898" s="418"/>
      <c r="AN898" s="423"/>
      <c r="AO898" s="423"/>
      <c r="AP898" s="423"/>
      <c r="AQ898" s="423"/>
      <c r="AR898" s="423"/>
      <c r="AS898" s="423"/>
      <c r="AT898" s="423"/>
      <c r="AU898" s="423"/>
      <c r="AV898" s="423"/>
      <c r="AW898" s="418"/>
      <c r="AX898" s="418"/>
      <c r="AY898" s="418"/>
      <c r="BB898" s="306"/>
    </row>
    <row r="899" spans="1:60" ht="15.75" customHeight="1">
      <c r="A899" s="415"/>
      <c r="B899" s="416"/>
      <c r="C899" s="424"/>
      <c r="E899" s="418"/>
      <c r="F899" s="419"/>
      <c r="G899" s="420"/>
      <c r="H899" s="421"/>
      <c r="I899" s="421"/>
      <c r="J899" s="492"/>
      <c r="K899" s="418"/>
      <c r="L899" s="418"/>
      <c r="M899" s="418"/>
      <c r="N899" s="421"/>
      <c r="O899" s="421"/>
      <c r="P899" s="421"/>
      <c r="Q899" s="418"/>
      <c r="R899" s="419"/>
      <c r="S899" s="418"/>
      <c r="T899" s="418"/>
      <c r="U899" s="418"/>
      <c r="V899" s="418"/>
      <c r="W899" s="418"/>
      <c r="X899" s="418"/>
      <c r="Y899" s="418"/>
      <c r="Z899" s="418"/>
      <c r="AA899" s="418"/>
      <c r="AB899" s="418"/>
      <c r="AC899" s="418"/>
      <c r="AD899" s="418"/>
      <c r="AE899" s="418"/>
      <c r="AF899" s="418"/>
      <c r="AG899" s="418"/>
      <c r="AH899" s="418"/>
      <c r="AI899" s="418"/>
      <c r="AJ899" s="418"/>
      <c r="AK899" s="418"/>
      <c r="AL899" s="418"/>
      <c r="AM899" s="418"/>
      <c r="AN899" s="423"/>
      <c r="AO899" s="423"/>
      <c r="AP899" s="423"/>
      <c r="AQ899" s="423"/>
      <c r="AR899" s="423"/>
      <c r="AS899" s="423"/>
      <c r="AT899" s="423"/>
      <c r="AU899" s="423"/>
      <c r="AV899" s="423"/>
      <c r="AW899" s="418"/>
      <c r="AX899" s="418"/>
      <c r="AY899" s="418"/>
      <c r="BB899" s="306"/>
    </row>
    <row r="900" spans="1:60" ht="15.75" customHeight="1">
      <c r="A900" s="415"/>
      <c r="B900" s="416"/>
      <c r="C900" s="424"/>
      <c r="E900" s="418"/>
      <c r="F900" s="419"/>
      <c r="G900" s="420"/>
      <c r="H900" s="421"/>
      <c r="I900" s="421"/>
      <c r="J900" s="492"/>
      <c r="K900" s="418"/>
      <c r="L900" s="418"/>
      <c r="M900" s="418"/>
      <c r="N900" s="421"/>
      <c r="O900" s="421"/>
      <c r="P900" s="421"/>
      <c r="Q900" s="418"/>
      <c r="R900" s="419"/>
      <c r="S900" s="418"/>
      <c r="T900" s="418"/>
      <c r="U900" s="418"/>
      <c r="V900" s="418"/>
      <c r="W900" s="418"/>
      <c r="X900" s="418"/>
      <c r="Y900" s="418"/>
      <c r="Z900" s="418"/>
      <c r="AA900" s="418"/>
      <c r="AB900" s="418"/>
      <c r="AC900" s="418"/>
      <c r="AD900" s="418"/>
      <c r="AE900" s="418"/>
      <c r="AF900" s="418"/>
      <c r="AG900" s="418"/>
      <c r="AH900" s="418"/>
      <c r="AI900" s="418"/>
      <c r="AJ900" s="418"/>
      <c r="AK900" s="418"/>
      <c r="AL900" s="418"/>
      <c r="AM900" s="418"/>
      <c r="AN900" s="423"/>
      <c r="AO900" s="423"/>
      <c r="AP900" s="423"/>
      <c r="AQ900" s="423"/>
      <c r="AR900" s="423"/>
      <c r="AS900" s="423"/>
      <c r="AT900" s="423"/>
      <c r="AU900" s="423"/>
      <c r="AV900" s="423"/>
      <c r="AW900" s="418"/>
      <c r="AX900" s="418"/>
      <c r="AY900" s="418"/>
      <c r="BB900" s="306"/>
    </row>
    <row r="901" spans="1:60" ht="15.75" customHeight="1">
      <c r="A901" s="415"/>
      <c r="B901" s="416"/>
      <c r="C901" s="424"/>
      <c r="E901" s="418"/>
      <c r="F901" s="419"/>
      <c r="G901" s="420"/>
      <c r="H901" s="421"/>
      <c r="I901" s="421"/>
      <c r="J901" s="492"/>
      <c r="K901" s="418"/>
      <c r="L901" s="418"/>
      <c r="M901" s="418"/>
      <c r="N901" s="421"/>
      <c r="O901" s="421"/>
      <c r="P901" s="421"/>
      <c r="Q901" s="418"/>
      <c r="R901" s="419"/>
      <c r="S901" s="418"/>
      <c r="T901" s="418"/>
      <c r="U901" s="418"/>
      <c r="V901" s="418"/>
      <c r="W901" s="418"/>
      <c r="X901" s="418"/>
      <c r="Y901" s="418"/>
      <c r="Z901" s="418"/>
      <c r="AA901" s="418"/>
      <c r="AB901" s="418"/>
      <c r="AC901" s="418"/>
      <c r="AD901" s="418"/>
      <c r="AE901" s="418"/>
      <c r="AF901" s="418"/>
      <c r="AG901" s="418"/>
      <c r="AH901" s="418"/>
      <c r="AI901" s="418"/>
      <c r="AJ901" s="418"/>
      <c r="AK901" s="418"/>
      <c r="AL901" s="418"/>
      <c r="AM901" s="418"/>
      <c r="AN901" s="423"/>
      <c r="AO901" s="423"/>
      <c r="AP901" s="423"/>
      <c r="AQ901" s="423"/>
      <c r="AR901" s="423"/>
      <c r="AS901" s="423"/>
      <c r="AT901" s="423"/>
      <c r="AU901" s="423"/>
      <c r="AV901" s="423"/>
      <c r="AW901" s="418"/>
      <c r="AX901" s="418"/>
      <c r="AY901" s="418"/>
      <c r="BB901" s="306"/>
    </row>
    <row r="902" spans="1:60" ht="15.75" customHeight="1">
      <c r="A902" s="415"/>
      <c r="B902" s="416"/>
      <c r="C902" s="424"/>
      <c r="E902" s="418"/>
      <c r="F902" s="419"/>
      <c r="G902" s="420"/>
      <c r="H902" s="421"/>
      <c r="I902" s="425"/>
      <c r="J902" s="492"/>
      <c r="K902" s="418"/>
      <c r="L902" s="418"/>
      <c r="M902" s="418"/>
      <c r="N902" s="421"/>
      <c r="O902" s="421"/>
      <c r="P902" s="421"/>
      <c r="Q902" s="418"/>
      <c r="R902" s="419"/>
      <c r="S902" s="418"/>
      <c r="T902" s="418"/>
      <c r="U902" s="418"/>
      <c r="V902" s="418"/>
      <c r="W902" s="418"/>
      <c r="X902" s="418"/>
      <c r="Y902" s="418"/>
      <c r="Z902" s="418"/>
      <c r="AA902" s="418"/>
      <c r="AB902" s="418"/>
      <c r="AC902" s="418"/>
      <c r="AD902" s="418"/>
      <c r="AE902" s="418"/>
      <c r="AF902" s="418"/>
      <c r="AG902" s="418"/>
      <c r="AH902" s="418"/>
      <c r="AI902" s="418"/>
      <c r="AJ902" s="418"/>
      <c r="AK902" s="418"/>
      <c r="AL902" s="418"/>
      <c r="AM902" s="418"/>
      <c r="AN902" s="423"/>
      <c r="AO902" s="423"/>
      <c r="AP902" s="423"/>
      <c r="AQ902" s="423"/>
      <c r="AR902" s="423"/>
      <c r="AS902" s="423"/>
      <c r="AT902" s="423"/>
      <c r="AU902" s="423"/>
      <c r="AV902" s="423"/>
      <c r="AW902" s="418"/>
      <c r="AX902" s="418"/>
      <c r="AY902" s="418"/>
      <c r="BB902" s="306"/>
    </row>
    <row r="903" spans="1:60" ht="15.75" customHeight="1">
      <c r="A903" s="415"/>
      <c r="B903" s="416"/>
      <c r="C903" s="424"/>
      <c r="E903" s="418"/>
      <c r="F903" s="419"/>
      <c r="G903" s="420"/>
      <c r="H903" s="421"/>
      <c r="I903" s="421"/>
      <c r="J903" s="492"/>
      <c r="K903" s="418"/>
      <c r="L903" s="418"/>
      <c r="M903" s="418"/>
      <c r="N903" s="421"/>
      <c r="O903" s="421"/>
      <c r="P903" s="421"/>
      <c r="Q903" s="418"/>
      <c r="R903" s="419"/>
      <c r="S903" s="418"/>
      <c r="T903" s="418"/>
      <c r="U903" s="418"/>
      <c r="V903" s="418"/>
      <c r="W903" s="418"/>
      <c r="X903" s="418"/>
      <c r="Y903" s="418"/>
      <c r="Z903" s="418"/>
      <c r="AA903" s="418"/>
      <c r="AB903" s="418"/>
      <c r="AC903" s="418"/>
      <c r="AD903" s="418"/>
      <c r="AE903" s="418"/>
      <c r="AF903" s="418"/>
      <c r="AG903" s="418"/>
      <c r="AH903" s="418"/>
      <c r="AI903" s="418"/>
      <c r="AJ903" s="418"/>
      <c r="AK903" s="418"/>
      <c r="AL903" s="418"/>
      <c r="AM903" s="418"/>
      <c r="AN903" s="423"/>
      <c r="AO903" s="423"/>
      <c r="AP903" s="423"/>
      <c r="AQ903" s="423"/>
      <c r="AR903" s="423"/>
      <c r="AS903" s="423"/>
      <c r="AT903" s="423"/>
      <c r="AU903" s="423"/>
      <c r="AV903" s="423"/>
      <c r="AW903" s="418"/>
      <c r="AX903" s="418"/>
      <c r="AY903" s="418"/>
      <c r="BB903" s="306"/>
    </row>
    <row r="904" spans="1:60" ht="15.75" customHeight="1">
      <c r="A904" s="415"/>
      <c r="B904" s="416"/>
      <c r="C904" s="424"/>
      <c r="E904" s="418"/>
      <c r="F904" s="419"/>
      <c r="G904" s="420"/>
      <c r="H904" s="421"/>
      <c r="I904" s="425"/>
      <c r="J904" s="492"/>
      <c r="K904" s="418"/>
      <c r="L904" s="418"/>
      <c r="M904" s="418"/>
      <c r="N904" s="421"/>
      <c r="O904" s="421"/>
      <c r="P904" s="421"/>
      <c r="Q904" s="418"/>
      <c r="R904" s="419"/>
      <c r="S904" s="418"/>
      <c r="T904" s="418"/>
      <c r="U904" s="418"/>
      <c r="V904" s="418"/>
      <c r="W904" s="418"/>
      <c r="X904" s="418"/>
      <c r="Y904" s="418"/>
      <c r="Z904" s="418"/>
      <c r="AA904" s="418"/>
      <c r="AB904" s="418"/>
      <c r="AC904" s="418"/>
      <c r="AD904" s="418"/>
      <c r="AE904" s="418"/>
      <c r="AF904" s="418"/>
      <c r="AG904" s="418"/>
      <c r="AH904" s="418"/>
      <c r="AI904" s="418"/>
      <c r="AJ904" s="418"/>
      <c r="AK904" s="418"/>
      <c r="AL904" s="418"/>
      <c r="AM904" s="418"/>
      <c r="AN904" s="423"/>
      <c r="AO904" s="423"/>
      <c r="AP904" s="423"/>
      <c r="AQ904" s="423"/>
      <c r="AR904" s="423"/>
      <c r="AS904" s="423"/>
      <c r="AT904" s="423"/>
      <c r="AU904" s="423"/>
      <c r="AV904" s="423"/>
      <c r="AW904" s="418"/>
      <c r="AX904" s="418"/>
      <c r="AY904" s="418"/>
      <c r="BB904" s="306"/>
    </row>
    <row r="905" spans="1:60" ht="15.75" customHeight="1">
      <c r="A905" s="415"/>
      <c r="B905" s="416"/>
      <c r="C905" s="424"/>
      <c r="E905" s="418"/>
      <c r="F905" s="419"/>
      <c r="G905" s="420"/>
      <c r="H905" s="421"/>
      <c r="I905" s="421"/>
      <c r="J905" s="492"/>
      <c r="K905" s="418"/>
      <c r="L905" s="418"/>
      <c r="M905" s="418"/>
      <c r="N905" s="421"/>
      <c r="O905" s="421"/>
      <c r="P905" s="421"/>
      <c r="Q905" s="418"/>
      <c r="R905" s="419"/>
      <c r="S905" s="418"/>
      <c r="T905" s="418"/>
      <c r="U905" s="418"/>
      <c r="V905" s="418"/>
      <c r="W905" s="418"/>
      <c r="X905" s="418"/>
      <c r="Y905" s="418"/>
      <c r="Z905" s="418"/>
      <c r="AA905" s="418"/>
      <c r="AB905" s="418"/>
      <c r="AC905" s="418"/>
      <c r="AD905" s="418"/>
      <c r="AE905" s="418"/>
      <c r="AF905" s="418"/>
      <c r="AG905" s="418"/>
      <c r="AH905" s="418"/>
      <c r="AI905" s="418"/>
      <c r="AJ905" s="418"/>
      <c r="AK905" s="418"/>
      <c r="AL905" s="418"/>
      <c r="AM905" s="418"/>
      <c r="AN905" s="423"/>
      <c r="AO905" s="423"/>
      <c r="AP905" s="423"/>
      <c r="AQ905" s="423"/>
      <c r="AR905" s="423"/>
      <c r="AS905" s="423"/>
      <c r="AT905" s="423"/>
      <c r="AU905" s="423"/>
      <c r="AV905" s="423"/>
      <c r="AW905" s="418"/>
      <c r="AX905" s="418"/>
      <c r="AY905" s="418"/>
      <c r="BB905" s="306"/>
    </row>
    <row r="906" spans="1:60" ht="15.75" customHeight="1">
      <c r="A906" s="415"/>
      <c r="B906" s="416"/>
      <c r="C906" s="424"/>
      <c r="E906" s="418"/>
      <c r="F906" s="419"/>
      <c r="G906" s="420"/>
      <c r="H906" s="421"/>
      <c r="I906" s="425"/>
      <c r="J906" s="492"/>
      <c r="K906" s="418"/>
      <c r="L906" s="418"/>
      <c r="M906" s="418"/>
      <c r="N906" s="421"/>
      <c r="O906" s="421"/>
      <c r="P906" s="421"/>
      <c r="Q906" s="418"/>
      <c r="R906" s="419"/>
      <c r="S906" s="418"/>
      <c r="T906" s="418"/>
      <c r="U906" s="418"/>
      <c r="V906" s="418"/>
      <c r="W906" s="418"/>
      <c r="X906" s="418"/>
      <c r="Y906" s="418"/>
      <c r="Z906" s="418"/>
      <c r="AA906" s="418"/>
      <c r="AB906" s="418"/>
      <c r="AC906" s="418"/>
      <c r="AD906" s="418"/>
      <c r="AE906" s="418"/>
      <c r="AF906" s="418"/>
      <c r="AG906" s="418"/>
      <c r="AH906" s="418"/>
      <c r="AI906" s="418"/>
      <c r="AJ906" s="418"/>
      <c r="AK906" s="418"/>
      <c r="AL906" s="418"/>
      <c r="AM906" s="418"/>
      <c r="AN906" s="423"/>
      <c r="AO906" s="423"/>
      <c r="AP906" s="423"/>
      <c r="AQ906" s="423"/>
      <c r="AR906" s="423"/>
      <c r="AS906" s="423"/>
      <c r="AT906" s="423"/>
      <c r="AU906" s="423"/>
      <c r="AV906" s="423"/>
      <c r="AW906" s="418"/>
      <c r="AX906" s="418"/>
      <c r="AY906" s="418"/>
      <c r="BB906" s="306"/>
      <c r="BF906" s="1119"/>
      <c r="BG906" s="1119"/>
      <c r="BH906" s="1119"/>
    </row>
    <row r="907" spans="1:60" ht="15.75" customHeight="1">
      <c r="A907" s="415"/>
      <c r="B907" s="416"/>
      <c r="C907" s="424"/>
      <c r="E907" s="418"/>
      <c r="F907" s="419"/>
      <c r="G907" s="420"/>
      <c r="H907" s="421"/>
      <c r="I907" s="421"/>
      <c r="J907" s="492"/>
      <c r="K907" s="418"/>
      <c r="L907" s="418"/>
      <c r="M907" s="418"/>
      <c r="N907" s="421"/>
      <c r="O907" s="421"/>
      <c r="P907" s="421"/>
      <c r="Q907" s="418"/>
      <c r="R907" s="419"/>
      <c r="S907" s="418"/>
      <c r="T907" s="418"/>
      <c r="U907" s="418"/>
      <c r="V907" s="418"/>
      <c r="W907" s="418"/>
      <c r="X907" s="418"/>
      <c r="Y907" s="418"/>
      <c r="Z907" s="418"/>
      <c r="AA907" s="418"/>
      <c r="AB907" s="418"/>
      <c r="AC907" s="418"/>
      <c r="AD907" s="418"/>
      <c r="AE907" s="418"/>
      <c r="AF907" s="418"/>
      <c r="AG907" s="418"/>
      <c r="AH907" s="418"/>
      <c r="AI907" s="418"/>
      <c r="AJ907" s="418"/>
      <c r="AK907" s="418"/>
      <c r="AL907" s="418"/>
      <c r="AM907" s="418"/>
      <c r="AN907" s="423"/>
      <c r="AO907" s="423"/>
      <c r="AP907" s="423"/>
      <c r="AQ907" s="423"/>
      <c r="AR907" s="423"/>
      <c r="AS907" s="423"/>
      <c r="AT907" s="423"/>
      <c r="AU907" s="423"/>
      <c r="AV907" s="423"/>
      <c r="AW907" s="418"/>
      <c r="AX907" s="418"/>
      <c r="AY907" s="418"/>
      <c r="BB907" s="306"/>
      <c r="BF907" s="1119"/>
      <c r="BG907" s="1119"/>
      <c r="BH907" s="1119"/>
    </row>
    <row r="908" spans="1:60" ht="15.75" customHeight="1">
      <c r="A908" s="415"/>
      <c r="B908" s="416"/>
      <c r="C908" s="424"/>
      <c r="E908" s="418"/>
      <c r="F908" s="419"/>
      <c r="G908" s="420"/>
      <c r="H908" s="421"/>
      <c r="I908" s="421"/>
      <c r="J908" s="492"/>
      <c r="K908" s="418"/>
      <c r="L908" s="418"/>
      <c r="M908" s="418"/>
      <c r="N908" s="421"/>
      <c r="O908" s="421"/>
      <c r="P908" s="421"/>
      <c r="Q908" s="418"/>
      <c r="R908" s="419"/>
      <c r="S908" s="418"/>
      <c r="T908" s="418"/>
      <c r="U908" s="418"/>
      <c r="V908" s="418"/>
      <c r="W908" s="418"/>
      <c r="X908" s="418"/>
      <c r="Y908" s="418"/>
      <c r="Z908" s="418"/>
      <c r="AA908" s="418"/>
      <c r="AB908" s="418"/>
      <c r="AC908" s="418"/>
      <c r="AD908" s="418"/>
      <c r="AE908" s="418"/>
      <c r="AF908" s="418"/>
      <c r="AG908" s="418"/>
      <c r="AH908" s="418"/>
      <c r="AI908" s="418"/>
      <c r="AJ908" s="418"/>
      <c r="AK908" s="418"/>
      <c r="AL908" s="418"/>
      <c r="AM908" s="418"/>
      <c r="AN908" s="423"/>
      <c r="AO908" s="423"/>
      <c r="AP908" s="423"/>
      <c r="AQ908" s="423"/>
      <c r="AR908" s="423"/>
      <c r="AS908" s="423"/>
      <c r="AT908" s="423"/>
      <c r="AU908" s="423"/>
      <c r="AV908" s="423"/>
      <c r="AW908" s="418"/>
      <c r="AX908" s="418"/>
      <c r="AY908" s="418"/>
      <c r="BB908" s="306"/>
      <c r="BF908" s="1119"/>
      <c r="BG908" s="1119"/>
      <c r="BH908" s="1119"/>
    </row>
    <row r="909" spans="1:60" ht="15.75" customHeight="1">
      <c r="A909" s="415"/>
      <c r="B909" s="416"/>
      <c r="C909" s="424"/>
      <c r="E909" s="418"/>
      <c r="F909" s="419"/>
      <c r="G909" s="420"/>
      <c r="H909" s="421"/>
      <c r="I909" s="429"/>
      <c r="J909" s="492"/>
      <c r="K909" s="418"/>
      <c r="L909" s="418"/>
      <c r="M909" s="418"/>
      <c r="N909" s="421"/>
      <c r="O909" s="421"/>
      <c r="P909" s="421"/>
      <c r="Q909" s="418"/>
      <c r="R909" s="419"/>
      <c r="S909" s="418"/>
      <c r="T909" s="418"/>
      <c r="U909" s="418"/>
      <c r="V909" s="418"/>
      <c r="W909" s="418"/>
      <c r="X909" s="418"/>
      <c r="Y909" s="418"/>
      <c r="Z909" s="418"/>
      <c r="AA909" s="418"/>
      <c r="AB909" s="418"/>
      <c r="AC909" s="418"/>
      <c r="AD909" s="418"/>
      <c r="AE909" s="418"/>
      <c r="AF909" s="418"/>
      <c r="AG909" s="418"/>
      <c r="AH909" s="418"/>
      <c r="AI909" s="418"/>
      <c r="AJ909" s="418"/>
      <c r="AK909" s="418"/>
      <c r="AL909" s="418"/>
      <c r="AM909" s="418"/>
      <c r="AN909" s="423"/>
      <c r="AO909" s="423"/>
      <c r="AP909" s="423"/>
      <c r="AQ909" s="423"/>
      <c r="AR909" s="423"/>
      <c r="AS909" s="423"/>
      <c r="AT909" s="423"/>
      <c r="AU909" s="423"/>
      <c r="AV909" s="423"/>
      <c r="AW909" s="418"/>
      <c r="AX909" s="418"/>
      <c r="AY909" s="418"/>
      <c r="BB909" s="306"/>
      <c r="BF909" s="1119"/>
      <c r="BG909" s="1119"/>
      <c r="BH909" s="1119"/>
    </row>
    <row r="910" spans="1:60" ht="15.75" customHeight="1">
      <c r="A910" s="415"/>
      <c r="B910" s="416"/>
      <c r="C910" s="424"/>
      <c r="E910" s="418"/>
      <c r="F910" s="419"/>
      <c r="G910" s="420"/>
      <c r="H910" s="421"/>
      <c r="I910" s="421"/>
      <c r="J910" s="492"/>
      <c r="K910" s="418"/>
      <c r="L910" s="418"/>
      <c r="M910" s="418"/>
      <c r="N910" s="421"/>
      <c r="O910" s="421"/>
      <c r="P910" s="421"/>
      <c r="Q910" s="418"/>
      <c r="R910" s="419"/>
      <c r="S910" s="418"/>
      <c r="T910" s="418"/>
      <c r="U910" s="418"/>
      <c r="V910" s="418"/>
      <c r="W910" s="418"/>
      <c r="X910" s="418"/>
      <c r="Y910" s="418"/>
      <c r="Z910" s="418"/>
      <c r="AA910" s="418"/>
      <c r="AB910" s="418"/>
      <c r="AC910" s="418"/>
      <c r="AD910" s="418"/>
      <c r="AE910" s="418"/>
      <c r="AF910" s="418"/>
      <c r="AG910" s="418"/>
      <c r="AH910" s="418"/>
      <c r="AI910" s="418"/>
      <c r="AJ910" s="418"/>
      <c r="AK910" s="418"/>
      <c r="AL910" s="418"/>
      <c r="AM910" s="418"/>
      <c r="AN910" s="423"/>
      <c r="AO910" s="423"/>
      <c r="AP910" s="423"/>
      <c r="AQ910" s="423"/>
      <c r="AR910" s="423"/>
      <c r="AS910" s="423"/>
      <c r="AT910" s="423"/>
      <c r="AU910" s="423"/>
      <c r="AV910" s="423"/>
      <c r="AW910" s="418"/>
      <c r="AX910" s="418"/>
      <c r="AY910" s="418"/>
      <c r="BB910" s="306"/>
      <c r="BF910" s="1119"/>
      <c r="BG910" s="1119"/>
      <c r="BH910" s="1119"/>
    </row>
    <row r="911" spans="1:60" ht="15.75" customHeight="1">
      <c r="A911" s="415"/>
      <c r="B911" s="416"/>
      <c r="C911" s="424"/>
      <c r="E911" s="418"/>
      <c r="F911" s="419"/>
      <c r="G911" s="420"/>
      <c r="H911" s="421"/>
      <c r="I911" s="421"/>
      <c r="J911" s="492"/>
      <c r="K911" s="418"/>
      <c r="L911" s="418"/>
      <c r="M911" s="418"/>
      <c r="N911" s="421"/>
      <c r="O911" s="421"/>
      <c r="P911" s="421"/>
      <c r="Q911" s="418"/>
      <c r="R911" s="419"/>
      <c r="S911" s="418"/>
      <c r="T911" s="418"/>
      <c r="U911" s="418"/>
      <c r="V911" s="418"/>
      <c r="W911" s="418"/>
      <c r="X911" s="418"/>
      <c r="Y911" s="418"/>
      <c r="Z911" s="418"/>
      <c r="AA911" s="418"/>
      <c r="AB911" s="418"/>
      <c r="AC911" s="418"/>
      <c r="AD911" s="418"/>
      <c r="AE911" s="418"/>
      <c r="AF911" s="418"/>
      <c r="AG911" s="418"/>
      <c r="AH911" s="418"/>
      <c r="AI911" s="418"/>
      <c r="AJ911" s="418"/>
      <c r="AK911" s="418"/>
      <c r="AL911" s="418"/>
      <c r="AM911" s="418"/>
      <c r="AN911" s="423"/>
      <c r="AO911" s="423"/>
      <c r="AP911" s="423"/>
      <c r="AQ911" s="423"/>
      <c r="AR911" s="423"/>
      <c r="AS911" s="423"/>
      <c r="AT911" s="423"/>
      <c r="AU911" s="423"/>
      <c r="AV911" s="423"/>
      <c r="AW911" s="418"/>
      <c r="AX911" s="418"/>
      <c r="AY911" s="418"/>
      <c r="BB911" s="306"/>
      <c r="BF911" s="1119"/>
      <c r="BG911" s="1119"/>
      <c r="BH911" s="1119"/>
    </row>
    <row r="912" spans="1:60" ht="15.75" customHeight="1">
      <c r="A912" s="415"/>
      <c r="B912" s="416"/>
      <c r="C912" s="424"/>
      <c r="E912" s="418"/>
      <c r="F912" s="419"/>
      <c r="G912" s="420"/>
      <c r="H912" s="421"/>
      <c r="I912" s="421"/>
      <c r="J912" s="492"/>
      <c r="K912" s="418"/>
      <c r="L912" s="418"/>
      <c r="M912" s="418"/>
      <c r="N912" s="421"/>
      <c r="O912" s="421"/>
      <c r="P912" s="421"/>
      <c r="Q912" s="418"/>
      <c r="R912" s="419"/>
      <c r="S912" s="418"/>
      <c r="T912" s="418"/>
      <c r="U912" s="418"/>
      <c r="V912" s="418"/>
      <c r="W912" s="418"/>
      <c r="X912" s="418"/>
      <c r="Y912" s="418"/>
      <c r="Z912" s="418"/>
      <c r="AA912" s="418"/>
      <c r="AB912" s="418"/>
      <c r="AC912" s="418"/>
      <c r="AD912" s="418"/>
      <c r="AE912" s="418"/>
      <c r="AF912" s="418"/>
      <c r="AG912" s="418"/>
      <c r="AH912" s="418"/>
      <c r="AI912" s="418"/>
      <c r="AJ912" s="418"/>
      <c r="AK912" s="418"/>
      <c r="AL912" s="418"/>
      <c r="AM912" s="418"/>
      <c r="AN912" s="423"/>
      <c r="AO912" s="423"/>
      <c r="AP912" s="423"/>
      <c r="AQ912" s="423"/>
      <c r="AR912" s="423"/>
      <c r="AS912" s="423"/>
      <c r="AT912" s="423"/>
      <c r="AU912" s="423"/>
      <c r="AV912" s="423"/>
      <c r="AW912" s="418"/>
      <c r="AX912" s="418"/>
      <c r="AY912" s="418"/>
      <c r="BB912" s="306"/>
      <c r="BF912" s="1119"/>
      <c r="BG912" s="1119"/>
      <c r="BH912" s="1119"/>
    </row>
    <row r="913" spans="1:60" ht="15.75" customHeight="1">
      <c r="A913" s="415"/>
      <c r="B913" s="416"/>
      <c r="C913" s="424"/>
      <c r="E913" s="418"/>
      <c r="F913" s="419"/>
      <c r="G913" s="420"/>
      <c r="H913" s="421"/>
      <c r="I913" s="421"/>
      <c r="J913" s="492"/>
      <c r="K913" s="418"/>
      <c r="L913" s="418"/>
      <c r="M913" s="418"/>
      <c r="N913" s="421"/>
      <c r="O913" s="421"/>
      <c r="P913" s="421"/>
      <c r="Q913" s="418"/>
      <c r="R913" s="418"/>
      <c r="S913" s="418"/>
      <c r="T913" s="418"/>
      <c r="U913" s="418"/>
      <c r="V913" s="418"/>
      <c r="W913" s="418"/>
      <c r="X913" s="418"/>
      <c r="Y913" s="418"/>
      <c r="Z913" s="418"/>
      <c r="AA913" s="418"/>
      <c r="AB913" s="418"/>
      <c r="AC913" s="418"/>
      <c r="AD913" s="418"/>
      <c r="AE913" s="418"/>
      <c r="AF913" s="418"/>
      <c r="AG913" s="418"/>
      <c r="AH913" s="418"/>
      <c r="AI913" s="418"/>
      <c r="AJ913" s="418"/>
      <c r="AK913" s="418"/>
      <c r="AL913" s="418"/>
      <c r="AM913" s="418"/>
      <c r="AN913" s="423"/>
      <c r="AO913" s="423"/>
      <c r="AP913" s="423"/>
      <c r="AQ913" s="423"/>
      <c r="AR913" s="423"/>
      <c r="AS913" s="423"/>
      <c r="AT913" s="423"/>
      <c r="AU913" s="423"/>
      <c r="AV913" s="423"/>
      <c r="AW913" s="418"/>
      <c r="AX913" s="418"/>
      <c r="AY913" s="418"/>
      <c r="BB913" s="306"/>
      <c r="BF913" s="1119"/>
      <c r="BG913" s="1119"/>
      <c r="BH913" s="1119"/>
    </row>
    <row r="914" spans="1:60" ht="15.75" customHeight="1">
      <c r="A914" s="415"/>
      <c r="B914" s="416"/>
      <c r="C914" s="424"/>
      <c r="E914" s="418"/>
      <c r="F914" s="419"/>
      <c r="G914" s="420"/>
      <c r="H914" s="421"/>
      <c r="I914" s="421"/>
      <c r="J914" s="492"/>
      <c r="K914" s="418"/>
      <c r="L914" s="418"/>
      <c r="M914" s="418"/>
      <c r="N914" s="421"/>
      <c r="O914" s="421"/>
      <c r="P914" s="421"/>
      <c r="Q914" s="418"/>
      <c r="R914" s="418"/>
      <c r="S914" s="418"/>
      <c r="T914" s="418"/>
      <c r="U914" s="418"/>
      <c r="V914" s="418"/>
      <c r="W914" s="418"/>
      <c r="X914" s="418"/>
      <c r="Y914" s="418"/>
      <c r="Z914" s="418"/>
      <c r="AA914" s="418"/>
      <c r="AB914" s="418"/>
      <c r="AC914" s="418"/>
      <c r="AD914" s="418"/>
      <c r="AE914" s="418"/>
      <c r="AF914" s="418"/>
      <c r="AG914" s="418"/>
      <c r="AH914" s="418"/>
      <c r="AI914" s="418"/>
      <c r="AJ914" s="418"/>
      <c r="AK914" s="418"/>
      <c r="AL914" s="418"/>
      <c r="AM914" s="418"/>
      <c r="AN914" s="423"/>
      <c r="AO914" s="423"/>
      <c r="AP914" s="423"/>
      <c r="AQ914" s="423"/>
      <c r="AR914" s="423"/>
      <c r="AS914" s="423"/>
      <c r="AT914" s="423"/>
      <c r="AU914" s="423"/>
      <c r="AV914" s="423"/>
      <c r="AW914" s="418"/>
      <c r="AX914" s="418"/>
      <c r="AY914" s="418"/>
      <c r="BB914" s="306"/>
      <c r="BF914" s="1119"/>
      <c r="BG914" s="1119"/>
      <c r="BH914" s="1119"/>
    </row>
    <row r="915" spans="1:60" ht="15.75" customHeight="1">
      <c r="A915" s="415"/>
      <c r="B915" s="416"/>
      <c r="C915" s="424"/>
      <c r="E915" s="418"/>
      <c r="F915" s="419"/>
      <c r="G915" s="420"/>
      <c r="H915" s="421"/>
      <c r="I915" s="425"/>
      <c r="J915" s="492"/>
      <c r="K915" s="418"/>
      <c r="L915" s="418"/>
      <c r="M915" s="418"/>
      <c r="N915" s="421"/>
      <c r="O915" s="421"/>
      <c r="P915" s="421"/>
      <c r="Q915" s="418"/>
      <c r="R915" s="418"/>
      <c r="S915" s="418"/>
      <c r="T915" s="418"/>
      <c r="U915" s="418"/>
      <c r="V915" s="418"/>
      <c r="W915" s="418"/>
      <c r="X915" s="418"/>
      <c r="Y915" s="418"/>
      <c r="Z915" s="418"/>
      <c r="AA915" s="418"/>
      <c r="AB915" s="418"/>
      <c r="AC915" s="418"/>
      <c r="AD915" s="418"/>
      <c r="AE915" s="418"/>
      <c r="AF915" s="418"/>
      <c r="AG915" s="418"/>
      <c r="AH915" s="418"/>
      <c r="AI915" s="418"/>
      <c r="AJ915" s="418"/>
      <c r="AK915" s="418"/>
      <c r="AL915" s="418"/>
      <c r="AM915" s="418"/>
      <c r="AN915" s="423"/>
      <c r="AO915" s="423"/>
      <c r="AP915" s="423"/>
      <c r="AQ915" s="423"/>
      <c r="AR915" s="423"/>
      <c r="AS915" s="423"/>
      <c r="AT915" s="423"/>
      <c r="AU915" s="423"/>
      <c r="AV915" s="423"/>
      <c r="AW915" s="418"/>
      <c r="AX915" s="418"/>
      <c r="AY915" s="418"/>
      <c r="BB915" s="306"/>
      <c r="BF915" s="1119"/>
      <c r="BG915" s="1119"/>
      <c r="BH915" s="1119"/>
    </row>
    <row r="916" spans="1:60" ht="15.75" customHeight="1">
      <c r="A916" s="415"/>
      <c r="B916" s="416"/>
      <c r="C916" s="424"/>
      <c r="E916" s="418"/>
      <c r="F916" s="419"/>
      <c r="G916" s="420"/>
      <c r="H916" s="421"/>
      <c r="I916" s="421"/>
      <c r="J916" s="492"/>
      <c r="K916" s="418"/>
      <c r="L916" s="418"/>
      <c r="M916" s="418"/>
      <c r="N916" s="421"/>
      <c r="O916" s="421"/>
      <c r="P916" s="421"/>
      <c r="Q916" s="418"/>
      <c r="R916" s="418"/>
      <c r="S916" s="418"/>
      <c r="T916" s="418"/>
      <c r="U916" s="418"/>
      <c r="V916" s="418"/>
      <c r="W916" s="418"/>
      <c r="X916" s="418"/>
      <c r="Y916" s="418"/>
      <c r="Z916" s="418"/>
      <c r="AA916" s="418"/>
      <c r="AB916" s="418"/>
      <c r="AC916" s="418"/>
      <c r="AD916" s="418"/>
      <c r="AE916" s="418"/>
      <c r="AF916" s="418"/>
      <c r="AG916" s="418"/>
      <c r="AH916" s="418"/>
      <c r="AI916" s="418"/>
      <c r="AJ916" s="418"/>
      <c r="AK916" s="418"/>
      <c r="AL916" s="418"/>
      <c r="AM916" s="418"/>
      <c r="AN916" s="423"/>
      <c r="AO916" s="423"/>
      <c r="AP916" s="423"/>
      <c r="AQ916" s="423"/>
      <c r="AR916" s="423"/>
      <c r="AS916" s="423"/>
      <c r="AT916" s="423"/>
      <c r="AU916" s="423"/>
      <c r="AV916" s="423"/>
      <c r="AW916" s="418"/>
      <c r="AX916" s="418"/>
      <c r="AY916" s="418"/>
      <c r="BB916" s="306"/>
      <c r="BF916" s="1119"/>
      <c r="BG916" s="1119"/>
      <c r="BH916" s="1119"/>
    </row>
    <row r="917" spans="1:60" ht="15.75" customHeight="1">
      <c r="A917" s="415"/>
      <c r="B917" s="416"/>
      <c r="C917" s="424"/>
      <c r="E917" s="418"/>
      <c r="F917" s="419"/>
      <c r="G917" s="420"/>
      <c r="H917" s="421"/>
      <c r="I917" s="425"/>
      <c r="J917" s="492"/>
      <c r="K917" s="418"/>
      <c r="L917" s="418"/>
      <c r="M917" s="418"/>
      <c r="N917" s="421"/>
      <c r="O917" s="421"/>
      <c r="P917" s="421"/>
      <c r="Q917" s="418"/>
      <c r="R917" s="418"/>
      <c r="S917" s="418"/>
      <c r="T917" s="418"/>
      <c r="U917" s="418"/>
      <c r="V917" s="418"/>
      <c r="W917" s="418"/>
      <c r="X917" s="418"/>
      <c r="Y917" s="418"/>
      <c r="Z917" s="418"/>
      <c r="AA917" s="418"/>
      <c r="AB917" s="418"/>
      <c r="AC917" s="418"/>
      <c r="AD917" s="418"/>
      <c r="AE917" s="418"/>
      <c r="AF917" s="418"/>
      <c r="AG917" s="418"/>
      <c r="AH917" s="418"/>
      <c r="AI917" s="418"/>
      <c r="AJ917" s="418"/>
      <c r="AK917" s="418"/>
      <c r="AL917" s="418"/>
      <c r="AM917" s="418"/>
      <c r="AN917" s="423"/>
      <c r="AO917" s="423"/>
      <c r="AP917" s="423"/>
      <c r="AQ917" s="423"/>
      <c r="AR917" s="423"/>
      <c r="AS917" s="423"/>
      <c r="AT917" s="423"/>
      <c r="AU917" s="423"/>
      <c r="AV917" s="423"/>
      <c r="AW917" s="418"/>
      <c r="AX917" s="418"/>
      <c r="AY917" s="418"/>
      <c r="BB917" s="306"/>
      <c r="BF917" s="1119"/>
      <c r="BG917" s="1119"/>
      <c r="BH917" s="1119"/>
    </row>
    <row r="918" spans="1:60" ht="15.75" customHeight="1">
      <c r="A918" s="415"/>
      <c r="B918" s="416"/>
      <c r="C918" s="424"/>
      <c r="E918" s="418"/>
      <c r="F918" s="419"/>
      <c r="G918" s="420"/>
      <c r="H918" s="421"/>
      <c r="I918" s="421"/>
      <c r="J918" s="492"/>
      <c r="K918" s="418"/>
      <c r="L918" s="418"/>
      <c r="M918" s="418"/>
      <c r="N918" s="421"/>
      <c r="O918" s="421"/>
      <c r="P918" s="421"/>
      <c r="Q918" s="418"/>
      <c r="R918" s="418"/>
      <c r="S918" s="418"/>
      <c r="T918" s="418"/>
      <c r="U918" s="418"/>
      <c r="V918" s="418"/>
      <c r="W918" s="418"/>
      <c r="X918" s="418"/>
      <c r="Y918" s="418"/>
      <c r="Z918" s="418"/>
      <c r="AA918" s="418"/>
      <c r="AB918" s="418"/>
      <c r="AC918" s="418"/>
      <c r="AD918" s="418"/>
      <c r="AE918" s="418"/>
      <c r="AF918" s="418"/>
      <c r="AG918" s="418"/>
      <c r="AH918" s="418"/>
      <c r="AI918" s="418"/>
      <c r="AJ918" s="418"/>
      <c r="AK918" s="418"/>
      <c r="AL918" s="418"/>
      <c r="AM918" s="418"/>
      <c r="AN918" s="423"/>
      <c r="AO918" s="423"/>
      <c r="AP918" s="423"/>
      <c r="AQ918" s="423"/>
      <c r="AR918" s="423"/>
      <c r="AS918" s="423"/>
      <c r="AT918" s="423"/>
      <c r="AU918" s="423"/>
      <c r="AV918" s="423"/>
      <c r="AW918" s="418"/>
      <c r="AX918" s="418"/>
      <c r="AY918" s="418"/>
      <c r="BB918" s="306"/>
      <c r="BF918" s="1119"/>
      <c r="BG918" s="1119"/>
      <c r="BH918" s="1119"/>
    </row>
    <row r="919" spans="1:60" ht="15.75" customHeight="1">
      <c r="A919" s="415"/>
      <c r="B919" s="416"/>
      <c r="C919" s="424"/>
      <c r="E919" s="418"/>
      <c r="F919" s="419"/>
      <c r="G919" s="420"/>
      <c r="H919" s="421"/>
      <c r="I919" s="421"/>
      <c r="J919" s="492"/>
      <c r="K919" s="418"/>
      <c r="L919" s="418"/>
      <c r="M919" s="418"/>
      <c r="N919" s="421"/>
      <c r="O919" s="421"/>
      <c r="P919" s="421"/>
      <c r="Q919" s="418"/>
      <c r="R919" s="418"/>
      <c r="S919" s="418"/>
      <c r="T919" s="418"/>
      <c r="U919" s="418"/>
      <c r="V919" s="418"/>
      <c r="W919" s="418"/>
      <c r="X919" s="418"/>
      <c r="Y919" s="418"/>
      <c r="Z919" s="418"/>
      <c r="AA919" s="418"/>
      <c r="AB919" s="418"/>
      <c r="AC919" s="418"/>
      <c r="AD919" s="418"/>
      <c r="AE919" s="418"/>
      <c r="AF919" s="418"/>
      <c r="AG919" s="418"/>
      <c r="AH919" s="418"/>
      <c r="AI919" s="418"/>
      <c r="AJ919" s="418"/>
      <c r="AK919" s="418"/>
      <c r="AL919" s="418"/>
      <c r="AM919" s="418"/>
      <c r="AN919" s="423"/>
      <c r="AO919" s="423"/>
      <c r="AP919" s="423"/>
      <c r="AQ919" s="423"/>
      <c r="AR919" s="423"/>
      <c r="AS919" s="423"/>
      <c r="AT919" s="423"/>
      <c r="AU919" s="423"/>
      <c r="AV919" s="423"/>
      <c r="AW919" s="418"/>
      <c r="AX919" s="418"/>
      <c r="AY919" s="418"/>
      <c r="BB919" s="306"/>
      <c r="BF919" s="1119"/>
      <c r="BG919" s="1119"/>
      <c r="BH919" s="1119"/>
    </row>
    <row r="920" spans="1:60" ht="15.75" customHeight="1">
      <c r="A920" s="415"/>
      <c r="B920" s="416"/>
      <c r="C920" s="424"/>
      <c r="E920" s="418"/>
      <c r="F920" s="419"/>
      <c r="G920" s="420"/>
      <c r="H920" s="421"/>
      <c r="I920" s="421"/>
      <c r="J920" s="492"/>
      <c r="K920" s="418"/>
      <c r="L920" s="418"/>
      <c r="M920" s="418"/>
      <c r="N920" s="421"/>
      <c r="O920" s="421"/>
      <c r="P920" s="421"/>
      <c r="Q920" s="418"/>
      <c r="R920" s="418"/>
      <c r="S920" s="418"/>
      <c r="T920" s="418"/>
      <c r="U920" s="418"/>
      <c r="V920" s="418"/>
      <c r="W920" s="418"/>
      <c r="X920" s="418"/>
      <c r="Y920" s="418"/>
      <c r="Z920" s="418"/>
      <c r="AA920" s="418"/>
      <c r="AB920" s="418"/>
      <c r="AC920" s="418"/>
      <c r="AD920" s="418"/>
      <c r="AE920" s="418"/>
      <c r="AF920" s="418"/>
      <c r="AG920" s="418"/>
      <c r="AH920" s="418"/>
      <c r="AI920" s="418"/>
      <c r="AJ920" s="418"/>
      <c r="AK920" s="418"/>
      <c r="AL920" s="418"/>
      <c r="AM920" s="418"/>
      <c r="AN920" s="423"/>
      <c r="AO920" s="423"/>
      <c r="AP920" s="423"/>
      <c r="AQ920" s="423"/>
      <c r="AR920" s="423"/>
      <c r="AS920" s="423"/>
      <c r="AT920" s="423"/>
      <c r="AU920" s="423"/>
      <c r="AV920" s="423"/>
      <c r="AW920" s="418"/>
      <c r="AX920" s="418"/>
      <c r="AY920" s="418"/>
      <c r="BB920" s="306"/>
      <c r="BF920" s="1119"/>
      <c r="BG920" s="1119"/>
      <c r="BH920" s="1119"/>
    </row>
    <row r="921" spans="1:60" ht="15.75" customHeight="1">
      <c r="A921" s="415"/>
      <c r="B921" s="416"/>
      <c r="C921" s="424"/>
      <c r="E921" s="418"/>
      <c r="F921" s="419"/>
      <c r="G921" s="420"/>
      <c r="H921" s="421"/>
      <c r="I921" s="421"/>
      <c r="J921" s="492"/>
      <c r="K921" s="418"/>
      <c r="L921" s="418"/>
      <c r="M921" s="418"/>
      <c r="N921" s="421"/>
      <c r="O921" s="421"/>
      <c r="P921" s="421"/>
      <c r="Q921" s="418"/>
      <c r="R921" s="418"/>
      <c r="S921" s="418"/>
      <c r="T921" s="418"/>
      <c r="U921" s="418"/>
      <c r="V921" s="418"/>
      <c r="W921" s="418"/>
      <c r="X921" s="418"/>
      <c r="Y921" s="418"/>
      <c r="Z921" s="418"/>
      <c r="AA921" s="418"/>
      <c r="AB921" s="418"/>
      <c r="AC921" s="418"/>
      <c r="AD921" s="418"/>
      <c r="AE921" s="418"/>
      <c r="AF921" s="418"/>
      <c r="AG921" s="418"/>
      <c r="AH921" s="418"/>
      <c r="AI921" s="418"/>
      <c r="AJ921" s="418"/>
      <c r="AK921" s="418"/>
      <c r="AL921" s="418"/>
      <c r="AM921" s="418"/>
      <c r="AN921" s="423"/>
      <c r="AO921" s="423"/>
      <c r="AP921" s="423"/>
      <c r="AQ921" s="423"/>
      <c r="AR921" s="423"/>
      <c r="AS921" s="423"/>
      <c r="AT921" s="423"/>
      <c r="AU921" s="423"/>
      <c r="AV921" s="423"/>
      <c r="AW921" s="418"/>
      <c r="AX921" s="418"/>
      <c r="AY921" s="418"/>
      <c r="BB921" s="306"/>
      <c r="BF921" s="1119"/>
      <c r="BG921" s="1119"/>
      <c r="BH921" s="1119"/>
    </row>
    <row r="922" spans="1:60" ht="15.75" customHeight="1">
      <c r="A922" s="415"/>
      <c r="B922" s="416"/>
      <c r="C922" s="424"/>
      <c r="E922" s="418"/>
      <c r="F922" s="419"/>
      <c r="G922" s="420"/>
      <c r="H922" s="421"/>
      <c r="I922" s="421"/>
      <c r="J922" s="492"/>
      <c r="K922" s="418"/>
      <c r="L922" s="418"/>
      <c r="M922" s="418"/>
      <c r="N922" s="421"/>
      <c r="O922" s="421"/>
      <c r="P922" s="421"/>
      <c r="Q922" s="418"/>
      <c r="R922" s="418"/>
      <c r="S922" s="418"/>
      <c r="T922" s="418"/>
      <c r="U922" s="418"/>
      <c r="V922" s="418"/>
      <c r="W922" s="418"/>
      <c r="X922" s="418"/>
      <c r="Y922" s="418"/>
      <c r="Z922" s="418"/>
      <c r="AA922" s="418"/>
      <c r="AB922" s="418"/>
      <c r="AC922" s="418"/>
      <c r="AD922" s="418"/>
      <c r="AE922" s="418"/>
      <c r="AF922" s="418"/>
      <c r="AG922" s="418"/>
      <c r="AH922" s="418"/>
      <c r="AI922" s="418"/>
      <c r="AJ922" s="418"/>
      <c r="AK922" s="418"/>
      <c r="AL922" s="418"/>
      <c r="AM922" s="418"/>
      <c r="AN922" s="423"/>
      <c r="AO922" s="423"/>
      <c r="AP922" s="423"/>
      <c r="AQ922" s="423"/>
      <c r="AR922" s="423"/>
      <c r="AS922" s="423"/>
      <c r="AT922" s="423"/>
      <c r="AU922" s="423"/>
      <c r="AV922" s="423"/>
      <c r="AW922" s="418"/>
      <c r="AX922" s="418"/>
      <c r="AY922" s="418"/>
      <c r="BB922" s="306"/>
      <c r="BF922" s="1119"/>
      <c r="BG922" s="1119"/>
      <c r="BH922" s="1119"/>
    </row>
    <row r="923" spans="1:60" ht="15.75" customHeight="1">
      <c r="A923" s="415"/>
      <c r="B923" s="416"/>
      <c r="C923" s="424"/>
      <c r="E923" s="418"/>
      <c r="F923" s="419"/>
      <c r="G923" s="420"/>
      <c r="H923" s="421"/>
      <c r="I923" s="421"/>
      <c r="J923" s="492"/>
      <c r="K923" s="418"/>
      <c r="L923" s="418"/>
      <c r="M923" s="418"/>
      <c r="N923" s="421"/>
      <c r="O923" s="421"/>
      <c r="P923" s="421"/>
      <c r="Q923" s="418"/>
      <c r="R923" s="418"/>
      <c r="S923" s="418"/>
      <c r="T923" s="418"/>
      <c r="U923" s="418"/>
      <c r="V923" s="418"/>
      <c r="W923" s="418"/>
      <c r="X923" s="418"/>
      <c r="Y923" s="418"/>
      <c r="Z923" s="418"/>
      <c r="AA923" s="418"/>
      <c r="AB923" s="418"/>
      <c r="AC923" s="418"/>
      <c r="AD923" s="418"/>
      <c r="AE923" s="418"/>
      <c r="AF923" s="418"/>
      <c r="AG923" s="418"/>
      <c r="AH923" s="418"/>
      <c r="AI923" s="418"/>
      <c r="AJ923" s="418"/>
      <c r="AK923" s="418"/>
      <c r="AL923" s="418"/>
      <c r="AM923" s="418"/>
      <c r="AN923" s="423"/>
      <c r="AO923" s="423"/>
      <c r="AP923" s="423"/>
      <c r="AQ923" s="423"/>
      <c r="AR923" s="423"/>
      <c r="AS923" s="423"/>
      <c r="AT923" s="423"/>
      <c r="AU923" s="423"/>
      <c r="AV923" s="423"/>
      <c r="AW923" s="418"/>
      <c r="AX923" s="418"/>
      <c r="AY923" s="418"/>
      <c r="BB923" s="306"/>
      <c r="BF923" s="1119"/>
      <c r="BG923" s="1119"/>
      <c r="BH923" s="1119"/>
    </row>
    <row r="924" spans="1:60" ht="15.75" customHeight="1">
      <c r="A924" s="415"/>
      <c r="B924" s="416"/>
      <c r="C924" s="424"/>
      <c r="E924" s="418"/>
      <c r="F924" s="419"/>
      <c r="G924" s="420"/>
      <c r="H924" s="421"/>
      <c r="I924" s="421"/>
      <c r="J924" s="492"/>
      <c r="K924" s="418"/>
      <c r="L924" s="418"/>
      <c r="M924" s="418"/>
      <c r="N924" s="421"/>
      <c r="O924" s="421"/>
      <c r="P924" s="421"/>
      <c r="Q924" s="418"/>
      <c r="R924" s="418"/>
      <c r="S924" s="418"/>
      <c r="T924" s="418"/>
      <c r="U924" s="418"/>
      <c r="V924" s="418"/>
      <c r="W924" s="418"/>
      <c r="X924" s="418"/>
      <c r="Y924" s="418"/>
      <c r="Z924" s="418"/>
      <c r="AA924" s="418"/>
      <c r="AB924" s="418"/>
      <c r="AC924" s="418"/>
      <c r="AD924" s="418"/>
      <c r="AE924" s="418"/>
      <c r="AF924" s="418"/>
      <c r="AG924" s="418"/>
      <c r="AH924" s="418"/>
      <c r="AI924" s="418"/>
      <c r="AJ924" s="418"/>
      <c r="AK924" s="418"/>
      <c r="AL924" s="418"/>
      <c r="AM924" s="418"/>
      <c r="AN924" s="423"/>
      <c r="AO924" s="423"/>
      <c r="AP924" s="423"/>
      <c r="AQ924" s="423"/>
      <c r="AR924" s="423"/>
      <c r="AS924" s="423"/>
      <c r="AT924" s="423"/>
      <c r="AU924" s="423"/>
      <c r="AV924" s="423"/>
      <c r="AW924" s="418"/>
      <c r="AX924" s="418"/>
      <c r="AY924" s="418"/>
      <c r="BB924" s="306"/>
      <c r="BF924" s="1119"/>
      <c r="BG924" s="1119"/>
      <c r="BH924" s="1119"/>
    </row>
    <row r="925" spans="1:60" ht="15.75" customHeight="1">
      <c r="A925" s="415"/>
      <c r="B925" s="416"/>
      <c r="C925" s="424"/>
      <c r="E925" s="418"/>
      <c r="F925" s="419"/>
      <c r="G925" s="420"/>
      <c r="H925" s="421"/>
      <c r="I925" s="421"/>
      <c r="J925" s="492"/>
      <c r="K925" s="418"/>
      <c r="L925" s="418"/>
      <c r="M925" s="418"/>
      <c r="N925" s="421"/>
      <c r="O925" s="421"/>
      <c r="P925" s="421"/>
      <c r="Q925" s="418"/>
      <c r="R925" s="418"/>
      <c r="S925" s="418"/>
      <c r="T925" s="418"/>
      <c r="U925" s="418"/>
      <c r="V925" s="418"/>
      <c r="W925" s="418"/>
      <c r="X925" s="418"/>
      <c r="Y925" s="418"/>
      <c r="Z925" s="418"/>
      <c r="AA925" s="418"/>
      <c r="AB925" s="418"/>
      <c r="AC925" s="418"/>
      <c r="AD925" s="418"/>
      <c r="AE925" s="418"/>
      <c r="AF925" s="418"/>
      <c r="AG925" s="418"/>
      <c r="AH925" s="418"/>
      <c r="AI925" s="418"/>
      <c r="AJ925" s="418"/>
      <c r="AK925" s="418"/>
      <c r="AL925" s="418"/>
      <c r="AM925" s="418"/>
      <c r="AN925" s="423"/>
      <c r="AO925" s="423"/>
      <c r="AP925" s="423"/>
      <c r="AQ925" s="423"/>
      <c r="AR925" s="423"/>
      <c r="AS925" s="423"/>
      <c r="AT925" s="423"/>
      <c r="AU925" s="423"/>
      <c r="AV925" s="423"/>
      <c r="AW925" s="418"/>
      <c r="AX925" s="418"/>
      <c r="AY925" s="418"/>
      <c r="BB925" s="306"/>
      <c r="BF925" s="1119"/>
      <c r="BG925" s="1119"/>
      <c r="BH925" s="1119"/>
    </row>
    <row r="926" spans="1:60" ht="15.75" customHeight="1">
      <c r="A926" s="415"/>
      <c r="B926" s="416"/>
      <c r="C926" s="424"/>
      <c r="E926" s="418"/>
      <c r="F926" s="419"/>
      <c r="G926" s="420"/>
      <c r="H926" s="421"/>
      <c r="I926" s="421"/>
      <c r="J926" s="492"/>
      <c r="K926" s="418"/>
      <c r="L926" s="418"/>
      <c r="M926" s="418"/>
      <c r="N926" s="421"/>
      <c r="O926" s="421"/>
      <c r="P926" s="421"/>
      <c r="Q926" s="418"/>
      <c r="R926" s="418"/>
      <c r="S926" s="418"/>
      <c r="T926" s="418"/>
      <c r="U926" s="418"/>
      <c r="V926" s="418"/>
      <c r="W926" s="418"/>
      <c r="X926" s="418"/>
      <c r="Y926" s="418"/>
      <c r="Z926" s="418"/>
      <c r="AA926" s="418"/>
      <c r="AB926" s="418"/>
      <c r="AC926" s="418"/>
      <c r="AD926" s="418"/>
      <c r="AE926" s="418"/>
      <c r="AF926" s="418"/>
      <c r="AG926" s="418"/>
      <c r="AH926" s="418"/>
      <c r="AI926" s="418"/>
      <c r="AJ926" s="418"/>
      <c r="AK926" s="418"/>
      <c r="AL926" s="418"/>
      <c r="AM926" s="418"/>
      <c r="AN926" s="423"/>
      <c r="AO926" s="423"/>
      <c r="AP926" s="423"/>
      <c r="AQ926" s="423"/>
      <c r="AR926" s="423"/>
      <c r="AS926" s="423"/>
      <c r="AT926" s="423"/>
      <c r="AU926" s="423"/>
      <c r="AV926" s="423"/>
      <c r="AW926" s="418"/>
      <c r="AX926" s="418"/>
      <c r="AY926" s="418"/>
      <c r="BB926" s="306"/>
      <c r="BF926" s="1119"/>
      <c r="BG926" s="1119"/>
      <c r="BH926" s="1119"/>
    </row>
    <row r="927" spans="1:60" ht="15.75" customHeight="1">
      <c r="A927" s="415"/>
      <c r="B927" s="416"/>
      <c r="C927" s="424"/>
      <c r="E927" s="418"/>
      <c r="F927" s="419"/>
      <c r="G927" s="420"/>
      <c r="H927" s="421"/>
      <c r="I927" s="421"/>
      <c r="J927" s="492"/>
      <c r="K927" s="418"/>
      <c r="L927" s="418"/>
      <c r="M927" s="418"/>
      <c r="N927" s="421"/>
      <c r="O927" s="421"/>
      <c r="P927" s="421"/>
      <c r="Q927" s="418"/>
      <c r="R927" s="418"/>
      <c r="S927" s="418"/>
      <c r="T927" s="418"/>
      <c r="U927" s="418"/>
      <c r="V927" s="418"/>
      <c r="W927" s="418"/>
      <c r="X927" s="418"/>
      <c r="Y927" s="418"/>
      <c r="Z927" s="418"/>
      <c r="AA927" s="418"/>
      <c r="AB927" s="418"/>
      <c r="AC927" s="418"/>
      <c r="AD927" s="418"/>
      <c r="AE927" s="418"/>
      <c r="AF927" s="418"/>
      <c r="AG927" s="418"/>
      <c r="AH927" s="418"/>
      <c r="AI927" s="418"/>
      <c r="AJ927" s="418"/>
      <c r="AK927" s="418"/>
      <c r="AL927" s="418"/>
      <c r="AM927" s="418"/>
      <c r="AN927" s="423"/>
      <c r="AO927" s="423"/>
      <c r="AP927" s="423"/>
      <c r="AQ927" s="423"/>
      <c r="AR927" s="423"/>
      <c r="AS927" s="423"/>
      <c r="AT927" s="423"/>
      <c r="AU927" s="423"/>
      <c r="AV927" s="423"/>
      <c r="AW927" s="418"/>
      <c r="AX927" s="418"/>
      <c r="AY927" s="418"/>
      <c r="BB927" s="306"/>
      <c r="BF927" s="1119"/>
      <c r="BG927" s="1119"/>
      <c r="BH927" s="1119"/>
    </row>
    <row r="928" spans="1:60" ht="15.75" customHeight="1">
      <c r="A928" s="415"/>
      <c r="B928" s="416"/>
      <c r="C928" s="424"/>
      <c r="E928" s="418"/>
      <c r="F928" s="419"/>
      <c r="G928" s="420"/>
      <c r="H928" s="421"/>
      <c r="I928" s="421"/>
      <c r="J928" s="492"/>
      <c r="K928" s="418"/>
      <c r="L928" s="418"/>
      <c r="M928" s="418"/>
      <c r="N928" s="421"/>
      <c r="O928" s="421"/>
      <c r="P928" s="421"/>
      <c r="Q928" s="418"/>
      <c r="R928" s="418"/>
      <c r="S928" s="418"/>
      <c r="T928" s="418"/>
      <c r="U928" s="418"/>
      <c r="V928" s="418"/>
      <c r="W928" s="418"/>
      <c r="X928" s="418"/>
      <c r="Y928" s="418"/>
      <c r="Z928" s="418"/>
      <c r="AA928" s="418"/>
      <c r="AB928" s="418"/>
      <c r="AC928" s="418"/>
      <c r="AD928" s="418"/>
      <c r="AE928" s="418"/>
      <c r="AF928" s="418"/>
      <c r="AG928" s="418"/>
      <c r="AH928" s="418"/>
      <c r="AI928" s="418"/>
      <c r="AJ928" s="418"/>
      <c r="AK928" s="418"/>
      <c r="AL928" s="418"/>
      <c r="AM928" s="418"/>
      <c r="AN928" s="423"/>
      <c r="AO928" s="423"/>
      <c r="AP928" s="423"/>
      <c r="AQ928" s="423"/>
      <c r="AR928" s="423"/>
      <c r="AS928" s="423"/>
      <c r="AT928" s="423"/>
      <c r="AU928" s="423"/>
      <c r="AV928" s="423"/>
      <c r="AW928" s="418"/>
      <c r="AX928" s="418"/>
      <c r="AY928" s="418"/>
      <c r="BB928" s="306"/>
      <c r="BF928" s="1119"/>
      <c r="BG928" s="1119"/>
      <c r="BH928" s="1119"/>
    </row>
    <row r="929" spans="1:60" ht="15.75" customHeight="1">
      <c r="A929" s="415"/>
      <c r="B929" s="416"/>
      <c r="C929" s="424"/>
      <c r="E929" s="418"/>
      <c r="F929" s="419"/>
      <c r="G929" s="420"/>
      <c r="H929" s="421"/>
      <c r="I929" s="421"/>
      <c r="J929" s="492"/>
      <c r="K929" s="418"/>
      <c r="L929" s="418"/>
      <c r="M929" s="418"/>
      <c r="N929" s="421"/>
      <c r="O929" s="421"/>
      <c r="P929" s="421"/>
      <c r="Q929" s="418"/>
      <c r="R929" s="418"/>
      <c r="S929" s="418"/>
      <c r="T929" s="418"/>
      <c r="U929" s="418"/>
      <c r="V929" s="418"/>
      <c r="W929" s="418"/>
      <c r="X929" s="418"/>
      <c r="Y929" s="418"/>
      <c r="Z929" s="418"/>
      <c r="AA929" s="418"/>
      <c r="AB929" s="418"/>
      <c r="AC929" s="418"/>
      <c r="AD929" s="418"/>
      <c r="AE929" s="418"/>
      <c r="AF929" s="418"/>
      <c r="AG929" s="418"/>
      <c r="AH929" s="418"/>
      <c r="AI929" s="418"/>
      <c r="AJ929" s="418"/>
      <c r="AK929" s="418"/>
      <c r="AL929" s="418"/>
      <c r="AM929" s="418"/>
      <c r="AN929" s="423"/>
      <c r="AO929" s="423"/>
      <c r="AP929" s="423"/>
      <c r="AQ929" s="423"/>
      <c r="AR929" s="423"/>
      <c r="AS929" s="423"/>
      <c r="AT929" s="423"/>
      <c r="AU929" s="423"/>
      <c r="AV929" s="423"/>
      <c r="AW929" s="418"/>
      <c r="AX929" s="418"/>
      <c r="AY929" s="418"/>
      <c r="BB929" s="306"/>
      <c r="BF929" s="1119"/>
      <c r="BG929" s="1119"/>
      <c r="BH929" s="1119"/>
    </row>
    <row r="930" spans="1:60" ht="15.75" customHeight="1">
      <c r="A930" s="415"/>
      <c r="B930" s="416"/>
      <c r="C930" s="424"/>
      <c r="E930" s="418"/>
      <c r="F930" s="419"/>
      <c r="G930" s="420"/>
      <c r="H930" s="421"/>
      <c r="I930" s="421"/>
      <c r="J930" s="492"/>
      <c r="K930" s="418"/>
      <c r="L930" s="418"/>
      <c r="M930" s="418"/>
      <c r="N930" s="421"/>
      <c r="O930" s="421"/>
      <c r="P930" s="421"/>
      <c r="Q930" s="418"/>
      <c r="R930" s="418"/>
      <c r="S930" s="418"/>
      <c r="T930" s="418"/>
      <c r="U930" s="418"/>
      <c r="V930" s="418"/>
      <c r="W930" s="418"/>
      <c r="X930" s="418"/>
      <c r="Y930" s="418"/>
      <c r="Z930" s="418"/>
      <c r="AA930" s="418"/>
      <c r="AB930" s="418"/>
      <c r="AC930" s="418"/>
      <c r="AD930" s="418"/>
      <c r="AE930" s="418"/>
      <c r="AF930" s="418"/>
      <c r="AG930" s="418"/>
      <c r="AH930" s="418"/>
      <c r="AI930" s="418"/>
      <c r="AJ930" s="418"/>
      <c r="AK930" s="418"/>
      <c r="AL930" s="418"/>
      <c r="AM930" s="418"/>
      <c r="AN930" s="423"/>
      <c r="AO930" s="423"/>
      <c r="AP930" s="423"/>
      <c r="AQ930" s="423"/>
      <c r="AR930" s="423"/>
      <c r="AS930" s="423"/>
      <c r="AT930" s="423"/>
      <c r="AU930" s="423"/>
      <c r="AV930" s="423"/>
      <c r="AW930" s="418"/>
      <c r="AX930" s="418"/>
      <c r="AY930" s="418"/>
      <c r="BB930" s="306"/>
      <c r="BF930" s="1119"/>
      <c r="BG930" s="1119"/>
      <c r="BH930" s="1119"/>
    </row>
    <row r="931" spans="1:60" ht="15.75" customHeight="1">
      <c r="A931" s="415"/>
      <c r="B931" s="416"/>
      <c r="C931" s="424"/>
      <c r="E931" s="418"/>
      <c r="F931" s="419"/>
      <c r="G931" s="420"/>
      <c r="H931" s="421"/>
      <c r="I931" s="421"/>
      <c r="J931" s="492"/>
      <c r="K931" s="418"/>
      <c r="L931" s="418"/>
      <c r="M931" s="418"/>
      <c r="N931" s="421"/>
      <c r="O931" s="421"/>
      <c r="P931" s="421"/>
      <c r="Q931" s="418"/>
      <c r="R931" s="418"/>
      <c r="S931" s="418"/>
      <c r="T931" s="418"/>
      <c r="U931" s="418"/>
      <c r="V931" s="418"/>
      <c r="W931" s="418"/>
      <c r="X931" s="418"/>
      <c r="Y931" s="418"/>
      <c r="Z931" s="418"/>
      <c r="AA931" s="418"/>
      <c r="AB931" s="418"/>
      <c r="AC931" s="418"/>
      <c r="AD931" s="418"/>
      <c r="AE931" s="418"/>
      <c r="AF931" s="418"/>
      <c r="AG931" s="418"/>
      <c r="AH931" s="418"/>
      <c r="AI931" s="418"/>
      <c r="AJ931" s="418"/>
      <c r="AK931" s="418"/>
      <c r="AL931" s="418"/>
      <c r="AM931" s="418"/>
      <c r="AN931" s="423"/>
      <c r="AO931" s="423"/>
      <c r="AP931" s="423"/>
      <c r="AQ931" s="423"/>
      <c r="AR931" s="423"/>
      <c r="AS931" s="423"/>
      <c r="AT931" s="423"/>
      <c r="AU931" s="423"/>
      <c r="AV931" s="423"/>
      <c r="AW931" s="418"/>
      <c r="AX931" s="418"/>
      <c r="AY931" s="418"/>
      <c r="BB931" s="306"/>
      <c r="BF931" s="1119"/>
      <c r="BG931" s="1119"/>
      <c r="BH931" s="1119"/>
    </row>
    <row r="932" spans="1:60" ht="15.75" customHeight="1">
      <c r="A932" s="415"/>
      <c r="B932" s="416"/>
      <c r="C932" s="424"/>
      <c r="E932" s="418"/>
      <c r="F932" s="419"/>
      <c r="G932" s="420"/>
      <c r="H932" s="421"/>
      <c r="I932" s="421"/>
      <c r="J932" s="492"/>
      <c r="K932" s="418"/>
      <c r="L932" s="418"/>
      <c r="M932" s="418"/>
      <c r="N932" s="421"/>
      <c r="O932" s="421"/>
      <c r="P932" s="421"/>
      <c r="Q932" s="418"/>
      <c r="R932" s="418"/>
      <c r="S932" s="418"/>
      <c r="T932" s="418"/>
      <c r="U932" s="418"/>
      <c r="V932" s="418"/>
      <c r="W932" s="418"/>
      <c r="X932" s="418"/>
      <c r="Y932" s="418"/>
      <c r="Z932" s="418"/>
      <c r="AA932" s="418"/>
      <c r="AB932" s="418"/>
      <c r="AC932" s="418"/>
      <c r="AD932" s="418"/>
      <c r="AE932" s="418"/>
      <c r="AF932" s="418"/>
      <c r="AG932" s="418"/>
      <c r="AH932" s="418"/>
      <c r="AI932" s="418"/>
      <c r="AJ932" s="418"/>
      <c r="AK932" s="418"/>
      <c r="AL932" s="418"/>
      <c r="AM932" s="418"/>
      <c r="AN932" s="423"/>
      <c r="AO932" s="423"/>
      <c r="AP932" s="423"/>
      <c r="AQ932" s="423"/>
      <c r="AR932" s="423"/>
      <c r="AS932" s="423"/>
      <c r="AT932" s="423"/>
      <c r="AU932" s="423"/>
      <c r="AV932" s="423"/>
      <c r="AW932" s="418"/>
      <c r="AX932" s="418"/>
      <c r="AY932" s="418"/>
      <c r="BB932" s="306"/>
      <c r="BF932" s="1119"/>
      <c r="BG932" s="1119"/>
      <c r="BH932" s="1119"/>
    </row>
    <row r="933" spans="1:60" ht="15.75" customHeight="1">
      <c r="A933" s="415"/>
      <c r="B933" s="416"/>
      <c r="C933" s="424"/>
      <c r="E933" s="418"/>
      <c r="F933" s="419"/>
      <c r="G933" s="420"/>
      <c r="H933" s="421"/>
      <c r="I933" s="421"/>
      <c r="J933" s="492"/>
      <c r="K933" s="418"/>
      <c r="L933" s="418"/>
      <c r="M933" s="418"/>
      <c r="N933" s="421"/>
      <c r="O933" s="421"/>
      <c r="P933" s="421"/>
      <c r="Q933" s="418"/>
      <c r="R933" s="418"/>
      <c r="S933" s="418"/>
      <c r="T933" s="418"/>
      <c r="U933" s="418"/>
      <c r="V933" s="418"/>
      <c r="W933" s="418"/>
      <c r="X933" s="418"/>
      <c r="Y933" s="418"/>
      <c r="Z933" s="418"/>
      <c r="AA933" s="418"/>
      <c r="AB933" s="418"/>
      <c r="AC933" s="418"/>
      <c r="AD933" s="418"/>
      <c r="AE933" s="418"/>
      <c r="AF933" s="418"/>
      <c r="AG933" s="418"/>
      <c r="AH933" s="418"/>
      <c r="AI933" s="418"/>
      <c r="AJ933" s="418"/>
      <c r="AK933" s="418"/>
      <c r="AL933" s="418"/>
      <c r="AM933" s="418"/>
      <c r="AN933" s="423"/>
      <c r="AO933" s="423"/>
      <c r="AP933" s="423"/>
      <c r="AQ933" s="423"/>
      <c r="AR933" s="423"/>
      <c r="AS933" s="423"/>
      <c r="AT933" s="423"/>
      <c r="AU933" s="423"/>
      <c r="AV933" s="423"/>
      <c r="AW933" s="418"/>
      <c r="AX933" s="418"/>
      <c r="AY933" s="418"/>
      <c r="BB933" s="306"/>
      <c r="BF933" s="1119"/>
      <c r="BG933" s="1119"/>
      <c r="BH933" s="1119"/>
    </row>
    <row r="934" spans="1:60" ht="15.75" customHeight="1">
      <c r="A934" s="415"/>
      <c r="B934" s="416"/>
      <c r="C934" s="424"/>
      <c r="E934" s="418"/>
      <c r="F934" s="419"/>
      <c r="G934" s="420"/>
      <c r="H934" s="421"/>
      <c r="I934" s="421"/>
      <c r="J934" s="492"/>
      <c r="K934" s="418"/>
      <c r="L934" s="418"/>
      <c r="M934" s="418"/>
      <c r="N934" s="421"/>
      <c r="O934" s="421"/>
      <c r="P934" s="421"/>
      <c r="Q934" s="418"/>
      <c r="R934" s="418"/>
      <c r="S934" s="418"/>
      <c r="T934" s="418"/>
      <c r="U934" s="418"/>
      <c r="V934" s="418"/>
      <c r="W934" s="418"/>
      <c r="X934" s="418"/>
      <c r="Y934" s="418"/>
      <c r="Z934" s="418"/>
      <c r="AA934" s="418"/>
      <c r="AB934" s="418"/>
      <c r="AC934" s="418"/>
      <c r="AD934" s="418"/>
      <c r="AE934" s="418"/>
      <c r="AF934" s="418"/>
      <c r="AG934" s="418"/>
      <c r="AH934" s="418"/>
      <c r="AI934" s="418"/>
      <c r="AJ934" s="418"/>
      <c r="AK934" s="418"/>
      <c r="AL934" s="418"/>
      <c r="AM934" s="418"/>
      <c r="AN934" s="423"/>
      <c r="AO934" s="423"/>
      <c r="AP934" s="423"/>
      <c r="AQ934" s="423"/>
      <c r="AR934" s="423"/>
      <c r="AS934" s="423"/>
      <c r="AT934" s="423"/>
      <c r="AU934" s="423"/>
      <c r="AV934" s="423"/>
      <c r="AW934" s="418"/>
      <c r="AX934" s="418"/>
      <c r="AY934" s="418"/>
      <c r="BB934" s="306"/>
      <c r="BF934" s="1119"/>
      <c r="BG934" s="1119"/>
      <c r="BH934" s="1119"/>
    </row>
    <row r="935" spans="1:60" ht="15.75" customHeight="1">
      <c r="A935" s="415"/>
      <c r="B935" s="416"/>
      <c r="C935" s="424"/>
      <c r="E935" s="418"/>
      <c r="F935" s="419"/>
      <c r="G935" s="420"/>
      <c r="H935" s="421"/>
      <c r="I935" s="421"/>
      <c r="J935" s="492"/>
      <c r="K935" s="418"/>
      <c r="L935" s="418"/>
      <c r="M935" s="418"/>
      <c r="N935" s="421"/>
      <c r="O935" s="421"/>
      <c r="P935" s="421"/>
      <c r="Q935" s="418"/>
      <c r="R935" s="418"/>
      <c r="S935" s="418"/>
      <c r="T935" s="418"/>
      <c r="U935" s="418"/>
      <c r="V935" s="418"/>
      <c r="W935" s="418"/>
      <c r="X935" s="418"/>
      <c r="Y935" s="418"/>
      <c r="Z935" s="418"/>
      <c r="AA935" s="418"/>
      <c r="AB935" s="418"/>
      <c r="AC935" s="418"/>
      <c r="AD935" s="418"/>
      <c r="AE935" s="418"/>
      <c r="AF935" s="418"/>
      <c r="AG935" s="418"/>
      <c r="AH935" s="418"/>
      <c r="AI935" s="418"/>
      <c r="AJ935" s="418"/>
      <c r="AK935" s="418"/>
      <c r="AL935" s="418"/>
      <c r="AM935" s="418"/>
      <c r="AN935" s="423"/>
      <c r="AO935" s="423"/>
      <c r="AP935" s="423"/>
      <c r="AQ935" s="423"/>
      <c r="AR935" s="423"/>
      <c r="AS935" s="423"/>
      <c r="AT935" s="423"/>
      <c r="AU935" s="423"/>
      <c r="AV935" s="423"/>
      <c r="AW935" s="418"/>
      <c r="AX935" s="418"/>
      <c r="AY935" s="418"/>
      <c r="BB935" s="306"/>
      <c r="BF935" s="1119"/>
      <c r="BG935" s="1119"/>
      <c r="BH935" s="1119"/>
    </row>
    <row r="936" spans="1:60" ht="15.75" customHeight="1">
      <c r="A936" s="415"/>
      <c r="B936" s="416"/>
      <c r="C936" s="424"/>
      <c r="E936" s="418"/>
      <c r="F936" s="419"/>
      <c r="G936" s="420"/>
      <c r="H936" s="421"/>
      <c r="I936" s="425"/>
      <c r="J936" s="492"/>
      <c r="K936" s="418"/>
      <c r="L936" s="418"/>
      <c r="M936" s="418"/>
      <c r="N936" s="421"/>
      <c r="O936" s="421"/>
      <c r="P936" s="421"/>
      <c r="Q936" s="418"/>
      <c r="R936" s="418"/>
      <c r="S936" s="418"/>
      <c r="T936" s="418"/>
      <c r="U936" s="418"/>
      <c r="V936" s="418"/>
      <c r="W936" s="418"/>
      <c r="X936" s="418"/>
      <c r="Y936" s="418"/>
      <c r="Z936" s="418"/>
      <c r="AA936" s="418"/>
      <c r="AB936" s="418"/>
      <c r="AC936" s="418"/>
      <c r="AD936" s="418"/>
      <c r="AE936" s="418"/>
      <c r="AF936" s="418"/>
      <c r="AG936" s="418"/>
      <c r="AH936" s="418"/>
      <c r="AI936" s="418"/>
      <c r="AJ936" s="418"/>
      <c r="AK936" s="418"/>
      <c r="AL936" s="418"/>
      <c r="AM936" s="418"/>
      <c r="AN936" s="423"/>
      <c r="AO936" s="423"/>
      <c r="AP936" s="423"/>
      <c r="AQ936" s="423"/>
      <c r="AR936" s="423"/>
      <c r="AS936" s="423"/>
      <c r="AT936" s="423"/>
      <c r="AU936" s="423"/>
      <c r="AV936" s="423"/>
      <c r="AW936" s="418"/>
      <c r="AX936" s="418"/>
      <c r="AY936" s="418"/>
      <c r="BB936" s="306"/>
      <c r="BF936" s="1119"/>
      <c r="BG936" s="1119"/>
      <c r="BH936" s="1119"/>
    </row>
    <row r="937" spans="1:60" ht="15.75" customHeight="1">
      <c r="A937" s="415"/>
      <c r="B937" s="416"/>
      <c r="C937" s="424"/>
      <c r="E937" s="418"/>
      <c r="F937" s="419"/>
      <c r="G937" s="420"/>
      <c r="H937" s="421"/>
      <c r="I937" s="421"/>
      <c r="J937" s="492"/>
      <c r="K937" s="418"/>
      <c r="L937" s="418"/>
      <c r="M937" s="418"/>
      <c r="N937" s="421"/>
      <c r="O937" s="421"/>
      <c r="P937" s="421"/>
      <c r="Q937" s="418"/>
      <c r="R937" s="418"/>
      <c r="S937" s="418"/>
      <c r="T937" s="418"/>
      <c r="U937" s="418"/>
      <c r="V937" s="418"/>
      <c r="W937" s="418"/>
      <c r="X937" s="418"/>
      <c r="Y937" s="418"/>
      <c r="Z937" s="418"/>
      <c r="AA937" s="418"/>
      <c r="AB937" s="418"/>
      <c r="AC937" s="418"/>
      <c r="AD937" s="418"/>
      <c r="AE937" s="418"/>
      <c r="AF937" s="418"/>
      <c r="AG937" s="418"/>
      <c r="AH937" s="418"/>
      <c r="AI937" s="418"/>
      <c r="AJ937" s="418"/>
      <c r="AK937" s="418"/>
      <c r="AL937" s="418"/>
      <c r="AM937" s="418"/>
      <c r="AN937" s="423"/>
      <c r="AO937" s="423"/>
      <c r="AP937" s="423"/>
      <c r="AQ937" s="423"/>
      <c r="AR937" s="423"/>
      <c r="AS937" s="423"/>
      <c r="AT937" s="423"/>
      <c r="AU937" s="423"/>
      <c r="AV937" s="423"/>
      <c r="AW937" s="418"/>
      <c r="AX937" s="418"/>
      <c r="AY937" s="418"/>
      <c r="BB937" s="306"/>
      <c r="BF937" s="1119"/>
      <c r="BG937" s="1119"/>
      <c r="BH937" s="1119"/>
    </row>
    <row r="938" spans="1:60" ht="15.75" customHeight="1">
      <c r="A938" s="415"/>
      <c r="B938" s="416"/>
      <c r="C938" s="424"/>
      <c r="E938" s="418"/>
      <c r="F938" s="419"/>
      <c r="G938" s="420"/>
      <c r="H938" s="421"/>
      <c r="I938" s="425"/>
      <c r="J938" s="492"/>
      <c r="K938" s="418"/>
      <c r="L938" s="418"/>
      <c r="M938" s="418"/>
      <c r="N938" s="421"/>
      <c r="O938" s="421"/>
      <c r="P938" s="421"/>
      <c r="Q938" s="418"/>
      <c r="R938" s="418"/>
      <c r="S938" s="418"/>
      <c r="T938" s="418"/>
      <c r="U938" s="418"/>
      <c r="V938" s="418"/>
      <c r="W938" s="418"/>
      <c r="X938" s="418"/>
      <c r="Y938" s="418"/>
      <c r="Z938" s="418"/>
      <c r="AA938" s="418"/>
      <c r="AB938" s="418"/>
      <c r="AC938" s="418"/>
      <c r="AD938" s="418"/>
      <c r="AE938" s="418"/>
      <c r="AF938" s="418"/>
      <c r="AG938" s="418"/>
      <c r="AH938" s="418"/>
      <c r="AI938" s="418"/>
      <c r="AJ938" s="418"/>
      <c r="AK938" s="418"/>
      <c r="AL938" s="418"/>
      <c r="AM938" s="418"/>
      <c r="AN938" s="423"/>
      <c r="AO938" s="423"/>
      <c r="AP938" s="423"/>
      <c r="AQ938" s="423"/>
      <c r="AR938" s="423"/>
      <c r="AS938" s="423"/>
      <c r="AT938" s="423"/>
      <c r="AU938" s="423"/>
      <c r="AV938" s="423"/>
      <c r="AW938" s="418"/>
      <c r="AX938" s="418"/>
      <c r="AY938" s="418"/>
      <c r="BB938" s="306"/>
      <c r="BF938" s="1119"/>
      <c r="BG938" s="1119"/>
      <c r="BH938" s="1119"/>
    </row>
    <row r="939" spans="1:60" ht="15.75" customHeight="1">
      <c r="A939" s="415"/>
      <c r="B939" s="416"/>
      <c r="C939" s="424"/>
      <c r="E939" s="418"/>
      <c r="F939" s="419"/>
      <c r="G939" s="420"/>
      <c r="H939" s="421"/>
      <c r="I939" s="421"/>
      <c r="J939" s="492"/>
      <c r="K939" s="418"/>
      <c r="L939" s="418"/>
      <c r="M939" s="418"/>
      <c r="N939" s="421"/>
      <c r="O939" s="421"/>
      <c r="P939" s="421"/>
      <c r="Q939" s="418"/>
      <c r="R939" s="418"/>
      <c r="S939" s="418"/>
      <c r="T939" s="418"/>
      <c r="U939" s="418"/>
      <c r="V939" s="418"/>
      <c r="W939" s="418"/>
      <c r="X939" s="418"/>
      <c r="Y939" s="418"/>
      <c r="Z939" s="418"/>
      <c r="AA939" s="418"/>
      <c r="AB939" s="418"/>
      <c r="AC939" s="418"/>
      <c r="AD939" s="418"/>
      <c r="AE939" s="418"/>
      <c r="AF939" s="418"/>
      <c r="AG939" s="418"/>
      <c r="AH939" s="418"/>
      <c r="AI939" s="418"/>
      <c r="AJ939" s="418"/>
      <c r="AK939" s="418"/>
      <c r="AL939" s="418"/>
      <c r="AM939" s="418"/>
      <c r="AN939" s="423"/>
      <c r="AO939" s="423"/>
      <c r="AP939" s="423"/>
      <c r="AQ939" s="423"/>
      <c r="AR939" s="423"/>
      <c r="AS939" s="423"/>
      <c r="AT939" s="423"/>
      <c r="AU939" s="423"/>
      <c r="AV939" s="423"/>
      <c r="AW939" s="418"/>
      <c r="AX939" s="418"/>
      <c r="AY939" s="418"/>
      <c r="BB939" s="306"/>
      <c r="BF939" s="1119"/>
      <c r="BG939" s="1119"/>
      <c r="BH939" s="1119"/>
    </row>
    <row r="940" spans="1:60" ht="15.75" customHeight="1">
      <c r="A940" s="415"/>
      <c r="B940" s="416"/>
      <c r="C940" s="424"/>
      <c r="E940" s="418"/>
      <c r="F940" s="419"/>
      <c r="G940" s="420"/>
      <c r="H940" s="421"/>
      <c r="I940" s="425"/>
      <c r="J940" s="492"/>
      <c r="K940" s="418"/>
      <c r="L940" s="418"/>
      <c r="M940" s="418"/>
      <c r="N940" s="421"/>
      <c r="O940" s="421"/>
      <c r="P940" s="421"/>
      <c r="Q940" s="418"/>
      <c r="R940" s="418"/>
      <c r="S940" s="418"/>
      <c r="T940" s="418"/>
      <c r="U940" s="418"/>
      <c r="V940" s="418"/>
      <c r="W940" s="418"/>
      <c r="X940" s="418"/>
      <c r="Y940" s="418"/>
      <c r="Z940" s="418"/>
      <c r="AA940" s="418"/>
      <c r="AB940" s="418"/>
      <c r="AC940" s="418"/>
      <c r="AD940" s="418"/>
      <c r="AE940" s="418"/>
      <c r="AF940" s="418"/>
      <c r="AG940" s="418"/>
      <c r="AH940" s="418"/>
      <c r="AI940" s="418"/>
      <c r="AJ940" s="418"/>
      <c r="AK940" s="418"/>
      <c r="AL940" s="418"/>
      <c r="AM940" s="418"/>
      <c r="AN940" s="423"/>
      <c r="AO940" s="423"/>
      <c r="AP940" s="423"/>
      <c r="AQ940" s="423"/>
      <c r="AR940" s="423"/>
      <c r="AS940" s="423"/>
      <c r="AT940" s="423"/>
      <c r="AU940" s="423"/>
      <c r="AV940" s="423"/>
      <c r="AW940" s="418"/>
      <c r="AX940" s="418"/>
      <c r="AY940" s="418"/>
      <c r="BB940" s="306"/>
      <c r="BF940" s="1119"/>
      <c r="BG940" s="1119"/>
      <c r="BH940" s="1119"/>
    </row>
    <row r="941" spans="1:60" ht="15.75" customHeight="1">
      <c r="A941" s="415"/>
      <c r="B941" s="416"/>
      <c r="C941" s="424"/>
      <c r="E941" s="418"/>
      <c r="F941" s="419"/>
      <c r="G941" s="420"/>
      <c r="H941" s="421"/>
      <c r="I941" s="421"/>
      <c r="J941" s="492"/>
      <c r="K941" s="418"/>
      <c r="L941" s="418"/>
      <c r="M941" s="418"/>
      <c r="N941" s="421"/>
      <c r="O941" s="421"/>
      <c r="P941" s="421"/>
      <c r="Q941" s="418"/>
      <c r="R941" s="418"/>
      <c r="S941" s="418"/>
      <c r="T941" s="418"/>
      <c r="U941" s="418"/>
      <c r="V941" s="418"/>
      <c r="W941" s="418"/>
      <c r="X941" s="418"/>
      <c r="Y941" s="418"/>
      <c r="Z941" s="418"/>
      <c r="AA941" s="418"/>
      <c r="AB941" s="418"/>
      <c r="AC941" s="418"/>
      <c r="AD941" s="418"/>
      <c r="AE941" s="418"/>
      <c r="AF941" s="418"/>
      <c r="AG941" s="418"/>
      <c r="AH941" s="418"/>
      <c r="AI941" s="418"/>
      <c r="AJ941" s="418"/>
      <c r="AK941" s="418"/>
      <c r="AL941" s="418"/>
      <c r="AM941" s="418"/>
      <c r="AN941" s="423"/>
      <c r="AO941" s="423"/>
      <c r="AP941" s="423"/>
      <c r="AQ941" s="423"/>
      <c r="AR941" s="423"/>
      <c r="AS941" s="423"/>
      <c r="AT941" s="423"/>
      <c r="AU941" s="423"/>
      <c r="AV941" s="423"/>
      <c r="AW941" s="418"/>
      <c r="AX941" s="418"/>
      <c r="AY941" s="418"/>
      <c r="BB941" s="306"/>
      <c r="BF941" s="1119"/>
      <c r="BG941" s="1119"/>
      <c r="BH941" s="1119"/>
    </row>
    <row r="942" spans="1:60" ht="15.75" customHeight="1">
      <c r="A942" s="415"/>
      <c r="B942" s="416"/>
      <c r="C942" s="424"/>
      <c r="E942" s="418"/>
      <c r="F942" s="419"/>
      <c r="G942" s="420"/>
      <c r="H942" s="421"/>
      <c r="I942" s="421"/>
      <c r="J942" s="492"/>
      <c r="K942" s="418"/>
      <c r="L942" s="418"/>
      <c r="M942" s="418"/>
      <c r="N942" s="421"/>
      <c r="O942" s="421"/>
      <c r="P942" s="421"/>
      <c r="Q942" s="418"/>
      <c r="R942" s="418"/>
      <c r="S942" s="418"/>
      <c r="T942" s="418"/>
      <c r="U942" s="418"/>
      <c r="V942" s="418"/>
      <c r="W942" s="418"/>
      <c r="X942" s="418"/>
      <c r="Y942" s="418"/>
      <c r="Z942" s="418"/>
      <c r="AA942" s="418"/>
      <c r="AB942" s="418"/>
      <c r="AC942" s="418"/>
      <c r="AD942" s="418"/>
      <c r="AE942" s="418"/>
      <c r="AF942" s="418"/>
      <c r="AG942" s="418"/>
      <c r="AH942" s="418"/>
      <c r="AI942" s="418"/>
      <c r="AJ942" s="418"/>
      <c r="AK942" s="418"/>
      <c r="AL942" s="418"/>
      <c r="AM942" s="418"/>
      <c r="AN942" s="423"/>
      <c r="AO942" s="423"/>
      <c r="AP942" s="423"/>
      <c r="AQ942" s="423"/>
      <c r="AR942" s="423"/>
      <c r="AS942" s="423"/>
      <c r="AT942" s="423"/>
      <c r="AU942" s="423"/>
      <c r="AV942" s="423"/>
      <c r="AW942" s="418"/>
      <c r="AX942" s="418"/>
      <c r="AY942" s="418"/>
      <c r="BB942" s="306"/>
      <c r="BF942" s="1119"/>
      <c r="BG942" s="1119"/>
      <c r="BH942" s="1119"/>
    </row>
    <row r="943" spans="1:60" ht="15.75" customHeight="1">
      <c r="A943" s="415"/>
      <c r="B943" s="416"/>
      <c r="C943" s="424"/>
      <c r="E943" s="418"/>
      <c r="F943" s="419"/>
      <c r="G943" s="420"/>
      <c r="H943" s="421"/>
      <c r="I943" s="425"/>
      <c r="J943" s="492"/>
      <c r="K943" s="418"/>
      <c r="L943" s="418"/>
      <c r="M943" s="418"/>
      <c r="N943" s="421"/>
      <c r="O943" s="421"/>
      <c r="P943" s="421"/>
      <c r="Q943" s="418"/>
      <c r="R943" s="418"/>
      <c r="S943" s="418"/>
      <c r="T943" s="418"/>
      <c r="U943" s="418"/>
      <c r="V943" s="418"/>
      <c r="W943" s="418"/>
      <c r="X943" s="418"/>
      <c r="Y943" s="418"/>
      <c r="Z943" s="418"/>
      <c r="AA943" s="418"/>
      <c r="AB943" s="418"/>
      <c r="AC943" s="418"/>
      <c r="AD943" s="418"/>
      <c r="AE943" s="418"/>
      <c r="AF943" s="418"/>
      <c r="AG943" s="418"/>
      <c r="AH943" s="418"/>
      <c r="AI943" s="418"/>
      <c r="AJ943" s="418"/>
      <c r="AK943" s="418"/>
      <c r="AL943" s="418"/>
      <c r="AM943" s="418"/>
      <c r="AN943" s="423"/>
      <c r="AO943" s="423"/>
      <c r="AP943" s="423"/>
      <c r="AQ943" s="423"/>
      <c r="AR943" s="423"/>
      <c r="AS943" s="423"/>
      <c r="AT943" s="423"/>
      <c r="AU943" s="423"/>
      <c r="AV943" s="423"/>
      <c r="AW943" s="418"/>
      <c r="AX943" s="418"/>
      <c r="AY943" s="418"/>
      <c r="BB943" s="306"/>
      <c r="BF943" s="1119"/>
      <c r="BG943" s="1119"/>
      <c r="BH943" s="1119"/>
    </row>
    <row r="944" spans="1:60" ht="15.75" customHeight="1">
      <c r="A944" s="415"/>
      <c r="B944" s="416"/>
      <c r="C944" s="424"/>
      <c r="E944" s="418"/>
      <c r="F944" s="419"/>
      <c r="G944" s="420"/>
      <c r="H944" s="421"/>
      <c r="I944" s="421"/>
      <c r="J944" s="492"/>
      <c r="K944" s="418"/>
      <c r="L944" s="418"/>
      <c r="M944" s="418"/>
      <c r="N944" s="421"/>
      <c r="O944" s="421"/>
      <c r="P944" s="421"/>
      <c r="Q944" s="418"/>
      <c r="R944" s="418"/>
      <c r="S944" s="418"/>
      <c r="T944" s="418"/>
      <c r="U944" s="418"/>
      <c r="V944" s="418"/>
      <c r="W944" s="418"/>
      <c r="X944" s="418"/>
      <c r="Y944" s="418"/>
      <c r="Z944" s="418"/>
      <c r="AA944" s="418"/>
      <c r="AB944" s="418"/>
      <c r="AC944" s="418"/>
      <c r="AD944" s="418"/>
      <c r="AE944" s="418"/>
      <c r="AF944" s="418"/>
      <c r="AG944" s="418"/>
      <c r="AH944" s="418"/>
      <c r="AI944" s="418"/>
      <c r="AJ944" s="418"/>
      <c r="AK944" s="418"/>
      <c r="AL944" s="418"/>
      <c r="AM944" s="418"/>
      <c r="AN944" s="423"/>
      <c r="AO944" s="423"/>
      <c r="AP944" s="423"/>
      <c r="AQ944" s="423"/>
      <c r="AR944" s="423"/>
      <c r="AS944" s="423"/>
      <c r="AT944" s="423"/>
      <c r="AU944" s="423"/>
      <c r="AV944" s="423"/>
      <c r="AW944" s="418"/>
      <c r="AX944" s="418"/>
      <c r="AY944" s="418"/>
      <c r="BB944" s="306"/>
      <c r="BF944" s="1119"/>
      <c r="BG944" s="1119"/>
      <c r="BH944" s="1119"/>
    </row>
    <row r="945" spans="1:65" ht="15.75" customHeight="1">
      <c r="A945" s="415"/>
      <c r="B945" s="416"/>
      <c r="C945" s="424"/>
      <c r="E945" s="418"/>
      <c r="F945" s="419"/>
      <c r="G945" s="420"/>
      <c r="H945" s="421"/>
      <c r="I945" s="425"/>
      <c r="J945" s="492"/>
      <c r="K945" s="418"/>
      <c r="L945" s="418"/>
      <c r="M945" s="418"/>
      <c r="N945" s="421"/>
      <c r="O945" s="421"/>
      <c r="P945" s="421"/>
      <c r="Q945" s="418"/>
      <c r="R945" s="418"/>
      <c r="S945" s="418"/>
      <c r="T945" s="418"/>
      <c r="U945" s="418"/>
      <c r="V945" s="418"/>
      <c r="W945" s="418"/>
      <c r="X945" s="418"/>
      <c r="Y945" s="418"/>
      <c r="Z945" s="418"/>
      <c r="AA945" s="418"/>
      <c r="AB945" s="418"/>
      <c r="AC945" s="418"/>
      <c r="AD945" s="418"/>
      <c r="AE945" s="418"/>
      <c r="AF945" s="418"/>
      <c r="AG945" s="418"/>
      <c r="AH945" s="418"/>
      <c r="AI945" s="418"/>
      <c r="AJ945" s="418"/>
      <c r="AK945" s="418"/>
      <c r="AL945" s="418"/>
      <c r="AM945" s="418"/>
      <c r="AN945" s="423"/>
      <c r="AO945" s="423"/>
      <c r="AP945" s="423"/>
      <c r="AQ945" s="423"/>
      <c r="AR945" s="423"/>
      <c r="AS945" s="423"/>
      <c r="AT945" s="423"/>
      <c r="AU945" s="423"/>
      <c r="AV945" s="423"/>
      <c r="AW945" s="418"/>
      <c r="AX945" s="418"/>
      <c r="AY945" s="418"/>
      <c r="BB945" s="306"/>
      <c r="BF945" s="1119"/>
      <c r="BG945" s="1119"/>
      <c r="BH945" s="1119"/>
    </row>
    <row r="946" spans="1:65" ht="15.75" customHeight="1">
      <c r="A946" s="415"/>
      <c r="B946" s="416"/>
      <c r="C946" s="424"/>
      <c r="E946" s="418"/>
      <c r="F946" s="419"/>
      <c r="G946" s="420"/>
      <c r="H946" s="421"/>
      <c r="I946" s="421"/>
      <c r="J946" s="492"/>
      <c r="K946" s="418"/>
      <c r="L946" s="418"/>
      <c r="M946" s="418"/>
      <c r="N946" s="421"/>
      <c r="O946" s="421"/>
      <c r="P946" s="421"/>
      <c r="Q946" s="418"/>
      <c r="R946" s="418"/>
      <c r="S946" s="418"/>
      <c r="T946" s="418"/>
      <c r="U946" s="418"/>
      <c r="V946" s="418"/>
      <c r="W946" s="418"/>
      <c r="X946" s="418"/>
      <c r="Y946" s="418"/>
      <c r="Z946" s="418"/>
      <c r="AA946" s="418"/>
      <c r="AB946" s="418"/>
      <c r="AC946" s="418"/>
      <c r="AD946" s="418"/>
      <c r="AE946" s="418"/>
      <c r="AF946" s="418"/>
      <c r="AG946" s="418"/>
      <c r="AH946" s="418"/>
      <c r="AI946" s="418"/>
      <c r="AJ946" s="418"/>
      <c r="AK946" s="418"/>
      <c r="AL946" s="418"/>
      <c r="AM946" s="418"/>
      <c r="AN946" s="423"/>
      <c r="AO946" s="423"/>
      <c r="AP946" s="423"/>
      <c r="AQ946" s="423"/>
      <c r="AR946" s="423"/>
      <c r="AS946" s="423"/>
      <c r="AT946" s="423"/>
      <c r="AU946" s="423"/>
      <c r="AV946" s="423"/>
      <c r="AW946" s="418"/>
      <c r="AX946" s="418"/>
      <c r="AY946" s="418"/>
      <c r="BB946" s="306"/>
      <c r="BC946" s="307"/>
      <c r="BD946" s="307"/>
      <c r="BE946" s="307"/>
      <c r="BF946" s="1119"/>
      <c r="BG946" s="1119"/>
      <c r="BH946" s="1119"/>
    </row>
    <row r="947" spans="1:65" ht="15.75" customHeight="1">
      <c r="A947" s="415"/>
      <c r="B947" s="416"/>
      <c r="C947" s="424"/>
      <c r="E947" s="418"/>
      <c r="F947" s="419"/>
      <c r="G947" s="420"/>
      <c r="H947" s="421"/>
      <c r="I947" s="425"/>
      <c r="J947" s="492"/>
      <c r="K947" s="418"/>
      <c r="L947" s="418"/>
      <c r="M947" s="418"/>
      <c r="N947" s="421"/>
      <c r="O947" s="421"/>
      <c r="P947" s="421"/>
      <c r="Q947" s="418"/>
      <c r="R947" s="418"/>
      <c r="S947" s="418"/>
      <c r="T947" s="418"/>
      <c r="U947" s="418"/>
      <c r="V947" s="418"/>
      <c r="W947" s="418"/>
      <c r="X947" s="418"/>
      <c r="Y947" s="418"/>
      <c r="Z947" s="418"/>
      <c r="AA947" s="418"/>
      <c r="AB947" s="418"/>
      <c r="AC947" s="418"/>
      <c r="AD947" s="418"/>
      <c r="AE947" s="418"/>
      <c r="AF947" s="418"/>
      <c r="AG947" s="418"/>
      <c r="AH947" s="418"/>
      <c r="AI947" s="418"/>
      <c r="AJ947" s="418"/>
      <c r="AK947" s="418"/>
      <c r="AL947" s="418"/>
      <c r="AM947" s="418"/>
      <c r="AN947" s="423"/>
      <c r="AO947" s="423"/>
      <c r="AP947" s="423"/>
      <c r="AQ947" s="423"/>
      <c r="AR947" s="423"/>
      <c r="AS947" s="423"/>
      <c r="AT947" s="423"/>
      <c r="AU947" s="423"/>
      <c r="AV947" s="423"/>
      <c r="AW947" s="418"/>
      <c r="AX947" s="418"/>
      <c r="AY947" s="418"/>
      <c r="BB947" s="306"/>
      <c r="BC947" s="307"/>
      <c r="BD947" s="307"/>
      <c r="BE947" s="307"/>
      <c r="BF947" s="1119"/>
      <c r="BG947" s="1119"/>
      <c r="BH947" s="1119"/>
    </row>
    <row r="948" spans="1:65" ht="15.75" customHeight="1">
      <c r="A948" s="415"/>
      <c r="B948" s="416"/>
      <c r="C948" s="424"/>
      <c r="E948" s="418"/>
      <c r="F948" s="419"/>
      <c r="G948" s="420"/>
      <c r="H948" s="421"/>
      <c r="I948" s="421"/>
      <c r="J948" s="424"/>
      <c r="K948" s="418"/>
      <c r="L948" s="418"/>
      <c r="M948" s="418"/>
      <c r="N948" s="421"/>
      <c r="O948" s="421"/>
      <c r="P948" s="421"/>
      <c r="Q948" s="418"/>
      <c r="R948" s="418"/>
      <c r="S948" s="418"/>
      <c r="T948" s="418"/>
      <c r="U948" s="418"/>
      <c r="V948" s="418"/>
      <c r="W948" s="418"/>
      <c r="X948" s="418"/>
      <c r="Y948" s="418"/>
      <c r="Z948" s="418"/>
      <c r="AA948" s="418"/>
      <c r="AB948" s="418"/>
      <c r="AC948" s="418"/>
      <c r="AD948" s="418"/>
      <c r="AE948" s="418"/>
      <c r="AF948" s="418"/>
      <c r="AG948" s="418"/>
      <c r="AH948" s="418"/>
      <c r="AI948" s="418"/>
      <c r="AJ948" s="418"/>
      <c r="AK948" s="418"/>
      <c r="AL948" s="418"/>
      <c r="AM948" s="418"/>
      <c r="AN948" s="423"/>
      <c r="AO948" s="423"/>
      <c r="AP948" s="423"/>
      <c r="AQ948" s="423"/>
      <c r="AR948" s="423"/>
      <c r="AS948" s="423"/>
      <c r="AT948" s="423"/>
      <c r="AU948" s="423"/>
      <c r="AV948" s="423"/>
      <c r="AW948" s="418"/>
      <c r="AX948" s="418"/>
      <c r="AY948" s="418"/>
      <c r="BB948" s="306"/>
      <c r="BC948" s="307"/>
      <c r="BD948" s="307"/>
      <c r="BE948" s="307"/>
      <c r="BF948" s="1119"/>
      <c r="BG948" s="1119"/>
      <c r="BH948" s="1119"/>
    </row>
    <row r="949" spans="1:65" ht="15.75" customHeight="1">
      <c r="A949" s="415"/>
      <c r="B949" s="416"/>
      <c r="C949" s="424"/>
      <c r="E949" s="418"/>
      <c r="F949" s="419"/>
      <c r="G949" s="420"/>
      <c r="H949" s="421"/>
      <c r="I949" s="425"/>
      <c r="J949" s="492"/>
      <c r="K949" s="418"/>
      <c r="L949" s="418"/>
      <c r="M949" s="418"/>
      <c r="N949" s="421"/>
      <c r="O949" s="421"/>
      <c r="P949" s="421"/>
      <c r="Q949" s="418"/>
      <c r="R949" s="418"/>
      <c r="S949" s="418"/>
      <c r="T949" s="418"/>
      <c r="U949" s="418"/>
      <c r="V949" s="418"/>
      <c r="W949" s="418"/>
      <c r="X949" s="418"/>
      <c r="Y949" s="418"/>
      <c r="Z949" s="418"/>
      <c r="AA949" s="418"/>
      <c r="AB949" s="418"/>
      <c r="AC949" s="418"/>
      <c r="AD949" s="418"/>
      <c r="AE949" s="418"/>
      <c r="AF949" s="418"/>
      <c r="AG949" s="418"/>
      <c r="AH949" s="418"/>
      <c r="AI949" s="418"/>
      <c r="AJ949" s="418"/>
      <c r="AK949" s="418"/>
      <c r="AL949" s="418"/>
      <c r="AM949" s="418"/>
      <c r="AN949" s="423"/>
      <c r="AO949" s="423"/>
      <c r="AP949" s="423"/>
      <c r="AQ949" s="423"/>
      <c r="AR949" s="423"/>
      <c r="AS949" s="423"/>
      <c r="AT949" s="423"/>
      <c r="AU949" s="423"/>
      <c r="AV949" s="423"/>
      <c r="AW949" s="418"/>
      <c r="AX949" s="418"/>
      <c r="AY949" s="418"/>
      <c r="BB949" s="306"/>
      <c r="BC949" s="307"/>
      <c r="BD949" s="307"/>
      <c r="BE949" s="307"/>
      <c r="BF949" s="1119"/>
      <c r="BG949" s="1119"/>
      <c r="BH949" s="1119"/>
    </row>
    <row r="950" spans="1:65" ht="15.75" customHeight="1">
      <c r="A950" s="415"/>
      <c r="B950" s="416"/>
      <c r="C950" s="424"/>
      <c r="E950" s="418"/>
      <c r="F950" s="419"/>
      <c r="G950" s="420"/>
      <c r="H950" s="421"/>
      <c r="I950" s="421"/>
      <c r="J950" s="492"/>
      <c r="K950" s="418"/>
      <c r="L950" s="418"/>
      <c r="M950" s="418"/>
      <c r="N950" s="421"/>
      <c r="O950" s="421"/>
      <c r="P950" s="421"/>
      <c r="Q950" s="418"/>
      <c r="R950" s="418"/>
      <c r="S950" s="418"/>
      <c r="T950" s="418"/>
      <c r="U950" s="418"/>
      <c r="V950" s="418"/>
      <c r="W950" s="418"/>
      <c r="X950" s="418"/>
      <c r="Y950" s="418"/>
      <c r="Z950" s="418"/>
      <c r="AA950" s="418"/>
      <c r="AB950" s="418"/>
      <c r="AC950" s="418"/>
      <c r="AD950" s="418"/>
      <c r="AE950" s="418"/>
      <c r="AF950" s="418"/>
      <c r="AG950" s="418"/>
      <c r="AH950" s="418"/>
      <c r="AI950" s="418"/>
      <c r="AJ950" s="418"/>
      <c r="AK950" s="418"/>
      <c r="AL950" s="418"/>
      <c r="AM950" s="418"/>
      <c r="AN950" s="423"/>
      <c r="AO950" s="423"/>
      <c r="AP950" s="423"/>
      <c r="AQ950" s="423"/>
      <c r="AR950" s="423"/>
      <c r="AS950" s="423"/>
      <c r="AT950" s="423"/>
      <c r="AU950" s="423"/>
      <c r="AV950" s="423"/>
      <c r="AW950" s="418"/>
      <c r="AX950" s="418"/>
      <c r="AY950" s="418"/>
      <c r="BB950" s="306"/>
      <c r="BF950" s="1119"/>
      <c r="BG950" s="1119"/>
      <c r="BH950" s="1119"/>
    </row>
    <row r="951" spans="1:65" ht="15.75" customHeight="1">
      <c r="A951" s="415"/>
      <c r="B951" s="416"/>
      <c r="C951" s="424"/>
      <c r="E951" s="418"/>
      <c r="F951" s="419"/>
      <c r="G951" s="420"/>
      <c r="H951" s="421"/>
      <c r="I951" s="425"/>
      <c r="J951" s="492"/>
      <c r="K951" s="418"/>
      <c r="L951" s="418"/>
      <c r="M951" s="418"/>
      <c r="N951" s="421"/>
      <c r="O951" s="421"/>
      <c r="P951" s="421"/>
      <c r="Q951" s="418"/>
      <c r="R951" s="418"/>
      <c r="S951" s="418"/>
      <c r="T951" s="418"/>
      <c r="U951" s="418"/>
      <c r="V951" s="418"/>
      <c r="W951" s="418"/>
      <c r="X951" s="418"/>
      <c r="Y951" s="418"/>
      <c r="Z951" s="418"/>
      <c r="AA951" s="418"/>
      <c r="AB951" s="418"/>
      <c r="AC951" s="418"/>
      <c r="AD951" s="418"/>
      <c r="AE951" s="418"/>
      <c r="AF951" s="418"/>
      <c r="AG951" s="418"/>
      <c r="AH951" s="418"/>
      <c r="AI951" s="418"/>
      <c r="AJ951" s="418"/>
      <c r="AK951" s="418"/>
      <c r="AL951" s="418"/>
      <c r="AM951" s="418"/>
      <c r="AN951" s="423"/>
      <c r="AO951" s="423"/>
      <c r="AP951" s="423"/>
      <c r="AQ951" s="423"/>
      <c r="AR951" s="423"/>
      <c r="AS951" s="423"/>
      <c r="AT951" s="423"/>
      <c r="AU951" s="423"/>
      <c r="AV951" s="423"/>
      <c r="AW951" s="418"/>
      <c r="AX951" s="418"/>
      <c r="AY951" s="418"/>
      <c r="BB951" s="306"/>
      <c r="BF951" s="1119"/>
      <c r="BG951" s="1119"/>
      <c r="BH951" s="1119"/>
    </row>
    <row r="952" spans="1:65" ht="15.75" customHeight="1">
      <c r="A952" s="415"/>
      <c r="B952" s="416"/>
      <c r="C952" s="424"/>
      <c r="E952" s="418"/>
      <c r="F952" s="419"/>
      <c r="G952" s="420"/>
      <c r="H952" s="421"/>
      <c r="I952" s="421"/>
      <c r="J952" s="492"/>
      <c r="K952" s="418"/>
      <c r="L952" s="418"/>
      <c r="M952" s="418"/>
      <c r="N952" s="421"/>
      <c r="O952" s="421"/>
      <c r="P952" s="421"/>
      <c r="Q952" s="418"/>
      <c r="R952" s="418"/>
      <c r="S952" s="418"/>
      <c r="T952" s="418"/>
      <c r="U952" s="418"/>
      <c r="V952" s="418"/>
      <c r="W952" s="418"/>
      <c r="X952" s="418"/>
      <c r="Y952" s="418"/>
      <c r="Z952" s="418"/>
      <c r="AA952" s="418"/>
      <c r="AB952" s="418"/>
      <c r="AC952" s="418"/>
      <c r="AD952" s="418"/>
      <c r="AE952" s="418"/>
      <c r="AF952" s="418"/>
      <c r="AG952" s="418"/>
      <c r="AH952" s="418"/>
      <c r="AI952" s="418"/>
      <c r="AJ952" s="418"/>
      <c r="AK952" s="418"/>
      <c r="AL952" s="418"/>
      <c r="AM952" s="418"/>
      <c r="AN952" s="423"/>
      <c r="AO952" s="423"/>
      <c r="AP952" s="423"/>
      <c r="AQ952" s="423"/>
      <c r="AR952" s="423"/>
      <c r="AS952" s="423"/>
      <c r="AT952" s="423"/>
      <c r="AU952" s="423"/>
      <c r="AV952" s="423"/>
      <c r="AW952" s="418"/>
      <c r="AX952" s="418"/>
      <c r="AY952" s="418"/>
      <c r="BB952" s="306"/>
      <c r="BF952" s="1119"/>
      <c r="BG952" s="1119"/>
      <c r="BH952" s="1119"/>
    </row>
    <row r="953" spans="1:65" ht="15.75" customHeight="1">
      <c r="A953" s="415"/>
      <c r="B953" s="416"/>
      <c r="C953" s="424"/>
      <c r="E953" s="418"/>
      <c r="F953" s="419"/>
      <c r="G953" s="420"/>
      <c r="H953" s="421"/>
      <c r="I953" s="421"/>
      <c r="J953" s="492"/>
      <c r="K953" s="418"/>
      <c r="L953" s="418"/>
      <c r="M953" s="418"/>
      <c r="N953" s="421"/>
      <c r="O953" s="421"/>
      <c r="P953" s="421"/>
      <c r="Q953" s="418"/>
      <c r="R953" s="418"/>
      <c r="S953" s="418"/>
      <c r="T953" s="418"/>
      <c r="U953" s="418"/>
      <c r="V953" s="418"/>
      <c r="W953" s="418"/>
      <c r="X953" s="418"/>
      <c r="Y953" s="418"/>
      <c r="Z953" s="418"/>
      <c r="AA953" s="418"/>
      <c r="AB953" s="418"/>
      <c r="AC953" s="418"/>
      <c r="AD953" s="418"/>
      <c r="AE953" s="418"/>
      <c r="AF953" s="418"/>
      <c r="AG953" s="418"/>
      <c r="AH953" s="418"/>
      <c r="AI953" s="418"/>
      <c r="AJ953" s="418"/>
      <c r="AK953" s="418"/>
      <c r="AL953" s="418"/>
      <c r="AM953" s="418"/>
      <c r="AN953" s="423"/>
      <c r="AO953" s="423"/>
      <c r="AP953" s="423"/>
      <c r="AQ953" s="423"/>
      <c r="AR953" s="423"/>
      <c r="AS953" s="423"/>
      <c r="AT953" s="423"/>
      <c r="AU953" s="423"/>
      <c r="AV953" s="423"/>
      <c r="AW953" s="418"/>
      <c r="AX953" s="418"/>
      <c r="AY953" s="418"/>
      <c r="BB953" s="306"/>
      <c r="BF953" s="1119"/>
      <c r="BG953" s="1119"/>
      <c r="BH953" s="1119"/>
    </row>
    <row r="954" spans="1:65" ht="15.75" customHeight="1">
      <c r="A954" s="415"/>
      <c r="B954" s="416"/>
      <c r="C954" s="424"/>
      <c r="E954" s="418"/>
      <c r="F954" s="419"/>
      <c r="G954" s="420"/>
      <c r="H954" s="421"/>
      <c r="I954" s="421"/>
      <c r="J954" s="492"/>
      <c r="K954" s="418"/>
      <c r="L954" s="418"/>
      <c r="M954" s="418"/>
      <c r="N954" s="421"/>
      <c r="O954" s="421"/>
      <c r="P954" s="421"/>
      <c r="Q954" s="418"/>
      <c r="R954" s="418"/>
      <c r="S954" s="418"/>
      <c r="T954" s="418"/>
      <c r="U954" s="418"/>
      <c r="V954" s="418"/>
      <c r="W954" s="418"/>
      <c r="X954" s="418"/>
      <c r="Y954" s="418"/>
      <c r="Z954" s="418"/>
      <c r="AA954" s="418"/>
      <c r="AB954" s="418"/>
      <c r="AC954" s="418"/>
      <c r="AD954" s="418"/>
      <c r="AE954" s="418"/>
      <c r="AF954" s="418"/>
      <c r="AG954" s="418"/>
      <c r="AH954" s="418"/>
      <c r="AI954" s="418"/>
      <c r="AJ954" s="418"/>
      <c r="AK954" s="418"/>
      <c r="AL954" s="418"/>
      <c r="AM954" s="418"/>
      <c r="AN954" s="423"/>
      <c r="AO954" s="423"/>
      <c r="AP954" s="423"/>
      <c r="AQ954" s="423"/>
      <c r="AR954" s="423"/>
      <c r="AS954" s="423"/>
      <c r="AT954" s="423"/>
      <c r="AU954" s="423"/>
      <c r="AV954" s="423"/>
      <c r="AW954" s="418"/>
      <c r="AX954" s="418"/>
      <c r="AY954" s="418"/>
      <c r="BB954" s="306"/>
      <c r="BI954" s="307"/>
      <c r="BJ954" s="307"/>
      <c r="BK954" s="307"/>
      <c r="BL954" s="307"/>
      <c r="BM954" s="307"/>
    </row>
    <row r="955" spans="1:65" ht="15.75" customHeight="1">
      <c r="A955" s="415"/>
      <c r="B955" s="416"/>
      <c r="C955" s="424"/>
      <c r="E955" s="418"/>
      <c r="F955" s="419"/>
      <c r="G955" s="420"/>
      <c r="H955" s="421"/>
      <c r="I955" s="421"/>
      <c r="J955" s="492"/>
      <c r="K955" s="418"/>
      <c r="L955" s="418"/>
      <c r="M955" s="418"/>
      <c r="N955" s="421"/>
      <c r="O955" s="421"/>
      <c r="P955" s="421"/>
      <c r="Q955" s="418"/>
      <c r="R955" s="418"/>
      <c r="S955" s="418"/>
      <c r="T955" s="418"/>
      <c r="U955" s="418"/>
      <c r="V955" s="418"/>
      <c r="W955" s="418"/>
      <c r="X955" s="418"/>
      <c r="Y955" s="418"/>
      <c r="Z955" s="418"/>
      <c r="AA955" s="418"/>
      <c r="AB955" s="418"/>
      <c r="AC955" s="418"/>
      <c r="AD955" s="418"/>
      <c r="AE955" s="418"/>
      <c r="AF955" s="418"/>
      <c r="AG955" s="418"/>
      <c r="AH955" s="418"/>
      <c r="AI955" s="418"/>
      <c r="AJ955" s="418"/>
      <c r="AK955" s="418"/>
      <c r="AL955" s="418"/>
      <c r="AM955" s="418"/>
      <c r="AN955" s="423"/>
      <c r="AO955" s="423"/>
      <c r="AP955" s="423"/>
      <c r="AQ955" s="423"/>
      <c r="AR955" s="423"/>
      <c r="AS955" s="423"/>
      <c r="AT955" s="423"/>
      <c r="AU955" s="423"/>
      <c r="AV955" s="423"/>
      <c r="AW955" s="418"/>
      <c r="AX955" s="418"/>
      <c r="AY955" s="418"/>
      <c r="BB955" s="306"/>
      <c r="BI955" s="307"/>
      <c r="BJ955" s="307"/>
      <c r="BK955" s="307"/>
      <c r="BL955" s="307"/>
      <c r="BM955" s="307"/>
    </row>
    <row r="956" spans="1:65" ht="15.75" customHeight="1">
      <c r="A956" s="415"/>
      <c r="B956" s="416"/>
      <c r="C956" s="424"/>
      <c r="E956" s="418"/>
      <c r="F956" s="419"/>
      <c r="G956" s="420"/>
      <c r="H956" s="421"/>
      <c r="I956" s="421"/>
      <c r="J956" s="492"/>
      <c r="K956" s="418"/>
      <c r="L956" s="418"/>
      <c r="M956" s="418"/>
      <c r="N956" s="421"/>
      <c r="O956" s="421"/>
      <c r="P956" s="421"/>
      <c r="Q956" s="418"/>
      <c r="R956" s="418"/>
      <c r="S956" s="418"/>
      <c r="T956" s="418"/>
      <c r="U956" s="418"/>
      <c r="V956" s="418"/>
      <c r="W956" s="418"/>
      <c r="X956" s="418"/>
      <c r="Y956" s="418"/>
      <c r="Z956" s="418"/>
      <c r="AA956" s="418"/>
      <c r="AB956" s="418"/>
      <c r="AC956" s="418"/>
      <c r="AD956" s="418"/>
      <c r="AE956" s="418"/>
      <c r="AF956" s="418"/>
      <c r="AG956" s="418"/>
      <c r="AH956" s="418"/>
      <c r="AI956" s="418"/>
      <c r="AJ956" s="418"/>
      <c r="AK956" s="418"/>
      <c r="AL956" s="418"/>
      <c r="AM956" s="418"/>
      <c r="AN956" s="423"/>
      <c r="AO956" s="423"/>
      <c r="AP956" s="423"/>
      <c r="AQ956" s="423"/>
      <c r="AR956" s="423"/>
      <c r="AS956" s="423"/>
      <c r="AT956" s="423"/>
      <c r="AU956" s="423"/>
      <c r="AV956" s="423"/>
      <c r="AW956" s="418"/>
      <c r="AX956" s="418"/>
      <c r="AY956" s="418"/>
      <c r="BB956" s="306"/>
      <c r="BI956" s="307"/>
      <c r="BJ956" s="307"/>
      <c r="BK956" s="307"/>
      <c r="BL956" s="307"/>
      <c r="BM956" s="307"/>
    </row>
    <row r="957" spans="1:65" ht="15.75" customHeight="1">
      <c r="A957" s="415"/>
      <c r="B957" s="416"/>
      <c r="C957" s="424"/>
      <c r="E957" s="418"/>
      <c r="F957" s="419"/>
      <c r="G957" s="420"/>
      <c r="H957" s="421"/>
      <c r="I957" s="421"/>
      <c r="J957" s="492"/>
      <c r="K957" s="418"/>
      <c r="L957" s="418"/>
      <c r="M957" s="418"/>
      <c r="N957" s="421"/>
      <c r="O957" s="421"/>
      <c r="P957" s="421"/>
      <c r="Q957" s="418"/>
      <c r="R957" s="418"/>
      <c r="S957" s="418"/>
      <c r="T957" s="418"/>
      <c r="U957" s="418"/>
      <c r="V957" s="418"/>
      <c r="W957" s="418"/>
      <c r="X957" s="418"/>
      <c r="Y957" s="418"/>
      <c r="Z957" s="418"/>
      <c r="AA957" s="418"/>
      <c r="AB957" s="418"/>
      <c r="AC957" s="418"/>
      <c r="AD957" s="418"/>
      <c r="AE957" s="418"/>
      <c r="AF957" s="418"/>
      <c r="AG957" s="418"/>
      <c r="AH957" s="418"/>
      <c r="AI957" s="418"/>
      <c r="AJ957" s="418"/>
      <c r="AK957" s="418"/>
      <c r="AL957" s="418"/>
      <c r="AM957" s="418"/>
      <c r="AN957" s="423"/>
      <c r="AO957" s="423"/>
      <c r="AP957" s="423"/>
      <c r="AQ957" s="423"/>
      <c r="AR957" s="423"/>
      <c r="AS957" s="423"/>
      <c r="AT957" s="423"/>
      <c r="AU957" s="423"/>
      <c r="AV957" s="423"/>
      <c r="AW957" s="418"/>
      <c r="AX957" s="418"/>
      <c r="AY957" s="418"/>
      <c r="BB957" s="306"/>
      <c r="BI957" s="307"/>
      <c r="BJ957" s="307"/>
      <c r="BK957" s="307"/>
      <c r="BL957" s="307"/>
      <c r="BM957" s="307"/>
    </row>
    <row r="958" spans="1:65" ht="15.75" customHeight="1">
      <c r="A958" s="415"/>
      <c r="B958" s="416"/>
      <c r="C958" s="424"/>
      <c r="E958" s="418"/>
      <c r="F958" s="419"/>
      <c r="G958" s="420"/>
      <c r="H958" s="421"/>
      <c r="I958" s="421"/>
      <c r="J958" s="492"/>
      <c r="K958" s="418"/>
      <c r="L958" s="418"/>
      <c r="M958" s="418"/>
      <c r="N958" s="421"/>
      <c r="O958" s="421"/>
      <c r="P958" s="421"/>
      <c r="Q958" s="418"/>
      <c r="R958" s="418"/>
      <c r="S958" s="418"/>
      <c r="T958" s="418"/>
      <c r="U958" s="418"/>
      <c r="V958" s="418"/>
      <c r="W958" s="418"/>
      <c r="X958" s="418"/>
      <c r="Y958" s="418"/>
      <c r="Z958" s="418"/>
      <c r="AA958" s="418"/>
      <c r="AB958" s="418"/>
      <c r="AC958" s="418"/>
      <c r="AD958" s="418"/>
      <c r="AE958" s="418"/>
      <c r="AF958" s="418"/>
      <c r="AG958" s="418"/>
      <c r="AH958" s="418"/>
      <c r="AI958" s="418"/>
      <c r="AJ958" s="418"/>
      <c r="AK958" s="418"/>
      <c r="AL958" s="418"/>
      <c r="AM958" s="418"/>
      <c r="AN958" s="423"/>
      <c r="AO958" s="423"/>
      <c r="AP958" s="423"/>
      <c r="AQ958" s="423"/>
      <c r="AR958" s="423"/>
      <c r="AS958" s="423"/>
      <c r="AT958" s="423"/>
      <c r="AU958" s="423"/>
      <c r="AV958" s="423"/>
      <c r="AW958" s="418"/>
      <c r="AX958" s="418"/>
      <c r="AY958" s="418"/>
      <c r="BB958" s="306"/>
    </row>
    <row r="959" spans="1:65" ht="15.75" customHeight="1">
      <c r="A959" s="415"/>
      <c r="B959" s="416"/>
      <c r="C959" s="424"/>
      <c r="E959" s="418"/>
      <c r="F959" s="419"/>
      <c r="G959" s="420"/>
      <c r="H959" s="421"/>
      <c r="I959" s="421"/>
      <c r="J959" s="492"/>
      <c r="K959" s="418"/>
      <c r="L959" s="418"/>
      <c r="M959" s="418"/>
      <c r="N959" s="421"/>
      <c r="O959" s="421"/>
      <c r="P959" s="421"/>
      <c r="Q959" s="418"/>
      <c r="R959" s="418"/>
      <c r="S959" s="418"/>
      <c r="T959" s="418"/>
      <c r="U959" s="418"/>
      <c r="V959" s="418"/>
      <c r="W959" s="418"/>
      <c r="X959" s="418"/>
      <c r="Y959" s="418"/>
      <c r="Z959" s="418"/>
      <c r="AA959" s="418"/>
      <c r="AB959" s="418"/>
      <c r="AC959" s="418"/>
      <c r="AD959" s="418"/>
      <c r="AE959" s="418"/>
      <c r="AF959" s="418"/>
      <c r="AG959" s="418"/>
      <c r="AH959" s="418"/>
      <c r="AI959" s="418"/>
      <c r="AJ959" s="418"/>
      <c r="AK959" s="418"/>
      <c r="AL959" s="418"/>
      <c r="AM959" s="418"/>
      <c r="AN959" s="423"/>
      <c r="AO959" s="423"/>
      <c r="AP959" s="423"/>
      <c r="AQ959" s="423"/>
      <c r="AR959" s="423"/>
      <c r="AS959" s="423"/>
      <c r="AT959" s="423"/>
      <c r="AU959" s="423"/>
      <c r="AV959" s="423"/>
      <c r="AW959" s="418"/>
      <c r="AX959" s="418"/>
      <c r="AY959" s="418"/>
      <c r="BB959" s="306"/>
    </row>
    <row r="960" spans="1:65" ht="15.75" customHeight="1">
      <c r="A960" s="415"/>
      <c r="B960" s="416"/>
      <c r="C960" s="424"/>
      <c r="E960" s="418"/>
      <c r="F960" s="419"/>
      <c r="G960" s="420"/>
      <c r="H960" s="421"/>
      <c r="I960" s="421"/>
      <c r="J960" s="492"/>
      <c r="K960" s="418"/>
      <c r="L960" s="418"/>
      <c r="M960" s="418"/>
      <c r="N960" s="421"/>
      <c r="O960" s="421"/>
      <c r="P960" s="421"/>
      <c r="Q960" s="418"/>
      <c r="R960" s="418"/>
      <c r="S960" s="418"/>
      <c r="T960" s="418"/>
      <c r="U960" s="418"/>
      <c r="V960" s="418"/>
      <c r="W960" s="418"/>
      <c r="X960" s="418"/>
      <c r="Y960" s="418"/>
      <c r="Z960" s="418"/>
      <c r="AA960" s="418"/>
      <c r="AB960" s="418"/>
      <c r="AC960" s="418"/>
      <c r="AD960" s="418"/>
      <c r="AE960" s="418"/>
      <c r="AF960" s="418"/>
      <c r="AG960" s="418"/>
      <c r="AH960" s="418"/>
      <c r="AI960" s="418"/>
      <c r="AJ960" s="418"/>
      <c r="AK960" s="418"/>
      <c r="AL960" s="418"/>
      <c r="AM960" s="418"/>
      <c r="AN960" s="423"/>
      <c r="AO960" s="423"/>
      <c r="AP960" s="423"/>
      <c r="AQ960" s="423"/>
      <c r="AR960" s="423"/>
      <c r="AS960" s="423"/>
      <c r="AT960" s="423"/>
      <c r="AU960" s="423"/>
      <c r="AV960" s="423"/>
      <c r="AW960" s="418"/>
      <c r="AX960" s="418"/>
      <c r="AY960" s="418"/>
      <c r="BB960" s="306"/>
    </row>
    <row r="961" spans="1:60" ht="15.75" customHeight="1">
      <c r="A961" s="415"/>
      <c r="B961" s="416"/>
      <c r="C961" s="424"/>
      <c r="E961" s="418"/>
      <c r="F961" s="419"/>
      <c r="G961" s="420"/>
      <c r="H961" s="421"/>
      <c r="I961" s="421"/>
      <c r="J961" s="492"/>
      <c r="K961" s="418"/>
      <c r="L961" s="418"/>
      <c r="M961" s="418"/>
      <c r="N961" s="421"/>
      <c r="O961" s="418"/>
      <c r="P961" s="418"/>
      <c r="Q961" s="418"/>
      <c r="R961" s="418"/>
      <c r="S961" s="418"/>
      <c r="T961" s="418"/>
      <c r="U961" s="418"/>
      <c r="V961" s="418"/>
      <c r="W961" s="418"/>
      <c r="X961" s="418"/>
      <c r="Y961" s="418"/>
      <c r="Z961" s="418"/>
      <c r="AA961" s="418"/>
      <c r="AB961" s="418"/>
      <c r="AC961" s="418"/>
      <c r="AD961" s="418"/>
      <c r="AE961" s="418"/>
      <c r="AF961" s="418"/>
      <c r="AG961" s="418"/>
      <c r="AH961" s="418"/>
      <c r="AI961" s="418"/>
      <c r="AJ961" s="418"/>
      <c r="AK961" s="418"/>
      <c r="AL961" s="418"/>
      <c r="AM961" s="418"/>
      <c r="AN961" s="423"/>
      <c r="AO961" s="423"/>
      <c r="AP961" s="423"/>
      <c r="AQ961" s="423"/>
      <c r="AR961" s="423"/>
      <c r="AS961" s="423"/>
      <c r="AT961" s="423"/>
      <c r="AU961" s="423"/>
      <c r="AV961" s="423"/>
      <c r="AW961" s="418"/>
      <c r="AX961" s="418"/>
      <c r="AY961" s="418"/>
      <c r="BB961" s="306"/>
    </row>
    <row r="962" spans="1:60" ht="15.75" customHeight="1">
      <c r="A962" s="415"/>
      <c r="B962" s="416"/>
      <c r="C962" s="424"/>
      <c r="E962" s="418"/>
      <c r="F962" s="419"/>
      <c r="G962" s="420"/>
      <c r="H962" s="421"/>
      <c r="I962" s="421"/>
      <c r="J962" s="492"/>
      <c r="K962" s="418"/>
      <c r="L962" s="418"/>
      <c r="M962" s="418"/>
      <c r="N962" s="421"/>
      <c r="O962" s="421"/>
      <c r="P962" s="421"/>
      <c r="Q962" s="418"/>
      <c r="R962" s="418"/>
      <c r="S962" s="418"/>
      <c r="T962" s="418"/>
      <c r="U962" s="418"/>
      <c r="V962" s="418"/>
      <c r="W962" s="418"/>
      <c r="X962" s="418"/>
      <c r="Y962" s="418"/>
      <c r="Z962" s="418"/>
      <c r="AA962" s="418"/>
      <c r="AB962" s="418"/>
      <c r="AC962" s="418"/>
      <c r="AD962" s="418"/>
      <c r="AE962" s="418"/>
      <c r="AF962" s="418"/>
      <c r="AG962" s="418"/>
      <c r="AH962" s="418"/>
      <c r="AI962" s="418"/>
      <c r="AJ962" s="418"/>
      <c r="AK962" s="418"/>
      <c r="AL962" s="418"/>
      <c r="AM962" s="418"/>
      <c r="AN962" s="423"/>
      <c r="AO962" s="423"/>
      <c r="AP962" s="423"/>
      <c r="AQ962" s="423"/>
      <c r="AR962" s="423"/>
      <c r="AS962" s="423"/>
      <c r="AT962" s="423"/>
      <c r="AU962" s="423"/>
      <c r="AV962" s="423"/>
      <c r="AW962" s="418"/>
      <c r="AX962" s="418"/>
      <c r="AY962" s="418"/>
      <c r="BB962" s="306"/>
    </row>
    <row r="963" spans="1:60" ht="15.75" customHeight="1">
      <c r="A963" s="415"/>
      <c r="B963" s="416"/>
      <c r="C963" s="424"/>
      <c r="E963" s="418"/>
      <c r="F963" s="419"/>
      <c r="G963" s="420"/>
      <c r="H963" s="421"/>
      <c r="I963" s="421"/>
      <c r="J963" s="492"/>
      <c r="K963" s="418"/>
      <c r="L963" s="418"/>
      <c r="M963" s="418"/>
      <c r="N963" s="421"/>
      <c r="O963" s="421"/>
      <c r="P963" s="421"/>
      <c r="Q963" s="418"/>
      <c r="R963" s="418"/>
      <c r="S963" s="418"/>
      <c r="T963" s="418"/>
      <c r="U963" s="418"/>
      <c r="V963" s="418"/>
      <c r="W963" s="418"/>
      <c r="X963" s="418"/>
      <c r="Y963" s="418"/>
      <c r="Z963" s="418"/>
      <c r="AA963" s="418"/>
      <c r="AB963" s="418"/>
      <c r="AC963" s="418"/>
      <c r="AD963" s="418"/>
      <c r="AE963" s="418"/>
      <c r="AF963" s="418"/>
      <c r="AG963" s="418"/>
      <c r="AH963" s="418"/>
      <c r="AI963" s="418"/>
      <c r="AJ963" s="418"/>
      <c r="AK963" s="418"/>
      <c r="AL963" s="418"/>
      <c r="AM963" s="418"/>
      <c r="AN963" s="423"/>
      <c r="AO963" s="423"/>
      <c r="AP963" s="423"/>
      <c r="AQ963" s="423"/>
      <c r="AR963" s="423"/>
      <c r="AS963" s="423"/>
      <c r="AT963" s="423"/>
      <c r="AU963" s="423"/>
      <c r="AV963" s="423"/>
      <c r="AW963" s="418"/>
      <c r="AX963" s="418"/>
      <c r="AY963" s="418"/>
      <c r="BB963" s="306"/>
    </row>
    <row r="964" spans="1:60" ht="15.75" customHeight="1">
      <c r="A964" s="415"/>
      <c r="B964" s="416"/>
      <c r="C964" s="424"/>
      <c r="E964" s="418"/>
      <c r="F964" s="419"/>
      <c r="G964" s="420"/>
      <c r="H964" s="421"/>
      <c r="I964" s="421"/>
      <c r="J964" s="492"/>
      <c r="K964" s="418"/>
      <c r="L964" s="418"/>
      <c r="M964" s="418"/>
      <c r="N964" s="421"/>
      <c r="O964" s="421"/>
      <c r="P964" s="421"/>
      <c r="Q964" s="418"/>
      <c r="R964" s="418"/>
      <c r="S964" s="418"/>
      <c r="T964" s="418"/>
      <c r="U964" s="418"/>
      <c r="V964" s="418"/>
      <c r="W964" s="418"/>
      <c r="X964" s="418"/>
      <c r="Y964" s="418"/>
      <c r="Z964" s="418"/>
      <c r="AA964" s="418"/>
      <c r="AB964" s="418"/>
      <c r="AC964" s="418"/>
      <c r="AD964" s="418"/>
      <c r="AE964" s="418"/>
      <c r="AF964" s="418"/>
      <c r="AG964" s="418"/>
      <c r="AH964" s="418"/>
      <c r="AI964" s="418"/>
      <c r="AJ964" s="418"/>
      <c r="AK964" s="418"/>
      <c r="AL964" s="418"/>
      <c r="AM964" s="418"/>
      <c r="AN964" s="423"/>
      <c r="AO964" s="423"/>
      <c r="AP964" s="423"/>
      <c r="AQ964" s="423"/>
      <c r="AR964" s="423"/>
      <c r="AS964" s="423"/>
      <c r="AT964" s="423"/>
      <c r="AU964" s="423"/>
      <c r="AV964" s="423"/>
      <c r="AW964" s="418"/>
      <c r="AX964" s="418"/>
      <c r="AY964" s="418"/>
      <c r="BB964" s="306"/>
    </row>
    <row r="965" spans="1:60" ht="15.75" customHeight="1">
      <c r="A965" s="415"/>
      <c r="B965" s="416"/>
      <c r="C965" s="424"/>
      <c r="E965" s="418"/>
      <c r="F965" s="419"/>
      <c r="G965" s="420"/>
      <c r="H965" s="421"/>
      <c r="I965" s="421"/>
      <c r="J965" s="492"/>
      <c r="K965" s="418"/>
      <c r="L965" s="418"/>
      <c r="M965" s="418"/>
      <c r="N965" s="421"/>
      <c r="O965" s="421"/>
      <c r="P965" s="421"/>
      <c r="Q965" s="418"/>
      <c r="R965" s="418"/>
      <c r="S965" s="418"/>
      <c r="T965" s="418"/>
      <c r="U965" s="418"/>
      <c r="V965" s="418"/>
      <c r="W965" s="418"/>
      <c r="X965" s="418"/>
      <c r="Y965" s="418"/>
      <c r="Z965" s="418"/>
      <c r="AA965" s="418"/>
      <c r="AB965" s="418"/>
      <c r="AC965" s="418"/>
      <c r="AD965" s="418"/>
      <c r="AE965" s="418"/>
      <c r="AF965" s="418"/>
      <c r="AG965" s="418"/>
      <c r="AH965" s="418"/>
      <c r="AI965" s="418"/>
      <c r="AJ965" s="418"/>
      <c r="AK965" s="418"/>
      <c r="AL965" s="418"/>
      <c r="AM965" s="418"/>
      <c r="AN965" s="423"/>
      <c r="AO965" s="423"/>
      <c r="AP965" s="423"/>
      <c r="AQ965" s="423"/>
      <c r="AR965" s="423"/>
      <c r="AS965" s="423"/>
      <c r="AT965" s="423"/>
      <c r="AU965" s="423"/>
      <c r="AV965" s="423"/>
      <c r="AW965" s="418"/>
      <c r="AX965" s="418"/>
      <c r="AY965" s="418"/>
      <c r="BB965" s="306"/>
    </row>
    <row r="966" spans="1:60" ht="15.75" customHeight="1">
      <c r="A966" s="415"/>
      <c r="B966" s="416"/>
      <c r="C966" s="424"/>
      <c r="E966" s="418"/>
      <c r="F966" s="419"/>
      <c r="G966" s="420"/>
      <c r="H966" s="421"/>
      <c r="I966" s="421"/>
      <c r="J966" s="492"/>
      <c r="K966" s="418"/>
      <c r="L966" s="418"/>
      <c r="M966" s="418"/>
      <c r="N966" s="421"/>
      <c r="O966" s="421"/>
      <c r="P966" s="421"/>
      <c r="Q966" s="418"/>
      <c r="R966" s="418"/>
      <c r="S966" s="418"/>
      <c r="T966" s="418"/>
      <c r="U966" s="418"/>
      <c r="V966" s="418"/>
      <c r="W966" s="418"/>
      <c r="X966" s="418"/>
      <c r="Y966" s="418"/>
      <c r="Z966" s="418"/>
      <c r="AA966" s="418"/>
      <c r="AB966" s="418"/>
      <c r="AC966" s="418"/>
      <c r="AD966" s="418"/>
      <c r="AE966" s="418"/>
      <c r="AF966" s="418"/>
      <c r="AG966" s="418"/>
      <c r="AH966" s="418"/>
      <c r="AI966" s="418"/>
      <c r="AJ966" s="418"/>
      <c r="AK966" s="418"/>
      <c r="AL966" s="418"/>
      <c r="AM966" s="418"/>
      <c r="AN966" s="423"/>
      <c r="AO966" s="423"/>
      <c r="AP966" s="423"/>
      <c r="AQ966" s="423"/>
      <c r="AR966" s="423"/>
      <c r="AS966" s="423"/>
      <c r="AT966" s="423"/>
      <c r="AU966" s="423"/>
      <c r="AV966" s="423"/>
      <c r="AW966" s="418"/>
      <c r="AX966" s="418"/>
      <c r="AY966" s="418"/>
      <c r="BB966" s="306"/>
    </row>
    <row r="967" spans="1:60" ht="15.75" customHeight="1">
      <c r="A967" s="415"/>
      <c r="B967" s="416"/>
      <c r="C967" s="424"/>
      <c r="E967" s="418"/>
      <c r="F967" s="419"/>
      <c r="G967" s="420"/>
      <c r="H967" s="421"/>
      <c r="I967" s="421"/>
      <c r="J967" s="492"/>
      <c r="K967" s="418"/>
      <c r="L967" s="418"/>
      <c r="M967" s="418"/>
      <c r="N967" s="421"/>
      <c r="O967" s="421"/>
      <c r="P967" s="421"/>
      <c r="Q967" s="418"/>
      <c r="R967" s="418"/>
      <c r="S967" s="418"/>
      <c r="T967" s="418"/>
      <c r="U967" s="418"/>
      <c r="V967" s="418"/>
      <c r="W967" s="418"/>
      <c r="X967" s="418"/>
      <c r="Y967" s="418"/>
      <c r="Z967" s="418"/>
      <c r="AA967" s="418"/>
      <c r="AB967" s="418"/>
      <c r="AC967" s="418"/>
      <c r="AD967" s="418"/>
      <c r="AE967" s="418"/>
      <c r="AF967" s="418"/>
      <c r="AG967" s="418"/>
      <c r="AH967" s="418"/>
      <c r="AI967" s="418"/>
      <c r="AJ967" s="418"/>
      <c r="AK967" s="418"/>
      <c r="AL967" s="418"/>
      <c r="AM967" s="418"/>
      <c r="AN967" s="423"/>
      <c r="AO967" s="423"/>
      <c r="AP967" s="423"/>
      <c r="AQ967" s="423"/>
      <c r="AR967" s="423"/>
      <c r="AS967" s="423"/>
      <c r="AT967" s="423"/>
      <c r="AU967" s="423"/>
      <c r="AV967" s="423"/>
      <c r="AW967" s="418"/>
      <c r="AX967" s="418"/>
      <c r="AY967" s="418"/>
      <c r="BB967" s="306"/>
    </row>
    <row r="968" spans="1:60" ht="15.75" customHeight="1">
      <c r="A968" s="415"/>
      <c r="B968" s="416"/>
      <c r="C968" s="424"/>
      <c r="E968" s="418"/>
      <c r="F968" s="419"/>
      <c r="G968" s="420"/>
      <c r="H968" s="421"/>
      <c r="I968" s="421"/>
      <c r="J968" s="492"/>
      <c r="K968" s="418"/>
      <c r="L968" s="418"/>
      <c r="M968" s="418"/>
      <c r="N968" s="421"/>
      <c r="O968" s="421"/>
      <c r="P968" s="421"/>
      <c r="Q968" s="418"/>
      <c r="R968" s="418"/>
      <c r="S968" s="418"/>
      <c r="T968" s="418"/>
      <c r="U968" s="418"/>
      <c r="V968" s="418"/>
      <c r="W968" s="418"/>
      <c r="X968" s="418"/>
      <c r="Y968" s="418"/>
      <c r="Z968" s="418"/>
      <c r="AA968" s="418"/>
      <c r="AB968" s="418"/>
      <c r="AC968" s="418"/>
      <c r="AD968" s="418"/>
      <c r="AE968" s="418"/>
      <c r="AF968" s="418"/>
      <c r="AG968" s="418"/>
      <c r="AH968" s="418"/>
      <c r="AI968" s="418"/>
      <c r="AJ968" s="418"/>
      <c r="AK968" s="418"/>
      <c r="AL968" s="418"/>
      <c r="AM968" s="418"/>
      <c r="AN968" s="423"/>
      <c r="AO968" s="423"/>
      <c r="AP968" s="423"/>
      <c r="AQ968" s="423"/>
      <c r="AR968" s="423"/>
      <c r="AS968" s="423"/>
      <c r="AT968" s="423"/>
      <c r="AU968" s="423"/>
      <c r="AV968" s="423"/>
      <c r="AW968" s="418"/>
      <c r="AX968" s="418"/>
      <c r="AY968" s="418"/>
      <c r="BB968" s="306"/>
    </row>
    <row r="969" spans="1:60" ht="15.75" customHeight="1">
      <c r="A969" s="415"/>
      <c r="B969" s="416"/>
      <c r="C969" s="424"/>
      <c r="E969" s="418"/>
      <c r="F969" s="419"/>
      <c r="G969" s="420"/>
      <c r="H969" s="421"/>
      <c r="I969" s="421"/>
      <c r="J969" s="492"/>
      <c r="K969" s="418"/>
      <c r="L969" s="418"/>
      <c r="M969" s="418"/>
      <c r="N969" s="421"/>
      <c r="O969" s="421"/>
      <c r="P969" s="421"/>
      <c r="Q969" s="418"/>
      <c r="R969" s="418"/>
      <c r="S969" s="418"/>
      <c r="T969" s="418"/>
      <c r="U969" s="418"/>
      <c r="V969" s="418"/>
      <c r="W969" s="418"/>
      <c r="X969" s="418"/>
      <c r="Y969" s="418"/>
      <c r="Z969" s="418"/>
      <c r="AA969" s="418"/>
      <c r="AB969" s="418"/>
      <c r="AC969" s="418"/>
      <c r="AD969" s="418"/>
      <c r="AE969" s="418"/>
      <c r="AF969" s="418"/>
      <c r="AG969" s="418"/>
      <c r="AH969" s="418"/>
      <c r="AI969" s="418"/>
      <c r="AJ969" s="418"/>
      <c r="AK969" s="418"/>
      <c r="AL969" s="418"/>
      <c r="AM969" s="418"/>
      <c r="AN969" s="423"/>
      <c r="AO969" s="423"/>
      <c r="AP969" s="423"/>
      <c r="AQ969" s="423"/>
      <c r="AR969" s="423"/>
      <c r="AS969" s="423"/>
      <c r="AT969" s="423"/>
      <c r="AU969" s="423"/>
      <c r="AV969" s="423"/>
      <c r="AW969" s="418"/>
      <c r="AX969" s="418"/>
      <c r="AY969" s="418"/>
      <c r="BB969" s="306"/>
    </row>
    <row r="970" spans="1:60" ht="15.75" customHeight="1">
      <c r="A970" s="415"/>
      <c r="B970" s="416"/>
      <c r="C970" s="424"/>
      <c r="E970" s="418"/>
      <c r="F970" s="419"/>
      <c r="G970" s="420"/>
      <c r="H970" s="421"/>
      <c r="I970" s="425"/>
      <c r="J970" s="492"/>
      <c r="K970" s="418"/>
      <c r="L970" s="418"/>
      <c r="M970" s="418"/>
      <c r="N970" s="421"/>
      <c r="O970" s="421"/>
      <c r="P970" s="421"/>
      <c r="Q970" s="418"/>
      <c r="R970" s="418"/>
      <c r="S970" s="418"/>
      <c r="T970" s="418"/>
      <c r="U970" s="418"/>
      <c r="V970" s="418"/>
      <c r="W970" s="418"/>
      <c r="X970" s="418"/>
      <c r="Y970" s="418"/>
      <c r="Z970" s="418"/>
      <c r="AA970" s="418"/>
      <c r="AB970" s="418"/>
      <c r="AC970" s="418"/>
      <c r="AD970" s="418"/>
      <c r="AE970" s="418"/>
      <c r="AF970" s="418"/>
      <c r="AG970" s="418"/>
      <c r="AH970" s="418"/>
      <c r="AI970" s="418"/>
      <c r="AJ970" s="418"/>
      <c r="AK970" s="418"/>
      <c r="AL970" s="418"/>
      <c r="AM970" s="418"/>
      <c r="AN970" s="423"/>
      <c r="AO970" s="423"/>
      <c r="AP970" s="423"/>
      <c r="AQ970" s="423"/>
      <c r="AR970" s="423"/>
      <c r="AS970" s="423"/>
      <c r="AT970" s="423"/>
      <c r="AU970" s="423"/>
      <c r="AV970" s="423"/>
      <c r="AW970" s="418"/>
      <c r="AX970" s="418"/>
      <c r="AY970" s="418"/>
      <c r="BB970" s="306"/>
      <c r="BF970" s="1119"/>
      <c r="BG970" s="1119"/>
      <c r="BH970" s="1119"/>
    </row>
    <row r="971" spans="1:60" ht="15.75" customHeight="1">
      <c r="A971" s="415"/>
      <c r="B971" s="416"/>
      <c r="C971" s="424"/>
      <c r="E971" s="418"/>
      <c r="F971" s="419"/>
      <c r="G971" s="420"/>
      <c r="H971" s="421"/>
      <c r="I971" s="421"/>
      <c r="J971" s="492"/>
      <c r="K971" s="418"/>
      <c r="L971" s="418"/>
      <c r="M971" s="418"/>
      <c r="N971" s="421"/>
      <c r="O971" s="421"/>
      <c r="P971" s="421"/>
      <c r="Q971" s="418"/>
      <c r="R971" s="418"/>
      <c r="S971" s="418"/>
      <c r="T971" s="418"/>
      <c r="U971" s="418"/>
      <c r="V971" s="418"/>
      <c r="W971" s="418"/>
      <c r="X971" s="418"/>
      <c r="Y971" s="418"/>
      <c r="Z971" s="418"/>
      <c r="AA971" s="418"/>
      <c r="AB971" s="418"/>
      <c r="AC971" s="418"/>
      <c r="AD971" s="418"/>
      <c r="AE971" s="418"/>
      <c r="AF971" s="418"/>
      <c r="AG971" s="418"/>
      <c r="AH971" s="418"/>
      <c r="AI971" s="418"/>
      <c r="AJ971" s="418"/>
      <c r="AK971" s="418"/>
      <c r="AL971" s="418"/>
      <c r="AM971" s="418"/>
      <c r="AN971" s="423"/>
      <c r="AO971" s="423"/>
      <c r="AP971" s="423"/>
      <c r="AQ971" s="423"/>
      <c r="AR971" s="423"/>
      <c r="AS971" s="423"/>
      <c r="AT971" s="423"/>
      <c r="AU971" s="423"/>
      <c r="AV971" s="423"/>
      <c r="AW971" s="418"/>
      <c r="AX971" s="418"/>
      <c r="AY971" s="418"/>
      <c r="BB971" s="306"/>
      <c r="BF971" s="1119"/>
      <c r="BG971" s="1119"/>
      <c r="BH971" s="1119"/>
    </row>
    <row r="972" spans="1:60" ht="15.75" customHeight="1">
      <c r="A972" s="415"/>
      <c r="B972" s="416"/>
      <c r="C972" s="424"/>
      <c r="E972" s="418"/>
      <c r="F972" s="419"/>
      <c r="G972" s="420"/>
      <c r="H972" s="421"/>
      <c r="I972" s="421"/>
      <c r="J972" s="492"/>
      <c r="K972" s="418"/>
      <c r="L972" s="418"/>
      <c r="M972" s="418"/>
      <c r="N972" s="421"/>
      <c r="O972" s="421"/>
      <c r="P972" s="421"/>
      <c r="Q972" s="418"/>
      <c r="R972" s="418"/>
      <c r="S972" s="418"/>
      <c r="T972" s="418"/>
      <c r="U972" s="418"/>
      <c r="V972" s="418"/>
      <c r="W972" s="418"/>
      <c r="X972" s="418"/>
      <c r="Y972" s="418"/>
      <c r="Z972" s="418"/>
      <c r="AA972" s="418"/>
      <c r="AB972" s="418"/>
      <c r="AC972" s="418"/>
      <c r="AD972" s="418"/>
      <c r="AE972" s="418"/>
      <c r="AF972" s="418"/>
      <c r="AG972" s="418"/>
      <c r="AH972" s="418"/>
      <c r="AI972" s="418"/>
      <c r="AJ972" s="418"/>
      <c r="AK972" s="418"/>
      <c r="AL972" s="418"/>
      <c r="AM972" s="418"/>
      <c r="AN972" s="423"/>
      <c r="AO972" s="423"/>
      <c r="AP972" s="423"/>
      <c r="AQ972" s="423"/>
      <c r="AR972" s="423"/>
      <c r="AS972" s="423"/>
      <c r="AT972" s="423"/>
      <c r="AU972" s="423"/>
      <c r="AV972" s="423"/>
      <c r="AW972" s="418"/>
      <c r="AX972" s="418"/>
      <c r="AY972" s="418"/>
      <c r="BB972" s="306"/>
      <c r="BF972" s="1119"/>
      <c r="BG972" s="1119"/>
      <c r="BH972" s="1119"/>
    </row>
    <row r="973" spans="1:60" ht="15.75" customHeight="1">
      <c r="A973" s="415"/>
      <c r="B973" s="416"/>
      <c r="C973" s="424"/>
      <c r="E973" s="418"/>
      <c r="F973" s="419"/>
      <c r="G973" s="420"/>
      <c r="H973" s="421"/>
      <c r="I973" s="425"/>
      <c r="J973" s="492"/>
      <c r="K973" s="418"/>
      <c r="L973" s="418"/>
      <c r="M973" s="418"/>
      <c r="N973" s="421"/>
      <c r="O973" s="421"/>
      <c r="P973" s="421"/>
      <c r="Q973" s="418"/>
      <c r="R973" s="418"/>
      <c r="S973" s="418"/>
      <c r="T973" s="418"/>
      <c r="U973" s="418"/>
      <c r="V973" s="418"/>
      <c r="W973" s="418"/>
      <c r="X973" s="418"/>
      <c r="Y973" s="418"/>
      <c r="Z973" s="418"/>
      <c r="AA973" s="418"/>
      <c r="AB973" s="418"/>
      <c r="AC973" s="418"/>
      <c r="AD973" s="418"/>
      <c r="AE973" s="418"/>
      <c r="AF973" s="418"/>
      <c r="AG973" s="418"/>
      <c r="AH973" s="418"/>
      <c r="AI973" s="418"/>
      <c r="AJ973" s="418"/>
      <c r="AK973" s="418"/>
      <c r="AL973" s="418"/>
      <c r="AM973" s="418"/>
      <c r="AN973" s="423"/>
      <c r="AO973" s="423"/>
      <c r="AP973" s="423"/>
      <c r="AQ973" s="423"/>
      <c r="AR973" s="423"/>
      <c r="AS973" s="423"/>
      <c r="AT973" s="423"/>
      <c r="AU973" s="423"/>
      <c r="AV973" s="423"/>
      <c r="AW973" s="418"/>
      <c r="AX973" s="418"/>
      <c r="AY973" s="418"/>
      <c r="BB973" s="306"/>
      <c r="BF973" s="1119"/>
      <c r="BG973" s="1119"/>
      <c r="BH973" s="1119"/>
    </row>
    <row r="974" spans="1:60" ht="15.75" customHeight="1">
      <c r="A974" s="415"/>
      <c r="B974" s="416"/>
      <c r="C974" s="424"/>
      <c r="E974" s="418"/>
      <c r="F974" s="419"/>
      <c r="G974" s="420"/>
      <c r="H974" s="421"/>
      <c r="I974" s="421"/>
      <c r="J974" s="492"/>
      <c r="K974" s="418"/>
      <c r="L974" s="418"/>
      <c r="M974" s="418"/>
      <c r="N974" s="421"/>
      <c r="O974" s="421"/>
      <c r="P974" s="421"/>
      <c r="Q974" s="418"/>
      <c r="R974" s="418"/>
      <c r="S974" s="418"/>
      <c r="T974" s="418"/>
      <c r="U974" s="418"/>
      <c r="V974" s="418"/>
      <c r="W974" s="418"/>
      <c r="X974" s="418"/>
      <c r="Y974" s="418"/>
      <c r="Z974" s="418"/>
      <c r="AA974" s="418"/>
      <c r="AB974" s="418"/>
      <c r="AC974" s="418"/>
      <c r="AD974" s="418"/>
      <c r="AE974" s="418"/>
      <c r="AF974" s="418"/>
      <c r="AG974" s="418"/>
      <c r="AH974" s="418"/>
      <c r="AI974" s="418"/>
      <c r="AJ974" s="418"/>
      <c r="AK974" s="418"/>
      <c r="AL974" s="418"/>
      <c r="AM974" s="418"/>
      <c r="AN974" s="423"/>
      <c r="AO974" s="423"/>
      <c r="AP974" s="423"/>
      <c r="AQ974" s="423"/>
      <c r="AR974" s="423"/>
      <c r="AS974" s="423"/>
      <c r="AT974" s="423"/>
      <c r="AU974" s="423"/>
      <c r="AV974" s="423"/>
      <c r="AW974" s="418"/>
      <c r="AX974" s="418"/>
      <c r="AY974" s="418"/>
      <c r="BB974" s="306"/>
      <c r="BF974" s="1119"/>
      <c r="BG974" s="1119"/>
      <c r="BH974" s="1119"/>
    </row>
    <row r="975" spans="1:60" ht="15.75" customHeight="1">
      <c r="A975" s="415"/>
      <c r="B975" s="416"/>
      <c r="C975" s="424"/>
      <c r="E975" s="418"/>
      <c r="F975" s="419"/>
      <c r="G975" s="420"/>
      <c r="H975" s="421"/>
      <c r="I975" s="425"/>
      <c r="J975" s="492"/>
      <c r="K975" s="418"/>
      <c r="L975" s="418"/>
      <c r="M975" s="418"/>
      <c r="N975" s="421"/>
      <c r="O975" s="421"/>
      <c r="P975" s="421"/>
      <c r="Q975" s="418"/>
      <c r="R975" s="418"/>
      <c r="S975" s="418"/>
      <c r="T975" s="418"/>
      <c r="U975" s="418"/>
      <c r="V975" s="418"/>
      <c r="W975" s="418"/>
      <c r="X975" s="418"/>
      <c r="Y975" s="418"/>
      <c r="Z975" s="418"/>
      <c r="AA975" s="418"/>
      <c r="AB975" s="418"/>
      <c r="AC975" s="418"/>
      <c r="AD975" s="418"/>
      <c r="AE975" s="418"/>
      <c r="AF975" s="418"/>
      <c r="AG975" s="418"/>
      <c r="AH975" s="418"/>
      <c r="AI975" s="418"/>
      <c r="AJ975" s="418"/>
      <c r="AK975" s="418"/>
      <c r="AL975" s="418"/>
      <c r="AM975" s="418"/>
      <c r="AN975" s="423"/>
      <c r="AO975" s="423"/>
      <c r="AP975" s="423"/>
      <c r="AQ975" s="423"/>
      <c r="AR975" s="423"/>
      <c r="AS975" s="423"/>
      <c r="AT975" s="423"/>
      <c r="AU975" s="423"/>
      <c r="AV975" s="423"/>
      <c r="AW975" s="418"/>
      <c r="AX975" s="418"/>
      <c r="AY975" s="418"/>
      <c r="BB975" s="306"/>
      <c r="BF975" s="1119"/>
      <c r="BG975" s="1119"/>
      <c r="BH975" s="1119"/>
    </row>
    <row r="976" spans="1:60" ht="15.75" customHeight="1">
      <c r="A976" s="415"/>
      <c r="B976" s="416"/>
      <c r="C976" s="424"/>
      <c r="E976" s="418"/>
      <c r="F976" s="419"/>
      <c r="G976" s="420"/>
      <c r="H976" s="421"/>
      <c r="I976" s="421"/>
      <c r="J976" s="492"/>
      <c r="K976" s="418"/>
      <c r="L976" s="418"/>
      <c r="M976" s="418"/>
      <c r="N976" s="421"/>
      <c r="O976" s="421"/>
      <c r="P976" s="421"/>
      <c r="Q976" s="418"/>
      <c r="R976" s="418"/>
      <c r="S976" s="418"/>
      <c r="T976" s="418"/>
      <c r="U976" s="418"/>
      <c r="V976" s="418"/>
      <c r="W976" s="418"/>
      <c r="X976" s="418"/>
      <c r="Y976" s="418"/>
      <c r="Z976" s="418"/>
      <c r="AA976" s="418"/>
      <c r="AB976" s="418"/>
      <c r="AC976" s="418"/>
      <c r="AD976" s="418"/>
      <c r="AE976" s="418"/>
      <c r="AF976" s="418"/>
      <c r="AG976" s="418"/>
      <c r="AH976" s="418"/>
      <c r="AI976" s="418"/>
      <c r="AJ976" s="418"/>
      <c r="AK976" s="418"/>
      <c r="AL976" s="418"/>
      <c r="AM976" s="418"/>
      <c r="AN976" s="423"/>
      <c r="AO976" s="423"/>
      <c r="AP976" s="423"/>
      <c r="AQ976" s="423"/>
      <c r="AR976" s="423"/>
      <c r="AS976" s="423"/>
      <c r="AT976" s="423"/>
      <c r="AU976" s="423"/>
      <c r="AV976" s="423"/>
      <c r="AW976" s="418"/>
      <c r="AX976" s="418"/>
      <c r="AY976" s="418"/>
      <c r="BB976" s="306"/>
      <c r="BF976" s="1119"/>
      <c r="BG976" s="1119"/>
      <c r="BH976" s="1119"/>
    </row>
    <row r="977" spans="1:60" ht="15.75" customHeight="1">
      <c r="A977" s="415"/>
      <c r="B977" s="416"/>
      <c r="C977" s="424"/>
      <c r="E977" s="418"/>
      <c r="F977" s="419"/>
      <c r="G977" s="420"/>
      <c r="H977" s="421"/>
      <c r="I977" s="421"/>
      <c r="J977" s="492"/>
      <c r="K977" s="418"/>
      <c r="L977" s="418"/>
      <c r="M977" s="418"/>
      <c r="N977" s="421"/>
      <c r="O977" s="421"/>
      <c r="P977" s="421"/>
      <c r="Q977" s="418"/>
      <c r="R977" s="418"/>
      <c r="S977" s="418"/>
      <c r="T977" s="418"/>
      <c r="U977" s="418"/>
      <c r="V977" s="418"/>
      <c r="W977" s="418"/>
      <c r="X977" s="418"/>
      <c r="Y977" s="418"/>
      <c r="Z977" s="418"/>
      <c r="AA977" s="418"/>
      <c r="AB977" s="418"/>
      <c r="AC977" s="418"/>
      <c r="AD977" s="418"/>
      <c r="AE977" s="418"/>
      <c r="AF977" s="418"/>
      <c r="AG977" s="418"/>
      <c r="AH977" s="418"/>
      <c r="AI977" s="418"/>
      <c r="AJ977" s="418"/>
      <c r="AK977" s="418"/>
      <c r="AL977" s="418"/>
      <c r="AM977" s="418"/>
      <c r="AN977" s="423"/>
      <c r="AO977" s="423"/>
      <c r="AP977" s="423"/>
      <c r="AQ977" s="423"/>
      <c r="AR977" s="423"/>
      <c r="AS977" s="423"/>
      <c r="AT977" s="423"/>
      <c r="AU977" s="423"/>
      <c r="AV977" s="423"/>
      <c r="AW977" s="418"/>
      <c r="AX977" s="418"/>
      <c r="AY977" s="418"/>
      <c r="BB977" s="306"/>
      <c r="BF977" s="1119"/>
      <c r="BG977" s="1119"/>
      <c r="BH977" s="1119"/>
    </row>
    <row r="978" spans="1:60" ht="15.75" customHeight="1">
      <c r="A978" s="415"/>
      <c r="B978" s="416"/>
      <c r="C978" s="424"/>
      <c r="E978" s="418"/>
      <c r="F978" s="419"/>
      <c r="G978" s="420"/>
      <c r="H978" s="421"/>
      <c r="I978" s="421"/>
      <c r="J978" s="492"/>
      <c r="K978" s="418"/>
      <c r="L978" s="418"/>
      <c r="M978" s="418"/>
      <c r="N978" s="421"/>
      <c r="O978" s="421"/>
      <c r="P978" s="421"/>
      <c r="Q978" s="418"/>
      <c r="R978" s="418"/>
      <c r="S978" s="418"/>
      <c r="T978" s="418"/>
      <c r="U978" s="418"/>
      <c r="V978" s="418"/>
      <c r="W978" s="418"/>
      <c r="X978" s="418"/>
      <c r="Y978" s="418"/>
      <c r="Z978" s="418"/>
      <c r="AA978" s="418"/>
      <c r="AB978" s="418"/>
      <c r="AC978" s="418"/>
      <c r="AD978" s="418"/>
      <c r="AE978" s="418"/>
      <c r="AF978" s="418"/>
      <c r="AG978" s="418"/>
      <c r="AH978" s="418"/>
      <c r="AI978" s="418"/>
      <c r="AJ978" s="418"/>
      <c r="AK978" s="418"/>
      <c r="AL978" s="418"/>
      <c r="AM978" s="418"/>
      <c r="AN978" s="423"/>
      <c r="AO978" s="423"/>
      <c r="AP978" s="423"/>
      <c r="AQ978" s="423"/>
      <c r="AR978" s="423"/>
      <c r="AS978" s="423"/>
      <c r="AT978" s="423"/>
      <c r="AU978" s="423"/>
      <c r="AV978" s="423"/>
      <c r="AW978" s="418"/>
      <c r="AX978" s="418"/>
      <c r="AY978" s="418"/>
      <c r="BB978" s="306"/>
      <c r="BF978" s="1119"/>
      <c r="BG978" s="1119"/>
      <c r="BH978" s="1119"/>
    </row>
    <row r="979" spans="1:60" ht="15.75" customHeight="1">
      <c r="A979" s="415"/>
      <c r="B979" s="416"/>
      <c r="C979" s="424"/>
      <c r="E979" s="418"/>
      <c r="F979" s="419"/>
      <c r="G979" s="420"/>
      <c r="H979" s="421"/>
      <c r="I979" s="421"/>
      <c r="J979" s="492"/>
      <c r="K979" s="418"/>
      <c r="L979" s="418"/>
      <c r="M979" s="418"/>
      <c r="N979" s="421"/>
      <c r="O979" s="421"/>
      <c r="P979" s="421"/>
      <c r="Q979" s="418"/>
      <c r="R979" s="418"/>
      <c r="S979" s="418"/>
      <c r="T979" s="418"/>
      <c r="U979" s="418"/>
      <c r="V979" s="418"/>
      <c r="W979" s="418"/>
      <c r="X979" s="418"/>
      <c r="Y979" s="418"/>
      <c r="Z979" s="418"/>
      <c r="AA979" s="418"/>
      <c r="AB979" s="418"/>
      <c r="AC979" s="418"/>
      <c r="AD979" s="418"/>
      <c r="AE979" s="418"/>
      <c r="AF979" s="418"/>
      <c r="AG979" s="418"/>
      <c r="AH979" s="418"/>
      <c r="AI979" s="418"/>
      <c r="AJ979" s="418"/>
      <c r="AK979" s="418"/>
      <c r="AL979" s="418"/>
      <c r="AM979" s="418"/>
      <c r="AN979" s="423"/>
      <c r="AO979" s="423"/>
      <c r="AP979" s="423"/>
      <c r="AQ979" s="423"/>
      <c r="AR979" s="423"/>
      <c r="AS979" s="423"/>
      <c r="AT979" s="423"/>
      <c r="AU979" s="423"/>
      <c r="AV979" s="423"/>
      <c r="AW979" s="418"/>
      <c r="AX979" s="418"/>
      <c r="AY979" s="418"/>
      <c r="BB979" s="306"/>
      <c r="BF979" s="1119"/>
      <c r="BG979" s="1119"/>
      <c r="BH979" s="1119"/>
    </row>
    <row r="980" spans="1:60" ht="15.75" customHeight="1">
      <c r="A980" s="415"/>
      <c r="B980" s="416"/>
      <c r="C980" s="424"/>
      <c r="E980" s="418"/>
      <c r="F980" s="419"/>
      <c r="G980" s="420"/>
      <c r="H980" s="421"/>
      <c r="I980" s="421"/>
      <c r="J980" s="492"/>
      <c r="K980" s="418"/>
      <c r="L980" s="418"/>
      <c r="M980" s="418"/>
      <c r="N980" s="421"/>
      <c r="O980" s="421"/>
      <c r="P980" s="421"/>
      <c r="Q980" s="418"/>
      <c r="R980" s="418"/>
      <c r="S980" s="418"/>
      <c r="T980" s="418"/>
      <c r="U980" s="418"/>
      <c r="V980" s="418"/>
      <c r="W980" s="418"/>
      <c r="X980" s="418"/>
      <c r="Y980" s="418"/>
      <c r="Z980" s="418"/>
      <c r="AA980" s="418"/>
      <c r="AB980" s="418"/>
      <c r="AC980" s="418"/>
      <c r="AD980" s="418"/>
      <c r="AE980" s="418"/>
      <c r="AF980" s="418"/>
      <c r="AG980" s="418"/>
      <c r="AH980" s="418"/>
      <c r="AI980" s="418"/>
      <c r="AJ980" s="418"/>
      <c r="AK980" s="418"/>
      <c r="AL980" s="418"/>
      <c r="AM980" s="418"/>
      <c r="AN980" s="423"/>
      <c r="AO980" s="423"/>
      <c r="AP980" s="423"/>
      <c r="AQ980" s="423"/>
      <c r="AR980" s="423"/>
      <c r="AS980" s="423"/>
      <c r="AT980" s="423"/>
      <c r="AU980" s="423"/>
      <c r="AV980" s="423"/>
      <c r="AW980" s="418"/>
      <c r="AX980" s="418"/>
      <c r="AY980" s="418"/>
      <c r="BB980" s="306"/>
      <c r="BF980" s="1119"/>
      <c r="BG980" s="1119"/>
      <c r="BH980" s="1119"/>
    </row>
    <row r="981" spans="1:60" ht="15.75" customHeight="1">
      <c r="A981" s="415"/>
      <c r="B981" s="416"/>
      <c r="C981" s="424"/>
      <c r="E981" s="418"/>
      <c r="F981" s="419"/>
      <c r="G981" s="420"/>
      <c r="H981" s="421"/>
      <c r="I981" s="425"/>
      <c r="J981" s="492"/>
      <c r="K981" s="418"/>
      <c r="L981" s="418"/>
      <c r="M981" s="418"/>
      <c r="N981" s="421"/>
      <c r="O981" s="421"/>
      <c r="P981" s="421"/>
      <c r="Q981" s="418"/>
      <c r="R981" s="418"/>
      <c r="S981" s="418"/>
      <c r="T981" s="418"/>
      <c r="U981" s="418"/>
      <c r="V981" s="418"/>
      <c r="W981" s="418"/>
      <c r="X981" s="418"/>
      <c r="Y981" s="418"/>
      <c r="Z981" s="418"/>
      <c r="AA981" s="418"/>
      <c r="AB981" s="418"/>
      <c r="AC981" s="418"/>
      <c r="AD981" s="418"/>
      <c r="AE981" s="418"/>
      <c r="AF981" s="418"/>
      <c r="AG981" s="418"/>
      <c r="AH981" s="418"/>
      <c r="AI981" s="418"/>
      <c r="AJ981" s="418"/>
      <c r="AK981" s="418"/>
      <c r="AL981" s="418"/>
      <c r="AM981" s="418"/>
      <c r="AN981" s="423"/>
      <c r="AO981" s="423"/>
      <c r="AP981" s="423"/>
      <c r="AQ981" s="423"/>
      <c r="AR981" s="423"/>
      <c r="AS981" s="423"/>
      <c r="AT981" s="423"/>
      <c r="AU981" s="423"/>
      <c r="AV981" s="423"/>
      <c r="AW981" s="418"/>
      <c r="AX981" s="418"/>
      <c r="AY981" s="418"/>
      <c r="BB981" s="306"/>
      <c r="BF981" s="1119"/>
      <c r="BG981" s="1119"/>
      <c r="BH981" s="1119"/>
    </row>
    <row r="982" spans="1:60" ht="15.75" customHeight="1">
      <c r="A982" s="415"/>
      <c r="B982" s="416"/>
      <c r="C982" s="424"/>
      <c r="E982" s="418"/>
      <c r="F982" s="419"/>
      <c r="G982" s="420"/>
      <c r="H982" s="421"/>
      <c r="I982" s="421"/>
      <c r="J982" s="492"/>
      <c r="K982" s="418"/>
      <c r="L982" s="418"/>
      <c r="M982" s="418"/>
      <c r="N982" s="421"/>
      <c r="O982" s="421"/>
      <c r="P982" s="421"/>
      <c r="Q982" s="418"/>
      <c r="R982" s="418"/>
      <c r="S982" s="418"/>
      <c r="T982" s="418"/>
      <c r="U982" s="418"/>
      <c r="V982" s="418"/>
      <c r="W982" s="418"/>
      <c r="X982" s="418"/>
      <c r="Y982" s="418"/>
      <c r="Z982" s="418"/>
      <c r="AA982" s="418"/>
      <c r="AB982" s="418"/>
      <c r="AC982" s="418"/>
      <c r="AD982" s="418"/>
      <c r="AE982" s="418"/>
      <c r="AF982" s="418"/>
      <c r="AG982" s="418"/>
      <c r="AH982" s="418"/>
      <c r="AI982" s="418"/>
      <c r="AJ982" s="418"/>
      <c r="AK982" s="418"/>
      <c r="AL982" s="418"/>
      <c r="AM982" s="418"/>
      <c r="AN982" s="423"/>
      <c r="AO982" s="423"/>
      <c r="AP982" s="423"/>
      <c r="AQ982" s="423"/>
      <c r="AR982" s="423"/>
      <c r="AS982" s="423"/>
      <c r="AT982" s="423"/>
      <c r="AU982" s="423"/>
      <c r="AV982" s="423"/>
      <c r="AW982" s="418"/>
      <c r="AX982" s="418"/>
      <c r="AY982" s="418"/>
      <c r="BB982" s="306"/>
      <c r="BF982" s="1119"/>
      <c r="BG982" s="1119"/>
      <c r="BH982" s="1119"/>
    </row>
    <row r="983" spans="1:60" ht="15.75" customHeight="1">
      <c r="A983" s="415"/>
      <c r="B983" s="416"/>
      <c r="C983" s="424"/>
      <c r="E983" s="418"/>
      <c r="F983" s="419"/>
      <c r="G983" s="420"/>
      <c r="H983" s="421"/>
      <c r="I983" s="421"/>
      <c r="J983" s="492"/>
      <c r="K983" s="418"/>
      <c r="L983" s="418"/>
      <c r="M983" s="418"/>
      <c r="N983" s="421"/>
      <c r="O983" s="421"/>
      <c r="P983" s="421"/>
      <c r="Q983" s="418"/>
      <c r="R983" s="418"/>
      <c r="S983" s="418"/>
      <c r="T983" s="418"/>
      <c r="U983" s="418"/>
      <c r="V983" s="418"/>
      <c r="W983" s="418"/>
      <c r="X983" s="418"/>
      <c r="Y983" s="418"/>
      <c r="Z983" s="418"/>
      <c r="AA983" s="418"/>
      <c r="AB983" s="418"/>
      <c r="AC983" s="418"/>
      <c r="AD983" s="418"/>
      <c r="AE983" s="418"/>
      <c r="AF983" s="418"/>
      <c r="AG983" s="418"/>
      <c r="AH983" s="418"/>
      <c r="AI983" s="418"/>
      <c r="AJ983" s="418"/>
      <c r="AK983" s="418"/>
      <c r="AL983" s="418"/>
      <c r="AM983" s="418"/>
      <c r="AN983" s="423"/>
      <c r="AO983" s="423"/>
      <c r="AP983" s="423"/>
      <c r="AQ983" s="423"/>
      <c r="AR983" s="423"/>
      <c r="AS983" s="423"/>
      <c r="AT983" s="423"/>
      <c r="AU983" s="423"/>
      <c r="AV983" s="423"/>
      <c r="AW983" s="418"/>
      <c r="AX983" s="418"/>
      <c r="AY983" s="418"/>
      <c r="BB983" s="306"/>
      <c r="BF983" s="1119"/>
      <c r="BG983" s="1119"/>
      <c r="BH983" s="1119"/>
    </row>
    <row r="984" spans="1:60" ht="15.75" customHeight="1">
      <c r="A984" s="415"/>
      <c r="B984" s="416"/>
      <c r="C984" s="424"/>
      <c r="E984" s="418"/>
      <c r="F984" s="419"/>
      <c r="G984" s="420"/>
      <c r="H984" s="421"/>
      <c r="I984" s="421"/>
      <c r="J984" s="492"/>
      <c r="K984" s="418"/>
      <c r="L984" s="418"/>
      <c r="M984" s="418"/>
      <c r="N984" s="421"/>
      <c r="O984" s="421"/>
      <c r="P984" s="421"/>
      <c r="Q984" s="418"/>
      <c r="R984" s="418"/>
      <c r="S984" s="418"/>
      <c r="T984" s="418"/>
      <c r="U984" s="418"/>
      <c r="V984" s="418"/>
      <c r="W984" s="418"/>
      <c r="X984" s="418"/>
      <c r="Y984" s="418"/>
      <c r="Z984" s="418"/>
      <c r="AA984" s="418"/>
      <c r="AB984" s="418"/>
      <c r="AC984" s="418"/>
      <c r="AD984" s="418"/>
      <c r="AE984" s="418"/>
      <c r="AF984" s="418"/>
      <c r="AG984" s="418"/>
      <c r="AH984" s="418"/>
      <c r="AI984" s="418"/>
      <c r="AJ984" s="418"/>
      <c r="AK984" s="418"/>
      <c r="AL984" s="418"/>
      <c r="AM984" s="418"/>
      <c r="AN984" s="423"/>
      <c r="AO984" s="423"/>
      <c r="AP984" s="423"/>
      <c r="AQ984" s="423"/>
      <c r="AR984" s="423"/>
      <c r="AS984" s="423"/>
      <c r="AT984" s="423"/>
      <c r="AU984" s="423"/>
      <c r="AV984" s="423"/>
      <c r="AW984" s="418"/>
      <c r="AX984" s="418"/>
      <c r="AY984" s="418"/>
      <c r="BB984" s="306"/>
      <c r="BF984" s="1119"/>
      <c r="BG984" s="1119"/>
      <c r="BH984" s="1119"/>
    </row>
    <row r="985" spans="1:60" ht="15.75" customHeight="1">
      <c r="A985" s="415"/>
      <c r="B985" s="416"/>
      <c r="C985" s="424"/>
      <c r="E985" s="418"/>
      <c r="F985" s="419"/>
      <c r="G985" s="420"/>
      <c r="H985" s="421"/>
      <c r="I985" s="421"/>
      <c r="J985" s="492"/>
      <c r="K985" s="418"/>
      <c r="L985" s="418"/>
      <c r="M985" s="418"/>
      <c r="N985" s="421"/>
      <c r="O985" s="421"/>
      <c r="P985" s="421"/>
      <c r="Q985" s="418"/>
      <c r="R985" s="418"/>
      <c r="S985" s="418"/>
      <c r="T985" s="418"/>
      <c r="U985" s="418"/>
      <c r="V985" s="418"/>
      <c r="W985" s="418"/>
      <c r="X985" s="418"/>
      <c r="Y985" s="418"/>
      <c r="Z985" s="418"/>
      <c r="AA985" s="418"/>
      <c r="AB985" s="418"/>
      <c r="AC985" s="418"/>
      <c r="AD985" s="418"/>
      <c r="AE985" s="418"/>
      <c r="AF985" s="418"/>
      <c r="AG985" s="418"/>
      <c r="AH985" s="418"/>
      <c r="AI985" s="418"/>
      <c r="AJ985" s="418"/>
      <c r="AK985" s="418"/>
      <c r="AL985" s="418"/>
      <c r="AM985" s="418"/>
      <c r="AN985" s="423"/>
      <c r="AO985" s="423"/>
      <c r="AP985" s="423"/>
      <c r="AQ985" s="423"/>
      <c r="AR985" s="423"/>
      <c r="AS985" s="423"/>
      <c r="AT985" s="423"/>
      <c r="AU985" s="423"/>
      <c r="AV985" s="423"/>
      <c r="AW985" s="418"/>
      <c r="AX985" s="418"/>
      <c r="AY985" s="418"/>
      <c r="BB985" s="306"/>
      <c r="BF985" s="1119"/>
      <c r="BG985" s="1119"/>
      <c r="BH985" s="1119"/>
    </row>
    <row r="986" spans="1:60" ht="15.75" customHeight="1">
      <c r="A986" s="415"/>
      <c r="B986" s="416"/>
      <c r="C986" s="424"/>
      <c r="E986" s="418"/>
      <c r="F986" s="419"/>
      <c r="G986" s="420"/>
      <c r="H986" s="421"/>
      <c r="I986" s="421"/>
      <c r="J986" s="492"/>
      <c r="K986" s="418"/>
      <c r="L986" s="418"/>
      <c r="M986" s="418"/>
      <c r="N986" s="421"/>
      <c r="O986" s="421"/>
      <c r="P986" s="421"/>
      <c r="Q986" s="418"/>
      <c r="R986" s="418"/>
      <c r="S986" s="418"/>
      <c r="T986" s="418"/>
      <c r="U986" s="418"/>
      <c r="V986" s="418"/>
      <c r="W986" s="418"/>
      <c r="X986" s="418"/>
      <c r="Y986" s="418"/>
      <c r="Z986" s="418"/>
      <c r="AA986" s="418"/>
      <c r="AB986" s="418"/>
      <c r="AC986" s="418"/>
      <c r="AD986" s="418"/>
      <c r="AE986" s="418"/>
      <c r="AF986" s="418"/>
      <c r="AG986" s="418"/>
      <c r="AH986" s="418"/>
      <c r="AI986" s="418"/>
      <c r="AJ986" s="418"/>
      <c r="AK986" s="418"/>
      <c r="AL986" s="418"/>
      <c r="AM986" s="418"/>
      <c r="AN986" s="423"/>
      <c r="AO986" s="423"/>
      <c r="AP986" s="423"/>
      <c r="AQ986" s="423"/>
      <c r="AR986" s="423"/>
      <c r="AS986" s="423"/>
      <c r="AT986" s="423"/>
      <c r="AU986" s="423"/>
      <c r="AV986" s="423"/>
      <c r="AW986" s="418"/>
      <c r="AX986" s="418"/>
      <c r="AY986" s="418"/>
      <c r="BB986" s="306"/>
      <c r="BF986" s="1119"/>
      <c r="BG986" s="1119"/>
      <c r="BH986" s="1119"/>
    </row>
    <row r="987" spans="1:60" ht="15.75" customHeight="1">
      <c r="A987" s="415"/>
      <c r="B987" s="416"/>
      <c r="C987" s="424"/>
      <c r="E987" s="418"/>
      <c r="F987" s="419"/>
      <c r="G987" s="420"/>
      <c r="H987" s="421"/>
      <c r="I987" s="421"/>
      <c r="J987" s="492"/>
      <c r="K987" s="418"/>
      <c r="L987" s="418"/>
      <c r="M987" s="418"/>
      <c r="N987" s="421"/>
      <c r="O987" s="421"/>
      <c r="P987" s="421"/>
      <c r="Q987" s="418"/>
      <c r="R987" s="418"/>
      <c r="S987" s="418"/>
      <c r="T987" s="418"/>
      <c r="U987" s="418"/>
      <c r="V987" s="418"/>
      <c r="W987" s="418"/>
      <c r="X987" s="418"/>
      <c r="Y987" s="418"/>
      <c r="Z987" s="418"/>
      <c r="AA987" s="418"/>
      <c r="AB987" s="418"/>
      <c r="AC987" s="418"/>
      <c r="AD987" s="418"/>
      <c r="AE987" s="418"/>
      <c r="AF987" s="418"/>
      <c r="AG987" s="418"/>
      <c r="AH987" s="418"/>
      <c r="AI987" s="418"/>
      <c r="AJ987" s="418"/>
      <c r="AK987" s="418"/>
      <c r="AL987" s="418"/>
      <c r="AM987" s="418"/>
      <c r="AN987" s="423"/>
      <c r="AO987" s="423"/>
      <c r="AP987" s="423"/>
      <c r="AQ987" s="423"/>
      <c r="AR987" s="423"/>
      <c r="AS987" s="423"/>
      <c r="AT987" s="423"/>
      <c r="AU987" s="423"/>
      <c r="AV987" s="423"/>
      <c r="AW987" s="418"/>
      <c r="AX987" s="418"/>
      <c r="AY987" s="418"/>
      <c r="BB987" s="306"/>
      <c r="BF987" s="1119"/>
      <c r="BG987" s="1119"/>
      <c r="BH987" s="1119"/>
    </row>
    <row r="988" spans="1:60" ht="15.75" customHeight="1">
      <c r="A988" s="415"/>
      <c r="B988" s="416"/>
      <c r="C988" s="424"/>
      <c r="E988" s="418"/>
      <c r="F988" s="419"/>
      <c r="G988" s="420"/>
      <c r="H988" s="421"/>
      <c r="I988" s="421"/>
      <c r="J988" s="492"/>
      <c r="K988" s="418"/>
      <c r="L988" s="418"/>
      <c r="M988" s="418"/>
      <c r="N988" s="421"/>
      <c r="O988" s="421"/>
      <c r="P988" s="421"/>
      <c r="Q988" s="418"/>
      <c r="R988" s="418"/>
      <c r="S988" s="418"/>
      <c r="T988" s="418"/>
      <c r="U988" s="418"/>
      <c r="V988" s="418"/>
      <c r="W988" s="418"/>
      <c r="X988" s="418"/>
      <c r="Y988" s="418"/>
      <c r="Z988" s="418"/>
      <c r="AA988" s="418"/>
      <c r="AB988" s="418"/>
      <c r="AC988" s="418"/>
      <c r="AD988" s="418"/>
      <c r="AE988" s="418"/>
      <c r="AF988" s="418"/>
      <c r="AG988" s="418"/>
      <c r="AH988" s="418"/>
      <c r="AI988" s="418"/>
      <c r="AJ988" s="418"/>
      <c r="AK988" s="418"/>
      <c r="AL988" s="418"/>
      <c r="AM988" s="418"/>
      <c r="AN988" s="423"/>
      <c r="AO988" s="423"/>
      <c r="AP988" s="423"/>
      <c r="AQ988" s="423"/>
      <c r="AR988" s="423"/>
      <c r="AS988" s="423"/>
      <c r="AT988" s="423"/>
      <c r="AU988" s="423"/>
      <c r="AV988" s="423"/>
      <c r="AW988" s="418"/>
      <c r="AX988" s="418"/>
      <c r="AY988" s="418"/>
      <c r="BB988" s="306"/>
      <c r="BF988" s="1119"/>
      <c r="BG988" s="1119"/>
      <c r="BH988" s="1119"/>
    </row>
    <row r="989" spans="1:60" ht="15.75" customHeight="1">
      <c r="A989" s="415"/>
      <c r="B989" s="416"/>
      <c r="C989" s="424"/>
      <c r="E989" s="418"/>
      <c r="F989" s="419"/>
      <c r="G989" s="420"/>
      <c r="H989" s="421"/>
      <c r="I989" s="421"/>
      <c r="J989" s="492"/>
      <c r="K989" s="418"/>
      <c r="L989" s="418"/>
      <c r="M989" s="418"/>
      <c r="N989" s="421"/>
      <c r="O989" s="421"/>
      <c r="P989" s="421"/>
      <c r="Q989" s="418"/>
      <c r="R989" s="418"/>
      <c r="S989" s="418"/>
      <c r="T989" s="418"/>
      <c r="U989" s="418"/>
      <c r="V989" s="418"/>
      <c r="W989" s="418"/>
      <c r="X989" s="418"/>
      <c r="Y989" s="418"/>
      <c r="Z989" s="418"/>
      <c r="AA989" s="418"/>
      <c r="AB989" s="418"/>
      <c r="AC989" s="418"/>
      <c r="AD989" s="418"/>
      <c r="AE989" s="418"/>
      <c r="AF989" s="418"/>
      <c r="AG989" s="418"/>
      <c r="AH989" s="418"/>
      <c r="AI989" s="418"/>
      <c r="AJ989" s="418"/>
      <c r="AK989" s="418"/>
      <c r="AL989" s="418"/>
      <c r="AM989" s="418"/>
      <c r="AN989" s="423"/>
      <c r="AO989" s="423"/>
      <c r="AP989" s="423"/>
      <c r="AQ989" s="423"/>
      <c r="AR989" s="423"/>
      <c r="AS989" s="423"/>
      <c r="AT989" s="423"/>
      <c r="AU989" s="423"/>
      <c r="AV989" s="423"/>
      <c r="AW989" s="418"/>
      <c r="AX989" s="418"/>
      <c r="AY989" s="418"/>
      <c r="BB989" s="306"/>
      <c r="BF989" s="1119"/>
      <c r="BG989" s="1119"/>
      <c r="BH989" s="1119"/>
    </row>
    <row r="990" spans="1:60" ht="15.75" customHeight="1">
      <c r="A990" s="415"/>
      <c r="B990" s="416"/>
      <c r="C990" s="424"/>
      <c r="E990" s="418"/>
      <c r="F990" s="419"/>
      <c r="G990" s="420"/>
      <c r="H990" s="421"/>
      <c r="I990" s="421"/>
      <c r="J990" s="492"/>
      <c r="K990" s="418"/>
      <c r="L990" s="418"/>
      <c r="M990" s="418"/>
      <c r="N990" s="421"/>
      <c r="O990" s="421"/>
      <c r="P990" s="421"/>
      <c r="Q990" s="418"/>
      <c r="R990" s="418"/>
      <c r="S990" s="418"/>
      <c r="T990" s="418"/>
      <c r="U990" s="418"/>
      <c r="V990" s="418"/>
      <c r="W990" s="418"/>
      <c r="X990" s="418"/>
      <c r="Y990" s="418"/>
      <c r="Z990" s="418"/>
      <c r="AA990" s="418"/>
      <c r="AB990" s="418"/>
      <c r="AC990" s="418"/>
      <c r="AD990" s="418"/>
      <c r="AE990" s="418"/>
      <c r="AF990" s="418"/>
      <c r="AG990" s="418"/>
      <c r="AH990" s="418"/>
      <c r="AI990" s="418"/>
      <c r="AJ990" s="418"/>
      <c r="AK990" s="418"/>
      <c r="AL990" s="418"/>
      <c r="AM990" s="418"/>
      <c r="AN990" s="423"/>
      <c r="AO990" s="423"/>
      <c r="AP990" s="423"/>
      <c r="AQ990" s="423"/>
      <c r="AR990" s="423"/>
      <c r="AS990" s="423"/>
      <c r="AT990" s="423"/>
      <c r="AU990" s="423"/>
      <c r="AV990" s="423"/>
      <c r="AW990" s="418"/>
      <c r="AX990" s="418"/>
      <c r="AY990" s="418"/>
      <c r="BB990" s="306"/>
      <c r="BF990" s="1119"/>
      <c r="BG990" s="1119"/>
      <c r="BH990" s="1119"/>
    </row>
    <row r="991" spans="1:60" ht="15.75" customHeight="1">
      <c r="A991" s="415"/>
      <c r="B991" s="416"/>
      <c r="C991" s="424"/>
      <c r="E991" s="418"/>
      <c r="F991" s="419"/>
      <c r="G991" s="420"/>
      <c r="H991" s="421"/>
      <c r="I991" s="421"/>
      <c r="J991" s="492"/>
      <c r="K991" s="418"/>
      <c r="L991" s="418"/>
      <c r="M991" s="418"/>
      <c r="N991" s="421"/>
      <c r="O991" s="418"/>
      <c r="P991" s="421"/>
      <c r="Q991" s="418"/>
      <c r="R991" s="418"/>
      <c r="S991" s="418"/>
      <c r="T991" s="418"/>
      <c r="U991" s="418"/>
      <c r="V991" s="418"/>
      <c r="W991" s="418"/>
      <c r="X991" s="418"/>
      <c r="Y991" s="418"/>
      <c r="Z991" s="418"/>
      <c r="AA991" s="418"/>
      <c r="AB991" s="418"/>
      <c r="AC991" s="418"/>
      <c r="AD991" s="418"/>
      <c r="AE991" s="418"/>
      <c r="AF991" s="418"/>
      <c r="AG991" s="418"/>
      <c r="AH991" s="418"/>
      <c r="AI991" s="418"/>
      <c r="AJ991" s="418"/>
      <c r="AK991" s="418"/>
      <c r="AL991" s="418"/>
      <c r="AM991" s="418"/>
      <c r="AN991" s="423"/>
      <c r="AO991" s="423"/>
      <c r="AP991" s="423"/>
      <c r="AQ991" s="423"/>
      <c r="AR991" s="423"/>
      <c r="AS991" s="423"/>
      <c r="AT991" s="423"/>
      <c r="AU991" s="423"/>
      <c r="AV991" s="423"/>
      <c r="AW991" s="418"/>
      <c r="AX991" s="418"/>
      <c r="AY991" s="418"/>
      <c r="BB991" s="306"/>
      <c r="BF991" s="1119"/>
      <c r="BG991" s="1119"/>
      <c r="BH991" s="1119"/>
    </row>
    <row r="992" spans="1:60" ht="15.75" customHeight="1">
      <c r="A992" s="415"/>
      <c r="B992" s="416"/>
      <c r="C992" s="424"/>
      <c r="E992" s="418"/>
      <c r="F992" s="419"/>
      <c r="G992" s="420"/>
      <c r="H992" s="421"/>
      <c r="I992" s="421"/>
      <c r="J992" s="492"/>
      <c r="K992" s="418"/>
      <c r="L992" s="418"/>
      <c r="M992" s="418"/>
      <c r="N992" s="421"/>
      <c r="O992" s="418"/>
      <c r="P992" s="421"/>
      <c r="Q992" s="418"/>
      <c r="R992" s="418"/>
      <c r="S992" s="418"/>
      <c r="T992" s="418"/>
      <c r="U992" s="418"/>
      <c r="V992" s="418"/>
      <c r="W992" s="418"/>
      <c r="X992" s="418"/>
      <c r="Y992" s="418"/>
      <c r="Z992" s="418"/>
      <c r="AA992" s="418"/>
      <c r="AB992" s="418"/>
      <c r="AC992" s="418"/>
      <c r="AD992" s="418"/>
      <c r="AE992" s="418"/>
      <c r="AF992" s="418"/>
      <c r="AG992" s="418"/>
      <c r="AH992" s="418"/>
      <c r="AI992" s="418"/>
      <c r="AJ992" s="418"/>
      <c r="AK992" s="418"/>
      <c r="AL992" s="418"/>
      <c r="AM992" s="418"/>
      <c r="AN992" s="423"/>
      <c r="AO992" s="423"/>
      <c r="AP992" s="423"/>
      <c r="AQ992" s="423"/>
      <c r="AR992" s="423"/>
      <c r="AS992" s="423"/>
      <c r="AT992" s="423"/>
      <c r="AU992" s="423"/>
      <c r="AV992" s="423"/>
      <c r="AW992" s="418"/>
      <c r="AX992" s="418"/>
      <c r="AY992" s="418"/>
      <c r="BB992" s="306"/>
      <c r="BF992" s="1119"/>
      <c r="BG992" s="1119"/>
      <c r="BH992" s="1119"/>
    </row>
    <row r="993" spans="1:60" ht="15.75" customHeight="1">
      <c r="A993" s="415"/>
      <c r="B993" s="416"/>
      <c r="C993" s="424"/>
      <c r="E993" s="418"/>
      <c r="F993" s="419"/>
      <c r="G993" s="420"/>
      <c r="H993" s="421"/>
      <c r="I993" s="421"/>
      <c r="J993" s="492"/>
      <c r="K993" s="418"/>
      <c r="L993" s="418"/>
      <c r="M993" s="418"/>
      <c r="N993" s="421"/>
      <c r="O993" s="421"/>
      <c r="P993" s="421"/>
      <c r="Q993" s="418"/>
      <c r="R993" s="418"/>
      <c r="S993" s="418"/>
      <c r="T993" s="418"/>
      <c r="U993" s="418"/>
      <c r="V993" s="418"/>
      <c r="W993" s="418"/>
      <c r="X993" s="418"/>
      <c r="Y993" s="418"/>
      <c r="Z993" s="418"/>
      <c r="AA993" s="418"/>
      <c r="AB993" s="418"/>
      <c r="AC993" s="418"/>
      <c r="AD993" s="418"/>
      <c r="AE993" s="418"/>
      <c r="AF993" s="418"/>
      <c r="AG993" s="418"/>
      <c r="AH993" s="418"/>
      <c r="AI993" s="418"/>
      <c r="AJ993" s="418"/>
      <c r="AK993" s="418"/>
      <c r="AL993" s="418"/>
      <c r="AM993" s="418"/>
      <c r="AN993" s="423"/>
      <c r="AO993" s="423"/>
      <c r="AP993" s="423"/>
      <c r="AQ993" s="423"/>
      <c r="AR993" s="423"/>
      <c r="AS993" s="423"/>
      <c r="AT993" s="423"/>
      <c r="AU993" s="423"/>
      <c r="AV993" s="423"/>
      <c r="AW993" s="418"/>
      <c r="AX993" s="418"/>
      <c r="AY993" s="418"/>
      <c r="BB993" s="306"/>
      <c r="BF993" s="1119"/>
      <c r="BG993" s="1119"/>
      <c r="BH993" s="1119"/>
    </row>
    <row r="994" spans="1:60" ht="15.75" customHeight="1">
      <c r="A994" s="415"/>
      <c r="B994" s="416"/>
      <c r="C994" s="424"/>
      <c r="E994" s="418"/>
      <c r="F994" s="419"/>
      <c r="G994" s="420"/>
      <c r="H994" s="421"/>
      <c r="I994" s="421"/>
      <c r="J994" s="492"/>
      <c r="K994" s="418"/>
      <c r="L994" s="418"/>
      <c r="M994" s="418"/>
      <c r="N994" s="421"/>
      <c r="O994" s="421"/>
      <c r="P994" s="421"/>
      <c r="Q994" s="418"/>
      <c r="R994" s="418"/>
      <c r="S994" s="418"/>
      <c r="T994" s="418"/>
      <c r="U994" s="418"/>
      <c r="V994" s="418"/>
      <c r="W994" s="418"/>
      <c r="X994" s="418"/>
      <c r="Y994" s="418"/>
      <c r="Z994" s="418"/>
      <c r="AA994" s="418"/>
      <c r="AB994" s="418"/>
      <c r="AC994" s="418"/>
      <c r="AD994" s="418"/>
      <c r="AE994" s="418"/>
      <c r="AF994" s="418"/>
      <c r="AG994" s="418"/>
      <c r="AH994" s="418"/>
      <c r="AI994" s="418"/>
      <c r="AJ994" s="418"/>
      <c r="AK994" s="418"/>
      <c r="AL994" s="418"/>
      <c r="AM994" s="418"/>
      <c r="AN994" s="423"/>
      <c r="AO994" s="423"/>
      <c r="AP994" s="423"/>
      <c r="AQ994" s="423"/>
      <c r="AR994" s="423"/>
      <c r="AS994" s="423"/>
      <c r="AT994" s="423"/>
      <c r="AU994" s="423"/>
      <c r="AV994" s="423"/>
      <c r="AW994" s="418"/>
      <c r="AX994" s="418"/>
      <c r="AY994" s="418"/>
      <c r="BB994" s="306"/>
      <c r="BF994" s="1119"/>
      <c r="BG994" s="1119"/>
      <c r="BH994" s="1119"/>
    </row>
    <row r="995" spans="1:60" ht="15.75" customHeight="1">
      <c r="A995" s="415"/>
      <c r="B995" s="416"/>
      <c r="C995" s="424"/>
      <c r="E995" s="418"/>
      <c r="F995" s="419"/>
      <c r="G995" s="420"/>
      <c r="H995" s="421"/>
      <c r="I995" s="421"/>
      <c r="J995" s="492"/>
      <c r="K995" s="418"/>
      <c r="L995" s="418"/>
      <c r="M995" s="418"/>
      <c r="N995" s="421"/>
      <c r="O995" s="421"/>
      <c r="P995" s="421"/>
      <c r="Q995" s="418"/>
      <c r="R995" s="418"/>
      <c r="S995" s="418"/>
      <c r="T995" s="418"/>
      <c r="U995" s="418"/>
      <c r="V995" s="418"/>
      <c r="W995" s="418"/>
      <c r="X995" s="418"/>
      <c r="Y995" s="418"/>
      <c r="Z995" s="418"/>
      <c r="AA995" s="418"/>
      <c r="AB995" s="418"/>
      <c r="AC995" s="418"/>
      <c r="AD995" s="418"/>
      <c r="AE995" s="418"/>
      <c r="AF995" s="418"/>
      <c r="AG995" s="418"/>
      <c r="AH995" s="418"/>
      <c r="AI995" s="418"/>
      <c r="AJ995" s="418"/>
      <c r="AK995" s="418"/>
      <c r="AL995" s="418"/>
      <c r="AM995" s="418"/>
      <c r="AN995" s="423"/>
      <c r="AO995" s="423"/>
      <c r="AP995" s="423"/>
      <c r="AQ995" s="423"/>
      <c r="AR995" s="423"/>
      <c r="AS995" s="423"/>
      <c r="AT995" s="423"/>
      <c r="AU995" s="423"/>
      <c r="AV995" s="423"/>
      <c r="AW995" s="418"/>
      <c r="AX995" s="418"/>
      <c r="AY995" s="418"/>
      <c r="BB995" s="306"/>
      <c r="BF995" s="1119"/>
      <c r="BG995" s="1119"/>
      <c r="BH995" s="1119"/>
    </row>
    <row r="996" spans="1:60" ht="15.75" customHeight="1">
      <c r="A996" s="415"/>
      <c r="B996" s="416"/>
      <c r="C996" s="424"/>
      <c r="E996" s="418"/>
      <c r="F996" s="419"/>
      <c r="G996" s="420"/>
      <c r="H996" s="421"/>
      <c r="I996" s="421"/>
      <c r="J996" s="492"/>
      <c r="K996" s="418"/>
      <c r="L996" s="418"/>
      <c r="M996" s="418"/>
      <c r="N996" s="421"/>
      <c r="O996" s="421"/>
      <c r="P996" s="421"/>
      <c r="Q996" s="418"/>
      <c r="R996" s="418"/>
      <c r="S996" s="418"/>
      <c r="T996" s="418"/>
      <c r="U996" s="418"/>
      <c r="V996" s="418"/>
      <c r="W996" s="418"/>
      <c r="X996" s="418"/>
      <c r="Y996" s="418"/>
      <c r="Z996" s="418"/>
      <c r="AA996" s="418"/>
      <c r="AB996" s="418"/>
      <c r="AC996" s="418"/>
      <c r="AD996" s="418"/>
      <c r="AE996" s="418"/>
      <c r="AF996" s="418"/>
      <c r="AG996" s="418"/>
      <c r="AH996" s="418"/>
      <c r="AI996" s="418"/>
      <c r="AJ996" s="418"/>
      <c r="AK996" s="418"/>
      <c r="AL996" s="418"/>
      <c r="AM996" s="418"/>
      <c r="AN996" s="423"/>
      <c r="AO996" s="423"/>
      <c r="AP996" s="423"/>
      <c r="AQ996" s="423"/>
      <c r="AR996" s="423"/>
      <c r="AS996" s="423"/>
      <c r="AT996" s="423"/>
      <c r="AU996" s="423"/>
      <c r="AV996" s="423"/>
      <c r="AW996" s="418"/>
      <c r="AX996" s="418"/>
      <c r="AY996" s="418"/>
      <c r="BB996" s="306"/>
      <c r="BF996" s="1119"/>
      <c r="BG996" s="1119"/>
      <c r="BH996" s="1119"/>
    </row>
    <row r="997" spans="1:60" ht="15.75" customHeight="1">
      <c r="A997" s="415"/>
      <c r="B997" s="416"/>
      <c r="C997" s="424"/>
      <c r="E997" s="418"/>
      <c r="F997" s="419"/>
      <c r="G997" s="420"/>
      <c r="H997" s="421"/>
      <c r="I997" s="421"/>
      <c r="J997" s="492"/>
      <c r="K997" s="418"/>
      <c r="L997" s="418"/>
      <c r="M997" s="418"/>
      <c r="N997" s="421"/>
      <c r="O997" s="421"/>
      <c r="P997" s="421"/>
      <c r="Q997" s="418"/>
      <c r="R997" s="418"/>
      <c r="S997" s="418"/>
      <c r="T997" s="418"/>
      <c r="U997" s="418"/>
      <c r="V997" s="418"/>
      <c r="W997" s="418"/>
      <c r="X997" s="418"/>
      <c r="Y997" s="418"/>
      <c r="Z997" s="418"/>
      <c r="AA997" s="418"/>
      <c r="AB997" s="418"/>
      <c r="AC997" s="418"/>
      <c r="AD997" s="418"/>
      <c r="AE997" s="418"/>
      <c r="AF997" s="418"/>
      <c r="AG997" s="418"/>
      <c r="AH997" s="418"/>
      <c r="AI997" s="418"/>
      <c r="AJ997" s="418"/>
      <c r="AK997" s="418"/>
      <c r="AL997" s="418"/>
      <c r="AM997" s="418"/>
      <c r="AN997" s="423"/>
      <c r="AO997" s="423"/>
      <c r="AP997" s="423"/>
      <c r="AQ997" s="423"/>
      <c r="AR997" s="423"/>
      <c r="AS997" s="423"/>
      <c r="AT997" s="423"/>
      <c r="AU997" s="423"/>
      <c r="AV997" s="423"/>
      <c r="AW997" s="418"/>
      <c r="AX997" s="418"/>
      <c r="AY997" s="418"/>
      <c r="BB997" s="306"/>
      <c r="BF997" s="1119"/>
      <c r="BG997" s="1119"/>
      <c r="BH997" s="1119"/>
    </row>
    <row r="998" spans="1:60" ht="15.75" customHeight="1">
      <c r="A998" s="415"/>
      <c r="B998" s="416"/>
      <c r="C998" s="424"/>
      <c r="E998" s="418"/>
      <c r="F998" s="419"/>
      <c r="G998" s="420"/>
      <c r="H998" s="421"/>
      <c r="I998" s="421"/>
      <c r="J998" s="492"/>
      <c r="K998" s="418"/>
      <c r="L998" s="418"/>
      <c r="M998" s="418"/>
      <c r="N998" s="421"/>
      <c r="O998" s="421"/>
      <c r="P998" s="421"/>
      <c r="Q998" s="418"/>
      <c r="R998" s="418"/>
      <c r="S998" s="418"/>
      <c r="T998" s="418"/>
      <c r="U998" s="418"/>
      <c r="V998" s="418"/>
      <c r="W998" s="418"/>
      <c r="X998" s="418"/>
      <c r="Y998" s="418"/>
      <c r="Z998" s="418"/>
      <c r="AA998" s="418"/>
      <c r="AB998" s="418"/>
      <c r="AC998" s="418"/>
      <c r="AD998" s="418"/>
      <c r="AE998" s="418"/>
      <c r="AF998" s="418"/>
      <c r="AG998" s="418"/>
      <c r="AH998" s="418"/>
      <c r="AI998" s="418"/>
      <c r="AJ998" s="418"/>
      <c r="AK998" s="418"/>
      <c r="AL998" s="418"/>
      <c r="AM998" s="418"/>
      <c r="AN998" s="423"/>
      <c r="AO998" s="423"/>
      <c r="AP998" s="423"/>
      <c r="AQ998" s="423"/>
      <c r="AR998" s="423"/>
      <c r="AS998" s="423"/>
      <c r="AT998" s="423"/>
      <c r="AU998" s="423"/>
      <c r="AV998" s="423"/>
      <c r="AW998" s="418"/>
      <c r="AX998" s="418"/>
      <c r="AY998" s="418"/>
      <c r="BB998" s="306"/>
      <c r="BF998" s="1119"/>
      <c r="BG998" s="1119"/>
      <c r="BH998" s="1119"/>
    </row>
    <row r="999" spans="1:60" ht="15.75" customHeight="1">
      <c r="A999" s="415"/>
      <c r="B999" s="416"/>
      <c r="C999" s="424"/>
      <c r="E999" s="418"/>
      <c r="F999" s="419"/>
      <c r="G999" s="420"/>
      <c r="H999" s="421"/>
      <c r="I999" s="421"/>
      <c r="J999" s="492"/>
      <c r="K999" s="418"/>
      <c r="L999" s="418"/>
      <c r="M999" s="418"/>
      <c r="N999" s="421"/>
      <c r="O999" s="421"/>
      <c r="P999" s="421"/>
      <c r="Q999" s="418"/>
      <c r="R999" s="418"/>
      <c r="S999" s="418"/>
      <c r="T999" s="418"/>
      <c r="U999" s="418"/>
      <c r="V999" s="418"/>
      <c r="W999" s="418"/>
      <c r="X999" s="418"/>
      <c r="Y999" s="418"/>
      <c r="Z999" s="418"/>
      <c r="AA999" s="418"/>
      <c r="AB999" s="418"/>
      <c r="AC999" s="418"/>
      <c r="AD999" s="418"/>
      <c r="AE999" s="418"/>
      <c r="AF999" s="418"/>
      <c r="AG999" s="418"/>
      <c r="AH999" s="418"/>
      <c r="AI999" s="418"/>
      <c r="AJ999" s="418"/>
      <c r="AK999" s="418"/>
      <c r="AL999" s="418"/>
      <c r="AM999" s="418"/>
      <c r="AN999" s="423"/>
      <c r="AO999" s="423"/>
      <c r="AP999" s="423"/>
      <c r="AQ999" s="423"/>
      <c r="AR999" s="423"/>
      <c r="AS999" s="423"/>
      <c r="AT999" s="423"/>
      <c r="AU999" s="423"/>
      <c r="AV999" s="423"/>
      <c r="AW999" s="418"/>
      <c r="AX999" s="418"/>
      <c r="AY999" s="418"/>
      <c r="BB999" s="306"/>
      <c r="BF999" s="1119"/>
      <c r="BG999" s="1119"/>
      <c r="BH999" s="1119"/>
    </row>
    <row r="1000" spans="1:60" ht="15.75" customHeight="1">
      <c r="A1000" s="415"/>
      <c r="B1000" s="416"/>
      <c r="C1000" s="424"/>
      <c r="E1000" s="418"/>
      <c r="F1000" s="419"/>
      <c r="G1000" s="420"/>
      <c r="H1000" s="421"/>
      <c r="I1000" s="421"/>
      <c r="J1000" s="492"/>
      <c r="K1000" s="418"/>
      <c r="L1000" s="418"/>
      <c r="M1000" s="418"/>
      <c r="N1000" s="421"/>
      <c r="O1000" s="421"/>
      <c r="P1000" s="421"/>
      <c r="Q1000" s="418"/>
      <c r="R1000" s="418"/>
      <c r="S1000" s="418"/>
      <c r="T1000" s="418"/>
      <c r="U1000" s="418"/>
      <c r="V1000" s="418"/>
      <c r="W1000" s="418"/>
      <c r="X1000" s="418"/>
      <c r="Y1000" s="418"/>
      <c r="Z1000" s="418"/>
      <c r="AA1000" s="418"/>
      <c r="AB1000" s="418"/>
      <c r="AC1000" s="418"/>
      <c r="AD1000" s="418"/>
      <c r="AE1000" s="418"/>
      <c r="AF1000" s="418"/>
      <c r="AG1000" s="418"/>
      <c r="AH1000" s="418"/>
      <c r="AI1000" s="418"/>
      <c r="AJ1000" s="418"/>
      <c r="AK1000" s="418"/>
      <c r="AL1000" s="418"/>
      <c r="AM1000" s="418"/>
      <c r="AN1000" s="423"/>
      <c r="AO1000" s="423"/>
      <c r="AP1000" s="423"/>
      <c r="AQ1000" s="423"/>
      <c r="AR1000" s="423"/>
      <c r="AS1000" s="423"/>
      <c r="AT1000" s="423"/>
      <c r="AU1000" s="423"/>
      <c r="AV1000" s="423"/>
      <c r="AW1000" s="418"/>
      <c r="AX1000" s="418"/>
      <c r="AY1000" s="418"/>
      <c r="BB1000" s="306"/>
      <c r="BF1000" s="1119"/>
      <c r="BG1000" s="1119"/>
      <c r="BH1000" s="1119"/>
    </row>
    <row r="1001" spans="1:60" ht="15.75" customHeight="1">
      <c r="A1001" s="415"/>
      <c r="B1001" s="416"/>
      <c r="C1001" s="424"/>
      <c r="E1001" s="418"/>
      <c r="F1001" s="419"/>
      <c r="G1001" s="420"/>
      <c r="H1001" s="421"/>
      <c r="I1001" s="421"/>
      <c r="J1001" s="492"/>
      <c r="K1001" s="418"/>
      <c r="L1001" s="418"/>
      <c r="M1001" s="418"/>
      <c r="N1001" s="421"/>
      <c r="O1001" s="421"/>
      <c r="P1001" s="421"/>
      <c r="Q1001" s="418"/>
      <c r="R1001" s="418"/>
      <c r="S1001" s="418"/>
      <c r="T1001" s="418"/>
      <c r="U1001" s="418"/>
      <c r="V1001" s="418"/>
      <c r="W1001" s="418"/>
      <c r="X1001" s="418"/>
      <c r="Y1001" s="418"/>
      <c r="Z1001" s="418"/>
      <c r="AA1001" s="418"/>
      <c r="AB1001" s="418"/>
      <c r="AC1001" s="418"/>
      <c r="AD1001" s="418"/>
      <c r="AE1001" s="418"/>
      <c r="AF1001" s="418"/>
      <c r="AG1001" s="418"/>
      <c r="AH1001" s="418"/>
      <c r="AI1001" s="418"/>
      <c r="AJ1001" s="418"/>
      <c r="AK1001" s="418"/>
      <c r="AL1001" s="418"/>
      <c r="AM1001" s="418"/>
      <c r="AN1001" s="423"/>
      <c r="AO1001" s="423"/>
      <c r="AP1001" s="423"/>
      <c r="AQ1001" s="423"/>
      <c r="AR1001" s="423"/>
      <c r="AS1001" s="423"/>
      <c r="AT1001" s="423"/>
      <c r="AU1001" s="423"/>
      <c r="AV1001" s="423"/>
      <c r="AW1001" s="418"/>
      <c r="AX1001" s="418"/>
      <c r="AY1001" s="418"/>
      <c r="BB1001" s="306"/>
      <c r="BF1001" s="1119"/>
      <c r="BG1001" s="1119"/>
      <c r="BH1001" s="1119"/>
    </row>
    <row r="1002" spans="1:60" ht="15.75" customHeight="1">
      <c r="A1002" s="415"/>
      <c r="B1002" s="416"/>
      <c r="C1002" s="424"/>
      <c r="E1002" s="418"/>
      <c r="F1002" s="419"/>
      <c r="G1002" s="420"/>
      <c r="H1002" s="421"/>
      <c r="I1002" s="421"/>
      <c r="J1002" s="492"/>
      <c r="K1002" s="418"/>
      <c r="L1002" s="418"/>
      <c r="M1002" s="418"/>
      <c r="N1002" s="421"/>
      <c r="O1002" s="421"/>
      <c r="P1002" s="421"/>
      <c r="Q1002" s="418"/>
      <c r="R1002" s="418"/>
      <c r="S1002" s="418"/>
      <c r="T1002" s="418"/>
      <c r="U1002" s="418"/>
      <c r="V1002" s="418"/>
      <c r="W1002" s="418"/>
      <c r="X1002" s="418"/>
      <c r="Y1002" s="418"/>
      <c r="Z1002" s="418"/>
      <c r="AA1002" s="418"/>
      <c r="AB1002" s="418"/>
      <c r="AC1002" s="418"/>
      <c r="AD1002" s="418"/>
      <c r="AE1002" s="418"/>
      <c r="AF1002" s="418"/>
      <c r="AG1002" s="418"/>
      <c r="AH1002" s="418"/>
      <c r="AI1002" s="418"/>
      <c r="AJ1002" s="418"/>
      <c r="AK1002" s="418"/>
      <c r="AL1002" s="418"/>
      <c r="AM1002" s="418"/>
      <c r="AN1002" s="423"/>
      <c r="AO1002" s="423"/>
      <c r="AP1002" s="423"/>
      <c r="AQ1002" s="423"/>
      <c r="AR1002" s="423"/>
      <c r="AS1002" s="423"/>
      <c r="AT1002" s="423"/>
      <c r="AU1002" s="423"/>
      <c r="AV1002" s="423"/>
      <c r="AW1002" s="418"/>
      <c r="AX1002" s="418"/>
      <c r="AY1002" s="418"/>
      <c r="BB1002" s="306"/>
      <c r="BF1002" s="1119"/>
      <c r="BG1002" s="1119"/>
      <c r="BH1002" s="1119"/>
    </row>
    <row r="1003" spans="1:60" ht="15.75" customHeight="1">
      <c r="A1003" s="415"/>
      <c r="B1003" s="416"/>
      <c r="C1003" s="424"/>
      <c r="E1003" s="418"/>
      <c r="F1003" s="419"/>
      <c r="G1003" s="420"/>
      <c r="H1003" s="421"/>
      <c r="I1003" s="425"/>
      <c r="J1003" s="492"/>
      <c r="K1003" s="418"/>
      <c r="L1003" s="418"/>
      <c r="M1003" s="418"/>
      <c r="N1003" s="421"/>
      <c r="O1003" s="421"/>
      <c r="P1003" s="421"/>
      <c r="Q1003" s="418"/>
      <c r="R1003" s="418"/>
      <c r="S1003" s="418"/>
      <c r="T1003" s="418"/>
      <c r="U1003" s="418"/>
      <c r="V1003" s="418"/>
      <c r="W1003" s="418"/>
      <c r="X1003" s="418"/>
      <c r="Y1003" s="418"/>
      <c r="Z1003" s="418"/>
      <c r="AA1003" s="418"/>
      <c r="AB1003" s="418"/>
      <c r="AC1003" s="418"/>
      <c r="AD1003" s="418"/>
      <c r="AE1003" s="418"/>
      <c r="AF1003" s="418"/>
      <c r="AG1003" s="418"/>
      <c r="AH1003" s="418"/>
      <c r="AI1003" s="418"/>
      <c r="AJ1003" s="418"/>
      <c r="AK1003" s="418"/>
      <c r="AL1003" s="418"/>
      <c r="AM1003" s="418"/>
      <c r="AN1003" s="423"/>
      <c r="AO1003" s="423"/>
      <c r="AP1003" s="423"/>
      <c r="AQ1003" s="423"/>
      <c r="AR1003" s="423"/>
      <c r="AS1003" s="423"/>
      <c r="AT1003" s="423"/>
      <c r="AU1003" s="423"/>
      <c r="AV1003" s="423"/>
      <c r="AW1003" s="418"/>
      <c r="AX1003" s="418"/>
      <c r="AY1003" s="418"/>
      <c r="BB1003" s="306"/>
      <c r="BF1003" s="1119"/>
      <c r="BG1003" s="1119"/>
      <c r="BH1003" s="1119"/>
    </row>
    <row r="1004" spans="1:60" ht="15.75" customHeight="1">
      <c r="A1004" s="415"/>
      <c r="B1004" s="416"/>
      <c r="C1004" s="424"/>
      <c r="E1004" s="418"/>
      <c r="F1004" s="419"/>
      <c r="G1004" s="420"/>
      <c r="H1004" s="421"/>
      <c r="I1004" s="421"/>
      <c r="J1004" s="492"/>
      <c r="K1004" s="418"/>
      <c r="L1004" s="418"/>
      <c r="M1004" s="418"/>
      <c r="N1004" s="421"/>
      <c r="O1004" s="421"/>
      <c r="P1004" s="421"/>
      <c r="Q1004" s="418"/>
      <c r="R1004" s="418"/>
      <c r="S1004" s="418"/>
      <c r="T1004" s="418"/>
      <c r="U1004" s="418"/>
      <c r="V1004" s="418"/>
      <c r="W1004" s="418"/>
      <c r="X1004" s="418"/>
      <c r="Y1004" s="418"/>
      <c r="Z1004" s="418"/>
      <c r="AA1004" s="418"/>
      <c r="AB1004" s="418"/>
      <c r="AC1004" s="418"/>
      <c r="AD1004" s="418"/>
      <c r="AE1004" s="418"/>
      <c r="AF1004" s="418"/>
      <c r="AG1004" s="418"/>
      <c r="AH1004" s="418"/>
      <c r="AI1004" s="418"/>
      <c r="AJ1004" s="418"/>
      <c r="AK1004" s="418"/>
      <c r="AL1004" s="418"/>
      <c r="AM1004" s="418"/>
      <c r="AN1004" s="423"/>
      <c r="AO1004" s="423"/>
      <c r="AP1004" s="423"/>
      <c r="AQ1004" s="423"/>
      <c r="AR1004" s="423"/>
      <c r="AS1004" s="423"/>
      <c r="AT1004" s="423"/>
      <c r="AU1004" s="423"/>
      <c r="AV1004" s="423"/>
      <c r="AW1004" s="418"/>
      <c r="AX1004" s="418"/>
      <c r="AY1004" s="418"/>
      <c r="BB1004" s="306"/>
      <c r="BF1004" s="1119"/>
      <c r="BG1004" s="1119"/>
      <c r="BH1004" s="1119"/>
    </row>
    <row r="1005" spans="1:60" ht="15.75" customHeight="1">
      <c r="A1005" s="415"/>
      <c r="B1005" s="416"/>
      <c r="C1005" s="424"/>
      <c r="E1005" s="418"/>
      <c r="F1005" s="419"/>
      <c r="G1005" s="420"/>
      <c r="H1005" s="421"/>
      <c r="I1005" s="425"/>
      <c r="J1005" s="492"/>
      <c r="K1005" s="418"/>
      <c r="L1005" s="418"/>
      <c r="M1005" s="418"/>
      <c r="N1005" s="421"/>
      <c r="O1005" s="421"/>
      <c r="P1005" s="421"/>
      <c r="Q1005" s="418"/>
      <c r="R1005" s="418"/>
      <c r="S1005" s="418"/>
      <c r="T1005" s="418"/>
      <c r="U1005" s="418"/>
      <c r="V1005" s="418"/>
      <c r="W1005" s="418"/>
      <c r="X1005" s="418"/>
      <c r="Y1005" s="418"/>
      <c r="Z1005" s="418"/>
      <c r="AA1005" s="418"/>
      <c r="AB1005" s="418"/>
      <c r="AC1005" s="418"/>
      <c r="AD1005" s="418"/>
      <c r="AE1005" s="418"/>
      <c r="AF1005" s="418"/>
      <c r="AG1005" s="418"/>
      <c r="AH1005" s="418"/>
      <c r="AI1005" s="418"/>
      <c r="AJ1005" s="418"/>
      <c r="AK1005" s="418"/>
      <c r="AL1005" s="418"/>
      <c r="AM1005" s="418"/>
      <c r="AN1005" s="423"/>
      <c r="AO1005" s="423"/>
      <c r="AP1005" s="423"/>
      <c r="AQ1005" s="423"/>
      <c r="AR1005" s="423"/>
      <c r="AS1005" s="423"/>
      <c r="AT1005" s="423"/>
      <c r="AU1005" s="423"/>
      <c r="AV1005" s="423"/>
      <c r="AW1005" s="418"/>
      <c r="AX1005" s="418"/>
      <c r="AY1005" s="418"/>
      <c r="BB1005" s="306"/>
      <c r="BF1005" s="1119"/>
      <c r="BG1005" s="1119"/>
      <c r="BH1005" s="1119"/>
    </row>
    <row r="1006" spans="1:60" ht="15.75" customHeight="1">
      <c r="A1006" s="415"/>
      <c r="B1006" s="416"/>
      <c r="C1006" s="424"/>
      <c r="E1006" s="418"/>
      <c r="F1006" s="419"/>
      <c r="G1006" s="420"/>
      <c r="H1006" s="421"/>
      <c r="I1006" s="421"/>
      <c r="J1006" s="492"/>
      <c r="K1006" s="418"/>
      <c r="L1006" s="418"/>
      <c r="M1006" s="418"/>
      <c r="N1006" s="421"/>
      <c r="O1006" s="421"/>
      <c r="P1006" s="421"/>
      <c r="Q1006" s="418"/>
      <c r="R1006" s="418"/>
      <c r="S1006" s="418"/>
      <c r="T1006" s="418"/>
      <c r="U1006" s="418"/>
      <c r="V1006" s="418"/>
      <c r="W1006" s="418"/>
      <c r="X1006" s="418"/>
      <c r="Y1006" s="418"/>
      <c r="Z1006" s="418"/>
      <c r="AA1006" s="418"/>
      <c r="AB1006" s="418"/>
      <c r="AC1006" s="418"/>
      <c r="AD1006" s="418"/>
      <c r="AE1006" s="418"/>
      <c r="AF1006" s="418"/>
      <c r="AG1006" s="418"/>
      <c r="AH1006" s="418"/>
      <c r="AI1006" s="418"/>
      <c r="AJ1006" s="418"/>
      <c r="AK1006" s="418"/>
      <c r="AL1006" s="418"/>
      <c r="AM1006" s="418"/>
      <c r="AN1006" s="423"/>
      <c r="AO1006" s="423"/>
      <c r="AP1006" s="423"/>
      <c r="AQ1006" s="423"/>
      <c r="AR1006" s="423"/>
      <c r="AS1006" s="423"/>
      <c r="AT1006" s="423"/>
      <c r="AU1006" s="423"/>
      <c r="AV1006" s="423"/>
      <c r="AW1006" s="418"/>
      <c r="AX1006" s="418"/>
      <c r="AY1006" s="418"/>
      <c r="BB1006" s="306"/>
      <c r="BF1006" s="1119"/>
      <c r="BG1006" s="1119"/>
      <c r="BH1006" s="1119"/>
    </row>
    <row r="1007" spans="1:60" ht="15.75" customHeight="1">
      <c r="A1007" s="415"/>
      <c r="B1007" s="416"/>
      <c r="C1007" s="424"/>
      <c r="E1007" s="418"/>
      <c r="F1007" s="419"/>
      <c r="G1007" s="420"/>
      <c r="H1007" s="421"/>
      <c r="I1007" s="425"/>
      <c r="J1007" s="492"/>
      <c r="K1007" s="418"/>
      <c r="L1007" s="418"/>
      <c r="M1007" s="418"/>
      <c r="N1007" s="421"/>
      <c r="O1007" s="421"/>
      <c r="P1007" s="421"/>
      <c r="Q1007" s="418"/>
      <c r="R1007" s="418"/>
      <c r="S1007" s="418"/>
      <c r="T1007" s="418"/>
      <c r="U1007" s="418"/>
      <c r="V1007" s="418"/>
      <c r="W1007" s="418"/>
      <c r="X1007" s="418"/>
      <c r="Y1007" s="418"/>
      <c r="Z1007" s="418"/>
      <c r="AA1007" s="418"/>
      <c r="AB1007" s="418"/>
      <c r="AC1007" s="418"/>
      <c r="AD1007" s="418"/>
      <c r="AE1007" s="418"/>
      <c r="AF1007" s="418"/>
      <c r="AG1007" s="418"/>
      <c r="AH1007" s="418"/>
      <c r="AI1007" s="418"/>
      <c r="AJ1007" s="418"/>
      <c r="AK1007" s="418"/>
      <c r="AL1007" s="418"/>
      <c r="AM1007" s="418"/>
      <c r="AN1007" s="423"/>
      <c r="AO1007" s="423"/>
      <c r="AP1007" s="423"/>
      <c r="AQ1007" s="423"/>
      <c r="AR1007" s="423"/>
      <c r="AS1007" s="423"/>
      <c r="AT1007" s="423"/>
      <c r="AU1007" s="423"/>
      <c r="AV1007" s="423"/>
      <c r="AW1007" s="418"/>
      <c r="AX1007" s="418"/>
      <c r="AY1007" s="418"/>
      <c r="BB1007" s="306"/>
      <c r="BF1007" s="1119"/>
      <c r="BG1007" s="1119"/>
      <c r="BH1007" s="1119"/>
    </row>
    <row r="1008" spans="1:60" ht="15.75" customHeight="1">
      <c r="A1008" s="415"/>
      <c r="B1008" s="416"/>
      <c r="C1008" s="424"/>
      <c r="E1008" s="418"/>
      <c r="F1008" s="419"/>
      <c r="G1008" s="420"/>
      <c r="H1008" s="421"/>
      <c r="I1008" s="421"/>
      <c r="J1008" s="492"/>
      <c r="K1008" s="418"/>
      <c r="L1008" s="418"/>
      <c r="M1008" s="418"/>
      <c r="N1008" s="421"/>
      <c r="O1008" s="421"/>
      <c r="P1008" s="421"/>
      <c r="Q1008" s="418"/>
      <c r="R1008" s="418"/>
      <c r="S1008" s="418"/>
      <c r="T1008" s="418"/>
      <c r="U1008" s="418"/>
      <c r="V1008" s="418"/>
      <c r="W1008" s="418"/>
      <c r="X1008" s="418"/>
      <c r="Y1008" s="418"/>
      <c r="Z1008" s="418"/>
      <c r="AA1008" s="418"/>
      <c r="AB1008" s="418"/>
      <c r="AC1008" s="418"/>
      <c r="AD1008" s="418"/>
      <c r="AE1008" s="418"/>
      <c r="AF1008" s="418"/>
      <c r="AG1008" s="418"/>
      <c r="AH1008" s="418"/>
      <c r="AI1008" s="418"/>
      <c r="AJ1008" s="418"/>
      <c r="AK1008" s="418"/>
      <c r="AL1008" s="418"/>
      <c r="AM1008" s="418"/>
      <c r="AN1008" s="423"/>
      <c r="AO1008" s="423"/>
      <c r="AP1008" s="423"/>
      <c r="AQ1008" s="423"/>
      <c r="AR1008" s="423"/>
      <c r="AS1008" s="423"/>
      <c r="AT1008" s="423"/>
      <c r="AU1008" s="423"/>
      <c r="AV1008" s="423"/>
      <c r="AW1008" s="418"/>
      <c r="AX1008" s="418"/>
      <c r="AY1008" s="418"/>
      <c r="BB1008" s="306"/>
      <c r="BF1008" s="1119"/>
      <c r="BG1008" s="1119"/>
      <c r="BH1008" s="1119"/>
    </row>
    <row r="1009" spans="1:60" ht="15.75" customHeight="1">
      <c r="A1009" s="415"/>
      <c r="B1009" s="416"/>
      <c r="C1009" s="424"/>
      <c r="E1009" s="418"/>
      <c r="F1009" s="419"/>
      <c r="G1009" s="420"/>
      <c r="H1009" s="421"/>
      <c r="I1009" s="421"/>
      <c r="J1009" s="492"/>
      <c r="K1009" s="418"/>
      <c r="L1009" s="418"/>
      <c r="M1009" s="418"/>
      <c r="N1009" s="421"/>
      <c r="O1009" s="421"/>
      <c r="P1009" s="421"/>
      <c r="Q1009" s="418"/>
      <c r="R1009" s="418"/>
      <c r="S1009" s="418"/>
      <c r="T1009" s="418"/>
      <c r="U1009" s="418"/>
      <c r="V1009" s="418"/>
      <c r="W1009" s="418"/>
      <c r="X1009" s="418"/>
      <c r="Y1009" s="418"/>
      <c r="Z1009" s="418"/>
      <c r="AA1009" s="418"/>
      <c r="AB1009" s="418"/>
      <c r="AC1009" s="418"/>
      <c r="AD1009" s="418"/>
      <c r="AE1009" s="418"/>
      <c r="AF1009" s="418"/>
      <c r="AG1009" s="418"/>
      <c r="AH1009" s="418"/>
      <c r="AI1009" s="418"/>
      <c r="AJ1009" s="418"/>
      <c r="AK1009" s="418"/>
      <c r="AL1009" s="418"/>
      <c r="AM1009" s="418"/>
      <c r="AN1009" s="423"/>
      <c r="AO1009" s="423"/>
      <c r="AP1009" s="423"/>
      <c r="AQ1009" s="423"/>
      <c r="AR1009" s="423"/>
      <c r="AS1009" s="423"/>
      <c r="AT1009" s="423"/>
      <c r="AU1009" s="423"/>
      <c r="AV1009" s="423"/>
      <c r="AW1009" s="418"/>
      <c r="AX1009" s="418"/>
      <c r="AY1009" s="418"/>
      <c r="BB1009" s="306"/>
      <c r="BF1009" s="1119"/>
      <c r="BG1009" s="1119"/>
      <c r="BH1009" s="1119"/>
    </row>
    <row r="1010" spans="1:60" ht="15.75" customHeight="1">
      <c r="A1010" s="415"/>
      <c r="B1010" s="416"/>
      <c r="C1010" s="424"/>
      <c r="E1010" s="418"/>
      <c r="F1010" s="419"/>
      <c r="G1010" s="420"/>
      <c r="H1010" s="421"/>
      <c r="I1010" s="425"/>
      <c r="J1010" s="492"/>
      <c r="K1010" s="418"/>
      <c r="L1010" s="418"/>
      <c r="M1010" s="418"/>
      <c r="N1010" s="421"/>
      <c r="O1010" s="421"/>
      <c r="P1010" s="421"/>
      <c r="Q1010" s="418"/>
      <c r="R1010" s="418"/>
      <c r="S1010" s="418"/>
      <c r="T1010" s="418"/>
      <c r="U1010" s="418"/>
      <c r="V1010" s="418"/>
      <c r="W1010" s="418"/>
      <c r="X1010" s="418"/>
      <c r="Y1010" s="418"/>
      <c r="Z1010" s="418"/>
      <c r="AA1010" s="418"/>
      <c r="AB1010" s="418"/>
      <c r="AC1010" s="418"/>
      <c r="AD1010" s="418"/>
      <c r="AE1010" s="418"/>
      <c r="AF1010" s="418"/>
      <c r="AG1010" s="418"/>
      <c r="AH1010" s="418"/>
      <c r="AI1010" s="418"/>
      <c r="AJ1010" s="418"/>
      <c r="AK1010" s="418"/>
      <c r="AL1010" s="418"/>
      <c r="AM1010" s="418"/>
      <c r="AN1010" s="423"/>
      <c r="AO1010" s="423"/>
      <c r="AP1010" s="423"/>
      <c r="AQ1010" s="423"/>
      <c r="AR1010" s="423"/>
      <c r="AS1010" s="423"/>
      <c r="AT1010" s="423"/>
      <c r="AU1010" s="423"/>
      <c r="AV1010" s="423"/>
      <c r="AW1010" s="418"/>
      <c r="AX1010" s="418"/>
      <c r="AY1010" s="418"/>
      <c r="BB1010" s="306"/>
      <c r="BF1010" s="1119"/>
      <c r="BG1010" s="1119"/>
      <c r="BH1010" s="1119"/>
    </row>
    <row r="1011" spans="1:60" ht="15.75" customHeight="1">
      <c r="A1011" s="415"/>
      <c r="B1011" s="416"/>
      <c r="C1011" s="424"/>
      <c r="E1011" s="418"/>
      <c r="F1011" s="419"/>
      <c r="G1011" s="420"/>
      <c r="H1011" s="421"/>
      <c r="I1011" s="421"/>
      <c r="J1011" s="492"/>
      <c r="K1011" s="418"/>
      <c r="L1011" s="418"/>
      <c r="M1011" s="418"/>
      <c r="N1011" s="421"/>
      <c r="O1011" s="421"/>
      <c r="P1011" s="421"/>
      <c r="Q1011" s="418"/>
      <c r="R1011" s="418"/>
      <c r="S1011" s="418"/>
      <c r="T1011" s="418"/>
      <c r="U1011" s="418"/>
      <c r="V1011" s="418"/>
      <c r="W1011" s="418"/>
      <c r="X1011" s="418"/>
      <c r="Y1011" s="418"/>
      <c r="Z1011" s="418"/>
      <c r="AA1011" s="418"/>
      <c r="AB1011" s="418"/>
      <c r="AC1011" s="418"/>
      <c r="AD1011" s="418"/>
      <c r="AE1011" s="418"/>
      <c r="AF1011" s="418"/>
      <c r="AG1011" s="418"/>
      <c r="AH1011" s="418"/>
      <c r="AI1011" s="418"/>
      <c r="AJ1011" s="418"/>
      <c r="AK1011" s="418"/>
      <c r="AL1011" s="418"/>
      <c r="AM1011" s="418"/>
      <c r="AN1011" s="423"/>
      <c r="AO1011" s="423"/>
      <c r="AP1011" s="423"/>
      <c r="AQ1011" s="423"/>
      <c r="AR1011" s="423"/>
      <c r="AS1011" s="423"/>
      <c r="AT1011" s="423"/>
      <c r="AU1011" s="423"/>
      <c r="AV1011" s="423"/>
      <c r="AW1011" s="418"/>
      <c r="AX1011" s="418"/>
      <c r="AY1011" s="418"/>
      <c r="BB1011" s="306"/>
      <c r="BF1011" s="1119"/>
      <c r="BG1011" s="1119"/>
      <c r="BH1011" s="1119"/>
    </row>
    <row r="1012" spans="1:60" ht="15.75" customHeight="1">
      <c r="A1012" s="415"/>
      <c r="B1012" s="416"/>
      <c r="C1012" s="424"/>
      <c r="E1012" s="418"/>
      <c r="F1012" s="419"/>
      <c r="G1012" s="420"/>
      <c r="H1012" s="421"/>
      <c r="I1012" s="421"/>
      <c r="J1012" s="492"/>
      <c r="K1012" s="418"/>
      <c r="L1012" s="418"/>
      <c r="M1012" s="418"/>
      <c r="N1012" s="421"/>
      <c r="O1012" s="421"/>
      <c r="P1012" s="421"/>
      <c r="Q1012" s="418"/>
      <c r="R1012" s="418"/>
      <c r="S1012" s="418"/>
      <c r="T1012" s="418"/>
      <c r="U1012" s="418"/>
      <c r="V1012" s="418"/>
      <c r="W1012" s="418"/>
      <c r="X1012" s="418"/>
      <c r="Y1012" s="418"/>
      <c r="Z1012" s="418"/>
      <c r="AA1012" s="418"/>
      <c r="AB1012" s="418"/>
      <c r="AC1012" s="418"/>
      <c r="AD1012" s="418"/>
      <c r="AE1012" s="418"/>
      <c r="AF1012" s="418"/>
      <c r="AG1012" s="418"/>
      <c r="AH1012" s="418"/>
      <c r="AI1012" s="418"/>
      <c r="AJ1012" s="418"/>
      <c r="AK1012" s="418"/>
      <c r="AL1012" s="418"/>
      <c r="AM1012" s="418"/>
      <c r="AN1012" s="423"/>
      <c r="AO1012" s="423"/>
      <c r="AP1012" s="423"/>
      <c r="AQ1012" s="423"/>
      <c r="AR1012" s="423"/>
      <c r="AS1012" s="423"/>
      <c r="AT1012" s="423"/>
      <c r="AU1012" s="423"/>
      <c r="AV1012" s="423"/>
      <c r="AW1012" s="418"/>
      <c r="AX1012" s="418"/>
      <c r="AY1012" s="418"/>
      <c r="BB1012" s="306"/>
      <c r="BF1012" s="1119"/>
      <c r="BG1012" s="1119"/>
      <c r="BH1012" s="1119"/>
    </row>
    <row r="1013" spans="1:60" ht="15.75" customHeight="1">
      <c r="A1013" s="415"/>
      <c r="B1013" s="416"/>
      <c r="C1013" s="424"/>
      <c r="E1013" s="418"/>
      <c r="F1013" s="419"/>
      <c r="G1013" s="420"/>
      <c r="H1013" s="421"/>
      <c r="I1013" s="425"/>
      <c r="J1013" s="492"/>
      <c r="K1013" s="418"/>
      <c r="L1013" s="418"/>
      <c r="M1013" s="418"/>
      <c r="N1013" s="421"/>
      <c r="O1013" s="421"/>
      <c r="P1013" s="421"/>
      <c r="Q1013" s="418"/>
      <c r="R1013" s="418"/>
      <c r="S1013" s="418"/>
      <c r="T1013" s="418"/>
      <c r="U1013" s="418"/>
      <c r="V1013" s="418"/>
      <c r="W1013" s="418"/>
      <c r="X1013" s="418"/>
      <c r="Y1013" s="418"/>
      <c r="Z1013" s="418"/>
      <c r="AA1013" s="418"/>
      <c r="AB1013" s="418"/>
      <c r="AC1013" s="418"/>
      <c r="AD1013" s="418"/>
      <c r="AE1013" s="418"/>
      <c r="AF1013" s="418"/>
      <c r="AG1013" s="418"/>
      <c r="AH1013" s="418"/>
      <c r="AI1013" s="418"/>
      <c r="AJ1013" s="418"/>
      <c r="AK1013" s="418"/>
      <c r="AL1013" s="418"/>
      <c r="AM1013" s="418"/>
      <c r="AN1013" s="423"/>
      <c r="AO1013" s="423"/>
      <c r="AP1013" s="423"/>
      <c r="AQ1013" s="423"/>
      <c r="AR1013" s="423"/>
      <c r="AS1013" s="423"/>
      <c r="AT1013" s="423"/>
      <c r="AU1013" s="423"/>
      <c r="AV1013" s="423"/>
      <c r="AW1013" s="418"/>
      <c r="AX1013" s="418"/>
      <c r="AY1013" s="418"/>
      <c r="BB1013" s="306"/>
      <c r="BF1013" s="1119"/>
      <c r="BG1013" s="1119"/>
      <c r="BH1013" s="1119"/>
    </row>
    <row r="1014" spans="1:60" ht="15.75" customHeight="1">
      <c r="A1014" s="415"/>
      <c r="B1014" s="416"/>
      <c r="C1014" s="424"/>
      <c r="E1014" s="418"/>
      <c r="F1014" s="419"/>
      <c r="G1014" s="420"/>
      <c r="H1014" s="421"/>
      <c r="I1014" s="421"/>
      <c r="J1014" s="492"/>
      <c r="K1014" s="418"/>
      <c r="L1014" s="418"/>
      <c r="M1014" s="418"/>
      <c r="N1014" s="421"/>
      <c r="O1014" s="421"/>
      <c r="P1014" s="421"/>
      <c r="Q1014" s="418"/>
      <c r="R1014" s="418"/>
      <c r="S1014" s="418"/>
      <c r="T1014" s="418"/>
      <c r="U1014" s="418"/>
      <c r="V1014" s="418"/>
      <c r="W1014" s="418"/>
      <c r="X1014" s="418"/>
      <c r="Y1014" s="418"/>
      <c r="Z1014" s="418"/>
      <c r="AA1014" s="418"/>
      <c r="AB1014" s="418"/>
      <c r="AC1014" s="418"/>
      <c r="AD1014" s="418"/>
      <c r="AE1014" s="418"/>
      <c r="AF1014" s="418"/>
      <c r="AG1014" s="418"/>
      <c r="AH1014" s="418"/>
      <c r="AI1014" s="418"/>
      <c r="AJ1014" s="418"/>
      <c r="AK1014" s="418"/>
      <c r="AL1014" s="418"/>
      <c r="AM1014" s="418"/>
      <c r="AN1014" s="423"/>
      <c r="AO1014" s="423"/>
      <c r="AP1014" s="423"/>
      <c r="AQ1014" s="423"/>
      <c r="AR1014" s="423"/>
      <c r="AS1014" s="423"/>
      <c r="AT1014" s="423"/>
      <c r="AU1014" s="423"/>
      <c r="AV1014" s="423"/>
      <c r="AW1014" s="418"/>
      <c r="AX1014" s="418"/>
      <c r="AY1014" s="418"/>
      <c r="BB1014" s="306"/>
      <c r="BF1014" s="1119"/>
      <c r="BG1014" s="1119"/>
      <c r="BH1014" s="1119"/>
    </row>
    <row r="1015" spans="1:60" ht="15.75" customHeight="1">
      <c r="A1015" s="415"/>
      <c r="B1015" s="416"/>
      <c r="C1015" s="424"/>
      <c r="E1015" s="418"/>
      <c r="F1015" s="419"/>
      <c r="G1015" s="420"/>
      <c r="H1015" s="421"/>
      <c r="I1015" s="425"/>
      <c r="J1015" s="492"/>
      <c r="K1015" s="418"/>
      <c r="L1015" s="418"/>
      <c r="M1015" s="418"/>
      <c r="N1015" s="421"/>
      <c r="O1015" s="421"/>
      <c r="P1015" s="421"/>
      <c r="Q1015" s="418"/>
      <c r="R1015" s="418"/>
      <c r="S1015" s="418"/>
      <c r="T1015" s="418"/>
      <c r="U1015" s="418"/>
      <c r="V1015" s="418"/>
      <c r="W1015" s="418"/>
      <c r="X1015" s="418"/>
      <c r="Y1015" s="418"/>
      <c r="Z1015" s="418"/>
      <c r="AA1015" s="418"/>
      <c r="AB1015" s="418"/>
      <c r="AC1015" s="418"/>
      <c r="AD1015" s="418"/>
      <c r="AE1015" s="418"/>
      <c r="AF1015" s="418"/>
      <c r="AG1015" s="418"/>
      <c r="AH1015" s="418"/>
      <c r="AI1015" s="418"/>
      <c r="AJ1015" s="418"/>
      <c r="AK1015" s="418"/>
      <c r="AL1015" s="418"/>
      <c r="AM1015" s="418"/>
      <c r="AN1015" s="423"/>
      <c r="AO1015" s="423"/>
      <c r="AP1015" s="423"/>
      <c r="AQ1015" s="423"/>
      <c r="AR1015" s="423"/>
      <c r="AS1015" s="423"/>
      <c r="AT1015" s="423"/>
      <c r="AU1015" s="423"/>
      <c r="AV1015" s="423"/>
      <c r="AW1015" s="418"/>
      <c r="AX1015" s="418"/>
      <c r="AY1015" s="418"/>
      <c r="BB1015" s="306"/>
      <c r="BF1015" s="1119"/>
      <c r="BG1015" s="1119"/>
      <c r="BH1015" s="1119"/>
    </row>
    <row r="1016" spans="1:60" ht="15.75" customHeight="1">
      <c r="A1016" s="415"/>
      <c r="B1016" s="416"/>
      <c r="C1016" s="424"/>
      <c r="E1016" s="418"/>
      <c r="F1016" s="419"/>
      <c r="G1016" s="420"/>
      <c r="H1016" s="418"/>
      <c r="I1016" s="419"/>
      <c r="J1016" s="492"/>
      <c r="K1016" s="418"/>
      <c r="L1016" s="418"/>
      <c r="M1016" s="418"/>
      <c r="N1016" s="421"/>
      <c r="O1016" s="421"/>
      <c r="P1016" s="421"/>
      <c r="Q1016" s="418"/>
      <c r="R1016" s="418"/>
      <c r="S1016" s="418"/>
      <c r="T1016" s="418"/>
      <c r="U1016" s="418"/>
      <c r="V1016" s="418"/>
      <c r="W1016" s="418"/>
      <c r="X1016" s="418"/>
      <c r="Y1016" s="418"/>
      <c r="Z1016" s="418"/>
      <c r="AA1016" s="418"/>
      <c r="AB1016" s="418"/>
      <c r="AC1016" s="418"/>
      <c r="AD1016" s="418"/>
      <c r="AE1016" s="418"/>
      <c r="AF1016" s="418"/>
      <c r="AG1016" s="418"/>
      <c r="AH1016" s="418"/>
      <c r="AI1016" s="418"/>
      <c r="AJ1016" s="418"/>
      <c r="AK1016" s="418"/>
      <c r="AL1016" s="418"/>
      <c r="AM1016" s="418"/>
      <c r="AN1016" s="423"/>
      <c r="AO1016" s="423"/>
      <c r="AP1016" s="423"/>
      <c r="AQ1016" s="423"/>
      <c r="AR1016" s="423"/>
      <c r="AS1016" s="423"/>
      <c r="AT1016" s="423"/>
      <c r="AU1016" s="423"/>
      <c r="AV1016" s="423"/>
      <c r="AW1016" s="418"/>
      <c r="AX1016" s="418"/>
      <c r="AY1016" s="418"/>
      <c r="BB1016" s="306"/>
      <c r="BF1016" s="1119"/>
      <c r="BG1016" s="1119"/>
      <c r="BH1016" s="1119"/>
    </row>
    <row r="1017" spans="1:60" ht="15.75" customHeight="1">
      <c r="A1017" s="415"/>
      <c r="B1017" s="416"/>
      <c r="C1017" s="424"/>
      <c r="E1017" s="418"/>
      <c r="F1017" s="419"/>
      <c r="G1017" s="420"/>
      <c r="H1017" s="418"/>
      <c r="I1017" s="419"/>
      <c r="J1017" s="492"/>
      <c r="K1017" s="418"/>
      <c r="L1017" s="418"/>
      <c r="M1017" s="418"/>
      <c r="N1017" s="421"/>
      <c r="O1017" s="421"/>
      <c r="P1017" s="421"/>
      <c r="Q1017" s="418"/>
      <c r="R1017" s="418"/>
      <c r="S1017" s="418"/>
      <c r="T1017" s="418"/>
      <c r="U1017" s="418"/>
      <c r="V1017" s="418"/>
      <c r="W1017" s="418"/>
      <c r="X1017" s="418"/>
      <c r="Y1017" s="418"/>
      <c r="Z1017" s="418"/>
      <c r="AA1017" s="418"/>
      <c r="AB1017" s="418"/>
      <c r="AC1017" s="418"/>
      <c r="AD1017" s="418"/>
      <c r="AE1017" s="418"/>
      <c r="AF1017" s="418"/>
      <c r="AG1017" s="418"/>
      <c r="AH1017" s="418"/>
      <c r="AI1017" s="418"/>
      <c r="AJ1017" s="418"/>
      <c r="AK1017" s="418"/>
      <c r="AL1017" s="418"/>
      <c r="AM1017" s="418"/>
      <c r="AN1017" s="423"/>
      <c r="AO1017" s="423"/>
      <c r="AP1017" s="423"/>
      <c r="AQ1017" s="423"/>
      <c r="AR1017" s="423"/>
      <c r="AS1017" s="423"/>
      <c r="AT1017" s="423"/>
      <c r="AU1017" s="423"/>
      <c r="AV1017" s="423"/>
      <c r="AW1017" s="418"/>
      <c r="AX1017" s="418"/>
      <c r="AY1017" s="418"/>
      <c r="BB1017" s="306"/>
      <c r="BF1017" s="1119"/>
      <c r="BG1017" s="1119"/>
      <c r="BH1017" s="1119"/>
    </row>
    <row r="1018" spans="1:60" ht="15.75" customHeight="1">
      <c r="A1018" s="415"/>
      <c r="B1018" s="416"/>
      <c r="C1018" s="424"/>
      <c r="E1018" s="418"/>
      <c r="F1018" s="419"/>
      <c r="G1018" s="420"/>
      <c r="H1018" s="421"/>
      <c r="I1018" s="421"/>
      <c r="J1018" s="492"/>
      <c r="K1018" s="418"/>
      <c r="L1018" s="418"/>
      <c r="M1018" s="418"/>
      <c r="N1018" s="421"/>
      <c r="O1018" s="421"/>
      <c r="P1018" s="421"/>
      <c r="Q1018" s="418"/>
      <c r="R1018" s="418"/>
      <c r="S1018" s="418"/>
      <c r="T1018" s="418"/>
      <c r="U1018" s="418"/>
      <c r="V1018" s="418"/>
      <c r="W1018" s="418"/>
      <c r="X1018" s="418"/>
      <c r="Y1018" s="418"/>
      <c r="Z1018" s="418"/>
      <c r="AA1018" s="418"/>
      <c r="AB1018" s="418"/>
      <c r="AC1018" s="418"/>
      <c r="AD1018" s="418"/>
      <c r="AE1018" s="418"/>
      <c r="AF1018" s="418"/>
      <c r="AG1018" s="418"/>
      <c r="AH1018" s="418"/>
      <c r="AI1018" s="418"/>
      <c r="AJ1018" s="418"/>
      <c r="AK1018" s="418"/>
      <c r="AL1018" s="418"/>
      <c r="AM1018" s="418"/>
      <c r="AN1018" s="423"/>
      <c r="AO1018" s="423"/>
      <c r="AP1018" s="423"/>
      <c r="AQ1018" s="423"/>
      <c r="AR1018" s="423"/>
      <c r="AS1018" s="423"/>
      <c r="AT1018" s="423"/>
      <c r="AU1018" s="423"/>
      <c r="AV1018" s="423"/>
      <c r="AW1018" s="418"/>
      <c r="AX1018" s="418"/>
      <c r="AY1018" s="418"/>
      <c r="BB1018" s="306"/>
      <c r="BF1018" s="1119"/>
      <c r="BG1018" s="1119"/>
      <c r="BH1018" s="1119"/>
    </row>
    <row r="1019" spans="1:60" ht="15.75" customHeight="1">
      <c r="A1019" s="415"/>
      <c r="B1019" s="416"/>
      <c r="C1019" s="424"/>
      <c r="E1019" s="418"/>
      <c r="F1019" s="419"/>
      <c r="G1019" s="420"/>
      <c r="H1019" s="421"/>
      <c r="I1019" s="421"/>
      <c r="J1019" s="492"/>
      <c r="K1019" s="418"/>
      <c r="L1019" s="418"/>
      <c r="M1019" s="418"/>
      <c r="N1019" s="421"/>
      <c r="O1019" s="421"/>
      <c r="P1019" s="421"/>
      <c r="Q1019" s="418"/>
      <c r="R1019" s="418"/>
      <c r="S1019" s="418"/>
      <c r="T1019" s="418"/>
      <c r="U1019" s="418"/>
      <c r="V1019" s="418"/>
      <c r="W1019" s="418"/>
      <c r="X1019" s="418"/>
      <c r="Y1019" s="418"/>
      <c r="Z1019" s="418"/>
      <c r="AA1019" s="418"/>
      <c r="AB1019" s="418"/>
      <c r="AC1019" s="418"/>
      <c r="AD1019" s="418"/>
      <c r="AE1019" s="418"/>
      <c r="AF1019" s="418"/>
      <c r="AG1019" s="418"/>
      <c r="AH1019" s="418"/>
      <c r="AI1019" s="418"/>
      <c r="AJ1019" s="418"/>
      <c r="AK1019" s="418"/>
      <c r="AL1019" s="418"/>
      <c r="AM1019" s="418"/>
      <c r="AN1019" s="423"/>
      <c r="AO1019" s="423"/>
      <c r="AP1019" s="423"/>
      <c r="AQ1019" s="423"/>
      <c r="AR1019" s="423"/>
      <c r="AS1019" s="423"/>
      <c r="AT1019" s="423"/>
      <c r="AU1019" s="423"/>
      <c r="AV1019" s="423"/>
      <c r="AW1019" s="418"/>
      <c r="AX1019" s="418"/>
      <c r="AY1019" s="418"/>
      <c r="BB1019" s="306"/>
      <c r="BF1019" s="1119"/>
      <c r="BG1019" s="1119"/>
      <c r="BH1019" s="1119"/>
    </row>
    <row r="1020" spans="1:60" ht="15.75" customHeight="1">
      <c r="A1020" s="415"/>
      <c r="B1020" s="416"/>
      <c r="C1020" s="424"/>
      <c r="E1020" s="418"/>
      <c r="F1020" s="419"/>
      <c r="G1020" s="420"/>
      <c r="H1020" s="421"/>
      <c r="I1020" s="421"/>
      <c r="J1020" s="492"/>
      <c r="K1020" s="418"/>
      <c r="L1020" s="418"/>
      <c r="M1020" s="418"/>
      <c r="N1020" s="421"/>
      <c r="O1020" s="421"/>
      <c r="P1020" s="421"/>
      <c r="Q1020" s="418"/>
      <c r="R1020" s="418"/>
      <c r="S1020" s="418"/>
      <c r="T1020" s="418"/>
      <c r="U1020" s="418"/>
      <c r="V1020" s="418"/>
      <c r="W1020" s="418"/>
      <c r="X1020" s="418"/>
      <c r="Y1020" s="418"/>
      <c r="Z1020" s="418"/>
      <c r="AA1020" s="418"/>
      <c r="AB1020" s="418"/>
      <c r="AC1020" s="418"/>
      <c r="AD1020" s="418"/>
      <c r="AE1020" s="418"/>
      <c r="AF1020" s="418"/>
      <c r="AG1020" s="418"/>
      <c r="AH1020" s="418"/>
      <c r="AI1020" s="418"/>
      <c r="AJ1020" s="418"/>
      <c r="AK1020" s="418"/>
      <c r="AL1020" s="418"/>
      <c r="AM1020" s="418"/>
      <c r="AN1020" s="423"/>
      <c r="AO1020" s="423"/>
      <c r="AP1020" s="423"/>
      <c r="AQ1020" s="423"/>
      <c r="AR1020" s="423"/>
      <c r="AS1020" s="423"/>
      <c r="AT1020" s="423"/>
      <c r="AU1020" s="423"/>
      <c r="AV1020" s="423"/>
      <c r="AW1020" s="418"/>
      <c r="AX1020" s="418"/>
      <c r="AY1020" s="418"/>
      <c r="BB1020" s="306"/>
      <c r="BF1020" s="1119"/>
      <c r="BG1020" s="1119"/>
      <c r="BH1020" s="1119"/>
    </row>
    <row r="1021" spans="1:60" ht="15.75" customHeight="1">
      <c r="A1021" s="415"/>
      <c r="B1021" s="416"/>
      <c r="C1021" s="424"/>
      <c r="E1021" s="418"/>
      <c r="F1021" s="419"/>
      <c r="G1021" s="420"/>
      <c r="H1021" s="421"/>
      <c r="I1021" s="421"/>
      <c r="J1021" s="492"/>
      <c r="K1021" s="418"/>
      <c r="L1021" s="418"/>
      <c r="M1021" s="418"/>
      <c r="N1021" s="421"/>
      <c r="O1021" s="421"/>
      <c r="P1021" s="421"/>
      <c r="Q1021" s="418"/>
      <c r="R1021" s="418"/>
      <c r="S1021" s="418"/>
      <c r="T1021" s="418"/>
      <c r="U1021" s="418"/>
      <c r="V1021" s="418"/>
      <c r="W1021" s="418"/>
      <c r="X1021" s="418"/>
      <c r="Y1021" s="418"/>
      <c r="Z1021" s="418"/>
      <c r="AA1021" s="418"/>
      <c r="AB1021" s="418"/>
      <c r="AC1021" s="418"/>
      <c r="AD1021" s="418"/>
      <c r="AE1021" s="418"/>
      <c r="AF1021" s="418"/>
      <c r="AG1021" s="418"/>
      <c r="AH1021" s="418"/>
      <c r="AI1021" s="418"/>
      <c r="AJ1021" s="418"/>
      <c r="AK1021" s="418"/>
      <c r="AL1021" s="418"/>
      <c r="AM1021" s="418"/>
      <c r="AN1021" s="423"/>
      <c r="AO1021" s="423"/>
      <c r="AP1021" s="423"/>
      <c r="AQ1021" s="423"/>
      <c r="AR1021" s="423"/>
      <c r="AS1021" s="423"/>
      <c r="AT1021" s="423"/>
      <c r="AU1021" s="423"/>
      <c r="AV1021" s="423"/>
      <c r="AW1021" s="418"/>
      <c r="AX1021" s="418"/>
      <c r="AY1021" s="418"/>
      <c r="BB1021" s="306"/>
      <c r="BF1021" s="1119"/>
      <c r="BG1021" s="1119"/>
      <c r="BH1021" s="1119"/>
    </row>
    <row r="1022" spans="1:60" ht="15.75" customHeight="1">
      <c r="A1022" s="415"/>
      <c r="B1022" s="416"/>
      <c r="C1022" s="424"/>
      <c r="E1022" s="418"/>
      <c r="F1022" s="419"/>
      <c r="G1022" s="420"/>
      <c r="H1022" s="421"/>
      <c r="I1022" s="421"/>
      <c r="J1022" s="492"/>
      <c r="K1022" s="418"/>
      <c r="L1022" s="418"/>
      <c r="M1022" s="418"/>
      <c r="N1022" s="421"/>
      <c r="O1022" s="421"/>
      <c r="P1022" s="421"/>
      <c r="Q1022" s="418"/>
      <c r="R1022" s="418"/>
      <c r="S1022" s="418"/>
      <c r="T1022" s="418"/>
      <c r="U1022" s="418"/>
      <c r="V1022" s="418"/>
      <c r="W1022" s="418"/>
      <c r="X1022" s="418"/>
      <c r="Y1022" s="418"/>
      <c r="Z1022" s="418"/>
      <c r="AA1022" s="418"/>
      <c r="AB1022" s="418"/>
      <c r="AC1022" s="418"/>
      <c r="AD1022" s="418"/>
      <c r="AE1022" s="418"/>
      <c r="AF1022" s="418"/>
      <c r="AG1022" s="418"/>
      <c r="AH1022" s="418"/>
      <c r="AI1022" s="418"/>
      <c r="AJ1022" s="418"/>
      <c r="AK1022" s="418"/>
      <c r="AL1022" s="418"/>
      <c r="AM1022" s="418"/>
      <c r="AN1022" s="423"/>
      <c r="AO1022" s="423"/>
      <c r="AP1022" s="423"/>
      <c r="AQ1022" s="423"/>
      <c r="AR1022" s="423"/>
      <c r="AS1022" s="423"/>
      <c r="AT1022" s="423"/>
      <c r="AU1022" s="423"/>
      <c r="AV1022" s="423"/>
      <c r="AW1022" s="418"/>
      <c r="AX1022" s="418"/>
      <c r="AY1022" s="418"/>
      <c r="BB1022" s="306"/>
      <c r="BF1022" s="1119"/>
      <c r="BG1022" s="1119"/>
      <c r="BH1022" s="1119"/>
    </row>
    <row r="1023" spans="1:60" ht="15.75" customHeight="1">
      <c r="A1023" s="415"/>
      <c r="B1023" s="416"/>
      <c r="C1023" s="424"/>
      <c r="E1023" s="418"/>
      <c r="F1023" s="419"/>
      <c r="G1023" s="420"/>
      <c r="H1023" s="421"/>
      <c r="I1023" s="421"/>
      <c r="J1023" s="492"/>
      <c r="K1023" s="418"/>
      <c r="L1023" s="418"/>
      <c r="M1023" s="418"/>
      <c r="N1023" s="421"/>
      <c r="O1023" s="421"/>
      <c r="P1023" s="421"/>
      <c r="Q1023" s="418"/>
      <c r="R1023" s="418"/>
      <c r="S1023" s="418"/>
      <c r="T1023" s="418"/>
      <c r="U1023" s="418"/>
      <c r="V1023" s="418"/>
      <c r="W1023" s="418"/>
      <c r="X1023" s="418"/>
      <c r="Y1023" s="418"/>
      <c r="Z1023" s="418"/>
      <c r="AA1023" s="418"/>
      <c r="AB1023" s="418"/>
      <c r="AC1023" s="418"/>
      <c r="AD1023" s="418"/>
      <c r="AE1023" s="418"/>
      <c r="AF1023" s="418"/>
      <c r="AG1023" s="418"/>
      <c r="AH1023" s="418"/>
      <c r="AI1023" s="418"/>
      <c r="AJ1023" s="418"/>
      <c r="AK1023" s="418"/>
      <c r="AL1023" s="418"/>
      <c r="AM1023" s="418"/>
      <c r="AN1023" s="423"/>
      <c r="AO1023" s="423"/>
      <c r="AP1023" s="423"/>
      <c r="AQ1023" s="423"/>
      <c r="AR1023" s="423"/>
      <c r="AS1023" s="423"/>
      <c r="AT1023" s="423"/>
      <c r="AU1023" s="423"/>
      <c r="AV1023" s="423"/>
      <c r="AW1023" s="418"/>
      <c r="AX1023" s="418"/>
      <c r="AY1023" s="418"/>
      <c r="BB1023" s="306"/>
      <c r="BF1023" s="1119"/>
      <c r="BG1023" s="1119"/>
      <c r="BH1023" s="1119"/>
    </row>
    <row r="1024" spans="1:60" ht="15.75" customHeight="1">
      <c r="A1024" s="415"/>
      <c r="B1024" s="416"/>
      <c r="C1024" s="424"/>
      <c r="E1024" s="418"/>
      <c r="F1024" s="419"/>
      <c r="G1024" s="420"/>
      <c r="H1024" s="421"/>
      <c r="I1024" s="421"/>
      <c r="J1024" s="492"/>
      <c r="K1024" s="418"/>
      <c r="L1024" s="418"/>
      <c r="M1024" s="418"/>
      <c r="N1024" s="421"/>
      <c r="O1024" s="421"/>
      <c r="P1024" s="421"/>
      <c r="Q1024" s="418"/>
      <c r="R1024" s="418"/>
      <c r="S1024" s="418"/>
      <c r="T1024" s="418"/>
      <c r="U1024" s="418"/>
      <c r="V1024" s="418"/>
      <c r="W1024" s="418"/>
      <c r="X1024" s="418"/>
      <c r="Y1024" s="418"/>
      <c r="Z1024" s="418"/>
      <c r="AA1024" s="418"/>
      <c r="AB1024" s="418"/>
      <c r="AC1024" s="418"/>
      <c r="AD1024" s="418"/>
      <c r="AE1024" s="418"/>
      <c r="AF1024" s="418"/>
      <c r="AG1024" s="418"/>
      <c r="AH1024" s="418"/>
      <c r="AI1024" s="418"/>
      <c r="AJ1024" s="418"/>
      <c r="AK1024" s="418"/>
      <c r="AL1024" s="418"/>
      <c r="AM1024" s="418"/>
      <c r="AN1024" s="423"/>
      <c r="AO1024" s="423"/>
      <c r="AP1024" s="423"/>
      <c r="AQ1024" s="423"/>
      <c r="AR1024" s="423"/>
      <c r="AS1024" s="423"/>
      <c r="AT1024" s="423"/>
      <c r="AU1024" s="423"/>
      <c r="AV1024" s="423"/>
      <c r="AW1024" s="418"/>
      <c r="AX1024" s="418"/>
      <c r="AY1024" s="418"/>
      <c r="BB1024" s="306"/>
      <c r="BF1024" s="1119"/>
      <c r="BG1024" s="1119"/>
      <c r="BH1024" s="1119"/>
    </row>
    <row r="1025" spans="1:60" ht="15.75" customHeight="1">
      <c r="A1025" s="415"/>
      <c r="B1025" s="416"/>
      <c r="C1025" s="424"/>
      <c r="E1025" s="418"/>
      <c r="F1025" s="419"/>
      <c r="G1025" s="420"/>
      <c r="H1025" s="421"/>
      <c r="I1025" s="421"/>
      <c r="J1025" s="492"/>
      <c r="K1025" s="418"/>
      <c r="L1025" s="418"/>
      <c r="M1025" s="418"/>
      <c r="N1025" s="421"/>
      <c r="O1025" s="418"/>
      <c r="P1025" s="421"/>
      <c r="Q1025" s="418"/>
      <c r="R1025" s="418"/>
      <c r="S1025" s="418"/>
      <c r="T1025" s="418"/>
      <c r="U1025" s="418"/>
      <c r="V1025" s="418"/>
      <c r="W1025" s="418"/>
      <c r="X1025" s="418"/>
      <c r="Y1025" s="418"/>
      <c r="Z1025" s="418"/>
      <c r="AA1025" s="418"/>
      <c r="AB1025" s="418"/>
      <c r="AC1025" s="418"/>
      <c r="AD1025" s="418"/>
      <c r="AE1025" s="418"/>
      <c r="AF1025" s="418"/>
      <c r="AG1025" s="418"/>
      <c r="AH1025" s="418"/>
      <c r="AI1025" s="418"/>
      <c r="AJ1025" s="418"/>
      <c r="AK1025" s="418"/>
      <c r="AL1025" s="418"/>
      <c r="AM1025" s="418"/>
      <c r="AN1025" s="423"/>
      <c r="AO1025" s="423"/>
      <c r="AP1025" s="423"/>
      <c r="AQ1025" s="423"/>
      <c r="AR1025" s="423"/>
      <c r="AS1025" s="423"/>
      <c r="AT1025" s="423"/>
      <c r="AU1025" s="423"/>
      <c r="AV1025" s="423"/>
      <c r="AW1025" s="418"/>
      <c r="AX1025" s="418"/>
      <c r="AY1025" s="418"/>
      <c r="BB1025" s="306"/>
      <c r="BF1025" s="1119"/>
      <c r="BG1025" s="1119"/>
      <c r="BH1025" s="1119"/>
    </row>
    <row r="1026" spans="1:60" ht="15.75" customHeight="1">
      <c r="A1026" s="415"/>
      <c r="B1026" s="416"/>
      <c r="C1026" s="424"/>
      <c r="E1026" s="418"/>
      <c r="F1026" s="419"/>
      <c r="G1026" s="420"/>
      <c r="H1026" s="421"/>
      <c r="I1026" s="421"/>
      <c r="J1026" s="492"/>
      <c r="K1026" s="418"/>
      <c r="L1026" s="418"/>
      <c r="M1026" s="418"/>
      <c r="N1026" s="421"/>
      <c r="O1026" s="418"/>
      <c r="P1026" s="421"/>
      <c r="Q1026" s="418"/>
      <c r="R1026" s="418"/>
      <c r="S1026" s="418"/>
      <c r="T1026" s="418"/>
      <c r="U1026" s="418"/>
      <c r="V1026" s="418"/>
      <c r="W1026" s="418"/>
      <c r="X1026" s="418"/>
      <c r="Y1026" s="418"/>
      <c r="Z1026" s="418"/>
      <c r="AA1026" s="418"/>
      <c r="AB1026" s="418"/>
      <c r="AC1026" s="418"/>
      <c r="AD1026" s="418"/>
      <c r="AE1026" s="418"/>
      <c r="AF1026" s="418"/>
      <c r="AG1026" s="418"/>
      <c r="AH1026" s="418"/>
      <c r="AI1026" s="418"/>
      <c r="AJ1026" s="418"/>
      <c r="AK1026" s="418"/>
      <c r="AL1026" s="418"/>
      <c r="AM1026" s="418"/>
      <c r="AN1026" s="423"/>
      <c r="AO1026" s="423"/>
      <c r="AP1026" s="423"/>
      <c r="AQ1026" s="423"/>
      <c r="AR1026" s="423"/>
      <c r="AS1026" s="423"/>
      <c r="AT1026" s="423"/>
      <c r="AU1026" s="423"/>
      <c r="AV1026" s="423"/>
      <c r="AW1026" s="418"/>
      <c r="AX1026" s="418"/>
      <c r="AY1026" s="418"/>
      <c r="BB1026" s="306"/>
      <c r="BF1026" s="1119"/>
      <c r="BG1026" s="1119"/>
      <c r="BH1026" s="1119"/>
    </row>
    <row r="1027" spans="1:60" ht="15.75" customHeight="1">
      <c r="A1027" s="415"/>
      <c r="B1027" s="416"/>
      <c r="C1027" s="424"/>
      <c r="E1027" s="418"/>
      <c r="F1027" s="419"/>
      <c r="G1027" s="420"/>
      <c r="H1027" s="421"/>
      <c r="I1027" s="421"/>
      <c r="J1027" s="492"/>
      <c r="K1027" s="418"/>
      <c r="L1027" s="418"/>
      <c r="M1027" s="418"/>
      <c r="N1027" s="421"/>
      <c r="O1027" s="421"/>
      <c r="P1027" s="421"/>
      <c r="Q1027" s="418"/>
      <c r="R1027" s="418"/>
      <c r="S1027" s="418"/>
      <c r="T1027" s="418"/>
      <c r="U1027" s="418"/>
      <c r="V1027" s="418"/>
      <c r="W1027" s="418"/>
      <c r="X1027" s="418"/>
      <c r="Y1027" s="418"/>
      <c r="Z1027" s="418"/>
      <c r="AA1027" s="418"/>
      <c r="AB1027" s="418"/>
      <c r="AC1027" s="418"/>
      <c r="AD1027" s="418"/>
      <c r="AE1027" s="418"/>
      <c r="AF1027" s="418"/>
      <c r="AG1027" s="418"/>
      <c r="AH1027" s="418"/>
      <c r="AI1027" s="418"/>
      <c r="AJ1027" s="418"/>
      <c r="AK1027" s="418"/>
      <c r="AL1027" s="418"/>
      <c r="AM1027" s="418"/>
      <c r="AN1027" s="423"/>
      <c r="AO1027" s="423"/>
      <c r="AP1027" s="423"/>
      <c r="AQ1027" s="423"/>
      <c r="AR1027" s="423"/>
      <c r="AS1027" s="423"/>
      <c r="AT1027" s="423"/>
      <c r="AU1027" s="423"/>
      <c r="AV1027" s="423"/>
      <c r="AW1027" s="418"/>
      <c r="AX1027" s="418"/>
      <c r="AY1027" s="418"/>
      <c r="BB1027" s="306"/>
      <c r="BF1027" s="1119"/>
      <c r="BG1027" s="1119"/>
      <c r="BH1027" s="1119"/>
    </row>
    <row r="1028" spans="1:60" ht="15.75" customHeight="1">
      <c r="A1028" s="415"/>
      <c r="B1028" s="416"/>
      <c r="C1028" s="424"/>
      <c r="E1028" s="418"/>
      <c r="F1028" s="419"/>
      <c r="G1028" s="420"/>
      <c r="H1028" s="421"/>
      <c r="I1028" s="421"/>
      <c r="J1028" s="492"/>
      <c r="K1028" s="418"/>
      <c r="L1028" s="418"/>
      <c r="M1028" s="418"/>
      <c r="N1028" s="421"/>
      <c r="O1028" s="421"/>
      <c r="P1028" s="421"/>
      <c r="Q1028" s="418"/>
      <c r="R1028" s="418"/>
      <c r="S1028" s="418"/>
      <c r="T1028" s="418"/>
      <c r="U1028" s="418"/>
      <c r="V1028" s="418"/>
      <c r="W1028" s="418"/>
      <c r="X1028" s="418"/>
      <c r="Y1028" s="418"/>
      <c r="Z1028" s="418"/>
      <c r="AA1028" s="418"/>
      <c r="AB1028" s="418"/>
      <c r="AC1028" s="418"/>
      <c r="AD1028" s="418"/>
      <c r="AE1028" s="418"/>
      <c r="AF1028" s="418"/>
      <c r="AG1028" s="418"/>
      <c r="AH1028" s="418"/>
      <c r="AI1028" s="418"/>
      <c r="AJ1028" s="418"/>
      <c r="AK1028" s="418"/>
      <c r="AL1028" s="418"/>
      <c r="AM1028" s="418"/>
      <c r="AN1028" s="423"/>
      <c r="AO1028" s="423"/>
      <c r="AP1028" s="423"/>
      <c r="AQ1028" s="423"/>
      <c r="AR1028" s="423"/>
      <c r="AS1028" s="423"/>
      <c r="AT1028" s="423"/>
      <c r="AU1028" s="423"/>
      <c r="AV1028" s="423"/>
      <c r="AW1028" s="418"/>
      <c r="AX1028" s="418"/>
      <c r="AY1028" s="418"/>
      <c r="BB1028" s="306"/>
      <c r="BF1028" s="1119"/>
      <c r="BG1028" s="1119"/>
      <c r="BH1028" s="1119"/>
    </row>
    <row r="1029" spans="1:60" ht="15.75" customHeight="1">
      <c r="A1029" s="415"/>
      <c r="B1029" s="416"/>
      <c r="C1029" s="424"/>
      <c r="E1029" s="418"/>
      <c r="F1029" s="419"/>
      <c r="G1029" s="420"/>
      <c r="H1029" s="421"/>
      <c r="I1029" s="421"/>
      <c r="J1029" s="492"/>
      <c r="K1029" s="418"/>
      <c r="L1029" s="418"/>
      <c r="M1029" s="418"/>
      <c r="N1029" s="421"/>
      <c r="O1029" s="421"/>
      <c r="P1029" s="421"/>
      <c r="Q1029" s="418"/>
      <c r="R1029" s="418"/>
      <c r="S1029" s="418"/>
      <c r="T1029" s="418"/>
      <c r="U1029" s="418"/>
      <c r="V1029" s="418"/>
      <c r="W1029" s="418"/>
      <c r="X1029" s="418"/>
      <c r="Y1029" s="418"/>
      <c r="Z1029" s="418"/>
      <c r="AA1029" s="418"/>
      <c r="AB1029" s="418"/>
      <c r="AC1029" s="418"/>
      <c r="AD1029" s="418"/>
      <c r="AE1029" s="418"/>
      <c r="AF1029" s="418"/>
      <c r="AG1029" s="418"/>
      <c r="AH1029" s="418"/>
      <c r="AI1029" s="418"/>
      <c r="AJ1029" s="418"/>
      <c r="AK1029" s="418"/>
      <c r="AL1029" s="418"/>
      <c r="AM1029" s="418"/>
      <c r="AN1029" s="423"/>
      <c r="AO1029" s="423"/>
      <c r="AP1029" s="423"/>
      <c r="AQ1029" s="423"/>
      <c r="AR1029" s="423"/>
      <c r="AS1029" s="423"/>
      <c r="AT1029" s="423"/>
      <c r="AU1029" s="423"/>
      <c r="AV1029" s="423"/>
      <c r="AW1029" s="418"/>
      <c r="AX1029" s="418"/>
      <c r="AY1029" s="418"/>
      <c r="BB1029" s="306"/>
      <c r="BF1029" s="1119"/>
      <c r="BG1029" s="1119"/>
      <c r="BH1029" s="1119"/>
    </row>
    <row r="1030" spans="1:60" ht="15.75" customHeight="1">
      <c r="A1030" s="415"/>
      <c r="B1030" s="416"/>
      <c r="C1030" s="424"/>
      <c r="E1030" s="418"/>
      <c r="F1030" s="419"/>
      <c r="G1030" s="420"/>
      <c r="H1030" s="421"/>
      <c r="I1030" s="421"/>
      <c r="J1030" s="492"/>
      <c r="K1030" s="418"/>
      <c r="L1030" s="418"/>
      <c r="M1030" s="418"/>
      <c r="N1030" s="421"/>
      <c r="O1030" s="421"/>
      <c r="P1030" s="421"/>
      <c r="Q1030" s="418"/>
      <c r="R1030" s="418"/>
      <c r="S1030" s="418"/>
      <c r="T1030" s="418"/>
      <c r="U1030" s="418"/>
      <c r="V1030" s="418"/>
      <c r="W1030" s="418"/>
      <c r="X1030" s="418"/>
      <c r="Y1030" s="418"/>
      <c r="Z1030" s="418"/>
      <c r="AA1030" s="418"/>
      <c r="AB1030" s="418"/>
      <c r="AC1030" s="418"/>
      <c r="AD1030" s="418"/>
      <c r="AE1030" s="418"/>
      <c r="AF1030" s="418"/>
      <c r="AG1030" s="418"/>
      <c r="AH1030" s="418"/>
      <c r="AI1030" s="418"/>
      <c r="AJ1030" s="418"/>
      <c r="AK1030" s="418"/>
      <c r="AL1030" s="418"/>
      <c r="AM1030" s="418"/>
      <c r="AN1030" s="423"/>
      <c r="AO1030" s="423"/>
      <c r="AP1030" s="423"/>
      <c r="AQ1030" s="423"/>
      <c r="AR1030" s="423"/>
      <c r="AS1030" s="423"/>
      <c r="AT1030" s="423"/>
      <c r="AU1030" s="423"/>
      <c r="AV1030" s="423"/>
      <c r="AW1030" s="418"/>
      <c r="AX1030" s="418"/>
      <c r="AY1030" s="418"/>
      <c r="BB1030" s="306"/>
      <c r="BF1030" s="1119"/>
      <c r="BG1030" s="1119"/>
      <c r="BH1030" s="1119"/>
    </row>
    <row r="1031" spans="1:60" ht="15.75" customHeight="1">
      <c r="A1031" s="415"/>
      <c r="B1031" s="416"/>
      <c r="C1031" s="424"/>
      <c r="E1031" s="418"/>
      <c r="F1031" s="419"/>
      <c r="G1031" s="420"/>
      <c r="H1031" s="421"/>
      <c r="I1031" s="421"/>
      <c r="J1031" s="492"/>
      <c r="K1031" s="418"/>
      <c r="L1031" s="418"/>
      <c r="M1031" s="418"/>
      <c r="N1031" s="421"/>
      <c r="O1031" s="421"/>
      <c r="P1031" s="421"/>
      <c r="Q1031" s="418"/>
      <c r="R1031" s="418"/>
      <c r="S1031" s="418"/>
      <c r="T1031" s="418"/>
      <c r="U1031" s="418"/>
      <c r="V1031" s="418"/>
      <c r="W1031" s="418"/>
      <c r="X1031" s="418"/>
      <c r="Y1031" s="418"/>
      <c r="Z1031" s="418"/>
      <c r="AA1031" s="418"/>
      <c r="AB1031" s="418"/>
      <c r="AC1031" s="418"/>
      <c r="AD1031" s="418"/>
      <c r="AE1031" s="418"/>
      <c r="AF1031" s="418"/>
      <c r="AG1031" s="418"/>
      <c r="AH1031" s="418"/>
      <c r="AI1031" s="418"/>
      <c r="AJ1031" s="418"/>
      <c r="AK1031" s="418"/>
      <c r="AL1031" s="418"/>
      <c r="AM1031" s="418"/>
      <c r="AN1031" s="423"/>
      <c r="AO1031" s="423"/>
      <c r="AP1031" s="423"/>
      <c r="AQ1031" s="423"/>
      <c r="AR1031" s="423"/>
      <c r="AS1031" s="423"/>
      <c r="AT1031" s="423"/>
      <c r="AU1031" s="423"/>
      <c r="AV1031" s="423"/>
      <c r="AW1031" s="418"/>
      <c r="AX1031" s="418"/>
      <c r="AY1031" s="418"/>
      <c r="BB1031" s="306"/>
      <c r="BF1031" s="1119"/>
      <c r="BG1031" s="1119"/>
      <c r="BH1031" s="1119"/>
    </row>
    <row r="1032" spans="1:60" ht="15.75" customHeight="1">
      <c r="A1032" s="415"/>
      <c r="B1032" s="416"/>
      <c r="C1032" s="424"/>
      <c r="E1032" s="418"/>
      <c r="F1032" s="419"/>
      <c r="G1032" s="420"/>
      <c r="H1032" s="421"/>
      <c r="I1032" s="421"/>
      <c r="J1032" s="492"/>
      <c r="K1032" s="418"/>
      <c r="L1032" s="418"/>
      <c r="M1032" s="418"/>
      <c r="N1032" s="421"/>
      <c r="O1032" s="421"/>
      <c r="P1032" s="421"/>
      <c r="Q1032" s="418"/>
      <c r="R1032" s="418"/>
      <c r="S1032" s="418"/>
      <c r="T1032" s="418"/>
      <c r="U1032" s="418"/>
      <c r="V1032" s="418"/>
      <c r="W1032" s="418"/>
      <c r="X1032" s="418"/>
      <c r="Y1032" s="418"/>
      <c r="Z1032" s="418"/>
      <c r="AA1032" s="418"/>
      <c r="AB1032" s="418"/>
      <c r="AC1032" s="418"/>
      <c r="AD1032" s="418"/>
      <c r="AE1032" s="418"/>
      <c r="AF1032" s="418"/>
      <c r="AG1032" s="418"/>
      <c r="AH1032" s="418"/>
      <c r="AI1032" s="418"/>
      <c r="AJ1032" s="418"/>
      <c r="AK1032" s="418"/>
      <c r="AL1032" s="419"/>
      <c r="AM1032" s="418"/>
      <c r="AN1032" s="423"/>
      <c r="AO1032" s="423"/>
      <c r="AP1032" s="423"/>
      <c r="AQ1032" s="423"/>
      <c r="AR1032" s="423"/>
      <c r="AS1032" s="423"/>
      <c r="AT1032" s="423"/>
      <c r="AU1032" s="423"/>
      <c r="AV1032" s="423"/>
      <c r="AW1032" s="419"/>
      <c r="AX1032" s="419"/>
      <c r="AY1032" s="419"/>
      <c r="AZ1032" s="419"/>
      <c r="BA1032" s="419"/>
      <c r="BB1032" s="306"/>
      <c r="BF1032" s="1119"/>
      <c r="BG1032" s="1119"/>
      <c r="BH1032" s="1119"/>
    </row>
    <row r="1033" spans="1:60" ht="15.75" customHeight="1">
      <c r="A1033" s="415"/>
      <c r="B1033" s="416"/>
      <c r="C1033" s="424"/>
      <c r="E1033" s="418"/>
      <c r="F1033" s="419"/>
      <c r="G1033" s="420"/>
      <c r="H1033" s="421"/>
      <c r="I1033" s="421"/>
      <c r="J1033" s="492"/>
      <c r="K1033" s="418"/>
      <c r="L1033" s="418"/>
      <c r="M1033" s="418"/>
      <c r="N1033" s="421"/>
      <c r="O1033" s="421"/>
      <c r="P1033" s="421"/>
      <c r="Q1033" s="418"/>
      <c r="R1033" s="418"/>
      <c r="S1033" s="418"/>
      <c r="T1033" s="418"/>
      <c r="U1033" s="418"/>
      <c r="V1033" s="418"/>
      <c r="W1033" s="418"/>
      <c r="X1033" s="418"/>
      <c r="Y1033" s="418"/>
      <c r="Z1033" s="418"/>
      <c r="AA1033" s="418"/>
      <c r="AB1033" s="418"/>
      <c r="AC1033" s="418"/>
      <c r="AD1033" s="418"/>
      <c r="AE1033" s="418"/>
      <c r="AF1033" s="418"/>
      <c r="AG1033" s="418"/>
      <c r="AH1033" s="418"/>
      <c r="AI1033" s="418"/>
      <c r="AJ1033" s="418"/>
      <c r="AK1033" s="418"/>
      <c r="AL1033" s="419"/>
      <c r="AM1033" s="418"/>
      <c r="AN1033" s="423"/>
      <c r="AO1033" s="423"/>
      <c r="AP1033" s="423"/>
      <c r="AQ1033" s="423"/>
      <c r="AR1033" s="423"/>
      <c r="AS1033" s="423"/>
      <c r="AT1033" s="423"/>
      <c r="AU1033" s="423"/>
      <c r="AV1033" s="423"/>
      <c r="AW1033" s="419"/>
      <c r="AX1033" s="419"/>
      <c r="AY1033" s="419"/>
      <c r="AZ1033" s="419"/>
      <c r="BA1033" s="419"/>
      <c r="BB1033" s="306"/>
      <c r="BF1033" s="1119"/>
      <c r="BG1033" s="1119"/>
      <c r="BH1033" s="1119"/>
    </row>
    <row r="1034" spans="1:60" ht="15.75" customHeight="1">
      <c r="A1034" s="415"/>
      <c r="B1034" s="416"/>
      <c r="C1034" s="424"/>
      <c r="E1034" s="418"/>
      <c r="F1034" s="419"/>
      <c r="G1034" s="420"/>
      <c r="H1034" s="421"/>
      <c r="I1034" s="425"/>
      <c r="J1034" s="492"/>
      <c r="K1034" s="418"/>
      <c r="L1034" s="418"/>
      <c r="M1034" s="418"/>
      <c r="N1034" s="421"/>
      <c r="O1034" s="421"/>
      <c r="P1034" s="421"/>
      <c r="Q1034" s="418"/>
      <c r="R1034" s="418"/>
      <c r="S1034" s="418"/>
      <c r="T1034" s="418"/>
      <c r="U1034" s="418"/>
      <c r="V1034" s="418"/>
      <c r="W1034" s="418"/>
      <c r="X1034" s="418"/>
      <c r="Y1034" s="418"/>
      <c r="Z1034" s="418"/>
      <c r="AA1034" s="418"/>
      <c r="AB1034" s="418"/>
      <c r="AC1034" s="418"/>
      <c r="AD1034" s="418"/>
      <c r="AE1034" s="418"/>
      <c r="AF1034" s="418"/>
      <c r="AG1034" s="418"/>
      <c r="AH1034" s="418"/>
      <c r="AI1034" s="418"/>
      <c r="AJ1034" s="418"/>
      <c r="AK1034" s="418"/>
      <c r="AL1034" s="419"/>
      <c r="AM1034" s="418"/>
      <c r="AN1034" s="423"/>
      <c r="AO1034" s="423"/>
      <c r="AP1034" s="423"/>
      <c r="AQ1034" s="423"/>
      <c r="AR1034" s="423"/>
      <c r="AS1034" s="423"/>
      <c r="AT1034" s="423"/>
      <c r="AU1034" s="423"/>
      <c r="AV1034" s="423"/>
      <c r="AW1034" s="419"/>
      <c r="AX1034" s="419"/>
      <c r="AY1034" s="419"/>
      <c r="AZ1034" s="419"/>
      <c r="BA1034" s="419"/>
      <c r="BB1034" s="306"/>
      <c r="BF1034" s="1119"/>
      <c r="BG1034" s="1119"/>
      <c r="BH1034" s="1119"/>
    </row>
    <row r="1035" spans="1:60" ht="15.75" customHeight="1">
      <c r="A1035" s="415"/>
      <c r="B1035" s="416"/>
      <c r="C1035" s="424"/>
      <c r="E1035" s="418"/>
      <c r="F1035" s="419"/>
      <c r="G1035" s="420"/>
      <c r="H1035" s="421"/>
      <c r="I1035" s="421"/>
      <c r="J1035" s="492"/>
      <c r="K1035" s="418"/>
      <c r="L1035" s="418"/>
      <c r="M1035" s="418"/>
      <c r="N1035" s="421"/>
      <c r="O1035" s="421"/>
      <c r="P1035" s="421"/>
      <c r="Q1035" s="418"/>
      <c r="R1035" s="418"/>
      <c r="S1035" s="418"/>
      <c r="T1035" s="418"/>
      <c r="U1035" s="418"/>
      <c r="V1035" s="418"/>
      <c r="W1035" s="418"/>
      <c r="X1035" s="418"/>
      <c r="Y1035" s="418"/>
      <c r="Z1035" s="418"/>
      <c r="AA1035" s="418"/>
      <c r="AB1035" s="418"/>
      <c r="AC1035" s="418"/>
      <c r="AD1035" s="418"/>
      <c r="AE1035" s="418"/>
      <c r="AF1035" s="418"/>
      <c r="AG1035" s="418"/>
      <c r="AH1035" s="418"/>
      <c r="AI1035" s="418"/>
      <c r="AJ1035" s="418"/>
      <c r="AK1035" s="418"/>
      <c r="AL1035" s="419"/>
      <c r="AM1035" s="418"/>
      <c r="AN1035" s="423"/>
      <c r="AO1035" s="423"/>
      <c r="AP1035" s="423"/>
      <c r="AQ1035" s="423"/>
      <c r="AR1035" s="423"/>
      <c r="AS1035" s="423"/>
      <c r="AT1035" s="423"/>
      <c r="AU1035" s="423"/>
      <c r="AV1035" s="423"/>
      <c r="AW1035" s="419"/>
      <c r="AX1035" s="419"/>
      <c r="AY1035" s="419"/>
      <c r="AZ1035" s="419"/>
      <c r="BA1035" s="419"/>
      <c r="BB1035" s="306"/>
      <c r="BF1035" s="1119"/>
      <c r="BG1035" s="1119"/>
      <c r="BH1035" s="1119"/>
    </row>
    <row r="1036" spans="1:60" ht="15.75" customHeight="1">
      <c r="A1036" s="415"/>
      <c r="B1036" s="416"/>
      <c r="C1036" s="424"/>
      <c r="E1036" s="418"/>
      <c r="F1036" s="419"/>
      <c r="G1036" s="420"/>
      <c r="H1036" s="421"/>
      <c r="I1036" s="421"/>
      <c r="J1036" s="492"/>
      <c r="K1036" s="418"/>
      <c r="L1036" s="418"/>
      <c r="M1036" s="418"/>
      <c r="N1036" s="421"/>
      <c r="O1036" s="421"/>
      <c r="P1036" s="421"/>
      <c r="Q1036" s="418"/>
      <c r="R1036" s="418"/>
      <c r="S1036" s="418"/>
      <c r="T1036" s="418"/>
      <c r="U1036" s="418"/>
      <c r="V1036" s="418"/>
      <c r="W1036" s="418"/>
      <c r="X1036" s="418"/>
      <c r="Y1036" s="418"/>
      <c r="Z1036" s="418"/>
      <c r="AA1036" s="418"/>
      <c r="AB1036" s="418"/>
      <c r="AC1036" s="418"/>
      <c r="AD1036" s="418"/>
      <c r="AE1036" s="418"/>
      <c r="AF1036" s="418"/>
      <c r="AG1036" s="418"/>
      <c r="AH1036" s="418"/>
      <c r="AI1036" s="418"/>
      <c r="AJ1036" s="418"/>
      <c r="AK1036" s="418"/>
      <c r="AL1036" s="419"/>
      <c r="AM1036" s="418"/>
      <c r="AN1036" s="423"/>
      <c r="AO1036" s="423"/>
      <c r="AP1036" s="423"/>
      <c r="AQ1036" s="423"/>
      <c r="AR1036" s="423"/>
      <c r="AS1036" s="423"/>
      <c r="AT1036" s="423"/>
      <c r="AU1036" s="423"/>
      <c r="AV1036" s="423"/>
      <c r="AW1036" s="419"/>
      <c r="AX1036" s="419"/>
      <c r="AY1036" s="419"/>
      <c r="AZ1036" s="419"/>
      <c r="BA1036" s="419"/>
      <c r="BB1036" s="306"/>
      <c r="BF1036" s="1119"/>
      <c r="BG1036" s="1119"/>
      <c r="BH1036" s="1119"/>
    </row>
    <row r="1037" spans="1:60" ht="15.75" customHeight="1">
      <c r="A1037" s="415"/>
      <c r="B1037" s="416"/>
      <c r="C1037" s="424"/>
      <c r="E1037" s="418"/>
      <c r="F1037" s="419"/>
      <c r="G1037" s="420"/>
      <c r="H1037" s="421"/>
      <c r="I1037" s="425"/>
      <c r="J1037" s="492"/>
      <c r="K1037" s="418"/>
      <c r="L1037" s="418"/>
      <c r="M1037" s="418"/>
      <c r="N1037" s="421"/>
      <c r="O1037" s="421"/>
      <c r="P1037" s="421"/>
      <c r="Q1037" s="418"/>
      <c r="R1037" s="418"/>
      <c r="S1037" s="418"/>
      <c r="T1037" s="418"/>
      <c r="U1037" s="418"/>
      <c r="V1037" s="418"/>
      <c r="W1037" s="418"/>
      <c r="X1037" s="418"/>
      <c r="Y1037" s="418"/>
      <c r="Z1037" s="418"/>
      <c r="AA1037" s="418"/>
      <c r="AB1037" s="418"/>
      <c r="AC1037" s="418"/>
      <c r="AD1037" s="418"/>
      <c r="AE1037" s="418"/>
      <c r="AF1037" s="418"/>
      <c r="AG1037" s="418"/>
      <c r="AH1037" s="418"/>
      <c r="AI1037" s="418"/>
      <c r="AJ1037" s="418"/>
      <c r="AK1037" s="418"/>
      <c r="AL1037" s="419"/>
      <c r="AM1037" s="418"/>
      <c r="AN1037" s="423"/>
      <c r="AO1037" s="423"/>
      <c r="AP1037" s="423"/>
      <c r="AQ1037" s="423"/>
      <c r="AR1037" s="423"/>
      <c r="AS1037" s="423"/>
      <c r="AT1037" s="423"/>
      <c r="AU1037" s="423"/>
      <c r="AV1037" s="423"/>
      <c r="AW1037" s="419"/>
      <c r="AX1037" s="419"/>
      <c r="AY1037" s="419"/>
      <c r="AZ1037" s="419"/>
      <c r="BA1037" s="419"/>
      <c r="BB1037" s="306"/>
      <c r="BF1037" s="1119"/>
      <c r="BG1037" s="1119"/>
      <c r="BH1037" s="1119"/>
    </row>
    <row r="1038" spans="1:60" ht="15.75" customHeight="1">
      <c r="A1038" s="415"/>
      <c r="B1038" s="416"/>
      <c r="C1038" s="424"/>
      <c r="E1038" s="418"/>
      <c r="F1038" s="419"/>
      <c r="G1038" s="420"/>
      <c r="H1038" s="421"/>
      <c r="I1038" s="421"/>
      <c r="J1038" s="492"/>
      <c r="K1038" s="418"/>
      <c r="L1038" s="418"/>
      <c r="M1038" s="418"/>
      <c r="N1038" s="421"/>
      <c r="O1038" s="421"/>
      <c r="P1038" s="421"/>
      <c r="Q1038" s="418"/>
      <c r="R1038" s="418"/>
      <c r="S1038" s="418"/>
      <c r="T1038" s="418"/>
      <c r="U1038" s="418"/>
      <c r="V1038" s="418"/>
      <c r="W1038" s="418"/>
      <c r="X1038" s="418"/>
      <c r="Y1038" s="418"/>
      <c r="Z1038" s="418"/>
      <c r="AA1038" s="418"/>
      <c r="AB1038" s="418"/>
      <c r="AC1038" s="418"/>
      <c r="AD1038" s="418"/>
      <c r="AE1038" s="418"/>
      <c r="AF1038" s="418"/>
      <c r="AG1038" s="418"/>
      <c r="AH1038" s="418"/>
      <c r="AI1038" s="418"/>
      <c r="AJ1038" s="418"/>
      <c r="AK1038" s="418"/>
      <c r="AL1038" s="419"/>
      <c r="AM1038" s="418"/>
      <c r="AN1038" s="423"/>
      <c r="AO1038" s="423"/>
      <c r="AP1038" s="423"/>
      <c r="AQ1038" s="423"/>
      <c r="AR1038" s="423"/>
      <c r="AS1038" s="423"/>
      <c r="AT1038" s="423"/>
      <c r="AU1038" s="423"/>
      <c r="AV1038" s="423"/>
      <c r="AW1038" s="419"/>
      <c r="AX1038" s="419"/>
      <c r="AY1038" s="419"/>
      <c r="AZ1038" s="419"/>
      <c r="BA1038" s="419"/>
      <c r="BB1038" s="306"/>
      <c r="BF1038" s="1119"/>
      <c r="BG1038" s="1119"/>
      <c r="BH1038" s="1119"/>
    </row>
    <row r="1039" spans="1:60" ht="15.75" customHeight="1">
      <c r="A1039" s="415"/>
      <c r="B1039" s="416"/>
      <c r="C1039" s="424"/>
      <c r="E1039" s="418"/>
      <c r="F1039" s="419"/>
      <c r="G1039" s="420"/>
      <c r="H1039" s="421"/>
      <c r="I1039" s="425"/>
      <c r="J1039" s="492"/>
      <c r="K1039" s="418"/>
      <c r="L1039" s="418"/>
      <c r="M1039" s="418"/>
      <c r="N1039" s="421"/>
      <c r="O1039" s="421"/>
      <c r="P1039" s="421"/>
      <c r="Q1039" s="418"/>
      <c r="R1039" s="418"/>
      <c r="S1039" s="418"/>
      <c r="T1039" s="418"/>
      <c r="U1039" s="418"/>
      <c r="V1039" s="418"/>
      <c r="W1039" s="418"/>
      <c r="X1039" s="418"/>
      <c r="Y1039" s="418"/>
      <c r="Z1039" s="418"/>
      <c r="AA1039" s="418"/>
      <c r="AB1039" s="418"/>
      <c r="AC1039" s="418"/>
      <c r="AD1039" s="418"/>
      <c r="AE1039" s="418"/>
      <c r="AF1039" s="418"/>
      <c r="AG1039" s="418"/>
      <c r="AH1039" s="418"/>
      <c r="AI1039" s="418"/>
      <c r="AJ1039" s="418"/>
      <c r="AK1039" s="418"/>
      <c r="AL1039" s="419"/>
      <c r="AM1039" s="418"/>
      <c r="AN1039" s="423"/>
      <c r="AO1039" s="423"/>
      <c r="AP1039" s="423"/>
      <c r="AQ1039" s="423"/>
      <c r="AR1039" s="423"/>
      <c r="AS1039" s="423"/>
      <c r="AT1039" s="423"/>
      <c r="AU1039" s="423"/>
      <c r="AV1039" s="423"/>
      <c r="AW1039" s="419"/>
      <c r="AX1039" s="419"/>
      <c r="AY1039" s="419"/>
      <c r="AZ1039" s="419"/>
      <c r="BA1039" s="419"/>
      <c r="BB1039" s="306"/>
      <c r="BF1039" s="1119"/>
      <c r="BG1039" s="1119"/>
      <c r="BH1039" s="1119"/>
    </row>
    <row r="1040" spans="1:60" ht="15.75" customHeight="1">
      <c r="A1040" s="415"/>
      <c r="B1040" s="416"/>
      <c r="C1040" s="424"/>
      <c r="E1040" s="418"/>
      <c r="F1040" s="419"/>
      <c r="G1040" s="420"/>
      <c r="H1040" s="421"/>
      <c r="I1040" s="421"/>
      <c r="J1040" s="492"/>
      <c r="K1040" s="418"/>
      <c r="L1040" s="418"/>
      <c r="M1040" s="418"/>
      <c r="N1040" s="421"/>
      <c r="O1040" s="421"/>
      <c r="P1040" s="421"/>
      <c r="Q1040" s="418"/>
      <c r="R1040" s="418"/>
      <c r="S1040" s="418"/>
      <c r="T1040" s="418"/>
      <c r="U1040" s="418"/>
      <c r="V1040" s="418"/>
      <c r="W1040" s="418"/>
      <c r="X1040" s="418"/>
      <c r="Y1040" s="418"/>
      <c r="Z1040" s="418"/>
      <c r="AA1040" s="418"/>
      <c r="AB1040" s="418"/>
      <c r="AC1040" s="418"/>
      <c r="AD1040" s="418"/>
      <c r="AE1040" s="418"/>
      <c r="AF1040" s="418"/>
      <c r="AG1040" s="418"/>
      <c r="AH1040" s="418"/>
      <c r="AI1040" s="418"/>
      <c r="AJ1040" s="418"/>
      <c r="AK1040" s="418"/>
      <c r="AL1040" s="419"/>
      <c r="AM1040" s="418"/>
      <c r="AN1040" s="423"/>
      <c r="AO1040" s="423"/>
      <c r="AP1040" s="423"/>
      <c r="AQ1040" s="423"/>
      <c r="AR1040" s="423"/>
      <c r="AS1040" s="423"/>
      <c r="AT1040" s="423"/>
      <c r="AU1040" s="423"/>
      <c r="AV1040" s="423"/>
      <c r="AW1040" s="419"/>
      <c r="AX1040" s="419"/>
      <c r="AY1040" s="419"/>
      <c r="AZ1040" s="419"/>
      <c r="BA1040" s="419"/>
      <c r="BB1040" s="306"/>
      <c r="BF1040" s="1119"/>
      <c r="BG1040" s="1119"/>
      <c r="BH1040" s="1119"/>
    </row>
    <row r="1041" spans="1:60" ht="15.75" customHeight="1">
      <c r="A1041" s="415"/>
      <c r="B1041" s="416"/>
      <c r="C1041" s="424"/>
      <c r="E1041" s="418"/>
      <c r="F1041" s="419"/>
      <c r="G1041" s="420"/>
      <c r="H1041" s="421"/>
      <c r="I1041" s="421"/>
      <c r="J1041" s="492"/>
      <c r="K1041" s="418"/>
      <c r="L1041" s="418"/>
      <c r="M1041" s="418"/>
      <c r="N1041" s="421"/>
      <c r="O1041" s="421"/>
      <c r="P1041" s="421"/>
      <c r="Q1041" s="418"/>
      <c r="R1041" s="418"/>
      <c r="S1041" s="418"/>
      <c r="T1041" s="418"/>
      <c r="U1041" s="418"/>
      <c r="V1041" s="418"/>
      <c r="W1041" s="418"/>
      <c r="X1041" s="418"/>
      <c r="Y1041" s="418"/>
      <c r="Z1041" s="418"/>
      <c r="AA1041" s="418"/>
      <c r="AB1041" s="418"/>
      <c r="AC1041" s="418"/>
      <c r="AD1041" s="418"/>
      <c r="AE1041" s="418"/>
      <c r="AF1041" s="418"/>
      <c r="AG1041" s="418"/>
      <c r="AH1041" s="418"/>
      <c r="AI1041" s="418"/>
      <c r="AJ1041" s="418"/>
      <c r="AK1041" s="418"/>
      <c r="AL1041" s="419"/>
      <c r="AM1041" s="418"/>
      <c r="AN1041" s="423"/>
      <c r="AO1041" s="423"/>
      <c r="AP1041" s="423"/>
      <c r="AQ1041" s="423"/>
      <c r="AR1041" s="423"/>
      <c r="AS1041" s="423"/>
      <c r="AT1041" s="423"/>
      <c r="AU1041" s="423"/>
      <c r="AV1041" s="423"/>
      <c r="AW1041" s="419"/>
      <c r="AX1041" s="419"/>
      <c r="AY1041" s="419"/>
      <c r="AZ1041" s="419"/>
      <c r="BA1041" s="419"/>
      <c r="BB1041" s="306"/>
      <c r="BF1041" s="1119"/>
      <c r="BG1041" s="1119"/>
      <c r="BH1041" s="1119"/>
    </row>
    <row r="1042" spans="1:60" ht="15.75" customHeight="1">
      <c r="A1042" s="415"/>
      <c r="B1042" s="416"/>
      <c r="C1042" s="424"/>
      <c r="E1042" s="418"/>
      <c r="F1042" s="419"/>
      <c r="G1042" s="420"/>
      <c r="H1042" s="421"/>
      <c r="I1042" s="421"/>
      <c r="J1042" s="492"/>
      <c r="K1042" s="418"/>
      <c r="L1042" s="418"/>
      <c r="M1042" s="418"/>
      <c r="N1042" s="421"/>
      <c r="O1042" s="421"/>
      <c r="P1042" s="421"/>
      <c r="Q1042" s="418"/>
      <c r="R1042" s="418"/>
      <c r="S1042" s="418"/>
      <c r="T1042" s="418"/>
      <c r="U1042" s="418"/>
      <c r="V1042" s="418"/>
      <c r="W1042" s="418"/>
      <c r="X1042" s="418"/>
      <c r="Y1042" s="418"/>
      <c r="Z1042" s="418"/>
      <c r="AA1042" s="418"/>
      <c r="AB1042" s="418"/>
      <c r="AC1042" s="418"/>
      <c r="AD1042" s="418"/>
      <c r="AE1042" s="418"/>
      <c r="AF1042" s="418"/>
      <c r="AG1042" s="418"/>
      <c r="AH1042" s="418"/>
      <c r="AI1042" s="418"/>
      <c r="AJ1042" s="418"/>
      <c r="AK1042" s="418"/>
      <c r="AL1042" s="419"/>
      <c r="AM1042" s="418"/>
      <c r="AN1042" s="423"/>
      <c r="AO1042" s="423"/>
      <c r="AP1042" s="423"/>
      <c r="AQ1042" s="423"/>
      <c r="AR1042" s="423"/>
      <c r="AS1042" s="423"/>
      <c r="AT1042" s="423"/>
      <c r="AU1042" s="423"/>
      <c r="AV1042" s="423"/>
      <c r="AW1042" s="419"/>
      <c r="AX1042" s="419"/>
      <c r="AY1042" s="419"/>
      <c r="AZ1042" s="419"/>
      <c r="BA1042" s="419"/>
      <c r="BB1042" s="306"/>
      <c r="BF1042" s="1119"/>
      <c r="BG1042" s="1119"/>
      <c r="BH1042" s="1119"/>
    </row>
    <row r="1043" spans="1:60" ht="15.75" customHeight="1">
      <c r="A1043" s="415"/>
      <c r="B1043" s="416"/>
      <c r="C1043" s="424"/>
      <c r="E1043" s="418"/>
      <c r="F1043" s="419"/>
      <c r="G1043" s="420"/>
      <c r="H1043" s="421"/>
      <c r="I1043" s="421"/>
      <c r="J1043" s="492"/>
      <c r="K1043" s="418"/>
      <c r="L1043" s="418"/>
      <c r="M1043" s="418"/>
      <c r="N1043" s="421"/>
      <c r="O1043" s="421"/>
      <c r="P1043" s="421"/>
      <c r="Q1043" s="418"/>
      <c r="R1043" s="418"/>
      <c r="S1043" s="418"/>
      <c r="T1043" s="418"/>
      <c r="U1043" s="418"/>
      <c r="V1043" s="418"/>
      <c r="W1043" s="418"/>
      <c r="X1043" s="418"/>
      <c r="Y1043" s="418"/>
      <c r="Z1043" s="418"/>
      <c r="AA1043" s="418"/>
      <c r="AB1043" s="418"/>
      <c r="AC1043" s="418"/>
      <c r="AD1043" s="418"/>
      <c r="AE1043" s="418"/>
      <c r="AF1043" s="418"/>
      <c r="AG1043" s="418"/>
      <c r="AH1043" s="418"/>
      <c r="AI1043" s="418"/>
      <c r="AJ1043" s="418"/>
      <c r="AK1043" s="418"/>
      <c r="AL1043" s="419"/>
      <c r="AM1043" s="418"/>
      <c r="AN1043" s="423"/>
      <c r="AO1043" s="423"/>
      <c r="AP1043" s="423"/>
      <c r="AQ1043" s="423"/>
      <c r="AR1043" s="423"/>
      <c r="AS1043" s="423"/>
      <c r="AT1043" s="423"/>
      <c r="AU1043" s="423"/>
      <c r="AV1043" s="423"/>
      <c r="AW1043" s="419"/>
      <c r="AX1043" s="419"/>
      <c r="AY1043" s="419"/>
      <c r="AZ1043" s="419"/>
      <c r="BA1043" s="419"/>
      <c r="BB1043" s="306"/>
      <c r="BF1043" s="1119"/>
      <c r="BG1043" s="1119"/>
      <c r="BH1043" s="1119"/>
    </row>
    <row r="1044" spans="1:60" ht="15.75" customHeight="1">
      <c r="A1044" s="415"/>
      <c r="B1044" s="416"/>
      <c r="C1044" s="424"/>
      <c r="E1044" s="418"/>
      <c r="F1044" s="419"/>
      <c r="G1044" s="420"/>
      <c r="H1044" s="421"/>
      <c r="I1044" s="421"/>
      <c r="J1044" s="492"/>
      <c r="K1044" s="418"/>
      <c r="L1044" s="418"/>
      <c r="M1044" s="418"/>
      <c r="N1044" s="421"/>
      <c r="O1044" s="421"/>
      <c r="P1044" s="421"/>
      <c r="Q1044" s="418"/>
      <c r="R1044" s="418"/>
      <c r="S1044" s="418"/>
      <c r="T1044" s="418"/>
      <c r="U1044" s="418"/>
      <c r="V1044" s="418"/>
      <c r="W1044" s="418"/>
      <c r="X1044" s="418"/>
      <c r="Y1044" s="418"/>
      <c r="Z1044" s="418"/>
      <c r="AA1044" s="418"/>
      <c r="AB1044" s="418"/>
      <c r="AC1044" s="418"/>
      <c r="AD1044" s="418"/>
      <c r="AE1044" s="418"/>
      <c r="AF1044" s="418"/>
      <c r="AG1044" s="418"/>
      <c r="AH1044" s="418"/>
      <c r="AI1044" s="418"/>
      <c r="AJ1044" s="418"/>
      <c r="AK1044" s="418"/>
      <c r="AL1044" s="419"/>
      <c r="AM1044" s="418"/>
      <c r="AN1044" s="423"/>
      <c r="AO1044" s="423"/>
      <c r="AP1044" s="423"/>
      <c r="AQ1044" s="423"/>
      <c r="AR1044" s="423"/>
      <c r="AS1044" s="423"/>
      <c r="AT1044" s="423"/>
      <c r="AU1044" s="423"/>
      <c r="AV1044" s="423"/>
      <c r="AW1044" s="419"/>
      <c r="AX1044" s="419"/>
      <c r="AY1044" s="419"/>
      <c r="AZ1044" s="419"/>
      <c r="BA1044" s="419"/>
      <c r="BB1044" s="306"/>
      <c r="BF1044" s="1119"/>
      <c r="BG1044" s="1119"/>
      <c r="BH1044" s="1119"/>
    </row>
    <row r="1045" spans="1:60" ht="15.75" customHeight="1">
      <c r="A1045" s="415"/>
      <c r="B1045" s="416"/>
      <c r="C1045" s="424"/>
      <c r="E1045" s="418"/>
      <c r="F1045" s="419"/>
      <c r="G1045" s="420"/>
      <c r="H1045" s="421"/>
      <c r="I1045" s="425"/>
      <c r="J1045" s="492"/>
      <c r="K1045" s="418"/>
      <c r="L1045" s="418"/>
      <c r="M1045" s="418"/>
      <c r="N1045" s="421"/>
      <c r="O1045" s="421"/>
      <c r="P1045" s="421"/>
      <c r="Q1045" s="418"/>
      <c r="R1045" s="418"/>
      <c r="S1045" s="418"/>
      <c r="T1045" s="418"/>
      <c r="U1045" s="418"/>
      <c r="V1045" s="418"/>
      <c r="W1045" s="418"/>
      <c r="X1045" s="418"/>
      <c r="Y1045" s="418"/>
      <c r="Z1045" s="418"/>
      <c r="AA1045" s="418"/>
      <c r="AB1045" s="418"/>
      <c r="AC1045" s="418"/>
      <c r="AD1045" s="418"/>
      <c r="AE1045" s="418"/>
      <c r="AF1045" s="418"/>
      <c r="AG1045" s="418"/>
      <c r="AH1045" s="418"/>
      <c r="AI1045" s="418"/>
      <c r="AJ1045" s="418"/>
      <c r="AK1045" s="418"/>
      <c r="AL1045" s="418"/>
      <c r="AM1045" s="418"/>
      <c r="AN1045" s="423"/>
      <c r="AO1045" s="423"/>
      <c r="AP1045" s="423"/>
      <c r="AQ1045" s="423"/>
      <c r="AR1045" s="423"/>
      <c r="AS1045" s="423"/>
      <c r="AT1045" s="423"/>
      <c r="AU1045" s="423"/>
      <c r="AV1045" s="423"/>
      <c r="AW1045" s="418"/>
      <c r="AX1045" s="418"/>
      <c r="AY1045" s="418"/>
      <c r="BB1045" s="306"/>
      <c r="BF1045" s="1119"/>
      <c r="BG1045" s="1119"/>
      <c r="BH1045" s="1119"/>
    </row>
    <row r="1046" spans="1:60" ht="15.75" customHeight="1">
      <c r="A1046" s="415"/>
      <c r="B1046" s="416"/>
      <c r="C1046" s="424"/>
      <c r="E1046" s="418"/>
      <c r="F1046" s="419"/>
      <c r="G1046" s="420"/>
      <c r="H1046" s="421"/>
      <c r="I1046" s="421"/>
      <c r="J1046" s="492"/>
      <c r="K1046" s="418"/>
      <c r="L1046" s="418"/>
      <c r="M1046" s="418"/>
      <c r="N1046" s="421"/>
      <c r="O1046" s="421"/>
      <c r="P1046" s="421"/>
      <c r="Q1046" s="418"/>
      <c r="R1046" s="418"/>
      <c r="S1046" s="418"/>
      <c r="T1046" s="418"/>
      <c r="U1046" s="418"/>
      <c r="V1046" s="418"/>
      <c r="W1046" s="418"/>
      <c r="X1046" s="418"/>
      <c r="Y1046" s="418"/>
      <c r="Z1046" s="418"/>
      <c r="AA1046" s="418"/>
      <c r="AB1046" s="418"/>
      <c r="AC1046" s="418"/>
      <c r="AD1046" s="418"/>
      <c r="AE1046" s="418"/>
      <c r="AF1046" s="418"/>
      <c r="AG1046" s="418"/>
      <c r="AH1046" s="418"/>
      <c r="AI1046" s="418"/>
      <c r="AJ1046" s="418"/>
      <c r="AK1046" s="418"/>
      <c r="AL1046" s="418"/>
      <c r="AM1046" s="418"/>
      <c r="AN1046" s="423"/>
      <c r="AO1046" s="423"/>
      <c r="AP1046" s="423"/>
      <c r="AQ1046" s="423"/>
      <c r="AR1046" s="423"/>
      <c r="AS1046" s="423"/>
      <c r="AT1046" s="423"/>
      <c r="AU1046" s="423"/>
      <c r="AV1046" s="423"/>
      <c r="AW1046" s="418"/>
      <c r="AX1046" s="418"/>
      <c r="AY1046" s="418"/>
      <c r="BB1046" s="306"/>
      <c r="BF1046" s="1119"/>
      <c r="BG1046" s="1119"/>
      <c r="BH1046" s="1119"/>
    </row>
    <row r="1047" spans="1:60" ht="15.75" customHeight="1">
      <c r="A1047" s="415"/>
      <c r="B1047" s="416"/>
      <c r="C1047" s="424"/>
      <c r="E1047" s="418"/>
      <c r="F1047" s="419"/>
      <c r="G1047" s="420"/>
      <c r="H1047" s="421"/>
      <c r="I1047" s="425"/>
      <c r="J1047" s="492"/>
      <c r="K1047" s="418"/>
      <c r="L1047" s="418"/>
      <c r="M1047" s="418"/>
      <c r="N1047" s="421"/>
      <c r="O1047" s="421"/>
      <c r="P1047" s="421"/>
      <c r="Q1047" s="418"/>
      <c r="R1047" s="418"/>
      <c r="S1047" s="418"/>
      <c r="T1047" s="418"/>
      <c r="U1047" s="418"/>
      <c r="V1047" s="418"/>
      <c r="W1047" s="418"/>
      <c r="X1047" s="418"/>
      <c r="Y1047" s="418"/>
      <c r="Z1047" s="418"/>
      <c r="AA1047" s="418"/>
      <c r="AB1047" s="418"/>
      <c r="AC1047" s="418"/>
      <c r="AD1047" s="418"/>
      <c r="AE1047" s="418"/>
      <c r="AF1047" s="418"/>
      <c r="AG1047" s="418"/>
      <c r="AH1047" s="418"/>
      <c r="AI1047" s="418"/>
      <c r="AJ1047" s="418"/>
      <c r="AK1047" s="418"/>
      <c r="AL1047" s="418"/>
      <c r="AM1047" s="418"/>
      <c r="AN1047" s="423"/>
      <c r="AO1047" s="423"/>
      <c r="AP1047" s="423"/>
      <c r="AQ1047" s="423"/>
      <c r="AR1047" s="423"/>
      <c r="AS1047" s="423"/>
      <c r="AT1047" s="423"/>
      <c r="AU1047" s="423"/>
      <c r="AV1047" s="423"/>
      <c r="AW1047" s="418"/>
      <c r="AX1047" s="418"/>
      <c r="AY1047" s="418"/>
      <c r="BB1047" s="306"/>
      <c r="BF1047" s="1119"/>
      <c r="BG1047" s="1119"/>
      <c r="BH1047" s="1119"/>
    </row>
    <row r="1048" spans="1:60" ht="15.75" customHeight="1">
      <c r="A1048" s="415"/>
      <c r="B1048" s="416"/>
      <c r="C1048" s="424"/>
      <c r="E1048" s="418"/>
      <c r="F1048" s="419"/>
      <c r="G1048" s="420"/>
      <c r="H1048" s="421"/>
      <c r="I1048" s="421"/>
      <c r="J1048" s="492"/>
      <c r="K1048" s="418"/>
      <c r="L1048" s="418"/>
      <c r="M1048" s="418"/>
      <c r="N1048" s="421"/>
      <c r="O1048" s="421"/>
      <c r="P1048" s="421"/>
      <c r="Q1048" s="418"/>
      <c r="R1048" s="418"/>
      <c r="S1048" s="418"/>
      <c r="T1048" s="418"/>
      <c r="U1048" s="418"/>
      <c r="V1048" s="418"/>
      <c r="W1048" s="418"/>
      <c r="X1048" s="418"/>
      <c r="Y1048" s="418"/>
      <c r="Z1048" s="418"/>
      <c r="AA1048" s="418"/>
      <c r="AB1048" s="418"/>
      <c r="AC1048" s="418"/>
      <c r="AD1048" s="418"/>
      <c r="AE1048" s="418"/>
      <c r="AF1048" s="418"/>
      <c r="AG1048" s="418"/>
      <c r="AH1048" s="418"/>
      <c r="AI1048" s="418"/>
      <c r="AJ1048" s="418"/>
      <c r="AK1048" s="418"/>
      <c r="AL1048" s="418"/>
      <c r="AM1048" s="418"/>
      <c r="AN1048" s="423"/>
      <c r="AO1048" s="423"/>
      <c r="AP1048" s="423"/>
      <c r="AQ1048" s="423"/>
      <c r="AR1048" s="423"/>
      <c r="AS1048" s="423"/>
      <c r="AT1048" s="423"/>
      <c r="AU1048" s="423"/>
      <c r="AV1048" s="423"/>
      <c r="AW1048" s="418"/>
      <c r="AX1048" s="418"/>
      <c r="AY1048" s="418"/>
      <c r="BB1048" s="306"/>
      <c r="BF1048" s="1119"/>
      <c r="BG1048" s="1119"/>
      <c r="BH1048" s="1119"/>
    </row>
    <row r="1049" spans="1:60" ht="15.75" customHeight="1">
      <c r="A1049" s="415"/>
      <c r="B1049" s="416"/>
      <c r="C1049" s="424"/>
      <c r="E1049" s="418"/>
      <c r="F1049" s="419"/>
      <c r="G1049" s="420"/>
      <c r="H1049" s="421"/>
      <c r="I1049" s="425"/>
      <c r="J1049" s="492"/>
      <c r="K1049" s="418"/>
      <c r="L1049" s="418"/>
      <c r="M1049" s="418"/>
      <c r="N1049" s="421"/>
      <c r="O1049" s="421"/>
      <c r="P1049" s="421"/>
      <c r="Q1049" s="418"/>
      <c r="R1049" s="418"/>
      <c r="S1049" s="418"/>
      <c r="T1049" s="418"/>
      <c r="U1049" s="418"/>
      <c r="V1049" s="418"/>
      <c r="W1049" s="418"/>
      <c r="X1049" s="418"/>
      <c r="Y1049" s="418"/>
      <c r="Z1049" s="418"/>
      <c r="AA1049" s="418"/>
      <c r="AB1049" s="418"/>
      <c r="AC1049" s="418"/>
      <c r="AD1049" s="418"/>
      <c r="AE1049" s="418"/>
      <c r="AF1049" s="418"/>
      <c r="AG1049" s="418"/>
      <c r="AH1049" s="418"/>
      <c r="AI1049" s="418"/>
      <c r="AJ1049" s="418"/>
      <c r="AK1049" s="418"/>
      <c r="AL1049" s="418"/>
      <c r="AM1049" s="418"/>
      <c r="AN1049" s="423"/>
      <c r="AO1049" s="423"/>
      <c r="AP1049" s="423"/>
      <c r="AQ1049" s="423"/>
      <c r="AR1049" s="423"/>
      <c r="AS1049" s="423"/>
      <c r="AT1049" s="423"/>
      <c r="AU1049" s="423"/>
      <c r="AV1049" s="423"/>
      <c r="AW1049" s="418"/>
      <c r="AX1049" s="418"/>
      <c r="AY1049" s="418"/>
      <c r="BB1049" s="306"/>
      <c r="BF1049" s="1119"/>
      <c r="BG1049" s="1119"/>
      <c r="BH1049" s="1119"/>
    </row>
    <row r="1050" spans="1:60" ht="15.75" customHeight="1">
      <c r="A1050" s="415"/>
      <c r="B1050" s="416"/>
      <c r="C1050" s="424"/>
      <c r="E1050" s="418"/>
      <c r="F1050" s="419"/>
      <c r="G1050" s="420"/>
      <c r="H1050" s="421"/>
      <c r="I1050" s="421"/>
      <c r="J1050" s="492"/>
      <c r="K1050" s="418"/>
      <c r="L1050" s="418"/>
      <c r="M1050" s="418"/>
      <c r="N1050" s="421"/>
      <c r="O1050" s="421"/>
      <c r="P1050" s="421"/>
      <c r="Q1050" s="418"/>
      <c r="R1050" s="418"/>
      <c r="S1050" s="418"/>
      <c r="T1050" s="418"/>
      <c r="U1050" s="418"/>
      <c r="V1050" s="418"/>
      <c r="W1050" s="418"/>
      <c r="X1050" s="418"/>
      <c r="Y1050" s="418"/>
      <c r="Z1050" s="418"/>
      <c r="AA1050" s="418"/>
      <c r="AB1050" s="418"/>
      <c r="AC1050" s="418"/>
      <c r="AD1050" s="418"/>
      <c r="AE1050" s="418"/>
      <c r="AF1050" s="418"/>
      <c r="AG1050" s="418"/>
      <c r="AH1050" s="418"/>
      <c r="AI1050" s="418"/>
      <c r="AJ1050" s="418"/>
      <c r="AK1050" s="418"/>
      <c r="AL1050" s="419"/>
      <c r="AM1050" s="418"/>
      <c r="AN1050" s="423"/>
      <c r="AO1050" s="423"/>
      <c r="AP1050" s="423"/>
      <c r="AQ1050" s="423"/>
      <c r="AR1050" s="423"/>
      <c r="AS1050" s="423"/>
      <c r="AT1050" s="423"/>
      <c r="AU1050" s="423"/>
      <c r="AV1050" s="423"/>
      <c r="AW1050" s="419"/>
      <c r="AX1050" s="419"/>
      <c r="AY1050" s="419"/>
      <c r="AZ1050" s="419"/>
      <c r="BA1050" s="419"/>
      <c r="BB1050" s="306"/>
      <c r="BF1050" s="1119"/>
      <c r="BG1050" s="1119"/>
      <c r="BH1050" s="1119"/>
    </row>
    <row r="1051" spans="1:60" ht="15.75" customHeight="1">
      <c r="A1051" s="415"/>
      <c r="B1051" s="416"/>
      <c r="C1051" s="424"/>
      <c r="E1051" s="418"/>
      <c r="F1051" s="419"/>
      <c r="G1051" s="420"/>
      <c r="H1051" s="421"/>
      <c r="I1051" s="421"/>
      <c r="J1051" s="492"/>
      <c r="K1051" s="418"/>
      <c r="L1051" s="418"/>
      <c r="M1051" s="418"/>
      <c r="N1051" s="421"/>
      <c r="O1051" s="421"/>
      <c r="P1051" s="421"/>
      <c r="Q1051" s="418"/>
      <c r="R1051" s="418"/>
      <c r="S1051" s="418"/>
      <c r="T1051" s="418"/>
      <c r="U1051" s="418"/>
      <c r="V1051" s="418"/>
      <c r="W1051" s="418"/>
      <c r="X1051" s="418"/>
      <c r="Y1051" s="418"/>
      <c r="Z1051" s="418"/>
      <c r="AA1051" s="418"/>
      <c r="AB1051" s="418"/>
      <c r="AC1051" s="418"/>
      <c r="AD1051" s="418"/>
      <c r="AE1051" s="418"/>
      <c r="AF1051" s="418"/>
      <c r="AG1051" s="418"/>
      <c r="AH1051" s="418"/>
      <c r="AI1051" s="418"/>
      <c r="AJ1051" s="418"/>
      <c r="AK1051" s="418"/>
      <c r="AL1051" s="419"/>
      <c r="AM1051" s="418"/>
      <c r="AN1051" s="423"/>
      <c r="AO1051" s="423"/>
      <c r="AP1051" s="423"/>
      <c r="AQ1051" s="423"/>
      <c r="AR1051" s="423"/>
      <c r="AS1051" s="423"/>
      <c r="AT1051" s="423"/>
      <c r="AU1051" s="423"/>
      <c r="AV1051" s="423"/>
      <c r="AW1051" s="419"/>
      <c r="AX1051" s="419"/>
      <c r="AY1051" s="419"/>
      <c r="AZ1051" s="419"/>
      <c r="BA1051" s="419"/>
      <c r="BB1051" s="306"/>
      <c r="BF1051" s="1119"/>
      <c r="BG1051" s="1119"/>
      <c r="BH1051" s="1119"/>
    </row>
    <row r="1052" spans="1:60" ht="15.75" customHeight="1">
      <c r="A1052" s="415"/>
      <c r="B1052" s="416"/>
      <c r="C1052" s="424"/>
      <c r="E1052" s="418"/>
      <c r="F1052" s="419"/>
      <c r="G1052" s="420"/>
      <c r="H1052" s="421"/>
      <c r="I1052" s="421"/>
      <c r="J1052" s="492"/>
      <c r="K1052" s="418"/>
      <c r="L1052" s="418"/>
      <c r="M1052" s="418"/>
      <c r="N1052" s="421"/>
      <c r="O1052" s="421"/>
      <c r="P1052" s="421"/>
      <c r="Q1052" s="418"/>
      <c r="R1052" s="418"/>
      <c r="S1052" s="418"/>
      <c r="T1052" s="418"/>
      <c r="U1052" s="418"/>
      <c r="V1052" s="418"/>
      <c r="W1052" s="418"/>
      <c r="X1052" s="418"/>
      <c r="Y1052" s="418"/>
      <c r="Z1052" s="418"/>
      <c r="AA1052" s="418"/>
      <c r="AB1052" s="418"/>
      <c r="AC1052" s="418"/>
      <c r="AD1052" s="418"/>
      <c r="AE1052" s="418"/>
      <c r="AF1052" s="418"/>
      <c r="AG1052" s="418"/>
      <c r="AH1052" s="418"/>
      <c r="AI1052" s="418"/>
      <c r="AJ1052" s="418"/>
      <c r="AK1052" s="418"/>
      <c r="AL1052" s="419"/>
      <c r="AM1052" s="418"/>
      <c r="AN1052" s="423"/>
      <c r="AO1052" s="423"/>
      <c r="AP1052" s="423"/>
      <c r="AQ1052" s="423"/>
      <c r="AR1052" s="423"/>
      <c r="AS1052" s="423"/>
      <c r="AT1052" s="423"/>
      <c r="AU1052" s="423"/>
      <c r="AV1052" s="423"/>
      <c r="AW1052" s="419"/>
      <c r="AX1052" s="419"/>
      <c r="AY1052" s="419"/>
      <c r="AZ1052" s="419"/>
      <c r="BA1052" s="419"/>
      <c r="BB1052" s="306"/>
      <c r="BF1052" s="1119"/>
      <c r="BG1052" s="1119"/>
      <c r="BH1052" s="1119"/>
    </row>
    <row r="1053" spans="1:60" ht="15.75" customHeight="1">
      <c r="A1053" s="415"/>
      <c r="B1053" s="416"/>
      <c r="C1053" s="424"/>
      <c r="E1053" s="418"/>
      <c r="F1053" s="419"/>
      <c r="G1053" s="420"/>
      <c r="H1053" s="421"/>
      <c r="I1053" s="421"/>
      <c r="J1053" s="492"/>
      <c r="K1053" s="418"/>
      <c r="L1053" s="418"/>
      <c r="M1053" s="418"/>
      <c r="N1053" s="421"/>
      <c r="O1053" s="421"/>
      <c r="P1053" s="421"/>
      <c r="Q1053" s="418"/>
      <c r="R1053" s="418"/>
      <c r="S1053" s="418"/>
      <c r="T1053" s="418"/>
      <c r="U1053" s="418"/>
      <c r="V1053" s="418"/>
      <c r="W1053" s="418"/>
      <c r="X1053" s="418"/>
      <c r="Y1053" s="418"/>
      <c r="Z1053" s="418"/>
      <c r="AA1053" s="418"/>
      <c r="AB1053" s="418"/>
      <c r="AC1053" s="418"/>
      <c r="AD1053" s="418"/>
      <c r="AE1053" s="418"/>
      <c r="AF1053" s="418"/>
      <c r="AG1053" s="418"/>
      <c r="AH1053" s="418"/>
      <c r="AI1053" s="418"/>
      <c r="AJ1053" s="418"/>
      <c r="AK1053" s="418"/>
      <c r="AL1053" s="419"/>
      <c r="AM1053" s="418"/>
      <c r="AN1053" s="423"/>
      <c r="AO1053" s="423"/>
      <c r="AP1053" s="423"/>
      <c r="AQ1053" s="423"/>
      <c r="AR1053" s="423"/>
      <c r="AS1053" s="423"/>
      <c r="AT1053" s="423"/>
      <c r="AU1053" s="423"/>
      <c r="AV1053" s="423"/>
      <c r="AW1053" s="419"/>
      <c r="AX1053" s="419"/>
      <c r="AY1053" s="419"/>
      <c r="AZ1053" s="419"/>
      <c r="BA1053" s="419"/>
      <c r="BB1053" s="306"/>
      <c r="BF1053" s="1119"/>
      <c r="BG1053" s="1119"/>
      <c r="BH1053" s="1119"/>
    </row>
    <row r="1054" spans="1:60" ht="15.75" customHeight="1">
      <c r="A1054" s="415"/>
      <c r="B1054" s="416"/>
      <c r="C1054" s="424"/>
      <c r="E1054" s="418"/>
      <c r="F1054" s="419"/>
      <c r="G1054" s="420"/>
      <c r="H1054" s="421"/>
      <c r="I1054" s="421"/>
      <c r="J1054" s="492"/>
      <c r="K1054" s="418"/>
      <c r="L1054" s="418"/>
      <c r="M1054" s="418"/>
      <c r="N1054" s="421"/>
      <c r="O1054" s="421"/>
      <c r="P1054" s="421"/>
      <c r="Q1054" s="418"/>
      <c r="R1054" s="418"/>
      <c r="S1054" s="418"/>
      <c r="T1054" s="418"/>
      <c r="U1054" s="418"/>
      <c r="V1054" s="418"/>
      <c r="W1054" s="418"/>
      <c r="X1054" s="418"/>
      <c r="Y1054" s="418"/>
      <c r="Z1054" s="418"/>
      <c r="AA1054" s="418"/>
      <c r="AB1054" s="418"/>
      <c r="AC1054" s="418"/>
      <c r="AD1054" s="418"/>
      <c r="AE1054" s="418"/>
      <c r="AF1054" s="418"/>
      <c r="AG1054" s="418"/>
      <c r="AH1054" s="418"/>
      <c r="AI1054" s="418"/>
      <c r="AJ1054" s="418"/>
      <c r="AK1054" s="418"/>
      <c r="AL1054" s="419"/>
      <c r="AM1054" s="418"/>
      <c r="AN1054" s="423"/>
      <c r="AO1054" s="423"/>
      <c r="AP1054" s="423"/>
      <c r="AQ1054" s="423"/>
      <c r="AR1054" s="423"/>
      <c r="AS1054" s="423"/>
      <c r="AT1054" s="423"/>
      <c r="AU1054" s="423"/>
      <c r="AV1054" s="423"/>
      <c r="AW1054" s="419"/>
      <c r="AX1054" s="419"/>
      <c r="AY1054" s="419"/>
      <c r="AZ1054" s="419"/>
      <c r="BA1054" s="419"/>
      <c r="BB1054" s="306"/>
      <c r="BF1054" s="1119"/>
      <c r="BG1054" s="1119"/>
      <c r="BH1054" s="1119"/>
    </row>
    <row r="1055" spans="1:60" ht="15.75" customHeight="1">
      <c r="A1055" s="415"/>
      <c r="B1055" s="416"/>
      <c r="C1055" s="424"/>
      <c r="E1055" s="418"/>
      <c r="F1055" s="419"/>
      <c r="G1055" s="420"/>
      <c r="H1055" s="421"/>
      <c r="I1055" s="421"/>
      <c r="J1055" s="492"/>
      <c r="K1055" s="418"/>
      <c r="L1055" s="418"/>
      <c r="M1055" s="418"/>
      <c r="N1055" s="421"/>
      <c r="O1055" s="421"/>
      <c r="P1055" s="421"/>
      <c r="Q1055" s="418"/>
      <c r="R1055" s="418"/>
      <c r="S1055" s="418"/>
      <c r="T1055" s="418"/>
      <c r="U1055" s="418"/>
      <c r="V1055" s="418"/>
      <c r="W1055" s="418"/>
      <c r="X1055" s="418"/>
      <c r="Y1055" s="418"/>
      <c r="Z1055" s="418"/>
      <c r="AA1055" s="418"/>
      <c r="AB1055" s="418"/>
      <c r="AC1055" s="418"/>
      <c r="AD1055" s="418"/>
      <c r="AE1055" s="418"/>
      <c r="AF1055" s="418"/>
      <c r="AG1055" s="418"/>
      <c r="AH1055" s="418"/>
      <c r="AI1055" s="418"/>
      <c r="AJ1055" s="418"/>
      <c r="AK1055" s="418"/>
      <c r="AL1055" s="418"/>
      <c r="AM1055" s="418"/>
      <c r="AN1055" s="423"/>
      <c r="AO1055" s="423"/>
      <c r="AP1055" s="423"/>
      <c r="AQ1055" s="423"/>
      <c r="AR1055" s="423"/>
      <c r="AS1055" s="423"/>
      <c r="AT1055" s="423"/>
      <c r="AU1055" s="423"/>
      <c r="AV1055" s="423"/>
      <c r="AW1055" s="418"/>
      <c r="AX1055" s="418"/>
      <c r="AY1055" s="418"/>
      <c r="BB1055" s="306"/>
      <c r="BF1055" s="1119"/>
      <c r="BG1055" s="1119"/>
      <c r="BH1055" s="1119"/>
    </row>
    <row r="1056" spans="1:60" ht="15.75" customHeight="1">
      <c r="A1056" s="415"/>
      <c r="B1056" s="416"/>
      <c r="C1056" s="424"/>
      <c r="E1056" s="418"/>
      <c r="F1056" s="419"/>
      <c r="G1056" s="420"/>
      <c r="H1056" s="421"/>
      <c r="I1056" s="421"/>
      <c r="J1056" s="492"/>
      <c r="K1056" s="418"/>
      <c r="L1056" s="418"/>
      <c r="M1056" s="418"/>
      <c r="N1056" s="421"/>
      <c r="O1056" s="418"/>
      <c r="P1056" s="421"/>
      <c r="Q1056" s="418"/>
      <c r="R1056" s="418"/>
      <c r="S1056" s="418"/>
      <c r="T1056" s="418"/>
      <c r="U1056" s="418"/>
      <c r="V1056" s="418"/>
      <c r="W1056" s="418"/>
      <c r="X1056" s="418"/>
      <c r="Y1056" s="418"/>
      <c r="Z1056" s="418"/>
      <c r="AA1056" s="418"/>
      <c r="AB1056" s="418"/>
      <c r="AC1056" s="418"/>
      <c r="AD1056" s="418"/>
      <c r="AE1056" s="418"/>
      <c r="AF1056" s="418"/>
      <c r="AG1056" s="418"/>
      <c r="AH1056" s="418"/>
      <c r="AI1056" s="418"/>
      <c r="AJ1056" s="418"/>
      <c r="AK1056" s="418"/>
      <c r="AL1056" s="418"/>
      <c r="AM1056" s="418"/>
      <c r="AN1056" s="423"/>
      <c r="AO1056" s="423"/>
      <c r="AP1056" s="423"/>
      <c r="AQ1056" s="423"/>
      <c r="AR1056" s="423"/>
      <c r="AS1056" s="423"/>
      <c r="AT1056" s="423"/>
      <c r="AU1056" s="423"/>
      <c r="AV1056" s="423"/>
      <c r="AW1056" s="418"/>
      <c r="AX1056" s="418"/>
      <c r="AY1056" s="418"/>
      <c r="BB1056" s="306"/>
      <c r="BF1056" s="1119"/>
      <c r="BG1056" s="1119"/>
      <c r="BH1056" s="1119"/>
    </row>
    <row r="1057" spans="1:60" ht="15.75" customHeight="1">
      <c r="A1057" s="415"/>
      <c r="B1057" s="416"/>
      <c r="C1057" s="424"/>
      <c r="E1057" s="418"/>
      <c r="F1057" s="419"/>
      <c r="G1057" s="420"/>
      <c r="H1057" s="421"/>
      <c r="I1057" s="421"/>
      <c r="J1057" s="492"/>
      <c r="K1057" s="418"/>
      <c r="L1057" s="418"/>
      <c r="M1057" s="418"/>
      <c r="N1057" s="421"/>
      <c r="O1057" s="418"/>
      <c r="P1057" s="421"/>
      <c r="Q1057" s="418"/>
      <c r="R1057" s="418"/>
      <c r="S1057" s="418"/>
      <c r="T1057" s="418"/>
      <c r="U1057" s="418"/>
      <c r="V1057" s="418"/>
      <c r="W1057" s="418"/>
      <c r="X1057" s="418"/>
      <c r="Y1057" s="418"/>
      <c r="Z1057" s="418"/>
      <c r="AA1057" s="418"/>
      <c r="AB1057" s="418"/>
      <c r="AC1057" s="418"/>
      <c r="AD1057" s="418"/>
      <c r="AE1057" s="418"/>
      <c r="AF1057" s="418"/>
      <c r="AG1057" s="418"/>
      <c r="AH1057" s="418"/>
      <c r="AI1057" s="418"/>
      <c r="AJ1057" s="418"/>
      <c r="AK1057" s="418"/>
      <c r="AL1057" s="418"/>
      <c r="AM1057" s="418"/>
      <c r="AN1057" s="423"/>
      <c r="AO1057" s="423"/>
      <c r="AP1057" s="423"/>
      <c r="AQ1057" s="423"/>
      <c r="AR1057" s="423"/>
      <c r="AS1057" s="423"/>
      <c r="AT1057" s="423"/>
      <c r="AU1057" s="423"/>
      <c r="AV1057" s="423"/>
      <c r="AW1057" s="418"/>
      <c r="AX1057" s="418"/>
      <c r="AY1057" s="418"/>
      <c r="BB1057" s="306"/>
      <c r="BF1057" s="1119"/>
      <c r="BG1057" s="1119"/>
      <c r="BH1057" s="1119"/>
    </row>
    <row r="1058" spans="1:60" ht="15.75" customHeight="1">
      <c r="A1058" s="415"/>
      <c r="B1058" s="416"/>
      <c r="C1058" s="424"/>
      <c r="E1058" s="418"/>
      <c r="F1058" s="419"/>
      <c r="G1058" s="420"/>
      <c r="H1058" s="421"/>
      <c r="I1058" s="421"/>
      <c r="J1058" s="492"/>
      <c r="K1058" s="418"/>
      <c r="L1058" s="418"/>
      <c r="M1058" s="418"/>
      <c r="N1058" s="421"/>
      <c r="O1058" s="421"/>
      <c r="P1058" s="421"/>
      <c r="Q1058" s="418"/>
      <c r="R1058" s="418"/>
      <c r="S1058" s="418"/>
      <c r="T1058" s="418"/>
      <c r="U1058" s="418"/>
      <c r="V1058" s="418"/>
      <c r="W1058" s="418"/>
      <c r="X1058" s="418"/>
      <c r="Y1058" s="418"/>
      <c r="Z1058" s="418"/>
      <c r="AA1058" s="418"/>
      <c r="AB1058" s="418"/>
      <c r="AC1058" s="418"/>
      <c r="AD1058" s="418"/>
      <c r="AE1058" s="418"/>
      <c r="AF1058" s="418"/>
      <c r="AG1058" s="418"/>
      <c r="AH1058" s="418"/>
      <c r="AI1058" s="418"/>
      <c r="AJ1058" s="418"/>
      <c r="AK1058" s="418"/>
      <c r="AL1058" s="419"/>
      <c r="AM1058" s="419"/>
      <c r="AN1058" s="423"/>
      <c r="AO1058" s="423"/>
      <c r="AP1058" s="423"/>
      <c r="AQ1058" s="423"/>
      <c r="AR1058" s="423"/>
      <c r="AS1058" s="423"/>
      <c r="AT1058" s="423"/>
      <c r="AU1058" s="423"/>
      <c r="AV1058" s="423"/>
      <c r="AW1058" s="419"/>
      <c r="AX1058" s="419"/>
      <c r="AY1058" s="419"/>
      <c r="AZ1058" s="419"/>
      <c r="BA1058" s="419"/>
      <c r="BB1058" s="306"/>
      <c r="BF1058" s="1119"/>
      <c r="BG1058" s="1119"/>
      <c r="BH1058" s="1119"/>
    </row>
    <row r="1059" spans="1:60" ht="15.75" customHeight="1">
      <c r="A1059" s="415"/>
      <c r="B1059" s="416"/>
      <c r="C1059" s="424"/>
      <c r="E1059" s="418"/>
      <c r="F1059" s="419"/>
      <c r="G1059" s="420"/>
      <c r="H1059" s="421"/>
      <c r="I1059" s="421"/>
      <c r="J1059" s="492"/>
      <c r="K1059" s="418"/>
      <c r="L1059" s="418"/>
      <c r="M1059" s="418"/>
      <c r="N1059" s="421"/>
      <c r="O1059" s="421"/>
      <c r="P1059" s="421"/>
      <c r="Q1059" s="418"/>
      <c r="R1059" s="418"/>
      <c r="S1059" s="418"/>
      <c r="T1059" s="418"/>
      <c r="U1059" s="418"/>
      <c r="V1059" s="418"/>
      <c r="W1059" s="418"/>
      <c r="X1059" s="418"/>
      <c r="Y1059" s="418"/>
      <c r="Z1059" s="418"/>
      <c r="AA1059" s="418"/>
      <c r="AB1059" s="418"/>
      <c r="AC1059" s="418"/>
      <c r="AD1059" s="418"/>
      <c r="AE1059" s="418"/>
      <c r="AF1059" s="418"/>
      <c r="AG1059" s="418"/>
      <c r="AH1059" s="418"/>
      <c r="AI1059" s="418"/>
      <c r="AJ1059" s="418"/>
      <c r="AK1059" s="418"/>
      <c r="AL1059" s="419"/>
      <c r="AM1059" s="419"/>
      <c r="AN1059" s="423"/>
      <c r="AO1059" s="423"/>
      <c r="AP1059" s="423"/>
      <c r="AQ1059" s="423"/>
      <c r="AR1059" s="423"/>
      <c r="AS1059" s="423"/>
      <c r="AT1059" s="423"/>
      <c r="AU1059" s="423"/>
      <c r="AV1059" s="423"/>
      <c r="AW1059" s="419"/>
      <c r="AX1059" s="419"/>
      <c r="AY1059" s="419"/>
      <c r="AZ1059" s="419"/>
      <c r="BA1059" s="419"/>
      <c r="BB1059" s="306"/>
      <c r="BF1059" s="1119"/>
      <c r="BG1059" s="1119"/>
      <c r="BH1059" s="1119"/>
    </row>
    <row r="1060" spans="1:60" ht="15.75" customHeight="1">
      <c r="A1060" s="415"/>
      <c r="B1060" s="416"/>
      <c r="C1060" s="424"/>
      <c r="E1060" s="418"/>
      <c r="F1060" s="419"/>
      <c r="G1060" s="420"/>
      <c r="H1060" s="421"/>
      <c r="I1060" s="421"/>
      <c r="J1060" s="492"/>
      <c r="K1060" s="418"/>
      <c r="L1060" s="418"/>
      <c r="M1060" s="418"/>
      <c r="N1060" s="421"/>
      <c r="O1060" s="421"/>
      <c r="P1060" s="421"/>
      <c r="Q1060" s="418"/>
      <c r="R1060" s="418"/>
      <c r="S1060" s="418"/>
      <c r="T1060" s="418"/>
      <c r="U1060" s="418"/>
      <c r="V1060" s="418"/>
      <c r="W1060" s="418"/>
      <c r="X1060" s="418"/>
      <c r="Y1060" s="418"/>
      <c r="Z1060" s="418"/>
      <c r="AA1060" s="418"/>
      <c r="AB1060" s="418"/>
      <c r="AC1060" s="418"/>
      <c r="AD1060" s="418"/>
      <c r="AE1060" s="418"/>
      <c r="AF1060" s="418"/>
      <c r="AG1060" s="418"/>
      <c r="AH1060" s="418"/>
      <c r="AI1060" s="418"/>
      <c r="AJ1060" s="418"/>
      <c r="AK1060" s="418"/>
      <c r="AL1060" s="419"/>
      <c r="AM1060" s="419"/>
      <c r="AN1060" s="423"/>
      <c r="AO1060" s="423"/>
      <c r="AP1060" s="423"/>
      <c r="AQ1060" s="423"/>
      <c r="AR1060" s="423"/>
      <c r="AS1060" s="423"/>
      <c r="AT1060" s="423"/>
      <c r="AU1060" s="423"/>
      <c r="AV1060" s="423"/>
      <c r="AW1060" s="419"/>
      <c r="AX1060" s="419"/>
      <c r="AY1060" s="419"/>
      <c r="AZ1060" s="419"/>
      <c r="BA1060" s="419"/>
      <c r="BB1060" s="306"/>
      <c r="BF1060" s="1119"/>
      <c r="BG1060" s="1119"/>
      <c r="BH1060" s="1119"/>
    </row>
    <row r="1061" spans="1:60" ht="15.75" customHeight="1">
      <c r="A1061" s="415"/>
      <c r="B1061" s="416"/>
      <c r="C1061" s="424"/>
      <c r="E1061" s="418"/>
      <c r="F1061" s="419"/>
      <c r="G1061" s="420"/>
      <c r="H1061" s="421"/>
      <c r="I1061" s="421"/>
      <c r="J1061" s="492"/>
      <c r="K1061" s="418"/>
      <c r="L1061" s="418"/>
      <c r="M1061" s="418"/>
      <c r="N1061" s="421"/>
      <c r="O1061" s="421"/>
      <c r="P1061" s="421"/>
      <c r="Q1061" s="418"/>
      <c r="R1061" s="418"/>
      <c r="S1061" s="418"/>
      <c r="T1061" s="418"/>
      <c r="U1061" s="418"/>
      <c r="V1061" s="418"/>
      <c r="W1061" s="418"/>
      <c r="X1061" s="418"/>
      <c r="Y1061" s="418"/>
      <c r="Z1061" s="418"/>
      <c r="AA1061" s="418"/>
      <c r="AB1061" s="418"/>
      <c r="AC1061" s="418"/>
      <c r="AD1061" s="418"/>
      <c r="AE1061" s="418"/>
      <c r="AF1061" s="418"/>
      <c r="AG1061" s="418"/>
      <c r="AH1061" s="418"/>
      <c r="AI1061" s="418"/>
      <c r="AJ1061" s="418"/>
      <c r="AK1061" s="418"/>
      <c r="AL1061" s="419"/>
      <c r="AM1061" s="419"/>
      <c r="AN1061" s="423"/>
      <c r="AO1061" s="423"/>
      <c r="AP1061" s="423"/>
      <c r="AQ1061" s="423"/>
      <c r="AR1061" s="423"/>
      <c r="AS1061" s="423"/>
      <c r="AT1061" s="423"/>
      <c r="AU1061" s="423"/>
      <c r="AV1061" s="423"/>
      <c r="AW1061" s="419"/>
      <c r="AX1061" s="419"/>
      <c r="AY1061" s="419"/>
      <c r="AZ1061" s="419"/>
      <c r="BA1061" s="419"/>
      <c r="BB1061" s="306"/>
      <c r="BF1061" s="1119"/>
      <c r="BG1061" s="1119"/>
      <c r="BH1061" s="1119"/>
    </row>
    <row r="1062" spans="1:60" ht="15.75" customHeight="1">
      <c r="A1062" s="415"/>
      <c r="B1062" s="416"/>
      <c r="C1062" s="424"/>
      <c r="E1062" s="418"/>
      <c r="F1062" s="419"/>
      <c r="G1062" s="420"/>
      <c r="H1062" s="421"/>
      <c r="I1062" s="421"/>
      <c r="J1062" s="492"/>
      <c r="K1062" s="418"/>
      <c r="L1062" s="418"/>
      <c r="M1062" s="418"/>
      <c r="N1062" s="421"/>
      <c r="O1062" s="421"/>
      <c r="P1062" s="421"/>
      <c r="Q1062" s="418"/>
      <c r="R1062" s="418"/>
      <c r="S1062" s="418"/>
      <c r="T1062" s="418"/>
      <c r="U1062" s="418"/>
      <c r="V1062" s="418"/>
      <c r="W1062" s="418"/>
      <c r="X1062" s="418"/>
      <c r="Y1062" s="418"/>
      <c r="Z1062" s="418"/>
      <c r="AA1062" s="418"/>
      <c r="AB1062" s="418"/>
      <c r="AC1062" s="418"/>
      <c r="AD1062" s="418"/>
      <c r="AE1062" s="418"/>
      <c r="AF1062" s="418"/>
      <c r="AG1062" s="418"/>
      <c r="AH1062" s="418"/>
      <c r="AI1062" s="418"/>
      <c r="AJ1062" s="418"/>
      <c r="AK1062" s="418"/>
      <c r="AL1062" s="419"/>
      <c r="AM1062" s="419"/>
      <c r="AN1062" s="423"/>
      <c r="AO1062" s="423"/>
      <c r="AP1062" s="423"/>
      <c r="AQ1062" s="423"/>
      <c r="AR1062" s="423"/>
      <c r="AS1062" s="423"/>
      <c r="AT1062" s="423"/>
      <c r="AU1062" s="423"/>
      <c r="AV1062" s="423"/>
      <c r="AW1062" s="419"/>
      <c r="AX1062" s="419"/>
      <c r="AY1062" s="419"/>
      <c r="AZ1062" s="419"/>
      <c r="BA1062" s="419"/>
      <c r="BB1062" s="306"/>
      <c r="BF1062" s="1119"/>
      <c r="BG1062" s="1119"/>
      <c r="BH1062" s="1119"/>
    </row>
    <row r="1063" spans="1:60" ht="15.75" customHeight="1">
      <c r="A1063" s="415"/>
      <c r="B1063" s="416"/>
      <c r="C1063" s="424"/>
      <c r="E1063" s="418"/>
      <c r="F1063" s="419"/>
      <c r="G1063" s="420"/>
      <c r="H1063" s="421"/>
      <c r="I1063" s="421"/>
      <c r="J1063" s="492"/>
      <c r="K1063" s="418"/>
      <c r="L1063" s="418"/>
      <c r="M1063" s="418"/>
      <c r="N1063" s="421"/>
      <c r="O1063" s="421"/>
      <c r="P1063" s="421"/>
      <c r="Q1063" s="418"/>
      <c r="R1063" s="418"/>
      <c r="S1063" s="418"/>
      <c r="T1063" s="418"/>
      <c r="U1063" s="418"/>
      <c r="V1063" s="418"/>
      <c r="W1063" s="418"/>
      <c r="X1063" s="418"/>
      <c r="Y1063" s="418"/>
      <c r="Z1063" s="418"/>
      <c r="AA1063" s="418"/>
      <c r="AB1063" s="418"/>
      <c r="AC1063" s="418"/>
      <c r="AD1063" s="418"/>
      <c r="AE1063" s="418"/>
      <c r="AF1063" s="418"/>
      <c r="AG1063" s="418"/>
      <c r="AH1063" s="418"/>
      <c r="AI1063" s="418"/>
      <c r="AJ1063" s="418"/>
      <c r="AK1063" s="418"/>
      <c r="AL1063" s="419"/>
      <c r="AM1063" s="419"/>
      <c r="AN1063" s="423"/>
      <c r="AO1063" s="423"/>
      <c r="AP1063" s="423"/>
      <c r="AQ1063" s="423"/>
      <c r="AR1063" s="423"/>
      <c r="AS1063" s="423"/>
      <c r="AT1063" s="423"/>
      <c r="AU1063" s="423"/>
      <c r="AV1063" s="423"/>
      <c r="AW1063" s="419"/>
      <c r="AX1063" s="419"/>
      <c r="AY1063" s="419"/>
      <c r="AZ1063" s="419"/>
      <c r="BA1063" s="419"/>
      <c r="BB1063" s="306"/>
      <c r="BF1063" s="1119"/>
      <c r="BG1063" s="1119"/>
      <c r="BH1063" s="1119"/>
    </row>
    <row r="1064" spans="1:60" ht="15.75" customHeight="1">
      <c r="A1064" s="415"/>
      <c r="B1064" s="416"/>
      <c r="C1064" s="424"/>
      <c r="E1064" s="418"/>
      <c r="F1064" s="419"/>
      <c r="G1064" s="420"/>
      <c r="H1064" s="421"/>
      <c r="I1064" s="421"/>
      <c r="J1064" s="492"/>
      <c r="K1064" s="418"/>
      <c r="L1064" s="418"/>
      <c r="M1064" s="418"/>
      <c r="N1064" s="421"/>
      <c r="O1064" s="421"/>
      <c r="P1064" s="421"/>
      <c r="Q1064" s="418"/>
      <c r="R1064" s="418"/>
      <c r="S1064" s="418"/>
      <c r="T1064" s="418"/>
      <c r="U1064" s="418"/>
      <c r="V1064" s="418"/>
      <c r="W1064" s="418"/>
      <c r="X1064" s="418"/>
      <c r="Y1064" s="418"/>
      <c r="Z1064" s="418"/>
      <c r="AA1064" s="418"/>
      <c r="AB1064" s="418"/>
      <c r="AC1064" s="418"/>
      <c r="AD1064" s="418"/>
      <c r="AE1064" s="418"/>
      <c r="AF1064" s="418"/>
      <c r="AG1064" s="418"/>
      <c r="AH1064" s="418"/>
      <c r="AI1064" s="418"/>
      <c r="AJ1064" s="418"/>
      <c r="AK1064" s="418"/>
      <c r="AL1064" s="419"/>
      <c r="AM1064" s="419"/>
      <c r="AN1064" s="423"/>
      <c r="AO1064" s="423"/>
      <c r="AP1064" s="423"/>
      <c r="AQ1064" s="423"/>
      <c r="AR1064" s="423"/>
      <c r="AS1064" s="423"/>
      <c r="AT1064" s="423"/>
      <c r="AU1064" s="423"/>
      <c r="AV1064" s="423"/>
      <c r="AW1064" s="419"/>
      <c r="AX1064" s="419"/>
      <c r="AY1064" s="419"/>
      <c r="AZ1064" s="419"/>
      <c r="BA1064" s="419"/>
      <c r="BB1064" s="306"/>
      <c r="BF1064" s="1119"/>
      <c r="BG1064" s="1119"/>
      <c r="BH1064" s="1119"/>
    </row>
    <row r="1065" spans="1:60" ht="15.75" customHeight="1">
      <c r="A1065" s="415"/>
      <c r="B1065" s="416"/>
      <c r="C1065" s="424"/>
      <c r="E1065" s="418"/>
      <c r="F1065" s="419"/>
      <c r="G1065" s="420"/>
      <c r="H1065" s="421"/>
      <c r="I1065" s="421"/>
      <c r="J1065" s="492"/>
      <c r="K1065" s="418"/>
      <c r="L1065" s="418"/>
      <c r="M1065" s="418"/>
      <c r="N1065" s="421"/>
      <c r="O1065" s="421"/>
      <c r="P1065" s="421"/>
      <c r="Q1065" s="418"/>
      <c r="R1065" s="418"/>
      <c r="S1065" s="418"/>
      <c r="T1065" s="418"/>
      <c r="U1065" s="418"/>
      <c r="V1065" s="418"/>
      <c r="W1065" s="418"/>
      <c r="X1065" s="418"/>
      <c r="Y1065" s="418"/>
      <c r="Z1065" s="418"/>
      <c r="AA1065" s="418"/>
      <c r="AB1065" s="418"/>
      <c r="AC1065" s="418"/>
      <c r="AD1065" s="418"/>
      <c r="AE1065" s="418"/>
      <c r="AF1065" s="418"/>
      <c r="AG1065" s="418"/>
      <c r="AH1065" s="418"/>
      <c r="AI1065" s="418"/>
      <c r="AJ1065" s="418"/>
      <c r="AK1065" s="418"/>
      <c r="AL1065" s="418"/>
      <c r="AM1065" s="418"/>
      <c r="AN1065" s="423"/>
      <c r="AO1065" s="423"/>
      <c r="AP1065" s="423"/>
      <c r="AQ1065" s="423"/>
      <c r="AR1065" s="423"/>
      <c r="AS1065" s="423"/>
      <c r="AT1065" s="423"/>
      <c r="AU1065" s="423"/>
      <c r="AV1065" s="423"/>
      <c r="AW1065" s="418"/>
      <c r="AX1065" s="418"/>
      <c r="AY1065" s="418"/>
      <c r="BB1065" s="306"/>
      <c r="BF1065" s="1119"/>
      <c r="BG1065" s="1119"/>
      <c r="BH1065" s="1119"/>
    </row>
    <row r="1066" spans="1:60" ht="15.75" customHeight="1">
      <c r="A1066" s="415"/>
      <c r="B1066" s="416"/>
      <c r="C1066" s="424"/>
      <c r="E1066" s="418"/>
      <c r="F1066" s="419"/>
      <c r="G1066" s="420"/>
      <c r="H1066" s="421"/>
      <c r="I1066" s="421"/>
      <c r="J1066" s="492"/>
      <c r="K1066" s="418"/>
      <c r="L1066" s="418"/>
      <c r="M1066" s="418"/>
      <c r="N1066" s="421"/>
      <c r="O1066" s="421"/>
      <c r="P1066" s="421"/>
      <c r="Q1066" s="418"/>
      <c r="R1066" s="418"/>
      <c r="S1066" s="418"/>
      <c r="T1066" s="418"/>
      <c r="U1066" s="418"/>
      <c r="V1066" s="418"/>
      <c r="W1066" s="418"/>
      <c r="X1066" s="418"/>
      <c r="Y1066" s="418"/>
      <c r="Z1066" s="418"/>
      <c r="AA1066" s="418"/>
      <c r="AB1066" s="418"/>
      <c r="AC1066" s="418"/>
      <c r="AD1066" s="418"/>
      <c r="AE1066" s="418"/>
      <c r="AF1066" s="418"/>
      <c r="AG1066" s="418"/>
      <c r="AH1066" s="418"/>
      <c r="AI1066" s="418"/>
      <c r="AJ1066" s="418"/>
      <c r="AK1066" s="418"/>
      <c r="AL1066" s="418"/>
      <c r="AM1066" s="418"/>
      <c r="AN1066" s="423"/>
      <c r="AO1066" s="423"/>
      <c r="AP1066" s="423"/>
      <c r="AQ1066" s="423"/>
      <c r="AR1066" s="423"/>
      <c r="AS1066" s="423"/>
      <c r="AT1066" s="423"/>
      <c r="AU1066" s="423"/>
      <c r="AV1066" s="423"/>
      <c r="AW1066" s="418"/>
      <c r="AX1066" s="418"/>
      <c r="AY1066" s="418"/>
      <c r="BB1066" s="306"/>
      <c r="BF1066" s="1119"/>
      <c r="BG1066" s="1119"/>
      <c r="BH1066" s="1119"/>
    </row>
    <row r="1067" spans="1:60" ht="15.75" customHeight="1">
      <c r="A1067" s="415"/>
      <c r="B1067" s="416"/>
      <c r="C1067" s="424"/>
      <c r="E1067" s="418"/>
      <c r="F1067" s="419"/>
      <c r="G1067" s="420"/>
      <c r="H1067" s="421"/>
      <c r="I1067" s="421"/>
      <c r="J1067" s="492"/>
      <c r="K1067" s="418"/>
      <c r="L1067" s="418"/>
      <c r="M1067" s="418"/>
      <c r="N1067" s="421"/>
      <c r="O1067" s="421"/>
      <c r="P1067" s="421"/>
      <c r="Q1067" s="418"/>
      <c r="R1067" s="418"/>
      <c r="S1067" s="418"/>
      <c r="T1067" s="418"/>
      <c r="U1067" s="418"/>
      <c r="V1067" s="418"/>
      <c r="W1067" s="418"/>
      <c r="X1067" s="418"/>
      <c r="Y1067" s="418"/>
      <c r="Z1067" s="418"/>
      <c r="AA1067" s="418"/>
      <c r="AB1067" s="418"/>
      <c r="AC1067" s="418"/>
      <c r="AD1067" s="418"/>
      <c r="AE1067" s="418"/>
      <c r="AF1067" s="418"/>
      <c r="AG1067" s="418"/>
      <c r="AH1067" s="418"/>
      <c r="AI1067" s="418"/>
      <c r="AJ1067" s="418"/>
      <c r="AK1067" s="418"/>
      <c r="AL1067" s="418"/>
      <c r="AM1067" s="418"/>
      <c r="AN1067" s="423"/>
      <c r="AO1067" s="423"/>
      <c r="AP1067" s="423"/>
      <c r="AQ1067" s="423"/>
      <c r="AR1067" s="423"/>
      <c r="AS1067" s="423"/>
      <c r="AT1067" s="423"/>
      <c r="AU1067" s="423"/>
      <c r="AV1067" s="423"/>
      <c r="AW1067" s="418"/>
      <c r="AX1067" s="418"/>
      <c r="AY1067" s="418"/>
      <c r="BB1067" s="306"/>
      <c r="BF1067" s="1119"/>
      <c r="BG1067" s="1119"/>
      <c r="BH1067" s="1119"/>
    </row>
    <row r="1068" spans="1:60" ht="15.75" customHeight="1">
      <c r="A1068" s="415"/>
      <c r="B1068" s="416"/>
      <c r="C1068" s="424"/>
      <c r="E1068" s="418"/>
      <c r="F1068" s="419"/>
      <c r="G1068" s="420"/>
      <c r="H1068" s="421"/>
      <c r="I1068" s="425"/>
      <c r="J1068" s="492"/>
      <c r="K1068" s="418"/>
      <c r="L1068" s="418"/>
      <c r="M1068" s="418"/>
      <c r="N1068" s="421"/>
      <c r="O1068" s="421"/>
      <c r="P1068" s="421"/>
      <c r="Q1068" s="418"/>
      <c r="R1068" s="418"/>
      <c r="S1068" s="418"/>
      <c r="T1068" s="418"/>
      <c r="U1068" s="418"/>
      <c r="V1068" s="418"/>
      <c r="W1068" s="418"/>
      <c r="X1068" s="418"/>
      <c r="Y1068" s="418"/>
      <c r="Z1068" s="418"/>
      <c r="AA1068" s="418"/>
      <c r="AB1068" s="418"/>
      <c r="AC1068" s="418"/>
      <c r="AD1068" s="418"/>
      <c r="AE1068" s="418"/>
      <c r="AF1068" s="418"/>
      <c r="AG1068" s="418"/>
      <c r="AH1068" s="418"/>
      <c r="AI1068" s="418"/>
      <c r="AJ1068" s="418"/>
      <c r="AK1068" s="418"/>
      <c r="AL1068" s="418"/>
      <c r="AM1068" s="418"/>
      <c r="AN1068" s="423"/>
      <c r="AO1068" s="423"/>
      <c r="AP1068" s="423"/>
      <c r="AQ1068" s="423"/>
      <c r="AR1068" s="423"/>
      <c r="AS1068" s="423"/>
      <c r="AT1068" s="423"/>
      <c r="AU1068" s="423"/>
      <c r="AV1068" s="423"/>
      <c r="AW1068" s="418"/>
      <c r="AX1068" s="418"/>
      <c r="AY1068" s="418"/>
      <c r="BB1068" s="306"/>
      <c r="BF1068" s="1119"/>
      <c r="BG1068" s="1119"/>
      <c r="BH1068" s="1119"/>
    </row>
    <row r="1069" spans="1:60" ht="15.75" customHeight="1">
      <c r="A1069" s="415"/>
      <c r="B1069" s="416"/>
      <c r="C1069" s="424"/>
      <c r="E1069" s="418"/>
      <c r="F1069" s="419"/>
      <c r="G1069" s="420"/>
      <c r="H1069" s="421"/>
      <c r="I1069" s="421"/>
      <c r="J1069" s="492"/>
      <c r="K1069" s="418"/>
      <c r="L1069" s="418"/>
      <c r="M1069" s="418"/>
      <c r="N1069" s="421"/>
      <c r="O1069" s="421"/>
      <c r="P1069" s="421"/>
      <c r="Q1069" s="418"/>
      <c r="R1069" s="418"/>
      <c r="S1069" s="418"/>
      <c r="T1069" s="418"/>
      <c r="U1069" s="418"/>
      <c r="V1069" s="418"/>
      <c r="W1069" s="418"/>
      <c r="X1069" s="418"/>
      <c r="Y1069" s="418"/>
      <c r="Z1069" s="418"/>
      <c r="AA1069" s="418"/>
      <c r="AB1069" s="418"/>
      <c r="AC1069" s="418"/>
      <c r="AD1069" s="418"/>
      <c r="AE1069" s="418"/>
      <c r="AF1069" s="418"/>
      <c r="AG1069" s="418"/>
      <c r="AH1069" s="418"/>
      <c r="AI1069" s="418"/>
      <c r="AJ1069" s="418"/>
      <c r="AK1069" s="418"/>
      <c r="AL1069" s="418"/>
      <c r="AM1069" s="418"/>
      <c r="AN1069" s="423"/>
      <c r="AO1069" s="423"/>
      <c r="AP1069" s="423"/>
      <c r="AQ1069" s="423"/>
      <c r="AR1069" s="423"/>
      <c r="AS1069" s="423"/>
      <c r="AT1069" s="423"/>
      <c r="AU1069" s="423"/>
      <c r="AV1069" s="423"/>
      <c r="AW1069" s="418"/>
      <c r="AX1069" s="418"/>
      <c r="AY1069" s="418"/>
      <c r="BB1069" s="306"/>
      <c r="BF1069" s="1119"/>
      <c r="BG1069" s="1119"/>
      <c r="BH1069" s="1119"/>
    </row>
    <row r="1070" spans="1:60" ht="15.75" customHeight="1">
      <c r="A1070" s="415"/>
      <c r="B1070" s="416"/>
      <c r="C1070" s="424"/>
      <c r="E1070" s="418"/>
      <c r="F1070" s="419"/>
      <c r="G1070" s="420"/>
      <c r="H1070" s="421"/>
      <c r="I1070" s="421"/>
      <c r="J1070" s="492"/>
      <c r="K1070" s="418"/>
      <c r="L1070" s="418"/>
      <c r="M1070" s="418"/>
      <c r="N1070" s="421"/>
      <c r="O1070" s="421"/>
      <c r="P1070" s="421"/>
      <c r="Q1070" s="418"/>
      <c r="R1070" s="418"/>
      <c r="S1070" s="418"/>
      <c r="T1070" s="418"/>
      <c r="U1070" s="418"/>
      <c r="V1070" s="418"/>
      <c r="W1070" s="418"/>
      <c r="X1070" s="418"/>
      <c r="Y1070" s="418"/>
      <c r="Z1070" s="418"/>
      <c r="AA1070" s="418"/>
      <c r="AB1070" s="418"/>
      <c r="AC1070" s="418"/>
      <c r="AD1070" s="418"/>
      <c r="AE1070" s="418"/>
      <c r="AF1070" s="418"/>
      <c r="AG1070" s="418"/>
      <c r="AH1070" s="418"/>
      <c r="AI1070" s="418"/>
      <c r="AJ1070" s="418"/>
      <c r="AK1070" s="418"/>
      <c r="AL1070" s="418"/>
      <c r="AM1070" s="418"/>
      <c r="AN1070" s="423"/>
      <c r="AO1070" s="423"/>
      <c r="AP1070" s="423"/>
      <c r="AQ1070" s="423"/>
      <c r="AR1070" s="423"/>
      <c r="AS1070" s="423"/>
      <c r="AT1070" s="423"/>
      <c r="AU1070" s="423"/>
      <c r="AV1070" s="423"/>
      <c r="AW1070" s="418"/>
      <c r="AX1070" s="418"/>
      <c r="AY1070" s="418"/>
      <c r="BB1070" s="306"/>
      <c r="BF1070" s="1119"/>
      <c r="BG1070" s="1119"/>
      <c r="BH1070" s="1119"/>
    </row>
    <row r="1071" spans="1:60" ht="15.75" customHeight="1">
      <c r="A1071" s="415"/>
      <c r="B1071" s="416"/>
      <c r="C1071" s="424"/>
      <c r="E1071" s="418"/>
      <c r="F1071" s="419"/>
      <c r="G1071" s="420"/>
      <c r="H1071" s="421"/>
      <c r="I1071" s="425"/>
      <c r="J1071" s="492"/>
      <c r="K1071" s="418"/>
      <c r="L1071" s="418"/>
      <c r="M1071" s="418"/>
      <c r="N1071" s="421"/>
      <c r="O1071" s="421"/>
      <c r="P1071" s="421"/>
      <c r="Q1071" s="418"/>
      <c r="R1071" s="418"/>
      <c r="S1071" s="418"/>
      <c r="T1071" s="418"/>
      <c r="U1071" s="418"/>
      <c r="V1071" s="418"/>
      <c r="W1071" s="418"/>
      <c r="X1071" s="418"/>
      <c r="Y1071" s="418"/>
      <c r="Z1071" s="418"/>
      <c r="AA1071" s="418"/>
      <c r="AB1071" s="418"/>
      <c r="AC1071" s="418"/>
      <c r="AD1071" s="418"/>
      <c r="AE1071" s="418"/>
      <c r="AF1071" s="418"/>
      <c r="AG1071" s="418"/>
      <c r="AH1071" s="418"/>
      <c r="AI1071" s="418"/>
      <c r="AJ1071" s="418"/>
      <c r="AK1071" s="418"/>
      <c r="AL1071" s="418"/>
      <c r="AM1071" s="418"/>
      <c r="AN1071" s="423"/>
      <c r="AO1071" s="423"/>
      <c r="AP1071" s="423"/>
      <c r="AQ1071" s="423"/>
      <c r="AR1071" s="423"/>
      <c r="AS1071" s="423"/>
      <c r="AT1071" s="423"/>
      <c r="AU1071" s="423"/>
      <c r="AV1071" s="423"/>
      <c r="AW1071" s="418"/>
      <c r="AX1071" s="418"/>
      <c r="AY1071" s="418"/>
      <c r="BB1071" s="306"/>
      <c r="BF1071" s="1119"/>
      <c r="BG1071" s="1119"/>
      <c r="BH1071" s="1119"/>
    </row>
    <row r="1072" spans="1:60" ht="15.75" customHeight="1">
      <c r="A1072" s="415"/>
      <c r="B1072" s="416"/>
      <c r="C1072" s="424"/>
      <c r="E1072" s="418"/>
      <c r="F1072" s="419"/>
      <c r="G1072" s="420"/>
      <c r="H1072" s="421"/>
      <c r="I1072" s="421"/>
      <c r="J1072" s="492"/>
      <c r="K1072" s="418"/>
      <c r="L1072" s="418"/>
      <c r="M1072" s="418"/>
      <c r="N1072" s="421"/>
      <c r="O1072" s="421"/>
      <c r="P1072" s="421"/>
      <c r="Q1072" s="418"/>
      <c r="R1072" s="418"/>
      <c r="S1072" s="418"/>
      <c r="T1072" s="418"/>
      <c r="U1072" s="418"/>
      <c r="V1072" s="418"/>
      <c r="W1072" s="418"/>
      <c r="X1072" s="418"/>
      <c r="Y1072" s="418"/>
      <c r="Z1072" s="418"/>
      <c r="AA1072" s="418"/>
      <c r="AB1072" s="418"/>
      <c r="AC1072" s="418"/>
      <c r="AD1072" s="418"/>
      <c r="AE1072" s="418"/>
      <c r="AF1072" s="418"/>
      <c r="AG1072" s="418"/>
      <c r="AH1072" s="418"/>
      <c r="AI1072" s="418"/>
      <c r="AJ1072" s="418"/>
      <c r="AK1072" s="418"/>
      <c r="AL1072" s="418"/>
      <c r="AM1072" s="418"/>
      <c r="AN1072" s="423"/>
      <c r="AO1072" s="423"/>
      <c r="AP1072" s="423"/>
      <c r="AQ1072" s="423"/>
      <c r="AR1072" s="423"/>
      <c r="AS1072" s="423"/>
      <c r="AT1072" s="423"/>
      <c r="AU1072" s="423"/>
      <c r="AV1072" s="423"/>
      <c r="AW1072" s="418"/>
      <c r="AX1072" s="418"/>
      <c r="AY1072" s="418"/>
      <c r="BB1072" s="306"/>
      <c r="BF1072" s="1119"/>
      <c r="BG1072" s="1119"/>
      <c r="BH1072" s="1119"/>
    </row>
    <row r="1073" spans="1:60" ht="15.75" customHeight="1">
      <c r="A1073" s="415"/>
      <c r="B1073" s="416"/>
      <c r="C1073" s="424"/>
      <c r="E1073" s="418"/>
      <c r="F1073" s="419"/>
      <c r="G1073" s="420"/>
      <c r="H1073" s="421"/>
      <c r="I1073" s="425"/>
      <c r="J1073" s="492"/>
      <c r="K1073" s="418"/>
      <c r="L1073" s="418"/>
      <c r="M1073" s="418"/>
      <c r="N1073" s="421"/>
      <c r="O1073" s="421"/>
      <c r="P1073" s="421"/>
      <c r="Q1073" s="418"/>
      <c r="R1073" s="418"/>
      <c r="S1073" s="418"/>
      <c r="T1073" s="418"/>
      <c r="U1073" s="418"/>
      <c r="V1073" s="418"/>
      <c r="W1073" s="418"/>
      <c r="X1073" s="418"/>
      <c r="Y1073" s="418"/>
      <c r="Z1073" s="418"/>
      <c r="AA1073" s="418"/>
      <c r="AB1073" s="418"/>
      <c r="AC1073" s="418"/>
      <c r="AD1073" s="418"/>
      <c r="AE1073" s="418"/>
      <c r="AF1073" s="418"/>
      <c r="AG1073" s="418"/>
      <c r="AH1073" s="418"/>
      <c r="AI1073" s="418"/>
      <c r="AJ1073" s="418"/>
      <c r="AK1073" s="418"/>
      <c r="AL1073" s="418"/>
      <c r="AM1073" s="418"/>
      <c r="AN1073" s="423"/>
      <c r="AO1073" s="423"/>
      <c r="AP1073" s="423"/>
      <c r="AQ1073" s="423"/>
      <c r="AR1073" s="423"/>
      <c r="AS1073" s="423"/>
      <c r="AT1073" s="423"/>
      <c r="AU1073" s="423"/>
      <c r="AV1073" s="423"/>
      <c r="AW1073" s="418"/>
      <c r="AX1073" s="418"/>
      <c r="AY1073" s="418"/>
      <c r="BB1073" s="306"/>
      <c r="BF1073" s="1119"/>
      <c r="BG1073" s="1119"/>
      <c r="BH1073" s="1119"/>
    </row>
    <row r="1074" spans="1:60" ht="15.75" customHeight="1">
      <c r="A1074" s="415"/>
      <c r="B1074" s="416"/>
      <c r="C1074" s="424"/>
      <c r="E1074" s="418"/>
      <c r="F1074" s="419"/>
      <c r="G1074" s="420"/>
      <c r="H1074" s="421"/>
      <c r="I1074" s="421"/>
      <c r="J1074" s="492"/>
      <c r="K1074" s="418"/>
      <c r="L1074" s="418"/>
      <c r="M1074" s="418"/>
      <c r="N1074" s="421"/>
      <c r="O1074" s="421"/>
      <c r="P1074" s="421"/>
      <c r="Q1074" s="418"/>
      <c r="R1074" s="418"/>
      <c r="S1074" s="418"/>
      <c r="T1074" s="418"/>
      <c r="U1074" s="418"/>
      <c r="V1074" s="418"/>
      <c r="W1074" s="418"/>
      <c r="X1074" s="418"/>
      <c r="Y1074" s="418"/>
      <c r="Z1074" s="418"/>
      <c r="AA1074" s="418"/>
      <c r="AB1074" s="418"/>
      <c r="AC1074" s="418"/>
      <c r="AD1074" s="418"/>
      <c r="AE1074" s="418"/>
      <c r="AF1074" s="418"/>
      <c r="AG1074" s="418"/>
      <c r="AH1074" s="418"/>
      <c r="AI1074" s="418"/>
      <c r="AJ1074" s="418"/>
      <c r="AK1074" s="418"/>
      <c r="AL1074" s="418"/>
      <c r="AM1074" s="418"/>
      <c r="AN1074" s="423"/>
      <c r="AO1074" s="423"/>
      <c r="AP1074" s="423"/>
      <c r="AQ1074" s="423"/>
      <c r="AR1074" s="423"/>
      <c r="AS1074" s="423"/>
      <c r="AT1074" s="423"/>
      <c r="AU1074" s="423"/>
      <c r="AV1074" s="423"/>
      <c r="AW1074" s="418"/>
      <c r="AX1074" s="418"/>
      <c r="AY1074" s="418"/>
      <c r="BB1074" s="306"/>
      <c r="BF1074" s="1119"/>
      <c r="BG1074" s="1119"/>
      <c r="BH1074" s="1119"/>
    </row>
    <row r="1075" spans="1:60" ht="15.75" customHeight="1">
      <c r="A1075" s="415"/>
      <c r="B1075" s="416"/>
      <c r="C1075" s="424"/>
      <c r="E1075" s="418"/>
      <c r="F1075" s="419"/>
      <c r="G1075" s="420"/>
      <c r="H1075" s="421"/>
      <c r="I1075" s="421"/>
      <c r="J1075" s="492"/>
      <c r="K1075" s="418"/>
      <c r="L1075" s="418"/>
      <c r="M1075" s="418"/>
      <c r="N1075" s="421"/>
      <c r="O1075" s="421"/>
      <c r="P1075" s="421"/>
      <c r="Q1075" s="418"/>
      <c r="R1075" s="418"/>
      <c r="S1075" s="418"/>
      <c r="T1075" s="418"/>
      <c r="U1075" s="418"/>
      <c r="V1075" s="418"/>
      <c r="W1075" s="418"/>
      <c r="X1075" s="418"/>
      <c r="Y1075" s="418"/>
      <c r="Z1075" s="418"/>
      <c r="AA1075" s="418"/>
      <c r="AB1075" s="418"/>
      <c r="AC1075" s="418"/>
      <c r="AD1075" s="418"/>
      <c r="AE1075" s="418"/>
      <c r="AF1075" s="418"/>
      <c r="AG1075" s="418"/>
      <c r="AH1075" s="418"/>
      <c r="AI1075" s="418"/>
      <c r="AJ1075" s="418"/>
      <c r="AK1075" s="418"/>
      <c r="AL1075" s="418"/>
      <c r="AM1075" s="418"/>
      <c r="AN1075" s="423"/>
      <c r="AO1075" s="423"/>
      <c r="AP1075" s="423"/>
      <c r="AQ1075" s="423"/>
      <c r="AR1075" s="423"/>
      <c r="AS1075" s="423"/>
      <c r="AT1075" s="423"/>
      <c r="AU1075" s="423"/>
      <c r="AV1075" s="423"/>
      <c r="AW1075" s="418"/>
      <c r="AX1075" s="418"/>
      <c r="AY1075" s="418"/>
      <c r="BB1075" s="306"/>
      <c r="BF1075" s="1119"/>
      <c r="BG1075" s="1119"/>
      <c r="BH1075" s="1119"/>
    </row>
    <row r="1076" spans="1:60" ht="15.75" customHeight="1">
      <c r="A1076" s="415"/>
      <c r="B1076" s="416"/>
      <c r="C1076" s="424"/>
      <c r="E1076" s="418"/>
      <c r="F1076" s="419"/>
      <c r="G1076" s="420"/>
      <c r="H1076" s="421"/>
      <c r="I1076" s="421"/>
      <c r="J1076" s="492"/>
      <c r="K1076" s="418"/>
      <c r="L1076" s="418"/>
      <c r="M1076" s="418"/>
      <c r="N1076" s="421"/>
      <c r="O1076" s="421"/>
      <c r="P1076" s="421"/>
      <c r="Q1076" s="418"/>
      <c r="R1076" s="418"/>
      <c r="S1076" s="418"/>
      <c r="T1076" s="418"/>
      <c r="U1076" s="418"/>
      <c r="V1076" s="418"/>
      <c r="W1076" s="418"/>
      <c r="X1076" s="418"/>
      <c r="Y1076" s="418"/>
      <c r="Z1076" s="418"/>
      <c r="AA1076" s="418"/>
      <c r="AB1076" s="418"/>
      <c r="AC1076" s="418"/>
      <c r="AD1076" s="418"/>
      <c r="AE1076" s="418"/>
      <c r="AF1076" s="418"/>
      <c r="AG1076" s="418"/>
      <c r="AH1076" s="418"/>
      <c r="AI1076" s="418"/>
      <c r="AJ1076" s="418"/>
      <c r="AK1076" s="418"/>
      <c r="AL1076" s="418"/>
      <c r="AM1076" s="418"/>
      <c r="AN1076" s="423"/>
      <c r="AO1076" s="423"/>
      <c r="AP1076" s="423"/>
      <c r="AQ1076" s="423"/>
      <c r="AR1076" s="423"/>
      <c r="AS1076" s="423"/>
      <c r="AT1076" s="423"/>
      <c r="AU1076" s="423"/>
      <c r="AV1076" s="423"/>
      <c r="AW1076" s="418"/>
      <c r="AX1076" s="418"/>
      <c r="AY1076" s="418"/>
      <c r="BB1076" s="306"/>
      <c r="BF1076" s="1119"/>
      <c r="BG1076" s="1119"/>
      <c r="BH1076" s="1119"/>
    </row>
    <row r="1077" spans="1:60" ht="15.75" customHeight="1">
      <c r="A1077" s="415"/>
      <c r="B1077" s="416"/>
      <c r="C1077" s="424"/>
      <c r="E1077" s="418"/>
      <c r="F1077" s="419"/>
      <c r="G1077" s="420"/>
      <c r="H1077" s="421"/>
      <c r="I1077" s="421"/>
      <c r="J1077" s="492"/>
      <c r="K1077" s="418"/>
      <c r="L1077" s="418"/>
      <c r="M1077" s="418"/>
      <c r="N1077" s="421"/>
      <c r="O1077" s="421"/>
      <c r="P1077" s="421"/>
      <c r="Q1077" s="418"/>
      <c r="R1077" s="418"/>
      <c r="S1077" s="418"/>
      <c r="T1077" s="418"/>
      <c r="U1077" s="418"/>
      <c r="V1077" s="418"/>
      <c r="W1077" s="418"/>
      <c r="X1077" s="418"/>
      <c r="Y1077" s="418"/>
      <c r="Z1077" s="418"/>
      <c r="AA1077" s="418"/>
      <c r="AB1077" s="418"/>
      <c r="AC1077" s="418"/>
      <c r="AD1077" s="418"/>
      <c r="AE1077" s="418"/>
      <c r="AF1077" s="418"/>
      <c r="AG1077" s="418"/>
      <c r="AH1077" s="418"/>
      <c r="AI1077" s="418"/>
      <c r="AJ1077" s="418"/>
      <c r="AK1077" s="418"/>
      <c r="AL1077" s="418"/>
      <c r="AM1077" s="418"/>
      <c r="AN1077" s="423"/>
      <c r="AO1077" s="423"/>
      <c r="AP1077" s="423"/>
      <c r="AQ1077" s="423"/>
      <c r="AR1077" s="423"/>
      <c r="AS1077" s="423"/>
      <c r="AT1077" s="423"/>
      <c r="AU1077" s="423"/>
      <c r="AV1077" s="423"/>
      <c r="AW1077" s="418"/>
      <c r="AX1077" s="418"/>
      <c r="AY1077" s="418"/>
      <c r="BB1077" s="306"/>
      <c r="BF1077" s="1119"/>
      <c r="BG1077" s="1119"/>
      <c r="BH1077" s="1119"/>
    </row>
    <row r="1078" spans="1:60" ht="15.75" customHeight="1">
      <c r="A1078" s="415"/>
      <c r="B1078" s="416"/>
      <c r="C1078" s="424"/>
      <c r="E1078" s="418"/>
      <c r="F1078" s="419"/>
      <c r="G1078" s="420"/>
      <c r="H1078" s="421"/>
      <c r="I1078" s="421"/>
      <c r="J1078" s="492"/>
      <c r="K1078" s="418"/>
      <c r="L1078" s="418"/>
      <c r="M1078" s="418"/>
      <c r="N1078" s="421"/>
      <c r="O1078" s="421"/>
      <c r="P1078" s="421"/>
      <c r="Q1078" s="418"/>
      <c r="R1078" s="418"/>
      <c r="S1078" s="418"/>
      <c r="T1078" s="418"/>
      <c r="U1078" s="418"/>
      <c r="V1078" s="418"/>
      <c r="W1078" s="418"/>
      <c r="X1078" s="418"/>
      <c r="Y1078" s="418"/>
      <c r="Z1078" s="418"/>
      <c r="AA1078" s="418"/>
      <c r="AB1078" s="418"/>
      <c r="AC1078" s="418"/>
      <c r="AD1078" s="418"/>
      <c r="AE1078" s="418"/>
      <c r="AF1078" s="418"/>
      <c r="AG1078" s="418"/>
      <c r="AH1078" s="418"/>
      <c r="AI1078" s="418"/>
      <c r="AJ1078" s="418"/>
      <c r="AK1078" s="418"/>
      <c r="AL1078" s="418"/>
      <c r="AM1078" s="418"/>
      <c r="AN1078" s="423"/>
      <c r="AO1078" s="423"/>
      <c r="AP1078" s="423"/>
      <c r="AQ1078" s="423"/>
      <c r="AR1078" s="423"/>
      <c r="AS1078" s="423"/>
      <c r="AT1078" s="423"/>
      <c r="AU1078" s="423"/>
      <c r="AV1078" s="423"/>
      <c r="AW1078" s="418"/>
      <c r="AX1078" s="418"/>
      <c r="AY1078" s="418"/>
      <c r="BB1078" s="306"/>
      <c r="BF1078" s="1119"/>
      <c r="BG1078" s="1119"/>
      <c r="BH1078" s="1119"/>
    </row>
    <row r="1079" spans="1:60" ht="15.75" customHeight="1">
      <c r="A1079" s="415"/>
      <c r="B1079" s="416"/>
      <c r="C1079" s="424"/>
      <c r="E1079" s="418"/>
      <c r="F1079" s="419"/>
      <c r="G1079" s="420"/>
      <c r="H1079" s="421"/>
      <c r="I1079" s="425"/>
      <c r="J1079" s="492"/>
      <c r="K1079" s="418"/>
      <c r="L1079" s="418"/>
      <c r="M1079" s="418"/>
      <c r="N1079" s="421"/>
      <c r="O1079" s="421"/>
      <c r="P1079" s="421"/>
      <c r="Q1079" s="418"/>
      <c r="R1079" s="418"/>
      <c r="S1079" s="418"/>
      <c r="T1079" s="418"/>
      <c r="U1079" s="418"/>
      <c r="V1079" s="418"/>
      <c r="W1079" s="418"/>
      <c r="X1079" s="418"/>
      <c r="Y1079" s="418"/>
      <c r="Z1079" s="418"/>
      <c r="AA1079" s="418"/>
      <c r="AB1079" s="418"/>
      <c r="AC1079" s="418"/>
      <c r="AD1079" s="418"/>
      <c r="AE1079" s="418"/>
      <c r="AF1079" s="418"/>
      <c r="AG1079" s="418"/>
      <c r="AH1079" s="418"/>
      <c r="AI1079" s="418"/>
      <c r="AJ1079" s="418"/>
      <c r="AK1079" s="418"/>
      <c r="AL1079" s="418"/>
      <c r="AM1079" s="418"/>
      <c r="AN1079" s="423"/>
      <c r="AO1079" s="423"/>
      <c r="AP1079" s="423"/>
      <c r="AQ1079" s="423"/>
      <c r="AR1079" s="423"/>
      <c r="AS1079" s="423"/>
      <c r="AT1079" s="423"/>
      <c r="AU1079" s="423"/>
      <c r="AV1079" s="423"/>
      <c r="AW1079" s="418"/>
      <c r="AX1079" s="418"/>
      <c r="AY1079" s="418"/>
      <c r="BB1079" s="306"/>
      <c r="BF1079" s="1119"/>
      <c r="BG1079" s="1119"/>
      <c r="BH1079" s="1119"/>
    </row>
    <row r="1080" spans="1:60" ht="15.75" customHeight="1">
      <c r="A1080" s="415"/>
      <c r="B1080" s="416"/>
      <c r="C1080" s="424"/>
      <c r="E1080" s="418"/>
      <c r="F1080" s="419"/>
      <c r="G1080" s="420"/>
      <c r="H1080" s="421"/>
      <c r="I1080" s="421"/>
      <c r="J1080" s="492"/>
      <c r="K1080" s="418"/>
      <c r="L1080" s="418"/>
      <c r="M1080" s="418"/>
      <c r="N1080" s="421"/>
      <c r="O1080" s="421"/>
      <c r="P1080" s="421"/>
      <c r="Q1080" s="418"/>
      <c r="R1080" s="418"/>
      <c r="S1080" s="418"/>
      <c r="T1080" s="418"/>
      <c r="U1080" s="418"/>
      <c r="V1080" s="418"/>
      <c r="W1080" s="418"/>
      <c r="X1080" s="418"/>
      <c r="Y1080" s="418"/>
      <c r="Z1080" s="418"/>
      <c r="AA1080" s="418"/>
      <c r="AB1080" s="418"/>
      <c r="AC1080" s="418"/>
      <c r="AD1080" s="418"/>
      <c r="AE1080" s="418"/>
      <c r="AF1080" s="418"/>
      <c r="AG1080" s="418"/>
      <c r="AH1080" s="418"/>
      <c r="AI1080" s="418"/>
      <c r="AJ1080" s="418"/>
      <c r="AK1080" s="418"/>
      <c r="AL1080" s="418"/>
      <c r="AM1080" s="418"/>
      <c r="AN1080" s="423"/>
      <c r="AO1080" s="423"/>
      <c r="AP1080" s="423"/>
      <c r="AQ1080" s="423"/>
      <c r="AR1080" s="423"/>
      <c r="AS1080" s="423"/>
      <c r="AT1080" s="423"/>
      <c r="AU1080" s="423"/>
      <c r="AV1080" s="423"/>
      <c r="AW1080" s="418"/>
      <c r="AX1080" s="418"/>
      <c r="AY1080" s="418"/>
      <c r="BB1080" s="306"/>
      <c r="BF1080" s="1119"/>
      <c r="BG1080" s="1119"/>
      <c r="BH1080" s="1119"/>
    </row>
    <row r="1081" spans="1:60" ht="15.75" customHeight="1">
      <c r="A1081" s="415"/>
      <c r="B1081" s="416"/>
      <c r="C1081" s="424"/>
      <c r="E1081" s="418"/>
      <c r="F1081" s="419"/>
      <c r="G1081" s="420"/>
      <c r="H1081" s="421"/>
      <c r="I1081" s="425"/>
      <c r="J1081" s="492"/>
      <c r="K1081" s="418"/>
      <c r="L1081" s="418"/>
      <c r="M1081" s="418"/>
      <c r="N1081" s="421"/>
      <c r="O1081" s="421"/>
      <c r="P1081" s="421"/>
      <c r="Q1081" s="418"/>
      <c r="R1081" s="418"/>
      <c r="S1081" s="418"/>
      <c r="T1081" s="418"/>
      <c r="U1081" s="418"/>
      <c r="V1081" s="418"/>
      <c r="W1081" s="418"/>
      <c r="X1081" s="418"/>
      <c r="Y1081" s="418"/>
      <c r="Z1081" s="418"/>
      <c r="AA1081" s="418"/>
      <c r="AB1081" s="418"/>
      <c r="AC1081" s="418"/>
      <c r="AD1081" s="418"/>
      <c r="AE1081" s="418"/>
      <c r="AF1081" s="418"/>
      <c r="AG1081" s="418"/>
      <c r="AH1081" s="418"/>
      <c r="AI1081" s="418"/>
      <c r="AJ1081" s="418"/>
      <c r="AK1081" s="418"/>
      <c r="AL1081" s="418"/>
      <c r="AM1081" s="418"/>
      <c r="AN1081" s="423"/>
      <c r="AO1081" s="423"/>
      <c r="AP1081" s="423"/>
      <c r="AQ1081" s="423"/>
      <c r="AR1081" s="423"/>
      <c r="AS1081" s="423"/>
      <c r="AT1081" s="423"/>
      <c r="AU1081" s="423"/>
      <c r="AV1081" s="423"/>
      <c r="AW1081" s="418"/>
      <c r="AX1081" s="418"/>
      <c r="AY1081" s="418"/>
      <c r="BB1081" s="306"/>
      <c r="BF1081" s="1119"/>
      <c r="BG1081" s="1119"/>
      <c r="BH1081" s="1119"/>
    </row>
    <row r="1082" spans="1:60" ht="15.75" customHeight="1">
      <c r="A1082" s="415"/>
      <c r="B1082" s="416"/>
      <c r="C1082" s="424"/>
      <c r="E1082" s="418"/>
      <c r="F1082" s="419"/>
      <c r="G1082" s="420"/>
      <c r="H1082" s="421"/>
      <c r="I1082" s="421"/>
      <c r="J1082" s="492"/>
      <c r="K1082" s="418"/>
      <c r="L1082" s="418"/>
      <c r="M1082" s="418"/>
      <c r="N1082" s="421"/>
      <c r="O1082" s="421"/>
      <c r="P1082" s="421"/>
      <c r="Q1082" s="418"/>
      <c r="R1082" s="418"/>
      <c r="S1082" s="418"/>
      <c r="T1082" s="418"/>
      <c r="U1082" s="418"/>
      <c r="V1082" s="418"/>
      <c r="W1082" s="418"/>
      <c r="X1082" s="418"/>
      <c r="Y1082" s="418"/>
      <c r="Z1082" s="418"/>
      <c r="AA1082" s="418"/>
      <c r="AB1082" s="418"/>
      <c r="AC1082" s="418"/>
      <c r="AD1082" s="418"/>
      <c r="AE1082" s="418"/>
      <c r="AF1082" s="418"/>
      <c r="AG1082" s="418"/>
      <c r="AH1082" s="418"/>
      <c r="AI1082" s="418"/>
      <c r="AJ1082" s="418"/>
      <c r="AK1082" s="418"/>
      <c r="AL1082" s="418"/>
      <c r="AM1082" s="418"/>
      <c r="AN1082" s="423"/>
      <c r="AO1082" s="423"/>
      <c r="AP1082" s="423"/>
      <c r="AQ1082" s="423"/>
      <c r="AR1082" s="423"/>
      <c r="AS1082" s="423"/>
      <c r="AT1082" s="423"/>
      <c r="AU1082" s="423"/>
      <c r="AV1082" s="423"/>
      <c r="AW1082" s="418"/>
      <c r="AX1082" s="418"/>
      <c r="AY1082" s="418"/>
      <c r="BB1082" s="306"/>
      <c r="BF1082" s="1119"/>
      <c r="BG1082" s="1119"/>
      <c r="BH1082" s="1119"/>
    </row>
    <row r="1083" spans="1:60" ht="15.75" customHeight="1">
      <c r="A1083" s="415"/>
      <c r="B1083" s="416"/>
      <c r="C1083" s="424"/>
      <c r="E1083" s="418"/>
      <c r="F1083" s="419"/>
      <c r="G1083" s="420"/>
      <c r="H1083" s="421"/>
      <c r="I1083" s="425"/>
      <c r="J1083" s="492"/>
      <c r="K1083" s="418"/>
      <c r="L1083" s="418"/>
      <c r="M1083" s="418"/>
      <c r="N1083" s="421"/>
      <c r="O1083" s="421"/>
      <c r="P1083" s="421"/>
      <c r="Q1083" s="418"/>
      <c r="R1083" s="418"/>
      <c r="S1083" s="418"/>
      <c r="T1083" s="418"/>
      <c r="U1083" s="418"/>
      <c r="V1083" s="418"/>
      <c r="W1083" s="418"/>
      <c r="X1083" s="418"/>
      <c r="Y1083" s="418"/>
      <c r="Z1083" s="418"/>
      <c r="AA1083" s="418"/>
      <c r="AB1083" s="418"/>
      <c r="AC1083" s="418"/>
      <c r="AD1083" s="418"/>
      <c r="AE1083" s="418"/>
      <c r="AF1083" s="418"/>
      <c r="AG1083" s="418"/>
      <c r="AH1083" s="418"/>
      <c r="AI1083" s="418"/>
      <c r="AJ1083" s="418"/>
      <c r="AK1083" s="418"/>
      <c r="AL1083" s="418"/>
      <c r="AM1083" s="418"/>
      <c r="AN1083" s="423"/>
      <c r="AO1083" s="423"/>
      <c r="AP1083" s="423"/>
      <c r="AQ1083" s="423"/>
      <c r="AR1083" s="423"/>
      <c r="AS1083" s="423"/>
      <c r="AT1083" s="423"/>
      <c r="AU1083" s="423"/>
      <c r="AV1083" s="423"/>
      <c r="AW1083" s="418"/>
      <c r="AX1083" s="418"/>
      <c r="AY1083" s="418"/>
      <c r="BB1083" s="306"/>
      <c r="BF1083" s="1119"/>
      <c r="BG1083" s="1119"/>
      <c r="BH1083" s="1119"/>
    </row>
    <row r="1084" spans="1:60" ht="15.75" customHeight="1">
      <c r="A1084" s="415"/>
      <c r="B1084" s="416"/>
      <c r="C1084" s="424"/>
      <c r="E1084" s="418"/>
      <c r="F1084" s="419"/>
      <c r="G1084" s="420"/>
      <c r="H1084" s="421"/>
      <c r="I1084" s="421"/>
      <c r="J1084" s="492"/>
      <c r="K1084" s="418"/>
      <c r="L1084" s="418"/>
      <c r="M1084" s="418"/>
      <c r="N1084" s="421"/>
      <c r="O1084" s="421"/>
      <c r="P1084" s="421"/>
      <c r="Q1084" s="418"/>
      <c r="R1084" s="418"/>
      <c r="S1084" s="418"/>
      <c r="T1084" s="418"/>
      <c r="U1084" s="418"/>
      <c r="V1084" s="418"/>
      <c r="W1084" s="418"/>
      <c r="X1084" s="418"/>
      <c r="Y1084" s="418"/>
      <c r="Z1084" s="418"/>
      <c r="AA1084" s="418"/>
      <c r="AB1084" s="418"/>
      <c r="AC1084" s="418"/>
      <c r="AD1084" s="418"/>
      <c r="AE1084" s="418"/>
      <c r="AF1084" s="418"/>
      <c r="AG1084" s="418"/>
      <c r="AH1084" s="418"/>
      <c r="AI1084" s="418"/>
      <c r="AJ1084" s="418"/>
      <c r="AK1084" s="418"/>
      <c r="AL1084" s="418"/>
      <c r="AM1084" s="418"/>
      <c r="AN1084" s="423"/>
      <c r="AO1084" s="423"/>
      <c r="AP1084" s="423"/>
      <c r="AQ1084" s="423"/>
      <c r="AR1084" s="423"/>
      <c r="AS1084" s="423"/>
      <c r="AT1084" s="423"/>
      <c r="AU1084" s="423"/>
      <c r="AV1084" s="423"/>
      <c r="AW1084" s="418"/>
      <c r="AX1084" s="418"/>
      <c r="AY1084" s="418"/>
      <c r="BB1084" s="306"/>
      <c r="BF1084" s="1119"/>
      <c r="BG1084" s="1119"/>
      <c r="BH1084" s="1119"/>
    </row>
    <row r="1085" spans="1:60" ht="15.75" customHeight="1">
      <c r="A1085" s="415"/>
      <c r="B1085" s="416"/>
      <c r="C1085" s="424"/>
      <c r="E1085" s="418"/>
      <c r="F1085" s="419"/>
      <c r="G1085" s="420"/>
      <c r="H1085" s="421"/>
      <c r="I1085" s="421"/>
      <c r="J1085" s="492"/>
      <c r="K1085" s="418"/>
      <c r="L1085" s="418"/>
      <c r="M1085" s="418"/>
      <c r="N1085" s="421"/>
      <c r="O1085" s="421"/>
      <c r="P1085" s="421"/>
      <c r="Q1085" s="418"/>
      <c r="R1085" s="418"/>
      <c r="S1085" s="418"/>
      <c r="T1085" s="418"/>
      <c r="U1085" s="418"/>
      <c r="V1085" s="418"/>
      <c r="W1085" s="418"/>
      <c r="X1085" s="418"/>
      <c r="Y1085" s="418"/>
      <c r="Z1085" s="418"/>
      <c r="AA1085" s="418"/>
      <c r="AB1085" s="418"/>
      <c r="AC1085" s="418"/>
      <c r="AD1085" s="418"/>
      <c r="AE1085" s="418"/>
      <c r="AF1085" s="418"/>
      <c r="AG1085" s="418"/>
      <c r="AH1085" s="418"/>
      <c r="AI1085" s="418"/>
      <c r="AJ1085" s="418"/>
      <c r="AK1085" s="418"/>
      <c r="AL1085" s="418"/>
      <c r="AM1085" s="418"/>
      <c r="AN1085" s="423"/>
      <c r="AO1085" s="423"/>
      <c r="AP1085" s="423"/>
      <c r="AQ1085" s="423"/>
      <c r="AR1085" s="423"/>
      <c r="AS1085" s="423"/>
      <c r="AT1085" s="423"/>
      <c r="AU1085" s="423"/>
      <c r="AV1085" s="423"/>
      <c r="AW1085" s="418"/>
      <c r="AX1085" s="418"/>
      <c r="AY1085" s="418"/>
      <c r="BB1085" s="306"/>
      <c r="BF1085" s="1119"/>
      <c r="BG1085" s="1119"/>
      <c r="BH1085" s="1119"/>
    </row>
    <row r="1086" spans="1:60" ht="15.75" customHeight="1">
      <c r="A1086" s="415"/>
      <c r="B1086" s="416"/>
      <c r="C1086" s="424"/>
      <c r="E1086" s="418"/>
      <c r="F1086" s="419"/>
      <c r="G1086" s="420"/>
      <c r="H1086" s="421"/>
      <c r="I1086" s="421"/>
      <c r="J1086" s="492"/>
      <c r="K1086" s="418"/>
      <c r="L1086" s="418"/>
      <c r="M1086" s="418"/>
      <c r="N1086" s="421"/>
      <c r="O1086" s="421"/>
      <c r="P1086" s="421"/>
      <c r="Q1086" s="418"/>
      <c r="R1086" s="418"/>
      <c r="S1086" s="418"/>
      <c r="T1086" s="418"/>
      <c r="U1086" s="418"/>
      <c r="V1086" s="418"/>
      <c r="W1086" s="418"/>
      <c r="X1086" s="418"/>
      <c r="Y1086" s="418"/>
      <c r="Z1086" s="418"/>
      <c r="AA1086" s="418"/>
      <c r="AB1086" s="418"/>
      <c r="AC1086" s="418"/>
      <c r="AD1086" s="418"/>
      <c r="AE1086" s="418"/>
      <c r="AF1086" s="418"/>
      <c r="AG1086" s="418"/>
      <c r="AH1086" s="418"/>
      <c r="AI1086" s="418"/>
      <c r="AJ1086" s="418"/>
      <c r="AK1086" s="418"/>
      <c r="AL1086" s="418"/>
      <c r="AM1086" s="418"/>
      <c r="AN1086" s="423"/>
      <c r="AO1086" s="423"/>
      <c r="AP1086" s="423"/>
      <c r="AQ1086" s="423"/>
      <c r="AR1086" s="423"/>
      <c r="AS1086" s="423"/>
      <c r="AT1086" s="423"/>
      <c r="AU1086" s="423"/>
      <c r="AV1086" s="423"/>
      <c r="AW1086" s="418"/>
      <c r="AX1086" s="418"/>
      <c r="AY1086" s="418"/>
      <c r="BB1086" s="306"/>
      <c r="BF1086" s="1119"/>
      <c r="BG1086" s="1119"/>
      <c r="BH1086" s="1119"/>
    </row>
    <row r="1087" spans="1:60" ht="15.75" customHeight="1">
      <c r="A1087" s="415"/>
      <c r="B1087" s="416"/>
      <c r="C1087" s="424"/>
      <c r="E1087" s="418"/>
      <c r="F1087" s="419"/>
      <c r="G1087" s="420"/>
      <c r="H1087" s="421"/>
      <c r="I1087" s="421"/>
      <c r="J1087" s="492"/>
      <c r="K1087" s="418"/>
      <c r="L1087" s="418"/>
      <c r="M1087" s="418"/>
      <c r="N1087" s="421"/>
      <c r="O1087" s="421"/>
      <c r="P1087" s="421"/>
      <c r="Q1087" s="418"/>
      <c r="R1087" s="418"/>
      <c r="S1087" s="418"/>
      <c r="T1087" s="418"/>
      <c r="U1087" s="418"/>
      <c r="V1087" s="418"/>
      <c r="W1087" s="418"/>
      <c r="X1087" s="418"/>
      <c r="Y1087" s="418"/>
      <c r="Z1087" s="418"/>
      <c r="AA1087" s="418"/>
      <c r="AB1087" s="418"/>
      <c r="AC1087" s="418"/>
      <c r="AD1087" s="418"/>
      <c r="AE1087" s="418"/>
      <c r="AF1087" s="418"/>
      <c r="AG1087" s="418"/>
      <c r="AH1087" s="418"/>
      <c r="AI1087" s="418"/>
      <c r="AJ1087" s="418"/>
      <c r="AK1087" s="418"/>
      <c r="AL1087" s="418"/>
      <c r="AM1087" s="418"/>
      <c r="AN1087" s="423"/>
      <c r="AO1087" s="423"/>
      <c r="AP1087" s="423"/>
      <c r="AQ1087" s="423"/>
      <c r="AR1087" s="423"/>
      <c r="AS1087" s="423"/>
      <c r="AT1087" s="423"/>
      <c r="AU1087" s="423"/>
      <c r="AV1087" s="423"/>
      <c r="AW1087" s="418"/>
      <c r="AX1087" s="418"/>
      <c r="AY1087" s="418"/>
      <c r="BB1087" s="306"/>
      <c r="BF1087" s="1119"/>
      <c r="BG1087" s="1119"/>
      <c r="BH1087" s="1119"/>
    </row>
    <row r="1088" spans="1:60" ht="15.75" customHeight="1">
      <c r="A1088" s="415"/>
      <c r="B1088" s="416"/>
      <c r="C1088" s="424"/>
      <c r="E1088" s="418"/>
      <c r="F1088" s="419"/>
      <c r="G1088" s="420"/>
      <c r="H1088" s="421"/>
      <c r="I1088" s="421"/>
      <c r="J1088" s="492"/>
      <c r="K1088" s="418"/>
      <c r="L1088" s="418"/>
      <c r="M1088" s="418"/>
      <c r="N1088" s="421"/>
      <c r="O1088" s="421"/>
      <c r="P1088" s="421"/>
      <c r="Q1088" s="418"/>
      <c r="R1088" s="418"/>
      <c r="S1088" s="418"/>
      <c r="T1088" s="418"/>
      <c r="U1088" s="418"/>
      <c r="V1088" s="418"/>
      <c r="W1088" s="418"/>
      <c r="X1088" s="418"/>
      <c r="Y1088" s="418"/>
      <c r="Z1088" s="418"/>
      <c r="AA1088" s="418"/>
      <c r="AB1088" s="418"/>
      <c r="AC1088" s="418"/>
      <c r="AD1088" s="418"/>
      <c r="AE1088" s="418"/>
      <c r="AF1088" s="418"/>
      <c r="AG1088" s="418"/>
      <c r="AH1088" s="418"/>
      <c r="AI1088" s="418"/>
      <c r="AJ1088" s="418"/>
      <c r="AK1088" s="418"/>
      <c r="AL1088" s="418"/>
      <c r="AM1088" s="418"/>
      <c r="AN1088" s="423"/>
      <c r="AO1088" s="423"/>
      <c r="AP1088" s="423"/>
      <c r="AQ1088" s="423"/>
      <c r="AR1088" s="423"/>
      <c r="AS1088" s="423"/>
      <c r="AT1088" s="423"/>
      <c r="AU1088" s="423"/>
      <c r="AV1088" s="423"/>
      <c r="AW1088" s="418"/>
      <c r="AX1088" s="418"/>
      <c r="AY1088" s="418"/>
      <c r="BB1088" s="306"/>
      <c r="BF1088" s="1119"/>
      <c r="BG1088" s="1119"/>
      <c r="BH1088" s="1119"/>
    </row>
    <row r="1089" spans="1:60" ht="15.75" customHeight="1">
      <c r="A1089" s="415"/>
      <c r="B1089" s="416"/>
      <c r="C1089" s="424"/>
      <c r="E1089" s="418"/>
      <c r="F1089" s="419"/>
      <c r="G1089" s="420"/>
      <c r="H1089" s="421"/>
      <c r="I1089" s="421"/>
      <c r="J1089" s="492"/>
      <c r="K1089" s="418"/>
      <c r="L1089" s="418"/>
      <c r="M1089" s="418"/>
      <c r="N1089" s="421"/>
      <c r="O1089" s="421"/>
      <c r="P1089" s="421"/>
      <c r="Q1089" s="418"/>
      <c r="R1089" s="418"/>
      <c r="S1089" s="418"/>
      <c r="T1089" s="418"/>
      <c r="U1089" s="418"/>
      <c r="V1089" s="418"/>
      <c r="W1089" s="418"/>
      <c r="X1089" s="418"/>
      <c r="Y1089" s="418"/>
      <c r="Z1089" s="418"/>
      <c r="AA1089" s="418"/>
      <c r="AB1089" s="418"/>
      <c r="AC1089" s="418"/>
      <c r="AD1089" s="418"/>
      <c r="AE1089" s="418"/>
      <c r="AF1089" s="418"/>
      <c r="AG1089" s="418"/>
      <c r="AH1089" s="418"/>
      <c r="AI1089" s="418"/>
      <c r="AJ1089" s="418"/>
      <c r="AK1089" s="418"/>
      <c r="AL1089" s="418"/>
      <c r="AM1089" s="418"/>
      <c r="AN1089" s="423"/>
      <c r="AO1089" s="423"/>
      <c r="AP1089" s="423"/>
      <c r="AQ1089" s="423"/>
      <c r="AR1089" s="423"/>
      <c r="AS1089" s="423"/>
      <c r="AT1089" s="423"/>
      <c r="AU1089" s="423"/>
      <c r="AV1089" s="423"/>
      <c r="AW1089" s="418"/>
      <c r="AX1089" s="418"/>
      <c r="AY1089" s="418"/>
      <c r="BB1089" s="306"/>
      <c r="BF1089" s="1119"/>
      <c r="BG1089" s="1119"/>
      <c r="BH1089" s="1119"/>
    </row>
    <row r="1090" spans="1:60" ht="15.75" customHeight="1">
      <c r="A1090" s="415"/>
      <c r="B1090" s="416"/>
      <c r="C1090" s="424"/>
      <c r="E1090" s="418"/>
      <c r="F1090" s="419"/>
      <c r="G1090" s="420"/>
      <c r="H1090" s="421"/>
      <c r="I1090" s="421"/>
      <c r="J1090" s="492"/>
      <c r="K1090" s="418"/>
      <c r="L1090" s="418"/>
      <c r="M1090" s="418"/>
      <c r="N1090" s="421"/>
      <c r="O1090" s="421"/>
      <c r="P1090" s="421"/>
      <c r="Q1090" s="418"/>
      <c r="R1090" s="418"/>
      <c r="S1090" s="418"/>
      <c r="T1090" s="418"/>
      <c r="U1090" s="418"/>
      <c r="V1090" s="418"/>
      <c r="W1090" s="418"/>
      <c r="X1090" s="418"/>
      <c r="Y1090" s="418"/>
      <c r="Z1090" s="418"/>
      <c r="AA1090" s="418"/>
      <c r="AB1090" s="418"/>
      <c r="AC1090" s="418"/>
      <c r="AD1090" s="418"/>
      <c r="AE1090" s="418"/>
      <c r="AF1090" s="418"/>
      <c r="AG1090" s="418"/>
      <c r="AH1090" s="418"/>
      <c r="AI1090" s="418"/>
      <c r="AJ1090" s="418"/>
      <c r="AK1090" s="418"/>
      <c r="AL1090" s="418"/>
      <c r="AM1090" s="418"/>
      <c r="AN1090" s="423"/>
      <c r="AO1090" s="423"/>
      <c r="AP1090" s="423"/>
      <c r="AQ1090" s="423"/>
      <c r="AR1090" s="423"/>
      <c r="AS1090" s="423"/>
      <c r="AT1090" s="423"/>
      <c r="AU1090" s="423"/>
      <c r="AV1090" s="423"/>
      <c r="AW1090" s="418"/>
      <c r="AX1090" s="418"/>
      <c r="AY1090" s="418"/>
      <c r="BB1090" s="306"/>
      <c r="BF1090" s="1119"/>
      <c r="BG1090" s="1119"/>
      <c r="BH1090" s="1119"/>
    </row>
    <row r="1091" spans="1:60" ht="15.75" customHeight="1">
      <c r="A1091" s="415"/>
      <c r="B1091" s="416"/>
      <c r="C1091" s="424"/>
      <c r="E1091" s="418"/>
      <c r="F1091" s="419"/>
      <c r="G1091" s="420"/>
      <c r="H1091" s="421"/>
      <c r="I1091" s="421"/>
      <c r="J1091" s="492"/>
      <c r="K1091" s="418"/>
      <c r="L1091" s="418"/>
      <c r="M1091" s="418"/>
      <c r="N1091" s="421"/>
      <c r="O1091" s="421"/>
      <c r="P1091" s="421"/>
      <c r="Q1091" s="418"/>
      <c r="R1091" s="418"/>
      <c r="S1091" s="418"/>
      <c r="T1091" s="418"/>
      <c r="U1091" s="418"/>
      <c r="V1091" s="418"/>
      <c r="W1091" s="418"/>
      <c r="X1091" s="418"/>
      <c r="Y1091" s="418"/>
      <c r="Z1091" s="418"/>
      <c r="AA1091" s="418"/>
      <c r="AB1091" s="418"/>
      <c r="AC1091" s="418"/>
      <c r="AD1091" s="418"/>
      <c r="AE1091" s="418"/>
      <c r="AF1091" s="418"/>
      <c r="AG1091" s="418"/>
      <c r="AH1091" s="418"/>
      <c r="AI1091" s="418"/>
      <c r="AJ1091" s="418"/>
      <c r="AK1091" s="418"/>
      <c r="AL1091" s="418"/>
      <c r="AM1091" s="418"/>
      <c r="AN1091" s="423"/>
      <c r="AO1091" s="423"/>
      <c r="AP1091" s="423"/>
      <c r="AQ1091" s="423"/>
      <c r="AR1091" s="423"/>
      <c r="AS1091" s="423"/>
      <c r="AT1091" s="423"/>
      <c r="AU1091" s="423"/>
      <c r="AV1091" s="423"/>
      <c r="AW1091" s="418"/>
      <c r="AX1091" s="418"/>
      <c r="AY1091" s="418"/>
      <c r="BB1091" s="306"/>
      <c r="BF1091" s="1119"/>
      <c r="BG1091" s="1119"/>
      <c r="BH1091" s="1119"/>
    </row>
    <row r="1092" spans="1:60" ht="15.75" customHeight="1">
      <c r="A1092" s="415"/>
      <c r="B1092" s="416"/>
      <c r="C1092" s="424"/>
      <c r="E1092" s="418"/>
      <c r="F1092" s="419"/>
      <c r="G1092" s="420"/>
      <c r="H1092" s="421"/>
      <c r="I1092" s="421"/>
      <c r="J1092" s="492"/>
      <c r="K1092" s="418"/>
      <c r="L1092" s="418"/>
      <c r="M1092" s="418"/>
      <c r="N1092" s="421"/>
      <c r="O1092" s="421"/>
      <c r="P1092" s="421"/>
      <c r="Q1092" s="418"/>
      <c r="R1092" s="418"/>
      <c r="S1092" s="418"/>
      <c r="T1092" s="418"/>
      <c r="U1092" s="418"/>
      <c r="V1092" s="418"/>
      <c r="W1092" s="418"/>
      <c r="X1092" s="418"/>
      <c r="Y1092" s="418"/>
      <c r="Z1092" s="418"/>
      <c r="AA1092" s="418"/>
      <c r="AB1092" s="418"/>
      <c r="AC1092" s="418"/>
      <c r="AD1092" s="418"/>
      <c r="AE1092" s="418"/>
      <c r="AF1092" s="418"/>
      <c r="AG1092" s="418"/>
      <c r="AH1092" s="418"/>
      <c r="AI1092" s="418"/>
      <c r="AJ1092" s="418"/>
      <c r="AK1092" s="418"/>
      <c r="AL1092" s="418"/>
      <c r="AM1092" s="418"/>
      <c r="AN1092" s="423"/>
      <c r="AO1092" s="423"/>
      <c r="AP1092" s="423"/>
      <c r="AQ1092" s="423"/>
      <c r="AR1092" s="423"/>
      <c r="AS1092" s="423"/>
      <c r="AT1092" s="423"/>
      <c r="AU1092" s="423"/>
      <c r="AV1092" s="423"/>
      <c r="AW1092" s="418"/>
      <c r="AX1092" s="418"/>
      <c r="AY1092" s="418"/>
      <c r="BB1092" s="306"/>
      <c r="BF1092" s="1119"/>
      <c r="BG1092" s="1119"/>
      <c r="BH1092" s="1119"/>
    </row>
    <row r="1093" spans="1:60" ht="15.75" customHeight="1">
      <c r="A1093" s="415"/>
      <c r="B1093" s="416"/>
      <c r="C1093" s="424"/>
      <c r="E1093" s="418"/>
      <c r="F1093" s="419"/>
      <c r="G1093" s="420"/>
      <c r="H1093" s="421"/>
      <c r="I1093" s="421"/>
      <c r="J1093" s="492"/>
      <c r="K1093" s="418"/>
      <c r="L1093" s="418"/>
      <c r="M1093" s="418"/>
      <c r="N1093" s="421"/>
      <c r="O1093" s="421"/>
      <c r="P1093" s="421"/>
      <c r="Q1093" s="418"/>
      <c r="R1093" s="418"/>
      <c r="S1093" s="418"/>
      <c r="T1093" s="418"/>
      <c r="U1093" s="418"/>
      <c r="V1093" s="418"/>
      <c r="W1093" s="418"/>
      <c r="X1093" s="418"/>
      <c r="Y1093" s="418"/>
      <c r="Z1093" s="418"/>
      <c r="AA1093" s="418"/>
      <c r="AB1093" s="418"/>
      <c r="AC1093" s="418"/>
      <c r="AD1093" s="418"/>
      <c r="AE1093" s="418"/>
      <c r="AF1093" s="418"/>
      <c r="AG1093" s="418"/>
      <c r="AH1093" s="418"/>
      <c r="AI1093" s="418"/>
      <c r="AJ1093" s="418"/>
      <c r="AK1093" s="418"/>
      <c r="AL1093" s="418"/>
      <c r="AM1093" s="418"/>
      <c r="AN1093" s="423"/>
      <c r="AO1093" s="423"/>
      <c r="AP1093" s="423"/>
      <c r="AQ1093" s="423"/>
      <c r="AR1093" s="423"/>
      <c r="AS1093" s="423"/>
      <c r="AT1093" s="423"/>
      <c r="AU1093" s="423"/>
      <c r="AV1093" s="423"/>
      <c r="AW1093" s="418"/>
      <c r="AX1093" s="418"/>
      <c r="AY1093" s="418"/>
      <c r="BB1093" s="306"/>
      <c r="BF1093" s="1119"/>
      <c r="BG1093" s="1119"/>
      <c r="BH1093" s="1119"/>
    </row>
    <row r="1094" spans="1:60" ht="15.75" customHeight="1">
      <c r="A1094" s="415"/>
      <c r="B1094" s="416"/>
      <c r="C1094" s="424"/>
      <c r="E1094" s="418"/>
      <c r="F1094" s="419"/>
      <c r="G1094" s="420"/>
      <c r="H1094" s="421"/>
      <c r="I1094" s="421"/>
      <c r="J1094" s="492"/>
      <c r="K1094" s="418"/>
      <c r="L1094" s="418"/>
      <c r="M1094" s="418"/>
      <c r="N1094" s="421"/>
      <c r="O1094" s="421"/>
      <c r="P1094" s="421"/>
      <c r="Q1094" s="418"/>
      <c r="R1094" s="418"/>
      <c r="S1094" s="418"/>
      <c r="T1094" s="418"/>
      <c r="U1094" s="418"/>
      <c r="V1094" s="418"/>
      <c r="W1094" s="418"/>
      <c r="X1094" s="418"/>
      <c r="Y1094" s="418"/>
      <c r="Z1094" s="418"/>
      <c r="AA1094" s="418"/>
      <c r="AB1094" s="418"/>
      <c r="AC1094" s="418"/>
      <c r="AD1094" s="418"/>
      <c r="AE1094" s="418"/>
      <c r="AF1094" s="418"/>
      <c r="AG1094" s="418"/>
      <c r="AH1094" s="418"/>
      <c r="AI1094" s="418"/>
      <c r="AJ1094" s="418"/>
      <c r="AK1094" s="418"/>
      <c r="AL1094" s="418"/>
      <c r="AM1094" s="418"/>
      <c r="AN1094" s="423"/>
      <c r="AO1094" s="423"/>
      <c r="AP1094" s="423"/>
      <c r="AQ1094" s="423"/>
      <c r="AR1094" s="423"/>
      <c r="AS1094" s="423"/>
      <c r="AT1094" s="423"/>
      <c r="AU1094" s="423"/>
      <c r="AV1094" s="423"/>
      <c r="AW1094" s="418"/>
      <c r="AX1094" s="418"/>
      <c r="AY1094" s="418"/>
      <c r="BB1094" s="306"/>
      <c r="BF1094" s="1119"/>
      <c r="BG1094" s="1119"/>
      <c r="BH1094" s="1119"/>
    </row>
    <row r="1095" spans="1:60" ht="15.75" customHeight="1">
      <c r="A1095" s="415"/>
      <c r="B1095" s="416"/>
      <c r="C1095" s="424"/>
      <c r="E1095" s="418"/>
      <c r="F1095" s="419"/>
      <c r="G1095" s="420"/>
      <c r="H1095" s="421"/>
      <c r="I1095" s="421"/>
      <c r="J1095" s="492"/>
      <c r="K1095" s="418"/>
      <c r="L1095" s="418"/>
      <c r="M1095" s="418"/>
      <c r="N1095" s="421"/>
      <c r="O1095" s="421"/>
      <c r="P1095" s="421"/>
      <c r="Q1095" s="418"/>
      <c r="R1095" s="418"/>
      <c r="S1095" s="418"/>
      <c r="T1095" s="418"/>
      <c r="U1095" s="418"/>
      <c r="V1095" s="418"/>
      <c r="W1095" s="418"/>
      <c r="X1095" s="418"/>
      <c r="Y1095" s="418"/>
      <c r="Z1095" s="418"/>
      <c r="AA1095" s="418"/>
      <c r="AB1095" s="418"/>
      <c r="AC1095" s="418"/>
      <c r="AD1095" s="418"/>
      <c r="AE1095" s="418"/>
      <c r="AF1095" s="418"/>
      <c r="AG1095" s="418"/>
      <c r="AH1095" s="418"/>
      <c r="AI1095" s="418"/>
      <c r="AJ1095" s="418"/>
      <c r="AK1095" s="418"/>
      <c r="AL1095" s="418"/>
      <c r="AM1095" s="418"/>
      <c r="AN1095" s="423"/>
      <c r="AO1095" s="423"/>
      <c r="AP1095" s="423"/>
      <c r="AQ1095" s="423"/>
      <c r="AR1095" s="423"/>
      <c r="AS1095" s="423"/>
      <c r="AT1095" s="423"/>
      <c r="AU1095" s="423"/>
      <c r="AV1095" s="423"/>
      <c r="AW1095" s="418"/>
      <c r="AX1095" s="418"/>
      <c r="AY1095" s="418"/>
      <c r="BB1095" s="306"/>
      <c r="BF1095" s="1119"/>
      <c r="BG1095" s="1119"/>
      <c r="BH1095" s="1119"/>
    </row>
    <row r="1096" spans="1:60" ht="15.75" customHeight="1">
      <c r="A1096" s="415"/>
      <c r="B1096" s="416"/>
      <c r="C1096" s="424"/>
      <c r="E1096" s="418"/>
      <c r="F1096" s="419"/>
      <c r="G1096" s="420"/>
      <c r="H1096" s="421"/>
      <c r="I1096" s="421"/>
      <c r="J1096" s="492"/>
      <c r="K1096" s="418"/>
      <c r="L1096" s="418"/>
      <c r="M1096" s="418"/>
      <c r="N1096" s="421"/>
      <c r="O1096" s="421"/>
      <c r="P1096" s="421"/>
      <c r="Q1096" s="418"/>
      <c r="R1096" s="418"/>
      <c r="S1096" s="418"/>
      <c r="T1096" s="418"/>
      <c r="U1096" s="418"/>
      <c r="V1096" s="418"/>
      <c r="W1096" s="418"/>
      <c r="X1096" s="418"/>
      <c r="Y1096" s="418"/>
      <c r="Z1096" s="418"/>
      <c r="AA1096" s="418"/>
      <c r="AB1096" s="418"/>
      <c r="AC1096" s="418"/>
      <c r="AD1096" s="418"/>
      <c r="AE1096" s="418"/>
      <c r="AF1096" s="418"/>
      <c r="AG1096" s="418"/>
      <c r="AH1096" s="418"/>
      <c r="AI1096" s="418"/>
      <c r="AJ1096" s="418"/>
      <c r="AK1096" s="418"/>
      <c r="AL1096" s="418"/>
      <c r="AM1096" s="418"/>
      <c r="AN1096" s="423"/>
      <c r="AO1096" s="423"/>
      <c r="AP1096" s="423"/>
      <c r="AQ1096" s="423"/>
      <c r="AR1096" s="423"/>
      <c r="AS1096" s="423"/>
      <c r="AT1096" s="423"/>
      <c r="AU1096" s="423"/>
      <c r="AV1096" s="423"/>
      <c r="AW1096" s="418"/>
      <c r="AX1096" s="418"/>
      <c r="AY1096" s="418"/>
      <c r="BB1096" s="306"/>
      <c r="BF1096" s="1119"/>
      <c r="BG1096" s="1119"/>
      <c r="BH1096" s="1119"/>
    </row>
    <row r="1097" spans="1:60" ht="15.75" customHeight="1">
      <c r="A1097" s="415"/>
      <c r="B1097" s="416"/>
      <c r="C1097" s="424"/>
      <c r="E1097" s="418"/>
      <c r="F1097" s="419"/>
      <c r="G1097" s="420"/>
      <c r="H1097" s="421"/>
      <c r="I1097" s="421"/>
      <c r="J1097" s="492"/>
      <c r="K1097" s="418"/>
      <c r="L1097" s="418"/>
      <c r="M1097" s="418"/>
      <c r="N1097" s="421"/>
      <c r="O1097" s="421"/>
      <c r="P1097" s="421"/>
      <c r="Q1097" s="418"/>
      <c r="R1097" s="418"/>
      <c r="S1097" s="418"/>
      <c r="T1097" s="418"/>
      <c r="U1097" s="418"/>
      <c r="V1097" s="418"/>
      <c r="W1097" s="418"/>
      <c r="X1097" s="418"/>
      <c r="Y1097" s="418"/>
      <c r="Z1097" s="418"/>
      <c r="AA1097" s="418"/>
      <c r="AB1097" s="418"/>
      <c r="AC1097" s="418"/>
      <c r="AD1097" s="418"/>
      <c r="AE1097" s="418"/>
      <c r="AF1097" s="418"/>
      <c r="AG1097" s="418"/>
      <c r="AH1097" s="418"/>
      <c r="AI1097" s="418"/>
      <c r="AJ1097" s="418"/>
      <c r="AK1097" s="418"/>
      <c r="AL1097" s="418"/>
      <c r="AM1097" s="418"/>
      <c r="AN1097" s="423"/>
      <c r="AO1097" s="423"/>
      <c r="AP1097" s="423"/>
      <c r="AQ1097" s="423"/>
      <c r="AR1097" s="423"/>
      <c r="AS1097" s="423"/>
      <c r="AT1097" s="423"/>
      <c r="AU1097" s="423"/>
      <c r="AV1097" s="423"/>
      <c r="AW1097" s="418"/>
      <c r="AX1097" s="418"/>
      <c r="AY1097" s="418"/>
      <c r="BB1097" s="306"/>
      <c r="BF1097" s="1119"/>
      <c r="BG1097" s="1119"/>
      <c r="BH1097" s="1119"/>
    </row>
    <row r="1098" spans="1:60" ht="15.75" customHeight="1">
      <c r="A1098" s="415"/>
      <c r="B1098" s="416"/>
      <c r="C1098" s="424"/>
      <c r="E1098" s="418"/>
      <c r="F1098" s="419"/>
      <c r="G1098" s="420"/>
      <c r="H1098" s="421"/>
      <c r="I1098" s="421"/>
      <c r="J1098" s="492"/>
      <c r="K1098" s="418"/>
      <c r="L1098" s="418"/>
      <c r="M1098" s="418"/>
      <c r="N1098" s="421"/>
      <c r="O1098" s="421"/>
      <c r="P1098" s="421"/>
      <c r="Q1098" s="418"/>
      <c r="R1098" s="418"/>
      <c r="S1098" s="418"/>
      <c r="T1098" s="418"/>
      <c r="U1098" s="418"/>
      <c r="V1098" s="418"/>
      <c r="W1098" s="418"/>
      <c r="X1098" s="418"/>
      <c r="Y1098" s="418"/>
      <c r="Z1098" s="418"/>
      <c r="AA1098" s="418"/>
      <c r="AB1098" s="418"/>
      <c r="AC1098" s="418"/>
      <c r="AD1098" s="418"/>
      <c r="AE1098" s="418"/>
      <c r="AF1098" s="418"/>
      <c r="AG1098" s="418"/>
      <c r="AH1098" s="418"/>
      <c r="AI1098" s="418"/>
      <c r="AJ1098" s="418"/>
      <c r="AK1098" s="418"/>
      <c r="AL1098" s="418"/>
      <c r="AM1098" s="418"/>
      <c r="AN1098" s="423"/>
      <c r="AO1098" s="423"/>
      <c r="AP1098" s="423"/>
      <c r="AQ1098" s="423"/>
      <c r="AR1098" s="423"/>
      <c r="AS1098" s="423"/>
      <c r="AT1098" s="423"/>
      <c r="AU1098" s="423"/>
      <c r="AV1098" s="423"/>
      <c r="AW1098" s="418"/>
      <c r="AX1098" s="418"/>
      <c r="AY1098" s="418"/>
      <c r="BB1098" s="306"/>
      <c r="BF1098" s="1119"/>
      <c r="BG1098" s="1119"/>
      <c r="BH1098" s="1119"/>
    </row>
    <row r="1099" spans="1:60" ht="15.75" customHeight="1">
      <c r="A1099" s="415"/>
      <c r="B1099" s="416"/>
      <c r="C1099" s="424"/>
      <c r="E1099" s="418"/>
      <c r="F1099" s="419"/>
      <c r="G1099" s="420"/>
      <c r="H1099" s="421"/>
      <c r="I1099" s="421"/>
      <c r="J1099" s="492"/>
      <c r="K1099" s="418"/>
      <c r="L1099" s="418"/>
      <c r="M1099" s="418"/>
      <c r="N1099" s="421"/>
      <c r="O1099" s="421"/>
      <c r="P1099" s="421"/>
      <c r="Q1099" s="418"/>
      <c r="R1099" s="418"/>
      <c r="S1099" s="418"/>
      <c r="T1099" s="418"/>
      <c r="U1099" s="418"/>
      <c r="V1099" s="418"/>
      <c r="W1099" s="418"/>
      <c r="X1099" s="418"/>
      <c r="Y1099" s="418"/>
      <c r="Z1099" s="418"/>
      <c r="AA1099" s="418"/>
      <c r="AB1099" s="418"/>
      <c r="AC1099" s="418"/>
      <c r="AD1099" s="418"/>
      <c r="AE1099" s="418"/>
      <c r="AF1099" s="418"/>
      <c r="AG1099" s="418"/>
      <c r="AH1099" s="418"/>
      <c r="AI1099" s="418"/>
      <c r="AJ1099" s="418"/>
      <c r="AK1099" s="418"/>
      <c r="AL1099" s="418"/>
      <c r="AM1099" s="418"/>
      <c r="AN1099" s="423"/>
      <c r="AO1099" s="423"/>
      <c r="AP1099" s="423"/>
      <c r="AQ1099" s="423"/>
      <c r="AR1099" s="423"/>
      <c r="AS1099" s="423"/>
      <c r="AT1099" s="423"/>
      <c r="AU1099" s="423"/>
      <c r="AV1099" s="423"/>
      <c r="AW1099" s="418"/>
      <c r="AX1099" s="418"/>
      <c r="AY1099" s="418"/>
      <c r="BB1099" s="306"/>
      <c r="BF1099" s="1119"/>
      <c r="BG1099" s="1119"/>
      <c r="BH1099" s="1119"/>
    </row>
    <row r="1100" spans="1:60" ht="15.75" customHeight="1">
      <c r="A1100" s="415"/>
      <c r="B1100" s="416"/>
      <c r="C1100" s="424"/>
      <c r="E1100" s="418"/>
      <c r="F1100" s="419"/>
      <c r="G1100" s="420"/>
      <c r="H1100" s="421"/>
      <c r="I1100" s="421"/>
      <c r="J1100" s="492"/>
      <c r="K1100" s="418"/>
      <c r="L1100" s="418"/>
      <c r="M1100" s="418"/>
      <c r="N1100" s="421"/>
      <c r="O1100" s="421"/>
      <c r="P1100" s="421"/>
      <c r="Q1100" s="418"/>
      <c r="R1100" s="418"/>
      <c r="S1100" s="418"/>
      <c r="T1100" s="418"/>
      <c r="U1100" s="418"/>
      <c r="V1100" s="418"/>
      <c r="W1100" s="418"/>
      <c r="X1100" s="418"/>
      <c r="Y1100" s="418"/>
      <c r="Z1100" s="418"/>
      <c r="AA1100" s="418"/>
      <c r="AB1100" s="418"/>
      <c r="AC1100" s="418"/>
      <c r="AD1100" s="418"/>
      <c r="AE1100" s="418"/>
      <c r="AF1100" s="418"/>
      <c r="AG1100" s="418"/>
      <c r="AH1100" s="418"/>
      <c r="AI1100" s="418"/>
      <c r="AJ1100" s="418"/>
      <c r="AK1100" s="418"/>
      <c r="AL1100" s="418"/>
      <c r="AM1100" s="418"/>
      <c r="AN1100" s="423"/>
      <c r="AO1100" s="423"/>
      <c r="AP1100" s="423"/>
      <c r="AQ1100" s="423"/>
      <c r="AR1100" s="423"/>
      <c r="AS1100" s="423"/>
      <c r="AT1100" s="423"/>
      <c r="AU1100" s="423"/>
      <c r="AV1100" s="423"/>
      <c r="AW1100" s="418"/>
      <c r="AX1100" s="418"/>
      <c r="AY1100" s="418"/>
      <c r="BB1100" s="306"/>
      <c r="BF1100" s="1119"/>
      <c r="BG1100" s="1119"/>
      <c r="BH1100" s="1119"/>
    </row>
    <row r="1101" spans="1:60" ht="15.75" customHeight="1">
      <c r="A1101" s="415"/>
      <c r="B1101" s="416"/>
      <c r="C1101" s="424"/>
      <c r="E1101" s="418"/>
      <c r="F1101" s="419"/>
      <c r="G1101" s="420"/>
      <c r="H1101" s="421"/>
      <c r="I1101" s="421"/>
      <c r="J1101" s="492"/>
      <c r="K1101" s="418"/>
      <c r="L1101" s="418"/>
      <c r="M1101" s="418"/>
      <c r="N1101" s="421"/>
      <c r="O1101" s="421"/>
      <c r="P1101" s="421"/>
      <c r="Q1101" s="418"/>
      <c r="R1101" s="418"/>
      <c r="S1101" s="418"/>
      <c r="T1101" s="418"/>
      <c r="U1101" s="418"/>
      <c r="V1101" s="418"/>
      <c r="W1101" s="418"/>
      <c r="X1101" s="418"/>
      <c r="Y1101" s="418"/>
      <c r="Z1101" s="418"/>
      <c r="AA1101" s="418"/>
      <c r="AB1101" s="418"/>
      <c r="AC1101" s="418"/>
      <c r="AD1101" s="418"/>
      <c r="AE1101" s="418"/>
      <c r="AF1101" s="418"/>
      <c r="AG1101" s="418"/>
      <c r="AH1101" s="418"/>
      <c r="AI1101" s="418"/>
      <c r="AJ1101" s="418"/>
      <c r="AK1101" s="418"/>
      <c r="AL1101" s="418"/>
      <c r="AM1101" s="418"/>
      <c r="AN1101" s="423"/>
      <c r="AO1101" s="423"/>
      <c r="AP1101" s="423"/>
      <c r="AQ1101" s="423"/>
      <c r="AR1101" s="423"/>
      <c r="AS1101" s="423"/>
      <c r="AT1101" s="423"/>
      <c r="AU1101" s="423"/>
      <c r="AV1101" s="423"/>
      <c r="AW1101" s="418"/>
      <c r="AX1101" s="418"/>
      <c r="AY1101" s="418"/>
      <c r="BB1101" s="306"/>
      <c r="BF1101" s="1119"/>
      <c r="BG1101" s="1119"/>
      <c r="BH1101" s="1119"/>
    </row>
    <row r="1102" spans="1:60" ht="15.75" customHeight="1">
      <c r="A1102" s="415"/>
      <c r="B1102" s="416"/>
      <c r="C1102" s="424"/>
      <c r="E1102" s="418"/>
      <c r="F1102" s="419"/>
      <c r="G1102" s="420"/>
      <c r="H1102" s="421"/>
      <c r="I1102" s="425"/>
      <c r="J1102" s="492"/>
      <c r="K1102" s="418"/>
      <c r="L1102" s="418"/>
      <c r="M1102" s="418"/>
      <c r="N1102" s="421"/>
      <c r="O1102" s="421"/>
      <c r="P1102" s="421"/>
      <c r="Q1102" s="418"/>
      <c r="R1102" s="418"/>
      <c r="S1102" s="418"/>
      <c r="T1102" s="418"/>
      <c r="U1102" s="418"/>
      <c r="V1102" s="418"/>
      <c r="W1102" s="418"/>
      <c r="X1102" s="418"/>
      <c r="Y1102" s="418"/>
      <c r="Z1102" s="418"/>
      <c r="AA1102" s="418"/>
      <c r="AB1102" s="418"/>
      <c r="AC1102" s="418"/>
      <c r="AD1102" s="418"/>
      <c r="AE1102" s="418"/>
      <c r="AF1102" s="418"/>
      <c r="AG1102" s="418"/>
      <c r="AH1102" s="418"/>
      <c r="AI1102" s="418"/>
      <c r="AJ1102" s="418"/>
      <c r="AK1102" s="418"/>
      <c r="AL1102" s="418"/>
      <c r="AM1102" s="418"/>
      <c r="AN1102" s="423"/>
      <c r="AO1102" s="423"/>
      <c r="AP1102" s="423"/>
      <c r="AQ1102" s="423"/>
      <c r="AR1102" s="423"/>
      <c r="AS1102" s="423"/>
      <c r="AT1102" s="423"/>
      <c r="AU1102" s="423"/>
      <c r="AV1102" s="423"/>
      <c r="AW1102" s="418"/>
      <c r="AX1102" s="418"/>
      <c r="AY1102" s="418"/>
      <c r="BB1102" s="306"/>
      <c r="BF1102" s="1119"/>
      <c r="BG1102" s="1119"/>
      <c r="BH1102" s="1119"/>
    </row>
    <row r="1103" spans="1:60" ht="15.75" customHeight="1">
      <c r="A1103" s="415"/>
      <c r="B1103" s="416"/>
      <c r="C1103" s="424"/>
      <c r="E1103" s="418"/>
      <c r="F1103" s="419"/>
      <c r="G1103" s="420"/>
      <c r="H1103" s="421"/>
      <c r="I1103" s="421"/>
      <c r="J1103" s="492"/>
      <c r="K1103" s="418"/>
      <c r="L1103" s="418"/>
      <c r="M1103" s="418"/>
      <c r="N1103" s="421"/>
      <c r="O1103" s="421"/>
      <c r="P1103" s="421"/>
      <c r="Q1103" s="418"/>
      <c r="R1103" s="418"/>
      <c r="S1103" s="418"/>
      <c r="T1103" s="418"/>
      <c r="U1103" s="418"/>
      <c r="V1103" s="418"/>
      <c r="W1103" s="418"/>
      <c r="X1103" s="418"/>
      <c r="Y1103" s="418"/>
      <c r="Z1103" s="418"/>
      <c r="AA1103" s="418"/>
      <c r="AB1103" s="418"/>
      <c r="AC1103" s="418"/>
      <c r="AD1103" s="418"/>
      <c r="AE1103" s="418"/>
      <c r="AF1103" s="418"/>
      <c r="AG1103" s="418"/>
      <c r="AH1103" s="418"/>
      <c r="AI1103" s="418"/>
      <c r="AJ1103" s="418"/>
      <c r="AK1103" s="418"/>
      <c r="AL1103" s="418"/>
      <c r="AM1103" s="418"/>
      <c r="AN1103" s="423"/>
      <c r="AO1103" s="423"/>
      <c r="AP1103" s="423"/>
      <c r="AQ1103" s="423"/>
      <c r="AR1103" s="423"/>
      <c r="AS1103" s="423"/>
      <c r="AT1103" s="423"/>
      <c r="AU1103" s="423"/>
      <c r="AV1103" s="423"/>
      <c r="AW1103" s="418"/>
      <c r="AX1103" s="418"/>
      <c r="AY1103" s="418"/>
      <c r="BB1103" s="306"/>
      <c r="BF1103" s="1119"/>
      <c r="BG1103" s="1119"/>
      <c r="BH1103" s="1119"/>
    </row>
    <row r="1104" spans="1:60" ht="15.75" customHeight="1">
      <c r="A1104" s="415"/>
      <c r="B1104" s="416"/>
      <c r="C1104" s="424"/>
      <c r="E1104" s="418"/>
      <c r="F1104" s="419"/>
      <c r="G1104" s="420"/>
      <c r="H1104" s="421"/>
      <c r="I1104" s="421"/>
      <c r="J1104" s="492"/>
      <c r="K1104" s="418"/>
      <c r="L1104" s="418"/>
      <c r="M1104" s="418"/>
      <c r="N1104" s="421"/>
      <c r="O1104" s="421"/>
      <c r="P1104" s="421"/>
      <c r="Q1104" s="418"/>
      <c r="R1104" s="418"/>
      <c r="S1104" s="418"/>
      <c r="T1104" s="418"/>
      <c r="U1104" s="418"/>
      <c r="V1104" s="418"/>
      <c r="W1104" s="418"/>
      <c r="X1104" s="418"/>
      <c r="Y1104" s="418"/>
      <c r="Z1104" s="418"/>
      <c r="AA1104" s="418"/>
      <c r="AB1104" s="418"/>
      <c r="AC1104" s="418"/>
      <c r="AD1104" s="418"/>
      <c r="AE1104" s="418"/>
      <c r="AF1104" s="418"/>
      <c r="AG1104" s="418"/>
      <c r="AH1104" s="418"/>
      <c r="AI1104" s="418"/>
      <c r="AJ1104" s="418"/>
      <c r="AK1104" s="418"/>
      <c r="AL1104" s="418"/>
      <c r="AM1104" s="418"/>
      <c r="AN1104" s="423"/>
      <c r="AO1104" s="423"/>
      <c r="AP1104" s="423"/>
      <c r="AQ1104" s="423"/>
      <c r="AR1104" s="423"/>
      <c r="AS1104" s="423"/>
      <c r="AT1104" s="423"/>
      <c r="AU1104" s="423"/>
      <c r="AV1104" s="423"/>
      <c r="AW1104" s="418"/>
      <c r="AX1104" s="418"/>
      <c r="AY1104" s="418"/>
      <c r="BB1104" s="306"/>
      <c r="BF1104" s="1119"/>
      <c r="BG1104" s="1119"/>
      <c r="BH1104" s="1119"/>
    </row>
    <row r="1105" spans="1:60" ht="15.75" customHeight="1">
      <c r="A1105" s="415"/>
      <c r="B1105" s="416"/>
      <c r="C1105" s="424"/>
      <c r="E1105" s="418"/>
      <c r="F1105" s="419"/>
      <c r="G1105" s="420"/>
      <c r="H1105" s="421"/>
      <c r="I1105" s="425"/>
      <c r="J1105" s="492"/>
      <c r="K1105" s="418"/>
      <c r="L1105" s="418"/>
      <c r="M1105" s="418"/>
      <c r="N1105" s="421"/>
      <c r="O1105" s="421"/>
      <c r="P1105" s="421"/>
      <c r="Q1105" s="418"/>
      <c r="R1105" s="418"/>
      <c r="S1105" s="418"/>
      <c r="T1105" s="418"/>
      <c r="U1105" s="418"/>
      <c r="V1105" s="418"/>
      <c r="W1105" s="418"/>
      <c r="X1105" s="418"/>
      <c r="Y1105" s="418"/>
      <c r="Z1105" s="418"/>
      <c r="AA1105" s="418"/>
      <c r="AB1105" s="418"/>
      <c r="AC1105" s="418"/>
      <c r="AD1105" s="418"/>
      <c r="AE1105" s="418"/>
      <c r="AF1105" s="418"/>
      <c r="AG1105" s="418"/>
      <c r="AH1105" s="418"/>
      <c r="AI1105" s="418"/>
      <c r="AJ1105" s="418"/>
      <c r="AK1105" s="418"/>
      <c r="AL1105" s="418"/>
      <c r="AM1105" s="418"/>
      <c r="AN1105" s="423"/>
      <c r="AO1105" s="423"/>
      <c r="AP1105" s="423"/>
      <c r="AQ1105" s="423"/>
      <c r="AR1105" s="423"/>
      <c r="AS1105" s="423"/>
      <c r="AT1105" s="423"/>
      <c r="AU1105" s="423"/>
      <c r="AV1105" s="423"/>
      <c r="AW1105" s="418"/>
      <c r="AX1105" s="418"/>
      <c r="AY1105" s="418"/>
      <c r="BB1105" s="306"/>
      <c r="BF1105" s="1119"/>
      <c r="BG1105" s="1119"/>
      <c r="BH1105" s="1119"/>
    </row>
    <row r="1106" spans="1:60" ht="15.75" customHeight="1">
      <c r="A1106" s="415"/>
      <c r="B1106" s="416"/>
      <c r="C1106" s="424"/>
      <c r="E1106" s="418"/>
      <c r="F1106" s="419"/>
      <c r="G1106" s="420"/>
      <c r="H1106" s="421"/>
      <c r="I1106" s="421"/>
      <c r="J1106" s="492"/>
      <c r="K1106" s="418"/>
      <c r="L1106" s="418"/>
      <c r="M1106" s="418"/>
      <c r="N1106" s="421"/>
      <c r="O1106" s="421"/>
      <c r="P1106" s="421"/>
      <c r="Q1106" s="418"/>
      <c r="R1106" s="418"/>
      <c r="S1106" s="418"/>
      <c r="T1106" s="418"/>
      <c r="U1106" s="418"/>
      <c r="V1106" s="418"/>
      <c r="W1106" s="418"/>
      <c r="X1106" s="418"/>
      <c r="Y1106" s="418"/>
      <c r="Z1106" s="418"/>
      <c r="AA1106" s="418"/>
      <c r="AB1106" s="418"/>
      <c r="AC1106" s="418"/>
      <c r="AD1106" s="418"/>
      <c r="AE1106" s="418"/>
      <c r="AF1106" s="418"/>
      <c r="AG1106" s="418"/>
      <c r="AH1106" s="418"/>
      <c r="AI1106" s="418"/>
      <c r="AJ1106" s="418"/>
      <c r="AK1106" s="418"/>
      <c r="AL1106" s="418"/>
      <c r="AM1106" s="418"/>
      <c r="AN1106" s="423"/>
      <c r="AO1106" s="423"/>
      <c r="AP1106" s="423"/>
      <c r="AQ1106" s="423"/>
      <c r="AR1106" s="423"/>
      <c r="AS1106" s="423"/>
      <c r="AT1106" s="423"/>
      <c r="AU1106" s="423"/>
      <c r="AV1106" s="423"/>
      <c r="AW1106" s="418"/>
      <c r="AX1106" s="418"/>
      <c r="AY1106" s="418"/>
      <c r="BB1106" s="306"/>
      <c r="BF1106" s="1119"/>
      <c r="BG1106" s="1119"/>
      <c r="BH1106" s="1119"/>
    </row>
    <row r="1107" spans="1:60" ht="15.75" customHeight="1">
      <c r="A1107" s="415"/>
      <c r="B1107" s="416"/>
      <c r="C1107" s="424"/>
      <c r="E1107" s="418"/>
      <c r="F1107" s="419"/>
      <c r="G1107" s="420"/>
      <c r="H1107" s="421"/>
      <c r="I1107" s="425"/>
      <c r="J1107" s="492"/>
      <c r="K1107" s="418"/>
      <c r="L1107" s="418"/>
      <c r="M1107" s="418"/>
      <c r="N1107" s="421"/>
      <c r="O1107" s="421"/>
      <c r="P1107" s="421"/>
      <c r="Q1107" s="418"/>
      <c r="R1107" s="418"/>
      <c r="S1107" s="418"/>
      <c r="T1107" s="418"/>
      <c r="U1107" s="418"/>
      <c r="V1107" s="418"/>
      <c r="W1107" s="418"/>
      <c r="X1107" s="418"/>
      <c r="Y1107" s="418"/>
      <c r="Z1107" s="418"/>
      <c r="AA1107" s="418"/>
      <c r="AB1107" s="418"/>
      <c r="AC1107" s="418"/>
      <c r="AD1107" s="418"/>
      <c r="AE1107" s="418"/>
      <c r="AF1107" s="418"/>
      <c r="AG1107" s="418"/>
      <c r="AH1107" s="418"/>
      <c r="AI1107" s="418"/>
      <c r="AJ1107" s="418"/>
      <c r="AK1107" s="418"/>
      <c r="AL1107" s="418"/>
      <c r="AM1107" s="418"/>
      <c r="AN1107" s="423"/>
      <c r="AO1107" s="423"/>
      <c r="AP1107" s="423"/>
      <c r="AQ1107" s="423"/>
      <c r="AR1107" s="423"/>
      <c r="AS1107" s="423"/>
      <c r="AT1107" s="423"/>
      <c r="AU1107" s="423"/>
      <c r="AV1107" s="423"/>
      <c r="AW1107" s="418"/>
      <c r="AX1107" s="418"/>
      <c r="AY1107" s="418"/>
      <c r="BB1107" s="306"/>
      <c r="BF1107" s="1119"/>
      <c r="BG1107" s="1119"/>
      <c r="BH1107" s="1119"/>
    </row>
    <row r="1108" spans="1:60" ht="15.75" customHeight="1">
      <c r="A1108" s="415"/>
      <c r="B1108" s="416"/>
      <c r="C1108" s="424"/>
      <c r="E1108" s="418"/>
      <c r="F1108" s="419"/>
      <c r="G1108" s="420"/>
      <c r="H1108" s="421"/>
      <c r="I1108" s="421"/>
      <c r="J1108" s="492"/>
      <c r="K1108" s="418"/>
      <c r="L1108" s="418"/>
      <c r="M1108" s="418"/>
      <c r="N1108" s="421"/>
      <c r="O1108" s="421"/>
      <c r="P1108" s="421"/>
      <c r="Q1108" s="418"/>
      <c r="R1108" s="418"/>
      <c r="S1108" s="418"/>
      <c r="T1108" s="418"/>
      <c r="U1108" s="418"/>
      <c r="V1108" s="418"/>
      <c r="W1108" s="418"/>
      <c r="X1108" s="418"/>
      <c r="Y1108" s="418"/>
      <c r="Z1108" s="418"/>
      <c r="AA1108" s="418"/>
      <c r="AB1108" s="418"/>
      <c r="AC1108" s="418"/>
      <c r="AD1108" s="418"/>
      <c r="AE1108" s="418"/>
      <c r="AF1108" s="418"/>
      <c r="AG1108" s="418"/>
      <c r="AH1108" s="418"/>
      <c r="AI1108" s="418"/>
      <c r="AJ1108" s="418"/>
      <c r="AK1108" s="418"/>
      <c r="AL1108" s="418"/>
      <c r="AM1108" s="418"/>
      <c r="AN1108" s="423"/>
      <c r="AO1108" s="423"/>
      <c r="AP1108" s="423"/>
      <c r="AQ1108" s="423"/>
      <c r="AR1108" s="423"/>
      <c r="AS1108" s="423"/>
      <c r="AT1108" s="423"/>
      <c r="AU1108" s="423"/>
      <c r="AV1108" s="423"/>
      <c r="AW1108" s="418"/>
      <c r="AX1108" s="418"/>
      <c r="AY1108" s="418"/>
      <c r="BB1108" s="306"/>
      <c r="BF1108" s="1119"/>
      <c r="BG1108" s="1119"/>
      <c r="BH1108" s="1119"/>
    </row>
    <row r="1109" spans="1:60" ht="15.75" customHeight="1">
      <c r="A1109" s="415"/>
      <c r="B1109" s="416"/>
      <c r="C1109" s="424"/>
      <c r="E1109" s="418"/>
      <c r="F1109" s="419"/>
      <c r="G1109" s="420"/>
      <c r="H1109" s="421"/>
      <c r="I1109" s="421"/>
      <c r="J1109" s="492"/>
      <c r="K1109" s="418"/>
      <c r="L1109" s="418"/>
      <c r="M1109" s="418"/>
      <c r="N1109" s="421"/>
      <c r="O1109" s="421"/>
      <c r="P1109" s="421"/>
      <c r="Q1109" s="418"/>
      <c r="R1109" s="418"/>
      <c r="S1109" s="418"/>
      <c r="T1109" s="418"/>
      <c r="U1109" s="418"/>
      <c r="V1109" s="418"/>
      <c r="W1109" s="418"/>
      <c r="X1109" s="418"/>
      <c r="Y1109" s="418"/>
      <c r="Z1109" s="418"/>
      <c r="AA1109" s="418"/>
      <c r="AB1109" s="418"/>
      <c r="AC1109" s="418"/>
      <c r="AD1109" s="418"/>
      <c r="AE1109" s="418"/>
      <c r="AF1109" s="418"/>
      <c r="AG1109" s="418"/>
      <c r="AH1109" s="418"/>
      <c r="AI1109" s="418"/>
      <c r="AJ1109" s="418"/>
      <c r="AK1109" s="418"/>
      <c r="AL1109" s="418"/>
      <c r="AM1109" s="418"/>
      <c r="AN1109" s="423"/>
      <c r="AO1109" s="423"/>
      <c r="AP1109" s="423"/>
      <c r="AQ1109" s="423"/>
      <c r="AR1109" s="423"/>
      <c r="AS1109" s="423"/>
      <c r="AT1109" s="423"/>
      <c r="AU1109" s="423"/>
      <c r="AV1109" s="423"/>
      <c r="AW1109" s="418"/>
      <c r="AX1109" s="418"/>
      <c r="AY1109" s="418"/>
      <c r="BB1109" s="306"/>
      <c r="BF1109" s="1119"/>
      <c r="BG1109" s="1119"/>
      <c r="BH1109" s="1119"/>
    </row>
    <row r="1110" spans="1:60" ht="15.75" customHeight="1">
      <c r="A1110" s="415"/>
      <c r="B1110" s="416"/>
      <c r="C1110" s="424"/>
      <c r="E1110" s="418"/>
      <c r="F1110" s="419"/>
      <c r="G1110" s="420"/>
      <c r="H1110" s="421"/>
      <c r="I1110" s="421"/>
      <c r="J1110" s="492"/>
      <c r="K1110" s="418"/>
      <c r="L1110" s="418"/>
      <c r="M1110" s="418"/>
      <c r="N1110" s="421"/>
      <c r="O1110" s="421"/>
      <c r="P1110" s="421"/>
      <c r="Q1110" s="418"/>
      <c r="R1110" s="418"/>
      <c r="S1110" s="418"/>
      <c r="T1110" s="418"/>
      <c r="U1110" s="418"/>
      <c r="V1110" s="418"/>
      <c r="W1110" s="418"/>
      <c r="X1110" s="418"/>
      <c r="Y1110" s="418"/>
      <c r="Z1110" s="418"/>
      <c r="AA1110" s="418"/>
      <c r="AB1110" s="418"/>
      <c r="AC1110" s="418"/>
      <c r="AD1110" s="418"/>
      <c r="AE1110" s="418"/>
      <c r="AF1110" s="418"/>
      <c r="AG1110" s="418"/>
      <c r="AH1110" s="418"/>
      <c r="AI1110" s="418"/>
      <c r="AJ1110" s="418"/>
      <c r="AK1110" s="418"/>
      <c r="AL1110" s="418"/>
      <c r="AM1110" s="418"/>
      <c r="AN1110" s="423"/>
      <c r="AO1110" s="423"/>
      <c r="AP1110" s="423"/>
      <c r="AQ1110" s="423"/>
      <c r="AR1110" s="423"/>
      <c r="AS1110" s="423"/>
      <c r="AT1110" s="423"/>
      <c r="AU1110" s="423"/>
      <c r="AV1110" s="423"/>
      <c r="AW1110" s="418"/>
      <c r="AX1110" s="418"/>
      <c r="AY1110" s="418"/>
      <c r="BB1110" s="306"/>
      <c r="BF1110" s="1119"/>
      <c r="BG1110" s="1119"/>
      <c r="BH1110" s="1119"/>
    </row>
    <row r="1111" spans="1:60" ht="15.75" customHeight="1">
      <c r="A1111" s="415"/>
      <c r="B1111" s="416"/>
      <c r="C1111" s="424"/>
      <c r="E1111" s="418"/>
      <c r="F1111" s="419"/>
      <c r="G1111" s="420"/>
      <c r="H1111" s="421"/>
      <c r="I1111" s="421"/>
      <c r="J1111" s="492"/>
      <c r="K1111" s="418"/>
      <c r="L1111" s="418"/>
      <c r="M1111" s="418"/>
      <c r="N1111" s="421"/>
      <c r="O1111" s="421"/>
      <c r="P1111" s="421"/>
      <c r="Q1111" s="418"/>
      <c r="R1111" s="418"/>
      <c r="S1111" s="418"/>
      <c r="T1111" s="418"/>
      <c r="U1111" s="418"/>
      <c r="V1111" s="418"/>
      <c r="W1111" s="418"/>
      <c r="X1111" s="418"/>
      <c r="Y1111" s="418"/>
      <c r="Z1111" s="418"/>
      <c r="AA1111" s="418"/>
      <c r="AB1111" s="418"/>
      <c r="AC1111" s="418"/>
      <c r="AD1111" s="418"/>
      <c r="AE1111" s="418"/>
      <c r="AF1111" s="418"/>
      <c r="AG1111" s="418"/>
      <c r="AH1111" s="418"/>
      <c r="AI1111" s="418"/>
      <c r="AJ1111" s="418"/>
      <c r="AK1111" s="418"/>
      <c r="AL1111" s="418"/>
      <c r="AM1111" s="418"/>
      <c r="AN1111" s="423"/>
      <c r="AO1111" s="423"/>
      <c r="AP1111" s="423"/>
      <c r="AQ1111" s="423"/>
      <c r="AR1111" s="423"/>
      <c r="AS1111" s="423"/>
      <c r="AT1111" s="423"/>
      <c r="AU1111" s="423"/>
      <c r="AV1111" s="423"/>
      <c r="AW1111" s="418"/>
      <c r="AX1111" s="418"/>
      <c r="AY1111" s="418"/>
      <c r="BB1111" s="306"/>
      <c r="BF1111" s="1119"/>
      <c r="BG1111" s="1119"/>
      <c r="BH1111" s="1119"/>
    </row>
    <row r="1112" spans="1:60" ht="15.75" customHeight="1">
      <c r="A1112" s="415"/>
      <c r="B1112" s="416"/>
      <c r="C1112" s="424"/>
      <c r="E1112" s="418"/>
      <c r="F1112" s="419"/>
      <c r="G1112" s="420"/>
      <c r="H1112" s="421"/>
      <c r="I1112" s="421"/>
      <c r="J1112" s="492"/>
      <c r="K1112" s="418"/>
      <c r="L1112" s="418"/>
      <c r="M1112" s="418"/>
      <c r="N1112" s="421"/>
      <c r="O1112" s="421"/>
      <c r="P1112" s="421"/>
      <c r="Q1112" s="418"/>
      <c r="R1112" s="418"/>
      <c r="S1112" s="418"/>
      <c r="T1112" s="418"/>
      <c r="U1112" s="418"/>
      <c r="V1112" s="418"/>
      <c r="W1112" s="418"/>
      <c r="X1112" s="418"/>
      <c r="Y1112" s="418"/>
      <c r="Z1112" s="418"/>
      <c r="AA1112" s="418"/>
      <c r="AB1112" s="418"/>
      <c r="AC1112" s="418"/>
      <c r="AD1112" s="418"/>
      <c r="AE1112" s="418"/>
      <c r="AF1112" s="418"/>
      <c r="AG1112" s="418"/>
      <c r="AH1112" s="418"/>
      <c r="AI1112" s="418"/>
      <c r="AJ1112" s="418"/>
      <c r="AK1112" s="418"/>
      <c r="AL1112" s="418"/>
      <c r="AM1112" s="418"/>
      <c r="AN1112" s="423"/>
      <c r="AO1112" s="423"/>
      <c r="AP1112" s="423"/>
      <c r="AQ1112" s="423"/>
      <c r="AR1112" s="423"/>
      <c r="AS1112" s="423"/>
      <c r="AT1112" s="423"/>
      <c r="AU1112" s="423"/>
      <c r="AV1112" s="423"/>
      <c r="AW1112" s="418"/>
      <c r="AX1112" s="418"/>
      <c r="AY1112" s="418"/>
      <c r="BB1112" s="306"/>
      <c r="BF1112" s="1119"/>
      <c r="BG1112" s="1119"/>
      <c r="BH1112" s="1119"/>
    </row>
    <row r="1113" spans="1:60" ht="15.75" customHeight="1">
      <c r="A1113" s="415"/>
      <c r="B1113" s="416"/>
      <c r="C1113" s="424"/>
      <c r="E1113" s="418"/>
      <c r="F1113" s="419"/>
      <c r="G1113" s="420"/>
      <c r="H1113" s="421"/>
      <c r="I1113" s="425"/>
      <c r="J1113" s="492"/>
      <c r="K1113" s="418"/>
      <c r="L1113" s="418"/>
      <c r="M1113" s="418"/>
      <c r="N1113" s="421"/>
      <c r="O1113" s="421"/>
      <c r="P1113" s="421"/>
      <c r="Q1113" s="418"/>
      <c r="R1113" s="418"/>
      <c r="S1113" s="418"/>
      <c r="T1113" s="418"/>
      <c r="U1113" s="418"/>
      <c r="V1113" s="418"/>
      <c r="W1113" s="418"/>
      <c r="X1113" s="418"/>
      <c r="Y1113" s="418"/>
      <c r="Z1113" s="418"/>
      <c r="AA1113" s="418"/>
      <c r="AB1113" s="418"/>
      <c r="AC1113" s="418"/>
      <c r="AD1113" s="418"/>
      <c r="AE1113" s="418"/>
      <c r="AF1113" s="418"/>
      <c r="AG1113" s="418"/>
      <c r="AH1113" s="418"/>
      <c r="AI1113" s="418"/>
      <c r="AJ1113" s="418"/>
      <c r="AK1113" s="418"/>
      <c r="AL1113" s="418"/>
      <c r="AM1113" s="418"/>
      <c r="AN1113" s="423"/>
      <c r="AO1113" s="423"/>
      <c r="AP1113" s="423"/>
      <c r="AQ1113" s="423"/>
      <c r="AR1113" s="423"/>
      <c r="AS1113" s="423"/>
      <c r="AT1113" s="423"/>
      <c r="AU1113" s="423"/>
      <c r="AV1113" s="423"/>
      <c r="AW1113" s="418"/>
      <c r="AX1113" s="418"/>
      <c r="AY1113" s="418"/>
      <c r="BB1113" s="306"/>
      <c r="BF1113" s="1119"/>
      <c r="BG1113" s="1119"/>
      <c r="BH1113" s="1119"/>
    </row>
    <row r="1114" spans="1:60" ht="15.75" customHeight="1">
      <c r="A1114" s="415"/>
      <c r="B1114" s="416"/>
      <c r="C1114" s="424"/>
      <c r="E1114" s="418"/>
      <c r="F1114" s="419"/>
      <c r="G1114" s="420"/>
      <c r="H1114" s="421"/>
      <c r="I1114" s="421"/>
      <c r="J1114" s="492"/>
      <c r="K1114" s="418"/>
      <c r="L1114" s="418"/>
      <c r="M1114" s="418"/>
      <c r="N1114" s="421"/>
      <c r="O1114" s="421"/>
      <c r="P1114" s="421"/>
      <c r="Q1114" s="418"/>
      <c r="R1114" s="418"/>
      <c r="S1114" s="418"/>
      <c r="T1114" s="418"/>
      <c r="U1114" s="418"/>
      <c r="V1114" s="418"/>
      <c r="W1114" s="418"/>
      <c r="X1114" s="418"/>
      <c r="Y1114" s="418"/>
      <c r="Z1114" s="418"/>
      <c r="AA1114" s="418"/>
      <c r="AB1114" s="418"/>
      <c r="AC1114" s="418"/>
      <c r="AD1114" s="418"/>
      <c r="AE1114" s="418"/>
      <c r="AF1114" s="418"/>
      <c r="AG1114" s="418"/>
      <c r="AH1114" s="418"/>
      <c r="AI1114" s="418"/>
      <c r="AJ1114" s="418"/>
      <c r="AK1114" s="418"/>
      <c r="AL1114" s="418"/>
      <c r="AM1114" s="418"/>
      <c r="AN1114" s="423"/>
      <c r="AO1114" s="423"/>
      <c r="AP1114" s="423"/>
      <c r="AQ1114" s="423"/>
      <c r="AR1114" s="423"/>
      <c r="AS1114" s="423"/>
      <c r="AT1114" s="423"/>
      <c r="AU1114" s="423"/>
      <c r="AV1114" s="423"/>
      <c r="AW1114" s="418"/>
      <c r="AX1114" s="418"/>
      <c r="AY1114" s="418"/>
      <c r="BB1114" s="306"/>
      <c r="BF1114" s="1119"/>
      <c r="BG1114" s="1119"/>
      <c r="BH1114" s="1119"/>
    </row>
    <row r="1115" spans="1:60" ht="15.75" customHeight="1">
      <c r="A1115" s="415"/>
      <c r="B1115" s="416"/>
      <c r="C1115" s="424"/>
      <c r="E1115" s="418"/>
      <c r="F1115" s="419"/>
      <c r="G1115" s="420"/>
      <c r="H1115" s="421"/>
      <c r="I1115" s="425"/>
      <c r="J1115" s="492"/>
      <c r="K1115" s="418"/>
      <c r="L1115" s="418"/>
      <c r="M1115" s="418"/>
      <c r="N1115" s="421"/>
      <c r="O1115" s="421"/>
      <c r="P1115" s="421"/>
      <c r="Q1115" s="418"/>
      <c r="R1115" s="418"/>
      <c r="S1115" s="418"/>
      <c r="T1115" s="418"/>
      <c r="U1115" s="418"/>
      <c r="V1115" s="418"/>
      <c r="W1115" s="418"/>
      <c r="X1115" s="418"/>
      <c r="Y1115" s="418"/>
      <c r="Z1115" s="418"/>
      <c r="AA1115" s="418"/>
      <c r="AB1115" s="418"/>
      <c r="AC1115" s="418"/>
      <c r="AD1115" s="418"/>
      <c r="AE1115" s="418"/>
      <c r="AF1115" s="418"/>
      <c r="AG1115" s="418"/>
      <c r="AH1115" s="418"/>
      <c r="AI1115" s="418"/>
      <c r="AJ1115" s="418"/>
      <c r="AK1115" s="418"/>
      <c r="AL1115" s="418"/>
      <c r="AM1115" s="418"/>
      <c r="AN1115" s="423"/>
      <c r="AO1115" s="423"/>
      <c r="AP1115" s="423"/>
      <c r="AQ1115" s="423"/>
      <c r="AR1115" s="423"/>
      <c r="AS1115" s="423"/>
      <c r="AT1115" s="423"/>
      <c r="AU1115" s="423"/>
      <c r="AV1115" s="423"/>
      <c r="AW1115" s="418"/>
      <c r="AX1115" s="418"/>
      <c r="AY1115" s="418"/>
      <c r="BB1115" s="306"/>
      <c r="BF1115" s="1119"/>
      <c r="BG1115" s="1119"/>
      <c r="BH1115" s="1119"/>
    </row>
    <row r="1116" spans="1:60" ht="15.75" customHeight="1">
      <c r="A1116" s="415"/>
      <c r="B1116" s="416"/>
      <c r="C1116" s="424"/>
      <c r="E1116" s="418"/>
      <c r="F1116" s="419"/>
      <c r="G1116" s="420"/>
      <c r="H1116" s="421"/>
      <c r="I1116" s="421"/>
      <c r="J1116" s="492"/>
      <c r="K1116" s="418"/>
      <c r="L1116" s="418"/>
      <c r="M1116" s="418"/>
      <c r="N1116" s="421"/>
      <c r="O1116" s="421"/>
      <c r="P1116" s="421"/>
      <c r="Q1116" s="418"/>
      <c r="R1116" s="418"/>
      <c r="S1116" s="418"/>
      <c r="T1116" s="418"/>
      <c r="U1116" s="418"/>
      <c r="V1116" s="418"/>
      <c r="W1116" s="418"/>
      <c r="X1116" s="418"/>
      <c r="Y1116" s="418"/>
      <c r="Z1116" s="418"/>
      <c r="AA1116" s="418"/>
      <c r="AB1116" s="418"/>
      <c r="AC1116" s="418"/>
      <c r="AD1116" s="418"/>
      <c r="AE1116" s="418"/>
      <c r="AF1116" s="418"/>
      <c r="AG1116" s="418"/>
      <c r="AH1116" s="418"/>
      <c r="AI1116" s="418"/>
      <c r="AJ1116" s="418"/>
      <c r="AK1116" s="418"/>
      <c r="AL1116" s="418"/>
      <c r="AM1116" s="418"/>
      <c r="AN1116" s="423"/>
      <c r="AO1116" s="423"/>
      <c r="AP1116" s="423"/>
      <c r="AQ1116" s="423"/>
      <c r="AR1116" s="423"/>
      <c r="AS1116" s="423"/>
      <c r="AT1116" s="423"/>
      <c r="AU1116" s="423"/>
      <c r="AV1116" s="423"/>
      <c r="AW1116" s="418"/>
      <c r="AX1116" s="418"/>
      <c r="AY1116" s="418"/>
      <c r="BB1116" s="306"/>
      <c r="BF1116" s="1119"/>
      <c r="BG1116" s="1119"/>
      <c r="BH1116" s="1119"/>
    </row>
    <row r="1117" spans="1:60" ht="15.75" customHeight="1">
      <c r="A1117" s="415"/>
      <c r="B1117" s="416"/>
      <c r="C1117" s="424"/>
      <c r="E1117" s="418"/>
      <c r="F1117" s="419"/>
      <c r="G1117" s="420"/>
      <c r="H1117" s="421"/>
      <c r="I1117" s="425"/>
      <c r="J1117" s="492"/>
      <c r="K1117" s="418"/>
      <c r="L1117" s="418"/>
      <c r="M1117" s="418"/>
      <c r="N1117" s="421"/>
      <c r="O1117" s="421"/>
      <c r="P1117" s="421"/>
      <c r="Q1117" s="418"/>
      <c r="R1117" s="418"/>
      <c r="S1117" s="418"/>
      <c r="T1117" s="418"/>
      <c r="U1117" s="418"/>
      <c r="V1117" s="418"/>
      <c r="W1117" s="418"/>
      <c r="X1117" s="418"/>
      <c r="Y1117" s="418"/>
      <c r="Z1117" s="418"/>
      <c r="AA1117" s="418"/>
      <c r="AB1117" s="418"/>
      <c r="AC1117" s="418"/>
      <c r="AD1117" s="418"/>
      <c r="AE1117" s="418"/>
      <c r="AF1117" s="418"/>
      <c r="AG1117" s="418"/>
      <c r="AH1117" s="418"/>
      <c r="AI1117" s="418"/>
      <c r="AJ1117" s="418"/>
      <c r="AK1117" s="418"/>
      <c r="AL1117" s="418"/>
      <c r="AM1117" s="418"/>
      <c r="AN1117" s="423"/>
      <c r="AO1117" s="423"/>
      <c r="AP1117" s="423"/>
      <c r="AQ1117" s="423"/>
      <c r="AR1117" s="423"/>
      <c r="AS1117" s="423"/>
      <c r="AT1117" s="423"/>
      <c r="AU1117" s="423"/>
      <c r="AV1117" s="423"/>
      <c r="AW1117" s="418"/>
      <c r="AX1117" s="418"/>
      <c r="AY1117" s="418"/>
      <c r="BB1117" s="306"/>
      <c r="BF1117" s="1119"/>
      <c r="BG1117" s="1119"/>
      <c r="BH1117" s="1119"/>
    </row>
    <row r="1118" spans="1:60" ht="15.75" customHeight="1">
      <c r="A1118" s="415"/>
      <c r="B1118" s="416"/>
      <c r="C1118" s="424"/>
      <c r="E1118" s="418"/>
      <c r="F1118" s="419"/>
      <c r="G1118" s="420"/>
      <c r="H1118" s="421"/>
      <c r="I1118" s="421"/>
      <c r="J1118" s="492"/>
      <c r="K1118" s="418"/>
      <c r="L1118" s="418"/>
      <c r="M1118" s="418"/>
      <c r="N1118" s="421"/>
      <c r="O1118" s="421"/>
      <c r="P1118" s="421"/>
      <c r="Q1118" s="418"/>
      <c r="R1118" s="418"/>
      <c r="S1118" s="418"/>
      <c r="T1118" s="418"/>
      <c r="U1118" s="418"/>
      <c r="V1118" s="418"/>
      <c r="W1118" s="418"/>
      <c r="X1118" s="418"/>
      <c r="Y1118" s="418"/>
      <c r="Z1118" s="418"/>
      <c r="AA1118" s="418"/>
      <c r="AB1118" s="418"/>
      <c r="AC1118" s="418"/>
      <c r="AD1118" s="418"/>
      <c r="AE1118" s="418"/>
      <c r="AF1118" s="418"/>
      <c r="AG1118" s="418"/>
      <c r="AH1118" s="418"/>
      <c r="AI1118" s="418"/>
      <c r="AJ1118" s="418"/>
      <c r="AK1118" s="418"/>
      <c r="AL1118" s="418"/>
      <c r="AM1118" s="418"/>
      <c r="AN1118" s="423"/>
      <c r="AO1118" s="423"/>
      <c r="AP1118" s="423"/>
      <c r="AQ1118" s="423"/>
      <c r="AR1118" s="423"/>
      <c r="AS1118" s="423"/>
      <c r="AT1118" s="423"/>
      <c r="AU1118" s="423"/>
      <c r="AV1118" s="423"/>
      <c r="AW1118" s="418"/>
      <c r="AX1118" s="418"/>
      <c r="AY1118" s="418"/>
      <c r="BB1118" s="306"/>
      <c r="BF1118" s="1119"/>
      <c r="BG1118" s="1119"/>
      <c r="BH1118" s="1119"/>
    </row>
    <row r="1119" spans="1:60" ht="15.75" customHeight="1">
      <c r="A1119" s="415"/>
      <c r="B1119" s="416"/>
      <c r="C1119" s="424"/>
      <c r="E1119" s="418"/>
      <c r="F1119" s="419"/>
      <c r="G1119" s="420"/>
      <c r="H1119" s="421"/>
      <c r="I1119" s="421"/>
      <c r="J1119" s="492"/>
      <c r="K1119" s="418"/>
      <c r="L1119" s="418"/>
      <c r="M1119" s="418"/>
      <c r="N1119" s="421"/>
      <c r="O1119" s="421"/>
      <c r="P1119" s="421"/>
      <c r="Q1119" s="418"/>
      <c r="R1119" s="418"/>
      <c r="S1119" s="418"/>
      <c r="T1119" s="418"/>
      <c r="U1119" s="418"/>
      <c r="V1119" s="418"/>
      <c r="W1119" s="418"/>
      <c r="X1119" s="418"/>
      <c r="Y1119" s="418"/>
      <c r="Z1119" s="418"/>
      <c r="AA1119" s="418"/>
      <c r="AB1119" s="418"/>
      <c r="AC1119" s="418"/>
      <c r="AD1119" s="418"/>
      <c r="AE1119" s="418"/>
      <c r="AF1119" s="418"/>
      <c r="AG1119" s="418"/>
      <c r="AH1119" s="418"/>
      <c r="AI1119" s="418"/>
      <c r="AJ1119" s="418"/>
      <c r="AK1119" s="418"/>
      <c r="AL1119" s="418"/>
      <c r="AM1119" s="418"/>
      <c r="AN1119" s="423"/>
      <c r="AO1119" s="423"/>
      <c r="AP1119" s="423"/>
      <c r="AQ1119" s="423"/>
      <c r="AR1119" s="423"/>
      <c r="AS1119" s="423"/>
      <c r="AT1119" s="423"/>
      <c r="AU1119" s="423"/>
      <c r="AV1119" s="423"/>
      <c r="AW1119" s="418"/>
      <c r="AX1119" s="418"/>
      <c r="AY1119" s="418"/>
      <c r="BB1119" s="306"/>
      <c r="BF1119" s="1119"/>
      <c r="BG1119" s="1119"/>
      <c r="BH1119" s="1119"/>
    </row>
    <row r="1120" spans="1:60" ht="15.75" customHeight="1">
      <c r="A1120" s="415"/>
      <c r="B1120" s="416"/>
      <c r="C1120" s="424"/>
      <c r="E1120" s="418"/>
      <c r="F1120" s="419"/>
      <c r="G1120" s="420"/>
      <c r="H1120" s="421"/>
      <c r="I1120" s="421"/>
      <c r="J1120" s="492"/>
      <c r="K1120" s="418"/>
      <c r="L1120" s="418"/>
      <c r="M1120" s="418"/>
      <c r="N1120" s="421"/>
      <c r="O1120" s="421"/>
      <c r="P1120" s="421"/>
      <c r="Q1120" s="418"/>
      <c r="R1120" s="418"/>
      <c r="S1120" s="418"/>
      <c r="T1120" s="418"/>
      <c r="U1120" s="418"/>
      <c r="V1120" s="418"/>
      <c r="W1120" s="418"/>
      <c r="X1120" s="418"/>
      <c r="Y1120" s="418"/>
      <c r="Z1120" s="418"/>
      <c r="AA1120" s="418"/>
      <c r="AB1120" s="418"/>
      <c r="AC1120" s="418"/>
      <c r="AD1120" s="418"/>
      <c r="AE1120" s="418"/>
      <c r="AF1120" s="418"/>
      <c r="AG1120" s="418"/>
      <c r="AH1120" s="418"/>
      <c r="AI1120" s="418"/>
      <c r="AJ1120" s="418"/>
      <c r="AK1120" s="418"/>
      <c r="AL1120" s="418"/>
      <c r="AM1120" s="418"/>
      <c r="AN1120" s="423"/>
      <c r="AO1120" s="423"/>
      <c r="AP1120" s="423"/>
      <c r="AQ1120" s="423"/>
      <c r="AR1120" s="423"/>
      <c r="AS1120" s="423"/>
      <c r="AT1120" s="423"/>
      <c r="AU1120" s="423"/>
      <c r="AV1120" s="423"/>
      <c r="AW1120" s="418"/>
      <c r="AX1120" s="418"/>
      <c r="AY1120" s="418"/>
      <c r="BB1120" s="306"/>
      <c r="BF1120" s="1119"/>
      <c r="BG1120" s="1119"/>
      <c r="BH1120" s="1119"/>
    </row>
    <row r="1121" spans="1:60" ht="15.75" customHeight="1">
      <c r="A1121" s="415"/>
      <c r="B1121" s="416"/>
      <c r="C1121" s="424"/>
      <c r="E1121" s="418"/>
      <c r="F1121" s="419"/>
      <c r="G1121" s="420"/>
      <c r="H1121" s="421"/>
      <c r="I1121" s="421"/>
      <c r="J1121" s="492"/>
      <c r="K1121" s="418"/>
      <c r="L1121" s="418"/>
      <c r="M1121" s="418"/>
      <c r="N1121" s="421"/>
      <c r="O1121" s="421"/>
      <c r="P1121" s="421"/>
      <c r="Q1121" s="418"/>
      <c r="R1121" s="418"/>
      <c r="S1121" s="418"/>
      <c r="T1121" s="418"/>
      <c r="U1121" s="418"/>
      <c r="V1121" s="418"/>
      <c r="W1121" s="418"/>
      <c r="X1121" s="418"/>
      <c r="Y1121" s="418"/>
      <c r="Z1121" s="418"/>
      <c r="AA1121" s="418"/>
      <c r="AB1121" s="418"/>
      <c r="AC1121" s="418"/>
      <c r="AD1121" s="418"/>
      <c r="AE1121" s="418"/>
      <c r="AF1121" s="418"/>
      <c r="AG1121" s="418"/>
      <c r="AH1121" s="418"/>
      <c r="AI1121" s="418"/>
      <c r="AJ1121" s="418"/>
      <c r="AK1121" s="418"/>
      <c r="AL1121" s="418"/>
      <c r="AM1121" s="418"/>
      <c r="AN1121" s="423"/>
      <c r="AO1121" s="423"/>
      <c r="AP1121" s="423"/>
      <c r="AQ1121" s="423"/>
      <c r="AR1121" s="423"/>
      <c r="AS1121" s="423"/>
      <c r="AT1121" s="423"/>
      <c r="AU1121" s="423"/>
      <c r="AV1121" s="423"/>
      <c r="AW1121" s="418"/>
      <c r="AX1121" s="418"/>
      <c r="AY1121" s="418"/>
      <c r="BB1121" s="306"/>
      <c r="BF1121" s="1119"/>
      <c r="BG1121" s="1119"/>
      <c r="BH1121" s="1119"/>
    </row>
    <row r="1122" spans="1:60" ht="15.75" customHeight="1">
      <c r="A1122" s="415"/>
      <c r="B1122" s="416"/>
      <c r="C1122" s="424"/>
      <c r="E1122" s="418"/>
      <c r="F1122" s="419"/>
      <c r="G1122" s="420"/>
      <c r="H1122" s="421"/>
      <c r="I1122" s="421"/>
      <c r="J1122" s="492"/>
      <c r="K1122" s="418"/>
      <c r="L1122" s="418"/>
      <c r="M1122" s="418"/>
      <c r="N1122" s="421"/>
      <c r="O1122" s="421"/>
      <c r="P1122" s="421"/>
      <c r="Q1122" s="418"/>
      <c r="R1122" s="418"/>
      <c r="S1122" s="418"/>
      <c r="T1122" s="418"/>
      <c r="U1122" s="418"/>
      <c r="V1122" s="418"/>
      <c r="W1122" s="418"/>
      <c r="X1122" s="418"/>
      <c r="Y1122" s="418"/>
      <c r="Z1122" s="418"/>
      <c r="AA1122" s="418"/>
      <c r="AB1122" s="418"/>
      <c r="AC1122" s="418"/>
      <c r="AD1122" s="418"/>
      <c r="AE1122" s="418"/>
      <c r="AF1122" s="418"/>
      <c r="AG1122" s="418"/>
      <c r="AH1122" s="418"/>
      <c r="AI1122" s="418"/>
      <c r="AJ1122" s="418"/>
      <c r="AK1122" s="418"/>
      <c r="AL1122" s="418"/>
      <c r="AM1122" s="418"/>
      <c r="AN1122" s="423"/>
      <c r="AO1122" s="423"/>
      <c r="AP1122" s="423"/>
      <c r="AQ1122" s="423"/>
      <c r="AR1122" s="423"/>
      <c r="AS1122" s="423"/>
      <c r="AT1122" s="423"/>
      <c r="AU1122" s="423"/>
      <c r="AV1122" s="423"/>
      <c r="AW1122" s="418"/>
      <c r="AX1122" s="418"/>
      <c r="AY1122" s="418"/>
      <c r="BB1122" s="306"/>
      <c r="BF1122" s="1119"/>
      <c r="BG1122" s="1119"/>
      <c r="BH1122" s="1119"/>
    </row>
    <row r="1123" spans="1:60" ht="15.75" customHeight="1">
      <c r="A1123" s="415"/>
      <c r="B1123" s="416"/>
      <c r="C1123" s="424"/>
      <c r="E1123" s="418"/>
      <c r="F1123" s="419"/>
      <c r="G1123" s="420"/>
      <c r="H1123" s="421"/>
      <c r="I1123" s="421"/>
      <c r="J1123" s="492"/>
      <c r="K1123" s="418"/>
      <c r="L1123" s="418"/>
      <c r="M1123" s="418"/>
      <c r="N1123" s="421"/>
      <c r="O1123" s="421"/>
      <c r="P1123" s="421"/>
      <c r="Q1123" s="418"/>
      <c r="R1123" s="418"/>
      <c r="S1123" s="418"/>
      <c r="T1123" s="418"/>
      <c r="U1123" s="418"/>
      <c r="V1123" s="418"/>
      <c r="W1123" s="418"/>
      <c r="X1123" s="418"/>
      <c r="Y1123" s="418"/>
      <c r="Z1123" s="418"/>
      <c r="AA1123" s="418"/>
      <c r="AB1123" s="418"/>
      <c r="AC1123" s="418"/>
      <c r="AD1123" s="418"/>
      <c r="AE1123" s="418"/>
      <c r="AF1123" s="418"/>
      <c r="AG1123" s="418"/>
      <c r="AH1123" s="418"/>
      <c r="AI1123" s="418"/>
      <c r="AJ1123" s="418"/>
      <c r="AK1123" s="418"/>
      <c r="AL1123" s="418"/>
      <c r="AM1123" s="418"/>
      <c r="AN1123" s="423"/>
      <c r="AO1123" s="423"/>
      <c r="AP1123" s="423"/>
      <c r="AQ1123" s="423"/>
      <c r="AR1123" s="423"/>
      <c r="AS1123" s="423"/>
      <c r="AT1123" s="423"/>
      <c r="AU1123" s="423"/>
      <c r="AV1123" s="423"/>
      <c r="AW1123" s="418"/>
      <c r="AX1123" s="418"/>
      <c r="AY1123" s="418"/>
      <c r="BB1123" s="306"/>
      <c r="BF1123" s="1119"/>
      <c r="BG1123" s="1119"/>
      <c r="BH1123" s="1119"/>
    </row>
    <row r="1124" spans="1:60" ht="15.75" customHeight="1">
      <c r="A1124" s="415"/>
      <c r="B1124" s="416"/>
      <c r="C1124" s="424"/>
      <c r="E1124" s="418"/>
      <c r="F1124" s="419"/>
      <c r="G1124" s="420"/>
      <c r="H1124" s="421"/>
      <c r="I1124" s="421"/>
      <c r="J1124" s="492"/>
      <c r="K1124" s="418"/>
      <c r="L1124" s="418"/>
      <c r="M1124" s="418"/>
      <c r="N1124" s="421"/>
      <c r="O1124" s="421"/>
      <c r="P1124" s="421"/>
      <c r="Q1124" s="418"/>
      <c r="R1124" s="418"/>
      <c r="S1124" s="418"/>
      <c r="T1124" s="418"/>
      <c r="U1124" s="418"/>
      <c r="V1124" s="418"/>
      <c r="W1124" s="418"/>
      <c r="X1124" s="418"/>
      <c r="Y1124" s="418"/>
      <c r="Z1124" s="418"/>
      <c r="AA1124" s="418"/>
      <c r="AB1124" s="418"/>
      <c r="AC1124" s="418"/>
      <c r="AD1124" s="418"/>
      <c r="AE1124" s="418"/>
      <c r="AF1124" s="418"/>
      <c r="AG1124" s="418"/>
      <c r="AH1124" s="418"/>
      <c r="AI1124" s="418"/>
      <c r="AJ1124" s="418"/>
      <c r="AK1124" s="418"/>
      <c r="AL1124" s="418"/>
      <c r="AM1124" s="418"/>
      <c r="AN1124" s="423"/>
      <c r="AO1124" s="423"/>
      <c r="AP1124" s="423"/>
      <c r="AQ1124" s="423"/>
      <c r="AR1124" s="423"/>
      <c r="AS1124" s="423"/>
      <c r="AT1124" s="423"/>
      <c r="AU1124" s="423"/>
      <c r="AV1124" s="423"/>
      <c r="AW1124" s="418"/>
      <c r="AX1124" s="418"/>
      <c r="AY1124" s="418"/>
      <c r="BB1124" s="306"/>
      <c r="BF1124" s="1119"/>
      <c r="BG1124" s="1119"/>
      <c r="BH1124" s="1119"/>
    </row>
    <row r="1125" spans="1:60" ht="15.75" customHeight="1">
      <c r="A1125" s="415"/>
      <c r="B1125" s="416"/>
      <c r="C1125" s="424"/>
      <c r="E1125" s="418"/>
      <c r="F1125" s="419"/>
      <c r="G1125" s="420"/>
      <c r="H1125" s="421"/>
      <c r="I1125" s="421"/>
      <c r="J1125" s="492"/>
      <c r="K1125" s="418"/>
      <c r="L1125" s="418"/>
      <c r="M1125" s="418"/>
      <c r="N1125" s="421"/>
      <c r="O1125" s="421"/>
      <c r="P1125" s="421"/>
      <c r="Q1125" s="418"/>
      <c r="R1125" s="418"/>
      <c r="S1125" s="418"/>
      <c r="T1125" s="418"/>
      <c r="U1125" s="418"/>
      <c r="V1125" s="418"/>
      <c r="W1125" s="418"/>
      <c r="X1125" s="418"/>
      <c r="Y1125" s="418"/>
      <c r="Z1125" s="418"/>
      <c r="AA1125" s="418"/>
      <c r="AB1125" s="418"/>
      <c r="AC1125" s="418"/>
      <c r="AD1125" s="418"/>
      <c r="AE1125" s="418"/>
      <c r="AF1125" s="418"/>
      <c r="AG1125" s="418"/>
      <c r="AH1125" s="418"/>
      <c r="AI1125" s="418"/>
      <c r="AJ1125" s="418"/>
      <c r="AK1125" s="418"/>
      <c r="AL1125" s="418"/>
      <c r="AM1125" s="418"/>
      <c r="AN1125" s="423"/>
      <c r="AO1125" s="423"/>
      <c r="AP1125" s="423"/>
      <c r="AQ1125" s="423"/>
      <c r="AR1125" s="423"/>
      <c r="AS1125" s="423"/>
      <c r="AT1125" s="423"/>
      <c r="AU1125" s="423"/>
      <c r="AV1125" s="423"/>
      <c r="AW1125" s="418"/>
      <c r="AX1125" s="418"/>
      <c r="AY1125" s="418"/>
      <c r="BB1125" s="306"/>
      <c r="BF1125" s="1119"/>
      <c r="BG1125" s="1119"/>
      <c r="BH1125" s="1119"/>
    </row>
    <row r="1126" spans="1:60" ht="15.75" customHeight="1">
      <c r="A1126" s="415"/>
      <c r="B1126" s="416"/>
      <c r="C1126" s="424"/>
      <c r="E1126" s="418"/>
      <c r="F1126" s="419"/>
      <c r="G1126" s="420"/>
      <c r="H1126" s="421"/>
      <c r="I1126" s="421"/>
      <c r="J1126" s="492"/>
      <c r="K1126" s="418"/>
      <c r="L1126" s="418"/>
      <c r="M1126" s="418"/>
      <c r="N1126" s="421"/>
      <c r="O1126" s="421"/>
      <c r="P1126" s="421"/>
      <c r="Q1126" s="418"/>
      <c r="R1126" s="418"/>
      <c r="S1126" s="418"/>
      <c r="T1126" s="418"/>
      <c r="U1126" s="418"/>
      <c r="V1126" s="418"/>
      <c r="W1126" s="418"/>
      <c r="X1126" s="418"/>
      <c r="Y1126" s="418"/>
      <c r="Z1126" s="418"/>
      <c r="AA1126" s="418"/>
      <c r="AB1126" s="418"/>
      <c r="AC1126" s="418"/>
      <c r="AD1126" s="418"/>
      <c r="AE1126" s="418"/>
      <c r="AF1126" s="418"/>
      <c r="AG1126" s="418"/>
      <c r="AH1126" s="418"/>
      <c r="AI1126" s="418"/>
      <c r="AJ1126" s="418"/>
      <c r="AK1126" s="418"/>
      <c r="AL1126" s="418"/>
      <c r="AM1126" s="418"/>
      <c r="AN1126" s="423"/>
      <c r="AO1126" s="423"/>
      <c r="AP1126" s="423"/>
      <c r="AQ1126" s="423"/>
      <c r="AR1126" s="423"/>
      <c r="AS1126" s="423"/>
      <c r="AT1126" s="423"/>
      <c r="AU1126" s="423"/>
      <c r="AV1126" s="423"/>
      <c r="AW1126" s="418"/>
      <c r="AX1126" s="418"/>
      <c r="AY1126" s="418"/>
      <c r="BB1126" s="306"/>
      <c r="BF1126" s="1119"/>
      <c r="BG1126" s="1119"/>
      <c r="BH1126" s="1119"/>
    </row>
    <row r="1127" spans="1:60" ht="15.75" customHeight="1">
      <c r="A1127" s="415"/>
      <c r="B1127" s="416"/>
      <c r="C1127" s="424"/>
      <c r="E1127" s="418"/>
      <c r="F1127" s="419"/>
      <c r="G1127" s="420"/>
      <c r="H1127" s="421"/>
      <c r="I1127" s="421"/>
      <c r="J1127" s="492"/>
      <c r="K1127" s="418"/>
      <c r="L1127" s="418"/>
      <c r="M1127" s="418"/>
      <c r="N1127" s="421"/>
      <c r="O1127" s="421"/>
      <c r="P1127" s="421"/>
      <c r="Q1127" s="418"/>
      <c r="R1127" s="418"/>
      <c r="S1127" s="418"/>
      <c r="T1127" s="418"/>
      <c r="U1127" s="418"/>
      <c r="V1127" s="418"/>
      <c r="W1127" s="418"/>
      <c r="X1127" s="418"/>
      <c r="Y1127" s="418"/>
      <c r="Z1127" s="418"/>
      <c r="AA1127" s="418"/>
      <c r="AB1127" s="418"/>
      <c r="AC1127" s="418"/>
      <c r="AD1127" s="418"/>
      <c r="AE1127" s="418"/>
      <c r="AF1127" s="418"/>
      <c r="AG1127" s="418"/>
      <c r="AH1127" s="418"/>
      <c r="AI1127" s="418"/>
      <c r="AJ1127" s="418"/>
      <c r="AK1127" s="418"/>
      <c r="AL1127" s="418"/>
      <c r="AM1127" s="418"/>
      <c r="AN1127" s="423"/>
      <c r="AO1127" s="423"/>
      <c r="AP1127" s="423"/>
      <c r="AQ1127" s="423"/>
      <c r="AR1127" s="423"/>
      <c r="AS1127" s="423"/>
      <c r="AT1127" s="423"/>
      <c r="AU1127" s="423"/>
      <c r="AV1127" s="423"/>
      <c r="AW1127" s="418"/>
      <c r="AX1127" s="418"/>
      <c r="AY1127" s="418"/>
      <c r="BB1127" s="306"/>
      <c r="BF1127" s="1119"/>
      <c r="BG1127" s="1119"/>
      <c r="BH1127" s="1119"/>
    </row>
    <row r="1128" spans="1:60" ht="15.75" customHeight="1">
      <c r="A1128" s="415"/>
      <c r="B1128" s="416"/>
      <c r="C1128" s="424"/>
      <c r="E1128" s="418"/>
      <c r="F1128" s="419"/>
      <c r="G1128" s="420"/>
      <c r="H1128" s="421"/>
      <c r="I1128" s="421"/>
      <c r="J1128" s="492"/>
      <c r="K1128" s="418"/>
      <c r="L1128" s="418"/>
      <c r="M1128" s="418"/>
      <c r="N1128" s="421"/>
      <c r="O1128" s="421"/>
      <c r="P1128" s="421"/>
      <c r="Q1128" s="418"/>
      <c r="R1128" s="418"/>
      <c r="S1128" s="418"/>
      <c r="T1128" s="418"/>
      <c r="U1128" s="418"/>
      <c r="V1128" s="418"/>
      <c r="W1128" s="418"/>
      <c r="X1128" s="418"/>
      <c r="Y1128" s="418"/>
      <c r="Z1128" s="418"/>
      <c r="AA1128" s="418"/>
      <c r="AB1128" s="418"/>
      <c r="AC1128" s="418"/>
      <c r="AD1128" s="418"/>
      <c r="AE1128" s="418"/>
      <c r="AF1128" s="418"/>
      <c r="AG1128" s="418"/>
      <c r="AH1128" s="418"/>
      <c r="AI1128" s="418"/>
      <c r="AJ1128" s="418"/>
      <c r="AK1128" s="418"/>
      <c r="AL1128" s="418"/>
      <c r="AM1128" s="418"/>
      <c r="AN1128" s="423"/>
      <c r="AO1128" s="423"/>
      <c r="AP1128" s="423"/>
      <c r="AQ1128" s="423"/>
      <c r="AR1128" s="423"/>
      <c r="AS1128" s="423"/>
      <c r="AT1128" s="423"/>
      <c r="AU1128" s="423"/>
      <c r="AV1128" s="423"/>
      <c r="AW1128" s="418"/>
      <c r="AX1128" s="418"/>
      <c r="AY1128" s="418"/>
      <c r="BB1128" s="306"/>
      <c r="BF1128" s="1119"/>
      <c r="BG1128" s="1119"/>
      <c r="BH1128" s="1119"/>
    </row>
    <row r="1129" spans="1:60" ht="15.75" customHeight="1">
      <c r="A1129" s="415"/>
      <c r="B1129" s="416"/>
      <c r="C1129" s="424"/>
      <c r="E1129" s="418"/>
      <c r="F1129" s="419"/>
      <c r="G1129" s="420"/>
      <c r="H1129" s="421"/>
      <c r="I1129" s="421"/>
      <c r="J1129" s="492"/>
      <c r="K1129" s="418"/>
      <c r="L1129" s="418"/>
      <c r="M1129" s="418"/>
      <c r="N1129" s="421"/>
      <c r="O1129" s="421"/>
      <c r="P1129" s="421"/>
      <c r="Q1129" s="418"/>
      <c r="R1129" s="418"/>
      <c r="S1129" s="418"/>
      <c r="T1129" s="418"/>
      <c r="U1129" s="418"/>
      <c r="V1129" s="418"/>
      <c r="W1129" s="418"/>
      <c r="X1129" s="418"/>
      <c r="Y1129" s="418"/>
      <c r="Z1129" s="418"/>
      <c r="AA1129" s="418"/>
      <c r="AB1129" s="418"/>
      <c r="AC1129" s="418"/>
      <c r="AD1129" s="418"/>
      <c r="AE1129" s="418"/>
      <c r="AF1129" s="418"/>
      <c r="AG1129" s="418"/>
      <c r="AH1129" s="418"/>
      <c r="AI1129" s="418"/>
      <c r="AJ1129" s="418"/>
      <c r="AK1129" s="418"/>
      <c r="AL1129" s="418"/>
      <c r="AM1129" s="418"/>
      <c r="AN1129" s="423"/>
      <c r="AO1129" s="423"/>
      <c r="AP1129" s="423"/>
      <c r="AQ1129" s="423"/>
      <c r="AR1129" s="423"/>
      <c r="AS1129" s="423"/>
      <c r="AT1129" s="423"/>
      <c r="AU1129" s="423"/>
      <c r="AV1129" s="423"/>
      <c r="AW1129" s="418"/>
      <c r="AX1129" s="418"/>
      <c r="AY1129" s="418"/>
      <c r="BB1129" s="306"/>
      <c r="BF1129" s="1119"/>
      <c r="BG1129" s="1119"/>
      <c r="BH1129" s="1119"/>
    </row>
    <row r="1130" spans="1:60" ht="15.75" customHeight="1">
      <c r="A1130" s="415"/>
      <c r="B1130" s="416"/>
      <c r="C1130" s="424"/>
      <c r="E1130" s="418"/>
      <c r="F1130" s="419"/>
      <c r="G1130" s="420"/>
      <c r="H1130" s="421"/>
      <c r="I1130" s="421"/>
      <c r="J1130" s="492"/>
      <c r="K1130" s="418"/>
      <c r="L1130" s="418"/>
      <c r="M1130" s="418"/>
      <c r="N1130" s="421"/>
      <c r="O1130" s="421"/>
      <c r="P1130" s="421"/>
      <c r="Q1130" s="418"/>
      <c r="R1130" s="418"/>
      <c r="S1130" s="418"/>
      <c r="T1130" s="418"/>
      <c r="U1130" s="418"/>
      <c r="V1130" s="418"/>
      <c r="W1130" s="418"/>
      <c r="X1130" s="418"/>
      <c r="Y1130" s="418"/>
      <c r="Z1130" s="418"/>
      <c r="AA1130" s="418"/>
      <c r="AB1130" s="418"/>
      <c r="AC1130" s="418"/>
      <c r="AD1130" s="418"/>
      <c r="AE1130" s="418"/>
      <c r="AF1130" s="418"/>
      <c r="AG1130" s="418"/>
      <c r="AH1130" s="418"/>
      <c r="AI1130" s="418"/>
      <c r="AJ1130" s="418"/>
      <c r="AK1130" s="418"/>
      <c r="AL1130" s="418"/>
      <c r="AM1130" s="418"/>
      <c r="AN1130" s="423"/>
      <c r="AO1130" s="423"/>
      <c r="AP1130" s="423"/>
      <c r="AQ1130" s="423"/>
      <c r="AR1130" s="423"/>
      <c r="AS1130" s="423"/>
      <c r="AT1130" s="423"/>
      <c r="AU1130" s="423"/>
      <c r="AV1130" s="423"/>
      <c r="AW1130" s="418"/>
      <c r="AX1130" s="418"/>
      <c r="AY1130" s="418"/>
      <c r="BB1130" s="306"/>
      <c r="BF1130" s="1119"/>
      <c r="BG1130" s="1119"/>
      <c r="BH1130" s="1119"/>
    </row>
    <row r="1131" spans="1:60" ht="15.75" customHeight="1">
      <c r="A1131" s="415"/>
      <c r="B1131" s="416"/>
      <c r="C1131" s="424"/>
      <c r="E1131" s="418"/>
      <c r="F1131" s="419"/>
      <c r="G1131" s="420"/>
      <c r="H1131" s="421"/>
      <c r="I1131" s="421"/>
      <c r="J1131" s="492"/>
      <c r="K1131" s="418"/>
      <c r="L1131" s="418"/>
      <c r="M1131" s="418"/>
      <c r="N1131" s="421"/>
      <c r="O1131" s="421"/>
      <c r="P1131" s="421"/>
      <c r="Q1131" s="418"/>
      <c r="R1131" s="418"/>
      <c r="S1131" s="418"/>
      <c r="T1131" s="418"/>
      <c r="U1131" s="418"/>
      <c r="V1131" s="418"/>
      <c r="W1131" s="418"/>
      <c r="X1131" s="418"/>
      <c r="Y1131" s="418"/>
      <c r="Z1131" s="418"/>
      <c r="AA1131" s="418"/>
      <c r="AB1131" s="418"/>
      <c r="AC1131" s="418"/>
      <c r="AD1131" s="418"/>
      <c r="AE1131" s="418"/>
      <c r="AF1131" s="418"/>
      <c r="AG1131" s="418"/>
      <c r="AH1131" s="418"/>
      <c r="AI1131" s="418"/>
      <c r="AJ1131" s="418"/>
      <c r="AK1131" s="418"/>
      <c r="AL1131" s="418"/>
      <c r="AM1131" s="418"/>
      <c r="AN1131" s="423"/>
      <c r="AO1131" s="423"/>
      <c r="AP1131" s="423"/>
      <c r="AQ1131" s="423"/>
      <c r="AR1131" s="423"/>
      <c r="AS1131" s="423"/>
      <c r="AT1131" s="423"/>
      <c r="AU1131" s="423"/>
      <c r="AV1131" s="423"/>
      <c r="AW1131" s="418"/>
      <c r="AX1131" s="418"/>
      <c r="AY1131" s="418"/>
      <c r="BB1131" s="306"/>
      <c r="BF1131" s="1119"/>
      <c r="BG1131" s="1119"/>
      <c r="BH1131" s="1119"/>
    </row>
    <row r="1132" spans="1:60" ht="15.75" customHeight="1">
      <c r="A1132" s="415"/>
      <c r="B1132" s="416"/>
      <c r="C1132" s="424"/>
      <c r="E1132" s="418"/>
      <c r="F1132" s="419"/>
      <c r="G1132" s="420"/>
      <c r="H1132" s="421"/>
      <c r="I1132" s="421"/>
      <c r="J1132" s="492"/>
      <c r="K1132" s="418"/>
      <c r="L1132" s="418"/>
      <c r="M1132" s="418"/>
      <c r="N1132" s="421"/>
      <c r="O1132" s="421"/>
      <c r="P1132" s="421"/>
      <c r="Q1132" s="418"/>
      <c r="R1132" s="418"/>
      <c r="S1132" s="418"/>
      <c r="T1132" s="418"/>
      <c r="U1132" s="418"/>
      <c r="V1132" s="418"/>
      <c r="W1132" s="418"/>
      <c r="X1132" s="418"/>
      <c r="Y1132" s="418"/>
      <c r="Z1132" s="418"/>
      <c r="AA1132" s="418"/>
      <c r="AB1132" s="418"/>
      <c r="AC1132" s="418"/>
      <c r="AD1132" s="418"/>
      <c r="AE1132" s="418"/>
      <c r="AF1132" s="418"/>
      <c r="AG1132" s="418"/>
      <c r="AH1132" s="418"/>
      <c r="AI1132" s="418"/>
      <c r="AJ1132" s="418"/>
      <c r="AK1132" s="418"/>
      <c r="AL1132" s="418"/>
      <c r="AM1132" s="418"/>
      <c r="AN1132" s="423"/>
      <c r="AO1132" s="423"/>
      <c r="AP1132" s="423"/>
      <c r="AQ1132" s="423"/>
      <c r="AR1132" s="423"/>
      <c r="AS1132" s="423"/>
      <c r="AT1132" s="423"/>
      <c r="AU1132" s="423"/>
      <c r="AV1132" s="423"/>
      <c r="AW1132" s="418"/>
      <c r="AX1132" s="418"/>
      <c r="AY1132" s="418"/>
      <c r="BB1132" s="306"/>
      <c r="BF1132" s="1119"/>
      <c r="BG1132" s="1119"/>
      <c r="BH1132" s="1119"/>
    </row>
    <row r="1133" spans="1:60" ht="15.75" customHeight="1">
      <c r="A1133" s="415"/>
      <c r="B1133" s="416"/>
      <c r="C1133" s="424"/>
      <c r="E1133" s="418"/>
      <c r="F1133" s="419"/>
      <c r="G1133" s="420"/>
      <c r="H1133" s="421"/>
      <c r="I1133" s="421"/>
      <c r="J1133" s="492"/>
      <c r="K1133" s="418"/>
      <c r="L1133" s="418"/>
      <c r="M1133" s="418"/>
      <c r="N1133" s="421"/>
      <c r="O1133" s="421"/>
      <c r="P1133" s="421"/>
      <c r="Q1133" s="418"/>
      <c r="R1133" s="418"/>
      <c r="S1133" s="418"/>
      <c r="T1133" s="418"/>
      <c r="U1133" s="418"/>
      <c r="V1133" s="418"/>
      <c r="W1133" s="418"/>
      <c r="X1133" s="418"/>
      <c r="Y1133" s="418"/>
      <c r="Z1133" s="418"/>
      <c r="AA1133" s="418"/>
      <c r="AB1133" s="418"/>
      <c r="AC1133" s="418"/>
      <c r="AD1133" s="418"/>
      <c r="AE1133" s="418"/>
      <c r="AF1133" s="418"/>
      <c r="AG1133" s="418"/>
      <c r="AH1133" s="418"/>
      <c r="AI1133" s="418"/>
      <c r="AJ1133" s="418"/>
      <c r="AK1133" s="418"/>
      <c r="AL1133" s="418"/>
      <c r="AM1133" s="418"/>
      <c r="AN1133" s="423"/>
      <c r="AO1133" s="423"/>
      <c r="AP1133" s="423"/>
      <c r="AQ1133" s="423"/>
      <c r="AR1133" s="423"/>
      <c r="AS1133" s="423"/>
      <c r="AT1133" s="423"/>
      <c r="AU1133" s="423"/>
      <c r="AV1133" s="423"/>
      <c r="AW1133" s="418"/>
      <c r="AX1133" s="418"/>
      <c r="AY1133" s="418"/>
      <c r="BB1133" s="306"/>
      <c r="BF1133" s="1119"/>
      <c r="BG1133" s="1119"/>
      <c r="BH1133" s="1119"/>
    </row>
    <row r="1134" spans="1:60" ht="15.75" customHeight="1">
      <c r="A1134" s="415"/>
      <c r="B1134" s="416"/>
      <c r="C1134" s="424"/>
      <c r="E1134" s="418"/>
      <c r="F1134" s="419"/>
      <c r="G1134" s="420"/>
      <c r="H1134" s="421"/>
      <c r="I1134" s="421"/>
      <c r="J1134" s="492"/>
      <c r="K1134" s="418"/>
      <c r="L1134" s="418"/>
      <c r="M1134" s="418"/>
      <c r="N1134" s="421"/>
      <c r="O1134" s="421"/>
      <c r="P1134" s="421"/>
      <c r="Q1134" s="418"/>
      <c r="R1134" s="418"/>
      <c r="S1134" s="418"/>
      <c r="T1134" s="418"/>
      <c r="U1134" s="418"/>
      <c r="V1134" s="418"/>
      <c r="W1134" s="418"/>
      <c r="X1134" s="418"/>
      <c r="Y1134" s="418"/>
      <c r="Z1134" s="418"/>
      <c r="AA1134" s="418"/>
      <c r="AB1134" s="418"/>
      <c r="AC1134" s="418"/>
      <c r="AD1134" s="418"/>
      <c r="AE1134" s="418"/>
      <c r="AF1134" s="418"/>
      <c r="AG1134" s="418"/>
      <c r="AH1134" s="418"/>
      <c r="AI1134" s="418"/>
      <c r="AJ1134" s="418"/>
      <c r="AK1134" s="418"/>
      <c r="AL1134" s="418"/>
      <c r="AM1134" s="418"/>
      <c r="AN1134" s="423"/>
      <c r="AO1134" s="423"/>
      <c r="AP1134" s="423"/>
      <c r="AQ1134" s="423"/>
      <c r="AR1134" s="423"/>
      <c r="AS1134" s="423"/>
      <c r="AT1134" s="423"/>
      <c r="AU1134" s="423"/>
      <c r="AV1134" s="423"/>
      <c r="AW1134" s="418"/>
      <c r="AX1134" s="418"/>
      <c r="AY1134" s="418"/>
      <c r="BB1134" s="306"/>
      <c r="BF1134" s="1119"/>
      <c r="BG1134" s="1119"/>
      <c r="BH1134" s="1119"/>
    </row>
    <row r="1135" spans="1:60" ht="15.75" customHeight="1">
      <c r="A1135" s="415"/>
      <c r="B1135" s="416"/>
      <c r="C1135" s="424"/>
      <c r="E1135" s="418"/>
      <c r="F1135" s="419"/>
      <c r="G1135" s="420"/>
      <c r="H1135" s="421"/>
      <c r="I1135" s="421"/>
      <c r="J1135" s="492"/>
      <c r="K1135" s="418"/>
      <c r="L1135" s="418"/>
      <c r="M1135" s="418"/>
      <c r="N1135" s="421"/>
      <c r="O1135" s="421"/>
      <c r="P1135" s="421"/>
      <c r="Q1135" s="418"/>
      <c r="R1135" s="418"/>
      <c r="S1135" s="418"/>
      <c r="T1135" s="418"/>
      <c r="U1135" s="418"/>
      <c r="V1135" s="418"/>
      <c r="W1135" s="418"/>
      <c r="X1135" s="418"/>
      <c r="Y1135" s="418"/>
      <c r="Z1135" s="418"/>
      <c r="AA1135" s="418"/>
      <c r="AB1135" s="418"/>
      <c r="AC1135" s="418"/>
      <c r="AD1135" s="418"/>
      <c r="AE1135" s="418"/>
      <c r="AF1135" s="418"/>
      <c r="AG1135" s="418"/>
      <c r="AH1135" s="418"/>
      <c r="AI1135" s="418"/>
      <c r="AJ1135" s="418"/>
      <c r="AK1135" s="418"/>
      <c r="AL1135" s="418"/>
      <c r="AM1135" s="418"/>
      <c r="AN1135" s="423"/>
      <c r="AO1135" s="423"/>
      <c r="AP1135" s="423"/>
      <c r="AQ1135" s="423"/>
      <c r="AR1135" s="423"/>
      <c r="AS1135" s="423"/>
      <c r="AT1135" s="423"/>
      <c r="AU1135" s="423"/>
      <c r="AV1135" s="423"/>
      <c r="AW1135" s="418"/>
      <c r="AX1135" s="418"/>
      <c r="AY1135" s="418"/>
      <c r="BB1135" s="306"/>
      <c r="BF1135" s="1119"/>
      <c r="BG1135" s="1119"/>
      <c r="BH1135" s="1119"/>
    </row>
    <row r="1136" spans="1:60" ht="15.75" customHeight="1">
      <c r="A1136" s="415"/>
      <c r="B1136" s="416"/>
      <c r="C1136" s="424"/>
      <c r="E1136" s="418"/>
      <c r="F1136" s="419"/>
      <c r="G1136" s="420"/>
      <c r="H1136" s="421"/>
      <c r="I1136" s="421"/>
      <c r="J1136" s="492"/>
      <c r="K1136" s="418"/>
      <c r="L1136" s="418"/>
      <c r="M1136" s="418"/>
      <c r="N1136" s="421"/>
      <c r="O1136" s="421"/>
      <c r="P1136" s="421"/>
      <c r="Q1136" s="418"/>
      <c r="R1136" s="418"/>
      <c r="S1136" s="418"/>
      <c r="T1136" s="418"/>
      <c r="U1136" s="418"/>
      <c r="V1136" s="418"/>
      <c r="W1136" s="418"/>
      <c r="X1136" s="418"/>
      <c r="Y1136" s="418"/>
      <c r="Z1136" s="418"/>
      <c r="AA1136" s="418"/>
      <c r="AB1136" s="418"/>
      <c r="AC1136" s="418"/>
      <c r="AD1136" s="418"/>
      <c r="AE1136" s="418"/>
      <c r="AF1136" s="418"/>
      <c r="AG1136" s="418"/>
      <c r="AH1136" s="418"/>
      <c r="AI1136" s="418"/>
      <c r="AJ1136" s="418"/>
      <c r="AK1136" s="418"/>
      <c r="AL1136" s="418"/>
      <c r="AM1136" s="418"/>
      <c r="AN1136" s="423"/>
      <c r="AO1136" s="423"/>
      <c r="AP1136" s="423"/>
      <c r="AQ1136" s="423"/>
      <c r="AR1136" s="423"/>
      <c r="AS1136" s="423"/>
      <c r="AT1136" s="423"/>
      <c r="AU1136" s="423"/>
      <c r="AV1136" s="423"/>
      <c r="AW1136" s="418"/>
      <c r="AX1136" s="418"/>
      <c r="AY1136" s="418"/>
      <c r="BB1136" s="306"/>
      <c r="BF1136" s="1119"/>
      <c r="BG1136" s="1119"/>
      <c r="BH1136" s="1119"/>
    </row>
    <row r="1137" spans="1:60" ht="15.75" customHeight="1">
      <c r="A1137" s="415"/>
      <c r="B1137" s="416"/>
      <c r="C1137" s="424"/>
      <c r="E1137" s="418"/>
      <c r="F1137" s="419"/>
      <c r="G1137" s="420"/>
      <c r="H1137" s="421"/>
      <c r="I1137" s="425"/>
      <c r="J1137" s="492"/>
      <c r="K1137" s="418"/>
      <c r="L1137" s="418"/>
      <c r="M1137" s="418"/>
      <c r="N1137" s="421"/>
      <c r="O1137" s="421"/>
      <c r="P1137" s="421"/>
      <c r="Q1137" s="418"/>
      <c r="R1137" s="418"/>
      <c r="S1137" s="418"/>
      <c r="T1137" s="418"/>
      <c r="U1137" s="418"/>
      <c r="V1137" s="418"/>
      <c r="W1137" s="418"/>
      <c r="X1137" s="418"/>
      <c r="Y1137" s="418"/>
      <c r="Z1137" s="418"/>
      <c r="AA1137" s="418"/>
      <c r="AB1137" s="418"/>
      <c r="AC1137" s="418"/>
      <c r="AD1137" s="418"/>
      <c r="AE1137" s="418"/>
      <c r="AF1137" s="418"/>
      <c r="AG1137" s="418"/>
      <c r="AH1137" s="418"/>
      <c r="AI1137" s="418"/>
      <c r="AJ1137" s="418"/>
      <c r="AK1137" s="418"/>
      <c r="AL1137" s="418"/>
      <c r="AM1137" s="418"/>
      <c r="AN1137" s="423"/>
      <c r="AO1137" s="423"/>
      <c r="AP1137" s="423"/>
      <c r="AQ1137" s="423"/>
      <c r="AR1137" s="423"/>
      <c r="AS1137" s="423"/>
      <c r="AT1137" s="423"/>
      <c r="AU1137" s="423"/>
      <c r="AV1137" s="423"/>
      <c r="AW1137" s="418"/>
      <c r="AX1137" s="418"/>
      <c r="AY1137" s="418"/>
      <c r="BB1137" s="306"/>
      <c r="BF1137" s="1119"/>
      <c r="BG1137" s="1119"/>
      <c r="BH1137" s="1119"/>
    </row>
    <row r="1138" spans="1:60" ht="15.75" customHeight="1">
      <c r="A1138" s="415"/>
      <c r="B1138" s="416"/>
      <c r="C1138" s="424"/>
      <c r="E1138" s="418"/>
      <c r="F1138" s="419"/>
      <c r="G1138" s="420"/>
      <c r="H1138" s="421"/>
      <c r="I1138" s="421"/>
      <c r="J1138" s="492"/>
      <c r="K1138" s="418"/>
      <c r="L1138" s="418"/>
      <c r="M1138" s="418"/>
      <c r="N1138" s="421"/>
      <c r="O1138" s="421"/>
      <c r="P1138" s="421"/>
      <c r="Q1138" s="418"/>
      <c r="R1138" s="418"/>
      <c r="S1138" s="418"/>
      <c r="T1138" s="418"/>
      <c r="U1138" s="418"/>
      <c r="V1138" s="418"/>
      <c r="W1138" s="418"/>
      <c r="X1138" s="418"/>
      <c r="Y1138" s="418"/>
      <c r="Z1138" s="418"/>
      <c r="AA1138" s="418"/>
      <c r="AB1138" s="418"/>
      <c r="AC1138" s="418"/>
      <c r="AD1138" s="418"/>
      <c r="AE1138" s="418"/>
      <c r="AF1138" s="418"/>
      <c r="AG1138" s="418"/>
      <c r="AH1138" s="418"/>
      <c r="AI1138" s="418"/>
      <c r="AJ1138" s="418"/>
      <c r="AK1138" s="418"/>
      <c r="AL1138" s="418"/>
      <c r="AM1138" s="418"/>
      <c r="AN1138" s="423"/>
      <c r="AO1138" s="423"/>
      <c r="AP1138" s="423"/>
      <c r="AQ1138" s="423"/>
      <c r="AR1138" s="423"/>
      <c r="AS1138" s="423"/>
      <c r="AT1138" s="423"/>
      <c r="AU1138" s="423"/>
      <c r="AV1138" s="423"/>
      <c r="AW1138" s="418"/>
      <c r="AX1138" s="418"/>
      <c r="AY1138" s="418"/>
      <c r="BB1138" s="306"/>
      <c r="BF1138" s="1119"/>
      <c r="BG1138" s="1119"/>
      <c r="BH1138" s="1119"/>
    </row>
    <row r="1139" spans="1:60" ht="15.75" customHeight="1">
      <c r="A1139" s="415"/>
      <c r="B1139" s="416"/>
      <c r="C1139" s="424"/>
      <c r="E1139" s="418"/>
      <c r="F1139" s="419"/>
      <c r="G1139" s="420"/>
      <c r="H1139" s="421"/>
      <c r="I1139" s="425"/>
      <c r="J1139" s="492"/>
      <c r="K1139" s="418"/>
      <c r="L1139" s="418"/>
      <c r="M1139" s="418"/>
      <c r="N1139" s="421"/>
      <c r="O1139" s="421"/>
      <c r="P1139" s="421"/>
      <c r="Q1139" s="418"/>
      <c r="R1139" s="418"/>
      <c r="S1139" s="418"/>
      <c r="T1139" s="418"/>
      <c r="U1139" s="418"/>
      <c r="V1139" s="418"/>
      <c r="W1139" s="418"/>
      <c r="X1139" s="418"/>
      <c r="Y1139" s="418"/>
      <c r="Z1139" s="418"/>
      <c r="AA1139" s="418"/>
      <c r="AB1139" s="418"/>
      <c r="AC1139" s="418"/>
      <c r="AD1139" s="418"/>
      <c r="AE1139" s="418"/>
      <c r="AF1139" s="418"/>
      <c r="AG1139" s="418"/>
      <c r="AH1139" s="418"/>
      <c r="AI1139" s="418"/>
      <c r="AJ1139" s="418"/>
      <c r="AK1139" s="418"/>
      <c r="AL1139" s="418"/>
      <c r="AM1139" s="418"/>
      <c r="AN1139" s="423"/>
      <c r="AO1139" s="423"/>
      <c r="AP1139" s="423"/>
      <c r="AQ1139" s="423"/>
      <c r="AR1139" s="423"/>
      <c r="AS1139" s="423"/>
      <c r="AT1139" s="423"/>
      <c r="AU1139" s="423"/>
      <c r="AV1139" s="423"/>
      <c r="AW1139" s="418"/>
      <c r="AX1139" s="418"/>
      <c r="AY1139" s="418"/>
      <c r="BB1139" s="306"/>
      <c r="BF1139" s="1119"/>
      <c r="BG1139" s="1119"/>
      <c r="BH1139" s="1119"/>
    </row>
    <row r="1140" spans="1:60" ht="15.75" customHeight="1">
      <c r="A1140" s="415"/>
      <c r="B1140" s="416"/>
      <c r="C1140" s="424"/>
      <c r="E1140" s="418"/>
      <c r="F1140" s="419"/>
      <c r="G1140" s="420"/>
      <c r="H1140" s="421"/>
      <c r="I1140" s="421"/>
      <c r="J1140" s="492"/>
      <c r="K1140" s="418"/>
      <c r="L1140" s="418"/>
      <c r="M1140" s="418"/>
      <c r="N1140" s="421"/>
      <c r="O1140" s="421"/>
      <c r="P1140" s="421"/>
      <c r="Q1140" s="418"/>
      <c r="R1140" s="418"/>
      <c r="S1140" s="418"/>
      <c r="T1140" s="418"/>
      <c r="U1140" s="418"/>
      <c r="V1140" s="418"/>
      <c r="W1140" s="418"/>
      <c r="X1140" s="418"/>
      <c r="Y1140" s="418"/>
      <c r="Z1140" s="418"/>
      <c r="AA1140" s="418"/>
      <c r="AB1140" s="418"/>
      <c r="AC1140" s="418"/>
      <c r="AD1140" s="418"/>
      <c r="AE1140" s="418"/>
      <c r="AF1140" s="418"/>
      <c r="AG1140" s="418"/>
      <c r="AH1140" s="418"/>
      <c r="AI1140" s="418"/>
      <c r="AJ1140" s="418"/>
      <c r="AK1140" s="418"/>
      <c r="AL1140" s="418"/>
      <c r="AM1140" s="418"/>
      <c r="AN1140" s="423"/>
      <c r="AO1140" s="423"/>
      <c r="AP1140" s="423"/>
      <c r="AQ1140" s="423"/>
      <c r="AR1140" s="423"/>
      <c r="AS1140" s="423"/>
      <c r="AT1140" s="423"/>
      <c r="AU1140" s="423"/>
      <c r="AV1140" s="423"/>
      <c r="AW1140" s="418"/>
      <c r="AX1140" s="418"/>
      <c r="AY1140" s="418"/>
      <c r="BB1140" s="306"/>
      <c r="BF1140" s="1119"/>
      <c r="BG1140" s="1119"/>
      <c r="BH1140" s="1119"/>
    </row>
    <row r="1141" spans="1:60" ht="15.75" customHeight="1">
      <c r="A1141" s="415"/>
      <c r="B1141" s="416"/>
      <c r="C1141" s="424"/>
      <c r="E1141" s="418"/>
      <c r="F1141" s="419"/>
      <c r="G1141" s="420"/>
      <c r="H1141" s="421"/>
      <c r="I1141" s="421"/>
      <c r="J1141" s="492"/>
      <c r="K1141" s="418"/>
      <c r="L1141" s="418"/>
      <c r="M1141" s="418"/>
      <c r="N1141" s="421"/>
      <c r="O1141" s="421"/>
      <c r="P1141" s="421"/>
      <c r="Q1141" s="418"/>
      <c r="R1141" s="418"/>
      <c r="S1141" s="418"/>
      <c r="T1141" s="418"/>
      <c r="U1141" s="418"/>
      <c r="V1141" s="418"/>
      <c r="W1141" s="418"/>
      <c r="X1141" s="418"/>
      <c r="Y1141" s="418"/>
      <c r="Z1141" s="418"/>
      <c r="AA1141" s="418"/>
      <c r="AB1141" s="418"/>
      <c r="AC1141" s="418"/>
      <c r="AD1141" s="418"/>
      <c r="AE1141" s="418"/>
      <c r="AF1141" s="418"/>
      <c r="AG1141" s="418"/>
      <c r="AH1141" s="418"/>
      <c r="AI1141" s="418"/>
      <c r="AJ1141" s="418"/>
      <c r="AK1141" s="418"/>
      <c r="AL1141" s="418"/>
      <c r="AM1141" s="418"/>
      <c r="AN1141" s="423"/>
      <c r="AO1141" s="423"/>
      <c r="AP1141" s="423"/>
      <c r="AQ1141" s="423"/>
      <c r="AR1141" s="423"/>
      <c r="AS1141" s="423"/>
      <c r="AT1141" s="423"/>
      <c r="AU1141" s="423"/>
      <c r="AV1141" s="423"/>
      <c r="AW1141" s="418"/>
      <c r="AX1141" s="418"/>
      <c r="AY1141" s="418"/>
      <c r="BB1141" s="306"/>
      <c r="BF1141" s="1119"/>
      <c r="BG1141" s="1119"/>
      <c r="BH1141" s="1119"/>
    </row>
    <row r="1142" spans="1:60" ht="15.75" customHeight="1">
      <c r="A1142" s="415"/>
      <c r="B1142" s="416"/>
      <c r="C1142" s="424"/>
      <c r="E1142" s="418"/>
      <c r="F1142" s="419"/>
      <c r="G1142" s="420"/>
      <c r="H1142" s="421"/>
      <c r="I1142" s="425"/>
      <c r="J1142" s="492"/>
      <c r="K1142" s="418"/>
      <c r="L1142" s="418"/>
      <c r="M1142" s="418"/>
      <c r="N1142" s="421"/>
      <c r="O1142" s="421"/>
      <c r="P1142" s="421"/>
      <c r="Q1142" s="418"/>
      <c r="R1142" s="418"/>
      <c r="S1142" s="418"/>
      <c r="T1142" s="418"/>
      <c r="U1142" s="418"/>
      <c r="V1142" s="418"/>
      <c r="W1142" s="418"/>
      <c r="X1142" s="418"/>
      <c r="Y1142" s="418"/>
      <c r="Z1142" s="418"/>
      <c r="AA1142" s="418"/>
      <c r="AB1142" s="418"/>
      <c r="AC1142" s="418"/>
      <c r="AD1142" s="418"/>
      <c r="AE1142" s="418"/>
      <c r="AF1142" s="418"/>
      <c r="AG1142" s="418"/>
      <c r="AH1142" s="418"/>
      <c r="AI1142" s="418"/>
      <c r="AJ1142" s="418"/>
      <c r="AK1142" s="418"/>
      <c r="AL1142" s="418"/>
      <c r="AM1142" s="418"/>
      <c r="AN1142" s="423"/>
      <c r="AO1142" s="423"/>
      <c r="AP1142" s="423"/>
      <c r="AQ1142" s="423"/>
      <c r="AR1142" s="423"/>
      <c r="AS1142" s="423"/>
      <c r="AT1142" s="423"/>
      <c r="AU1142" s="423"/>
      <c r="AV1142" s="423"/>
      <c r="AW1142" s="418"/>
      <c r="AX1142" s="418"/>
      <c r="AY1142" s="418"/>
      <c r="BB1142" s="306"/>
      <c r="BF1142" s="1119"/>
      <c r="BG1142" s="1119"/>
      <c r="BH1142" s="1119"/>
    </row>
    <row r="1143" spans="1:60" ht="15.75" customHeight="1">
      <c r="A1143" s="415"/>
      <c r="B1143" s="416"/>
      <c r="C1143" s="424"/>
      <c r="E1143" s="418"/>
      <c r="F1143" s="419"/>
      <c r="G1143" s="420"/>
      <c r="H1143" s="421"/>
      <c r="I1143" s="421"/>
      <c r="J1143" s="492"/>
      <c r="K1143" s="418"/>
      <c r="L1143" s="418"/>
      <c r="M1143" s="418"/>
      <c r="N1143" s="421"/>
      <c r="O1143" s="421"/>
      <c r="P1143" s="421"/>
      <c r="Q1143" s="418"/>
      <c r="R1143" s="418"/>
      <c r="S1143" s="418"/>
      <c r="T1143" s="418"/>
      <c r="U1143" s="418"/>
      <c r="V1143" s="418"/>
      <c r="W1143" s="418"/>
      <c r="X1143" s="418"/>
      <c r="Y1143" s="418"/>
      <c r="Z1143" s="418"/>
      <c r="AA1143" s="418"/>
      <c r="AB1143" s="418"/>
      <c r="AC1143" s="418"/>
      <c r="AD1143" s="418"/>
      <c r="AE1143" s="418"/>
      <c r="AF1143" s="418"/>
      <c r="AG1143" s="418"/>
      <c r="AH1143" s="418"/>
      <c r="AI1143" s="418"/>
      <c r="AJ1143" s="418"/>
      <c r="AK1143" s="418"/>
      <c r="AL1143" s="418"/>
      <c r="AM1143" s="418"/>
      <c r="AN1143" s="423"/>
      <c r="AO1143" s="423"/>
      <c r="AP1143" s="423"/>
      <c r="AQ1143" s="423"/>
      <c r="AR1143" s="423"/>
      <c r="AS1143" s="423"/>
      <c r="AT1143" s="423"/>
      <c r="AU1143" s="423"/>
      <c r="AV1143" s="423"/>
      <c r="AW1143" s="418"/>
      <c r="AX1143" s="418"/>
      <c r="AY1143" s="418"/>
      <c r="BB1143" s="306"/>
      <c r="BF1143" s="1119"/>
      <c r="BG1143" s="1119"/>
      <c r="BH1143" s="1119"/>
    </row>
    <row r="1144" spans="1:60" ht="15.75" customHeight="1">
      <c r="A1144" s="415"/>
      <c r="B1144" s="416"/>
      <c r="C1144" s="424"/>
      <c r="E1144" s="418"/>
      <c r="F1144" s="419"/>
      <c r="G1144" s="420"/>
      <c r="H1144" s="421"/>
      <c r="I1144" s="421"/>
      <c r="J1144" s="492"/>
      <c r="K1144" s="418"/>
      <c r="L1144" s="418"/>
      <c r="M1144" s="418"/>
      <c r="N1144" s="421"/>
      <c r="O1144" s="421"/>
      <c r="P1144" s="421"/>
      <c r="Q1144" s="418"/>
      <c r="R1144" s="418"/>
      <c r="S1144" s="418"/>
      <c r="T1144" s="418"/>
      <c r="U1144" s="418"/>
      <c r="V1144" s="418"/>
      <c r="W1144" s="418"/>
      <c r="X1144" s="418"/>
      <c r="Y1144" s="418"/>
      <c r="Z1144" s="418"/>
      <c r="AA1144" s="418"/>
      <c r="AB1144" s="418"/>
      <c r="AC1144" s="418"/>
      <c r="AD1144" s="418"/>
      <c r="AE1144" s="418"/>
      <c r="AF1144" s="418"/>
      <c r="AG1144" s="418"/>
      <c r="AH1144" s="418"/>
      <c r="AI1144" s="418"/>
      <c r="AJ1144" s="418"/>
      <c r="AK1144" s="418"/>
      <c r="AL1144" s="418"/>
      <c r="AM1144" s="418"/>
      <c r="AN1144" s="423"/>
      <c r="AO1144" s="423"/>
      <c r="AP1144" s="423"/>
      <c r="AQ1144" s="423"/>
      <c r="AR1144" s="423"/>
      <c r="AS1144" s="423"/>
      <c r="AT1144" s="423"/>
      <c r="AU1144" s="423"/>
      <c r="AV1144" s="423"/>
      <c r="AW1144" s="418"/>
      <c r="AX1144" s="418"/>
      <c r="AY1144" s="418"/>
      <c r="BB1144" s="306"/>
      <c r="BF1144" s="1119"/>
      <c r="BG1144" s="1119"/>
      <c r="BH1144" s="1119"/>
    </row>
    <row r="1145" spans="1:60" ht="15.75" customHeight="1">
      <c r="A1145" s="415"/>
      <c r="B1145" s="416"/>
      <c r="C1145" s="424"/>
      <c r="E1145" s="418"/>
      <c r="F1145" s="419"/>
      <c r="G1145" s="420"/>
      <c r="H1145" s="421"/>
      <c r="I1145" s="421"/>
      <c r="J1145" s="492"/>
      <c r="K1145" s="418"/>
      <c r="L1145" s="418"/>
      <c r="M1145" s="418"/>
      <c r="N1145" s="421"/>
      <c r="O1145" s="421"/>
      <c r="P1145" s="421"/>
      <c r="Q1145" s="418"/>
      <c r="R1145" s="418"/>
      <c r="S1145" s="418"/>
      <c r="T1145" s="418"/>
      <c r="U1145" s="418"/>
      <c r="V1145" s="418"/>
      <c r="W1145" s="418"/>
      <c r="X1145" s="418"/>
      <c r="Y1145" s="418"/>
      <c r="Z1145" s="418"/>
      <c r="AA1145" s="418"/>
      <c r="AB1145" s="418"/>
      <c r="AC1145" s="418"/>
      <c r="AD1145" s="418"/>
      <c r="AE1145" s="418"/>
      <c r="AF1145" s="418"/>
      <c r="AG1145" s="418"/>
      <c r="AH1145" s="418"/>
      <c r="AI1145" s="418"/>
      <c r="AJ1145" s="418"/>
      <c r="AK1145" s="418"/>
      <c r="AL1145" s="418"/>
      <c r="AM1145" s="418"/>
      <c r="AN1145" s="423"/>
      <c r="AO1145" s="423"/>
      <c r="AP1145" s="423"/>
      <c r="AQ1145" s="423"/>
      <c r="AR1145" s="423"/>
      <c r="AS1145" s="423"/>
      <c r="AT1145" s="423"/>
      <c r="AU1145" s="423"/>
      <c r="AV1145" s="423"/>
      <c r="AW1145" s="418"/>
      <c r="AX1145" s="418"/>
      <c r="AY1145" s="418"/>
      <c r="BB1145" s="306"/>
      <c r="BF1145" s="1119"/>
      <c r="BG1145" s="1119"/>
      <c r="BH1145" s="1119"/>
    </row>
    <row r="1146" spans="1:60" ht="15.75" customHeight="1">
      <c r="A1146" s="415"/>
      <c r="B1146" s="416"/>
      <c r="C1146" s="424"/>
      <c r="E1146" s="418"/>
      <c r="F1146" s="419"/>
      <c r="G1146" s="420"/>
      <c r="H1146" s="421"/>
      <c r="I1146" s="421"/>
      <c r="J1146" s="492"/>
      <c r="K1146" s="418"/>
      <c r="L1146" s="418"/>
      <c r="M1146" s="418"/>
      <c r="N1146" s="421"/>
      <c r="O1146" s="421"/>
      <c r="P1146" s="421"/>
      <c r="Q1146" s="418"/>
      <c r="R1146" s="418"/>
      <c r="S1146" s="418"/>
      <c r="T1146" s="418"/>
      <c r="U1146" s="418"/>
      <c r="V1146" s="418"/>
      <c r="W1146" s="418"/>
      <c r="X1146" s="418"/>
      <c r="Y1146" s="418"/>
      <c r="Z1146" s="418"/>
      <c r="AA1146" s="418"/>
      <c r="AB1146" s="418"/>
      <c r="AC1146" s="418"/>
      <c r="AD1146" s="418"/>
      <c r="AE1146" s="418"/>
      <c r="AF1146" s="418"/>
      <c r="AG1146" s="418"/>
      <c r="AH1146" s="418"/>
      <c r="AI1146" s="418"/>
      <c r="AJ1146" s="418"/>
      <c r="AK1146" s="418"/>
      <c r="AL1146" s="418"/>
      <c r="AM1146" s="418"/>
      <c r="AN1146" s="423"/>
      <c r="AO1146" s="423"/>
      <c r="AP1146" s="423"/>
      <c r="AQ1146" s="423"/>
      <c r="AR1146" s="423"/>
      <c r="AS1146" s="423"/>
      <c r="AT1146" s="423"/>
      <c r="AU1146" s="423"/>
      <c r="AV1146" s="423"/>
      <c r="AW1146" s="418"/>
      <c r="AX1146" s="418"/>
      <c r="AY1146" s="418"/>
      <c r="BB1146" s="306"/>
      <c r="BF1146" s="1119"/>
      <c r="BG1146" s="1119"/>
      <c r="BH1146" s="1119"/>
    </row>
    <row r="1147" spans="1:60" ht="15.75" customHeight="1">
      <c r="A1147" s="415"/>
      <c r="B1147" s="416"/>
      <c r="C1147" s="424"/>
      <c r="E1147" s="418"/>
      <c r="F1147" s="419"/>
      <c r="G1147" s="420"/>
      <c r="H1147" s="421"/>
      <c r="I1147" s="425"/>
      <c r="J1147" s="492"/>
      <c r="K1147" s="418"/>
      <c r="L1147" s="418"/>
      <c r="M1147" s="418"/>
      <c r="N1147" s="421"/>
      <c r="O1147" s="421"/>
      <c r="P1147" s="421"/>
      <c r="Q1147" s="418"/>
      <c r="R1147" s="418"/>
      <c r="S1147" s="418"/>
      <c r="T1147" s="418"/>
      <c r="U1147" s="418"/>
      <c r="V1147" s="418"/>
      <c r="W1147" s="418"/>
      <c r="X1147" s="418"/>
      <c r="Y1147" s="418"/>
      <c r="Z1147" s="418"/>
      <c r="AA1147" s="418"/>
      <c r="AB1147" s="418"/>
      <c r="AC1147" s="418"/>
      <c r="AD1147" s="418"/>
      <c r="AE1147" s="418"/>
      <c r="AF1147" s="418"/>
      <c r="AG1147" s="418"/>
      <c r="AH1147" s="418"/>
      <c r="AI1147" s="418"/>
      <c r="AJ1147" s="418"/>
      <c r="AK1147" s="418"/>
      <c r="AL1147" s="418"/>
      <c r="AM1147" s="418"/>
      <c r="AN1147" s="423"/>
      <c r="AO1147" s="423"/>
      <c r="AP1147" s="423"/>
      <c r="AQ1147" s="423"/>
      <c r="AR1147" s="423"/>
      <c r="AS1147" s="423"/>
      <c r="AT1147" s="423"/>
      <c r="AU1147" s="423"/>
      <c r="AV1147" s="423"/>
      <c r="AW1147" s="418"/>
      <c r="AX1147" s="418"/>
      <c r="AY1147" s="418"/>
      <c r="BB1147" s="306"/>
      <c r="BF1147" s="1119"/>
      <c r="BG1147" s="1119"/>
      <c r="BH1147" s="1119"/>
    </row>
    <row r="1148" spans="1:60" ht="15.75" customHeight="1">
      <c r="A1148" s="415"/>
      <c r="B1148" s="416"/>
      <c r="C1148" s="424"/>
      <c r="E1148" s="418"/>
      <c r="F1148" s="419"/>
      <c r="G1148" s="420"/>
      <c r="H1148" s="421"/>
      <c r="I1148" s="421"/>
      <c r="J1148" s="492"/>
      <c r="K1148" s="418"/>
      <c r="L1148" s="418"/>
      <c r="M1148" s="418"/>
      <c r="N1148" s="421"/>
      <c r="O1148" s="421"/>
      <c r="P1148" s="421"/>
      <c r="Q1148" s="418"/>
      <c r="R1148" s="418"/>
      <c r="S1148" s="418"/>
      <c r="T1148" s="418"/>
      <c r="U1148" s="418"/>
      <c r="V1148" s="418"/>
      <c r="W1148" s="418"/>
      <c r="X1148" s="418"/>
      <c r="Y1148" s="418"/>
      <c r="Z1148" s="418"/>
      <c r="AA1148" s="418"/>
      <c r="AB1148" s="418"/>
      <c r="AC1148" s="418"/>
      <c r="AD1148" s="418"/>
      <c r="AE1148" s="418"/>
      <c r="AF1148" s="418"/>
      <c r="AG1148" s="418"/>
      <c r="AH1148" s="418"/>
      <c r="AI1148" s="418"/>
      <c r="AJ1148" s="418"/>
      <c r="AK1148" s="418"/>
      <c r="AL1148" s="418"/>
      <c r="AM1148" s="418"/>
      <c r="AN1148" s="423"/>
      <c r="AO1148" s="423"/>
      <c r="AP1148" s="423"/>
      <c r="AQ1148" s="423"/>
      <c r="AR1148" s="423"/>
      <c r="AS1148" s="423"/>
      <c r="AT1148" s="423"/>
      <c r="AU1148" s="423"/>
      <c r="AV1148" s="423"/>
      <c r="AW1148" s="418"/>
      <c r="AX1148" s="418"/>
      <c r="AY1148" s="418"/>
      <c r="BB1148" s="306"/>
      <c r="BF1148" s="1119"/>
      <c r="BG1148" s="1119"/>
      <c r="BH1148" s="1119"/>
    </row>
    <row r="1149" spans="1:60" ht="15.75" customHeight="1">
      <c r="A1149" s="415"/>
      <c r="B1149" s="416"/>
      <c r="C1149" s="424"/>
      <c r="E1149" s="418"/>
      <c r="F1149" s="419"/>
      <c r="G1149" s="420"/>
      <c r="H1149" s="421"/>
      <c r="I1149" s="425"/>
      <c r="J1149" s="492"/>
      <c r="K1149" s="418"/>
      <c r="L1149" s="418"/>
      <c r="M1149" s="418"/>
      <c r="N1149" s="421"/>
      <c r="O1149" s="421"/>
      <c r="P1149" s="421"/>
      <c r="Q1149" s="418"/>
      <c r="R1149" s="418"/>
      <c r="S1149" s="418"/>
      <c r="T1149" s="418"/>
      <c r="U1149" s="418"/>
      <c r="V1149" s="418"/>
      <c r="W1149" s="418"/>
      <c r="X1149" s="418"/>
      <c r="Y1149" s="418"/>
      <c r="Z1149" s="418"/>
      <c r="AA1149" s="418"/>
      <c r="AB1149" s="418"/>
      <c r="AC1149" s="418"/>
      <c r="AD1149" s="418"/>
      <c r="AE1149" s="418"/>
      <c r="AF1149" s="418"/>
      <c r="AG1149" s="418"/>
      <c r="AH1149" s="418"/>
      <c r="AI1149" s="418"/>
      <c r="AJ1149" s="418"/>
      <c r="AK1149" s="418"/>
      <c r="AL1149" s="418"/>
      <c r="AM1149" s="418"/>
      <c r="AN1149" s="423"/>
      <c r="AO1149" s="423"/>
      <c r="AP1149" s="423"/>
      <c r="AQ1149" s="423"/>
      <c r="AR1149" s="423"/>
      <c r="AS1149" s="423"/>
      <c r="AT1149" s="423"/>
      <c r="AU1149" s="423"/>
      <c r="AV1149" s="423"/>
      <c r="AW1149" s="418"/>
      <c r="AX1149" s="418"/>
      <c r="AY1149" s="418"/>
      <c r="BB1149" s="306"/>
      <c r="BF1149" s="1119"/>
      <c r="BG1149" s="1119"/>
      <c r="BH1149" s="1119"/>
    </row>
    <row r="1150" spans="1:60" ht="15.75" customHeight="1">
      <c r="A1150" s="415"/>
      <c r="B1150" s="416"/>
      <c r="C1150" s="424"/>
      <c r="E1150" s="418"/>
      <c r="F1150" s="419"/>
      <c r="G1150" s="420"/>
      <c r="H1150" s="421"/>
      <c r="I1150" s="421"/>
      <c r="J1150" s="492"/>
      <c r="K1150" s="418"/>
      <c r="L1150" s="418"/>
      <c r="M1150" s="418"/>
      <c r="N1150" s="421"/>
      <c r="O1150" s="421"/>
      <c r="P1150" s="421"/>
      <c r="Q1150" s="418"/>
      <c r="R1150" s="418"/>
      <c r="S1150" s="418"/>
      <c r="T1150" s="418"/>
      <c r="U1150" s="418"/>
      <c r="V1150" s="418"/>
      <c r="W1150" s="418"/>
      <c r="X1150" s="418"/>
      <c r="Y1150" s="418"/>
      <c r="Z1150" s="418"/>
      <c r="AA1150" s="418"/>
      <c r="AB1150" s="418"/>
      <c r="AC1150" s="418"/>
      <c r="AD1150" s="418"/>
      <c r="AE1150" s="418"/>
      <c r="AF1150" s="418"/>
      <c r="AG1150" s="418"/>
      <c r="AH1150" s="418"/>
      <c r="AI1150" s="418"/>
      <c r="AJ1150" s="418"/>
      <c r="AK1150" s="418"/>
      <c r="AL1150" s="418"/>
      <c r="AM1150" s="418"/>
      <c r="AN1150" s="423"/>
      <c r="AO1150" s="423"/>
      <c r="AP1150" s="423"/>
      <c r="AQ1150" s="423"/>
      <c r="AR1150" s="423"/>
      <c r="AS1150" s="423"/>
      <c r="AT1150" s="423"/>
      <c r="AU1150" s="423"/>
      <c r="AV1150" s="423"/>
      <c r="AW1150" s="418"/>
      <c r="AX1150" s="418"/>
      <c r="AY1150" s="418"/>
      <c r="BB1150" s="306"/>
      <c r="BF1150" s="1119"/>
      <c r="BG1150" s="1119"/>
      <c r="BH1150" s="1119"/>
    </row>
    <row r="1151" spans="1:60" ht="15.75" customHeight="1">
      <c r="A1151" s="415"/>
      <c r="B1151" s="416"/>
      <c r="C1151" s="424"/>
      <c r="E1151" s="418"/>
      <c r="F1151" s="419"/>
      <c r="G1151" s="420"/>
      <c r="H1151" s="421"/>
      <c r="I1151" s="425"/>
      <c r="J1151" s="492"/>
      <c r="K1151" s="418"/>
      <c r="L1151" s="418"/>
      <c r="M1151" s="418"/>
      <c r="N1151" s="421"/>
      <c r="O1151" s="421"/>
      <c r="P1151" s="421"/>
      <c r="Q1151" s="418"/>
      <c r="R1151" s="418"/>
      <c r="S1151" s="418"/>
      <c r="T1151" s="418"/>
      <c r="U1151" s="418"/>
      <c r="V1151" s="418"/>
      <c r="W1151" s="418"/>
      <c r="X1151" s="418"/>
      <c r="Y1151" s="418"/>
      <c r="Z1151" s="418"/>
      <c r="AA1151" s="418"/>
      <c r="AB1151" s="418"/>
      <c r="AC1151" s="418"/>
      <c r="AD1151" s="418"/>
      <c r="AE1151" s="418"/>
      <c r="AF1151" s="418"/>
      <c r="AG1151" s="418"/>
      <c r="AH1151" s="418"/>
      <c r="AI1151" s="418"/>
      <c r="AJ1151" s="418"/>
      <c r="AK1151" s="418"/>
      <c r="AL1151" s="418"/>
      <c r="AM1151" s="418"/>
      <c r="AN1151" s="423"/>
      <c r="AO1151" s="423"/>
      <c r="AP1151" s="423"/>
      <c r="AQ1151" s="423"/>
      <c r="AR1151" s="423"/>
      <c r="AS1151" s="423"/>
      <c r="AT1151" s="423"/>
      <c r="AU1151" s="423"/>
      <c r="AV1151" s="423"/>
      <c r="AW1151" s="418"/>
      <c r="AX1151" s="418"/>
      <c r="AY1151" s="418"/>
      <c r="BB1151" s="306"/>
      <c r="BF1151" s="1119"/>
      <c r="BG1151" s="1119"/>
      <c r="BH1151" s="1119"/>
    </row>
    <row r="1152" spans="1:60" ht="15.75" customHeight="1">
      <c r="A1152" s="415"/>
      <c r="B1152" s="416"/>
      <c r="C1152" s="424"/>
      <c r="E1152" s="418"/>
      <c r="F1152" s="419"/>
      <c r="G1152" s="420"/>
      <c r="H1152" s="421"/>
      <c r="I1152" s="421"/>
      <c r="J1152" s="492"/>
      <c r="K1152" s="418"/>
      <c r="L1152" s="418"/>
      <c r="M1152" s="418"/>
      <c r="N1152" s="421"/>
      <c r="O1152" s="421"/>
      <c r="P1152" s="421"/>
      <c r="Q1152" s="418"/>
      <c r="R1152" s="418"/>
      <c r="S1152" s="418"/>
      <c r="T1152" s="418"/>
      <c r="U1152" s="418"/>
      <c r="V1152" s="418"/>
      <c r="W1152" s="418"/>
      <c r="X1152" s="418"/>
      <c r="Y1152" s="418"/>
      <c r="Z1152" s="418"/>
      <c r="AA1152" s="418"/>
      <c r="AB1152" s="418"/>
      <c r="AC1152" s="418"/>
      <c r="AD1152" s="418"/>
      <c r="AE1152" s="418"/>
      <c r="AF1152" s="418"/>
      <c r="AG1152" s="418"/>
      <c r="AH1152" s="418"/>
      <c r="AI1152" s="418"/>
      <c r="AJ1152" s="418"/>
      <c r="AK1152" s="418"/>
      <c r="AL1152" s="418"/>
      <c r="AM1152" s="418"/>
      <c r="AN1152" s="423"/>
      <c r="AO1152" s="423"/>
      <c r="AP1152" s="423"/>
      <c r="AQ1152" s="423"/>
      <c r="AR1152" s="423"/>
      <c r="AS1152" s="423"/>
      <c r="AT1152" s="423"/>
      <c r="AU1152" s="423"/>
      <c r="AV1152" s="423"/>
      <c r="AW1152" s="418"/>
      <c r="AX1152" s="418"/>
      <c r="AY1152" s="418"/>
      <c r="BB1152" s="306"/>
      <c r="BF1152" s="1119"/>
      <c r="BG1152" s="1119"/>
      <c r="BH1152" s="1119"/>
    </row>
    <row r="1153" spans="1:60" ht="15.75" customHeight="1">
      <c r="A1153" s="415"/>
      <c r="B1153" s="416"/>
      <c r="C1153" s="424"/>
      <c r="E1153" s="418"/>
      <c r="F1153" s="419"/>
      <c r="G1153" s="420"/>
      <c r="H1153" s="421"/>
      <c r="I1153" s="421"/>
      <c r="J1153" s="492"/>
      <c r="K1153" s="418"/>
      <c r="L1153" s="418"/>
      <c r="M1153" s="418"/>
      <c r="N1153" s="421"/>
      <c r="O1153" s="421"/>
      <c r="P1153" s="421"/>
      <c r="Q1153" s="418"/>
      <c r="R1153" s="418"/>
      <c r="S1153" s="418"/>
      <c r="T1153" s="418"/>
      <c r="U1153" s="418"/>
      <c r="V1153" s="418"/>
      <c r="W1153" s="418"/>
      <c r="X1153" s="418"/>
      <c r="Y1153" s="418"/>
      <c r="Z1153" s="418"/>
      <c r="AA1153" s="418"/>
      <c r="AB1153" s="418"/>
      <c r="AC1153" s="418"/>
      <c r="AD1153" s="418"/>
      <c r="AE1153" s="418"/>
      <c r="AF1153" s="418"/>
      <c r="AG1153" s="418"/>
      <c r="AH1153" s="418"/>
      <c r="AI1153" s="418"/>
      <c r="AJ1153" s="418"/>
      <c r="AK1153" s="418"/>
      <c r="AL1153" s="418"/>
      <c r="AM1153" s="418"/>
      <c r="AN1153" s="423"/>
      <c r="AO1153" s="423"/>
      <c r="AP1153" s="423"/>
      <c r="AQ1153" s="423"/>
      <c r="AR1153" s="423"/>
      <c r="AS1153" s="423"/>
      <c r="AT1153" s="423"/>
      <c r="AU1153" s="423"/>
      <c r="AV1153" s="423"/>
      <c r="AW1153" s="418"/>
      <c r="AX1153" s="418"/>
      <c r="AY1153" s="418"/>
      <c r="BB1153" s="306"/>
      <c r="BF1153" s="1119"/>
      <c r="BG1153" s="1119"/>
      <c r="BH1153" s="1119"/>
    </row>
    <row r="1154" spans="1:60" ht="15.75" customHeight="1">
      <c r="A1154" s="415"/>
      <c r="B1154" s="416"/>
      <c r="C1154" s="424"/>
      <c r="E1154" s="418"/>
      <c r="F1154" s="419"/>
      <c r="G1154" s="420"/>
      <c r="H1154" s="421"/>
      <c r="I1154" s="421"/>
      <c r="J1154" s="492"/>
      <c r="K1154" s="418"/>
      <c r="L1154" s="418"/>
      <c r="M1154" s="418"/>
      <c r="N1154" s="421"/>
      <c r="O1154" s="421"/>
      <c r="P1154" s="421"/>
      <c r="Q1154" s="418"/>
      <c r="R1154" s="418"/>
      <c r="S1154" s="418"/>
      <c r="T1154" s="418"/>
      <c r="U1154" s="418"/>
      <c r="V1154" s="418"/>
      <c r="W1154" s="418"/>
      <c r="X1154" s="418"/>
      <c r="Y1154" s="418"/>
      <c r="Z1154" s="418"/>
      <c r="AA1154" s="418"/>
      <c r="AB1154" s="418"/>
      <c r="AC1154" s="418"/>
      <c r="AD1154" s="418"/>
      <c r="AE1154" s="418"/>
      <c r="AF1154" s="418"/>
      <c r="AG1154" s="418"/>
      <c r="AH1154" s="418"/>
      <c r="AI1154" s="418"/>
      <c r="AJ1154" s="418"/>
      <c r="AK1154" s="418"/>
      <c r="AL1154" s="418"/>
      <c r="AM1154" s="418"/>
      <c r="AN1154" s="423"/>
      <c r="AO1154" s="423"/>
      <c r="AP1154" s="423"/>
      <c r="AQ1154" s="423"/>
      <c r="AR1154" s="423"/>
      <c r="AS1154" s="423"/>
      <c r="AT1154" s="423"/>
      <c r="AU1154" s="423"/>
      <c r="AV1154" s="423"/>
      <c r="AW1154" s="418"/>
      <c r="AX1154" s="418"/>
      <c r="AY1154" s="418"/>
      <c r="BB1154" s="306"/>
      <c r="BF1154" s="1119"/>
      <c r="BG1154" s="1119"/>
      <c r="BH1154" s="1119"/>
    </row>
    <row r="1155" spans="1:60" ht="15.75" customHeight="1">
      <c r="A1155" s="415"/>
      <c r="B1155" s="416"/>
      <c r="C1155" s="424"/>
      <c r="E1155" s="418"/>
      <c r="F1155" s="419"/>
      <c r="G1155" s="420"/>
      <c r="H1155" s="421"/>
      <c r="I1155" s="421"/>
      <c r="J1155" s="492"/>
      <c r="K1155" s="418"/>
      <c r="L1155" s="418"/>
      <c r="M1155" s="418"/>
      <c r="N1155" s="421"/>
      <c r="O1155" s="421"/>
      <c r="P1155" s="421"/>
      <c r="Q1155" s="418"/>
      <c r="R1155" s="418"/>
      <c r="S1155" s="418"/>
      <c r="T1155" s="418"/>
      <c r="U1155" s="418"/>
      <c r="V1155" s="418"/>
      <c r="W1155" s="418"/>
      <c r="X1155" s="418"/>
      <c r="Y1155" s="418"/>
      <c r="Z1155" s="418"/>
      <c r="AA1155" s="418"/>
      <c r="AB1155" s="418"/>
      <c r="AC1155" s="418"/>
      <c r="AD1155" s="418"/>
      <c r="AE1155" s="418"/>
      <c r="AF1155" s="418"/>
      <c r="AG1155" s="418"/>
      <c r="AH1155" s="418"/>
      <c r="AI1155" s="418"/>
      <c r="AJ1155" s="418"/>
      <c r="AK1155" s="418"/>
      <c r="AL1155" s="418"/>
      <c r="AM1155" s="418"/>
      <c r="AN1155" s="423"/>
      <c r="AO1155" s="423"/>
      <c r="AP1155" s="423"/>
      <c r="AQ1155" s="423"/>
      <c r="AR1155" s="423"/>
      <c r="AS1155" s="423"/>
      <c r="AT1155" s="423"/>
      <c r="AU1155" s="423"/>
      <c r="AV1155" s="423"/>
      <c r="AW1155" s="418"/>
      <c r="AX1155" s="418"/>
      <c r="AY1155" s="418"/>
      <c r="BB1155" s="306"/>
      <c r="BF1155" s="1119"/>
      <c r="BG1155" s="1119"/>
      <c r="BH1155" s="1119"/>
    </row>
    <row r="1156" spans="1:60" ht="15.75" customHeight="1">
      <c r="A1156" s="415"/>
      <c r="B1156" s="416"/>
      <c r="C1156" s="424"/>
      <c r="E1156" s="418"/>
      <c r="F1156" s="419"/>
      <c r="G1156" s="420"/>
      <c r="H1156" s="421"/>
      <c r="I1156" s="421"/>
      <c r="J1156" s="492"/>
      <c r="K1156" s="418"/>
      <c r="L1156" s="418"/>
      <c r="M1156" s="418"/>
      <c r="N1156" s="421"/>
      <c r="O1156" s="421"/>
      <c r="P1156" s="421"/>
      <c r="Q1156" s="418"/>
      <c r="R1156" s="418"/>
      <c r="S1156" s="418"/>
      <c r="T1156" s="418"/>
      <c r="U1156" s="418"/>
      <c r="V1156" s="418"/>
      <c r="W1156" s="418"/>
      <c r="X1156" s="418"/>
      <c r="Y1156" s="418"/>
      <c r="Z1156" s="418"/>
      <c r="AA1156" s="418"/>
      <c r="AB1156" s="418"/>
      <c r="AC1156" s="418"/>
      <c r="AD1156" s="418"/>
      <c r="AE1156" s="418"/>
      <c r="AF1156" s="418"/>
      <c r="AG1156" s="418"/>
      <c r="AH1156" s="418"/>
      <c r="AI1156" s="418"/>
      <c r="AJ1156" s="418"/>
      <c r="AK1156" s="418"/>
      <c r="AL1156" s="418"/>
      <c r="AM1156" s="418"/>
      <c r="AN1156" s="423"/>
      <c r="AO1156" s="423"/>
      <c r="AP1156" s="423"/>
      <c r="AQ1156" s="423"/>
      <c r="AR1156" s="423"/>
      <c r="AS1156" s="423"/>
      <c r="AT1156" s="423"/>
      <c r="AU1156" s="423"/>
      <c r="AV1156" s="423"/>
      <c r="AW1156" s="418"/>
      <c r="AX1156" s="418"/>
      <c r="AY1156" s="418"/>
      <c r="BB1156" s="306"/>
      <c r="BF1156" s="1119"/>
      <c r="BG1156" s="1119"/>
      <c r="BH1156" s="1119"/>
    </row>
    <row r="1157" spans="1:60" ht="15.75" customHeight="1">
      <c r="A1157" s="415"/>
      <c r="B1157" s="416"/>
      <c r="C1157" s="424"/>
      <c r="E1157" s="418"/>
      <c r="F1157" s="419"/>
      <c r="G1157" s="420"/>
      <c r="H1157" s="421"/>
      <c r="I1157" s="421"/>
      <c r="J1157" s="492"/>
      <c r="K1157" s="418"/>
      <c r="L1157" s="418"/>
      <c r="M1157" s="418"/>
      <c r="N1157" s="421"/>
      <c r="O1157" s="421"/>
      <c r="P1157" s="421"/>
      <c r="Q1157" s="418"/>
      <c r="R1157" s="418"/>
      <c r="S1157" s="418"/>
      <c r="T1157" s="418"/>
      <c r="U1157" s="418"/>
      <c r="V1157" s="418"/>
      <c r="W1157" s="418"/>
      <c r="X1157" s="418"/>
      <c r="Y1157" s="418"/>
      <c r="Z1157" s="418"/>
      <c r="AA1157" s="418"/>
      <c r="AB1157" s="418"/>
      <c r="AC1157" s="418"/>
      <c r="AD1157" s="418"/>
      <c r="AE1157" s="418"/>
      <c r="AF1157" s="418"/>
      <c r="AG1157" s="418"/>
      <c r="AH1157" s="418"/>
      <c r="AI1157" s="418"/>
      <c r="AJ1157" s="418"/>
      <c r="AK1157" s="418"/>
      <c r="AL1157" s="418"/>
      <c r="AM1157" s="418"/>
      <c r="AN1157" s="423"/>
      <c r="AO1157" s="423"/>
      <c r="AP1157" s="423"/>
      <c r="AQ1157" s="423"/>
      <c r="AR1157" s="423"/>
      <c r="AS1157" s="423"/>
      <c r="AT1157" s="423"/>
      <c r="AU1157" s="423"/>
      <c r="AV1157" s="423"/>
      <c r="AW1157" s="418"/>
      <c r="AX1157" s="418"/>
      <c r="AY1157" s="418"/>
      <c r="BB1157" s="306"/>
      <c r="BF1157" s="1119"/>
      <c r="BG1157" s="1119"/>
      <c r="BH1157" s="1119"/>
    </row>
    <row r="1158" spans="1:60" ht="15.75" customHeight="1">
      <c r="A1158" s="415"/>
      <c r="B1158" s="416"/>
      <c r="C1158" s="424"/>
      <c r="E1158" s="418"/>
      <c r="F1158" s="419"/>
      <c r="G1158" s="420"/>
      <c r="H1158" s="421"/>
      <c r="I1158" s="421"/>
      <c r="J1158" s="492"/>
      <c r="K1158" s="418"/>
      <c r="L1158" s="418"/>
      <c r="M1158" s="418"/>
      <c r="N1158" s="421"/>
      <c r="O1158" s="421"/>
      <c r="P1158" s="421"/>
      <c r="Q1158" s="418"/>
      <c r="R1158" s="418"/>
      <c r="S1158" s="418"/>
      <c r="T1158" s="418"/>
      <c r="U1158" s="418"/>
      <c r="V1158" s="418"/>
      <c r="W1158" s="418"/>
      <c r="X1158" s="418"/>
      <c r="Y1158" s="418"/>
      <c r="Z1158" s="418"/>
      <c r="AA1158" s="418"/>
      <c r="AB1158" s="418"/>
      <c r="AC1158" s="418"/>
      <c r="AD1158" s="418"/>
      <c r="AE1158" s="418"/>
      <c r="AF1158" s="418"/>
      <c r="AG1158" s="418"/>
      <c r="AH1158" s="418"/>
      <c r="AI1158" s="418"/>
      <c r="AJ1158" s="418"/>
      <c r="AK1158" s="418"/>
      <c r="AL1158" s="418"/>
      <c r="AM1158" s="418"/>
      <c r="AN1158" s="423"/>
      <c r="AO1158" s="423"/>
      <c r="AP1158" s="423"/>
      <c r="AQ1158" s="423"/>
      <c r="AR1158" s="423"/>
      <c r="AS1158" s="423"/>
      <c r="AT1158" s="423"/>
      <c r="AU1158" s="423"/>
      <c r="AV1158" s="423"/>
      <c r="AW1158" s="418"/>
      <c r="AX1158" s="418"/>
      <c r="AY1158" s="418"/>
      <c r="BB1158" s="306"/>
      <c r="BF1158" s="1119"/>
      <c r="BG1158" s="1119"/>
      <c r="BH1158" s="1119"/>
    </row>
    <row r="1159" spans="1:60" ht="15.75" customHeight="1">
      <c r="A1159" s="415"/>
      <c r="B1159" s="416"/>
      <c r="C1159" s="424"/>
      <c r="E1159" s="418"/>
      <c r="F1159" s="419"/>
      <c r="G1159" s="420"/>
      <c r="H1159" s="421"/>
      <c r="I1159" s="421"/>
      <c r="J1159" s="492"/>
      <c r="K1159" s="418"/>
      <c r="L1159" s="418"/>
      <c r="M1159" s="418"/>
      <c r="N1159" s="421"/>
      <c r="O1159" s="421"/>
      <c r="P1159" s="421"/>
      <c r="Q1159" s="418"/>
      <c r="R1159" s="418"/>
      <c r="S1159" s="418"/>
      <c r="T1159" s="418"/>
      <c r="U1159" s="418"/>
      <c r="V1159" s="418"/>
      <c r="W1159" s="418"/>
      <c r="X1159" s="418"/>
      <c r="Y1159" s="418"/>
      <c r="Z1159" s="418"/>
      <c r="AA1159" s="418"/>
      <c r="AB1159" s="418"/>
      <c r="AC1159" s="418"/>
      <c r="AD1159" s="418"/>
      <c r="AE1159" s="418"/>
      <c r="AF1159" s="418"/>
      <c r="AG1159" s="418"/>
      <c r="AH1159" s="418"/>
      <c r="AI1159" s="418"/>
      <c r="AJ1159" s="418"/>
      <c r="AK1159" s="418"/>
      <c r="AL1159" s="418"/>
      <c r="AM1159" s="418"/>
      <c r="AN1159" s="423"/>
      <c r="AO1159" s="423"/>
      <c r="AP1159" s="423"/>
      <c r="AQ1159" s="423"/>
      <c r="AR1159" s="423"/>
      <c r="AS1159" s="423"/>
      <c r="AT1159" s="423"/>
      <c r="AU1159" s="423"/>
      <c r="AV1159" s="423"/>
      <c r="AW1159" s="418"/>
      <c r="AX1159" s="418"/>
      <c r="AY1159" s="418"/>
      <c r="BB1159" s="306"/>
      <c r="BF1159" s="1119"/>
      <c r="BG1159" s="1119"/>
      <c r="BH1159" s="1119"/>
    </row>
    <row r="1160" spans="1:60" ht="15.75" customHeight="1">
      <c r="A1160" s="415"/>
      <c r="B1160" s="416"/>
      <c r="C1160" s="424"/>
      <c r="E1160" s="418"/>
      <c r="F1160" s="419"/>
      <c r="G1160" s="420"/>
      <c r="H1160" s="421"/>
      <c r="I1160" s="421"/>
      <c r="J1160" s="492"/>
      <c r="K1160" s="418"/>
      <c r="L1160" s="418"/>
      <c r="M1160" s="418"/>
      <c r="N1160" s="421"/>
      <c r="O1160" s="421"/>
      <c r="P1160" s="421"/>
      <c r="Q1160" s="418"/>
      <c r="R1160" s="418"/>
      <c r="S1160" s="418"/>
      <c r="T1160" s="418"/>
      <c r="U1160" s="418"/>
      <c r="V1160" s="418"/>
      <c r="W1160" s="418"/>
      <c r="X1160" s="418"/>
      <c r="Y1160" s="418"/>
      <c r="Z1160" s="418"/>
      <c r="AA1160" s="418"/>
      <c r="AB1160" s="418"/>
      <c r="AC1160" s="418"/>
      <c r="AD1160" s="418"/>
      <c r="AE1160" s="418"/>
      <c r="AF1160" s="418"/>
      <c r="AG1160" s="418"/>
      <c r="AH1160" s="418"/>
      <c r="AI1160" s="418"/>
      <c r="AJ1160" s="418"/>
      <c r="AK1160" s="418"/>
      <c r="AL1160" s="418"/>
      <c r="AM1160" s="418"/>
      <c r="AN1160" s="423"/>
      <c r="AO1160" s="423"/>
      <c r="AP1160" s="423"/>
      <c r="AQ1160" s="423"/>
      <c r="AR1160" s="423"/>
      <c r="AS1160" s="423"/>
      <c r="AT1160" s="423"/>
      <c r="AU1160" s="423"/>
      <c r="AV1160" s="423"/>
      <c r="AW1160" s="418"/>
      <c r="AX1160" s="418"/>
      <c r="AY1160" s="418"/>
      <c r="BB1160" s="306"/>
      <c r="BF1160" s="1119"/>
      <c r="BG1160" s="1119"/>
      <c r="BH1160" s="1119"/>
    </row>
    <row r="1161" spans="1:60" ht="15.75" customHeight="1">
      <c r="A1161" s="415"/>
      <c r="B1161" s="416"/>
      <c r="C1161" s="424"/>
      <c r="E1161" s="418"/>
      <c r="F1161" s="419"/>
      <c r="G1161" s="420"/>
      <c r="H1161" s="421"/>
      <c r="I1161" s="421"/>
      <c r="J1161" s="492"/>
      <c r="K1161" s="418"/>
      <c r="L1161" s="418"/>
      <c r="M1161" s="418"/>
      <c r="N1161" s="421"/>
      <c r="O1161" s="421"/>
      <c r="P1161" s="421"/>
      <c r="Q1161" s="418"/>
      <c r="R1161" s="418"/>
      <c r="S1161" s="418"/>
      <c r="T1161" s="418"/>
      <c r="U1161" s="418"/>
      <c r="V1161" s="418"/>
      <c r="W1161" s="418"/>
      <c r="X1161" s="418"/>
      <c r="Y1161" s="418"/>
      <c r="Z1161" s="418"/>
      <c r="AA1161" s="418"/>
      <c r="AB1161" s="418"/>
      <c r="AC1161" s="418"/>
      <c r="AD1161" s="418"/>
      <c r="AE1161" s="418"/>
      <c r="AF1161" s="418"/>
      <c r="AG1161" s="418"/>
      <c r="AH1161" s="418"/>
      <c r="AI1161" s="418"/>
      <c r="AJ1161" s="418"/>
      <c r="AK1161" s="418"/>
      <c r="AL1161" s="418"/>
      <c r="AM1161" s="418"/>
      <c r="AN1161" s="423"/>
      <c r="AO1161" s="423"/>
      <c r="AP1161" s="423"/>
      <c r="AQ1161" s="423"/>
      <c r="AR1161" s="423"/>
      <c r="AS1161" s="423"/>
      <c r="AT1161" s="423"/>
      <c r="AU1161" s="423"/>
      <c r="AV1161" s="423"/>
      <c r="AW1161" s="418"/>
      <c r="AX1161" s="418"/>
      <c r="AY1161" s="418"/>
      <c r="BB1161" s="306"/>
      <c r="BF1161" s="1119"/>
      <c r="BG1161" s="1119"/>
      <c r="BH1161" s="1119"/>
    </row>
    <row r="1162" spans="1:60" ht="15.75" customHeight="1">
      <c r="A1162" s="415"/>
      <c r="B1162" s="416"/>
      <c r="C1162" s="424"/>
      <c r="E1162" s="418"/>
      <c r="F1162" s="419"/>
      <c r="G1162" s="420"/>
      <c r="H1162" s="421"/>
      <c r="I1162" s="421"/>
      <c r="J1162" s="492"/>
      <c r="K1162" s="418"/>
      <c r="L1162" s="418"/>
      <c r="M1162" s="418"/>
      <c r="N1162" s="421"/>
      <c r="O1162" s="421"/>
      <c r="P1162" s="421"/>
      <c r="Q1162" s="418"/>
      <c r="R1162" s="418"/>
      <c r="S1162" s="418"/>
      <c r="T1162" s="418"/>
      <c r="U1162" s="418"/>
      <c r="V1162" s="418"/>
      <c r="W1162" s="418"/>
      <c r="X1162" s="418"/>
      <c r="Y1162" s="418"/>
      <c r="Z1162" s="418"/>
      <c r="AA1162" s="418"/>
      <c r="AB1162" s="418"/>
      <c r="AC1162" s="418"/>
      <c r="AD1162" s="418"/>
      <c r="AE1162" s="418"/>
      <c r="AF1162" s="418"/>
      <c r="AG1162" s="418"/>
      <c r="AH1162" s="418"/>
      <c r="AI1162" s="418"/>
      <c r="AJ1162" s="418"/>
      <c r="AK1162" s="418"/>
      <c r="AL1162" s="418"/>
      <c r="AM1162" s="418"/>
      <c r="AN1162" s="423"/>
      <c r="AO1162" s="423"/>
      <c r="AP1162" s="423"/>
      <c r="AQ1162" s="423"/>
      <c r="AR1162" s="423"/>
      <c r="AS1162" s="423"/>
      <c r="AT1162" s="423"/>
      <c r="AU1162" s="423"/>
      <c r="AV1162" s="423"/>
      <c r="AW1162" s="418"/>
      <c r="AX1162" s="418"/>
      <c r="AY1162" s="418"/>
      <c r="BB1162" s="306"/>
      <c r="BF1162" s="1119"/>
      <c r="BG1162" s="1119"/>
      <c r="BH1162" s="1119"/>
    </row>
    <row r="1163" spans="1:60" ht="15.75" customHeight="1">
      <c r="A1163" s="415"/>
      <c r="B1163" s="416"/>
      <c r="C1163" s="424"/>
      <c r="E1163" s="418"/>
      <c r="F1163" s="419"/>
      <c r="G1163" s="420"/>
      <c r="H1163" s="421"/>
      <c r="I1163" s="421"/>
      <c r="J1163" s="492"/>
      <c r="K1163" s="418"/>
      <c r="L1163" s="418"/>
      <c r="M1163" s="418"/>
      <c r="N1163" s="421"/>
      <c r="O1163" s="421"/>
      <c r="P1163" s="421"/>
      <c r="Q1163" s="418"/>
      <c r="R1163" s="418"/>
      <c r="S1163" s="418"/>
      <c r="T1163" s="418"/>
      <c r="U1163" s="418"/>
      <c r="V1163" s="418"/>
      <c r="W1163" s="418"/>
      <c r="X1163" s="418"/>
      <c r="Y1163" s="418"/>
      <c r="Z1163" s="418"/>
      <c r="AA1163" s="418"/>
      <c r="AB1163" s="418"/>
      <c r="AC1163" s="418"/>
      <c r="AD1163" s="418"/>
      <c r="AE1163" s="418"/>
      <c r="AF1163" s="418"/>
      <c r="AG1163" s="418"/>
      <c r="AH1163" s="418"/>
      <c r="AI1163" s="418"/>
      <c r="AJ1163" s="418"/>
      <c r="AK1163" s="418"/>
      <c r="AL1163" s="418"/>
      <c r="AM1163" s="418"/>
      <c r="AN1163" s="423"/>
      <c r="AO1163" s="423"/>
      <c r="AP1163" s="423"/>
      <c r="AQ1163" s="423"/>
      <c r="AR1163" s="423"/>
      <c r="AS1163" s="423"/>
      <c r="AT1163" s="423"/>
      <c r="AU1163" s="423"/>
      <c r="AV1163" s="423"/>
      <c r="AW1163" s="418"/>
      <c r="AX1163" s="418"/>
      <c r="AY1163" s="418"/>
      <c r="BB1163" s="306"/>
      <c r="BF1163" s="1119"/>
      <c r="BG1163" s="1119"/>
      <c r="BH1163" s="1119"/>
    </row>
    <row r="1164" spans="1:60" ht="15.75" customHeight="1">
      <c r="A1164" s="415"/>
      <c r="B1164" s="416"/>
      <c r="C1164" s="424"/>
      <c r="E1164" s="418"/>
      <c r="F1164" s="419"/>
      <c r="G1164" s="420"/>
      <c r="H1164" s="421"/>
      <c r="I1164" s="421"/>
      <c r="J1164" s="492"/>
      <c r="K1164" s="418"/>
      <c r="L1164" s="418"/>
      <c r="M1164" s="418"/>
      <c r="N1164" s="421"/>
      <c r="O1164" s="421"/>
      <c r="P1164" s="421"/>
      <c r="Q1164" s="418"/>
      <c r="R1164" s="418"/>
      <c r="S1164" s="418"/>
      <c r="T1164" s="418"/>
      <c r="U1164" s="418"/>
      <c r="V1164" s="418"/>
      <c r="W1164" s="418"/>
      <c r="X1164" s="418"/>
      <c r="Y1164" s="418"/>
      <c r="Z1164" s="418"/>
      <c r="AA1164" s="418"/>
      <c r="AB1164" s="418"/>
      <c r="AC1164" s="418"/>
      <c r="AD1164" s="418"/>
      <c r="AE1164" s="418"/>
      <c r="AF1164" s="418"/>
      <c r="AG1164" s="418"/>
      <c r="AH1164" s="418"/>
      <c r="AI1164" s="418"/>
      <c r="AJ1164" s="418"/>
      <c r="AK1164" s="418"/>
      <c r="AL1164" s="418"/>
      <c r="AM1164" s="418"/>
      <c r="AN1164" s="423"/>
      <c r="AO1164" s="423"/>
      <c r="AP1164" s="423"/>
      <c r="AQ1164" s="423"/>
      <c r="AR1164" s="423"/>
      <c r="AS1164" s="423"/>
      <c r="AT1164" s="423"/>
      <c r="AU1164" s="423"/>
      <c r="AV1164" s="423"/>
      <c r="AW1164" s="418"/>
      <c r="AX1164" s="418"/>
      <c r="AY1164" s="418"/>
      <c r="BB1164" s="306"/>
      <c r="BF1164" s="1119"/>
      <c r="BG1164" s="1119"/>
      <c r="BH1164" s="1119"/>
    </row>
    <row r="1165" spans="1:60" ht="15.75" customHeight="1">
      <c r="A1165" s="415"/>
      <c r="B1165" s="416"/>
      <c r="C1165" s="424"/>
      <c r="E1165" s="418"/>
      <c r="F1165" s="419"/>
      <c r="G1165" s="420"/>
      <c r="H1165" s="421"/>
      <c r="I1165" s="421"/>
      <c r="J1165" s="492"/>
      <c r="K1165" s="418"/>
      <c r="L1165" s="418"/>
      <c r="M1165" s="418"/>
      <c r="N1165" s="421"/>
      <c r="O1165" s="421"/>
      <c r="P1165" s="421"/>
      <c r="Q1165" s="418"/>
      <c r="R1165" s="418"/>
      <c r="S1165" s="418"/>
      <c r="T1165" s="418"/>
      <c r="U1165" s="418"/>
      <c r="V1165" s="418"/>
      <c r="W1165" s="418"/>
      <c r="X1165" s="418"/>
      <c r="Y1165" s="418"/>
      <c r="Z1165" s="418"/>
      <c r="AA1165" s="418"/>
      <c r="AB1165" s="418"/>
      <c r="AC1165" s="418"/>
      <c r="AD1165" s="418"/>
      <c r="AE1165" s="418"/>
      <c r="AF1165" s="418"/>
      <c r="AG1165" s="418"/>
      <c r="AH1165" s="418"/>
      <c r="AI1165" s="418"/>
      <c r="AJ1165" s="418"/>
      <c r="AK1165" s="418"/>
      <c r="AL1165" s="418"/>
      <c r="AM1165" s="418"/>
      <c r="AN1165" s="423"/>
      <c r="AO1165" s="423"/>
      <c r="AP1165" s="423"/>
      <c r="AQ1165" s="423"/>
      <c r="AR1165" s="423"/>
      <c r="AS1165" s="423"/>
      <c r="AT1165" s="423"/>
      <c r="AU1165" s="423"/>
      <c r="AV1165" s="423"/>
      <c r="AW1165" s="418"/>
      <c r="AX1165" s="418"/>
      <c r="AY1165" s="418"/>
      <c r="BB1165" s="306"/>
      <c r="BF1165" s="1119"/>
      <c r="BG1165" s="1119"/>
      <c r="BH1165" s="1119"/>
    </row>
    <row r="1166" spans="1:60" ht="15.75" customHeight="1">
      <c r="A1166" s="415"/>
      <c r="B1166" s="416"/>
      <c r="C1166" s="424"/>
      <c r="E1166" s="418"/>
      <c r="F1166" s="419"/>
      <c r="G1166" s="420"/>
      <c r="H1166" s="421"/>
      <c r="I1166" s="421"/>
      <c r="J1166" s="492"/>
      <c r="K1166" s="418"/>
      <c r="L1166" s="418"/>
      <c r="M1166" s="418"/>
      <c r="N1166" s="421"/>
      <c r="O1166" s="421"/>
      <c r="P1166" s="421"/>
      <c r="Q1166" s="418"/>
      <c r="R1166" s="418"/>
      <c r="S1166" s="418"/>
      <c r="T1166" s="418"/>
      <c r="U1166" s="418"/>
      <c r="V1166" s="418"/>
      <c r="W1166" s="418"/>
      <c r="X1166" s="418"/>
      <c r="Y1166" s="418"/>
      <c r="Z1166" s="418"/>
      <c r="AA1166" s="418"/>
      <c r="AB1166" s="418"/>
      <c r="AC1166" s="418"/>
      <c r="AD1166" s="418"/>
      <c r="AE1166" s="418"/>
      <c r="AF1166" s="418"/>
      <c r="AG1166" s="418"/>
      <c r="AH1166" s="418"/>
      <c r="AI1166" s="418"/>
      <c r="AJ1166" s="418"/>
      <c r="AK1166" s="418"/>
      <c r="AL1166" s="418"/>
      <c r="AM1166" s="418"/>
      <c r="AN1166" s="423"/>
      <c r="AO1166" s="423"/>
      <c r="AP1166" s="423"/>
      <c r="AQ1166" s="423"/>
      <c r="AR1166" s="423"/>
      <c r="AS1166" s="423"/>
      <c r="AT1166" s="423"/>
      <c r="AU1166" s="423"/>
      <c r="AV1166" s="423"/>
      <c r="AW1166" s="418"/>
      <c r="AX1166" s="418"/>
      <c r="AY1166" s="418"/>
      <c r="BB1166" s="306"/>
      <c r="BF1166" s="1119"/>
      <c r="BG1166" s="1119"/>
      <c r="BH1166" s="1119"/>
    </row>
    <row r="1167" spans="1:60" ht="15.75" customHeight="1">
      <c r="A1167" s="415"/>
      <c r="B1167" s="416"/>
      <c r="C1167" s="424"/>
      <c r="E1167" s="418"/>
      <c r="F1167" s="419"/>
      <c r="G1167" s="420"/>
      <c r="H1167" s="421"/>
      <c r="I1167" s="421"/>
      <c r="J1167" s="492"/>
      <c r="K1167" s="418"/>
      <c r="L1167" s="418"/>
      <c r="M1167" s="418"/>
      <c r="N1167" s="421"/>
      <c r="O1167" s="421"/>
      <c r="P1167" s="421"/>
      <c r="Q1167" s="418"/>
      <c r="R1167" s="418"/>
      <c r="S1167" s="418"/>
      <c r="T1167" s="418"/>
      <c r="U1167" s="418"/>
      <c r="V1167" s="418"/>
      <c r="W1167" s="418"/>
      <c r="X1167" s="418"/>
      <c r="Y1167" s="418"/>
      <c r="Z1167" s="418"/>
      <c r="AA1167" s="418"/>
      <c r="AB1167" s="418"/>
      <c r="AC1167" s="418"/>
      <c r="AD1167" s="418"/>
      <c r="AE1167" s="418"/>
      <c r="AF1167" s="418"/>
      <c r="AG1167" s="418"/>
      <c r="AH1167" s="418"/>
      <c r="AI1167" s="418"/>
      <c r="AJ1167" s="418"/>
      <c r="AK1167" s="418"/>
      <c r="AL1167" s="418"/>
      <c r="AM1167" s="418"/>
      <c r="AN1167" s="423"/>
      <c r="AO1167" s="423"/>
      <c r="AP1167" s="423"/>
      <c r="AQ1167" s="423"/>
      <c r="AR1167" s="423"/>
      <c r="AS1167" s="423"/>
      <c r="AT1167" s="423"/>
      <c r="AU1167" s="423"/>
      <c r="AV1167" s="423"/>
      <c r="AW1167" s="418"/>
      <c r="AX1167" s="418"/>
      <c r="AY1167" s="418"/>
      <c r="BB1167" s="306"/>
      <c r="BF1167" s="1119"/>
      <c r="BG1167" s="1119"/>
      <c r="BH1167" s="1119"/>
    </row>
    <row r="1168" spans="1:60" ht="15.75" customHeight="1">
      <c r="A1168" s="415"/>
      <c r="B1168" s="416"/>
      <c r="C1168" s="424"/>
      <c r="E1168" s="418"/>
      <c r="F1168" s="419"/>
      <c r="G1168" s="420"/>
      <c r="H1168" s="421"/>
      <c r="I1168" s="421"/>
      <c r="J1168" s="492"/>
      <c r="K1168" s="418"/>
      <c r="L1168" s="418"/>
      <c r="M1168" s="418"/>
      <c r="N1168" s="421"/>
      <c r="O1168" s="421"/>
      <c r="P1168" s="421"/>
      <c r="Q1168" s="418"/>
      <c r="R1168" s="418"/>
      <c r="S1168" s="418"/>
      <c r="T1168" s="418"/>
      <c r="U1168" s="418"/>
      <c r="V1168" s="418"/>
      <c r="W1168" s="418"/>
      <c r="X1168" s="418"/>
      <c r="Y1168" s="418"/>
      <c r="Z1168" s="418"/>
      <c r="AA1168" s="418"/>
      <c r="AB1168" s="418"/>
      <c r="AC1168" s="418"/>
      <c r="AD1168" s="418"/>
      <c r="AE1168" s="418"/>
      <c r="AF1168" s="418"/>
      <c r="AG1168" s="418"/>
      <c r="AH1168" s="418"/>
      <c r="AI1168" s="418"/>
      <c r="AJ1168" s="418"/>
      <c r="AK1168" s="418"/>
      <c r="AL1168" s="418"/>
      <c r="AM1168" s="418"/>
      <c r="AN1168" s="423"/>
      <c r="AO1168" s="423"/>
      <c r="AP1168" s="423"/>
      <c r="AQ1168" s="423"/>
      <c r="AR1168" s="423"/>
      <c r="AS1168" s="423"/>
      <c r="AT1168" s="423"/>
      <c r="AU1168" s="423"/>
      <c r="AV1168" s="423"/>
      <c r="AW1168" s="418"/>
      <c r="AX1168" s="418"/>
      <c r="AY1168" s="418"/>
      <c r="BB1168" s="306"/>
      <c r="BF1168" s="1119"/>
      <c r="BG1168" s="1119"/>
      <c r="BH1168" s="1119"/>
    </row>
    <row r="1169" spans="1:60" ht="15.75" customHeight="1">
      <c r="A1169" s="415"/>
      <c r="B1169" s="416"/>
      <c r="C1169" s="424"/>
      <c r="E1169" s="418"/>
      <c r="F1169" s="419"/>
      <c r="G1169" s="420"/>
      <c r="H1169" s="421"/>
      <c r="I1169" s="421"/>
      <c r="J1169" s="492"/>
      <c r="K1169" s="418"/>
      <c r="L1169" s="418"/>
      <c r="M1169" s="418"/>
      <c r="N1169" s="421"/>
      <c r="O1169" s="421"/>
      <c r="P1169" s="421"/>
      <c r="Q1169" s="418"/>
      <c r="R1169" s="418"/>
      <c r="S1169" s="418"/>
      <c r="T1169" s="418"/>
      <c r="U1169" s="418"/>
      <c r="V1169" s="418"/>
      <c r="W1169" s="418"/>
      <c r="X1169" s="418"/>
      <c r="Y1169" s="418"/>
      <c r="Z1169" s="418"/>
      <c r="AA1169" s="418"/>
      <c r="AB1169" s="418"/>
      <c r="AC1169" s="418"/>
      <c r="AD1169" s="418"/>
      <c r="AE1169" s="418"/>
      <c r="AF1169" s="418"/>
      <c r="AG1169" s="418"/>
      <c r="AH1169" s="418"/>
      <c r="AI1169" s="418"/>
      <c r="AJ1169" s="418"/>
      <c r="AK1169" s="418"/>
      <c r="AL1169" s="418"/>
      <c r="AM1169" s="418"/>
      <c r="AN1169" s="423"/>
      <c r="AO1169" s="423"/>
      <c r="AP1169" s="423"/>
      <c r="AQ1169" s="423"/>
      <c r="AR1169" s="423"/>
      <c r="AS1169" s="423"/>
      <c r="AT1169" s="423"/>
      <c r="AU1169" s="423"/>
      <c r="AV1169" s="423"/>
      <c r="AW1169" s="418"/>
      <c r="AX1169" s="418"/>
      <c r="AY1169" s="418"/>
      <c r="BB1169" s="306"/>
      <c r="BF1169" s="1119"/>
      <c r="BG1169" s="1119"/>
      <c r="BH1169" s="1119"/>
    </row>
    <row r="1170" spans="1:60" ht="15.75" customHeight="1">
      <c r="A1170" s="415"/>
      <c r="B1170" s="416"/>
      <c r="C1170" s="424"/>
      <c r="E1170" s="418"/>
      <c r="F1170" s="419"/>
      <c r="G1170" s="420"/>
      <c r="H1170" s="421"/>
      <c r="I1170" s="421"/>
      <c r="J1170" s="492"/>
      <c r="K1170" s="418"/>
      <c r="L1170" s="418"/>
      <c r="M1170" s="418"/>
      <c r="N1170" s="421"/>
      <c r="O1170" s="421"/>
      <c r="P1170" s="421"/>
      <c r="Q1170" s="418"/>
      <c r="R1170" s="418"/>
      <c r="S1170" s="418"/>
      <c r="T1170" s="418"/>
      <c r="U1170" s="418"/>
      <c r="V1170" s="418"/>
      <c r="W1170" s="418"/>
      <c r="X1170" s="418"/>
      <c r="Y1170" s="418"/>
      <c r="Z1170" s="418"/>
      <c r="AA1170" s="418"/>
      <c r="AB1170" s="418"/>
      <c r="AC1170" s="418"/>
      <c r="AD1170" s="418"/>
      <c r="AE1170" s="418"/>
      <c r="AF1170" s="418"/>
      <c r="AG1170" s="418"/>
      <c r="AH1170" s="418"/>
      <c r="AI1170" s="418"/>
      <c r="AJ1170" s="418"/>
      <c r="AK1170" s="418"/>
      <c r="AL1170" s="418"/>
      <c r="AM1170" s="418"/>
      <c r="AN1170" s="423"/>
      <c r="AO1170" s="423"/>
      <c r="AP1170" s="423"/>
      <c r="AQ1170" s="423"/>
      <c r="AR1170" s="423"/>
      <c r="AS1170" s="423"/>
      <c r="AT1170" s="423"/>
      <c r="AU1170" s="423"/>
      <c r="AV1170" s="423"/>
      <c r="AW1170" s="418"/>
      <c r="AX1170" s="418"/>
      <c r="AY1170" s="418"/>
      <c r="BB1170" s="306"/>
      <c r="BF1170" s="1119"/>
      <c r="BG1170" s="1119"/>
      <c r="BH1170" s="1119"/>
    </row>
    <row r="1171" spans="1:60" ht="15.75" customHeight="1">
      <c r="A1171" s="415"/>
      <c r="B1171" s="416"/>
      <c r="C1171" s="424"/>
      <c r="E1171" s="418"/>
      <c r="F1171" s="419"/>
      <c r="G1171" s="420"/>
      <c r="H1171" s="421"/>
      <c r="I1171" s="425"/>
      <c r="J1171" s="492"/>
      <c r="K1171" s="418"/>
      <c r="L1171" s="418"/>
      <c r="M1171" s="418"/>
      <c r="N1171" s="421"/>
      <c r="O1171" s="421"/>
      <c r="P1171" s="421"/>
      <c r="Q1171" s="418"/>
      <c r="R1171" s="418"/>
      <c r="S1171" s="418"/>
      <c r="T1171" s="418"/>
      <c r="U1171" s="418"/>
      <c r="V1171" s="418"/>
      <c r="W1171" s="418"/>
      <c r="X1171" s="418"/>
      <c r="Y1171" s="418"/>
      <c r="Z1171" s="418"/>
      <c r="AA1171" s="418"/>
      <c r="AB1171" s="418"/>
      <c r="AC1171" s="418"/>
      <c r="AD1171" s="418"/>
      <c r="AE1171" s="418"/>
      <c r="AF1171" s="418"/>
      <c r="AG1171" s="418"/>
      <c r="AH1171" s="418"/>
      <c r="AI1171" s="418"/>
      <c r="AJ1171" s="418"/>
      <c r="AK1171" s="418"/>
      <c r="AL1171" s="418"/>
      <c r="AM1171" s="418"/>
      <c r="AN1171" s="423"/>
      <c r="AO1171" s="423"/>
      <c r="AP1171" s="423"/>
      <c r="AQ1171" s="423"/>
      <c r="AR1171" s="423"/>
      <c r="AS1171" s="423"/>
      <c r="AT1171" s="423"/>
      <c r="AU1171" s="423"/>
      <c r="AV1171" s="423"/>
      <c r="AW1171" s="418"/>
      <c r="AX1171" s="418"/>
      <c r="AY1171" s="418"/>
      <c r="BB1171" s="306"/>
      <c r="BF1171" s="1119"/>
      <c r="BG1171" s="1119"/>
      <c r="BH1171" s="1119"/>
    </row>
    <row r="1172" spans="1:60" ht="15.75" customHeight="1">
      <c r="A1172" s="415"/>
      <c r="B1172" s="416"/>
      <c r="C1172" s="424"/>
      <c r="E1172" s="418"/>
      <c r="F1172" s="419"/>
      <c r="G1172" s="420"/>
      <c r="H1172" s="421"/>
      <c r="I1172" s="421"/>
      <c r="J1172" s="492"/>
      <c r="K1172" s="418"/>
      <c r="L1172" s="418"/>
      <c r="M1172" s="418"/>
      <c r="N1172" s="421"/>
      <c r="O1172" s="421"/>
      <c r="P1172" s="421"/>
      <c r="Q1172" s="418"/>
      <c r="R1172" s="418"/>
      <c r="S1172" s="418"/>
      <c r="T1172" s="418"/>
      <c r="U1172" s="418"/>
      <c r="V1172" s="418"/>
      <c r="W1172" s="418"/>
      <c r="X1172" s="418"/>
      <c r="Y1172" s="418"/>
      <c r="Z1172" s="418"/>
      <c r="AA1172" s="418"/>
      <c r="AB1172" s="418"/>
      <c r="AC1172" s="418"/>
      <c r="AD1172" s="418"/>
      <c r="AE1172" s="418"/>
      <c r="AF1172" s="418"/>
      <c r="AG1172" s="418"/>
      <c r="AH1172" s="418"/>
      <c r="AI1172" s="418"/>
      <c r="AJ1172" s="418"/>
      <c r="AK1172" s="418"/>
      <c r="AL1172" s="418"/>
      <c r="AM1172" s="418"/>
      <c r="AN1172" s="423"/>
      <c r="AO1172" s="423"/>
      <c r="AP1172" s="423"/>
      <c r="AQ1172" s="423"/>
      <c r="AR1172" s="423"/>
      <c r="AS1172" s="423"/>
      <c r="AT1172" s="423"/>
      <c r="AU1172" s="423"/>
      <c r="AV1172" s="423"/>
      <c r="AW1172" s="418"/>
      <c r="AX1172" s="418"/>
      <c r="AY1172" s="418"/>
      <c r="BB1172" s="306"/>
      <c r="BF1172" s="1119"/>
      <c r="BG1172" s="1119"/>
      <c r="BH1172" s="1119"/>
    </row>
    <row r="1173" spans="1:60" ht="15.75" customHeight="1">
      <c r="A1173" s="415"/>
      <c r="B1173" s="416"/>
      <c r="C1173" s="424"/>
      <c r="E1173" s="418"/>
      <c r="F1173" s="419"/>
      <c r="G1173" s="420"/>
      <c r="H1173" s="421"/>
      <c r="I1173" s="425"/>
      <c r="J1173" s="492"/>
      <c r="K1173" s="418"/>
      <c r="L1173" s="418"/>
      <c r="M1173" s="418"/>
      <c r="N1173" s="421"/>
      <c r="O1173" s="421"/>
      <c r="P1173" s="421"/>
      <c r="Q1173" s="418"/>
      <c r="R1173" s="418"/>
      <c r="S1173" s="418"/>
      <c r="T1173" s="418"/>
      <c r="U1173" s="418"/>
      <c r="V1173" s="418"/>
      <c r="W1173" s="418"/>
      <c r="X1173" s="418"/>
      <c r="Y1173" s="418"/>
      <c r="Z1173" s="418"/>
      <c r="AA1173" s="418"/>
      <c r="AB1173" s="418"/>
      <c r="AC1173" s="418"/>
      <c r="AD1173" s="418"/>
      <c r="AE1173" s="418"/>
      <c r="AF1173" s="418"/>
      <c r="AG1173" s="418"/>
      <c r="AH1173" s="418"/>
      <c r="AI1173" s="418"/>
      <c r="AJ1173" s="418"/>
      <c r="AK1173" s="418"/>
      <c r="AL1173" s="418"/>
      <c r="AM1173" s="418"/>
      <c r="AN1173" s="423"/>
      <c r="AO1173" s="423"/>
      <c r="AP1173" s="423"/>
      <c r="AQ1173" s="423"/>
      <c r="AR1173" s="423"/>
      <c r="AS1173" s="423"/>
      <c r="AT1173" s="423"/>
      <c r="AU1173" s="423"/>
      <c r="AV1173" s="423"/>
      <c r="AW1173" s="418"/>
      <c r="AX1173" s="418"/>
      <c r="AY1173" s="418"/>
      <c r="BB1173" s="306"/>
      <c r="BF1173" s="1119"/>
      <c r="BG1173" s="1119"/>
      <c r="BH1173" s="1119"/>
    </row>
    <row r="1174" spans="1:60" ht="15.75" customHeight="1">
      <c r="A1174" s="415"/>
      <c r="B1174" s="416"/>
      <c r="C1174" s="424"/>
      <c r="E1174" s="418"/>
      <c r="F1174" s="419"/>
      <c r="G1174" s="420"/>
      <c r="H1174" s="421"/>
      <c r="I1174" s="421"/>
      <c r="J1174" s="492"/>
      <c r="K1174" s="418"/>
      <c r="L1174" s="418"/>
      <c r="M1174" s="418"/>
      <c r="N1174" s="421"/>
      <c r="O1174" s="421"/>
      <c r="P1174" s="421"/>
      <c r="Q1174" s="418"/>
      <c r="R1174" s="418"/>
      <c r="S1174" s="418"/>
      <c r="T1174" s="418"/>
      <c r="U1174" s="418"/>
      <c r="V1174" s="418"/>
      <c r="W1174" s="418"/>
      <c r="X1174" s="418"/>
      <c r="Y1174" s="418"/>
      <c r="Z1174" s="418"/>
      <c r="AA1174" s="418"/>
      <c r="AB1174" s="418"/>
      <c r="AC1174" s="418"/>
      <c r="AD1174" s="418"/>
      <c r="AE1174" s="418"/>
      <c r="AF1174" s="418"/>
      <c r="AG1174" s="418"/>
      <c r="AH1174" s="418"/>
      <c r="AI1174" s="418"/>
      <c r="AJ1174" s="418"/>
      <c r="AK1174" s="418"/>
      <c r="AL1174" s="418"/>
      <c r="AM1174" s="418"/>
      <c r="AN1174" s="423"/>
      <c r="AO1174" s="423"/>
      <c r="AP1174" s="423"/>
      <c r="AQ1174" s="423"/>
      <c r="AR1174" s="423"/>
      <c r="AS1174" s="423"/>
      <c r="AT1174" s="423"/>
      <c r="AU1174" s="423"/>
      <c r="AV1174" s="423"/>
      <c r="AW1174" s="418"/>
      <c r="AX1174" s="418"/>
      <c r="AY1174" s="418"/>
      <c r="BB1174" s="306"/>
      <c r="BF1174" s="1119"/>
      <c r="BG1174" s="1119"/>
      <c r="BH1174" s="1119"/>
    </row>
    <row r="1175" spans="1:60" ht="15.75" customHeight="1">
      <c r="A1175" s="415"/>
      <c r="B1175" s="416"/>
      <c r="C1175" s="424"/>
      <c r="E1175" s="418"/>
      <c r="F1175" s="419"/>
      <c r="G1175" s="420"/>
      <c r="H1175" s="421"/>
      <c r="I1175" s="421"/>
      <c r="J1175" s="492"/>
      <c r="K1175" s="418"/>
      <c r="L1175" s="418"/>
      <c r="M1175" s="418"/>
      <c r="N1175" s="421"/>
      <c r="O1175" s="421"/>
      <c r="P1175" s="421"/>
      <c r="Q1175" s="418"/>
      <c r="R1175" s="418"/>
      <c r="S1175" s="418"/>
      <c r="T1175" s="418"/>
      <c r="U1175" s="418"/>
      <c r="V1175" s="418"/>
      <c r="W1175" s="418"/>
      <c r="X1175" s="418"/>
      <c r="Y1175" s="418"/>
      <c r="Z1175" s="418"/>
      <c r="AA1175" s="418"/>
      <c r="AB1175" s="418"/>
      <c r="AC1175" s="418"/>
      <c r="AD1175" s="418"/>
      <c r="AE1175" s="418"/>
      <c r="AF1175" s="418"/>
      <c r="AG1175" s="418"/>
      <c r="AH1175" s="418"/>
      <c r="AI1175" s="418"/>
      <c r="AJ1175" s="418"/>
      <c r="AK1175" s="418"/>
      <c r="AL1175" s="418"/>
      <c r="AM1175" s="418"/>
      <c r="AN1175" s="423"/>
      <c r="AO1175" s="423"/>
      <c r="AP1175" s="423"/>
      <c r="AQ1175" s="423"/>
      <c r="AR1175" s="423"/>
      <c r="AS1175" s="423"/>
      <c r="AT1175" s="423"/>
      <c r="AU1175" s="423"/>
      <c r="AV1175" s="423"/>
      <c r="AW1175" s="418"/>
      <c r="AX1175" s="418"/>
      <c r="AY1175" s="418"/>
      <c r="BB1175" s="306"/>
      <c r="BF1175" s="1119"/>
      <c r="BG1175" s="1119"/>
      <c r="BH1175" s="1119"/>
    </row>
    <row r="1176" spans="1:60" ht="15.75" customHeight="1">
      <c r="A1176" s="415"/>
      <c r="B1176" s="416"/>
      <c r="C1176" s="424"/>
      <c r="E1176" s="418"/>
      <c r="F1176" s="419"/>
      <c r="G1176" s="420"/>
      <c r="H1176" s="421"/>
      <c r="I1176" s="425"/>
      <c r="J1176" s="492"/>
      <c r="K1176" s="418"/>
      <c r="L1176" s="418"/>
      <c r="M1176" s="418"/>
      <c r="N1176" s="421"/>
      <c r="O1176" s="421"/>
      <c r="P1176" s="421"/>
      <c r="Q1176" s="418"/>
      <c r="R1176" s="418"/>
      <c r="S1176" s="418"/>
      <c r="T1176" s="418"/>
      <c r="U1176" s="418"/>
      <c r="V1176" s="418"/>
      <c r="W1176" s="418"/>
      <c r="X1176" s="418"/>
      <c r="Y1176" s="418"/>
      <c r="Z1176" s="418"/>
      <c r="AA1176" s="418"/>
      <c r="AB1176" s="418"/>
      <c r="AC1176" s="418"/>
      <c r="AD1176" s="418"/>
      <c r="AE1176" s="418"/>
      <c r="AF1176" s="418"/>
      <c r="AG1176" s="418"/>
      <c r="AH1176" s="418"/>
      <c r="AI1176" s="418"/>
      <c r="AJ1176" s="418"/>
      <c r="AK1176" s="418"/>
      <c r="AL1176" s="418"/>
      <c r="AM1176" s="418"/>
      <c r="AN1176" s="423"/>
      <c r="AO1176" s="423"/>
      <c r="AP1176" s="423"/>
      <c r="AQ1176" s="423"/>
      <c r="AR1176" s="423"/>
      <c r="AS1176" s="423"/>
      <c r="AT1176" s="423"/>
      <c r="AU1176" s="423"/>
      <c r="AV1176" s="423"/>
      <c r="AW1176" s="418"/>
      <c r="AX1176" s="418"/>
      <c r="AY1176" s="418"/>
      <c r="BB1176" s="306"/>
      <c r="BF1176" s="1119"/>
      <c r="BG1176" s="1119"/>
      <c r="BH1176" s="1119"/>
    </row>
    <row r="1177" spans="1:60" ht="15.75" customHeight="1">
      <c r="A1177" s="415"/>
      <c r="B1177" s="416"/>
      <c r="C1177" s="424"/>
      <c r="E1177" s="418"/>
      <c r="F1177" s="419"/>
      <c r="G1177" s="420"/>
      <c r="H1177" s="421"/>
      <c r="I1177" s="421"/>
      <c r="J1177" s="492"/>
      <c r="K1177" s="418"/>
      <c r="L1177" s="418"/>
      <c r="M1177" s="418"/>
      <c r="N1177" s="421"/>
      <c r="O1177" s="421"/>
      <c r="P1177" s="421"/>
      <c r="Q1177" s="418"/>
      <c r="R1177" s="418"/>
      <c r="S1177" s="418"/>
      <c r="T1177" s="418"/>
      <c r="U1177" s="418"/>
      <c r="V1177" s="418"/>
      <c r="W1177" s="418"/>
      <c r="X1177" s="418"/>
      <c r="Y1177" s="418"/>
      <c r="Z1177" s="418"/>
      <c r="AA1177" s="418"/>
      <c r="AB1177" s="418"/>
      <c r="AC1177" s="418"/>
      <c r="AD1177" s="418"/>
      <c r="AE1177" s="418"/>
      <c r="AF1177" s="418"/>
      <c r="AG1177" s="418"/>
      <c r="AH1177" s="418"/>
      <c r="AI1177" s="418"/>
      <c r="AJ1177" s="418"/>
      <c r="AK1177" s="418"/>
      <c r="AL1177" s="418"/>
      <c r="AM1177" s="418"/>
      <c r="AN1177" s="423"/>
      <c r="AO1177" s="423"/>
      <c r="AP1177" s="423"/>
      <c r="AQ1177" s="423"/>
      <c r="AR1177" s="423"/>
      <c r="AS1177" s="423"/>
      <c r="AT1177" s="423"/>
      <c r="AU1177" s="423"/>
      <c r="AV1177" s="423"/>
      <c r="AW1177" s="418"/>
      <c r="AX1177" s="418"/>
      <c r="AY1177" s="418"/>
      <c r="BB1177" s="306"/>
      <c r="BF1177" s="1119"/>
      <c r="BG1177" s="1119"/>
      <c r="BH1177" s="1119"/>
    </row>
    <row r="1178" spans="1:60" ht="15.75" customHeight="1">
      <c r="A1178" s="415"/>
      <c r="B1178" s="416"/>
      <c r="C1178" s="424"/>
      <c r="E1178" s="418"/>
      <c r="F1178" s="419"/>
      <c r="G1178" s="420"/>
      <c r="H1178" s="421"/>
      <c r="I1178" s="421"/>
      <c r="J1178" s="492"/>
      <c r="K1178" s="418"/>
      <c r="L1178" s="418"/>
      <c r="M1178" s="418"/>
      <c r="N1178" s="421"/>
      <c r="O1178" s="421"/>
      <c r="P1178" s="421"/>
      <c r="Q1178" s="418"/>
      <c r="R1178" s="418"/>
      <c r="S1178" s="418"/>
      <c r="T1178" s="418"/>
      <c r="U1178" s="418"/>
      <c r="V1178" s="418"/>
      <c r="W1178" s="418"/>
      <c r="X1178" s="418"/>
      <c r="Y1178" s="418"/>
      <c r="Z1178" s="418"/>
      <c r="AA1178" s="418"/>
      <c r="AB1178" s="418"/>
      <c r="AC1178" s="418"/>
      <c r="AD1178" s="418"/>
      <c r="AE1178" s="418"/>
      <c r="AF1178" s="418"/>
      <c r="AG1178" s="418"/>
      <c r="AH1178" s="418"/>
      <c r="AI1178" s="418"/>
      <c r="AJ1178" s="418"/>
      <c r="AK1178" s="418"/>
      <c r="AL1178" s="418"/>
      <c r="AM1178" s="418"/>
      <c r="AN1178" s="423"/>
      <c r="AO1178" s="423"/>
      <c r="AP1178" s="423"/>
      <c r="AQ1178" s="423"/>
      <c r="AR1178" s="423"/>
      <c r="AS1178" s="423"/>
      <c r="AT1178" s="423"/>
      <c r="AU1178" s="423"/>
      <c r="AV1178" s="423"/>
      <c r="AW1178" s="418"/>
      <c r="AX1178" s="418"/>
      <c r="AY1178" s="418"/>
      <c r="BB1178" s="306"/>
      <c r="BF1178" s="1119"/>
      <c r="BG1178" s="1119"/>
      <c r="BH1178" s="1119"/>
    </row>
    <row r="1179" spans="1:60" ht="15.75" customHeight="1">
      <c r="A1179" s="415"/>
      <c r="B1179" s="416"/>
      <c r="C1179" s="424"/>
      <c r="E1179" s="418"/>
      <c r="F1179" s="419"/>
      <c r="G1179" s="420"/>
      <c r="H1179" s="421"/>
      <c r="I1179" s="421"/>
      <c r="J1179" s="492"/>
      <c r="K1179" s="418"/>
      <c r="L1179" s="418"/>
      <c r="M1179" s="418"/>
      <c r="N1179" s="421"/>
      <c r="O1179" s="421"/>
      <c r="P1179" s="421"/>
      <c r="Q1179" s="418"/>
      <c r="R1179" s="418"/>
      <c r="S1179" s="418"/>
      <c r="T1179" s="418"/>
      <c r="U1179" s="418"/>
      <c r="V1179" s="418"/>
      <c r="W1179" s="418"/>
      <c r="X1179" s="418"/>
      <c r="Y1179" s="418"/>
      <c r="Z1179" s="418"/>
      <c r="AA1179" s="418"/>
      <c r="AB1179" s="418"/>
      <c r="AC1179" s="418"/>
      <c r="AD1179" s="418"/>
      <c r="AE1179" s="418"/>
      <c r="AF1179" s="418"/>
      <c r="AG1179" s="418"/>
      <c r="AH1179" s="418"/>
      <c r="AI1179" s="418"/>
      <c r="AJ1179" s="418"/>
      <c r="AK1179" s="418"/>
      <c r="AL1179" s="418"/>
      <c r="AM1179" s="418"/>
      <c r="AN1179" s="423"/>
      <c r="AO1179" s="423"/>
      <c r="AP1179" s="423"/>
      <c r="AQ1179" s="423"/>
      <c r="AR1179" s="423"/>
      <c r="AS1179" s="423"/>
      <c r="AT1179" s="423"/>
      <c r="AU1179" s="423"/>
      <c r="AV1179" s="423"/>
      <c r="AW1179" s="418"/>
      <c r="AX1179" s="418"/>
      <c r="AY1179" s="418"/>
      <c r="BB1179" s="306"/>
      <c r="BF1179" s="1119"/>
      <c r="BG1179" s="1119"/>
      <c r="BH1179" s="1119"/>
    </row>
    <row r="1180" spans="1:60" ht="15.75" customHeight="1">
      <c r="A1180" s="415"/>
      <c r="B1180" s="416"/>
      <c r="C1180" s="424"/>
      <c r="E1180" s="418"/>
      <c r="F1180" s="419"/>
      <c r="G1180" s="420"/>
      <c r="H1180" s="421"/>
      <c r="I1180" s="421"/>
      <c r="J1180" s="492"/>
      <c r="K1180" s="418"/>
      <c r="L1180" s="418"/>
      <c r="M1180" s="418"/>
      <c r="N1180" s="421"/>
      <c r="O1180" s="421"/>
      <c r="P1180" s="421"/>
      <c r="Q1180" s="418"/>
      <c r="R1180" s="418"/>
      <c r="S1180" s="418"/>
      <c r="T1180" s="418"/>
      <c r="U1180" s="418"/>
      <c r="V1180" s="418"/>
      <c r="W1180" s="418"/>
      <c r="X1180" s="418"/>
      <c r="Y1180" s="418"/>
      <c r="Z1180" s="418"/>
      <c r="AA1180" s="418"/>
      <c r="AB1180" s="418"/>
      <c r="AC1180" s="418"/>
      <c r="AD1180" s="418"/>
      <c r="AE1180" s="418"/>
      <c r="AF1180" s="418"/>
      <c r="AG1180" s="418"/>
      <c r="AH1180" s="418"/>
      <c r="AI1180" s="418"/>
      <c r="AJ1180" s="418"/>
      <c r="AK1180" s="418"/>
      <c r="AL1180" s="418"/>
      <c r="AM1180" s="418"/>
      <c r="AN1180" s="423"/>
      <c r="AO1180" s="423"/>
      <c r="AP1180" s="423"/>
      <c r="AQ1180" s="423"/>
      <c r="AR1180" s="423"/>
      <c r="AS1180" s="423"/>
      <c r="AT1180" s="423"/>
      <c r="AU1180" s="423"/>
      <c r="AV1180" s="423"/>
      <c r="AW1180" s="418"/>
      <c r="AX1180" s="418"/>
      <c r="AY1180" s="418"/>
      <c r="BB1180" s="306"/>
      <c r="BF1180" s="1119"/>
      <c r="BG1180" s="1119"/>
      <c r="BH1180" s="1119"/>
    </row>
    <row r="1181" spans="1:60" ht="15.75" customHeight="1">
      <c r="A1181" s="415"/>
      <c r="B1181" s="416"/>
      <c r="C1181" s="424"/>
      <c r="E1181" s="418"/>
      <c r="F1181" s="419"/>
      <c r="G1181" s="420"/>
      <c r="H1181" s="421"/>
      <c r="I1181" s="425"/>
      <c r="J1181" s="492"/>
      <c r="K1181" s="418"/>
      <c r="L1181" s="418"/>
      <c r="M1181" s="418"/>
      <c r="N1181" s="421"/>
      <c r="O1181" s="421"/>
      <c r="P1181" s="421"/>
      <c r="Q1181" s="418"/>
      <c r="R1181" s="418"/>
      <c r="S1181" s="418"/>
      <c r="T1181" s="418"/>
      <c r="U1181" s="418"/>
      <c r="V1181" s="418"/>
      <c r="W1181" s="418"/>
      <c r="X1181" s="418"/>
      <c r="Y1181" s="418"/>
      <c r="Z1181" s="418"/>
      <c r="AA1181" s="418"/>
      <c r="AB1181" s="418"/>
      <c r="AC1181" s="418"/>
      <c r="AD1181" s="418"/>
      <c r="AE1181" s="418"/>
      <c r="AF1181" s="418"/>
      <c r="AG1181" s="418"/>
      <c r="AH1181" s="418"/>
      <c r="AI1181" s="418"/>
      <c r="AJ1181" s="418"/>
      <c r="AK1181" s="418"/>
      <c r="AL1181" s="418"/>
      <c r="AM1181" s="418"/>
      <c r="AN1181" s="423"/>
      <c r="AO1181" s="423"/>
      <c r="AP1181" s="423"/>
      <c r="AQ1181" s="423"/>
      <c r="AR1181" s="423"/>
      <c r="AS1181" s="423"/>
      <c r="AT1181" s="423"/>
      <c r="AU1181" s="423"/>
      <c r="AV1181" s="423"/>
      <c r="AW1181" s="418"/>
      <c r="AX1181" s="418"/>
      <c r="AY1181" s="418"/>
      <c r="BB1181" s="306"/>
      <c r="BF1181" s="1119"/>
      <c r="BG1181" s="1119"/>
      <c r="BH1181" s="1119"/>
    </row>
    <row r="1182" spans="1:60" ht="15.75" customHeight="1">
      <c r="A1182" s="415"/>
      <c r="B1182" s="416"/>
      <c r="C1182" s="424"/>
      <c r="E1182" s="418"/>
      <c r="F1182" s="419"/>
      <c r="G1182" s="420"/>
      <c r="H1182" s="421"/>
      <c r="I1182" s="421"/>
      <c r="J1182" s="492"/>
      <c r="K1182" s="418"/>
      <c r="L1182" s="418"/>
      <c r="M1182" s="418"/>
      <c r="N1182" s="421"/>
      <c r="O1182" s="421"/>
      <c r="P1182" s="421"/>
      <c r="Q1182" s="418"/>
      <c r="R1182" s="418"/>
      <c r="S1182" s="418"/>
      <c r="T1182" s="418"/>
      <c r="U1182" s="418"/>
      <c r="V1182" s="418"/>
      <c r="W1182" s="418"/>
      <c r="X1182" s="418"/>
      <c r="Y1182" s="418"/>
      <c r="Z1182" s="418"/>
      <c r="AA1182" s="418"/>
      <c r="AB1182" s="418"/>
      <c r="AC1182" s="418"/>
      <c r="AD1182" s="418"/>
      <c r="AE1182" s="418"/>
      <c r="AF1182" s="418"/>
      <c r="AG1182" s="418"/>
      <c r="AH1182" s="418"/>
      <c r="AI1182" s="418"/>
      <c r="AJ1182" s="418"/>
      <c r="AK1182" s="418"/>
      <c r="AL1182" s="418"/>
      <c r="AM1182" s="418"/>
      <c r="AN1182" s="423"/>
      <c r="AO1182" s="423"/>
      <c r="AP1182" s="423"/>
      <c r="AQ1182" s="423"/>
      <c r="AR1182" s="423"/>
      <c r="AS1182" s="423"/>
      <c r="AT1182" s="423"/>
      <c r="AU1182" s="423"/>
      <c r="AV1182" s="423"/>
      <c r="AW1182" s="418"/>
      <c r="AX1182" s="418"/>
      <c r="AY1182" s="418"/>
      <c r="BB1182" s="306"/>
      <c r="BF1182" s="1119"/>
      <c r="BG1182" s="1119"/>
      <c r="BH1182" s="1119"/>
    </row>
    <row r="1183" spans="1:60" ht="15.75" customHeight="1">
      <c r="A1183" s="415"/>
      <c r="B1183" s="416"/>
      <c r="C1183" s="424"/>
      <c r="E1183" s="418"/>
      <c r="F1183" s="419"/>
      <c r="G1183" s="420"/>
      <c r="H1183" s="421"/>
      <c r="I1183" s="425"/>
      <c r="J1183" s="492"/>
      <c r="K1183" s="418"/>
      <c r="L1183" s="418"/>
      <c r="M1183" s="418"/>
      <c r="N1183" s="421"/>
      <c r="O1183" s="421"/>
      <c r="P1183" s="421"/>
      <c r="Q1183" s="418"/>
      <c r="R1183" s="418"/>
      <c r="S1183" s="418"/>
      <c r="T1183" s="418"/>
      <c r="U1183" s="418"/>
      <c r="V1183" s="418"/>
      <c r="W1183" s="418"/>
      <c r="X1183" s="418"/>
      <c r="Y1183" s="418"/>
      <c r="Z1183" s="418"/>
      <c r="AA1183" s="418"/>
      <c r="AB1183" s="418"/>
      <c r="AC1183" s="418"/>
      <c r="AD1183" s="418"/>
      <c r="AE1183" s="418"/>
      <c r="AF1183" s="418"/>
      <c r="AG1183" s="418"/>
      <c r="AH1183" s="418"/>
      <c r="AI1183" s="418"/>
      <c r="AJ1183" s="418"/>
      <c r="AK1183" s="418"/>
      <c r="AL1183" s="418"/>
      <c r="AM1183" s="418"/>
      <c r="AN1183" s="423"/>
      <c r="AO1183" s="423"/>
      <c r="AP1183" s="423"/>
      <c r="AQ1183" s="423"/>
      <c r="AR1183" s="423"/>
      <c r="AS1183" s="423"/>
      <c r="AT1183" s="423"/>
      <c r="AU1183" s="423"/>
      <c r="AV1183" s="423"/>
      <c r="AW1183" s="418"/>
      <c r="AX1183" s="418"/>
      <c r="AY1183" s="418"/>
      <c r="BB1183" s="306"/>
      <c r="BF1183" s="1119"/>
      <c r="BG1183" s="1119"/>
      <c r="BH1183" s="1119"/>
    </row>
    <row r="1184" spans="1:60" ht="15.75" customHeight="1">
      <c r="A1184" s="415"/>
      <c r="B1184" s="416"/>
      <c r="C1184" s="424"/>
      <c r="E1184" s="418"/>
      <c r="F1184" s="419"/>
      <c r="G1184" s="420"/>
      <c r="H1184" s="421"/>
      <c r="I1184" s="421"/>
      <c r="J1184" s="492"/>
      <c r="K1184" s="418"/>
      <c r="L1184" s="418"/>
      <c r="M1184" s="418"/>
      <c r="N1184" s="421"/>
      <c r="O1184" s="421"/>
      <c r="P1184" s="421"/>
      <c r="Q1184" s="418"/>
      <c r="R1184" s="418"/>
      <c r="S1184" s="418"/>
      <c r="T1184" s="418"/>
      <c r="U1184" s="418"/>
      <c r="V1184" s="418"/>
      <c r="W1184" s="418"/>
      <c r="X1184" s="418"/>
      <c r="Y1184" s="418"/>
      <c r="Z1184" s="418"/>
      <c r="AA1184" s="418"/>
      <c r="AB1184" s="418"/>
      <c r="AC1184" s="418"/>
      <c r="AD1184" s="418"/>
      <c r="AE1184" s="418"/>
      <c r="AF1184" s="418"/>
      <c r="AG1184" s="418"/>
      <c r="AH1184" s="418"/>
      <c r="AI1184" s="418"/>
      <c r="AJ1184" s="418"/>
      <c r="AK1184" s="418"/>
      <c r="AL1184" s="418"/>
      <c r="AM1184" s="418"/>
      <c r="AN1184" s="423"/>
      <c r="AO1184" s="423"/>
      <c r="AP1184" s="423"/>
      <c r="AQ1184" s="423"/>
      <c r="AR1184" s="423"/>
      <c r="AS1184" s="423"/>
      <c r="AT1184" s="423"/>
      <c r="AU1184" s="423"/>
      <c r="AV1184" s="423"/>
      <c r="AW1184" s="418"/>
      <c r="AX1184" s="418"/>
      <c r="AY1184" s="418"/>
      <c r="BB1184" s="306"/>
      <c r="BF1184" s="1119"/>
      <c r="BG1184" s="1119"/>
      <c r="BH1184" s="1119"/>
    </row>
    <row r="1185" spans="1:65" ht="15.75" customHeight="1">
      <c r="A1185" s="415"/>
      <c r="B1185" s="416"/>
      <c r="C1185" s="424"/>
      <c r="E1185" s="418"/>
      <c r="F1185" s="419"/>
      <c r="G1185" s="420"/>
      <c r="H1185" s="421"/>
      <c r="I1185" s="425"/>
      <c r="J1185" s="492"/>
      <c r="K1185" s="418"/>
      <c r="L1185" s="418"/>
      <c r="M1185" s="418"/>
      <c r="N1185" s="421"/>
      <c r="O1185" s="421"/>
      <c r="P1185" s="421"/>
      <c r="Q1185" s="418"/>
      <c r="R1185" s="418"/>
      <c r="S1185" s="418"/>
      <c r="T1185" s="418"/>
      <c r="U1185" s="418"/>
      <c r="V1185" s="418"/>
      <c r="W1185" s="418"/>
      <c r="X1185" s="418"/>
      <c r="Y1185" s="418"/>
      <c r="Z1185" s="418"/>
      <c r="AA1185" s="418"/>
      <c r="AB1185" s="418"/>
      <c r="AC1185" s="418"/>
      <c r="AD1185" s="418"/>
      <c r="AE1185" s="418"/>
      <c r="AF1185" s="418"/>
      <c r="AG1185" s="418"/>
      <c r="AH1185" s="418"/>
      <c r="AI1185" s="418"/>
      <c r="AJ1185" s="418"/>
      <c r="AK1185" s="418"/>
      <c r="AL1185" s="418"/>
      <c r="AM1185" s="418"/>
      <c r="AN1185" s="423"/>
      <c r="AO1185" s="423"/>
      <c r="AP1185" s="423"/>
      <c r="AQ1185" s="423"/>
      <c r="AR1185" s="423"/>
      <c r="AS1185" s="423"/>
      <c r="AT1185" s="423"/>
      <c r="AU1185" s="423"/>
      <c r="AV1185" s="423"/>
      <c r="AW1185" s="418"/>
      <c r="AX1185" s="418"/>
      <c r="AY1185" s="418"/>
      <c r="BB1185" s="306"/>
      <c r="BF1185" s="1119"/>
      <c r="BG1185" s="1119"/>
      <c r="BH1185" s="1119"/>
    </row>
    <row r="1186" spans="1:65" ht="15.75" customHeight="1">
      <c r="A1186" s="415"/>
      <c r="B1186" s="416"/>
      <c r="C1186" s="424"/>
      <c r="E1186" s="418"/>
      <c r="F1186" s="419"/>
      <c r="G1186" s="420"/>
      <c r="H1186" s="421"/>
      <c r="I1186" s="421"/>
      <c r="J1186" s="492"/>
      <c r="K1186" s="418"/>
      <c r="L1186" s="418"/>
      <c r="M1186" s="418"/>
      <c r="N1186" s="421"/>
      <c r="O1186" s="421"/>
      <c r="P1186" s="421"/>
      <c r="Q1186" s="418"/>
      <c r="R1186" s="418"/>
      <c r="S1186" s="418"/>
      <c r="T1186" s="418"/>
      <c r="U1186" s="418"/>
      <c r="V1186" s="418"/>
      <c r="W1186" s="418"/>
      <c r="X1186" s="418"/>
      <c r="Y1186" s="418"/>
      <c r="Z1186" s="418"/>
      <c r="AA1186" s="418"/>
      <c r="AB1186" s="418"/>
      <c r="AC1186" s="418"/>
      <c r="AD1186" s="418"/>
      <c r="AE1186" s="418"/>
      <c r="AF1186" s="418"/>
      <c r="AG1186" s="418"/>
      <c r="AH1186" s="418"/>
      <c r="AI1186" s="418"/>
      <c r="AJ1186" s="418"/>
      <c r="AK1186" s="418"/>
      <c r="AL1186" s="418"/>
      <c r="AM1186" s="418"/>
      <c r="AN1186" s="423"/>
      <c r="AO1186" s="423"/>
      <c r="AP1186" s="423"/>
      <c r="AQ1186" s="423"/>
      <c r="AR1186" s="423"/>
      <c r="AS1186" s="423"/>
      <c r="AT1186" s="423"/>
      <c r="AU1186" s="423"/>
      <c r="AV1186" s="423"/>
      <c r="AW1186" s="418"/>
      <c r="AX1186" s="418"/>
      <c r="AY1186" s="418"/>
      <c r="BB1186" s="306"/>
      <c r="BF1186" s="1119"/>
      <c r="BG1186" s="1119"/>
      <c r="BH1186" s="1119"/>
    </row>
    <row r="1187" spans="1:65" ht="15.75" customHeight="1">
      <c r="A1187" s="415"/>
      <c r="B1187" s="416"/>
      <c r="C1187" s="424"/>
      <c r="E1187" s="418"/>
      <c r="F1187" s="419"/>
      <c r="G1187" s="420"/>
      <c r="H1187" s="421"/>
      <c r="I1187" s="421"/>
      <c r="J1187" s="492"/>
      <c r="K1187" s="418"/>
      <c r="L1187" s="418"/>
      <c r="M1187" s="418"/>
      <c r="N1187" s="421"/>
      <c r="O1187" s="421"/>
      <c r="P1187" s="421"/>
      <c r="Q1187" s="418"/>
      <c r="R1187" s="418"/>
      <c r="S1187" s="418"/>
      <c r="T1187" s="418"/>
      <c r="U1187" s="418"/>
      <c r="V1187" s="418"/>
      <c r="W1187" s="418"/>
      <c r="X1187" s="418"/>
      <c r="Y1187" s="418"/>
      <c r="Z1187" s="418"/>
      <c r="AA1187" s="418"/>
      <c r="AB1187" s="418"/>
      <c r="AC1187" s="418"/>
      <c r="AD1187" s="418"/>
      <c r="AE1187" s="418"/>
      <c r="AF1187" s="418"/>
      <c r="AG1187" s="418"/>
      <c r="AH1187" s="418"/>
      <c r="AI1187" s="418"/>
      <c r="AJ1187" s="418"/>
      <c r="AK1187" s="418"/>
      <c r="AL1187" s="418"/>
      <c r="AM1187" s="418"/>
      <c r="AN1187" s="423"/>
      <c r="AO1187" s="423"/>
      <c r="AP1187" s="423"/>
      <c r="AQ1187" s="423"/>
      <c r="AR1187" s="423"/>
      <c r="AS1187" s="423"/>
      <c r="AT1187" s="423"/>
      <c r="AU1187" s="423"/>
      <c r="AV1187" s="423"/>
      <c r="AW1187" s="418"/>
      <c r="AX1187" s="418"/>
      <c r="AY1187" s="418"/>
      <c r="BB1187" s="306"/>
      <c r="BF1187" s="1119"/>
      <c r="BG1187" s="1119"/>
      <c r="BH1187" s="1119"/>
    </row>
    <row r="1188" spans="1:65" ht="15.75" customHeight="1">
      <c r="A1188" s="415"/>
      <c r="B1188" s="416"/>
      <c r="C1188" s="424"/>
      <c r="E1188" s="418"/>
      <c r="F1188" s="419"/>
      <c r="G1188" s="420"/>
      <c r="H1188" s="421"/>
      <c r="I1188" s="421"/>
      <c r="J1188" s="492"/>
      <c r="K1188" s="418"/>
      <c r="L1188" s="418"/>
      <c r="M1188" s="418"/>
      <c r="N1188" s="421"/>
      <c r="O1188" s="421"/>
      <c r="P1188" s="421"/>
      <c r="Q1188" s="418"/>
      <c r="R1188" s="418"/>
      <c r="S1188" s="418"/>
      <c r="T1188" s="418"/>
      <c r="U1188" s="418"/>
      <c r="V1188" s="418"/>
      <c r="W1188" s="418"/>
      <c r="X1188" s="418"/>
      <c r="Y1188" s="418"/>
      <c r="Z1188" s="418"/>
      <c r="AA1188" s="418"/>
      <c r="AB1188" s="418"/>
      <c r="AC1188" s="418"/>
      <c r="AD1188" s="418"/>
      <c r="AE1188" s="418"/>
      <c r="AF1188" s="418"/>
      <c r="AG1188" s="418"/>
      <c r="AH1188" s="418"/>
      <c r="AI1188" s="418"/>
      <c r="AJ1188" s="418"/>
      <c r="AK1188" s="418"/>
      <c r="AL1188" s="418"/>
      <c r="AM1188" s="418"/>
      <c r="AN1188" s="423"/>
      <c r="AO1188" s="423"/>
      <c r="AP1188" s="423"/>
      <c r="AQ1188" s="423"/>
      <c r="AR1188" s="423"/>
      <c r="AS1188" s="423"/>
      <c r="AT1188" s="423"/>
      <c r="AU1188" s="423"/>
      <c r="AV1188" s="423"/>
      <c r="AW1188" s="418"/>
      <c r="AX1188" s="418"/>
      <c r="AY1188" s="418"/>
      <c r="BB1188" s="306"/>
      <c r="BF1188" s="1119"/>
      <c r="BG1188" s="1119"/>
      <c r="BH1188" s="1119"/>
    </row>
    <row r="1189" spans="1:65" ht="15.75" customHeight="1">
      <c r="A1189" s="415"/>
      <c r="B1189" s="416"/>
      <c r="C1189" s="424"/>
      <c r="E1189" s="418"/>
      <c r="F1189" s="419"/>
      <c r="G1189" s="420"/>
      <c r="H1189" s="421"/>
      <c r="I1189" s="421"/>
      <c r="J1189" s="492"/>
      <c r="K1189" s="418"/>
      <c r="L1189" s="418"/>
      <c r="M1189" s="418"/>
      <c r="N1189" s="421"/>
      <c r="O1189" s="421"/>
      <c r="P1189" s="421"/>
      <c r="Q1189" s="418"/>
      <c r="R1189" s="418"/>
      <c r="S1189" s="418"/>
      <c r="T1189" s="418"/>
      <c r="U1189" s="418"/>
      <c r="V1189" s="418"/>
      <c r="W1189" s="418"/>
      <c r="X1189" s="418"/>
      <c r="Y1189" s="418"/>
      <c r="Z1189" s="418"/>
      <c r="AA1189" s="418"/>
      <c r="AB1189" s="418"/>
      <c r="AC1189" s="418"/>
      <c r="AD1189" s="418"/>
      <c r="AE1189" s="418"/>
      <c r="AF1189" s="418"/>
      <c r="AG1189" s="418"/>
      <c r="AH1189" s="418"/>
      <c r="AI1189" s="418"/>
      <c r="AJ1189" s="418"/>
      <c r="AK1189" s="418"/>
      <c r="AL1189" s="418"/>
      <c r="AM1189" s="418"/>
      <c r="AN1189" s="423"/>
      <c r="AO1189" s="423"/>
      <c r="AP1189" s="423"/>
      <c r="AQ1189" s="423"/>
      <c r="AR1189" s="423"/>
      <c r="AS1189" s="423"/>
      <c r="AT1189" s="423"/>
      <c r="AU1189" s="423"/>
      <c r="AV1189" s="423"/>
      <c r="AW1189" s="418"/>
      <c r="AX1189" s="418"/>
      <c r="AY1189" s="418"/>
      <c r="BB1189" s="306"/>
      <c r="BF1189" s="1119"/>
      <c r="BG1189" s="1119"/>
      <c r="BH1189" s="1119"/>
    </row>
    <row r="1190" spans="1:65" ht="15.75" customHeight="1">
      <c r="A1190" s="415"/>
      <c r="B1190" s="416"/>
      <c r="C1190" s="424"/>
      <c r="E1190" s="418"/>
      <c r="F1190" s="419"/>
      <c r="G1190" s="420"/>
      <c r="H1190" s="421"/>
      <c r="I1190" s="421"/>
      <c r="J1190" s="492"/>
      <c r="K1190" s="418"/>
      <c r="L1190" s="418"/>
      <c r="M1190" s="418"/>
      <c r="N1190" s="421"/>
      <c r="O1190" s="421"/>
      <c r="P1190" s="421"/>
      <c r="Q1190" s="418"/>
      <c r="R1190" s="418"/>
      <c r="S1190" s="418"/>
      <c r="T1190" s="418"/>
      <c r="U1190" s="418"/>
      <c r="V1190" s="418"/>
      <c r="W1190" s="418"/>
      <c r="X1190" s="418"/>
      <c r="Y1190" s="418"/>
      <c r="Z1190" s="418"/>
      <c r="AA1190" s="418"/>
      <c r="AB1190" s="418"/>
      <c r="AC1190" s="418"/>
      <c r="AD1190" s="418"/>
      <c r="AE1190" s="418"/>
      <c r="AF1190" s="418"/>
      <c r="AG1190" s="418"/>
      <c r="AH1190" s="418"/>
      <c r="AI1190" s="418"/>
      <c r="AJ1190" s="418"/>
      <c r="AK1190" s="418"/>
      <c r="AL1190" s="418"/>
      <c r="AM1190" s="418"/>
      <c r="AN1190" s="423"/>
      <c r="AO1190" s="423"/>
      <c r="AP1190" s="423"/>
      <c r="AQ1190" s="423"/>
      <c r="AR1190" s="423"/>
      <c r="AS1190" s="423"/>
      <c r="AT1190" s="423"/>
      <c r="AU1190" s="423"/>
      <c r="AV1190" s="423"/>
      <c r="AW1190" s="418"/>
      <c r="AX1190" s="418"/>
      <c r="AY1190" s="418"/>
      <c r="BB1190" s="306"/>
      <c r="BF1190" s="1119"/>
      <c r="BG1190" s="1119"/>
      <c r="BH1190" s="1119"/>
    </row>
    <row r="1191" spans="1:65" ht="15.75" customHeight="1">
      <c r="A1191" s="415"/>
      <c r="B1191" s="416"/>
      <c r="C1191" s="424"/>
      <c r="E1191" s="418"/>
      <c r="F1191" s="419"/>
      <c r="G1191" s="420"/>
      <c r="H1191" s="421"/>
      <c r="I1191" s="421"/>
      <c r="J1191" s="492"/>
      <c r="K1191" s="418"/>
      <c r="L1191" s="418"/>
      <c r="M1191" s="418"/>
      <c r="N1191" s="421"/>
      <c r="O1191" s="421"/>
      <c r="P1191" s="421"/>
      <c r="Q1191" s="418"/>
      <c r="R1191" s="418"/>
      <c r="S1191" s="418"/>
      <c r="T1191" s="418"/>
      <c r="U1191" s="418"/>
      <c r="V1191" s="418"/>
      <c r="W1191" s="418"/>
      <c r="X1191" s="418"/>
      <c r="Y1191" s="418"/>
      <c r="Z1191" s="418"/>
      <c r="AA1191" s="418"/>
      <c r="AB1191" s="418"/>
      <c r="AC1191" s="418"/>
      <c r="AD1191" s="418"/>
      <c r="AE1191" s="418"/>
      <c r="AF1191" s="418"/>
      <c r="AG1191" s="418"/>
      <c r="AH1191" s="418"/>
      <c r="AI1191" s="418"/>
      <c r="AJ1191" s="418"/>
      <c r="AK1191" s="418"/>
      <c r="AL1191" s="418"/>
      <c r="AM1191" s="418"/>
      <c r="AN1191" s="423"/>
      <c r="AO1191" s="423"/>
      <c r="AP1191" s="423"/>
      <c r="AQ1191" s="423"/>
      <c r="AR1191" s="423"/>
      <c r="AS1191" s="423"/>
      <c r="AT1191" s="423"/>
      <c r="AU1191" s="423"/>
      <c r="AV1191" s="423"/>
      <c r="AW1191" s="418"/>
      <c r="AX1191" s="418"/>
      <c r="AY1191" s="418"/>
      <c r="BB1191" s="306"/>
      <c r="BF1191" s="1119"/>
      <c r="BG1191" s="1119"/>
      <c r="BH1191" s="1119"/>
    </row>
    <row r="1192" spans="1:65" ht="15.75" customHeight="1">
      <c r="A1192" s="415"/>
      <c r="B1192" s="416"/>
      <c r="C1192" s="424"/>
      <c r="E1192" s="418"/>
      <c r="F1192" s="419"/>
      <c r="G1192" s="420"/>
      <c r="H1192" s="421"/>
      <c r="I1192" s="421"/>
      <c r="J1192" s="492"/>
      <c r="K1192" s="418"/>
      <c r="L1192" s="418"/>
      <c r="M1192" s="418"/>
      <c r="N1192" s="421"/>
      <c r="O1192" s="421"/>
      <c r="P1192" s="421"/>
      <c r="Q1192" s="418"/>
      <c r="R1192" s="418"/>
      <c r="S1192" s="418"/>
      <c r="T1192" s="418"/>
      <c r="U1192" s="418"/>
      <c r="V1192" s="418"/>
      <c r="W1192" s="418"/>
      <c r="X1192" s="418"/>
      <c r="Y1192" s="418"/>
      <c r="Z1192" s="418"/>
      <c r="AA1192" s="418"/>
      <c r="AB1192" s="418"/>
      <c r="AC1192" s="418"/>
      <c r="AD1192" s="418"/>
      <c r="AE1192" s="418"/>
      <c r="AF1192" s="418"/>
      <c r="AG1192" s="418"/>
      <c r="AH1192" s="418"/>
      <c r="AI1192" s="418"/>
      <c r="AJ1192" s="418"/>
      <c r="AK1192" s="418"/>
      <c r="AL1192" s="418"/>
      <c r="AM1192" s="418"/>
      <c r="AN1192" s="423"/>
      <c r="AO1192" s="423"/>
      <c r="AP1192" s="423"/>
      <c r="AQ1192" s="423"/>
      <c r="AR1192" s="423"/>
      <c r="AS1192" s="423"/>
      <c r="AT1192" s="423"/>
      <c r="AU1192" s="423"/>
      <c r="AV1192" s="423"/>
      <c r="AW1192" s="418"/>
      <c r="AX1192" s="418"/>
      <c r="AY1192" s="418"/>
      <c r="BB1192" s="306"/>
      <c r="BF1192" s="1119"/>
      <c r="BG1192" s="1119"/>
      <c r="BH1192" s="1119"/>
    </row>
    <row r="1193" spans="1:65" ht="15.75" customHeight="1">
      <c r="A1193" s="415"/>
      <c r="B1193" s="416"/>
      <c r="C1193" s="424"/>
      <c r="E1193" s="418"/>
      <c r="F1193" s="419"/>
      <c r="G1193" s="420"/>
      <c r="H1193" s="421"/>
      <c r="I1193" s="421"/>
      <c r="J1193" s="492"/>
      <c r="K1193" s="418"/>
      <c r="L1193" s="418"/>
      <c r="M1193" s="418"/>
      <c r="N1193" s="421"/>
      <c r="O1193" s="421"/>
      <c r="P1193" s="421"/>
      <c r="Q1193" s="418"/>
      <c r="R1193" s="418"/>
      <c r="S1193" s="418"/>
      <c r="T1193" s="418"/>
      <c r="U1193" s="418"/>
      <c r="V1193" s="418"/>
      <c r="W1193" s="418"/>
      <c r="X1193" s="418"/>
      <c r="Y1193" s="418"/>
      <c r="Z1193" s="418"/>
      <c r="AA1193" s="418"/>
      <c r="AB1193" s="418"/>
      <c r="AC1193" s="418"/>
      <c r="AD1193" s="418"/>
      <c r="AE1193" s="418"/>
      <c r="AF1193" s="418"/>
      <c r="AG1193" s="418"/>
      <c r="AH1193" s="418"/>
      <c r="AI1193" s="418"/>
      <c r="AJ1193" s="418"/>
      <c r="AK1193" s="418"/>
      <c r="AL1193" s="418"/>
      <c r="AM1193" s="418"/>
      <c r="AN1193" s="423"/>
      <c r="AO1193" s="423"/>
      <c r="AP1193" s="423"/>
      <c r="AQ1193" s="423"/>
      <c r="AR1193" s="423"/>
      <c r="AS1193" s="423"/>
      <c r="AT1193" s="423"/>
      <c r="AU1193" s="423"/>
      <c r="AV1193" s="423"/>
      <c r="AW1193" s="418"/>
      <c r="AX1193" s="418"/>
      <c r="AY1193" s="418"/>
      <c r="BB1193" s="306"/>
      <c r="BF1193" s="1119"/>
      <c r="BG1193" s="1119"/>
      <c r="BH1193" s="1119"/>
    </row>
    <row r="1194" spans="1:65" s="307" customFormat="1" ht="15.75" customHeight="1">
      <c r="A1194" s="415"/>
      <c r="B1194" s="416"/>
      <c r="C1194" s="424"/>
      <c r="D1194" s="418"/>
      <c r="E1194" s="418"/>
      <c r="F1194" s="419"/>
      <c r="G1194" s="420"/>
      <c r="H1194" s="421"/>
      <c r="I1194" s="421"/>
      <c r="J1194" s="492"/>
      <c r="K1194" s="418"/>
      <c r="L1194" s="418"/>
      <c r="M1194" s="418"/>
      <c r="N1194" s="421"/>
      <c r="O1194" s="421"/>
      <c r="P1194" s="421"/>
      <c r="Q1194" s="418"/>
      <c r="R1194" s="418"/>
      <c r="S1194" s="418"/>
      <c r="T1194" s="418"/>
      <c r="U1194" s="418"/>
      <c r="V1194" s="418"/>
      <c r="W1194" s="418"/>
      <c r="X1194" s="418"/>
      <c r="Y1194" s="418"/>
      <c r="Z1194" s="418"/>
      <c r="AA1194" s="418"/>
      <c r="AB1194" s="418"/>
      <c r="AC1194" s="418"/>
      <c r="AD1194" s="418"/>
      <c r="AE1194" s="418"/>
      <c r="AF1194" s="418"/>
      <c r="AG1194" s="418"/>
      <c r="AH1194" s="418"/>
      <c r="AI1194" s="418"/>
      <c r="AJ1194" s="418"/>
      <c r="AK1194" s="418"/>
      <c r="AL1194" s="418"/>
      <c r="AM1194" s="418"/>
      <c r="AN1194" s="423"/>
      <c r="AO1194" s="423"/>
      <c r="AP1194" s="423"/>
      <c r="AQ1194" s="423"/>
      <c r="AR1194" s="423"/>
      <c r="AS1194" s="423"/>
      <c r="AT1194" s="423"/>
      <c r="AU1194" s="423"/>
      <c r="AV1194" s="423"/>
      <c r="AW1194" s="418"/>
      <c r="AX1194" s="418"/>
      <c r="AY1194" s="418"/>
      <c r="AZ1194" s="418"/>
      <c r="BA1194" s="418"/>
      <c r="BB1194" s="306"/>
      <c r="BC1194" s="1119"/>
      <c r="BD1194" s="1119"/>
      <c r="BE1194" s="1119"/>
      <c r="BI1194" s="1119"/>
      <c r="BJ1194" s="1119"/>
      <c r="BK1194" s="1119"/>
      <c r="BL1194" s="1119"/>
      <c r="BM1194" s="1119"/>
    </row>
    <row r="1195" spans="1:65" s="307" customFormat="1" ht="15.75" customHeight="1">
      <c r="A1195" s="415"/>
      <c r="B1195" s="416"/>
      <c r="C1195" s="424"/>
      <c r="D1195" s="418"/>
      <c r="E1195" s="418"/>
      <c r="F1195" s="419"/>
      <c r="G1195" s="420"/>
      <c r="H1195" s="421"/>
      <c r="I1195" s="421"/>
      <c r="J1195" s="492"/>
      <c r="K1195" s="418"/>
      <c r="L1195" s="418"/>
      <c r="M1195" s="418"/>
      <c r="N1195" s="421"/>
      <c r="O1195" s="421"/>
      <c r="P1195" s="421"/>
      <c r="Q1195" s="418"/>
      <c r="R1195" s="418"/>
      <c r="S1195" s="418"/>
      <c r="T1195" s="418"/>
      <c r="U1195" s="418"/>
      <c r="V1195" s="418"/>
      <c r="W1195" s="418"/>
      <c r="X1195" s="418"/>
      <c r="Y1195" s="418"/>
      <c r="Z1195" s="418"/>
      <c r="AA1195" s="418"/>
      <c r="AB1195" s="418"/>
      <c r="AC1195" s="418"/>
      <c r="AD1195" s="418"/>
      <c r="AE1195" s="418"/>
      <c r="AF1195" s="418"/>
      <c r="AG1195" s="418"/>
      <c r="AH1195" s="418"/>
      <c r="AI1195" s="418"/>
      <c r="AJ1195" s="418"/>
      <c r="AK1195" s="418"/>
      <c r="AL1195" s="418"/>
      <c r="AM1195" s="418"/>
      <c r="AN1195" s="423"/>
      <c r="AO1195" s="423"/>
      <c r="AP1195" s="423"/>
      <c r="AQ1195" s="423"/>
      <c r="AR1195" s="423"/>
      <c r="AS1195" s="423"/>
      <c r="AT1195" s="423"/>
      <c r="AU1195" s="423"/>
      <c r="AV1195" s="423"/>
      <c r="AW1195" s="418"/>
      <c r="AX1195" s="418"/>
      <c r="AY1195" s="418"/>
      <c r="AZ1195" s="418"/>
      <c r="BA1195" s="418"/>
      <c r="BB1195" s="306"/>
      <c r="BC1195" s="1119"/>
      <c r="BD1195" s="1119"/>
      <c r="BE1195" s="1119"/>
      <c r="BI1195" s="1119"/>
      <c r="BJ1195" s="1119"/>
      <c r="BK1195" s="1119"/>
      <c r="BL1195" s="1119"/>
      <c r="BM1195" s="1119"/>
    </row>
    <row r="1196" spans="1:65" s="307" customFormat="1" ht="15.75" customHeight="1">
      <c r="A1196" s="415"/>
      <c r="B1196" s="416"/>
      <c r="C1196" s="424"/>
      <c r="D1196" s="418"/>
      <c r="E1196" s="418"/>
      <c r="F1196" s="419"/>
      <c r="G1196" s="420"/>
      <c r="H1196" s="421"/>
      <c r="I1196" s="421"/>
      <c r="J1196" s="492"/>
      <c r="K1196" s="418"/>
      <c r="L1196" s="418"/>
      <c r="M1196" s="418"/>
      <c r="N1196" s="421"/>
      <c r="O1196" s="421"/>
      <c r="P1196" s="421"/>
      <c r="Q1196" s="418"/>
      <c r="R1196" s="418"/>
      <c r="S1196" s="418"/>
      <c r="T1196" s="418"/>
      <c r="U1196" s="418"/>
      <c r="V1196" s="418"/>
      <c r="W1196" s="418"/>
      <c r="X1196" s="418"/>
      <c r="Y1196" s="418"/>
      <c r="Z1196" s="418"/>
      <c r="AA1196" s="418"/>
      <c r="AB1196" s="418"/>
      <c r="AC1196" s="418"/>
      <c r="AD1196" s="418"/>
      <c r="AE1196" s="418"/>
      <c r="AF1196" s="418"/>
      <c r="AG1196" s="418"/>
      <c r="AH1196" s="418"/>
      <c r="AI1196" s="418"/>
      <c r="AJ1196" s="418"/>
      <c r="AK1196" s="418"/>
      <c r="AL1196" s="418"/>
      <c r="AM1196" s="418"/>
      <c r="AN1196" s="423"/>
      <c r="AO1196" s="423"/>
      <c r="AP1196" s="423"/>
      <c r="AQ1196" s="423"/>
      <c r="AR1196" s="423"/>
      <c r="AS1196" s="423"/>
      <c r="AT1196" s="423"/>
      <c r="AU1196" s="423"/>
      <c r="AV1196" s="423"/>
      <c r="AW1196" s="418"/>
      <c r="AX1196" s="418"/>
      <c r="AY1196" s="418"/>
      <c r="AZ1196" s="418"/>
      <c r="BA1196" s="418"/>
      <c r="BB1196" s="306"/>
      <c r="BC1196" s="1119"/>
      <c r="BD1196" s="1119"/>
      <c r="BE1196" s="1119"/>
      <c r="BI1196" s="1119"/>
      <c r="BJ1196" s="1119"/>
      <c r="BK1196" s="1119"/>
      <c r="BL1196" s="1119"/>
      <c r="BM1196" s="1119"/>
    </row>
    <row r="1197" spans="1:65" s="307" customFormat="1" ht="15.75" customHeight="1">
      <c r="A1197" s="415"/>
      <c r="B1197" s="416"/>
      <c r="C1197" s="424"/>
      <c r="D1197" s="418"/>
      <c r="E1197" s="418"/>
      <c r="F1197" s="419"/>
      <c r="G1197" s="420"/>
      <c r="H1197" s="421"/>
      <c r="I1197" s="421"/>
      <c r="J1197" s="492"/>
      <c r="K1197" s="418"/>
      <c r="L1197" s="418"/>
      <c r="M1197" s="418"/>
      <c r="N1197" s="421"/>
      <c r="O1197" s="421"/>
      <c r="P1197" s="421"/>
      <c r="Q1197" s="418"/>
      <c r="R1197" s="418"/>
      <c r="S1197" s="418"/>
      <c r="T1197" s="418"/>
      <c r="U1197" s="418"/>
      <c r="V1197" s="418"/>
      <c r="W1197" s="418"/>
      <c r="X1197" s="418"/>
      <c r="Y1197" s="418"/>
      <c r="Z1197" s="418"/>
      <c r="AA1197" s="418"/>
      <c r="AB1197" s="418"/>
      <c r="AC1197" s="418"/>
      <c r="AD1197" s="418"/>
      <c r="AE1197" s="418"/>
      <c r="AF1197" s="418"/>
      <c r="AG1197" s="418"/>
      <c r="AH1197" s="418"/>
      <c r="AI1197" s="418"/>
      <c r="AJ1197" s="418"/>
      <c r="AK1197" s="418"/>
      <c r="AL1197" s="418"/>
      <c r="AM1197" s="418"/>
      <c r="AN1197" s="423"/>
      <c r="AO1197" s="423"/>
      <c r="AP1197" s="423"/>
      <c r="AQ1197" s="423"/>
      <c r="AR1197" s="423"/>
      <c r="AS1197" s="423"/>
      <c r="AT1197" s="423"/>
      <c r="AU1197" s="423"/>
      <c r="AV1197" s="423"/>
      <c r="AW1197" s="418"/>
      <c r="AX1197" s="418"/>
      <c r="AY1197" s="418"/>
      <c r="AZ1197" s="418"/>
      <c r="BA1197" s="418"/>
      <c r="BB1197" s="1119"/>
      <c r="BC1197" s="1119"/>
      <c r="BD1197" s="1119"/>
      <c r="BE1197" s="1119"/>
      <c r="BI1197" s="1119"/>
      <c r="BJ1197" s="1119"/>
      <c r="BK1197" s="1119"/>
      <c r="BL1197" s="1119"/>
      <c r="BM1197" s="1119"/>
    </row>
    <row r="1198" spans="1:65" ht="15.75" customHeight="1">
      <c r="A1198" s="415"/>
      <c r="B1198" s="416"/>
      <c r="C1198" s="424"/>
      <c r="E1198" s="418"/>
      <c r="F1198" s="419"/>
      <c r="G1198" s="420"/>
      <c r="H1198" s="421"/>
      <c r="I1198" s="421"/>
      <c r="J1198" s="492"/>
      <c r="K1198" s="418"/>
      <c r="L1198" s="418"/>
      <c r="M1198" s="418"/>
      <c r="N1198" s="421"/>
      <c r="O1198" s="421"/>
      <c r="P1198" s="421"/>
      <c r="Q1198" s="418"/>
      <c r="R1198" s="418"/>
      <c r="S1198" s="418"/>
      <c r="T1198" s="418"/>
      <c r="U1198" s="418"/>
      <c r="V1198" s="418"/>
      <c r="W1198" s="418"/>
      <c r="X1198" s="418"/>
      <c r="Y1198" s="418"/>
      <c r="Z1198" s="418"/>
      <c r="AA1198" s="418"/>
      <c r="AB1198" s="418"/>
      <c r="AC1198" s="418"/>
      <c r="AD1198" s="418"/>
      <c r="AE1198" s="418"/>
      <c r="AF1198" s="418"/>
      <c r="AG1198" s="418"/>
      <c r="AH1198" s="418"/>
      <c r="AI1198" s="418"/>
      <c r="AJ1198" s="418"/>
      <c r="AK1198" s="418"/>
      <c r="AL1198" s="418"/>
      <c r="AM1198" s="418"/>
      <c r="AN1198" s="423"/>
      <c r="AO1198" s="423"/>
      <c r="AP1198" s="423"/>
      <c r="AQ1198" s="423"/>
      <c r="AR1198" s="423"/>
      <c r="AS1198" s="423"/>
      <c r="AT1198" s="423"/>
      <c r="AU1198" s="423"/>
      <c r="AV1198" s="423"/>
      <c r="AW1198" s="418"/>
      <c r="AX1198" s="418"/>
      <c r="AY1198" s="418"/>
    </row>
    <row r="1199" spans="1:65" ht="15.75" customHeight="1">
      <c r="A1199" s="415"/>
      <c r="B1199" s="416"/>
      <c r="C1199" s="424"/>
      <c r="E1199" s="418"/>
      <c r="F1199" s="419"/>
      <c r="G1199" s="420"/>
      <c r="H1199" s="421"/>
      <c r="I1199" s="421"/>
      <c r="J1199" s="492"/>
      <c r="K1199" s="418"/>
      <c r="L1199" s="418"/>
      <c r="M1199" s="418"/>
      <c r="N1199" s="421"/>
      <c r="O1199" s="421"/>
      <c r="P1199" s="421"/>
      <c r="Q1199" s="418"/>
      <c r="R1199" s="418"/>
      <c r="S1199" s="418"/>
      <c r="T1199" s="418"/>
      <c r="U1199" s="418"/>
      <c r="V1199" s="418"/>
      <c r="W1199" s="418"/>
      <c r="X1199" s="418"/>
      <c r="Y1199" s="418"/>
      <c r="Z1199" s="418"/>
      <c r="AA1199" s="418"/>
      <c r="AB1199" s="418"/>
      <c r="AC1199" s="418"/>
      <c r="AD1199" s="418"/>
      <c r="AE1199" s="418"/>
      <c r="AF1199" s="418"/>
      <c r="AG1199" s="418"/>
      <c r="AH1199" s="418"/>
      <c r="AI1199" s="418"/>
      <c r="AJ1199" s="418"/>
      <c r="AK1199" s="418"/>
      <c r="AL1199" s="418"/>
      <c r="AM1199" s="418"/>
      <c r="AN1199" s="423"/>
      <c r="AO1199" s="423"/>
      <c r="AP1199" s="423"/>
      <c r="AQ1199" s="423"/>
      <c r="AR1199" s="423"/>
      <c r="AS1199" s="423"/>
      <c r="AT1199" s="423"/>
      <c r="AU1199" s="423"/>
      <c r="AV1199" s="423"/>
      <c r="AW1199" s="418"/>
      <c r="AX1199" s="418"/>
      <c r="AY1199" s="418"/>
    </row>
    <row r="1200" spans="1:65" ht="15.75" customHeight="1">
      <c r="A1200" s="415"/>
      <c r="B1200" s="416"/>
      <c r="C1200" s="424"/>
      <c r="E1200" s="418"/>
      <c r="F1200" s="419"/>
      <c r="G1200" s="420"/>
      <c r="H1200" s="421"/>
      <c r="I1200" s="421"/>
      <c r="J1200" s="492"/>
      <c r="K1200" s="418"/>
      <c r="L1200" s="418"/>
      <c r="M1200" s="418"/>
      <c r="N1200" s="421"/>
      <c r="O1200" s="421"/>
      <c r="P1200" s="421"/>
      <c r="Q1200" s="418"/>
      <c r="R1200" s="418"/>
      <c r="S1200" s="418"/>
      <c r="T1200" s="418"/>
      <c r="U1200" s="418"/>
      <c r="V1200" s="418"/>
      <c r="W1200" s="418"/>
      <c r="X1200" s="418"/>
      <c r="Y1200" s="418"/>
      <c r="Z1200" s="418"/>
      <c r="AA1200" s="418"/>
      <c r="AB1200" s="418"/>
      <c r="AC1200" s="418"/>
      <c r="AD1200" s="418"/>
      <c r="AE1200" s="418"/>
      <c r="AF1200" s="418"/>
      <c r="AG1200" s="418"/>
      <c r="AH1200" s="418"/>
      <c r="AI1200" s="418"/>
      <c r="AJ1200" s="418"/>
      <c r="AK1200" s="418"/>
      <c r="AL1200" s="418"/>
      <c r="AM1200" s="418"/>
      <c r="AN1200" s="423"/>
      <c r="AO1200" s="423"/>
      <c r="AP1200" s="423"/>
      <c r="AQ1200" s="423"/>
      <c r="AR1200" s="423"/>
      <c r="AS1200" s="423"/>
      <c r="AT1200" s="423"/>
      <c r="AU1200" s="423"/>
      <c r="AV1200" s="423"/>
      <c r="AW1200" s="418"/>
      <c r="AX1200" s="418"/>
      <c r="AY1200" s="418"/>
    </row>
    <row r="1201" spans="1:60" ht="15.75" customHeight="1">
      <c r="A1201" s="415"/>
      <c r="B1201" s="416"/>
      <c r="C1201" s="424"/>
      <c r="E1201" s="418"/>
      <c r="F1201" s="419"/>
      <c r="G1201" s="420"/>
      <c r="H1201" s="421"/>
      <c r="I1201" s="425"/>
      <c r="J1201" s="492"/>
      <c r="K1201" s="418"/>
      <c r="L1201" s="418"/>
      <c r="M1201" s="418"/>
      <c r="N1201" s="421"/>
      <c r="O1201" s="421"/>
      <c r="P1201" s="421"/>
      <c r="Q1201" s="418"/>
      <c r="R1201" s="418"/>
      <c r="S1201" s="418"/>
      <c r="T1201" s="418"/>
      <c r="U1201" s="418"/>
      <c r="V1201" s="418"/>
      <c r="W1201" s="418"/>
      <c r="X1201" s="418"/>
      <c r="Y1201" s="418"/>
      <c r="Z1201" s="418"/>
      <c r="AA1201" s="418"/>
      <c r="AB1201" s="418"/>
      <c r="AC1201" s="418"/>
      <c r="AD1201" s="418"/>
      <c r="AE1201" s="418"/>
      <c r="AF1201" s="418"/>
      <c r="AG1201" s="418"/>
      <c r="AH1201" s="418"/>
      <c r="AI1201" s="418"/>
      <c r="AJ1201" s="418"/>
      <c r="AK1201" s="418"/>
      <c r="AL1201" s="418"/>
      <c r="AM1201" s="418"/>
      <c r="AN1201" s="423"/>
      <c r="AO1201" s="423"/>
      <c r="AP1201" s="423"/>
      <c r="AQ1201" s="423"/>
      <c r="AR1201" s="423"/>
      <c r="AS1201" s="423"/>
      <c r="AT1201" s="423"/>
      <c r="AU1201" s="423"/>
      <c r="AV1201" s="423"/>
      <c r="AW1201" s="418"/>
      <c r="AX1201" s="418"/>
      <c r="AY1201" s="418"/>
    </row>
    <row r="1202" spans="1:60" ht="15.75" customHeight="1">
      <c r="A1202" s="415"/>
      <c r="B1202" s="416"/>
      <c r="C1202" s="424"/>
      <c r="E1202" s="418"/>
      <c r="F1202" s="419"/>
      <c r="G1202" s="420"/>
      <c r="H1202" s="421"/>
      <c r="I1202" s="421"/>
      <c r="J1202" s="492"/>
      <c r="K1202" s="418"/>
      <c r="L1202" s="418"/>
      <c r="M1202" s="418"/>
      <c r="N1202" s="421"/>
      <c r="O1202" s="421"/>
      <c r="P1202" s="421"/>
      <c r="Q1202" s="418"/>
      <c r="R1202" s="418"/>
      <c r="S1202" s="418"/>
      <c r="T1202" s="418"/>
      <c r="U1202" s="418"/>
      <c r="V1202" s="418"/>
      <c r="W1202" s="418"/>
      <c r="X1202" s="418"/>
      <c r="Y1202" s="418"/>
      <c r="Z1202" s="418"/>
      <c r="AA1202" s="418"/>
      <c r="AB1202" s="418"/>
      <c r="AC1202" s="418"/>
      <c r="AD1202" s="418"/>
      <c r="AE1202" s="418"/>
      <c r="AF1202" s="418"/>
      <c r="AG1202" s="418"/>
      <c r="AH1202" s="418"/>
      <c r="AI1202" s="418"/>
      <c r="AJ1202" s="418"/>
      <c r="AK1202" s="418"/>
      <c r="AL1202" s="418"/>
      <c r="AM1202" s="418"/>
      <c r="AN1202" s="423"/>
      <c r="AO1202" s="423"/>
      <c r="AP1202" s="423"/>
      <c r="AQ1202" s="423"/>
      <c r="AR1202" s="423"/>
      <c r="AS1202" s="423"/>
      <c r="AT1202" s="423"/>
      <c r="AU1202" s="423"/>
      <c r="AV1202" s="423"/>
      <c r="AW1202" s="418"/>
      <c r="AX1202" s="418"/>
      <c r="AY1202" s="418"/>
    </row>
    <row r="1203" spans="1:60" ht="15.75" customHeight="1">
      <c r="A1203" s="415"/>
      <c r="B1203" s="416"/>
      <c r="C1203" s="424"/>
      <c r="E1203" s="418"/>
      <c r="F1203" s="419"/>
      <c r="G1203" s="420"/>
      <c r="H1203" s="421"/>
      <c r="I1203" s="425"/>
      <c r="J1203" s="492"/>
      <c r="K1203" s="418"/>
      <c r="L1203" s="418"/>
      <c r="M1203" s="418"/>
      <c r="N1203" s="421"/>
      <c r="O1203" s="421"/>
      <c r="P1203" s="421"/>
      <c r="Q1203" s="418"/>
      <c r="R1203" s="418"/>
      <c r="S1203" s="418"/>
      <c r="T1203" s="418"/>
      <c r="U1203" s="418"/>
      <c r="V1203" s="418"/>
      <c r="W1203" s="418"/>
      <c r="X1203" s="418"/>
      <c r="Y1203" s="418"/>
      <c r="Z1203" s="418"/>
      <c r="AA1203" s="418"/>
      <c r="AB1203" s="418"/>
      <c r="AC1203" s="418"/>
      <c r="AD1203" s="418"/>
      <c r="AE1203" s="418"/>
      <c r="AF1203" s="418"/>
      <c r="AG1203" s="418"/>
      <c r="AH1203" s="418"/>
      <c r="AI1203" s="418"/>
      <c r="AJ1203" s="418"/>
      <c r="AK1203" s="418"/>
      <c r="AL1203" s="418"/>
      <c r="AM1203" s="418"/>
      <c r="AN1203" s="423"/>
      <c r="AO1203" s="423"/>
      <c r="AP1203" s="423"/>
      <c r="AQ1203" s="423"/>
      <c r="AR1203" s="423"/>
      <c r="AS1203" s="423"/>
      <c r="AT1203" s="423"/>
      <c r="AU1203" s="423"/>
      <c r="AV1203" s="423"/>
      <c r="AW1203" s="418"/>
      <c r="AX1203" s="418"/>
      <c r="AY1203" s="418"/>
    </row>
    <row r="1204" spans="1:60" ht="15.75" customHeight="1">
      <c r="A1204" s="415"/>
      <c r="B1204" s="416"/>
      <c r="C1204" s="424"/>
      <c r="E1204" s="418"/>
      <c r="F1204" s="419"/>
      <c r="G1204" s="420"/>
      <c r="H1204" s="421"/>
      <c r="I1204" s="421"/>
      <c r="J1204" s="492"/>
      <c r="K1204" s="418"/>
      <c r="L1204" s="418"/>
      <c r="M1204" s="418"/>
      <c r="N1204" s="421"/>
      <c r="O1204" s="421"/>
      <c r="P1204" s="421"/>
      <c r="Q1204" s="418"/>
      <c r="R1204" s="418"/>
      <c r="S1204" s="418"/>
      <c r="T1204" s="418"/>
      <c r="U1204" s="418"/>
      <c r="V1204" s="418"/>
      <c r="W1204" s="418"/>
      <c r="X1204" s="418"/>
      <c r="Y1204" s="418"/>
      <c r="Z1204" s="418"/>
      <c r="AA1204" s="418"/>
      <c r="AB1204" s="418"/>
      <c r="AC1204" s="418"/>
      <c r="AD1204" s="418"/>
      <c r="AE1204" s="418"/>
      <c r="AF1204" s="418"/>
      <c r="AG1204" s="418"/>
      <c r="AH1204" s="418"/>
      <c r="AI1204" s="418"/>
      <c r="AJ1204" s="418"/>
      <c r="AK1204" s="418"/>
      <c r="AL1204" s="418"/>
      <c r="AM1204" s="418"/>
      <c r="AN1204" s="423"/>
      <c r="AO1204" s="423"/>
      <c r="AP1204" s="423"/>
      <c r="AQ1204" s="423"/>
      <c r="AR1204" s="423"/>
      <c r="AS1204" s="423"/>
      <c r="AT1204" s="423"/>
      <c r="AU1204" s="423"/>
      <c r="AV1204" s="423"/>
      <c r="AW1204" s="418"/>
      <c r="AX1204" s="418"/>
      <c r="AY1204" s="418"/>
    </row>
    <row r="1205" spans="1:60" ht="15.75" customHeight="1">
      <c r="A1205" s="415"/>
      <c r="B1205" s="416"/>
      <c r="C1205" s="424"/>
      <c r="E1205" s="418"/>
      <c r="F1205" s="419"/>
      <c r="G1205" s="420"/>
      <c r="H1205" s="421"/>
      <c r="I1205" s="421"/>
      <c r="J1205" s="492"/>
      <c r="K1205" s="418"/>
      <c r="L1205" s="418"/>
      <c r="M1205" s="418"/>
      <c r="N1205" s="421"/>
      <c r="O1205" s="421"/>
      <c r="P1205" s="421"/>
      <c r="Q1205" s="418"/>
      <c r="R1205" s="418"/>
      <c r="S1205" s="418"/>
      <c r="T1205" s="418"/>
      <c r="U1205" s="418"/>
      <c r="V1205" s="418"/>
      <c r="W1205" s="418"/>
      <c r="X1205" s="418"/>
      <c r="Y1205" s="418"/>
      <c r="Z1205" s="418"/>
      <c r="AA1205" s="418"/>
      <c r="AB1205" s="418"/>
      <c r="AC1205" s="418"/>
      <c r="AD1205" s="418"/>
      <c r="AE1205" s="418"/>
      <c r="AF1205" s="418"/>
      <c r="AG1205" s="418"/>
      <c r="AH1205" s="418"/>
      <c r="AI1205" s="418"/>
      <c r="AJ1205" s="418"/>
      <c r="AK1205" s="418"/>
      <c r="AL1205" s="418"/>
      <c r="AM1205" s="418"/>
      <c r="AN1205" s="423"/>
      <c r="AO1205" s="423"/>
      <c r="AP1205" s="423"/>
      <c r="AQ1205" s="423"/>
      <c r="AR1205" s="423"/>
      <c r="AS1205" s="423"/>
      <c r="AT1205" s="423"/>
      <c r="AU1205" s="423"/>
      <c r="AV1205" s="423"/>
      <c r="AW1205" s="418"/>
      <c r="AX1205" s="418"/>
      <c r="AY1205" s="418"/>
    </row>
    <row r="1206" spans="1:60" ht="15.75" customHeight="1">
      <c r="A1206" s="415"/>
      <c r="B1206" s="416"/>
      <c r="C1206" s="424"/>
      <c r="E1206" s="418"/>
      <c r="F1206" s="419"/>
      <c r="G1206" s="420"/>
      <c r="H1206" s="421"/>
      <c r="I1206" s="425"/>
      <c r="J1206" s="492"/>
      <c r="K1206" s="418"/>
      <c r="L1206" s="418"/>
      <c r="M1206" s="418"/>
      <c r="N1206" s="421"/>
      <c r="O1206" s="421"/>
      <c r="P1206" s="421"/>
      <c r="Q1206" s="418"/>
      <c r="R1206" s="418"/>
      <c r="S1206" s="418"/>
      <c r="T1206" s="418"/>
      <c r="U1206" s="418"/>
      <c r="V1206" s="418"/>
      <c r="W1206" s="418"/>
      <c r="X1206" s="418"/>
      <c r="Y1206" s="418"/>
      <c r="Z1206" s="418"/>
      <c r="AA1206" s="418"/>
      <c r="AB1206" s="418"/>
      <c r="AC1206" s="418"/>
      <c r="AD1206" s="418"/>
      <c r="AE1206" s="418"/>
      <c r="AF1206" s="418"/>
      <c r="AG1206" s="418"/>
      <c r="AH1206" s="418"/>
      <c r="AI1206" s="418"/>
      <c r="AJ1206" s="418"/>
      <c r="AK1206" s="418"/>
      <c r="AL1206" s="418"/>
      <c r="AM1206" s="418"/>
      <c r="AN1206" s="423"/>
      <c r="AO1206" s="423"/>
      <c r="AP1206" s="423"/>
      <c r="AQ1206" s="423"/>
      <c r="AR1206" s="423"/>
      <c r="AS1206" s="423"/>
      <c r="AT1206" s="423"/>
      <c r="AU1206" s="423"/>
      <c r="AV1206" s="423"/>
      <c r="AW1206" s="418"/>
      <c r="AX1206" s="418"/>
      <c r="AY1206" s="418"/>
    </row>
    <row r="1207" spans="1:60" ht="15.75" customHeight="1">
      <c r="A1207" s="415"/>
      <c r="B1207" s="416"/>
      <c r="C1207" s="424"/>
      <c r="E1207" s="418"/>
      <c r="F1207" s="419"/>
      <c r="G1207" s="420"/>
      <c r="H1207" s="421"/>
      <c r="I1207" s="421"/>
      <c r="J1207" s="492"/>
      <c r="K1207" s="418"/>
      <c r="L1207" s="418"/>
      <c r="M1207" s="418"/>
      <c r="N1207" s="421"/>
      <c r="O1207" s="421"/>
      <c r="P1207" s="421"/>
      <c r="Q1207" s="418"/>
      <c r="R1207" s="418"/>
      <c r="S1207" s="418"/>
      <c r="T1207" s="418"/>
      <c r="U1207" s="418"/>
      <c r="V1207" s="418"/>
      <c r="W1207" s="418"/>
      <c r="X1207" s="418"/>
      <c r="Y1207" s="418"/>
      <c r="Z1207" s="418"/>
      <c r="AA1207" s="418"/>
      <c r="AB1207" s="418"/>
      <c r="AC1207" s="418"/>
      <c r="AD1207" s="418"/>
      <c r="AE1207" s="418"/>
      <c r="AF1207" s="418"/>
      <c r="AG1207" s="418"/>
      <c r="AH1207" s="418"/>
      <c r="AI1207" s="418"/>
      <c r="AJ1207" s="418"/>
      <c r="AK1207" s="418"/>
      <c r="AL1207" s="418"/>
      <c r="AM1207" s="418"/>
      <c r="AN1207" s="423"/>
      <c r="AO1207" s="423"/>
      <c r="AP1207" s="423"/>
      <c r="AQ1207" s="423"/>
      <c r="AR1207" s="423"/>
      <c r="AS1207" s="423"/>
      <c r="AT1207" s="423"/>
      <c r="AU1207" s="423"/>
      <c r="AV1207" s="423"/>
      <c r="AW1207" s="418"/>
      <c r="AX1207" s="418"/>
      <c r="AY1207" s="418"/>
    </row>
    <row r="1208" spans="1:60" ht="15.75" customHeight="1">
      <c r="A1208" s="415"/>
      <c r="B1208" s="416"/>
      <c r="C1208" s="424"/>
      <c r="E1208" s="418"/>
      <c r="F1208" s="419"/>
      <c r="G1208" s="420"/>
      <c r="H1208" s="421"/>
      <c r="I1208" s="425"/>
      <c r="J1208" s="492"/>
      <c r="K1208" s="418"/>
      <c r="L1208" s="418"/>
      <c r="M1208" s="418"/>
      <c r="N1208" s="421"/>
      <c r="O1208" s="421"/>
      <c r="P1208" s="421"/>
      <c r="Q1208" s="418"/>
      <c r="R1208" s="418"/>
      <c r="S1208" s="418"/>
      <c r="T1208" s="418"/>
      <c r="U1208" s="418"/>
      <c r="V1208" s="418"/>
      <c r="W1208" s="418"/>
      <c r="X1208" s="418"/>
      <c r="Y1208" s="418"/>
      <c r="Z1208" s="418"/>
      <c r="AA1208" s="418"/>
      <c r="AB1208" s="418"/>
      <c r="AC1208" s="418"/>
      <c r="AD1208" s="418"/>
      <c r="AE1208" s="418"/>
      <c r="AF1208" s="418"/>
      <c r="AG1208" s="418"/>
      <c r="AH1208" s="418"/>
      <c r="AI1208" s="418"/>
      <c r="AJ1208" s="418"/>
      <c r="AK1208" s="418"/>
      <c r="AL1208" s="418"/>
      <c r="AM1208" s="418"/>
      <c r="AN1208" s="423"/>
      <c r="AO1208" s="423"/>
      <c r="AP1208" s="423"/>
      <c r="AQ1208" s="423"/>
      <c r="AR1208" s="423"/>
      <c r="AS1208" s="423"/>
      <c r="AT1208" s="423"/>
      <c r="AU1208" s="423"/>
      <c r="AV1208" s="423"/>
      <c r="AW1208" s="418"/>
      <c r="AX1208" s="418"/>
      <c r="AY1208" s="418"/>
    </row>
    <row r="1209" spans="1:60" ht="15.75" customHeight="1">
      <c r="A1209" s="415"/>
      <c r="B1209" s="416"/>
      <c r="C1209" s="424"/>
      <c r="E1209" s="418"/>
      <c r="F1209" s="419"/>
      <c r="G1209" s="420"/>
      <c r="H1209" s="421"/>
      <c r="I1209" s="421"/>
      <c r="J1209" s="492"/>
      <c r="K1209" s="418"/>
      <c r="L1209" s="418"/>
      <c r="M1209" s="418"/>
      <c r="N1209" s="421"/>
      <c r="O1209" s="421"/>
      <c r="P1209" s="421"/>
      <c r="Q1209" s="418"/>
      <c r="R1209" s="418"/>
      <c r="S1209" s="418"/>
      <c r="T1209" s="418"/>
      <c r="U1209" s="418"/>
      <c r="V1209" s="418"/>
      <c r="W1209" s="418"/>
      <c r="X1209" s="418"/>
      <c r="Y1209" s="418"/>
      <c r="Z1209" s="418"/>
      <c r="AA1209" s="418"/>
      <c r="AB1209" s="418"/>
      <c r="AC1209" s="418"/>
      <c r="AD1209" s="418"/>
      <c r="AE1209" s="418"/>
      <c r="AF1209" s="418"/>
      <c r="AG1209" s="418"/>
      <c r="AH1209" s="418"/>
      <c r="AI1209" s="418"/>
      <c r="AJ1209" s="418"/>
      <c r="AK1209" s="418"/>
      <c r="AL1209" s="418"/>
      <c r="AM1209" s="418"/>
      <c r="AN1209" s="423"/>
      <c r="AO1209" s="423"/>
      <c r="AP1209" s="423"/>
      <c r="AQ1209" s="423"/>
      <c r="AR1209" s="423"/>
      <c r="AS1209" s="423"/>
      <c r="AT1209" s="423"/>
      <c r="AU1209" s="423"/>
      <c r="AV1209" s="423"/>
      <c r="AW1209" s="418"/>
      <c r="AX1209" s="418"/>
      <c r="AY1209" s="418"/>
    </row>
    <row r="1210" spans="1:60" ht="15.75" customHeight="1">
      <c r="A1210" s="415"/>
      <c r="B1210" s="416"/>
      <c r="C1210" s="424"/>
      <c r="E1210" s="418"/>
      <c r="F1210" s="419"/>
      <c r="G1210" s="420"/>
      <c r="H1210" s="421"/>
      <c r="I1210" s="421"/>
      <c r="J1210" s="492"/>
      <c r="K1210" s="418"/>
      <c r="L1210" s="418"/>
      <c r="M1210" s="418"/>
      <c r="N1210" s="421"/>
      <c r="O1210" s="421"/>
      <c r="P1210" s="421"/>
      <c r="Q1210" s="418"/>
      <c r="R1210" s="418"/>
      <c r="S1210" s="418"/>
      <c r="T1210" s="418"/>
      <c r="U1210" s="418"/>
      <c r="V1210" s="418"/>
      <c r="W1210" s="418"/>
      <c r="X1210" s="418"/>
      <c r="Y1210" s="418"/>
      <c r="Z1210" s="418"/>
      <c r="AA1210" s="418"/>
      <c r="AB1210" s="418"/>
      <c r="AC1210" s="418"/>
      <c r="AD1210" s="418"/>
      <c r="AE1210" s="418"/>
      <c r="AF1210" s="418"/>
      <c r="AG1210" s="418"/>
      <c r="AH1210" s="418"/>
      <c r="AI1210" s="418"/>
      <c r="AJ1210" s="418"/>
      <c r="AK1210" s="418"/>
      <c r="AL1210" s="418"/>
      <c r="AM1210" s="418"/>
      <c r="AN1210" s="423"/>
      <c r="AO1210" s="423"/>
      <c r="AP1210" s="423"/>
      <c r="AQ1210" s="423"/>
      <c r="AR1210" s="423"/>
      <c r="AS1210" s="423"/>
      <c r="AT1210" s="423"/>
      <c r="AU1210" s="423"/>
      <c r="AV1210" s="423"/>
      <c r="AW1210" s="418"/>
      <c r="AX1210" s="418"/>
      <c r="AY1210" s="418"/>
      <c r="BF1210" s="1119"/>
      <c r="BG1210" s="1119"/>
      <c r="BH1210" s="1119"/>
    </row>
    <row r="1211" spans="1:60" ht="15.75" customHeight="1">
      <c r="A1211" s="415"/>
      <c r="B1211" s="416"/>
      <c r="C1211" s="424"/>
      <c r="E1211" s="418"/>
      <c r="F1211" s="419"/>
      <c r="G1211" s="420"/>
      <c r="H1211" s="421"/>
      <c r="I1211" s="421"/>
      <c r="J1211" s="492"/>
      <c r="K1211" s="418"/>
      <c r="L1211" s="418"/>
      <c r="M1211" s="418"/>
      <c r="N1211" s="421"/>
      <c r="O1211" s="421"/>
      <c r="P1211" s="421"/>
      <c r="Q1211" s="418"/>
      <c r="R1211" s="418"/>
      <c r="S1211" s="418"/>
      <c r="T1211" s="418"/>
      <c r="U1211" s="418"/>
      <c r="V1211" s="418"/>
      <c r="W1211" s="418"/>
      <c r="X1211" s="418"/>
      <c r="Y1211" s="418"/>
      <c r="Z1211" s="418"/>
      <c r="AA1211" s="418"/>
      <c r="AB1211" s="418"/>
      <c r="AC1211" s="418"/>
      <c r="AD1211" s="418"/>
      <c r="AE1211" s="418"/>
      <c r="AF1211" s="418"/>
      <c r="AG1211" s="418"/>
      <c r="AH1211" s="418"/>
      <c r="AI1211" s="418"/>
      <c r="AJ1211" s="418"/>
      <c r="AK1211" s="418"/>
      <c r="AL1211" s="418"/>
      <c r="AM1211" s="418"/>
      <c r="AN1211" s="423"/>
      <c r="AO1211" s="423"/>
      <c r="AP1211" s="423"/>
      <c r="AQ1211" s="423"/>
      <c r="AR1211" s="423"/>
      <c r="AS1211" s="423"/>
      <c r="AT1211" s="423"/>
      <c r="AU1211" s="423"/>
      <c r="AV1211" s="423"/>
      <c r="AW1211" s="418"/>
      <c r="AX1211" s="418"/>
      <c r="AY1211" s="418"/>
      <c r="BF1211" s="1119"/>
      <c r="BG1211" s="1119"/>
      <c r="BH1211" s="1119"/>
    </row>
    <row r="1212" spans="1:60" ht="15.75" customHeight="1">
      <c r="A1212" s="415"/>
      <c r="B1212" s="416"/>
      <c r="C1212" s="424"/>
      <c r="E1212" s="418"/>
      <c r="F1212" s="419"/>
      <c r="G1212" s="420"/>
      <c r="H1212" s="421"/>
      <c r="I1212" s="421"/>
      <c r="J1212" s="492"/>
      <c r="K1212" s="418"/>
      <c r="L1212" s="418"/>
      <c r="M1212" s="418"/>
      <c r="N1212" s="421"/>
      <c r="O1212" s="421"/>
      <c r="P1212" s="421"/>
      <c r="Q1212" s="418"/>
      <c r="R1212" s="418"/>
      <c r="S1212" s="418"/>
      <c r="T1212" s="418"/>
      <c r="U1212" s="418"/>
      <c r="V1212" s="418"/>
      <c r="W1212" s="418"/>
      <c r="X1212" s="418"/>
      <c r="Y1212" s="418"/>
      <c r="Z1212" s="418"/>
      <c r="AA1212" s="418"/>
      <c r="AB1212" s="418"/>
      <c r="AC1212" s="418"/>
      <c r="AD1212" s="418"/>
      <c r="AE1212" s="418"/>
      <c r="AF1212" s="418"/>
      <c r="AG1212" s="418"/>
      <c r="AH1212" s="418"/>
      <c r="AI1212" s="418"/>
      <c r="AJ1212" s="418"/>
      <c r="AK1212" s="418"/>
      <c r="AL1212" s="418"/>
      <c r="AM1212" s="418"/>
      <c r="AN1212" s="423"/>
      <c r="AO1212" s="423"/>
      <c r="AP1212" s="423"/>
      <c r="AQ1212" s="423"/>
      <c r="AR1212" s="423"/>
      <c r="AS1212" s="423"/>
      <c r="AT1212" s="423"/>
      <c r="AU1212" s="423"/>
      <c r="AV1212" s="423"/>
      <c r="AW1212" s="418"/>
      <c r="AX1212" s="418"/>
      <c r="AY1212" s="418"/>
      <c r="BF1212" s="1119"/>
      <c r="BG1212" s="1119"/>
      <c r="BH1212" s="1119"/>
    </row>
    <row r="1213" spans="1:60" ht="15.75" customHeight="1">
      <c r="A1213" s="415"/>
      <c r="B1213" s="416"/>
      <c r="C1213" s="424"/>
      <c r="E1213" s="418"/>
      <c r="F1213" s="419"/>
      <c r="G1213" s="420"/>
      <c r="H1213" s="421"/>
      <c r="I1213" s="421"/>
      <c r="J1213" s="492"/>
      <c r="K1213" s="418"/>
      <c r="L1213" s="418"/>
      <c r="M1213" s="418"/>
      <c r="N1213" s="421"/>
      <c r="O1213" s="421"/>
      <c r="P1213" s="421"/>
      <c r="Q1213" s="418"/>
      <c r="R1213" s="418"/>
      <c r="S1213" s="418"/>
      <c r="T1213" s="418"/>
      <c r="U1213" s="418"/>
      <c r="V1213" s="418"/>
      <c r="W1213" s="418"/>
      <c r="X1213" s="418"/>
      <c r="Y1213" s="418"/>
      <c r="Z1213" s="418"/>
      <c r="AA1213" s="418"/>
      <c r="AB1213" s="418"/>
      <c r="AC1213" s="418"/>
      <c r="AD1213" s="418"/>
      <c r="AE1213" s="418"/>
      <c r="AF1213" s="418"/>
      <c r="AG1213" s="418"/>
      <c r="AH1213" s="418"/>
      <c r="AI1213" s="418"/>
      <c r="AJ1213" s="418"/>
      <c r="AK1213" s="418"/>
      <c r="AL1213" s="418"/>
      <c r="AM1213" s="418"/>
      <c r="AN1213" s="423"/>
      <c r="AO1213" s="423"/>
      <c r="AP1213" s="423"/>
      <c r="AQ1213" s="423"/>
      <c r="AR1213" s="423"/>
      <c r="AS1213" s="423"/>
      <c r="AT1213" s="423"/>
      <c r="AU1213" s="423"/>
      <c r="AV1213" s="423"/>
      <c r="AW1213" s="418"/>
      <c r="AX1213" s="418"/>
      <c r="AY1213" s="418"/>
      <c r="BF1213" s="1119"/>
      <c r="BG1213" s="1119"/>
      <c r="BH1213" s="1119"/>
    </row>
    <row r="1214" spans="1:60" ht="15.75" customHeight="1">
      <c r="A1214" s="415"/>
      <c r="B1214" s="416"/>
      <c r="C1214" s="424"/>
      <c r="E1214" s="418"/>
      <c r="F1214" s="419"/>
      <c r="G1214" s="420"/>
      <c r="H1214" s="421"/>
      <c r="I1214" s="421"/>
      <c r="J1214" s="492"/>
      <c r="K1214" s="418"/>
      <c r="L1214" s="418"/>
      <c r="M1214" s="418"/>
      <c r="N1214" s="421"/>
      <c r="O1214" s="421"/>
      <c r="P1214" s="421"/>
      <c r="Q1214" s="418"/>
      <c r="R1214" s="418"/>
      <c r="S1214" s="418"/>
      <c r="T1214" s="418"/>
      <c r="U1214" s="418"/>
      <c r="V1214" s="418"/>
      <c r="W1214" s="418"/>
      <c r="X1214" s="418"/>
      <c r="Y1214" s="418"/>
      <c r="Z1214" s="418"/>
      <c r="AA1214" s="418"/>
      <c r="AB1214" s="418"/>
      <c r="AC1214" s="418"/>
      <c r="AD1214" s="418"/>
      <c r="AE1214" s="418"/>
      <c r="AF1214" s="418"/>
      <c r="AG1214" s="418"/>
      <c r="AH1214" s="418"/>
      <c r="AI1214" s="418"/>
      <c r="AJ1214" s="418"/>
      <c r="AK1214" s="418"/>
      <c r="AL1214" s="418"/>
      <c r="AM1214" s="418"/>
      <c r="AN1214" s="423"/>
      <c r="AO1214" s="423"/>
      <c r="AP1214" s="423"/>
      <c r="AQ1214" s="423"/>
      <c r="AR1214" s="423"/>
      <c r="AS1214" s="423"/>
      <c r="AT1214" s="423"/>
      <c r="AU1214" s="423"/>
      <c r="AV1214" s="423"/>
      <c r="AW1214" s="418"/>
      <c r="AX1214" s="418"/>
      <c r="AY1214" s="418"/>
      <c r="BF1214" s="1119"/>
      <c r="BG1214" s="1119"/>
      <c r="BH1214" s="1119"/>
    </row>
    <row r="1215" spans="1:60" ht="15.75" customHeight="1">
      <c r="A1215" s="415"/>
      <c r="B1215" s="416"/>
      <c r="C1215" s="424"/>
      <c r="E1215" s="418"/>
      <c r="F1215" s="419"/>
      <c r="G1215" s="420"/>
      <c r="H1215" s="421"/>
      <c r="I1215" s="421"/>
      <c r="J1215" s="492"/>
      <c r="K1215" s="418"/>
      <c r="L1215" s="418"/>
      <c r="M1215" s="418"/>
      <c r="N1215" s="421"/>
      <c r="O1215" s="421"/>
      <c r="P1215" s="421"/>
      <c r="Q1215" s="418"/>
      <c r="R1215" s="418"/>
      <c r="S1215" s="418"/>
      <c r="T1215" s="418"/>
      <c r="U1215" s="418"/>
      <c r="V1215" s="418"/>
      <c r="W1215" s="418"/>
      <c r="X1215" s="418"/>
      <c r="Y1215" s="418"/>
      <c r="Z1215" s="418"/>
      <c r="AA1215" s="418"/>
      <c r="AB1215" s="418"/>
      <c r="AC1215" s="418"/>
      <c r="AD1215" s="418"/>
      <c r="AE1215" s="418"/>
      <c r="AF1215" s="418"/>
      <c r="AG1215" s="418"/>
      <c r="AH1215" s="418"/>
      <c r="AI1215" s="418"/>
      <c r="AJ1215" s="418"/>
      <c r="AK1215" s="418"/>
      <c r="AL1215" s="418"/>
      <c r="AM1215" s="418"/>
      <c r="AN1215" s="423"/>
      <c r="AO1215" s="423"/>
      <c r="AP1215" s="423"/>
      <c r="AQ1215" s="423"/>
      <c r="AR1215" s="423"/>
      <c r="AS1215" s="423"/>
      <c r="AT1215" s="423"/>
      <c r="AU1215" s="423"/>
      <c r="AV1215" s="423"/>
      <c r="AW1215" s="418"/>
      <c r="AX1215" s="418"/>
      <c r="AY1215" s="418"/>
      <c r="BF1215" s="1119"/>
      <c r="BG1215" s="1119"/>
      <c r="BH1215" s="1119"/>
    </row>
    <row r="1216" spans="1:60" ht="15.75" customHeight="1">
      <c r="A1216" s="415"/>
      <c r="B1216" s="416"/>
      <c r="C1216" s="424"/>
      <c r="E1216" s="418"/>
      <c r="F1216" s="419"/>
      <c r="G1216" s="420"/>
      <c r="H1216" s="421"/>
      <c r="I1216" s="421"/>
      <c r="J1216" s="492"/>
      <c r="K1216" s="418"/>
      <c r="L1216" s="418"/>
      <c r="M1216" s="418"/>
      <c r="N1216" s="421"/>
      <c r="O1216" s="421"/>
      <c r="P1216" s="421"/>
      <c r="Q1216" s="418"/>
      <c r="R1216" s="418"/>
      <c r="S1216" s="418"/>
      <c r="T1216" s="418"/>
      <c r="U1216" s="418"/>
      <c r="V1216" s="418"/>
      <c r="W1216" s="418"/>
      <c r="X1216" s="418"/>
      <c r="Y1216" s="418"/>
      <c r="Z1216" s="418"/>
      <c r="AA1216" s="418"/>
      <c r="AB1216" s="418"/>
      <c r="AC1216" s="418"/>
      <c r="AD1216" s="418"/>
      <c r="AE1216" s="418"/>
      <c r="AF1216" s="418"/>
      <c r="AG1216" s="418"/>
      <c r="AH1216" s="418"/>
      <c r="AI1216" s="418"/>
      <c r="AJ1216" s="418"/>
      <c r="AK1216" s="418"/>
      <c r="AL1216" s="418"/>
      <c r="AM1216" s="418"/>
      <c r="AN1216" s="423"/>
      <c r="AO1216" s="423"/>
      <c r="AP1216" s="423"/>
      <c r="AQ1216" s="423"/>
      <c r="AR1216" s="423"/>
      <c r="AS1216" s="423"/>
      <c r="AT1216" s="423"/>
      <c r="AU1216" s="423"/>
      <c r="AV1216" s="423"/>
      <c r="AW1216" s="418"/>
      <c r="AX1216" s="418"/>
      <c r="AY1216" s="418"/>
      <c r="BF1216" s="1119"/>
      <c r="BG1216" s="1119"/>
      <c r="BH1216" s="1119"/>
    </row>
    <row r="1217" spans="1:60" ht="15.75" customHeight="1">
      <c r="A1217" s="415"/>
      <c r="B1217" s="416"/>
      <c r="C1217" s="424"/>
      <c r="E1217" s="418"/>
      <c r="F1217" s="419"/>
      <c r="G1217" s="420"/>
      <c r="H1217" s="421"/>
      <c r="I1217" s="421"/>
      <c r="J1217" s="492"/>
      <c r="K1217" s="418"/>
      <c r="L1217" s="418"/>
      <c r="M1217" s="418"/>
      <c r="N1217" s="421"/>
      <c r="O1217" s="421"/>
      <c r="P1217" s="421"/>
      <c r="Q1217" s="418"/>
      <c r="R1217" s="418"/>
      <c r="S1217" s="418"/>
      <c r="T1217" s="418"/>
      <c r="U1217" s="418"/>
      <c r="V1217" s="418"/>
      <c r="W1217" s="418"/>
      <c r="X1217" s="418"/>
      <c r="Y1217" s="418"/>
      <c r="Z1217" s="418"/>
      <c r="AA1217" s="418"/>
      <c r="AB1217" s="418"/>
      <c r="AC1217" s="418"/>
      <c r="AD1217" s="418"/>
      <c r="AE1217" s="418"/>
      <c r="AF1217" s="418"/>
      <c r="AG1217" s="418"/>
      <c r="AH1217" s="418"/>
      <c r="AI1217" s="418"/>
      <c r="AJ1217" s="418"/>
      <c r="AK1217" s="418"/>
      <c r="AL1217" s="418"/>
      <c r="AM1217" s="418"/>
      <c r="AN1217" s="423"/>
      <c r="AO1217" s="423"/>
      <c r="AP1217" s="423"/>
      <c r="AQ1217" s="423"/>
      <c r="AR1217" s="423"/>
      <c r="AS1217" s="423"/>
      <c r="AT1217" s="423"/>
      <c r="AU1217" s="423"/>
      <c r="AV1217" s="423"/>
      <c r="AW1217" s="418"/>
      <c r="AX1217" s="418"/>
      <c r="AY1217" s="418"/>
      <c r="BF1217" s="1119"/>
      <c r="BG1217" s="1119"/>
      <c r="BH1217" s="1119"/>
    </row>
    <row r="1218" spans="1:60" ht="15.75" customHeight="1">
      <c r="A1218" s="415"/>
      <c r="B1218" s="416"/>
      <c r="C1218" s="424"/>
      <c r="E1218" s="418"/>
      <c r="F1218" s="419"/>
      <c r="G1218" s="420"/>
      <c r="H1218" s="421"/>
      <c r="I1218" s="421"/>
      <c r="J1218" s="492"/>
      <c r="K1218" s="418"/>
      <c r="L1218" s="418"/>
      <c r="M1218" s="418"/>
      <c r="N1218" s="421"/>
      <c r="O1218" s="421"/>
      <c r="P1218" s="421"/>
      <c r="Q1218" s="418"/>
      <c r="R1218" s="418"/>
      <c r="S1218" s="418"/>
      <c r="T1218" s="418"/>
      <c r="U1218" s="418"/>
      <c r="V1218" s="418"/>
      <c r="W1218" s="418"/>
      <c r="X1218" s="418"/>
      <c r="Y1218" s="418"/>
      <c r="Z1218" s="418"/>
      <c r="AA1218" s="418"/>
      <c r="AB1218" s="418"/>
      <c r="AC1218" s="418"/>
      <c r="AD1218" s="418"/>
      <c r="AE1218" s="418"/>
      <c r="AF1218" s="418"/>
      <c r="AG1218" s="418"/>
      <c r="AH1218" s="418"/>
      <c r="AI1218" s="418"/>
      <c r="AJ1218" s="418"/>
      <c r="AK1218" s="418"/>
      <c r="AL1218" s="418"/>
      <c r="AM1218" s="418"/>
      <c r="AN1218" s="423"/>
      <c r="AO1218" s="423"/>
      <c r="AP1218" s="423"/>
      <c r="AQ1218" s="423"/>
      <c r="AR1218" s="423"/>
      <c r="AS1218" s="423"/>
      <c r="AT1218" s="423"/>
      <c r="AU1218" s="423"/>
      <c r="AV1218" s="423"/>
      <c r="AW1218" s="418"/>
      <c r="AX1218" s="418"/>
      <c r="AY1218" s="418"/>
      <c r="BF1218" s="1119"/>
      <c r="BG1218" s="1119"/>
      <c r="BH1218" s="1119"/>
    </row>
    <row r="1219" spans="1:60" ht="15.75" customHeight="1">
      <c r="A1219" s="415"/>
      <c r="B1219" s="416"/>
      <c r="C1219" s="424"/>
      <c r="E1219" s="418"/>
      <c r="F1219" s="419"/>
      <c r="G1219" s="420"/>
      <c r="H1219" s="421"/>
      <c r="I1219" s="425"/>
      <c r="J1219" s="492"/>
      <c r="K1219" s="418"/>
      <c r="L1219" s="418"/>
      <c r="M1219" s="418"/>
      <c r="N1219" s="421"/>
      <c r="O1219" s="421"/>
      <c r="P1219" s="421"/>
      <c r="Q1219" s="418"/>
      <c r="R1219" s="418"/>
      <c r="S1219" s="418"/>
      <c r="T1219" s="418"/>
      <c r="U1219" s="418"/>
      <c r="V1219" s="418"/>
      <c r="W1219" s="418"/>
      <c r="X1219" s="418"/>
      <c r="Y1219" s="418"/>
      <c r="Z1219" s="418"/>
      <c r="AA1219" s="418"/>
      <c r="AB1219" s="418"/>
      <c r="AC1219" s="418"/>
      <c r="AD1219" s="418"/>
      <c r="AE1219" s="418"/>
      <c r="AF1219" s="418"/>
      <c r="AG1219" s="418"/>
      <c r="AH1219" s="418"/>
      <c r="AI1219" s="418"/>
      <c r="AJ1219" s="418"/>
      <c r="AK1219" s="418"/>
      <c r="AL1219" s="418"/>
      <c r="AM1219" s="418"/>
      <c r="AN1219" s="423"/>
      <c r="AO1219" s="423"/>
      <c r="AP1219" s="423"/>
      <c r="AQ1219" s="423"/>
      <c r="AR1219" s="423"/>
      <c r="AS1219" s="423"/>
      <c r="AT1219" s="423"/>
      <c r="AU1219" s="423"/>
      <c r="AV1219" s="423"/>
      <c r="AW1219" s="418"/>
      <c r="AX1219" s="418"/>
      <c r="AY1219" s="418"/>
      <c r="BF1219" s="1119"/>
      <c r="BG1219" s="1119"/>
      <c r="BH1219" s="1119"/>
    </row>
    <row r="1220" spans="1:60" ht="15.75" customHeight="1">
      <c r="A1220" s="415"/>
      <c r="B1220" s="416"/>
      <c r="C1220" s="424"/>
      <c r="E1220" s="418"/>
      <c r="F1220" s="419"/>
      <c r="G1220" s="420"/>
      <c r="H1220" s="421"/>
      <c r="I1220" s="421"/>
      <c r="J1220" s="492"/>
      <c r="K1220" s="418"/>
      <c r="L1220" s="418"/>
      <c r="M1220" s="418"/>
      <c r="N1220" s="421"/>
      <c r="O1220" s="421"/>
      <c r="P1220" s="421"/>
      <c r="Q1220" s="418"/>
      <c r="R1220" s="418"/>
      <c r="S1220" s="418"/>
      <c r="T1220" s="418"/>
      <c r="U1220" s="418"/>
      <c r="V1220" s="418"/>
      <c r="W1220" s="418"/>
      <c r="X1220" s="418"/>
      <c r="Y1220" s="418"/>
      <c r="Z1220" s="418"/>
      <c r="AA1220" s="418"/>
      <c r="AB1220" s="418"/>
      <c r="AC1220" s="418"/>
      <c r="AD1220" s="418"/>
      <c r="AE1220" s="418"/>
      <c r="AF1220" s="418"/>
      <c r="AG1220" s="418"/>
      <c r="AH1220" s="418"/>
      <c r="AI1220" s="418"/>
      <c r="AJ1220" s="418"/>
      <c r="AK1220" s="418"/>
      <c r="AL1220" s="418"/>
      <c r="AM1220" s="418"/>
      <c r="AN1220" s="423"/>
      <c r="AO1220" s="423"/>
      <c r="AP1220" s="423"/>
      <c r="AQ1220" s="423"/>
      <c r="AR1220" s="423"/>
      <c r="AS1220" s="423"/>
      <c r="AT1220" s="423"/>
      <c r="AU1220" s="423"/>
      <c r="AV1220" s="423"/>
      <c r="AW1220" s="418"/>
      <c r="AX1220" s="418"/>
      <c r="AY1220" s="418"/>
      <c r="BF1220" s="1119"/>
      <c r="BG1220" s="1119"/>
      <c r="BH1220" s="1119"/>
    </row>
    <row r="1221" spans="1:60" ht="15.75" customHeight="1">
      <c r="A1221" s="415"/>
      <c r="B1221" s="416"/>
      <c r="C1221" s="424"/>
      <c r="E1221" s="418"/>
      <c r="F1221" s="419"/>
      <c r="G1221" s="420"/>
      <c r="H1221" s="421"/>
      <c r="I1221" s="421"/>
      <c r="J1221" s="492"/>
      <c r="K1221" s="418"/>
      <c r="L1221" s="418"/>
      <c r="M1221" s="418"/>
      <c r="N1221" s="421"/>
      <c r="O1221" s="421"/>
      <c r="P1221" s="421"/>
      <c r="Q1221" s="418"/>
      <c r="R1221" s="418"/>
      <c r="S1221" s="418"/>
      <c r="T1221" s="418"/>
      <c r="U1221" s="418"/>
      <c r="V1221" s="418"/>
      <c r="W1221" s="418"/>
      <c r="X1221" s="418"/>
      <c r="Y1221" s="418"/>
      <c r="Z1221" s="418"/>
      <c r="AA1221" s="418"/>
      <c r="AB1221" s="418"/>
      <c r="AC1221" s="418"/>
      <c r="AD1221" s="418"/>
      <c r="AE1221" s="418"/>
      <c r="AF1221" s="418"/>
      <c r="AG1221" s="418"/>
      <c r="AH1221" s="418"/>
      <c r="AI1221" s="418"/>
      <c r="AJ1221" s="418"/>
      <c r="AK1221" s="418"/>
      <c r="AL1221" s="418"/>
      <c r="AM1221" s="418"/>
      <c r="AN1221" s="423"/>
      <c r="AO1221" s="423"/>
      <c r="AP1221" s="423"/>
      <c r="AQ1221" s="423"/>
      <c r="AR1221" s="423"/>
      <c r="AS1221" s="423"/>
      <c r="AT1221" s="423"/>
      <c r="AU1221" s="423"/>
      <c r="AV1221" s="423"/>
      <c r="AW1221" s="418"/>
      <c r="AX1221" s="418"/>
      <c r="AY1221" s="418"/>
      <c r="BF1221" s="1119"/>
      <c r="BG1221" s="1119"/>
      <c r="BH1221" s="1119"/>
    </row>
    <row r="1222" spans="1:60" ht="15.75" customHeight="1">
      <c r="A1222" s="415"/>
      <c r="B1222" s="416"/>
      <c r="C1222" s="424"/>
      <c r="E1222" s="418"/>
      <c r="F1222" s="419"/>
      <c r="G1222" s="420"/>
      <c r="H1222" s="421"/>
      <c r="I1222" s="421"/>
      <c r="J1222" s="492"/>
      <c r="K1222" s="418"/>
      <c r="L1222" s="418"/>
      <c r="M1222" s="418"/>
      <c r="N1222" s="421"/>
      <c r="O1222" s="421"/>
      <c r="P1222" s="421"/>
      <c r="Q1222" s="418"/>
      <c r="R1222" s="418"/>
      <c r="S1222" s="418"/>
      <c r="T1222" s="418"/>
      <c r="U1222" s="418"/>
      <c r="V1222" s="418"/>
      <c r="W1222" s="418"/>
      <c r="X1222" s="418"/>
      <c r="Y1222" s="418"/>
      <c r="Z1222" s="418"/>
      <c r="AA1222" s="418"/>
      <c r="AB1222" s="418"/>
      <c r="AC1222" s="418"/>
      <c r="AD1222" s="418"/>
      <c r="AE1222" s="418"/>
      <c r="AF1222" s="418"/>
      <c r="AG1222" s="418"/>
      <c r="AH1222" s="418"/>
      <c r="AI1222" s="418"/>
      <c r="AJ1222" s="418"/>
      <c r="AK1222" s="418"/>
      <c r="AL1222" s="418"/>
      <c r="AM1222" s="418"/>
      <c r="AN1222" s="423"/>
      <c r="AO1222" s="423"/>
      <c r="AP1222" s="423"/>
      <c r="AQ1222" s="423"/>
      <c r="AR1222" s="423"/>
      <c r="AS1222" s="423"/>
      <c r="AT1222" s="423"/>
      <c r="AU1222" s="423"/>
      <c r="AV1222" s="423"/>
      <c r="AW1222" s="418"/>
      <c r="AX1222" s="418"/>
      <c r="AY1222" s="418"/>
      <c r="BF1222" s="1119"/>
      <c r="BG1222" s="1119"/>
      <c r="BH1222" s="1119"/>
    </row>
    <row r="1223" spans="1:60" ht="15.75" customHeight="1">
      <c r="A1223" s="415"/>
      <c r="B1223" s="416"/>
      <c r="C1223" s="424"/>
      <c r="E1223" s="418"/>
      <c r="F1223" s="419"/>
      <c r="G1223" s="420"/>
      <c r="H1223" s="421"/>
      <c r="I1223" s="421"/>
      <c r="J1223" s="492"/>
      <c r="K1223" s="418"/>
      <c r="L1223" s="418"/>
      <c r="M1223" s="418"/>
      <c r="N1223" s="421"/>
      <c r="O1223" s="421"/>
      <c r="P1223" s="421"/>
      <c r="Q1223" s="418"/>
      <c r="R1223" s="418"/>
      <c r="S1223" s="418"/>
      <c r="T1223" s="418"/>
      <c r="U1223" s="418"/>
      <c r="V1223" s="418"/>
      <c r="W1223" s="418"/>
      <c r="X1223" s="418"/>
      <c r="Y1223" s="418"/>
      <c r="Z1223" s="418"/>
      <c r="AA1223" s="418"/>
      <c r="AB1223" s="418"/>
      <c r="AC1223" s="418"/>
      <c r="AD1223" s="418"/>
      <c r="AE1223" s="418"/>
      <c r="AF1223" s="418"/>
      <c r="AG1223" s="418"/>
      <c r="AH1223" s="418"/>
      <c r="AI1223" s="418"/>
      <c r="AJ1223" s="418"/>
      <c r="AK1223" s="418"/>
      <c r="AL1223" s="418"/>
      <c r="AM1223" s="418"/>
      <c r="AN1223" s="423"/>
      <c r="AO1223" s="423"/>
      <c r="AP1223" s="423"/>
      <c r="AQ1223" s="423"/>
      <c r="AR1223" s="423"/>
      <c r="AS1223" s="423"/>
      <c r="AT1223" s="423"/>
      <c r="AU1223" s="423"/>
      <c r="AV1223" s="423"/>
      <c r="AW1223" s="418"/>
      <c r="AX1223" s="418"/>
      <c r="AY1223" s="418"/>
      <c r="BF1223" s="1119"/>
      <c r="BG1223" s="1119"/>
      <c r="BH1223" s="1119"/>
    </row>
    <row r="1224" spans="1:60" ht="15.75" customHeight="1">
      <c r="A1224" s="415"/>
      <c r="B1224" s="416"/>
      <c r="C1224" s="424"/>
      <c r="E1224" s="418"/>
      <c r="F1224" s="419"/>
      <c r="G1224" s="420"/>
      <c r="H1224" s="421"/>
      <c r="I1224" s="421"/>
      <c r="J1224" s="492"/>
      <c r="K1224" s="418"/>
      <c r="L1224" s="418"/>
      <c r="M1224" s="418"/>
      <c r="N1224" s="421"/>
      <c r="O1224" s="421"/>
      <c r="P1224" s="421"/>
      <c r="Q1224" s="418"/>
      <c r="R1224" s="418"/>
      <c r="S1224" s="418"/>
      <c r="T1224" s="418"/>
      <c r="U1224" s="418"/>
      <c r="V1224" s="418"/>
      <c r="W1224" s="418"/>
      <c r="X1224" s="418"/>
      <c r="Y1224" s="418"/>
      <c r="Z1224" s="418"/>
      <c r="AA1224" s="418"/>
      <c r="AB1224" s="418"/>
      <c r="AC1224" s="418"/>
      <c r="AD1224" s="418"/>
      <c r="AE1224" s="418"/>
      <c r="AF1224" s="418"/>
      <c r="AG1224" s="418"/>
      <c r="AH1224" s="418"/>
      <c r="AI1224" s="418"/>
      <c r="AJ1224" s="418"/>
      <c r="AK1224" s="418"/>
      <c r="AL1224" s="418"/>
      <c r="AM1224" s="418"/>
      <c r="AN1224" s="423"/>
      <c r="AO1224" s="423"/>
      <c r="AP1224" s="423"/>
      <c r="AQ1224" s="423"/>
      <c r="AR1224" s="423"/>
      <c r="AS1224" s="423"/>
      <c r="AT1224" s="423"/>
      <c r="AU1224" s="423"/>
      <c r="AV1224" s="423"/>
      <c r="AW1224" s="418"/>
      <c r="AX1224" s="418"/>
      <c r="AY1224" s="418"/>
      <c r="BF1224" s="1119"/>
      <c r="BG1224" s="1119"/>
      <c r="BH1224" s="1119"/>
    </row>
    <row r="1225" spans="1:60" ht="15.75" customHeight="1">
      <c r="A1225" s="415"/>
      <c r="B1225" s="416"/>
      <c r="C1225" s="424"/>
      <c r="E1225" s="418"/>
      <c r="F1225" s="419"/>
      <c r="G1225" s="420"/>
      <c r="H1225" s="421"/>
      <c r="I1225" s="421"/>
      <c r="J1225" s="492"/>
      <c r="K1225" s="418"/>
      <c r="L1225" s="418"/>
      <c r="M1225" s="418"/>
      <c r="N1225" s="421"/>
      <c r="O1225" s="421"/>
      <c r="P1225" s="421"/>
      <c r="Q1225" s="418"/>
      <c r="R1225" s="418"/>
      <c r="S1225" s="418"/>
      <c r="T1225" s="418"/>
      <c r="U1225" s="418"/>
      <c r="V1225" s="418"/>
      <c r="W1225" s="418"/>
      <c r="X1225" s="418"/>
      <c r="Y1225" s="418"/>
      <c r="Z1225" s="418"/>
      <c r="AA1225" s="418"/>
      <c r="AB1225" s="418"/>
      <c r="AC1225" s="418"/>
      <c r="AD1225" s="418"/>
      <c r="AE1225" s="418"/>
      <c r="AF1225" s="418"/>
      <c r="AG1225" s="418"/>
      <c r="AH1225" s="418"/>
      <c r="AI1225" s="418"/>
      <c r="AJ1225" s="418"/>
      <c r="AK1225" s="418"/>
      <c r="AL1225" s="418"/>
      <c r="AM1225" s="418"/>
      <c r="AN1225" s="423"/>
      <c r="AO1225" s="423"/>
      <c r="AP1225" s="423"/>
      <c r="AQ1225" s="423"/>
      <c r="AR1225" s="423"/>
      <c r="AS1225" s="423"/>
      <c r="AT1225" s="423"/>
      <c r="AU1225" s="423"/>
      <c r="AV1225" s="423"/>
      <c r="AW1225" s="418"/>
      <c r="AX1225" s="418"/>
      <c r="AY1225" s="418"/>
      <c r="BF1225" s="1119"/>
      <c r="BG1225" s="1119"/>
      <c r="BH1225" s="1119"/>
    </row>
    <row r="1226" spans="1:60" ht="15.75" customHeight="1">
      <c r="A1226" s="415"/>
      <c r="B1226" s="416"/>
      <c r="C1226" s="424"/>
      <c r="E1226" s="418"/>
      <c r="F1226" s="419"/>
      <c r="G1226" s="420"/>
      <c r="H1226" s="421"/>
      <c r="I1226" s="421"/>
      <c r="J1226" s="492"/>
      <c r="K1226" s="418"/>
      <c r="L1226" s="418"/>
      <c r="M1226" s="418"/>
      <c r="N1226" s="421"/>
      <c r="O1226" s="421"/>
      <c r="P1226" s="421"/>
      <c r="Q1226" s="418"/>
      <c r="R1226" s="418"/>
      <c r="S1226" s="418"/>
      <c r="T1226" s="418"/>
      <c r="U1226" s="418"/>
      <c r="V1226" s="418"/>
      <c r="W1226" s="418"/>
      <c r="X1226" s="418"/>
      <c r="Y1226" s="418"/>
      <c r="Z1226" s="418"/>
      <c r="AA1226" s="418"/>
      <c r="AB1226" s="418"/>
      <c r="AC1226" s="418"/>
      <c r="AD1226" s="418"/>
      <c r="AE1226" s="418"/>
      <c r="AF1226" s="418"/>
      <c r="AG1226" s="418"/>
      <c r="AH1226" s="418"/>
      <c r="AI1226" s="418"/>
      <c r="AJ1226" s="418"/>
      <c r="AK1226" s="418"/>
      <c r="AL1226" s="418"/>
      <c r="AM1226" s="418"/>
      <c r="AN1226" s="423"/>
      <c r="AO1226" s="423"/>
      <c r="AP1226" s="423"/>
      <c r="AQ1226" s="423"/>
      <c r="AR1226" s="423"/>
      <c r="AS1226" s="423"/>
      <c r="AT1226" s="423"/>
      <c r="AU1226" s="423"/>
      <c r="AV1226" s="423"/>
      <c r="AW1226" s="418"/>
      <c r="AX1226" s="418"/>
      <c r="AY1226" s="418"/>
      <c r="BF1226" s="1119"/>
      <c r="BG1226" s="1119"/>
      <c r="BH1226" s="1119"/>
    </row>
    <row r="1227" spans="1:60" ht="15.75" customHeight="1">
      <c r="A1227" s="415"/>
      <c r="B1227" s="416"/>
      <c r="C1227" s="424"/>
      <c r="E1227" s="418"/>
      <c r="F1227" s="419"/>
      <c r="G1227" s="420"/>
      <c r="H1227" s="421"/>
      <c r="I1227" s="421"/>
      <c r="J1227" s="492"/>
      <c r="K1227" s="418"/>
      <c r="L1227" s="418"/>
      <c r="M1227" s="418"/>
      <c r="N1227" s="421"/>
      <c r="O1227" s="421"/>
      <c r="P1227" s="421"/>
      <c r="Q1227" s="418"/>
      <c r="R1227" s="418"/>
      <c r="S1227" s="418"/>
      <c r="T1227" s="418"/>
      <c r="U1227" s="418"/>
      <c r="V1227" s="418"/>
      <c r="W1227" s="418"/>
      <c r="X1227" s="418"/>
      <c r="Y1227" s="418"/>
      <c r="Z1227" s="418"/>
      <c r="AA1227" s="418"/>
      <c r="AB1227" s="418"/>
      <c r="AC1227" s="418"/>
      <c r="AD1227" s="418"/>
      <c r="AE1227" s="418"/>
      <c r="AF1227" s="418"/>
      <c r="AG1227" s="418"/>
      <c r="AH1227" s="418"/>
      <c r="AI1227" s="418"/>
      <c r="AJ1227" s="418"/>
      <c r="AK1227" s="418"/>
      <c r="AL1227" s="418"/>
      <c r="AM1227" s="418"/>
      <c r="AN1227" s="423"/>
      <c r="AO1227" s="423"/>
      <c r="AP1227" s="423"/>
      <c r="AQ1227" s="423"/>
      <c r="AR1227" s="423"/>
      <c r="AS1227" s="423"/>
      <c r="AT1227" s="423"/>
      <c r="AU1227" s="423"/>
      <c r="AV1227" s="423"/>
      <c r="AW1227" s="418"/>
      <c r="AX1227" s="418"/>
      <c r="AY1227" s="418"/>
      <c r="BF1227" s="1119"/>
      <c r="BG1227" s="1119"/>
      <c r="BH1227" s="1119"/>
    </row>
    <row r="1228" spans="1:60" ht="15.75" customHeight="1">
      <c r="A1228" s="415"/>
      <c r="B1228" s="416"/>
      <c r="C1228" s="424"/>
      <c r="E1228" s="418"/>
      <c r="F1228" s="419"/>
      <c r="G1228" s="420"/>
      <c r="H1228" s="421"/>
      <c r="I1228" s="421"/>
      <c r="J1228" s="492"/>
      <c r="K1228" s="418"/>
      <c r="L1228" s="418"/>
      <c r="M1228" s="418"/>
      <c r="N1228" s="421"/>
      <c r="O1228" s="421"/>
      <c r="P1228" s="421"/>
      <c r="Q1228" s="418"/>
      <c r="R1228" s="418"/>
      <c r="S1228" s="418"/>
      <c r="T1228" s="418"/>
      <c r="U1228" s="418"/>
      <c r="V1228" s="418"/>
      <c r="W1228" s="418"/>
      <c r="X1228" s="418"/>
      <c r="Y1228" s="418"/>
      <c r="Z1228" s="418"/>
      <c r="AA1228" s="418"/>
      <c r="AB1228" s="418"/>
      <c r="AC1228" s="418"/>
      <c r="AD1228" s="418"/>
      <c r="AE1228" s="418"/>
      <c r="AF1228" s="418"/>
      <c r="AG1228" s="418"/>
      <c r="AH1228" s="418"/>
      <c r="AI1228" s="418"/>
      <c r="AJ1228" s="418"/>
      <c r="AK1228" s="418"/>
      <c r="AL1228" s="418"/>
      <c r="AM1228" s="418"/>
      <c r="AN1228" s="423"/>
      <c r="AO1228" s="423"/>
      <c r="AP1228" s="423"/>
      <c r="AQ1228" s="423"/>
      <c r="AR1228" s="423"/>
      <c r="AS1228" s="423"/>
      <c r="AT1228" s="423"/>
      <c r="AU1228" s="423"/>
      <c r="AV1228" s="423"/>
      <c r="AW1228" s="418"/>
      <c r="AX1228" s="418"/>
      <c r="AY1228" s="418"/>
      <c r="BF1228" s="1119"/>
      <c r="BG1228" s="1119"/>
      <c r="BH1228" s="1119"/>
    </row>
    <row r="1229" spans="1:60" ht="15.75" customHeight="1">
      <c r="A1229" s="415"/>
      <c r="B1229" s="416"/>
      <c r="C1229" s="424"/>
      <c r="E1229" s="418"/>
      <c r="F1229" s="419"/>
      <c r="G1229" s="420"/>
      <c r="H1229" s="421"/>
      <c r="I1229" s="421"/>
      <c r="J1229" s="492"/>
      <c r="K1229" s="418"/>
      <c r="L1229" s="418"/>
      <c r="M1229" s="418"/>
      <c r="N1229" s="421"/>
      <c r="O1229" s="421"/>
      <c r="P1229" s="421"/>
      <c r="Q1229" s="418"/>
      <c r="R1229" s="418"/>
      <c r="S1229" s="418"/>
      <c r="T1229" s="418"/>
      <c r="U1229" s="418"/>
      <c r="V1229" s="418"/>
      <c r="W1229" s="418"/>
      <c r="X1229" s="418"/>
      <c r="Y1229" s="418"/>
      <c r="Z1229" s="418"/>
      <c r="AA1229" s="418"/>
      <c r="AB1229" s="418"/>
      <c r="AC1229" s="418"/>
      <c r="AD1229" s="418"/>
      <c r="AE1229" s="418"/>
      <c r="AF1229" s="418"/>
      <c r="AG1229" s="418"/>
      <c r="AH1229" s="418"/>
      <c r="AI1229" s="418"/>
      <c r="AJ1229" s="418"/>
      <c r="AK1229" s="418"/>
      <c r="AL1229" s="418"/>
      <c r="AM1229" s="418"/>
      <c r="AN1229" s="423"/>
      <c r="AO1229" s="423"/>
      <c r="AP1229" s="423"/>
      <c r="AQ1229" s="423"/>
      <c r="AR1229" s="423"/>
      <c r="AS1229" s="423"/>
      <c r="AT1229" s="423"/>
      <c r="AU1229" s="423"/>
      <c r="AV1229" s="423"/>
      <c r="AW1229" s="418"/>
      <c r="AX1229" s="418"/>
      <c r="AY1229" s="418"/>
      <c r="BF1229" s="1119"/>
      <c r="BG1229" s="1119"/>
      <c r="BH1229" s="1119"/>
    </row>
    <row r="1230" spans="1:60" ht="15.75" customHeight="1">
      <c r="A1230" s="415"/>
      <c r="B1230" s="416"/>
      <c r="C1230" s="424"/>
      <c r="E1230" s="418"/>
      <c r="F1230" s="419"/>
      <c r="G1230" s="420"/>
      <c r="H1230" s="421"/>
      <c r="I1230" s="421"/>
      <c r="J1230" s="492"/>
      <c r="K1230" s="418"/>
      <c r="L1230" s="418"/>
      <c r="M1230" s="418"/>
      <c r="N1230" s="421"/>
      <c r="O1230" s="421"/>
      <c r="P1230" s="421"/>
      <c r="Q1230" s="418"/>
      <c r="R1230" s="418"/>
      <c r="S1230" s="418"/>
      <c r="T1230" s="418"/>
      <c r="U1230" s="418"/>
      <c r="V1230" s="418"/>
      <c r="W1230" s="418"/>
      <c r="X1230" s="418"/>
      <c r="Y1230" s="418"/>
      <c r="Z1230" s="418"/>
      <c r="AA1230" s="418"/>
      <c r="AB1230" s="418"/>
      <c r="AC1230" s="418"/>
      <c r="AD1230" s="418"/>
      <c r="AE1230" s="418"/>
      <c r="AF1230" s="418"/>
      <c r="AG1230" s="418"/>
      <c r="AH1230" s="418"/>
      <c r="AI1230" s="418"/>
      <c r="AJ1230" s="418"/>
      <c r="AK1230" s="418"/>
      <c r="AL1230" s="418"/>
      <c r="AM1230" s="418"/>
      <c r="AN1230" s="423"/>
      <c r="AO1230" s="423"/>
      <c r="AP1230" s="423"/>
      <c r="AQ1230" s="423"/>
      <c r="AR1230" s="423"/>
      <c r="AS1230" s="423"/>
      <c r="AT1230" s="423"/>
      <c r="AU1230" s="423"/>
      <c r="AV1230" s="423"/>
      <c r="AW1230" s="418"/>
      <c r="AX1230" s="418"/>
      <c r="AY1230" s="418"/>
      <c r="BF1230" s="1119"/>
      <c r="BG1230" s="1119"/>
      <c r="BH1230" s="1119"/>
    </row>
    <row r="1231" spans="1:60" ht="15.75" customHeight="1">
      <c r="A1231" s="415"/>
      <c r="B1231" s="416"/>
      <c r="C1231" s="424"/>
      <c r="E1231" s="418"/>
      <c r="F1231" s="419"/>
      <c r="G1231" s="420"/>
      <c r="H1231" s="421"/>
      <c r="I1231" s="425"/>
      <c r="J1231" s="492"/>
      <c r="K1231" s="418"/>
      <c r="L1231" s="418"/>
      <c r="M1231" s="418"/>
      <c r="N1231" s="421"/>
      <c r="O1231" s="421"/>
      <c r="P1231" s="421"/>
      <c r="Q1231" s="418"/>
      <c r="R1231" s="418"/>
      <c r="S1231" s="418"/>
      <c r="T1231" s="418"/>
      <c r="U1231" s="418"/>
      <c r="V1231" s="418"/>
      <c r="W1231" s="418"/>
      <c r="X1231" s="418"/>
      <c r="Y1231" s="418"/>
      <c r="Z1231" s="418"/>
      <c r="AA1231" s="418"/>
      <c r="AB1231" s="418"/>
      <c r="AC1231" s="418"/>
      <c r="AD1231" s="418"/>
      <c r="AE1231" s="418"/>
      <c r="AF1231" s="418"/>
      <c r="AG1231" s="418"/>
      <c r="AH1231" s="418"/>
      <c r="AI1231" s="418"/>
      <c r="AJ1231" s="418"/>
      <c r="AK1231" s="418"/>
      <c r="AL1231" s="418"/>
      <c r="AM1231" s="418"/>
      <c r="AN1231" s="423"/>
      <c r="AO1231" s="423"/>
      <c r="AP1231" s="423"/>
      <c r="AQ1231" s="423"/>
      <c r="AR1231" s="423"/>
      <c r="AS1231" s="423"/>
      <c r="AT1231" s="423"/>
      <c r="AU1231" s="423"/>
      <c r="AV1231" s="423"/>
      <c r="AW1231" s="418"/>
      <c r="AX1231" s="418"/>
      <c r="AY1231" s="418"/>
      <c r="BF1231" s="1119"/>
      <c r="BG1231" s="1119"/>
      <c r="BH1231" s="1119"/>
    </row>
    <row r="1232" spans="1:60" ht="15.75" customHeight="1">
      <c r="A1232" s="415"/>
      <c r="B1232" s="416"/>
      <c r="C1232" s="424"/>
      <c r="E1232" s="418"/>
      <c r="F1232" s="419"/>
      <c r="G1232" s="420"/>
      <c r="H1232" s="421"/>
      <c r="I1232" s="421"/>
      <c r="J1232" s="492"/>
      <c r="K1232" s="418"/>
      <c r="L1232" s="418"/>
      <c r="M1232" s="418"/>
      <c r="N1232" s="421"/>
      <c r="O1232" s="421"/>
      <c r="P1232" s="421"/>
      <c r="Q1232" s="418"/>
      <c r="R1232" s="418"/>
      <c r="S1232" s="418"/>
      <c r="T1232" s="418"/>
      <c r="U1232" s="418"/>
      <c r="V1232" s="418"/>
      <c r="W1232" s="418"/>
      <c r="X1232" s="418"/>
      <c r="Y1232" s="418"/>
      <c r="Z1232" s="418"/>
      <c r="AA1232" s="418"/>
      <c r="AB1232" s="418"/>
      <c r="AC1232" s="418"/>
      <c r="AD1232" s="418"/>
      <c r="AE1232" s="418"/>
      <c r="AF1232" s="418"/>
      <c r="AG1232" s="418"/>
      <c r="AH1232" s="418"/>
      <c r="AI1232" s="418"/>
      <c r="AJ1232" s="418"/>
      <c r="AK1232" s="418"/>
      <c r="AL1232" s="418"/>
      <c r="AM1232" s="418"/>
      <c r="AN1232" s="423"/>
      <c r="AO1232" s="423"/>
      <c r="AP1232" s="423"/>
      <c r="AQ1232" s="423"/>
      <c r="AR1232" s="423"/>
      <c r="AS1232" s="423"/>
      <c r="AT1232" s="423"/>
      <c r="AU1232" s="423"/>
      <c r="AV1232" s="423"/>
      <c r="AW1232" s="418"/>
      <c r="AX1232" s="418"/>
      <c r="AY1232" s="418"/>
      <c r="BF1232" s="1119"/>
      <c r="BG1232" s="1119"/>
      <c r="BH1232" s="1119"/>
    </row>
    <row r="1233" spans="1:60" ht="15.75" customHeight="1">
      <c r="A1233" s="415"/>
      <c r="B1233" s="416"/>
      <c r="C1233" s="424"/>
      <c r="E1233" s="418"/>
      <c r="F1233" s="419"/>
      <c r="G1233" s="420"/>
      <c r="H1233" s="421"/>
      <c r="I1233" s="425"/>
      <c r="J1233" s="492"/>
      <c r="K1233" s="418"/>
      <c r="L1233" s="418"/>
      <c r="M1233" s="418"/>
      <c r="N1233" s="421"/>
      <c r="O1233" s="421"/>
      <c r="P1233" s="421"/>
      <c r="Q1233" s="418"/>
      <c r="R1233" s="418"/>
      <c r="S1233" s="418"/>
      <c r="T1233" s="418"/>
      <c r="U1233" s="418"/>
      <c r="V1233" s="418"/>
      <c r="W1233" s="418"/>
      <c r="X1233" s="418"/>
      <c r="Y1233" s="418"/>
      <c r="Z1233" s="418"/>
      <c r="AA1233" s="418"/>
      <c r="AB1233" s="418"/>
      <c r="AC1233" s="418"/>
      <c r="AD1233" s="418"/>
      <c r="AE1233" s="418"/>
      <c r="AF1233" s="418"/>
      <c r="AG1233" s="418"/>
      <c r="AH1233" s="418"/>
      <c r="AI1233" s="418"/>
      <c r="AJ1233" s="418"/>
      <c r="AK1233" s="418"/>
      <c r="AL1233" s="418"/>
      <c r="AM1233" s="418"/>
      <c r="AN1233" s="423"/>
      <c r="AO1233" s="423"/>
      <c r="AP1233" s="423"/>
      <c r="AQ1233" s="423"/>
      <c r="AR1233" s="423"/>
      <c r="AS1233" s="423"/>
      <c r="AT1233" s="423"/>
      <c r="AU1233" s="423"/>
      <c r="AV1233" s="423"/>
      <c r="AW1233" s="418"/>
      <c r="AX1233" s="418"/>
      <c r="AY1233" s="418"/>
      <c r="BF1233" s="1119"/>
      <c r="BG1233" s="1119"/>
      <c r="BH1233" s="1119"/>
    </row>
    <row r="1234" spans="1:60" ht="15.75" customHeight="1">
      <c r="A1234" s="415"/>
      <c r="B1234" s="416"/>
      <c r="C1234" s="424"/>
      <c r="E1234" s="418"/>
      <c r="F1234" s="419"/>
      <c r="G1234" s="420"/>
      <c r="H1234" s="421"/>
      <c r="I1234" s="421"/>
      <c r="J1234" s="492"/>
      <c r="K1234" s="418"/>
      <c r="L1234" s="418"/>
      <c r="M1234" s="418"/>
      <c r="N1234" s="421"/>
      <c r="O1234" s="421"/>
      <c r="P1234" s="421"/>
      <c r="Q1234" s="418"/>
      <c r="R1234" s="418"/>
      <c r="S1234" s="418"/>
      <c r="T1234" s="418"/>
      <c r="U1234" s="418"/>
      <c r="V1234" s="418"/>
      <c r="W1234" s="418"/>
      <c r="X1234" s="418"/>
      <c r="Y1234" s="418"/>
      <c r="Z1234" s="418"/>
      <c r="AA1234" s="418"/>
      <c r="AB1234" s="418"/>
      <c r="AC1234" s="418"/>
      <c r="AD1234" s="418"/>
      <c r="AE1234" s="418"/>
      <c r="AF1234" s="418"/>
      <c r="AG1234" s="418"/>
      <c r="AH1234" s="418"/>
      <c r="AI1234" s="418"/>
      <c r="AJ1234" s="418"/>
      <c r="AK1234" s="418"/>
      <c r="AL1234" s="418"/>
      <c r="AM1234" s="418"/>
      <c r="AN1234" s="423"/>
      <c r="AO1234" s="423"/>
      <c r="AP1234" s="423"/>
      <c r="AQ1234" s="423"/>
      <c r="AR1234" s="423"/>
      <c r="AS1234" s="423"/>
      <c r="AT1234" s="423"/>
      <c r="AU1234" s="423"/>
      <c r="AV1234" s="423"/>
      <c r="AW1234" s="418"/>
      <c r="AX1234" s="418"/>
      <c r="AY1234" s="418"/>
      <c r="BF1234" s="1119"/>
      <c r="BG1234" s="1119"/>
      <c r="BH1234" s="1119"/>
    </row>
    <row r="1235" spans="1:60" ht="15.75" customHeight="1">
      <c r="A1235" s="415"/>
      <c r="B1235" s="416"/>
      <c r="C1235" s="424"/>
      <c r="E1235" s="418"/>
      <c r="F1235" s="419"/>
      <c r="G1235" s="420"/>
      <c r="H1235" s="421"/>
      <c r="I1235" s="421"/>
      <c r="J1235" s="492"/>
      <c r="K1235" s="418"/>
      <c r="L1235" s="418"/>
      <c r="M1235" s="418"/>
      <c r="N1235" s="421"/>
      <c r="O1235" s="421"/>
      <c r="P1235" s="421"/>
      <c r="Q1235" s="418"/>
      <c r="R1235" s="418"/>
      <c r="S1235" s="418"/>
      <c r="T1235" s="418"/>
      <c r="U1235" s="418"/>
      <c r="V1235" s="418"/>
      <c r="W1235" s="418"/>
      <c r="X1235" s="418"/>
      <c r="Y1235" s="418"/>
      <c r="Z1235" s="418"/>
      <c r="AA1235" s="418"/>
      <c r="AB1235" s="418"/>
      <c r="AC1235" s="418"/>
      <c r="AD1235" s="418"/>
      <c r="AE1235" s="418"/>
      <c r="AF1235" s="418"/>
      <c r="AG1235" s="418"/>
      <c r="AH1235" s="418"/>
      <c r="AI1235" s="418"/>
      <c r="AJ1235" s="418"/>
      <c r="AK1235" s="418"/>
      <c r="AL1235" s="418"/>
      <c r="AM1235" s="418"/>
      <c r="AN1235" s="423"/>
      <c r="AO1235" s="423"/>
      <c r="AP1235" s="423"/>
      <c r="AQ1235" s="423"/>
      <c r="AR1235" s="423"/>
      <c r="AS1235" s="423"/>
      <c r="AT1235" s="423"/>
      <c r="AU1235" s="423"/>
      <c r="AV1235" s="423"/>
      <c r="AW1235" s="418"/>
      <c r="AX1235" s="418"/>
      <c r="AY1235" s="418"/>
      <c r="BF1235" s="1119"/>
      <c r="BG1235" s="1119"/>
      <c r="BH1235" s="1119"/>
    </row>
    <row r="1236" spans="1:60" ht="15.75" customHeight="1">
      <c r="A1236" s="415"/>
      <c r="B1236" s="416"/>
      <c r="C1236" s="424"/>
      <c r="E1236" s="418"/>
      <c r="F1236" s="419"/>
      <c r="G1236" s="420"/>
      <c r="H1236" s="421"/>
      <c r="I1236" s="425"/>
      <c r="J1236" s="492"/>
      <c r="K1236" s="418"/>
      <c r="L1236" s="418"/>
      <c r="M1236" s="418"/>
      <c r="N1236" s="421"/>
      <c r="O1236" s="421"/>
      <c r="P1236" s="421"/>
      <c r="Q1236" s="418"/>
      <c r="R1236" s="418"/>
      <c r="S1236" s="418"/>
      <c r="T1236" s="418"/>
      <c r="U1236" s="418"/>
      <c r="V1236" s="418"/>
      <c r="W1236" s="418"/>
      <c r="X1236" s="418"/>
      <c r="Y1236" s="418"/>
      <c r="Z1236" s="418"/>
      <c r="AA1236" s="418"/>
      <c r="AB1236" s="418"/>
      <c r="AC1236" s="418"/>
      <c r="AD1236" s="418"/>
      <c r="AE1236" s="418"/>
      <c r="AF1236" s="418"/>
      <c r="AG1236" s="418"/>
      <c r="AH1236" s="418"/>
      <c r="AI1236" s="418"/>
      <c r="AJ1236" s="418"/>
      <c r="AK1236" s="418"/>
      <c r="AL1236" s="418"/>
      <c r="AM1236" s="418"/>
      <c r="AN1236" s="423"/>
      <c r="AO1236" s="423"/>
      <c r="AP1236" s="423"/>
      <c r="AQ1236" s="423"/>
      <c r="AR1236" s="423"/>
      <c r="AS1236" s="423"/>
      <c r="AT1236" s="423"/>
      <c r="AU1236" s="423"/>
      <c r="AV1236" s="423"/>
      <c r="AW1236" s="418"/>
      <c r="AX1236" s="418"/>
      <c r="AY1236" s="418"/>
      <c r="BF1236" s="1119"/>
      <c r="BG1236" s="1119"/>
      <c r="BH1236" s="1119"/>
    </row>
    <row r="1237" spans="1:60" ht="15.75" customHeight="1">
      <c r="A1237" s="415"/>
      <c r="B1237" s="416"/>
      <c r="C1237" s="424"/>
      <c r="E1237" s="418"/>
      <c r="F1237" s="419"/>
      <c r="G1237" s="420"/>
      <c r="H1237" s="421"/>
      <c r="I1237" s="421"/>
      <c r="J1237" s="492"/>
      <c r="K1237" s="418"/>
      <c r="L1237" s="418"/>
      <c r="M1237" s="418"/>
      <c r="N1237" s="421"/>
      <c r="O1237" s="421"/>
      <c r="P1237" s="421"/>
      <c r="Q1237" s="418"/>
      <c r="R1237" s="418"/>
      <c r="S1237" s="418"/>
      <c r="T1237" s="418"/>
      <c r="U1237" s="418"/>
      <c r="V1237" s="418"/>
      <c r="W1237" s="418"/>
      <c r="X1237" s="418"/>
      <c r="Y1237" s="418"/>
      <c r="Z1237" s="418"/>
      <c r="AA1237" s="418"/>
      <c r="AB1237" s="418"/>
      <c r="AC1237" s="418"/>
      <c r="AD1237" s="418"/>
      <c r="AE1237" s="418"/>
      <c r="AF1237" s="418"/>
      <c r="AG1237" s="418"/>
      <c r="AH1237" s="418"/>
      <c r="AI1237" s="418"/>
      <c r="AJ1237" s="418"/>
      <c r="AK1237" s="418"/>
      <c r="AL1237" s="418"/>
      <c r="AM1237" s="418"/>
      <c r="AN1237" s="423"/>
      <c r="AO1237" s="423"/>
      <c r="AP1237" s="423"/>
      <c r="AQ1237" s="423"/>
      <c r="AR1237" s="423"/>
      <c r="AS1237" s="423"/>
      <c r="AT1237" s="423"/>
      <c r="AU1237" s="423"/>
      <c r="AV1237" s="423"/>
      <c r="AW1237" s="418"/>
      <c r="AX1237" s="418"/>
      <c r="AY1237" s="418"/>
      <c r="BF1237" s="1119"/>
      <c r="BG1237" s="1119"/>
      <c r="BH1237" s="1119"/>
    </row>
    <row r="1238" spans="1:60" ht="15.75" customHeight="1">
      <c r="A1238" s="415"/>
      <c r="B1238" s="416"/>
      <c r="C1238" s="424"/>
      <c r="E1238" s="418"/>
      <c r="F1238" s="419"/>
      <c r="G1238" s="420"/>
      <c r="H1238" s="421"/>
      <c r="I1238" s="425"/>
      <c r="J1238" s="492"/>
      <c r="K1238" s="418"/>
      <c r="L1238" s="418"/>
      <c r="M1238" s="418"/>
      <c r="N1238" s="421"/>
      <c r="O1238" s="421"/>
      <c r="P1238" s="421"/>
      <c r="Q1238" s="418"/>
      <c r="R1238" s="418"/>
      <c r="S1238" s="418"/>
      <c r="T1238" s="418"/>
      <c r="U1238" s="418"/>
      <c r="V1238" s="418"/>
      <c r="W1238" s="418"/>
      <c r="X1238" s="418"/>
      <c r="Y1238" s="418"/>
      <c r="Z1238" s="418"/>
      <c r="AA1238" s="418"/>
      <c r="AB1238" s="418"/>
      <c r="AC1238" s="418"/>
      <c r="AD1238" s="418"/>
      <c r="AE1238" s="418"/>
      <c r="AF1238" s="418"/>
      <c r="AG1238" s="418"/>
      <c r="AH1238" s="418"/>
      <c r="AI1238" s="418"/>
      <c r="AJ1238" s="418"/>
      <c r="AK1238" s="418"/>
      <c r="AL1238" s="418"/>
      <c r="AM1238" s="418"/>
      <c r="AN1238" s="423"/>
      <c r="AO1238" s="423"/>
      <c r="AP1238" s="423"/>
      <c r="AQ1238" s="423"/>
      <c r="AR1238" s="423"/>
      <c r="AS1238" s="423"/>
      <c r="AT1238" s="423"/>
      <c r="AU1238" s="423"/>
      <c r="AV1238" s="423"/>
      <c r="AW1238" s="418"/>
      <c r="AX1238" s="418"/>
      <c r="AY1238" s="418"/>
      <c r="BF1238" s="1119"/>
      <c r="BG1238" s="1119"/>
      <c r="BH1238" s="1119"/>
    </row>
    <row r="1239" spans="1:60" ht="15.75" customHeight="1">
      <c r="A1239" s="415"/>
      <c r="B1239" s="416"/>
      <c r="C1239" s="424"/>
      <c r="E1239" s="418"/>
      <c r="F1239" s="419"/>
      <c r="G1239" s="420"/>
      <c r="H1239" s="421"/>
      <c r="I1239" s="421"/>
      <c r="J1239" s="492"/>
      <c r="K1239" s="418"/>
      <c r="L1239" s="418"/>
      <c r="M1239" s="418"/>
      <c r="N1239" s="421"/>
      <c r="O1239" s="421"/>
      <c r="P1239" s="421"/>
      <c r="Q1239" s="418"/>
      <c r="R1239" s="418"/>
      <c r="S1239" s="418"/>
      <c r="T1239" s="418"/>
      <c r="U1239" s="418"/>
      <c r="V1239" s="418"/>
      <c r="W1239" s="418"/>
      <c r="X1239" s="418"/>
      <c r="Y1239" s="418"/>
      <c r="Z1239" s="418"/>
      <c r="AA1239" s="418"/>
      <c r="AB1239" s="418"/>
      <c r="AC1239" s="418"/>
      <c r="AD1239" s="418"/>
      <c r="AE1239" s="418"/>
      <c r="AF1239" s="418"/>
      <c r="AG1239" s="418"/>
      <c r="AH1239" s="418"/>
      <c r="AI1239" s="418"/>
      <c r="AJ1239" s="418"/>
      <c r="AK1239" s="418"/>
      <c r="AL1239" s="418"/>
      <c r="AM1239" s="418"/>
      <c r="AN1239" s="423"/>
      <c r="AO1239" s="423"/>
      <c r="AP1239" s="423"/>
      <c r="AQ1239" s="423"/>
      <c r="AR1239" s="423"/>
      <c r="AS1239" s="423"/>
      <c r="AT1239" s="423"/>
      <c r="AU1239" s="423"/>
      <c r="AV1239" s="423"/>
      <c r="AW1239" s="418"/>
      <c r="AX1239" s="418"/>
      <c r="AY1239" s="418"/>
      <c r="BF1239" s="1119"/>
      <c r="BG1239" s="1119"/>
      <c r="BH1239" s="1119"/>
    </row>
    <row r="1240" spans="1:60" ht="15.75" customHeight="1">
      <c r="A1240" s="415"/>
      <c r="B1240" s="416"/>
      <c r="C1240" s="424"/>
      <c r="E1240" s="418"/>
      <c r="F1240" s="419"/>
      <c r="G1240" s="420"/>
      <c r="H1240" s="421"/>
      <c r="I1240" s="425"/>
      <c r="J1240" s="492"/>
      <c r="K1240" s="418"/>
      <c r="L1240" s="418"/>
      <c r="M1240" s="418"/>
      <c r="N1240" s="421"/>
      <c r="O1240" s="421"/>
      <c r="P1240" s="421"/>
      <c r="Q1240" s="418"/>
      <c r="R1240" s="418"/>
      <c r="S1240" s="418"/>
      <c r="T1240" s="418"/>
      <c r="U1240" s="418"/>
      <c r="V1240" s="418"/>
      <c r="W1240" s="418"/>
      <c r="X1240" s="418"/>
      <c r="Y1240" s="418"/>
      <c r="Z1240" s="418"/>
      <c r="AA1240" s="418"/>
      <c r="AB1240" s="418"/>
      <c r="AC1240" s="418"/>
      <c r="AD1240" s="418"/>
      <c r="AE1240" s="418"/>
      <c r="AF1240" s="418"/>
      <c r="AG1240" s="418"/>
      <c r="AH1240" s="418"/>
      <c r="AI1240" s="418"/>
      <c r="AJ1240" s="418"/>
      <c r="AK1240" s="418"/>
      <c r="AL1240" s="418"/>
      <c r="AM1240" s="418"/>
      <c r="AN1240" s="423"/>
      <c r="AO1240" s="423"/>
      <c r="AP1240" s="423"/>
      <c r="AQ1240" s="423"/>
      <c r="AR1240" s="423"/>
      <c r="AS1240" s="423"/>
      <c r="AT1240" s="423"/>
      <c r="AU1240" s="423"/>
      <c r="AV1240" s="423"/>
      <c r="AW1240" s="418"/>
      <c r="AX1240" s="418"/>
      <c r="AY1240" s="418"/>
      <c r="BF1240" s="1119"/>
      <c r="BG1240" s="1119"/>
      <c r="BH1240" s="1119"/>
    </row>
    <row r="1241" spans="1:60" ht="15.75" customHeight="1">
      <c r="A1241" s="415"/>
      <c r="B1241" s="416"/>
      <c r="C1241" s="424"/>
      <c r="E1241" s="418"/>
      <c r="F1241" s="419"/>
      <c r="G1241" s="420"/>
      <c r="H1241" s="421"/>
      <c r="I1241" s="421"/>
      <c r="J1241" s="492"/>
      <c r="K1241" s="418"/>
      <c r="L1241" s="418"/>
      <c r="M1241" s="418"/>
      <c r="N1241" s="421"/>
      <c r="O1241" s="421"/>
      <c r="P1241" s="421"/>
      <c r="Q1241" s="418"/>
      <c r="R1241" s="418"/>
      <c r="S1241" s="418"/>
      <c r="T1241" s="418"/>
      <c r="U1241" s="418"/>
      <c r="V1241" s="418"/>
      <c r="W1241" s="418"/>
      <c r="X1241" s="418"/>
      <c r="Y1241" s="418"/>
      <c r="Z1241" s="418"/>
      <c r="AA1241" s="418"/>
      <c r="AB1241" s="418"/>
      <c r="AC1241" s="418"/>
      <c r="AD1241" s="418"/>
      <c r="AE1241" s="418"/>
      <c r="AF1241" s="418"/>
      <c r="AG1241" s="418"/>
      <c r="AH1241" s="418"/>
      <c r="AI1241" s="418"/>
      <c r="AJ1241" s="418"/>
      <c r="AK1241" s="418"/>
      <c r="AL1241" s="418"/>
      <c r="AM1241" s="418"/>
      <c r="AN1241" s="423"/>
      <c r="AO1241" s="423"/>
      <c r="AP1241" s="423"/>
      <c r="AQ1241" s="423"/>
      <c r="AR1241" s="423"/>
      <c r="AS1241" s="423"/>
      <c r="AT1241" s="423"/>
      <c r="AU1241" s="423"/>
      <c r="AV1241" s="423"/>
      <c r="AW1241" s="418"/>
      <c r="AX1241" s="418"/>
      <c r="AY1241" s="418"/>
      <c r="BF1241" s="1119"/>
      <c r="BG1241" s="1119"/>
      <c r="BH1241" s="1119"/>
    </row>
    <row r="1242" spans="1:60" ht="15.75" customHeight="1">
      <c r="A1242" s="415"/>
      <c r="B1242" s="416"/>
      <c r="C1242" s="424"/>
      <c r="E1242" s="418"/>
      <c r="F1242" s="419"/>
      <c r="G1242" s="420"/>
      <c r="H1242" s="421"/>
      <c r="I1242" s="421"/>
      <c r="J1242" s="492"/>
      <c r="K1242" s="418"/>
      <c r="L1242" s="418"/>
      <c r="M1242" s="418"/>
      <c r="N1242" s="421"/>
      <c r="O1242" s="421"/>
      <c r="P1242" s="421"/>
      <c r="Q1242" s="418"/>
      <c r="R1242" s="418"/>
      <c r="S1242" s="418"/>
      <c r="T1242" s="418"/>
      <c r="U1242" s="418"/>
      <c r="V1242" s="418"/>
      <c r="W1242" s="418"/>
      <c r="X1242" s="418"/>
      <c r="Y1242" s="418"/>
      <c r="Z1242" s="418"/>
      <c r="AA1242" s="418"/>
      <c r="AB1242" s="418"/>
      <c r="AC1242" s="418"/>
      <c r="AD1242" s="418"/>
      <c r="AE1242" s="418"/>
      <c r="AF1242" s="418"/>
      <c r="AG1242" s="418"/>
      <c r="AH1242" s="418"/>
      <c r="AI1242" s="418"/>
      <c r="AJ1242" s="418"/>
      <c r="AK1242" s="418"/>
      <c r="AL1242" s="418"/>
      <c r="AM1242" s="418"/>
      <c r="AN1242" s="423"/>
      <c r="AO1242" s="423"/>
      <c r="AP1242" s="423"/>
      <c r="AQ1242" s="423"/>
      <c r="AR1242" s="423"/>
      <c r="AS1242" s="423"/>
      <c r="AT1242" s="423"/>
      <c r="AU1242" s="423"/>
      <c r="AV1242" s="423"/>
      <c r="AW1242" s="418"/>
      <c r="AX1242" s="418"/>
      <c r="AY1242" s="418"/>
      <c r="BF1242" s="1119"/>
      <c r="BG1242" s="1119"/>
      <c r="BH1242" s="1119"/>
    </row>
    <row r="1243" spans="1:60" ht="15.75" customHeight="1">
      <c r="A1243" s="415"/>
      <c r="B1243" s="416"/>
      <c r="C1243" s="424"/>
      <c r="E1243" s="418"/>
      <c r="F1243" s="419"/>
      <c r="G1243" s="420"/>
      <c r="H1243" s="421"/>
      <c r="I1243" s="425"/>
      <c r="J1243" s="492"/>
      <c r="K1243" s="418"/>
      <c r="L1243" s="418"/>
      <c r="M1243" s="418"/>
      <c r="N1243" s="421"/>
      <c r="O1243" s="421"/>
      <c r="P1243" s="421"/>
      <c r="Q1243" s="418"/>
      <c r="R1243" s="418"/>
      <c r="S1243" s="418"/>
      <c r="T1243" s="418"/>
      <c r="U1243" s="418"/>
      <c r="V1243" s="418"/>
      <c r="W1243" s="418"/>
      <c r="X1243" s="418"/>
      <c r="Y1243" s="418"/>
      <c r="Z1243" s="418"/>
      <c r="AA1243" s="418"/>
      <c r="AB1243" s="418"/>
      <c r="AC1243" s="418"/>
      <c r="AD1243" s="418"/>
      <c r="AE1243" s="418"/>
      <c r="AF1243" s="418"/>
      <c r="AG1243" s="418"/>
      <c r="AH1243" s="418"/>
      <c r="AI1243" s="418"/>
      <c r="AJ1243" s="418"/>
      <c r="AK1243" s="418"/>
      <c r="AL1243" s="418"/>
      <c r="AM1243" s="418"/>
      <c r="AN1243" s="423"/>
      <c r="AO1243" s="423"/>
      <c r="AP1243" s="423"/>
      <c r="AQ1243" s="423"/>
      <c r="AR1243" s="423"/>
      <c r="AS1243" s="423"/>
      <c r="AT1243" s="423"/>
      <c r="AU1243" s="423"/>
      <c r="AV1243" s="423"/>
      <c r="AW1243" s="418"/>
      <c r="AX1243" s="418"/>
      <c r="AY1243" s="418"/>
      <c r="BF1243" s="1119"/>
      <c r="BG1243" s="1119"/>
      <c r="BH1243" s="1119"/>
    </row>
    <row r="1244" spans="1:60" ht="15.75" customHeight="1">
      <c r="A1244" s="415"/>
      <c r="B1244" s="416"/>
      <c r="C1244" s="424"/>
      <c r="E1244" s="418"/>
      <c r="F1244" s="419"/>
      <c r="G1244" s="420"/>
      <c r="H1244" s="421"/>
      <c r="I1244" s="421"/>
      <c r="J1244" s="492"/>
      <c r="K1244" s="418"/>
      <c r="L1244" s="418"/>
      <c r="M1244" s="418"/>
      <c r="N1244" s="421"/>
      <c r="O1244" s="421"/>
      <c r="P1244" s="421"/>
      <c r="Q1244" s="418"/>
      <c r="R1244" s="418"/>
      <c r="S1244" s="418"/>
      <c r="T1244" s="418"/>
      <c r="U1244" s="418"/>
      <c r="V1244" s="418"/>
      <c r="W1244" s="418"/>
      <c r="X1244" s="418"/>
      <c r="Y1244" s="418"/>
      <c r="Z1244" s="418"/>
      <c r="AA1244" s="418"/>
      <c r="AB1244" s="418"/>
      <c r="AC1244" s="418"/>
      <c r="AD1244" s="418"/>
      <c r="AE1244" s="418"/>
      <c r="AF1244" s="418"/>
      <c r="AG1244" s="418"/>
      <c r="AH1244" s="418"/>
      <c r="AI1244" s="418"/>
      <c r="AJ1244" s="418"/>
      <c r="AK1244" s="418"/>
      <c r="AL1244" s="418"/>
      <c r="AM1244" s="418"/>
      <c r="AN1244" s="423"/>
      <c r="AO1244" s="423"/>
      <c r="AP1244" s="423"/>
      <c r="AQ1244" s="423"/>
      <c r="AR1244" s="423"/>
      <c r="AS1244" s="423"/>
      <c r="AT1244" s="423"/>
      <c r="AU1244" s="423"/>
      <c r="AV1244" s="423"/>
      <c r="AW1244" s="418"/>
      <c r="AX1244" s="418"/>
      <c r="AY1244" s="418"/>
      <c r="BF1244" s="1119"/>
      <c r="BG1244" s="1119"/>
      <c r="BH1244" s="1119"/>
    </row>
    <row r="1245" spans="1:60" ht="15.75" customHeight="1">
      <c r="A1245" s="415"/>
      <c r="B1245" s="416"/>
      <c r="C1245" s="424"/>
      <c r="E1245" s="418"/>
      <c r="F1245" s="419"/>
      <c r="G1245" s="420"/>
      <c r="H1245" s="421"/>
      <c r="I1245" s="425"/>
      <c r="J1245" s="492"/>
      <c r="K1245" s="418"/>
      <c r="L1245" s="418"/>
      <c r="M1245" s="418"/>
      <c r="N1245" s="421"/>
      <c r="O1245" s="421"/>
      <c r="P1245" s="421"/>
      <c r="Q1245" s="418"/>
      <c r="R1245" s="418"/>
      <c r="S1245" s="418"/>
      <c r="T1245" s="418"/>
      <c r="U1245" s="418"/>
      <c r="V1245" s="418"/>
      <c r="W1245" s="418"/>
      <c r="X1245" s="418"/>
      <c r="Y1245" s="418"/>
      <c r="Z1245" s="418"/>
      <c r="AA1245" s="418"/>
      <c r="AB1245" s="418"/>
      <c r="AC1245" s="418"/>
      <c r="AD1245" s="418"/>
      <c r="AE1245" s="418"/>
      <c r="AF1245" s="418"/>
      <c r="AG1245" s="418"/>
      <c r="AH1245" s="418"/>
      <c r="AI1245" s="418"/>
      <c r="AJ1245" s="418"/>
      <c r="AK1245" s="418"/>
      <c r="AL1245" s="418"/>
      <c r="AM1245" s="418"/>
      <c r="AN1245" s="423"/>
      <c r="AO1245" s="423"/>
      <c r="AP1245" s="423"/>
      <c r="AQ1245" s="423"/>
      <c r="AR1245" s="423"/>
      <c r="AS1245" s="423"/>
      <c r="AT1245" s="423"/>
      <c r="AU1245" s="423"/>
      <c r="AV1245" s="423"/>
      <c r="AW1245" s="418"/>
      <c r="AX1245" s="418"/>
      <c r="AY1245" s="418"/>
      <c r="BF1245" s="1119"/>
      <c r="BG1245" s="1119"/>
      <c r="BH1245" s="1119"/>
    </row>
    <row r="1246" spans="1:60" ht="15.75" customHeight="1">
      <c r="A1246" s="415"/>
      <c r="B1246" s="416"/>
      <c r="C1246" s="424"/>
      <c r="E1246" s="418"/>
      <c r="F1246" s="419"/>
      <c r="G1246" s="420"/>
      <c r="H1246" s="421"/>
      <c r="I1246" s="421"/>
      <c r="J1246" s="492"/>
      <c r="K1246" s="418"/>
      <c r="L1246" s="418"/>
      <c r="M1246" s="418"/>
      <c r="N1246" s="421"/>
      <c r="O1246" s="421"/>
      <c r="P1246" s="421"/>
      <c r="Q1246" s="418"/>
      <c r="R1246" s="418"/>
      <c r="S1246" s="418"/>
      <c r="T1246" s="418"/>
      <c r="U1246" s="418"/>
      <c r="V1246" s="418"/>
      <c r="W1246" s="418"/>
      <c r="X1246" s="418"/>
      <c r="Y1246" s="418"/>
      <c r="Z1246" s="418"/>
      <c r="AA1246" s="418"/>
      <c r="AB1246" s="418"/>
      <c r="AC1246" s="418"/>
      <c r="AD1246" s="418"/>
      <c r="AE1246" s="418"/>
      <c r="AF1246" s="418"/>
      <c r="AG1246" s="418"/>
      <c r="AH1246" s="418"/>
      <c r="AI1246" s="418"/>
      <c r="AJ1246" s="418"/>
      <c r="AK1246" s="418"/>
      <c r="AL1246" s="418"/>
      <c r="AM1246" s="418"/>
      <c r="AN1246" s="423"/>
      <c r="AO1246" s="423"/>
      <c r="AP1246" s="423"/>
      <c r="AQ1246" s="423"/>
      <c r="AR1246" s="423"/>
      <c r="AS1246" s="423"/>
      <c r="AT1246" s="423"/>
      <c r="AU1246" s="423"/>
      <c r="AV1246" s="423"/>
      <c r="AW1246" s="418"/>
      <c r="AX1246" s="418"/>
      <c r="AY1246" s="418"/>
      <c r="BF1246" s="1119"/>
      <c r="BG1246" s="1119"/>
      <c r="BH1246" s="1119"/>
    </row>
    <row r="1247" spans="1:60" ht="15.75" customHeight="1">
      <c r="A1247" s="415"/>
      <c r="B1247" s="416"/>
      <c r="C1247" s="424"/>
      <c r="E1247" s="418"/>
      <c r="F1247" s="419"/>
      <c r="G1247" s="420"/>
      <c r="H1247" s="421"/>
      <c r="I1247" s="421"/>
      <c r="J1247" s="492"/>
      <c r="K1247" s="418"/>
      <c r="L1247" s="418"/>
      <c r="M1247" s="418"/>
      <c r="N1247" s="421"/>
      <c r="O1247" s="421"/>
      <c r="P1247" s="421"/>
      <c r="Q1247" s="418"/>
      <c r="R1247" s="418"/>
      <c r="S1247" s="418"/>
      <c r="T1247" s="418"/>
      <c r="U1247" s="418"/>
      <c r="V1247" s="418"/>
      <c r="W1247" s="418"/>
      <c r="X1247" s="418"/>
      <c r="Y1247" s="418"/>
      <c r="Z1247" s="418"/>
      <c r="AA1247" s="418"/>
      <c r="AB1247" s="418"/>
      <c r="AC1247" s="418"/>
      <c r="AD1247" s="418"/>
      <c r="AE1247" s="418"/>
      <c r="AF1247" s="418"/>
      <c r="AG1247" s="418"/>
      <c r="AH1247" s="418"/>
      <c r="AI1247" s="418"/>
      <c r="AJ1247" s="418"/>
      <c r="AK1247" s="418"/>
      <c r="AL1247" s="418"/>
      <c r="AM1247" s="418"/>
      <c r="AN1247" s="423"/>
      <c r="AO1247" s="423"/>
      <c r="AP1247" s="423"/>
      <c r="AQ1247" s="423"/>
      <c r="AR1247" s="423"/>
      <c r="AS1247" s="423"/>
      <c r="AT1247" s="423"/>
      <c r="AU1247" s="423"/>
      <c r="AV1247" s="423"/>
      <c r="AW1247" s="418"/>
      <c r="AX1247" s="418"/>
      <c r="AY1247" s="418"/>
      <c r="BF1247" s="1119"/>
      <c r="BG1247" s="1119"/>
      <c r="BH1247" s="1119"/>
    </row>
    <row r="1248" spans="1:60" ht="15.75" customHeight="1">
      <c r="A1248" s="415"/>
      <c r="B1248" s="416"/>
      <c r="C1248" s="424"/>
      <c r="E1248" s="418"/>
      <c r="F1248" s="419"/>
      <c r="G1248" s="420"/>
      <c r="H1248" s="421"/>
      <c r="I1248" s="421"/>
      <c r="J1248" s="492"/>
      <c r="K1248" s="418"/>
      <c r="L1248" s="418"/>
      <c r="M1248" s="418"/>
      <c r="N1248" s="421"/>
      <c r="O1248" s="421"/>
      <c r="P1248" s="421"/>
      <c r="Q1248" s="418"/>
      <c r="R1248" s="418"/>
      <c r="S1248" s="418"/>
      <c r="T1248" s="418"/>
      <c r="U1248" s="418"/>
      <c r="V1248" s="418"/>
      <c r="W1248" s="418"/>
      <c r="X1248" s="418"/>
      <c r="Y1248" s="418"/>
      <c r="Z1248" s="418"/>
      <c r="AA1248" s="418"/>
      <c r="AB1248" s="418"/>
      <c r="AC1248" s="418"/>
      <c r="AD1248" s="418"/>
      <c r="AE1248" s="418"/>
      <c r="AF1248" s="418"/>
      <c r="AG1248" s="418"/>
      <c r="AH1248" s="418"/>
      <c r="AI1248" s="418"/>
      <c r="AJ1248" s="418"/>
      <c r="AK1248" s="418"/>
      <c r="AL1248" s="418"/>
      <c r="AM1248" s="418"/>
      <c r="AN1248" s="423"/>
      <c r="AO1248" s="423"/>
      <c r="AP1248" s="423"/>
      <c r="AQ1248" s="423"/>
      <c r="AR1248" s="423"/>
      <c r="AS1248" s="423"/>
      <c r="AT1248" s="423"/>
      <c r="AU1248" s="423"/>
      <c r="AV1248" s="423"/>
      <c r="AW1248" s="418"/>
      <c r="AX1248" s="418"/>
      <c r="AY1248" s="418"/>
      <c r="BF1248" s="1119"/>
      <c r="BG1248" s="1119"/>
      <c r="BH1248" s="1119"/>
    </row>
    <row r="1249" spans="1:60" ht="15.75" customHeight="1">
      <c r="A1249" s="415"/>
      <c r="B1249" s="416"/>
      <c r="C1249" s="424"/>
      <c r="E1249" s="418"/>
      <c r="F1249" s="419"/>
      <c r="G1249" s="420"/>
      <c r="H1249" s="421"/>
      <c r="I1249" s="421"/>
      <c r="J1249" s="492"/>
      <c r="K1249" s="418"/>
      <c r="L1249" s="418"/>
      <c r="M1249" s="418"/>
      <c r="N1249" s="421"/>
      <c r="O1249" s="421"/>
      <c r="P1249" s="421"/>
      <c r="Q1249" s="418"/>
      <c r="R1249" s="418"/>
      <c r="S1249" s="418"/>
      <c r="T1249" s="418"/>
      <c r="U1249" s="418"/>
      <c r="V1249" s="418"/>
      <c r="W1249" s="418"/>
      <c r="X1249" s="418"/>
      <c r="Y1249" s="418"/>
      <c r="Z1249" s="418"/>
      <c r="AA1249" s="418"/>
      <c r="AB1249" s="418"/>
      <c r="AC1249" s="418"/>
      <c r="AD1249" s="418"/>
      <c r="AE1249" s="418"/>
      <c r="AF1249" s="418"/>
      <c r="AG1249" s="418"/>
      <c r="AH1249" s="418"/>
      <c r="AI1249" s="418"/>
      <c r="AJ1249" s="418"/>
      <c r="AK1249" s="418"/>
      <c r="AL1249" s="418"/>
      <c r="AM1249" s="418"/>
      <c r="AN1249" s="423"/>
      <c r="AO1249" s="423"/>
      <c r="AP1249" s="423"/>
      <c r="AQ1249" s="423"/>
      <c r="AR1249" s="423"/>
      <c r="AS1249" s="423"/>
      <c r="AT1249" s="423"/>
      <c r="AU1249" s="423"/>
      <c r="AV1249" s="423"/>
      <c r="AW1249" s="418"/>
      <c r="AX1249" s="418"/>
      <c r="AY1249" s="418"/>
      <c r="BF1249" s="1119"/>
      <c r="BG1249" s="1119"/>
      <c r="BH1249" s="1119"/>
    </row>
    <row r="1250" spans="1:60" ht="15.75" customHeight="1">
      <c r="A1250" s="415"/>
      <c r="B1250" s="416"/>
      <c r="C1250" s="424"/>
      <c r="E1250" s="418"/>
      <c r="F1250" s="419"/>
      <c r="G1250" s="420"/>
      <c r="H1250" s="421"/>
      <c r="I1250" s="421"/>
      <c r="J1250" s="492"/>
      <c r="K1250" s="418"/>
      <c r="L1250" s="418"/>
      <c r="M1250" s="418"/>
      <c r="N1250" s="421"/>
      <c r="O1250" s="421"/>
      <c r="P1250" s="421"/>
      <c r="Q1250" s="418"/>
      <c r="R1250" s="418"/>
      <c r="S1250" s="418"/>
      <c r="T1250" s="418"/>
      <c r="U1250" s="418"/>
      <c r="V1250" s="418"/>
      <c r="W1250" s="418"/>
      <c r="X1250" s="418"/>
      <c r="Y1250" s="418"/>
      <c r="Z1250" s="418"/>
      <c r="AA1250" s="418"/>
      <c r="AB1250" s="418"/>
      <c r="AC1250" s="418"/>
      <c r="AD1250" s="418"/>
      <c r="AE1250" s="418"/>
      <c r="AF1250" s="418"/>
      <c r="AG1250" s="418"/>
      <c r="AH1250" s="418"/>
      <c r="AI1250" s="418"/>
      <c r="AJ1250" s="418"/>
      <c r="AK1250" s="418"/>
      <c r="AL1250" s="418"/>
      <c r="AM1250" s="418"/>
      <c r="AN1250" s="423"/>
      <c r="AO1250" s="423"/>
      <c r="AP1250" s="423"/>
      <c r="AQ1250" s="423"/>
      <c r="AR1250" s="423"/>
      <c r="AS1250" s="423"/>
      <c r="AT1250" s="423"/>
      <c r="AU1250" s="423"/>
      <c r="AV1250" s="423"/>
      <c r="AW1250" s="418"/>
      <c r="AX1250" s="418"/>
      <c r="AY1250" s="418"/>
      <c r="BF1250" s="1119"/>
      <c r="BG1250" s="1119"/>
      <c r="BH1250" s="1119"/>
    </row>
    <row r="1251" spans="1:60" ht="15.75" customHeight="1">
      <c r="A1251" s="415"/>
      <c r="B1251" s="416"/>
      <c r="C1251" s="424"/>
      <c r="E1251" s="418"/>
      <c r="F1251" s="419"/>
      <c r="G1251" s="420"/>
      <c r="H1251" s="421"/>
      <c r="I1251" s="421"/>
      <c r="J1251" s="492"/>
      <c r="K1251" s="418"/>
      <c r="L1251" s="418"/>
      <c r="M1251" s="418"/>
      <c r="N1251" s="421"/>
      <c r="O1251" s="421"/>
      <c r="P1251" s="421"/>
      <c r="Q1251" s="418"/>
      <c r="R1251" s="418"/>
      <c r="S1251" s="418"/>
      <c r="T1251" s="418"/>
      <c r="U1251" s="418"/>
      <c r="V1251" s="418"/>
      <c r="W1251" s="418"/>
      <c r="X1251" s="418"/>
      <c r="Y1251" s="418"/>
      <c r="Z1251" s="418"/>
      <c r="AA1251" s="418"/>
      <c r="AB1251" s="418"/>
      <c r="AC1251" s="418"/>
      <c r="AD1251" s="418"/>
      <c r="AE1251" s="418"/>
      <c r="AF1251" s="418"/>
      <c r="AG1251" s="418"/>
      <c r="AH1251" s="418"/>
      <c r="AI1251" s="418"/>
      <c r="AJ1251" s="418"/>
      <c r="AK1251" s="418"/>
      <c r="AL1251" s="418"/>
      <c r="AM1251" s="418"/>
      <c r="AN1251" s="423"/>
      <c r="AO1251" s="423"/>
      <c r="AP1251" s="423"/>
      <c r="AQ1251" s="423"/>
      <c r="AR1251" s="423"/>
      <c r="AS1251" s="423"/>
      <c r="AT1251" s="423"/>
      <c r="AU1251" s="423"/>
      <c r="AV1251" s="423"/>
      <c r="AW1251" s="418"/>
      <c r="AX1251" s="418"/>
      <c r="AY1251" s="418"/>
      <c r="BF1251" s="1119"/>
      <c r="BG1251" s="1119"/>
      <c r="BH1251" s="1119"/>
    </row>
    <row r="1252" spans="1:60" ht="15.75" customHeight="1">
      <c r="A1252" s="415"/>
      <c r="B1252" s="416"/>
      <c r="C1252" s="424"/>
      <c r="E1252" s="418"/>
      <c r="F1252" s="419"/>
      <c r="G1252" s="420"/>
      <c r="H1252" s="421"/>
      <c r="I1252" s="421"/>
      <c r="J1252" s="492"/>
      <c r="K1252" s="418"/>
      <c r="L1252" s="418"/>
      <c r="M1252" s="418"/>
      <c r="N1252" s="421"/>
      <c r="O1252" s="421"/>
      <c r="P1252" s="421"/>
      <c r="Q1252" s="418"/>
      <c r="R1252" s="418"/>
      <c r="S1252" s="418"/>
      <c r="T1252" s="418"/>
      <c r="U1252" s="418"/>
      <c r="V1252" s="418"/>
      <c r="W1252" s="418"/>
      <c r="X1252" s="418"/>
      <c r="Y1252" s="418"/>
      <c r="Z1252" s="418"/>
      <c r="AA1252" s="418"/>
      <c r="AB1252" s="418"/>
      <c r="AC1252" s="418"/>
      <c r="AD1252" s="418"/>
      <c r="AE1252" s="418"/>
      <c r="AF1252" s="418"/>
      <c r="AG1252" s="418"/>
      <c r="AH1252" s="418"/>
      <c r="AI1252" s="418"/>
      <c r="AJ1252" s="418"/>
      <c r="AK1252" s="418"/>
      <c r="AL1252" s="418"/>
      <c r="AM1252" s="418"/>
      <c r="AN1252" s="423"/>
      <c r="AO1252" s="423"/>
      <c r="AP1252" s="423"/>
      <c r="AQ1252" s="423"/>
      <c r="AR1252" s="423"/>
      <c r="AS1252" s="423"/>
      <c r="AT1252" s="423"/>
      <c r="AU1252" s="423"/>
      <c r="AV1252" s="423"/>
      <c r="AW1252" s="418"/>
      <c r="AX1252" s="418"/>
      <c r="AY1252" s="418"/>
      <c r="BF1252" s="1119"/>
      <c r="BG1252" s="1119"/>
      <c r="BH1252" s="1119"/>
    </row>
    <row r="1253" spans="1:60" ht="15.75" customHeight="1">
      <c r="A1253" s="415"/>
      <c r="B1253" s="416"/>
      <c r="C1253" s="424"/>
      <c r="E1253" s="418"/>
      <c r="F1253" s="419"/>
      <c r="G1253" s="420"/>
      <c r="H1253" s="421"/>
      <c r="I1253" s="421"/>
      <c r="J1253" s="492"/>
      <c r="K1253" s="418"/>
      <c r="L1253" s="418"/>
      <c r="M1253" s="418"/>
      <c r="N1253" s="421"/>
      <c r="O1253" s="421"/>
      <c r="P1253" s="421"/>
      <c r="Q1253" s="418"/>
      <c r="R1253" s="418"/>
      <c r="S1253" s="418"/>
      <c r="T1253" s="418"/>
      <c r="U1253" s="418"/>
      <c r="V1253" s="418"/>
      <c r="W1253" s="418"/>
      <c r="X1253" s="418"/>
      <c r="Y1253" s="418"/>
      <c r="Z1253" s="418"/>
      <c r="AA1253" s="418"/>
      <c r="AB1253" s="418"/>
      <c r="AC1253" s="418"/>
      <c r="AD1253" s="418"/>
      <c r="AE1253" s="418"/>
      <c r="AF1253" s="418"/>
      <c r="AG1253" s="418"/>
      <c r="AH1253" s="418"/>
      <c r="AI1253" s="418"/>
      <c r="AJ1253" s="418"/>
      <c r="AK1253" s="418"/>
      <c r="AL1253" s="418"/>
      <c r="AM1253" s="418"/>
      <c r="AN1253" s="423"/>
      <c r="AO1253" s="423"/>
      <c r="AP1253" s="423"/>
      <c r="AQ1253" s="423"/>
      <c r="AR1253" s="423"/>
      <c r="AS1253" s="423"/>
      <c r="AT1253" s="423"/>
      <c r="AU1253" s="423"/>
      <c r="AV1253" s="423"/>
      <c r="AW1253" s="418"/>
      <c r="AX1253" s="418"/>
      <c r="AY1253" s="418"/>
      <c r="BF1253" s="1119"/>
      <c r="BG1253" s="1119"/>
      <c r="BH1253" s="1119"/>
    </row>
    <row r="1254" spans="1:60" ht="15.75" customHeight="1">
      <c r="A1254" s="415"/>
      <c r="B1254" s="416"/>
      <c r="C1254" s="424"/>
      <c r="E1254" s="418"/>
      <c r="F1254" s="419"/>
      <c r="G1254" s="420"/>
      <c r="H1254" s="421"/>
      <c r="I1254" s="421"/>
      <c r="J1254" s="492"/>
      <c r="K1254" s="418"/>
      <c r="L1254" s="418"/>
      <c r="M1254" s="418"/>
      <c r="N1254" s="421"/>
      <c r="O1254" s="421"/>
      <c r="P1254" s="421"/>
      <c r="Q1254" s="418"/>
      <c r="R1254" s="418"/>
      <c r="S1254" s="418"/>
      <c r="T1254" s="418"/>
      <c r="U1254" s="418"/>
      <c r="V1254" s="418"/>
      <c r="W1254" s="418"/>
      <c r="X1254" s="418"/>
      <c r="Y1254" s="418"/>
      <c r="Z1254" s="418"/>
      <c r="AA1254" s="418"/>
      <c r="AB1254" s="418"/>
      <c r="AC1254" s="418"/>
      <c r="AD1254" s="418"/>
      <c r="AE1254" s="418"/>
      <c r="AF1254" s="418"/>
      <c r="AG1254" s="418"/>
      <c r="AH1254" s="418"/>
      <c r="AI1254" s="418"/>
      <c r="AJ1254" s="418"/>
      <c r="AK1254" s="418"/>
      <c r="AL1254" s="418"/>
      <c r="AM1254" s="418"/>
      <c r="AN1254" s="423"/>
      <c r="AO1254" s="423"/>
      <c r="AP1254" s="423"/>
      <c r="AQ1254" s="423"/>
      <c r="AR1254" s="423"/>
      <c r="AS1254" s="423"/>
      <c r="AT1254" s="423"/>
      <c r="AU1254" s="423"/>
      <c r="AV1254" s="423"/>
      <c r="AW1254" s="418"/>
      <c r="AX1254" s="418"/>
      <c r="AY1254" s="418"/>
      <c r="BF1254" s="1119"/>
      <c r="BG1254" s="1119"/>
      <c r="BH1254" s="1119"/>
    </row>
    <row r="1255" spans="1:60" ht="15.75" customHeight="1">
      <c r="A1255" s="415"/>
      <c r="B1255" s="416"/>
      <c r="C1255" s="424"/>
      <c r="E1255" s="418"/>
      <c r="F1255" s="419"/>
      <c r="G1255" s="420"/>
      <c r="H1255" s="421"/>
      <c r="I1255" s="421"/>
      <c r="J1255" s="492"/>
      <c r="K1255" s="418"/>
      <c r="L1255" s="418"/>
      <c r="M1255" s="418"/>
      <c r="N1255" s="421"/>
      <c r="O1255" s="421"/>
      <c r="P1255" s="421"/>
      <c r="Q1255" s="418"/>
      <c r="R1255" s="418"/>
      <c r="S1255" s="418"/>
      <c r="T1255" s="418"/>
      <c r="U1255" s="418"/>
      <c r="V1255" s="418"/>
      <c r="W1255" s="418"/>
      <c r="X1255" s="418"/>
      <c r="Y1255" s="418"/>
      <c r="Z1255" s="418"/>
      <c r="AA1255" s="418"/>
      <c r="AB1255" s="418"/>
      <c r="AC1255" s="418"/>
      <c r="AD1255" s="418"/>
      <c r="AE1255" s="418"/>
      <c r="AF1255" s="418"/>
      <c r="AG1255" s="418"/>
      <c r="AH1255" s="418"/>
      <c r="AI1255" s="418"/>
      <c r="AJ1255" s="418"/>
      <c r="AK1255" s="418"/>
      <c r="AL1255" s="418"/>
      <c r="AM1255" s="418"/>
      <c r="AN1255" s="423"/>
      <c r="AO1255" s="423"/>
      <c r="AP1255" s="423"/>
      <c r="AQ1255" s="423"/>
      <c r="AR1255" s="423"/>
      <c r="AS1255" s="423"/>
      <c r="AT1255" s="423"/>
      <c r="AU1255" s="423"/>
      <c r="AV1255" s="423"/>
      <c r="AW1255" s="418"/>
      <c r="AX1255" s="418"/>
      <c r="AY1255" s="418"/>
      <c r="BF1255" s="1119"/>
      <c r="BG1255" s="1119"/>
      <c r="BH1255" s="1119"/>
    </row>
    <row r="1256" spans="1:60" ht="15.75" customHeight="1">
      <c r="A1256" s="415"/>
      <c r="B1256" s="416"/>
      <c r="C1256" s="424"/>
      <c r="E1256" s="418"/>
      <c r="F1256" s="419"/>
      <c r="G1256" s="420"/>
      <c r="H1256" s="421"/>
      <c r="I1256" s="421"/>
      <c r="J1256" s="492"/>
      <c r="K1256" s="418"/>
      <c r="L1256" s="418"/>
      <c r="M1256" s="418"/>
      <c r="N1256" s="421"/>
      <c r="O1256" s="421"/>
      <c r="P1256" s="421"/>
      <c r="Q1256" s="418"/>
      <c r="R1256" s="418"/>
      <c r="S1256" s="418"/>
      <c r="T1256" s="418"/>
      <c r="U1256" s="418"/>
      <c r="V1256" s="418"/>
      <c r="W1256" s="418"/>
      <c r="X1256" s="418"/>
      <c r="Y1256" s="418"/>
      <c r="Z1256" s="418"/>
      <c r="AA1256" s="418"/>
      <c r="AB1256" s="418"/>
      <c r="AC1256" s="418"/>
      <c r="AD1256" s="418"/>
      <c r="AE1256" s="418"/>
      <c r="AF1256" s="418"/>
      <c r="AG1256" s="418"/>
      <c r="AH1256" s="418"/>
      <c r="AI1256" s="418"/>
      <c r="AJ1256" s="418"/>
      <c r="AK1256" s="418"/>
      <c r="AL1256" s="418"/>
      <c r="AM1256" s="418"/>
      <c r="AN1256" s="423"/>
      <c r="AO1256" s="423"/>
      <c r="AP1256" s="423"/>
      <c r="AQ1256" s="423"/>
      <c r="AR1256" s="423"/>
      <c r="AS1256" s="423"/>
      <c r="AT1256" s="423"/>
      <c r="AU1256" s="423"/>
      <c r="AV1256" s="423"/>
      <c r="AW1256" s="418"/>
      <c r="AX1256" s="418"/>
      <c r="AY1256" s="418"/>
      <c r="BF1256" s="1119"/>
      <c r="BG1256" s="1119"/>
      <c r="BH1256" s="1119"/>
    </row>
    <row r="1257" spans="1:60" ht="15.75" customHeight="1">
      <c r="A1257" s="415"/>
      <c r="B1257" s="416"/>
      <c r="C1257" s="424"/>
      <c r="E1257" s="418"/>
      <c r="F1257" s="419"/>
      <c r="G1257" s="420"/>
      <c r="H1257" s="421"/>
      <c r="I1257" s="421"/>
      <c r="J1257" s="492"/>
      <c r="K1257" s="418"/>
      <c r="L1257" s="418"/>
      <c r="M1257" s="418"/>
      <c r="N1257" s="421"/>
      <c r="O1257" s="421"/>
      <c r="P1257" s="421"/>
      <c r="Q1257" s="418"/>
      <c r="R1257" s="418"/>
      <c r="S1257" s="418"/>
      <c r="T1257" s="418"/>
      <c r="U1257" s="418"/>
      <c r="V1257" s="418"/>
      <c r="W1257" s="418"/>
      <c r="X1257" s="418"/>
      <c r="Y1257" s="418"/>
      <c r="Z1257" s="418"/>
      <c r="AA1257" s="418"/>
      <c r="AB1257" s="418"/>
      <c r="AC1257" s="418"/>
      <c r="AD1257" s="418"/>
      <c r="AE1257" s="418"/>
      <c r="AF1257" s="418"/>
      <c r="AG1257" s="418"/>
      <c r="AH1257" s="418"/>
      <c r="AI1257" s="418"/>
      <c r="AJ1257" s="418"/>
      <c r="AK1257" s="418"/>
      <c r="AL1257" s="418"/>
      <c r="AM1257" s="418"/>
      <c r="AN1257" s="423"/>
      <c r="AO1257" s="423"/>
      <c r="AP1257" s="423"/>
      <c r="AQ1257" s="423"/>
      <c r="AR1257" s="423"/>
      <c r="AS1257" s="423"/>
      <c r="AT1257" s="423"/>
      <c r="AU1257" s="423"/>
      <c r="AV1257" s="423"/>
      <c r="AW1257" s="418"/>
      <c r="AX1257" s="418"/>
      <c r="AY1257" s="418"/>
      <c r="BF1257" s="1119"/>
      <c r="BG1257" s="1119"/>
      <c r="BH1257" s="1119"/>
    </row>
    <row r="1258" spans="1:60" ht="15.75" customHeight="1">
      <c r="A1258" s="415"/>
      <c r="B1258" s="416"/>
      <c r="C1258" s="424"/>
      <c r="E1258" s="418"/>
      <c r="F1258" s="419"/>
      <c r="G1258" s="420"/>
      <c r="H1258" s="421"/>
      <c r="I1258" s="421"/>
      <c r="J1258" s="492"/>
      <c r="K1258" s="418"/>
      <c r="L1258" s="418"/>
      <c r="M1258" s="418"/>
      <c r="N1258" s="421"/>
      <c r="O1258" s="421"/>
      <c r="P1258" s="421"/>
      <c r="Q1258" s="418"/>
      <c r="R1258" s="418"/>
      <c r="S1258" s="418"/>
      <c r="T1258" s="418"/>
      <c r="U1258" s="418"/>
      <c r="V1258" s="418"/>
      <c r="W1258" s="418"/>
      <c r="X1258" s="418"/>
      <c r="Y1258" s="418"/>
      <c r="Z1258" s="418"/>
      <c r="AA1258" s="418"/>
      <c r="AB1258" s="418"/>
      <c r="AC1258" s="418"/>
      <c r="AD1258" s="418"/>
      <c r="AE1258" s="418"/>
      <c r="AF1258" s="418"/>
      <c r="AG1258" s="418"/>
      <c r="AH1258" s="418"/>
      <c r="AI1258" s="418"/>
      <c r="AJ1258" s="418"/>
      <c r="AK1258" s="418"/>
      <c r="AL1258" s="418"/>
      <c r="AM1258" s="418"/>
      <c r="AN1258" s="423"/>
      <c r="AO1258" s="423"/>
      <c r="AP1258" s="423"/>
      <c r="AQ1258" s="423"/>
      <c r="AR1258" s="423"/>
      <c r="AS1258" s="423"/>
      <c r="AT1258" s="423"/>
      <c r="AU1258" s="423"/>
      <c r="AV1258" s="423"/>
      <c r="AW1258" s="418"/>
      <c r="AX1258" s="418"/>
      <c r="AY1258" s="418"/>
      <c r="BF1258" s="1119"/>
      <c r="BG1258" s="1119"/>
      <c r="BH1258" s="1119"/>
    </row>
    <row r="1259" spans="1:60" ht="15.75" customHeight="1">
      <c r="A1259" s="415"/>
      <c r="B1259" s="416"/>
      <c r="C1259" s="424"/>
      <c r="E1259" s="418"/>
      <c r="F1259" s="419"/>
      <c r="G1259" s="420"/>
      <c r="H1259" s="421"/>
      <c r="I1259" s="421"/>
      <c r="J1259" s="492"/>
      <c r="K1259" s="418"/>
      <c r="L1259" s="418"/>
      <c r="M1259" s="418"/>
      <c r="N1259" s="421"/>
      <c r="O1259" s="421"/>
      <c r="P1259" s="421"/>
      <c r="Q1259" s="418"/>
      <c r="R1259" s="418"/>
      <c r="S1259" s="418"/>
      <c r="T1259" s="418"/>
      <c r="U1259" s="418"/>
      <c r="V1259" s="418"/>
      <c r="W1259" s="418"/>
      <c r="X1259" s="418"/>
      <c r="Y1259" s="418"/>
      <c r="Z1259" s="418"/>
      <c r="AA1259" s="418"/>
      <c r="AB1259" s="418"/>
      <c r="AC1259" s="418"/>
      <c r="AD1259" s="418"/>
      <c r="AE1259" s="418"/>
      <c r="AF1259" s="418"/>
      <c r="AG1259" s="418"/>
      <c r="AH1259" s="418"/>
      <c r="AI1259" s="418"/>
      <c r="AJ1259" s="418"/>
      <c r="AK1259" s="418"/>
      <c r="AL1259" s="418"/>
      <c r="AM1259" s="418"/>
      <c r="AN1259" s="423"/>
      <c r="AO1259" s="423"/>
      <c r="AP1259" s="423"/>
      <c r="AQ1259" s="423"/>
      <c r="AR1259" s="423"/>
      <c r="AS1259" s="423"/>
      <c r="AT1259" s="423"/>
      <c r="AU1259" s="423"/>
      <c r="AV1259" s="423"/>
      <c r="AW1259" s="418"/>
      <c r="AX1259" s="418"/>
      <c r="AY1259" s="418"/>
      <c r="BF1259" s="1119"/>
      <c r="BG1259" s="1119"/>
      <c r="BH1259" s="1119"/>
    </row>
    <row r="1260" spans="1:60" ht="15.75" customHeight="1">
      <c r="A1260" s="415"/>
      <c r="B1260" s="416"/>
      <c r="C1260" s="424"/>
      <c r="E1260" s="418"/>
      <c r="F1260" s="419"/>
      <c r="G1260" s="420"/>
      <c r="H1260" s="421"/>
      <c r="I1260" s="421"/>
      <c r="J1260" s="492"/>
      <c r="K1260" s="418"/>
      <c r="L1260" s="418"/>
      <c r="M1260" s="418"/>
      <c r="N1260" s="421"/>
      <c r="O1260" s="421"/>
      <c r="P1260" s="421"/>
      <c r="Q1260" s="418"/>
      <c r="R1260" s="418"/>
      <c r="S1260" s="418"/>
      <c r="T1260" s="418"/>
      <c r="U1260" s="418"/>
      <c r="V1260" s="418"/>
      <c r="W1260" s="418"/>
      <c r="X1260" s="418"/>
      <c r="Y1260" s="418"/>
      <c r="Z1260" s="418"/>
      <c r="AA1260" s="418"/>
      <c r="AB1260" s="418"/>
      <c r="AC1260" s="418"/>
      <c r="AD1260" s="418"/>
      <c r="AE1260" s="418"/>
      <c r="AF1260" s="418"/>
      <c r="AG1260" s="418"/>
      <c r="AH1260" s="418"/>
      <c r="AI1260" s="418"/>
      <c r="AJ1260" s="418"/>
      <c r="AK1260" s="418"/>
      <c r="AL1260" s="418"/>
      <c r="AM1260" s="418"/>
      <c r="AN1260" s="423"/>
      <c r="AO1260" s="423"/>
      <c r="AP1260" s="423"/>
      <c r="AQ1260" s="423"/>
      <c r="AR1260" s="423"/>
      <c r="AS1260" s="423"/>
      <c r="AT1260" s="423"/>
      <c r="AU1260" s="423"/>
      <c r="AV1260" s="423"/>
      <c r="AW1260" s="418"/>
      <c r="AX1260" s="418"/>
      <c r="AY1260" s="418"/>
      <c r="BF1260" s="1119"/>
      <c r="BG1260" s="1119"/>
      <c r="BH1260" s="1119"/>
    </row>
    <row r="1261" spans="1:60" ht="15.75" customHeight="1">
      <c r="A1261" s="415"/>
      <c r="B1261" s="416"/>
      <c r="C1261" s="424"/>
      <c r="E1261" s="418"/>
      <c r="F1261" s="419"/>
      <c r="G1261" s="420"/>
      <c r="H1261" s="421"/>
      <c r="I1261" s="421"/>
      <c r="J1261" s="492"/>
      <c r="K1261" s="418"/>
      <c r="L1261" s="418"/>
      <c r="M1261" s="418"/>
      <c r="N1261" s="421"/>
      <c r="O1261" s="421"/>
      <c r="P1261" s="421"/>
      <c r="Q1261" s="418"/>
      <c r="R1261" s="418"/>
      <c r="S1261" s="418"/>
      <c r="T1261" s="418"/>
      <c r="U1261" s="418"/>
      <c r="V1261" s="418"/>
      <c r="W1261" s="418"/>
      <c r="X1261" s="418"/>
      <c r="Y1261" s="418"/>
      <c r="Z1261" s="418"/>
      <c r="AA1261" s="418"/>
      <c r="AB1261" s="418"/>
      <c r="AC1261" s="418"/>
      <c r="AD1261" s="418"/>
      <c r="AE1261" s="418"/>
      <c r="AF1261" s="418"/>
      <c r="AG1261" s="418"/>
      <c r="AH1261" s="418"/>
      <c r="AI1261" s="418"/>
      <c r="AJ1261" s="418"/>
      <c r="AK1261" s="418"/>
      <c r="AL1261" s="418"/>
      <c r="AM1261" s="418"/>
      <c r="AN1261" s="423"/>
      <c r="AO1261" s="423"/>
      <c r="AP1261" s="423"/>
      <c r="AQ1261" s="423"/>
      <c r="AR1261" s="423"/>
      <c r="AS1261" s="423"/>
      <c r="AT1261" s="423"/>
      <c r="AU1261" s="423"/>
      <c r="AV1261" s="423"/>
      <c r="AW1261" s="418"/>
      <c r="AX1261" s="418"/>
      <c r="AY1261" s="418"/>
      <c r="BF1261" s="1119"/>
      <c r="BG1261" s="1119"/>
      <c r="BH1261" s="1119"/>
    </row>
    <row r="1262" spans="1:60" ht="15.75" customHeight="1">
      <c r="A1262" s="415"/>
      <c r="B1262" s="416"/>
      <c r="C1262" s="424"/>
      <c r="E1262" s="418"/>
      <c r="F1262" s="419"/>
      <c r="G1262" s="420"/>
      <c r="H1262" s="421"/>
      <c r="I1262" s="421"/>
      <c r="J1262" s="492"/>
      <c r="K1262" s="418"/>
      <c r="L1262" s="418"/>
      <c r="M1262" s="418"/>
      <c r="N1262" s="421"/>
      <c r="O1262" s="421"/>
      <c r="P1262" s="421"/>
      <c r="Q1262" s="418"/>
      <c r="R1262" s="418"/>
      <c r="S1262" s="418"/>
      <c r="T1262" s="418"/>
      <c r="U1262" s="418"/>
      <c r="V1262" s="418"/>
      <c r="W1262" s="418"/>
      <c r="X1262" s="418"/>
      <c r="Y1262" s="418"/>
      <c r="Z1262" s="418"/>
      <c r="AA1262" s="418"/>
      <c r="AB1262" s="418"/>
      <c r="AC1262" s="418"/>
      <c r="AD1262" s="418"/>
      <c r="AE1262" s="418"/>
      <c r="AF1262" s="418"/>
      <c r="AG1262" s="418"/>
      <c r="AH1262" s="418"/>
      <c r="AI1262" s="418"/>
      <c r="AJ1262" s="418"/>
      <c r="AK1262" s="418"/>
      <c r="AL1262" s="418"/>
      <c r="AM1262" s="418"/>
      <c r="AN1262" s="423"/>
      <c r="AO1262" s="423"/>
      <c r="AP1262" s="423"/>
      <c r="AQ1262" s="423"/>
      <c r="AR1262" s="423"/>
      <c r="AS1262" s="423"/>
      <c r="AT1262" s="423"/>
      <c r="AU1262" s="423"/>
      <c r="AV1262" s="423"/>
      <c r="AW1262" s="418"/>
      <c r="AX1262" s="418"/>
      <c r="AY1262" s="418"/>
      <c r="BF1262" s="1119"/>
      <c r="BG1262" s="1119"/>
      <c r="BH1262" s="1119"/>
    </row>
    <row r="1263" spans="1:60" ht="15.75" customHeight="1">
      <c r="A1263" s="415"/>
      <c r="B1263" s="416"/>
      <c r="C1263" s="424"/>
      <c r="E1263" s="418"/>
      <c r="F1263" s="419"/>
      <c r="G1263" s="420"/>
      <c r="H1263" s="421"/>
      <c r="I1263" s="421"/>
      <c r="J1263" s="492"/>
      <c r="K1263" s="418"/>
      <c r="L1263" s="418"/>
      <c r="M1263" s="418"/>
      <c r="N1263" s="421"/>
      <c r="O1263" s="421"/>
      <c r="P1263" s="421"/>
      <c r="Q1263" s="418"/>
      <c r="R1263" s="418"/>
      <c r="S1263" s="418"/>
      <c r="T1263" s="418"/>
      <c r="U1263" s="418"/>
      <c r="V1263" s="418"/>
      <c r="W1263" s="418"/>
      <c r="X1263" s="418"/>
      <c r="Y1263" s="418"/>
      <c r="Z1263" s="418"/>
      <c r="AA1263" s="418"/>
      <c r="AB1263" s="418"/>
      <c r="AC1263" s="418"/>
      <c r="AD1263" s="418"/>
      <c r="AE1263" s="418"/>
      <c r="AF1263" s="418"/>
      <c r="AG1263" s="418"/>
      <c r="AH1263" s="418"/>
      <c r="AI1263" s="418"/>
      <c r="AJ1263" s="418"/>
      <c r="AK1263" s="418"/>
      <c r="AL1263" s="418"/>
      <c r="AM1263" s="418"/>
      <c r="AN1263" s="423"/>
      <c r="AO1263" s="423"/>
      <c r="AP1263" s="423"/>
      <c r="AQ1263" s="423"/>
      <c r="AR1263" s="423"/>
      <c r="AS1263" s="423"/>
      <c r="AT1263" s="423"/>
      <c r="AU1263" s="423"/>
      <c r="AV1263" s="423"/>
      <c r="AW1263" s="418"/>
      <c r="AX1263" s="418"/>
      <c r="AY1263" s="418"/>
      <c r="BF1263" s="1119"/>
      <c r="BG1263" s="1119"/>
      <c r="BH1263" s="1119"/>
    </row>
    <row r="1264" spans="1:60" ht="15.75" customHeight="1">
      <c r="A1264" s="415"/>
      <c r="B1264" s="416"/>
      <c r="C1264" s="424"/>
      <c r="E1264" s="418"/>
      <c r="F1264" s="419"/>
      <c r="G1264" s="420"/>
      <c r="H1264" s="421"/>
      <c r="I1264" s="421"/>
      <c r="J1264" s="492"/>
      <c r="K1264" s="418"/>
      <c r="L1264" s="418"/>
      <c r="M1264" s="418"/>
      <c r="N1264" s="421"/>
      <c r="O1264" s="421"/>
      <c r="P1264" s="421"/>
      <c r="Q1264" s="418"/>
      <c r="R1264" s="418"/>
      <c r="S1264" s="418"/>
      <c r="T1264" s="418"/>
      <c r="U1264" s="418"/>
      <c r="V1264" s="418"/>
      <c r="W1264" s="418"/>
      <c r="X1264" s="418"/>
      <c r="Y1264" s="418"/>
      <c r="Z1264" s="418"/>
      <c r="AA1264" s="418"/>
      <c r="AB1264" s="418"/>
      <c r="AC1264" s="418"/>
      <c r="AD1264" s="418"/>
      <c r="AE1264" s="418"/>
      <c r="AF1264" s="418"/>
      <c r="AG1264" s="418"/>
      <c r="AH1264" s="418"/>
      <c r="AI1264" s="418"/>
      <c r="AJ1264" s="418"/>
      <c r="AK1264" s="418"/>
      <c r="AL1264" s="418"/>
      <c r="AM1264" s="418"/>
      <c r="AN1264" s="423"/>
      <c r="AO1264" s="423"/>
      <c r="AP1264" s="423"/>
      <c r="AQ1264" s="423"/>
      <c r="AR1264" s="423"/>
      <c r="AS1264" s="423"/>
      <c r="AT1264" s="423"/>
      <c r="AU1264" s="423"/>
      <c r="AV1264" s="423"/>
      <c r="AW1264" s="418"/>
      <c r="AX1264" s="418"/>
      <c r="AY1264" s="418"/>
      <c r="BF1264" s="1119"/>
      <c r="BG1264" s="1119"/>
      <c r="BH1264" s="1119"/>
    </row>
    <row r="1265" spans="1:60" ht="15.75" customHeight="1">
      <c r="A1265" s="415"/>
      <c r="B1265" s="416"/>
      <c r="C1265" s="424"/>
      <c r="E1265" s="418"/>
      <c r="F1265" s="419"/>
      <c r="G1265" s="420"/>
      <c r="H1265" s="421"/>
      <c r="I1265" s="425"/>
      <c r="J1265" s="492"/>
      <c r="K1265" s="418"/>
      <c r="L1265" s="418"/>
      <c r="M1265" s="418"/>
      <c r="N1265" s="421"/>
      <c r="O1265" s="421"/>
      <c r="P1265" s="421"/>
      <c r="Q1265" s="418"/>
      <c r="R1265" s="418"/>
      <c r="S1265" s="418"/>
      <c r="T1265" s="418"/>
      <c r="U1265" s="418"/>
      <c r="V1265" s="418"/>
      <c r="W1265" s="418"/>
      <c r="X1265" s="418"/>
      <c r="Y1265" s="418"/>
      <c r="Z1265" s="418"/>
      <c r="AA1265" s="418"/>
      <c r="AB1265" s="418"/>
      <c r="AC1265" s="418"/>
      <c r="AD1265" s="418"/>
      <c r="AE1265" s="418"/>
      <c r="AF1265" s="418"/>
      <c r="AG1265" s="418"/>
      <c r="AH1265" s="418"/>
      <c r="AI1265" s="418"/>
      <c r="AJ1265" s="418"/>
      <c r="AK1265" s="418"/>
      <c r="AL1265" s="418"/>
      <c r="AM1265" s="418"/>
      <c r="AN1265" s="423"/>
      <c r="AO1265" s="423"/>
      <c r="AP1265" s="423"/>
      <c r="AQ1265" s="423"/>
      <c r="AR1265" s="423"/>
      <c r="AS1265" s="423"/>
      <c r="AT1265" s="423"/>
      <c r="AU1265" s="423"/>
      <c r="AV1265" s="423"/>
      <c r="AW1265" s="418"/>
      <c r="AX1265" s="418"/>
      <c r="AY1265" s="418"/>
      <c r="BF1265" s="1119"/>
      <c r="BG1265" s="1119"/>
      <c r="BH1265" s="1119"/>
    </row>
    <row r="1266" spans="1:60" ht="15.75" customHeight="1">
      <c r="A1266" s="415"/>
      <c r="B1266" s="416"/>
      <c r="C1266" s="424"/>
      <c r="E1266" s="418"/>
      <c r="F1266" s="419"/>
      <c r="G1266" s="420"/>
      <c r="H1266" s="421"/>
      <c r="I1266" s="421"/>
      <c r="J1266" s="492"/>
      <c r="K1266" s="418"/>
      <c r="L1266" s="418"/>
      <c r="M1266" s="418"/>
      <c r="N1266" s="421"/>
      <c r="O1266" s="421"/>
      <c r="P1266" s="421"/>
      <c r="Q1266" s="418"/>
      <c r="R1266" s="418"/>
      <c r="S1266" s="418"/>
      <c r="T1266" s="418"/>
      <c r="U1266" s="418"/>
      <c r="V1266" s="418"/>
      <c r="W1266" s="418"/>
      <c r="X1266" s="418"/>
      <c r="Y1266" s="418"/>
      <c r="Z1266" s="418"/>
      <c r="AA1266" s="418"/>
      <c r="AB1266" s="418"/>
      <c r="AC1266" s="418"/>
      <c r="AD1266" s="418"/>
      <c r="AE1266" s="418"/>
      <c r="AF1266" s="418"/>
      <c r="AG1266" s="418"/>
      <c r="AH1266" s="418"/>
      <c r="AI1266" s="418"/>
      <c r="AJ1266" s="418"/>
      <c r="AK1266" s="418"/>
      <c r="AL1266" s="418"/>
      <c r="AM1266" s="418"/>
      <c r="AN1266" s="423"/>
      <c r="AO1266" s="423"/>
      <c r="AP1266" s="423"/>
      <c r="AQ1266" s="423"/>
      <c r="AR1266" s="423"/>
      <c r="AS1266" s="423"/>
      <c r="AT1266" s="423"/>
      <c r="AU1266" s="423"/>
      <c r="AV1266" s="423"/>
      <c r="AW1266" s="418"/>
      <c r="AX1266" s="418"/>
      <c r="AY1266" s="418"/>
      <c r="BF1266" s="1119"/>
      <c r="BG1266" s="1119"/>
      <c r="BH1266" s="1119"/>
    </row>
    <row r="1267" spans="1:60" ht="15.75" customHeight="1">
      <c r="A1267" s="415"/>
      <c r="B1267" s="416"/>
      <c r="C1267" s="424"/>
      <c r="E1267" s="418"/>
      <c r="F1267" s="419"/>
      <c r="G1267" s="420"/>
      <c r="H1267" s="421"/>
      <c r="I1267" s="425"/>
      <c r="J1267" s="492"/>
      <c r="K1267" s="418"/>
      <c r="L1267" s="418"/>
      <c r="M1267" s="418"/>
      <c r="N1267" s="421"/>
      <c r="O1267" s="421"/>
      <c r="P1267" s="421"/>
      <c r="Q1267" s="418"/>
      <c r="R1267" s="418"/>
      <c r="S1267" s="418"/>
      <c r="T1267" s="418"/>
      <c r="U1267" s="418"/>
      <c r="V1267" s="418"/>
      <c r="W1267" s="418"/>
      <c r="X1267" s="418"/>
      <c r="Y1267" s="418"/>
      <c r="Z1267" s="418"/>
      <c r="AA1267" s="418"/>
      <c r="AB1267" s="418"/>
      <c r="AC1267" s="418"/>
      <c r="AD1267" s="418"/>
      <c r="AE1267" s="418"/>
      <c r="AF1267" s="418"/>
      <c r="AG1267" s="418"/>
      <c r="AH1267" s="418"/>
      <c r="AI1267" s="418"/>
      <c r="AJ1267" s="418"/>
      <c r="AK1267" s="418"/>
      <c r="AL1267" s="418"/>
      <c r="AM1267" s="418"/>
      <c r="AN1267" s="423"/>
      <c r="AO1267" s="423"/>
      <c r="AP1267" s="423"/>
      <c r="AQ1267" s="423"/>
      <c r="AR1267" s="423"/>
      <c r="AS1267" s="423"/>
      <c r="AT1267" s="423"/>
      <c r="AU1267" s="423"/>
      <c r="AV1267" s="423"/>
      <c r="AW1267" s="418"/>
      <c r="AX1267" s="418"/>
      <c r="AY1267" s="418"/>
      <c r="BF1267" s="1119"/>
      <c r="BG1267" s="1119"/>
      <c r="BH1267" s="1119"/>
    </row>
    <row r="1268" spans="1:60" ht="15.75" customHeight="1">
      <c r="A1268" s="415"/>
      <c r="B1268" s="416"/>
      <c r="C1268" s="424"/>
      <c r="E1268" s="418"/>
      <c r="F1268" s="419"/>
      <c r="G1268" s="420"/>
      <c r="H1268" s="421"/>
      <c r="I1268" s="421"/>
      <c r="J1268" s="492"/>
      <c r="K1268" s="418"/>
      <c r="L1268" s="418"/>
      <c r="M1268" s="418"/>
      <c r="N1268" s="421"/>
      <c r="O1268" s="421"/>
      <c r="P1268" s="421"/>
      <c r="Q1268" s="418"/>
      <c r="R1268" s="418"/>
      <c r="S1268" s="418"/>
      <c r="T1268" s="418"/>
      <c r="U1268" s="418"/>
      <c r="V1268" s="418"/>
      <c r="W1268" s="418"/>
      <c r="X1268" s="418"/>
      <c r="Y1268" s="418"/>
      <c r="Z1268" s="418"/>
      <c r="AA1268" s="418"/>
      <c r="AB1268" s="418"/>
      <c r="AC1268" s="418"/>
      <c r="AD1268" s="418"/>
      <c r="AE1268" s="418"/>
      <c r="AF1268" s="418"/>
      <c r="AG1268" s="418"/>
      <c r="AH1268" s="418"/>
      <c r="AI1268" s="418"/>
      <c r="AJ1268" s="418"/>
      <c r="AK1268" s="418"/>
      <c r="AL1268" s="418"/>
      <c r="AM1268" s="418"/>
      <c r="AN1268" s="423"/>
      <c r="AO1268" s="423"/>
      <c r="AP1268" s="423"/>
      <c r="AQ1268" s="423"/>
      <c r="AR1268" s="423"/>
      <c r="AS1268" s="423"/>
      <c r="AT1268" s="423"/>
      <c r="AU1268" s="423"/>
      <c r="AV1268" s="423"/>
      <c r="AW1268" s="418"/>
      <c r="AX1268" s="418"/>
      <c r="AY1268" s="418"/>
      <c r="BF1268" s="1119"/>
      <c r="BG1268" s="1119"/>
      <c r="BH1268" s="1119"/>
    </row>
    <row r="1269" spans="1:60" ht="15.75" customHeight="1">
      <c r="A1269" s="415"/>
      <c r="B1269" s="416"/>
      <c r="C1269" s="424"/>
      <c r="E1269" s="418"/>
      <c r="F1269" s="419"/>
      <c r="G1269" s="420"/>
      <c r="H1269" s="421"/>
      <c r="I1269" s="421"/>
      <c r="J1269" s="492"/>
      <c r="K1269" s="418"/>
      <c r="L1269" s="418"/>
      <c r="M1269" s="418"/>
      <c r="N1269" s="421"/>
      <c r="O1269" s="421"/>
      <c r="P1269" s="421"/>
      <c r="Q1269" s="418"/>
      <c r="R1269" s="418"/>
      <c r="S1269" s="418"/>
      <c r="T1269" s="418"/>
      <c r="U1269" s="418"/>
      <c r="V1269" s="418"/>
      <c r="W1269" s="418"/>
      <c r="X1269" s="418"/>
      <c r="Y1269" s="418"/>
      <c r="Z1269" s="418"/>
      <c r="AA1269" s="418"/>
      <c r="AB1269" s="418"/>
      <c r="AC1269" s="418"/>
      <c r="AD1269" s="418"/>
      <c r="AE1269" s="418"/>
      <c r="AF1269" s="418"/>
      <c r="AG1269" s="418"/>
      <c r="AH1269" s="418"/>
      <c r="AI1269" s="418"/>
      <c r="AJ1269" s="418"/>
      <c r="AK1269" s="418"/>
      <c r="AL1269" s="418"/>
      <c r="AM1269" s="418"/>
      <c r="AN1269" s="423"/>
      <c r="AO1269" s="423"/>
      <c r="AP1269" s="423"/>
      <c r="AQ1269" s="423"/>
      <c r="AR1269" s="423"/>
      <c r="AS1269" s="423"/>
      <c r="AT1269" s="423"/>
      <c r="AU1269" s="423"/>
      <c r="AV1269" s="423"/>
      <c r="AW1269" s="418"/>
      <c r="AX1269" s="418"/>
      <c r="AY1269" s="418"/>
      <c r="BF1269" s="1119"/>
      <c r="BG1269" s="1119"/>
      <c r="BH1269" s="1119"/>
    </row>
    <row r="1270" spans="1:60" ht="15.75" customHeight="1">
      <c r="A1270" s="415"/>
      <c r="B1270" s="416"/>
      <c r="C1270" s="424"/>
      <c r="E1270" s="418"/>
      <c r="F1270" s="419"/>
      <c r="G1270" s="420"/>
      <c r="H1270" s="421"/>
      <c r="I1270" s="425"/>
      <c r="J1270" s="492"/>
      <c r="K1270" s="418"/>
      <c r="L1270" s="418"/>
      <c r="M1270" s="418"/>
      <c r="N1270" s="421"/>
      <c r="O1270" s="421"/>
      <c r="P1270" s="421"/>
      <c r="Q1270" s="418"/>
      <c r="R1270" s="418"/>
      <c r="S1270" s="418"/>
      <c r="T1270" s="418"/>
      <c r="U1270" s="418"/>
      <c r="V1270" s="418"/>
      <c r="W1270" s="418"/>
      <c r="X1270" s="418"/>
      <c r="Y1270" s="418"/>
      <c r="Z1270" s="418"/>
      <c r="AA1270" s="418"/>
      <c r="AB1270" s="418"/>
      <c r="AC1270" s="418"/>
      <c r="AD1270" s="418"/>
      <c r="AE1270" s="418"/>
      <c r="AF1270" s="418"/>
      <c r="AG1270" s="418"/>
      <c r="AH1270" s="418"/>
      <c r="AI1270" s="418"/>
      <c r="AJ1270" s="418"/>
      <c r="AK1270" s="418"/>
      <c r="AL1270" s="418"/>
      <c r="AM1270" s="418"/>
      <c r="AN1270" s="423"/>
      <c r="AO1270" s="423"/>
      <c r="AP1270" s="423"/>
      <c r="AQ1270" s="423"/>
      <c r="AR1270" s="423"/>
      <c r="AS1270" s="423"/>
      <c r="AT1270" s="423"/>
      <c r="AU1270" s="423"/>
      <c r="AV1270" s="423"/>
      <c r="AW1270" s="418"/>
      <c r="AX1270" s="418"/>
      <c r="AY1270" s="418"/>
      <c r="BF1270" s="1119"/>
      <c r="BG1270" s="1119"/>
      <c r="BH1270" s="1119"/>
    </row>
    <row r="1271" spans="1:60" ht="15.75" customHeight="1">
      <c r="A1271" s="415"/>
      <c r="B1271" s="416"/>
      <c r="C1271" s="424"/>
      <c r="E1271" s="418"/>
      <c r="F1271" s="419"/>
      <c r="G1271" s="420"/>
      <c r="H1271" s="421"/>
      <c r="I1271" s="421"/>
      <c r="J1271" s="492"/>
      <c r="K1271" s="418"/>
      <c r="L1271" s="418"/>
      <c r="M1271" s="418"/>
      <c r="N1271" s="421"/>
      <c r="O1271" s="421"/>
      <c r="P1271" s="421"/>
      <c r="Q1271" s="418"/>
      <c r="R1271" s="418"/>
      <c r="S1271" s="418"/>
      <c r="T1271" s="418"/>
      <c r="U1271" s="418"/>
      <c r="V1271" s="418"/>
      <c r="W1271" s="418"/>
      <c r="X1271" s="418"/>
      <c r="Y1271" s="418"/>
      <c r="Z1271" s="418"/>
      <c r="AA1271" s="418"/>
      <c r="AB1271" s="418"/>
      <c r="AC1271" s="418"/>
      <c r="AD1271" s="418"/>
      <c r="AE1271" s="418"/>
      <c r="AF1271" s="418"/>
      <c r="AG1271" s="418"/>
      <c r="AH1271" s="418"/>
      <c r="AI1271" s="418"/>
      <c r="AJ1271" s="418"/>
      <c r="AK1271" s="418"/>
      <c r="AL1271" s="418"/>
      <c r="AM1271" s="418"/>
      <c r="AN1271" s="423"/>
      <c r="AO1271" s="423"/>
      <c r="AP1271" s="423"/>
      <c r="AQ1271" s="423"/>
      <c r="AR1271" s="423"/>
      <c r="AS1271" s="423"/>
      <c r="AT1271" s="423"/>
      <c r="AU1271" s="423"/>
      <c r="AV1271" s="423"/>
      <c r="AW1271" s="418"/>
      <c r="AX1271" s="418"/>
      <c r="AY1271" s="418"/>
      <c r="BF1271" s="1119"/>
      <c r="BG1271" s="1119"/>
      <c r="BH1271" s="1119"/>
    </row>
    <row r="1272" spans="1:60" ht="15.75" customHeight="1">
      <c r="A1272" s="415"/>
      <c r="B1272" s="416"/>
      <c r="C1272" s="424"/>
      <c r="E1272" s="418"/>
      <c r="F1272" s="419"/>
      <c r="G1272" s="420"/>
      <c r="H1272" s="421"/>
      <c r="I1272" s="421"/>
      <c r="J1272" s="492"/>
      <c r="K1272" s="418"/>
      <c r="L1272" s="418"/>
      <c r="M1272" s="418"/>
      <c r="N1272" s="421"/>
      <c r="O1272" s="421"/>
      <c r="P1272" s="421"/>
      <c r="Q1272" s="418"/>
      <c r="R1272" s="418"/>
      <c r="S1272" s="418"/>
      <c r="T1272" s="418"/>
      <c r="U1272" s="418"/>
      <c r="V1272" s="418"/>
      <c r="W1272" s="418"/>
      <c r="X1272" s="418"/>
      <c r="Y1272" s="418"/>
      <c r="Z1272" s="418"/>
      <c r="AA1272" s="418"/>
      <c r="AB1272" s="418"/>
      <c r="AC1272" s="418"/>
      <c r="AD1272" s="418"/>
      <c r="AE1272" s="418"/>
      <c r="AF1272" s="418"/>
      <c r="AG1272" s="418"/>
      <c r="AH1272" s="418"/>
      <c r="AI1272" s="418"/>
      <c r="AJ1272" s="418"/>
      <c r="AK1272" s="418"/>
      <c r="AL1272" s="418"/>
      <c r="AM1272" s="418"/>
      <c r="AN1272" s="423"/>
      <c r="AO1272" s="423"/>
      <c r="AP1272" s="423"/>
      <c r="AQ1272" s="423"/>
      <c r="AR1272" s="423"/>
      <c r="AS1272" s="423"/>
      <c r="AT1272" s="423"/>
      <c r="AU1272" s="423"/>
      <c r="AV1272" s="423"/>
      <c r="AW1272" s="418"/>
      <c r="AX1272" s="418"/>
      <c r="AY1272" s="418"/>
      <c r="BF1272" s="1119"/>
      <c r="BG1272" s="1119"/>
      <c r="BH1272" s="1119"/>
    </row>
    <row r="1273" spans="1:60" ht="15.75" customHeight="1">
      <c r="A1273" s="415"/>
      <c r="B1273" s="416"/>
      <c r="C1273" s="424"/>
      <c r="E1273" s="418"/>
      <c r="F1273" s="419"/>
      <c r="G1273" s="420"/>
      <c r="H1273" s="421"/>
      <c r="I1273" s="425"/>
      <c r="J1273" s="492"/>
      <c r="K1273" s="418"/>
      <c r="L1273" s="418"/>
      <c r="M1273" s="418"/>
      <c r="N1273" s="421"/>
      <c r="O1273" s="421"/>
      <c r="P1273" s="421"/>
      <c r="Q1273" s="418"/>
      <c r="R1273" s="418"/>
      <c r="S1273" s="418"/>
      <c r="T1273" s="418"/>
      <c r="U1273" s="418"/>
      <c r="V1273" s="418"/>
      <c r="W1273" s="418"/>
      <c r="X1273" s="418"/>
      <c r="Y1273" s="418"/>
      <c r="Z1273" s="418"/>
      <c r="AA1273" s="418"/>
      <c r="AB1273" s="418"/>
      <c r="AC1273" s="418"/>
      <c r="AD1273" s="418"/>
      <c r="AE1273" s="418"/>
      <c r="AF1273" s="418"/>
      <c r="AG1273" s="418"/>
      <c r="AH1273" s="418"/>
      <c r="AI1273" s="418"/>
      <c r="AJ1273" s="418"/>
      <c r="AK1273" s="418"/>
      <c r="AL1273" s="418"/>
      <c r="AM1273" s="418"/>
      <c r="AN1273" s="423"/>
      <c r="AO1273" s="423"/>
      <c r="AP1273" s="423"/>
      <c r="AQ1273" s="423"/>
      <c r="AR1273" s="423"/>
      <c r="AS1273" s="423"/>
      <c r="AT1273" s="423"/>
      <c r="AU1273" s="423"/>
      <c r="AV1273" s="423"/>
      <c r="AW1273" s="418"/>
      <c r="AX1273" s="418"/>
      <c r="AY1273" s="418"/>
      <c r="BF1273" s="1119"/>
      <c r="BG1273" s="1119"/>
      <c r="BH1273" s="1119"/>
    </row>
    <row r="1274" spans="1:60" ht="15.75" customHeight="1">
      <c r="A1274" s="415"/>
      <c r="B1274" s="416"/>
      <c r="C1274" s="424"/>
      <c r="E1274" s="418"/>
      <c r="F1274" s="419"/>
      <c r="G1274" s="420"/>
      <c r="H1274" s="421"/>
      <c r="I1274" s="421"/>
      <c r="J1274" s="492"/>
      <c r="K1274" s="418"/>
      <c r="L1274" s="418"/>
      <c r="M1274" s="418"/>
      <c r="N1274" s="421"/>
      <c r="O1274" s="421"/>
      <c r="P1274" s="421"/>
      <c r="Q1274" s="418"/>
      <c r="R1274" s="418"/>
      <c r="S1274" s="418"/>
      <c r="T1274" s="418"/>
      <c r="U1274" s="418"/>
      <c r="V1274" s="418"/>
      <c r="W1274" s="418"/>
      <c r="X1274" s="418"/>
      <c r="Y1274" s="418"/>
      <c r="Z1274" s="418"/>
      <c r="AA1274" s="418"/>
      <c r="AB1274" s="418"/>
      <c r="AC1274" s="418"/>
      <c r="AD1274" s="418"/>
      <c r="AE1274" s="418"/>
      <c r="AF1274" s="418"/>
      <c r="AG1274" s="418"/>
      <c r="AH1274" s="418"/>
      <c r="AI1274" s="418"/>
      <c r="AJ1274" s="418"/>
      <c r="AK1274" s="418"/>
      <c r="AL1274" s="418"/>
      <c r="AM1274" s="418"/>
      <c r="AN1274" s="423"/>
      <c r="AO1274" s="423"/>
      <c r="AP1274" s="423"/>
      <c r="AQ1274" s="423"/>
      <c r="AR1274" s="423"/>
      <c r="AS1274" s="423"/>
      <c r="AT1274" s="423"/>
      <c r="AU1274" s="423"/>
      <c r="AV1274" s="423"/>
      <c r="AW1274" s="418"/>
      <c r="AX1274" s="418"/>
      <c r="AY1274" s="418"/>
      <c r="BF1274" s="1119"/>
      <c r="BG1274" s="1119"/>
      <c r="BH1274" s="1119"/>
    </row>
    <row r="1275" spans="1:60" ht="15.75" customHeight="1">
      <c r="A1275" s="415"/>
      <c r="B1275" s="416"/>
      <c r="C1275" s="424"/>
      <c r="E1275" s="418"/>
      <c r="F1275" s="419"/>
      <c r="G1275" s="420"/>
      <c r="H1275" s="421"/>
      <c r="I1275" s="425"/>
      <c r="J1275" s="492"/>
      <c r="K1275" s="418"/>
      <c r="L1275" s="418"/>
      <c r="M1275" s="418"/>
      <c r="N1275" s="421"/>
      <c r="O1275" s="421"/>
      <c r="P1275" s="421"/>
      <c r="Q1275" s="418"/>
      <c r="R1275" s="418"/>
      <c r="S1275" s="418"/>
      <c r="T1275" s="418"/>
      <c r="U1275" s="418"/>
      <c r="V1275" s="418"/>
      <c r="W1275" s="418"/>
      <c r="X1275" s="418"/>
      <c r="Y1275" s="418"/>
      <c r="Z1275" s="418"/>
      <c r="AA1275" s="418"/>
      <c r="AB1275" s="418"/>
      <c r="AC1275" s="418"/>
      <c r="AD1275" s="418"/>
      <c r="AE1275" s="418"/>
      <c r="AF1275" s="418"/>
      <c r="AG1275" s="418"/>
      <c r="AH1275" s="418"/>
      <c r="AI1275" s="418"/>
      <c r="AJ1275" s="418"/>
      <c r="AK1275" s="418"/>
      <c r="AL1275" s="418"/>
      <c r="AM1275" s="418"/>
      <c r="AN1275" s="423"/>
      <c r="AO1275" s="423"/>
      <c r="AP1275" s="423"/>
      <c r="AQ1275" s="423"/>
      <c r="AR1275" s="423"/>
      <c r="AS1275" s="423"/>
      <c r="AT1275" s="423"/>
      <c r="AU1275" s="423"/>
      <c r="AV1275" s="423"/>
      <c r="AW1275" s="418"/>
      <c r="AX1275" s="418"/>
      <c r="AY1275" s="418"/>
      <c r="BF1275" s="1119"/>
      <c r="BG1275" s="1119"/>
      <c r="BH1275" s="1119"/>
    </row>
    <row r="1276" spans="1:60" ht="15.75" customHeight="1">
      <c r="A1276" s="415"/>
      <c r="B1276" s="416"/>
      <c r="C1276" s="424"/>
      <c r="E1276" s="418"/>
      <c r="F1276" s="419"/>
      <c r="G1276" s="420"/>
      <c r="H1276" s="418"/>
      <c r="I1276" s="419"/>
      <c r="J1276" s="492"/>
      <c r="K1276" s="418"/>
      <c r="L1276" s="418"/>
      <c r="M1276" s="418"/>
      <c r="N1276" s="421"/>
      <c r="O1276" s="421"/>
      <c r="P1276" s="421"/>
      <c r="Q1276" s="418"/>
      <c r="R1276" s="418"/>
      <c r="S1276" s="418"/>
      <c r="T1276" s="418"/>
      <c r="U1276" s="418"/>
      <c r="V1276" s="418"/>
      <c r="W1276" s="418"/>
      <c r="X1276" s="418"/>
      <c r="Y1276" s="418"/>
      <c r="Z1276" s="418"/>
      <c r="AA1276" s="418"/>
      <c r="AB1276" s="418"/>
      <c r="AC1276" s="418"/>
      <c r="AD1276" s="418"/>
      <c r="AE1276" s="418"/>
      <c r="AF1276" s="418"/>
      <c r="AG1276" s="418"/>
      <c r="AH1276" s="418"/>
      <c r="AI1276" s="418"/>
      <c r="AJ1276" s="418"/>
      <c r="AK1276" s="418"/>
      <c r="AL1276" s="418"/>
      <c r="AM1276" s="418"/>
      <c r="AN1276" s="423"/>
      <c r="AO1276" s="423"/>
      <c r="AP1276" s="423"/>
      <c r="AQ1276" s="423"/>
      <c r="AR1276" s="423"/>
      <c r="AS1276" s="423"/>
      <c r="AT1276" s="423"/>
      <c r="AU1276" s="423"/>
      <c r="AV1276" s="423"/>
      <c r="AW1276" s="418"/>
      <c r="AX1276" s="418"/>
      <c r="AY1276" s="418"/>
      <c r="BF1276" s="1119"/>
      <c r="BG1276" s="1119"/>
      <c r="BH1276" s="1119"/>
    </row>
    <row r="1277" spans="1:60" ht="15.75" customHeight="1">
      <c r="A1277" s="415"/>
      <c r="B1277" s="416"/>
      <c r="C1277" s="424"/>
      <c r="E1277" s="418"/>
      <c r="F1277" s="419"/>
      <c r="G1277" s="420"/>
      <c r="H1277" s="418"/>
      <c r="I1277" s="419"/>
      <c r="J1277" s="492"/>
      <c r="K1277" s="418"/>
      <c r="L1277" s="418"/>
      <c r="M1277" s="418"/>
      <c r="N1277" s="421"/>
      <c r="O1277" s="421"/>
      <c r="P1277" s="421"/>
      <c r="Q1277" s="418"/>
      <c r="R1277" s="418"/>
      <c r="S1277" s="418"/>
      <c r="T1277" s="418"/>
      <c r="U1277" s="418"/>
      <c r="V1277" s="418"/>
      <c r="W1277" s="418"/>
      <c r="X1277" s="418"/>
      <c r="Y1277" s="418"/>
      <c r="Z1277" s="418"/>
      <c r="AA1277" s="418"/>
      <c r="AB1277" s="418"/>
      <c r="AC1277" s="418"/>
      <c r="AD1277" s="418"/>
      <c r="AE1277" s="418"/>
      <c r="AF1277" s="418"/>
      <c r="AG1277" s="418"/>
      <c r="AH1277" s="418"/>
      <c r="AI1277" s="418"/>
      <c r="AJ1277" s="418"/>
      <c r="AK1277" s="418"/>
      <c r="AL1277" s="418"/>
      <c r="AM1277" s="418"/>
      <c r="AN1277" s="423"/>
      <c r="AO1277" s="423"/>
      <c r="AP1277" s="423"/>
      <c r="AQ1277" s="423"/>
      <c r="AR1277" s="423"/>
      <c r="AS1277" s="423"/>
      <c r="AT1277" s="423"/>
      <c r="AU1277" s="423"/>
      <c r="AV1277" s="423"/>
      <c r="AW1277" s="418"/>
      <c r="AX1277" s="418"/>
      <c r="AY1277" s="418"/>
      <c r="BF1277" s="1119"/>
      <c r="BG1277" s="1119"/>
      <c r="BH1277" s="1119"/>
    </row>
    <row r="1278" spans="1:60" ht="15.75" customHeight="1">
      <c r="A1278" s="415"/>
      <c r="B1278" s="416"/>
      <c r="C1278" s="424"/>
      <c r="E1278" s="418"/>
      <c r="F1278" s="419"/>
      <c r="G1278" s="420"/>
      <c r="H1278" s="421"/>
      <c r="I1278" s="421"/>
      <c r="J1278" s="492"/>
      <c r="K1278" s="418"/>
      <c r="L1278" s="418"/>
      <c r="M1278" s="418"/>
      <c r="N1278" s="421"/>
      <c r="O1278" s="421"/>
      <c r="P1278" s="421"/>
      <c r="Q1278" s="418"/>
      <c r="R1278" s="418"/>
      <c r="S1278" s="418"/>
      <c r="T1278" s="418"/>
      <c r="U1278" s="418"/>
      <c r="V1278" s="418"/>
      <c r="W1278" s="418"/>
      <c r="X1278" s="418"/>
      <c r="Y1278" s="418"/>
      <c r="Z1278" s="418"/>
      <c r="AA1278" s="418"/>
      <c r="AB1278" s="418"/>
      <c r="AC1278" s="418"/>
      <c r="AD1278" s="418"/>
      <c r="AE1278" s="418"/>
      <c r="AF1278" s="418"/>
      <c r="AG1278" s="418"/>
      <c r="AH1278" s="418"/>
      <c r="AI1278" s="418"/>
      <c r="AJ1278" s="418"/>
      <c r="AK1278" s="418"/>
      <c r="AL1278" s="418"/>
      <c r="AM1278" s="418"/>
      <c r="AN1278" s="423"/>
      <c r="AO1278" s="423"/>
      <c r="AP1278" s="423"/>
      <c r="AQ1278" s="423"/>
      <c r="AR1278" s="423"/>
      <c r="AS1278" s="423"/>
      <c r="AT1278" s="423"/>
      <c r="AU1278" s="423"/>
      <c r="AV1278" s="423"/>
      <c r="AW1278" s="418"/>
      <c r="AX1278" s="418"/>
      <c r="AY1278" s="418"/>
      <c r="BF1278" s="1119"/>
      <c r="BG1278" s="1119"/>
      <c r="BH1278" s="1119"/>
    </row>
    <row r="1279" spans="1:60" ht="15.75" customHeight="1">
      <c r="A1279" s="415"/>
      <c r="B1279" s="416"/>
      <c r="C1279" s="424"/>
      <c r="E1279" s="418"/>
      <c r="F1279" s="419"/>
      <c r="G1279" s="420"/>
      <c r="H1279" s="421"/>
      <c r="I1279" s="425"/>
      <c r="J1279" s="492"/>
      <c r="K1279" s="418"/>
      <c r="L1279" s="418"/>
      <c r="M1279" s="418"/>
      <c r="N1279" s="421"/>
      <c r="O1279" s="421"/>
      <c r="P1279" s="421"/>
      <c r="Q1279" s="418"/>
      <c r="R1279" s="418"/>
      <c r="S1279" s="418"/>
      <c r="T1279" s="418"/>
      <c r="U1279" s="418"/>
      <c r="V1279" s="418"/>
      <c r="W1279" s="418"/>
      <c r="X1279" s="418"/>
      <c r="Y1279" s="418"/>
      <c r="Z1279" s="418"/>
      <c r="AA1279" s="418"/>
      <c r="AB1279" s="418"/>
      <c r="AC1279" s="418"/>
      <c r="AD1279" s="418"/>
      <c r="AE1279" s="418"/>
      <c r="AF1279" s="418"/>
      <c r="AG1279" s="418"/>
      <c r="AH1279" s="418"/>
      <c r="AI1279" s="418"/>
      <c r="AJ1279" s="418"/>
      <c r="AK1279" s="418"/>
      <c r="AL1279" s="418"/>
      <c r="AM1279" s="418"/>
      <c r="AN1279" s="423"/>
      <c r="AO1279" s="423"/>
      <c r="AP1279" s="423"/>
      <c r="AQ1279" s="423"/>
      <c r="AR1279" s="423"/>
      <c r="AS1279" s="423"/>
      <c r="AT1279" s="423"/>
      <c r="AU1279" s="423"/>
      <c r="AV1279" s="423"/>
      <c r="AW1279" s="418"/>
      <c r="AX1279" s="418"/>
      <c r="AY1279" s="418"/>
      <c r="BF1279" s="1119"/>
      <c r="BG1279" s="1119"/>
      <c r="BH1279" s="1119"/>
    </row>
    <row r="1280" spans="1:60" ht="15.75" customHeight="1">
      <c r="A1280" s="415"/>
      <c r="B1280" s="416"/>
      <c r="C1280" s="424"/>
      <c r="E1280" s="418"/>
      <c r="F1280" s="419"/>
      <c r="G1280" s="420"/>
      <c r="H1280" s="421"/>
      <c r="I1280" s="421"/>
      <c r="J1280" s="492"/>
      <c r="K1280" s="418"/>
      <c r="L1280" s="418"/>
      <c r="M1280" s="418"/>
      <c r="N1280" s="421"/>
      <c r="O1280" s="421"/>
      <c r="P1280" s="421"/>
      <c r="Q1280" s="418"/>
      <c r="R1280" s="418"/>
      <c r="S1280" s="418"/>
      <c r="T1280" s="418"/>
      <c r="U1280" s="418"/>
      <c r="V1280" s="418"/>
      <c r="W1280" s="418"/>
      <c r="X1280" s="418"/>
      <c r="Y1280" s="418"/>
      <c r="Z1280" s="418"/>
      <c r="AA1280" s="418"/>
      <c r="AB1280" s="418"/>
      <c r="AC1280" s="418"/>
      <c r="AD1280" s="418"/>
      <c r="AE1280" s="418"/>
      <c r="AF1280" s="418"/>
      <c r="AG1280" s="418"/>
      <c r="AH1280" s="418"/>
      <c r="AI1280" s="418"/>
      <c r="AJ1280" s="418"/>
      <c r="AK1280" s="418"/>
      <c r="AL1280" s="418"/>
      <c r="AM1280" s="418"/>
      <c r="AN1280" s="423"/>
      <c r="AO1280" s="423"/>
      <c r="AP1280" s="423"/>
      <c r="AQ1280" s="423"/>
      <c r="AR1280" s="423"/>
      <c r="AS1280" s="423"/>
      <c r="AT1280" s="423"/>
      <c r="AU1280" s="423"/>
      <c r="AV1280" s="423"/>
      <c r="AW1280" s="418"/>
      <c r="AX1280" s="418"/>
      <c r="AY1280" s="418"/>
      <c r="BF1280" s="1119"/>
      <c r="BG1280" s="1119"/>
      <c r="BH1280" s="1119"/>
    </row>
    <row r="1281" spans="1:60" ht="15.75" customHeight="1">
      <c r="A1281" s="415"/>
      <c r="B1281" s="416"/>
      <c r="C1281" s="424"/>
      <c r="E1281" s="418"/>
      <c r="F1281" s="419"/>
      <c r="G1281" s="420"/>
      <c r="H1281" s="421"/>
      <c r="I1281" s="421"/>
      <c r="J1281" s="492"/>
      <c r="K1281" s="418"/>
      <c r="L1281" s="418"/>
      <c r="M1281" s="418"/>
      <c r="N1281" s="421"/>
      <c r="O1281" s="421"/>
      <c r="P1281" s="421"/>
      <c r="Q1281" s="418"/>
      <c r="R1281" s="418"/>
      <c r="S1281" s="418"/>
      <c r="T1281" s="418"/>
      <c r="U1281" s="418"/>
      <c r="V1281" s="418"/>
      <c r="W1281" s="418"/>
      <c r="X1281" s="418"/>
      <c r="Y1281" s="418"/>
      <c r="Z1281" s="418"/>
      <c r="AA1281" s="418"/>
      <c r="AB1281" s="418"/>
      <c r="AC1281" s="418"/>
      <c r="AD1281" s="418"/>
      <c r="AE1281" s="418"/>
      <c r="AF1281" s="418"/>
      <c r="AG1281" s="418"/>
      <c r="AH1281" s="418"/>
      <c r="AI1281" s="418"/>
      <c r="AJ1281" s="418"/>
      <c r="AK1281" s="418"/>
      <c r="AL1281" s="418"/>
      <c r="AM1281" s="418"/>
      <c r="AN1281" s="423"/>
      <c r="AO1281" s="423"/>
      <c r="AP1281" s="423"/>
      <c r="AQ1281" s="423"/>
      <c r="AR1281" s="423"/>
      <c r="AS1281" s="423"/>
      <c r="AT1281" s="423"/>
      <c r="AU1281" s="423"/>
      <c r="AV1281" s="423"/>
      <c r="AW1281" s="418"/>
      <c r="AX1281" s="418"/>
      <c r="AY1281" s="418"/>
      <c r="BF1281" s="1119"/>
      <c r="BG1281" s="1119"/>
      <c r="BH1281" s="1119"/>
    </row>
    <row r="1282" spans="1:60" ht="15.75" customHeight="1">
      <c r="A1282" s="415"/>
      <c r="B1282" s="416"/>
      <c r="C1282" s="424"/>
      <c r="E1282" s="418"/>
      <c r="F1282" s="419"/>
      <c r="G1282" s="420"/>
      <c r="H1282" s="421"/>
      <c r="I1282" s="421"/>
      <c r="J1282" s="492"/>
      <c r="K1282" s="418"/>
      <c r="L1282" s="418"/>
      <c r="M1282" s="418"/>
      <c r="N1282" s="421"/>
      <c r="O1282" s="421"/>
      <c r="P1282" s="421"/>
      <c r="Q1282" s="418"/>
      <c r="R1282" s="418"/>
      <c r="S1282" s="418"/>
      <c r="T1282" s="418"/>
      <c r="U1282" s="418"/>
      <c r="V1282" s="418"/>
      <c r="W1282" s="418"/>
      <c r="X1282" s="418"/>
      <c r="Y1282" s="418"/>
      <c r="Z1282" s="418"/>
      <c r="AA1282" s="418"/>
      <c r="AB1282" s="418"/>
      <c r="AC1282" s="418"/>
      <c r="AD1282" s="418"/>
      <c r="AE1282" s="418"/>
      <c r="AF1282" s="418"/>
      <c r="AG1282" s="418"/>
      <c r="AH1282" s="418"/>
      <c r="AI1282" s="418"/>
      <c r="AJ1282" s="418"/>
      <c r="AK1282" s="418"/>
      <c r="AL1282" s="418"/>
      <c r="AM1282" s="418"/>
      <c r="AN1282" s="423"/>
      <c r="AO1282" s="423"/>
      <c r="AP1282" s="423"/>
      <c r="AQ1282" s="423"/>
      <c r="AR1282" s="423"/>
      <c r="AS1282" s="423"/>
      <c r="AT1282" s="423"/>
      <c r="AU1282" s="423"/>
      <c r="AV1282" s="423"/>
      <c r="AW1282" s="418"/>
      <c r="AX1282" s="418"/>
      <c r="AY1282" s="418"/>
      <c r="BF1282" s="1119"/>
      <c r="BG1282" s="1119"/>
      <c r="BH1282" s="1119"/>
    </row>
    <row r="1283" spans="1:60" ht="15.75" customHeight="1">
      <c r="A1283" s="415"/>
      <c r="B1283" s="416"/>
      <c r="C1283" s="424"/>
      <c r="E1283" s="418"/>
      <c r="F1283" s="419"/>
      <c r="G1283" s="420"/>
      <c r="H1283" s="421"/>
      <c r="I1283" s="421"/>
      <c r="J1283" s="492"/>
      <c r="K1283" s="418"/>
      <c r="L1283" s="418"/>
      <c r="M1283" s="418"/>
      <c r="N1283" s="421"/>
      <c r="O1283" s="421"/>
      <c r="P1283" s="421"/>
      <c r="Q1283" s="418"/>
      <c r="R1283" s="418"/>
      <c r="S1283" s="418"/>
      <c r="T1283" s="418"/>
      <c r="U1283" s="418"/>
      <c r="V1283" s="418"/>
      <c r="W1283" s="418"/>
      <c r="X1283" s="418"/>
      <c r="Y1283" s="418"/>
      <c r="Z1283" s="418"/>
      <c r="AA1283" s="418"/>
      <c r="AB1283" s="418"/>
      <c r="AC1283" s="418"/>
      <c r="AD1283" s="418"/>
      <c r="AE1283" s="418"/>
      <c r="AF1283" s="418"/>
      <c r="AG1283" s="418"/>
      <c r="AH1283" s="418"/>
      <c r="AI1283" s="418"/>
      <c r="AJ1283" s="418"/>
      <c r="AK1283" s="418"/>
      <c r="AL1283" s="418"/>
      <c r="AM1283" s="418"/>
      <c r="AN1283" s="423"/>
      <c r="AO1283" s="423"/>
      <c r="AP1283" s="423"/>
      <c r="AQ1283" s="423"/>
      <c r="AR1283" s="423"/>
      <c r="AS1283" s="423"/>
      <c r="AT1283" s="423"/>
      <c r="AU1283" s="423"/>
      <c r="AV1283" s="423"/>
      <c r="AW1283" s="418"/>
      <c r="AX1283" s="418"/>
      <c r="AY1283" s="418"/>
      <c r="BF1283" s="1119"/>
      <c r="BG1283" s="1119"/>
      <c r="BH1283" s="1119"/>
    </row>
    <row r="1284" spans="1:60" ht="15.75" customHeight="1">
      <c r="A1284" s="415"/>
      <c r="B1284" s="416"/>
      <c r="C1284" s="424"/>
      <c r="E1284" s="418"/>
      <c r="F1284" s="419"/>
      <c r="G1284" s="420"/>
      <c r="H1284" s="421"/>
      <c r="I1284" s="421"/>
      <c r="J1284" s="492"/>
      <c r="K1284" s="418"/>
      <c r="L1284" s="418"/>
      <c r="M1284" s="418"/>
      <c r="N1284" s="421"/>
      <c r="O1284" s="421"/>
      <c r="P1284" s="421"/>
      <c r="Q1284" s="418"/>
      <c r="R1284" s="418"/>
      <c r="S1284" s="418"/>
      <c r="T1284" s="418"/>
      <c r="U1284" s="418"/>
      <c r="V1284" s="418"/>
      <c r="W1284" s="418"/>
      <c r="X1284" s="418"/>
      <c r="Y1284" s="418"/>
      <c r="Z1284" s="418"/>
      <c r="AA1284" s="418"/>
      <c r="AB1284" s="418"/>
      <c r="AC1284" s="418"/>
      <c r="AD1284" s="418"/>
      <c r="AE1284" s="418"/>
      <c r="AF1284" s="418"/>
      <c r="AG1284" s="418"/>
      <c r="AH1284" s="418"/>
      <c r="AI1284" s="418"/>
      <c r="AJ1284" s="418"/>
      <c r="AK1284" s="418"/>
      <c r="AL1284" s="418"/>
      <c r="AM1284" s="418"/>
      <c r="AN1284" s="423"/>
      <c r="AO1284" s="423"/>
      <c r="AP1284" s="423"/>
      <c r="AQ1284" s="423"/>
      <c r="AR1284" s="423"/>
      <c r="AS1284" s="423"/>
      <c r="AT1284" s="423"/>
      <c r="AU1284" s="423"/>
      <c r="AV1284" s="423"/>
      <c r="AW1284" s="418"/>
      <c r="AX1284" s="418"/>
      <c r="AY1284" s="418"/>
      <c r="BF1284" s="1119"/>
      <c r="BG1284" s="1119"/>
      <c r="BH1284" s="1119"/>
    </row>
    <row r="1285" spans="1:60" ht="15.75" customHeight="1">
      <c r="A1285" s="415"/>
      <c r="B1285" s="416"/>
      <c r="C1285" s="424"/>
      <c r="E1285" s="418"/>
      <c r="F1285" s="419"/>
      <c r="G1285" s="420"/>
      <c r="H1285" s="421"/>
      <c r="I1285" s="421"/>
      <c r="J1285" s="492"/>
      <c r="K1285" s="418"/>
      <c r="L1285" s="418"/>
      <c r="M1285" s="418"/>
      <c r="N1285" s="421"/>
      <c r="O1285" s="421"/>
      <c r="P1285" s="421"/>
      <c r="Q1285" s="418"/>
      <c r="R1285" s="418"/>
      <c r="S1285" s="418"/>
      <c r="T1285" s="418"/>
      <c r="U1285" s="418"/>
      <c r="V1285" s="418"/>
      <c r="W1285" s="418"/>
      <c r="X1285" s="418"/>
      <c r="Y1285" s="418"/>
      <c r="Z1285" s="418"/>
      <c r="AA1285" s="418"/>
      <c r="AB1285" s="418"/>
      <c r="AC1285" s="418"/>
      <c r="AD1285" s="418"/>
      <c r="AE1285" s="418"/>
      <c r="AF1285" s="418"/>
      <c r="AG1285" s="418"/>
      <c r="AH1285" s="418"/>
      <c r="AI1285" s="418"/>
      <c r="AJ1285" s="418"/>
      <c r="AK1285" s="418"/>
      <c r="AL1285" s="418"/>
      <c r="AM1285" s="418"/>
      <c r="AN1285" s="423"/>
      <c r="AO1285" s="423"/>
      <c r="AP1285" s="423"/>
      <c r="AQ1285" s="423"/>
      <c r="AR1285" s="423"/>
      <c r="AS1285" s="423"/>
      <c r="AT1285" s="423"/>
      <c r="AU1285" s="423"/>
      <c r="AV1285" s="423"/>
      <c r="AW1285" s="418"/>
      <c r="AX1285" s="418"/>
      <c r="AY1285" s="418"/>
      <c r="BF1285" s="1119"/>
      <c r="BG1285" s="1119"/>
      <c r="BH1285" s="1119"/>
    </row>
    <row r="1286" spans="1:60" ht="15.75" customHeight="1">
      <c r="A1286" s="415"/>
      <c r="B1286" s="416"/>
      <c r="C1286" s="424"/>
      <c r="E1286" s="418"/>
      <c r="F1286" s="419"/>
      <c r="G1286" s="420"/>
      <c r="H1286" s="421"/>
      <c r="I1286" s="421"/>
      <c r="J1286" s="492"/>
      <c r="K1286" s="418"/>
      <c r="L1286" s="418"/>
      <c r="M1286" s="418"/>
      <c r="N1286" s="421"/>
      <c r="O1286" s="421"/>
      <c r="P1286" s="421"/>
      <c r="Q1286" s="418"/>
      <c r="R1286" s="418"/>
      <c r="S1286" s="418"/>
      <c r="T1286" s="418"/>
      <c r="U1286" s="418"/>
      <c r="V1286" s="418"/>
      <c r="W1286" s="418"/>
      <c r="X1286" s="418"/>
      <c r="Y1286" s="418"/>
      <c r="Z1286" s="418"/>
      <c r="AA1286" s="418"/>
      <c r="AB1286" s="418"/>
      <c r="AC1286" s="418"/>
      <c r="AD1286" s="418"/>
      <c r="AE1286" s="418"/>
      <c r="AF1286" s="418"/>
      <c r="AG1286" s="418"/>
      <c r="AH1286" s="418"/>
      <c r="AI1286" s="418"/>
      <c r="AJ1286" s="418"/>
      <c r="AK1286" s="418"/>
      <c r="AL1286" s="418"/>
      <c r="AM1286" s="418"/>
      <c r="AN1286" s="423"/>
      <c r="AO1286" s="423"/>
      <c r="AP1286" s="423"/>
      <c r="AQ1286" s="423"/>
      <c r="AR1286" s="423"/>
      <c r="AS1286" s="423"/>
      <c r="AT1286" s="423"/>
      <c r="AU1286" s="423"/>
      <c r="AV1286" s="423"/>
      <c r="AW1286" s="418"/>
      <c r="AX1286" s="418"/>
      <c r="AY1286" s="418"/>
      <c r="BF1286" s="1119"/>
      <c r="BG1286" s="1119"/>
      <c r="BH1286" s="1119"/>
    </row>
    <row r="1287" spans="1:60" ht="15.75" customHeight="1">
      <c r="A1287" s="415"/>
      <c r="B1287" s="416"/>
      <c r="C1287" s="424"/>
      <c r="E1287" s="418"/>
      <c r="F1287" s="419"/>
      <c r="G1287" s="420"/>
      <c r="H1287" s="421"/>
      <c r="I1287" s="421"/>
      <c r="J1287" s="492"/>
      <c r="K1287" s="418"/>
      <c r="L1287" s="418"/>
      <c r="M1287" s="418"/>
      <c r="N1287" s="421"/>
      <c r="O1287" s="421"/>
      <c r="P1287" s="421"/>
      <c r="Q1287" s="418"/>
      <c r="R1287" s="418"/>
      <c r="S1287" s="418"/>
      <c r="T1287" s="418"/>
      <c r="U1287" s="418"/>
      <c r="V1287" s="418"/>
      <c r="W1287" s="418"/>
      <c r="X1287" s="418"/>
      <c r="Y1287" s="418"/>
      <c r="Z1287" s="418"/>
      <c r="AA1287" s="418"/>
      <c r="AB1287" s="418"/>
      <c r="AC1287" s="418"/>
      <c r="AD1287" s="418"/>
      <c r="AE1287" s="418"/>
      <c r="AF1287" s="418"/>
      <c r="AG1287" s="418"/>
      <c r="AH1287" s="418"/>
      <c r="AI1287" s="418"/>
      <c r="AJ1287" s="418"/>
      <c r="AK1287" s="418"/>
      <c r="AL1287" s="418"/>
      <c r="AM1287" s="418"/>
      <c r="AN1287" s="423"/>
      <c r="AO1287" s="423"/>
      <c r="AP1287" s="423"/>
      <c r="AQ1287" s="423"/>
      <c r="AR1287" s="423"/>
      <c r="AS1287" s="423"/>
      <c r="AT1287" s="423"/>
      <c r="AU1287" s="423"/>
      <c r="AV1287" s="423"/>
      <c r="AW1287" s="418"/>
      <c r="AX1287" s="418"/>
      <c r="AY1287" s="418"/>
      <c r="BF1287" s="1119"/>
      <c r="BG1287" s="1119"/>
      <c r="BH1287" s="1119"/>
    </row>
    <row r="1288" spans="1:60" ht="15.75" customHeight="1">
      <c r="A1288" s="415"/>
      <c r="B1288" s="416"/>
      <c r="C1288" s="424"/>
      <c r="E1288" s="418"/>
      <c r="F1288" s="419"/>
      <c r="G1288" s="420"/>
      <c r="H1288" s="421"/>
      <c r="I1288" s="421"/>
      <c r="J1288" s="492"/>
      <c r="K1288" s="418"/>
      <c r="L1288" s="418"/>
      <c r="M1288" s="418"/>
      <c r="N1288" s="421"/>
      <c r="O1288" s="421"/>
      <c r="P1288" s="421"/>
      <c r="Q1288" s="418"/>
      <c r="R1288" s="418"/>
      <c r="S1288" s="418"/>
      <c r="T1288" s="418"/>
      <c r="U1288" s="418"/>
      <c r="V1288" s="418"/>
      <c r="W1288" s="418"/>
      <c r="X1288" s="418"/>
      <c r="Y1288" s="418"/>
      <c r="Z1288" s="418"/>
      <c r="AA1288" s="418"/>
      <c r="AB1288" s="418"/>
      <c r="AC1288" s="418"/>
      <c r="AD1288" s="418"/>
      <c r="AE1288" s="418"/>
      <c r="AF1288" s="418"/>
      <c r="AG1288" s="418"/>
      <c r="AH1288" s="418"/>
      <c r="AI1288" s="418"/>
      <c r="AJ1288" s="418"/>
      <c r="AK1288" s="418"/>
      <c r="AL1288" s="418"/>
      <c r="AM1288" s="418"/>
      <c r="AN1288" s="423"/>
      <c r="AO1288" s="423"/>
      <c r="AP1288" s="423"/>
      <c r="AQ1288" s="423"/>
      <c r="AR1288" s="423"/>
      <c r="AS1288" s="423"/>
      <c r="AT1288" s="423"/>
      <c r="AU1288" s="423"/>
      <c r="AV1288" s="423"/>
      <c r="AW1288" s="418"/>
      <c r="AX1288" s="418"/>
      <c r="AY1288" s="418"/>
      <c r="BF1288" s="1119"/>
      <c r="BG1288" s="1119"/>
      <c r="BH1288" s="1119"/>
    </row>
    <row r="1289" spans="1:60" ht="15.75" customHeight="1">
      <c r="A1289" s="415"/>
      <c r="B1289" s="416"/>
      <c r="C1289" s="424"/>
      <c r="E1289" s="418"/>
      <c r="F1289" s="419"/>
      <c r="G1289" s="420"/>
      <c r="H1289" s="421"/>
      <c r="I1289" s="421"/>
      <c r="J1289" s="492"/>
      <c r="K1289" s="418"/>
      <c r="L1289" s="418"/>
      <c r="M1289" s="418"/>
      <c r="N1289" s="421"/>
      <c r="O1289" s="421"/>
      <c r="P1289" s="421"/>
      <c r="Q1289" s="418"/>
      <c r="R1289" s="418"/>
      <c r="S1289" s="418"/>
      <c r="T1289" s="418"/>
      <c r="U1289" s="418"/>
      <c r="V1289" s="418"/>
      <c r="W1289" s="418"/>
      <c r="X1289" s="418"/>
      <c r="Y1289" s="418"/>
      <c r="Z1289" s="418"/>
      <c r="AA1289" s="418"/>
      <c r="AB1289" s="418"/>
      <c r="AC1289" s="418"/>
      <c r="AD1289" s="418"/>
      <c r="AE1289" s="418"/>
      <c r="AF1289" s="418"/>
      <c r="AG1289" s="418"/>
      <c r="AH1289" s="418"/>
      <c r="AI1289" s="418"/>
      <c r="AJ1289" s="418"/>
      <c r="AK1289" s="418"/>
      <c r="AL1289" s="418"/>
      <c r="AM1289" s="418"/>
      <c r="AN1289" s="423"/>
      <c r="AO1289" s="423"/>
      <c r="AP1289" s="423"/>
      <c r="AQ1289" s="423"/>
      <c r="AR1289" s="423"/>
      <c r="AS1289" s="423"/>
      <c r="AT1289" s="423"/>
      <c r="AU1289" s="423"/>
      <c r="AV1289" s="423"/>
      <c r="AW1289" s="418"/>
      <c r="AX1289" s="418"/>
      <c r="AY1289" s="418"/>
      <c r="BF1289" s="1119"/>
      <c r="BG1289" s="1119"/>
      <c r="BH1289" s="1119"/>
    </row>
    <row r="1290" spans="1:60" ht="15.75" customHeight="1">
      <c r="A1290" s="415"/>
      <c r="B1290" s="416"/>
      <c r="C1290" s="424"/>
      <c r="E1290" s="418"/>
      <c r="F1290" s="419"/>
      <c r="G1290" s="420"/>
      <c r="H1290" s="421"/>
      <c r="I1290" s="421"/>
      <c r="J1290" s="492"/>
      <c r="K1290" s="418"/>
      <c r="L1290" s="418"/>
      <c r="M1290" s="418"/>
      <c r="N1290" s="421"/>
      <c r="O1290" s="421"/>
      <c r="P1290" s="421"/>
      <c r="Q1290" s="418"/>
      <c r="R1290" s="418"/>
      <c r="S1290" s="418"/>
      <c r="T1290" s="418"/>
      <c r="U1290" s="418"/>
      <c r="V1290" s="418"/>
      <c r="W1290" s="418"/>
      <c r="X1290" s="418"/>
      <c r="Y1290" s="418"/>
      <c r="Z1290" s="418"/>
      <c r="AA1290" s="418"/>
      <c r="AB1290" s="418"/>
      <c r="AC1290" s="418"/>
      <c r="AD1290" s="418"/>
      <c r="AE1290" s="418"/>
      <c r="AF1290" s="418"/>
      <c r="AG1290" s="418"/>
      <c r="AH1290" s="418"/>
      <c r="AI1290" s="418"/>
      <c r="AJ1290" s="418"/>
      <c r="AK1290" s="418"/>
      <c r="AL1290" s="418"/>
      <c r="AM1290" s="418"/>
      <c r="AN1290" s="423"/>
      <c r="AO1290" s="423"/>
      <c r="AP1290" s="423"/>
      <c r="AQ1290" s="423"/>
      <c r="AR1290" s="423"/>
      <c r="AS1290" s="423"/>
      <c r="AT1290" s="423"/>
      <c r="AU1290" s="423"/>
      <c r="AV1290" s="423"/>
      <c r="AW1290" s="418"/>
      <c r="AX1290" s="418"/>
      <c r="AY1290" s="418"/>
      <c r="BF1290" s="1119"/>
      <c r="BG1290" s="1119"/>
      <c r="BH1290" s="1119"/>
    </row>
    <row r="1291" spans="1:60" ht="15.75" customHeight="1">
      <c r="A1291" s="415"/>
      <c r="B1291" s="416"/>
      <c r="C1291" s="424"/>
      <c r="E1291" s="418"/>
      <c r="F1291" s="419"/>
      <c r="G1291" s="420"/>
      <c r="H1291" s="421"/>
      <c r="I1291" s="421"/>
      <c r="J1291" s="492"/>
      <c r="K1291" s="418"/>
      <c r="L1291" s="418"/>
      <c r="M1291" s="418"/>
      <c r="N1291" s="421"/>
      <c r="O1291" s="421"/>
      <c r="P1291" s="421"/>
      <c r="Q1291" s="418"/>
      <c r="R1291" s="418"/>
      <c r="S1291" s="418"/>
      <c r="T1291" s="418"/>
      <c r="U1291" s="418"/>
      <c r="V1291" s="418"/>
      <c r="W1291" s="418"/>
      <c r="X1291" s="418"/>
      <c r="Y1291" s="418"/>
      <c r="Z1291" s="418"/>
      <c r="AA1291" s="418"/>
      <c r="AB1291" s="418"/>
      <c r="AC1291" s="418"/>
      <c r="AD1291" s="418"/>
      <c r="AE1291" s="418"/>
      <c r="AF1291" s="418"/>
      <c r="AG1291" s="418"/>
      <c r="AH1291" s="418"/>
      <c r="AI1291" s="418"/>
      <c r="AJ1291" s="418"/>
      <c r="AK1291" s="418"/>
      <c r="AL1291" s="418"/>
      <c r="AM1291" s="418"/>
      <c r="AN1291" s="423"/>
      <c r="AO1291" s="423"/>
      <c r="AP1291" s="423"/>
      <c r="AQ1291" s="423"/>
      <c r="AR1291" s="423"/>
      <c r="AS1291" s="423"/>
      <c r="AT1291" s="423"/>
      <c r="AU1291" s="423"/>
      <c r="AV1291" s="423"/>
      <c r="AW1291" s="418"/>
      <c r="AX1291" s="418"/>
      <c r="AY1291" s="418"/>
      <c r="BF1291" s="1119"/>
      <c r="BG1291" s="1119"/>
      <c r="BH1291" s="1119"/>
    </row>
    <row r="1292" spans="1:60" ht="15.75" customHeight="1">
      <c r="A1292" s="415"/>
      <c r="B1292" s="416"/>
      <c r="C1292" s="424"/>
      <c r="E1292" s="418"/>
      <c r="F1292" s="419"/>
      <c r="G1292" s="420"/>
      <c r="H1292" s="421"/>
      <c r="I1292" s="421"/>
      <c r="J1292" s="492"/>
      <c r="K1292" s="418"/>
      <c r="L1292" s="418"/>
      <c r="M1292" s="418"/>
      <c r="N1292" s="421"/>
      <c r="O1292" s="421"/>
      <c r="P1292" s="421"/>
      <c r="Q1292" s="418"/>
      <c r="R1292" s="418"/>
      <c r="S1292" s="418"/>
      <c r="T1292" s="418"/>
      <c r="U1292" s="418"/>
      <c r="V1292" s="418"/>
      <c r="W1292" s="418"/>
      <c r="X1292" s="418"/>
      <c r="Y1292" s="418"/>
      <c r="Z1292" s="418"/>
      <c r="AA1292" s="418"/>
      <c r="AB1292" s="418"/>
      <c r="AC1292" s="418"/>
      <c r="AD1292" s="418"/>
      <c r="AE1292" s="418"/>
      <c r="AF1292" s="418"/>
      <c r="AG1292" s="418"/>
      <c r="AH1292" s="418"/>
      <c r="AI1292" s="418"/>
      <c r="AJ1292" s="418"/>
      <c r="AK1292" s="418"/>
      <c r="AL1292" s="418"/>
      <c r="AM1292" s="418"/>
      <c r="AN1292" s="423"/>
      <c r="AO1292" s="423"/>
      <c r="AP1292" s="423"/>
      <c r="AQ1292" s="423"/>
      <c r="AR1292" s="423"/>
      <c r="AS1292" s="423"/>
      <c r="AT1292" s="423"/>
      <c r="AU1292" s="423"/>
      <c r="AV1292" s="423"/>
      <c r="AW1292" s="418"/>
      <c r="AX1292" s="418"/>
      <c r="AY1292" s="418"/>
      <c r="BF1292" s="1119"/>
      <c r="BG1292" s="1119"/>
      <c r="BH1292" s="1119"/>
    </row>
    <row r="1293" spans="1:60" ht="15.75" customHeight="1">
      <c r="A1293" s="415"/>
      <c r="B1293" s="416"/>
      <c r="C1293" s="424"/>
      <c r="E1293" s="418"/>
      <c r="F1293" s="419"/>
      <c r="G1293" s="420"/>
      <c r="H1293" s="421"/>
      <c r="I1293" s="421"/>
      <c r="J1293" s="492"/>
      <c r="K1293" s="418"/>
      <c r="L1293" s="418"/>
      <c r="M1293" s="418"/>
      <c r="N1293" s="421"/>
      <c r="O1293" s="421"/>
      <c r="P1293" s="421"/>
      <c r="Q1293" s="418"/>
      <c r="R1293" s="418"/>
      <c r="S1293" s="418"/>
      <c r="T1293" s="418"/>
      <c r="U1293" s="418"/>
      <c r="V1293" s="418"/>
      <c r="W1293" s="418"/>
      <c r="X1293" s="418"/>
      <c r="Y1293" s="418"/>
      <c r="Z1293" s="418"/>
      <c r="AA1293" s="418"/>
      <c r="AB1293" s="418"/>
      <c r="AC1293" s="418"/>
      <c r="AD1293" s="418"/>
      <c r="AE1293" s="418"/>
      <c r="AF1293" s="418"/>
      <c r="AG1293" s="418"/>
      <c r="AH1293" s="418"/>
      <c r="AI1293" s="418"/>
      <c r="AJ1293" s="418"/>
      <c r="AK1293" s="418"/>
      <c r="AL1293" s="418"/>
      <c r="AM1293" s="418"/>
      <c r="AN1293" s="423"/>
      <c r="AO1293" s="423"/>
      <c r="AP1293" s="423"/>
      <c r="AQ1293" s="423"/>
      <c r="AR1293" s="423"/>
      <c r="AS1293" s="423"/>
      <c r="AT1293" s="423"/>
      <c r="AU1293" s="423"/>
      <c r="AV1293" s="423"/>
      <c r="AW1293" s="418"/>
      <c r="AX1293" s="418"/>
      <c r="AY1293" s="418"/>
      <c r="BF1293" s="1119"/>
      <c r="BG1293" s="1119"/>
      <c r="BH1293" s="1119"/>
    </row>
    <row r="1294" spans="1:60" ht="15.75" customHeight="1">
      <c r="A1294" s="415"/>
      <c r="B1294" s="416"/>
      <c r="C1294" s="424"/>
      <c r="E1294" s="418"/>
      <c r="F1294" s="419"/>
      <c r="G1294" s="420"/>
      <c r="H1294" s="421"/>
      <c r="I1294" s="421"/>
      <c r="J1294" s="492"/>
      <c r="K1294" s="418"/>
      <c r="L1294" s="418"/>
      <c r="M1294" s="418"/>
      <c r="N1294" s="421"/>
      <c r="O1294" s="421"/>
      <c r="P1294" s="421"/>
      <c r="Q1294" s="418"/>
      <c r="R1294" s="418"/>
      <c r="S1294" s="418"/>
      <c r="T1294" s="418"/>
      <c r="U1294" s="418"/>
      <c r="V1294" s="418"/>
      <c r="W1294" s="418"/>
      <c r="X1294" s="418"/>
      <c r="Y1294" s="418"/>
      <c r="Z1294" s="418"/>
      <c r="AA1294" s="418"/>
      <c r="AB1294" s="418"/>
      <c r="AC1294" s="418"/>
      <c r="AD1294" s="418"/>
      <c r="AE1294" s="418"/>
      <c r="AF1294" s="418"/>
      <c r="AG1294" s="418"/>
      <c r="AH1294" s="418"/>
      <c r="AI1294" s="418"/>
      <c r="AJ1294" s="418"/>
      <c r="AK1294" s="418"/>
      <c r="AL1294" s="418"/>
      <c r="AM1294" s="418"/>
      <c r="AN1294" s="423"/>
      <c r="AO1294" s="423"/>
      <c r="AP1294" s="423"/>
      <c r="AQ1294" s="423"/>
      <c r="AR1294" s="423"/>
      <c r="AS1294" s="423"/>
      <c r="AT1294" s="423"/>
      <c r="AU1294" s="423"/>
      <c r="AV1294" s="423"/>
      <c r="AW1294" s="418"/>
      <c r="AX1294" s="418"/>
      <c r="AY1294" s="418"/>
      <c r="BF1294" s="1119"/>
      <c r="BG1294" s="1119"/>
      <c r="BH1294" s="1119"/>
    </row>
    <row r="1295" spans="1:60" ht="15.75" customHeight="1">
      <c r="A1295" s="415"/>
      <c r="B1295" s="416"/>
      <c r="C1295" s="424"/>
      <c r="E1295" s="418"/>
      <c r="F1295" s="419"/>
      <c r="G1295" s="420"/>
      <c r="H1295" s="421"/>
      <c r="I1295" s="421"/>
      <c r="J1295" s="492"/>
      <c r="K1295" s="418"/>
      <c r="L1295" s="418"/>
      <c r="M1295" s="418"/>
      <c r="N1295" s="421"/>
      <c r="O1295" s="421"/>
      <c r="P1295" s="421"/>
      <c r="Q1295" s="418"/>
      <c r="R1295" s="418"/>
      <c r="S1295" s="418"/>
      <c r="T1295" s="418"/>
      <c r="U1295" s="418"/>
      <c r="V1295" s="418"/>
      <c r="W1295" s="418"/>
      <c r="X1295" s="418"/>
      <c r="Y1295" s="418"/>
      <c r="Z1295" s="418"/>
      <c r="AA1295" s="418"/>
      <c r="AB1295" s="418"/>
      <c r="AC1295" s="418"/>
      <c r="AD1295" s="418"/>
      <c r="AE1295" s="418"/>
      <c r="AF1295" s="418"/>
      <c r="AG1295" s="418"/>
      <c r="AH1295" s="418"/>
      <c r="AI1295" s="418"/>
      <c r="AJ1295" s="418"/>
      <c r="AK1295" s="418"/>
      <c r="AL1295" s="418"/>
      <c r="AM1295" s="418"/>
      <c r="AN1295" s="423"/>
      <c r="AO1295" s="423"/>
      <c r="AP1295" s="423"/>
      <c r="AQ1295" s="423"/>
      <c r="AR1295" s="423"/>
      <c r="AS1295" s="423"/>
      <c r="AT1295" s="423"/>
      <c r="AU1295" s="423"/>
      <c r="AV1295" s="423"/>
      <c r="AW1295" s="418"/>
      <c r="AX1295" s="418"/>
      <c r="AY1295" s="418"/>
      <c r="BF1295" s="1119"/>
      <c r="BG1295" s="1119"/>
      <c r="BH1295" s="1119"/>
    </row>
    <row r="1296" spans="1:60" ht="15.75" customHeight="1">
      <c r="A1296" s="415"/>
      <c r="B1296" s="416"/>
      <c r="C1296" s="424"/>
      <c r="E1296" s="418"/>
      <c r="F1296" s="419"/>
      <c r="G1296" s="420"/>
      <c r="H1296" s="421"/>
      <c r="I1296" s="425"/>
      <c r="J1296" s="492"/>
      <c r="K1296" s="418"/>
      <c r="L1296" s="418"/>
      <c r="M1296" s="418"/>
      <c r="N1296" s="421"/>
      <c r="O1296" s="421"/>
      <c r="P1296" s="421"/>
      <c r="Q1296" s="418"/>
      <c r="R1296" s="418"/>
      <c r="S1296" s="418"/>
      <c r="T1296" s="418"/>
      <c r="U1296" s="418"/>
      <c r="V1296" s="418"/>
      <c r="W1296" s="418"/>
      <c r="X1296" s="418"/>
      <c r="Y1296" s="418"/>
      <c r="Z1296" s="418"/>
      <c r="AA1296" s="418"/>
      <c r="AB1296" s="418"/>
      <c r="AC1296" s="418"/>
      <c r="AD1296" s="418"/>
      <c r="AE1296" s="418"/>
      <c r="AF1296" s="418"/>
      <c r="AG1296" s="418"/>
      <c r="AH1296" s="418"/>
      <c r="AI1296" s="418"/>
      <c r="AJ1296" s="418"/>
      <c r="AK1296" s="418"/>
      <c r="AL1296" s="418"/>
      <c r="AM1296" s="418"/>
      <c r="AN1296" s="423"/>
      <c r="AO1296" s="423"/>
      <c r="AP1296" s="423"/>
      <c r="AQ1296" s="423"/>
      <c r="AR1296" s="423"/>
      <c r="AS1296" s="423"/>
      <c r="AT1296" s="423"/>
      <c r="AU1296" s="423"/>
      <c r="AV1296" s="423"/>
      <c r="AW1296" s="418"/>
      <c r="AX1296" s="418"/>
      <c r="AY1296" s="418"/>
      <c r="BF1296" s="1119"/>
      <c r="BG1296" s="1119"/>
      <c r="BH1296" s="1119"/>
    </row>
    <row r="1297" spans="1:60" ht="15.75" customHeight="1">
      <c r="A1297" s="415"/>
      <c r="B1297" s="416"/>
      <c r="C1297" s="424"/>
      <c r="E1297" s="418"/>
      <c r="F1297" s="419"/>
      <c r="G1297" s="420"/>
      <c r="H1297" s="421"/>
      <c r="I1297" s="421"/>
      <c r="J1297" s="492"/>
      <c r="K1297" s="418"/>
      <c r="L1297" s="418"/>
      <c r="M1297" s="418"/>
      <c r="N1297" s="421"/>
      <c r="O1297" s="421"/>
      <c r="P1297" s="421"/>
      <c r="Q1297" s="418"/>
      <c r="R1297" s="418"/>
      <c r="S1297" s="418"/>
      <c r="T1297" s="418"/>
      <c r="U1297" s="418"/>
      <c r="V1297" s="418"/>
      <c r="W1297" s="418"/>
      <c r="X1297" s="418"/>
      <c r="Y1297" s="418"/>
      <c r="Z1297" s="418"/>
      <c r="AA1297" s="418"/>
      <c r="AB1297" s="418"/>
      <c r="AC1297" s="418"/>
      <c r="AD1297" s="418"/>
      <c r="AE1297" s="418"/>
      <c r="AF1297" s="418"/>
      <c r="AG1297" s="418"/>
      <c r="AH1297" s="418"/>
      <c r="AI1297" s="418"/>
      <c r="AJ1297" s="418"/>
      <c r="AK1297" s="418"/>
      <c r="AL1297" s="418"/>
      <c r="AM1297" s="418"/>
      <c r="AN1297" s="423"/>
      <c r="AO1297" s="423"/>
      <c r="AP1297" s="423"/>
      <c r="AQ1297" s="423"/>
      <c r="AR1297" s="423"/>
      <c r="AS1297" s="423"/>
      <c r="AT1297" s="423"/>
      <c r="AU1297" s="423"/>
      <c r="AV1297" s="423"/>
      <c r="AW1297" s="418"/>
      <c r="AX1297" s="418"/>
      <c r="AY1297" s="418"/>
      <c r="BF1297" s="1119"/>
      <c r="BG1297" s="1119"/>
      <c r="BH1297" s="1119"/>
    </row>
    <row r="1298" spans="1:60" ht="15.75" customHeight="1">
      <c r="A1298" s="415"/>
      <c r="B1298" s="416"/>
      <c r="C1298" s="424"/>
      <c r="E1298" s="418"/>
      <c r="F1298" s="419"/>
      <c r="G1298" s="420"/>
      <c r="H1298" s="421"/>
      <c r="I1298" s="421"/>
      <c r="J1298" s="492"/>
      <c r="K1298" s="418"/>
      <c r="L1298" s="418"/>
      <c r="M1298" s="418"/>
      <c r="N1298" s="421"/>
      <c r="O1298" s="421"/>
      <c r="P1298" s="421"/>
      <c r="Q1298" s="418"/>
      <c r="R1298" s="418"/>
      <c r="S1298" s="418"/>
      <c r="T1298" s="418"/>
      <c r="U1298" s="418"/>
      <c r="V1298" s="418"/>
      <c r="W1298" s="418"/>
      <c r="X1298" s="418"/>
      <c r="Y1298" s="418"/>
      <c r="Z1298" s="418"/>
      <c r="AA1298" s="418"/>
      <c r="AB1298" s="418"/>
      <c r="AC1298" s="418"/>
      <c r="AD1298" s="418"/>
      <c r="AE1298" s="418"/>
      <c r="AF1298" s="418"/>
      <c r="AG1298" s="418"/>
      <c r="AH1298" s="418"/>
      <c r="AI1298" s="418"/>
      <c r="AJ1298" s="418"/>
      <c r="AK1298" s="418"/>
      <c r="AL1298" s="418"/>
      <c r="AM1298" s="418"/>
      <c r="AN1298" s="423"/>
      <c r="AO1298" s="423"/>
      <c r="AP1298" s="423"/>
      <c r="AQ1298" s="423"/>
      <c r="AR1298" s="423"/>
      <c r="AS1298" s="423"/>
      <c r="AT1298" s="423"/>
      <c r="AU1298" s="423"/>
      <c r="AV1298" s="423"/>
      <c r="AW1298" s="418"/>
      <c r="AX1298" s="418"/>
      <c r="AY1298" s="418"/>
      <c r="BF1298" s="1119"/>
      <c r="BG1298" s="1119"/>
      <c r="BH1298" s="1119"/>
    </row>
    <row r="1299" spans="1:60" ht="15.75" customHeight="1">
      <c r="A1299" s="415"/>
      <c r="B1299" s="416"/>
      <c r="C1299" s="424"/>
      <c r="E1299" s="418"/>
      <c r="F1299" s="419"/>
      <c r="G1299" s="420"/>
      <c r="H1299" s="421"/>
      <c r="I1299" s="425"/>
      <c r="J1299" s="492"/>
      <c r="K1299" s="418"/>
      <c r="L1299" s="418"/>
      <c r="M1299" s="418"/>
      <c r="N1299" s="421"/>
      <c r="O1299" s="421"/>
      <c r="P1299" s="421"/>
      <c r="Q1299" s="418"/>
      <c r="R1299" s="418"/>
      <c r="S1299" s="418"/>
      <c r="T1299" s="418"/>
      <c r="U1299" s="418"/>
      <c r="V1299" s="418"/>
      <c r="W1299" s="418"/>
      <c r="X1299" s="418"/>
      <c r="Y1299" s="418"/>
      <c r="Z1299" s="418"/>
      <c r="AA1299" s="418"/>
      <c r="AB1299" s="418"/>
      <c r="AC1299" s="418"/>
      <c r="AD1299" s="418"/>
      <c r="AE1299" s="418"/>
      <c r="AF1299" s="418"/>
      <c r="AG1299" s="418"/>
      <c r="AH1299" s="418"/>
      <c r="AI1299" s="418"/>
      <c r="AJ1299" s="418"/>
      <c r="AK1299" s="418"/>
      <c r="AL1299" s="418"/>
      <c r="AM1299" s="418"/>
      <c r="AN1299" s="423"/>
      <c r="AO1299" s="423"/>
      <c r="AP1299" s="423"/>
      <c r="AQ1299" s="423"/>
      <c r="AR1299" s="423"/>
      <c r="AS1299" s="423"/>
      <c r="AT1299" s="423"/>
      <c r="AU1299" s="423"/>
      <c r="AV1299" s="423"/>
      <c r="AW1299" s="418"/>
      <c r="AX1299" s="418"/>
      <c r="AY1299" s="418"/>
      <c r="BF1299" s="1119"/>
      <c r="BG1299" s="1119"/>
      <c r="BH1299" s="1119"/>
    </row>
    <row r="1300" spans="1:60" ht="15.75" customHeight="1">
      <c r="A1300" s="415"/>
      <c r="B1300" s="416"/>
      <c r="C1300" s="424"/>
      <c r="E1300" s="418"/>
      <c r="F1300" s="419"/>
      <c r="G1300" s="420"/>
      <c r="H1300" s="421"/>
      <c r="I1300" s="421"/>
      <c r="J1300" s="492"/>
      <c r="K1300" s="418"/>
      <c r="L1300" s="418"/>
      <c r="M1300" s="418"/>
      <c r="N1300" s="421"/>
      <c r="O1300" s="421"/>
      <c r="P1300" s="421"/>
      <c r="Q1300" s="418"/>
      <c r="R1300" s="418"/>
      <c r="S1300" s="418"/>
      <c r="T1300" s="418"/>
      <c r="U1300" s="418"/>
      <c r="V1300" s="418"/>
      <c r="W1300" s="418"/>
      <c r="X1300" s="418"/>
      <c r="Y1300" s="418"/>
      <c r="Z1300" s="418"/>
      <c r="AA1300" s="418"/>
      <c r="AB1300" s="418"/>
      <c r="AC1300" s="418"/>
      <c r="AD1300" s="418"/>
      <c r="AE1300" s="418"/>
      <c r="AF1300" s="418"/>
      <c r="AG1300" s="418"/>
      <c r="AH1300" s="418"/>
      <c r="AI1300" s="418"/>
      <c r="AJ1300" s="418"/>
      <c r="AK1300" s="418"/>
      <c r="AL1300" s="418"/>
      <c r="AM1300" s="418"/>
      <c r="AN1300" s="423"/>
      <c r="AO1300" s="423"/>
      <c r="AP1300" s="423"/>
      <c r="AQ1300" s="423"/>
      <c r="AR1300" s="423"/>
      <c r="AS1300" s="423"/>
      <c r="AT1300" s="423"/>
      <c r="AU1300" s="423"/>
      <c r="AV1300" s="423"/>
      <c r="AW1300" s="418"/>
      <c r="AX1300" s="418"/>
      <c r="AY1300" s="418"/>
      <c r="BF1300" s="1119"/>
      <c r="BG1300" s="1119"/>
      <c r="BH1300" s="1119"/>
    </row>
    <row r="1301" spans="1:60" ht="15.75" customHeight="1">
      <c r="A1301" s="415"/>
      <c r="B1301" s="416"/>
      <c r="C1301" s="424"/>
      <c r="E1301" s="418"/>
      <c r="F1301" s="419"/>
      <c r="G1301" s="420"/>
      <c r="H1301" s="421"/>
      <c r="I1301" s="425"/>
      <c r="J1301" s="492"/>
      <c r="K1301" s="418"/>
      <c r="L1301" s="418"/>
      <c r="M1301" s="418"/>
      <c r="N1301" s="421"/>
      <c r="O1301" s="421"/>
      <c r="P1301" s="421"/>
      <c r="Q1301" s="418"/>
      <c r="R1301" s="418"/>
      <c r="S1301" s="418"/>
      <c r="T1301" s="418"/>
      <c r="U1301" s="418"/>
      <c r="V1301" s="418"/>
      <c r="W1301" s="418"/>
      <c r="X1301" s="418"/>
      <c r="Y1301" s="418"/>
      <c r="Z1301" s="418"/>
      <c r="AA1301" s="418"/>
      <c r="AB1301" s="418"/>
      <c r="AC1301" s="418"/>
      <c r="AD1301" s="418"/>
      <c r="AE1301" s="418"/>
      <c r="AF1301" s="418"/>
      <c r="AG1301" s="418"/>
      <c r="AH1301" s="418"/>
      <c r="AI1301" s="418"/>
      <c r="AJ1301" s="418"/>
      <c r="AK1301" s="418"/>
      <c r="AL1301" s="418"/>
      <c r="AM1301" s="418"/>
      <c r="AN1301" s="423"/>
      <c r="AO1301" s="423"/>
      <c r="AP1301" s="423"/>
      <c r="AQ1301" s="423"/>
      <c r="AR1301" s="423"/>
      <c r="AS1301" s="423"/>
      <c r="AT1301" s="423"/>
      <c r="AU1301" s="423"/>
      <c r="AV1301" s="423"/>
      <c r="AW1301" s="418"/>
      <c r="AX1301" s="418"/>
      <c r="AY1301" s="418"/>
      <c r="BF1301" s="1119"/>
      <c r="BG1301" s="1119"/>
      <c r="BH1301" s="1119"/>
    </row>
    <row r="1302" spans="1:60" ht="15.75" customHeight="1">
      <c r="A1302" s="415"/>
      <c r="B1302" s="416"/>
      <c r="C1302" s="424"/>
      <c r="E1302" s="418"/>
      <c r="F1302" s="419"/>
      <c r="G1302" s="420"/>
      <c r="H1302" s="421"/>
      <c r="I1302" s="421"/>
      <c r="J1302" s="492"/>
      <c r="K1302" s="418"/>
      <c r="L1302" s="418"/>
      <c r="M1302" s="418"/>
      <c r="N1302" s="421"/>
      <c r="O1302" s="421"/>
      <c r="P1302" s="421"/>
      <c r="Q1302" s="418"/>
      <c r="R1302" s="418"/>
      <c r="S1302" s="418"/>
      <c r="T1302" s="418"/>
      <c r="U1302" s="418"/>
      <c r="V1302" s="418"/>
      <c r="W1302" s="418"/>
      <c r="X1302" s="418"/>
      <c r="Y1302" s="418"/>
      <c r="Z1302" s="418"/>
      <c r="AA1302" s="418"/>
      <c r="AB1302" s="418"/>
      <c r="AC1302" s="418"/>
      <c r="AD1302" s="418"/>
      <c r="AE1302" s="418"/>
      <c r="AF1302" s="418"/>
      <c r="AG1302" s="418"/>
      <c r="AH1302" s="418"/>
      <c r="AI1302" s="418"/>
      <c r="AJ1302" s="418"/>
      <c r="AK1302" s="418"/>
      <c r="AL1302" s="418"/>
      <c r="AM1302" s="418"/>
      <c r="AN1302" s="423"/>
      <c r="AO1302" s="423"/>
      <c r="AP1302" s="423"/>
      <c r="AQ1302" s="423"/>
      <c r="AR1302" s="423"/>
      <c r="AS1302" s="423"/>
      <c r="AT1302" s="423"/>
      <c r="AU1302" s="423"/>
      <c r="AV1302" s="423"/>
      <c r="AW1302" s="418"/>
      <c r="AX1302" s="418"/>
      <c r="AY1302" s="418"/>
      <c r="BF1302" s="1119"/>
      <c r="BG1302" s="1119"/>
      <c r="BH1302" s="1119"/>
    </row>
    <row r="1303" spans="1:60" ht="15.75" customHeight="1">
      <c r="A1303" s="415"/>
      <c r="B1303" s="416"/>
      <c r="C1303" s="424"/>
      <c r="E1303" s="418"/>
      <c r="F1303" s="419"/>
      <c r="G1303" s="420"/>
      <c r="H1303" s="421"/>
      <c r="I1303" s="425"/>
      <c r="J1303" s="492"/>
      <c r="K1303" s="418"/>
      <c r="L1303" s="418"/>
      <c r="M1303" s="418"/>
      <c r="N1303" s="421"/>
      <c r="O1303" s="421"/>
      <c r="P1303" s="421"/>
      <c r="Q1303" s="418"/>
      <c r="R1303" s="418"/>
      <c r="S1303" s="418"/>
      <c r="T1303" s="418"/>
      <c r="U1303" s="418"/>
      <c r="V1303" s="418"/>
      <c r="W1303" s="418"/>
      <c r="X1303" s="418"/>
      <c r="Y1303" s="418"/>
      <c r="Z1303" s="418"/>
      <c r="AA1303" s="418"/>
      <c r="AB1303" s="418"/>
      <c r="AC1303" s="418"/>
      <c r="AD1303" s="418"/>
      <c r="AE1303" s="418"/>
      <c r="AF1303" s="418"/>
      <c r="AG1303" s="418"/>
      <c r="AH1303" s="418"/>
      <c r="AI1303" s="418"/>
      <c r="AJ1303" s="418"/>
      <c r="AK1303" s="418"/>
      <c r="AL1303" s="418"/>
      <c r="AM1303" s="418"/>
      <c r="AN1303" s="423"/>
      <c r="AO1303" s="423"/>
      <c r="AP1303" s="423"/>
      <c r="AQ1303" s="423"/>
      <c r="AR1303" s="423"/>
      <c r="AS1303" s="423"/>
      <c r="AT1303" s="423"/>
      <c r="AU1303" s="423"/>
      <c r="AV1303" s="423"/>
      <c r="AW1303" s="418"/>
      <c r="AX1303" s="418"/>
      <c r="AY1303" s="418"/>
      <c r="BF1303" s="1119"/>
      <c r="BG1303" s="1119"/>
      <c r="BH1303" s="1119"/>
    </row>
    <row r="1304" spans="1:60" ht="15.75" customHeight="1">
      <c r="A1304" s="415"/>
      <c r="B1304" s="416"/>
      <c r="C1304" s="424"/>
      <c r="E1304" s="418"/>
      <c r="F1304" s="419"/>
      <c r="G1304" s="420"/>
      <c r="H1304" s="421"/>
      <c r="I1304" s="421"/>
      <c r="J1304" s="492"/>
      <c r="K1304" s="418"/>
      <c r="L1304" s="418"/>
      <c r="M1304" s="418"/>
      <c r="N1304" s="421"/>
      <c r="O1304" s="421"/>
      <c r="P1304" s="421"/>
      <c r="Q1304" s="418"/>
      <c r="R1304" s="418"/>
      <c r="S1304" s="418"/>
      <c r="T1304" s="418"/>
      <c r="U1304" s="418"/>
      <c r="V1304" s="418"/>
      <c r="W1304" s="418"/>
      <c r="X1304" s="418"/>
      <c r="Y1304" s="418"/>
      <c r="Z1304" s="418"/>
      <c r="AA1304" s="418"/>
      <c r="AB1304" s="418"/>
      <c r="AC1304" s="418"/>
      <c r="AD1304" s="418"/>
      <c r="AE1304" s="418"/>
      <c r="AF1304" s="418"/>
      <c r="AG1304" s="418"/>
      <c r="AH1304" s="418"/>
      <c r="AI1304" s="418"/>
      <c r="AJ1304" s="418"/>
      <c r="AK1304" s="418"/>
      <c r="AL1304" s="418"/>
      <c r="AM1304" s="418"/>
      <c r="AN1304" s="423"/>
      <c r="AO1304" s="423"/>
      <c r="AP1304" s="423"/>
      <c r="AQ1304" s="423"/>
      <c r="AR1304" s="423"/>
      <c r="AS1304" s="423"/>
      <c r="AT1304" s="423"/>
      <c r="AU1304" s="423"/>
      <c r="AV1304" s="423"/>
      <c r="AW1304" s="418"/>
      <c r="AX1304" s="418"/>
      <c r="AY1304" s="418"/>
      <c r="BF1304" s="1119"/>
      <c r="BG1304" s="1119"/>
      <c r="BH1304" s="1119"/>
    </row>
    <row r="1305" spans="1:60" ht="15.75" customHeight="1">
      <c r="A1305" s="415"/>
      <c r="B1305" s="416"/>
      <c r="C1305" s="424"/>
      <c r="E1305" s="418"/>
      <c r="F1305" s="419"/>
      <c r="G1305" s="420"/>
      <c r="H1305" s="421"/>
      <c r="I1305" s="425"/>
      <c r="J1305" s="492"/>
      <c r="K1305" s="418"/>
      <c r="L1305" s="418"/>
      <c r="M1305" s="418"/>
      <c r="N1305" s="421"/>
      <c r="O1305" s="421"/>
      <c r="P1305" s="421"/>
      <c r="Q1305" s="418"/>
      <c r="R1305" s="418"/>
      <c r="S1305" s="418"/>
      <c r="T1305" s="418"/>
      <c r="U1305" s="418"/>
      <c r="V1305" s="418"/>
      <c r="W1305" s="418"/>
      <c r="X1305" s="418"/>
      <c r="Y1305" s="418"/>
      <c r="Z1305" s="418"/>
      <c r="AA1305" s="418"/>
      <c r="AB1305" s="418"/>
      <c r="AC1305" s="418"/>
      <c r="AD1305" s="418"/>
      <c r="AE1305" s="418"/>
      <c r="AF1305" s="418"/>
      <c r="AG1305" s="418"/>
      <c r="AH1305" s="418"/>
      <c r="AI1305" s="418"/>
      <c r="AJ1305" s="418"/>
      <c r="AK1305" s="418"/>
      <c r="AL1305" s="418"/>
      <c r="AM1305" s="418"/>
      <c r="AN1305" s="423"/>
      <c r="AO1305" s="423"/>
      <c r="AP1305" s="423"/>
      <c r="AQ1305" s="423"/>
      <c r="AR1305" s="423"/>
      <c r="AS1305" s="423"/>
      <c r="AT1305" s="423"/>
      <c r="AU1305" s="423"/>
      <c r="AV1305" s="423"/>
      <c r="AW1305" s="418"/>
      <c r="AX1305" s="418"/>
      <c r="AY1305" s="418"/>
      <c r="BF1305" s="1119"/>
      <c r="BG1305" s="1119"/>
      <c r="BH1305" s="1119"/>
    </row>
    <row r="1306" spans="1:60" ht="15.75" customHeight="1">
      <c r="A1306" s="415"/>
      <c r="B1306" s="416"/>
      <c r="C1306" s="424"/>
      <c r="E1306" s="418"/>
      <c r="F1306" s="419"/>
      <c r="G1306" s="420"/>
      <c r="H1306" s="418"/>
      <c r="I1306" s="419"/>
      <c r="J1306" s="492"/>
      <c r="K1306" s="418"/>
      <c r="L1306" s="418"/>
      <c r="M1306" s="418"/>
      <c r="N1306" s="421"/>
      <c r="O1306" s="421"/>
      <c r="P1306" s="421"/>
      <c r="Q1306" s="418"/>
      <c r="R1306" s="418"/>
      <c r="S1306" s="418"/>
      <c r="T1306" s="418"/>
      <c r="U1306" s="418"/>
      <c r="V1306" s="418"/>
      <c r="W1306" s="418"/>
      <c r="X1306" s="418"/>
      <c r="Y1306" s="418"/>
      <c r="Z1306" s="418"/>
      <c r="AA1306" s="418"/>
      <c r="AB1306" s="418"/>
      <c r="AC1306" s="418"/>
      <c r="AD1306" s="418"/>
      <c r="AE1306" s="418"/>
      <c r="AF1306" s="418"/>
      <c r="AG1306" s="418"/>
      <c r="AH1306" s="418"/>
      <c r="AI1306" s="418"/>
      <c r="AJ1306" s="418"/>
      <c r="AK1306" s="418"/>
      <c r="AL1306" s="418"/>
      <c r="AM1306" s="418"/>
      <c r="AN1306" s="423"/>
      <c r="AO1306" s="423"/>
      <c r="AP1306" s="423"/>
      <c r="AQ1306" s="423"/>
      <c r="AR1306" s="423"/>
      <c r="AS1306" s="423"/>
      <c r="AT1306" s="423"/>
      <c r="AU1306" s="423"/>
      <c r="AV1306" s="423"/>
      <c r="AW1306" s="418"/>
      <c r="AX1306" s="418"/>
      <c r="AY1306" s="418"/>
      <c r="BF1306" s="1119"/>
      <c r="BG1306" s="1119"/>
      <c r="BH1306" s="1119"/>
    </row>
    <row r="1307" spans="1:60" ht="15.75" customHeight="1">
      <c r="A1307" s="415"/>
      <c r="B1307" s="416"/>
      <c r="C1307" s="424"/>
      <c r="E1307" s="418"/>
      <c r="F1307" s="419"/>
      <c r="G1307" s="420"/>
      <c r="H1307" s="418"/>
      <c r="I1307" s="419"/>
      <c r="J1307" s="492"/>
      <c r="K1307" s="418"/>
      <c r="L1307" s="418"/>
      <c r="M1307" s="418"/>
      <c r="N1307" s="421"/>
      <c r="O1307" s="421"/>
      <c r="P1307" s="421"/>
      <c r="Q1307" s="418"/>
      <c r="R1307" s="418"/>
      <c r="S1307" s="418"/>
      <c r="T1307" s="418"/>
      <c r="U1307" s="418"/>
      <c r="V1307" s="418"/>
      <c r="W1307" s="418"/>
      <c r="X1307" s="418"/>
      <c r="Y1307" s="418"/>
      <c r="Z1307" s="418"/>
      <c r="AA1307" s="418"/>
      <c r="AB1307" s="418"/>
      <c r="AC1307" s="418"/>
      <c r="AD1307" s="418"/>
      <c r="AE1307" s="418"/>
      <c r="AF1307" s="418"/>
      <c r="AG1307" s="418"/>
      <c r="AH1307" s="418"/>
      <c r="AI1307" s="418"/>
      <c r="AJ1307" s="418"/>
      <c r="AK1307" s="418"/>
      <c r="AL1307" s="418"/>
      <c r="AM1307" s="418"/>
      <c r="AN1307" s="423"/>
      <c r="AO1307" s="423"/>
      <c r="AP1307" s="423"/>
      <c r="AQ1307" s="423"/>
      <c r="AR1307" s="423"/>
      <c r="AS1307" s="423"/>
      <c r="AT1307" s="423"/>
      <c r="AU1307" s="423"/>
      <c r="AV1307" s="423"/>
      <c r="AW1307" s="418"/>
      <c r="AX1307" s="418"/>
      <c r="AY1307" s="418"/>
      <c r="BF1307" s="1119"/>
      <c r="BG1307" s="1119"/>
      <c r="BH1307" s="1119"/>
    </row>
    <row r="1308" spans="1:60" ht="15.75" customHeight="1">
      <c r="A1308" s="415"/>
      <c r="B1308" s="416"/>
      <c r="C1308" s="424"/>
      <c r="E1308" s="418"/>
      <c r="F1308" s="419"/>
      <c r="G1308" s="420"/>
      <c r="H1308" s="421"/>
      <c r="I1308" s="421"/>
      <c r="J1308" s="492"/>
      <c r="K1308" s="418"/>
      <c r="L1308" s="418"/>
      <c r="M1308" s="418"/>
      <c r="N1308" s="421"/>
      <c r="O1308" s="421"/>
      <c r="P1308" s="421"/>
      <c r="Q1308" s="418"/>
      <c r="R1308" s="418"/>
      <c r="S1308" s="418"/>
      <c r="T1308" s="418"/>
      <c r="U1308" s="418"/>
      <c r="V1308" s="418"/>
      <c r="W1308" s="418"/>
      <c r="X1308" s="418"/>
      <c r="Y1308" s="418"/>
      <c r="Z1308" s="418"/>
      <c r="AA1308" s="418"/>
      <c r="AB1308" s="418"/>
      <c r="AC1308" s="418"/>
      <c r="AD1308" s="418"/>
      <c r="AE1308" s="418"/>
      <c r="AF1308" s="418"/>
      <c r="AG1308" s="418"/>
      <c r="AH1308" s="418"/>
      <c r="AI1308" s="418"/>
      <c r="AJ1308" s="418"/>
      <c r="AK1308" s="418"/>
      <c r="AL1308" s="418"/>
      <c r="AM1308" s="418"/>
      <c r="AN1308" s="423"/>
      <c r="AO1308" s="423"/>
      <c r="AP1308" s="423"/>
      <c r="AQ1308" s="423"/>
      <c r="AR1308" s="423"/>
      <c r="AS1308" s="423"/>
      <c r="AT1308" s="423"/>
      <c r="AU1308" s="423"/>
      <c r="AV1308" s="423"/>
      <c r="AW1308" s="418"/>
      <c r="AX1308" s="418"/>
      <c r="AY1308" s="418"/>
      <c r="BF1308" s="1119"/>
      <c r="BG1308" s="1119"/>
      <c r="BH1308" s="1119"/>
    </row>
    <row r="1309" spans="1:60" ht="15.75" customHeight="1">
      <c r="A1309" s="415"/>
      <c r="B1309" s="416"/>
      <c r="C1309" s="424"/>
      <c r="E1309" s="418"/>
      <c r="F1309" s="419"/>
      <c r="G1309" s="420"/>
      <c r="H1309" s="421"/>
      <c r="I1309" s="425"/>
      <c r="J1309" s="492"/>
      <c r="K1309" s="418"/>
      <c r="L1309" s="418"/>
      <c r="M1309" s="418"/>
      <c r="N1309" s="421"/>
      <c r="O1309" s="421"/>
      <c r="P1309" s="421"/>
      <c r="Q1309" s="418"/>
      <c r="R1309" s="418"/>
      <c r="S1309" s="418"/>
      <c r="T1309" s="418"/>
      <c r="U1309" s="418"/>
      <c r="V1309" s="418"/>
      <c r="W1309" s="418"/>
      <c r="X1309" s="418"/>
      <c r="Y1309" s="418"/>
      <c r="Z1309" s="418"/>
      <c r="AA1309" s="418"/>
      <c r="AB1309" s="418"/>
      <c r="AC1309" s="418"/>
      <c r="AD1309" s="418"/>
      <c r="AE1309" s="418"/>
      <c r="AF1309" s="418"/>
      <c r="AG1309" s="418"/>
      <c r="AH1309" s="418"/>
      <c r="AI1309" s="418"/>
      <c r="AJ1309" s="418"/>
      <c r="AK1309" s="418"/>
      <c r="AL1309" s="418"/>
      <c r="AM1309" s="418"/>
      <c r="AN1309" s="423"/>
      <c r="AO1309" s="423"/>
      <c r="AP1309" s="423"/>
      <c r="AQ1309" s="423"/>
      <c r="AR1309" s="423"/>
      <c r="AS1309" s="423"/>
      <c r="AT1309" s="423"/>
      <c r="AU1309" s="423"/>
      <c r="AV1309" s="423"/>
      <c r="AW1309" s="418"/>
      <c r="AX1309" s="418"/>
      <c r="AY1309" s="418"/>
      <c r="BF1309" s="1119"/>
      <c r="BG1309" s="1119"/>
      <c r="BH1309" s="1119"/>
    </row>
    <row r="1310" spans="1:60" ht="15.75" customHeight="1">
      <c r="A1310" s="415"/>
      <c r="B1310" s="416"/>
      <c r="C1310" s="424"/>
      <c r="E1310" s="418"/>
      <c r="F1310" s="419"/>
      <c r="G1310" s="420"/>
      <c r="H1310" s="421"/>
      <c r="I1310" s="421"/>
      <c r="J1310" s="492"/>
      <c r="K1310" s="418"/>
      <c r="L1310" s="418"/>
      <c r="M1310" s="418"/>
      <c r="N1310" s="421"/>
      <c r="O1310" s="421"/>
      <c r="P1310" s="421"/>
      <c r="Q1310" s="418"/>
      <c r="R1310" s="418"/>
      <c r="S1310" s="418"/>
      <c r="T1310" s="418"/>
      <c r="U1310" s="418"/>
      <c r="V1310" s="418"/>
      <c r="W1310" s="418"/>
      <c r="X1310" s="418"/>
      <c r="Y1310" s="418"/>
      <c r="Z1310" s="418"/>
      <c r="AA1310" s="418"/>
      <c r="AB1310" s="418"/>
      <c r="AC1310" s="418"/>
      <c r="AD1310" s="418"/>
      <c r="AE1310" s="418"/>
      <c r="AF1310" s="418"/>
      <c r="AG1310" s="418"/>
      <c r="AH1310" s="418"/>
      <c r="AI1310" s="418"/>
      <c r="AJ1310" s="418"/>
      <c r="AK1310" s="418"/>
      <c r="AL1310" s="418"/>
      <c r="AM1310" s="418"/>
      <c r="AN1310" s="418"/>
      <c r="AO1310" s="418"/>
      <c r="AP1310" s="418"/>
      <c r="AQ1310" s="418"/>
      <c r="AR1310" s="418"/>
      <c r="AS1310" s="418"/>
      <c r="AT1310" s="418"/>
      <c r="AU1310" s="418"/>
      <c r="AV1310" s="418"/>
      <c r="AW1310" s="418"/>
      <c r="AX1310" s="418"/>
      <c r="AY1310" s="418"/>
      <c r="BF1310" s="1119"/>
      <c r="BG1310" s="1119"/>
      <c r="BH1310" s="1119"/>
    </row>
    <row r="1311" spans="1:60" ht="15.75" customHeight="1">
      <c r="A1311" s="415"/>
      <c r="B1311" s="416"/>
      <c r="C1311" s="424"/>
      <c r="E1311" s="418"/>
      <c r="F1311" s="419"/>
      <c r="G1311" s="420"/>
      <c r="H1311" s="421"/>
      <c r="I1311" s="421"/>
      <c r="J1311" s="492"/>
      <c r="K1311" s="418"/>
      <c r="L1311" s="418"/>
      <c r="M1311" s="418"/>
      <c r="N1311" s="421"/>
      <c r="O1311" s="421"/>
      <c r="P1311" s="421"/>
      <c r="Q1311" s="418"/>
      <c r="R1311" s="418"/>
      <c r="S1311" s="418"/>
      <c r="T1311" s="418"/>
      <c r="U1311" s="418"/>
      <c r="V1311" s="418"/>
      <c r="W1311" s="418"/>
      <c r="X1311" s="418"/>
      <c r="Y1311" s="418"/>
      <c r="Z1311" s="418"/>
      <c r="AA1311" s="418"/>
      <c r="AB1311" s="418"/>
      <c r="AC1311" s="418"/>
      <c r="AD1311" s="418"/>
      <c r="AE1311" s="418"/>
      <c r="AF1311" s="418"/>
      <c r="AG1311" s="418"/>
      <c r="AH1311" s="418"/>
      <c r="AI1311" s="418"/>
      <c r="AJ1311" s="418"/>
      <c r="AK1311" s="418"/>
      <c r="AL1311" s="418"/>
      <c r="AM1311" s="418"/>
      <c r="AN1311" s="418"/>
      <c r="AO1311" s="418"/>
      <c r="AP1311" s="418"/>
      <c r="AQ1311" s="418"/>
      <c r="AR1311" s="418"/>
      <c r="AS1311" s="418"/>
      <c r="AT1311" s="418"/>
      <c r="AU1311" s="418"/>
      <c r="AV1311" s="418"/>
      <c r="AW1311" s="418"/>
      <c r="AX1311" s="418"/>
      <c r="AY1311" s="418"/>
      <c r="BF1311" s="1119"/>
      <c r="BG1311" s="1119"/>
      <c r="BH1311" s="1119"/>
    </row>
    <row r="1312" spans="1:60" ht="15.75" customHeight="1">
      <c r="A1312" s="415"/>
      <c r="B1312" s="416"/>
      <c r="C1312" s="424"/>
      <c r="E1312" s="418"/>
      <c r="F1312" s="419"/>
      <c r="G1312" s="420"/>
      <c r="H1312" s="421"/>
      <c r="I1312" s="421"/>
      <c r="J1312" s="492"/>
      <c r="K1312" s="418"/>
      <c r="L1312" s="418"/>
      <c r="M1312" s="418"/>
      <c r="N1312" s="421"/>
      <c r="O1312" s="421"/>
      <c r="P1312" s="421"/>
      <c r="Q1312" s="418"/>
      <c r="R1312" s="418"/>
      <c r="S1312" s="418"/>
      <c r="T1312" s="418"/>
      <c r="U1312" s="418"/>
      <c r="V1312" s="418"/>
      <c r="W1312" s="418"/>
      <c r="X1312" s="418"/>
      <c r="Y1312" s="418"/>
      <c r="Z1312" s="418"/>
      <c r="AA1312" s="418"/>
      <c r="AB1312" s="418"/>
      <c r="AC1312" s="418"/>
      <c r="AD1312" s="418"/>
      <c r="AE1312" s="418"/>
      <c r="AF1312" s="418"/>
      <c r="AG1312" s="418"/>
      <c r="AH1312" s="418"/>
      <c r="AI1312" s="418"/>
      <c r="AJ1312" s="418"/>
      <c r="AK1312" s="418"/>
      <c r="AL1312" s="418"/>
      <c r="AM1312" s="418"/>
      <c r="AN1312" s="418"/>
      <c r="AO1312" s="418"/>
      <c r="AP1312" s="418"/>
      <c r="AQ1312" s="418"/>
      <c r="AR1312" s="418"/>
      <c r="AS1312" s="418"/>
      <c r="AT1312" s="418"/>
      <c r="AU1312" s="418"/>
      <c r="AV1312" s="418"/>
      <c r="AW1312" s="418"/>
      <c r="AX1312" s="418"/>
      <c r="AY1312" s="418"/>
      <c r="BF1312" s="1119"/>
      <c r="BG1312" s="1119"/>
      <c r="BH1312" s="1119"/>
    </row>
    <row r="1313" spans="1:60" ht="15.75" customHeight="1">
      <c r="A1313" s="415"/>
      <c r="B1313" s="416"/>
      <c r="C1313" s="424"/>
      <c r="E1313" s="418"/>
      <c r="F1313" s="419"/>
      <c r="G1313" s="420"/>
      <c r="H1313" s="421"/>
      <c r="I1313" s="421"/>
      <c r="J1313" s="492"/>
      <c r="K1313" s="418"/>
      <c r="L1313" s="418"/>
      <c r="M1313" s="418"/>
      <c r="N1313" s="421"/>
      <c r="O1313" s="421"/>
      <c r="P1313" s="421"/>
      <c r="Q1313" s="418"/>
      <c r="R1313" s="418"/>
      <c r="S1313" s="418"/>
      <c r="T1313" s="418"/>
      <c r="U1313" s="418"/>
      <c r="V1313" s="418"/>
      <c r="W1313" s="418"/>
      <c r="X1313" s="418"/>
      <c r="Y1313" s="418"/>
      <c r="Z1313" s="418"/>
      <c r="AA1313" s="418"/>
      <c r="AB1313" s="418"/>
      <c r="AC1313" s="418"/>
      <c r="AD1313" s="418"/>
      <c r="AE1313" s="418"/>
      <c r="AF1313" s="418"/>
      <c r="AG1313" s="418"/>
      <c r="AH1313" s="418"/>
      <c r="AI1313" s="418"/>
      <c r="AJ1313" s="418"/>
      <c r="AK1313" s="418"/>
      <c r="AL1313" s="418"/>
      <c r="AM1313" s="418"/>
      <c r="AN1313" s="418"/>
      <c r="AO1313" s="418"/>
      <c r="AP1313" s="418"/>
      <c r="AQ1313" s="418"/>
      <c r="AR1313" s="418"/>
      <c r="AS1313" s="418"/>
      <c r="AT1313" s="418"/>
      <c r="AU1313" s="418"/>
      <c r="AV1313" s="418"/>
      <c r="AW1313" s="418"/>
      <c r="AX1313" s="418"/>
      <c r="AY1313" s="418"/>
      <c r="BF1313" s="1119"/>
      <c r="BG1313" s="1119"/>
      <c r="BH1313" s="1119"/>
    </row>
    <row r="1314" spans="1:60" ht="15.75" customHeight="1">
      <c r="A1314" s="415"/>
      <c r="B1314" s="416"/>
      <c r="C1314" s="424"/>
      <c r="E1314" s="418"/>
      <c r="F1314" s="419"/>
      <c r="G1314" s="420"/>
      <c r="H1314" s="421"/>
      <c r="I1314" s="421"/>
      <c r="J1314" s="492"/>
      <c r="K1314" s="418"/>
      <c r="L1314" s="418"/>
      <c r="M1314" s="418"/>
      <c r="N1314" s="421"/>
      <c r="O1314" s="421"/>
      <c r="P1314" s="421"/>
      <c r="Q1314" s="418"/>
      <c r="R1314" s="418"/>
      <c r="S1314" s="418"/>
      <c r="T1314" s="418"/>
      <c r="U1314" s="418"/>
      <c r="V1314" s="418"/>
      <c r="W1314" s="418"/>
      <c r="X1314" s="418"/>
      <c r="Y1314" s="418"/>
      <c r="Z1314" s="418"/>
      <c r="AA1314" s="418"/>
      <c r="AB1314" s="418"/>
      <c r="AC1314" s="418"/>
      <c r="AD1314" s="418"/>
      <c r="AE1314" s="418"/>
      <c r="AF1314" s="418"/>
      <c r="AG1314" s="418"/>
      <c r="AH1314" s="418"/>
      <c r="AI1314" s="418"/>
      <c r="AJ1314" s="418"/>
      <c r="AK1314" s="418"/>
      <c r="AL1314" s="418"/>
      <c r="AM1314" s="418"/>
      <c r="AN1314" s="418"/>
      <c r="AO1314" s="418"/>
      <c r="AP1314" s="418"/>
      <c r="AQ1314" s="418"/>
      <c r="AR1314" s="418"/>
      <c r="AS1314" s="418"/>
      <c r="AT1314" s="418"/>
      <c r="AU1314" s="418"/>
      <c r="AV1314" s="418"/>
      <c r="AW1314" s="418"/>
      <c r="AX1314" s="418"/>
      <c r="AY1314" s="418"/>
      <c r="BF1314" s="1119"/>
      <c r="BG1314" s="1119"/>
      <c r="BH1314" s="1119"/>
    </row>
    <row r="1315" spans="1:60" ht="15.75" customHeight="1">
      <c r="A1315" s="415"/>
      <c r="B1315" s="416"/>
      <c r="C1315" s="424"/>
      <c r="E1315" s="418"/>
      <c r="F1315" s="419"/>
      <c r="G1315" s="420"/>
      <c r="H1315" s="421"/>
      <c r="I1315" s="421"/>
      <c r="J1315" s="492"/>
      <c r="K1315" s="418"/>
      <c r="L1315" s="418"/>
      <c r="M1315" s="418"/>
      <c r="N1315" s="421"/>
      <c r="O1315" s="421"/>
      <c r="P1315" s="421"/>
      <c r="Q1315" s="418"/>
      <c r="R1315" s="418"/>
      <c r="S1315" s="418"/>
      <c r="T1315" s="418"/>
      <c r="U1315" s="418"/>
      <c r="V1315" s="418"/>
      <c r="W1315" s="418"/>
      <c r="X1315" s="418"/>
      <c r="Y1315" s="418"/>
      <c r="Z1315" s="418"/>
      <c r="AA1315" s="418"/>
      <c r="AB1315" s="418"/>
      <c r="AC1315" s="418"/>
      <c r="AD1315" s="418"/>
      <c r="AE1315" s="418"/>
      <c r="AF1315" s="418"/>
      <c r="AG1315" s="418"/>
      <c r="AH1315" s="418"/>
      <c r="AI1315" s="418"/>
      <c r="AJ1315" s="418"/>
      <c r="AK1315" s="418"/>
      <c r="AL1315" s="418"/>
      <c r="AM1315" s="418"/>
      <c r="AN1315" s="418"/>
      <c r="AO1315" s="418"/>
      <c r="AP1315" s="418"/>
      <c r="AQ1315" s="418"/>
      <c r="AR1315" s="418"/>
      <c r="AS1315" s="418"/>
      <c r="AT1315" s="418"/>
      <c r="AU1315" s="418"/>
      <c r="AV1315" s="418"/>
      <c r="AW1315" s="418"/>
      <c r="AX1315" s="418"/>
      <c r="AY1315" s="418"/>
      <c r="BF1315" s="1119"/>
      <c r="BG1315" s="1119"/>
      <c r="BH1315" s="1119"/>
    </row>
    <row r="1316" spans="1:60" ht="15.75" customHeight="1">
      <c r="A1316" s="415"/>
      <c r="B1316" s="416"/>
      <c r="C1316" s="424"/>
      <c r="E1316" s="418"/>
      <c r="F1316" s="419"/>
      <c r="G1316" s="420"/>
      <c r="H1316" s="421"/>
      <c r="I1316" s="421"/>
      <c r="J1316" s="492"/>
      <c r="K1316" s="418"/>
      <c r="L1316" s="418"/>
      <c r="M1316" s="418"/>
      <c r="N1316" s="421"/>
      <c r="O1316" s="421"/>
      <c r="P1316" s="421"/>
      <c r="Q1316" s="418"/>
      <c r="R1316" s="418"/>
      <c r="S1316" s="418"/>
      <c r="T1316" s="418"/>
      <c r="U1316" s="418"/>
      <c r="V1316" s="418"/>
      <c r="W1316" s="418"/>
      <c r="X1316" s="418"/>
      <c r="Y1316" s="418"/>
      <c r="Z1316" s="418"/>
      <c r="AA1316" s="418"/>
      <c r="AB1316" s="418"/>
      <c r="AC1316" s="418"/>
      <c r="AD1316" s="418"/>
      <c r="AE1316" s="418"/>
      <c r="AF1316" s="418"/>
      <c r="AG1316" s="418"/>
      <c r="AH1316" s="418"/>
      <c r="AI1316" s="418"/>
      <c r="AJ1316" s="418"/>
      <c r="AK1316" s="418"/>
      <c r="AL1316" s="418"/>
      <c r="AM1316" s="418"/>
      <c r="AN1316" s="418"/>
      <c r="AO1316" s="418"/>
      <c r="AP1316" s="418"/>
      <c r="AQ1316" s="418"/>
      <c r="AR1316" s="418"/>
      <c r="AS1316" s="418"/>
      <c r="AT1316" s="418"/>
      <c r="AU1316" s="418"/>
      <c r="AV1316" s="418"/>
      <c r="AW1316" s="418"/>
      <c r="AX1316" s="418"/>
      <c r="AY1316" s="418"/>
      <c r="BF1316" s="1119"/>
      <c r="BG1316" s="1119"/>
      <c r="BH1316" s="1119"/>
    </row>
    <row r="1317" spans="1:60" ht="15.75" customHeight="1">
      <c r="A1317" s="415"/>
      <c r="B1317" s="416"/>
      <c r="C1317" s="424"/>
      <c r="E1317" s="418"/>
      <c r="F1317" s="419"/>
      <c r="G1317" s="420"/>
      <c r="H1317" s="421"/>
      <c r="I1317" s="421"/>
      <c r="J1317" s="492"/>
      <c r="K1317" s="418"/>
      <c r="L1317" s="418"/>
      <c r="M1317" s="418"/>
      <c r="N1317" s="421"/>
      <c r="O1317" s="421"/>
      <c r="P1317" s="421"/>
      <c r="Q1317" s="418"/>
      <c r="R1317" s="418"/>
      <c r="S1317" s="418"/>
      <c r="T1317" s="418"/>
      <c r="U1317" s="418"/>
      <c r="V1317" s="418"/>
      <c r="W1317" s="418"/>
      <c r="X1317" s="418"/>
      <c r="Y1317" s="418"/>
      <c r="Z1317" s="418"/>
      <c r="AA1317" s="418"/>
      <c r="AB1317" s="418"/>
      <c r="AC1317" s="418"/>
      <c r="AD1317" s="418"/>
      <c r="AE1317" s="418"/>
      <c r="AF1317" s="418"/>
      <c r="AG1317" s="418"/>
      <c r="AH1317" s="418"/>
      <c r="AI1317" s="418"/>
      <c r="AJ1317" s="418"/>
      <c r="AK1317" s="418"/>
      <c r="AL1317" s="418"/>
      <c r="AM1317" s="418"/>
      <c r="AN1317" s="418"/>
      <c r="AO1317" s="418"/>
      <c r="AP1317" s="418"/>
      <c r="AQ1317" s="418"/>
      <c r="AR1317" s="418"/>
      <c r="AS1317" s="418"/>
      <c r="AT1317" s="418"/>
      <c r="AU1317" s="418"/>
      <c r="AV1317" s="418"/>
      <c r="AW1317" s="418"/>
      <c r="AX1317" s="418"/>
      <c r="AY1317" s="418"/>
      <c r="BF1317" s="1119"/>
      <c r="BG1317" s="1119"/>
      <c r="BH1317" s="1119"/>
    </row>
    <row r="1318" spans="1:60" ht="15.75" customHeight="1">
      <c r="A1318" s="415"/>
      <c r="B1318" s="416"/>
      <c r="C1318" s="424"/>
      <c r="E1318" s="418"/>
      <c r="F1318" s="419"/>
      <c r="G1318" s="420"/>
      <c r="H1318" s="421"/>
      <c r="I1318" s="421"/>
      <c r="J1318" s="492"/>
      <c r="K1318" s="418"/>
      <c r="L1318" s="418"/>
      <c r="M1318" s="418"/>
      <c r="N1318" s="421"/>
      <c r="O1318" s="421"/>
      <c r="P1318" s="421"/>
      <c r="Q1318" s="418"/>
      <c r="R1318" s="418"/>
      <c r="S1318" s="418"/>
      <c r="T1318" s="418"/>
      <c r="U1318" s="418"/>
      <c r="V1318" s="418"/>
      <c r="W1318" s="418"/>
      <c r="X1318" s="418"/>
      <c r="Y1318" s="418"/>
      <c r="Z1318" s="418"/>
      <c r="AA1318" s="418"/>
      <c r="AB1318" s="418"/>
      <c r="AC1318" s="418"/>
      <c r="AD1318" s="418"/>
      <c r="AE1318" s="418"/>
      <c r="AF1318" s="418"/>
      <c r="AG1318" s="418"/>
      <c r="AH1318" s="418"/>
      <c r="AI1318" s="418"/>
      <c r="AJ1318" s="418"/>
      <c r="AK1318" s="418"/>
      <c r="AL1318" s="418"/>
      <c r="AM1318" s="418"/>
      <c r="AN1318" s="418"/>
      <c r="AO1318" s="418"/>
      <c r="AP1318" s="418"/>
      <c r="AQ1318" s="418"/>
      <c r="AR1318" s="418"/>
      <c r="AS1318" s="418"/>
      <c r="AT1318" s="418"/>
      <c r="AU1318" s="418"/>
      <c r="AV1318" s="418"/>
      <c r="AW1318" s="418"/>
      <c r="AX1318" s="418"/>
      <c r="AY1318" s="418"/>
      <c r="BF1318" s="1119"/>
      <c r="BG1318" s="1119"/>
      <c r="BH1318" s="1119"/>
    </row>
    <row r="1319" spans="1:60" ht="15.75" customHeight="1">
      <c r="A1319" s="415"/>
      <c r="B1319" s="416"/>
      <c r="C1319" s="424"/>
      <c r="E1319" s="418"/>
      <c r="F1319" s="419"/>
      <c r="G1319" s="420"/>
      <c r="H1319" s="421"/>
      <c r="I1319" s="421"/>
      <c r="J1319" s="492"/>
      <c r="K1319" s="418"/>
      <c r="L1319" s="418"/>
      <c r="M1319" s="418"/>
      <c r="N1319" s="421"/>
      <c r="O1319" s="421"/>
      <c r="P1319" s="421"/>
      <c r="Q1319" s="418"/>
      <c r="R1319" s="418"/>
      <c r="S1319" s="418"/>
      <c r="T1319" s="418"/>
      <c r="U1319" s="418"/>
      <c r="V1319" s="418"/>
      <c r="W1319" s="418"/>
      <c r="X1319" s="418"/>
      <c r="Y1319" s="418"/>
      <c r="Z1319" s="418"/>
      <c r="AA1319" s="418"/>
      <c r="AB1319" s="418"/>
      <c r="AC1319" s="418"/>
      <c r="AD1319" s="418"/>
      <c r="AE1319" s="418"/>
      <c r="AF1319" s="418"/>
      <c r="AG1319" s="418"/>
      <c r="AH1319" s="418"/>
      <c r="AI1319" s="418"/>
      <c r="AJ1319" s="418"/>
      <c r="AK1319" s="418"/>
      <c r="AL1319" s="418"/>
      <c r="AM1319" s="418"/>
      <c r="AN1319" s="418"/>
      <c r="AO1319" s="418"/>
      <c r="AP1319" s="418"/>
      <c r="AQ1319" s="418"/>
      <c r="AR1319" s="418"/>
      <c r="AS1319" s="418"/>
      <c r="AT1319" s="418"/>
      <c r="AU1319" s="418"/>
      <c r="AV1319" s="418"/>
      <c r="AW1319" s="418"/>
      <c r="AX1319" s="418"/>
      <c r="AY1319" s="418"/>
      <c r="BF1319" s="1119"/>
      <c r="BG1319" s="1119"/>
      <c r="BH1319" s="1119"/>
    </row>
    <row r="1320" spans="1:60" ht="15.75" customHeight="1">
      <c r="A1320" s="415"/>
      <c r="B1320" s="416"/>
      <c r="C1320" s="424"/>
      <c r="E1320" s="418"/>
      <c r="F1320" s="419"/>
      <c r="G1320" s="420"/>
      <c r="H1320" s="421"/>
      <c r="I1320" s="421"/>
      <c r="J1320" s="492"/>
      <c r="K1320" s="418"/>
      <c r="L1320" s="418"/>
      <c r="M1320" s="418"/>
      <c r="N1320" s="421"/>
      <c r="O1320" s="421"/>
      <c r="P1320" s="421"/>
      <c r="Q1320" s="418"/>
      <c r="R1320" s="418"/>
      <c r="S1320" s="418"/>
      <c r="T1320" s="418"/>
      <c r="U1320" s="418"/>
      <c r="V1320" s="418"/>
      <c r="W1320" s="418"/>
      <c r="X1320" s="418"/>
      <c r="Y1320" s="418"/>
      <c r="Z1320" s="418"/>
      <c r="AA1320" s="418"/>
      <c r="AB1320" s="418"/>
      <c r="AC1320" s="418"/>
      <c r="AD1320" s="418"/>
      <c r="AE1320" s="418"/>
      <c r="AF1320" s="418"/>
      <c r="AG1320" s="418"/>
      <c r="AH1320" s="418"/>
      <c r="AI1320" s="418"/>
      <c r="AJ1320" s="418"/>
      <c r="AK1320" s="418"/>
      <c r="AL1320" s="418"/>
      <c r="AM1320" s="418"/>
      <c r="AN1320" s="418"/>
      <c r="AO1320" s="418"/>
      <c r="AP1320" s="418"/>
      <c r="AQ1320" s="418"/>
      <c r="AR1320" s="418"/>
      <c r="AS1320" s="418"/>
      <c r="AT1320" s="418"/>
      <c r="AU1320" s="418"/>
      <c r="AV1320" s="418"/>
      <c r="AW1320" s="418"/>
      <c r="AX1320" s="418"/>
      <c r="AY1320" s="418"/>
      <c r="BF1320" s="1119"/>
      <c r="BG1320" s="1119"/>
      <c r="BH1320" s="1119"/>
    </row>
    <row r="1321" spans="1:60" ht="15.75" customHeight="1">
      <c r="A1321" s="415"/>
      <c r="B1321" s="416"/>
      <c r="C1321" s="424"/>
      <c r="E1321" s="418"/>
      <c r="F1321" s="419"/>
      <c r="G1321" s="420"/>
      <c r="H1321" s="421"/>
      <c r="I1321" s="421"/>
      <c r="J1321" s="492"/>
      <c r="K1321" s="418"/>
      <c r="L1321" s="418"/>
      <c r="M1321" s="418"/>
      <c r="N1321" s="421"/>
      <c r="O1321" s="421"/>
      <c r="P1321" s="421"/>
      <c r="Q1321" s="418"/>
      <c r="R1321" s="418"/>
      <c r="S1321" s="418"/>
      <c r="T1321" s="418"/>
      <c r="U1321" s="418"/>
      <c r="V1321" s="418"/>
      <c r="W1321" s="418"/>
      <c r="X1321" s="418"/>
      <c r="Y1321" s="418"/>
      <c r="Z1321" s="418"/>
      <c r="AA1321" s="418"/>
      <c r="AB1321" s="418"/>
      <c r="AC1321" s="418"/>
      <c r="AD1321" s="418"/>
      <c r="AE1321" s="418"/>
      <c r="AF1321" s="418"/>
      <c r="AG1321" s="418"/>
      <c r="AH1321" s="418"/>
      <c r="AI1321" s="418"/>
      <c r="AJ1321" s="418"/>
      <c r="AK1321" s="418"/>
      <c r="AL1321" s="418"/>
      <c r="AM1321" s="418"/>
      <c r="AN1321" s="418"/>
      <c r="AO1321" s="418"/>
      <c r="AP1321" s="418"/>
      <c r="AQ1321" s="418"/>
      <c r="AR1321" s="418"/>
      <c r="AS1321" s="418"/>
      <c r="AT1321" s="418"/>
      <c r="AU1321" s="418"/>
      <c r="AV1321" s="418"/>
      <c r="AW1321" s="418"/>
      <c r="AX1321" s="418"/>
      <c r="AY1321" s="418"/>
      <c r="BF1321" s="1119"/>
      <c r="BG1321" s="1119"/>
      <c r="BH1321" s="1119"/>
    </row>
    <row r="1322" spans="1:60" ht="15.75" customHeight="1">
      <c r="A1322" s="415"/>
      <c r="B1322" s="416"/>
      <c r="C1322" s="424"/>
      <c r="E1322" s="418"/>
      <c r="F1322" s="419"/>
      <c r="G1322" s="420"/>
      <c r="H1322" s="421"/>
      <c r="I1322" s="421"/>
      <c r="J1322" s="492"/>
      <c r="K1322" s="418"/>
      <c r="L1322" s="418"/>
      <c r="M1322" s="418"/>
      <c r="N1322" s="421"/>
      <c r="O1322" s="421"/>
      <c r="P1322" s="421"/>
      <c r="Q1322" s="418"/>
      <c r="R1322" s="418"/>
      <c r="S1322" s="418"/>
      <c r="T1322" s="418"/>
      <c r="U1322" s="418"/>
      <c r="V1322" s="418"/>
      <c r="W1322" s="418"/>
      <c r="X1322" s="418"/>
      <c r="Y1322" s="418"/>
      <c r="Z1322" s="418"/>
      <c r="AA1322" s="418"/>
      <c r="AB1322" s="418"/>
      <c r="AC1322" s="418"/>
      <c r="AD1322" s="418"/>
      <c r="AE1322" s="418"/>
      <c r="AF1322" s="418"/>
      <c r="AG1322" s="418"/>
      <c r="AH1322" s="418"/>
      <c r="AI1322" s="418"/>
      <c r="AJ1322" s="418"/>
      <c r="AK1322" s="418"/>
      <c r="AL1322" s="418"/>
      <c r="AM1322" s="418"/>
      <c r="AN1322" s="418"/>
      <c r="AO1322" s="418"/>
      <c r="AP1322" s="418"/>
      <c r="AQ1322" s="418"/>
      <c r="AR1322" s="418"/>
      <c r="AS1322" s="418"/>
      <c r="AT1322" s="418"/>
      <c r="AU1322" s="418"/>
      <c r="AV1322" s="418"/>
      <c r="AW1322" s="418"/>
      <c r="AX1322" s="418"/>
      <c r="AY1322" s="418"/>
      <c r="BF1322" s="1119"/>
      <c r="BG1322" s="1119"/>
      <c r="BH1322" s="1119"/>
    </row>
    <row r="1323" spans="1:60" ht="15.75" customHeight="1">
      <c r="A1323" s="415"/>
      <c r="B1323" s="416"/>
      <c r="C1323" s="424"/>
      <c r="E1323" s="418"/>
      <c r="F1323" s="419"/>
      <c r="G1323" s="420"/>
      <c r="H1323" s="421"/>
      <c r="I1323" s="425"/>
      <c r="J1323" s="492"/>
      <c r="K1323" s="418"/>
      <c r="L1323" s="418"/>
      <c r="M1323" s="418"/>
      <c r="N1323" s="421"/>
      <c r="O1323" s="421"/>
      <c r="P1323" s="421"/>
      <c r="Q1323" s="418"/>
      <c r="R1323" s="418"/>
      <c r="S1323" s="418"/>
      <c r="T1323" s="418"/>
      <c r="U1323" s="418"/>
      <c r="V1323" s="418"/>
      <c r="W1323" s="418"/>
      <c r="X1323" s="418"/>
      <c r="Y1323" s="418"/>
      <c r="Z1323" s="418"/>
      <c r="AA1323" s="418"/>
      <c r="AB1323" s="418"/>
      <c r="AC1323" s="418"/>
      <c r="AD1323" s="418"/>
      <c r="AE1323" s="418"/>
      <c r="AF1323" s="418"/>
      <c r="AG1323" s="418"/>
      <c r="AH1323" s="418"/>
      <c r="AI1323" s="418"/>
      <c r="AJ1323" s="418"/>
      <c r="AK1323" s="418"/>
      <c r="AL1323" s="418"/>
      <c r="AM1323" s="418"/>
      <c r="AN1323" s="418"/>
      <c r="AO1323" s="418"/>
      <c r="AP1323" s="418"/>
      <c r="AQ1323" s="418"/>
      <c r="AR1323" s="418"/>
      <c r="AS1323" s="418"/>
      <c r="AT1323" s="418"/>
      <c r="AU1323" s="418"/>
      <c r="AV1323" s="418"/>
      <c r="AW1323" s="418"/>
      <c r="AX1323" s="418"/>
      <c r="AY1323" s="418"/>
      <c r="BF1323" s="1119"/>
      <c r="BG1323" s="1119"/>
      <c r="BH1323" s="1119"/>
    </row>
    <row r="1324" spans="1:60" ht="15.75" customHeight="1">
      <c r="A1324" s="415"/>
      <c r="B1324" s="416"/>
      <c r="C1324" s="424"/>
      <c r="E1324" s="418"/>
      <c r="F1324" s="419"/>
      <c r="G1324" s="420"/>
      <c r="H1324" s="421"/>
      <c r="I1324" s="421"/>
      <c r="J1324" s="492"/>
      <c r="K1324" s="418"/>
      <c r="L1324" s="418"/>
      <c r="M1324" s="418"/>
      <c r="N1324" s="421"/>
      <c r="O1324" s="421"/>
      <c r="P1324" s="421"/>
      <c r="Q1324" s="418"/>
      <c r="R1324" s="418"/>
      <c r="S1324" s="418"/>
      <c r="T1324" s="418"/>
      <c r="U1324" s="418"/>
      <c r="V1324" s="418"/>
      <c r="W1324" s="418"/>
      <c r="X1324" s="418"/>
      <c r="Y1324" s="418"/>
      <c r="Z1324" s="418"/>
      <c r="AA1324" s="418"/>
      <c r="AB1324" s="418"/>
      <c r="AC1324" s="418"/>
      <c r="AD1324" s="418"/>
      <c r="AE1324" s="418"/>
      <c r="AF1324" s="418"/>
      <c r="AG1324" s="418"/>
      <c r="AH1324" s="418"/>
      <c r="AI1324" s="418"/>
      <c r="AJ1324" s="418"/>
      <c r="AK1324" s="418"/>
      <c r="AL1324" s="418"/>
      <c r="AM1324" s="418"/>
      <c r="AN1324" s="418"/>
      <c r="AO1324" s="418"/>
      <c r="AP1324" s="418"/>
      <c r="AQ1324" s="418"/>
      <c r="AR1324" s="418"/>
      <c r="AS1324" s="418"/>
      <c r="AT1324" s="418"/>
      <c r="AU1324" s="418"/>
      <c r="AV1324" s="418"/>
      <c r="AW1324" s="418"/>
      <c r="AX1324" s="418"/>
      <c r="AY1324" s="418"/>
      <c r="BF1324" s="1119"/>
      <c r="BG1324" s="1119"/>
      <c r="BH1324" s="1119"/>
    </row>
    <row r="1325" spans="1:60" ht="15.75" customHeight="1">
      <c r="A1325" s="415"/>
      <c r="B1325" s="416"/>
      <c r="C1325" s="424"/>
      <c r="E1325" s="418"/>
      <c r="F1325" s="419"/>
      <c r="G1325" s="420"/>
      <c r="H1325" s="421"/>
      <c r="I1325" s="425"/>
      <c r="J1325" s="492"/>
      <c r="K1325" s="418"/>
      <c r="L1325" s="418"/>
      <c r="M1325" s="418"/>
      <c r="N1325" s="421"/>
      <c r="O1325" s="421"/>
      <c r="P1325" s="421"/>
      <c r="Q1325" s="418"/>
      <c r="R1325" s="418"/>
      <c r="S1325" s="418"/>
      <c r="T1325" s="418"/>
      <c r="U1325" s="418"/>
      <c r="V1325" s="418"/>
      <c r="W1325" s="418"/>
      <c r="X1325" s="418"/>
      <c r="Y1325" s="418"/>
      <c r="Z1325" s="418"/>
      <c r="AA1325" s="418"/>
      <c r="AB1325" s="418"/>
      <c r="AC1325" s="418"/>
      <c r="AD1325" s="418"/>
      <c r="AE1325" s="418"/>
      <c r="AF1325" s="418"/>
      <c r="AG1325" s="418"/>
      <c r="AH1325" s="418"/>
      <c r="AI1325" s="418"/>
      <c r="AJ1325" s="418"/>
      <c r="AK1325" s="418"/>
      <c r="AL1325" s="418"/>
      <c r="AM1325" s="418"/>
      <c r="AN1325" s="418"/>
      <c r="AO1325" s="418"/>
      <c r="AP1325" s="418"/>
      <c r="AQ1325" s="418"/>
      <c r="AR1325" s="418"/>
      <c r="AS1325" s="418"/>
      <c r="AT1325" s="418"/>
      <c r="AU1325" s="418"/>
      <c r="AV1325" s="418"/>
      <c r="AW1325" s="418"/>
      <c r="AX1325" s="418"/>
      <c r="AY1325" s="418"/>
      <c r="BF1325" s="1119"/>
      <c r="BG1325" s="1119"/>
      <c r="BH1325" s="1119"/>
    </row>
    <row r="1326" spans="1:60" ht="15.75" customHeight="1">
      <c r="A1326" s="415"/>
      <c r="B1326" s="416"/>
      <c r="C1326" s="424"/>
      <c r="E1326" s="418"/>
      <c r="F1326" s="419"/>
      <c r="G1326" s="420"/>
      <c r="H1326" s="421"/>
      <c r="I1326" s="421"/>
      <c r="J1326" s="492"/>
      <c r="K1326" s="418"/>
      <c r="L1326" s="418"/>
      <c r="M1326" s="418"/>
      <c r="N1326" s="421"/>
      <c r="O1326" s="421"/>
      <c r="P1326" s="421"/>
      <c r="Q1326" s="418"/>
      <c r="R1326" s="418"/>
      <c r="S1326" s="418"/>
      <c r="T1326" s="418"/>
      <c r="U1326" s="418"/>
      <c r="V1326" s="418"/>
      <c r="W1326" s="418"/>
      <c r="X1326" s="418"/>
      <c r="Y1326" s="418"/>
      <c r="Z1326" s="418"/>
      <c r="AA1326" s="418"/>
      <c r="AB1326" s="418"/>
      <c r="AC1326" s="418"/>
      <c r="AD1326" s="418"/>
      <c r="AE1326" s="418"/>
      <c r="AF1326" s="418"/>
      <c r="AG1326" s="418"/>
      <c r="AH1326" s="418"/>
      <c r="AI1326" s="418"/>
      <c r="AJ1326" s="418"/>
      <c r="AK1326" s="418"/>
      <c r="AL1326" s="418"/>
      <c r="AM1326" s="418"/>
      <c r="AN1326" s="418"/>
      <c r="AO1326" s="418"/>
      <c r="AP1326" s="418"/>
      <c r="AQ1326" s="418"/>
      <c r="AR1326" s="418"/>
      <c r="AS1326" s="418"/>
      <c r="AT1326" s="418"/>
      <c r="AU1326" s="418"/>
      <c r="AV1326" s="418"/>
      <c r="AW1326" s="418"/>
      <c r="AX1326" s="418"/>
      <c r="AY1326" s="418"/>
      <c r="BF1326" s="1119"/>
      <c r="BG1326" s="1119"/>
      <c r="BH1326" s="1119"/>
    </row>
    <row r="1327" spans="1:60" ht="15.75" customHeight="1">
      <c r="A1327" s="415"/>
      <c r="B1327" s="416"/>
      <c r="C1327" s="424"/>
      <c r="E1327" s="418"/>
      <c r="F1327" s="419"/>
      <c r="G1327" s="420"/>
      <c r="H1327" s="421"/>
      <c r="I1327" s="421"/>
      <c r="J1327" s="492"/>
      <c r="K1327" s="418"/>
      <c r="L1327" s="418"/>
      <c r="M1327" s="418"/>
      <c r="N1327" s="421"/>
      <c r="O1327" s="421"/>
      <c r="P1327" s="421"/>
      <c r="Q1327" s="418"/>
      <c r="R1327" s="418"/>
      <c r="S1327" s="418"/>
      <c r="T1327" s="418"/>
      <c r="U1327" s="418"/>
      <c r="V1327" s="418"/>
      <c r="W1327" s="418"/>
      <c r="X1327" s="418"/>
      <c r="Y1327" s="418"/>
      <c r="Z1327" s="418"/>
      <c r="AA1327" s="418"/>
      <c r="AB1327" s="418"/>
      <c r="AC1327" s="418"/>
      <c r="AD1327" s="418"/>
      <c r="AE1327" s="418"/>
      <c r="AF1327" s="418"/>
      <c r="AG1327" s="418"/>
      <c r="AH1327" s="418"/>
      <c r="AI1327" s="418"/>
      <c r="AJ1327" s="418"/>
      <c r="AK1327" s="418"/>
      <c r="AL1327" s="418"/>
      <c r="AM1327" s="418"/>
      <c r="AN1327" s="418"/>
      <c r="AO1327" s="418"/>
      <c r="AP1327" s="418"/>
      <c r="AQ1327" s="418"/>
      <c r="AR1327" s="418"/>
      <c r="AS1327" s="418"/>
      <c r="AT1327" s="418"/>
      <c r="AU1327" s="418"/>
      <c r="AV1327" s="418"/>
      <c r="AW1327" s="418"/>
      <c r="AX1327" s="418"/>
      <c r="AY1327" s="418"/>
      <c r="BF1327" s="1119"/>
      <c r="BG1327" s="1119"/>
      <c r="BH1327" s="1119"/>
    </row>
    <row r="1328" spans="1:60" ht="15.75" customHeight="1">
      <c r="A1328" s="415"/>
      <c r="B1328" s="416"/>
      <c r="C1328" s="424"/>
      <c r="E1328" s="418"/>
      <c r="F1328" s="419"/>
      <c r="G1328" s="420"/>
      <c r="H1328" s="421"/>
      <c r="I1328" s="421"/>
      <c r="J1328" s="492"/>
      <c r="K1328" s="418"/>
      <c r="L1328" s="418"/>
      <c r="M1328" s="418"/>
      <c r="N1328" s="421"/>
      <c r="O1328" s="421"/>
      <c r="P1328" s="421"/>
      <c r="Q1328" s="418"/>
      <c r="R1328" s="418"/>
      <c r="S1328" s="418"/>
      <c r="T1328" s="418"/>
      <c r="U1328" s="418"/>
      <c r="V1328" s="418"/>
      <c r="W1328" s="418"/>
      <c r="X1328" s="418"/>
      <c r="Y1328" s="418"/>
      <c r="Z1328" s="418"/>
      <c r="AA1328" s="418"/>
      <c r="AB1328" s="418"/>
      <c r="AC1328" s="418"/>
      <c r="AD1328" s="418"/>
      <c r="AE1328" s="418"/>
      <c r="AF1328" s="418"/>
      <c r="AG1328" s="418"/>
      <c r="AH1328" s="418"/>
      <c r="AI1328" s="418"/>
      <c r="AJ1328" s="418"/>
      <c r="AK1328" s="418"/>
      <c r="AL1328" s="418"/>
      <c r="AM1328" s="418"/>
      <c r="AN1328" s="418"/>
      <c r="AO1328" s="418"/>
      <c r="AP1328" s="418"/>
      <c r="AQ1328" s="418"/>
      <c r="AR1328" s="418"/>
      <c r="AS1328" s="418"/>
      <c r="AT1328" s="418"/>
      <c r="AU1328" s="418"/>
      <c r="AV1328" s="418"/>
      <c r="AW1328" s="418"/>
      <c r="AX1328" s="418"/>
      <c r="AY1328" s="418"/>
      <c r="BF1328" s="1119"/>
      <c r="BG1328" s="1119"/>
      <c r="BH1328" s="1119"/>
    </row>
    <row r="1329" spans="1:60" ht="15.75" customHeight="1">
      <c r="A1329" s="415"/>
      <c r="B1329" s="416"/>
      <c r="C1329" s="424"/>
      <c r="E1329" s="418"/>
      <c r="F1329" s="419"/>
      <c r="G1329" s="420"/>
      <c r="H1329" s="421"/>
      <c r="I1329" s="425"/>
      <c r="J1329" s="492"/>
      <c r="K1329" s="418"/>
      <c r="L1329" s="418"/>
      <c r="M1329" s="418"/>
      <c r="N1329" s="421"/>
      <c r="O1329" s="421"/>
      <c r="P1329" s="421"/>
      <c r="Q1329" s="418"/>
      <c r="R1329" s="418"/>
      <c r="S1329" s="418"/>
      <c r="T1329" s="418"/>
      <c r="U1329" s="418"/>
      <c r="V1329" s="418"/>
      <c r="W1329" s="418"/>
      <c r="X1329" s="418"/>
      <c r="Y1329" s="418"/>
      <c r="Z1329" s="418"/>
      <c r="AA1329" s="418"/>
      <c r="AB1329" s="418"/>
      <c r="AC1329" s="418"/>
      <c r="AD1329" s="418"/>
      <c r="AE1329" s="418"/>
      <c r="AF1329" s="418"/>
      <c r="AG1329" s="418"/>
      <c r="AH1329" s="418"/>
      <c r="AI1329" s="418"/>
      <c r="AJ1329" s="418"/>
      <c r="AK1329" s="418"/>
      <c r="AL1329" s="418"/>
      <c r="AM1329" s="418"/>
      <c r="AN1329" s="418"/>
      <c r="AO1329" s="418"/>
      <c r="AP1329" s="418"/>
      <c r="AQ1329" s="418"/>
      <c r="AR1329" s="418"/>
      <c r="AS1329" s="418"/>
      <c r="AT1329" s="418"/>
      <c r="AU1329" s="418"/>
      <c r="AV1329" s="418"/>
      <c r="AW1329" s="418"/>
      <c r="AX1329" s="418"/>
      <c r="AY1329" s="418"/>
      <c r="BF1329" s="1119"/>
      <c r="BG1329" s="1119"/>
      <c r="BH1329" s="1119"/>
    </row>
    <row r="1330" spans="1:60" ht="15.75" customHeight="1">
      <c r="A1330" s="415"/>
      <c r="B1330" s="416"/>
      <c r="C1330" s="424"/>
      <c r="E1330" s="418"/>
      <c r="F1330" s="419"/>
      <c r="G1330" s="420"/>
      <c r="H1330" s="421"/>
      <c r="I1330" s="421"/>
      <c r="J1330" s="492"/>
      <c r="K1330" s="418"/>
      <c r="L1330" s="418"/>
      <c r="M1330" s="418"/>
      <c r="N1330" s="421"/>
      <c r="O1330" s="421"/>
      <c r="P1330" s="421"/>
      <c r="Q1330" s="418"/>
      <c r="R1330" s="418"/>
      <c r="S1330" s="418"/>
      <c r="T1330" s="418"/>
      <c r="U1330" s="418"/>
      <c r="V1330" s="418"/>
      <c r="W1330" s="418"/>
      <c r="X1330" s="418"/>
      <c r="Y1330" s="418"/>
      <c r="Z1330" s="418"/>
      <c r="AA1330" s="418"/>
      <c r="AB1330" s="418"/>
      <c r="AC1330" s="418"/>
      <c r="AD1330" s="418"/>
      <c r="AE1330" s="418"/>
      <c r="AF1330" s="418"/>
      <c r="AG1330" s="418"/>
      <c r="AH1330" s="418"/>
      <c r="AI1330" s="418"/>
      <c r="AJ1330" s="418"/>
      <c r="AK1330" s="418"/>
      <c r="AL1330" s="418"/>
      <c r="AM1330" s="418"/>
      <c r="AN1330" s="418"/>
      <c r="AO1330" s="418"/>
      <c r="AP1330" s="418"/>
      <c r="AQ1330" s="418"/>
      <c r="AR1330" s="418"/>
      <c r="AS1330" s="418"/>
      <c r="AT1330" s="418"/>
      <c r="AU1330" s="418"/>
      <c r="AV1330" s="418"/>
      <c r="AW1330" s="418"/>
      <c r="AX1330" s="418"/>
      <c r="AY1330" s="418"/>
      <c r="BF1330" s="1119"/>
      <c r="BG1330" s="1119"/>
      <c r="BH1330" s="1119"/>
    </row>
    <row r="1331" spans="1:60" ht="15.75" customHeight="1">
      <c r="A1331" s="415"/>
      <c r="B1331" s="416"/>
      <c r="C1331" s="424"/>
      <c r="E1331" s="418"/>
      <c r="F1331" s="419"/>
      <c r="G1331" s="420"/>
      <c r="H1331" s="421"/>
      <c r="I1331" s="425"/>
      <c r="J1331" s="492"/>
      <c r="K1331" s="418"/>
      <c r="L1331" s="418"/>
      <c r="M1331" s="418"/>
      <c r="N1331" s="421"/>
      <c r="O1331" s="421"/>
      <c r="P1331" s="421"/>
      <c r="Q1331" s="418"/>
      <c r="R1331" s="418"/>
      <c r="S1331" s="418"/>
      <c r="T1331" s="418"/>
      <c r="U1331" s="418"/>
      <c r="V1331" s="418"/>
      <c r="W1331" s="418"/>
      <c r="X1331" s="418"/>
      <c r="Y1331" s="418"/>
      <c r="Z1331" s="418"/>
      <c r="AA1331" s="418"/>
      <c r="AB1331" s="418"/>
      <c r="AC1331" s="418"/>
      <c r="AD1331" s="418"/>
      <c r="AE1331" s="418"/>
      <c r="AF1331" s="418"/>
      <c r="AG1331" s="418"/>
      <c r="AH1331" s="418"/>
      <c r="AI1331" s="418"/>
      <c r="AJ1331" s="418"/>
      <c r="AK1331" s="418"/>
      <c r="AL1331" s="418"/>
      <c r="AM1331" s="418"/>
      <c r="AN1331" s="418"/>
      <c r="AO1331" s="418"/>
      <c r="AP1331" s="418"/>
      <c r="AQ1331" s="418"/>
      <c r="AR1331" s="418"/>
      <c r="AS1331" s="418"/>
      <c r="AT1331" s="418"/>
      <c r="AU1331" s="418"/>
      <c r="AV1331" s="418"/>
      <c r="AW1331" s="418"/>
      <c r="AX1331" s="418"/>
      <c r="AY1331" s="418"/>
      <c r="BF1331" s="1119"/>
      <c r="BG1331" s="1119"/>
      <c r="BH1331" s="1119"/>
    </row>
    <row r="1332" spans="1:60" ht="15.75" customHeight="1">
      <c r="A1332" s="415"/>
      <c r="B1332" s="416"/>
      <c r="C1332" s="424"/>
      <c r="E1332" s="418"/>
      <c r="F1332" s="419"/>
      <c r="G1332" s="420"/>
      <c r="H1332" s="421"/>
      <c r="I1332" s="421"/>
      <c r="J1332" s="492"/>
      <c r="K1332" s="418"/>
      <c r="L1332" s="418"/>
      <c r="M1332" s="418"/>
      <c r="N1332" s="421"/>
      <c r="O1332" s="421"/>
      <c r="P1332" s="421"/>
      <c r="Q1332" s="418"/>
      <c r="R1332" s="418"/>
      <c r="S1332" s="418"/>
      <c r="T1332" s="418"/>
      <c r="U1332" s="418"/>
      <c r="V1332" s="418"/>
      <c r="W1332" s="418"/>
      <c r="X1332" s="418"/>
      <c r="Y1332" s="418"/>
      <c r="Z1332" s="418"/>
      <c r="AA1332" s="418"/>
      <c r="AB1332" s="418"/>
      <c r="AC1332" s="418"/>
      <c r="AD1332" s="418"/>
      <c r="AE1332" s="418"/>
      <c r="AF1332" s="418"/>
      <c r="AG1332" s="418"/>
      <c r="AH1332" s="418"/>
      <c r="AI1332" s="418"/>
      <c r="AJ1332" s="418"/>
      <c r="AK1332" s="418"/>
      <c r="AL1332" s="418"/>
      <c r="AM1332" s="418"/>
      <c r="AN1332" s="418"/>
      <c r="AO1332" s="418"/>
      <c r="AP1332" s="418"/>
      <c r="AQ1332" s="418"/>
      <c r="AR1332" s="418"/>
      <c r="AS1332" s="418"/>
      <c r="AT1332" s="418"/>
      <c r="AU1332" s="418"/>
      <c r="AV1332" s="418"/>
      <c r="AW1332" s="418"/>
      <c r="AX1332" s="418"/>
      <c r="AY1332" s="418"/>
      <c r="BF1332" s="1119"/>
      <c r="BG1332" s="1119"/>
      <c r="BH1332" s="1119"/>
    </row>
    <row r="1333" spans="1:60" ht="15.75" customHeight="1">
      <c r="A1333" s="415"/>
      <c r="B1333" s="416"/>
      <c r="C1333" s="424"/>
      <c r="E1333" s="418"/>
      <c r="F1333" s="419"/>
      <c r="G1333" s="420"/>
      <c r="H1333" s="421"/>
      <c r="I1333" s="421"/>
      <c r="J1333" s="492"/>
      <c r="K1333" s="418"/>
      <c r="L1333" s="418"/>
      <c r="M1333" s="418"/>
      <c r="N1333" s="421"/>
      <c r="O1333" s="421"/>
      <c r="P1333" s="421"/>
      <c r="Q1333" s="418"/>
      <c r="R1333" s="418"/>
      <c r="S1333" s="418"/>
      <c r="T1333" s="418"/>
      <c r="U1333" s="418"/>
      <c r="V1333" s="418"/>
      <c r="W1333" s="418"/>
      <c r="X1333" s="418"/>
      <c r="Y1333" s="418"/>
      <c r="Z1333" s="418"/>
      <c r="AA1333" s="418"/>
      <c r="AB1333" s="418"/>
      <c r="AC1333" s="418"/>
      <c r="AD1333" s="418"/>
      <c r="AE1333" s="418"/>
      <c r="AF1333" s="418"/>
      <c r="AG1333" s="418"/>
      <c r="AH1333" s="418"/>
      <c r="AI1333" s="418"/>
      <c r="AJ1333" s="418"/>
      <c r="AK1333" s="418"/>
      <c r="AL1333" s="418"/>
      <c r="AM1333" s="418"/>
      <c r="AN1333" s="418"/>
      <c r="AO1333" s="418"/>
      <c r="AP1333" s="418"/>
      <c r="AQ1333" s="418"/>
      <c r="AR1333" s="418"/>
      <c r="AS1333" s="418"/>
      <c r="AT1333" s="418"/>
      <c r="AU1333" s="418"/>
      <c r="AV1333" s="418"/>
      <c r="AW1333" s="418"/>
      <c r="AX1333" s="418"/>
      <c r="AY1333" s="418"/>
      <c r="BF1333" s="1119"/>
      <c r="BG1333" s="1119"/>
      <c r="BH1333" s="1119"/>
    </row>
    <row r="1334" spans="1:60" ht="15.75" customHeight="1">
      <c r="A1334" s="415"/>
      <c r="B1334" s="417"/>
      <c r="C1334" s="424"/>
      <c r="E1334" s="418"/>
      <c r="F1334" s="419"/>
      <c r="G1334" s="420"/>
      <c r="H1334" s="421"/>
      <c r="I1334" s="425"/>
      <c r="J1334" s="424"/>
      <c r="K1334" s="418"/>
      <c r="L1334" s="418"/>
      <c r="M1334" s="418"/>
      <c r="N1334" s="421"/>
      <c r="O1334" s="421"/>
      <c r="P1334" s="421"/>
      <c r="Q1334" s="418"/>
      <c r="R1334" s="418"/>
      <c r="S1334" s="418"/>
      <c r="T1334" s="418"/>
      <c r="U1334" s="418"/>
      <c r="V1334" s="418"/>
      <c r="W1334" s="418"/>
      <c r="X1334" s="418"/>
      <c r="Y1334" s="418"/>
      <c r="Z1334" s="418"/>
      <c r="AA1334" s="418"/>
      <c r="AB1334" s="418"/>
      <c r="AC1334" s="418"/>
      <c r="AD1334" s="418"/>
      <c r="AE1334" s="418"/>
      <c r="AF1334" s="418"/>
      <c r="AG1334" s="418"/>
      <c r="AH1334" s="418"/>
      <c r="AI1334" s="418"/>
      <c r="AJ1334" s="418"/>
      <c r="AK1334" s="418"/>
      <c r="AL1334" s="418"/>
      <c r="AM1334" s="418"/>
      <c r="AN1334" s="418"/>
      <c r="AO1334" s="418"/>
      <c r="AP1334" s="418"/>
      <c r="AQ1334" s="418"/>
      <c r="AR1334" s="418"/>
      <c r="AS1334" s="418"/>
      <c r="AT1334" s="418"/>
      <c r="AU1334" s="418"/>
      <c r="AV1334" s="418"/>
      <c r="AW1334" s="418"/>
      <c r="AX1334" s="418"/>
      <c r="AY1334" s="418"/>
      <c r="BF1334" s="1119"/>
      <c r="BG1334" s="1119"/>
      <c r="BH1334" s="1119"/>
    </row>
    <row r="1335" spans="1:60" ht="15.75" customHeight="1">
      <c r="A1335" s="415"/>
      <c r="B1335" s="416"/>
      <c r="C1335" s="424"/>
      <c r="E1335" s="418"/>
      <c r="F1335" s="419"/>
      <c r="G1335" s="420"/>
      <c r="H1335" s="421"/>
      <c r="I1335" s="425"/>
      <c r="J1335" s="424"/>
      <c r="K1335" s="418"/>
      <c r="L1335" s="418"/>
      <c r="M1335" s="418"/>
      <c r="N1335" s="421"/>
      <c r="O1335" s="421"/>
      <c r="P1335" s="421"/>
      <c r="Q1335" s="418"/>
      <c r="R1335" s="418"/>
      <c r="S1335" s="418"/>
      <c r="T1335" s="418"/>
      <c r="U1335" s="418"/>
      <c r="V1335" s="418"/>
      <c r="W1335" s="418"/>
      <c r="X1335" s="418"/>
      <c r="Y1335" s="418"/>
      <c r="Z1335" s="418"/>
      <c r="AA1335" s="418"/>
      <c r="AB1335" s="418"/>
      <c r="AC1335" s="418"/>
      <c r="AD1335" s="418"/>
      <c r="AE1335" s="418"/>
      <c r="AF1335" s="418"/>
      <c r="AG1335" s="418"/>
      <c r="AH1335" s="418"/>
      <c r="AI1335" s="418"/>
      <c r="AJ1335" s="418"/>
      <c r="AK1335" s="418"/>
      <c r="AL1335" s="418"/>
      <c r="AM1335" s="418"/>
      <c r="AN1335" s="418"/>
      <c r="AO1335" s="418"/>
      <c r="AP1335" s="418"/>
      <c r="AQ1335" s="418"/>
      <c r="AR1335" s="418"/>
      <c r="AS1335" s="418"/>
      <c r="AT1335" s="418"/>
      <c r="AU1335" s="418"/>
      <c r="AV1335" s="418"/>
      <c r="AW1335" s="418"/>
      <c r="AX1335" s="418"/>
      <c r="AY1335" s="418"/>
      <c r="BF1335" s="1119"/>
      <c r="BG1335" s="1119"/>
      <c r="BH1335" s="1119"/>
    </row>
    <row r="1336" spans="1:60" ht="15.75" customHeight="1">
      <c r="A1336" s="415"/>
      <c r="B1336" s="416"/>
      <c r="C1336" s="424"/>
      <c r="E1336" s="418"/>
      <c r="F1336" s="419"/>
      <c r="G1336" s="420"/>
      <c r="H1336" s="421"/>
      <c r="I1336" s="421"/>
      <c r="J1336" s="492"/>
      <c r="K1336" s="418"/>
      <c r="L1336" s="418"/>
      <c r="M1336" s="418"/>
      <c r="N1336" s="421"/>
      <c r="O1336" s="421"/>
      <c r="P1336" s="421"/>
      <c r="Q1336" s="418"/>
      <c r="R1336" s="418"/>
      <c r="S1336" s="418"/>
      <c r="T1336" s="418"/>
      <c r="U1336" s="418"/>
      <c r="V1336" s="418"/>
      <c r="W1336" s="418"/>
      <c r="X1336" s="418"/>
      <c r="Y1336" s="418"/>
      <c r="Z1336" s="418"/>
      <c r="AA1336" s="418"/>
      <c r="AB1336" s="418"/>
      <c r="AC1336" s="418"/>
      <c r="AD1336" s="418"/>
      <c r="AE1336" s="418"/>
      <c r="AF1336" s="418"/>
      <c r="AG1336" s="418"/>
      <c r="AH1336" s="418"/>
      <c r="AI1336" s="418"/>
      <c r="AJ1336" s="418"/>
      <c r="AK1336" s="418"/>
      <c r="AL1336" s="418"/>
      <c r="AM1336" s="418"/>
      <c r="AN1336" s="418"/>
      <c r="AO1336" s="418"/>
      <c r="AP1336" s="418"/>
      <c r="AQ1336" s="418"/>
      <c r="AR1336" s="418"/>
      <c r="AS1336" s="418"/>
      <c r="AT1336" s="418"/>
      <c r="AU1336" s="418"/>
      <c r="AV1336" s="418"/>
      <c r="AW1336" s="418"/>
      <c r="AX1336" s="418"/>
      <c r="AY1336" s="418"/>
      <c r="BF1336" s="1119"/>
      <c r="BG1336" s="1119"/>
      <c r="BH1336" s="1119"/>
    </row>
    <row r="1337" spans="1:60" ht="15.75" customHeight="1">
      <c r="A1337" s="415"/>
      <c r="B1337" s="416"/>
      <c r="C1337" s="424"/>
      <c r="E1337" s="418"/>
      <c r="F1337" s="419"/>
      <c r="G1337" s="420"/>
      <c r="H1337" s="421"/>
      <c r="I1337" s="421"/>
      <c r="J1337" s="492"/>
      <c r="K1337" s="418"/>
      <c r="L1337" s="418"/>
      <c r="M1337" s="418"/>
      <c r="N1337" s="421"/>
      <c r="O1337" s="421"/>
      <c r="P1337" s="421"/>
      <c r="Q1337" s="418"/>
      <c r="R1337" s="418"/>
      <c r="S1337" s="418"/>
      <c r="T1337" s="418"/>
      <c r="U1337" s="418"/>
      <c r="V1337" s="418"/>
      <c r="W1337" s="418"/>
      <c r="X1337" s="418"/>
      <c r="Y1337" s="418"/>
      <c r="Z1337" s="418"/>
      <c r="AA1337" s="418"/>
      <c r="AB1337" s="418"/>
      <c r="AC1337" s="418"/>
      <c r="AD1337" s="418"/>
      <c r="AE1337" s="418"/>
      <c r="AF1337" s="418"/>
      <c r="AG1337" s="418"/>
      <c r="AH1337" s="418"/>
      <c r="AI1337" s="418"/>
      <c r="AJ1337" s="418"/>
      <c r="AK1337" s="418"/>
      <c r="AL1337" s="418"/>
      <c r="AM1337" s="418"/>
      <c r="AN1337" s="418"/>
      <c r="AO1337" s="418"/>
      <c r="AP1337" s="418"/>
      <c r="AQ1337" s="418"/>
      <c r="AR1337" s="418"/>
      <c r="AS1337" s="418"/>
      <c r="AT1337" s="418"/>
      <c r="AU1337" s="418"/>
      <c r="AV1337" s="418"/>
      <c r="AW1337" s="418"/>
      <c r="AX1337" s="418"/>
      <c r="AY1337" s="418"/>
      <c r="BF1337" s="1119"/>
      <c r="BG1337" s="1119"/>
      <c r="BH1337" s="1119"/>
    </row>
    <row r="1338" spans="1:60" ht="15.75" customHeight="1">
      <c r="A1338" s="415"/>
      <c r="B1338" s="416"/>
      <c r="C1338" s="424"/>
      <c r="E1338" s="418"/>
      <c r="F1338" s="419"/>
      <c r="G1338" s="420"/>
      <c r="H1338" s="421"/>
      <c r="I1338" s="421"/>
      <c r="J1338" s="492"/>
      <c r="K1338" s="418"/>
      <c r="L1338" s="418"/>
      <c r="M1338" s="418"/>
      <c r="N1338" s="421"/>
      <c r="O1338" s="421"/>
      <c r="P1338" s="421"/>
      <c r="Q1338" s="418"/>
      <c r="R1338" s="418"/>
      <c r="S1338" s="418"/>
      <c r="T1338" s="418"/>
      <c r="U1338" s="418"/>
      <c r="V1338" s="418"/>
      <c r="W1338" s="418"/>
      <c r="X1338" s="418"/>
      <c r="Y1338" s="418"/>
      <c r="Z1338" s="418"/>
      <c r="AA1338" s="418"/>
      <c r="AB1338" s="418"/>
      <c r="AC1338" s="418"/>
      <c r="AD1338" s="418"/>
      <c r="AE1338" s="418"/>
      <c r="AF1338" s="418"/>
      <c r="AG1338" s="418"/>
      <c r="AH1338" s="418"/>
      <c r="AI1338" s="418"/>
      <c r="AJ1338" s="418"/>
      <c r="AK1338" s="418"/>
      <c r="AL1338" s="418"/>
      <c r="AM1338" s="418"/>
      <c r="AN1338" s="418"/>
      <c r="AO1338" s="418"/>
      <c r="AP1338" s="418"/>
      <c r="AQ1338" s="418"/>
      <c r="AR1338" s="418"/>
      <c r="AS1338" s="418"/>
      <c r="AT1338" s="418"/>
      <c r="AU1338" s="418"/>
      <c r="AV1338" s="418"/>
      <c r="AW1338" s="418"/>
      <c r="AX1338" s="418"/>
      <c r="AY1338" s="418"/>
      <c r="BF1338" s="1119"/>
      <c r="BG1338" s="1119"/>
      <c r="BH1338" s="1119"/>
    </row>
    <row r="1339" spans="1:60" ht="15.75" customHeight="1">
      <c r="A1339" s="415"/>
      <c r="B1339" s="416"/>
      <c r="C1339" s="424"/>
      <c r="E1339" s="418"/>
      <c r="F1339" s="419"/>
      <c r="G1339" s="420"/>
      <c r="H1339" s="421"/>
      <c r="I1339" s="421"/>
      <c r="J1339" s="492"/>
      <c r="K1339" s="418"/>
      <c r="L1339" s="418"/>
      <c r="M1339" s="418"/>
      <c r="N1339" s="421"/>
      <c r="O1339" s="421"/>
      <c r="P1339" s="421"/>
      <c r="Q1339" s="418"/>
      <c r="R1339" s="418"/>
      <c r="S1339" s="418"/>
      <c r="T1339" s="418"/>
      <c r="U1339" s="418"/>
      <c r="V1339" s="418"/>
      <c r="W1339" s="418"/>
      <c r="X1339" s="418"/>
      <c r="Y1339" s="418"/>
      <c r="Z1339" s="418"/>
      <c r="AA1339" s="418"/>
      <c r="AB1339" s="418"/>
      <c r="AC1339" s="418"/>
      <c r="AD1339" s="418"/>
      <c r="AE1339" s="418"/>
      <c r="AF1339" s="418"/>
      <c r="AG1339" s="418"/>
      <c r="AH1339" s="418"/>
      <c r="AI1339" s="418"/>
      <c r="AJ1339" s="418"/>
      <c r="AK1339" s="418"/>
      <c r="AL1339" s="418"/>
      <c r="AM1339" s="418"/>
      <c r="AN1339" s="418"/>
      <c r="AO1339" s="418"/>
      <c r="AP1339" s="418"/>
      <c r="AQ1339" s="418"/>
      <c r="AR1339" s="418"/>
      <c r="AS1339" s="418"/>
      <c r="AT1339" s="418"/>
      <c r="AU1339" s="418"/>
      <c r="AV1339" s="418"/>
      <c r="AW1339" s="418"/>
      <c r="AX1339" s="418"/>
      <c r="AY1339" s="418"/>
      <c r="BF1339" s="1119"/>
      <c r="BG1339" s="1119"/>
      <c r="BH1339" s="1119"/>
    </row>
    <row r="1340" spans="1:60" ht="15.75" customHeight="1">
      <c r="A1340" s="415"/>
      <c r="B1340" s="416"/>
      <c r="C1340" s="424"/>
      <c r="E1340" s="418"/>
      <c r="F1340" s="419"/>
      <c r="G1340" s="420"/>
      <c r="H1340" s="421"/>
      <c r="I1340" s="421"/>
      <c r="J1340" s="492"/>
      <c r="K1340" s="418"/>
      <c r="L1340" s="418"/>
      <c r="M1340" s="418"/>
      <c r="N1340" s="421"/>
      <c r="O1340" s="421"/>
      <c r="P1340" s="421"/>
      <c r="Q1340" s="418"/>
      <c r="R1340" s="418"/>
      <c r="S1340" s="418"/>
      <c r="T1340" s="418"/>
      <c r="U1340" s="418"/>
      <c r="V1340" s="418"/>
      <c r="W1340" s="418"/>
      <c r="X1340" s="418"/>
      <c r="Y1340" s="418"/>
      <c r="Z1340" s="418"/>
      <c r="AA1340" s="418"/>
      <c r="AB1340" s="418"/>
      <c r="AC1340" s="418"/>
      <c r="AD1340" s="418"/>
      <c r="AE1340" s="418"/>
      <c r="AF1340" s="418"/>
      <c r="AG1340" s="418"/>
      <c r="AH1340" s="418"/>
      <c r="AI1340" s="418"/>
      <c r="AJ1340" s="418"/>
      <c r="AK1340" s="418"/>
      <c r="AL1340" s="418"/>
      <c r="AM1340" s="418"/>
      <c r="AN1340" s="418"/>
      <c r="AO1340" s="418"/>
      <c r="AP1340" s="418"/>
      <c r="AQ1340" s="418"/>
      <c r="AR1340" s="418"/>
      <c r="AS1340" s="418"/>
      <c r="AT1340" s="418"/>
      <c r="AU1340" s="418"/>
      <c r="AV1340" s="418"/>
      <c r="AW1340" s="418"/>
      <c r="AX1340" s="418"/>
      <c r="AY1340" s="418"/>
      <c r="BF1340" s="1119"/>
      <c r="BG1340" s="1119"/>
      <c r="BH1340" s="1119"/>
    </row>
    <row r="1341" spans="1:60" ht="15.75" customHeight="1">
      <c r="A1341" s="415"/>
      <c r="B1341" s="416"/>
      <c r="C1341" s="424"/>
      <c r="E1341" s="418"/>
      <c r="F1341" s="419"/>
      <c r="G1341" s="420"/>
      <c r="H1341" s="421"/>
      <c r="I1341" s="421"/>
      <c r="J1341" s="492"/>
      <c r="K1341" s="418"/>
      <c r="L1341" s="418"/>
      <c r="M1341" s="418"/>
      <c r="N1341" s="421"/>
      <c r="O1341" s="421"/>
      <c r="P1341" s="421"/>
      <c r="Q1341" s="418"/>
      <c r="R1341" s="418"/>
      <c r="S1341" s="418"/>
      <c r="T1341" s="418"/>
      <c r="U1341" s="418"/>
      <c r="V1341" s="418"/>
      <c r="W1341" s="418"/>
      <c r="X1341" s="418"/>
      <c r="Y1341" s="418"/>
      <c r="Z1341" s="418"/>
      <c r="AA1341" s="418"/>
      <c r="AB1341" s="418"/>
      <c r="AC1341" s="418"/>
      <c r="AD1341" s="418"/>
      <c r="AE1341" s="418"/>
      <c r="AF1341" s="418"/>
      <c r="AG1341" s="418"/>
      <c r="AH1341" s="418"/>
      <c r="AI1341" s="418"/>
      <c r="AJ1341" s="418"/>
      <c r="AK1341" s="418"/>
      <c r="AL1341" s="418"/>
      <c r="AM1341" s="418"/>
      <c r="AN1341" s="418"/>
      <c r="AO1341" s="418"/>
      <c r="AP1341" s="418"/>
      <c r="AQ1341" s="418"/>
      <c r="AR1341" s="418"/>
      <c r="AS1341" s="418"/>
      <c r="AT1341" s="418"/>
      <c r="AU1341" s="418"/>
      <c r="AV1341" s="418"/>
      <c r="AW1341" s="418"/>
      <c r="AX1341" s="418"/>
      <c r="AY1341" s="418"/>
      <c r="BF1341" s="1119"/>
      <c r="BG1341" s="1119"/>
      <c r="BH1341" s="1119"/>
    </row>
    <row r="1342" spans="1:60" ht="15.75" customHeight="1">
      <c r="A1342" s="415"/>
      <c r="B1342" s="416"/>
      <c r="C1342" s="424"/>
      <c r="E1342" s="418"/>
      <c r="F1342" s="419"/>
      <c r="G1342" s="420"/>
      <c r="H1342" s="421"/>
      <c r="I1342" s="425"/>
      <c r="J1342" s="492"/>
      <c r="K1342" s="418"/>
      <c r="L1342" s="418"/>
      <c r="M1342" s="418"/>
      <c r="N1342" s="421"/>
      <c r="O1342" s="421"/>
      <c r="P1342" s="421"/>
      <c r="Q1342" s="418"/>
      <c r="R1342" s="418"/>
      <c r="S1342" s="418"/>
      <c r="T1342" s="418"/>
      <c r="U1342" s="418"/>
      <c r="V1342" s="418"/>
      <c r="W1342" s="418"/>
      <c r="X1342" s="418"/>
      <c r="Y1342" s="418"/>
      <c r="Z1342" s="418"/>
      <c r="AA1342" s="418"/>
      <c r="AB1342" s="418"/>
      <c r="AC1342" s="418"/>
      <c r="AD1342" s="418"/>
      <c r="AE1342" s="418"/>
      <c r="AF1342" s="418"/>
      <c r="AG1342" s="418"/>
      <c r="AH1342" s="418"/>
      <c r="AI1342" s="418"/>
      <c r="AJ1342" s="418"/>
      <c r="AK1342" s="418"/>
      <c r="AL1342" s="418"/>
      <c r="AM1342" s="418"/>
      <c r="AN1342" s="418"/>
      <c r="AO1342" s="418"/>
      <c r="AP1342" s="418"/>
      <c r="AQ1342" s="418"/>
      <c r="AR1342" s="418"/>
      <c r="AS1342" s="418"/>
      <c r="AT1342" s="418"/>
      <c r="AU1342" s="418"/>
      <c r="AV1342" s="418"/>
      <c r="AW1342" s="418"/>
      <c r="AX1342" s="418"/>
      <c r="AY1342" s="418"/>
      <c r="BF1342" s="1119"/>
      <c r="BG1342" s="1119"/>
      <c r="BH1342" s="1119"/>
    </row>
    <row r="1343" spans="1:60" ht="15.75" customHeight="1">
      <c r="A1343" s="415"/>
      <c r="B1343" s="416"/>
      <c r="C1343" s="424"/>
      <c r="E1343" s="418"/>
      <c r="F1343" s="419"/>
      <c r="G1343" s="420"/>
      <c r="H1343" s="421"/>
      <c r="I1343" s="421"/>
      <c r="J1343" s="492"/>
      <c r="K1343" s="418"/>
      <c r="L1343" s="418"/>
      <c r="M1343" s="418"/>
      <c r="N1343" s="421"/>
      <c r="O1343" s="421"/>
      <c r="P1343" s="421"/>
      <c r="Q1343" s="418"/>
      <c r="R1343" s="418"/>
      <c r="S1343" s="418"/>
      <c r="T1343" s="418"/>
      <c r="U1343" s="418"/>
      <c r="V1343" s="418"/>
      <c r="W1343" s="418"/>
      <c r="X1343" s="418"/>
      <c r="Y1343" s="418"/>
      <c r="Z1343" s="418"/>
      <c r="AA1343" s="418"/>
      <c r="AB1343" s="418"/>
      <c r="AC1343" s="418"/>
      <c r="AD1343" s="418"/>
      <c r="AE1343" s="418"/>
      <c r="AF1343" s="418"/>
      <c r="AG1343" s="418"/>
      <c r="AH1343" s="418"/>
      <c r="AI1343" s="418"/>
      <c r="AJ1343" s="418"/>
      <c r="AK1343" s="418"/>
      <c r="AL1343" s="418"/>
      <c r="AM1343" s="418"/>
      <c r="AN1343" s="418"/>
      <c r="AO1343" s="418"/>
      <c r="AP1343" s="418"/>
      <c r="AQ1343" s="418"/>
      <c r="AR1343" s="418"/>
      <c r="AS1343" s="418"/>
      <c r="AT1343" s="418"/>
      <c r="AU1343" s="418"/>
      <c r="AV1343" s="418"/>
      <c r="AW1343" s="418"/>
      <c r="AX1343" s="418"/>
      <c r="AY1343" s="418"/>
      <c r="BF1343" s="1119"/>
      <c r="BG1343" s="1119"/>
      <c r="BH1343" s="1119"/>
    </row>
    <row r="1344" spans="1:60" ht="15.75" customHeight="1">
      <c r="A1344" s="415"/>
      <c r="B1344" s="416"/>
      <c r="C1344" s="424"/>
      <c r="E1344" s="418"/>
      <c r="F1344" s="419"/>
      <c r="G1344" s="420"/>
      <c r="H1344" s="421"/>
      <c r="I1344" s="425"/>
      <c r="J1344" s="492"/>
      <c r="K1344" s="418"/>
      <c r="L1344" s="418"/>
      <c r="M1344" s="418"/>
      <c r="N1344" s="421"/>
      <c r="O1344" s="421"/>
      <c r="P1344" s="421"/>
      <c r="Q1344" s="418"/>
      <c r="R1344" s="418"/>
      <c r="S1344" s="418"/>
      <c r="T1344" s="418"/>
      <c r="U1344" s="418"/>
      <c r="V1344" s="418"/>
      <c r="W1344" s="418"/>
      <c r="X1344" s="418"/>
      <c r="Y1344" s="418"/>
      <c r="Z1344" s="418"/>
      <c r="AA1344" s="418"/>
      <c r="AB1344" s="418"/>
      <c r="AC1344" s="418"/>
      <c r="AD1344" s="418"/>
      <c r="AE1344" s="418"/>
      <c r="AF1344" s="418"/>
      <c r="AG1344" s="418"/>
      <c r="AH1344" s="418"/>
      <c r="AI1344" s="418"/>
      <c r="AJ1344" s="418"/>
      <c r="AK1344" s="418"/>
      <c r="AL1344" s="418"/>
      <c r="AM1344" s="418"/>
      <c r="AN1344" s="418"/>
      <c r="AO1344" s="418"/>
      <c r="AP1344" s="418"/>
      <c r="AQ1344" s="418"/>
      <c r="AR1344" s="418"/>
      <c r="AS1344" s="418"/>
      <c r="AT1344" s="418"/>
      <c r="AU1344" s="418"/>
      <c r="AV1344" s="418"/>
      <c r="AW1344" s="418"/>
      <c r="AX1344" s="418"/>
      <c r="AY1344" s="418"/>
      <c r="BF1344" s="1119"/>
      <c r="BG1344" s="1119"/>
      <c r="BH1344" s="1119"/>
    </row>
    <row r="1345" spans="1:60" ht="15.75" customHeight="1">
      <c r="A1345" s="415"/>
      <c r="B1345" s="416"/>
      <c r="C1345" s="424"/>
      <c r="E1345" s="418"/>
      <c r="F1345" s="419"/>
      <c r="G1345" s="420"/>
      <c r="H1345" s="421"/>
      <c r="I1345" s="421"/>
      <c r="J1345" s="492"/>
      <c r="K1345" s="418"/>
      <c r="L1345" s="418"/>
      <c r="M1345" s="418"/>
      <c r="N1345" s="421"/>
      <c r="O1345" s="421"/>
      <c r="P1345" s="421"/>
      <c r="Q1345" s="418"/>
      <c r="R1345" s="418"/>
      <c r="S1345" s="418"/>
      <c r="T1345" s="418"/>
      <c r="U1345" s="418"/>
      <c r="V1345" s="418"/>
      <c r="W1345" s="418"/>
      <c r="X1345" s="418"/>
      <c r="Y1345" s="418"/>
      <c r="Z1345" s="418"/>
      <c r="AA1345" s="418"/>
      <c r="AB1345" s="418"/>
      <c r="AC1345" s="418"/>
      <c r="AD1345" s="418"/>
      <c r="AE1345" s="418"/>
      <c r="AF1345" s="418"/>
      <c r="AG1345" s="418"/>
      <c r="AH1345" s="418"/>
      <c r="AI1345" s="418"/>
      <c r="AJ1345" s="418"/>
      <c r="AK1345" s="418"/>
      <c r="AL1345" s="418"/>
      <c r="AM1345" s="418"/>
      <c r="AN1345" s="418"/>
      <c r="AO1345" s="418"/>
      <c r="AP1345" s="418"/>
      <c r="AQ1345" s="418"/>
      <c r="AR1345" s="418"/>
      <c r="AS1345" s="418"/>
      <c r="AT1345" s="418"/>
      <c r="AU1345" s="418"/>
      <c r="AV1345" s="418"/>
      <c r="AW1345" s="418"/>
      <c r="AX1345" s="418"/>
      <c r="AY1345" s="418"/>
      <c r="BF1345" s="1119"/>
      <c r="BG1345" s="1119"/>
      <c r="BH1345" s="1119"/>
    </row>
    <row r="1346" spans="1:60" ht="15.75" customHeight="1">
      <c r="A1346" s="415"/>
      <c r="B1346" s="417"/>
      <c r="C1346" s="424"/>
      <c r="E1346" s="418"/>
      <c r="F1346" s="419"/>
      <c r="G1346" s="420"/>
      <c r="H1346" s="421"/>
      <c r="I1346" s="421"/>
      <c r="J1346" s="492"/>
      <c r="K1346" s="418"/>
      <c r="L1346" s="418"/>
      <c r="M1346" s="418"/>
      <c r="N1346" s="421"/>
      <c r="O1346" s="421"/>
      <c r="P1346" s="421"/>
      <c r="Q1346" s="418"/>
      <c r="R1346" s="418"/>
      <c r="S1346" s="418"/>
      <c r="T1346" s="418"/>
      <c r="U1346" s="418"/>
      <c r="V1346" s="418"/>
      <c r="W1346" s="418"/>
      <c r="X1346" s="418"/>
      <c r="Y1346" s="418"/>
      <c r="Z1346" s="418"/>
      <c r="AA1346" s="418"/>
      <c r="AB1346" s="418"/>
      <c r="AC1346" s="418"/>
      <c r="AD1346" s="418"/>
      <c r="AE1346" s="418"/>
      <c r="AF1346" s="418"/>
      <c r="AG1346" s="418"/>
      <c r="AH1346" s="418"/>
      <c r="AI1346" s="418"/>
      <c r="AJ1346" s="418"/>
      <c r="AK1346" s="418"/>
      <c r="AL1346" s="418"/>
      <c r="AM1346" s="418"/>
      <c r="AN1346" s="418"/>
      <c r="AO1346" s="418"/>
      <c r="AP1346" s="418"/>
      <c r="AQ1346" s="418"/>
      <c r="AR1346" s="418"/>
      <c r="AS1346" s="418"/>
      <c r="AT1346" s="418"/>
      <c r="AU1346" s="418"/>
      <c r="AV1346" s="418"/>
      <c r="AW1346" s="418"/>
      <c r="AX1346" s="418"/>
      <c r="AY1346" s="418"/>
      <c r="BF1346" s="1119"/>
      <c r="BG1346" s="1119"/>
      <c r="BH1346" s="1119"/>
    </row>
    <row r="1347" spans="1:60" ht="15.75" customHeight="1">
      <c r="A1347" s="415"/>
      <c r="B1347" s="417"/>
      <c r="C1347" s="424"/>
      <c r="E1347" s="418"/>
      <c r="F1347" s="419"/>
      <c r="G1347" s="420"/>
      <c r="H1347" s="421"/>
      <c r="I1347" s="421"/>
      <c r="J1347" s="492"/>
      <c r="K1347" s="418"/>
      <c r="L1347" s="418"/>
      <c r="M1347" s="418"/>
      <c r="N1347" s="421"/>
      <c r="O1347" s="421"/>
      <c r="P1347" s="421"/>
      <c r="Q1347" s="418"/>
      <c r="R1347" s="418"/>
      <c r="S1347" s="418"/>
      <c r="T1347" s="418"/>
      <c r="U1347" s="418"/>
      <c r="V1347" s="418"/>
      <c r="W1347" s="418"/>
      <c r="X1347" s="418"/>
      <c r="Y1347" s="418"/>
      <c r="Z1347" s="418"/>
      <c r="AA1347" s="418"/>
      <c r="AB1347" s="418"/>
      <c r="AC1347" s="418"/>
      <c r="AD1347" s="418"/>
      <c r="AE1347" s="418"/>
      <c r="AF1347" s="418"/>
      <c r="AG1347" s="418"/>
      <c r="AH1347" s="418"/>
      <c r="AI1347" s="418"/>
      <c r="AJ1347" s="418"/>
      <c r="AK1347" s="418"/>
      <c r="AL1347" s="418"/>
      <c r="AM1347" s="418"/>
      <c r="AN1347" s="418"/>
      <c r="AO1347" s="418"/>
      <c r="AP1347" s="418"/>
      <c r="AQ1347" s="418"/>
      <c r="AR1347" s="418"/>
      <c r="AS1347" s="418"/>
      <c r="AT1347" s="418"/>
      <c r="AU1347" s="418"/>
      <c r="AV1347" s="418"/>
      <c r="AW1347" s="418"/>
      <c r="AX1347" s="418"/>
      <c r="AY1347" s="418"/>
      <c r="BF1347" s="1119"/>
      <c r="BG1347" s="1119"/>
      <c r="BH1347" s="1119"/>
    </row>
    <row r="1348" spans="1:60" ht="15.75" customHeight="1">
      <c r="A1348" s="415"/>
      <c r="B1348" s="417"/>
      <c r="C1348" s="424"/>
      <c r="E1348" s="418"/>
      <c r="F1348" s="419"/>
      <c r="G1348" s="420"/>
      <c r="H1348" s="421"/>
      <c r="I1348" s="421"/>
      <c r="J1348" s="492"/>
      <c r="K1348" s="418"/>
      <c r="L1348" s="418"/>
      <c r="M1348" s="418"/>
      <c r="N1348" s="421"/>
      <c r="O1348" s="421"/>
      <c r="P1348" s="421"/>
      <c r="Q1348" s="418"/>
      <c r="R1348" s="418"/>
      <c r="S1348" s="418"/>
      <c r="T1348" s="418"/>
      <c r="U1348" s="418"/>
      <c r="V1348" s="418"/>
      <c r="W1348" s="418"/>
      <c r="X1348" s="418"/>
      <c r="Y1348" s="418"/>
      <c r="Z1348" s="418"/>
      <c r="AA1348" s="418"/>
      <c r="AB1348" s="418"/>
      <c r="AC1348" s="418"/>
      <c r="AD1348" s="418"/>
      <c r="AE1348" s="418"/>
      <c r="AF1348" s="418"/>
      <c r="AG1348" s="418"/>
      <c r="AH1348" s="418"/>
      <c r="AI1348" s="418"/>
      <c r="AJ1348" s="418"/>
      <c r="AK1348" s="418"/>
      <c r="AL1348" s="418"/>
      <c r="AM1348" s="418"/>
      <c r="AN1348" s="418"/>
      <c r="AO1348" s="418"/>
      <c r="AP1348" s="418"/>
      <c r="AQ1348" s="418"/>
      <c r="AR1348" s="418"/>
      <c r="AS1348" s="418"/>
      <c r="AT1348" s="418"/>
      <c r="AU1348" s="418"/>
      <c r="AV1348" s="418"/>
      <c r="AW1348" s="418"/>
      <c r="AX1348" s="418"/>
      <c r="AY1348" s="418"/>
      <c r="BF1348" s="1119"/>
      <c r="BG1348" s="1119"/>
      <c r="BH1348" s="1119"/>
    </row>
    <row r="1349" spans="1:60" ht="15.75" customHeight="1">
      <c r="A1349" s="415"/>
      <c r="B1349" s="417"/>
      <c r="C1349" s="424"/>
      <c r="E1349" s="418"/>
      <c r="F1349" s="419"/>
      <c r="G1349" s="420"/>
      <c r="H1349" s="421"/>
      <c r="I1349" s="421"/>
      <c r="J1349" s="492"/>
      <c r="K1349" s="418"/>
      <c r="L1349" s="418"/>
      <c r="M1349" s="418"/>
      <c r="N1349" s="421"/>
      <c r="O1349" s="421"/>
      <c r="P1349" s="421"/>
      <c r="Q1349" s="418"/>
      <c r="R1349" s="418"/>
      <c r="S1349" s="418"/>
      <c r="T1349" s="418"/>
      <c r="U1349" s="418"/>
      <c r="V1349" s="418"/>
      <c r="W1349" s="418"/>
      <c r="X1349" s="418"/>
      <c r="Y1349" s="418"/>
      <c r="Z1349" s="418"/>
      <c r="AA1349" s="418"/>
      <c r="AB1349" s="418"/>
      <c r="AC1349" s="418"/>
      <c r="AD1349" s="418"/>
      <c r="AE1349" s="418"/>
      <c r="AF1349" s="418"/>
      <c r="AG1349" s="418"/>
      <c r="AH1349" s="418"/>
      <c r="AI1349" s="418"/>
      <c r="AJ1349" s="418"/>
      <c r="AK1349" s="418"/>
      <c r="AL1349" s="418"/>
      <c r="AM1349" s="418"/>
      <c r="AN1349" s="418"/>
      <c r="AO1349" s="418"/>
      <c r="AP1349" s="418"/>
      <c r="AQ1349" s="418"/>
      <c r="AR1349" s="418"/>
      <c r="AS1349" s="418"/>
      <c r="AT1349" s="418"/>
      <c r="AU1349" s="418"/>
      <c r="AV1349" s="418"/>
      <c r="AW1349" s="418"/>
      <c r="AX1349" s="418"/>
      <c r="AY1349" s="418"/>
      <c r="BF1349" s="1119"/>
      <c r="BG1349" s="1119"/>
      <c r="BH1349" s="1119"/>
    </row>
    <row r="1350" spans="1:60" ht="15.75" customHeight="1">
      <c r="A1350" s="415"/>
      <c r="B1350" s="417"/>
      <c r="C1350" s="424"/>
      <c r="E1350" s="418"/>
      <c r="F1350" s="419"/>
      <c r="G1350" s="420"/>
      <c r="H1350" s="421"/>
      <c r="I1350" s="421"/>
      <c r="J1350" s="492"/>
      <c r="K1350" s="418"/>
      <c r="L1350" s="418"/>
      <c r="M1350" s="418"/>
      <c r="N1350" s="421"/>
      <c r="O1350" s="421"/>
      <c r="P1350" s="421"/>
      <c r="Q1350" s="418"/>
      <c r="R1350" s="418"/>
      <c r="S1350" s="418"/>
      <c r="T1350" s="418"/>
      <c r="U1350" s="418"/>
      <c r="V1350" s="418"/>
      <c r="W1350" s="418"/>
      <c r="X1350" s="418"/>
      <c r="Y1350" s="418"/>
      <c r="Z1350" s="418"/>
      <c r="AA1350" s="418"/>
      <c r="AB1350" s="418"/>
      <c r="AC1350" s="418"/>
      <c r="AD1350" s="418"/>
      <c r="AE1350" s="418"/>
      <c r="AF1350" s="418"/>
      <c r="AG1350" s="418"/>
      <c r="AH1350" s="418"/>
      <c r="AI1350" s="418"/>
      <c r="AJ1350" s="418"/>
      <c r="AK1350" s="418"/>
      <c r="AL1350" s="418"/>
      <c r="AM1350" s="418"/>
      <c r="AN1350" s="418"/>
      <c r="AO1350" s="418"/>
      <c r="AP1350" s="418"/>
      <c r="AQ1350" s="418"/>
      <c r="AR1350" s="418"/>
      <c r="AS1350" s="418"/>
      <c r="AT1350" s="418"/>
      <c r="AU1350" s="418"/>
      <c r="AV1350" s="418"/>
      <c r="AW1350" s="418"/>
      <c r="AX1350" s="418"/>
      <c r="AY1350" s="418"/>
      <c r="BF1350" s="1119"/>
      <c r="BG1350" s="1119"/>
      <c r="BH1350" s="1119"/>
    </row>
    <row r="1351" spans="1:60" ht="15.75" customHeight="1">
      <c r="A1351" s="415"/>
      <c r="B1351" s="417"/>
      <c r="C1351" s="424"/>
      <c r="E1351" s="418"/>
      <c r="F1351" s="419"/>
      <c r="G1351" s="420"/>
      <c r="H1351" s="421"/>
      <c r="I1351" s="421"/>
      <c r="J1351" s="492"/>
      <c r="K1351" s="418"/>
      <c r="L1351" s="418"/>
      <c r="M1351" s="418"/>
      <c r="N1351" s="421"/>
      <c r="O1351" s="421"/>
      <c r="P1351" s="421"/>
      <c r="Q1351" s="418"/>
      <c r="R1351" s="418"/>
      <c r="S1351" s="418"/>
      <c r="T1351" s="418"/>
      <c r="U1351" s="418"/>
      <c r="V1351" s="418"/>
      <c r="W1351" s="418"/>
      <c r="X1351" s="418"/>
      <c r="Y1351" s="418"/>
      <c r="Z1351" s="418"/>
      <c r="AA1351" s="418"/>
      <c r="AB1351" s="418"/>
      <c r="AC1351" s="418"/>
      <c r="AD1351" s="418"/>
      <c r="AE1351" s="418"/>
      <c r="AF1351" s="418"/>
      <c r="AG1351" s="418"/>
      <c r="AH1351" s="418"/>
      <c r="AI1351" s="418"/>
      <c r="AJ1351" s="418"/>
      <c r="AK1351" s="418"/>
      <c r="AL1351" s="418"/>
      <c r="AM1351" s="418"/>
      <c r="AN1351" s="418"/>
      <c r="AO1351" s="418"/>
      <c r="AP1351" s="418"/>
      <c r="AQ1351" s="418"/>
      <c r="AR1351" s="418"/>
      <c r="AS1351" s="418"/>
      <c r="AT1351" s="418"/>
      <c r="AU1351" s="418"/>
      <c r="AV1351" s="418"/>
      <c r="AW1351" s="418"/>
      <c r="AX1351" s="418"/>
      <c r="AY1351" s="418"/>
      <c r="BF1351" s="1119"/>
      <c r="BG1351" s="1119"/>
      <c r="BH1351" s="1119"/>
    </row>
    <row r="1352" spans="1:60" ht="15.75" customHeight="1">
      <c r="A1352" s="415"/>
      <c r="B1352" s="417"/>
      <c r="C1352" s="424"/>
      <c r="E1352" s="418"/>
      <c r="F1352" s="419"/>
      <c r="G1352" s="420"/>
      <c r="H1352" s="421"/>
      <c r="I1352" s="421"/>
      <c r="J1352" s="492"/>
      <c r="K1352" s="418"/>
      <c r="L1352" s="418"/>
      <c r="M1352" s="418"/>
      <c r="N1352" s="421"/>
      <c r="O1352" s="421"/>
      <c r="P1352" s="421"/>
      <c r="Q1352" s="418"/>
      <c r="R1352" s="418"/>
      <c r="S1352" s="418"/>
      <c r="T1352" s="418"/>
      <c r="U1352" s="418"/>
      <c r="V1352" s="418"/>
      <c r="W1352" s="418"/>
      <c r="X1352" s="418"/>
      <c r="Y1352" s="418"/>
      <c r="Z1352" s="418"/>
      <c r="AA1352" s="418"/>
      <c r="AB1352" s="418"/>
      <c r="AC1352" s="418"/>
      <c r="AD1352" s="418"/>
      <c r="AE1352" s="418"/>
      <c r="AF1352" s="418"/>
      <c r="AG1352" s="418"/>
      <c r="AH1352" s="418"/>
      <c r="AI1352" s="418"/>
      <c r="AJ1352" s="418"/>
      <c r="AK1352" s="418"/>
      <c r="AL1352" s="418"/>
      <c r="AM1352" s="418"/>
      <c r="AN1352" s="418"/>
      <c r="AO1352" s="418"/>
      <c r="AP1352" s="418"/>
      <c r="AQ1352" s="418"/>
      <c r="AR1352" s="418"/>
      <c r="AS1352" s="418"/>
      <c r="AT1352" s="418"/>
      <c r="AU1352" s="418"/>
      <c r="AV1352" s="418"/>
      <c r="AW1352" s="418"/>
      <c r="AX1352" s="418"/>
      <c r="AY1352" s="418"/>
      <c r="BF1352" s="1119"/>
      <c r="BG1352" s="1119"/>
      <c r="BH1352" s="1119"/>
    </row>
    <row r="1353" spans="1:60" ht="15.75" customHeight="1">
      <c r="A1353" s="415"/>
      <c r="B1353" s="417"/>
      <c r="C1353" s="424"/>
      <c r="E1353" s="418"/>
      <c r="F1353" s="419"/>
      <c r="G1353" s="420"/>
      <c r="H1353" s="421"/>
      <c r="I1353" s="421"/>
      <c r="J1353" s="492"/>
      <c r="K1353" s="418"/>
      <c r="L1353" s="418"/>
      <c r="M1353" s="418"/>
      <c r="N1353" s="421"/>
      <c r="O1353" s="421"/>
      <c r="P1353" s="421"/>
      <c r="Q1353" s="418"/>
      <c r="R1353" s="418"/>
      <c r="S1353" s="418"/>
      <c r="T1353" s="418"/>
      <c r="U1353" s="418"/>
      <c r="V1353" s="418"/>
      <c r="W1353" s="418"/>
      <c r="X1353" s="418"/>
      <c r="Y1353" s="418"/>
      <c r="Z1353" s="418"/>
      <c r="AA1353" s="418"/>
      <c r="AB1353" s="418"/>
      <c r="AC1353" s="418"/>
      <c r="AD1353" s="418"/>
      <c r="AE1353" s="418"/>
      <c r="AF1353" s="418"/>
      <c r="AG1353" s="418"/>
      <c r="AH1353" s="418"/>
      <c r="AI1353" s="418"/>
      <c r="AJ1353" s="418"/>
      <c r="AK1353" s="418"/>
      <c r="AL1353" s="418"/>
      <c r="AM1353" s="418"/>
      <c r="AN1353" s="418"/>
      <c r="AO1353" s="418"/>
      <c r="AP1353" s="418"/>
      <c r="AQ1353" s="418"/>
      <c r="AR1353" s="418"/>
      <c r="AS1353" s="418"/>
      <c r="AT1353" s="418"/>
      <c r="AU1353" s="418"/>
      <c r="AV1353" s="418"/>
      <c r="AW1353" s="418"/>
      <c r="AX1353" s="418"/>
      <c r="AY1353" s="418"/>
      <c r="BF1353" s="1119"/>
      <c r="BG1353" s="1119"/>
      <c r="BH1353" s="1119"/>
    </row>
    <row r="1354" spans="1:60" ht="15.75" customHeight="1">
      <c r="A1354" s="415"/>
      <c r="B1354" s="417"/>
      <c r="C1354" s="424"/>
      <c r="E1354" s="418"/>
      <c r="F1354" s="419"/>
      <c r="G1354" s="420"/>
      <c r="H1354" s="421"/>
      <c r="I1354" s="421"/>
      <c r="J1354" s="492"/>
      <c r="K1354" s="418"/>
      <c r="L1354" s="418"/>
      <c r="M1354" s="418"/>
      <c r="N1354" s="421"/>
      <c r="O1354" s="421"/>
      <c r="P1354" s="421"/>
      <c r="Q1354" s="418"/>
      <c r="R1354" s="418"/>
      <c r="S1354" s="418"/>
      <c r="T1354" s="418"/>
      <c r="U1354" s="418"/>
      <c r="V1354" s="418"/>
      <c r="W1354" s="418"/>
      <c r="X1354" s="418"/>
      <c r="Y1354" s="418"/>
      <c r="Z1354" s="418"/>
      <c r="AA1354" s="418"/>
      <c r="AB1354" s="418"/>
      <c r="AC1354" s="418"/>
      <c r="AD1354" s="418"/>
      <c r="AE1354" s="418"/>
      <c r="AF1354" s="418"/>
      <c r="AG1354" s="418"/>
      <c r="AH1354" s="418"/>
      <c r="AI1354" s="418"/>
      <c r="AJ1354" s="418"/>
      <c r="AK1354" s="418"/>
      <c r="AL1354" s="418"/>
      <c r="AM1354" s="418"/>
      <c r="AN1354" s="418"/>
      <c r="AO1354" s="418"/>
      <c r="AP1354" s="418"/>
      <c r="AQ1354" s="418"/>
      <c r="AR1354" s="418"/>
      <c r="AS1354" s="418"/>
      <c r="AT1354" s="418"/>
      <c r="AU1354" s="418"/>
      <c r="AV1354" s="418"/>
      <c r="AW1354" s="418"/>
      <c r="AX1354" s="418"/>
      <c r="AY1354" s="418"/>
      <c r="BF1354" s="1119"/>
      <c r="BG1354" s="1119"/>
      <c r="BH1354" s="1119"/>
    </row>
    <row r="1355" spans="1:60" ht="15.75" customHeight="1">
      <c r="A1355" s="415"/>
      <c r="B1355" s="417"/>
      <c r="C1355" s="424"/>
      <c r="E1355" s="418"/>
      <c r="F1355" s="419"/>
      <c r="G1355" s="420"/>
      <c r="H1355" s="421"/>
      <c r="I1355" s="425"/>
      <c r="J1355" s="492"/>
      <c r="K1355" s="418"/>
      <c r="L1355" s="418"/>
      <c r="M1355" s="418"/>
      <c r="N1355" s="421"/>
      <c r="O1355" s="421"/>
      <c r="P1355" s="421"/>
      <c r="Q1355" s="418"/>
      <c r="R1355" s="418"/>
      <c r="S1355" s="418"/>
      <c r="T1355" s="418"/>
      <c r="U1355" s="418"/>
      <c r="V1355" s="418"/>
      <c r="W1355" s="418"/>
      <c r="X1355" s="418"/>
      <c r="Y1355" s="418"/>
      <c r="Z1355" s="418"/>
      <c r="AA1355" s="418"/>
      <c r="AB1355" s="418"/>
      <c r="AC1355" s="418"/>
      <c r="AD1355" s="418"/>
      <c r="AE1355" s="418"/>
      <c r="AF1355" s="418"/>
      <c r="AG1355" s="418"/>
      <c r="AH1355" s="418"/>
      <c r="AI1355" s="418"/>
      <c r="AJ1355" s="418"/>
      <c r="AK1355" s="418"/>
      <c r="AL1355" s="418"/>
      <c r="AM1355" s="418"/>
      <c r="AN1355" s="418"/>
      <c r="AO1355" s="418"/>
      <c r="AP1355" s="418"/>
      <c r="AQ1355" s="418"/>
      <c r="AR1355" s="418"/>
      <c r="AS1355" s="418"/>
      <c r="AT1355" s="418"/>
      <c r="AU1355" s="418"/>
      <c r="AV1355" s="418"/>
      <c r="AW1355" s="418"/>
      <c r="AX1355" s="418"/>
      <c r="AY1355" s="418"/>
      <c r="BF1355" s="1119"/>
      <c r="BG1355" s="1119"/>
      <c r="BH1355" s="1119"/>
    </row>
    <row r="1356" spans="1:60" ht="15.75" customHeight="1">
      <c r="A1356" s="415"/>
      <c r="B1356" s="417"/>
      <c r="C1356" s="424"/>
      <c r="E1356" s="418"/>
      <c r="F1356" s="419"/>
      <c r="G1356" s="420"/>
      <c r="H1356" s="421"/>
      <c r="I1356" s="421"/>
      <c r="J1356" s="492"/>
      <c r="K1356" s="418"/>
      <c r="L1356" s="418"/>
      <c r="M1356" s="418"/>
      <c r="N1356" s="421"/>
      <c r="O1356" s="421"/>
      <c r="P1356" s="421"/>
      <c r="Q1356" s="418"/>
      <c r="R1356" s="418"/>
      <c r="S1356" s="418"/>
      <c r="T1356" s="418"/>
      <c r="U1356" s="418"/>
      <c r="V1356" s="418"/>
      <c r="W1356" s="418"/>
      <c r="X1356" s="418"/>
      <c r="Y1356" s="418"/>
      <c r="Z1356" s="418"/>
      <c r="AA1356" s="418"/>
      <c r="AB1356" s="418"/>
      <c r="AC1356" s="418"/>
      <c r="AD1356" s="418"/>
      <c r="AE1356" s="418"/>
      <c r="AF1356" s="418"/>
      <c r="AG1356" s="418"/>
      <c r="AH1356" s="418"/>
      <c r="AI1356" s="418"/>
      <c r="AJ1356" s="418"/>
      <c r="AK1356" s="418"/>
      <c r="AL1356" s="418"/>
      <c r="AM1356" s="418"/>
      <c r="AN1356" s="418"/>
      <c r="AO1356" s="418"/>
      <c r="AP1356" s="418"/>
      <c r="AQ1356" s="418"/>
      <c r="AR1356" s="418"/>
      <c r="AS1356" s="418"/>
      <c r="AT1356" s="418"/>
      <c r="AU1356" s="418"/>
      <c r="AV1356" s="418"/>
      <c r="AW1356" s="418"/>
      <c r="AX1356" s="418"/>
      <c r="AY1356" s="418"/>
      <c r="BF1356" s="1119"/>
      <c r="BG1356" s="1119"/>
      <c r="BH1356" s="1119"/>
    </row>
    <row r="1357" spans="1:60" ht="15.75" customHeight="1">
      <c r="A1357" s="415"/>
      <c r="B1357" s="417"/>
      <c r="C1357" s="424"/>
      <c r="E1357" s="418"/>
      <c r="F1357" s="419"/>
      <c r="G1357" s="420"/>
      <c r="H1357" s="421"/>
      <c r="I1357" s="425"/>
      <c r="J1357" s="492"/>
      <c r="K1357" s="418"/>
      <c r="L1357" s="418"/>
      <c r="M1357" s="418"/>
      <c r="N1357" s="421"/>
      <c r="O1357" s="421"/>
      <c r="P1357" s="421"/>
      <c r="Q1357" s="418"/>
      <c r="R1357" s="418"/>
      <c r="S1357" s="418"/>
      <c r="T1357" s="418"/>
      <c r="U1357" s="418"/>
      <c r="V1357" s="418"/>
      <c r="W1357" s="418"/>
      <c r="X1357" s="418"/>
      <c r="Y1357" s="418"/>
      <c r="Z1357" s="418"/>
      <c r="AA1357" s="418"/>
      <c r="AB1357" s="418"/>
      <c r="AC1357" s="418"/>
      <c r="AD1357" s="418"/>
      <c r="AE1357" s="418"/>
      <c r="AF1357" s="418"/>
      <c r="AG1357" s="418"/>
      <c r="AH1357" s="418"/>
      <c r="AI1357" s="418"/>
      <c r="AJ1357" s="418"/>
      <c r="AK1357" s="418"/>
      <c r="AL1357" s="418"/>
      <c r="AM1357" s="418"/>
      <c r="AN1357" s="418"/>
      <c r="AO1357" s="418"/>
      <c r="AP1357" s="418"/>
      <c r="AQ1357" s="418"/>
      <c r="AR1357" s="418"/>
      <c r="AS1357" s="418"/>
      <c r="AT1357" s="418"/>
      <c r="AU1357" s="418"/>
      <c r="AV1357" s="418"/>
      <c r="AW1357" s="418"/>
      <c r="AX1357" s="418"/>
      <c r="AY1357" s="418"/>
      <c r="BF1357" s="1119"/>
      <c r="BG1357" s="1119"/>
      <c r="BH1357" s="1119"/>
    </row>
    <row r="1358" spans="1:60" ht="15.75" customHeight="1">
      <c r="A1358" s="415"/>
      <c r="B1358" s="417"/>
      <c r="C1358" s="424"/>
      <c r="E1358" s="418"/>
      <c r="F1358" s="419"/>
      <c r="G1358" s="420"/>
      <c r="H1358" s="421"/>
      <c r="I1358" s="421"/>
      <c r="J1358" s="492"/>
      <c r="K1358" s="418"/>
      <c r="L1358" s="418"/>
      <c r="M1358" s="418"/>
      <c r="N1358" s="421"/>
      <c r="O1358" s="421"/>
      <c r="P1358" s="421"/>
      <c r="Q1358" s="418"/>
      <c r="R1358" s="418"/>
      <c r="S1358" s="418"/>
      <c r="T1358" s="418"/>
      <c r="U1358" s="418"/>
      <c r="V1358" s="418"/>
      <c r="W1358" s="418"/>
      <c r="X1358" s="418"/>
      <c r="Y1358" s="418"/>
      <c r="Z1358" s="418"/>
      <c r="AA1358" s="418"/>
      <c r="AB1358" s="418"/>
      <c r="AC1358" s="418"/>
      <c r="AD1358" s="418"/>
      <c r="AE1358" s="418"/>
      <c r="AF1358" s="418"/>
      <c r="AG1358" s="418"/>
      <c r="AH1358" s="418"/>
      <c r="AI1358" s="418"/>
      <c r="AJ1358" s="418"/>
      <c r="AK1358" s="418"/>
      <c r="AL1358" s="418"/>
      <c r="AM1358" s="418"/>
      <c r="AN1358" s="418"/>
      <c r="AO1358" s="418"/>
      <c r="AP1358" s="418"/>
      <c r="AQ1358" s="418"/>
      <c r="AR1358" s="418"/>
      <c r="AS1358" s="418"/>
      <c r="AT1358" s="418"/>
      <c r="AU1358" s="418"/>
      <c r="AV1358" s="418"/>
      <c r="AW1358" s="418"/>
      <c r="AX1358" s="418"/>
      <c r="AY1358" s="418"/>
      <c r="BF1358" s="1119"/>
      <c r="BG1358" s="1119"/>
      <c r="BH1358" s="1119"/>
    </row>
    <row r="1359" spans="1:60" ht="15.75" customHeight="1">
      <c r="A1359" s="415"/>
      <c r="B1359" s="417"/>
      <c r="C1359" s="424"/>
      <c r="E1359" s="418"/>
      <c r="F1359" s="419"/>
      <c r="G1359" s="420"/>
      <c r="H1359" s="421"/>
      <c r="I1359" s="425"/>
      <c r="J1359" s="492"/>
      <c r="K1359" s="418"/>
      <c r="L1359" s="418"/>
      <c r="M1359" s="418"/>
      <c r="N1359" s="421"/>
      <c r="O1359" s="421"/>
      <c r="P1359" s="421"/>
      <c r="Q1359" s="418"/>
      <c r="R1359" s="418"/>
      <c r="S1359" s="418"/>
      <c r="T1359" s="418"/>
      <c r="U1359" s="418"/>
      <c r="V1359" s="418"/>
      <c r="W1359" s="418"/>
      <c r="X1359" s="418"/>
      <c r="Y1359" s="418"/>
      <c r="Z1359" s="418"/>
      <c r="AA1359" s="418"/>
      <c r="AB1359" s="418"/>
      <c r="AC1359" s="418"/>
      <c r="AD1359" s="418"/>
      <c r="AE1359" s="418"/>
      <c r="AF1359" s="418"/>
      <c r="AG1359" s="418"/>
      <c r="AH1359" s="418"/>
      <c r="AI1359" s="418"/>
      <c r="AJ1359" s="418"/>
      <c r="AK1359" s="418"/>
      <c r="AL1359" s="418"/>
      <c r="AM1359" s="418"/>
      <c r="AN1359" s="418"/>
      <c r="AO1359" s="418"/>
      <c r="AP1359" s="418"/>
      <c r="AQ1359" s="418"/>
      <c r="AR1359" s="418"/>
      <c r="AS1359" s="418"/>
      <c r="AT1359" s="418"/>
      <c r="AU1359" s="418"/>
      <c r="AV1359" s="418"/>
      <c r="AW1359" s="418"/>
      <c r="AX1359" s="418"/>
      <c r="AY1359" s="418"/>
      <c r="BF1359" s="1119"/>
      <c r="BG1359" s="1119"/>
      <c r="BH1359" s="1119"/>
    </row>
    <row r="1360" spans="1:60" ht="15.75" customHeight="1">
      <c r="A1360" s="415"/>
      <c r="B1360" s="417"/>
      <c r="C1360" s="424"/>
      <c r="E1360" s="418"/>
      <c r="F1360" s="419"/>
      <c r="G1360" s="420"/>
      <c r="H1360" s="421"/>
      <c r="I1360" s="421"/>
      <c r="J1360" s="492"/>
      <c r="K1360" s="418"/>
      <c r="L1360" s="418"/>
      <c r="M1360" s="418"/>
      <c r="N1360" s="421"/>
      <c r="O1360" s="421"/>
      <c r="P1360" s="421"/>
      <c r="Q1360" s="418"/>
      <c r="R1360" s="418"/>
      <c r="S1360" s="418"/>
      <c r="T1360" s="418"/>
      <c r="U1360" s="418"/>
      <c r="V1360" s="418"/>
      <c r="W1360" s="418"/>
      <c r="X1360" s="418"/>
      <c r="Y1360" s="418"/>
      <c r="Z1360" s="418"/>
      <c r="AA1360" s="418"/>
      <c r="AB1360" s="418"/>
      <c r="AC1360" s="418"/>
      <c r="AD1360" s="418"/>
      <c r="AE1360" s="418"/>
      <c r="AF1360" s="418"/>
      <c r="AG1360" s="418"/>
      <c r="AH1360" s="418"/>
      <c r="AI1360" s="418"/>
      <c r="AJ1360" s="418"/>
      <c r="AK1360" s="418"/>
      <c r="AL1360" s="418"/>
      <c r="AM1360" s="418"/>
      <c r="AN1360" s="418"/>
      <c r="AO1360" s="418"/>
      <c r="AP1360" s="418"/>
      <c r="AQ1360" s="418"/>
      <c r="AR1360" s="418"/>
      <c r="AS1360" s="418"/>
      <c r="AT1360" s="418"/>
      <c r="AU1360" s="418"/>
      <c r="AV1360" s="418"/>
      <c r="AW1360" s="418"/>
      <c r="AX1360" s="418"/>
      <c r="AY1360" s="418"/>
      <c r="BF1360" s="1119"/>
      <c r="BG1360" s="1119"/>
      <c r="BH1360" s="1119"/>
    </row>
    <row r="1361" spans="1:60" ht="15.75" customHeight="1">
      <c r="A1361" s="415"/>
      <c r="B1361" s="417"/>
      <c r="C1361" s="424"/>
      <c r="E1361" s="418"/>
      <c r="F1361" s="419"/>
      <c r="G1361" s="420"/>
      <c r="H1361" s="421"/>
      <c r="I1361" s="425"/>
      <c r="J1361" s="492"/>
      <c r="K1361" s="418"/>
      <c r="L1361" s="418"/>
      <c r="M1361" s="418"/>
      <c r="N1361" s="421"/>
      <c r="O1361" s="421"/>
      <c r="P1361" s="421"/>
      <c r="Q1361" s="418"/>
      <c r="R1361" s="418"/>
      <c r="S1361" s="418"/>
      <c r="T1361" s="418"/>
      <c r="U1361" s="418"/>
      <c r="V1361" s="418"/>
      <c r="W1361" s="418"/>
      <c r="X1361" s="418"/>
      <c r="Y1361" s="418"/>
      <c r="Z1361" s="418"/>
      <c r="AA1361" s="418"/>
      <c r="AB1361" s="418"/>
      <c r="AC1361" s="418"/>
      <c r="AD1361" s="418"/>
      <c r="AE1361" s="418"/>
      <c r="AF1361" s="418"/>
      <c r="AG1361" s="418"/>
      <c r="AH1361" s="418"/>
      <c r="AI1361" s="418"/>
      <c r="AJ1361" s="418"/>
      <c r="AK1361" s="418"/>
      <c r="AL1361" s="418"/>
      <c r="AM1361" s="418"/>
      <c r="AN1361" s="418"/>
      <c r="AO1361" s="418"/>
      <c r="AP1361" s="418"/>
      <c r="AQ1361" s="418"/>
      <c r="AR1361" s="418"/>
      <c r="AS1361" s="418"/>
      <c r="AT1361" s="418"/>
      <c r="AU1361" s="418"/>
      <c r="AV1361" s="418"/>
      <c r="AW1361" s="418"/>
      <c r="AX1361" s="418"/>
      <c r="AY1361" s="418"/>
      <c r="BF1361" s="1119"/>
      <c r="BG1361" s="1119"/>
      <c r="BH1361" s="1119"/>
    </row>
    <row r="1362" spans="1:60" ht="15.75" customHeight="1">
      <c r="A1362" s="415"/>
      <c r="B1362" s="417"/>
      <c r="C1362" s="424"/>
      <c r="E1362" s="418"/>
      <c r="F1362" s="419"/>
      <c r="G1362" s="420"/>
      <c r="H1362" s="421"/>
      <c r="I1362" s="421"/>
      <c r="J1362" s="492"/>
      <c r="K1362" s="418"/>
      <c r="L1362" s="418"/>
      <c r="M1362" s="418"/>
      <c r="N1362" s="421"/>
      <c r="O1362" s="421"/>
      <c r="P1362" s="421"/>
      <c r="Q1362" s="418"/>
      <c r="R1362" s="418"/>
      <c r="S1362" s="418"/>
      <c r="T1362" s="418"/>
      <c r="U1362" s="418"/>
      <c r="V1362" s="418"/>
      <c r="W1362" s="418"/>
      <c r="X1362" s="418"/>
      <c r="Y1362" s="418"/>
      <c r="Z1362" s="418"/>
      <c r="AA1362" s="418"/>
      <c r="AB1362" s="418"/>
      <c r="AC1362" s="418"/>
      <c r="AD1362" s="418"/>
      <c r="AE1362" s="418"/>
      <c r="AF1362" s="418"/>
      <c r="AG1362" s="418"/>
      <c r="AH1362" s="418"/>
      <c r="AI1362" s="418"/>
      <c r="AJ1362" s="418"/>
      <c r="AK1362" s="418"/>
      <c r="AL1362" s="418"/>
      <c r="AM1362" s="418"/>
      <c r="AN1362" s="418"/>
      <c r="AO1362" s="418"/>
      <c r="AP1362" s="418"/>
      <c r="AQ1362" s="418"/>
      <c r="AR1362" s="418"/>
      <c r="AS1362" s="418"/>
      <c r="AT1362" s="418"/>
      <c r="AU1362" s="418"/>
      <c r="AV1362" s="418"/>
      <c r="AW1362" s="418"/>
      <c r="AX1362" s="418"/>
      <c r="AY1362" s="418"/>
      <c r="BF1362" s="1119"/>
      <c r="BG1362" s="1119"/>
      <c r="BH1362" s="1119"/>
    </row>
    <row r="1363" spans="1:60" ht="15.75" customHeight="1">
      <c r="A1363" s="415"/>
      <c r="B1363" s="417"/>
      <c r="C1363" s="424"/>
      <c r="E1363" s="418"/>
      <c r="F1363" s="419"/>
      <c r="G1363" s="420"/>
      <c r="H1363" s="421"/>
      <c r="I1363" s="425"/>
      <c r="J1363" s="492"/>
      <c r="K1363" s="418"/>
      <c r="L1363" s="418"/>
      <c r="M1363" s="418"/>
      <c r="N1363" s="421"/>
      <c r="O1363" s="421"/>
      <c r="P1363" s="421"/>
      <c r="Q1363" s="418"/>
      <c r="R1363" s="418"/>
      <c r="S1363" s="418"/>
      <c r="T1363" s="418"/>
      <c r="U1363" s="418"/>
      <c r="V1363" s="418"/>
      <c r="W1363" s="418"/>
      <c r="X1363" s="418"/>
      <c r="Y1363" s="418"/>
      <c r="Z1363" s="418"/>
      <c r="AA1363" s="418"/>
      <c r="AB1363" s="418"/>
      <c r="AC1363" s="418"/>
      <c r="AD1363" s="418"/>
      <c r="AE1363" s="418"/>
      <c r="AF1363" s="418"/>
      <c r="AG1363" s="418"/>
      <c r="AH1363" s="418"/>
      <c r="AI1363" s="418"/>
      <c r="AJ1363" s="418"/>
      <c r="AK1363" s="418"/>
      <c r="AL1363" s="418"/>
      <c r="AM1363" s="418"/>
      <c r="AN1363" s="418"/>
      <c r="AO1363" s="418"/>
      <c r="AP1363" s="418"/>
      <c r="AQ1363" s="418"/>
      <c r="AR1363" s="418"/>
      <c r="AS1363" s="418"/>
      <c r="AT1363" s="418"/>
      <c r="AU1363" s="418"/>
      <c r="AV1363" s="418"/>
      <c r="AW1363" s="418"/>
      <c r="AX1363" s="418"/>
      <c r="AY1363" s="418"/>
      <c r="BF1363" s="1119"/>
      <c r="BG1363" s="1119"/>
      <c r="BH1363" s="1119"/>
    </row>
    <row r="1364" spans="1:60" ht="15.75" customHeight="1">
      <c r="A1364" s="415"/>
      <c r="B1364" s="417"/>
      <c r="C1364" s="424"/>
      <c r="E1364" s="418"/>
      <c r="F1364" s="419"/>
      <c r="G1364" s="420"/>
      <c r="H1364" s="421"/>
      <c r="I1364" s="421"/>
      <c r="J1364" s="492"/>
      <c r="K1364" s="418"/>
      <c r="L1364" s="418"/>
      <c r="M1364" s="418"/>
      <c r="N1364" s="421"/>
      <c r="O1364" s="421"/>
      <c r="P1364" s="421"/>
      <c r="Q1364" s="418"/>
      <c r="R1364" s="418"/>
      <c r="S1364" s="418"/>
      <c r="T1364" s="418"/>
      <c r="U1364" s="418"/>
      <c r="V1364" s="418"/>
      <c r="W1364" s="418"/>
      <c r="X1364" s="418"/>
      <c r="Y1364" s="418"/>
      <c r="Z1364" s="418"/>
      <c r="AA1364" s="418"/>
      <c r="AB1364" s="418"/>
      <c r="AC1364" s="418"/>
      <c r="AD1364" s="418"/>
      <c r="AE1364" s="418"/>
      <c r="AF1364" s="418"/>
      <c r="AG1364" s="418"/>
      <c r="AH1364" s="418"/>
      <c r="AI1364" s="418"/>
      <c r="AJ1364" s="418"/>
      <c r="AK1364" s="418"/>
      <c r="AL1364" s="418"/>
      <c r="AM1364" s="418"/>
      <c r="AN1364" s="418"/>
      <c r="AO1364" s="418"/>
      <c r="AP1364" s="418"/>
      <c r="AQ1364" s="418"/>
      <c r="AR1364" s="418"/>
      <c r="AS1364" s="418"/>
      <c r="AT1364" s="418"/>
      <c r="AU1364" s="418"/>
      <c r="AV1364" s="418"/>
      <c r="AW1364" s="418"/>
      <c r="AX1364" s="418"/>
      <c r="AY1364" s="418"/>
      <c r="BF1364" s="1119"/>
      <c r="BG1364" s="1119"/>
      <c r="BH1364" s="1119"/>
    </row>
    <row r="1365" spans="1:60" ht="15.75" customHeight="1">
      <c r="A1365" s="415"/>
      <c r="B1365" s="417"/>
      <c r="C1365" s="424"/>
      <c r="E1365" s="418"/>
      <c r="F1365" s="419"/>
      <c r="G1365" s="420"/>
      <c r="H1365" s="421"/>
      <c r="I1365" s="425"/>
      <c r="J1365" s="492"/>
      <c r="K1365" s="418"/>
      <c r="L1365" s="418"/>
      <c r="M1365" s="418"/>
      <c r="N1365" s="421"/>
      <c r="O1365" s="421"/>
      <c r="P1365" s="421"/>
      <c r="Q1365" s="418"/>
      <c r="R1365" s="418"/>
      <c r="S1365" s="418"/>
      <c r="T1365" s="418"/>
      <c r="U1365" s="418"/>
      <c r="V1365" s="418"/>
      <c r="W1365" s="418"/>
      <c r="X1365" s="418"/>
      <c r="Y1365" s="418"/>
      <c r="Z1365" s="418"/>
      <c r="AA1365" s="418"/>
      <c r="AB1365" s="418"/>
      <c r="AC1365" s="418"/>
      <c r="AD1365" s="418"/>
      <c r="AE1365" s="418"/>
      <c r="AF1365" s="418"/>
      <c r="AG1365" s="418"/>
      <c r="AH1365" s="418"/>
      <c r="AI1365" s="418"/>
      <c r="AJ1365" s="418"/>
      <c r="AK1365" s="418"/>
      <c r="AL1365" s="418"/>
      <c r="AM1365" s="418"/>
      <c r="AN1365" s="418"/>
      <c r="AO1365" s="418"/>
      <c r="AP1365" s="418"/>
      <c r="AQ1365" s="418"/>
      <c r="AR1365" s="418"/>
      <c r="AS1365" s="418"/>
      <c r="AT1365" s="418"/>
      <c r="AU1365" s="418"/>
      <c r="AV1365" s="418"/>
      <c r="AW1365" s="418"/>
      <c r="AX1365" s="418"/>
      <c r="AY1365" s="418"/>
      <c r="BF1365" s="1119"/>
      <c r="BG1365" s="1119"/>
      <c r="BH1365" s="1119"/>
    </row>
    <row r="1366" spans="1:60" ht="15.75" customHeight="1">
      <c r="A1366" s="415"/>
      <c r="B1366" s="417"/>
      <c r="C1366" s="424"/>
      <c r="E1366" s="418"/>
      <c r="F1366" s="419"/>
      <c r="G1366" s="420"/>
      <c r="H1366" s="421"/>
      <c r="I1366" s="421"/>
      <c r="J1366" s="492"/>
      <c r="K1366" s="418"/>
      <c r="L1366" s="418"/>
      <c r="M1366" s="418"/>
      <c r="N1366" s="421"/>
      <c r="O1366" s="421"/>
      <c r="P1366" s="421"/>
      <c r="Q1366" s="418"/>
      <c r="R1366" s="418"/>
      <c r="S1366" s="418"/>
      <c r="T1366" s="418"/>
      <c r="U1366" s="418"/>
      <c r="V1366" s="418"/>
      <c r="W1366" s="418"/>
      <c r="X1366" s="418"/>
      <c r="Y1366" s="418"/>
      <c r="Z1366" s="418"/>
      <c r="AA1366" s="418"/>
      <c r="AB1366" s="418"/>
      <c r="AC1366" s="418"/>
      <c r="AD1366" s="418"/>
      <c r="AE1366" s="418"/>
      <c r="AF1366" s="418"/>
      <c r="AG1366" s="418"/>
      <c r="AH1366" s="418"/>
      <c r="AI1366" s="418"/>
      <c r="AJ1366" s="418"/>
      <c r="AK1366" s="418"/>
      <c r="AL1366" s="418"/>
      <c r="AM1366" s="418"/>
      <c r="AN1366" s="418"/>
      <c r="AO1366" s="418"/>
      <c r="AP1366" s="418"/>
      <c r="AQ1366" s="418"/>
      <c r="AR1366" s="418"/>
      <c r="AS1366" s="418"/>
      <c r="AT1366" s="418"/>
      <c r="AU1366" s="418"/>
      <c r="AV1366" s="418"/>
      <c r="AW1366" s="418"/>
      <c r="AX1366" s="418"/>
      <c r="AY1366" s="418"/>
      <c r="BF1366" s="1119"/>
      <c r="BG1366" s="1119"/>
      <c r="BH1366" s="1119"/>
    </row>
    <row r="1367" spans="1:60" ht="15.75" customHeight="1">
      <c r="A1367" s="415"/>
      <c r="B1367" s="417"/>
      <c r="C1367" s="424"/>
      <c r="E1367" s="418"/>
      <c r="F1367" s="419"/>
      <c r="G1367" s="420"/>
      <c r="H1367" s="421"/>
      <c r="I1367" s="421"/>
      <c r="J1367" s="492"/>
      <c r="K1367" s="418"/>
      <c r="L1367" s="418"/>
      <c r="M1367" s="418"/>
      <c r="N1367" s="421"/>
      <c r="O1367" s="421"/>
      <c r="P1367" s="421"/>
      <c r="Q1367" s="418"/>
      <c r="R1367" s="418"/>
      <c r="S1367" s="418"/>
      <c r="T1367" s="418"/>
      <c r="U1367" s="418"/>
      <c r="V1367" s="418"/>
      <c r="W1367" s="418"/>
      <c r="X1367" s="418"/>
      <c r="Y1367" s="418"/>
      <c r="Z1367" s="418"/>
      <c r="AA1367" s="418"/>
      <c r="AB1367" s="418"/>
      <c r="AC1367" s="418"/>
      <c r="AD1367" s="418"/>
      <c r="AE1367" s="418"/>
      <c r="AF1367" s="418"/>
      <c r="AG1367" s="418"/>
      <c r="AH1367" s="418"/>
      <c r="AI1367" s="418"/>
      <c r="AJ1367" s="418"/>
      <c r="AK1367" s="418"/>
      <c r="AL1367" s="418"/>
      <c r="AM1367" s="418"/>
      <c r="AN1367" s="418"/>
      <c r="AO1367" s="418"/>
      <c r="AP1367" s="418"/>
      <c r="AQ1367" s="418"/>
      <c r="AR1367" s="418"/>
      <c r="AS1367" s="418"/>
      <c r="AT1367" s="418"/>
      <c r="AU1367" s="418"/>
      <c r="AV1367" s="418"/>
      <c r="AW1367" s="418"/>
      <c r="AX1367" s="418"/>
      <c r="AY1367" s="418"/>
      <c r="BF1367" s="1119"/>
      <c r="BG1367" s="1119"/>
      <c r="BH1367" s="1119"/>
    </row>
    <row r="1368" spans="1:60" ht="15.75" customHeight="1">
      <c r="A1368" s="415"/>
      <c r="B1368" s="417"/>
      <c r="C1368" s="424"/>
      <c r="E1368" s="418"/>
      <c r="F1368" s="419"/>
      <c r="G1368" s="420"/>
      <c r="H1368" s="421"/>
      <c r="I1368" s="421"/>
      <c r="J1368" s="492"/>
      <c r="K1368" s="418"/>
      <c r="L1368" s="418"/>
      <c r="M1368" s="418"/>
      <c r="N1368" s="421"/>
      <c r="O1368" s="421"/>
      <c r="P1368" s="421"/>
      <c r="Q1368" s="418"/>
      <c r="R1368" s="418"/>
      <c r="S1368" s="418"/>
      <c r="T1368" s="418"/>
      <c r="U1368" s="418"/>
      <c r="V1368" s="418"/>
      <c r="W1368" s="418"/>
      <c r="X1368" s="418"/>
      <c r="Y1368" s="418"/>
      <c r="Z1368" s="418"/>
      <c r="AA1368" s="418"/>
      <c r="AB1368" s="418"/>
      <c r="AC1368" s="418"/>
      <c r="AD1368" s="418"/>
      <c r="AE1368" s="418"/>
      <c r="AF1368" s="418"/>
      <c r="AG1368" s="418"/>
      <c r="AH1368" s="418"/>
      <c r="AI1368" s="418"/>
      <c r="AJ1368" s="418"/>
      <c r="AK1368" s="418"/>
      <c r="AL1368" s="418"/>
      <c r="AM1368" s="418"/>
      <c r="AN1368" s="418"/>
      <c r="AO1368" s="418"/>
      <c r="AP1368" s="418"/>
      <c r="AQ1368" s="418"/>
      <c r="AR1368" s="418"/>
      <c r="AS1368" s="418"/>
      <c r="AT1368" s="418"/>
      <c r="AU1368" s="418"/>
      <c r="AV1368" s="418"/>
      <c r="AW1368" s="418"/>
      <c r="AX1368" s="418"/>
      <c r="AY1368" s="418"/>
      <c r="BF1368" s="1119"/>
      <c r="BG1368" s="1119"/>
      <c r="BH1368" s="1119"/>
    </row>
    <row r="1369" spans="1:60" ht="15.75" customHeight="1">
      <c r="A1369" s="415"/>
      <c r="B1369" s="417"/>
      <c r="C1369" s="424"/>
      <c r="E1369" s="418"/>
      <c r="F1369" s="419"/>
      <c r="G1369" s="420"/>
      <c r="H1369" s="421"/>
      <c r="I1369" s="421"/>
      <c r="J1369" s="492"/>
      <c r="K1369" s="418"/>
      <c r="L1369" s="418"/>
      <c r="M1369" s="418"/>
      <c r="N1369" s="421"/>
      <c r="O1369" s="421"/>
      <c r="P1369" s="421"/>
      <c r="Q1369" s="418"/>
      <c r="R1369" s="418"/>
      <c r="S1369" s="418"/>
      <c r="T1369" s="418"/>
      <c r="U1369" s="418"/>
      <c r="V1369" s="418"/>
      <c r="W1369" s="418"/>
      <c r="X1369" s="418"/>
      <c r="Y1369" s="418"/>
      <c r="Z1369" s="418"/>
      <c r="AA1369" s="418"/>
      <c r="AB1369" s="418"/>
      <c r="AC1369" s="418"/>
      <c r="AD1369" s="418"/>
      <c r="AE1369" s="418"/>
      <c r="AF1369" s="418"/>
      <c r="AG1369" s="418"/>
      <c r="AH1369" s="418"/>
      <c r="AI1369" s="418"/>
      <c r="AJ1369" s="418"/>
      <c r="AK1369" s="418"/>
      <c r="AL1369" s="418"/>
      <c r="AM1369" s="418"/>
      <c r="AN1369" s="418"/>
      <c r="AO1369" s="418"/>
      <c r="AP1369" s="418"/>
      <c r="AQ1369" s="418"/>
      <c r="AR1369" s="418"/>
      <c r="AS1369" s="418"/>
      <c r="AT1369" s="418"/>
      <c r="AU1369" s="418"/>
      <c r="AV1369" s="418"/>
      <c r="AW1369" s="418"/>
      <c r="AX1369" s="418"/>
      <c r="AY1369" s="418"/>
      <c r="BF1369" s="1119"/>
      <c r="BG1369" s="1119"/>
      <c r="BH1369" s="1119"/>
    </row>
    <row r="1370" spans="1:60" ht="15.75" customHeight="1">
      <c r="A1370" s="415"/>
      <c r="B1370" s="417"/>
      <c r="C1370" s="424"/>
      <c r="E1370" s="418"/>
      <c r="F1370" s="419"/>
      <c r="G1370" s="420"/>
      <c r="H1370" s="421"/>
      <c r="I1370" s="421"/>
      <c r="J1370" s="492"/>
      <c r="K1370" s="418"/>
      <c r="L1370" s="418"/>
      <c r="M1370" s="418"/>
      <c r="N1370" s="421"/>
      <c r="O1370" s="421"/>
      <c r="P1370" s="421"/>
      <c r="Q1370" s="418"/>
      <c r="R1370" s="418"/>
      <c r="S1370" s="418"/>
      <c r="T1370" s="418"/>
      <c r="U1370" s="418"/>
      <c r="V1370" s="418"/>
      <c r="W1370" s="418"/>
      <c r="X1370" s="418"/>
      <c r="Y1370" s="418"/>
      <c r="Z1370" s="418"/>
      <c r="AA1370" s="418"/>
      <c r="AB1370" s="418"/>
      <c r="AC1370" s="418"/>
      <c r="AD1370" s="418"/>
      <c r="AE1370" s="418"/>
      <c r="AF1370" s="418"/>
      <c r="AG1370" s="418"/>
      <c r="AH1370" s="418"/>
      <c r="AI1370" s="418"/>
      <c r="AJ1370" s="418"/>
      <c r="AK1370" s="418"/>
      <c r="AL1370" s="418"/>
      <c r="AM1370" s="418"/>
      <c r="AN1370" s="418"/>
      <c r="AO1370" s="418"/>
      <c r="AP1370" s="418"/>
      <c r="AQ1370" s="418"/>
      <c r="AR1370" s="418"/>
      <c r="AS1370" s="418"/>
      <c r="AT1370" s="418"/>
      <c r="AU1370" s="418"/>
      <c r="AV1370" s="418"/>
      <c r="AW1370" s="418"/>
      <c r="AX1370" s="418"/>
      <c r="AY1370" s="418"/>
      <c r="BF1370" s="1119"/>
      <c r="BG1370" s="1119"/>
      <c r="BH1370" s="1119"/>
    </row>
    <row r="1371" spans="1:60" ht="15.75" customHeight="1">
      <c r="A1371" s="415"/>
      <c r="B1371" s="417"/>
      <c r="C1371" s="424"/>
      <c r="E1371" s="418"/>
      <c r="F1371" s="419"/>
      <c r="G1371" s="420"/>
      <c r="H1371" s="421"/>
      <c r="I1371" s="421"/>
      <c r="J1371" s="492"/>
      <c r="K1371" s="418"/>
      <c r="L1371" s="418"/>
      <c r="M1371" s="418"/>
      <c r="N1371" s="421"/>
      <c r="O1371" s="421"/>
      <c r="P1371" s="421"/>
      <c r="Q1371" s="418"/>
      <c r="R1371" s="418"/>
      <c r="S1371" s="418"/>
      <c r="T1371" s="418"/>
      <c r="U1371" s="418"/>
      <c r="V1371" s="418"/>
      <c r="W1371" s="418"/>
      <c r="X1371" s="418"/>
      <c r="Y1371" s="418"/>
      <c r="Z1371" s="418"/>
      <c r="AA1371" s="418"/>
      <c r="AB1371" s="418"/>
      <c r="AC1371" s="418"/>
      <c r="AD1371" s="418"/>
      <c r="AE1371" s="418"/>
      <c r="AF1371" s="418"/>
      <c r="AG1371" s="418"/>
      <c r="AH1371" s="418"/>
      <c r="AI1371" s="418"/>
      <c r="AJ1371" s="418"/>
      <c r="AK1371" s="418"/>
      <c r="AL1371" s="418"/>
      <c r="AM1371" s="418"/>
      <c r="AN1371" s="418"/>
      <c r="AO1371" s="418"/>
      <c r="AP1371" s="418"/>
      <c r="AQ1371" s="418"/>
      <c r="AR1371" s="418"/>
      <c r="AS1371" s="418"/>
      <c r="AT1371" s="418"/>
      <c r="AU1371" s="418"/>
      <c r="AV1371" s="418"/>
      <c r="AW1371" s="418"/>
      <c r="AX1371" s="418"/>
      <c r="AY1371" s="418"/>
      <c r="BF1371" s="1119"/>
      <c r="BG1371" s="1119"/>
      <c r="BH1371" s="1119"/>
    </row>
    <row r="1372" spans="1:60" ht="15.75" customHeight="1">
      <c r="A1372" s="415"/>
      <c r="B1372" s="417"/>
      <c r="C1372" s="424"/>
      <c r="E1372" s="418"/>
      <c r="F1372" s="419"/>
      <c r="G1372" s="420"/>
      <c r="H1372" s="421"/>
      <c r="I1372" s="421"/>
      <c r="J1372" s="492"/>
      <c r="K1372" s="418"/>
      <c r="L1372" s="418"/>
      <c r="M1372" s="418"/>
      <c r="N1372" s="421"/>
      <c r="O1372" s="421"/>
      <c r="P1372" s="421"/>
      <c r="Q1372" s="418"/>
      <c r="R1372" s="418"/>
      <c r="S1372" s="418"/>
      <c r="T1372" s="418"/>
      <c r="U1372" s="418"/>
      <c r="V1372" s="418"/>
      <c r="W1372" s="418"/>
      <c r="X1372" s="418"/>
      <c r="Y1372" s="418"/>
      <c r="Z1372" s="418"/>
      <c r="AA1372" s="418"/>
      <c r="AB1372" s="418"/>
      <c r="AC1372" s="418"/>
      <c r="AD1372" s="418"/>
      <c r="AE1372" s="418"/>
      <c r="AF1372" s="418"/>
      <c r="AG1372" s="418"/>
      <c r="AH1372" s="418"/>
      <c r="AI1372" s="418"/>
      <c r="AJ1372" s="418"/>
      <c r="AK1372" s="418"/>
      <c r="AL1372" s="418"/>
      <c r="AM1372" s="418"/>
      <c r="AN1372" s="418"/>
      <c r="AO1372" s="418"/>
      <c r="AP1372" s="418"/>
      <c r="AQ1372" s="418"/>
      <c r="AR1372" s="418"/>
      <c r="AS1372" s="418"/>
      <c r="AT1372" s="418"/>
      <c r="AU1372" s="418"/>
      <c r="AV1372" s="418"/>
      <c r="AW1372" s="418"/>
      <c r="AX1372" s="418"/>
      <c r="AY1372" s="418"/>
      <c r="BF1372" s="1119"/>
      <c r="BG1372" s="1119"/>
      <c r="BH1372" s="1119"/>
    </row>
    <row r="1373" spans="1:60" ht="15.75" customHeight="1">
      <c r="A1373" s="415"/>
      <c r="B1373" s="417"/>
      <c r="C1373" s="424"/>
      <c r="E1373" s="418"/>
      <c r="F1373" s="419"/>
      <c r="G1373" s="420"/>
      <c r="H1373" s="421"/>
      <c r="I1373" s="421"/>
      <c r="J1373" s="492"/>
      <c r="K1373" s="418"/>
      <c r="L1373" s="418"/>
      <c r="M1373" s="418"/>
      <c r="N1373" s="421"/>
      <c r="O1373" s="421"/>
      <c r="P1373" s="421"/>
      <c r="Q1373" s="418"/>
      <c r="R1373" s="418"/>
      <c r="S1373" s="418"/>
      <c r="T1373" s="418"/>
      <c r="U1373" s="418"/>
      <c r="V1373" s="418"/>
      <c r="W1373" s="418"/>
      <c r="X1373" s="418"/>
      <c r="Y1373" s="418"/>
      <c r="Z1373" s="418"/>
      <c r="AA1373" s="418"/>
      <c r="AB1373" s="418"/>
      <c r="AC1373" s="418"/>
      <c r="AD1373" s="418"/>
      <c r="AE1373" s="418"/>
      <c r="AF1373" s="418"/>
      <c r="AG1373" s="418"/>
      <c r="AH1373" s="418"/>
      <c r="AI1373" s="418"/>
      <c r="AJ1373" s="418"/>
      <c r="AK1373" s="418"/>
      <c r="AL1373" s="418"/>
      <c r="AM1373" s="418"/>
      <c r="AN1373" s="418"/>
      <c r="AO1373" s="418"/>
      <c r="AP1373" s="418"/>
      <c r="AQ1373" s="418"/>
      <c r="AR1373" s="418"/>
      <c r="AS1373" s="418"/>
      <c r="AT1373" s="418"/>
      <c r="AU1373" s="418"/>
      <c r="AV1373" s="418"/>
      <c r="AW1373" s="418"/>
      <c r="AX1373" s="418"/>
      <c r="AY1373" s="418"/>
      <c r="BF1373" s="1119"/>
      <c r="BG1373" s="1119"/>
      <c r="BH1373" s="1119"/>
    </row>
    <row r="1374" spans="1:60" ht="15.75" customHeight="1">
      <c r="A1374" s="415"/>
      <c r="B1374" s="417"/>
      <c r="C1374" s="424"/>
      <c r="E1374" s="418"/>
      <c r="F1374" s="419"/>
      <c r="G1374" s="420"/>
      <c r="H1374" s="421"/>
      <c r="I1374" s="421"/>
      <c r="J1374" s="492"/>
      <c r="K1374" s="418"/>
      <c r="L1374" s="418"/>
      <c r="M1374" s="418"/>
      <c r="N1374" s="421"/>
      <c r="O1374" s="421"/>
      <c r="P1374" s="421"/>
      <c r="Q1374" s="418"/>
      <c r="R1374" s="418"/>
      <c r="S1374" s="418"/>
      <c r="T1374" s="418"/>
      <c r="U1374" s="418"/>
      <c r="V1374" s="418"/>
      <c r="W1374" s="418"/>
      <c r="X1374" s="418"/>
      <c r="Y1374" s="418"/>
      <c r="Z1374" s="418"/>
      <c r="AA1374" s="418"/>
      <c r="AB1374" s="418"/>
      <c r="AC1374" s="418"/>
      <c r="AD1374" s="418"/>
      <c r="AE1374" s="418"/>
      <c r="AF1374" s="418"/>
      <c r="AG1374" s="418"/>
      <c r="AH1374" s="418"/>
      <c r="AI1374" s="418"/>
      <c r="AJ1374" s="418"/>
      <c r="AK1374" s="418"/>
      <c r="AL1374" s="418"/>
      <c r="AM1374" s="418"/>
      <c r="AN1374" s="418"/>
      <c r="AO1374" s="418"/>
      <c r="AP1374" s="418"/>
      <c r="AQ1374" s="418"/>
      <c r="AR1374" s="418"/>
      <c r="AS1374" s="418"/>
      <c r="AT1374" s="418"/>
      <c r="AU1374" s="418"/>
      <c r="AV1374" s="418"/>
      <c r="AW1374" s="418"/>
      <c r="AX1374" s="418"/>
      <c r="AY1374" s="418"/>
      <c r="BF1374" s="1119"/>
      <c r="BG1374" s="1119"/>
      <c r="BH1374" s="1119"/>
    </row>
    <row r="1375" spans="1:60" ht="15.75" customHeight="1">
      <c r="A1375" s="415"/>
      <c r="B1375" s="417"/>
      <c r="C1375" s="424"/>
      <c r="E1375" s="418"/>
      <c r="F1375" s="419"/>
      <c r="G1375" s="420"/>
      <c r="H1375" s="421"/>
      <c r="I1375" s="421"/>
      <c r="J1375" s="492"/>
      <c r="K1375" s="418"/>
      <c r="L1375" s="418"/>
      <c r="M1375" s="418"/>
      <c r="N1375" s="421"/>
      <c r="O1375" s="421"/>
      <c r="P1375" s="421"/>
      <c r="Q1375" s="418"/>
      <c r="R1375" s="418"/>
      <c r="S1375" s="418"/>
      <c r="T1375" s="418"/>
      <c r="U1375" s="418"/>
      <c r="V1375" s="418"/>
      <c r="W1375" s="418"/>
      <c r="X1375" s="418"/>
      <c r="Y1375" s="418"/>
      <c r="Z1375" s="418"/>
      <c r="AA1375" s="418"/>
      <c r="AB1375" s="418"/>
      <c r="AC1375" s="418"/>
      <c r="AD1375" s="418"/>
      <c r="AE1375" s="418"/>
      <c r="AF1375" s="418"/>
      <c r="AG1375" s="418"/>
      <c r="AH1375" s="418"/>
      <c r="AI1375" s="418"/>
      <c r="AJ1375" s="418"/>
      <c r="AK1375" s="418"/>
      <c r="AL1375" s="418"/>
      <c r="AM1375" s="418"/>
      <c r="AN1375" s="418"/>
      <c r="AO1375" s="418"/>
      <c r="AP1375" s="418"/>
      <c r="AQ1375" s="418"/>
      <c r="AR1375" s="418"/>
      <c r="AS1375" s="418"/>
      <c r="AT1375" s="418"/>
      <c r="AU1375" s="418"/>
      <c r="AV1375" s="418"/>
      <c r="AW1375" s="418"/>
      <c r="AX1375" s="418"/>
      <c r="AY1375" s="418"/>
      <c r="BF1375" s="1119"/>
      <c r="BG1375" s="1119"/>
      <c r="BH1375" s="1119"/>
    </row>
    <row r="1376" spans="1:60" ht="15.75" customHeight="1">
      <c r="A1376" s="415"/>
      <c r="B1376" s="417"/>
      <c r="C1376" s="424"/>
      <c r="E1376" s="418"/>
      <c r="F1376" s="419"/>
      <c r="G1376" s="420"/>
      <c r="H1376" s="421"/>
      <c r="I1376" s="421"/>
      <c r="J1376" s="492"/>
      <c r="K1376" s="418"/>
      <c r="L1376" s="418"/>
      <c r="M1376" s="418"/>
      <c r="N1376" s="421"/>
      <c r="O1376" s="421"/>
      <c r="P1376" s="421"/>
      <c r="Q1376" s="418"/>
      <c r="R1376" s="418"/>
      <c r="S1376" s="418"/>
      <c r="T1376" s="418"/>
      <c r="U1376" s="418"/>
      <c r="V1376" s="418"/>
      <c r="W1376" s="418"/>
      <c r="X1376" s="418"/>
      <c r="Y1376" s="418"/>
      <c r="Z1376" s="418"/>
      <c r="AA1376" s="418"/>
      <c r="AB1376" s="418"/>
      <c r="AC1376" s="418"/>
      <c r="AD1376" s="418"/>
      <c r="AE1376" s="418"/>
      <c r="AF1376" s="418"/>
      <c r="AG1376" s="418"/>
      <c r="AH1376" s="418"/>
      <c r="AI1376" s="418"/>
      <c r="AJ1376" s="418"/>
      <c r="AK1376" s="418"/>
      <c r="AL1376" s="418"/>
      <c r="AM1376" s="418"/>
      <c r="AN1376" s="418"/>
      <c r="AO1376" s="418"/>
      <c r="AP1376" s="418"/>
      <c r="AQ1376" s="418"/>
      <c r="AR1376" s="418"/>
      <c r="AS1376" s="418"/>
      <c r="AT1376" s="418"/>
      <c r="AU1376" s="418"/>
      <c r="AV1376" s="418"/>
      <c r="AW1376" s="418"/>
      <c r="AX1376" s="418"/>
      <c r="AY1376" s="418"/>
      <c r="BF1376" s="1119"/>
      <c r="BG1376" s="1119"/>
      <c r="BH1376" s="1119"/>
    </row>
    <row r="1377" spans="1:60" ht="15.75" customHeight="1">
      <c r="A1377" s="415"/>
      <c r="B1377" s="417"/>
      <c r="C1377" s="424"/>
      <c r="E1377" s="418"/>
      <c r="F1377" s="419"/>
      <c r="G1377" s="420"/>
      <c r="H1377" s="421"/>
      <c r="I1377" s="421"/>
      <c r="J1377" s="492"/>
      <c r="K1377" s="418"/>
      <c r="L1377" s="418"/>
      <c r="M1377" s="418"/>
      <c r="N1377" s="421"/>
      <c r="O1377" s="421"/>
      <c r="P1377" s="421"/>
      <c r="Q1377" s="418"/>
      <c r="R1377" s="418"/>
      <c r="S1377" s="418"/>
      <c r="T1377" s="418"/>
      <c r="U1377" s="418"/>
      <c r="V1377" s="418"/>
      <c r="W1377" s="418"/>
      <c r="X1377" s="418"/>
      <c r="Y1377" s="418"/>
      <c r="Z1377" s="418"/>
      <c r="AA1377" s="418"/>
      <c r="AB1377" s="418"/>
      <c r="AC1377" s="418"/>
      <c r="AD1377" s="418"/>
      <c r="AE1377" s="418"/>
      <c r="AF1377" s="418"/>
      <c r="AG1377" s="418"/>
      <c r="AH1377" s="418"/>
      <c r="AI1377" s="418"/>
      <c r="AJ1377" s="418"/>
      <c r="AK1377" s="418"/>
      <c r="AL1377" s="418"/>
      <c r="AM1377" s="418"/>
      <c r="AN1377" s="418"/>
      <c r="AO1377" s="418"/>
      <c r="AP1377" s="418"/>
      <c r="AQ1377" s="418"/>
      <c r="AR1377" s="418"/>
      <c r="AS1377" s="418"/>
      <c r="AT1377" s="418"/>
      <c r="AU1377" s="418"/>
      <c r="AV1377" s="418"/>
      <c r="AW1377" s="418"/>
      <c r="AX1377" s="418"/>
      <c r="AY1377" s="418"/>
      <c r="BF1377" s="1119"/>
      <c r="BG1377" s="1119"/>
      <c r="BH1377" s="1119"/>
    </row>
    <row r="1378" spans="1:60" ht="15.75" customHeight="1">
      <c r="A1378" s="415"/>
      <c r="B1378" s="416"/>
      <c r="C1378" s="424"/>
      <c r="E1378" s="418"/>
      <c r="F1378" s="419"/>
      <c r="G1378" s="420"/>
      <c r="H1378" s="421"/>
      <c r="I1378" s="425"/>
      <c r="J1378" s="492"/>
      <c r="K1378" s="418"/>
      <c r="L1378" s="418"/>
      <c r="M1378" s="418"/>
      <c r="N1378" s="421"/>
      <c r="O1378" s="421"/>
      <c r="P1378" s="421"/>
      <c r="Q1378" s="418"/>
      <c r="R1378" s="418"/>
      <c r="S1378" s="418"/>
      <c r="T1378" s="418"/>
      <c r="U1378" s="418"/>
      <c r="V1378" s="418"/>
      <c r="W1378" s="418"/>
      <c r="X1378" s="418"/>
      <c r="Y1378" s="418"/>
      <c r="Z1378" s="418"/>
      <c r="AA1378" s="418"/>
      <c r="AB1378" s="418"/>
      <c r="AC1378" s="418"/>
      <c r="AD1378" s="418"/>
      <c r="AE1378" s="418"/>
      <c r="AF1378" s="418"/>
      <c r="AG1378" s="418"/>
      <c r="AH1378" s="418"/>
      <c r="AI1378" s="418"/>
      <c r="AJ1378" s="418"/>
      <c r="AK1378" s="418"/>
      <c r="AL1378" s="418"/>
      <c r="AM1378" s="418"/>
      <c r="AN1378" s="418"/>
      <c r="AO1378" s="418"/>
      <c r="AP1378" s="418"/>
      <c r="AQ1378" s="418"/>
      <c r="AR1378" s="418"/>
      <c r="AS1378" s="418"/>
      <c r="AT1378" s="418"/>
      <c r="AU1378" s="418"/>
      <c r="AV1378" s="418"/>
      <c r="AW1378" s="418"/>
      <c r="AX1378" s="418"/>
      <c r="AY1378" s="418"/>
      <c r="BF1378" s="1119"/>
      <c r="BG1378" s="1119"/>
      <c r="BH1378" s="1119"/>
    </row>
    <row r="1379" spans="1:60" ht="15.75" customHeight="1">
      <c r="A1379" s="415"/>
      <c r="B1379" s="416"/>
      <c r="C1379" s="424"/>
      <c r="E1379" s="418"/>
      <c r="F1379" s="419"/>
      <c r="G1379" s="420"/>
      <c r="H1379" s="421"/>
      <c r="I1379" s="425"/>
      <c r="J1379" s="492"/>
      <c r="K1379" s="418"/>
      <c r="L1379" s="418"/>
      <c r="M1379" s="418"/>
      <c r="N1379" s="421"/>
      <c r="O1379" s="421"/>
      <c r="P1379" s="421"/>
      <c r="Q1379" s="418"/>
      <c r="R1379" s="418"/>
      <c r="S1379" s="418"/>
      <c r="T1379" s="418"/>
      <c r="U1379" s="418"/>
      <c r="V1379" s="418"/>
      <c r="W1379" s="418"/>
      <c r="X1379" s="418"/>
      <c r="Y1379" s="418"/>
      <c r="Z1379" s="418"/>
      <c r="AA1379" s="418"/>
      <c r="AB1379" s="418"/>
      <c r="AC1379" s="418"/>
      <c r="AD1379" s="418"/>
      <c r="AE1379" s="418"/>
      <c r="AF1379" s="418"/>
      <c r="AG1379" s="418"/>
      <c r="AH1379" s="418"/>
      <c r="AI1379" s="418"/>
      <c r="AJ1379" s="418"/>
      <c r="AK1379" s="418"/>
      <c r="AL1379" s="418"/>
      <c r="AM1379" s="418"/>
      <c r="AN1379" s="418"/>
      <c r="AO1379" s="418"/>
      <c r="AP1379" s="418"/>
      <c r="AQ1379" s="418"/>
      <c r="AR1379" s="418"/>
      <c r="AS1379" s="418"/>
      <c r="AT1379" s="418"/>
      <c r="AU1379" s="418"/>
      <c r="AV1379" s="418"/>
      <c r="AW1379" s="418"/>
      <c r="AX1379" s="418"/>
      <c r="AY1379" s="418"/>
      <c r="BF1379" s="1119"/>
      <c r="BG1379" s="1119"/>
      <c r="BH1379" s="1119"/>
    </row>
    <row r="1380" spans="1:60" ht="15.75" customHeight="1">
      <c r="A1380" s="415"/>
      <c r="B1380" s="417"/>
      <c r="C1380" s="424"/>
      <c r="E1380" s="418"/>
      <c r="F1380" s="419"/>
      <c r="G1380" s="420"/>
      <c r="H1380" s="421"/>
      <c r="I1380" s="421"/>
      <c r="J1380" s="492"/>
      <c r="K1380" s="418"/>
      <c r="L1380" s="418"/>
      <c r="M1380" s="418"/>
      <c r="N1380" s="421"/>
      <c r="O1380" s="421"/>
      <c r="P1380" s="421"/>
      <c r="Q1380" s="418"/>
      <c r="R1380" s="418"/>
      <c r="S1380" s="418"/>
      <c r="T1380" s="418"/>
      <c r="U1380" s="418"/>
      <c r="V1380" s="418"/>
      <c r="W1380" s="418"/>
      <c r="X1380" s="418"/>
      <c r="Y1380" s="418"/>
      <c r="Z1380" s="418"/>
      <c r="AA1380" s="418"/>
      <c r="AB1380" s="418"/>
      <c r="AC1380" s="418"/>
      <c r="AD1380" s="418"/>
      <c r="AE1380" s="418"/>
      <c r="AF1380" s="418"/>
      <c r="AG1380" s="418"/>
      <c r="AH1380" s="418"/>
      <c r="AI1380" s="418"/>
      <c r="AJ1380" s="418"/>
      <c r="AK1380" s="418"/>
      <c r="AL1380" s="418"/>
      <c r="AM1380" s="418"/>
      <c r="AN1380" s="418"/>
      <c r="AO1380" s="418"/>
      <c r="AP1380" s="418"/>
      <c r="AQ1380" s="418"/>
      <c r="AR1380" s="418"/>
      <c r="AS1380" s="418"/>
      <c r="AT1380" s="418"/>
      <c r="AU1380" s="418"/>
      <c r="AV1380" s="418"/>
      <c r="AW1380" s="418"/>
      <c r="AX1380" s="418"/>
      <c r="AY1380" s="418"/>
      <c r="BF1380" s="1119"/>
      <c r="BG1380" s="1119"/>
      <c r="BH1380" s="1119"/>
    </row>
    <row r="1381" spans="1:60" ht="15.75" customHeight="1">
      <c r="A1381" s="415"/>
      <c r="B1381" s="417"/>
      <c r="C1381" s="424"/>
      <c r="E1381" s="418"/>
      <c r="F1381" s="419"/>
      <c r="G1381" s="420"/>
      <c r="H1381" s="421"/>
      <c r="I1381" s="421"/>
      <c r="J1381" s="492"/>
      <c r="K1381" s="418"/>
      <c r="L1381" s="418"/>
      <c r="M1381" s="418"/>
      <c r="N1381" s="421"/>
      <c r="O1381" s="421"/>
      <c r="P1381" s="421"/>
      <c r="Q1381" s="418"/>
      <c r="R1381" s="418"/>
      <c r="S1381" s="418"/>
      <c r="T1381" s="418"/>
      <c r="U1381" s="418"/>
      <c r="V1381" s="418"/>
      <c r="W1381" s="418"/>
      <c r="X1381" s="418"/>
      <c r="Y1381" s="418"/>
      <c r="Z1381" s="418"/>
      <c r="AA1381" s="418"/>
      <c r="AB1381" s="418"/>
      <c r="AC1381" s="418"/>
      <c r="AD1381" s="418"/>
      <c r="AE1381" s="418"/>
      <c r="AF1381" s="418"/>
      <c r="AG1381" s="418"/>
      <c r="AH1381" s="418"/>
      <c r="AI1381" s="418"/>
      <c r="AJ1381" s="418"/>
      <c r="AK1381" s="418"/>
      <c r="AL1381" s="418"/>
      <c r="AM1381" s="418"/>
      <c r="AN1381" s="418"/>
      <c r="AO1381" s="418"/>
      <c r="AP1381" s="418"/>
      <c r="AQ1381" s="418"/>
      <c r="AR1381" s="418"/>
      <c r="AS1381" s="418"/>
      <c r="AT1381" s="418"/>
      <c r="AU1381" s="418"/>
      <c r="AV1381" s="418"/>
      <c r="AW1381" s="418"/>
      <c r="AX1381" s="418"/>
      <c r="AY1381" s="418"/>
      <c r="BF1381" s="1119"/>
      <c r="BG1381" s="1119"/>
      <c r="BH1381" s="1119"/>
    </row>
    <row r="1382" spans="1:60" ht="15.75" customHeight="1">
      <c r="A1382" s="415"/>
      <c r="B1382" s="417"/>
      <c r="C1382" s="424"/>
      <c r="E1382" s="418"/>
      <c r="F1382" s="419"/>
      <c r="G1382" s="420"/>
      <c r="H1382" s="421"/>
      <c r="I1382" s="421"/>
      <c r="J1382" s="492"/>
      <c r="K1382" s="418"/>
      <c r="L1382" s="418"/>
      <c r="M1382" s="418"/>
      <c r="N1382" s="421"/>
      <c r="O1382" s="421"/>
      <c r="P1382" s="421"/>
      <c r="Q1382" s="418"/>
      <c r="R1382" s="418"/>
      <c r="S1382" s="418"/>
      <c r="T1382" s="418"/>
      <c r="U1382" s="418"/>
      <c r="V1382" s="418"/>
      <c r="W1382" s="418"/>
      <c r="X1382" s="418"/>
      <c r="Y1382" s="418"/>
      <c r="Z1382" s="418"/>
      <c r="AA1382" s="418"/>
      <c r="AB1382" s="418"/>
      <c r="AC1382" s="418"/>
      <c r="AD1382" s="418"/>
      <c r="AE1382" s="418"/>
      <c r="AF1382" s="418"/>
      <c r="AG1382" s="418"/>
      <c r="AH1382" s="418"/>
      <c r="AI1382" s="418"/>
      <c r="AJ1382" s="418"/>
      <c r="AK1382" s="418"/>
      <c r="AL1382" s="418"/>
      <c r="AM1382" s="418"/>
      <c r="AN1382" s="418"/>
      <c r="AO1382" s="418"/>
      <c r="AP1382" s="418"/>
      <c r="AQ1382" s="418"/>
      <c r="AR1382" s="418"/>
      <c r="AS1382" s="418"/>
      <c r="AT1382" s="418"/>
      <c r="AU1382" s="418"/>
      <c r="AV1382" s="418"/>
      <c r="AW1382" s="418"/>
      <c r="AX1382" s="418"/>
      <c r="AY1382" s="418"/>
      <c r="BF1382" s="1119"/>
      <c r="BG1382" s="1119"/>
      <c r="BH1382" s="1119"/>
    </row>
    <row r="1383" spans="1:60" ht="15.75" customHeight="1">
      <c r="A1383" s="415"/>
      <c r="B1383" s="417"/>
      <c r="C1383" s="424"/>
      <c r="E1383" s="418"/>
      <c r="F1383" s="419"/>
      <c r="G1383" s="420"/>
      <c r="H1383" s="421"/>
      <c r="I1383" s="421"/>
      <c r="J1383" s="492"/>
      <c r="K1383" s="418"/>
      <c r="L1383" s="418"/>
      <c r="M1383" s="418"/>
      <c r="N1383" s="421"/>
      <c r="O1383" s="421"/>
      <c r="P1383" s="421"/>
      <c r="Q1383" s="418"/>
      <c r="R1383" s="418"/>
      <c r="S1383" s="418"/>
      <c r="T1383" s="418"/>
      <c r="U1383" s="418"/>
      <c r="V1383" s="418"/>
      <c r="W1383" s="418"/>
      <c r="X1383" s="418"/>
      <c r="Y1383" s="418"/>
      <c r="Z1383" s="418"/>
      <c r="AA1383" s="418"/>
      <c r="AB1383" s="418"/>
      <c r="AC1383" s="418"/>
      <c r="AD1383" s="418"/>
      <c r="AE1383" s="418"/>
      <c r="AF1383" s="418"/>
      <c r="AG1383" s="418"/>
      <c r="AH1383" s="418"/>
      <c r="AI1383" s="418"/>
      <c r="AJ1383" s="418"/>
      <c r="AK1383" s="418"/>
      <c r="AL1383" s="418"/>
      <c r="AM1383" s="418"/>
      <c r="AN1383" s="418"/>
      <c r="AO1383" s="418"/>
      <c r="AP1383" s="418"/>
      <c r="AQ1383" s="418"/>
      <c r="AR1383" s="418"/>
      <c r="AS1383" s="418"/>
      <c r="AT1383" s="418"/>
      <c r="AU1383" s="418"/>
      <c r="AV1383" s="418"/>
      <c r="AW1383" s="418"/>
      <c r="AX1383" s="418"/>
      <c r="AY1383" s="418"/>
      <c r="BF1383" s="1119"/>
      <c r="BG1383" s="1119"/>
      <c r="BH1383" s="1119"/>
    </row>
    <row r="1384" spans="1:60" ht="15.75" customHeight="1">
      <c r="A1384" s="415"/>
      <c r="B1384" s="417"/>
      <c r="C1384" s="424"/>
      <c r="E1384" s="418"/>
      <c r="F1384" s="419"/>
      <c r="G1384" s="420"/>
      <c r="H1384" s="421"/>
      <c r="I1384" s="425"/>
      <c r="J1384" s="492"/>
      <c r="K1384" s="418"/>
      <c r="L1384" s="418"/>
      <c r="M1384" s="418"/>
      <c r="N1384" s="421"/>
      <c r="O1384" s="421"/>
      <c r="P1384" s="421"/>
      <c r="Q1384" s="418"/>
      <c r="R1384" s="418"/>
      <c r="S1384" s="418"/>
      <c r="T1384" s="418"/>
      <c r="U1384" s="418"/>
      <c r="V1384" s="418"/>
      <c r="W1384" s="418"/>
      <c r="X1384" s="418"/>
      <c r="Y1384" s="418"/>
      <c r="Z1384" s="418"/>
      <c r="AA1384" s="418"/>
      <c r="AB1384" s="418"/>
      <c r="AC1384" s="418"/>
      <c r="AD1384" s="418"/>
      <c r="AE1384" s="418"/>
      <c r="AF1384" s="418"/>
      <c r="AG1384" s="418"/>
      <c r="AH1384" s="418"/>
      <c r="AI1384" s="418"/>
      <c r="AJ1384" s="418"/>
      <c r="AK1384" s="418"/>
      <c r="AL1384" s="418"/>
      <c r="AM1384" s="418"/>
      <c r="AN1384" s="418"/>
      <c r="AO1384" s="418"/>
      <c r="AP1384" s="418"/>
      <c r="AQ1384" s="418"/>
      <c r="AR1384" s="418"/>
      <c r="AS1384" s="418"/>
      <c r="AT1384" s="418"/>
      <c r="AU1384" s="418"/>
      <c r="AV1384" s="418"/>
      <c r="AW1384" s="418"/>
      <c r="AX1384" s="418"/>
      <c r="AY1384" s="418"/>
      <c r="BF1384" s="1119"/>
      <c r="BG1384" s="1119"/>
      <c r="BH1384" s="1119"/>
    </row>
    <row r="1385" spans="1:60" ht="15.75" customHeight="1">
      <c r="A1385" s="415"/>
      <c r="B1385" s="417"/>
      <c r="C1385" s="424"/>
      <c r="E1385" s="418"/>
      <c r="F1385" s="419"/>
      <c r="G1385" s="420"/>
      <c r="H1385" s="421"/>
      <c r="I1385" s="421"/>
      <c r="J1385" s="492"/>
      <c r="K1385" s="418"/>
      <c r="L1385" s="418"/>
      <c r="M1385" s="418"/>
      <c r="N1385" s="421"/>
      <c r="O1385" s="421"/>
      <c r="P1385" s="421"/>
      <c r="Q1385" s="418"/>
      <c r="R1385" s="418"/>
      <c r="S1385" s="418"/>
      <c r="T1385" s="418"/>
      <c r="U1385" s="418"/>
      <c r="V1385" s="418"/>
      <c r="W1385" s="418"/>
      <c r="X1385" s="418"/>
      <c r="Y1385" s="418"/>
      <c r="Z1385" s="418"/>
      <c r="AA1385" s="418"/>
      <c r="AB1385" s="418"/>
      <c r="AC1385" s="418"/>
      <c r="AD1385" s="418"/>
      <c r="AE1385" s="418"/>
      <c r="AF1385" s="418"/>
      <c r="AG1385" s="418"/>
      <c r="AH1385" s="418"/>
      <c r="AI1385" s="418"/>
      <c r="AJ1385" s="418"/>
      <c r="AK1385" s="418"/>
      <c r="AL1385" s="418"/>
      <c r="AM1385" s="418"/>
      <c r="AN1385" s="418"/>
      <c r="AO1385" s="418"/>
      <c r="AP1385" s="418"/>
      <c r="AQ1385" s="418"/>
      <c r="AR1385" s="418"/>
      <c r="AS1385" s="418"/>
      <c r="AT1385" s="418"/>
      <c r="AU1385" s="418"/>
      <c r="AV1385" s="418"/>
      <c r="AW1385" s="418"/>
      <c r="AX1385" s="418"/>
      <c r="AY1385" s="418"/>
      <c r="BF1385" s="1119"/>
      <c r="BG1385" s="1119"/>
      <c r="BH1385" s="1119"/>
    </row>
    <row r="1386" spans="1:60" ht="15.75" customHeight="1">
      <c r="A1386" s="415"/>
      <c r="B1386" s="417"/>
      <c r="C1386" s="424"/>
      <c r="E1386" s="418"/>
      <c r="F1386" s="419"/>
      <c r="G1386" s="420"/>
      <c r="H1386" s="421"/>
      <c r="I1386" s="421"/>
      <c r="J1386" s="492"/>
      <c r="K1386" s="418"/>
      <c r="L1386" s="418"/>
      <c r="M1386" s="418"/>
      <c r="N1386" s="421"/>
      <c r="O1386" s="421"/>
      <c r="P1386" s="421"/>
      <c r="Q1386" s="418"/>
      <c r="R1386" s="418"/>
      <c r="S1386" s="418"/>
      <c r="T1386" s="418"/>
      <c r="U1386" s="418"/>
      <c r="V1386" s="418"/>
      <c r="W1386" s="418"/>
      <c r="X1386" s="418"/>
      <c r="Y1386" s="418"/>
      <c r="Z1386" s="418"/>
      <c r="AA1386" s="418"/>
      <c r="AB1386" s="418"/>
      <c r="AC1386" s="418"/>
      <c r="AD1386" s="418"/>
      <c r="AE1386" s="418"/>
      <c r="AF1386" s="418"/>
      <c r="AG1386" s="418"/>
      <c r="AH1386" s="418"/>
      <c r="AI1386" s="418"/>
      <c r="AJ1386" s="418"/>
      <c r="AK1386" s="418"/>
      <c r="AL1386" s="418"/>
      <c r="AM1386" s="418"/>
      <c r="AN1386" s="418"/>
      <c r="AO1386" s="418"/>
      <c r="AP1386" s="418"/>
      <c r="AQ1386" s="418"/>
      <c r="AR1386" s="418"/>
      <c r="AS1386" s="418"/>
      <c r="AT1386" s="418"/>
      <c r="AU1386" s="418"/>
      <c r="AV1386" s="418"/>
      <c r="AW1386" s="418"/>
      <c r="AX1386" s="418"/>
      <c r="AY1386" s="418"/>
      <c r="BF1386" s="1119"/>
      <c r="BG1386" s="1119"/>
      <c r="BH1386" s="1119"/>
    </row>
    <row r="1387" spans="1:60" ht="15.75" customHeight="1">
      <c r="A1387" s="415"/>
      <c r="B1387" s="417"/>
      <c r="C1387" s="424"/>
      <c r="E1387" s="418"/>
      <c r="F1387" s="419"/>
      <c r="G1387" s="420"/>
      <c r="H1387" s="421"/>
      <c r="I1387" s="421"/>
      <c r="J1387" s="492"/>
      <c r="K1387" s="418"/>
      <c r="L1387" s="418"/>
      <c r="M1387" s="418"/>
      <c r="N1387" s="421"/>
      <c r="O1387" s="421"/>
      <c r="P1387" s="421"/>
      <c r="Q1387" s="418"/>
      <c r="R1387" s="418"/>
      <c r="S1387" s="418"/>
      <c r="T1387" s="418"/>
      <c r="U1387" s="418"/>
      <c r="V1387" s="418"/>
      <c r="W1387" s="418"/>
      <c r="X1387" s="418"/>
      <c r="Y1387" s="418"/>
      <c r="Z1387" s="418"/>
      <c r="AA1387" s="418"/>
      <c r="AB1387" s="418"/>
      <c r="AC1387" s="418"/>
      <c r="AD1387" s="418"/>
      <c r="AE1387" s="418"/>
      <c r="AF1387" s="418"/>
      <c r="AG1387" s="418"/>
      <c r="AH1387" s="418"/>
      <c r="AI1387" s="418"/>
      <c r="AJ1387" s="418"/>
      <c r="AK1387" s="418"/>
      <c r="AL1387" s="418"/>
      <c r="AM1387" s="418"/>
      <c r="AN1387" s="418"/>
      <c r="AO1387" s="418"/>
      <c r="AP1387" s="418"/>
      <c r="AQ1387" s="418"/>
      <c r="AR1387" s="418"/>
      <c r="AS1387" s="418"/>
      <c r="AT1387" s="418"/>
      <c r="AU1387" s="418"/>
      <c r="AV1387" s="418"/>
      <c r="AW1387" s="418"/>
      <c r="AX1387" s="418"/>
      <c r="AY1387" s="418"/>
      <c r="BF1387" s="1119"/>
      <c r="BG1387" s="1119"/>
      <c r="BH1387" s="1119"/>
    </row>
    <row r="1388" spans="1:60" ht="15.75" customHeight="1">
      <c r="A1388" s="415"/>
      <c r="B1388" s="417"/>
      <c r="C1388" s="424"/>
      <c r="E1388" s="418"/>
      <c r="F1388" s="419"/>
      <c r="G1388" s="420"/>
      <c r="H1388" s="421"/>
      <c r="I1388" s="421"/>
      <c r="J1388" s="492"/>
      <c r="K1388" s="418"/>
      <c r="L1388" s="418"/>
      <c r="M1388" s="418"/>
      <c r="N1388" s="421"/>
      <c r="O1388" s="421"/>
      <c r="P1388" s="421"/>
      <c r="Q1388" s="418"/>
      <c r="R1388" s="418"/>
      <c r="S1388" s="418"/>
      <c r="T1388" s="418"/>
      <c r="U1388" s="418"/>
      <c r="V1388" s="418"/>
      <c r="W1388" s="418"/>
      <c r="X1388" s="418"/>
      <c r="Y1388" s="418"/>
      <c r="Z1388" s="418"/>
      <c r="AA1388" s="418"/>
      <c r="AB1388" s="418"/>
      <c r="AC1388" s="418"/>
      <c r="AD1388" s="418"/>
      <c r="AE1388" s="418"/>
      <c r="AF1388" s="418"/>
      <c r="AG1388" s="418"/>
      <c r="AH1388" s="418"/>
      <c r="AI1388" s="418"/>
      <c r="AJ1388" s="418"/>
      <c r="AK1388" s="418"/>
      <c r="AL1388" s="418"/>
      <c r="AM1388" s="418"/>
      <c r="AN1388" s="418"/>
      <c r="AO1388" s="418"/>
      <c r="AP1388" s="418"/>
      <c r="AQ1388" s="418"/>
      <c r="AR1388" s="418"/>
      <c r="AS1388" s="418"/>
      <c r="AT1388" s="418"/>
      <c r="AU1388" s="418"/>
      <c r="AV1388" s="418"/>
      <c r="AW1388" s="418"/>
      <c r="AX1388" s="418"/>
      <c r="AY1388" s="418"/>
      <c r="BF1388" s="1119"/>
      <c r="BG1388" s="1119"/>
      <c r="BH1388" s="1119"/>
    </row>
    <row r="1389" spans="1:60" ht="15.75" customHeight="1">
      <c r="A1389" s="415"/>
      <c r="B1389" s="417"/>
      <c r="C1389" s="424"/>
      <c r="E1389" s="418"/>
      <c r="F1389" s="419"/>
      <c r="G1389" s="420"/>
      <c r="H1389" s="421"/>
      <c r="I1389" s="425"/>
      <c r="J1389" s="492"/>
      <c r="K1389" s="418"/>
      <c r="L1389" s="418"/>
      <c r="M1389" s="418"/>
      <c r="N1389" s="421"/>
      <c r="O1389" s="421"/>
      <c r="P1389" s="421"/>
      <c r="Q1389" s="418"/>
      <c r="R1389" s="418"/>
      <c r="S1389" s="418"/>
      <c r="T1389" s="418"/>
      <c r="U1389" s="418"/>
      <c r="V1389" s="418"/>
      <c r="W1389" s="418"/>
      <c r="X1389" s="418"/>
      <c r="Y1389" s="418"/>
      <c r="Z1389" s="418"/>
      <c r="AA1389" s="418"/>
      <c r="AB1389" s="418"/>
      <c r="AC1389" s="418"/>
      <c r="AD1389" s="418"/>
      <c r="AE1389" s="418"/>
      <c r="AF1389" s="418"/>
      <c r="AG1389" s="418"/>
      <c r="AH1389" s="418"/>
      <c r="AI1389" s="418"/>
      <c r="AJ1389" s="418"/>
      <c r="AK1389" s="418"/>
      <c r="AL1389" s="418"/>
      <c r="AM1389" s="418"/>
      <c r="AN1389" s="418"/>
      <c r="AO1389" s="418"/>
      <c r="AP1389" s="418"/>
      <c r="AQ1389" s="418"/>
      <c r="AR1389" s="418"/>
      <c r="AS1389" s="418"/>
      <c r="AT1389" s="418"/>
      <c r="AU1389" s="418"/>
      <c r="AV1389" s="418"/>
      <c r="AW1389" s="418"/>
      <c r="AX1389" s="418"/>
      <c r="AY1389" s="418"/>
      <c r="BF1389" s="1119"/>
      <c r="BG1389" s="1119"/>
      <c r="BH1389" s="1119"/>
    </row>
    <row r="1390" spans="1:60" ht="15.75" customHeight="1">
      <c r="A1390" s="415"/>
      <c r="B1390" s="417"/>
      <c r="C1390" s="424"/>
      <c r="E1390" s="418"/>
      <c r="F1390" s="419"/>
      <c r="G1390" s="420"/>
      <c r="H1390" s="421"/>
      <c r="I1390" s="421"/>
      <c r="J1390" s="492"/>
      <c r="K1390" s="418"/>
      <c r="L1390" s="418"/>
      <c r="M1390" s="418"/>
      <c r="N1390" s="421"/>
      <c r="O1390" s="421"/>
      <c r="P1390" s="421"/>
      <c r="Q1390" s="418"/>
      <c r="R1390" s="418"/>
      <c r="S1390" s="418"/>
      <c r="T1390" s="418"/>
      <c r="U1390" s="418"/>
      <c r="V1390" s="418"/>
      <c r="W1390" s="418"/>
      <c r="X1390" s="418"/>
      <c r="Y1390" s="418"/>
      <c r="Z1390" s="418"/>
      <c r="AA1390" s="418"/>
      <c r="AB1390" s="418"/>
      <c r="AC1390" s="418"/>
      <c r="AD1390" s="418"/>
      <c r="AE1390" s="418"/>
      <c r="AF1390" s="418"/>
      <c r="AG1390" s="418"/>
      <c r="AH1390" s="418"/>
      <c r="AI1390" s="418"/>
      <c r="AJ1390" s="418"/>
      <c r="AK1390" s="418"/>
      <c r="AL1390" s="418"/>
      <c r="AM1390" s="418"/>
      <c r="AN1390" s="418"/>
      <c r="AO1390" s="418"/>
      <c r="AP1390" s="418"/>
      <c r="AQ1390" s="418"/>
      <c r="AR1390" s="418"/>
      <c r="AS1390" s="418"/>
      <c r="AT1390" s="418"/>
      <c r="AU1390" s="418"/>
      <c r="AV1390" s="418"/>
      <c r="AW1390" s="418"/>
      <c r="AX1390" s="418"/>
      <c r="AY1390" s="418"/>
      <c r="BF1390" s="1119"/>
      <c r="BG1390" s="1119"/>
      <c r="BH1390" s="1119"/>
    </row>
    <row r="1391" spans="1:60" ht="15.75" customHeight="1">
      <c r="A1391" s="415"/>
      <c r="B1391" s="417"/>
      <c r="C1391" s="424"/>
      <c r="E1391" s="418"/>
      <c r="F1391" s="419"/>
      <c r="G1391" s="420"/>
      <c r="H1391" s="421"/>
      <c r="I1391" s="425"/>
      <c r="J1391" s="492"/>
      <c r="K1391" s="418"/>
      <c r="L1391" s="418"/>
      <c r="M1391" s="418"/>
      <c r="N1391" s="421"/>
      <c r="O1391" s="421"/>
      <c r="P1391" s="421"/>
      <c r="Q1391" s="418"/>
      <c r="R1391" s="418"/>
      <c r="S1391" s="418"/>
      <c r="T1391" s="418"/>
      <c r="U1391" s="418"/>
      <c r="V1391" s="418"/>
      <c r="W1391" s="418"/>
      <c r="X1391" s="418"/>
      <c r="Y1391" s="418"/>
      <c r="Z1391" s="418"/>
      <c r="AA1391" s="418"/>
      <c r="AB1391" s="418"/>
      <c r="AC1391" s="418"/>
      <c r="AD1391" s="418"/>
      <c r="AE1391" s="418"/>
      <c r="AF1391" s="418"/>
      <c r="AG1391" s="418"/>
      <c r="AH1391" s="418"/>
      <c r="AI1391" s="418"/>
      <c r="AJ1391" s="418"/>
      <c r="AK1391" s="418"/>
      <c r="AL1391" s="418"/>
      <c r="AM1391" s="418"/>
      <c r="AN1391" s="418"/>
      <c r="AO1391" s="418"/>
      <c r="AP1391" s="418"/>
      <c r="AQ1391" s="418"/>
      <c r="AR1391" s="418"/>
      <c r="AS1391" s="418"/>
      <c r="AT1391" s="418"/>
      <c r="AU1391" s="418"/>
      <c r="AV1391" s="418"/>
      <c r="AW1391" s="418"/>
      <c r="AX1391" s="418"/>
      <c r="AY1391" s="418"/>
      <c r="BF1391" s="1119"/>
      <c r="BG1391" s="1119"/>
      <c r="BH1391" s="1119"/>
    </row>
    <row r="1392" spans="1:60" ht="15.75" customHeight="1">
      <c r="A1392" s="415"/>
      <c r="B1392" s="417"/>
      <c r="C1392" s="424"/>
      <c r="E1392" s="418"/>
      <c r="F1392" s="419"/>
      <c r="G1392" s="420"/>
      <c r="H1392" s="421"/>
      <c r="I1392" s="421"/>
      <c r="J1392" s="492"/>
      <c r="K1392" s="418"/>
      <c r="L1392" s="418"/>
      <c r="M1392" s="418"/>
      <c r="N1392" s="421"/>
      <c r="O1392" s="421"/>
      <c r="P1392" s="421"/>
      <c r="Q1392" s="418"/>
      <c r="R1392" s="418"/>
      <c r="S1392" s="418"/>
      <c r="T1392" s="418"/>
      <c r="U1392" s="418"/>
      <c r="V1392" s="418"/>
      <c r="W1392" s="418"/>
      <c r="X1392" s="418"/>
      <c r="Y1392" s="418"/>
      <c r="Z1392" s="418"/>
      <c r="AA1392" s="418"/>
      <c r="AB1392" s="418"/>
      <c r="AC1392" s="418"/>
      <c r="AD1392" s="418"/>
      <c r="AE1392" s="418"/>
      <c r="AF1392" s="418"/>
      <c r="AG1392" s="418"/>
      <c r="AH1392" s="418"/>
      <c r="AI1392" s="418"/>
      <c r="AJ1392" s="418"/>
      <c r="AK1392" s="418"/>
      <c r="AL1392" s="418"/>
      <c r="AM1392" s="418"/>
      <c r="AN1392" s="418"/>
      <c r="AO1392" s="418"/>
      <c r="AP1392" s="418"/>
      <c r="AQ1392" s="418"/>
      <c r="AR1392" s="418"/>
      <c r="AS1392" s="418"/>
      <c r="AT1392" s="418"/>
      <c r="AU1392" s="418"/>
      <c r="AV1392" s="418"/>
      <c r="AW1392" s="418"/>
      <c r="AX1392" s="418"/>
      <c r="AY1392" s="418"/>
      <c r="BF1392" s="1119"/>
      <c r="BG1392" s="1119"/>
      <c r="BH1392" s="1119"/>
    </row>
    <row r="1393" spans="1:60" ht="15.75" customHeight="1">
      <c r="A1393" s="415"/>
      <c r="B1393" s="417"/>
      <c r="C1393" s="424"/>
      <c r="E1393" s="418"/>
      <c r="F1393" s="419"/>
      <c r="G1393" s="420"/>
      <c r="H1393" s="421"/>
      <c r="I1393" s="425"/>
      <c r="J1393" s="492"/>
      <c r="K1393" s="418"/>
      <c r="L1393" s="418"/>
      <c r="M1393" s="418"/>
      <c r="N1393" s="421"/>
      <c r="O1393" s="421"/>
      <c r="P1393" s="421"/>
      <c r="Q1393" s="418"/>
      <c r="R1393" s="418"/>
      <c r="S1393" s="418"/>
      <c r="T1393" s="418"/>
      <c r="U1393" s="418"/>
      <c r="V1393" s="418"/>
      <c r="W1393" s="418"/>
      <c r="X1393" s="418"/>
      <c r="Y1393" s="418"/>
      <c r="Z1393" s="418"/>
      <c r="AA1393" s="418"/>
      <c r="AB1393" s="418"/>
      <c r="AC1393" s="418"/>
      <c r="AD1393" s="418"/>
      <c r="AE1393" s="418"/>
      <c r="AF1393" s="418"/>
      <c r="AG1393" s="418"/>
      <c r="AH1393" s="418"/>
      <c r="AI1393" s="418"/>
      <c r="AJ1393" s="418"/>
      <c r="AK1393" s="418"/>
      <c r="AL1393" s="418"/>
      <c r="AM1393" s="418"/>
      <c r="AN1393" s="418"/>
      <c r="AO1393" s="418"/>
      <c r="AP1393" s="418"/>
      <c r="AQ1393" s="418"/>
      <c r="AR1393" s="418"/>
      <c r="AS1393" s="418"/>
      <c r="AT1393" s="418"/>
      <c r="AU1393" s="418"/>
      <c r="AV1393" s="418"/>
      <c r="AW1393" s="418"/>
      <c r="AX1393" s="418"/>
      <c r="AY1393" s="418"/>
      <c r="BF1393" s="1119"/>
      <c r="BG1393" s="1119"/>
      <c r="BH1393" s="1119"/>
    </row>
    <row r="1394" spans="1:60" ht="15.75" customHeight="1">
      <c r="A1394" s="415"/>
      <c r="B1394" s="417"/>
      <c r="C1394" s="424"/>
      <c r="E1394" s="418"/>
      <c r="F1394" s="419"/>
      <c r="G1394" s="420"/>
      <c r="H1394" s="421"/>
      <c r="I1394" s="421"/>
      <c r="J1394" s="492"/>
      <c r="K1394" s="418"/>
      <c r="L1394" s="418"/>
      <c r="M1394" s="418"/>
      <c r="N1394" s="421"/>
      <c r="O1394" s="421"/>
      <c r="P1394" s="421"/>
      <c r="Q1394" s="418"/>
      <c r="R1394" s="418"/>
      <c r="S1394" s="418"/>
      <c r="T1394" s="418"/>
      <c r="U1394" s="418"/>
      <c r="V1394" s="418"/>
      <c r="W1394" s="418"/>
      <c r="X1394" s="418"/>
      <c r="Y1394" s="418"/>
      <c r="Z1394" s="418"/>
      <c r="AA1394" s="418"/>
      <c r="AB1394" s="418"/>
      <c r="AC1394" s="418"/>
      <c r="AD1394" s="418"/>
      <c r="AE1394" s="418"/>
      <c r="AF1394" s="418"/>
      <c r="AG1394" s="418"/>
      <c r="AH1394" s="418"/>
      <c r="AI1394" s="418"/>
      <c r="AJ1394" s="418"/>
      <c r="AK1394" s="418"/>
      <c r="AL1394" s="418"/>
      <c r="AM1394" s="418"/>
      <c r="AN1394" s="418"/>
      <c r="AO1394" s="418"/>
      <c r="AP1394" s="418"/>
      <c r="AQ1394" s="418"/>
      <c r="AR1394" s="418"/>
      <c r="AS1394" s="418"/>
      <c r="AT1394" s="418"/>
      <c r="AU1394" s="418"/>
      <c r="AV1394" s="418"/>
      <c r="AW1394" s="418"/>
      <c r="AX1394" s="418"/>
      <c r="AY1394" s="418"/>
      <c r="BF1394" s="1119"/>
      <c r="BG1394" s="1119"/>
      <c r="BH1394" s="1119"/>
    </row>
    <row r="1395" spans="1:60" ht="15.75" customHeight="1">
      <c r="A1395" s="415"/>
      <c r="B1395" s="417"/>
      <c r="C1395" s="424"/>
      <c r="E1395" s="418"/>
      <c r="F1395" s="419"/>
      <c r="G1395" s="420"/>
      <c r="H1395" s="421"/>
      <c r="I1395" s="425"/>
      <c r="J1395" s="492"/>
      <c r="K1395" s="418"/>
      <c r="L1395" s="418"/>
      <c r="M1395" s="418"/>
      <c r="N1395" s="421"/>
      <c r="O1395" s="421"/>
      <c r="P1395" s="421"/>
      <c r="Q1395" s="418"/>
      <c r="R1395" s="418"/>
      <c r="S1395" s="418"/>
      <c r="T1395" s="418"/>
      <c r="U1395" s="418"/>
      <c r="V1395" s="418"/>
      <c r="W1395" s="418"/>
      <c r="X1395" s="418"/>
      <c r="Y1395" s="418"/>
      <c r="Z1395" s="418"/>
      <c r="AA1395" s="418"/>
      <c r="AB1395" s="418"/>
      <c r="AC1395" s="418"/>
      <c r="AD1395" s="418"/>
      <c r="AE1395" s="418"/>
      <c r="AF1395" s="418"/>
      <c r="AG1395" s="418"/>
      <c r="AH1395" s="418"/>
      <c r="AI1395" s="418"/>
      <c r="AJ1395" s="418"/>
      <c r="AK1395" s="418"/>
      <c r="AL1395" s="418"/>
      <c r="AM1395" s="418"/>
      <c r="AN1395" s="418"/>
      <c r="AO1395" s="418"/>
      <c r="AP1395" s="418"/>
      <c r="AQ1395" s="418"/>
      <c r="AR1395" s="418"/>
      <c r="AS1395" s="418"/>
      <c r="AT1395" s="418"/>
      <c r="AU1395" s="418"/>
      <c r="AV1395" s="418"/>
      <c r="AW1395" s="418"/>
      <c r="AX1395" s="418"/>
      <c r="AY1395" s="418"/>
      <c r="BF1395" s="1119"/>
      <c r="BG1395" s="1119"/>
      <c r="BH1395" s="1119"/>
    </row>
    <row r="1396" spans="1:60" ht="15.75" customHeight="1">
      <c r="A1396" s="415"/>
      <c r="B1396" s="417"/>
      <c r="C1396" s="424"/>
      <c r="E1396" s="418"/>
      <c r="F1396" s="419"/>
      <c r="G1396" s="420"/>
      <c r="H1396" s="421"/>
      <c r="I1396" s="421"/>
      <c r="J1396" s="492"/>
      <c r="K1396" s="418"/>
      <c r="L1396" s="418"/>
      <c r="M1396" s="418"/>
      <c r="N1396" s="421"/>
      <c r="O1396" s="421"/>
      <c r="P1396" s="421"/>
      <c r="Q1396" s="418"/>
      <c r="R1396" s="418"/>
      <c r="S1396" s="418"/>
      <c r="T1396" s="418"/>
      <c r="U1396" s="418"/>
      <c r="V1396" s="418"/>
      <c r="W1396" s="418"/>
      <c r="X1396" s="418"/>
      <c r="Y1396" s="418"/>
      <c r="Z1396" s="418"/>
      <c r="AA1396" s="418"/>
      <c r="AB1396" s="418"/>
      <c r="AC1396" s="418"/>
      <c r="AD1396" s="418"/>
      <c r="AE1396" s="418"/>
      <c r="AF1396" s="418"/>
      <c r="AG1396" s="418"/>
      <c r="AH1396" s="418"/>
      <c r="AI1396" s="418"/>
      <c r="AJ1396" s="418"/>
      <c r="AK1396" s="418"/>
      <c r="AL1396" s="418"/>
      <c r="AM1396" s="418"/>
      <c r="AN1396" s="418"/>
      <c r="AO1396" s="418"/>
      <c r="AP1396" s="418"/>
      <c r="AQ1396" s="418"/>
      <c r="AR1396" s="418"/>
      <c r="AS1396" s="418"/>
      <c r="AT1396" s="418"/>
      <c r="AU1396" s="418"/>
      <c r="AV1396" s="418"/>
      <c r="AW1396" s="418"/>
      <c r="AX1396" s="418"/>
      <c r="AY1396" s="418"/>
      <c r="BF1396" s="1119"/>
      <c r="BG1396" s="1119"/>
      <c r="BH1396" s="1119"/>
    </row>
    <row r="1397" spans="1:60" ht="15.75" customHeight="1">
      <c r="A1397" s="415"/>
      <c r="B1397" s="417"/>
      <c r="C1397" s="424"/>
      <c r="E1397" s="418"/>
      <c r="F1397" s="419"/>
      <c r="G1397" s="420"/>
      <c r="H1397" s="421"/>
      <c r="I1397" s="425"/>
      <c r="J1397" s="492"/>
      <c r="K1397" s="418"/>
      <c r="L1397" s="418"/>
      <c r="M1397" s="418"/>
      <c r="N1397" s="421"/>
      <c r="O1397" s="421"/>
      <c r="P1397" s="421"/>
      <c r="Q1397" s="418"/>
      <c r="R1397" s="418"/>
      <c r="S1397" s="418"/>
      <c r="T1397" s="418"/>
      <c r="U1397" s="418"/>
      <c r="V1397" s="418"/>
      <c r="W1397" s="418"/>
      <c r="X1397" s="418"/>
      <c r="Y1397" s="418"/>
      <c r="Z1397" s="418"/>
      <c r="AA1397" s="418"/>
      <c r="AB1397" s="418"/>
      <c r="AC1397" s="418"/>
      <c r="AD1397" s="418"/>
      <c r="AE1397" s="418"/>
      <c r="AF1397" s="418"/>
      <c r="AG1397" s="418"/>
      <c r="AH1397" s="418"/>
      <c r="AI1397" s="418"/>
      <c r="AJ1397" s="418"/>
      <c r="AK1397" s="418"/>
      <c r="AL1397" s="418"/>
      <c r="AM1397" s="418"/>
      <c r="AN1397" s="418"/>
      <c r="AO1397" s="418"/>
      <c r="AP1397" s="418"/>
      <c r="AQ1397" s="418"/>
      <c r="AR1397" s="418"/>
      <c r="AS1397" s="418"/>
      <c r="AT1397" s="418"/>
      <c r="AU1397" s="418"/>
      <c r="AV1397" s="418"/>
      <c r="AW1397" s="418"/>
      <c r="AX1397" s="418"/>
      <c r="AY1397" s="418"/>
      <c r="BF1397" s="1119"/>
      <c r="BG1397" s="1119"/>
      <c r="BH1397" s="1119"/>
    </row>
    <row r="1398" spans="1:60" ht="15.75" customHeight="1">
      <c r="A1398" s="415"/>
      <c r="B1398" s="417"/>
      <c r="C1398" s="424"/>
      <c r="E1398" s="418"/>
      <c r="F1398" s="419"/>
      <c r="G1398" s="420"/>
      <c r="H1398" s="421"/>
      <c r="I1398" s="421"/>
      <c r="J1398" s="492"/>
      <c r="K1398" s="418"/>
      <c r="L1398" s="418"/>
      <c r="M1398" s="418"/>
      <c r="N1398" s="421"/>
      <c r="O1398" s="421"/>
      <c r="P1398" s="421"/>
      <c r="Q1398" s="418"/>
      <c r="R1398" s="418"/>
      <c r="S1398" s="418"/>
      <c r="T1398" s="418"/>
      <c r="U1398" s="418"/>
      <c r="V1398" s="418"/>
      <c r="W1398" s="418"/>
      <c r="X1398" s="418"/>
      <c r="Y1398" s="418"/>
      <c r="Z1398" s="418"/>
      <c r="AA1398" s="418"/>
      <c r="AB1398" s="418"/>
      <c r="AC1398" s="418"/>
      <c r="AD1398" s="418"/>
      <c r="AE1398" s="418"/>
      <c r="AF1398" s="418"/>
      <c r="AG1398" s="418"/>
      <c r="AH1398" s="418"/>
      <c r="AI1398" s="418"/>
      <c r="AJ1398" s="418"/>
      <c r="AK1398" s="418"/>
      <c r="AL1398" s="418"/>
      <c r="AM1398" s="418"/>
      <c r="AN1398" s="418"/>
      <c r="AO1398" s="418"/>
      <c r="AP1398" s="418"/>
      <c r="AQ1398" s="418"/>
      <c r="AR1398" s="418"/>
      <c r="AS1398" s="418"/>
      <c r="AT1398" s="418"/>
      <c r="AU1398" s="418"/>
      <c r="AV1398" s="418"/>
      <c r="AW1398" s="418"/>
      <c r="AX1398" s="418"/>
      <c r="AY1398" s="418"/>
      <c r="BF1398" s="1119"/>
      <c r="BG1398" s="1119"/>
      <c r="BH1398" s="1119"/>
    </row>
    <row r="1399" spans="1:60" ht="15.75" customHeight="1">
      <c r="A1399" s="415"/>
      <c r="B1399" s="417"/>
      <c r="C1399" s="424"/>
      <c r="E1399" s="418"/>
      <c r="F1399" s="419"/>
      <c r="G1399" s="420"/>
      <c r="H1399" s="421"/>
      <c r="I1399" s="421"/>
      <c r="J1399" s="492"/>
      <c r="K1399" s="418"/>
      <c r="L1399" s="418"/>
      <c r="M1399" s="418"/>
      <c r="N1399" s="421"/>
      <c r="O1399" s="421"/>
      <c r="P1399" s="421"/>
      <c r="Q1399" s="418"/>
      <c r="R1399" s="418"/>
      <c r="S1399" s="418"/>
      <c r="T1399" s="418"/>
      <c r="U1399" s="418"/>
      <c r="V1399" s="418"/>
      <c r="W1399" s="418"/>
      <c r="X1399" s="418"/>
      <c r="Y1399" s="418"/>
      <c r="Z1399" s="418"/>
      <c r="AA1399" s="418"/>
      <c r="AB1399" s="418"/>
      <c r="AC1399" s="418"/>
      <c r="AD1399" s="418"/>
      <c r="AE1399" s="418"/>
      <c r="AF1399" s="418"/>
      <c r="AG1399" s="418"/>
      <c r="AH1399" s="418"/>
      <c r="AI1399" s="418"/>
      <c r="AJ1399" s="418"/>
      <c r="AK1399" s="418"/>
      <c r="AL1399" s="418"/>
      <c r="AM1399" s="418"/>
      <c r="AN1399" s="418"/>
      <c r="AO1399" s="418"/>
      <c r="AP1399" s="418"/>
      <c r="AQ1399" s="418"/>
      <c r="AR1399" s="418"/>
      <c r="AS1399" s="418"/>
      <c r="AT1399" s="418"/>
      <c r="AU1399" s="418"/>
      <c r="AV1399" s="418"/>
      <c r="AW1399" s="418"/>
      <c r="AX1399" s="418"/>
      <c r="AY1399" s="418"/>
      <c r="BF1399" s="1119"/>
      <c r="BG1399" s="1119"/>
      <c r="BH1399" s="1119"/>
    </row>
    <row r="1400" spans="1:60" ht="15.75" customHeight="1">
      <c r="A1400" s="415"/>
      <c r="B1400" s="417"/>
      <c r="C1400" s="424"/>
      <c r="E1400" s="418"/>
      <c r="F1400" s="419"/>
      <c r="G1400" s="420"/>
      <c r="H1400" s="421"/>
      <c r="I1400" s="421"/>
      <c r="J1400" s="492"/>
      <c r="K1400" s="418"/>
      <c r="L1400" s="418"/>
      <c r="M1400" s="418"/>
      <c r="N1400" s="421"/>
      <c r="O1400" s="421"/>
      <c r="P1400" s="421"/>
      <c r="Q1400" s="418"/>
      <c r="R1400" s="418"/>
      <c r="S1400" s="418"/>
      <c r="T1400" s="418"/>
      <c r="U1400" s="418"/>
      <c r="V1400" s="418"/>
      <c r="W1400" s="418"/>
      <c r="X1400" s="418"/>
      <c r="Y1400" s="418"/>
      <c r="Z1400" s="418"/>
      <c r="AA1400" s="418"/>
      <c r="AB1400" s="418"/>
      <c r="AC1400" s="418"/>
      <c r="AD1400" s="418"/>
      <c r="AE1400" s="418"/>
      <c r="AF1400" s="418"/>
      <c r="AG1400" s="418"/>
      <c r="AH1400" s="418"/>
      <c r="AI1400" s="418"/>
      <c r="AJ1400" s="418"/>
      <c r="AK1400" s="418"/>
      <c r="AL1400" s="418"/>
      <c r="AM1400" s="418"/>
      <c r="AN1400" s="418"/>
      <c r="AO1400" s="418"/>
      <c r="AP1400" s="418"/>
      <c r="AQ1400" s="418"/>
      <c r="AR1400" s="418"/>
      <c r="AS1400" s="418"/>
      <c r="AT1400" s="418"/>
      <c r="AU1400" s="418"/>
      <c r="AV1400" s="418"/>
      <c r="AW1400" s="418"/>
      <c r="AX1400" s="418"/>
      <c r="AY1400" s="418"/>
      <c r="BF1400" s="1119"/>
      <c r="BG1400" s="1119"/>
      <c r="BH1400" s="1119"/>
    </row>
    <row r="1401" spans="1:60" ht="15.75" customHeight="1">
      <c r="A1401" s="415"/>
      <c r="B1401" s="417"/>
      <c r="C1401" s="424"/>
      <c r="E1401" s="418"/>
      <c r="F1401" s="419"/>
      <c r="G1401" s="420"/>
      <c r="H1401" s="421"/>
      <c r="I1401" s="421"/>
      <c r="J1401" s="492"/>
      <c r="K1401" s="418"/>
      <c r="L1401" s="418"/>
      <c r="M1401" s="418"/>
      <c r="N1401" s="421"/>
      <c r="O1401" s="421"/>
      <c r="P1401" s="421"/>
      <c r="Q1401" s="418"/>
      <c r="R1401" s="418"/>
      <c r="S1401" s="418"/>
      <c r="T1401" s="418"/>
      <c r="U1401" s="418"/>
      <c r="V1401" s="418"/>
      <c r="W1401" s="418"/>
      <c r="X1401" s="418"/>
      <c r="Y1401" s="418"/>
      <c r="Z1401" s="418"/>
      <c r="AA1401" s="418"/>
      <c r="AB1401" s="418"/>
      <c r="AC1401" s="418"/>
      <c r="AD1401" s="418"/>
      <c r="AE1401" s="418"/>
      <c r="AF1401" s="418"/>
      <c r="AG1401" s="418"/>
      <c r="AH1401" s="418"/>
      <c r="AI1401" s="418"/>
      <c r="AJ1401" s="418"/>
      <c r="AK1401" s="418"/>
      <c r="AL1401" s="418"/>
      <c r="AM1401" s="418"/>
      <c r="AN1401" s="418"/>
      <c r="AO1401" s="418"/>
      <c r="AP1401" s="418"/>
      <c r="AQ1401" s="418"/>
      <c r="AR1401" s="418"/>
      <c r="AS1401" s="418"/>
      <c r="AT1401" s="418"/>
      <c r="AU1401" s="418"/>
      <c r="AV1401" s="418"/>
      <c r="AW1401" s="418"/>
      <c r="AX1401" s="418"/>
      <c r="AY1401" s="418"/>
      <c r="BF1401" s="1119"/>
      <c r="BG1401" s="1119"/>
      <c r="BH1401" s="1119"/>
    </row>
    <row r="1402" spans="1:60" ht="15.75" customHeight="1">
      <c r="A1402" s="415"/>
      <c r="B1402" s="417"/>
      <c r="C1402" s="424"/>
      <c r="E1402" s="418"/>
      <c r="F1402" s="419"/>
      <c r="G1402" s="420"/>
      <c r="H1402" s="421"/>
      <c r="I1402" s="421"/>
      <c r="J1402" s="492"/>
      <c r="K1402" s="418"/>
      <c r="L1402" s="418"/>
      <c r="M1402" s="418"/>
      <c r="N1402" s="421"/>
      <c r="O1402" s="421"/>
      <c r="P1402" s="421"/>
      <c r="Q1402" s="418"/>
      <c r="R1402" s="418"/>
      <c r="S1402" s="418"/>
      <c r="T1402" s="418"/>
      <c r="U1402" s="418"/>
      <c r="V1402" s="418"/>
      <c r="W1402" s="418"/>
      <c r="X1402" s="418"/>
      <c r="Y1402" s="418"/>
      <c r="Z1402" s="418"/>
      <c r="AA1402" s="418"/>
      <c r="AB1402" s="418"/>
      <c r="AC1402" s="418"/>
      <c r="AD1402" s="418"/>
      <c r="AE1402" s="418"/>
      <c r="AF1402" s="418"/>
      <c r="AG1402" s="418"/>
      <c r="AH1402" s="418"/>
      <c r="AI1402" s="418"/>
      <c r="AJ1402" s="418"/>
      <c r="AK1402" s="418"/>
      <c r="AL1402" s="418"/>
      <c r="AM1402" s="418"/>
      <c r="AN1402" s="418"/>
      <c r="AO1402" s="418"/>
      <c r="AP1402" s="418"/>
      <c r="AQ1402" s="418"/>
      <c r="AR1402" s="418"/>
      <c r="AS1402" s="418"/>
      <c r="AT1402" s="418"/>
      <c r="AU1402" s="418"/>
      <c r="AV1402" s="418"/>
      <c r="AW1402" s="418"/>
      <c r="AX1402" s="418"/>
      <c r="AY1402" s="418"/>
      <c r="BF1402" s="1119"/>
      <c r="BG1402" s="1119"/>
      <c r="BH1402" s="1119"/>
    </row>
    <row r="1403" spans="1:60" ht="15.75" customHeight="1">
      <c r="A1403" s="415"/>
      <c r="B1403" s="417"/>
      <c r="C1403" s="424"/>
      <c r="E1403" s="418"/>
      <c r="F1403" s="419"/>
      <c r="G1403" s="420"/>
      <c r="H1403" s="421"/>
      <c r="I1403" s="421"/>
      <c r="J1403" s="492"/>
      <c r="K1403" s="418"/>
      <c r="L1403" s="418"/>
      <c r="M1403" s="418"/>
      <c r="N1403" s="421"/>
      <c r="O1403" s="421"/>
      <c r="P1403" s="421"/>
      <c r="Q1403" s="418"/>
      <c r="R1403" s="418"/>
      <c r="S1403" s="418"/>
      <c r="T1403" s="418"/>
      <c r="U1403" s="418"/>
      <c r="V1403" s="418"/>
      <c r="W1403" s="418"/>
      <c r="X1403" s="418"/>
      <c r="Y1403" s="418"/>
      <c r="Z1403" s="418"/>
      <c r="AA1403" s="418"/>
      <c r="AB1403" s="418"/>
      <c r="AC1403" s="418"/>
      <c r="AD1403" s="418"/>
      <c r="AE1403" s="418"/>
      <c r="AF1403" s="418"/>
      <c r="AG1403" s="418"/>
      <c r="AH1403" s="418"/>
      <c r="AI1403" s="418"/>
      <c r="AJ1403" s="418"/>
      <c r="AK1403" s="418"/>
      <c r="AL1403" s="418"/>
      <c r="AM1403" s="418"/>
      <c r="AN1403" s="418"/>
      <c r="AO1403" s="418"/>
      <c r="AP1403" s="418"/>
      <c r="AQ1403" s="418"/>
      <c r="AR1403" s="418"/>
      <c r="AS1403" s="418"/>
      <c r="AT1403" s="418"/>
      <c r="AU1403" s="418"/>
      <c r="AV1403" s="418"/>
      <c r="AW1403" s="418"/>
      <c r="AX1403" s="418"/>
      <c r="AY1403" s="418"/>
      <c r="BF1403" s="1119"/>
      <c r="BG1403" s="1119"/>
      <c r="BH1403" s="1119"/>
    </row>
    <row r="1404" spans="1:60" ht="15.75" customHeight="1">
      <c r="A1404" s="415"/>
      <c r="B1404" s="417"/>
      <c r="C1404" s="424"/>
      <c r="E1404" s="418"/>
      <c r="F1404" s="419"/>
      <c r="G1404" s="420"/>
      <c r="H1404" s="421"/>
      <c r="I1404" s="421"/>
      <c r="J1404" s="492"/>
      <c r="K1404" s="418"/>
      <c r="L1404" s="418"/>
      <c r="M1404" s="418"/>
      <c r="N1404" s="421"/>
      <c r="O1404" s="421"/>
      <c r="P1404" s="421"/>
      <c r="Q1404" s="418"/>
      <c r="R1404" s="418"/>
      <c r="S1404" s="418"/>
      <c r="T1404" s="418"/>
      <c r="U1404" s="418"/>
      <c r="V1404" s="418"/>
      <c r="W1404" s="418"/>
      <c r="X1404" s="418"/>
      <c r="Y1404" s="418"/>
      <c r="Z1404" s="418"/>
      <c r="AA1404" s="418"/>
      <c r="AB1404" s="418"/>
      <c r="AC1404" s="418"/>
      <c r="AD1404" s="418"/>
      <c r="AE1404" s="418"/>
      <c r="AF1404" s="418"/>
      <c r="AG1404" s="418"/>
      <c r="AH1404" s="418"/>
      <c r="AI1404" s="418"/>
      <c r="AJ1404" s="418"/>
      <c r="AK1404" s="418"/>
      <c r="AL1404" s="418"/>
      <c r="AM1404" s="418"/>
      <c r="AN1404" s="418"/>
      <c r="AO1404" s="418"/>
      <c r="AP1404" s="418"/>
      <c r="AQ1404" s="418"/>
      <c r="AR1404" s="418"/>
      <c r="AS1404" s="418"/>
      <c r="AT1404" s="418"/>
      <c r="AU1404" s="418"/>
      <c r="AV1404" s="418"/>
      <c r="AW1404" s="418"/>
      <c r="AX1404" s="418"/>
      <c r="AY1404" s="418"/>
      <c r="BF1404" s="1119"/>
      <c r="BG1404" s="1119"/>
      <c r="BH1404" s="1119"/>
    </row>
    <row r="1405" spans="1:60" ht="15.75" customHeight="1">
      <c r="A1405" s="415"/>
      <c r="B1405" s="417"/>
      <c r="C1405" s="424"/>
      <c r="E1405" s="418"/>
      <c r="F1405" s="419"/>
      <c r="G1405" s="420"/>
      <c r="H1405" s="421"/>
      <c r="I1405" s="421"/>
      <c r="J1405" s="492"/>
      <c r="K1405" s="418"/>
      <c r="L1405" s="418"/>
      <c r="M1405" s="418"/>
      <c r="N1405" s="421"/>
      <c r="O1405" s="421"/>
      <c r="P1405" s="421"/>
      <c r="Q1405" s="418"/>
      <c r="R1405" s="418"/>
      <c r="S1405" s="418"/>
      <c r="T1405" s="418"/>
      <c r="U1405" s="418"/>
      <c r="V1405" s="418"/>
      <c r="W1405" s="418"/>
      <c r="X1405" s="418"/>
      <c r="Y1405" s="418"/>
      <c r="Z1405" s="418"/>
      <c r="AA1405" s="418"/>
      <c r="AB1405" s="418"/>
      <c r="AC1405" s="418"/>
      <c r="AD1405" s="418"/>
      <c r="AE1405" s="418"/>
      <c r="AF1405" s="418"/>
      <c r="AG1405" s="418"/>
      <c r="AH1405" s="418"/>
      <c r="AI1405" s="418"/>
      <c r="AJ1405" s="418"/>
      <c r="AK1405" s="418"/>
      <c r="AL1405" s="418"/>
      <c r="AM1405" s="418"/>
      <c r="AN1405" s="418"/>
      <c r="AO1405" s="418"/>
      <c r="AP1405" s="418"/>
      <c r="AQ1405" s="418"/>
      <c r="AR1405" s="418"/>
      <c r="AS1405" s="418"/>
      <c r="AT1405" s="418"/>
      <c r="AU1405" s="418"/>
      <c r="AV1405" s="418"/>
      <c r="AW1405" s="418"/>
      <c r="AX1405" s="418"/>
      <c r="AY1405" s="418"/>
      <c r="BF1405" s="1119"/>
      <c r="BG1405" s="1119"/>
      <c r="BH1405" s="1119"/>
    </row>
    <row r="1406" spans="1:60" ht="15.75" customHeight="1">
      <c r="A1406" s="415"/>
      <c r="B1406" s="417"/>
      <c r="C1406" s="424"/>
      <c r="E1406" s="418"/>
      <c r="F1406" s="419"/>
      <c r="G1406" s="420"/>
      <c r="H1406" s="421"/>
      <c r="I1406" s="421"/>
      <c r="J1406" s="492"/>
      <c r="K1406" s="418"/>
      <c r="L1406" s="418"/>
      <c r="M1406" s="418"/>
      <c r="N1406" s="421"/>
      <c r="O1406" s="421"/>
      <c r="P1406" s="421"/>
      <c r="Q1406" s="418"/>
      <c r="R1406" s="418"/>
      <c r="S1406" s="418"/>
      <c r="T1406" s="418"/>
      <c r="U1406" s="418"/>
      <c r="V1406" s="418"/>
      <c r="W1406" s="418"/>
      <c r="X1406" s="418"/>
      <c r="Y1406" s="418"/>
      <c r="Z1406" s="418"/>
      <c r="AA1406" s="418"/>
      <c r="AB1406" s="418"/>
      <c r="AC1406" s="418"/>
      <c r="AD1406" s="418"/>
      <c r="AE1406" s="418"/>
      <c r="AF1406" s="418"/>
      <c r="AG1406" s="418"/>
      <c r="AH1406" s="418"/>
      <c r="AI1406" s="418"/>
      <c r="AJ1406" s="418"/>
      <c r="AK1406" s="418"/>
      <c r="AL1406" s="418"/>
      <c r="AM1406" s="418"/>
      <c r="AN1406" s="418"/>
      <c r="AO1406" s="418"/>
      <c r="AP1406" s="418"/>
      <c r="AQ1406" s="418"/>
      <c r="AR1406" s="418"/>
      <c r="AS1406" s="418"/>
      <c r="AT1406" s="418"/>
      <c r="AU1406" s="418"/>
      <c r="AV1406" s="418"/>
      <c r="AW1406" s="418"/>
      <c r="AX1406" s="418"/>
      <c r="AY1406" s="418"/>
      <c r="BF1406" s="1119"/>
      <c r="BG1406" s="1119"/>
      <c r="BH1406" s="1119"/>
    </row>
    <row r="1407" spans="1:60" ht="15.75" customHeight="1">
      <c r="A1407" s="415"/>
      <c r="B1407" s="417"/>
      <c r="C1407" s="424"/>
      <c r="E1407" s="418"/>
      <c r="F1407" s="419"/>
      <c r="G1407" s="420"/>
      <c r="H1407" s="421"/>
      <c r="I1407" s="421"/>
      <c r="J1407" s="492"/>
      <c r="K1407" s="418"/>
      <c r="L1407" s="418"/>
      <c r="M1407" s="418"/>
      <c r="N1407" s="421"/>
      <c r="O1407" s="421"/>
      <c r="P1407" s="421"/>
      <c r="Q1407" s="418"/>
      <c r="R1407" s="418"/>
      <c r="S1407" s="418"/>
      <c r="T1407" s="418"/>
      <c r="U1407" s="418"/>
      <c r="V1407" s="418"/>
      <c r="W1407" s="418"/>
      <c r="X1407" s="418"/>
      <c r="Y1407" s="418"/>
      <c r="Z1407" s="418"/>
      <c r="AA1407" s="418"/>
      <c r="AB1407" s="418"/>
      <c r="AC1407" s="418"/>
      <c r="AD1407" s="418"/>
      <c r="AE1407" s="418"/>
      <c r="AF1407" s="418"/>
      <c r="AG1407" s="418"/>
      <c r="AH1407" s="418"/>
      <c r="AI1407" s="418"/>
      <c r="AJ1407" s="418"/>
      <c r="AK1407" s="418"/>
      <c r="AL1407" s="418"/>
      <c r="AM1407" s="418"/>
      <c r="AN1407" s="418"/>
      <c r="AO1407" s="418"/>
      <c r="AP1407" s="418"/>
      <c r="AQ1407" s="418"/>
      <c r="AR1407" s="418"/>
      <c r="AS1407" s="418"/>
      <c r="AT1407" s="418"/>
      <c r="AU1407" s="418"/>
      <c r="AV1407" s="418"/>
      <c r="AW1407" s="418"/>
      <c r="AX1407" s="418"/>
      <c r="AY1407" s="418"/>
      <c r="BF1407" s="1119"/>
      <c r="BG1407" s="1119"/>
      <c r="BH1407" s="1119"/>
    </row>
    <row r="1408" spans="1:60" ht="15.75" customHeight="1">
      <c r="A1408" s="415"/>
      <c r="B1408" s="417"/>
      <c r="C1408" s="424"/>
      <c r="E1408" s="418"/>
      <c r="F1408" s="419"/>
      <c r="G1408" s="420"/>
      <c r="H1408" s="421"/>
      <c r="I1408" s="421"/>
      <c r="J1408" s="492"/>
      <c r="K1408" s="418"/>
      <c r="L1408" s="418"/>
      <c r="M1408" s="418"/>
      <c r="N1408" s="421"/>
      <c r="O1408" s="421"/>
      <c r="P1408" s="421"/>
      <c r="Q1408" s="418"/>
      <c r="R1408" s="418"/>
      <c r="S1408" s="418"/>
      <c r="T1408" s="418"/>
      <c r="U1408" s="418"/>
      <c r="V1408" s="418"/>
      <c r="W1408" s="418"/>
      <c r="X1408" s="418"/>
      <c r="Y1408" s="418"/>
      <c r="Z1408" s="418"/>
      <c r="AA1408" s="418"/>
      <c r="AB1408" s="418"/>
      <c r="AC1408" s="418"/>
      <c r="AD1408" s="418"/>
      <c r="AE1408" s="418"/>
      <c r="AF1408" s="418"/>
      <c r="AG1408" s="418"/>
      <c r="AH1408" s="418"/>
      <c r="AI1408" s="418"/>
      <c r="AJ1408" s="418"/>
      <c r="AK1408" s="418"/>
      <c r="AL1408" s="418"/>
      <c r="AM1408" s="418"/>
      <c r="AN1408" s="418"/>
      <c r="AO1408" s="418"/>
      <c r="AP1408" s="418"/>
      <c r="AQ1408" s="418"/>
      <c r="AR1408" s="418"/>
      <c r="AS1408" s="418"/>
      <c r="AT1408" s="418"/>
      <c r="AU1408" s="418"/>
      <c r="AV1408" s="418"/>
      <c r="AW1408" s="418"/>
      <c r="AX1408" s="418"/>
      <c r="AY1408" s="418"/>
      <c r="BF1408" s="1119"/>
      <c r="BG1408" s="1119"/>
      <c r="BH1408" s="1119"/>
    </row>
    <row r="1409" spans="1:60" ht="15.75" customHeight="1">
      <c r="A1409" s="415"/>
      <c r="B1409" s="417"/>
      <c r="C1409" s="424"/>
      <c r="E1409" s="418"/>
      <c r="F1409" s="419"/>
      <c r="G1409" s="420"/>
      <c r="H1409" s="421"/>
      <c r="I1409" s="421"/>
      <c r="J1409" s="492"/>
      <c r="K1409" s="418"/>
      <c r="L1409" s="418"/>
      <c r="M1409" s="418"/>
      <c r="N1409" s="421"/>
      <c r="O1409" s="421"/>
      <c r="P1409" s="421"/>
      <c r="Q1409" s="418"/>
      <c r="R1409" s="418"/>
      <c r="S1409" s="418"/>
      <c r="T1409" s="418"/>
      <c r="U1409" s="418"/>
      <c r="V1409" s="418"/>
      <c r="W1409" s="418"/>
      <c r="X1409" s="418"/>
      <c r="Y1409" s="418"/>
      <c r="Z1409" s="418"/>
      <c r="AA1409" s="418"/>
      <c r="AB1409" s="418"/>
      <c r="AC1409" s="418"/>
      <c r="AD1409" s="418"/>
      <c r="AE1409" s="418"/>
      <c r="AF1409" s="418"/>
      <c r="AG1409" s="418"/>
      <c r="AH1409" s="418"/>
      <c r="AI1409" s="418"/>
      <c r="AJ1409" s="418"/>
      <c r="AK1409" s="418"/>
      <c r="AL1409" s="418"/>
      <c r="AM1409" s="418"/>
      <c r="AN1409" s="418"/>
      <c r="AO1409" s="418"/>
      <c r="AP1409" s="418"/>
      <c r="AQ1409" s="418"/>
      <c r="AR1409" s="418"/>
      <c r="AS1409" s="418"/>
      <c r="AT1409" s="418"/>
      <c r="AU1409" s="418"/>
      <c r="AV1409" s="418"/>
      <c r="AW1409" s="418"/>
      <c r="AX1409" s="418"/>
      <c r="AY1409" s="418"/>
      <c r="BF1409" s="1119"/>
      <c r="BG1409" s="1119"/>
      <c r="BH1409" s="1119"/>
    </row>
    <row r="1410" spans="1:60" ht="15.75" customHeight="1">
      <c r="A1410" s="415"/>
      <c r="B1410" s="417"/>
      <c r="C1410" s="424"/>
      <c r="E1410" s="418"/>
      <c r="F1410" s="419"/>
      <c r="G1410" s="420"/>
      <c r="H1410" s="421"/>
      <c r="I1410" s="425"/>
      <c r="J1410" s="492"/>
      <c r="K1410" s="418"/>
      <c r="L1410" s="418"/>
      <c r="M1410" s="418"/>
      <c r="N1410" s="421"/>
      <c r="O1410" s="421"/>
      <c r="P1410" s="421"/>
      <c r="Q1410" s="418"/>
      <c r="R1410" s="418"/>
      <c r="S1410" s="418"/>
      <c r="T1410" s="418"/>
      <c r="U1410" s="418"/>
      <c r="V1410" s="418"/>
      <c r="W1410" s="418"/>
      <c r="X1410" s="418"/>
      <c r="Y1410" s="418"/>
      <c r="Z1410" s="418"/>
      <c r="AA1410" s="418"/>
      <c r="AB1410" s="418"/>
      <c r="AC1410" s="418"/>
      <c r="AD1410" s="418"/>
      <c r="AE1410" s="418"/>
      <c r="AF1410" s="418"/>
      <c r="AG1410" s="418"/>
      <c r="AH1410" s="418"/>
      <c r="AI1410" s="418"/>
      <c r="AJ1410" s="418"/>
      <c r="AK1410" s="418"/>
      <c r="AL1410" s="418"/>
      <c r="AM1410" s="418"/>
      <c r="AN1410" s="418"/>
      <c r="AO1410" s="418"/>
      <c r="AP1410" s="418"/>
      <c r="AQ1410" s="418"/>
      <c r="AR1410" s="418"/>
      <c r="AS1410" s="418"/>
      <c r="AT1410" s="418"/>
      <c r="AU1410" s="418"/>
      <c r="AV1410" s="418"/>
      <c r="AW1410" s="418"/>
      <c r="AX1410" s="418"/>
      <c r="AY1410" s="418"/>
      <c r="BF1410" s="1119"/>
      <c r="BG1410" s="1119"/>
      <c r="BH1410" s="1119"/>
    </row>
    <row r="1411" spans="1:60" ht="15.75" customHeight="1">
      <c r="A1411" s="415"/>
      <c r="B1411" s="417"/>
      <c r="C1411" s="424"/>
      <c r="E1411" s="418"/>
      <c r="F1411" s="419"/>
      <c r="G1411" s="420"/>
      <c r="H1411" s="421"/>
      <c r="I1411" s="425"/>
      <c r="J1411" s="492"/>
      <c r="K1411" s="418"/>
      <c r="L1411" s="418"/>
      <c r="M1411" s="418"/>
      <c r="N1411" s="421"/>
      <c r="O1411" s="421"/>
      <c r="P1411" s="421"/>
      <c r="Q1411" s="418"/>
      <c r="R1411" s="418"/>
      <c r="S1411" s="418"/>
      <c r="T1411" s="418"/>
      <c r="U1411" s="418"/>
      <c r="V1411" s="418"/>
      <c r="W1411" s="418"/>
      <c r="X1411" s="418"/>
      <c r="Y1411" s="418"/>
      <c r="Z1411" s="418"/>
      <c r="AA1411" s="418"/>
      <c r="AB1411" s="418"/>
      <c r="AC1411" s="418"/>
      <c r="AD1411" s="418"/>
      <c r="AE1411" s="418"/>
      <c r="AF1411" s="418"/>
      <c r="AG1411" s="418"/>
      <c r="AH1411" s="418"/>
      <c r="AI1411" s="418"/>
      <c r="AJ1411" s="418"/>
      <c r="AK1411" s="418"/>
      <c r="AL1411" s="418"/>
      <c r="AM1411" s="418"/>
      <c r="AN1411" s="418"/>
      <c r="AO1411" s="418"/>
      <c r="AP1411" s="418"/>
      <c r="AQ1411" s="418"/>
      <c r="AR1411" s="418"/>
      <c r="AS1411" s="418"/>
      <c r="AT1411" s="418"/>
      <c r="AU1411" s="418"/>
      <c r="AV1411" s="418"/>
      <c r="AW1411" s="418"/>
      <c r="AX1411" s="418"/>
      <c r="AY1411" s="418"/>
      <c r="BF1411" s="1119"/>
      <c r="BG1411" s="1119"/>
      <c r="BH1411" s="1119"/>
    </row>
    <row r="1412" spans="1:60" ht="15.75" customHeight="1">
      <c r="A1412" s="415"/>
      <c r="B1412" s="417"/>
      <c r="C1412" s="424"/>
      <c r="E1412" s="418"/>
      <c r="F1412" s="419"/>
      <c r="G1412" s="420"/>
      <c r="H1412" s="421"/>
      <c r="I1412" s="425"/>
      <c r="J1412" s="492"/>
      <c r="K1412" s="418"/>
      <c r="L1412" s="418"/>
      <c r="M1412" s="418"/>
      <c r="N1412" s="421"/>
      <c r="O1412" s="421"/>
      <c r="P1412" s="421"/>
      <c r="Q1412" s="418"/>
      <c r="R1412" s="418"/>
      <c r="S1412" s="418"/>
      <c r="T1412" s="418"/>
      <c r="U1412" s="418"/>
      <c r="V1412" s="418"/>
      <c r="W1412" s="418"/>
      <c r="X1412" s="418"/>
      <c r="Y1412" s="418"/>
      <c r="Z1412" s="418"/>
      <c r="AA1412" s="418"/>
      <c r="AB1412" s="418"/>
      <c r="AC1412" s="418"/>
      <c r="AD1412" s="418"/>
      <c r="AE1412" s="418"/>
      <c r="AF1412" s="418"/>
      <c r="AG1412" s="418"/>
      <c r="AH1412" s="418"/>
      <c r="AI1412" s="418"/>
      <c r="AJ1412" s="418"/>
      <c r="AK1412" s="418"/>
      <c r="AL1412" s="418"/>
      <c r="AM1412" s="418"/>
      <c r="AN1412" s="418"/>
      <c r="AO1412" s="418"/>
      <c r="AP1412" s="418"/>
      <c r="AQ1412" s="418"/>
      <c r="AR1412" s="418"/>
      <c r="AS1412" s="418"/>
      <c r="AT1412" s="418"/>
      <c r="AU1412" s="418"/>
      <c r="AV1412" s="418"/>
      <c r="AW1412" s="418"/>
      <c r="AX1412" s="418"/>
      <c r="AY1412" s="418"/>
      <c r="BF1412" s="1119"/>
      <c r="BG1412" s="1119"/>
      <c r="BH1412" s="1119"/>
    </row>
    <row r="1413" spans="1:60" ht="15.75" customHeight="1">
      <c r="A1413" s="415"/>
      <c r="B1413" s="417"/>
      <c r="C1413" s="424"/>
      <c r="E1413" s="418"/>
      <c r="F1413" s="419"/>
      <c r="G1413" s="420"/>
      <c r="H1413" s="421"/>
      <c r="I1413" s="421"/>
      <c r="J1413" s="492"/>
      <c r="K1413" s="418"/>
      <c r="L1413" s="418"/>
      <c r="M1413" s="418"/>
      <c r="N1413" s="421"/>
      <c r="O1413" s="421"/>
      <c r="P1413" s="421"/>
      <c r="Q1413" s="418"/>
      <c r="R1413" s="418"/>
      <c r="S1413" s="418"/>
      <c r="T1413" s="418"/>
      <c r="U1413" s="418"/>
      <c r="V1413" s="418"/>
      <c r="W1413" s="418"/>
      <c r="X1413" s="418"/>
      <c r="Y1413" s="418"/>
      <c r="Z1413" s="418"/>
      <c r="AA1413" s="418"/>
      <c r="AB1413" s="418"/>
      <c r="AC1413" s="418"/>
      <c r="AD1413" s="418"/>
      <c r="AE1413" s="418"/>
      <c r="AF1413" s="418"/>
      <c r="AG1413" s="418"/>
      <c r="AH1413" s="418"/>
      <c r="AI1413" s="418"/>
      <c r="AJ1413" s="418"/>
      <c r="AK1413" s="418"/>
      <c r="AL1413" s="418"/>
      <c r="AM1413" s="418"/>
      <c r="AN1413" s="418"/>
      <c r="AO1413" s="418"/>
      <c r="AP1413" s="418"/>
      <c r="AQ1413" s="418"/>
      <c r="AR1413" s="418"/>
      <c r="AS1413" s="418"/>
      <c r="AT1413" s="418"/>
      <c r="AU1413" s="418"/>
      <c r="AV1413" s="418"/>
      <c r="AW1413" s="418"/>
      <c r="AX1413" s="418"/>
      <c r="AY1413" s="418"/>
      <c r="BF1413" s="1119"/>
      <c r="BG1413" s="1119"/>
      <c r="BH1413" s="1119"/>
    </row>
    <row r="1414" spans="1:60" ht="15.75" customHeight="1">
      <c r="A1414" s="415"/>
      <c r="B1414" s="417"/>
      <c r="C1414" s="424"/>
      <c r="E1414" s="418"/>
      <c r="F1414" s="419"/>
      <c r="G1414" s="420"/>
      <c r="H1414" s="421"/>
      <c r="I1414" s="425"/>
      <c r="J1414" s="492"/>
      <c r="K1414" s="418"/>
      <c r="L1414" s="418"/>
      <c r="M1414" s="418"/>
      <c r="N1414" s="421"/>
      <c r="O1414" s="421"/>
      <c r="P1414" s="421"/>
      <c r="Q1414" s="418"/>
      <c r="R1414" s="418"/>
      <c r="S1414" s="418"/>
      <c r="T1414" s="418"/>
      <c r="U1414" s="418"/>
      <c r="V1414" s="418"/>
      <c r="W1414" s="418"/>
      <c r="X1414" s="418"/>
      <c r="Y1414" s="418"/>
      <c r="Z1414" s="418"/>
      <c r="AA1414" s="418"/>
      <c r="AB1414" s="418"/>
      <c r="AC1414" s="418"/>
      <c r="AD1414" s="418"/>
      <c r="AE1414" s="418"/>
      <c r="AF1414" s="418"/>
      <c r="AG1414" s="418"/>
      <c r="AH1414" s="418"/>
      <c r="AI1414" s="418"/>
      <c r="AJ1414" s="418"/>
      <c r="AK1414" s="418"/>
      <c r="AL1414" s="418"/>
      <c r="AM1414" s="418"/>
      <c r="AN1414" s="418"/>
      <c r="AO1414" s="418"/>
      <c r="AP1414" s="418"/>
      <c r="AQ1414" s="418"/>
      <c r="AR1414" s="418"/>
      <c r="AS1414" s="418"/>
      <c r="AT1414" s="418"/>
      <c r="AU1414" s="418"/>
      <c r="AV1414" s="418"/>
      <c r="AW1414" s="418"/>
      <c r="AX1414" s="418"/>
      <c r="AY1414" s="418"/>
      <c r="BF1414" s="1119"/>
      <c r="BG1414" s="1119"/>
      <c r="BH1414" s="1119"/>
    </row>
    <row r="1415" spans="1:60" ht="15.75" customHeight="1">
      <c r="A1415" s="415"/>
      <c r="B1415" s="417"/>
      <c r="C1415" s="424"/>
      <c r="E1415" s="418"/>
      <c r="F1415" s="419"/>
      <c r="G1415" s="420"/>
      <c r="H1415" s="421"/>
      <c r="I1415" s="421"/>
      <c r="J1415" s="492"/>
      <c r="K1415" s="418"/>
      <c r="L1415" s="418"/>
      <c r="M1415" s="418"/>
      <c r="N1415" s="421"/>
      <c r="O1415" s="421"/>
      <c r="P1415" s="421"/>
      <c r="Q1415" s="418"/>
      <c r="R1415" s="418"/>
      <c r="S1415" s="418"/>
      <c r="T1415" s="418"/>
      <c r="U1415" s="418"/>
      <c r="V1415" s="418"/>
      <c r="W1415" s="418"/>
      <c r="X1415" s="418"/>
      <c r="Y1415" s="418"/>
      <c r="Z1415" s="418"/>
      <c r="AA1415" s="418"/>
      <c r="AB1415" s="418"/>
      <c r="AC1415" s="418"/>
      <c r="AD1415" s="418"/>
      <c r="AE1415" s="418"/>
      <c r="AF1415" s="418"/>
      <c r="AG1415" s="418"/>
      <c r="AH1415" s="418"/>
      <c r="AI1415" s="418"/>
      <c r="AJ1415" s="418"/>
      <c r="AK1415" s="418"/>
      <c r="AL1415" s="418"/>
      <c r="AM1415" s="418"/>
      <c r="AN1415" s="418"/>
      <c r="AO1415" s="418"/>
      <c r="AP1415" s="418"/>
      <c r="AQ1415" s="418"/>
      <c r="AR1415" s="418"/>
      <c r="AS1415" s="418"/>
      <c r="AT1415" s="418"/>
      <c r="AU1415" s="418"/>
      <c r="AV1415" s="418"/>
      <c r="AW1415" s="418"/>
      <c r="AX1415" s="418"/>
      <c r="AY1415" s="418"/>
      <c r="BF1415" s="1119"/>
      <c r="BG1415" s="1119"/>
      <c r="BH1415" s="1119"/>
    </row>
    <row r="1416" spans="1:60" ht="15.75" customHeight="1">
      <c r="A1416" s="415"/>
      <c r="B1416" s="417"/>
      <c r="C1416" s="424"/>
      <c r="E1416" s="418"/>
      <c r="F1416" s="419"/>
      <c r="G1416" s="420"/>
      <c r="H1416" s="421"/>
      <c r="I1416" s="425"/>
      <c r="J1416" s="492"/>
      <c r="K1416" s="418"/>
      <c r="L1416" s="418"/>
      <c r="M1416" s="418"/>
      <c r="N1416" s="421"/>
      <c r="O1416" s="421"/>
      <c r="P1416" s="421"/>
      <c r="Q1416" s="418"/>
      <c r="R1416" s="418"/>
      <c r="S1416" s="418"/>
      <c r="T1416" s="418"/>
      <c r="U1416" s="418"/>
      <c r="V1416" s="418"/>
      <c r="W1416" s="418"/>
      <c r="X1416" s="418"/>
      <c r="Y1416" s="418"/>
      <c r="Z1416" s="418"/>
      <c r="AA1416" s="418"/>
      <c r="AB1416" s="418"/>
      <c r="AC1416" s="418"/>
      <c r="AD1416" s="418"/>
      <c r="AE1416" s="418"/>
      <c r="AF1416" s="418"/>
      <c r="AG1416" s="418"/>
      <c r="AH1416" s="418"/>
      <c r="AI1416" s="418"/>
      <c r="AJ1416" s="418"/>
      <c r="AK1416" s="418"/>
      <c r="AL1416" s="418"/>
      <c r="AM1416" s="418"/>
      <c r="AN1416" s="418"/>
      <c r="AO1416" s="418"/>
      <c r="AP1416" s="418"/>
      <c r="AQ1416" s="418"/>
      <c r="AR1416" s="418"/>
      <c r="AS1416" s="418"/>
      <c r="AT1416" s="418"/>
      <c r="AU1416" s="418"/>
      <c r="AV1416" s="418"/>
      <c r="AW1416" s="418"/>
      <c r="AX1416" s="418"/>
      <c r="AY1416" s="418"/>
      <c r="BF1416" s="1119"/>
      <c r="BG1416" s="1119"/>
      <c r="BH1416" s="1119"/>
    </row>
    <row r="1417" spans="1:60" ht="15.75" customHeight="1">
      <c r="A1417" s="415"/>
      <c r="B1417" s="417"/>
      <c r="C1417" s="424"/>
      <c r="E1417" s="418"/>
      <c r="F1417" s="419"/>
      <c r="G1417" s="420"/>
      <c r="H1417" s="421"/>
      <c r="I1417" s="421"/>
      <c r="J1417" s="492"/>
      <c r="K1417" s="418"/>
      <c r="L1417" s="418"/>
      <c r="M1417" s="418"/>
      <c r="N1417" s="421"/>
      <c r="O1417" s="421"/>
      <c r="P1417" s="421"/>
      <c r="Q1417" s="418"/>
      <c r="R1417" s="418"/>
      <c r="S1417" s="418"/>
      <c r="T1417" s="418"/>
      <c r="U1417" s="418"/>
      <c r="V1417" s="418"/>
      <c r="W1417" s="418"/>
      <c r="X1417" s="418"/>
      <c r="Y1417" s="418"/>
      <c r="Z1417" s="418"/>
      <c r="AA1417" s="418"/>
      <c r="AB1417" s="418"/>
      <c r="AC1417" s="418"/>
      <c r="AD1417" s="418"/>
      <c r="AE1417" s="418"/>
      <c r="AF1417" s="418"/>
      <c r="AG1417" s="418"/>
      <c r="AH1417" s="418"/>
      <c r="AI1417" s="418"/>
      <c r="AJ1417" s="418"/>
      <c r="AK1417" s="418"/>
      <c r="AL1417" s="418"/>
      <c r="AM1417" s="418"/>
      <c r="AN1417" s="418"/>
      <c r="AO1417" s="418"/>
      <c r="AP1417" s="418"/>
      <c r="AQ1417" s="418"/>
      <c r="AR1417" s="418"/>
      <c r="AS1417" s="418"/>
      <c r="AT1417" s="418"/>
      <c r="AU1417" s="418"/>
      <c r="AV1417" s="418"/>
      <c r="AW1417" s="418"/>
      <c r="AX1417" s="418"/>
      <c r="AY1417" s="418"/>
      <c r="BF1417" s="1119"/>
      <c r="BG1417" s="1119"/>
      <c r="BH1417" s="1119"/>
    </row>
    <row r="1418" spans="1:60" ht="15.75" customHeight="1">
      <c r="A1418" s="415"/>
      <c r="B1418" s="417"/>
      <c r="C1418" s="424"/>
      <c r="E1418" s="418"/>
      <c r="F1418" s="419"/>
      <c r="G1418" s="420"/>
      <c r="H1418" s="421"/>
      <c r="I1418" s="425"/>
      <c r="J1418" s="492"/>
      <c r="K1418" s="418"/>
      <c r="L1418" s="418"/>
      <c r="M1418" s="418"/>
      <c r="N1418" s="421"/>
      <c r="O1418" s="421"/>
      <c r="P1418" s="421"/>
      <c r="Q1418" s="418"/>
      <c r="R1418" s="418"/>
      <c r="S1418" s="418"/>
      <c r="T1418" s="418"/>
      <c r="U1418" s="418"/>
      <c r="V1418" s="418"/>
      <c r="W1418" s="418"/>
      <c r="X1418" s="418"/>
      <c r="Y1418" s="418"/>
      <c r="Z1418" s="418"/>
      <c r="AA1418" s="418"/>
      <c r="AB1418" s="418"/>
      <c r="AC1418" s="418"/>
      <c r="AD1418" s="418"/>
      <c r="AE1418" s="418"/>
      <c r="AF1418" s="418"/>
      <c r="AG1418" s="418"/>
      <c r="AH1418" s="418"/>
      <c r="AI1418" s="418"/>
      <c r="AJ1418" s="418"/>
      <c r="AK1418" s="418"/>
      <c r="AL1418" s="418"/>
      <c r="AM1418" s="418"/>
      <c r="AN1418" s="418"/>
      <c r="AO1418" s="418"/>
      <c r="AP1418" s="418"/>
      <c r="AQ1418" s="418"/>
      <c r="AR1418" s="418"/>
      <c r="AS1418" s="418"/>
      <c r="AT1418" s="418"/>
      <c r="AU1418" s="418"/>
      <c r="AV1418" s="418"/>
      <c r="AW1418" s="418"/>
      <c r="AX1418" s="418"/>
      <c r="AY1418" s="418"/>
      <c r="BF1418" s="1119"/>
      <c r="BG1418" s="1119"/>
      <c r="BH1418" s="1119"/>
    </row>
    <row r="1419" spans="1:60" ht="15.75" customHeight="1">
      <c r="A1419" s="415"/>
      <c r="B1419" s="416"/>
      <c r="C1419" s="424"/>
      <c r="E1419" s="418"/>
      <c r="F1419" s="419"/>
      <c r="G1419" s="420"/>
      <c r="H1419" s="421"/>
      <c r="I1419" s="421"/>
      <c r="J1419" s="492"/>
      <c r="K1419" s="418"/>
      <c r="L1419" s="418"/>
      <c r="M1419" s="418"/>
      <c r="N1419" s="421"/>
      <c r="O1419" s="421"/>
      <c r="P1419" s="421"/>
      <c r="Q1419" s="418"/>
      <c r="R1419" s="418"/>
      <c r="S1419" s="418"/>
      <c r="T1419" s="418"/>
      <c r="U1419" s="418"/>
      <c r="V1419" s="418"/>
      <c r="W1419" s="418"/>
      <c r="X1419" s="418"/>
      <c r="Y1419" s="418"/>
      <c r="Z1419" s="418"/>
      <c r="AA1419" s="418"/>
      <c r="AB1419" s="418"/>
      <c r="AC1419" s="418"/>
      <c r="AD1419" s="418"/>
      <c r="AE1419" s="418"/>
      <c r="AF1419" s="418"/>
      <c r="AG1419" s="418"/>
      <c r="AH1419" s="418"/>
      <c r="AI1419" s="418"/>
      <c r="AJ1419" s="418"/>
      <c r="AK1419" s="418"/>
      <c r="AL1419" s="418"/>
      <c r="AM1419" s="418"/>
      <c r="AN1419" s="418"/>
      <c r="AO1419" s="418"/>
      <c r="AP1419" s="418"/>
      <c r="AQ1419" s="418"/>
      <c r="AR1419" s="418"/>
      <c r="AS1419" s="418"/>
      <c r="AT1419" s="418"/>
      <c r="AU1419" s="418"/>
      <c r="AV1419" s="418"/>
      <c r="AW1419" s="418"/>
      <c r="AX1419" s="418"/>
      <c r="AY1419" s="418"/>
      <c r="BF1419" s="1119"/>
      <c r="BG1419" s="1119"/>
      <c r="BH1419" s="1119"/>
    </row>
    <row r="1420" spans="1:60" ht="15.75" customHeight="1">
      <c r="A1420" s="415"/>
      <c r="B1420" s="416"/>
      <c r="C1420" s="424"/>
      <c r="E1420" s="418"/>
      <c r="F1420" s="419"/>
      <c r="G1420" s="420"/>
      <c r="H1420" s="421"/>
      <c r="I1420" s="425"/>
      <c r="J1420" s="492"/>
      <c r="K1420" s="418"/>
      <c r="L1420" s="418"/>
      <c r="M1420" s="418"/>
      <c r="N1420" s="421"/>
      <c r="O1420" s="421"/>
      <c r="P1420" s="421"/>
      <c r="Q1420" s="418"/>
      <c r="R1420" s="418"/>
      <c r="S1420" s="418"/>
      <c r="T1420" s="418"/>
      <c r="U1420" s="418"/>
      <c r="V1420" s="418"/>
      <c r="W1420" s="418"/>
      <c r="X1420" s="418"/>
      <c r="Y1420" s="418"/>
      <c r="Z1420" s="418"/>
      <c r="AA1420" s="418"/>
      <c r="AB1420" s="418"/>
      <c r="AC1420" s="418"/>
      <c r="AD1420" s="418"/>
      <c r="AE1420" s="418"/>
      <c r="AF1420" s="418"/>
      <c r="AG1420" s="418"/>
      <c r="AH1420" s="418"/>
      <c r="AI1420" s="418"/>
      <c r="AJ1420" s="418"/>
      <c r="AK1420" s="418"/>
      <c r="AL1420" s="418"/>
      <c r="AM1420" s="418"/>
      <c r="AN1420" s="418"/>
      <c r="AO1420" s="418"/>
      <c r="AP1420" s="418"/>
      <c r="AQ1420" s="418"/>
      <c r="AR1420" s="418"/>
      <c r="AS1420" s="418"/>
      <c r="AT1420" s="418"/>
      <c r="AU1420" s="418"/>
      <c r="AV1420" s="418"/>
      <c r="AW1420" s="418"/>
      <c r="AX1420" s="418"/>
      <c r="AY1420" s="418"/>
      <c r="BF1420" s="1119"/>
      <c r="BG1420" s="1119"/>
      <c r="BH1420" s="1119"/>
    </row>
    <row r="1421" spans="1:60" ht="15.75" customHeight="1">
      <c r="A1421" s="415"/>
      <c r="B1421" s="416"/>
      <c r="C1421" s="424"/>
      <c r="E1421" s="418"/>
      <c r="F1421" s="419"/>
      <c r="G1421" s="420"/>
      <c r="H1421" s="421"/>
      <c r="I1421" s="421"/>
      <c r="J1421" s="492"/>
      <c r="K1421" s="418"/>
      <c r="L1421" s="418"/>
      <c r="M1421" s="418"/>
      <c r="N1421" s="421"/>
      <c r="O1421" s="421"/>
      <c r="P1421" s="421"/>
      <c r="Q1421" s="418"/>
      <c r="R1421" s="418"/>
      <c r="S1421" s="418"/>
      <c r="T1421" s="418"/>
      <c r="U1421" s="418"/>
      <c r="V1421" s="418"/>
      <c r="W1421" s="418"/>
      <c r="X1421" s="418"/>
      <c r="Y1421" s="418"/>
      <c r="Z1421" s="418"/>
      <c r="AA1421" s="418"/>
      <c r="AB1421" s="418"/>
      <c r="AC1421" s="418"/>
      <c r="AD1421" s="418"/>
      <c r="AE1421" s="418"/>
      <c r="AF1421" s="418"/>
      <c r="AG1421" s="418"/>
      <c r="AH1421" s="418"/>
      <c r="AI1421" s="418"/>
      <c r="AJ1421" s="418"/>
      <c r="AK1421" s="418"/>
      <c r="AL1421" s="418"/>
      <c r="AM1421" s="418"/>
      <c r="AN1421" s="418"/>
      <c r="AO1421" s="418"/>
      <c r="AP1421" s="418"/>
      <c r="AQ1421" s="418"/>
      <c r="AR1421" s="418"/>
      <c r="AS1421" s="418"/>
      <c r="AT1421" s="418"/>
      <c r="AU1421" s="418"/>
      <c r="AV1421" s="418"/>
      <c r="AW1421" s="418"/>
      <c r="AX1421" s="418"/>
      <c r="AY1421" s="418"/>
      <c r="BF1421" s="1119"/>
      <c r="BG1421" s="1119"/>
      <c r="BH1421" s="1119"/>
    </row>
    <row r="1422" spans="1:60" ht="15.75" customHeight="1">
      <c r="A1422" s="415"/>
      <c r="B1422" s="416"/>
      <c r="C1422" s="424"/>
      <c r="E1422" s="418"/>
      <c r="F1422" s="419"/>
      <c r="G1422" s="420"/>
      <c r="H1422" s="421"/>
      <c r="I1422" s="421"/>
      <c r="J1422" s="492"/>
      <c r="K1422" s="418"/>
      <c r="L1422" s="418"/>
      <c r="M1422" s="418"/>
      <c r="N1422" s="421"/>
      <c r="O1422" s="421"/>
      <c r="P1422" s="421"/>
      <c r="Q1422" s="418"/>
      <c r="R1422" s="418"/>
      <c r="S1422" s="418"/>
      <c r="T1422" s="418"/>
      <c r="U1422" s="418"/>
      <c r="V1422" s="418"/>
      <c r="W1422" s="418"/>
      <c r="X1422" s="418"/>
      <c r="Y1422" s="418"/>
      <c r="Z1422" s="418"/>
      <c r="AA1422" s="418"/>
      <c r="AB1422" s="418"/>
      <c r="AC1422" s="418"/>
      <c r="AD1422" s="418"/>
      <c r="AE1422" s="418"/>
      <c r="AF1422" s="418"/>
      <c r="AG1422" s="418"/>
      <c r="AH1422" s="418"/>
      <c r="AI1422" s="418"/>
      <c r="AJ1422" s="418"/>
      <c r="AK1422" s="418"/>
      <c r="AL1422" s="418"/>
      <c r="AM1422" s="418"/>
      <c r="AN1422" s="418"/>
      <c r="AO1422" s="418"/>
      <c r="AP1422" s="418"/>
      <c r="AQ1422" s="418"/>
      <c r="AR1422" s="418"/>
      <c r="AS1422" s="418"/>
      <c r="AT1422" s="418"/>
      <c r="AU1422" s="418"/>
      <c r="AV1422" s="418"/>
      <c r="AW1422" s="418"/>
      <c r="AX1422" s="418"/>
      <c r="AY1422" s="418"/>
      <c r="BF1422" s="1119"/>
      <c r="BG1422" s="1119"/>
      <c r="BH1422" s="1119"/>
    </row>
    <row r="1423" spans="1:60" ht="15.75" customHeight="1">
      <c r="A1423" s="415"/>
      <c r="B1423" s="416"/>
      <c r="C1423" s="424"/>
      <c r="E1423" s="418"/>
      <c r="F1423" s="419"/>
      <c r="G1423" s="420"/>
      <c r="H1423" s="421"/>
      <c r="I1423" s="421"/>
      <c r="J1423" s="492"/>
      <c r="K1423" s="418"/>
      <c r="L1423" s="418"/>
      <c r="M1423" s="418"/>
      <c r="N1423" s="421"/>
      <c r="O1423" s="421"/>
      <c r="P1423" s="421"/>
      <c r="Q1423" s="418"/>
      <c r="R1423" s="418"/>
      <c r="S1423" s="418"/>
      <c r="T1423" s="418"/>
      <c r="U1423" s="418"/>
      <c r="V1423" s="418"/>
      <c r="W1423" s="418"/>
      <c r="X1423" s="418"/>
      <c r="Y1423" s="418"/>
      <c r="Z1423" s="418"/>
      <c r="AA1423" s="418"/>
      <c r="AB1423" s="418"/>
      <c r="AC1423" s="418"/>
      <c r="AD1423" s="418"/>
      <c r="AE1423" s="418"/>
      <c r="AF1423" s="418"/>
      <c r="AG1423" s="418"/>
      <c r="AH1423" s="418"/>
      <c r="AI1423" s="418"/>
      <c r="AJ1423" s="418"/>
      <c r="AK1423" s="418"/>
      <c r="AL1423" s="418"/>
      <c r="AM1423" s="418"/>
      <c r="AN1423" s="418"/>
      <c r="AO1423" s="418"/>
      <c r="AP1423" s="418"/>
      <c r="AQ1423" s="418"/>
      <c r="AR1423" s="418"/>
      <c r="AS1423" s="418"/>
      <c r="AT1423" s="418"/>
      <c r="AU1423" s="418"/>
      <c r="AV1423" s="418"/>
      <c r="AW1423" s="418"/>
      <c r="AX1423" s="418"/>
      <c r="AY1423" s="418"/>
      <c r="BF1423" s="1119"/>
      <c r="BG1423" s="1119"/>
      <c r="BH1423" s="1119"/>
    </row>
    <row r="1424" spans="1:60" ht="15.75" customHeight="1">
      <c r="A1424" s="415"/>
      <c r="B1424" s="416"/>
      <c r="C1424" s="424"/>
      <c r="E1424" s="418"/>
      <c r="F1424" s="419"/>
      <c r="G1424" s="420"/>
      <c r="H1424" s="421"/>
      <c r="I1424" s="425"/>
      <c r="J1424" s="492"/>
      <c r="K1424" s="418"/>
      <c r="L1424" s="418"/>
      <c r="M1424" s="418"/>
      <c r="N1424" s="421"/>
      <c r="O1424" s="421"/>
      <c r="P1424" s="421"/>
      <c r="Q1424" s="418"/>
      <c r="R1424" s="418"/>
      <c r="S1424" s="418"/>
      <c r="T1424" s="418"/>
      <c r="U1424" s="418"/>
      <c r="V1424" s="418"/>
      <c r="W1424" s="418"/>
      <c r="X1424" s="418"/>
      <c r="Y1424" s="418"/>
      <c r="Z1424" s="418"/>
      <c r="AA1424" s="418"/>
      <c r="AB1424" s="418"/>
      <c r="AC1424" s="418"/>
      <c r="AD1424" s="418"/>
      <c r="AE1424" s="418"/>
      <c r="AF1424" s="418"/>
      <c r="AG1424" s="418"/>
      <c r="AH1424" s="418"/>
      <c r="AI1424" s="418"/>
      <c r="AJ1424" s="418"/>
      <c r="AK1424" s="418"/>
      <c r="AL1424" s="418"/>
      <c r="AM1424" s="418"/>
      <c r="AN1424" s="418"/>
      <c r="AO1424" s="418"/>
      <c r="AP1424" s="418"/>
      <c r="AQ1424" s="418"/>
      <c r="AR1424" s="418"/>
      <c r="AS1424" s="418"/>
      <c r="AT1424" s="418"/>
      <c r="AU1424" s="418"/>
      <c r="AV1424" s="418"/>
      <c r="AW1424" s="418"/>
      <c r="AX1424" s="418"/>
      <c r="AY1424" s="418"/>
      <c r="BF1424" s="1119"/>
      <c r="BG1424" s="1119"/>
      <c r="BH1424" s="1119"/>
    </row>
    <row r="1425" spans="1:60" ht="15.75" customHeight="1">
      <c r="A1425" s="415"/>
      <c r="B1425" s="416"/>
      <c r="C1425" s="424"/>
      <c r="E1425" s="418"/>
      <c r="F1425" s="419"/>
      <c r="G1425" s="420"/>
      <c r="H1425" s="421"/>
      <c r="I1425" s="425"/>
      <c r="J1425" s="492"/>
      <c r="K1425" s="418"/>
      <c r="L1425" s="418"/>
      <c r="M1425" s="418"/>
      <c r="N1425" s="421"/>
      <c r="O1425" s="421"/>
      <c r="P1425" s="421"/>
      <c r="Q1425" s="418"/>
      <c r="R1425" s="418"/>
      <c r="S1425" s="418"/>
      <c r="T1425" s="418"/>
      <c r="U1425" s="418"/>
      <c r="V1425" s="418"/>
      <c r="W1425" s="418"/>
      <c r="X1425" s="418"/>
      <c r="Y1425" s="418"/>
      <c r="Z1425" s="418"/>
      <c r="AA1425" s="418"/>
      <c r="AB1425" s="418"/>
      <c r="AC1425" s="418"/>
      <c r="AD1425" s="418"/>
      <c r="AE1425" s="418"/>
      <c r="AF1425" s="418"/>
      <c r="AG1425" s="418"/>
      <c r="AH1425" s="418"/>
      <c r="AI1425" s="418"/>
      <c r="AJ1425" s="418"/>
      <c r="AK1425" s="418"/>
      <c r="AL1425" s="418"/>
      <c r="AM1425" s="418"/>
      <c r="AN1425" s="418"/>
      <c r="AO1425" s="418"/>
      <c r="AP1425" s="418"/>
      <c r="AQ1425" s="418"/>
      <c r="AR1425" s="418"/>
      <c r="AS1425" s="418"/>
      <c r="AT1425" s="418"/>
      <c r="AU1425" s="418"/>
      <c r="AV1425" s="418"/>
      <c r="AW1425" s="418"/>
      <c r="AX1425" s="418"/>
      <c r="AY1425" s="418"/>
      <c r="BF1425" s="1119"/>
      <c r="BG1425" s="1119"/>
      <c r="BH1425" s="1119"/>
    </row>
    <row r="1426" spans="1:60" ht="15.75" customHeight="1">
      <c r="A1426" s="415"/>
      <c r="B1426" s="416"/>
      <c r="C1426" s="424"/>
      <c r="E1426" s="418"/>
      <c r="F1426" s="419"/>
      <c r="G1426" s="420"/>
      <c r="H1426" s="421"/>
      <c r="I1426" s="425"/>
      <c r="J1426" s="492"/>
      <c r="K1426" s="418"/>
      <c r="L1426" s="418"/>
      <c r="M1426" s="418"/>
      <c r="N1426" s="421"/>
      <c r="O1426" s="421"/>
      <c r="P1426" s="421"/>
      <c r="Q1426" s="418"/>
      <c r="R1426" s="418"/>
      <c r="S1426" s="418"/>
      <c r="T1426" s="418"/>
      <c r="U1426" s="418"/>
      <c r="V1426" s="418"/>
      <c r="W1426" s="418"/>
      <c r="X1426" s="418"/>
      <c r="Y1426" s="418"/>
      <c r="Z1426" s="418"/>
      <c r="AA1426" s="418"/>
      <c r="AB1426" s="418"/>
      <c r="AC1426" s="418"/>
      <c r="AD1426" s="418"/>
      <c r="AE1426" s="418"/>
      <c r="AF1426" s="418"/>
      <c r="AG1426" s="418"/>
      <c r="AH1426" s="418"/>
      <c r="AI1426" s="418"/>
      <c r="AJ1426" s="418"/>
      <c r="AK1426" s="418"/>
      <c r="AL1426" s="418"/>
      <c r="AM1426" s="418"/>
      <c r="AN1426" s="418"/>
      <c r="AO1426" s="418"/>
      <c r="AP1426" s="418"/>
      <c r="AQ1426" s="418"/>
      <c r="AR1426" s="418"/>
      <c r="AS1426" s="418"/>
      <c r="AT1426" s="418"/>
      <c r="AU1426" s="418"/>
      <c r="AV1426" s="418"/>
      <c r="AW1426" s="418"/>
      <c r="AX1426" s="418"/>
      <c r="AY1426" s="418"/>
      <c r="BF1426" s="1119"/>
      <c r="BG1426" s="1119"/>
      <c r="BH1426" s="1119"/>
    </row>
    <row r="1427" spans="1:60" ht="15.75" customHeight="1">
      <c r="A1427" s="415"/>
      <c r="B1427" s="417"/>
      <c r="C1427" s="424"/>
      <c r="E1427" s="418"/>
      <c r="F1427" s="419"/>
      <c r="G1427" s="420"/>
      <c r="H1427" s="421"/>
      <c r="I1427" s="425"/>
      <c r="J1427" s="492"/>
      <c r="K1427" s="418"/>
      <c r="L1427" s="418"/>
      <c r="M1427" s="418"/>
      <c r="N1427" s="421"/>
      <c r="O1427" s="421"/>
      <c r="P1427" s="421"/>
      <c r="Q1427" s="418"/>
      <c r="R1427" s="418"/>
      <c r="S1427" s="418"/>
      <c r="T1427" s="418"/>
      <c r="U1427" s="418"/>
      <c r="V1427" s="418"/>
      <c r="W1427" s="418"/>
      <c r="X1427" s="418"/>
      <c r="Y1427" s="418"/>
      <c r="Z1427" s="418"/>
      <c r="AA1427" s="418"/>
      <c r="AB1427" s="418"/>
      <c r="AC1427" s="418"/>
      <c r="AD1427" s="418"/>
      <c r="AE1427" s="418"/>
      <c r="AF1427" s="418"/>
      <c r="AG1427" s="418"/>
      <c r="AH1427" s="418"/>
      <c r="AI1427" s="418"/>
      <c r="AJ1427" s="418"/>
      <c r="AK1427" s="418"/>
      <c r="AL1427" s="418"/>
      <c r="AM1427" s="418"/>
      <c r="AN1427" s="418"/>
      <c r="AO1427" s="418"/>
      <c r="AP1427" s="418"/>
      <c r="AQ1427" s="418"/>
      <c r="AR1427" s="418"/>
      <c r="AS1427" s="418"/>
      <c r="AT1427" s="418"/>
      <c r="AU1427" s="418"/>
      <c r="AV1427" s="418"/>
      <c r="AW1427" s="418"/>
      <c r="AX1427" s="418"/>
      <c r="AY1427" s="418"/>
      <c r="BF1427" s="1119"/>
      <c r="BG1427" s="1119"/>
      <c r="BH1427" s="1119"/>
    </row>
    <row r="1428" spans="1:60" ht="15.75" customHeight="1">
      <c r="A1428" s="415"/>
      <c r="B1428" s="417"/>
      <c r="C1428" s="424"/>
      <c r="E1428" s="418"/>
      <c r="F1428" s="419"/>
      <c r="G1428" s="420"/>
      <c r="H1428" s="421"/>
      <c r="I1428" s="421"/>
      <c r="J1428" s="492"/>
      <c r="K1428" s="418"/>
      <c r="L1428" s="418"/>
      <c r="M1428" s="418"/>
      <c r="N1428" s="421"/>
      <c r="O1428" s="421"/>
      <c r="P1428" s="421"/>
      <c r="Q1428" s="418"/>
      <c r="R1428" s="418"/>
      <c r="S1428" s="418"/>
      <c r="T1428" s="418"/>
      <c r="U1428" s="418"/>
      <c r="V1428" s="418"/>
      <c r="W1428" s="418"/>
      <c r="X1428" s="418"/>
      <c r="Y1428" s="418"/>
      <c r="Z1428" s="418"/>
      <c r="AA1428" s="418"/>
      <c r="AB1428" s="418"/>
      <c r="AC1428" s="418"/>
      <c r="AD1428" s="418"/>
      <c r="AE1428" s="418"/>
      <c r="AF1428" s="418"/>
      <c r="AG1428" s="418"/>
      <c r="AH1428" s="418"/>
      <c r="AI1428" s="418"/>
      <c r="AJ1428" s="418"/>
      <c r="AK1428" s="418"/>
      <c r="AL1428" s="418"/>
      <c r="AM1428" s="418"/>
      <c r="AN1428" s="418"/>
      <c r="AO1428" s="418"/>
      <c r="AP1428" s="418"/>
      <c r="AQ1428" s="418"/>
      <c r="AR1428" s="418"/>
      <c r="AS1428" s="418"/>
      <c r="AT1428" s="418"/>
      <c r="AU1428" s="418"/>
      <c r="AV1428" s="418"/>
      <c r="AW1428" s="418"/>
      <c r="AX1428" s="418"/>
      <c r="AY1428" s="418"/>
      <c r="BF1428" s="1119"/>
      <c r="BG1428" s="1119"/>
      <c r="BH1428" s="1119"/>
    </row>
    <row r="1429" spans="1:60" ht="15.75" customHeight="1">
      <c r="A1429" s="415"/>
      <c r="B1429" s="417"/>
      <c r="C1429" s="424"/>
      <c r="E1429" s="418"/>
      <c r="F1429" s="419"/>
      <c r="G1429" s="420"/>
      <c r="H1429" s="421"/>
      <c r="I1429" s="421"/>
      <c r="J1429" s="492"/>
      <c r="K1429" s="418"/>
      <c r="L1429" s="418"/>
      <c r="M1429" s="418"/>
      <c r="N1429" s="421"/>
      <c r="O1429" s="421"/>
      <c r="P1429" s="421"/>
      <c r="Q1429" s="418"/>
      <c r="R1429" s="418"/>
      <c r="S1429" s="418"/>
      <c r="T1429" s="418"/>
      <c r="U1429" s="418"/>
      <c r="V1429" s="418"/>
      <c r="W1429" s="418"/>
      <c r="X1429" s="418"/>
      <c r="Y1429" s="418"/>
      <c r="Z1429" s="418"/>
      <c r="AA1429" s="418"/>
      <c r="AB1429" s="418"/>
      <c r="AC1429" s="418"/>
      <c r="AD1429" s="418"/>
      <c r="AE1429" s="418"/>
      <c r="AF1429" s="418"/>
      <c r="AG1429" s="418"/>
      <c r="AH1429" s="418"/>
      <c r="AI1429" s="418"/>
      <c r="AJ1429" s="418"/>
      <c r="AK1429" s="418"/>
      <c r="AL1429" s="418"/>
      <c r="AM1429" s="418"/>
      <c r="AN1429" s="418"/>
      <c r="AO1429" s="418"/>
      <c r="AP1429" s="418"/>
      <c r="AQ1429" s="418"/>
      <c r="AR1429" s="418"/>
      <c r="AS1429" s="418"/>
      <c r="AT1429" s="418"/>
      <c r="AU1429" s="418"/>
      <c r="AV1429" s="418"/>
      <c r="AW1429" s="418"/>
      <c r="AX1429" s="418"/>
      <c r="AY1429" s="418"/>
      <c r="BF1429" s="1119"/>
      <c r="BG1429" s="1119"/>
      <c r="BH1429" s="1119"/>
    </row>
    <row r="1430" spans="1:60" ht="15.75" customHeight="1">
      <c r="A1430" s="415"/>
      <c r="B1430" s="417"/>
      <c r="C1430" s="424"/>
      <c r="E1430" s="418"/>
      <c r="F1430" s="419"/>
      <c r="G1430" s="420"/>
      <c r="H1430" s="421"/>
      <c r="I1430" s="425"/>
      <c r="J1430" s="492"/>
      <c r="K1430" s="418"/>
      <c r="L1430" s="418"/>
      <c r="M1430" s="418"/>
      <c r="N1430" s="421"/>
      <c r="O1430" s="421"/>
      <c r="P1430" s="421"/>
      <c r="Q1430" s="418"/>
      <c r="R1430" s="418"/>
      <c r="S1430" s="418"/>
      <c r="T1430" s="418"/>
      <c r="U1430" s="418"/>
      <c r="V1430" s="418"/>
      <c r="W1430" s="418"/>
      <c r="X1430" s="418"/>
      <c r="Y1430" s="418"/>
      <c r="Z1430" s="418"/>
      <c r="AA1430" s="418"/>
      <c r="AB1430" s="418"/>
      <c r="AC1430" s="418"/>
      <c r="AD1430" s="418"/>
      <c r="AE1430" s="418"/>
      <c r="AF1430" s="418"/>
      <c r="AG1430" s="418"/>
      <c r="AH1430" s="418"/>
      <c r="AI1430" s="418"/>
      <c r="AJ1430" s="418"/>
      <c r="AK1430" s="418"/>
      <c r="AL1430" s="418"/>
      <c r="AM1430" s="418"/>
      <c r="AN1430" s="418"/>
      <c r="AO1430" s="418"/>
      <c r="AP1430" s="418"/>
      <c r="AQ1430" s="418"/>
      <c r="AR1430" s="418"/>
      <c r="AS1430" s="418"/>
      <c r="AT1430" s="418"/>
      <c r="AU1430" s="418"/>
      <c r="AV1430" s="418"/>
      <c r="AW1430" s="418"/>
      <c r="AX1430" s="418"/>
      <c r="AY1430" s="418"/>
      <c r="BF1430" s="1119"/>
      <c r="BG1430" s="1119"/>
      <c r="BH1430" s="1119"/>
    </row>
    <row r="1431" spans="1:60" ht="15.75" customHeight="1">
      <c r="A1431" s="415"/>
      <c r="B1431" s="417"/>
      <c r="C1431" s="424"/>
      <c r="E1431" s="418"/>
      <c r="F1431" s="419"/>
      <c r="G1431" s="420"/>
      <c r="H1431" s="421"/>
      <c r="I1431" s="421"/>
      <c r="J1431" s="492"/>
      <c r="K1431" s="418"/>
      <c r="L1431" s="418"/>
      <c r="M1431" s="418"/>
      <c r="N1431" s="421"/>
      <c r="O1431" s="421"/>
      <c r="P1431" s="421"/>
      <c r="Q1431" s="418"/>
      <c r="R1431" s="418"/>
      <c r="S1431" s="418"/>
      <c r="T1431" s="418"/>
      <c r="U1431" s="418"/>
      <c r="V1431" s="418"/>
      <c r="W1431" s="418"/>
      <c r="X1431" s="418"/>
      <c r="Y1431" s="418"/>
      <c r="Z1431" s="418"/>
      <c r="AA1431" s="418"/>
      <c r="AB1431" s="418"/>
      <c r="AC1431" s="418"/>
      <c r="AD1431" s="418"/>
      <c r="AE1431" s="418"/>
      <c r="AF1431" s="418"/>
      <c r="AG1431" s="418"/>
      <c r="AH1431" s="418"/>
      <c r="AI1431" s="418"/>
      <c r="AJ1431" s="418"/>
      <c r="AK1431" s="418"/>
      <c r="AL1431" s="418"/>
      <c r="AM1431" s="418"/>
      <c r="AN1431" s="418"/>
      <c r="AO1431" s="418"/>
      <c r="AP1431" s="418"/>
      <c r="AQ1431" s="418"/>
      <c r="AR1431" s="418"/>
      <c r="AS1431" s="418"/>
      <c r="AT1431" s="418"/>
      <c r="AU1431" s="418"/>
      <c r="AV1431" s="418"/>
      <c r="AW1431" s="418"/>
      <c r="AX1431" s="418"/>
      <c r="AY1431" s="418"/>
      <c r="BF1431" s="1119"/>
      <c r="BG1431" s="1119"/>
      <c r="BH1431" s="1119"/>
    </row>
    <row r="1432" spans="1:60" ht="15.75" customHeight="1">
      <c r="A1432" s="415"/>
      <c r="B1432" s="417"/>
      <c r="C1432" s="424"/>
      <c r="E1432" s="418"/>
      <c r="F1432" s="419"/>
      <c r="G1432" s="420"/>
      <c r="H1432" s="421"/>
      <c r="I1432" s="421"/>
      <c r="J1432" s="492"/>
      <c r="K1432" s="418"/>
      <c r="L1432" s="418"/>
      <c r="M1432" s="418"/>
      <c r="N1432" s="421"/>
      <c r="O1432" s="421"/>
      <c r="P1432" s="421"/>
      <c r="Q1432" s="418"/>
      <c r="R1432" s="418"/>
      <c r="S1432" s="418"/>
      <c r="T1432" s="418"/>
      <c r="U1432" s="418"/>
      <c r="V1432" s="418"/>
      <c r="W1432" s="418"/>
      <c r="X1432" s="418"/>
      <c r="Y1432" s="418"/>
      <c r="Z1432" s="418"/>
      <c r="AA1432" s="418"/>
      <c r="AB1432" s="418"/>
      <c r="AC1432" s="418"/>
      <c r="AD1432" s="418"/>
      <c r="AE1432" s="418"/>
      <c r="AF1432" s="418"/>
      <c r="AG1432" s="418"/>
      <c r="AH1432" s="418"/>
      <c r="AI1432" s="418"/>
      <c r="AJ1432" s="418"/>
      <c r="AK1432" s="418"/>
      <c r="AL1432" s="418"/>
      <c r="AM1432" s="418"/>
      <c r="AN1432" s="418"/>
      <c r="AO1432" s="418"/>
      <c r="AP1432" s="418"/>
      <c r="AQ1432" s="418"/>
      <c r="AR1432" s="418"/>
      <c r="AS1432" s="418"/>
      <c r="AT1432" s="418"/>
      <c r="AU1432" s="418"/>
      <c r="AV1432" s="418"/>
      <c r="AW1432" s="418"/>
      <c r="AX1432" s="418"/>
      <c r="AY1432" s="418"/>
      <c r="BF1432" s="1119"/>
      <c r="BG1432" s="1119"/>
      <c r="BH1432" s="1119"/>
    </row>
    <row r="1433" spans="1:60" ht="15.75" customHeight="1">
      <c r="A1433" s="415"/>
      <c r="B1433" s="417"/>
      <c r="C1433" s="424"/>
      <c r="E1433" s="418"/>
      <c r="F1433" s="419"/>
      <c r="G1433" s="420"/>
      <c r="H1433" s="421"/>
      <c r="I1433" s="425"/>
      <c r="J1433" s="492"/>
      <c r="K1433" s="418"/>
      <c r="L1433" s="418"/>
      <c r="M1433" s="418"/>
      <c r="N1433" s="421"/>
      <c r="O1433" s="421"/>
      <c r="P1433" s="421"/>
      <c r="Q1433" s="418"/>
      <c r="R1433" s="418"/>
      <c r="S1433" s="418"/>
      <c r="T1433" s="418"/>
      <c r="U1433" s="418"/>
      <c r="V1433" s="418"/>
      <c r="W1433" s="418"/>
      <c r="X1433" s="418"/>
      <c r="Y1433" s="418"/>
      <c r="Z1433" s="418"/>
      <c r="AA1433" s="418"/>
      <c r="AB1433" s="418"/>
      <c r="AC1433" s="418"/>
      <c r="AD1433" s="418"/>
      <c r="AE1433" s="418"/>
      <c r="AF1433" s="418"/>
      <c r="AG1433" s="418"/>
      <c r="AH1433" s="418"/>
      <c r="AI1433" s="418"/>
      <c r="AJ1433" s="418"/>
      <c r="AK1433" s="418"/>
      <c r="AL1433" s="418"/>
      <c r="AM1433" s="418"/>
      <c r="AN1433" s="418"/>
      <c r="AO1433" s="418"/>
      <c r="AP1433" s="418"/>
      <c r="AQ1433" s="418"/>
      <c r="AR1433" s="418"/>
      <c r="AS1433" s="418"/>
      <c r="AT1433" s="418"/>
      <c r="AU1433" s="418"/>
      <c r="AV1433" s="418"/>
      <c r="AW1433" s="418"/>
      <c r="AX1433" s="418"/>
      <c r="AY1433" s="418"/>
      <c r="BF1433" s="1119"/>
      <c r="BG1433" s="1119"/>
      <c r="BH1433" s="1119"/>
    </row>
    <row r="1434" spans="1:60" ht="15.75" customHeight="1">
      <c r="A1434" s="415"/>
      <c r="B1434" s="417"/>
      <c r="C1434" s="424"/>
      <c r="E1434" s="418"/>
      <c r="F1434" s="419"/>
      <c r="G1434" s="420"/>
      <c r="H1434" s="421"/>
      <c r="I1434" s="421"/>
      <c r="J1434" s="492"/>
      <c r="K1434" s="418"/>
      <c r="L1434" s="418"/>
      <c r="M1434" s="418"/>
      <c r="N1434" s="421"/>
      <c r="O1434" s="421"/>
      <c r="P1434" s="421"/>
      <c r="Q1434" s="418"/>
      <c r="R1434" s="418"/>
      <c r="S1434" s="418"/>
      <c r="T1434" s="418"/>
      <c r="U1434" s="418"/>
      <c r="V1434" s="418"/>
      <c r="W1434" s="418"/>
      <c r="X1434" s="418"/>
      <c r="Y1434" s="418"/>
      <c r="Z1434" s="418"/>
      <c r="AA1434" s="418"/>
      <c r="AB1434" s="418"/>
      <c r="AC1434" s="418"/>
      <c r="AD1434" s="418"/>
      <c r="AE1434" s="418"/>
      <c r="AF1434" s="418"/>
      <c r="AG1434" s="418"/>
      <c r="AH1434" s="418"/>
      <c r="AI1434" s="418"/>
      <c r="AJ1434" s="418"/>
      <c r="AK1434" s="418"/>
      <c r="AL1434" s="418"/>
      <c r="AM1434" s="418"/>
      <c r="AN1434" s="418"/>
      <c r="AO1434" s="418"/>
      <c r="AP1434" s="418"/>
      <c r="AQ1434" s="418"/>
      <c r="AR1434" s="418"/>
      <c r="AS1434" s="418"/>
      <c r="AT1434" s="418"/>
      <c r="AU1434" s="418"/>
      <c r="AV1434" s="418"/>
      <c r="AW1434" s="418"/>
      <c r="AX1434" s="418"/>
      <c r="AY1434" s="418"/>
      <c r="BF1434" s="1119"/>
      <c r="BG1434" s="1119"/>
      <c r="BH1434" s="1119"/>
    </row>
    <row r="1435" spans="1:60" ht="15.75" customHeight="1">
      <c r="A1435" s="415"/>
      <c r="B1435" s="417"/>
      <c r="C1435" s="424"/>
      <c r="E1435" s="418"/>
      <c r="F1435" s="419"/>
      <c r="G1435" s="420"/>
      <c r="H1435" s="421"/>
      <c r="I1435" s="425"/>
      <c r="J1435" s="492"/>
      <c r="K1435" s="418"/>
      <c r="L1435" s="418"/>
      <c r="M1435" s="418"/>
      <c r="N1435" s="421"/>
      <c r="O1435" s="421"/>
      <c r="P1435" s="421"/>
      <c r="Q1435" s="418"/>
      <c r="R1435" s="418"/>
      <c r="S1435" s="418"/>
      <c r="T1435" s="418"/>
      <c r="U1435" s="418"/>
      <c r="V1435" s="418"/>
      <c r="W1435" s="418"/>
      <c r="X1435" s="418"/>
      <c r="Y1435" s="418"/>
      <c r="Z1435" s="418"/>
      <c r="AA1435" s="418"/>
      <c r="AB1435" s="418"/>
      <c r="AC1435" s="418"/>
      <c r="AD1435" s="418"/>
      <c r="AE1435" s="418"/>
      <c r="AF1435" s="418"/>
      <c r="AG1435" s="418"/>
      <c r="AH1435" s="418"/>
      <c r="AI1435" s="418"/>
      <c r="AJ1435" s="418"/>
      <c r="AK1435" s="418"/>
      <c r="AL1435" s="418"/>
      <c r="AM1435" s="418"/>
      <c r="AN1435" s="418"/>
      <c r="AO1435" s="418"/>
      <c r="AP1435" s="418"/>
      <c r="AQ1435" s="418"/>
      <c r="AR1435" s="418"/>
      <c r="AS1435" s="418"/>
      <c r="AT1435" s="418"/>
      <c r="AU1435" s="418"/>
      <c r="AV1435" s="418"/>
      <c r="AW1435" s="418"/>
      <c r="AX1435" s="418"/>
      <c r="AY1435" s="418"/>
      <c r="BF1435" s="1119"/>
      <c r="BG1435" s="1119"/>
      <c r="BH1435" s="1119"/>
    </row>
    <row r="1436" spans="1:60" ht="15.75" customHeight="1">
      <c r="A1436" s="415"/>
      <c r="B1436" s="417"/>
      <c r="C1436" s="424"/>
      <c r="E1436" s="418"/>
      <c r="F1436" s="419"/>
      <c r="G1436" s="420"/>
      <c r="H1436" s="421"/>
      <c r="I1436" s="421"/>
      <c r="J1436" s="492"/>
      <c r="K1436" s="418"/>
      <c r="L1436" s="418"/>
      <c r="M1436" s="418"/>
      <c r="N1436" s="421"/>
      <c r="O1436" s="421"/>
      <c r="P1436" s="421"/>
      <c r="Q1436" s="418"/>
      <c r="R1436" s="418"/>
      <c r="S1436" s="418"/>
      <c r="T1436" s="418"/>
      <c r="U1436" s="418"/>
      <c r="V1436" s="418"/>
      <c r="W1436" s="418"/>
      <c r="X1436" s="418"/>
      <c r="Y1436" s="418"/>
      <c r="Z1436" s="418"/>
      <c r="AA1436" s="418"/>
      <c r="AB1436" s="418"/>
      <c r="AC1436" s="418"/>
      <c r="AD1436" s="418"/>
      <c r="AE1436" s="418"/>
      <c r="AF1436" s="418"/>
      <c r="AG1436" s="418"/>
      <c r="AH1436" s="418"/>
      <c r="AI1436" s="418"/>
      <c r="AJ1436" s="418"/>
      <c r="AK1436" s="418"/>
      <c r="AL1436" s="418"/>
      <c r="AM1436" s="418"/>
      <c r="AN1436" s="418"/>
      <c r="AO1436" s="418"/>
      <c r="AP1436" s="418"/>
      <c r="AQ1436" s="418"/>
      <c r="AR1436" s="418"/>
      <c r="AS1436" s="418"/>
      <c r="AT1436" s="418"/>
      <c r="AU1436" s="418"/>
      <c r="AV1436" s="418"/>
      <c r="AW1436" s="418"/>
      <c r="AX1436" s="418"/>
      <c r="AY1436" s="418"/>
      <c r="BF1436" s="1119"/>
      <c r="BG1436" s="1119"/>
      <c r="BH1436" s="1119"/>
    </row>
    <row r="1437" spans="1:60" ht="15.75" customHeight="1">
      <c r="A1437" s="415"/>
      <c r="B1437" s="417"/>
      <c r="C1437" s="424"/>
      <c r="E1437" s="418"/>
      <c r="F1437" s="419"/>
      <c r="G1437" s="420"/>
      <c r="H1437" s="421"/>
      <c r="I1437" s="425"/>
      <c r="J1437" s="492"/>
      <c r="K1437" s="418"/>
      <c r="L1437" s="418"/>
      <c r="M1437" s="418"/>
      <c r="N1437" s="421"/>
      <c r="O1437" s="421"/>
      <c r="P1437" s="421"/>
      <c r="Q1437" s="418"/>
      <c r="R1437" s="418"/>
      <c r="S1437" s="418"/>
      <c r="T1437" s="418"/>
      <c r="U1437" s="418"/>
      <c r="V1437" s="418"/>
      <c r="W1437" s="418"/>
      <c r="X1437" s="418"/>
      <c r="Y1437" s="418"/>
      <c r="Z1437" s="418"/>
      <c r="AA1437" s="418"/>
      <c r="AB1437" s="418"/>
      <c r="AC1437" s="418"/>
      <c r="AD1437" s="418"/>
      <c r="AE1437" s="418"/>
      <c r="AF1437" s="418"/>
      <c r="AG1437" s="418"/>
      <c r="AH1437" s="418"/>
      <c r="AI1437" s="418"/>
      <c r="AJ1437" s="418"/>
      <c r="AK1437" s="418"/>
      <c r="AL1437" s="418"/>
      <c r="AM1437" s="418"/>
      <c r="AN1437" s="418"/>
      <c r="AO1437" s="418"/>
      <c r="AP1437" s="418"/>
      <c r="AQ1437" s="418"/>
      <c r="AR1437" s="418"/>
      <c r="AS1437" s="418"/>
      <c r="AT1437" s="418"/>
      <c r="AU1437" s="418"/>
      <c r="AV1437" s="418"/>
      <c r="AW1437" s="418"/>
      <c r="AX1437" s="418"/>
      <c r="AY1437" s="418"/>
      <c r="BF1437" s="1119"/>
      <c r="BG1437" s="1119"/>
      <c r="BH1437" s="1119"/>
    </row>
    <row r="1438" spans="1:60" ht="15.75" customHeight="1">
      <c r="A1438" s="415"/>
      <c r="B1438" s="417"/>
      <c r="C1438" s="424"/>
      <c r="E1438" s="418"/>
      <c r="F1438" s="419"/>
      <c r="G1438" s="420"/>
      <c r="H1438" s="421"/>
      <c r="I1438" s="421"/>
      <c r="J1438" s="492"/>
      <c r="K1438" s="418"/>
      <c r="L1438" s="418"/>
      <c r="M1438" s="418"/>
      <c r="N1438" s="421"/>
      <c r="O1438" s="421"/>
      <c r="P1438" s="421"/>
      <c r="Q1438" s="418"/>
      <c r="R1438" s="418"/>
      <c r="S1438" s="418"/>
      <c r="T1438" s="418"/>
      <c r="U1438" s="418"/>
      <c r="V1438" s="418"/>
      <c r="W1438" s="418"/>
      <c r="X1438" s="418"/>
      <c r="Y1438" s="418"/>
      <c r="Z1438" s="418"/>
      <c r="AA1438" s="418"/>
      <c r="AB1438" s="418"/>
      <c r="AC1438" s="418"/>
      <c r="AD1438" s="418"/>
      <c r="AE1438" s="418"/>
      <c r="AF1438" s="418"/>
      <c r="AG1438" s="418"/>
      <c r="AH1438" s="418"/>
      <c r="AI1438" s="418"/>
      <c r="AJ1438" s="418"/>
      <c r="AK1438" s="418"/>
      <c r="AL1438" s="418"/>
      <c r="AM1438" s="418"/>
      <c r="AN1438" s="418"/>
      <c r="AO1438" s="418"/>
      <c r="AP1438" s="418"/>
      <c r="AQ1438" s="418"/>
      <c r="AR1438" s="418"/>
      <c r="AS1438" s="418"/>
      <c r="AT1438" s="418"/>
      <c r="AU1438" s="418"/>
      <c r="AV1438" s="418"/>
      <c r="AW1438" s="418"/>
      <c r="AX1438" s="418"/>
      <c r="AY1438" s="418"/>
      <c r="BF1438" s="1119"/>
      <c r="BG1438" s="1119"/>
      <c r="BH1438" s="1119"/>
    </row>
    <row r="1439" spans="1:60" ht="15.75" customHeight="1">
      <c r="A1439" s="415"/>
      <c r="B1439" s="417"/>
      <c r="C1439" s="424"/>
      <c r="E1439" s="418"/>
      <c r="F1439" s="419"/>
      <c r="G1439" s="420"/>
      <c r="H1439" s="421"/>
      <c r="I1439" s="421"/>
      <c r="J1439" s="492"/>
      <c r="K1439" s="418"/>
      <c r="L1439" s="418"/>
      <c r="M1439" s="418"/>
      <c r="N1439" s="421"/>
      <c r="O1439" s="421"/>
      <c r="P1439" s="421"/>
      <c r="Q1439" s="418"/>
      <c r="R1439" s="418"/>
      <c r="S1439" s="418"/>
      <c r="T1439" s="418"/>
      <c r="U1439" s="418"/>
      <c r="V1439" s="418"/>
      <c r="W1439" s="418"/>
      <c r="X1439" s="418"/>
      <c r="Y1439" s="418"/>
      <c r="Z1439" s="418"/>
      <c r="AA1439" s="418"/>
      <c r="AB1439" s="418"/>
      <c r="AC1439" s="418"/>
      <c r="AD1439" s="418"/>
      <c r="AE1439" s="418"/>
      <c r="AF1439" s="418"/>
      <c r="AG1439" s="418"/>
      <c r="AH1439" s="418"/>
      <c r="AI1439" s="418"/>
      <c r="AJ1439" s="418"/>
      <c r="AK1439" s="418"/>
      <c r="AL1439" s="418"/>
      <c r="AM1439" s="418"/>
      <c r="AN1439" s="418"/>
      <c r="AO1439" s="418"/>
      <c r="AP1439" s="418"/>
      <c r="AQ1439" s="418"/>
      <c r="AR1439" s="418"/>
      <c r="AS1439" s="418"/>
      <c r="AT1439" s="418"/>
      <c r="AU1439" s="418"/>
      <c r="AV1439" s="418"/>
      <c r="AW1439" s="418"/>
      <c r="AX1439" s="418"/>
      <c r="AY1439" s="418"/>
      <c r="BF1439" s="1119"/>
      <c r="BG1439" s="1119"/>
      <c r="BH1439" s="1119"/>
    </row>
    <row r="1440" spans="1:60" ht="15.75" customHeight="1">
      <c r="A1440" s="415"/>
      <c r="B1440" s="417"/>
      <c r="C1440" s="424"/>
      <c r="E1440" s="418"/>
      <c r="F1440" s="419"/>
      <c r="G1440" s="420"/>
      <c r="H1440" s="421"/>
      <c r="I1440" s="421"/>
      <c r="J1440" s="492"/>
      <c r="K1440" s="418"/>
      <c r="L1440" s="418"/>
      <c r="M1440" s="418"/>
      <c r="N1440" s="421"/>
      <c r="O1440" s="421"/>
      <c r="P1440" s="421"/>
      <c r="Q1440" s="418"/>
      <c r="R1440" s="418"/>
      <c r="S1440" s="418"/>
      <c r="T1440" s="418"/>
      <c r="U1440" s="418"/>
      <c r="V1440" s="418"/>
      <c r="W1440" s="418"/>
      <c r="X1440" s="418"/>
      <c r="Y1440" s="418"/>
      <c r="Z1440" s="418"/>
      <c r="AA1440" s="418"/>
      <c r="AB1440" s="418"/>
      <c r="AC1440" s="418"/>
      <c r="AD1440" s="418"/>
      <c r="AE1440" s="418"/>
      <c r="AF1440" s="418"/>
      <c r="AG1440" s="418"/>
      <c r="AH1440" s="418"/>
      <c r="AI1440" s="418"/>
      <c r="AJ1440" s="418"/>
      <c r="AK1440" s="418"/>
      <c r="AL1440" s="418"/>
      <c r="AM1440" s="418"/>
      <c r="AN1440" s="418"/>
      <c r="AO1440" s="418"/>
      <c r="AP1440" s="418"/>
      <c r="AQ1440" s="418"/>
      <c r="AR1440" s="418"/>
      <c r="AS1440" s="418"/>
      <c r="AT1440" s="418"/>
      <c r="AU1440" s="418"/>
      <c r="AV1440" s="418"/>
      <c r="AW1440" s="418"/>
      <c r="AX1440" s="418"/>
      <c r="AY1440" s="418"/>
      <c r="BF1440" s="1119"/>
      <c r="BG1440" s="1119"/>
      <c r="BH1440" s="1119"/>
    </row>
    <row r="1441" spans="1:60" ht="15.75" customHeight="1">
      <c r="A1441" s="415"/>
      <c r="B1441" s="417"/>
      <c r="C1441" s="424"/>
      <c r="E1441" s="418"/>
      <c r="F1441" s="419"/>
      <c r="G1441" s="420"/>
      <c r="H1441" s="421"/>
      <c r="I1441" s="425"/>
      <c r="J1441" s="492"/>
      <c r="K1441" s="418"/>
      <c r="L1441" s="418"/>
      <c r="M1441" s="418"/>
      <c r="N1441" s="421"/>
      <c r="O1441" s="421"/>
      <c r="P1441" s="421"/>
      <c r="Q1441" s="418"/>
      <c r="R1441" s="418"/>
      <c r="S1441" s="418"/>
      <c r="T1441" s="418"/>
      <c r="U1441" s="418"/>
      <c r="V1441" s="418"/>
      <c r="W1441" s="418"/>
      <c r="X1441" s="418"/>
      <c r="Y1441" s="418"/>
      <c r="Z1441" s="418"/>
      <c r="AA1441" s="418"/>
      <c r="AB1441" s="418"/>
      <c r="AC1441" s="418"/>
      <c r="AD1441" s="418"/>
      <c r="AE1441" s="418"/>
      <c r="AF1441" s="418"/>
      <c r="AG1441" s="418"/>
      <c r="AH1441" s="418"/>
      <c r="AI1441" s="418"/>
      <c r="AJ1441" s="418"/>
      <c r="AK1441" s="418"/>
      <c r="AL1441" s="418"/>
      <c r="AM1441" s="418"/>
      <c r="AN1441" s="418"/>
      <c r="AO1441" s="418"/>
      <c r="AP1441" s="418"/>
      <c r="AQ1441" s="418"/>
      <c r="AR1441" s="418"/>
      <c r="AS1441" s="418"/>
      <c r="AT1441" s="418"/>
      <c r="AU1441" s="418"/>
      <c r="AV1441" s="418"/>
      <c r="AW1441" s="418"/>
      <c r="AX1441" s="418"/>
      <c r="AY1441" s="418"/>
      <c r="BF1441" s="1119"/>
      <c r="BG1441" s="1119"/>
      <c r="BH1441" s="1119"/>
    </row>
    <row r="1442" spans="1:60" ht="15.75" customHeight="1">
      <c r="A1442" s="415"/>
      <c r="B1442" s="417"/>
      <c r="C1442" s="424"/>
      <c r="E1442" s="418"/>
      <c r="F1442" s="419"/>
      <c r="G1442" s="420"/>
      <c r="H1442" s="421"/>
      <c r="I1442" s="421"/>
      <c r="J1442" s="492"/>
      <c r="K1442" s="418"/>
      <c r="L1442" s="418"/>
      <c r="M1442" s="418"/>
      <c r="N1442" s="421"/>
      <c r="O1442" s="421"/>
      <c r="P1442" s="421"/>
      <c r="Q1442" s="418"/>
      <c r="R1442" s="418"/>
      <c r="S1442" s="418"/>
      <c r="T1442" s="418"/>
      <c r="U1442" s="418"/>
      <c r="V1442" s="418"/>
      <c r="W1442" s="418"/>
      <c r="X1442" s="418"/>
      <c r="Y1442" s="418"/>
      <c r="Z1442" s="418"/>
      <c r="AA1442" s="418"/>
      <c r="AB1442" s="418"/>
      <c r="AC1442" s="418"/>
      <c r="AD1442" s="418"/>
      <c r="AE1442" s="418"/>
      <c r="AF1442" s="418"/>
      <c r="AG1442" s="418"/>
      <c r="AH1442" s="418"/>
      <c r="AI1442" s="418"/>
      <c r="AJ1442" s="418"/>
      <c r="AK1442" s="418"/>
      <c r="AL1442" s="418"/>
      <c r="AM1442" s="418"/>
      <c r="AN1442" s="418"/>
      <c r="AO1442" s="418"/>
      <c r="AP1442" s="418"/>
      <c r="AQ1442" s="418"/>
      <c r="AR1442" s="418"/>
      <c r="AS1442" s="418"/>
      <c r="AT1442" s="418"/>
      <c r="AU1442" s="418"/>
      <c r="AV1442" s="418"/>
      <c r="AW1442" s="418"/>
      <c r="AX1442" s="418"/>
      <c r="AY1442" s="418"/>
      <c r="BF1442" s="1119"/>
      <c r="BG1442" s="1119"/>
      <c r="BH1442" s="1119"/>
    </row>
    <row r="1443" spans="1:60" ht="15.75" customHeight="1">
      <c r="A1443" s="415"/>
      <c r="B1443" s="417"/>
      <c r="C1443" s="424"/>
      <c r="E1443" s="418"/>
      <c r="F1443" s="419"/>
      <c r="G1443" s="420"/>
      <c r="H1443" s="421"/>
      <c r="I1443" s="425"/>
      <c r="J1443" s="492"/>
      <c r="K1443" s="418"/>
      <c r="L1443" s="418"/>
      <c r="M1443" s="418"/>
      <c r="N1443" s="421"/>
      <c r="O1443" s="418"/>
      <c r="P1443" s="421"/>
      <c r="Q1443" s="418"/>
      <c r="R1443" s="418"/>
      <c r="S1443" s="418"/>
      <c r="T1443" s="418"/>
      <c r="U1443" s="418"/>
      <c r="V1443" s="418"/>
      <c r="W1443" s="418"/>
      <c r="X1443" s="418"/>
      <c r="Y1443" s="418"/>
      <c r="Z1443" s="418"/>
      <c r="AA1443" s="418"/>
      <c r="AB1443" s="418"/>
      <c r="AC1443" s="418"/>
      <c r="AD1443" s="418"/>
      <c r="AE1443" s="418"/>
      <c r="AF1443" s="418"/>
      <c r="AG1443" s="418"/>
      <c r="AH1443" s="418"/>
      <c r="AI1443" s="418"/>
      <c r="AJ1443" s="418"/>
      <c r="AK1443" s="418"/>
      <c r="AL1443" s="418"/>
      <c r="AM1443" s="418"/>
      <c r="AN1443" s="418"/>
      <c r="AO1443" s="418"/>
      <c r="AP1443" s="418"/>
      <c r="AQ1443" s="418"/>
      <c r="AR1443" s="418"/>
      <c r="AS1443" s="418"/>
      <c r="AT1443" s="418"/>
      <c r="AU1443" s="418"/>
      <c r="AV1443" s="418"/>
      <c r="AW1443" s="418"/>
      <c r="AX1443" s="418"/>
      <c r="AY1443" s="418"/>
      <c r="BF1443" s="1119"/>
      <c r="BG1443" s="1119"/>
      <c r="BH1443" s="1119"/>
    </row>
    <row r="1444" spans="1:60" ht="15.75" customHeight="1">
      <c r="A1444" s="415"/>
      <c r="B1444" s="417"/>
      <c r="C1444" s="424"/>
      <c r="E1444" s="418"/>
      <c r="F1444" s="419"/>
      <c r="G1444" s="420"/>
      <c r="H1444" s="421"/>
      <c r="I1444" s="421"/>
      <c r="J1444" s="492"/>
      <c r="K1444" s="418"/>
      <c r="L1444" s="418"/>
      <c r="M1444" s="418"/>
      <c r="N1444" s="421"/>
      <c r="O1444" s="421"/>
      <c r="P1444" s="421"/>
      <c r="Q1444" s="418"/>
      <c r="R1444" s="418"/>
      <c r="S1444" s="418"/>
      <c r="T1444" s="418"/>
      <c r="U1444" s="418"/>
      <c r="V1444" s="418"/>
      <c r="W1444" s="418"/>
      <c r="X1444" s="418"/>
      <c r="Y1444" s="418"/>
      <c r="Z1444" s="418"/>
      <c r="AA1444" s="418"/>
      <c r="AB1444" s="418"/>
      <c r="AC1444" s="418"/>
      <c r="AD1444" s="418"/>
      <c r="AE1444" s="418"/>
      <c r="AF1444" s="418"/>
      <c r="AG1444" s="418"/>
      <c r="AH1444" s="418"/>
      <c r="AI1444" s="418"/>
      <c r="AJ1444" s="418"/>
      <c r="AK1444" s="418"/>
      <c r="AL1444" s="418"/>
      <c r="AM1444" s="418"/>
      <c r="AN1444" s="418"/>
      <c r="AO1444" s="418"/>
      <c r="AP1444" s="418"/>
      <c r="AQ1444" s="418"/>
      <c r="AR1444" s="418"/>
      <c r="AS1444" s="418"/>
      <c r="AT1444" s="418"/>
      <c r="AU1444" s="418"/>
      <c r="AV1444" s="418"/>
      <c r="AW1444" s="418"/>
      <c r="AX1444" s="418"/>
      <c r="AY1444" s="418"/>
      <c r="BF1444" s="1119"/>
      <c r="BG1444" s="1119"/>
      <c r="BH1444" s="1119"/>
    </row>
    <row r="1445" spans="1:60" ht="15.75" customHeight="1">
      <c r="A1445" s="415"/>
      <c r="B1445" s="417"/>
      <c r="C1445" s="424"/>
      <c r="E1445" s="418"/>
      <c r="F1445" s="419"/>
      <c r="G1445" s="420"/>
      <c r="H1445" s="421"/>
      <c r="I1445" s="425"/>
      <c r="J1445" s="492"/>
      <c r="K1445" s="418"/>
      <c r="L1445" s="418"/>
      <c r="M1445" s="418"/>
      <c r="N1445" s="421"/>
      <c r="O1445" s="421"/>
      <c r="P1445" s="421"/>
      <c r="Q1445" s="418"/>
      <c r="R1445" s="418"/>
      <c r="S1445" s="418"/>
      <c r="T1445" s="418"/>
      <c r="U1445" s="418"/>
      <c r="V1445" s="418"/>
      <c r="W1445" s="418"/>
      <c r="X1445" s="418"/>
      <c r="Y1445" s="418"/>
      <c r="Z1445" s="418"/>
      <c r="AA1445" s="418"/>
      <c r="AB1445" s="418"/>
      <c r="AC1445" s="418"/>
      <c r="AD1445" s="418"/>
      <c r="AE1445" s="418"/>
      <c r="AF1445" s="418"/>
      <c r="AG1445" s="418"/>
      <c r="AH1445" s="418"/>
      <c r="AI1445" s="418"/>
      <c r="AJ1445" s="418"/>
      <c r="AK1445" s="418"/>
      <c r="AL1445" s="418"/>
      <c r="AM1445" s="418"/>
      <c r="AN1445" s="418"/>
      <c r="AO1445" s="418"/>
      <c r="AP1445" s="418"/>
      <c r="AQ1445" s="418"/>
      <c r="AR1445" s="418"/>
      <c r="AS1445" s="418"/>
      <c r="AT1445" s="418"/>
      <c r="AU1445" s="418"/>
      <c r="AV1445" s="418"/>
      <c r="AW1445" s="418"/>
      <c r="AX1445" s="418"/>
      <c r="AY1445" s="418"/>
      <c r="BF1445" s="1119"/>
      <c r="BG1445" s="1119"/>
      <c r="BH1445" s="1119"/>
    </row>
    <row r="1446" spans="1:60" ht="15.75" customHeight="1">
      <c r="A1446" s="415"/>
      <c r="B1446" s="417"/>
      <c r="C1446" s="424"/>
      <c r="E1446" s="418"/>
      <c r="F1446" s="419"/>
      <c r="G1446" s="420"/>
      <c r="H1446" s="421"/>
      <c r="I1446" s="421"/>
      <c r="J1446" s="492"/>
      <c r="K1446" s="418"/>
      <c r="L1446" s="418"/>
      <c r="M1446" s="418"/>
      <c r="N1446" s="421"/>
      <c r="O1446" s="421"/>
      <c r="P1446" s="421"/>
      <c r="Q1446" s="418"/>
      <c r="R1446" s="418"/>
      <c r="S1446" s="418"/>
      <c r="T1446" s="418"/>
      <c r="U1446" s="418"/>
      <c r="V1446" s="418"/>
      <c r="W1446" s="418"/>
      <c r="X1446" s="418"/>
      <c r="Y1446" s="418"/>
      <c r="Z1446" s="418"/>
      <c r="AA1446" s="418"/>
      <c r="AB1446" s="418"/>
      <c r="AC1446" s="418"/>
      <c r="AD1446" s="418"/>
      <c r="AE1446" s="418"/>
      <c r="AF1446" s="418"/>
      <c r="AG1446" s="418"/>
      <c r="AH1446" s="418"/>
      <c r="AI1446" s="418"/>
      <c r="AJ1446" s="418"/>
      <c r="AK1446" s="418"/>
      <c r="AL1446" s="418"/>
      <c r="AM1446" s="418"/>
      <c r="AN1446" s="418"/>
      <c r="AO1446" s="418"/>
      <c r="AP1446" s="418"/>
      <c r="AQ1446" s="418"/>
      <c r="AR1446" s="418"/>
      <c r="AS1446" s="418"/>
      <c r="AT1446" s="418"/>
      <c r="AU1446" s="418"/>
      <c r="AV1446" s="418"/>
      <c r="AW1446" s="418"/>
      <c r="AX1446" s="418"/>
      <c r="AY1446" s="418"/>
      <c r="BF1446" s="1119"/>
      <c r="BG1446" s="1119"/>
      <c r="BH1446" s="1119"/>
    </row>
    <row r="1447" spans="1:60" ht="15.75" customHeight="1">
      <c r="A1447" s="415"/>
      <c r="B1447" s="417"/>
      <c r="C1447" s="424"/>
      <c r="E1447" s="418"/>
      <c r="F1447" s="419"/>
      <c r="G1447" s="420"/>
      <c r="H1447" s="421"/>
      <c r="I1447" s="425"/>
      <c r="J1447" s="424"/>
      <c r="K1447" s="418"/>
      <c r="L1447" s="418"/>
      <c r="M1447" s="418"/>
      <c r="N1447" s="421"/>
      <c r="O1447" s="418"/>
      <c r="P1447" s="421"/>
      <c r="Q1447" s="418"/>
      <c r="R1447" s="418"/>
      <c r="S1447" s="418"/>
      <c r="T1447" s="418"/>
      <c r="U1447" s="418"/>
      <c r="V1447" s="418"/>
      <c r="W1447" s="418"/>
      <c r="X1447" s="418"/>
      <c r="Y1447" s="418"/>
      <c r="Z1447" s="418"/>
      <c r="AA1447" s="418"/>
      <c r="AB1447" s="418"/>
      <c r="AC1447" s="418"/>
      <c r="AD1447" s="418"/>
      <c r="AE1447" s="418"/>
      <c r="AF1447" s="418"/>
      <c r="AG1447" s="418"/>
      <c r="AH1447" s="418"/>
      <c r="AI1447" s="418"/>
      <c r="AJ1447" s="418"/>
      <c r="AK1447" s="418"/>
      <c r="AL1447" s="418"/>
      <c r="AM1447" s="418"/>
      <c r="AN1447" s="418"/>
      <c r="AO1447" s="418"/>
      <c r="AP1447" s="418"/>
      <c r="AQ1447" s="418"/>
      <c r="AR1447" s="418"/>
      <c r="AS1447" s="418"/>
      <c r="AT1447" s="418"/>
      <c r="AU1447" s="418"/>
      <c r="AV1447" s="418"/>
      <c r="AW1447" s="418"/>
      <c r="AX1447" s="418"/>
      <c r="AY1447" s="418"/>
      <c r="BF1447" s="1119"/>
      <c r="BG1447" s="1119"/>
      <c r="BH1447" s="1119"/>
    </row>
    <row r="1448" spans="1:60" ht="15.75" customHeight="1">
      <c r="A1448" s="415"/>
      <c r="B1448" s="417"/>
      <c r="C1448" s="424"/>
      <c r="E1448" s="418"/>
      <c r="F1448" s="419"/>
      <c r="G1448" s="420"/>
      <c r="H1448" s="421"/>
      <c r="I1448" s="421"/>
      <c r="J1448" s="424"/>
      <c r="K1448" s="418"/>
      <c r="L1448" s="418"/>
      <c r="M1448" s="418"/>
      <c r="N1448" s="421"/>
      <c r="O1448" s="418"/>
      <c r="P1448" s="421"/>
      <c r="Q1448" s="418"/>
      <c r="R1448" s="418"/>
      <c r="S1448" s="418"/>
      <c r="T1448" s="418"/>
      <c r="U1448" s="418"/>
      <c r="V1448" s="418"/>
      <c r="W1448" s="418"/>
      <c r="X1448" s="418"/>
      <c r="Y1448" s="418"/>
      <c r="Z1448" s="418"/>
      <c r="AA1448" s="418"/>
      <c r="AB1448" s="418"/>
      <c r="AC1448" s="418"/>
      <c r="AD1448" s="418"/>
      <c r="AE1448" s="418"/>
      <c r="AF1448" s="418"/>
      <c r="AG1448" s="418"/>
      <c r="AH1448" s="418"/>
      <c r="AI1448" s="418"/>
      <c r="AJ1448" s="418"/>
      <c r="AK1448" s="418"/>
      <c r="AL1448" s="418"/>
      <c r="AM1448" s="418"/>
      <c r="AN1448" s="418"/>
      <c r="AO1448" s="418"/>
      <c r="AP1448" s="418"/>
      <c r="AQ1448" s="418"/>
      <c r="AR1448" s="418"/>
      <c r="AS1448" s="418"/>
      <c r="AT1448" s="418"/>
      <c r="AU1448" s="418"/>
      <c r="AV1448" s="418"/>
      <c r="AW1448" s="418"/>
      <c r="AX1448" s="418"/>
      <c r="AY1448" s="418"/>
      <c r="BF1448" s="1119"/>
      <c r="BG1448" s="1119"/>
      <c r="BH1448" s="1119"/>
    </row>
    <row r="1449" spans="1:60" ht="15.75" customHeight="1">
      <c r="A1449" s="415"/>
      <c r="B1449" s="417"/>
      <c r="C1449" s="424"/>
      <c r="E1449" s="418"/>
      <c r="F1449" s="419"/>
      <c r="G1449" s="420"/>
      <c r="H1449" s="421"/>
      <c r="I1449" s="425"/>
      <c r="J1449" s="424"/>
      <c r="K1449" s="418"/>
      <c r="L1449" s="418"/>
      <c r="M1449" s="418"/>
      <c r="N1449" s="421"/>
      <c r="O1449" s="418"/>
      <c r="P1449" s="421"/>
      <c r="Q1449" s="418"/>
      <c r="R1449" s="418"/>
      <c r="S1449" s="418"/>
      <c r="T1449" s="418"/>
      <c r="U1449" s="418"/>
      <c r="V1449" s="418"/>
      <c r="W1449" s="418"/>
      <c r="X1449" s="418"/>
      <c r="Y1449" s="418"/>
      <c r="Z1449" s="418"/>
      <c r="AA1449" s="418"/>
      <c r="AB1449" s="418"/>
      <c r="AC1449" s="418"/>
      <c r="AD1449" s="418"/>
      <c r="AE1449" s="418"/>
      <c r="AF1449" s="418"/>
      <c r="AG1449" s="418"/>
      <c r="AH1449" s="418"/>
      <c r="AI1449" s="418"/>
      <c r="AJ1449" s="418"/>
      <c r="AK1449" s="418"/>
      <c r="AL1449" s="418"/>
      <c r="AM1449" s="418"/>
      <c r="AN1449" s="418"/>
      <c r="AO1449" s="418"/>
      <c r="AP1449" s="418"/>
      <c r="AQ1449" s="418"/>
      <c r="AR1449" s="418"/>
      <c r="AS1449" s="418"/>
      <c r="AT1449" s="418"/>
      <c r="AU1449" s="418"/>
      <c r="AV1449" s="418"/>
      <c r="AW1449" s="418"/>
      <c r="AX1449" s="418"/>
      <c r="AY1449" s="418"/>
      <c r="BF1449" s="1119"/>
      <c r="BG1449" s="1119"/>
      <c r="BH1449" s="1119"/>
    </row>
    <row r="1450" spans="1:60" ht="15.75" customHeight="1">
      <c r="A1450" s="415"/>
      <c r="B1450" s="417"/>
      <c r="C1450" s="424"/>
      <c r="E1450" s="418"/>
      <c r="F1450" s="419"/>
      <c r="G1450" s="420"/>
      <c r="H1450" s="421"/>
      <c r="I1450" s="421"/>
      <c r="J1450" s="424"/>
      <c r="K1450" s="418"/>
      <c r="L1450" s="418"/>
      <c r="M1450" s="418"/>
      <c r="N1450" s="421"/>
      <c r="O1450" s="418"/>
      <c r="P1450" s="421"/>
      <c r="Q1450" s="418"/>
      <c r="R1450" s="418"/>
      <c r="S1450" s="418"/>
      <c r="T1450" s="418"/>
      <c r="U1450" s="418"/>
      <c r="V1450" s="418"/>
      <c r="W1450" s="418"/>
      <c r="X1450" s="418"/>
      <c r="Y1450" s="418"/>
      <c r="Z1450" s="418"/>
      <c r="AA1450" s="418"/>
      <c r="AB1450" s="418"/>
      <c r="AC1450" s="418"/>
      <c r="AD1450" s="418"/>
      <c r="AE1450" s="418"/>
      <c r="AF1450" s="418"/>
      <c r="AG1450" s="418"/>
      <c r="AH1450" s="418"/>
      <c r="AI1450" s="418"/>
      <c r="AJ1450" s="418"/>
      <c r="AK1450" s="418"/>
      <c r="AL1450" s="418"/>
      <c r="AM1450" s="418"/>
      <c r="AN1450" s="418"/>
      <c r="AO1450" s="418"/>
      <c r="AP1450" s="418"/>
      <c r="AQ1450" s="418"/>
      <c r="AR1450" s="418"/>
      <c r="AS1450" s="418"/>
      <c r="AT1450" s="418"/>
      <c r="AU1450" s="418"/>
      <c r="AV1450" s="418"/>
      <c r="AW1450" s="418"/>
      <c r="AX1450" s="418"/>
      <c r="AY1450" s="418"/>
      <c r="BF1450" s="1119"/>
      <c r="BG1450" s="1119"/>
      <c r="BH1450" s="1119"/>
    </row>
    <row r="1451" spans="1:60" ht="15.75" customHeight="1">
      <c r="A1451" s="415"/>
      <c r="B1451" s="417"/>
      <c r="C1451" s="424"/>
      <c r="E1451" s="418"/>
      <c r="F1451" s="419"/>
      <c r="G1451" s="420"/>
      <c r="H1451" s="421"/>
      <c r="I1451" s="425"/>
      <c r="J1451" s="424"/>
      <c r="K1451" s="418"/>
      <c r="L1451" s="418"/>
      <c r="M1451" s="418"/>
      <c r="N1451" s="421"/>
      <c r="O1451" s="418"/>
      <c r="P1451" s="421"/>
      <c r="Q1451" s="418"/>
      <c r="R1451" s="418"/>
      <c r="S1451" s="418"/>
      <c r="T1451" s="418"/>
      <c r="U1451" s="418"/>
      <c r="V1451" s="418"/>
      <c r="W1451" s="418"/>
      <c r="X1451" s="418"/>
      <c r="Y1451" s="418"/>
      <c r="Z1451" s="418"/>
      <c r="AA1451" s="418"/>
      <c r="AB1451" s="418"/>
      <c r="AC1451" s="418"/>
      <c r="AD1451" s="418"/>
      <c r="AE1451" s="418"/>
      <c r="AF1451" s="418"/>
      <c r="AG1451" s="418"/>
      <c r="AH1451" s="418"/>
      <c r="AI1451" s="418"/>
      <c r="AJ1451" s="418"/>
      <c r="AK1451" s="418"/>
      <c r="AL1451" s="418"/>
      <c r="AM1451" s="418"/>
      <c r="AN1451" s="418"/>
      <c r="AO1451" s="418"/>
      <c r="AP1451" s="418"/>
      <c r="AQ1451" s="418"/>
      <c r="AR1451" s="418"/>
      <c r="AS1451" s="418"/>
      <c r="AT1451" s="418"/>
      <c r="AU1451" s="418"/>
      <c r="AV1451" s="418"/>
      <c r="AW1451" s="418"/>
      <c r="AX1451" s="418"/>
      <c r="AY1451" s="418"/>
      <c r="BF1451" s="1119"/>
      <c r="BG1451" s="1119"/>
      <c r="BH1451" s="1119"/>
    </row>
    <row r="1452" spans="1:60" ht="15.75" customHeight="1">
      <c r="A1452" s="415"/>
      <c r="B1452" s="417"/>
      <c r="C1452" s="424"/>
      <c r="E1452" s="418"/>
      <c r="F1452" s="419"/>
      <c r="G1452" s="420"/>
      <c r="H1452" s="421"/>
      <c r="I1452" s="421"/>
      <c r="J1452" s="424"/>
      <c r="K1452" s="418"/>
      <c r="L1452" s="418"/>
      <c r="M1452" s="418"/>
      <c r="N1452" s="421"/>
      <c r="O1452" s="418"/>
      <c r="P1452" s="421"/>
      <c r="Q1452" s="418"/>
      <c r="R1452" s="418"/>
      <c r="S1452" s="418"/>
      <c r="T1452" s="418"/>
      <c r="U1452" s="418"/>
      <c r="V1452" s="418"/>
      <c r="W1452" s="418"/>
      <c r="X1452" s="418"/>
      <c r="Y1452" s="418"/>
      <c r="Z1452" s="418"/>
      <c r="AA1452" s="418"/>
      <c r="AB1452" s="418"/>
      <c r="AC1452" s="418"/>
      <c r="AD1452" s="418"/>
      <c r="AE1452" s="418"/>
      <c r="AF1452" s="418"/>
      <c r="AG1452" s="418"/>
      <c r="AH1452" s="418"/>
      <c r="AI1452" s="418"/>
      <c r="AJ1452" s="418"/>
      <c r="AK1452" s="418"/>
      <c r="AL1452" s="418"/>
      <c r="AM1452" s="418"/>
      <c r="AN1452" s="418"/>
      <c r="AO1452" s="418"/>
      <c r="AP1452" s="418"/>
      <c r="AQ1452" s="418"/>
      <c r="AR1452" s="418"/>
      <c r="AS1452" s="418"/>
      <c r="AT1452" s="418"/>
      <c r="AU1452" s="418"/>
      <c r="AV1452" s="418"/>
      <c r="AW1452" s="418"/>
      <c r="AX1452" s="418"/>
      <c r="AY1452" s="418"/>
      <c r="BF1452" s="1119"/>
      <c r="BG1452" s="1119"/>
      <c r="BH1452" s="1119"/>
    </row>
    <row r="1453" spans="1:60" ht="15.75" customHeight="1">
      <c r="A1453" s="415"/>
      <c r="B1453" s="417"/>
      <c r="C1453" s="424"/>
      <c r="E1453" s="418"/>
      <c r="F1453" s="419"/>
      <c r="G1453" s="420"/>
      <c r="H1453" s="421"/>
      <c r="I1453" s="425"/>
      <c r="J1453" s="424"/>
      <c r="K1453" s="418"/>
      <c r="L1453" s="418"/>
      <c r="M1453" s="418"/>
      <c r="N1453" s="421"/>
      <c r="O1453" s="418"/>
      <c r="P1453" s="421"/>
      <c r="Q1453" s="418"/>
      <c r="R1453" s="418"/>
      <c r="S1453" s="418"/>
      <c r="T1453" s="418"/>
      <c r="U1453" s="418"/>
      <c r="V1453" s="418"/>
      <c r="W1453" s="418"/>
      <c r="X1453" s="418"/>
      <c r="Y1453" s="418"/>
      <c r="Z1453" s="418"/>
      <c r="AA1453" s="418"/>
      <c r="AB1453" s="418"/>
      <c r="AC1453" s="418"/>
      <c r="AD1453" s="418"/>
      <c r="AE1453" s="418"/>
      <c r="AF1453" s="418"/>
      <c r="AG1453" s="418"/>
      <c r="AH1453" s="418"/>
      <c r="AI1453" s="418"/>
      <c r="AJ1453" s="418"/>
      <c r="AK1453" s="418"/>
      <c r="AL1453" s="418"/>
      <c r="AM1453" s="418"/>
      <c r="AN1453" s="418"/>
      <c r="AO1453" s="418"/>
      <c r="AP1453" s="418"/>
      <c r="AQ1453" s="418"/>
      <c r="AR1453" s="418"/>
      <c r="AS1453" s="418"/>
      <c r="AT1453" s="418"/>
      <c r="AU1453" s="418"/>
      <c r="AV1453" s="418"/>
      <c r="AW1453" s="418"/>
      <c r="AX1453" s="418"/>
      <c r="AY1453" s="418"/>
      <c r="BF1453" s="1119"/>
      <c r="BG1453" s="1119"/>
      <c r="BH1453" s="1119"/>
    </row>
    <row r="1454" spans="1:60" ht="15.75" customHeight="1">
      <c r="A1454" s="415"/>
      <c r="B1454" s="417"/>
      <c r="C1454" s="424"/>
      <c r="E1454" s="418"/>
      <c r="F1454" s="419"/>
      <c r="G1454" s="420"/>
      <c r="H1454" s="421"/>
      <c r="I1454" s="421"/>
      <c r="J1454" s="424"/>
      <c r="K1454" s="418"/>
      <c r="L1454" s="418"/>
      <c r="M1454" s="418"/>
      <c r="N1454" s="421"/>
      <c r="O1454" s="418"/>
      <c r="P1454" s="421"/>
      <c r="Q1454" s="418"/>
      <c r="R1454" s="418"/>
      <c r="S1454" s="418"/>
      <c r="T1454" s="418"/>
      <c r="U1454" s="418"/>
      <c r="V1454" s="418"/>
      <c r="W1454" s="418"/>
      <c r="X1454" s="418"/>
      <c r="Y1454" s="418"/>
      <c r="Z1454" s="418"/>
      <c r="AA1454" s="418"/>
      <c r="AB1454" s="418"/>
      <c r="AC1454" s="418"/>
      <c r="AD1454" s="418"/>
      <c r="AE1454" s="418"/>
      <c r="AF1454" s="418"/>
      <c r="AG1454" s="418"/>
      <c r="AH1454" s="418"/>
      <c r="AI1454" s="418"/>
      <c r="AJ1454" s="418"/>
      <c r="AK1454" s="418"/>
      <c r="AL1454" s="418"/>
      <c r="AM1454" s="418"/>
      <c r="AN1454" s="418"/>
      <c r="AO1454" s="418"/>
      <c r="AP1454" s="418"/>
      <c r="AQ1454" s="418"/>
      <c r="AR1454" s="418"/>
      <c r="AS1454" s="418"/>
      <c r="AT1454" s="418"/>
      <c r="AU1454" s="418"/>
      <c r="AV1454" s="418"/>
      <c r="AW1454" s="418"/>
      <c r="AX1454" s="418"/>
      <c r="AY1454" s="418"/>
      <c r="BF1454" s="1119"/>
      <c r="BG1454" s="1119"/>
      <c r="BH1454" s="1119"/>
    </row>
    <row r="1455" spans="1:60" ht="15.75" customHeight="1">
      <c r="A1455" s="415"/>
      <c r="B1455" s="417"/>
      <c r="C1455" s="424"/>
      <c r="E1455" s="418"/>
      <c r="F1455" s="419"/>
      <c r="G1455" s="420"/>
      <c r="H1455" s="421"/>
      <c r="I1455" s="421"/>
      <c r="J1455" s="424"/>
      <c r="K1455" s="418"/>
      <c r="L1455" s="418"/>
      <c r="M1455" s="418"/>
      <c r="N1455" s="421"/>
      <c r="O1455" s="418"/>
      <c r="P1455" s="421"/>
      <c r="Q1455" s="418"/>
      <c r="R1455" s="418"/>
      <c r="S1455" s="418"/>
      <c r="T1455" s="418"/>
      <c r="U1455" s="418"/>
      <c r="V1455" s="418"/>
      <c r="W1455" s="418"/>
      <c r="X1455" s="418"/>
      <c r="Y1455" s="418"/>
      <c r="Z1455" s="418"/>
      <c r="AA1455" s="418"/>
      <c r="AB1455" s="418"/>
      <c r="AC1455" s="418"/>
      <c r="AD1455" s="418"/>
      <c r="AE1455" s="418"/>
      <c r="AF1455" s="418"/>
      <c r="AG1455" s="418"/>
      <c r="AH1455" s="418"/>
      <c r="AI1455" s="418"/>
      <c r="AJ1455" s="418"/>
      <c r="AK1455" s="418"/>
      <c r="AL1455" s="418"/>
      <c r="AM1455" s="418"/>
      <c r="AN1455" s="418"/>
      <c r="AO1455" s="418"/>
      <c r="AP1455" s="418"/>
      <c r="AQ1455" s="418"/>
      <c r="AR1455" s="418"/>
      <c r="AS1455" s="418"/>
      <c r="AT1455" s="418"/>
      <c r="AU1455" s="418"/>
      <c r="AV1455" s="418"/>
      <c r="AW1455" s="418"/>
      <c r="AX1455" s="418"/>
      <c r="AY1455" s="418"/>
      <c r="BF1455" s="1119"/>
      <c r="BG1455" s="1119"/>
      <c r="BH1455" s="1119"/>
    </row>
    <row r="1456" spans="1:60" ht="15.75" customHeight="1">
      <c r="A1456" s="415"/>
      <c r="B1456" s="417"/>
      <c r="C1456" s="424"/>
      <c r="E1456" s="418"/>
      <c r="F1456" s="419"/>
      <c r="G1456" s="420"/>
      <c r="H1456" s="421"/>
      <c r="I1456" s="421"/>
      <c r="J1456" s="492"/>
      <c r="K1456" s="418"/>
      <c r="L1456" s="418"/>
      <c r="M1456" s="418"/>
      <c r="N1456" s="421"/>
      <c r="O1456" s="418"/>
      <c r="P1456" s="421"/>
      <c r="Q1456" s="418"/>
      <c r="R1456" s="418"/>
      <c r="S1456" s="418"/>
      <c r="T1456" s="418"/>
      <c r="U1456" s="418"/>
      <c r="V1456" s="418"/>
      <c r="W1456" s="418"/>
      <c r="X1456" s="418"/>
      <c r="Y1456" s="418"/>
      <c r="Z1456" s="418"/>
      <c r="AA1456" s="418"/>
      <c r="AB1456" s="418"/>
      <c r="AC1456" s="418"/>
      <c r="AD1456" s="418"/>
      <c r="AE1456" s="418"/>
      <c r="AF1456" s="418"/>
      <c r="AG1456" s="418"/>
      <c r="AH1456" s="418"/>
      <c r="AI1456" s="418"/>
      <c r="AJ1456" s="418"/>
      <c r="AK1456" s="418"/>
      <c r="AL1456" s="418"/>
      <c r="AM1456" s="418"/>
      <c r="AN1456" s="418"/>
      <c r="AO1456" s="418"/>
      <c r="AP1456" s="418"/>
      <c r="AQ1456" s="418"/>
      <c r="AR1456" s="418"/>
      <c r="AS1456" s="418"/>
      <c r="AT1456" s="418"/>
      <c r="AU1456" s="418"/>
      <c r="AV1456" s="418"/>
      <c r="AW1456" s="418"/>
      <c r="AX1456" s="418"/>
      <c r="AY1456" s="418"/>
      <c r="BF1456" s="1119"/>
      <c r="BG1456" s="1119"/>
      <c r="BH1456" s="1119"/>
    </row>
    <row r="1457" spans="1:60" ht="15.75" customHeight="1">
      <c r="A1457" s="415"/>
      <c r="B1457" s="416"/>
      <c r="C1457" s="424"/>
      <c r="E1457" s="418"/>
      <c r="F1457" s="419"/>
      <c r="G1457" s="420"/>
      <c r="H1457" s="421"/>
      <c r="I1457" s="421"/>
      <c r="J1457" s="492"/>
      <c r="K1457" s="418"/>
      <c r="L1457" s="418"/>
      <c r="M1457" s="418"/>
      <c r="N1457" s="421"/>
      <c r="O1457" s="421"/>
      <c r="P1457" s="421"/>
      <c r="Q1457" s="418"/>
      <c r="R1457" s="418"/>
      <c r="S1457" s="418"/>
      <c r="T1457" s="418"/>
      <c r="U1457" s="418"/>
      <c r="V1457" s="418"/>
      <c r="W1457" s="418"/>
      <c r="X1457" s="418"/>
      <c r="Y1457" s="418"/>
      <c r="Z1457" s="418"/>
      <c r="AA1457" s="418"/>
      <c r="AB1457" s="418"/>
      <c r="AC1457" s="418"/>
      <c r="AD1457" s="418"/>
      <c r="AE1457" s="418"/>
      <c r="AF1457" s="418"/>
      <c r="AG1457" s="418"/>
      <c r="AH1457" s="418"/>
      <c r="AI1457" s="418"/>
      <c r="AJ1457" s="418"/>
      <c r="AK1457" s="418"/>
      <c r="AL1457" s="418"/>
      <c r="AM1457" s="418"/>
      <c r="AN1457" s="418"/>
      <c r="AO1457" s="418"/>
      <c r="AP1457" s="418"/>
      <c r="AQ1457" s="418"/>
      <c r="AR1457" s="418"/>
      <c r="AS1457" s="418"/>
      <c r="AT1457" s="418"/>
      <c r="AU1457" s="418"/>
      <c r="AV1457" s="418"/>
      <c r="AW1457" s="418"/>
      <c r="AX1457" s="418"/>
      <c r="AY1457" s="418"/>
      <c r="BF1457" s="1119"/>
      <c r="BG1457" s="1119"/>
      <c r="BH1457" s="1119"/>
    </row>
    <row r="1458" spans="1:60" ht="15.75" customHeight="1">
      <c r="A1458" s="415"/>
      <c r="B1458" s="417"/>
      <c r="C1458" s="424"/>
      <c r="E1458" s="418"/>
      <c r="F1458" s="419"/>
      <c r="G1458" s="420"/>
      <c r="H1458" s="421"/>
      <c r="I1458" s="421"/>
      <c r="J1458" s="492"/>
      <c r="K1458" s="418"/>
      <c r="L1458" s="418"/>
      <c r="M1458" s="418"/>
      <c r="N1458" s="421"/>
      <c r="O1458" s="421"/>
      <c r="P1458" s="421"/>
      <c r="Q1458" s="418"/>
      <c r="R1458" s="418"/>
      <c r="S1458" s="418"/>
      <c r="T1458" s="418"/>
      <c r="U1458" s="418"/>
      <c r="V1458" s="418"/>
      <c r="W1458" s="418"/>
      <c r="X1458" s="418"/>
      <c r="Y1458" s="418"/>
      <c r="Z1458" s="418"/>
      <c r="AA1458" s="418"/>
      <c r="AB1458" s="418"/>
      <c r="AC1458" s="418"/>
      <c r="AD1458" s="418"/>
      <c r="AE1458" s="418"/>
      <c r="AF1458" s="418"/>
      <c r="AG1458" s="418"/>
      <c r="AH1458" s="418"/>
      <c r="AI1458" s="418"/>
      <c r="AJ1458" s="418"/>
      <c r="AK1458" s="418"/>
      <c r="AL1458" s="418"/>
      <c r="AM1458" s="418"/>
      <c r="AN1458" s="418"/>
      <c r="AO1458" s="418"/>
      <c r="AP1458" s="418"/>
      <c r="AQ1458" s="418"/>
      <c r="AR1458" s="418"/>
      <c r="AS1458" s="418"/>
      <c r="AT1458" s="418"/>
      <c r="AU1458" s="418"/>
      <c r="AV1458" s="418"/>
      <c r="AW1458" s="418"/>
      <c r="AX1458" s="418"/>
      <c r="AY1458" s="418"/>
      <c r="BF1458" s="1119"/>
      <c r="BG1458" s="1119"/>
      <c r="BH1458" s="1119"/>
    </row>
    <row r="1459" spans="1:60" ht="15.75" customHeight="1">
      <c r="A1459" s="415"/>
      <c r="B1459" s="416"/>
      <c r="C1459" s="424"/>
      <c r="E1459" s="418"/>
      <c r="F1459" s="419"/>
      <c r="G1459" s="420"/>
      <c r="H1459" s="421"/>
      <c r="I1459" s="421"/>
      <c r="J1459" s="492"/>
      <c r="K1459" s="418"/>
      <c r="L1459" s="418"/>
      <c r="M1459" s="418"/>
      <c r="N1459" s="421"/>
      <c r="O1459" s="421"/>
      <c r="P1459" s="421"/>
      <c r="Q1459" s="418"/>
      <c r="R1459" s="418"/>
      <c r="S1459" s="418"/>
      <c r="T1459" s="418"/>
      <c r="U1459" s="418"/>
      <c r="V1459" s="418"/>
      <c r="W1459" s="418"/>
      <c r="X1459" s="418"/>
      <c r="Y1459" s="418"/>
      <c r="Z1459" s="418"/>
      <c r="AA1459" s="418"/>
      <c r="AB1459" s="418"/>
      <c r="AC1459" s="418"/>
      <c r="AD1459" s="418"/>
      <c r="AE1459" s="418"/>
      <c r="AF1459" s="418"/>
      <c r="AG1459" s="418"/>
      <c r="AH1459" s="418"/>
      <c r="AI1459" s="418"/>
      <c r="AJ1459" s="418"/>
      <c r="AK1459" s="418"/>
      <c r="AL1459" s="418"/>
      <c r="AM1459" s="418"/>
      <c r="AN1459" s="418"/>
      <c r="AO1459" s="418"/>
      <c r="AP1459" s="418"/>
      <c r="AQ1459" s="418"/>
      <c r="AR1459" s="418"/>
      <c r="AS1459" s="418"/>
      <c r="AT1459" s="418"/>
      <c r="AU1459" s="418"/>
      <c r="AV1459" s="418"/>
      <c r="AW1459" s="418"/>
      <c r="AX1459" s="418"/>
      <c r="AY1459" s="418"/>
      <c r="BF1459" s="1119"/>
      <c r="BG1459" s="1119"/>
      <c r="BH1459" s="1119"/>
    </row>
    <row r="1460" spans="1:60" ht="15.75" customHeight="1">
      <c r="A1460" s="415"/>
      <c r="B1460" s="416"/>
      <c r="C1460" s="424"/>
      <c r="E1460" s="418"/>
      <c r="F1460" s="419"/>
      <c r="G1460" s="420"/>
      <c r="H1460" s="421"/>
      <c r="I1460" s="421"/>
      <c r="J1460" s="492"/>
      <c r="K1460" s="418"/>
      <c r="L1460" s="418"/>
      <c r="M1460" s="418"/>
      <c r="N1460" s="421"/>
      <c r="O1460" s="421"/>
      <c r="P1460" s="421"/>
      <c r="Q1460" s="418"/>
      <c r="R1460" s="418"/>
      <c r="S1460" s="418"/>
      <c r="T1460" s="418"/>
      <c r="U1460" s="418"/>
      <c r="V1460" s="418"/>
      <c r="W1460" s="418"/>
      <c r="X1460" s="418"/>
      <c r="Y1460" s="418"/>
      <c r="Z1460" s="418"/>
      <c r="AA1460" s="418"/>
      <c r="AB1460" s="418"/>
      <c r="AC1460" s="418"/>
      <c r="AD1460" s="418"/>
      <c r="AE1460" s="418"/>
      <c r="AF1460" s="418"/>
      <c r="AG1460" s="418"/>
      <c r="AH1460" s="418"/>
      <c r="AI1460" s="418"/>
      <c r="AJ1460" s="418"/>
      <c r="AK1460" s="418"/>
      <c r="AL1460" s="418"/>
      <c r="AM1460" s="418"/>
      <c r="AN1460" s="418"/>
      <c r="AO1460" s="418"/>
      <c r="AP1460" s="418"/>
      <c r="AQ1460" s="418"/>
      <c r="AR1460" s="418"/>
      <c r="AS1460" s="418"/>
      <c r="AT1460" s="418"/>
      <c r="AU1460" s="418"/>
      <c r="AV1460" s="418"/>
      <c r="AW1460" s="418"/>
      <c r="AX1460" s="418"/>
      <c r="AY1460" s="418"/>
      <c r="BF1460" s="1119"/>
      <c r="BG1460" s="1119"/>
      <c r="BH1460" s="1119"/>
    </row>
    <row r="1461" spans="1:60" ht="15.75" customHeight="1">
      <c r="A1461" s="415"/>
      <c r="B1461" s="416"/>
      <c r="C1461" s="424"/>
      <c r="E1461" s="418"/>
      <c r="F1461" s="419"/>
      <c r="G1461" s="420"/>
      <c r="H1461" s="421"/>
      <c r="I1461" s="421"/>
      <c r="J1461" s="492"/>
      <c r="K1461" s="418"/>
      <c r="L1461" s="418"/>
      <c r="M1461" s="418"/>
      <c r="N1461" s="421"/>
      <c r="O1461" s="421"/>
      <c r="P1461" s="421"/>
      <c r="Q1461" s="418"/>
      <c r="R1461" s="418"/>
      <c r="S1461" s="418"/>
      <c r="T1461" s="418"/>
      <c r="U1461" s="418"/>
      <c r="V1461" s="418"/>
      <c r="W1461" s="418"/>
      <c r="X1461" s="418"/>
      <c r="Y1461" s="418"/>
      <c r="Z1461" s="418"/>
      <c r="AA1461" s="418"/>
      <c r="AB1461" s="418"/>
      <c r="AC1461" s="418"/>
      <c r="AD1461" s="418"/>
      <c r="AE1461" s="418"/>
      <c r="AF1461" s="418"/>
      <c r="AG1461" s="418"/>
      <c r="AH1461" s="418"/>
      <c r="AI1461" s="418"/>
      <c r="AJ1461" s="418"/>
      <c r="AK1461" s="418"/>
      <c r="AL1461" s="418"/>
      <c r="AM1461" s="418"/>
      <c r="AN1461" s="418"/>
      <c r="AO1461" s="418"/>
      <c r="AP1461" s="418"/>
      <c r="AQ1461" s="418"/>
      <c r="AR1461" s="418"/>
      <c r="AS1461" s="418"/>
      <c r="AT1461" s="418"/>
      <c r="AU1461" s="418"/>
      <c r="AV1461" s="418"/>
      <c r="AW1461" s="418"/>
      <c r="AX1461" s="418"/>
      <c r="AY1461" s="418"/>
      <c r="BF1461" s="1119"/>
      <c r="BG1461" s="1119"/>
      <c r="BH1461" s="1119"/>
    </row>
    <row r="1462" spans="1:60" ht="15.75" customHeight="1">
      <c r="A1462" s="415"/>
      <c r="B1462" s="416"/>
      <c r="C1462" s="424"/>
      <c r="E1462" s="418"/>
      <c r="F1462" s="419"/>
      <c r="G1462" s="420"/>
      <c r="H1462" s="421"/>
      <c r="I1462" s="421"/>
      <c r="J1462" s="492"/>
      <c r="K1462" s="418"/>
      <c r="L1462" s="418"/>
      <c r="M1462" s="418"/>
      <c r="N1462" s="421"/>
      <c r="O1462" s="421"/>
      <c r="P1462" s="421"/>
      <c r="Q1462" s="418"/>
      <c r="R1462" s="418"/>
      <c r="S1462" s="418"/>
      <c r="T1462" s="418"/>
      <c r="U1462" s="418"/>
      <c r="V1462" s="418"/>
      <c r="W1462" s="418"/>
      <c r="X1462" s="418"/>
      <c r="Y1462" s="418"/>
      <c r="Z1462" s="418"/>
      <c r="AA1462" s="418"/>
      <c r="AB1462" s="418"/>
      <c r="AC1462" s="418"/>
      <c r="AD1462" s="418"/>
      <c r="AE1462" s="418"/>
      <c r="AF1462" s="418"/>
      <c r="AG1462" s="418"/>
      <c r="AH1462" s="418"/>
      <c r="AI1462" s="418"/>
      <c r="AJ1462" s="418"/>
      <c r="AK1462" s="418"/>
      <c r="AL1462" s="418"/>
      <c r="AM1462" s="418"/>
      <c r="AN1462" s="418"/>
      <c r="AO1462" s="418"/>
      <c r="AP1462" s="418"/>
      <c r="AQ1462" s="418"/>
      <c r="AR1462" s="418"/>
      <c r="AS1462" s="418"/>
      <c r="AT1462" s="418"/>
      <c r="AU1462" s="418"/>
      <c r="AV1462" s="418"/>
      <c r="AW1462" s="418"/>
      <c r="AX1462" s="418"/>
      <c r="AY1462" s="418"/>
      <c r="BF1462" s="1119"/>
      <c r="BG1462" s="1119"/>
      <c r="BH1462" s="1119"/>
    </row>
    <row r="1463" spans="1:60" ht="15.75" customHeight="1">
      <c r="A1463" s="415"/>
      <c r="B1463" s="416"/>
      <c r="C1463" s="424"/>
      <c r="E1463" s="418"/>
      <c r="F1463" s="419"/>
      <c r="G1463" s="420"/>
      <c r="H1463" s="421"/>
      <c r="I1463" s="421"/>
      <c r="J1463" s="492"/>
      <c r="K1463" s="418"/>
      <c r="L1463" s="418"/>
      <c r="M1463" s="418"/>
      <c r="N1463" s="421"/>
      <c r="O1463" s="421"/>
      <c r="P1463" s="421"/>
      <c r="Q1463" s="418"/>
      <c r="R1463" s="418"/>
      <c r="S1463" s="418"/>
      <c r="T1463" s="418"/>
      <c r="U1463" s="418"/>
      <c r="V1463" s="418"/>
      <c r="W1463" s="418"/>
      <c r="X1463" s="418"/>
      <c r="Y1463" s="418"/>
      <c r="Z1463" s="418"/>
      <c r="AA1463" s="418"/>
      <c r="AB1463" s="418"/>
      <c r="AC1463" s="418"/>
      <c r="AD1463" s="418"/>
      <c r="AE1463" s="418"/>
      <c r="AF1463" s="418"/>
      <c r="AG1463" s="418"/>
      <c r="AH1463" s="418"/>
      <c r="AI1463" s="418"/>
      <c r="AJ1463" s="418"/>
      <c r="AK1463" s="418"/>
      <c r="AL1463" s="418"/>
      <c r="AM1463" s="418"/>
      <c r="AN1463" s="418"/>
      <c r="AO1463" s="418"/>
      <c r="AP1463" s="418"/>
      <c r="AQ1463" s="418"/>
      <c r="AR1463" s="418"/>
      <c r="AS1463" s="418"/>
      <c r="AT1463" s="418"/>
      <c r="AU1463" s="418"/>
      <c r="AV1463" s="418"/>
      <c r="AW1463" s="418"/>
      <c r="AX1463" s="418"/>
      <c r="AY1463" s="418"/>
      <c r="BF1463" s="1119"/>
      <c r="BG1463" s="1119"/>
      <c r="BH1463" s="1119"/>
    </row>
    <row r="1464" spans="1:60" ht="15.75" customHeight="1">
      <c r="A1464" s="415"/>
      <c r="B1464" s="416"/>
      <c r="C1464" s="424"/>
      <c r="E1464" s="418"/>
      <c r="F1464" s="419"/>
      <c r="G1464" s="420"/>
      <c r="H1464" s="421"/>
      <c r="I1464" s="421"/>
      <c r="J1464" s="492"/>
      <c r="K1464" s="418"/>
      <c r="L1464" s="418"/>
      <c r="M1464" s="418"/>
      <c r="N1464" s="421"/>
      <c r="O1464" s="421"/>
      <c r="P1464" s="421"/>
      <c r="Q1464" s="418"/>
      <c r="R1464" s="418"/>
      <c r="S1464" s="418"/>
      <c r="T1464" s="418"/>
      <c r="U1464" s="418"/>
      <c r="V1464" s="418"/>
      <c r="W1464" s="418"/>
      <c r="X1464" s="418"/>
      <c r="Y1464" s="418"/>
      <c r="Z1464" s="418"/>
      <c r="AA1464" s="418"/>
      <c r="AB1464" s="418"/>
      <c r="AC1464" s="418"/>
      <c r="AD1464" s="418"/>
      <c r="AE1464" s="418"/>
      <c r="AF1464" s="418"/>
      <c r="AG1464" s="418"/>
      <c r="AH1464" s="418"/>
      <c r="AI1464" s="418"/>
      <c r="AJ1464" s="418"/>
      <c r="AK1464" s="418"/>
      <c r="AL1464" s="418"/>
      <c r="AM1464" s="418"/>
      <c r="AN1464" s="418"/>
      <c r="AO1464" s="418"/>
      <c r="AP1464" s="418"/>
      <c r="AQ1464" s="418"/>
      <c r="AR1464" s="418"/>
      <c r="AS1464" s="418"/>
      <c r="AT1464" s="418"/>
      <c r="AU1464" s="418"/>
      <c r="AV1464" s="418"/>
      <c r="AW1464" s="418"/>
      <c r="AX1464" s="418"/>
      <c r="AY1464" s="418"/>
      <c r="BF1464" s="1119"/>
      <c r="BG1464" s="1119"/>
      <c r="BH1464" s="1119"/>
    </row>
    <row r="1465" spans="1:60" ht="15.75" customHeight="1">
      <c r="A1465" s="415"/>
      <c r="B1465" s="416"/>
      <c r="C1465" s="424"/>
      <c r="E1465" s="418"/>
      <c r="F1465" s="419"/>
      <c r="G1465" s="420"/>
      <c r="H1465" s="421"/>
      <c r="I1465" s="421"/>
      <c r="J1465" s="492"/>
      <c r="K1465" s="418"/>
      <c r="L1465" s="418"/>
      <c r="M1465" s="418"/>
      <c r="N1465" s="421"/>
      <c r="O1465" s="421"/>
      <c r="P1465" s="421"/>
      <c r="Q1465" s="418"/>
      <c r="R1465" s="418"/>
      <c r="S1465" s="418"/>
      <c r="T1465" s="418"/>
      <c r="U1465" s="418"/>
      <c r="V1465" s="418"/>
      <c r="W1465" s="418"/>
      <c r="X1465" s="418"/>
      <c r="Y1465" s="418"/>
      <c r="Z1465" s="418"/>
      <c r="AA1465" s="418"/>
      <c r="AB1465" s="418"/>
      <c r="AC1465" s="418"/>
      <c r="AD1465" s="418"/>
      <c r="AE1465" s="418"/>
      <c r="AF1465" s="418"/>
      <c r="AG1465" s="418"/>
      <c r="AH1465" s="418"/>
      <c r="AI1465" s="418"/>
      <c r="AJ1465" s="418"/>
      <c r="AK1465" s="418"/>
      <c r="AL1465" s="418"/>
      <c r="AM1465" s="418"/>
      <c r="AN1465" s="418"/>
      <c r="AO1465" s="418"/>
      <c r="AP1465" s="418"/>
      <c r="AQ1465" s="418"/>
      <c r="AR1465" s="418"/>
      <c r="AS1465" s="418"/>
      <c r="AT1465" s="418"/>
      <c r="AU1465" s="418"/>
      <c r="AV1465" s="418"/>
      <c r="AW1465" s="418"/>
      <c r="AX1465" s="418"/>
      <c r="AY1465" s="418"/>
      <c r="BF1465" s="1119"/>
      <c r="BG1465" s="1119"/>
      <c r="BH1465" s="1119"/>
    </row>
    <row r="1466" spans="1:60" ht="15.75" customHeight="1">
      <c r="A1466" s="415"/>
      <c r="B1466" s="416"/>
      <c r="C1466" s="424"/>
      <c r="E1466" s="418"/>
      <c r="F1466" s="419"/>
      <c r="G1466" s="420"/>
      <c r="H1466" s="421"/>
      <c r="I1466" s="421"/>
      <c r="J1466" s="492"/>
      <c r="K1466" s="418"/>
      <c r="L1466" s="418"/>
      <c r="M1466" s="418"/>
      <c r="N1466" s="421"/>
      <c r="O1466" s="421"/>
      <c r="P1466" s="421"/>
      <c r="Q1466" s="418"/>
      <c r="R1466" s="418"/>
      <c r="S1466" s="418"/>
      <c r="T1466" s="418"/>
      <c r="U1466" s="418"/>
      <c r="V1466" s="418"/>
      <c r="W1466" s="418"/>
      <c r="X1466" s="418"/>
      <c r="Y1466" s="418"/>
      <c r="Z1466" s="418"/>
      <c r="AA1466" s="418"/>
      <c r="AB1466" s="418"/>
      <c r="AC1466" s="418"/>
      <c r="AD1466" s="418"/>
      <c r="AE1466" s="418"/>
      <c r="AF1466" s="418"/>
      <c r="AG1466" s="418"/>
      <c r="AH1466" s="418"/>
      <c r="AI1466" s="418"/>
      <c r="AJ1466" s="418"/>
      <c r="AK1466" s="418"/>
      <c r="AL1466" s="418"/>
      <c r="AM1466" s="418"/>
      <c r="AN1466" s="418"/>
      <c r="AO1466" s="418"/>
      <c r="AP1466" s="418"/>
      <c r="AQ1466" s="418"/>
      <c r="AR1466" s="418"/>
      <c r="AS1466" s="418"/>
      <c r="AT1466" s="418"/>
      <c r="AU1466" s="418"/>
      <c r="AV1466" s="418"/>
      <c r="AW1466" s="418"/>
      <c r="AX1466" s="418"/>
      <c r="AY1466" s="418"/>
      <c r="BF1466" s="1119"/>
      <c r="BG1466" s="1119"/>
      <c r="BH1466" s="1119"/>
    </row>
    <row r="1467" spans="1:60" ht="15.75" customHeight="1">
      <c r="A1467" s="415"/>
      <c r="B1467" s="416"/>
      <c r="C1467" s="424"/>
      <c r="E1467" s="418"/>
      <c r="F1467" s="419"/>
      <c r="G1467" s="420"/>
      <c r="H1467" s="421"/>
      <c r="I1467" s="425"/>
      <c r="J1467" s="492"/>
      <c r="K1467" s="418"/>
      <c r="L1467" s="418"/>
      <c r="M1467" s="418"/>
      <c r="N1467" s="421"/>
      <c r="O1467" s="421"/>
      <c r="P1467" s="421"/>
      <c r="Q1467" s="418"/>
      <c r="R1467" s="418"/>
      <c r="S1467" s="418"/>
      <c r="T1467" s="418"/>
      <c r="U1467" s="418"/>
      <c r="V1467" s="418"/>
      <c r="W1467" s="418"/>
      <c r="X1467" s="418"/>
      <c r="Y1467" s="418"/>
      <c r="Z1467" s="418"/>
      <c r="AA1467" s="418"/>
      <c r="AB1467" s="418"/>
      <c r="AC1467" s="418"/>
      <c r="AD1467" s="418"/>
      <c r="AE1467" s="418"/>
      <c r="AF1467" s="418"/>
      <c r="AG1467" s="418"/>
      <c r="AH1467" s="418"/>
      <c r="AI1467" s="418"/>
      <c r="AJ1467" s="418"/>
      <c r="AK1467" s="418"/>
      <c r="AL1467" s="418"/>
      <c r="AM1467" s="418"/>
      <c r="AN1467" s="418"/>
      <c r="AO1467" s="418"/>
      <c r="AP1467" s="418"/>
      <c r="AQ1467" s="418"/>
      <c r="AR1467" s="418"/>
      <c r="AS1467" s="418"/>
      <c r="AT1467" s="418"/>
      <c r="AU1467" s="418"/>
      <c r="AV1467" s="418"/>
      <c r="AW1467" s="418"/>
      <c r="AX1467" s="418"/>
      <c r="AY1467" s="418"/>
      <c r="BF1467" s="1119"/>
      <c r="BG1467" s="1119"/>
      <c r="BH1467" s="1119"/>
    </row>
    <row r="1468" spans="1:60" ht="15.75" customHeight="1">
      <c r="A1468" s="415"/>
      <c r="B1468" s="416"/>
      <c r="C1468" s="424"/>
      <c r="E1468" s="418"/>
      <c r="F1468" s="419"/>
      <c r="G1468" s="420"/>
      <c r="H1468" s="421"/>
      <c r="I1468" s="421"/>
      <c r="J1468" s="492"/>
      <c r="K1468" s="418"/>
      <c r="L1468" s="418"/>
      <c r="M1468" s="418"/>
      <c r="N1468" s="421"/>
      <c r="O1468" s="421"/>
      <c r="P1468" s="421"/>
      <c r="Q1468" s="418"/>
      <c r="R1468" s="418"/>
      <c r="S1468" s="418"/>
      <c r="T1468" s="418"/>
      <c r="U1468" s="418"/>
      <c r="V1468" s="418"/>
      <c r="W1468" s="418"/>
      <c r="X1468" s="418"/>
      <c r="Y1468" s="418"/>
      <c r="Z1468" s="418"/>
      <c r="AA1468" s="418"/>
      <c r="AB1468" s="418"/>
      <c r="AC1468" s="418"/>
      <c r="AD1468" s="418"/>
      <c r="AE1468" s="418"/>
      <c r="AF1468" s="418"/>
      <c r="AG1468" s="418"/>
      <c r="AH1468" s="418"/>
      <c r="AI1468" s="418"/>
      <c r="AJ1468" s="418"/>
      <c r="AK1468" s="418"/>
      <c r="AL1468" s="418"/>
      <c r="AM1468" s="418"/>
      <c r="AN1468" s="418"/>
      <c r="AO1468" s="418"/>
      <c r="AP1468" s="418"/>
      <c r="AQ1468" s="418"/>
      <c r="AR1468" s="418"/>
      <c r="AS1468" s="418"/>
      <c r="AT1468" s="418"/>
      <c r="AU1468" s="418"/>
      <c r="AV1468" s="418"/>
      <c r="AW1468" s="418"/>
      <c r="AX1468" s="418"/>
      <c r="AY1468" s="418"/>
      <c r="BF1468" s="1119"/>
      <c r="BG1468" s="1119"/>
      <c r="BH1468" s="1119"/>
    </row>
    <row r="1469" spans="1:60" ht="15.75" customHeight="1">
      <c r="A1469" s="415"/>
      <c r="B1469" s="416"/>
      <c r="C1469" s="424"/>
      <c r="E1469" s="418"/>
      <c r="F1469" s="419"/>
      <c r="G1469" s="420"/>
      <c r="H1469" s="421"/>
      <c r="I1469" s="425"/>
      <c r="J1469" s="492"/>
      <c r="K1469" s="418"/>
      <c r="L1469" s="418"/>
      <c r="M1469" s="418"/>
      <c r="N1469" s="421"/>
      <c r="O1469" s="421"/>
      <c r="P1469" s="421"/>
      <c r="Q1469" s="418"/>
      <c r="R1469" s="418"/>
      <c r="S1469" s="418"/>
      <c r="T1469" s="418"/>
      <c r="U1469" s="418"/>
      <c r="V1469" s="418"/>
      <c r="W1469" s="418"/>
      <c r="X1469" s="418"/>
      <c r="Y1469" s="418"/>
      <c r="Z1469" s="418"/>
      <c r="AA1469" s="418"/>
      <c r="AB1469" s="418"/>
      <c r="AC1469" s="418"/>
      <c r="AD1469" s="418"/>
      <c r="AE1469" s="418"/>
      <c r="AF1469" s="418"/>
      <c r="AG1469" s="418"/>
      <c r="AH1469" s="418"/>
      <c r="AI1469" s="418"/>
      <c r="AJ1469" s="418"/>
      <c r="AK1469" s="418"/>
      <c r="AL1469" s="418"/>
      <c r="AM1469" s="418"/>
      <c r="AN1469" s="418"/>
      <c r="AO1469" s="418"/>
      <c r="AP1469" s="418"/>
      <c r="AQ1469" s="418"/>
      <c r="AR1469" s="418"/>
      <c r="AS1469" s="418"/>
      <c r="AT1469" s="418"/>
      <c r="AU1469" s="418"/>
      <c r="AV1469" s="418"/>
      <c r="AW1469" s="418"/>
      <c r="AX1469" s="418"/>
      <c r="AY1469" s="418"/>
      <c r="BF1469" s="1119"/>
      <c r="BG1469" s="1119"/>
      <c r="BH1469" s="1119"/>
    </row>
    <row r="1470" spans="1:60" ht="15.75" customHeight="1">
      <c r="A1470" s="415"/>
      <c r="B1470" s="416"/>
      <c r="C1470" s="424"/>
      <c r="E1470" s="418"/>
      <c r="F1470" s="419"/>
      <c r="G1470" s="420"/>
      <c r="H1470" s="421"/>
      <c r="I1470" s="421"/>
      <c r="J1470" s="492"/>
      <c r="K1470" s="418"/>
      <c r="L1470" s="418"/>
      <c r="M1470" s="418"/>
      <c r="N1470" s="421"/>
      <c r="O1470" s="421"/>
      <c r="P1470" s="421"/>
      <c r="Q1470" s="418"/>
      <c r="R1470" s="418"/>
      <c r="S1470" s="418"/>
      <c r="T1470" s="418"/>
      <c r="U1470" s="418"/>
      <c r="V1470" s="418"/>
      <c r="W1470" s="418"/>
      <c r="X1470" s="418"/>
      <c r="Y1470" s="418"/>
      <c r="Z1470" s="418"/>
      <c r="AA1470" s="418"/>
      <c r="AB1470" s="418"/>
      <c r="AC1470" s="418"/>
      <c r="AD1470" s="418"/>
      <c r="AE1470" s="418"/>
      <c r="AF1470" s="418"/>
      <c r="AG1470" s="418"/>
      <c r="AH1470" s="418"/>
      <c r="AI1470" s="418"/>
      <c r="AJ1470" s="418"/>
      <c r="AK1470" s="418"/>
      <c r="AL1470" s="418"/>
      <c r="AM1470" s="418"/>
      <c r="AN1470" s="418"/>
      <c r="AO1470" s="418"/>
      <c r="AP1470" s="418"/>
      <c r="AQ1470" s="418"/>
      <c r="AR1470" s="418"/>
      <c r="AS1470" s="418"/>
      <c r="AT1470" s="418"/>
      <c r="AU1470" s="418"/>
      <c r="AV1470" s="418"/>
      <c r="AW1470" s="418"/>
      <c r="AX1470" s="418"/>
      <c r="AY1470" s="418"/>
      <c r="BF1470" s="1119"/>
      <c r="BG1470" s="1119"/>
      <c r="BH1470" s="1119"/>
    </row>
    <row r="1471" spans="1:60" ht="15.75" customHeight="1">
      <c r="A1471" s="415"/>
      <c r="B1471" s="416"/>
      <c r="C1471" s="424"/>
      <c r="E1471" s="418"/>
      <c r="F1471" s="419"/>
      <c r="G1471" s="420"/>
      <c r="H1471" s="421"/>
      <c r="I1471" s="425"/>
      <c r="J1471" s="492"/>
      <c r="K1471" s="418"/>
      <c r="L1471" s="418"/>
      <c r="M1471" s="418"/>
      <c r="N1471" s="421"/>
      <c r="O1471" s="421"/>
      <c r="P1471" s="421"/>
      <c r="Q1471" s="418"/>
      <c r="R1471" s="418"/>
      <c r="S1471" s="418"/>
      <c r="T1471" s="418"/>
      <c r="U1471" s="418"/>
      <c r="V1471" s="418"/>
      <c r="W1471" s="418"/>
      <c r="X1471" s="418"/>
      <c r="Y1471" s="418"/>
      <c r="Z1471" s="418"/>
      <c r="AA1471" s="418"/>
      <c r="AB1471" s="418"/>
      <c r="AC1471" s="418"/>
      <c r="AD1471" s="418"/>
      <c r="AE1471" s="418"/>
      <c r="AF1471" s="418"/>
      <c r="AG1471" s="418"/>
      <c r="AH1471" s="418"/>
      <c r="AI1471" s="418"/>
      <c r="AJ1471" s="418"/>
      <c r="AK1471" s="418"/>
      <c r="AL1471" s="418"/>
      <c r="AM1471" s="418"/>
      <c r="AN1471" s="418"/>
      <c r="AO1471" s="418"/>
      <c r="AP1471" s="418"/>
      <c r="AQ1471" s="418"/>
      <c r="AR1471" s="418"/>
      <c r="AS1471" s="418"/>
      <c r="AT1471" s="418"/>
      <c r="AU1471" s="418"/>
      <c r="AV1471" s="418"/>
      <c r="AW1471" s="418"/>
      <c r="AX1471" s="418"/>
      <c r="AY1471" s="418"/>
      <c r="BF1471" s="1119"/>
      <c r="BG1471" s="1119"/>
      <c r="BH1471" s="1119"/>
    </row>
    <row r="1472" spans="1:60" ht="15.75" customHeight="1">
      <c r="A1472" s="415"/>
      <c r="B1472" s="416"/>
      <c r="C1472" s="424"/>
      <c r="E1472" s="418"/>
      <c r="F1472" s="419"/>
      <c r="G1472" s="420"/>
      <c r="H1472" s="421"/>
      <c r="I1472" s="421"/>
      <c r="J1472" s="492"/>
      <c r="K1472" s="418"/>
      <c r="L1472" s="418"/>
      <c r="M1472" s="418"/>
      <c r="N1472" s="421"/>
      <c r="O1472" s="421"/>
      <c r="P1472" s="421"/>
      <c r="Q1472" s="418"/>
      <c r="R1472" s="418"/>
      <c r="S1472" s="418"/>
      <c r="T1472" s="418"/>
      <c r="U1472" s="418"/>
      <c r="V1472" s="418"/>
      <c r="W1472" s="418"/>
      <c r="X1472" s="418"/>
      <c r="Y1472" s="418"/>
      <c r="Z1472" s="418"/>
      <c r="AA1472" s="418"/>
      <c r="AB1472" s="418"/>
      <c r="AC1472" s="418"/>
      <c r="AD1472" s="418"/>
      <c r="AE1472" s="418"/>
      <c r="AF1472" s="418"/>
      <c r="AG1472" s="418"/>
      <c r="AH1472" s="418"/>
      <c r="AI1472" s="418"/>
      <c r="AJ1472" s="418"/>
      <c r="AK1472" s="418"/>
      <c r="AL1472" s="418"/>
      <c r="AM1472" s="418"/>
      <c r="AN1472" s="418"/>
      <c r="AO1472" s="418"/>
      <c r="AP1472" s="418"/>
      <c r="AQ1472" s="418"/>
      <c r="AR1472" s="418"/>
      <c r="AS1472" s="418"/>
      <c r="AT1472" s="418"/>
      <c r="AU1472" s="418"/>
      <c r="AV1472" s="418"/>
      <c r="AW1472" s="418"/>
      <c r="AX1472" s="418"/>
      <c r="AY1472" s="418"/>
      <c r="BF1472" s="1119"/>
      <c r="BG1472" s="1119"/>
      <c r="BH1472" s="1119"/>
    </row>
    <row r="1473" spans="1:60" ht="15.75" customHeight="1">
      <c r="A1473" s="415"/>
      <c r="B1473" s="416"/>
      <c r="C1473" s="424"/>
      <c r="E1473" s="418"/>
      <c r="F1473" s="419"/>
      <c r="G1473" s="420"/>
      <c r="H1473" s="421"/>
      <c r="I1473" s="421"/>
      <c r="J1473" s="492"/>
      <c r="K1473" s="418"/>
      <c r="L1473" s="418"/>
      <c r="M1473" s="418"/>
      <c r="N1473" s="421"/>
      <c r="O1473" s="421"/>
      <c r="P1473" s="421"/>
      <c r="Q1473" s="418"/>
      <c r="R1473" s="418"/>
      <c r="S1473" s="418"/>
      <c r="T1473" s="418"/>
      <c r="U1473" s="418"/>
      <c r="V1473" s="418"/>
      <c r="W1473" s="418"/>
      <c r="X1473" s="418"/>
      <c r="Y1473" s="418"/>
      <c r="Z1473" s="418"/>
      <c r="AA1473" s="418"/>
      <c r="AB1473" s="418"/>
      <c r="AC1473" s="418"/>
      <c r="AD1473" s="418"/>
      <c r="AE1473" s="418"/>
      <c r="AF1473" s="418"/>
      <c r="AG1473" s="418"/>
      <c r="AH1473" s="418"/>
      <c r="AI1473" s="418"/>
      <c r="AJ1473" s="418"/>
      <c r="AK1473" s="418"/>
      <c r="AL1473" s="418"/>
      <c r="AM1473" s="418"/>
      <c r="AN1473" s="418"/>
      <c r="AO1473" s="418"/>
      <c r="AP1473" s="418"/>
      <c r="AQ1473" s="418"/>
      <c r="AR1473" s="418"/>
      <c r="AS1473" s="418"/>
      <c r="AT1473" s="418"/>
      <c r="AU1473" s="418"/>
      <c r="AV1473" s="418"/>
      <c r="AW1473" s="418"/>
      <c r="AX1473" s="418"/>
      <c r="AY1473" s="418"/>
      <c r="BF1473" s="1119"/>
      <c r="BG1473" s="1119"/>
      <c r="BH1473" s="1119"/>
    </row>
    <row r="1474" spans="1:60" ht="15.75" customHeight="1">
      <c r="A1474" s="415"/>
      <c r="B1474" s="416"/>
      <c r="C1474" s="424"/>
      <c r="E1474" s="418"/>
      <c r="F1474" s="419"/>
      <c r="G1474" s="420"/>
      <c r="H1474" s="421"/>
      <c r="I1474" s="421"/>
      <c r="J1474" s="492"/>
      <c r="K1474" s="418"/>
      <c r="L1474" s="418"/>
      <c r="M1474" s="418"/>
      <c r="N1474" s="421"/>
      <c r="O1474" s="421"/>
      <c r="P1474" s="421"/>
      <c r="Q1474" s="418"/>
      <c r="R1474" s="418"/>
      <c r="S1474" s="418"/>
      <c r="T1474" s="418"/>
      <c r="U1474" s="418"/>
      <c r="V1474" s="418"/>
      <c r="W1474" s="418"/>
      <c r="X1474" s="418"/>
      <c r="Y1474" s="418"/>
      <c r="Z1474" s="418"/>
      <c r="AA1474" s="418"/>
      <c r="AB1474" s="418"/>
      <c r="AC1474" s="418"/>
      <c r="AD1474" s="418"/>
      <c r="AE1474" s="418"/>
      <c r="AF1474" s="418"/>
      <c r="AG1474" s="418"/>
      <c r="AH1474" s="418"/>
      <c r="AI1474" s="418"/>
      <c r="AJ1474" s="418"/>
      <c r="AK1474" s="418"/>
      <c r="AL1474" s="418"/>
      <c r="AM1474" s="418"/>
      <c r="AN1474" s="418"/>
      <c r="AO1474" s="418"/>
      <c r="AP1474" s="418"/>
      <c r="AQ1474" s="418"/>
      <c r="AR1474" s="418"/>
      <c r="AS1474" s="418"/>
      <c r="AT1474" s="418"/>
      <c r="AU1474" s="418"/>
      <c r="AV1474" s="418"/>
      <c r="AW1474" s="418"/>
      <c r="AX1474" s="418"/>
      <c r="AY1474" s="418"/>
      <c r="BF1474" s="1119"/>
      <c r="BG1474" s="1119"/>
      <c r="BH1474" s="1119"/>
    </row>
    <row r="1475" spans="1:60" ht="15.75" customHeight="1">
      <c r="A1475" s="415"/>
      <c r="B1475" s="416"/>
      <c r="C1475" s="424"/>
      <c r="E1475" s="418"/>
      <c r="F1475" s="419"/>
      <c r="G1475" s="420"/>
      <c r="H1475" s="421"/>
      <c r="I1475" s="421"/>
      <c r="J1475" s="492"/>
      <c r="K1475" s="418"/>
      <c r="L1475" s="418"/>
      <c r="M1475" s="418"/>
      <c r="N1475" s="421"/>
      <c r="O1475" s="421"/>
      <c r="P1475" s="421"/>
      <c r="Q1475" s="418"/>
      <c r="R1475" s="418"/>
      <c r="S1475" s="418"/>
      <c r="T1475" s="418"/>
      <c r="U1475" s="418"/>
      <c r="V1475" s="418"/>
      <c r="W1475" s="418"/>
      <c r="X1475" s="418"/>
      <c r="Y1475" s="418"/>
      <c r="Z1475" s="418"/>
      <c r="AA1475" s="418"/>
      <c r="AB1475" s="418"/>
      <c r="AC1475" s="418"/>
      <c r="AD1475" s="418"/>
      <c r="AE1475" s="418"/>
      <c r="AF1475" s="418"/>
      <c r="AG1475" s="418"/>
      <c r="AH1475" s="418"/>
      <c r="AI1475" s="418"/>
      <c r="AJ1475" s="418"/>
      <c r="AK1475" s="418"/>
      <c r="AL1475" s="418"/>
      <c r="AM1475" s="418"/>
      <c r="AN1475" s="418"/>
      <c r="AO1475" s="418"/>
      <c r="AP1475" s="418"/>
      <c r="AQ1475" s="418"/>
      <c r="AR1475" s="418"/>
      <c r="AS1475" s="418"/>
      <c r="AT1475" s="418"/>
      <c r="AU1475" s="418"/>
      <c r="AV1475" s="418"/>
      <c r="AW1475" s="418"/>
      <c r="AX1475" s="418"/>
      <c r="AY1475" s="418"/>
      <c r="BF1475" s="1119"/>
      <c r="BG1475" s="1119"/>
      <c r="BH1475" s="1119"/>
    </row>
    <row r="1476" spans="1:60" ht="15.75" customHeight="1">
      <c r="A1476" s="415"/>
      <c r="B1476" s="416"/>
      <c r="C1476" s="424"/>
      <c r="E1476" s="418"/>
      <c r="F1476" s="419"/>
      <c r="G1476" s="420"/>
      <c r="H1476" s="421"/>
      <c r="I1476" s="421"/>
      <c r="J1476" s="492"/>
      <c r="K1476" s="418"/>
      <c r="L1476" s="418"/>
      <c r="M1476" s="418"/>
      <c r="N1476" s="421"/>
      <c r="O1476" s="421"/>
      <c r="P1476" s="421"/>
      <c r="Q1476" s="418"/>
      <c r="R1476" s="418"/>
      <c r="S1476" s="418"/>
      <c r="T1476" s="418"/>
      <c r="U1476" s="418"/>
      <c r="V1476" s="418"/>
      <c r="W1476" s="418"/>
      <c r="X1476" s="418"/>
      <c r="Y1476" s="418"/>
      <c r="Z1476" s="418"/>
      <c r="AA1476" s="418"/>
      <c r="AB1476" s="418"/>
      <c r="AC1476" s="418"/>
      <c r="AD1476" s="418"/>
      <c r="AE1476" s="418"/>
      <c r="AF1476" s="418"/>
      <c r="AG1476" s="418"/>
      <c r="AH1476" s="418"/>
      <c r="AI1476" s="418"/>
      <c r="AJ1476" s="418"/>
      <c r="AK1476" s="418"/>
      <c r="AL1476" s="418"/>
      <c r="AM1476" s="418"/>
      <c r="AN1476" s="418"/>
      <c r="AO1476" s="418"/>
      <c r="AP1476" s="418"/>
      <c r="AQ1476" s="418"/>
      <c r="AR1476" s="418"/>
      <c r="AS1476" s="418"/>
      <c r="AT1476" s="418"/>
      <c r="AU1476" s="418"/>
      <c r="AV1476" s="418"/>
      <c r="AW1476" s="418"/>
      <c r="AX1476" s="418"/>
      <c r="AY1476" s="418"/>
      <c r="BF1476" s="1119"/>
      <c r="BG1476" s="1119"/>
      <c r="BH1476" s="1119"/>
    </row>
    <row r="1477" spans="1:60" ht="15.75" customHeight="1">
      <c r="A1477" s="415"/>
      <c r="B1477" s="416"/>
      <c r="C1477" s="424"/>
      <c r="E1477" s="418"/>
      <c r="F1477" s="419"/>
      <c r="G1477" s="420"/>
      <c r="H1477" s="421"/>
      <c r="I1477" s="421"/>
      <c r="J1477" s="492"/>
      <c r="K1477" s="418"/>
      <c r="L1477" s="418"/>
      <c r="M1477" s="418"/>
      <c r="N1477" s="421"/>
      <c r="O1477" s="421"/>
      <c r="P1477" s="421"/>
      <c r="Q1477" s="418"/>
      <c r="R1477" s="418"/>
      <c r="S1477" s="418"/>
      <c r="T1477" s="418"/>
      <c r="U1477" s="418"/>
      <c r="V1477" s="418"/>
      <c r="W1477" s="418"/>
      <c r="X1477" s="418"/>
      <c r="Y1477" s="418"/>
      <c r="Z1477" s="418"/>
      <c r="AA1477" s="418"/>
      <c r="AB1477" s="418"/>
      <c r="AC1477" s="418"/>
      <c r="AD1477" s="418"/>
      <c r="AE1477" s="418"/>
      <c r="AF1477" s="418"/>
      <c r="AG1477" s="418"/>
      <c r="AH1477" s="418"/>
      <c r="AI1477" s="418"/>
      <c r="AJ1477" s="418"/>
      <c r="AK1477" s="418"/>
      <c r="AL1477" s="418"/>
      <c r="AM1477" s="418"/>
      <c r="AN1477" s="418"/>
      <c r="AO1477" s="418"/>
      <c r="AP1477" s="418"/>
      <c r="AQ1477" s="418"/>
      <c r="AR1477" s="418"/>
      <c r="AS1477" s="418"/>
      <c r="AT1477" s="418"/>
      <c r="AU1477" s="418"/>
      <c r="AV1477" s="418"/>
      <c r="AW1477" s="418"/>
      <c r="AX1477" s="418"/>
      <c r="AY1477" s="418"/>
      <c r="BF1477" s="1119"/>
      <c r="BG1477" s="1119"/>
      <c r="BH1477" s="1119"/>
    </row>
    <row r="1478" spans="1:60" ht="15.75" customHeight="1">
      <c r="A1478" s="415"/>
      <c r="B1478" s="416"/>
      <c r="C1478" s="424"/>
      <c r="E1478" s="418"/>
      <c r="F1478" s="419"/>
      <c r="G1478" s="420"/>
      <c r="H1478" s="421"/>
      <c r="I1478" s="421"/>
      <c r="J1478" s="492"/>
      <c r="K1478" s="418"/>
      <c r="L1478" s="418"/>
      <c r="M1478" s="418"/>
      <c r="N1478" s="421"/>
      <c r="O1478" s="421"/>
      <c r="P1478" s="421"/>
      <c r="Q1478" s="418"/>
      <c r="R1478" s="418"/>
      <c r="S1478" s="418"/>
      <c r="T1478" s="418"/>
      <c r="U1478" s="418"/>
      <c r="V1478" s="418"/>
      <c r="W1478" s="418"/>
      <c r="X1478" s="418"/>
      <c r="Y1478" s="418"/>
      <c r="Z1478" s="418"/>
      <c r="AA1478" s="418"/>
      <c r="AB1478" s="418"/>
      <c r="AC1478" s="418"/>
      <c r="AD1478" s="418"/>
      <c r="AE1478" s="418"/>
      <c r="AF1478" s="418"/>
      <c r="AG1478" s="418"/>
      <c r="AH1478" s="418"/>
      <c r="AI1478" s="418"/>
      <c r="AJ1478" s="418"/>
      <c r="AK1478" s="418"/>
      <c r="AL1478" s="418"/>
      <c r="AM1478" s="418"/>
      <c r="AN1478" s="418"/>
      <c r="AO1478" s="418"/>
      <c r="AP1478" s="418"/>
      <c r="AQ1478" s="418"/>
      <c r="AR1478" s="418"/>
      <c r="AS1478" s="418"/>
      <c r="AT1478" s="418"/>
      <c r="AU1478" s="418"/>
      <c r="AV1478" s="418"/>
      <c r="AW1478" s="418"/>
      <c r="AX1478" s="418"/>
      <c r="AY1478" s="418"/>
      <c r="BF1478" s="1119"/>
      <c r="BG1478" s="1119"/>
      <c r="BH1478" s="1119"/>
    </row>
    <row r="1479" spans="1:60" ht="15.75" customHeight="1">
      <c r="A1479" s="415"/>
      <c r="B1479" s="416"/>
      <c r="C1479" s="424"/>
      <c r="E1479" s="418"/>
      <c r="F1479" s="419"/>
      <c r="G1479" s="420"/>
      <c r="H1479" s="421"/>
      <c r="I1479" s="429"/>
      <c r="J1479" s="492"/>
      <c r="K1479" s="418"/>
      <c r="L1479" s="418"/>
      <c r="M1479" s="418"/>
      <c r="N1479" s="421"/>
      <c r="O1479" s="421"/>
      <c r="P1479" s="421"/>
      <c r="Q1479" s="418"/>
      <c r="R1479" s="418"/>
      <c r="S1479" s="418"/>
      <c r="T1479" s="418"/>
      <c r="U1479" s="418"/>
      <c r="V1479" s="418"/>
      <c r="W1479" s="418"/>
      <c r="X1479" s="418"/>
      <c r="Y1479" s="418"/>
      <c r="Z1479" s="418"/>
      <c r="AA1479" s="418"/>
      <c r="AB1479" s="418"/>
      <c r="AC1479" s="418"/>
      <c r="AD1479" s="418"/>
      <c r="AE1479" s="418"/>
      <c r="AF1479" s="418"/>
      <c r="AG1479" s="418"/>
      <c r="AH1479" s="418"/>
      <c r="AI1479" s="418"/>
      <c r="AJ1479" s="418"/>
      <c r="AK1479" s="418"/>
      <c r="AL1479" s="418"/>
      <c r="AM1479" s="418"/>
      <c r="AN1479" s="418"/>
      <c r="AO1479" s="418"/>
      <c r="AP1479" s="418"/>
      <c r="AQ1479" s="418"/>
      <c r="AR1479" s="418"/>
      <c r="AS1479" s="418"/>
      <c r="AT1479" s="418"/>
      <c r="AU1479" s="418"/>
      <c r="AV1479" s="418"/>
      <c r="AW1479" s="418"/>
      <c r="AX1479" s="418"/>
      <c r="AY1479" s="418"/>
      <c r="BF1479" s="1119"/>
      <c r="BG1479" s="1119"/>
      <c r="BH1479" s="1119"/>
    </row>
    <row r="1480" spans="1:60" ht="15.75" customHeight="1">
      <c r="A1480" s="415"/>
      <c r="B1480" s="416"/>
      <c r="C1480" s="424"/>
      <c r="E1480" s="418"/>
      <c r="F1480" s="419"/>
      <c r="G1480" s="420"/>
      <c r="H1480" s="421"/>
      <c r="I1480" s="421"/>
      <c r="J1480" s="492"/>
      <c r="K1480" s="418"/>
      <c r="L1480" s="418"/>
      <c r="M1480" s="418"/>
      <c r="N1480" s="421"/>
      <c r="O1480" s="421"/>
      <c r="P1480" s="421"/>
      <c r="Q1480" s="418"/>
      <c r="R1480" s="418"/>
      <c r="S1480" s="418"/>
      <c r="T1480" s="418"/>
      <c r="U1480" s="418"/>
      <c r="V1480" s="418"/>
      <c r="W1480" s="418"/>
      <c r="X1480" s="418"/>
      <c r="Y1480" s="418"/>
      <c r="Z1480" s="418"/>
      <c r="AA1480" s="418"/>
      <c r="AB1480" s="418"/>
      <c r="AC1480" s="418"/>
      <c r="AD1480" s="418"/>
      <c r="AE1480" s="418"/>
      <c r="AF1480" s="418"/>
      <c r="AG1480" s="418"/>
      <c r="AH1480" s="418"/>
      <c r="AI1480" s="418"/>
      <c r="AJ1480" s="418"/>
      <c r="AK1480" s="418"/>
      <c r="AL1480" s="418"/>
      <c r="AM1480" s="418"/>
      <c r="AN1480" s="418"/>
      <c r="AO1480" s="418"/>
      <c r="AP1480" s="418"/>
      <c r="AQ1480" s="418"/>
      <c r="AR1480" s="418"/>
      <c r="AS1480" s="418"/>
      <c r="AT1480" s="418"/>
      <c r="AU1480" s="418"/>
      <c r="AV1480" s="418"/>
      <c r="AW1480" s="418"/>
      <c r="AX1480" s="418"/>
      <c r="AY1480" s="418"/>
      <c r="BF1480" s="1119"/>
      <c r="BG1480" s="1119"/>
      <c r="BH1480" s="1119"/>
    </row>
    <row r="1481" spans="1:60" ht="15.75" customHeight="1">
      <c r="A1481" s="415"/>
      <c r="B1481" s="416"/>
      <c r="C1481" s="424"/>
      <c r="E1481" s="418"/>
      <c r="F1481" s="419"/>
      <c r="G1481" s="420"/>
      <c r="H1481" s="421"/>
      <c r="I1481" s="421"/>
      <c r="J1481" s="492"/>
      <c r="K1481" s="418"/>
      <c r="L1481" s="418"/>
      <c r="M1481" s="418"/>
      <c r="N1481" s="421"/>
      <c r="O1481" s="421"/>
      <c r="P1481" s="421"/>
      <c r="Q1481" s="418"/>
      <c r="R1481" s="418"/>
      <c r="S1481" s="418"/>
      <c r="T1481" s="418"/>
      <c r="U1481" s="418"/>
      <c r="V1481" s="418"/>
      <c r="W1481" s="418"/>
      <c r="X1481" s="418"/>
      <c r="Y1481" s="418"/>
      <c r="Z1481" s="418"/>
      <c r="AA1481" s="418"/>
      <c r="AB1481" s="418"/>
      <c r="AC1481" s="418"/>
      <c r="AD1481" s="418"/>
      <c r="AE1481" s="418"/>
      <c r="AF1481" s="418"/>
      <c r="AG1481" s="418"/>
      <c r="AH1481" s="418"/>
      <c r="AI1481" s="418"/>
      <c r="AJ1481" s="418"/>
      <c r="AK1481" s="418"/>
      <c r="AL1481" s="418"/>
      <c r="AM1481" s="418"/>
      <c r="AN1481" s="418"/>
      <c r="AO1481" s="418"/>
      <c r="AP1481" s="418"/>
      <c r="AQ1481" s="418"/>
      <c r="AR1481" s="418"/>
      <c r="AS1481" s="418"/>
      <c r="AT1481" s="418"/>
      <c r="AU1481" s="418"/>
      <c r="AV1481" s="418"/>
      <c r="AW1481" s="418"/>
      <c r="AX1481" s="418"/>
      <c r="AY1481" s="418"/>
      <c r="BF1481" s="1119"/>
      <c r="BG1481" s="1119"/>
      <c r="BH1481" s="1119"/>
    </row>
    <row r="1482" spans="1:60" ht="15.75" customHeight="1">
      <c r="A1482" s="415"/>
      <c r="B1482" s="416"/>
      <c r="C1482" s="424"/>
      <c r="E1482" s="418"/>
      <c r="F1482" s="419"/>
      <c r="G1482" s="420"/>
      <c r="H1482" s="421"/>
      <c r="I1482" s="421"/>
      <c r="J1482" s="492"/>
      <c r="K1482" s="418"/>
      <c r="L1482" s="418"/>
      <c r="M1482" s="418"/>
      <c r="N1482" s="421"/>
      <c r="O1482" s="421"/>
      <c r="P1482" s="421"/>
      <c r="Q1482" s="418"/>
      <c r="R1482" s="418"/>
      <c r="S1482" s="418"/>
      <c r="T1482" s="418"/>
      <c r="U1482" s="418"/>
      <c r="V1482" s="418"/>
      <c r="W1482" s="418"/>
      <c r="X1482" s="418"/>
      <c r="Y1482" s="418"/>
      <c r="Z1482" s="418"/>
      <c r="AA1482" s="418"/>
      <c r="AB1482" s="418"/>
      <c r="AC1482" s="418"/>
      <c r="AD1482" s="418"/>
      <c r="AE1482" s="418"/>
      <c r="AF1482" s="418"/>
      <c r="AG1482" s="418"/>
      <c r="AH1482" s="418"/>
      <c r="AI1482" s="418"/>
      <c r="AJ1482" s="418"/>
      <c r="AK1482" s="418"/>
      <c r="AL1482" s="418"/>
      <c r="AM1482" s="418"/>
      <c r="AN1482" s="418"/>
      <c r="AO1482" s="418"/>
      <c r="AP1482" s="418"/>
      <c r="AQ1482" s="418"/>
      <c r="AR1482" s="418"/>
      <c r="AS1482" s="418"/>
      <c r="AT1482" s="418"/>
      <c r="AU1482" s="418"/>
      <c r="AV1482" s="418"/>
      <c r="AW1482" s="418"/>
      <c r="AX1482" s="418"/>
      <c r="AY1482" s="418"/>
      <c r="BF1482" s="1119"/>
      <c r="BG1482" s="1119"/>
      <c r="BH1482" s="1119"/>
    </row>
    <row r="1483" spans="1:60" ht="15.75" customHeight="1">
      <c r="A1483" s="415"/>
      <c r="B1483" s="416"/>
      <c r="C1483" s="424"/>
      <c r="E1483" s="418"/>
      <c r="F1483" s="419"/>
      <c r="G1483" s="420"/>
      <c r="H1483" s="421"/>
      <c r="I1483" s="419"/>
      <c r="J1483" s="424"/>
      <c r="K1483" s="418"/>
      <c r="L1483" s="418"/>
      <c r="M1483" s="418"/>
      <c r="N1483" s="421"/>
      <c r="O1483" s="421"/>
      <c r="P1483" s="421"/>
      <c r="Q1483" s="418"/>
      <c r="R1483" s="418"/>
      <c r="S1483" s="418"/>
      <c r="T1483" s="418"/>
      <c r="U1483" s="418"/>
      <c r="V1483" s="418"/>
      <c r="W1483" s="418"/>
      <c r="X1483" s="418"/>
      <c r="Y1483" s="418"/>
      <c r="Z1483" s="418"/>
      <c r="AA1483" s="418"/>
      <c r="AB1483" s="418"/>
      <c r="AC1483" s="418"/>
      <c r="AD1483" s="418"/>
      <c r="AE1483" s="418"/>
      <c r="AF1483" s="418"/>
      <c r="AG1483" s="418"/>
      <c r="AH1483" s="418"/>
      <c r="AI1483" s="418"/>
      <c r="AJ1483" s="418"/>
      <c r="AK1483" s="418"/>
      <c r="AL1483" s="418"/>
      <c r="AM1483" s="418"/>
      <c r="AN1483" s="418"/>
      <c r="AO1483" s="418"/>
      <c r="AP1483" s="418"/>
      <c r="AQ1483" s="418"/>
      <c r="AR1483" s="418"/>
      <c r="AS1483" s="418"/>
      <c r="AT1483" s="418"/>
      <c r="AU1483" s="418"/>
      <c r="AV1483" s="418"/>
      <c r="AW1483" s="418"/>
      <c r="AX1483" s="418"/>
      <c r="AY1483" s="418"/>
      <c r="BF1483" s="1119"/>
      <c r="BG1483" s="1119"/>
      <c r="BH1483" s="1119"/>
    </row>
    <row r="1484" spans="1:60" ht="15.75" customHeight="1">
      <c r="A1484" s="415"/>
      <c r="B1484" s="416"/>
      <c r="C1484" s="424"/>
      <c r="E1484" s="418"/>
      <c r="F1484" s="419"/>
      <c r="G1484" s="420"/>
      <c r="H1484" s="421"/>
      <c r="I1484" s="419"/>
      <c r="J1484" s="424"/>
      <c r="K1484" s="418"/>
      <c r="L1484" s="418"/>
      <c r="M1484" s="418"/>
      <c r="N1484" s="421"/>
      <c r="O1484" s="421"/>
      <c r="P1484" s="421"/>
      <c r="Q1484" s="418"/>
      <c r="R1484" s="418"/>
      <c r="S1484" s="418"/>
      <c r="T1484" s="418"/>
      <c r="U1484" s="418"/>
      <c r="V1484" s="418"/>
      <c r="W1484" s="418"/>
      <c r="X1484" s="418"/>
      <c r="Y1484" s="418"/>
      <c r="Z1484" s="418"/>
      <c r="AA1484" s="418"/>
      <c r="AB1484" s="418"/>
      <c r="AC1484" s="418"/>
      <c r="AD1484" s="418"/>
      <c r="AE1484" s="418"/>
      <c r="AF1484" s="418"/>
      <c r="AG1484" s="418"/>
      <c r="AH1484" s="418"/>
      <c r="AI1484" s="418"/>
      <c r="AJ1484" s="418"/>
      <c r="AK1484" s="418"/>
      <c r="AL1484" s="418"/>
      <c r="AM1484" s="418"/>
      <c r="AN1484" s="418"/>
      <c r="AO1484" s="418"/>
      <c r="AP1484" s="418"/>
      <c r="AQ1484" s="418"/>
      <c r="AR1484" s="418"/>
      <c r="AS1484" s="418"/>
      <c r="AT1484" s="418"/>
      <c r="AU1484" s="418"/>
      <c r="AV1484" s="418"/>
      <c r="AW1484" s="418"/>
      <c r="AX1484" s="418"/>
      <c r="AY1484" s="418"/>
      <c r="BF1484" s="1119"/>
      <c r="BG1484" s="1119"/>
      <c r="BH1484" s="1119"/>
    </row>
    <row r="1485" spans="1:60" ht="15.75" customHeight="1">
      <c r="A1485" s="415"/>
      <c r="B1485" s="416"/>
      <c r="C1485" s="424"/>
      <c r="E1485" s="418"/>
      <c r="F1485" s="419"/>
      <c r="G1485" s="420"/>
      <c r="H1485" s="421"/>
      <c r="I1485" s="425"/>
      <c r="J1485" s="492"/>
      <c r="K1485" s="418"/>
      <c r="L1485" s="418"/>
      <c r="M1485" s="418"/>
      <c r="N1485" s="421"/>
      <c r="O1485" s="421"/>
      <c r="P1485" s="421"/>
      <c r="Q1485" s="418"/>
      <c r="R1485" s="418"/>
      <c r="S1485" s="418"/>
      <c r="T1485" s="418"/>
      <c r="U1485" s="418"/>
      <c r="V1485" s="418"/>
      <c r="W1485" s="418"/>
      <c r="X1485" s="418"/>
      <c r="Y1485" s="418"/>
      <c r="Z1485" s="418"/>
      <c r="AA1485" s="418"/>
      <c r="AB1485" s="418"/>
      <c r="AC1485" s="418"/>
      <c r="AD1485" s="418"/>
      <c r="AE1485" s="418"/>
      <c r="AF1485" s="418"/>
      <c r="AG1485" s="418"/>
      <c r="AH1485" s="418"/>
      <c r="AI1485" s="418"/>
      <c r="AJ1485" s="418"/>
      <c r="AK1485" s="418"/>
      <c r="AL1485" s="418"/>
      <c r="AM1485" s="418"/>
      <c r="AN1485" s="418"/>
      <c r="AO1485" s="418"/>
      <c r="AP1485" s="418"/>
      <c r="AQ1485" s="418"/>
      <c r="AR1485" s="418"/>
      <c r="AS1485" s="418"/>
      <c r="AT1485" s="418"/>
      <c r="AU1485" s="418"/>
      <c r="AV1485" s="418"/>
      <c r="AW1485" s="418"/>
      <c r="AX1485" s="418"/>
      <c r="AY1485" s="418"/>
      <c r="BF1485" s="1119"/>
      <c r="BG1485" s="1119"/>
      <c r="BH1485" s="1119"/>
    </row>
    <row r="1486" spans="1:60" ht="15.75" customHeight="1">
      <c r="A1486" s="415"/>
      <c r="B1486" s="416"/>
      <c r="C1486" s="424"/>
      <c r="E1486" s="418"/>
      <c r="F1486" s="419"/>
      <c r="G1486" s="420"/>
      <c r="H1486" s="421"/>
      <c r="I1486" s="425"/>
      <c r="J1486" s="492"/>
      <c r="K1486" s="418"/>
      <c r="L1486" s="418"/>
      <c r="M1486" s="418"/>
      <c r="N1486" s="421"/>
      <c r="O1486" s="421"/>
      <c r="P1486" s="421"/>
      <c r="Q1486" s="418"/>
      <c r="R1486" s="418"/>
      <c r="S1486" s="418"/>
      <c r="T1486" s="418"/>
      <c r="U1486" s="418"/>
      <c r="V1486" s="418"/>
      <c r="W1486" s="418"/>
      <c r="X1486" s="418"/>
      <c r="Y1486" s="418"/>
      <c r="Z1486" s="418"/>
      <c r="AA1486" s="418"/>
      <c r="AB1486" s="418"/>
      <c r="AC1486" s="418"/>
      <c r="AD1486" s="418"/>
      <c r="AE1486" s="418"/>
      <c r="AF1486" s="418"/>
      <c r="AG1486" s="418"/>
      <c r="AH1486" s="418"/>
      <c r="AI1486" s="418"/>
      <c r="AJ1486" s="418"/>
      <c r="AK1486" s="418"/>
      <c r="AL1486" s="418"/>
      <c r="AM1486" s="418"/>
      <c r="AN1486" s="418"/>
      <c r="AO1486" s="418"/>
      <c r="AP1486" s="418"/>
      <c r="AQ1486" s="418"/>
      <c r="AR1486" s="418"/>
      <c r="AS1486" s="418"/>
      <c r="AT1486" s="418"/>
      <c r="AU1486" s="418"/>
      <c r="AV1486" s="418"/>
      <c r="AW1486" s="418"/>
      <c r="AX1486" s="418"/>
      <c r="AY1486" s="418"/>
      <c r="BF1486" s="1119"/>
      <c r="BG1486" s="1119"/>
      <c r="BH1486" s="1119"/>
    </row>
    <row r="1487" spans="1:60" ht="15.75" customHeight="1">
      <c r="A1487" s="415"/>
      <c r="B1487" s="416"/>
      <c r="C1487" s="424"/>
      <c r="E1487" s="418"/>
      <c r="F1487" s="419"/>
      <c r="G1487" s="420"/>
      <c r="H1487" s="421"/>
      <c r="I1487" s="425"/>
      <c r="J1487" s="492"/>
      <c r="K1487" s="418"/>
      <c r="L1487" s="418"/>
      <c r="M1487" s="418"/>
      <c r="N1487" s="421"/>
      <c r="O1487" s="421"/>
      <c r="P1487" s="421"/>
      <c r="Q1487" s="418"/>
      <c r="R1487" s="418"/>
      <c r="S1487" s="418"/>
      <c r="T1487" s="418"/>
      <c r="U1487" s="418"/>
      <c r="V1487" s="418"/>
      <c r="W1487" s="418"/>
      <c r="X1487" s="418"/>
      <c r="Y1487" s="418"/>
      <c r="Z1487" s="418"/>
      <c r="AA1487" s="418"/>
      <c r="AB1487" s="418"/>
      <c r="AC1487" s="418"/>
      <c r="AD1487" s="418"/>
      <c r="AE1487" s="418"/>
      <c r="AF1487" s="418"/>
      <c r="AG1487" s="418"/>
      <c r="AH1487" s="418"/>
      <c r="AI1487" s="418"/>
      <c r="AJ1487" s="418"/>
      <c r="AK1487" s="418"/>
      <c r="AL1487" s="418"/>
      <c r="AM1487" s="418"/>
      <c r="AN1487" s="418"/>
      <c r="AO1487" s="418"/>
      <c r="AP1487" s="418"/>
      <c r="AQ1487" s="418"/>
      <c r="AR1487" s="418"/>
      <c r="AS1487" s="418"/>
      <c r="AT1487" s="418"/>
      <c r="AU1487" s="418"/>
      <c r="AV1487" s="418"/>
      <c r="AW1487" s="418"/>
      <c r="AX1487" s="418"/>
      <c r="AY1487" s="418"/>
      <c r="BF1487" s="1119"/>
      <c r="BG1487" s="1119"/>
      <c r="BH1487" s="1119"/>
    </row>
    <row r="1488" spans="1:60" ht="15.75" customHeight="1">
      <c r="A1488" s="415"/>
      <c r="B1488" s="416"/>
      <c r="C1488" s="424"/>
      <c r="E1488" s="418"/>
      <c r="F1488" s="419"/>
      <c r="G1488" s="420"/>
      <c r="H1488" s="421"/>
      <c r="I1488" s="421"/>
      <c r="J1488" s="492"/>
      <c r="K1488" s="418"/>
      <c r="L1488" s="418"/>
      <c r="M1488" s="418"/>
      <c r="N1488" s="421"/>
      <c r="O1488" s="421"/>
      <c r="P1488" s="421"/>
      <c r="Q1488" s="418"/>
      <c r="R1488" s="418"/>
      <c r="S1488" s="418"/>
      <c r="T1488" s="418"/>
      <c r="U1488" s="418"/>
      <c r="V1488" s="418"/>
      <c r="W1488" s="418"/>
      <c r="X1488" s="418"/>
      <c r="Y1488" s="418"/>
      <c r="Z1488" s="418"/>
      <c r="AA1488" s="418"/>
      <c r="AB1488" s="418"/>
      <c r="AC1488" s="418"/>
      <c r="AD1488" s="418"/>
      <c r="AE1488" s="418"/>
      <c r="AF1488" s="418"/>
      <c r="AG1488" s="418"/>
      <c r="AH1488" s="418"/>
      <c r="AI1488" s="418"/>
      <c r="AJ1488" s="418"/>
      <c r="AK1488" s="418"/>
      <c r="AL1488" s="418"/>
      <c r="AM1488" s="418"/>
      <c r="AN1488" s="418"/>
      <c r="AO1488" s="418"/>
      <c r="AP1488" s="418"/>
      <c r="AQ1488" s="418"/>
      <c r="AR1488" s="418"/>
      <c r="AS1488" s="418"/>
      <c r="AT1488" s="418"/>
      <c r="AU1488" s="418"/>
      <c r="AV1488" s="418"/>
      <c r="AW1488" s="418"/>
      <c r="AX1488" s="418"/>
      <c r="AY1488" s="418"/>
      <c r="BF1488" s="1119"/>
      <c r="BG1488" s="1119"/>
      <c r="BH1488" s="1119"/>
    </row>
    <row r="1489" spans="1:60" ht="15.75" customHeight="1">
      <c r="A1489" s="415"/>
      <c r="B1489" s="416"/>
      <c r="C1489" s="424"/>
      <c r="E1489" s="418"/>
      <c r="F1489" s="419"/>
      <c r="G1489" s="420"/>
      <c r="H1489" s="421"/>
      <c r="I1489" s="425"/>
      <c r="J1489" s="492"/>
      <c r="K1489" s="418"/>
      <c r="L1489" s="418"/>
      <c r="M1489" s="418"/>
      <c r="N1489" s="421"/>
      <c r="O1489" s="421"/>
      <c r="P1489" s="421"/>
      <c r="Q1489" s="418"/>
      <c r="R1489" s="418"/>
      <c r="S1489" s="418"/>
      <c r="T1489" s="418"/>
      <c r="U1489" s="418"/>
      <c r="V1489" s="418"/>
      <c r="W1489" s="418"/>
      <c r="X1489" s="418"/>
      <c r="Y1489" s="418"/>
      <c r="Z1489" s="418"/>
      <c r="AA1489" s="418"/>
      <c r="AB1489" s="418"/>
      <c r="AC1489" s="418"/>
      <c r="AD1489" s="418"/>
      <c r="AE1489" s="418"/>
      <c r="AF1489" s="418"/>
      <c r="AG1489" s="418"/>
      <c r="AH1489" s="418"/>
      <c r="AI1489" s="418"/>
      <c r="AJ1489" s="418"/>
      <c r="AK1489" s="418"/>
      <c r="AL1489" s="418"/>
      <c r="AM1489" s="418"/>
      <c r="AN1489" s="418"/>
      <c r="AO1489" s="418"/>
      <c r="AP1489" s="418"/>
      <c r="AQ1489" s="418"/>
      <c r="AR1489" s="418"/>
      <c r="AS1489" s="418"/>
      <c r="AT1489" s="418"/>
      <c r="AU1489" s="418"/>
      <c r="AV1489" s="418"/>
      <c r="AW1489" s="418"/>
      <c r="AX1489" s="418"/>
      <c r="AY1489" s="418"/>
      <c r="BF1489" s="1119"/>
      <c r="BG1489" s="1119"/>
      <c r="BH1489" s="1119"/>
    </row>
    <row r="1490" spans="1:60" ht="15.75" customHeight="1">
      <c r="A1490" s="415"/>
      <c r="B1490" s="416"/>
      <c r="C1490" s="424"/>
      <c r="E1490" s="418"/>
      <c r="F1490" s="419"/>
      <c r="G1490" s="420"/>
      <c r="H1490" s="421"/>
      <c r="I1490" s="425"/>
      <c r="J1490" s="492"/>
      <c r="K1490" s="418"/>
      <c r="L1490" s="418"/>
      <c r="M1490" s="418"/>
      <c r="N1490" s="421"/>
      <c r="O1490" s="421"/>
      <c r="P1490" s="421"/>
      <c r="Q1490" s="418"/>
      <c r="R1490" s="418"/>
      <c r="S1490" s="418"/>
      <c r="T1490" s="418"/>
      <c r="U1490" s="418"/>
      <c r="V1490" s="418"/>
      <c r="W1490" s="418"/>
      <c r="X1490" s="418"/>
      <c r="Y1490" s="418"/>
      <c r="Z1490" s="418"/>
      <c r="AA1490" s="418"/>
      <c r="AB1490" s="418"/>
      <c r="AC1490" s="418"/>
      <c r="AD1490" s="418"/>
      <c r="AE1490" s="418"/>
      <c r="AF1490" s="418"/>
      <c r="AG1490" s="418"/>
      <c r="AH1490" s="418"/>
      <c r="AI1490" s="418"/>
      <c r="AJ1490" s="418"/>
      <c r="AK1490" s="418"/>
      <c r="AL1490" s="418"/>
      <c r="AM1490" s="418"/>
      <c r="AN1490" s="418"/>
      <c r="AO1490" s="418"/>
      <c r="AP1490" s="418"/>
      <c r="AQ1490" s="418"/>
      <c r="AR1490" s="418"/>
      <c r="AS1490" s="418"/>
      <c r="AT1490" s="418"/>
      <c r="AU1490" s="418"/>
      <c r="AV1490" s="418"/>
      <c r="AW1490" s="418"/>
      <c r="AX1490" s="418"/>
      <c r="AY1490" s="418"/>
      <c r="BF1490" s="1119"/>
      <c r="BG1490" s="1119"/>
      <c r="BH1490" s="1119"/>
    </row>
    <row r="1491" spans="1:60" ht="15.75" customHeight="1">
      <c r="A1491" s="415"/>
      <c r="B1491" s="416"/>
      <c r="C1491" s="424"/>
      <c r="E1491" s="418"/>
      <c r="F1491" s="419"/>
      <c r="G1491" s="420"/>
      <c r="H1491" s="421"/>
      <c r="I1491" s="425"/>
      <c r="J1491" s="492"/>
      <c r="K1491" s="418"/>
      <c r="L1491" s="418"/>
      <c r="M1491" s="418"/>
      <c r="N1491" s="421"/>
      <c r="O1491" s="421"/>
      <c r="P1491" s="421"/>
      <c r="Q1491" s="418"/>
      <c r="R1491" s="418"/>
      <c r="S1491" s="418"/>
      <c r="T1491" s="418"/>
      <c r="U1491" s="418"/>
      <c r="V1491" s="418"/>
      <c r="W1491" s="418"/>
      <c r="X1491" s="418"/>
      <c r="Y1491" s="418"/>
      <c r="Z1491" s="418"/>
      <c r="AA1491" s="418"/>
      <c r="AB1491" s="418"/>
      <c r="AC1491" s="418"/>
      <c r="AD1491" s="418"/>
      <c r="AE1491" s="418"/>
      <c r="AF1491" s="418"/>
      <c r="AG1491" s="418"/>
      <c r="AH1491" s="418"/>
      <c r="AI1491" s="418"/>
      <c r="AJ1491" s="418"/>
      <c r="AK1491" s="418"/>
      <c r="AL1491" s="418"/>
      <c r="AM1491" s="418"/>
      <c r="AN1491" s="418"/>
      <c r="AO1491" s="418"/>
      <c r="AP1491" s="418"/>
      <c r="AQ1491" s="418"/>
      <c r="AR1491" s="418"/>
      <c r="AS1491" s="418"/>
      <c r="AT1491" s="418"/>
      <c r="AU1491" s="418"/>
      <c r="AV1491" s="418"/>
      <c r="AW1491" s="418"/>
      <c r="AX1491" s="418"/>
      <c r="AY1491" s="418"/>
      <c r="BF1491" s="1119"/>
      <c r="BG1491" s="1119"/>
      <c r="BH1491" s="1119"/>
    </row>
    <row r="1492" spans="1:60" ht="15.75" customHeight="1">
      <c r="A1492" s="415"/>
      <c r="B1492" s="416"/>
      <c r="C1492" s="424"/>
      <c r="E1492" s="418"/>
      <c r="F1492" s="419"/>
      <c r="G1492" s="420"/>
      <c r="H1492" s="421"/>
      <c r="I1492" s="421"/>
      <c r="J1492" s="492"/>
      <c r="K1492" s="418"/>
      <c r="L1492" s="418"/>
      <c r="M1492" s="418"/>
      <c r="N1492" s="421"/>
      <c r="O1492" s="421"/>
      <c r="P1492" s="421"/>
      <c r="Q1492" s="418"/>
      <c r="R1492" s="418"/>
      <c r="S1492" s="418"/>
      <c r="T1492" s="418"/>
      <c r="U1492" s="418"/>
      <c r="V1492" s="418"/>
      <c r="W1492" s="418"/>
      <c r="X1492" s="418"/>
      <c r="Y1492" s="418"/>
      <c r="Z1492" s="418"/>
      <c r="AA1492" s="418"/>
      <c r="AB1492" s="418"/>
      <c r="AC1492" s="418"/>
      <c r="AD1492" s="418"/>
      <c r="AE1492" s="418"/>
      <c r="AF1492" s="418"/>
      <c r="AG1492" s="418"/>
      <c r="AH1492" s="418"/>
      <c r="AI1492" s="418"/>
      <c r="AJ1492" s="418"/>
      <c r="AK1492" s="418"/>
      <c r="AL1492" s="418"/>
      <c r="AM1492" s="418"/>
      <c r="AN1492" s="418"/>
      <c r="AO1492" s="418"/>
      <c r="AP1492" s="418"/>
      <c r="AQ1492" s="418"/>
      <c r="AR1492" s="418"/>
      <c r="AS1492" s="418"/>
      <c r="AT1492" s="418"/>
      <c r="AU1492" s="418"/>
      <c r="AV1492" s="418"/>
      <c r="AW1492" s="418"/>
      <c r="AX1492" s="418"/>
      <c r="AY1492" s="418"/>
      <c r="BF1492" s="1119"/>
      <c r="BG1492" s="1119"/>
      <c r="BH1492" s="1119"/>
    </row>
    <row r="1493" spans="1:60" ht="15.75" customHeight="1">
      <c r="A1493" s="415"/>
      <c r="B1493" s="416"/>
      <c r="C1493" s="424"/>
      <c r="E1493" s="418"/>
      <c r="F1493" s="419"/>
      <c r="G1493" s="420"/>
      <c r="H1493" s="421"/>
      <c r="I1493" s="425"/>
      <c r="J1493" s="492"/>
      <c r="K1493" s="418"/>
      <c r="L1493" s="418"/>
      <c r="M1493" s="418"/>
      <c r="N1493" s="421"/>
      <c r="O1493" s="421"/>
      <c r="P1493" s="421"/>
      <c r="Q1493" s="418"/>
      <c r="R1493" s="418"/>
      <c r="S1493" s="418"/>
      <c r="T1493" s="418"/>
      <c r="U1493" s="418"/>
      <c r="V1493" s="418"/>
      <c r="W1493" s="418"/>
      <c r="X1493" s="418"/>
      <c r="Y1493" s="418"/>
      <c r="Z1493" s="418"/>
      <c r="AA1493" s="418"/>
      <c r="AB1493" s="418"/>
      <c r="AC1493" s="418"/>
      <c r="AD1493" s="418"/>
      <c r="AE1493" s="418"/>
      <c r="AF1493" s="418"/>
      <c r="AG1493" s="418"/>
      <c r="AH1493" s="418"/>
      <c r="AI1493" s="418"/>
      <c r="AJ1493" s="418"/>
      <c r="AK1493" s="418"/>
      <c r="AL1493" s="418"/>
      <c r="AM1493" s="418"/>
      <c r="AN1493" s="418"/>
      <c r="AO1493" s="418"/>
      <c r="AP1493" s="418"/>
      <c r="AQ1493" s="418"/>
      <c r="AR1493" s="418"/>
      <c r="AS1493" s="418"/>
      <c r="AT1493" s="418"/>
      <c r="AU1493" s="418"/>
      <c r="AV1493" s="418"/>
      <c r="AW1493" s="418"/>
      <c r="AX1493" s="418"/>
      <c r="AY1493" s="418"/>
      <c r="BF1493" s="1119"/>
      <c r="BG1493" s="1119"/>
      <c r="BH1493" s="1119"/>
    </row>
    <row r="1494" spans="1:60" ht="15.75" customHeight="1">
      <c r="A1494" s="415"/>
      <c r="B1494" s="416"/>
      <c r="C1494" s="424"/>
      <c r="E1494" s="418"/>
      <c r="F1494" s="419"/>
      <c r="G1494" s="420"/>
      <c r="H1494" s="421"/>
      <c r="I1494" s="425"/>
      <c r="J1494" s="492"/>
      <c r="K1494" s="418"/>
      <c r="L1494" s="418"/>
      <c r="M1494" s="418"/>
      <c r="N1494" s="421"/>
      <c r="O1494" s="421"/>
      <c r="P1494" s="421"/>
      <c r="Q1494" s="418"/>
      <c r="R1494" s="418"/>
      <c r="S1494" s="418"/>
      <c r="T1494" s="418"/>
      <c r="U1494" s="418"/>
      <c r="V1494" s="418"/>
      <c r="W1494" s="418"/>
      <c r="X1494" s="418"/>
      <c r="Y1494" s="418"/>
      <c r="Z1494" s="418"/>
      <c r="AA1494" s="418"/>
      <c r="AB1494" s="418"/>
      <c r="AC1494" s="418"/>
      <c r="AD1494" s="418"/>
      <c r="AE1494" s="418"/>
      <c r="AF1494" s="418"/>
      <c r="AG1494" s="418"/>
      <c r="AH1494" s="418"/>
      <c r="AI1494" s="418"/>
      <c r="AJ1494" s="418"/>
      <c r="AK1494" s="418"/>
      <c r="AL1494" s="418"/>
      <c r="AM1494" s="418"/>
      <c r="AN1494" s="418"/>
      <c r="AO1494" s="418"/>
      <c r="AP1494" s="418"/>
      <c r="AQ1494" s="418"/>
      <c r="AR1494" s="418"/>
      <c r="AS1494" s="418"/>
      <c r="AT1494" s="418"/>
      <c r="AU1494" s="418"/>
      <c r="AV1494" s="418"/>
      <c r="AW1494" s="418"/>
      <c r="AX1494" s="418"/>
      <c r="AY1494" s="418"/>
      <c r="BF1494" s="1119"/>
      <c r="BG1494" s="1119"/>
      <c r="BH1494" s="1119"/>
    </row>
    <row r="1495" spans="1:60" ht="15.75" customHeight="1">
      <c r="A1495" s="415"/>
      <c r="B1495" s="416"/>
      <c r="C1495" s="424"/>
      <c r="E1495" s="418"/>
      <c r="F1495" s="419"/>
      <c r="G1495" s="420"/>
      <c r="H1495" s="421"/>
      <c r="I1495" s="425"/>
      <c r="J1495" s="492"/>
      <c r="K1495" s="418"/>
      <c r="L1495" s="418"/>
      <c r="M1495" s="418"/>
      <c r="N1495" s="421"/>
      <c r="O1495" s="421"/>
      <c r="P1495" s="421"/>
      <c r="Q1495" s="418"/>
      <c r="R1495" s="418"/>
      <c r="S1495" s="418"/>
      <c r="T1495" s="418"/>
      <c r="U1495" s="418"/>
      <c r="V1495" s="418"/>
      <c r="W1495" s="418"/>
      <c r="X1495" s="418"/>
      <c r="Y1495" s="418"/>
      <c r="Z1495" s="418"/>
      <c r="AA1495" s="418"/>
      <c r="AB1495" s="418"/>
      <c r="AC1495" s="418"/>
      <c r="AD1495" s="418"/>
      <c r="AE1495" s="418"/>
      <c r="AF1495" s="418"/>
      <c r="AG1495" s="418"/>
      <c r="AH1495" s="418"/>
      <c r="AI1495" s="418"/>
      <c r="AJ1495" s="418"/>
      <c r="AK1495" s="418"/>
      <c r="AL1495" s="418"/>
      <c r="AM1495" s="418"/>
      <c r="AN1495" s="418"/>
      <c r="AO1495" s="418"/>
      <c r="AP1495" s="418"/>
      <c r="AQ1495" s="418"/>
      <c r="AR1495" s="418"/>
      <c r="AS1495" s="418"/>
      <c r="AT1495" s="418"/>
      <c r="AU1495" s="418"/>
      <c r="AV1495" s="418"/>
      <c r="AW1495" s="418"/>
      <c r="AX1495" s="418"/>
      <c r="AY1495" s="418"/>
      <c r="BF1495" s="1119"/>
      <c r="BG1495" s="1119"/>
      <c r="BH1495" s="1119"/>
    </row>
    <row r="1496" spans="1:60" ht="15.75" customHeight="1">
      <c r="A1496" s="415"/>
      <c r="B1496" s="416"/>
      <c r="C1496" s="424"/>
      <c r="E1496" s="418"/>
      <c r="F1496" s="419"/>
      <c r="G1496" s="420"/>
      <c r="H1496" s="421"/>
      <c r="I1496" s="421"/>
      <c r="J1496" s="492"/>
      <c r="K1496" s="418"/>
      <c r="L1496" s="418"/>
      <c r="M1496" s="418"/>
      <c r="N1496" s="421"/>
      <c r="O1496" s="421"/>
      <c r="P1496" s="421"/>
      <c r="Q1496" s="418"/>
      <c r="R1496" s="418"/>
      <c r="S1496" s="418"/>
      <c r="T1496" s="418"/>
      <c r="U1496" s="418"/>
      <c r="V1496" s="418"/>
      <c r="W1496" s="418"/>
      <c r="X1496" s="418"/>
      <c r="Y1496" s="418"/>
      <c r="Z1496" s="418"/>
      <c r="AA1496" s="418"/>
      <c r="AB1496" s="418"/>
      <c r="AC1496" s="418"/>
      <c r="AD1496" s="418"/>
      <c r="AE1496" s="418"/>
      <c r="AF1496" s="418"/>
      <c r="AG1496" s="418"/>
      <c r="AH1496" s="418"/>
      <c r="AI1496" s="418"/>
      <c r="AJ1496" s="418"/>
      <c r="AK1496" s="418"/>
      <c r="AL1496" s="418"/>
      <c r="AM1496" s="418"/>
      <c r="AN1496" s="418"/>
      <c r="AO1496" s="418"/>
      <c r="AP1496" s="418"/>
      <c r="AQ1496" s="418"/>
      <c r="AR1496" s="418"/>
      <c r="AS1496" s="418"/>
      <c r="AT1496" s="418"/>
      <c r="AU1496" s="418"/>
      <c r="AV1496" s="418"/>
      <c r="AW1496" s="418"/>
      <c r="AX1496" s="418"/>
      <c r="AY1496" s="418"/>
      <c r="BF1496" s="1119"/>
      <c r="BG1496" s="1119"/>
      <c r="BH1496" s="1119"/>
    </row>
    <row r="1497" spans="1:60" ht="15.75" customHeight="1">
      <c r="A1497" s="415"/>
      <c r="B1497" s="416"/>
      <c r="C1497" s="424"/>
      <c r="E1497" s="418"/>
      <c r="F1497" s="419"/>
      <c r="G1497" s="420"/>
      <c r="H1497" s="421"/>
      <c r="I1497" s="425"/>
      <c r="J1497" s="492"/>
      <c r="K1497" s="418"/>
      <c r="L1497" s="418"/>
      <c r="M1497" s="418"/>
      <c r="N1497" s="421"/>
      <c r="O1497" s="421"/>
      <c r="P1497" s="421"/>
      <c r="Q1497" s="418"/>
      <c r="R1497" s="418"/>
      <c r="S1497" s="418"/>
      <c r="T1497" s="418"/>
      <c r="U1497" s="418"/>
      <c r="V1497" s="418"/>
      <c r="W1497" s="418"/>
      <c r="X1497" s="418"/>
      <c r="Y1497" s="418"/>
      <c r="Z1497" s="418"/>
      <c r="AA1497" s="418"/>
      <c r="AB1497" s="418"/>
      <c r="AC1497" s="418"/>
      <c r="AD1497" s="418"/>
      <c r="AE1497" s="418"/>
      <c r="AF1497" s="418"/>
      <c r="AG1497" s="418"/>
      <c r="AH1497" s="418"/>
      <c r="AI1497" s="418"/>
      <c r="AJ1497" s="418"/>
      <c r="AK1497" s="418"/>
      <c r="AL1497" s="418"/>
      <c r="AM1497" s="418"/>
      <c r="AN1497" s="418"/>
      <c r="AO1497" s="418"/>
      <c r="AP1497" s="418"/>
      <c r="AQ1497" s="418"/>
      <c r="AR1497" s="418"/>
      <c r="AS1497" s="418"/>
      <c r="AT1497" s="418"/>
      <c r="AU1497" s="418"/>
      <c r="AV1497" s="418"/>
      <c r="AW1497" s="418"/>
      <c r="AX1497" s="418"/>
      <c r="AY1497" s="418"/>
      <c r="BF1497" s="1119"/>
      <c r="BG1497" s="1119"/>
      <c r="BH1497" s="1119"/>
    </row>
    <row r="1498" spans="1:60" ht="15.75" customHeight="1">
      <c r="A1498" s="415"/>
      <c r="B1498" s="416"/>
      <c r="C1498" s="424"/>
      <c r="E1498" s="418"/>
      <c r="F1498" s="419"/>
      <c r="G1498" s="420"/>
      <c r="H1498" s="421"/>
      <c r="I1498" s="421"/>
      <c r="J1498" s="492"/>
      <c r="K1498" s="418"/>
      <c r="L1498" s="418"/>
      <c r="M1498" s="418"/>
      <c r="N1498" s="421"/>
      <c r="O1498" s="421"/>
      <c r="P1498" s="421"/>
      <c r="Q1498" s="418"/>
      <c r="R1498" s="418"/>
      <c r="S1498" s="418"/>
      <c r="T1498" s="418"/>
      <c r="U1498" s="418"/>
      <c r="V1498" s="418"/>
      <c r="W1498" s="418"/>
      <c r="X1498" s="418"/>
      <c r="Y1498" s="418"/>
      <c r="Z1498" s="418"/>
      <c r="AA1498" s="418"/>
      <c r="AB1498" s="418"/>
      <c r="AC1498" s="418"/>
      <c r="AD1498" s="418"/>
      <c r="AE1498" s="418"/>
      <c r="AF1498" s="418"/>
      <c r="AG1498" s="418"/>
      <c r="AH1498" s="418"/>
      <c r="AI1498" s="418"/>
      <c r="AJ1498" s="418"/>
      <c r="AK1498" s="418"/>
      <c r="AL1498" s="418"/>
      <c r="AM1498" s="418"/>
      <c r="AN1498" s="418"/>
      <c r="AO1498" s="418"/>
      <c r="AP1498" s="418"/>
      <c r="AQ1498" s="418"/>
      <c r="AR1498" s="418"/>
      <c r="AS1498" s="418"/>
      <c r="AT1498" s="418"/>
      <c r="AU1498" s="418"/>
      <c r="AV1498" s="418"/>
      <c r="AW1498" s="418"/>
      <c r="AX1498" s="418"/>
      <c r="AY1498" s="418"/>
      <c r="BF1498" s="1119"/>
      <c r="BG1498" s="1119"/>
      <c r="BH1498" s="1119"/>
    </row>
    <row r="1499" spans="1:60" ht="15.75" customHeight="1">
      <c r="A1499" s="415"/>
      <c r="B1499" s="416"/>
      <c r="C1499" s="424"/>
      <c r="E1499" s="418"/>
      <c r="F1499" s="419"/>
      <c r="G1499" s="420"/>
      <c r="H1499" s="421"/>
      <c r="I1499" s="425"/>
      <c r="J1499" s="492"/>
      <c r="K1499" s="418"/>
      <c r="L1499" s="418"/>
      <c r="M1499" s="418"/>
      <c r="N1499" s="421"/>
      <c r="O1499" s="421"/>
      <c r="P1499" s="421"/>
      <c r="Q1499" s="418"/>
      <c r="R1499" s="418"/>
      <c r="S1499" s="418"/>
      <c r="T1499" s="418"/>
      <c r="U1499" s="418"/>
      <c r="V1499" s="418"/>
      <c r="W1499" s="418"/>
      <c r="X1499" s="418"/>
      <c r="Y1499" s="418"/>
      <c r="Z1499" s="418"/>
      <c r="AA1499" s="418"/>
      <c r="AB1499" s="418"/>
      <c r="AC1499" s="418"/>
      <c r="AD1499" s="418"/>
      <c r="AE1499" s="418"/>
      <c r="AF1499" s="418"/>
      <c r="AG1499" s="418"/>
      <c r="AH1499" s="418"/>
      <c r="AI1499" s="418"/>
      <c r="AJ1499" s="418"/>
      <c r="AK1499" s="418"/>
      <c r="AL1499" s="418"/>
      <c r="AM1499" s="418"/>
      <c r="AN1499" s="418"/>
      <c r="AO1499" s="418"/>
      <c r="AP1499" s="418"/>
      <c r="AQ1499" s="418"/>
      <c r="AR1499" s="418"/>
      <c r="AS1499" s="418"/>
      <c r="AT1499" s="418"/>
      <c r="AU1499" s="418"/>
      <c r="AV1499" s="418"/>
      <c r="AW1499" s="418"/>
      <c r="AX1499" s="418"/>
      <c r="AY1499" s="418"/>
      <c r="BF1499" s="1119"/>
      <c r="BG1499" s="1119"/>
      <c r="BH1499" s="1119"/>
    </row>
    <row r="1500" spans="1:60" ht="15.75" customHeight="1">
      <c r="A1500" s="415"/>
      <c r="B1500" s="416"/>
      <c r="C1500" s="424"/>
      <c r="E1500" s="418"/>
      <c r="F1500" s="419"/>
      <c r="G1500" s="420"/>
      <c r="H1500" s="421"/>
      <c r="I1500" s="421"/>
      <c r="J1500" s="492"/>
      <c r="K1500" s="418"/>
      <c r="L1500" s="418"/>
      <c r="M1500" s="418"/>
      <c r="N1500" s="421"/>
      <c r="O1500" s="421"/>
      <c r="P1500" s="421"/>
      <c r="Q1500" s="418"/>
      <c r="R1500" s="418"/>
      <c r="S1500" s="418"/>
      <c r="T1500" s="418"/>
      <c r="U1500" s="418"/>
      <c r="V1500" s="418"/>
      <c r="W1500" s="418"/>
      <c r="X1500" s="418"/>
      <c r="Y1500" s="418"/>
      <c r="Z1500" s="418"/>
      <c r="AA1500" s="418"/>
      <c r="AB1500" s="418"/>
      <c r="AC1500" s="418"/>
      <c r="AD1500" s="418"/>
      <c r="AE1500" s="418"/>
      <c r="AF1500" s="418"/>
      <c r="AG1500" s="418"/>
      <c r="AH1500" s="418"/>
      <c r="AI1500" s="418"/>
      <c r="AJ1500" s="418"/>
      <c r="AK1500" s="418"/>
      <c r="AL1500" s="418"/>
      <c r="AM1500" s="418"/>
      <c r="AN1500" s="418"/>
      <c r="AO1500" s="418"/>
      <c r="AP1500" s="418"/>
      <c r="AQ1500" s="418"/>
      <c r="AR1500" s="418"/>
      <c r="AS1500" s="418"/>
      <c r="AT1500" s="418"/>
      <c r="AU1500" s="418"/>
      <c r="AV1500" s="418"/>
      <c r="AW1500" s="418"/>
      <c r="AX1500" s="418"/>
      <c r="AY1500" s="418"/>
      <c r="BF1500" s="1119"/>
      <c r="BG1500" s="1119"/>
      <c r="BH1500" s="1119"/>
    </row>
    <row r="1501" spans="1:60" ht="15.75" customHeight="1">
      <c r="A1501" s="415"/>
      <c r="B1501" s="416"/>
      <c r="C1501" s="424"/>
      <c r="E1501" s="418"/>
      <c r="F1501" s="419"/>
      <c r="G1501" s="420"/>
      <c r="H1501" s="421"/>
      <c r="I1501" s="425"/>
      <c r="J1501" s="492"/>
      <c r="K1501" s="418"/>
      <c r="L1501" s="418"/>
      <c r="M1501" s="418"/>
      <c r="N1501" s="421"/>
      <c r="O1501" s="421"/>
      <c r="P1501" s="421"/>
      <c r="Q1501" s="418"/>
      <c r="R1501" s="418"/>
      <c r="S1501" s="418"/>
      <c r="T1501" s="418"/>
      <c r="U1501" s="418"/>
      <c r="V1501" s="418"/>
      <c r="W1501" s="418"/>
      <c r="X1501" s="418"/>
      <c r="Y1501" s="418"/>
      <c r="Z1501" s="418"/>
      <c r="AA1501" s="418"/>
      <c r="AB1501" s="418"/>
      <c r="AC1501" s="418"/>
      <c r="AD1501" s="418"/>
      <c r="AE1501" s="418"/>
      <c r="AF1501" s="418"/>
      <c r="AG1501" s="418"/>
      <c r="AH1501" s="418"/>
      <c r="AI1501" s="418"/>
      <c r="AJ1501" s="418"/>
      <c r="AK1501" s="418"/>
      <c r="AL1501" s="418"/>
      <c r="AM1501" s="418"/>
      <c r="AN1501" s="418"/>
      <c r="AO1501" s="418"/>
      <c r="AP1501" s="418"/>
      <c r="AQ1501" s="418"/>
      <c r="AR1501" s="418"/>
      <c r="AS1501" s="418"/>
      <c r="AT1501" s="418"/>
      <c r="AU1501" s="418"/>
      <c r="AV1501" s="418"/>
      <c r="AW1501" s="418"/>
      <c r="AX1501" s="418"/>
      <c r="AY1501" s="418"/>
      <c r="BF1501" s="1119"/>
      <c r="BG1501" s="1119"/>
      <c r="BH1501" s="1119"/>
    </row>
    <row r="1502" spans="1:60" ht="15.75" customHeight="1">
      <c r="A1502" s="415"/>
      <c r="B1502" s="416"/>
      <c r="C1502" s="424"/>
      <c r="E1502" s="418"/>
      <c r="F1502" s="419"/>
      <c r="G1502" s="420"/>
      <c r="H1502" s="421"/>
      <c r="I1502" s="421"/>
      <c r="J1502" s="492"/>
      <c r="K1502" s="418"/>
      <c r="L1502" s="418"/>
      <c r="M1502" s="418"/>
      <c r="N1502" s="421"/>
      <c r="O1502" s="421"/>
      <c r="P1502" s="421"/>
      <c r="Q1502" s="418"/>
      <c r="R1502" s="418"/>
      <c r="S1502" s="418"/>
      <c r="T1502" s="418"/>
      <c r="U1502" s="418"/>
      <c r="V1502" s="418"/>
      <c r="W1502" s="418"/>
      <c r="X1502" s="418"/>
      <c r="Y1502" s="418"/>
      <c r="Z1502" s="418"/>
      <c r="AA1502" s="418"/>
      <c r="AB1502" s="418"/>
      <c r="AC1502" s="418"/>
      <c r="AD1502" s="418"/>
      <c r="AE1502" s="418"/>
      <c r="AF1502" s="418"/>
      <c r="AG1502" s="418"/>
      <c r="AH1502" s="418"/>
      <c r="AI1502" s="418"/>
      <c r="AJ1502" s="418"/>
      <c r="AK1502" s="418"/>
      <c r="AL1502" s="418"/>
      <c r="AM1502" s="418"/>
      <c r="AN1502" s="418"/>
      <c r="AO1502" s="418"/>
      <c r="AP1502" s="418"/>
      <c r="AQ1502" s="418"/>
      <c r="AR1502" s="418"/>
      <c r="AS1502" s="418"/>
      <c r="AT1502" s="418"/>
      <c r="AU1502" s="418"/>
      <c r="AV1502" s="418"/>
      <c r="AW1502" s="418"/>
      <c r="AX1502" s="418"/>
      <c r="AY1502" s="418"/>
      <c r="BF1502" s="1119"/>
      <c r="BG1502" s="1119"/>
      <c r="BH1502" s="1119"/>
    </row>
    <row r="1503" spans="1:60" ht="15.75" customHeight="1">
      <c r="A1503" s="415"/>
      <c r="B1503" s="416"/>
      <c r="C1503" s="424"/>
      <c r="E1503" s="418"/>
      <c r="F1503" s="419"/>
      <c r="G1503" s="420"/>
      <c r="H1503" s="421"/>
      <c r="I1503" s="425"/>
      <c r="J1503" s="492"/>
      <c r="K1503" s="418"/>
      <c r="L1503" s="418"/>
      <c r="M1503" s="418"/>
      <c r="N1503" s="421"/>
      <c r="O1503" s="421"/>
      <c r="P1503" s="421"/>
      <c r="Q1503" s="418"/>
      <c r="R1503" s="418"/>
      <c r="S1503" s="418"/>
      <c r="T1503" s="418"/>
      <c r="U1503" s="418"/>
      <c r="V1503" s="418"/>
      <c r="W1503" s="418"/>
      <c r="X1503" s="418"/>
      <c r="Y1503" s="418"/>
      <c r="Z1503" s="418"/>
      <c r="AA1503" s="418"/>
      <c r="AB1503" s="418"/>
      <c r="AC1503" s="418"/>
      <c r="AD1503" s="418"/>
      <c r="AE1503" s="418"/>
      <c r="AF1503" s="418"/>
      <c r="AG1503" s="418"/>
      <c r="AH1503" s="418"/>
      <c r="AI1503" s="418"/>
      <c r="AJ1503" s="418"/>
      <c r="AK1503" s="418"/>
      <c r="AL1503" s="418"/>
      <c r="AM1503" s="418"/>
      <c r="AN1503" s="418"/>
      <c r="AO1503" s="418"/>
      <c r="AP1503" s="418"/>
      <c r="AQ1503" s="418"/>
      <c r="AR1503" s="418"/>
      <c r="AS1503" s="418"/>
      <c r="AT1503" s="418"/>
      <c r="AU1503" s="418"/>
      <c r="AV1503" s="418"/>
      <c r="AW1503" s="418"/>
      <c r="AX1503" s="418"/>
      <c r="AY1503" s="418"/>
      <c r="BF1503" s="1119"/>
      <c r="BG1503" s="1119"/>
      <c r="BH1503" s="1119"/>
    </row>
    <row r="1504" spans="1:60" ht="15.75" customHeight="1">
      <c r="A1504" s="415"/>
      <c r="B1504" s="416"/>
      <c r="C1504" s="424"/>
      <c r="E1504" s="418"/>
      <c r="F1504" s="419"/>
      <c r="G1504" s="420"/>
      <c r="H1504" s="421"/>
      <c r="I1504" s="421"/>
      <c r="J1504" s="492"/>
      <c r="K1504" s="418"/>
      <c r="L1504" s="418"/>
      <c r="M1504" s="418"/>
      <c r="N1504" s="421"/>
      <c r="O1504" s="421"/>
      <c r="P1504" s="421"/>
      <c r="Q1504" s="418"/>
      <c r="R1504" s="418"/>
      <c r="S1504" s="418"/>
      <c r="T1504" s="418"/>
      <c r="U1504" s="418"/>
      <c r="V1504" s="418"/>
      <c r="W1504" s="418"/>
      <c r="X1504" s="418"/>
      <c r="Y1504" s="418"/>
      <c r="Z1504" s="418"/>
      <c r="AA1504" s="418"/>
      <c r="AB1504" s="418"/>
      <c r="AC1504" s="418"/>
      <c r="AD1504" s="418"/>
      <c r="AE1504" s="418"/>
      <c r="AF1504" s="418"/>
      <c r="AG1504" s="418"/>
      <c r="AH1504" s="418"/>
      <c r="AI1504" s="418"/>
      <c r="AJ1504" s="418"/>
      <c r="AK1504" s="418"/>
      <c r="AL1504" s="418"/>
      <c r="AM1504" s="418"/>
      <c r="AN1504" s="418"/>
      <c r="AO1504" s="418"/>
      <c r="AP1504" s="418"/>
      <c r="AQ1504" s="418"/>
      <c r="AR1504" s="418"/>
      <c r="AS1504" s="418"/>
      <c r="AT1504" s="418"/>
      <c r="AU1504" s="418"/>
      <c r="AV1504" s="418"/>
      <c r="AW1504" s="418"/>
      <c r="AX1504" s="418"/>
      <c r="AY1504" s="418"/>
      <c r="BF1504" s="1119"/>
      <c r="BG1504" s="1119"/>
      <c r="BH1504" s="1119"/>
    </row>
    <row r="1505" spans="1:60" ht="15.75" customHeight="1">
      <c r="A1505" s="415"/>
      <c r="B1505" s="416"/>
      <c r="C1505" s="424"/>
      <c r="E1505" s="418"/>
      <c r="F1505" s="419"/>
      <c r="G1505" s="420"/>
      <c r="H1505" s="421"/>
      <c r="I1505" s="425"/>
      <c r="J1505" s="492"/>
      <c r="K1505" s="418"/>
      <c r="L1505" s="418"/>
      <c r="M1505" s="418"/>
      <c r="N1505" s="421"/>
      <c r="O1505" s="421"/>
      <c r="P1505" s="421"/>
      <c r="Q1505" s="418"/>
      <c r="R1505" s="418"/>
      <c r="S1505" s="418"/>
      <c r="T1505" s="418"/>
      <c r="U1505" s="418"/>
      <c r="V1505" s="418"/>
      <c r="W1505" s="418"/>
      <c r="X1505" s="418"/>
      <c r="Y1505" s="418"/>
      <c r="Z1505" s="418"/>
      <c r="AA1505" s="418"/>
      <c r="AB1505" s="418"/>
      <c r="AC1505" s="418"/>
      <c r="AD1505" s="418"/>
      <c r="AE1505" s="418"/>
      <c r="AF1505" s="418"/>
      <c r="AG1505" s="418"/>
      <c r="AH1505" s="418"/>
      <c r="AI1505" s="418"/>
      <c r="AJ1505" s="418"/>
      <c r="AK1505" s="418"/>
      <c r="AL1505" s="418"/>
      <c r="AM1505" s="418"/>
      <c r="AN1505" s="418"/>
      <c r="AO1505" s="418"/>
      <c r="AP1505" s="418"/>
      <c r="AQ1505" s="418"/>
      <c r="AR1505" s="418"/>
      <c r="AS1505" s="418"/>
      <c r="AT1505" s="418"/>
      <c r="AU1505" s="418"/>
      <c r="AV1505" s="418"/>
      <c r="AW1505" s="418"/>
      <c r="AX1505" s="418"/>
      <c r="AY1505" s="418"/>
      <c r="BF1505" s="1119"/>
      <c r="BG1505" s="1119"/>
      <c r="BH1505" s="1119"/>
    </row>
    <row r="1506" spans="1:60" ht="15.75" customHeight="1">
      <c r="A1506" s="415"/>
      <c r="B1506" s="416"/>
      <c r="C1506" s="424"/>
      <c r="E1506" s="418"/>
      <c r="F1506" s="419"/>
      <c r="G1506" s="420"/>
      <c r="H1506" s="421"/>
      <c r="I1506" s="421"/>
      <c r="J1506" s="492"/>
      <c r="K1506" s="418"/>
      <c r="L1506" s="418"/>
      <c r="M1506" s="418"/>
      <c r="N1506" s="421"/>
      <c r="O1506" s="421"/>
      <c r="P1506" s="421"/>
      <c r="Q1506" s="418"/>
      <c r="R1506" s="418"/>
      <c r="S1506" s="418"/>
      <c r="T1506" s="418"/>
      <c r="U1506" s="418"/>
      <c r="V1506" s="418"/>
      <c r="W1506" s="418"/>
      <c r="X1506" s="418"/>
      <c r="Y1506" s="418"/>
      <c r="Z1506" s="418"/>
      <c r="AA1506" s="418"/>
      <c r="AB1506" s="418"/>
      <c r="AC1506" s="418"/>
      <c r="AD1506" s="418"/>
      <c r="AE1506" s="418"/>
      <c r="AF1506" s="418"/>
      <c r="AG1506" s="418"/>
      <c r="AH1506" s="418"/>
      <c r="AI1506" s="418"/>
      <c r="AJ1506" s="418"/>
      <c r="AK1506" s="418"/>
      <c r="AL1506" s="418"/>
      <c r="AM1506" s="418"/>
      <c r="AN1506" s="418"/>
      <c r="AO1506" s="418"/>
      <c r="AP1506" s="418"/>
      <c r="AQ1506" s="418"/>
      <c r="AR1506" s="418"/>
      <c r="AS1506" s="418"/>
      <c r="AT1506" s="418"/>
      <c r="AU1506" s="418"/>
      <c r="AV1506" s="418"/>
      <c r="AW1506" s="418"/>
      <c r="AX1506" s="418"/>
      <c r="AY1506" s="418"/>
      <c r="BF1506" s="1119"/>
      <c r="BG1506" s="1119"/>
      <c r="BH1506" s="1119"/>
    </row>
    <row r="1507" spans="1:60" ht="15.75" customHeight="1">
      <c r="A1507" s="415"/>
      <c r="B1507" s="416"/>
      <c r="C1507" s="424"/>
      <c r="E1507" s="418"/>
      <c r="F1507" s="419"/>
      <c r="G1507" s="420"/>
      <c r="H1507" s="421"/>
      <c r="I1507" s="425"/>
      <c r="J1507" s="492"/>
      <c r="K1507" s="418"/>
      <c r="L1507" s="418"/>
      <c r="M1507" s="418"/>
      <c r="N1507" s="421"/>
      <c r="O1507" s="421"/>
      <c r="P1507" s="421"/>
      <c r="Q1507" s="418"/>
      <c r="R1507" s="418"/>
      <c r="S1507" s="418"/>
      <c r="T1507" s="418"/>
      <c r="U1507" s="418"/>
      <c r="V1507" s="418"/>
      <c r="W1507" s="418"/>
      <c r="X1507" s="418"/>
      <c r="Y1507" s="418"/>
      <c r="Z1507" s="418"/>
      <c r="AA1507" s="418"/>
      <c r="AB1507" s="418"/>
      <c r="AC1507" s="418"/>
      <c r="AD1507" s="418"/>
      <c r="AE1507" s="418"/>
      <c r="AF1507" s="418"/>
      <c r="AG1507" s="418"/>
      <c r="AH1507" s="418"/>
      <c r="AI1507" s="418"/>
      <c r="AJ1507" s="418"/>
      <c r="AK1507" s="418"/>
      <c r="AL1507" s="418"/>
      <c r="AM1507" s="418"/>
      <c r="AN1507" s="418"/>
      <c r="AO1507" s="418"/>
      <c r="AP1507" s="418"/>
      <c r="AQ1507" s="418"/>
      <c r="AR1507" s="418"/>
      <c r="AS1507" s="418"/>
      <c r="AT1507" s="418"/>
      <c r="AU1507" s="418"/>
      <c r="AV1507" s="418"/>
      <c r="AW1507" s="418"/>
      <c r="AX1507" s="418"/>
      <c r="AY1507" s="418"/>
      <c r="BF1507" s="1119"/>
      <c r="BG1507" s="1119"/>
      <c r="BH1507" s="1119"/>
    </row>
    <row r="1508" spans="1:60" ht="15.75" customHeight="1">
      <c r="A1508" s="415"/>
      <c r="B1508" s="416"/>
      <c r="C1508" s="424"/>
      <c r="E1508" s="418"/>
      <c r="F1508" s="419"/>
      <c r="G1508" s="420"/>
      <c r="H1508" s="421"/>
      <c r="I1508" s="421"/>
      <c r="J1508" s="492"/>
      <c r="K1508" s="418"/>
      <c r="L1508" s="418"/>
      <c r="M1508" s="418"/>
      <c r="N1508" s="421"/>
      <c r="O1508" s="421"/>
      <c r="P1508" s="421"/>
      <c r="Q1508" s="418"/>
      <c r="R1508" s="418"/>
      <c r="S1508" s="418"/>
      <c r="T1508" s="418"/>
      <c r="U1508" s="418"/>
      <c r="V1508" s="418"/>
      <c r="W1508" s="418"/>
      <c r="X1508" s="418"/>
      <c r="Y1508" s="418"/>
      <c r="Z1508" s="418"/>
      <c r="AA1508" s="418"/>
      <c r="AB1508" s="418"/>
      <c r="AC1508" s="418"/>
      <c r="AD1508" s="418"/>
      <c r="AE1508" s="418"/>
      <c r="AF1508" s="418"/>
      <c r="AG1508" s="418"/>
      <c r="AH1508" s="418"/>
      <c r="AI1508" s="418"/>
      <c r="AJ1508" s="418"/>
      <c r="AK1508" s="418"/>
      <c r="AL1508" s="418"/>
      <c r="AM1508" s="418"/>
      <c r="AN1508" s="418"/>
      <c r="AO1508" s="418"/>
      <c r="AP1508" s="418"/>
      <c r="AQ1508" s="418"/>
      <c r="AR1508" s="418"/>
      <c r="AS1508" s="418"/>
      <c r="AT1508" s="418"/>
      <c r="AU1508" s="418"/>
      <c r="AV1508" s="418"/>
      <c r="AW1508" s="418"/>
      <c r="AX1508" s="418"/>
      <c r="AY1508" s="418"/>
      <c r="BF1508" s="1119"/>
      <c r="BG1508" s="1119"/>
      <c r="BH1508" s="1119"/>
    </row>
    <row r="1509" spans="1:60" ht="15.75" customHeight="1">
      <c r="A1509" s="415"/>
      <c r="B1509" s="416"/>
      <c r="C1509" s="424"/>
      <c r="E1509" s="418"/>
      <c r="F1509" s="419"/>
      <c r="G1509" s="420"/>
      <c r="H1509" s="421"/>
      <c r="I1509" s="425"/>
      <c r="J1509" s="492"/>
      <c r="K1509" s="418"/>
      <c r="L1509" s="418"/>
      <c r="M1509" s="418"/>
      <c r="N1509" s="421"/>
      <c r="O1509" s="421"/>
      <c r="P1509" s="421"/>
      <c r="Q1509" s="418"/>
      <c r="R1509" s="418"/>
      <c r="S1509" s="418"/>
      <c r="T1509" s="418"/>
      <c r="U1509" s="418"/>
      <c r="V1509" s="418"/>
      <c r="W1509" s="418"/>
      <c r="X1509" s="418"/>
      <c r="Y1509" s="418"/>
      <c r="Z1509" s="418"/>
      <c r="AA1509" s="418"/>
      <c r="AB1509" s="418"/>
      <c r="AC1509" s="418"/>
      <c r="AD1509" s="418"/>
      <c r="AE1509" s="418"/>
      <c r="AF1509" s="418"/>
      <c r="AG1509" s="418"/>
      <c r="AH1509" s="418"/>
      <c r="AI1509" s="418"/>
      <c r="AJ1509" s="418"/>
      <c r="AK1509" s="418"/>
      <c r="AL1509" s="418"/>
      <c r="AM1509" s="418"/>
      <c r="AN1509" s="418"/>
      <c r="AO1509" s="418"/>
      <c r="AP1509" s="418"/>
      <c r="AQ1509" s="418"/>
      <c r="AR1509" s="418"/>
      <c r="AS1509" s="418"/>
      <c r="AT1509" s="418"/>
      <c r="AU1509" s="418"/>
      <c r="AV1509" s="418"/>
      <c r="AW1509" s="418"/>
      <c r="AX1509" s="418"/>
      <c r="AY1509" s="418"/>
      <c r="BF1509" s="1119"/>
      <c r="BG1509" s="1119"/>
      <c r="BH1509" s="1119"/>
    </row>
    <row r="1510" spans="1:60" ht="15.75" customHeight="1">
      <c r="A1510" s="415"/>
      <c r="B1510" s="416"/>
      <c r="C1510" s="424"/>
      <c r="E1510" s="418"/>
      <c r="F1510" s="419"/>
      <c r="G1510" s="420"/>
      <c r="H1510" s="421"/>
      <c r="I1510" s="421"/>
      <c r="J1510" s="492"/>
      <c r="K1510" s="418"/>
      <c r="L1510" s="418"/>
      <c r="M1510" s="418"/>
      <c r="N1510" s="421"/>
      <c r="O1510" s="421"/>
      <c r="P1510" s="421"/>
      <c r="Q1510" s="418"/>
      <c r="R1510" s="418"/>
      <c r="S1510" s="418"/>
      <c r="T1510" s="418"/>
      <c r="U1510" s="418"/>
      <c r="V1510" s="418"/>
      <c r="W1510" s="418"/>
      <c r="X1510" s="418"/>
      <c r="Y1510" s="418"/>
      <c r="Z1510" s="418"/>
      <c r="AA1510" s="418"/>
      <c r="AB1510" s="418"/>
      <c r="AC1510" s="418"/>
      <c r="AD1510" s="418"/>
      <c r="AE1510" s="418"/>
      <c r="AF1510" s="418"/>
      <c r="AG1510" s="418"/>
      <c r="AH1510" s="418"/>
      <c r="AI1510" s="418"/>
      <c r="AJ1510" s="418"/>
      <c r="AK1510" s="418"/>
      <c r="AL1510" s="418"/>
      <c r="AM1510" s="418"/>
      <c r="AN1510" s="418"/>
      <c r="AO1510" s="418"/>
      <c r="AP1510" s="418"/>
      <c r="AQ1510" s="418"/>
      <c r="AR1510" s="418"/>
      <c r="AS1510" s="418"/>
      <c r="AT1510" s="418"/>
      <c r="AU1510" s="418"/>
      <c r="AV1510" s="418"/>
      <c r="AW1510" s="418"/>
      <c r="AX1510" s="418"/>
      <c r="AY1510" s="418"/>
      <c r="BF1510" s="1119"/>
      <c r="BG1510" s="1119"/>
      <c r="BH1510" s="1119"/>
    </row>
    <row r="1511" spans="1:60" ht="15.75" customHeight="1">
      <c r="A1511" s="415"/>
      <c r="B1511" s="416"/>
      <c r="C1511" s="424"/>
      <c r="E1511" s="418"/>
      <c r="F1511" s="419"/>
      <c r="G1511" s="420"/>
      <c r="H1511" s="421"/>
      <c r="I1511" s="425"/>
      <c r="J1511" s="492"/>
      <c r="K1511" s="418"/>
      <c r="L1511" s="418"/>
      <c r="M1511" s="418"/>
      <c r="N1511" s="421"/>
      <c r="O1511" s="421"/>
      <c r="P1511" s="421"/>
      <c r="Q1511" s="418"/>
      <c r="R1511" s="418"/>
      <c r="S1511" s="418"/>
      <c r="T1511" s="418"/>
      <c r="U1511" s="418"/>
      <c r="V1511" s="418"/>
      <c r="W1511" s="418"/>
      <c r="X1511" s="418"/>
      <c r="Y1511" s="418"/>
      <c r="Z1511" s="418"/>
      <c r="AA1511" s="418"/>
      <c r="AB1511" s="418"/>
      <c r="AC1511" s="418"/>
      <c r="AD1511" s="418"/>
      <c r="AE1511" s="418"/>
      <c r="AF1511" s="418"/>
      <c r="AG1511" s="418"/>
      <c r="AH1511" s="418"/>
      <c r="AI1511" s="418"/>
      <c r="AJ1511" s="418"/>
      <c r="AK1511" s="418"/>
      <c r="AL1511" s="418"/>
      <c r="AM1511" s="418"/>
      <c r="AN1511" s="418"/>
      <c r="AO1511" s="418"/>
      <c r="AP1511" s="418"/>
      <c r="AQ1511" s="418"/>
      <c r="AR1511" s="418"/>
      <c r="AS1511" s="418"/>
      <c r="AT1511" s="418"/>
      <c r="AU1511" s="418"/>
      <c r="AV1511" s="418"/>
      <c r="AW1511" s="418"/>
      <c r="AX1511" s="418"/>
      <c r="AY1511" s="418"/>
      <c r="BF1511" s="1119"/>
      <c r="BG1511" s="1119"/>
      <c r="BH1511" s="1119"/>
    </row>
    <row r="1512" spans="1:60" ht="15.75" customHeight="1">
      <c r="A1512" s="415"/>
      <c r="B1512" s="416"/>
      <c r="C1512" s="424"/>
      <c r="E1512" s="418"/>
      <c r="F1512" s="419"/>
      <c r="G1512" s="420"/>
      <c r="H1512" s="421"/>
      <c r="I1512" s="425"/>
      <c r="J1512" s="492"/>
      <c r="K1512" s="418"/>
      <c r="L1512" s="418"/>
      <c r="M1512" s="418"/>
      <c r="N1512" s="421"/>
      <c r="O1512" s="421"/>
      <c r="P1512" s="421"/>
      <c r="Q1512" s="418"/>
      <c r="R1512" s="418"/>
      <c r="S1512" s="418"/>
      <c r="T1512" s="418"/>
      <c r="U1512" s="418"/>
      <c r="V1512" s="418"/>
      <c r="W1512" s="418"/>
      <c r="X1512" s="418"/>
      <c r="Y1512" s="418"/>
      <c r="Z1512" s="418"/>
      <c r="AA1512" s="418"/>
      <c r="AB1512" s="418"/>
      <c r="AC1512" s="418"/>
      <c r="AD1512" s="418"/>
      <c r="AE1512" s="418"/>
      <c r="AF1512" s="418"/>
      <c r="AG1512" s="418"/>
      <c r="AH1512" s="418"/>
      <c r="AI1512" s="418"/>
      <c r="AJ1512" s="418"/>
      <c r="AK1512" s="418"/>
      <c r="AL1512" s="418"/>
      <c r="AM1512" s="418"/>
      <c r="AN1512" s="418"/>
      <c r="AO1512" s="418"/>
      <c r="AP1512" s="418"/>
      <c r="AQ1512" s="418"/>
      <c r="AR1512" s="418"/>
      <c r="AS1512" s="418"/>
      <c r="AT1512" s="418"/>
      <c r="AU1512" s="418"/>
      <c r="AV1512" s="418"/>
      <c r="AW1512" s="418"/>
      <c r="AX1512" s="418"/>
      <c r="AY1512" s="418"/>
      <c r="BF1512" s="1119"/>
      <c r="BG1512" s="1119"/>
      <c r="BH1512" s="1119"/>
    </row>
    <row r="1513" spans="1:60" ht="15.75" customHeight="1">
      <c r="A1513" s="415"/>
      <c r="B1513" s="416"/>
      <c r="C1513" s="424"/>
      <c r="E1513" s="418"/>
      <c r="F1513" s="419"/>
      <c r="G1513" s="420"/>
      <c r="H1513" s="421"/>
      <c r="I1513" s="425"/>
      <c r="J1513" s="492"/>
      <c r="K1513" s="418"/>
      <c r="L1513" s="418"/>
      <c r="M1513" s="418"/>
      <c r="N1513" s="421"/>
      <c r="O1513" s="421"/>
      <c r="P1513" s="421"/>
      <c r="Q1513" s="418"/>
      <c r="R1513" s="418"/>
      <c r="S1513" s="418"/>
      <c r="T1513" s="418"/>
      <c r="U1513" s="418"/>
      <c r="V1513" s="418"/>
      <c r="W1513" s="418"/>
      <c r="X1513" s="418"/>
      <c r="Y1513" s="418"/>
      <c r="Z1513" s="418"/>
      <c r="AA1513" s="418"/>
      <c r="AB1513" s="418"/>
      <c r="AC1513" s="418"/>
      <c r="AD1513" s="418"/>
      <c r="AE1513" s="418"/>
      <c r="AF1513" s="418"/>
      <c r="AG1513" s="418"/>
      <c r="AH1513" s="418"/>
      <c r="AI1513" s="418"/>
      <c r="AJ1513" s="418"/>
      <c r="AK1513" s="418"/>
      <c r="AL1513" s="418"/>
      <c r="AM1513" s="418"/>
      <c r="AN1513" s="418"/>
      <c r="AO1513" s="418"/>
      <c r="AP1513" s="418"/>
      <c r="AQ1513" s="418"/>
      <c r="AR1513" s="418"/>
      <c r="AS1513" s="418"/>
      <c r="AT1513" s="418"/>
      <c r="AU1513" s="418"/>
      <c r="AV1513" s="418"/>
      <c r="AW1513" s="418"/>
      <c r="AX1513" s="418"/>
      <c r="AY1513" s="418"/>
      <c r="BF1513" s="1119"/>
      <c r="BG1513" s="1119"/>
      <c r="BH1513" s="1119"/>
    </row>
    <row r="1514" spans="1:60" ht="15.75" customHeight="1">
      <c r="A1514" s="415"/>
      <c r="B1514" s="416"/>
      <c r="C1514" s="424"/>
      <c r="E1514" s="418"/>
      <c r="F1514" s="419"/>
      <c r="G1514" s="420"/>
      <c r="H1514" s="421"/>
      <c r="I1514" s="425"/>
      <c r="J1514" s="492"/>
      <c r="K1514" s="418"/>
      <c r="L1514" s="418"/>
      <c r="M1514" s="418"/>
      <c r="N1514" s="421"/>
      <c r="O1514" s="421"/>
      <c r="P1514" s="421"/>
      <c r="Q1514" s="418"/>
      <c r="R1514" s="418"/>
      <c r="S1514" s="418"/>
      <c r="T1514" s="418"/>
      <c r="U1514" s="418"/>
      <c r="V1514" s="418"/>
      <c r="W1514" s="418"/>
      <c r="X1514" s="418"/>
      <c r="Y1514" s="418"/>
      <c r="Z1514" s="418"/>
      <c r="AA1514" s="418"/>
      <c r="AB1514" s="418"/>
      <c r="AC1514" s="418"/>
      <c r="AD1514" s="418"/>
      <c r="AE1514" s="418"/>
      <c r="AF1514" s="418"/>
      <c r="AG1514" s="418"/>
      <c r="AH1514" s="418"/>
      <c r="AI1514" s="418"/>
      <c r="AJ1514" s="418"/>
      <c r="AK1514" s="418"/>
      <c r="AL1514" s="418"/>
      <c r="AM1514" s="418"/>
      <c r="AN1514" s="418"/>
      <c r="AO1514" s="418"/>
      <c r="AP1514" s="418"/>
      <c r="AQ1514" s="418"/>
      <c r="AR1514" s="418"/>
      <c r="AS1514" s="418"/>
      <c r="AT1514" s="418"/>
      <c r="AU1514" s="418"/>
      <c r="AV1514" s="418"/>
      <c r="AW1514" s="418"/>
      <c r="AX1514" s="418"/>
      <c r="AY1514" s="418"/>
      <c r="BF1514" s="1119"/>
      <c r="BG1514" s="1119"/>
      <c r="BH1514" s="1119"/>
    </row>
    <row r="1515" spans="1:60" ht="15.75" customHeight="1">
      <c r="A1515" s="415"/>
      <c r="B1515" s="416"/>
      <c r="C1515" s="424"/>
      <c r="E1515" s="418"/>
      <c r="F1515" s="419"/>
      <c r="G1515" s="420"/>
      <c r="H1515" s="421"/>
      <c r="I1515" s="425"/>
      <c r="J1515" s="492"/>
      <c r="K1515" s="418"/>
      <c r="L1515" s="418"/>
      <c r="M1515" s="418"/>
      <c r="N1515" s="421"/>
      <c r="O1515" s="421"/>
      <c r="P1515" s="421"/>
      <c r="Q1515" s="418"/>
      <c r="R1515" s="418"/>
      <c r="S1515" s="418"/>
      <c r="T1515" s="418"/>
      <c r="U1515" s="418"/>
      <c r="V1515" s="418"/>
      <c r="W1515" s="418"/>
      <c r="X1515" s="418"/>
      <c r="Y1515" s="418"/>
      <c r="Z1515" s="418"/>
      <c r="AA1515" s="418"/>
      <c r="AB1515" s="418"/>
      <c r="AC1515" s="418"/>
      <c r="AD1515" s="418"/>
      <c r="AE1515" s="418"/>
      <c r="AF1515" s="418"/>
      <c r="AG1515" s="418"/>
      <c r="AH1515" s="418"/>
      <c r="AI1515" s="418"/>
      <c r="AJ1515" s="418"/>
      <c r="AK1515" s="418"/>
      <c r="AL1515" s="418"/>
      <c r="AM1515" s="418"/>
      <c r="AN1515" s="418"/>
      <c r="AO1515" s="418"/>
      <c r="AP1515" s="418"/>
      <c r="AQ1515" s="418"/>
      <c r="AR1515" s="418"/>
      <c r="AS1515" s="418"/>
      <c r="AT1515" s="418"/>
      <c r="AU1515" s="418"/>
      <c r="AV1515" s="418"/>
      <c r="AW1515" s="418"/>
      <c r="AX1515" s="418"/>
      <c r="AY1515" s="418"/>
      <c r="BF1515" s="1119"/>
      <c r="BG1515" s="1119"/>
      <c r="BH1515" s="1119"/>
    </row>
    <row r="1516" spans="1:60" ht="15.75" customHeight="1">
      <c r="A1516" s="415"/>
      <c r="B1516" s="416"/>
      <c r="C1516" s="424"/>
      <c r="E1516" s="418"/>
      <c r="F1516" s="419"/>
      <c r="G1516" s="420"/>
      <c r="H1516" s="421"/>
      <c r="I1516" s="425"/>
      <c r="J1516" s="492"/>
      <c r="K1516" s="418"/>
      <c r="L1516" s="418"/>
      <c r="M1516" s="418"/>
      <c r="N1516" s="421"/>
      <c r="O1516" s="421"/>
      <c r="P1516" s="421"/>
      <c r="Q1516" s="418"/>
      <c r="R1516" s="418"/>
      <c r="S1516" s="418"/>
      <c r="T1516" s="418"/>
      <c r="U1516" s="418"/>
      <c r="V1516" s="418"/>
      <c r="W1516" s="418"/>
      <c r="X1516" s="418"/>
      <c r="Y1516" s="418"/>
      <c r="Z1516" s="418"/>
      <c r="AA1516" s="418"/>
      <c r="AB1516" s="418"/>
      <c r="AC1516" s="418"/>
      <c r="AD1516" s="418"/>
      <c r="AE1516" s="418"/>
      <c r="AF1516" s="418"/>
      <c r="AG1516" s="418"/>
      <c r="AH1516" s="418"/>
      <c r="AI1516" s="418"/>
      <c r="AJ1516" s="418"/>
      <c r="AK1516" s="418"/>
      <c r="AL1516" s="418"/>
      <c r="AM1516" s="418"/>
      <c r="AN1516" s="418"/>
      <c r="AO1516" s="418"/>
      <c r="AP1516" s="418"/>
      <c r="AQ1516" s="418"/>
      <c r="AR1516" s="418"/>
      <c r="AS1516" s="418"/>
      <c r="AT1516" s="418"/>
      <c r="AU1516" s="418"/>
      <c r="AV1516" s="418"/>
      <c r="AW1516" s="418"/>
      <c r="AX1516" s="418"/>
      <c r="AY1516" s="418"/>
      <c r="BF1516" s="1119"/>
      <c r="BG1516" s="1119"/>
      <c r="BH1516" s="1119"/>
    </row>
    <row r="1517" spans="1:60" ht="15.75" customHeight="1">
      <c r="A1517" s="415"/>
      <c r="B1517" s="416"/>
      <c r="C1517" s="424"/>
      <c r="E1517" s="418"/>
      <c r="F1517" s="419"/>
      <c r="G1517" s="420"/>
      <c r="H1517" s="421"/>
      <c r="I1517" s="425"/>
      <c r="J1517" s="492"/>
      <c r="K1517" s="418"/>
      <c r="L1517" s="418"/>
      <c r="M1517" s="418"/>
      <c r="N1517" s="421"/>
      <c r="O1517" s="421"/>
      <c r="P1517" s="421"/>
      <c r="Q1517" s="418"/>
      <c r="R1517" s="418"/>
      <c r="S1517" s="418"/>
      <c r="T1517" s="418"/>
      <c r="U1517" s="418"/>
      <c r="V1517" s="418"/>
      <c r="W1517" s="418"/>
      <c r="X1517" s="418"/>
      <c r="Y1517" s="418"/>
      <c r="Z1517" s="418"/>
      <c r="AA1517" s="418"/>
      <c r="AB1517" s="418"/>
      <c r="AC1517" s="418"/>
      <c r="AD1517" s="418"/>
      <c r="AE1517" s="418"/>
      <c r="AF1517" s="418"/>
      <c r="AG1517" s="418"/>
      <c r="AH1517" s="418"/>
      <c r="AI1517" s="418"/>
      <c r="AJ1517" s="418"/>
      <c r="AK1517" s="418"/>
      <c r="AL1517" s="418"/>
      <c r="AM1517" s="418"/>
      <c r="AN1517" s="418"/>
      <c r="AO1517" s="418"/>
      <c r="AP1517" s="418"/>
      <c r="AQ1517" s="418"/>
      <c r="AR1517" s="418"/>
      <c r="AS1517" s="418"/>
      <c r="AT1517" s="418"/>
      <c r="AU1517" s="418"/>
      <c r="AV1517" s="418"/>
      <c r="AW1517" s="418"/>
      <c r="AX1517" s="418"/>
      <c r="AY1517" s="418"/>
      <c r="BF1517" s="1119"/>
      <c r="BG1517" s="1119"/>
      <c r="BH1517" s="1119"/>
    </row>
    <row r="1518" spans="1:60" ht="15.75" customHeight="1">
      <c r="A1518" s="415"/>
      <c r="B1518" s="416"/>
      <c r="C1518" s="424"/>
      <c r="E1518" s="418"/>
      <c r="F1518" s="419"/>
      <c r="G1518" s="420"/>
      <c r="H1518" s="421"/>
      <c r="I1518" s="425"/>
      <c r="J1518" s="492"/>
      <c r="K1518" s="418"/>
      <c r="L1518" s="418"/>
      <c r="M1518" s="418"/>
      <c r="N1518" s="421"/>
      <c r="O1518" s="421"/>
      <c r="P1518" s="421"/>
      <c r="Q1518" s="418"/>
      <c r="R1518" s="418"/>
      <c r="S1518" s="418"/>
      <c r="T1518" s="418"/>
      <c r="U1518" s="418"/>
      <c r="V1518" s="418"/>
      <c r="W1518" s="418"/>
      <c r="X1518" s="418"/>
      <c r="Y1518" s="418"/>
      <c r="Z1518" s="418"/>
      <c r="AA1518" s="418"/>
      <c r="AB1518" s="418"/>
      <c r="AC1518" s="418"/>
      <c r="AD1518" s="418"/>
      <c r="AE1518" s="418"/>
      <c r="AF1518" s="418"/>
      <c r="AG1518" s="418"/>
      <c r="AH1518" s="418"/>
      <c r="AI1518" s="418"/>
      <c r="AJ1518" s="418"/>
      <c r="AK1518" s="418"/>
      <c r="AL1518" s="418"/>
      <c r="AM1518" s="418"/>
      <c r="AN1518" s="418"/>
      <c r="AO1518" s="418"/>
      <c r="AP1518" s="418"/>
      <c r="AQ1518" s="418"/>
      <c r="AR1518" s="418"/>
      <c r="AS1518" s="418"/>
      <c r="AT1518" s="418"/>
      <c r="AU1518" s="418"/>
      <c r="AV1518" s="418"/>
      <c r="AW1518" s="418"/>
      <c r="AX1518" s="418"/>
      <c r="AY1518" s="418"/>
      <c r="BF1518" s="1119"/>
      <c r="BG1518" s="1119"/>
      <c r="BH1518" s="1119"/>
    </row>
    <row r="1519" spans="1:60" ht="15.75" customHeight="1">
      <c r="A1519" s="415"/>
      <c r="B1519" s="416"/>
      <c r="C1519" s="424"/>
      <c r="E1519" s="418"/>
      <c r="F1519" s="419"/>
      <c r="G1519" s="420"/>
      <c r="H1519" s="421"/>
      <c r="I1519" s="425"/>
      <c r="J1519" s="492"/>
      <c r="K1519" s="418"/>
      <c r="L1519" s="418"/>
      <c r="M1519" s="418"/>
      <c r="N1519" s="421"/>
      <c r="O1519" s="421"/>
      <c r="P1519" s="421"/>
      <c r="Q1519" s="418"/>
      <c r="R1519" s="418"/>
      <c r="S1519" s="418"/>
      <c r="T1519" s="418"/>
      <c r="U1519" s="418"/>
      <c r="V1519" s="418"/>
      <c r="W1519" s="418"/>
      <c r="X1519" s="418"/>
      <c r="Y1519" s="418"/>
      <c r="Z1519" s="418"/>
      <c r="AA1519" s="418"/>
      <c r="AB1519" s="418"/>
      <c r="AC1519" s="418"/>
      <c r="AD1519" s="418"/>
      <c r="AE1519" s="418"/>
      <c r="AF1519" s="418"/>
      <c r="AG1519" s="418"/>
      <c r="AH1519" s="418"/>
      <c r="AI1519" s="418"/>
      <c r="AJ1519" s="418"/>
      <c r="AK1519" s="418"/>
      <c r="AL1519" s="418"/>
      <c r="AM1519" s="418"/>
      <c r="AN1519" s="418"/>
      <c r="AO1519" s="418"/>
      <c r="AP1519" s="418"/>
      <c r="AQ1519" s="418"/>
      <c r="AR1519" s="418"/>
      <c r="AS1519" s="418"/>
      <c r="AT1519" s="418"/>
      <c r="AU1519" s="418"/>
      <c r="AV1519" s="418"/>
      <c r="AW1519" s="418"/>
      <c r="AX1519" s="418"/>
      <c r="AY1519" s="418"/>
      <c r="BF1519" s="1119"/>
      <c r="BG1519" s="1119"/>
      <c r="BH1519" s="1119"/>
    </row>
    <row r="1520" spans="1:60" ht="15.75" customHeight="1">
      <c r="A1520" s="415"/>
      <c r="B1520" s="416"/>
      <c r="C1520" s="424"/>
      <c r="E1520" s="418"/>
      <c r="F1520" s="419"/>
      <c r="G1520" s="420"/>
      <c r="H1520" s="421"/>
      <c r="I1520" s="425"/>
      <c r="J1520" s="492"/>
      <c r="K1520" s="418"/>
      <c r="L1520" s="418"/>
      <c r="M1520" s="418"/>
      <c r="N1520" s="421"/>
      <c r="O1520" s="421"/>
      <c r="P1520" s="421"/>
      <c r="Q1520" s="418"/>
      <c r="R1520" s="418"/>
      <c r="S1520" s="418"/>
      <c r="T1520" s="418"/>
      <c r="U1520" s="418"/>
      <c r="V1520" s="418"/>
      <c r="W1520" s="418"/>
      <c r="X1520" s="418"/>
      <c r="Y1520" s="418"/>
      <c r="Z1520" s="418"/>
      <c r="AA1520" s="418"/>
      <c r="AB1520" s="418"/>
      <c r="AC1520" s="418"/>
      <c r="AD1520" s="418"/>
      <c r="AE1520" s="418"/>
      <c r="AF1520" s="418"/>
      <c r="AG1520" s="418"/>
      <c r="AH1520" s="418"/>
      <c r="AI1520" s="418"/>
      <c r="AJ1520" s="418"/>
      <c r="AK1520" s="418"/>
      <c r="AL1520" s="418"/>
      <c r="AM1520" s="418"/>
      <c r="AN1520" s="418"/>
      <c r="AO1520" s="418"/>
      <c r="AP1520" s="418"/>
      <c r="AQ1520" s="418"/>
      <c r="AR1520" s="418"/>
      <c r="AS1520" s="418"/>
      <c r="AT1520" s="418"/>
      <c r="AU1520" s="418"/>
      <c r="AV1520" s="418"/>
      <c r="AW1520" s="418"/>
      <c r="AX1520" s="418"/>
      <c r="AY1520" s="418"/>
      <c r="BF1520" s="1119"/>
      <c r="BG1520" s="1119"/>
      <c r="BH1520" s="1119"/>
    </row>
    <row r="1521" spans="1:60" ht="15.75" customHeight="1">
      <c r="A1521" s="415"/>
      <c r="B1521" s="416"/>
      <c r="C1521" s="424"/>
      <c r="E1521" s="418"/>
      <c r="F1521" s="419"/>
      <c r="G1521" s="420"/>
      <c r="H1521" s="421"/>
      <c r="I1521" s="425"/>
      <c r="J1521" s="492"/>
      <c r="K1521" s="418"/>
      <c r="L1521" s="418"/>
      <c r="M1521" s="418"/>
      <c r="N1521" s="421"/>
      <c r="O1521" s="421"/>
      <c r="P1521" s="421"/>
      <c r="Q1521" s="418"/>
      <c r="R1521" s="418"/>
      <c r="S1521" s="418"/>
      <c r="T1521" s="418"/>
      <c r="U1521" s="418"/>
      <c r="V1521" s="418"/>
      <c r="W1521" s="418"/>
      <c r="X1521" s="418"/>
      <c r="Y1521" s="418"/>
      <c r="Z1521" s="418"/>
      <c r="AA1521" s="418"/>
      <c r="AB1521" s="418"/>
      <c r="AC1521" s="418"/>
      <c r="AD1521" s="418"/>
      <c r="AE1521" s="418"/>
      <c r="AF1521" s="418"/>
      <c r="AG1521" s="418"/>
      <c r="AH1521" s="418"/>
      <c r="AI1521" s="418"/>
      <c r="AJ1521" s="418"/>
      <c r="AK1521" s="418"/>
      <c r="AL1521" s="418"/>
      <c r="AM1521" s="418"/>
      <c r="AN1521" s="418"/>
      <c r="AO1521" s="418"/>
      <c r="AP1521" s="418"/>
      <c r="AQ1521" s="418"/>
      <c r="AR1521" s="418"/>
      <c r="AS1521" s="418"/>
      <c r="AT1521" s="418"/>
      <c r="AU1521" s="418"/>
      <c r="AV1521" s="418"/>
      <c r="AW1521" s="418"/>
      <c r="AX1521" s="418"/>
      <c r="AY1521" s="418"/>
      <c r="BF1521" s="1119"/>
      <c r="BG1521" s="1119"/>
      <c r="BH1521" s="1119"/>
    </row>
    <row r="1522" spans="1:60" ht="15.75" customHeight="1">
      <c r="A1522" s="415"/>
      <c r="B1522" s="416"/>
      <c r="C1522" s="424"/>
      <c r="E1522" s="418"/>
      <c r="F1522" s="419"/>
      <c r="G1522" s="420"/>
      <c r="H1522" s="421"/>
      <c r="I1522" s="425"/>
      <c r="J1522" s="492"/>
      <c r="K1522" s="418"/>
      <c r="L1522" s="418"/>
      <c r="M1522" s="418"/>
      <c r="N1522" s="421"/>
      <c r="O1522" s="421"/>
      <c r="P1522" s="421"/>
      <c r="Q1522" s="418"/>
      <c r="R1522" s="418"/>
      <c r="S1522" s="418"/>
      <c r="T1522" s="418"/>
      <c r="U1522" s="418"/>
      <c r="V1522" s="418"/>
      <c r="W1522" s="418"/>
      <c r="X1522" s="418"/>
      <c r="Y1522" s="418"/>
      <c r="Z1522" s="418"/>
      <c r="AA1522" s="418"/>
      <c r="AB1522" s="418"/>
      <c r="AC1522" s="418"/>
      <c r="AD1522" s="418"/>
      <c r="AE1522" s="418"/>
      <c r="AF1522" s="418"/>
      <c r="AG1522" s="418"/>
      <c r="AH1522" s="418"/>
      <c r="AI1522" s="418"/>
      <c r="AJ1522" s="418"/>
      <c r="AK1522" s="418"/>
      <c r="AL1522" s="418"/>
      <c r="AM1522" s="418"/>
      <c r="AN1522" s="418"/>
      <c r="AO1522" s="418"/>
      <c r="AP1522" s="418"/>
      <c r="AQ1522" s="418"/>
      <c r="AR1522" s="418"/>
      <c r="AS1522" s="418"/>
      <c r="AT1522" s="418"/>
      <c r="AU1522" s="418"/>
      <c r="AV1522" s="418"/>
      <c r="AW1522" s="418"/>
      <c r="AX1522" s="418"/>
      <c r="AY1522" s="418"/>
      <c r="BF1522" s="1119"/>
      <c r="BG1522" s="1119"/>
      <c r="BH1522" s="1119"/>
    </row>
    <row r="1523" spans="1:60" ht="15.75" customHeight="1">
      <c r="A1523" s="415"/>
      <c r="B1523" s="416"/>
      <c r="C1523" s="424"/>
      <c r="E1523" s="418"/>
      <c r="F1523" s="419"/>
      <c r="G1523" s="420"/>
      <c r="H1523" s="421"/>
      <c r="I1523" s="425"/>
      <c r="J1523" s="492"/>
      <c r="K1523" s="418"/>
      <c r="L1523" s="418"/>
      <c r="M1523" s="418"/>
      <c r="N1523" s="421"/>
      <c r="O1523" s="421"/>
      <c r="P1523" s="421"/>
      <c r="Q1523" s="418"/>
      <c r="R1523" s="418"/>
      <c r="S1523" s="418"/>
      <c r="T1523" s="418"/>
      <c r="U1523" s="418"/>
      <c r="V1523" s="418"/>
      <c r="W1523" s="418"/>
      <c r="X1523" s="418"/>
      <c r="Y1523" s="418"/>
      <c r="Z1523" s="418"/>
      <c r="AA1523" s="418"/>
      <c r="AB1523" s="418"/>
      <c r="AC1523" s="418"/>
      <c r="AD1523" s="418"/>
      <c r="AE1523" s="418"/>
      <c r="AF1523" s="418"/>
      <c r="AG1523" s="418"/>
      <c r="AH1523" s="418"/>
      <c r="AI1523" s="418"/>
      <c r="AJ1523" s="418"/>
      <c r="AK1523" s="418"/>
      <c r="AL1523" s="418"/>
      <c r="AM1523" s="418"/>
      <c r="AN1523" s="418"/>
      <c r="AO1523" s="418"/>
      <c r="AP1523" s="418"/>
      <c r="AQ1523" s="418"/>
      <c r="AR1523" s="418"/>
      <c r="AS1523" s="418"/>
      <c r="AT1523" s="418"/>
      <c r="AU1523" s="418"/>
      <c r="AV1523" s="418"/>
      <c r="AW1523" s="418"/>
      <c r="AX1523" s="418"/>
      <c r="AY1523" s="418"/>
      <c r="BF1523" s="1119"/>
      <c r="BG1523" s="1119"/>
      <c r="BH1523" s="1119"/>
    </row>
    <row r="1524" spans="1:60" ht="15.75" customHeight="1">
      <c r="A1524" s="415"/>
      <c r="B1524" s="416"/>
      <c r="C1524" s="424"/>
      <c r="E1524" s="418"/>
      <c r="F1524" s="419"/>
      <c r="G1524" s="420"/>
      <c r="H1524" s="421"/>
      <c r="I1524" s="425"/>
      <c r="J1524" s="492"/>
      <c r="K1524" s="418"/>
      <c r="L1524" s="418"/>
      <c r="M1524" s="418"/>
      <c r="N1524" s="421"/>
      <c r="O1524" s="421"/>
      <c r="P1524" s="421"/>
      <c r="Q1524" s="418"/>
      <c r="R1524" s="418"/>
      <c r="S1524" s="418"/>
      <c r="T1524" s="418"/>
      <c r="U1524" s="418"/>
      <c r="V1524" s="418"/>
      <c r="W1524" s="418"/>
      <c r="X1524" s="418"/>
      <c r="Y1524" s="418"/>
      <c r="Z1524" s="418"/>
      <c r="AA1524" s="418"/>
      <c r="AB1524" s="418"/>
      <c r="AC1524" s="418"/>
      <c r="AD1524" s="418"/>
      <c r="AE1524" s="418"/>
      <c r="AF1524" s="418"/>
      <c r="AG1524" s="418"/>
      <c r="AH1524" s="418"/>
      <c r="AI1524" s="418"/>
      <c r="AJ1524" s="418"/>
      <c r="AK1524" s="418"/>
      <c r="AL1524" s="418"/>
      <c r="AM1524" s="418"/>
      <c r="AN1524" s="418"/>
      <c r="AO1524" s="418"/>
      <c r="AP1524" s="418"/>
      <c r="AQ1524" s="418"/>
      <c r="AR1524" s="418"/>
      <c r="AS1524" s="418"/>
      <c r="AT1524" s="418"/>
      <c r="AU1524" s="418"/>
      <c r="AV1524" s="418"/>
      <c r="AW1524" s="418"/>
      <c r="AX1524" s="418"/>
      <c r="AY1524" s="418"/>
      <c r="BF1524" s="1119"/>
      <c r="BG1524" s="1119"/>
      <c r="BH1524" s="1119"/>
    </row>
    <row r="1525" spans="1:60" ht="15.75" customHeight="1">
      <c r="A1525" s="415"/>
      <c r="B1525" s="416"/>
      <c r="C1525" s="424"/>
      <c r="E1525" s="418"/>
      <c r="F1525" s="419"/>
      <c r="G1525" s="420"/>
      <c r="H1525" s="421"/>
      <c r="I1525" s="425"/>
      <c r="J1525" s="492"/>
      <c r="K1525" s="418"/>
      <c r="L1525" s="418"/>
      <c r="M1525" s="418"/>
      <c r="N1525" s="421"/>
      <c r="O1525" s="421"/>
      <c r="P1525" s="421"/>
      <c r="Q1525" s="418"/>
      <c r="R1525" s="418"/>
      <c r="S1525" s="418"/>
      <c r="T1525" s="418"/>
      <c r="U1525" s="418"/>
      <c r="V1525" s="418"/>
      <c r="W1525" s="418"/>
      <c r="X1525" s="418"/>
      <c r="Y1525" s="418"/>
      <c r="Z1525" s="418"/>
      <c r="AA1525" s="418"/>
      <c r="AB1525" s="418"/>
      <c r="AC1525" s="418"/>
      <c r="AD1525" s="418"/>
      <c r="AE1525" s="418"/>
      <c r="AF1525" s="418"/>
      <c r="AG1525" s="418"/>
      <c r="AH1525" s="418"/>
      <c r="AI1525" s="418"/>
      <c r="AJ1525" s="418"/>
      <c r="AK1525" s="418"/>
      <c r="AL1525" s="418"/>
      <c r="AM1525" s="418"/>
      <c r="AN1525" s="418"/>
      <c r="AO1525" s="418"/>
      <c r="AP1525" s="418"/>
      <c r="AQ1525" s="418"/>
      <c r="AR1525" s="418"/>
      <c r="AS1525" s="418"/>
      <c r="AT1525" s="418"/>
      <c r="AU1525" s="418"/>
      <c r="AV1525" s="418"/>
      <c r="AW1525" s="418"/>
      <c r="AX1525" s="418"/>
      <c r="AY1525" s="418"/>
      <c r="BF1525" s="1119"/>
      <c r="BG1525" s="1119"/>
      <c r="BH1525" s="1119"/>
    </row>
    <row r="1526" spans="1:60" ht="15.75" customHeight="1">
      <c r="A1526" s="415"/>
      <c r="B1526" s="416"/>
      <c r="C1526" s="424"/>
      <c r="E1526" s="418"/>
      <c r="F1526" s="419"/>
      <c r="G1526" s="420"/>
      <c r="H1526" s="421"/>
      <c r="I1526" s="425"/>
      <c r="J1526" s="492"/>
      <c r="K1526" s="418"/>
      <c r="L1526" s="418"/>
      <c r="M1526" s="418"/>
      <c r="N1526" s="421"/>
      <c r="O1526" s="421"/>
      <c r="P1526" s="421"/>
      <c r="Q1526" s="418"/>
      <c r="R1526" s="418"/>
      <c r="S1526" s="418"/>
      <c r="T1526" s="418"/>
      <c r="U1526" s="418"/>
      <c r="V1526" s="418"/>
      <c r="W1526" s="418"/>
      <c r="X1526" s="418"/>
      <c r="Y1526" s="418"/>
      <c r="Z1526" s="418"/>
      <c r="AA1526" s="418"/>
      <c r="AB1526" s="418"/>
      <c r="AC1526" s="418"/>
      <c r="AD1526" s="418"/>
      <c r="AE1526" s="418"/>
      <c r="AF1526" s="418"/>
      <c r="AG1526" s="418"/>
      <c r="AH1526" s="418"/>
      <c r="AI1526" s="418"/>
      <c r="AJ1526" s="418"/>
      <c r="AK1526" s="418"/>
      <c r="AL1526" s="418"/>
      <c r="AM1526" s="418"/>
      <c r="AN1526" s="418"/>
      <c r="AO1526" s="418"/>
      <c r="AP1526" s="418"/>
      <c r="AQ1526" s="418"/>
      <c r="AR1526" s="418"/>
      <c r="AS1526" s="418"/>
      <c r="AT1526" s="418"/>
      <c r="AU1526" s="418"/>
      <c r="AV1526" s="418"/>
      <c r="AW1526" s="418"/>
      <c r="AX1526" s="418"/>
      <c r="AY1526" s="418"/>
      <c r="BF1526" s="1119"/>
      <c r="BG1526" s="1119"/>
      <c r="BH1526" s="1119"/>
    </row>
    <row r="1527" spans="1:60" ht="15.75" customHeight="1">
      <c r="A1527" s="415"/>
      <c r="B1527" s="416"/>
      <c r="C1527" s="424"/>
      <c r="E1527" s="418"/>
      <c r="F1527" s="419"/>
      <c r="G1527" s="420"/>
      <c r="H1527" s="421"/>
      <c r="I1527" s="425"/>
      <c r="J1527" s="492"/>
      <c r="K1527" s="418"/>
      <c r="L1527" s="418"/>
      <c r="M1527" s="418"/>
      <c r="N1527" s="421"/>
      <c r="O1527" s="421"/>
      <c r="P1527" s="421"/>
      <c r="Q1527" s="418"/>
      <c r="R1527" s="418"/>
      <c r="S1527" s="418"/>
      <c r="T1527" s="418"/>
      <c r="U1527" s="418"/>
      <c r="V1527" s="418"/>
      <c r="W1527" s="418"/>
      <c r="X1527" s="418"/>
      <c r="Y1527" s="418"/>
      <c r="Z1527" s="418"/>
      <c r="AA1527" s="418"/>
      <c r="AB1527" s="418"/>
      <c r="AC1527" s="418"/>
      <c r="AD1527" s="418"/>
      <c r="AE1527" s="418"/>
      <c r="AF1527" s="418"/>
      <c r="AG1527" s="418"/>
      <c r="AH1527" s="418"/>
      <c r="AI1527" s="418"/>
      <c r="AJ1527" s="418"/>
      <c r="AK1527" s="418"/>
      <c r="AL1527" s="418"/>
      <c r="AM1527" s="418"/>
      <c r="AN1527" s="418"/>
      <c r="AO1527" s="418"/>
      <c r="AP1527" s="418"/>
      <c r="AQ1527" s="418"/>
      <c r="AR1527" s="418"/>
      <c r="AS1527" s="418"/>
      <c r="AT1527" s="418"/>
      <c r="AU1527" s="418"/>
      <c r="AV1527" s="418"/>
      <c r="AW1527" s="418"/>
      <c r="AX1527" s="418"/>
      <c r="AY1527" s="418"/>
      <c r="BF1527" s="1119"/>
      <c r="BG1527" s="1119"/>
      <c r="BH1527" s="1119"/>
    </row>
    <row r="1528" spans="1:60" ht="15.75" customHeight="1">
      <c r="A1528" s="415"/>
      <c r="B1528" s="416"/>
      <c r="C1528" s="424"/>
      <c r="E1528" s="418"/>
      <c r="F1528" s="419"/>
      <c r="G1528" s="420"/>
      <c r="H1528" s="421"/>
      <c r="I1528" s="425"/>
      <c r="J1528" s="424"/>
      <c r="K1528" s="418"/>
      <c r="L1528" s="418"/>
      <c r="M1528" s="418"/>
      <c r="N1528" s="421"/>
      <c r="O1528" s="421"/>
      <c r="P1528" s="421"/>
      <c r="Q1528" s="418"/>
      <c r="R1528" s="418"/>
      <c r="S1528" s="418"/>
      <c r="T1528" s="418"/>
      <c r="U1528" s="418"/>
      <c r="V1528" s="418"/>
      <c r="W1528" s="418"/>
      <c r="X1528" s="418"/>
      <c r="Y1528" s="418"/>
      <c r="Z1528" s="418"/>
      <c r="AA1528" s="418"/>
      <c r="AB1528" s="418"/>
      <c r="AC1528" s="418"/>
      <c r="AD1528" s="418"/>
      <c r="AE1528" s="418"/>
      <c r="AF1528" s="418"/>
      <c r="AG1528" s="418"/>
      <c r="AH1528" s="418"/>
      <c r="AI1528" s="418"/>
      <c r="AJ1528" s="418"/>
      <c r="AK1528" s="418"/>
      <c r="AL1528" s="418"/>
      <c r="AM1528" s="418"/>
      <c r="AN1528" s="418"/>
      <c r="AO1528" s="418"/>
      <c r="AP1528" s="418"/>
      <c r="AQ1528" s="418"/>
      <c r="AR1528" s="418"/>
      <c r="AS1528" s="418"/>
      <c r="AT1528" s="418"/>
      <c r="AU1528" s="418"/>
      <c r="AV1528" s="418"/>
      <c r="AW1528" s="418"/>
      <c r="AX1528" s="418"/>
      <c r="AY1528" s="418"/>
      <c r="BF1528" s="1119"/>
      <c r="BG1528" s="1119"/>
      <c r="BH1528" s="1119"/>
    </row>
    <row r="1529" spans="1:60" ht="15.75" customHeight="1">
      <c r="A1529" s="1075"/>
      <c r="B1529" s="416"/>
      <c r="C1529" s="424"/>
      <c r="E1529" s="418"/>
      <c r="F1529" s="493"/>
      <c r="G1529" s="418"/>
      <c r="H1529" s="421"/>
      <c r="I1529" s="425"/>
      <c r="J1529" s="492"/>
      <c r="K1529" s="418"/>
      <c r="L1529" s="418"/>
      <c r="M1529" s="418"/>
      <c r="N1529" s="421"/>
      <c r="O1529" s="421"/>
      <c r="P1529" s="421"/>
      <c r="Q1529" s="418"/>
      <c r="R1529" s="418"/>
      <c r="S1529" s="418"/>
      <c r="T1529" s="418"/>
      <c r="U1529" s="418"/>
      <c r="V1529" s="418"/>
      <c r="W1529" s="418"/>
      <c r="X1529" s="418"/>
      <c r="Y1529" s="418"/>
      <c r="Z1529" s="418"/>
      <c r="AA1529" s="418"/>
      <c r="AB1529" s="418"/>
      <c r="AC1529" s="418"/>
      <c r="AD1529" s="418"/>
      <c r="AE1529" s="418"/>
      <c r="AF1529" s="418"/>
      <c r="AG1529" s="418"/>
      <c r="AH1529" s="418"/>
      <c r="AI1529" s="418"/>
      <c r="AJ1529" s="418"/>
      <c r="AK1529" s="418"/>
      <c r="AL1529" s="418"/>
      <c r="AM1529" s="418"/>
      <c r="AN1529" s="418"/>
      <c r="AO1529" s="418"/>
      <c r="AP1529" s="418"/>
      <c r="AQ1529" s="418"/>
      <c r="AR1529" s="418"/>
      <c r="AS1529" s="418"/>
      <c r="AT1529" s="418"/>
      <c r="AU1529" s="418"/>
      <c r="AV1529" s="418"/>
      <c r="AW1529" s="418"/>
      <c r="AX1529" s="418"/>
      <c r="AY1529" s="418"/>
      <c r="BF1529" s="1119"/>
      <c r="BG1529" s="1119"/>
      <c r="BH1529" s="1119"/>
    </row>
    <row r="1530" spans="1:60" ht="15.75" customHeight="1">
      <c r="A1530" s="1076"/>
      <c r="B1530" s="416"/>
      <c r="C1530" s="424"/>
      <c r="E1530" s="418"/>
      <c r="F1530" s="493"/>
      <c r="G1530" s="418"/>
      <c r="H1530" s="421"/>
      <c r="I1530" s="421"/>
      <c r="J1530" s="492"/>
      <c r="K1530" s="418"/>
      <c r="L1530" s="418"/>
      <c r="M1530" s="418"/>
      <c r="N1530" s="421"/>
      <c r="O1530" s="421"/>
      <c r="P1530" s="421"/>
      <c r="Q1530" s="418"/>
      <c r="R1530" s="418"/>
      <c r="S1530" s="418"/>
      <c r="T1530" s="418"/>
      <c r="U1530" s="418"/>
      <c r="V1530" s="418"/>
      <c r="W1530" s="418"/>
      <c r="X1530" s="418"/>
      <c r="Y1530" s="418"/>
      <c r="Z1530" s="418"/>
      <c r="AA1530" s="418"/>
      <c r="AB1530" s="418"/>
      <c r="AC1530" s="418"/>
      <c r="AD1530" s="418"/>
      <c r="AE1530" s="418"/>
      <c r="AF1530" s="418"/>
      <c r="AG1530" s="418"/>
      <c r="AH1530" s="418"/>
      <c r="AI1530" s="418"/>
      <c r="AJ1530" s="418"/>
      <c r="AK1530" s="418"/>
      <c r="AL1530" s="418"/>
      <c r="AM1530" s="418"/>
      <c r="AN1530" s="418"/>
      <c r="AO1530" s="418"/>
      <c r="AP1530" s="418"/>
      <c r="AQ1530" s="418"/>
      <c r="AR1530" s="418"/>
      <c r="AS1530" s="418"/>
      <c r="AT1530" s="418"/>
      <c r="AU1530" s="418"/>
      <c r="AV1530" s="418"/>
      <c r="AW1530" s="418"/>
      <c r="AX1530" s="418"/>
      <c r="AY1530" s="418"/>
      <c r="BF1530" s="1119"/>
      <c r="BG1530" s="1119"/>
      <c r="BH1530" s="1119"/>
    </row>
    <row r="1531" spans="1:60" ht="15.75" customHeight="1">
      <c r="A1531" s="1076"/>
      <c r="B1531" s="416"/>
      <c r="C1531" s="424"/>
      <c r="E1531" s="418"/>
      <c r="F1531" s="493"/>
      <c r="G1531" s="418"/>
      <c r="H1531" s="421"/>
      <c r="I1531" s="425"/>
      <c r="J1531" s="492"/>
      <c r="K1531" s="418"/>
      <c r="L1531" s="418"/>
      <c r="M1531" s="418"/>
      <c r="N1531" s="421"/>
      <c r="O1531" s="421"/>
      <c r="P1531" s="421"/>
      <c r="Q1531" s="418"/>
      <c r="R1531" s="418"/>
      <c r="S1531" s="418"/>
      <c r="T1531" s="418"/>
      <c r="U1531" s="418"/>
      <c r="V1531" s="418"/>
      <c r="W1531" s="418"/>
      <c r="X1531" s="418"/>
      <c r="Y1531" s="418"/>
      <c r="Z1531" s="418"/>
      <c r="AA1531" s="418"/>
      <c r="AB1531" s="418"/>
      <c r="AC1531" s="418"/>
      <c r="AD1531" s="418"/>
      <c r="AE1531" s="418"/>
      <c r="AF1531" s="418"/>
      <c r="AG1531" s="418"/>
      <c r="AH1531" s="418"/>
      <c r="AI1531" s="418"/>
      <c r="AJ1531" s="418"/>
      <c r="AK1531" s="418"/>
      <c r="AL1531" s="418"/>
      <c r="AM1531" s="418"/>
      <c r="AN1531" s="418"/>
      <c r="AO1531" s="418"/>
      <c r="AP1531" s="418"/>
      <c r="AQ1531" s="418"/>
      <c r="AR1531" s="418"/>
      <c r="AS1531" s="418"/>
      <c r="AT1531" s="418"/>
      <c r="AU1531" s="418"/>
      <c r="AV1531" s="418"/>
      <c r="AW1531" s="418"/>
      <c r="AX1531" s="418"/>
      <c r="AY1531" s="418"/>
      <c r="BF1531" s="1119"/>
      <c r="BG1531" s="1119"/>
      <c r="BH1531" s="1119"/>
    </row>
    <row r="1532" spans="1:60" ht="15.75" customHeight="1">
      <c r="A1532" s="1076"/>
      <c r="B1532" s="416"/>
      <c r="C1532" s="424"/>
      <c r="E1532" s="418"/>
      <c r="F1532" s="493"/>
      <c r="G1532" s="418"/>
      <c r="H1532" s="421"/>
      <c r="I1532" s="421"/>
      <c r="J1532" s="492"/>
      <c r="K1532" s="418"/>
      <c r="L1532" s="418"/>
      <c r="M1532" s="418"/>
      <c r="N1532" s="421"/>
      <c r="O1532" s="421"/>
      <c r="P1532" s="421"/>
      <c r="Q1532" s="418"/>
      <c r="R1532" s="418"/>
      <c r="S1532" s="418"/>
      <c r="T1532" s="418"/>
      <c r="U1532" s="418"/>
      <c r="V1532" s="418"/>
      <c r="W1532" s="418"/>
      <c r="X1532" s="418"/>
      <c r="Y1532" s="418"/>
      <c r="Z1532" s="418"/>
      <c r="AA1532" s="418"/>
      <c r="AB1532" s="418"/>
      <c r="AC1532" s="418"/>
      <c r="AD1532" s="418"/>
      <c r="AE1532" s="418"/>
      <c r="AF1532" s="418"/>
      <c r="AG1532" s="418"/>
      <c r="AH1532" s="418"/>
      <c r="AI1532" s="418"/>
      <c r="AJ1532" s="418"/>
      <c r="AK1532" s="418"/>
      <c r="AL1532" s="418"/>
      <c r="AM1532" s="418"/>
      <c r="AN1532" s="418"/>
      <c r="AO1532" s="418"/>
      <c r="AP1532" s="418"/>
      <c r="AQ1532" s="418"/>
      <c r="AR1532" s="418"/>
      <c r="AS1532" s="418"/>
      <c r="AT1532" s="418"/>
      <c r="AU1532" s="418"/>
      <c r="AV1532" s="418"/>
      <c r="AW1532" s="418"/>
      <c r="AX1532" s="418"/>
      <c r="AY1532" s="418"/>
      <c r="BF1532" s="1119"/>
      <c r="BG1532" s="1119"/>
      <c r="BH1532" s="1119"/>
    </row>
    <row r="1533" spans="1:60" ht="15.75" customHeight="1">
      <c r="A1533" s="1076"/>
      <c r="B1533" s="416"/>
      <c r="C1533" s="424"/>
      <c r="E1533" s="418"/>
      <c r="F1533" s="493"/>
      <c r="G1533" s="418"/>
      <c r="H1533" s="421"/>
      <c r="I1533" s="421"/>
      <c r="J1533" s="492"/>
      <c r="K1533" s="418"/>
      <c r="L1533" s="418"/>
      <c r="M1533" s="418"/>
      <c r="N1533" s="421"/>
      <c r="O1533" s="421"/>
      <c r="P1533" s="421"/>
      <c r="Q1533" s="418"/>
      <c r="R1533" s="418"/>
      <c r="S1533" s="418"/>
      <c r="T1533" s="418"/>
      <c r="U1533" s="418"/>
      <c r="V1533" s="418"/>
      <c r="W1533" s="418"/>
      <c r="X1533" s="418"/>
      <c r="Y1533" s="418"/>
      <c r="Z1533" s="418"/>
      <c r="AA1533" s="418"/>
      <c r="AB1533" s="418"/>
      <c r="AC1533" s="418"/>
      <c r="AD1533" s="418"/>
      <c r="AE1533" s="418"/>
      <c r="AF1533" s="418"/>
      <c r="AG1533" s="418"/>
      <c r="AH1533" s="418"/>
      <c r="AI1533" s="418"/>
      <c r="AJ1533" s="418"/>
      <c r="AK1533" s="418"/>
      <c r="AL1533" s="418"/>
      <c r="AM1533" s="418"/>
      <c r="AN1533" s="418"/>
      <c r="AO1533" s="418"/>
      <c r="AP1533" s="418"/>
      <c r="AQ1533" s="418"/>
      <c r="AR1533" s="418"/>
      <c r="AS1533" s="418"/>
      <c r="AT1533" s="418"/>
      <c r="AU1533" s="418"/>
      <c r="AV1533" s="418"/>
      <c r="AW1533" s="418"/>
      <c r="AX1533" s="418"/>
      <c r="AY1533" s="418"/>
      <c r="BF1533" s="1119"/>
      <c r="BG1533" s="1119"/>
      <c r="BH1533" s="1119"/>
    </row>
    <row r="1534" spans="1:60" ht="15.75" customHeight="1">
      <c r="A1534" s="1076"/>
      <c r="B1534" s="416"/>
      <c r="C1534" s="424"/>
      <c r="E1534" s="418"/>
      <c r="F1534" s="493"/>
      <c r="G1534" s="418"/>
      <c r="H1534" s="421"/>
      <c r="I1534" s="421"/>
      <c r="J1534" s="492"/>
      <c r="K1534" s="418"/>
      <c r="L1534" s="418"/>
      <c r="M1534" s="418"/>
      <c r="N1534" s="421"/>
      <c r="O1534" s="421"/>
      <c r="P1534" s="421"/>
      <c r="Q1534" s="418"/>
      <c r="R1534" s="418"/>
      <c r="S1534" s="418"/>
      <c r="T1534" s="418"/>
      <c r="U1534" s="418"/>
      <c r="V1534" s="418"/>
      <c r="W1534" s="418"/>
      <c r="X1534" s="418"/>
      <c r="Y1534" s="418"/>
      <c r="Z1534" s="418"/>
      <c r="AA1534" s="418"/>
      <c r="AB1534" s="418"/>
      <c r="AC1534" s="418"/>
      <c r="AD1534" s="418"/>
      <c r="AE1534" s="418"/>
      <c r="AF1534" s="418"/>
      <c r="AG1534" s="418"/>
      <c r="AH1534" s="418"/>
      <c r="AI1534" s="418"/>
      <c r="AJ1534" s="418"/>
      <c r="AK1534" s="418"/>
      <c r="AL1534" s="418"/>
      <c r="AM1534" s="418"/>
      <c r="AN1534" s="418"/>
      <c r="AO1534" s="418"/>
      <c r="AP1534" s="418"/>
      <c r="AQ1534" s="418"/>
      <c r="AR1534" s="418"/>
      <c r="AS1534" s="418"/>
      <c r="AT1534" s="418"/>
      <c r="AU1534" s="418"/>
      <c r="AV1534" s="418"/>
      <c r="AW1534" s="418"/>
      <c r="AX1534" s="418"/>
      <c r="AY1534" s="418"/>
      <c r="BF1534" s="1119"/>
      <c r="BG1534" s="1119"/>
      <c r="BH1534" s="1119"/>
    </row>
    <row r="1535" spans="1:60" ht="15.75" customHeight="1">
      <c r="A1535" s="1076"/>
      <c r="B1535" s="416"/>
      <c r="C1535" s="424"/>
      <c r="E1535" s="418"/>
      <c r="F1535" s="493"/>
      <c r="G1535" s="418"/>
      <c r="H1535" s="421"/>
      <c r="I1535" s="421"/>
      <c r="J1535" s="492"/>
      <c r="K1535" s="418"/>
      <c r="L1535" s="418"/>
      <c r="M1535" s="418"/>
      <c r="N1535" s="421"/>
      <c r="O1535" s="421"/>
      <c r="P1535" s="421"/>
      <c r="Q1535" s="418"/>
      <c r="R1535" s="418"/>
      <c r="S1535" s="418"/>
      <c r="T1535" s="418"/>
      <c r="U1535" s="418"/>
      <c r="V1535" s="418"/>
      <c r="W1535" s="418"/>
      <c r="X1535" s="418"/>
      <c r="Y1535" s="418"/>
      <c r="Z1535" s="418"/>
      <c r="AA1535" s="418"/>
      <c r="AB1535" s="418"/>
      <c r="AC1535" s="418"/>
      <c r="AD1535" s="418"/>
      <c r="AE1535" s="418"/>
      <c r="AF1535" s="418"/>
      <c r="AG1535" s="418"/>
      <c r="AH1535" s="418"/>
      <c r="AI1535" s="418"/>
      <c r="AJ1535" s="418"/>
      <c r="AK1535" s="418"/>
      <c r="AL1535" s="418"/>
      <c r="AM1535" s="418"/>
      <c r="AN1535" s="418"/>
      <c r="AO1535" s="418"/>
      <c r="AP1535" s="418"/>
      <c r="AQ1535" s="418"/>
      <c r="AR1535" s="418"/>
      <c r="AS1535" s="418"/>
      <c r="AT1535" s="418"/>
      <c r="AU1535" s="418"/>
      <c r="AV1535" s="418"/>
      <c r="AW1535" s="418"/>
      <c r="AX1535" s="418"/>
      <c r="AY1535" s="418"/>
      <c r="BF1535" s="1119"/>
      <c r="BG1535" s="1119"/>
      <c r="BH1535" s="1119"/>
    </row>
    <row r="1536" spans="1:60" ht="15.75" customHeight="1">
      <c r="A1536" s="1076"/>
      <c r="B1536" s="416"/>
      <c r="C1536" s="424"/>
      <c r="E1536" s="418"/>
      <c r="F1536" s="493"/>
      <c r="G1536" s="418"/>
      <c r="H1536" s="421"/>
      <c r="I1536" s="421"/>
      <c r="J1536" s="492"/>
      <c r="K1536" s="418"/>
      <c r="L1536" s="418"/>
      <c r="M1536" s="418"/>
      <c r="N1536" s="421"/>
      <c r="O1536" s="421"/>
      <c r="P1536" s="421"/>
      <c r="Q1536" s="418"/>
      <c r="R1536" s="418"/>
      <c r="S1536" s="418"/>
      <c r="T1536" s="418"/>
      <c r="U1536" s="418"/>
      <c r="V1536" s="418"/>
      <c r="W1536" s="418"/>
      <c r="X1536" s="418"/>
      <c r="Y1536" s="418"/>
      <c r="Z1536" s="418"/>
      <c r="AA1536" s="418"/>
      <c r="AB1536" s="418"/>
      <c r="AC1536" s="418"/>
      <c r="AD1536" s="418"/>
      <c r="AE1536" s="418"/>
      <c r="AF1536" s="418"/>
      <c r="AG1536" s="418"/>
      <c r="AH1536" s="418"/>
      <c r="AI1536" s="418"/>
      <c r="AJ1536" s="418"/>
      <c r="AK1536" s="418"/>
      <c r="AL1536" s="418"/>
      <c r="AM1536" s="418"/>
      <c r="AN1536" s="418"/>
      <c r="AO1536" s="418"/>
      <c r="AP1536" s="418"/>
      <c r="AQ1536" s="418"/>
      <c r="AR1536" s="418"/>
      <c r="AS1536" s="418"/>
      <c r="AT1536" s="418"/>
      <c r="AU1536" s="418"/>
      <c r="AV1536" s="418"/>
      <c r="AW1536" s="418"/>
      <c r="AX1536" s="418"/>
      <c r="AY1536" s="418"/>
      <c r="BF1536" s="1119"/>
      <c r="BG1536" s="1119"/>
      <c r="BH1536" s="1119"/>
    </row>
    <row r="1537" spans="1:60" ht="15.75" customHeight="1">
      <c r="A1537" s="1076"/>
      <c r="B1537" s="416"/>
      <c r="C1537" s="424"/>
      <c r="E1537" s="418"/>
      <c r="F1537" s="493"/>
      <c r="G1537" s="418"/>
      <c r="H1537" s="421"/>
      <c r="I1537" s="421"/>
      <c r="J1537" s="492"/>
      <c r="K1537" s="418"/>
      <c r="L1537" s="418"/>
      <c r="M1537" s="418"/>
      <c r="N1537" s="421"/>
      <c r="O1537" s="421"/>
      <c r="P1537" s="421"/>
      <c r="Q1537" s="418"/>
      <c r="R1537" s="418"/>
      <c r="S1537" s="418"/>
      <c r="T1537" s="418"/>
      <c r="U1537" s="418"/>
      <c r="V1537" s="418"/>
      <c r="W1537" s="418"/>
      <c r="X1537" s="418"/>
      <c r="Y1537" s="418"/>
      <c r="Z1537" s="418"/>
      <c r="AA1537" s="418"/>
      <c r="AB1537" s="418"/>
      <c r="AC1537" s="418"/>
      <c r="AD1537" s="418"/>
      <c r="AE1537" s="418"/>
      <c r="AF1537" s="418"/>
      <c r="AG1537" s="418"/>
      <c r="AH1537" s="418"/>
      <c r="AI1537" s="418"/>
      <c r="AJ1537" s="418"/>
      <c r="AK1537" s="418"/>
      <c r="AL1537" s="418"/>
      <c r="AM1537" s="418"/>
      <c r="AN1537" s="418"/>
      <c r="AO1537" s="418"/>
      <c r="AP1537" s="418"/>
      <c r="AQ1537" s="418"/>
      <c r="AR1537" s="418"/>
      <c r="AS1537" s="418"/>
      <c r="AT1537" s="418"/>
      <c r="AU1537" s="418"/>
      <c r="AV1537" s="418"/>
      <c r="AW1537" s="418"/>
      <c r="AX1537" s="418"/>
      <c r="AY1537" s="418"/>
      <c r="BF1537" s="1119"/>
      <c r="BG1537" s="1119"/>
      <c r="BH1537" s="1119"/>
    </row>
    <row r="1538" spans="1:60" ht="15.75" customHeight="1">
      <c r="A1538" s="1076"/>
      <c r="B1538" s="416"/>
      <c r="C1538" s="424"/>
      <c r="E1538" s="418"/>
      <c r="F1538" s="493"/>
      <c r="G1538" s="418"/>
      <c r="H1538" s="421"/>
      <c r="I1538" s="421"/>
      <c r="J1538" s="492"/>
      <c r="K1538" s="418"/>
      <c r="L1538" s="418"/>
      <c r="M1538" s="418"/>
      <c r="N1538" s="421"/>
      <c r="O1538" s="421"/>
      <c r="P1538" s="421"/>
      <c r="Q1538" s="418"/>
      <c r="R1538" s="418"/>
      <c r="S1538" s="418"/>
      <c r="T1538" s="418"/>
      <c r="U1538" s="418"/>
      <c r="V1538" s="418"/>
      <c r="W1538" s="418"/>
      <c r="X1538" s="418"/>
      <c r="Y1538" s="418"/>
      <c r="Z1538" s="418"/>
      <c r="AA1538" s="418"/>
      <c r="AB1538" s="418"/>
      <c r="AC1538" s="418"/>
      <c r="AD1538" s="418"/>
      <c r="AE1538" s="418"/>
      <c r="AF1538" s="418"/>
      <c r="AG1538" s="418"/>
      <c r="AH1538" s="418"/>
      <c r="AI1538" s="418"/>
      <c r="AJ1538" s="418"/>
      <c r="AK1538" s="418"/>
      <c r="AL1538" s="418"/>
      <c r="AM1538" s="418"/>
      <c r="AN1538" s="418"/>
      <c r="AO1538" s="418"/>
      <c r="AP1538" s="418"/>
      <c r="AQ1538" s="418"/>
      <c r="AR1538" s="418"/>
      <c r="AS1538" s="418"/>
      <c r="AT1538" s="418"/>
      <c r="AU1538" s="418"/>
      <c r="AV1538" s="418"/>
      <c r="AW1538" s="418"/>
      <c r="AX1538" s="418"/>
      <c r="AY1538" s="418"/>
      <c r="BF1538" s="1119"/>
      <c r="BG1538" s="1119"/>
      <c r="BH1538" s="1119"/>
    </row>
    <row r="1539" spans="1:60" ht="15.75" customHeight="1">
      <c r="A1539" s="1076"/>
      <c r="B1539" s="416"/>
      <c r="C1539" s="424"/>
      <c r="E1539" s="418"/>
      <c r="F1539" s="493"/>
      <c r="G1539" s="418"/>
      <c r="H1539" s="421"/>
      <c r="I1539" s="421"/>
      <c r="J1539" s="492"/>
      <c r="K1539" s="418"/>
      <c r="L1539" s="418"/>
      <c r="M1539" s="418"/>
      <c r="N1539" s="421"/>
      <c r="O1539" s="421"/>
      <c r="P1539" s="421"/>
      <c r="Q1539" s="418"/>
      <c r="R1539" s="418"/>
      <c r="S1539" s="418"/>
      <c r="T1539" s="418"/>
      <c r="U1539" s="418"/>
      <c r="V1539" s="418"/>
      <c r="W1539" s="418"/>
      <c r="X1539" s="418"/>
      <c r="Y1539" s="418"/>
      <c r="Z1539" s="418"/>
      <c r="AA1539" s="418"/>
      <c r="AB1539" s="418"/>
      <c r="AC1539" s="418"/>
      <c r="AD1539" s="418"/>
      <c r="AE1539" s="418"/>
      <c r="AF1539" s="418"/>
      <c r="AG1539" s="418"/>
      <c r="AH1539" s="418"/>
      <c r="AI1539" s="418"/>
      <c r="AJ1539" s="418"/>
      <c r="AK1539" s="418"/>
      <c r="AL1539" s="418"/>
      <c r="AM1539" s="418"/>
      <c r="AN1539" s="418"/>
      <c r="AO1539" s="418"/>
      <c r="AP1539" s="418"/>
      <c r="AQ1539" s="418"/>
      <c r="AR1539" s="418"/>
      <c r="AS1539" s="418"/>
      <c r="AT1539" s="418"/>
      <c r="AU1539" s="418"/>
      <c r="AV1539" s="418"/>
      <c r="AW1539" s="418"/>
      <c r="AX1539" s="418"/>
      <c r="AY1539" s="418"/>
      <c r="BF1539" s="1119"/>
      <c r="BG1539" s="1119"/>
      <c r="BH1539" s="1119"/>
    </row>
    <row r="1540" spans="1:60" ht="15.75" customHeight="1">
      <c r="A1540" s="1076"/>
      <c r="B1540" s="416"/>
      <c r="C1540" s="424"/>
      <c r="E1540" s="418"/>
      <c r="F1540" s="493"/>
      <c r="G1540" s="418"/>
      <c r="H1540" s="421"/>
      <c r="I1540" s="421"/>
      <c r="J1540" s="492"/>
      <c r="K1540" s="418"/>
      <c r="L1540" s="418"/>
      <c r="M1540" s="418"/>
      <c r="N1540" s="421"/>
      <c r="O1540" s="421"/>
      <c r="P1540" s="421"/>
      <c r="Q1540" s="418"/>
      <c r="R1540" s="418"/>
      <c r="S1540" s="418"/>
      <c r="T1540" s="418"/>
      <c r="U1540" s="418"/>
      <c r="V1540" s="418"/>
      <c r="W1540" s="418"/>
      <c r="X1540" s="418"/>
      <c r="Y1540" s="418"/>
      <c r="Z1540" s="418"/>
      <c r="AA1540" s="418"/>
      <c r="AB1540" s="418"/>
      <c r="AC1540" s="418"/>
      <c r="AD1540" s="418"/>
      <c r="AE1540" s="418"/>
      <c r="AF1540" s="418"/>
      <c r="AG1540" s="418"/>
      <c r="AH1540" s="418"/>
      <c r="AI1540" s="418"/>
      <c r="AJ1540" s="418"/>
      <c r="AK1540" s="418"/>
      <c r="AL1540" s="418"/>
      <c r="AM1540" s="418"/>
      <c r="AN1540" s="418"/>
      <c r="AO1540" s="418"/>
      <c r="AP1540" s="418"/>
      <c r="AQ1540" s="418"/>
      <c r="AR1540" s="418"/>
      <c r="AS1540" s="418"/>
      <c r="AT1540" s="418"/>
      <c r="AU1540" s="418"/>
      <c r="AV1540" s="418"/>
      <c r="AW1540" s="418"/>
      <c r="AX1540" s="418"/>
      <c r="AY1540" s="418"/>
      <c r="BF1540" s="1119"/>
      <c r="BG1540" s="1119"/>
      <c r="BH1540" s="1119"/>
    </row>
    <row r="1541" spans="1:60" ht="15.75" customHeight="1">
      <c r="A1541" s="1076"/>
      <c r="B1541" s="416"/>
      <c r="C1541" s="424"/>
      <c r="E1541" s="418"/>
      <c r="F1541" s="493"/>
      <c r="G1541" s="418"/>
      <c r="H1541" s="421"/>
      <c r="I1541" s="421"/>
      <c r="J1541" s="492"/>
      <c r="K1541" s="418"/>
      <c r="L1541" s="418"/>
      <c r="M1541" s="418"/>
      <c r="N1541" s="421"/>
      <c r="O1541" s="421"/>
      <c r="P1541" s="421"/>
      <c r="Q1541" s="418"/>
      <c r="R1541" s="418"/>
      <c r="S1541" s="418"/>
      <c r="T1541" s="418"/>
      <c r="U1541" s="418"/>
      <c r="V1541" s="418"/>
      <c r="W1541" s="418"/>
      <c r="X1541" s="418"/>
      <c r="Y1541" s="418"/>
      <c r="Z1541" s="418"/>
      <c r="AA1541" s="418"/>
      <c r="AB1541" s="418"/>
      <c r="AC1541" s="418"/>
      <c r="AD1541" s="418"/>
      <c r="AE1541" s="418"/>
      <c r="AF1541" s="418"/>
      <c r="AG1541" s="418"/>
      <c r="AH1541" s="418"/>
      <c r="AI1541" s="418"/>
      <c r="AJ1541" s="418"/>
      <c r="AK1541" s="418"/>
      <c r="AL1541" s="418"/>
      <c r="AM1541" s="418"/>
      <c r="AN1541" s="418"/>
      <c r="AO1541" s="418"/>
      <c r="AP1541" s="418"/>
      <c r="AQ1541" s="418"/>
      <c r="AR1541" s="418"/>
      <c r="AS1541" s="418"/>
      <c r="AT1541" s="418"/>
      <c r="AU1541" s="418"/>
      <c r="AV1541" s="418"/>
      <c r="AW1541" s="418"/>
      <c r="AX1541" s="418"/>
      <c r="AY1541" s="418"/>
      <c r="BF1541" s="1119"/>
      <c r="BG1541" s="1119"/>
      <c r="BH1541" s="1119"/>
    </row>
    <row r="1542" spans="1:60" ht="15.75" customHeight="1">
      <c r="A1542" s="1076"/>
      <c r="B1542" s="416"/>
      <c r="C1542" s="424"/>
      <c r="E1542" s="418"/>
      <c r="F1542" s="493"/>
      <c r="G1542" s="418"/>
      <c r="H1542" s="421"/>
      <c r="I1542" s="421"/>
      <c r="J1542" s="492"/>
      <c r="K1542" s="418"/>
      <c r="L1542" s="418"/>
      <c r="M1542" s="418"/>
      <c r="N1542" s="421"/>
      <c r="O1542" s="421"/>
      <c r="P1542" s="421"/>
      <c r="Q1542" s="418"/>
      <c r="R1542" s="418"/>
      <c r="S1542" s="418"/>
      <c r="T1542" s="418"/>
      <c r="U1542" s="418"/>
      <c r="V1542" s="418"/>
      <c r="W1542" s="418"/>
      <c r="X1542" s="418"/>
      <c r="Y1542" s="418"/>
      <c r="Z1542" s="418"/>
      <c r="AA1542" s="418"/>
      <c r="AB1542" s="418"/>
      <c r="AC1542" s="418"/>
      <c r="AD1542" s="418"/>
      <c r="AE1542" s="418"/>
      <c r="AF1542" s="418"/>
      <c r="AG1542" s="418"/>
      <c r="AH1542" s="418"/>
      <c r="AI1542" s="418"/>
      <c r="AJ1542" s="418"/>
      <c r="AK1542" s="418"/>
      <c r="AL1542" s="418"/>
      <c r="AM1542" s="418"/>
      <c r="AN1542" s="418"/>
      <c r="AO1542" s="418"/>
      <c r="AP1542" s="418"/>
      <c r="AQ1542" s="418"/>
      <c r="AR1542" s="418"/>
      <c r="AS1542" s="418"/>
      <c r="AT1542" s="418"/>
      <c r="AU1542" s="418"/>
      <c r="AV1542" s="418"/>
      <c r="AW1542" s="418"/>
      <c r="AX1542" s="418"/>
      <c r="AY1542" s="418"/>
      <c r="BF1542" s="1119"/>
      <c r="BG1542" s="1119"/>
      <c r="BH1542" s="1119"/>
    </row>
    <row r="1543" spans="1:60" ht="15.75" customHeight="1">
      <c r="A1543" s="1076"/>
      <c r="B1543" s="416"/>
      <c r="C1543" s="424"/>
      <c r="E1543" s="418"/>
      <c r="F1543" s="493"/>
      <c r="G1543" s="418"/>
      <c r="H1543" s="421"/>
      <c r="I1543" s="421"/>
      <c r="J1543" s="492"/>
      <c r="K1543" s="418"/>
      <c r="L1543" s="418"/>
      <c r="M1543" s="418"/>
      <c r="N1543" s="421"/>
      <c r="O1543" s="421"/>
      <c r="P1543" s="421"/>
      <c r="Q1543" s="418"/>
      <c r="R1543" s="418"/>
      <c r="S1543" s="418"/>
      <c r="T1543" s="418"/>
      <c r="U1543" s="418"/>
      <c r="V1543" s="418"/>
      <c r="W1543" s="418"/>
      <c r="X1543" s="418"/>
      <c r="Y1543" s="418"/>
      <c r="Z1543" s="418"/>
      <c r="AA1543" s="418"/>
      <c r="AB1543" s="418"/>
      <c r="AC1543" s="418"/>
      <c r="AD1543" s="418"/>
      <c r="AE1543" s="418"/>
      <c r="AF1543" s="418"/>
      <c r="AG1543" s="418"/>
      <c r="AH1543" s="418"/>
      <c r="AI1543" s="418"/>
      <c r="AJ1543" s="418"/>
      <c r="AK1543" s="418"/>
      <c r="AL1543" s="418"/>
      <c r="AM1543" s="418"/>
      <c r="AN1543" s="418"/>
      <c r="AO1543" s="418"/>
      <c r="AP1543" s="418"/>
      <c r="AQ1543" s="418"/>
      <c r="AR1543" s="418"/>
      <c r="AS1543" s="418"/>
      <c r="AT1543" s="418"/>
      <c r="AU1543" s="418"/>
      <c r="AV1543" s="418"/>
      <c r="AW1543" s="418"/>
      <c r="AX1543" s="418"/>
      <c r="AY1543" s="418"/>
      <c r="BF1543" s="1119"/>
      <c r="BG1543" s="1119"/>
      <c r="BH1543" s="1119"/>
    </row>
    <row r="1544" spans="1:60" ht="15.75" customHeight="1">
      <c r="A1544" s="1076"/>
      <c r="B1544" s="416"/>
      <c r="C1544" s="424"/>
      <c r="E1544" s="418"/>
      <c r="F1544" s="493"/>
      <c r="G1544" s="418"/>
      <c r="H1544" s="421"/>
      <c r="I1544" s="421"/>
      <c r="J1544" s="492"/>
      <c r="K1544" s="418"/>
      <c r="L1544" s="418"/>
      <c r="M1544" s="418"/>
      <c r="N1544" s="421"/>
      <c r="O1544" s="421"/>
      <c r="P1544" s="421"/>
      <c r="Q1544" s="418"/>
      <c r="R1544" s="418"/>
      <c r="S1544" s="418"/>
      <c r="T1544" s="418"/>
      <c r="U1544" s="418"/>
      <c r="V1544" s="418"/>
      <c r="W1544" s="418"/>
      <c r="X1544" s="418"/>
      <c r="Y1544" s="418"/>
      <c r="Z1544" s="418"/>
      <c r="AA1544" s="418"/>
      <c r="AB1544" s="418"/>
      <c r="AC1544" s="418"/>
      <c r="AD1544" s="418"/>
      <c r="AE1544" s="418"/>
      <c r="AF1544" s="418"/>
      <c r="AG1544" s="418"/>
      <c r="AH1544" s="418"/>
      <c r="AI1544" s="418"/>
      <c r="AJ1544" s="418"/>
      <c r="AK1544" s="418"/>
      <c r="AL1544" s="418"/>
      <c r="AM1544" s="418"/>
      <c r="AN1544" s="418"/>
      <c r="AO1544" s="418"/>
      <c r="AP1544" s="418"/>
      <c r="AQ1544" s="418"/>
      <c r="AR1544" s="418"/>
      <c r="AS1544" s="418"/>
      <c r="AT1544" s="418"/>
      <c r="AU1544" s="418"/>
      <c r="AV1544" s="418"/>
      <c r="AW1544" s="418"/>
      <c r="AX1544" s="418"/>
      <c r="AY1544" s="418"/>
      <c r="BF1544" s="1119"/>
      <c r="BG1544" s="1119"/>
      <c r="BH1544" s="1119"/>
    </row>
    <row r="1545" spans="1:60" ht="15.75" customHeight="1">
      <c r="A1545" s="1076"/>
      <c r="B1545" s="416"/>
      <c r="C1545" s="424"/>
      <c r="E1545" s="418"/>
      <c r="F1545" s="493"/>
      <c r="G1545" s="418"/>
      <c r="H1545" s="421"/>
      <c r="I1545" s="421"/>
      <c r="J1545" s="492"/>
      <c r="K1545" s="418"/>
      <c r="L1545" s="418"/>
      <c r="M1545" s="418"/>
      <c r="N1545" s="421"/>
      <c r="O1545" s="421"/>
      <c r="P1545" s="421"/>
      <c r="Q1545" s="418"/>
      <c r="R1545" s="418"/>
      <c r="S1545" s="418"/>
      <c r="T1545" s="418"/>
      <c r="U1545" s="418"/>
      <c r="V1545" s="418"/>
      <c r="W1545" s="418"/>
      <c r="X1545" s="418"/>
      <c r="Y1545" s="418"/>
      <c r="Z1545" s="418"/>
      <c r="AA1545" s="418"/>
      <c r="AB1545" s="418"/>
      <c r="AC1545" s="418"/>
      <c r="AD1545" s="418"/>
      <c r="AE1545" s="418"/>
      <c r="AF1545" s="418"/>
      <c r="AG1545" s="418"/>
      <c r="AH1545" s="418"/>
      <c r="AI1545" s="418"/>
      <c r="AJ1545" s="418"/>
      <c r="AK1545" s="418"/>
      <c r="AL1545" s="418"/>
      <c r="AM1545" s="418"/>
      <c r="AN1545" s="418"/>
      <c r="AO1545" s="418"/>
      <c r="AP1545" s="418"/>
      <c r="AQ1545" s="418"/>
      <c r="AR1545" s="418"/>
      <c r="AS1545" s="418"/>
      <c r="AT1545" s="418"/>
      <c r="AU1545" s="418"/>
      <c r="AV1545" s="418"/>
      <c r="AW1545" s="418"/>
      <c r="AX1545" s="418"/>
      <c r="AY1545" s="418"/>
      <c r="BF1545" s="1119"/>
      <c r="BG1545" s="1119"/>
      <c r="BH1545" s="1119"/>
    </row>
    <row r="1546" spans="1:60" ht="15.75" customHeight="1">
      <c r="A1546" s="1076"/>
      <c r="B1546" s="416"/>
      <c r="C1546" s="424"/>
      <c r="E1546" s="418"/>
      <c r="F1546" s="493"/>
      <c r="G1546" s="418"/>
      <c r="H1546" s="421"/>
      <c r="I1546" s="421"/>
      <c r="J1546" s="492"/>
      <c r="K1546" s="418"/>
      <c r="L1546" s="418"/>
      <c r="M1546" s="418"/>
      <c r="N1546" s="421"/>
      <c r="O1546" s="421"/>
      <c r="P1546" s="421"/>
      <c r="Q1546" s="418"/>
      <c r="R1546" s="418"/>
      <c r="S1546" s="418"/>
      <c r="T1546" s="418"/>
      <c r="U1546" s="418"/>
      <c r="V1546" s="418"/>
      <c r="W1546" s="418"/>
      <c r="X1546" s="418"/>
      <c r="Y1546" s="418"/>
      <c r="Z1546" s="418"/>
      <c r="AA1546" s="418"/>
      <c r="AB1546" s="418"/>
      <c r="AC1546" s="418"/>
      <c r="AD1546" s="418"/>
      <c r="AE1546" s="418"/>
      <c r="AF1546" s="418"/>
      <c r="AG1546" s="418"/>
      <c r="AH1546" s="418"/>
      <c r="AI1546" s="418"/>
      <c r="AJ1546" s="418"/>
      <c r="AK1546" s="418"/>
      <c r="AL1546" s="418"/>
      <c r="AM1546" s="418"/>
      <c r="AN1546" s="418"/>
      <c r="AO1546" s="418"/>
      <c r="AP1546" s="418"/>
      <c r="AQ1546" s="418"/>
      <c r="AR1546" s="418"/>
      <c r="AS1546" s="418"/>
      <c r="AT1546" s="418"/>
      <c r="AU1546" s="418"/>
      <c r="AV1546" s="418"/>
      <c r="AW1546" s="418"/>
      <c r="AX1546" s="418"/>
      <c r="AY1546" s="418"/>
      <c r="BF1546" s="1119"/>
      <c r="BG1546" s="1119"/>
      <c r="BH1546" s="1119"/>
    </row>
    <row r="1547" spans="1:60" ht="15.75" customHeight="1">
      <c r="A1547" s="1076"/>
      <c r="B1547" s="416"/>
      <c r="C1547" s="424"/>
      <c r="E1547" s="418"/>
      <c r="F1547" s="493"/>
      <c r="G1547" s="418"/>
      <c r="H1547" s="421"/>
      <c r="I1547" s="421"/>
      <c r="J1547" s="492"/>
      <c r="K1547" s="418"/>
      <c r="L1547" s="418"/>
      <c r="M1547" s="418"/>
      <c r="N1547" s="421"/>
      <c r="O1547" s="421"/>
      <c r="P1547" s="421"/>
      <c r="Q1547" s="418"/>
      <c r="R1547" s="418"/>
      <c r="S1547" s="418"/>
      <c r="T1547" s="418"/>
      <c r="U1547" s="418"/>
      <c r="V1547" s="418"/>
      <c r="W1547" s="418"/>
      <c r="X1547" s="418"/>
      <c r="Y1547" s="418"/>
      <c r="Z1547" s="418"/>
      <c r="AA1547" s="418"/>
      <c r="AB1547" s="418"/>
      <c r="AC1547" s="418"/>
      <c r="AD1547" s="418"/>
      <c r="AE1547" s="418"/>
      <c r="AF1547" s="418"/>
      <c r="AG1547" s="418"/>
      <c r="AH1547" s="418"/>
      <c r="AI1547" s="418"/>
      <c r="AJ1547" s="418"/>
      <c r="AK1547" s="418"/>
      <c r="AL1547" s="418"/>
      <c r="AM1547" s="418"/>
      <c r="AN1547" s="418"/>
      <c r="AO1547" s="418"/>
      <c r="AP1547" s="418"/>
      <c r="AQ1547" s="418"/>
      <c r="AR1547" s="418"/>
      <c r="AS1547" s="418"/>
      <c r="AT1547" s="418"/>
      <c r="AU1547" s="418"/>
      <c r="AV1547" s="418"/>
      <c r="AW1547" s="418"/>
      <c r="AX1547" s="418"/>
      <c r="AY1547" s="418"/>
      <c r="BF1547" s="1119"/>
      <c r="BG1547" s="1119"/>
      <c r="BH1547" s="1119"/>
    </row>
    <row r="1548" spans="1:60" ht="15.75" customHeight="1">
      <c r="A1548" s="1076"/>
      <c r="B1548" s="416"/>
      <c r="C1548" s="424"/>
      <c r="E1548" s="418"/>
      <c r="F1548" s="493"/>
      <c r="G1548" s="418"/>
      <c r="H1548" s="421"/>
      <c r="I1548" s="421"/>
      <c r="J1548" s="492"/>
      <c r="K1548" s="418"/>
      <c r="L1548" s="418"/>
      <c r="M1548" s="418"/>
      <c r="N1548" s="421"/>
      <c r="O1548" s="421"/>
      <c r="P1548" s="421"/>
      <c r="Q1548" s="418"/>
      <c r="R1548" s="418"/>
      <c r="S1548" s="418"/>
      <c r="T1548" s="418"/>
      <c r="U1548" s="418"/>
      <c r="V1548" s="418"/>
      <c r="W1548" s="418"/>
      <c r="X1548" s="418"/>
      <c r="Y1548" s="418"/>
      <c r="Z1548" s="418"/>
      <c r="AA1548" s="418"/>
      <c r="AB1548" s="418"/>
      <c r="AC1548" s="418"/>
      <c r="AD1548" s="418"/>
      <c r="AE1548" s="418"/>
      <c r="AF1548" s="418"/>
      <c r="AG1548" s="418"/>
      <c r="AH1548" s="418"/>
      <c r="AI1548" s="418"/>
      <c r="AJ1548" s="418"/>
      <c r="AK1548" s="418"/>
      <c r="AL1548" s="418"/>
      <c r="AM1548" s="418"/>
      <c r="AN1548" s="418"/>
      <c r="AO1548" s="418"/>
      <c r="AP1548" s="418"/>
      <c r="AQ1548" s="418"/>
      <c r="AR1548" s="418"/>
      <c r="AS1548" s="418"/>
      <c r="AT1548" s="418"/>
      <c r="AU1548" s="418"/>
      <c r="AV1548" s="418"/>
      <c r="AW1548" s="418"/>
      <c r="AX1548" s="418"/>
      <c r="AY1548" s="418"/>
      <c r="BF1548" s="1119"/>
      <c r="BG1548" s="1119"/>
      <c r="BH1548" s="1119"/>
    </row>
    <row r="1549" spans="1:60" ht="15.75" customHeight="1">
      <c r="A1549" s="1076"/>
      <c r="B1549" s="416"/>
      <c r="C1549" s="424"/>
      <c r="E1549" s="418"/>
      <c r="F1549" s="493"/>
      <c r="G1549" s="418"/>
      <c r="H1549" s="421"/>
      <c r="I1549" s="421"/>
      <c r="J1549" s="492"/>
      <c r="K1549" s="418"/>
      <c r="L1549" s="418"/>
      <c r="M1549" s="418"/>
      <c r="N1549" s="421"/>
      <c r="O1549" s="421"/>
      <c r="P1549" s="421"/>
      <c r="Q1549" s="418"/>
      <c r="R1549" s="418"/>
      <c r="S1549" s="418"/>
      <c r="T1549" s="418"/>
      <c r="U1549" s="418"/>
      <c r="V1549" s="418"/>
      <c r="W1549" s="418"/>
      <c r="X1549" s="418"/>
      <c r="Y1549" s="418"/>
      <c r="Z1549" s="418"/>
      <c r="AA1549" s="418"/>
      <c r="AB1549" s="418"/>
      <c r="AC1549" s="418"/>
      <c r="AD1549" s="418"/>
      <c r="AE1549" s="418"/>
      <c r="AF1549" s="418"/>
      <c r="AG1549" s="418"/>
      <c r="AH1549" s="418"/>
      <c r="AI1549" s="418"/>
      <c r="AJ1549" s="418"/>
      <c r="AK1549" s="418"/>
      <c r="AL1549" s="418"/>
      <c r="AM1549" s="418"/>
      <c r="AN1549" s="418"/>
      <c r="AO1549" s="418"/>
      <c r="AP1549" s="418"/>
      <c r="AQ1549" s="418"/>
      <c r="AR1549" s="418"/>
      <c r="AS1549" s="418"/>
      <c r="AT1549" s="418"/>
      <c r="AU1549" s="418"/>
      <c r="AV1549" s="418"/>
      <c r="AW1549" s="418"/>
      <c r="AX1549" s="418"/>
      <c r="AY1549" s="418"/>
      <c r="BF1549" s="1119"/>
      <c r="BG1549" s="1119"/>
      <c r="BH1549" s="1119"/>
    </row>
    <row r="1550" spans="1:60" ht="15.75" customHeight="1">
      <c r="A1550" s="1076"/>
      <c r="B1550" s="416"/>
      <c r="C1550" s="424"/>
      <c r="E1550" s="418"/>
      <c r="F1550" s="493"/>
      <c r="G1550" s="418"/>
      <c r="H1550" s="421"/>
      <c r="I1550" s="421"/>
      <c r="J1550" s="492"/>
      <c r="K1550" s="418"/>
      <c r="L1550" s="418"/>
      <c r="M1550" s="418"/>
      <c r="N1550" s="421"/>
      <c r="O1550" s="421"/>
      <c r="P1550" s="421"/>
      <c r="Q1550" s="418"/>
      <c r="R1550" s="418"/>
      <c r="S1550" s="418"/>
      <c r="T1550" s="418"/>
      <c r="U1550" s="418"/>
      <c r="V1550" s="418"/>
      <c r="W1550" s="418"/>
      <c r="X1550" s="418"/>
      <c r="Y1550" s="418"/>
      <c r="Z1550" s="418"/>
      <c r="AA1550" s="418"/>
      <c r="AB1550" s="418"/>
      <c r="AC1550" s="418"/>
      <c r="AD1550" s="418"/>
      <c r="AE1550" s="418"/>
      <c r="AF1550" s="418"/>
      <c r="AG1550" s="418"/>
      <c r="AH1550" s="418"/>
      <c r="AI1550" s="418"/>
      <c r="AJ1550" s="418"/>
      <c r="AK1550" s="418"/>
      <c r="AL1550" s="418"/>
      <c r="AM1550" s="418"/>
      <c r="AN1550" s="418"/>
      <c r="AO1550" s="418"/>
      <c r="AP1550" s="418"/>
      <c r="AQ1550" s="418"/>
      <c r="AR1550" s="418"/>
      <c r="AS1550" s="418"/>
      <c r="AT1550" s="418"/>
      <c r="AU1550" s="418"/>
      <c r="AV1550" s="418"/>
      <c r="AW1550" s="418"/>
      <c r="AX1550" s="418"/>
      <c r="AY1550" s="418"/>
      <c r="BF1550" s="1119"/>
      <c r="BG1550" s="1119"/>
      <c r="BH1550" s="1119"/>
    </row>
    <row r="1551" spans="1:60" ht="15.75" customHeight="1">
      <c r="A1551" s="1076"/>
      <c r="B1551" s="416"/>
      <c r="C1551" s="424"/>
      <c r="E1551" s="418"/>
      <c r="F1551" s="493"/>
      <c r="G1551" s="418"/>
      <c r="H1551" s="421"/>
      <c r="I1551" s="421"/>
      <c r="J1551" s="492"/>
      <c r="K1551" s="418"/>
      <c r="L1551" s="418"/>
      <c r="M1551" s="418"/>
      <c r="N1551" s="421"/>
      <c r="O1551" s="421"/>
      <c r="P1551" s="421"/>
      <c r="Q1551" s="418"/>
      <c r="R1551" s="418"/>
      <c r="S1551" s="418"/>
      <c r="T1551" s="418"/>
      <c r="U1551" s="418"/>
      <c r="V1551" s="418"/>
      <c r="W1551" s="418"/>
      <c r="X1551" s="418"/>
      <c r="Y1551" s="418"/>
      <c r="Z1551" s="418"/>
      <c r="AA1551" s="418"/>
      <c r="AB1551" s="418"/>
      <c r="AC1551" s="418"/>
      <c r="AD1551" s="418"/>
      <c r="AE1551" s="418"/>
      <c r="AF1551" s="418"/>
      <c r="AG1551" s="418"/>
      <c r="AH1551" s="418"/>
      <c r="AI1551" s="418"/>
      <c r="AJ1551" s="418"/>
      <c r="AK1551" s="418"/>
      <c r="AL1551" s="418"/>
      <c r="AM1551" s="418"/>
      <c r="AN1551" s="418"/>
      <c r="AO1551" s="418"/>
      <c r="AP1551" s="418"/>
      <c r="AQ1551" s="418"/>
      <c r="AR1551" s="418"/>
      <c r="AS1551" s="418"/>
      <c r="AT1551" s="418"/>
      <c r="AU1551" s="418"/>
      <c r="AV1551" s="418"/>
      <c r="AW1551" s="418"/>
      <c r="AX1551" s="418"/>
      <c r="AY1551" s="418"/>
      <c r="BF1551" s="1119"/>
      <c r="BG1551" s="1119"/>
      <c r="BH1551" s="1119"/>
    </row>
    <row r="1552" spans="1:60" ht="15.75" customHeight="1">
      <c r="A1552" s="1076"/>
      <c r="B1552" s="416"/>
      <c r="C1552" s="424"/>
      <c r="E1552" s="418"/>
      <c r="F1552" s="493"/>
      <c r="G1552" s="418"/>
      <c r="H1552" s="421"/>
      <c r="I1552" s="421"/>
      <c r="J1552" s="492"/>
      <c r="K1552" s="418"/>
      <c r="L1552" s="418"/>
      <c r="M1552" s="418"/>
      <c r="N1552" s="421"/>
      <c r="O1552" s="421"/>
      <c r="P1552" s="421"/>
      <c r="Q1552" s="418"/>
      <c r="R1552" s="418"/>
      <c r="S1552" s="418"/>
      <c r="T1552" s="418"/>
      <c r="U1552" s="418"/>
      <c r="V1552" s="418"/>
      <c r="W1552" s="418"/>
      <c r="X1552" s="418"/>
      <c r="Y1552" s="418"/>
      <c r="Z1552" s="418"/>
      <c r="AA1552" s="418"/>
      <c r="AB1552" s="418"/>
      <c r="AC1552" s="418"/>
      <c r="AD1552" s="418"/>
      <c r="AE1552" s="418"/>
      <c r="AF1552" s="418"/>
      <c r="AG1552" s="418"/>
      <c r="AH1552" s="418"/>
      <c r="AI1552" s="418"/>
      <c r="AJ1552" s="418"/>
      <c r="AK1552" s="418"/>
      <c r="AL1552" s="418"/>
      <c r="AM1552" s="418"/>
      <c r="AN1552" s="418"/>
      <c r="AO1552" s="418"/>
      <c r="AP1552" s="418"/>
      <c r="AQ1552" s="418"/>
      <c r="AR1552" s="418"/>
      <c r="AS1552" s="418"/>
      <c r="AT1552" s="418"/>
      <c r="AU1552" s="418"/>
      <c r="AV1552" s="418"/>
      <c r="AW1552" s="418"/>
      <c r="AX1552" s="418"/>
      <c r="AY1552" s="418"/>
      <c r="BF1552" s="1119"/>
      <c r="BG1552" s="1119"/>
      <c r="BH1552" s="1119"/>
    </row>
    <row r="1553" spans="1:60" ht="15.75" customHeight="1">
      <c r="A1553" s="1076"/>
      <c r="B1553" s="416"/>
      <c r="C1553" s="424"/>
      <c r="E1553" s="418"/>
      <c r="F1553" s="493"/>
      <c r="G1553" s="418"/>
      <c r="H1553" s="421"/>
      <c r="I1553" s="421"/>
      <c r="J1553" s="492"/>
      <c r="K1553" s="418"/>
      <c r="L1553" s="418"/>
      <c r="M1553" s="418"/>
      <c r="N1553" s="421"/>
      <c r="O1553" s="421"/>
      <c r="P1553" s="421"/>
      <c r="Q1553" s="418"/>
      <c r="R1553" s="418"/>
      <c r="S1553" s="418"/>
      <c r="T1553" s="418"/>
      <c r="U1553" s="418"/>
      <c r="V1553" s="418"/>
      <c r="W1553" s="418"/>
      <c r="X1553" s="418"/>
      <c r="Y1553" s="418"/>
      <c r="Z1553" s="418"/>
      <c r="AA1553" s="418"/>
      <c r="AB1553" s="418"/>
      <c r="AC1553" s="418"/>
      <c r="AD1553" s="418"/>
      <c r="AE1553" s="418"/>
      <c r="AF1553" s="418"/>
      <c r="AG1553" s="418"/>
      <c r="AH1553" s="418"/>
      <c r="AI1553" s="418"/>
      <c r="AJ1553" s="418"/>
      <c r="AK1553" s="418"/>
      <c r="AL1553" s="418"/>
      <c r="AM1553" s="418"/>
      <c r="AN1553" s="418"/>
      <c r="AO1553" s="418"/>
      <c r="AP1553" s="418"/>
      <c r="AQ1553" s="418"/>
      <c r="AR1553" s="418"/>
      <c r="AS1553" s="418"/>
      <c r="AT1553" s="418"/>
      <c r="AU1553" s="418"/>
      <c r="AV1553" s="418"/>
      <c r="AW1553" s="418"/>
      <c r="AX1553" s="418"/>
      <c r="AY1553" s="418"/>
      <c r="BF1553" s="1119"/>
      <c r="BG1553" s="1119"/>
      <c r="BH1553" s="1119"/>
    </row>
    <row r="1554" spans="1:60" ht="15.75" customHeight="1">
      <c r="A1554" s="1076"/>
      <c r="B1554" s="416"/>
      <c r="C1554" s="424"/>
      <c r="E1554" s="418"/>
      <c r="F1554" s="493"/>
      <c r="G1554" s="418"/>
      <c r="H1554" s="421"/>
      <c r="I1554" s="421"/>
      <c r="J1554" s="492"/>
      <c r="K1554" s="418"/>
      <c r="L1554" s="418"/>
      <c r="M1554" s="418"/>
      <c r="N1554" s="421"/>
      <c r="O1554" s="421"/>
      <c r="P1554" s="421"/>
      <c r="Q1554" s="418"/>
      <c r="R1554" s="418"/>
      <c r="S1554" s="418"/>
      <c r="T1554" s="418"/>
      <c r="U1554" s="418"/>
      <c r="V1554" s="418"/>
      <c r="W1554" s="418"/>
      <c r="X1554" s="418"/>
      <c r="Y1554" s="418"/>
      <c r="Z1554" s="418"/>
      <c r="AA1554" s="418"/>
      <c r="AB1554" s="418"/>
      <c r="AC1554" s="418"/>
      <c r="AD1554" s="418"/>
      <c r="AE1554" s="418"/>
      <c r="AF1554" s="418"/>
      <c r="AG1554" s="418"/>
      <c r="AH1554" s="418"/>
      <c r="AI1554" s="418"/>
      <c r="AJ1554" s="418"/>
      <c r="AK1554" s="418"/>
      <c r="AL1554" s="418"/>
      <c r="AM1554" s="418"/>
      <c r="AN1554" s="418"/>
      <c r="AO1554" s="418"/>
      <c r="AP1554" s="418"/>
      <c r="AQ1554" s="418"/>
      <c r="AR1554" s="418"/>
      <c r="AS1554" s="418"/>
      <c r="AT1554" s="418"/>
      <c r="AU1554" s="418"/>
      <c r="AV1554" s="418"/>
      <c r="AW1554" s="418"/>
      <c r="AX1554" s="418"/>
      <c r="AY1554" s="418"/>
      <c r="BF1554" s="1119"/>
      <c r="BG1554" s="1119"/>
      <c r="BH1554" s="1119"/>
    </row>
    <row r="1555" spans="1:60" ht="15.75" customHeight="1">
      <c r="A1555" s="1076"/>
      <c r="B1555" s="416"/>
      <c r="C1555" s="424"/>
      <c r="E1555" s="418"/>
      <c r="F1555" s="493"/>
      <c r="G1555" s="418"/>
      <c r="H1555" s="421"/>
      <c r="I1555" s="421"/>
      <c r="J1555" s="492"/>
      <c r="K1555" s="418"/>
      <c r="L1555" s="418"/>
      <c r="M1555" s="418"/>
      <c r="N1555" s="421"/>
      <c r="O1555" s="421"/>
      <c r="P1555" s="421"/>
      <c r="Q1555" s="418"/>
      <c r="R1555" s="418"/>
      <c r="S1555" s="418"/>
      <c r="T1555" s="418"/>
      <c r="U1555" s="418"/>
      <c r="V1555" s="418"/>
      <c r="W1555" s="418"/>
      <c r="X1555" s="418"/>
      <c r="Y1555" s="418"/>
      <c r="Z1555" s="418"/>
      <c r="AA1555" s="418"/>
      <c r="AB1555" s="418"/>
      <c r="AC1555" s="418"/>
      <c r="AD1555" s="418"/>
      <c r="AE1555" s="418"/>
      <c r="AF1555" s="418"/>
      <c r="AG1555" s="418"/>
      <c r="AH1555" s="418"/>
      <c r="AI1555" s="418"/>
      <c r="AJ1555" s="418"/>
      <c r="AK1555" s="418"/>
      <c r="AL1555" s="418"/>
      <c r="AM1555" s="418"/>
      <c r="AN1555" s="418"/>
      <c r="AO1555" s="418"/>
      <c r="AP1555" s="418"/>
      <c r="AQ1555" s="418"/>
      <c r="AR1555" s="418"/>
      <c r="AS1555" s="418"/>
      <c r="AT1555" s="418"/>
      <c r="AU1555" s="418"/>
      <c r="AV1555" s="418"/>
      <c r="AW1555" s="418"/>
      <c r="AX1555" s="418"/>
      <c r="AY1555" s="418"/>
      <c r="BF1555" s="1119"/>
      <c r="BG1555" s="1119"/>
      <c r="BH1555" s="1119"/>
    </row>
    <row r="1556" spans="1:60" ht="15.75" customHeight="1">
      <c r="A1556" s="1076"/>
      <c r="B1556" s="416"/>
      <c r="C1556" s="424"/>
      <c r="E1556" s="418"/>
      <c r="F1556" s="493"/>
      <c r="G1556" s="418"/>
      <c r="H1556" s="421"/>
      <c r="I1556" s="421"/>
      <c r="J1556" s="492"/>
      <c r="K1556" s="418"/>
      <c r="L1556" s="418"/>
      <c r="M1556" s="418"/>
      <c r="N1556" s="421"/>
      <c r="O1556" s="421"/>
      <c r="P1556" s="421"/>
      <c r="Q1556" s="418"/>
      <c r="R1556" s="418"/>
      <c r="S1556" s="418"/>
      <c r="T1556" s="418"/>
      <c r="U1556" s="418"/>
      <c r="V1556" s="418"/>
      <c r="W1556" s="418"/>
      <c r="X1556" s="418"/>
      <c r="Y1556" s="418"/>
      <c r="Z1556" s="418"/>
      <c r="AA1556" s="418"/>
      <c r="AB1556" s="418"/>
      <c r="AC1556" s="418"/>
      <c r="AD1556" s="418"/>
      <c r="AE1556" s="418"/>
      <c r="AF1556" s="418"/>
      <c r="AG1556" s="418"/>
      <c r="AH1556" s="418"/>
      <c r="AI1556" s="418"/>
      <c r="AJ1556" s="418"/>
      <c r="AK1556" s="418"/>
      <c r="AL1556" s="418"/>
      <c r="AM1556" s="418"/>
      <c r="AN1556" s="418"/>
      <c r="AO1556" s="418"/>
      <c r="AP1556" s="418"/>
      <c r="AQ1556" s="418"/>
      <c r="AR1556" s="418"/>
      <c r="AS1556" s="418"/>
      <c r="AT1556" s="418"/>
      <c r="AU1556" s="418"/>
      <c r="AV1556" s="418"/>
      <c r="AW1556" s="418"/>
      <c r="AX1556" s="418"/>
      <c r="AY1556" s="418"/>
      <c r="BF1556" s="1119"/>
      <c r="BG1556" s="1119"/>
      <c r="BH1556" s="1119"/>
    </row>
    <row r="1557" spans="1:60" ht="15.75" customHeight="1">
      <c r="A1557" s="1076"/>
      <c r="B1557" s="416"/>
      <c r="C1557" s="424"/>
      <c r="E1557" s="418"/>
      <c r="F1557" s="493"/>
      <c r="G1557" s="418"/>
      <c r="H1557" s="421"/>
      <c r="I1557" s="421"/>
      <c r="J1557" s="492"/>
      <c r="K1557" s="418"/>
      <c r="L1557" s="418"/>
      <c r="M1557" s="418"/>
      <c r="N1557" s="421"/>
      <c r="O1557" s="421"/>
      <c r="P1557" s="421"/>
      <c r="Q1557" s="418"/>
      <c r="R1557" s="418"/>
      <c r="S1557" s="418"/>
      <c r="T1557" s="418"/>
      <c r="U1557" s="418"/>
      <c r="V1557" s="418"/>
      <c r="W1557" s="418"/>
      <c r="X1557" s="418"/>
      <c r="Y1557" s="418"/>
      <c r="Z1557" s="418"/>
      <c r="AA1557" s="418"/>
      <c r="AB1557" s="418"/>
      <c r="AC1557" s="418"/>
      <c r="AD1557" s="418"/>
      <c r="AE1557" s="418"/>
      <c r="AF1557" s="418"/>
      <c r="AG1557" s="418"/>
      <c r="AH1557" s="418"/>
      <c r="AI1557" s="418"/>
      <c r="AJ1557" s="418"/>
      <c r="AK1557" s="418"/>
      <c r="AL1557" s="418"/>
      <c r="AM1557" s="418"/>
      <c r="AN1557" s="418"/>
      <c r="AO1557" s="418"/>
      <c r="AP1557" s="418"/>
      <c r="AQ1557" s="418"/>
      <c r="AR1557" s="418"/>
      <c r="AS1557" s="418"/>
      <c r="AT1557" s="418"/>
      <c r="AU1557" s="418"/>
      <c r="AV1557" s="418"/>
      <c r="AW1557" s="418"/>
      <c r="AX1557" s="418"/>
      <c r="AY1557" s="418"/>
      <c r="BF1557" s="1119"/>
      <c r="BG1557" s="1119"/>
      <c r="BH1557" s="1119"/>
    </row>
    <row r="1558" spans="1:60" ht="15.75" customHeight="1">
      <c r="A1558" s="1076"/>
      <c r="B1558" s="416"/>
      <c r="C1558" s="424"/>
      <c r="E1558" s="418"/>
      <c r="F1558" s="493"/>
      <c r="G1558" s="418"/>
      <c r="H1558" s="421"/>
      <c r="I1558" s="421"/>
      <c r="J1558" s="492"/>
      <c r="K1558" s="418"/>
      <c r="L1558" s="418"/>
      <c r="M1558" s="418"/>
      <c r="N1558" s="421"/>
      <c r="O1558" s="421"/>
      <c r="P1558" s="421"/>
      <c r="Q1558" s="418"/>
      <c r="R1558" s="418"/>
      <c r="S1558" s="418"/>
      <c r="T1558" s="418"/>
      <c r="U1558" s="418"/>
      <c r="V1558" s="418"/>
      <c r="W1558" s="418"/>
      <c r="X1558" s="418"/>
      <c r="Y1558" s="418"/>
      <c r="Z1558" s="418"/>
      <c r="AA1558" s="418"/>
      <c r="AB1558" s="418"/>
      <c r="AC1558" s="418"/>
      <c r="AD1558" s="418"/>
      <c r="AE1558" s="418"/>
      <c r="AF1558" s="418"/>
      <c r="AG1558" s="418"/>
      <c r="AH1558" s="418"/>
      <c r="AI1558" s="418"/>
      <c r="AJ1558" s="418"/>
      <c r="AK1558" s="418"/>
      <c r="AL1558" s="418"/>
      <c r="AM1558" s="418"/>
      <c r="AN1558" s="418"/>
      <c r="AO1558" s="418"/>
      <c r="AP1558" s="418"/>
      <c r="AQ1558" s="418"/>
      <c r="AR1558" s="418"/>
      <c r="AS1558" s="418"/>
      <c r="AT1558" s="418"/>
      <c r="AU1558" s="418"/>
      <c r="AV1558" s="418"/>
      <c r="AW1558" s="418"/>
      <c r="AX1558" s="418"/>
      <c r="AY1558" s="418"/>
      <c r="BF1558" s="1119"/>
      <c r="BG1558" s="1119"/>
      <c r="BH1558" s="1119"/>
    </row>
    <row r="1559" spans="1:60" ht="15.75" customHeight="1">
      <c r="A1559" s="1076"/>
      <c r="B1559" s="416"/>
      <c r="C1559" s="424"/>
      <c r="E1559" s="418"/>
      <c r="F1559" s="493"/>
      <c r="G1559" s="418"/>
      <c r="H1559" s="421"/>
      <c r="I1559" s="421"/>
      <c r="J1559" s="492"/>
      <c r="K1559" s="418"/>
      <c r="L1559" s="418"/>
      <c r="M1559" s="418"/>
      <c r="N1559" s="421"/>
      <c r="O1559" s="421"/>
      <c r="P1559" s="421"/>
      <c r="Q1559" s="418"/>
      <c r="R1559" s="418"/>
      <c r="S1559" s="418"/>
      <c r="T1559" s="418"/>
      <c r="U1559" s="418"/>
      <c r="V1559" s="418"/>
      <c r="W1559" s="418"/>
      <c r="X1559" s="418"/>
      <c r="Y1559" s="418"/>
      <c r="Z1559" s="418"/>
      <c r="AA1559" s="418"/>
      <c r="AB1559" s="418"/>
      <c r="AC1559" s="418"/>
      <c r="AD1559" s="418"/>
      <c r="AE1559" s="418"/>
      <c r="AF1559" s="418"/>
      <c r="AG1559" s="418"/>
      <c r="AH1559" s="418"/>
      <c r="AI1559" s="418"/>
      <c r="AJ1559" s="418"/>
      <c r="AK1559" s="418"/>
      <c r="AL1559" s="418"/>
      <c r="AM1559" s="418"/>
      <c r="AN1559" s="418"/>
      <c r="AO1559" s="418"/>
      <c r="AP1559" s="418"/>
      <c r="AQ1559" s="418"/>
      <c r="AR1559" s="418"/>
      <c r="AS1559" s="418"/>
      <c r="AT1559" s="418"/>
      <c r="AU1559" s="418"/>
      <c r="AV1559" s="418"/>
      <c r="AW1559" s="418"/>
      <c r="AX1559" s="418"/>
      <c r="AY1559" s="418"/>
      <c r="BF1559" s="1119"/>
      <c r="BG1559" s="1119"/>
      <c r="BH1559" s="1119"/>
    </row>
    <row r="1560" spans="1:60" ht="15.75" customHeight="1">
      <c r="A1560" s="1076"/>
      <c r="B1560" s="416"/>
      <c r="C1560" s="424"/>
      <c r="E1560" s="418"/>
      <c r="F1560" s="493"/>
      <c r="G1560" s="418"/>
      <c r="H1560" s="421"/>
      <c r="I1560" s="421"/>
      <c r="J1560" s="492"/>
      <c r="K1560" s="418"/>
      <c r="L1560" s="418"/>
      <c r="M1560" s="418"/>
      <c r="N1560" s="421"/>
      <c r="O1560" s="421"/>
      <c r="P1560" s="421"/>
      <c r="Q1560" s="418"/>
      <c r="R1560" s="418"/>
      <c r="S1560" s="418"/>
      <c r="T1560" s="418"/>
      <c r="U1560" s="418"/>
      <c r="V1560" s="418"/>
      <c r="W1560" s="418"/>
      <c r="X1560" s="418"/>
      <c r="Y1560" s="418"/>
      <c r="Z1560" s="418"/>
      <c r="AA1560" s="418"/>
      <c r="AB1560" s="418"/>
      <c r="AC1560" s="418"/>
      <c r="AD1560" s="418"/>
      <c r="AE1560" s="418"/>
      <c r="AF1560" s="418"/>
      <c r="AG1560" s="418"/>
      <c r="AH1560" s="418"/>
      <c r="AI1560" s="418"/>
      <c r="AJ1560" s="418"/>
      <c r="AK1560" s="418"/>
      <c r="AL1560" s="418"/>
      <c r="AM1560" s="418"/>
      <c r="AN1560" s="418"/>
      <c r="AO1560" s="418"/>
      <c r="AP1560" s="418"/>
      <c r="AQ1560" s="418"/>
      <c r="AR1560" s="418"/>
      <c r="AS1560" s="418"/>
      <c r="AT1560" s="418"/>
      <c r="AU1560" s="418"/>
      <c r="AV1560" s="418"/>
      <c r="AW1560" s="418"/>
      <c r="AX1560" s="418"/>
      <c r="AY1560" s="418"/>
      <c r="BF1560" s="1119"/>
      <c r="BG1560" s="1119"/>
      <c r="BH1560" s="1119"/>
    </row>
    <row r="1561" spans="1:60" ht="15.75" customHeight="1">
      <c r="A1561" s="1076"/>
      <c r="B1561" s="416"/>
      <c r="C1561" s="424"/>
      <c r="E1561" s="418"/>
      <c r="F1561" s="493"/>
      <c r="G1561" s="418"/>
      <c r="H1561" s="421"/>
      <c r="I1561" s="421"/>
      <c r="J1561" s="492"/>
      <c r="K1561" s="418"/>
      <c r="L1561" s="418"/>
      <c r="M1561" s="418"/>
      <c r="N1561" s="421"/>
      <c r="O1561" s="421"/>
      <c r="P1561" s="421"/>
      <c r="Q1561" s="418"/>
      <c r="R1561" s="418"/>
      <c r="S1561" s="418"/>
      <c r="T1561" s="418"/>
      <c r="U1561" s="418"/>
      <c r="V1561" s="418"/>
      <c r="W1561" s="418"/>
      <c r="X1561" s="418"/>
      <c r="Y1561" s="418"/>
      <c r="Z1561" s="418"/>
      <c r="AA1561" s="418"/>
      <c r="AB1561" s="418"/>
      <c r="AC1561" s="418"/>
      <c r="AD1561" s="418"/>
      <c r="AE1561" s="418"/>
      <c r="AF1561" s="418"/>
      <c r="AG1561" s="418"/>
      <c r="AH1561" s="418"/>
      <c r="AI1561" s="418"/>
      <c r="AJ1561" s="418"/>
      <c r="AK1561" s="418"/>
      <c r="AL1561" s="418"/>
      <c r="AM1561" s="418"/>
      <c r="AN1561" s="418"/>
      <c r="AO1561" s="418"/>
      <c r="AP1561" s="418"/>
      <c r="AQ1561" s="418"/>
      <c r="AR1561" s="418"/>
      <c r="AS1561" s="418"/>
      <c r="AT1561" s="418"/>
      <c r="AU1561" s="418"/>
      <c r="AV1561" s="418"/>
      <c r="AW1561" s="418"/>
      <c r="AX1561" s="418"/>
      <c r="AY1561" s="418"/>
      <c r="BF1561" s="1119"/>
      <c r="BG1561" s="1119"/>
      <c r="BH1561" s="1119"/>
    </row>
    <row r="1562" spans="1:60" ht="15.75" customHeight="1">
      <c r="A1562" s="1076"/>
      <c r="B1562" s="416"/>
      <c r="C1562" s="424"/>
      <c r="E1562" s="418"/>
      <c r="F1562" s="493"/>
      <c r="G1562" s="418"/>
      <c r="H1562" s="421"/>
      <c r="I1562" s="421"/>
      <c r="J1562" s="492"/>
      <c r="K1562" s="418"/>
      <c r="L1562" s="418"/>
      <c r="M1562" s="418"/>
      <c r="N1562" s="421"/>
      <c r="O1562" s="421"/>
      <c r="P1562" s="421"/>
      <c r="Q1562" s="418"/>
      <c r="R1562" s="418"/>
      <c r="S1562" s="418"/>
      <c r="T1562" s="418"/>
      <c r="U1562" s="418"/>
      <c r="V1562" s="418"/>
      <c r="W1562" s="418"/>
      <c r="X1562" s="418"/>
      <c r="Y1562" s="418"/>
      <c r="Z1562" s="418"/>
      <c r="AA1562" s="418"/>
      <c r="AB1562" s="418"/>
      <c r="AC1562" s="418"/>
      <c r="AD1562" s="418"/>
      <c r="AE1562" s="418"/>
      <c r="AF1562" s="418"/>
      <c r="AG1562" s="418"/>
      <c r="AH1562" s="418"/>
      <c r="AI1562" s="418"/>
      <c r="AJ1562" s="418"/>
      <c r="AK1562" s="418"/>
      <c r="AL1562" s="418"/>
      <c r="AM1562" s="418"/>
      <c r="AN1562" s="418"/>
      <c r="AO1562" s="418"/>
      <c r="AP1562" s="418"/>
      <c r="AQ1562" s="418"/>
      <c r="AR1562" s="418"/>
      <c r="AS1562" s="418"/>
      <c r="AT1562" s="418"/>
      <c r="AU1562" s="418"/>
      <c r="AV1562" s="418"/>
      <c r="AW1562" s="418"/>
      <c r="AX1562" s="418"/>
      <c r="AY1562" s="418"/>
      <c r="BF1562" s="1119"/>
      <c r="BG1562" s="1119"/>
      <c r="BH1562" s="1119"/>
    </row>
    <row r="1563" spans="1:60" ht="15.75" customHeight="1">
      <c r="A1563" s="1076"/>
      <c r="B1563" s="416"/>
      <c r="C1563" s="424"/>
      <c r="E1563" s="418"/>
      <c r="F1563" s="493"/>
      <c r="G1563" s="418"/>
      <c r="H1563" s="421"/>
      <c r="I1563" s="421"/>
      <c r="J1563" s="492"/>
      <c r="K1563" s="418"/>
      <c r="L1563" s="418"/>
      <c r="M1563" s="418"/>
      <c r="N1563" s="421"/>
      <c r="O1563" s="421"/>
      <c r="P1563" s="421"/>
      <c r="Q1563" s="418"/>
      <c r="R1563" s="418"/>
      <c r="S1563" s="418"/>
      <c r="T1563" s="418"/>
      <c r="U1563" s="418"/>
      <c r="V1563" s="418"/>
      <c r="W1563" s="418"/>
      <c r="X1563" s="418"/>
      <c r="Y1563" s="418"/>
      <c r="Z1563" s="418"/>
      <c r="AA1563" s="418"/>
      <c r="AB1563" s="418"/>
      <c r="AC1563" s="418"/>
      <c r="AD1563" s="418"/>
      <c r="AE1563" s="418"/>
      <c r="AF1563" s="418"/>
      <c r="AG1563" s="418"/>
      <c r="AH1563" s="418"/>
      <c r="AI1563" s="418"/>
      <c r="AJ1563" s="418"/>
      <c r="AK1563" s="418"/>
      <c r="AL1563" s="418"/>
      <c r="AM1563" s="418"/>
      <c r="AN1563" s="418"/>
      <c r="AO1563" s="418"/>
      <c r="AP1563" s="418"/>
      <c r="AQ1563" s="418"/>
      <c r="AR1563" s="418"/>
      <c r="AS1563" s="418"/>
      <c r="AT1563" s="418"/>
      <c r="AU1563" s="418"/>
      <c r="AV1563" s="418"/>
      <c r="AW1563" s="418"/>
      <c r="AX1563" s="418"/>
      <c r="AY1563" s="418"/>
      <c r="BF1563" s="1119"/>
      <c r="BG1563" s="1119"/>
      <c r="BH1563" s="1119"/>
    </row>
    <row r="1564" spans="1:60" ht="15.75" customHeight="1">
      <c r="A1564" s="1076"/>
      <c r="B1564" s="416"/>
      <c r="C1564" s="424"/>
      <c r="E1564" s="418"/>
      <c r="F1564" s="493"/>
      <c r="G1564" s="418"/>
      <c r="H1564" s="421"/>
      <c r="I1564" s="421"/>
      <c r="J1564" s="492"/>
      <c r="K1564" s="418"/>
      <c r="L1564" s="418"/>
      <c r="M1564" s="418"/>
      <c r="N1564" s="421"/>
      <c r="O1564" s="421"/>
      <c r="P1564" s="421"/>
      <c r="Q1564" s="418"/>
      <c r="R1564" s="418"/>
      <c r="S1564" s="418"/>
      <c r="T1564" s="418"/>
      <c r="U1564" s="418"/>
      <c r="V1564" s="418"/>
      <c r="W1564" s="418"/>
      <c r="X1564" s="418"/>
      <c r="Y1564" s="418"/>
      <c r="Z1564" s="418"/>
      <c r="AA1564" s="418"/>
      <c r="AB1564" s="418"/>
      <c r="AC1564" s="418"/>
      <c r="AD1564" s="418"/>
      <c r="AE1564" s="418"/>
      <c r="AF1564" s="418"/>
      <c r="AG1564" s="418"/>
      <c r="AH1564" s="418"/>
      <c r="AI1564" s="418"/>
      <c r="AJ1564" s="418"/>
      <c r="AK1564" s="418"/>
      <c r="AL1564" s="418"/>
      <c r="AM1564" s="418"/>
      <c r="AN1564" s="418"/>
      <c r="AO1564" s="418"/>
      <c r="AP1564" s="418"/>
      <c r="AQ1564" s="418"/>
      <c r="AR1564" s="418"/>
      <c r="AS1564" s="418"/>
      <c r="AT1564" s="418"/>
      <c r="AU1564" s="418"/>
      <c r="AV1564" s="418"/>
      <c r="AW1564" s="418"/>
      <c r="AX1564" s="418"/>
      <c r="AY1564" s="418"/>
      <c r="BF1564" s="1119"/>
      <c r="BG1564" s="1119"/>
      <c r="BH1564" s="1119"/>
    </row>
    <row r="1565" spans="1:60" ht="15.75" customHeight="1">
      <c r="A1565" s="1076"/>
      <c r="B1565" s="416"/>
      <c r="C1565" s="424"/>
      <c r="E1565" s="418"/>
      <c r="F1565" s="493"/>
      <c r="G1565" s="418"/>
      <c r="H1565" s="421"/>
      <c r="I1565" s="421"/>
      <c r="J1565" s="492"/>
      <c r="K1565" s="418"/>
      <c r="L1565" s="418"/>
      <c r="M1565" s="418"/>
      <c r="N1565" s="421"/>
      <c r="O1565" s="421"/>
      <c r="P1565" s="421"/>
      <c r="Q1565" s="418"/>
      <c r="R1565" s="418"/>
      <c r="S1565" s="418"/>
      <c r="T1565" s="418"/>
      <c r="U1565" s="418"/>
      <c r="V1565" s="418"/>
      <c r="W1565" s="418"/>
      <c r="X1565" s="418"/>
      <c r="Y1565" s="418"/>
      <c r="Z1565" s="418"/>
      <c r="AA1565" s="418"/>
      <c r="AB1565" s="418"/>
      <c r="AC1565" s="418"/>
      <c r="AD1565" s="418"/>
      <c r="AE1565" s="418"/>
      <c r="AF1565" s="418"/>
      <c r="AG1565" s="418"/>
      <c r="AH1565" s="418"/>
      <c r="AI1565" s="418"/>
      <c r="AJ1565" s="418"/>
      <c r="AK1565" s="418"/>
      <c r="AL1565" s="418"/>
      <c r="AM1565" s="418"/>
      <c r="AN1565" s="418"/>
      <c r="AO1565" s="418"/>
      <c r="AP1565" s="418"/>
      <c r="AQ1565" s="418"/>
      <c r="AR1565" s="418"/>
      <c r="AS1565" s="418"/>
      <c r="AT1565" s="418"/>
      <c r="AU1565" s="418"/>
      <c r="AV1565" s="418"/>
      <c r="AW1565" s="418"/>
      <c r="AX1565" s="418"/>
      <c r="AY1565" s="418"/>
      <c r="BF1565" s="1119"/>
      <c r="BG1565" s="1119"/>
      <c r="BH1565" s="1119"/>
    </row>
    <row r="1566" spans="1:60" ht="15.75" customHeight="1">
      <c r="A1566" s="1076"/>
      <c r="B1566" s="416"/>
      <c r="C1566" s="424"/>
      <c r="E1566" s="418"/>
      <c r="F1566" s="493"/>
      <c r="G1566" s="418"/>
      <c r="H1566" s="421"/>
      <c r="I1566" s="421"/>
      <c r="J1566" s="492"/>
      <c r="K1566" s="418"/>
      <c r="L1566" s="418"/>
      <c r="M1566" s="418"/>
      <c r="N1566" s="421"/>
      <c r="O1566" s="421"/>
      <c r="P1566" s="421"/>
      <c r="Q1566" s="418"/>
      <c r="R1566" s="418"/>
      <c r="S1566" s="418"/>
      <c r="T1566" s="418"/>
      <c r="U1566" s="418"/>
      <c r="V1566" s="418"/>
      <c r="W1566" s="418"/>
      <c r="X1566" s="418"/>
      <c r="Y1566" s="418"/>
      <c r="Z1566" s="418"/>
      <c r="AA1566" s="418"/>
      <c r="AB1566" s="418"/>
      <c r="AC1566" s="418"/>
      <c r="AD1566" s="418"/>
      <c r="AE1566" s="418"/>
      <c r="AF1566" s="418"/>
      <c r="AG1566" s="418"/>
      <c r="AH1566" s="418"/>
      <c r="AI1566" s="418"/>
      <c r="AJ1566" s="418"/>
      <c r="AK1566" s="418"/>
      <c r="AL1566" s="418"/>
      <c r="AM1566" s="418"/>
      <c r="AN1566" s="418"/>
      <c r="AO1566" s="418"/>
      <c r="AP1566" s="418"/>
      <c r="AQ1566" s="418"/>
      <c r="AR1566" s="418"/>
      <c r="AS1566" s="418"/>
      <c r="AT1566" s="418"/>
      <c r="AU1566" s="418"/>
      <c r="AV1566" s="418"/>
      <c r="AW1566" s="418"/>
      <c r="AX1566" s="418"/>
      <c r="AY1566" s="418"/>
      <c r="BF1566" s="1119"/>
      <c r="BG1566" s="1119"/>
      <c r="BH1566" s="1119"/>
    </row>
    <row r="1567" spans="1:60" ht="15.75" customHeight="1">
      <c r="A1567" s="1076"/>
      <c r="B1567" s="416"/>
      <c r="C1567" s="424"/>
      <c r="E1567" s="418"/>
      <c r="F1567" s="493"/>
      <c r="G1567" s="418"/>
      <c r="H1567" s="421"/>
      <c r="I1567" s="421"/>
      <c r="J1567" s="492"/>
      <c r="K1567" s="418"/>
      <c r="L1567" s="418"/>
      <c r="M1567" s="418"/>
      <c r="N1567" s="421"/>
      <c r="O1567" s="421"/>
      <c r="P1567" s="421"/>
      <c r="Q1567" s="418"/>
      <c r="R1567" s="418"/>
      <c r="S1567" s="418"/>
      <c r="T1567" s="418"/>
      <c r="U1567" s="418"/>
      <c r="V1567" s="418"/>
      <c r="W1567" s="418"/>
      <c r="X1567" s="418"/>
      <c r="Y1567" s="418"/>
      <c r="Z1567" s="418"/>
      <c r="AA1567" s="418"/>
      <c r="AB1567" s="418"/>
      <c r="AC1567" s="418"/>
      <c r="AD1567" s="418"/>
      <c r="AE1567" s="418"/>
      <c r="AF1567" s="418"/>
      <c r="AG1567" s="418"/>
      <c r="AH1567" s="418"/>
      <c r="AI1567" s="418"/>
      <c r="AJ1567" s="418"/>
      <c r="AK1567" s="418"/>
      <c r="AL1567" s="418"/>
      <c r="AM1567" s="418"/>
      <c r="AN1567" s="418"/>
      <c r="AO1567" s="418"/>
      <c r="AP1567" s="418"/>
      <c r="AQ1567" s="418"/>
      <c r="AR1567" s="418"/>
      <c r="AS1567" s="418"/>
      <c r="AT1567" s="418"/>
      <c r="AU1567" s="418"/>
      <c r="AV1567" s="418"/>
      <c r="AW1567" s="418"/>
      <c r="AX1567" s="418"/>
      <c r="AY1567" s="418"/>
      <c r="BF1567" s="1119"/>
      <c r="BG1567" s="1119"/>
      <c r="BH1567" s="1119"/>
    </row>
    <row r="1568" spans="1:60" ht="15.75" customHeight="1">
      <c r="A1568" s="1076"/>
      <c r="B1568" s="416"/>
      <c r="C1568" s="424"/>
      <c r="E1568" s="418"/>
      <c r="F1568" s="493"/>
      <c r="G1568" s="418"/>
      <c r="H1568" s="421"/>
      <c r="I1568" s="421"/>
      <c r="J1568" s="492"/>
      <c r="K1568" s="418"/>
      <c r="L1568" s="418"/>
      <c r="M1568" s="418"/>
      <c r="N1568" s="421"/>
      <c r="O1568" s="421"/>
      <c r="P1568" s="421"/>
      <c r="Q1568" s="418"/>
      <c r="R1568" s="418"/>
      <c r="S1568" s="418"/>
      <c r="T1568" s="418"/>
      <c r="U1568" s="418"/>
      <c r="V1568" s="418"/>
      <c r="W1568" s="418"/>
      <c r="X1568" s="418"/>
      <c r="Y1568" s="418"/>
      <c r="Z1568" s="418"/>
      <c r="AA1568" s="418"/>
      <c r="AB1568" s="418"/>
      <c r="AC1568" s="418"/>
      <c r="AD1568" s="418"/>
      <c r="AE1568" s="418"/>
      <c r="AF1568" s="418"/>
      <c r="AG1568" s="418"/>
      <c r="AH1568" s="418"/>
      <c r="AI1568" s="418"/>
      <c r="AJ1568" s="418"/>
      <c r="AK1568" s="418"/>
      <c r="AL1568" s="418"/>
      <c r="AM1568" s="418"/>
      <c r="AN1568" s="418"/>
      <c r="AO1568" s="418"/>
      <c r="AP1568" s="418"/>
      <c r="AQ1568" s="418"/>
      <c r="AR1568" s="418"/>
      <c r="AS1568" s="418"/>
      <c r="AT1568" s="418"/>
      <c r="AU1568" s="418"/>
      <c r="AV1568" s="418"/>
      <c r="AW1568" s="418"/>
      <c r="AX1568" s="418"/>
      <c r="AY1568" s="418"/>
      <c r="BF1568" s="1119"/>
      <c r="BG1568" s="1119"/>
      <c r="BH1568" s="1119"/>
    </row>
    <row r="1569" spans="1:60" ht="15.75" customHeight="1">
      <c r="A1569" s="1076"/>
      <c r="B1569" s="416"/>
      <c r="C1569" s="424"/>
      <c r="E1569" s="418"/>
      <c r="F1569" s="493"/>
      <c r="G1569" s="418"/>
      <c r="H1569" s="421"/>
      <c r="I1569" s="421"/>
      <c r="J1569" s="492"/>
      <c r="K1569" s="418"/>
      <c r="L1569" s="418"/>
      <c r="M1569" s="418"/>
      <c r="N1569" s="421"/>
      <c r="O1569" s="421"/>
      <c r="P1569" s="421"/>
      <c r="Q1569" s="418"/>
      <c r="R1569" s="418"/>
      <c r="S1569" s="418"/>
      <c r="T1569" s="418"/>
      <c r="U1569" s="418"/>
      <c r="V1569" s="418"/>
      <c r="W1569" s="418"/>
      <c r="X1569" s="418"/>
      <c r="Y1569" s="418"/>
      <c r="Z1569" s="418"/>
      <c r="AA1569" s="418"/>
      <c r="AB1569" s="418"/>
      <c r="AC1569" s="418"/>
      <c r="AD1569" s="418"/>
      <c r="AE1569" s="418"/>
      <c r="AF1569" s="418"/>
      <c r="AG1569" s="418"/>
      <c r="AH1569" s="418"/>
      <c r="AI1569" s="418"/>
      <c r="AJ1569" s="418"/>
      <c r="AK1569" s="418"/>
      <c r="AL1569" s="418"/>
      <c r="AM1569" s="418"/>
      <c r="AN1569" s="418"/>
      <c r="AO1569" s="418"/>
      <c r="AP1569" s="418"/>
      <c r="AQ1569" s="418"/>
      <c r="AR1569" s="418"/>
      <c r="AS1569" s="418"/>
      <c r="AT1569" s="418"/>
      <c r="AU1569" s="418"/>
      <c r="AV1569" s="418"/>
      <c r="AW1569" s="418"/>
      <c r="AX1569" s="418"/>
      <c r="AY1569" s="418"/>
      <c r="BF1569" s="1119"/>
      <c r="BG1569" s="1119"/>
      <c r="BH1569" s="1119"/>
    </row>
    <row r="1570" spans="1:60" ht="15.75" customHeight="1">
      <c r="A1570" s="1076"/>
      <c r="B1570" s="416"/>
      <c r="C1570" s="424"/>
      <c r="E1570" s="418"/>
      <c r="F1570" s="493"/>
      <c r="G1570" s="418"/>
      <c r="H1570" s="421"/>
      <c r="I1570" s="421"/>
      <c r="J1570" s="492"/>
      <c r="K1570" s="418"/>
      <c r="L1570" s="418"/>
      <c r="M1570" s="418"/>
      <c r="N1570" s="421"/>
      <c r="O1570" s="421"/>
      <c r="P1570" s="421"/>
      <c r="Q1570" s="418"/>
      <c r="R1570" s="418"/>
      <c r="S1570" s="418"/>
      <c r="T1570" s="418"/>
      <c r="U1570" s="418"/>
      <c r="V1570" s="418"/>
      <c r="W1570" s="418"/>
      <c r="X1570" s="418"/>
      <c r="Y1570" s="418"/>
      <c r="Z1570" s="418"/>
      <c r="AA1570" s="418"/>
      <c r="AB1570" s="418"/>
      <c r="AC1570" s="418"/>
      <c r="AD1570" s="418"/>
      <c r="AE1570" s="418"/>
      <c r="AF1570" s="418"/>
      <c r="AG1570" s="418"/>
      <c r="AH1570" s="418"/>
      <c r="AI1570" s="418"/>
      <c r="AJ1570" s="418"/>
      <c r="AK1570" s="418"/>
      <c r="AL1570" s="418"/>
      <c r="AM1570" s="418"/>
      <c r="AN1570" s="418"/>
      <c r="AO1570" s="418"/>
      <c r="AP1570" s="418"/>
      <c r="AQ1570" s="418"/>
      <c r="AR1570" s="418"/>
      <c r="AS1570" s="418"/>
      <c r="AT1570" s="418"/>
      <c r="AU1570" s="418"/>
      <c r="AV1570" s="418"/>
      <c r="AW1570" s="418"/>
      <c r="AX1570" s="418"/>
      <c r="AY1570" s="418"/>
      <c r="BF1570" s="1119"/>
      <c r="BG1570" s="1119"/>
      <c r="BH1570" s="1119"/>
    </row>
    <row r="1571" spans="1:60" ht="15.75" customHeight="1">
      <c r="A1571" s="1076"/>
      <c r="B1571" s="416"/>
      <c r="C1571" s="424"/>
      <c r="E1571" s="418"/>
      <c r="F1571" s="493"/>
      <c r="G1571" s="418"/>
      <c r="H1571" s="421"/>
      <c r="I1571" s="421"/>
      <c r="J1571" s="492"/>
      <c r="K1571" s="418"/>
      <c r="L1571" s="418"/>
      <c r="M1571" s="418"/>
      <c r="N1571" s="421"/>
      <c r="O1571" s="421"/>
      <c r="P1571" s="421"/>
      <c r="Q1571" s="418"/>
      <c r="R1571" s="418"/>
      <c r="S1571" s="418"/>
      <c r="T1571" s="418"/>
      <c r="U1571" s="418"/>
      <c r="V1571" s="418"/>
      <c r="W1571" s="418"/>
      <c r="X1571" s="418"/>
      <c r="Y1571" s="418"/>
      <c r="Z1571" s="418"/>
      <c r="AA1571" s="418"/>
      <c r="AB1571" s="418"/>
      <c r="AC1571" s="418"/>
      <c r="AD1571" s="418"/>
      <c r="AE1571" s="418"/>
      <c r="AF1571" s="418"/>
      <c r="AG1571" s="418"/>
      <c r="AH1571" s="418"/>
      <c r="AI1571" s="418"/>
      <c r="AJ1571" s="418"/>
      <c r="AK1571" s="418"/>
      <c r="AL1571" s="418"/>
      <c r="AM1571" s="418"/>
      <c r="AN1571" s="418"/>
      <c r="AO1571" s="418"/>
      <c r="AP1571" s="418"/>
      <c r="AQ1571" s="418"/>
      <c r="AR1571" s="418"/>
      <c r="AS1571" s="418"/>
      <c r="AT1571" s="418"/>
      <c r="AU1571" s="418"/>
      <c r="AV1571" s="418"/>
      <c r="AW1571" s="418"/>
      <c r="AX1571" s="418"/>
      <c r="AY1571" s="418"/>
      <c r="BF1571" s="1119"/>
      <c r="BG1571" s="1119"/>
      <c r="BH1571" s="1119"/>
    </row>
    <row r="1572" spans="1:60" ht="15.75" customHeight="1">
      <c r="A1572" s="1076"/>
      <c r="B1572" s="416"/>
      <c r="C1572" s="424"/>
      <c r="E1572" s="418"/>
      <c r="F1572" s="493"/>
      <c r="G1572" s="418"/>
      <c r="H1572" s="421"/>
      <c r="I1572" s="421"/>
      <c r="J1572" s="492"/>
      <c r="K1572" s="418"/>
      <c r="L1572" s="418"/>
      <c r="M1572" s="418"/>
      <c r="N1572" s="421"/>
      <c r="O1572" s="421"/>
      <c r="P1572" s="421"/>
      <c r="Q1572" s="418"/>
      <c r="R1572" s="418"/>
      <c r="S1572" s="418"/>
      <c r="T1572" s="418"/>
      <c r="U1572" s="418"/>
      <c r="V1572" s="418"/>
      <c r="W1572" s="418"/>
      <c r="X1572" s="418"/>
      <c r="Y1572" s="418"/>
      <c r="Z1572" s="418"/>
      <c r="AA1572" s="418"/>
      <c r="AB1572" s="418"/>
      <c r="AC1572" s="418"/>
      <c r="AD1572" s="418"/>
      <c r="AE1572" s="418"/>
      <c r="AF1572" s="418"/>
      <c r="AG1572" s="418"/>
      <c r="AH1572" s="418"/>
      <c r="AI1572" s="418"/>
      <c r="AJ1572" s="418"/>
      <c r="AK1572" s="418"/>
      <c r="AL1572" s="418"/>
      <c r="AM1572" s="418"/>
      <c r="AN1572" s="418"/>
      <c r="AO1572" s="418"/>
      <c r="AP1572" s="418"/>
      <c r="AQ1572" s="418"/>
      <c r="AR1572" s="418"/>
      <c r="AS1572" s="418"/>
      <c r="AT1572" s="418"/>
      <c r="AU1572" s="418"/>
      <c r="AV1572" s="418"/>
      <c r="AW1572" s="418"/>
      <c r="AX1572" s="418"/>
      <c r="AY1572" s="418"/>
      <c r="BF1572" s="1119"/>
      <c r="BG1572" s="1119"/>
      <c r="BH1572" s="1119"/>
    </row>
    <row r="1573" spans="1:60" ht="15.75" customHeight="1">
      <c r="A1573" s="1076"/>
      <c r="B1573" s="416"/>
      <c r="C1573" s="424"/>
      <c r="E1573" s="418"/>
      <c r="F1573" s="493"/>
      <c r="G1573" s="418"/>
      <c r="H1573" s="421"/>
      <c r="I1573" s="421"/>
      <c r="J1573" s="492"/>
      <c r="K1573" s="418"/>
      <c r="L1573" s="418"/>
      <c r="M1573" s="418"/>
      <c r="N1573" s="421"/>
      <c r="O1573" s="421"/>
      <c r="P1573" s="421"/>
      <c r="Q1573" s="418"/>
      <c r="R1573" s="418"/>
      <c r="S1573" s="418"/>
      <c r="T1573" s="418"/>
      <c r="U1573" s="418"/>
      <c r="V1573" s="418"/>
      <c r="W1573" s="418"/>
      <c r="X1573" s="418"/>
      <c r="Y1573" s="418"/>
      <c r="Z1573" s="418"/>
      <c r="AA1573" s="418"/>
      <c r="AB1573" s="418"/>
      <c r="AC1573" s="418"/>
      <c r="AD1573" s="418"/>
      <c r="AE1573" s="418"/>
      <c r="AF1573" s="418"/>
      <c r="AG1573" s="418"/>
      <c r="AH1573" s="418"/>
      <c r="AI1573" s="418"/>
      <c r="AJ1573" s="418"/>
      <c r="AK1573" s="418"/>
      <c r="AL1573" s="418"/>
      <c r="AM1573" s="418"/>
      <c r="AN1573" s="418"/>
      <c r="AO1573" s="418"/>
      <c r="AP1573" s="418"/>
      <c r="AQ1573" s="418"/>
      <c r="AR1573" s="418"/>
      <c r="AS1573" s="418"/>
      <c r="AT1573" s="418"/>
      <c r="AU1573" s="418"/>
      <c r="AV1573" s="418"/>
      <c r="AW1573" s="418"/>
      <c r="AX1573" s="418"/>
      <c r="AY1573" s="418"/>
      <c r="BF1573" s="1119"/>
      <c r="BG1573" s="1119"/>
      <c r="BH1573" s="1119"/>
    </row>
    <row r="1574" spans="1:60" ht="15.75" customHeight="1">
      <c r="A1574" s="1076"/>
      <c r="B1574" s="416"/>
      <c r="C1574" s="424"/>
      <c r="E1574" s="418"/>
      <c r="F1574" s="493"/>
      <c r="G1574" s="418"/>
      <c r="H1574" s="421"/>
      <c r="I1574" s="421"/>
      <c r="J1574" s="492"/>
      <c r="K1574" s="418"/>
      <c r="L1574" s="418"/>
      <c r="M1574" s="418"/>
      <c r="N1574" s="421"/>
      <c r="O1574" s="421"/>
      <c r="P1574" s="421"/>
      <c r="Q1574" s="418"/>
      <c r="R1574" s="418"/>
      <c r="S1574" s="418"/>
      <c r="T1574" s="418"/>
      <c r="U1574" s="418"/>
      <c r="V1574" s="418"/>
      <c r="W1574" s="418"/>
      <c r="X1574" s="418"/>
      <c r="Y1574" s="418"/>
      <c r="Z1574" s="418"/>
      <c r="AA1574" s="418"/>
      <c r="AB1574" s="418"/>
      <c r="AC1574" s="418"/>
      <c r="AD1574" s="418"/>
      <c r="AE1574" s="418"/>
      <c r="AF1574" s="418"/>
      <c r="AG1574" s="418"/>
      <c r="AH1574" s="418"/>
      <c r="AI1574" s="418"/>
      <c r="AJ1574" s="418"/>
      <c r="AK1574" s="418"/>
      <c r="AL1574" s="418"/>
      <c r="AM1574" s="418"/>
      <c r="AN1574" s="418"/>
      <c r="AO1574" s="418"/>
      <c r="AP1574" s="418"/>
      <c r="AQ1574" s="418"/>
      <c r="AR1574" s="418"/>
      <c r="AS1574" s="418"/>
      <c r="AT1574" s="418"/>
      <c r="AU1574" s="418"/>
      <c r="AV1574" s="418"/>
      <c r="AW1574" s="418"/>
      <c r="AX1574" s="418"/>
      <c r="AY1574" s="418"/>
      <c r="BF1574" s="1119"/>
      <c r="BG1574" s="1119"/>
      <c r="BH1574" s="1119"/>
    </row>
    <row r="1575" spans="1:60" ht="15.75" customHeight="1">
      <c r="A1575" s="1076"/>
      <c r="B1575" s="416"/>
      <c r="C1575" s="424"/>
      <c r="E1575" s="418"/>
      <c r="F1575" s="493"/>
      <c r="G1575" s="418"/>
      <c r="H1575" s="421"/>
      <c r="I1575" s="421"/>
      <c r="J1575" s="492"/>
      <c r="K1575" s="418"/>
      <c r="L1575" s="418"/>
      <c r="M1575" s="418"/>
      <c r="N1575" s="421"/>
      <c r="O1575" s="421"/>
      <c r="P1575" s="421"/>
      <c r="Q1575" s="418"/>
      <c r="R1575" s="418"/>
      <c r="S1575" s="418"/>
      <c r="T1575" s="418"/>
      <c r="U1575" s="418"/>
      <c r="V1575" s="418"/>
      <c r="W1575" s="418"/>
      <c r="X1575" s="418"/>
      <c r="Y1575" s="418"/>
      <c r="Z1575" s="418"/>
      <c r="AA1575" s="418"/>
      <c r="AB1575" s="418"/>
      <c r="AC1575" s="418"/>
      <c r="AD1575" s="418"/>
      <c r="AE1575" s="418"/>
      <c r="AF1575" s="418"/>
      <c r="AG1575" s="418"/>
      <c r="AH1575" s="418"/>
      <c r="AI1575" s="418"/>
      <c r="AJ1575" s="418"/>
      <c r="AK1575" s="418"/>
      <c r="AL1575" s="418"/>
      <c r="AM1575" s="418"/>
      <c r="AN1575" s="418"/>
      <c r="AO1575" s="418"/>
      <c r="AP1575" s="418"/>
      <c r="AQ1575" s="418"/>
      <c r="AR1575" s="418"/>
      <c r="AS1575" s="418"/>
      <c r="AT1575" s="418"/>
      <c r="AU1575" s="418"/>
      <c r="AV1575" s="418"/>
      <c r="AW1575" s="418"/>
      <c r="AX1575" s="418"/>
      <c r="AY1575" s="418"/>
      <c r="BF1575" s="1119"/>
      <c r="BG1575" s="1119"/>
      <c r="BH1575" s="1119"/>
    </row>
    <row r="1576" spans="1:60" ht="15.75" customHeight="1">
      <c r="A1576" s="1076"/>
      <c r="B1576" s="416"/>
      <c r="C1576" s="424"/>
      <c r="E1576" s="418"/>
      <c r="F1576" s="493"/>
      <c r="G1576" s="418"/>
      <c r="H1576" s="421"/>
      <c r="I1576" s="421"/>
      <c r="J1576" s="492"/>
      <c r="K1576" s="418"/>
      <c r="L1576" s="418"/>
      <c r="M1576" s="418"/>
      <c r="N1576" s="421"/>
      <c r="O1576" s="421"/>
      <c r="P1576" s="421"/>
      <c r="Q1576" s="418"/>
      <c r="R1576" s="418"/>
      <c r="S1576" s="418"/>
      <c r="T1576" s="418"/>
      <c r="U1576" s="418"/>
      <c r="V1576" s="418"/>
      <c r="W1576" s="418"/>
      <c r="X1576" s="418"/>
      <c r="Y1576" s="418"/>
      <c r="Z1576" s="418"/>
      <c r="AA1576" s="418"/>
      <c r="AB1576" s="418"/>
      <c r="AC1576" s="418"/>
      <c r="AD1576" s="418"/>
      <c r="AE1576" s="418"/>
      <c r="AF1576" s="418"/>
      <c r="AG1576" s="418"/>
      <c r="AH1576" s="418"/>
      <c r="AI1576" s="418"/>
      <c r="AJ1576" s="418"/>
      <c r="AK1576" s="418"/>
      <c r="AL1576" s="418"/>
      <c r="AM1576" s="418"/>
      <c r="AN1576" s="418"/>
      <c r="AO1576" s="418"/>
      <c r="AP1576" s="418"/>
      <c r="AQ1576" s="418"/>
      <c r="AR1576" s="418"/>
      <c r="AS1576" s="418"/>
      <c r="AT1576" s="418"/>
      <c r="AU1576" s="418"/>
      <c r="AV1576" s="418"/>
      <c r="AW1576" s="418"/>
      <c r="AX1576" s="418"/>
      <c r="AY1576" s="418"/>
      <c r="BF1576" s="1119"/>
      <c r="BG1576" s="1119"/>
      <c r="BH1576" s="1119"/>
    </row>
    <row r="1577" spans="1:60" ht="15.75" customHeight="1">
      <c r="A1577" s="1076"/>
      <c r="B1577" s="416"/>
      <c r="C1577" s="424"/>
      <c r="E1577" s="418"/>
      <c r="F1577" s="493"/>
      <c r="G1577" s="418"/>
      <c r="H1577" s="421"/>
      <c r="I1577" s="425"/>
      <c r="J1577" s="492"/>
      <c r="K1577" s="418"/>
      <c r="L1577" s="418"/>
      <c r="M1577" s="418"/>
      <c r="N1577" s="421"/>
      <c r="O1577" s="421"/>
      <c r="P1577" s="421"/>
      <c r="Q1577" s="418"/>
      <c r="R1577" s="418"/>
      <c r="S1577" s="418"/>
      <c r="T1577" s="418"/>
      <c r="U1577" s="418"/>
      <c r="V1577" s="418"/>
      <c r="W1577" s="418"/>
      <c r="X1577" s="418"/>
      <c r="Y1577" s="418"/>
      <c r="Z1577" s="418"/>
      <c r="AA1577" s="418"/>
      <c r="AB1577" s="418"/>
      <c r="AC1577" s="418"/>
      <c r="AD1577" s="418"/>
      <c r="AE1577" s="418"/>
      <c r="AF1577" s="418"/>
      <c r="AG1577" s="418"/>
      <c r="AH1577" s="418"/>
      <c r="AI1577" s="418"/>
      <c r="AJ1577" s="418"/>
      <c r="AK1577" s="418"/>
      <c r="AL1577" s="418"/>
      <c r="AM1577" s="418"/>
      <c r="AN1577" s="418"/>
      <c r="AO1577" s="418"/>
      <c r="AP1577" s="418"/>
      <c r="AQ1577" s="418"/>
      <c r="AR1577" s="418"/>
      <c r="AS1577" s="418"/>
      <c r="AT1577" s="418"/>
      <c r="AU1577" s="418"/>
      <c r="AV1577" s="418"/>
      <c r="AW1577" s="418"/>
      <c r="AX1577" s="418"/>
      <c r="AY1577" s="418"/>
      <c r="BF1577" s="1119"/>
      <c r="BG1577" s="1119"/>
      <c r="BH1577" s="1119"/>
    </row>
    <row r="1578" spans="1:60" ht="15.75" customHeight="1">
      <c r="A1578" s="1076"/>
      <c r="B1578" s="416"/>
      <c r="C1578" s="424"/>
      <c r="E1578" s="418"/>
      <c r="F1578" s="493"/>
      <c r="G1578" s="418"/>
      <c r="H1578" s="421"/>
      <c r="I1578" s="421"/>
      <c r="J1578" s="492"/>
      <c r="K1578" s="418"/>
      <c r="L1578" s="418"/>
      <c r="M1578" s="418"/>
      <c r="N1578" s="421"/>
      <c r="O1578" s="421"/>
      <c r="P1578" s="421"/>
      <c r="Q1578" s="418"/>
      <c r="R1578" s="418"/>
      <c r="S1578" s="418"/>
      <c r="T1578" s="418"/>
      <c r="U1578" s="418"/>
      <c r="V1578" s="418"/>
      <c r="W1578" s="418"/>
      <c r="X1578" s="418"/>
      <c r="Y1578" s="418"/>
      <c r="Z1578" s="418"/>
      <c r="AA1578" s="418"/>
      <c r="AB1578" s="418"/>
      <c r="AC1578" s="418"/>
      <c r="AD1578" s="418"/>
      <c r="AE1578" s="418"/>
      <c r="AF1578" s="418"/>
      <c r="AG1578" s="418"/>
      <c r="AH1578" s="418"/>
      <c r="AI1578" s="418"/>
      <c r="AJ1578" s="418"/>
      <c r="AK1578" s="418"/>
      <c r="AL1578" s="418"/>
      <c r="AM1578" s="418"/>
      <c r="AN1578" s="418"/>
      <c r="AO1578" s="418"/>
      <c r="AP1578" s="418"/>
      <c r="AQ1578" s="418"/>
      <c r="AR1578" s="418"/>
      <c r="AS1578" s="418"/>
      <c r="AT1578" s="418"/>
      <c r="AU1578" s="418"/>
      <c r="AV1578" s="418"/>
      <c r="AW1578" s="418"/>
      <c r="AX1578" s="418"/>
      <c r="AY1578" s="418"/>
      <c r="BF1578" s="1119"/>
      <c r="BG1578" s="1119"/>
      <c r="BH1578" s="1119"/>
    </row>
    <row r="1579" spans="1:60" ht="15.75" customHeight="1">
      <c r="A1579" s="1076"/>
      <c r="B1579" s="416"/>
      <c r="C1579" s="424"/>
      <c r="E1579" s="418"/>
      <c r="F1579" s="493"/>
      <c r="G1579" s="418"/>
      <c r="H1579" s="421"/>
      <c r="I1579" s="425"/>
      <c r="J1579" s="492"/>
      <c r="K1579" s="418"/>
      <c r="L1579" s="418"/>
      <c r="M1579" s="418"/>
      <c r="N1579" s="421"/>
      <c r="O1579" s="421"/>
      <c r="P1579" s="421"/>
      <c r="Q1579" s="418"/>
      <c r="R1579" s="418"/>
      <c r="S1579" s="418"/>
      <c r="T1579" s="418"/>
      <c r="U1579" s="418"/>
      <c r="V1579" s="418"/>
      <c r="W1579" s="418"/>
      <c r="X1579" s="418"/>
      <c r="Y1579" s="418"/>
      <c r="Z1579" s="418"/>
      <c r="AA1579" s="418"/>
      <c r="AB1579" s="418"/>
      <c r="AC1579" s="418"/>
      <c r="AD1579" s="418"/>
      <c r="AE1579" s="418"/>
      <c r="AF1579" s="418"/>
      <c r="AG1579" s="418"/>
      <c r="AH1579" s="418"/>
      <c r="AI1579" s="418"/>
      <c r="AJ1579" s="418"/>
      <c r="AK1579" s="418"/>
      <c r="AL1579" s="418"/>
      <c r="AM1579" s="418"/>
      <c r="AN1579" s="418"/>
      <c r="AO1579" s="418"/>
      <c r="AP1579" s="418"/>
      <c r="AQ1579" s="418"/>
      <c r="AR1579" s="418"/>
      <c r="AS1579" s="418"/>
      <c r="AT1579" s="418"/>
      <c r="AU1579" s="418"/>
      <c r="AV1579" s="418"/>
      <c r="AW1579" s="418"/>
      <c r="AX1579" s="418"/>
      <c r="AY1579" s="418"/>
      <c r="BF1579" s="1119"/>
      <c r="BG1579" s="1119"/>
      <c r="BH1579" s="1119"/>
    </row>
    <row r="1580" spans="1:60" ht="15.75" customHeight="1">
      <c r="A1580" s="1076"/>
      <c r="B1580" s="416"/>
      <c r="C1580" s="424"/>
      <c r="E1580" s="418"/>
      <c r="F1580" s="493"/>
      <c r="G1580" s="418"/>
      <c r="H1580" s="421"/>
      <c r="I1580" s="421"/>
      <c r="J1580" s="492"/>
      <c r="K1580" s="418"/>
      <c r="L1580" s="418"/>
      <c r="M1580" s="418"/>
      <c r="N1580" s="421"/>
      <c r="O1580" s="421"/>
      <c r="P1580" s="421"/>
      <c r="Q1580" s="418"/>
      <c r="R1580" s="418"/>
      <c r="S1580" s="418"/>
      <c r="T1580" s="418"/>
      <c r="U1580" s="418"/>
      <c r="V1580" s="418"/>
      <c r="W1580" s="418"/>
      <c r="X1580" s="418"/>
      <c r="Y1580" s="418"/>
      <c r="Z1580" s="418"/>
      <c r="AA1580" s="418"/>
      <c r="AB1580" s="418"/>
      <c r="AC1580" s="418"/>
      <c r="AD1580" s="418"/>
      <c r="AE1580" s="418"/>
      <c r="AF1580" s="418"/>
      <c r="AG1580" s="418"/>
      <c r="AH1580" s="418"/>
      <c r="AI1580" s="418"/>
      <c r="AJ1580" s="418"/>
      <c r="AK1580" s="418"/>
      <c r="AL1580" s="418"/>
      <c r="AM1580" s="418"/>
      <c r="AN1580" s="418"/>
      <c r="AO1580" s="418"/>
      <c r="AP1580" s="418"/>
      <c r="AQ1580" s="418"/>
      <c r="AR1580" s="418"/>
      <c r="AS1580" s="418"/>
      <c r="AT1580" s="418"/>
      <c r="AU1580" s="418"/>
      <c r="AV1580" s="418"/>
      <c r="AW1580" s="418"/>
      <c r="AX1580" s="418"/>
      <c r="AY1580" s="418"/>
      <c r="BF1580" s="1119"/>
      <c r="BG1580" s="1119"/>
      <c r="BH1580" s="1119"/>
    </row>
    <row r="1581" spans="1:60" ht="15.75" customHeight="1">
      <c r="A1581" s="1076"/>
      <c r="B1581" s="416"/>
      <c r="C1581" s="424"/>
      <c r="E1581" s="418"/>
      <c r="F1581" s="493"/>
      <c r="G1581" s="418"/>
      <c r="H1581" s="421"/>
      <c r="I1581" s="421"/>
      <c r="J1581" s="492"/>
      <c r="K1581" s="418"/>
      <c r="L1581" s="418"/>
      <c r="M1581" s="418"/>
      <c r="N1581" s="421"/>
      <c r="O1581" s="421"/>
      <c r="P1581" s="421"/>
      <c r="Q1581" s="418"/>
      <c r="R1581" s="418"/>
      <c r="S1581" s="418"/>
      <c r="T1581" s="418"/>
      <c r="U1581" s="418"/>
      <c r="V1581" s="418"/>
      <c r="W1581" s="418"/>
      <c r="X1581" s="418"/>
      <c r="Y1581" s="418"/>
      <c r="Z1581" s="418"/>
      <c r="AA1581" s="418"/>
      <c r="AB1581" s="418"/>
      <c r="AC1581" s="418"/>
      <c r="AD1581" s="418"/>
      <c r="AE1581" s="418"/>
      <c r="AF1581" s="418"/>
      <c r="AG1581" s="418"/>
      <c r="AH1581" s="418"/>
      <c r="AI1581" s="418"/>
      <c r="AJ1581" s="418"/>
      <c r="AK1581" s="418"/>
      <c r="AL1581" s="418"/>
      <c r="AM1581" s="418"/>
      <c r="AN1581" s="418"/>
      <c r="AO1581" s="418"/>
      <c r="AP1581" s="418"/>
      <c r="AQ1581" s="418"/>
      <c r="AR1581" s="418"/>
      <c r="AS1581" s="418"/>
      <c r="AT1581" s="418"/>
      <c r="AU1581" s="418"/>
      <c r="AV1581" s="418"/>
      <c r="AW1581" s="418"/>
      <c r="AX1581" s="418"/>
      <c r="AY1581" s="418"/>
      <c r="BF1581" s="1119"/>
      <c r="BG1581" s="1119"/>
      <c r="BH1581" s="1119"/>
    </row>
    <row r="1582" spans="1:60" ht="15.75" customHeight="1">
      <c r="A1582" s="1076"/>
      <c r="B1582" s="416"/>
      <c r="C1582" s="424"/>
      <c r="E1582" s="418"/>
      <c r="F1582" s="493"/>
      <c r="G1582" s="418"/>
      <c r="H1582" s="421"/>
      <c r="I1582" s="421"/>
      <c r="J1582" s="492"/>
      <c r="K1582" s="418"/>
      <c r="L1582" s="418"/>
      <c r="M1582" s="418"/>
      <c r="N1582" s="421"/>
      <c r="O1582" s="421"/>
      <c r="P1582" s="421"/>
      <c r="Q1582" s="418"/>
      <c r="R1582" s="418"/>
      <c r="S1582" s="418"/>
      <c r="T1582" s="418"/>
      <c r="U1582" s="418"/>
      <c r="V1582" s="418"/>
      <c r="W1582" s="418"/>
      <c r="X1582" s="418"/>
      <c r="Y1582" s="418"/>
      <c r="Z1582" s="418"/>
      <c r="AA1582" s="418"/>
      <c r="AB1582" s="418"/>
      <c r="AC1582" s="418"/>
      <c r="AD1582" s="418"/>
      <c r="AE1582" s="418"/>
      <c r="AF1582" s="418"/>
      <c r="AG1582" s="418"/>
      <c r="AH1582" s="418"/>
      <c r="AI1582" s="418"/>
      <c r="AJ1582" s="418"/>
      <c r="AK1582" s="418"/>
      <c r="AL1582" s="418"/>
      <c r="AM1582" s="418"/>
      <c r="AN1582" s="418"/>
      <c r="AO1582" s="418"/>
      <c r="AP1582" s="418"/>
      <c r="AQ1582" s="418"/>
      <c r="AR1582" s="418"/>
      <c r="AS1582" s="418"/>
      <c r="AT1582" s="418"/>
      <c r="AU1582" s="418"/>
      <c r="AV1582" s="418"/>
      <c r="AW1582" s="418"/>
      <c r="AX1582" s="418"/>
      <c r="AY1582" s="418"/>
      <c r="BF1582" s="1119"/>
      <c r="BG1582" s="1119"/>
      <c r="BH1582" s="1119"/>
    </row>
    <row r="1583" spans="1:60" ht="15.75" customHeight="1">
      <c r="A1583" s="1076"/>
      <c r="B1583" s="416"/>
      <c r="C1583" s="424"/>
      <c r="E1583" s="418"/>
      <c r="F1583" s="493"/>
      <c r="G1583" s="418"/>
      <c r="H1583" s="421"/>
      <c r="I1583" s="421"/>
      <c r="J1583" s="492"/>
      <c r="K1583" s="418"/>
      <c r="L1583" s="418"/>
      <c r="M1583" s="418"/>
      <c r="N1583" s="421"/>
      <c r="O1583" s="421"/>
      <c r="P1583" s="421"/>
      <c r="Q1583" s="418"/>
      <c r="R1583" s="418"/>
      <c r="S1583" s="418"/>
      <c r="T1583" s="418"/>
      <c r="U1583" s="418"/>
      <c r="V1583" s="418"/>
      <c r="W1583" s="418"/>
      <c r="X1583" s="418"/>
      <c r="Y1583" s="418"/>
      <c r="Z1583" s="418"/>
      <c r="AA1583" s="418"/>
      <c r="AB1583" s="418"/>
      <c r="AC1583" s="418"/>
      <c r="AD1583" s="418"/>
      <c r="AE1583" s="418"/>
      <c r="AF1583" s="418"/>
      <c r="AG1583" s="418"/>
      <c r="AH1583" s="418"/>
      <c r="AI1583" s="418"/>
      <c r="AJ1583" s="418"/>
      <c r="AK1583" s="418"/>
      <c r="AL1583" s="418"/>
      <c r="AM1583" s="418"/>
      <c r="AN1583" s="418"/>
      <c r="AO1583" s="418"/>
      <c r="AP1583" s="418"/>
      <c r="AQ1583" s="418"/>
      <c r="AR1583" s="418"/>
      <c r="AS1583" s="418"/>
      <c r="AT1583" s="418"/>
      <c r="AU1583" s="418"/>
      <c r="AV1583" s="418"/>
      <c r="AW1583" s="418"/>
      <c r="AX1583" s="418"/>
      <c r="AY1583" s="418"/>
      <c r="BF1583" s="1119"/>
      <c r="BG1583" s="1119"/>
      <c r="BH1583" s="1119"/>
    </row>
    <row r="1584" spans="1:60" ht="15.75" customHeight="1">
      <c r="A1584" s="1076"/>
      <c r="B1584" s="416"/>
      <c r="C1584" s="424"/>
      <c r="E1584" s="418"/>
      <c r="F1584" s="493"/>
      <c r="G1584" s="418"/>
      <c r="H1584" s="421"/>
      <c r="I1584" s="421"/>
      <c r="J1584" s="492"/>
      <c r="K1584" s="418"/>
      <c r="L1584" s="418"/>
      <c r="M1584" s="418"/>
      <c r="N1584" s="421"/>
      <c r="O1584" s="421"/>
      <c r="P1584" s="421"/>
      <c r="Q1584" s="418"/>
      <c r="R1584" s="418"/>
      <c r="S1584" s="418"/>
      <c r="T1584" s="418"/>
      <c r="U1584" s="418"/>
      <c r="V1584" s="418"/>
      <c r="W1584" s="418"/>
      <c r="X1584" s="418"/>
      <c r="Y1584" s="418"/>
      <c r="Z1584" s="418"/>
      <c r="AA1584" s="418"/>
      <c r="AB1584" s="418"/>
      <c r="AC1584" s="418"/>
      <c r="AD1584" s="418"/>
      <c r="AE1584" s="418"/>
      <c r="AF1584" s="418"/>
      <c r="AG1584" s="418"/>
      <c r="AH1584" s="418"/>
      <c r="AI1584" s="418"/>
      <c r="AJ1584" s="418"/>
      <c r="AK1584" s="418"/>
      <c r="AL1584" s="418"/>
      <c r="AM1584" s="418"/>
      <c r="AN1584" s="418"/>
      <c r="AO1584" s="418"/>
      <c r="AP1584" s="418"/>
      <c r="AQ1584" s="418"/>
      <c r="AR1584" s="418"/>
      <c r="AS1584" s="418"/>
      <c r="AT1584" s="418"/>
      <c r="AU1584" s="418"/>
      <c r="AV1584" s="418"/>
      <c r="AW1584" s="418"/>
      <c r="AX1584" s="418"/>
      <c r="AY1584" s="418"/>
      <c r="BF1584" s="1119"/>
      <c r="BG1584" s="1119"/>
      <c r="BH1584" s="1119"/>
    </row>
    <row r="1585" spans="1:60" ht="15.75" customHeight="1">
      <c r="A1585" s="1076"/>
      <c r="B1585" s="416"/>
      <c r="C1585" s="424"/>
      <c r="E1585" s="418"/>
      <c r="F1585" s="493"/>
      <c r="G1585" s="418"/>
      <c r="H1585" s="421"/>
      <c r="I1585" s="421"/>
      <c r="J1585" s="492"/>
      <c r="K1585" s="418"/>
      <c r="L1585" s="418"/>
      <c r="M1585" s="418"/>
      <c r="N1585" s="421"/>
      <c r="O1585" s="421"/>
      <c r="P1585" s="421"/>
      <c r="Q1585" s="418"/>
      <c r="R1585" s="418"/>
      <c r="S1585" s="418"/>
      <c r="T1585" s="418"/>
      <c r="U1585" s="418"/>
      <c r="V1585" s="418"/>
      <c r="W1585" s="418"/>
      <c r="X1585" s="418"/>
      <c r="Y1585" s="418"/>
      <c r="Z1585" s="418"/>
      <c r="AA1585" s="418"/>
      <c r="AB1585" s="418"/>
      <c r="AC1585" s="418"/>
      <c r="AD1585" s="418"/>
      <c r="AE1585" s="418"/>
      <c r="AF1585" s="418"/>
      <c r="AG1585" s="418"/>
      <c r="AH1585" s="418"/>
      <c r="AI1585" s="418"/>
      <c r="AJ1585" s="418"/>
      <c r="AK1585" s="418"/>
      <c r="AL1585" s="418"/>
      <c r="AM1585" s="418"/>
      <c r="AN1585" s="418"/>
      <c r="AO1585" s="418"/>
      <c r="AP1585" s="418"/>
      <c r="AQ1585" s="418"/>
      <c r="AR1585" s="418"/>
      <c r="AS1585" s="418"/>
      <c r="AT1585" s="418"/>
      <c r="AU1585" s="418"/>
      <c r="AV1585" s="418"/>
      <c r="AW1585" s="418"/>
      <c r="AX1585" s="418"/>
      <c r="AY1585" s="418"/>
      <c r="BF1585" s="1119"/>
      <c r="BG1585" s="1119"/>
      <c r="BH1585" s="1119"/>
    </row>
    <row r="1586" spans="1:60" ht="15.75" customHeight="1">
      <c r="A1586" s="1076"/>
      <c r="B1586" s="416"/>
      <c r="C1586" s="424"/>
      <c r="E1586" s="418"/>
      <c r="F1586" s="493"/>
      <c r="G1586" s="418"/>
      <c r="H1586" s="421"/>
      <c r="I1586" s="421"/>
      <c r="J1586" s="492"/>
      <c r="K1586" s="418"/>
      <c r="L1586" s="418"/>
      <c r="M1586" s="418"/>
      <c r="N1586" s="421"/>
      <c r="O1586" s="421"/>
      <c r="P1586" s="421"/>
      <c r="Q1586" s="418"/>
      <c r="R1586" s="418"/>
      <c r="S1586" s="418"/>
      <c r="T1586" s="418"/>
      <c r="U1586" s="418"/>
      <c r="V1586" s="418"/>
      <c r="W1586" s="418"/>
      <c r="X1586" s="418"/>
      <c r="Y1586" s="418"/>
      <c r="Z1586" s="418"/>
      <c r="AA1586" s="418"/>
      <c r="AB1586" s="418"/>
      <c r="AC1586" s="418"/>
      <c r="AD1586" s="418"/>
      <c r="AE1586" s="418"/>
      <c r="AF1586" s="418"/>
      <c r="AG1586" s="418"/>
      <c r="AH1586" s="418"/>
      <c r="AI1586" s="418"/>
      <c r="AJ1586" s="418"/>
      <c r="AK1586" s="418"/>
      <c r="AL1586" s="418"/>
      <c r="AM1586" s="418"/>
      <c r="AN1586" s="418"/>
      <c r="AO1586" s="418"/>
      <c r="AP1586" s="418"/>
      <c r="AQ1586" s="418"/>
      <c r="AR1586" s="418"/>
      <c r="AS1586" s="418"/>
      <c r="AT1586" s="418"/>
      <c r="AU1586" s="418"/>
      <c r="AV1586" s="418"/>
      <c r="AW1586" s="418"/>
      <c r="AX1586" s="418"/>
      <c r="AY1586" s="418"/>
      <c r="BF1586" s="1119"/>
      <c r="BG1586" s="1119"/>
      <c r="BH1586" s="1119"/>
    </row>
    <row r="1587" spans="1:60" ht="15.75" customHeight="1">
      <c r="A1587" s="1076"/>
      <c r="B1587" s="416"/>
      <c r="C1587" s="424"/>
      <c r="E1587" s="418"/>
      <c r="F1587" s="493"/>
      <c r="G1587" s="418"/>
      <c r="H1587" s="421"/>
      <c r="I1587" s="421"/>
      <c r="J1587" s="492"/>
      <c r="K1587" s="418"/>
      <c r="L1587" s="418"/>
      <c r="M1587" s="418"/>
      <c r="N1587" s="421"/>
      <c r="O1587" s="421"/>
      <c r="P1587" s="421"/>
      <c r="Q1587" s="418"/>
      <c r="R1587" s="418"/>
      <c r="S1587" s="418"/>
      <c r="T1587" s="418"/>
      <c r="U1587" s="418"/>
      <c r="V1587" s="418"/>
      <c r="W1587" s="418"/>
      <c r="X1587" s="418"/>
      <c r="Y1587" s="418"/>
      <c r="Z1587" s="418"/>
      <c r="AA1587" s="418"/>
      <c r="AB1587" s="418"/>
      <c r="AC1587" s="418"/>
      <c r="AD1587" s="418"/>
      <c r="AE1587" s="418"/>
      <c r="AF1587" s="418"/>
      <c r="AG1587" s="418"/>
      <c r="AH1587" s="418"/>
      <c r="AI1587" s="418"/>
      <c r="AJ1587" s="418"/>
      <c r="AK1587" s="418"/>
      <c r="AL1587" s="418"/>
      <c r="AM1587" s="418"/>
      <c r="AN1587" s="418"/>
      <c r="AO1587" s="418"/>
      <c r="AP1587" s="418"/>
      <c r="AQ1587" s="418"/>
      <c r="AR1587" s="418"/>
      <c r="AS1587" s="418"/>
      <c r="AT1587" s="418"/>
      <c r="AU1587" s="418"/>
      <c r="AV1587" s="418"/>
      <c r="AW1587" s="418"/>
      <c r="AX1587" s="418"/>
      <c r="AY1587" s="418"/>
      <c r="BF1587" s="1119"/>
      <c r="BG1587" s="1119"/>
      <c r="BH1587" s="1119"/>
    </row>
    <row r="1588" spans="1:60" ht="15.75" customHeight="1">
      <c r="A1588" s="1076"/>
      <c r="B1588" s="416"/>
      <c r="C1588" s="424"/>
      <c r="E1588" s="418"/>
      <c r="F1588" s="493"/>
      <c r="G1588" s="418"/>
      <c r="H1588" s="421"/>
      <c r="I1588" s="421"/>
      <c r="J1588" s="492"/>
      <c r="K1588" s="418"/>
      <c r="L1588" s="418"/>
      <c r="M1588" s="418"/>
      <c r="N1588" s="421"/>
      <c r="O1588" s="421"/>
      <c r="P1588" s="421"/>
      <c r="Q1588" s="418"/>
      <c r="R1588" s="418"/>
      <c r="S1588" s="418"/>
      <c r="T1588" s="418"/>
      <c r="U1588" s="418"/>
      <c r="V1588" s="418"/>
      <c r="W1588" s="418"/>
      <c r="X1588" s="418"/>
      <c r="Y1588" s="418"/>
      <c r="Z1588" s="418"/>
      <c r="AA1588" s="418"/>
      <c r="AB1588" s="418"/>
      <c r="AC1588" s="418"/>
      <c r="AD1588" s="418"/>
      <c r="AE1588" s="418"/>
      <c r="AF1588" s="418"/>
      <c r="AG1588" s="418"/>
      <c r="AH1588" s="418"/>
      <c r="AI1588" s="418"/>
      <c r="AJ1588" s="418"/>
      <c r="AK1588" s="418"/>
      <c r="AL1588" s="418"/>
      <c r="AM1588" s="418"/>
      <c r="AN1588" s="418"/>
      <c r="AO1588" s="418"/>
      <c r="AP1588" s="418"/>
      <c r="AQ1588" s="418"/>
      <c r="AR1588" s="418"/>
      <c r="AS1588" s="418"/>
      <c r="AT1588" s="418"/>
      <c r="AU1588" s="418"/>
      <c r="AV1588" s="418"/>
      <c r="AW1588" s="418"/>
      <c r="AX1588" s="418"/>
      <c r="AY1588" s="418"/>
      <c r="BF1588" s="1119"/>
      <c r="BG1588" s="1119"/>
      <c r="BH1588" s="1119"/>
    </row>
    <row r="1589" spans="1:60" ht="15.75" customHeight="1">
      <c r="A1589" s="1076"/>
      <c r="B1589" s="416"/>
      <c r="C1589" s="424"/>
      <c r="E1589" s="418"/>
      <c r="F1589" s="493"/>
      <c r="G1589" s="418"/>
      <c r="H1589" s="421"/>
      <c r="I1589" s="421"/>
      <c r="J1589" s="492"/>
      <c r="K1589" s="418"/>
      <c r="L1589" s="418"/>
      <c r="M1589" s="418"/>
      <c r="N1589" s="421"/>
      <c r="O1589" s="421"/>
      <c r="P1589" s="421"/>
      <c r="Q1589" s="418"/>
      <c r="R1589" s="418"/>
      <c r="S1589" s="418"/>
      <c r="T1589" s="418"/>
      <c r="U1589" s="418"/>
      <c r="V1589" s="418"/>
      <c r="W1589" s="418"/>
      <c r="X1589" s="418"/>
      <c r="Y1589" s="418"/>
      <c r="Z1589" s="418"/>
      <c r="AA1589" s="418"/>
      <c r="AB1589" s="418"/>
      <c r="AC1589" s="418"/>
      <c r="AD1589" s="418"/>
      <c r="AE1589" s="418"/>
      <c r="AF1589" s="418"/>
      <c r="AG1589" s="418"/>
      <c r="AH1589" s="418"/>
      <c r="AI1589" s="418"/>
      <c r="AJ1589" s="418"/>
      <c r="AK1589" s="418"/>
      <c r="AL1589" s="418"/>
      <c r="AM1589" s="418"/>
      <c r="AN1589" s="418"/>
      <c r="AO1589" s="418"/>
      <c r="AP1589" s="418"/>
      <c r="AQ1589" s="418"/>
      <c r="AR1589" s="418"/>
      <c r="AS1589" s="418"/>
      <c r="AT1589" s="418"/>
      <c r="AU1589" s="418"/>
      <c r="AV1589" s="418"/>
      <c r="AW1589" s="418"/>
      <c r="AX1589" s="418"/>
      <c r="AY1589" s="418"/>
      <c r="BF1589" s="1119"/>
      <c r="BG1589" s="1119"/>
      <c r="BH1589" s="1119"/>
    </row>
    <row r="1590" spans="1:60" ht="15.75" customHeight="1">
      <c r="A1590" s="1076"/>
      <c r="B1590" s="416"/>
      <c r="C1590" s="424"/>
      <c r="E1590" s="418"/>
      <c r="F1590" s="493"/>
      <c r="G1590" s="418"/>
      <c r="H1590" s="421"/>
      <c r="I1590" s="421"/>
      <c r="J1590" s="492"/>
      <c r="K1590" s="418"/>
      <c r="L1590" s="418"/>
      <c r="M1590" s="418"/>
      <c r="N1590" s="421"/>
      <c r="O1590" s="421"/>
      <c r="P1590" s="421"/>
      <c r="Q1590" s="418"/>
      <c r="R1590" s="418"/>
      <c r="S1590" s="418"/>
      <c r="T1590" s="418"/>
      <c r="U1590" s="418"/>
      <c r="V1590" s="418"/>
      <c r="W1590" s="418"/>
      <c r="X1590" s="418"/>
      <c r="Y1590" s="418"/>
      <c r="Z1590" s="418"/>
      <c r="AA1590" s="418"/>
      <c r="AB1590" s="418"/>
      <c r="AC1590" s="418"/>
      <c r="AD1590" s="418"/>
      <c r="AE1590" s="418"/>
      <c r="AF1590" s="418"/>
      <c r="AG1590" s="418"/>
      <c r="AH1590" s="418"/>
      <c r="AI1590" s="418"/>
      <c r="AJ1590" s="418"/>
      <c r="AK1590" s="418"/>
      <c r="AL1590" s="418"/>
      <c r="AM1590" s="418"/>
      <c r="AN1590" s="418"/>
      <c r="AO1590" s="418"/>
      <c r="AP1590" s="418"/>
      <c r="AQ1590" s="418"/>
      <c r="AR1590" s="418"/>
      <c r="AS1590" s="418"/>
      <c r="AT1590" s="418"/>
      <c r="AU1590" s="418"/>
      <c r="AV1590" s="418"/>
      <c r="AW1590" s="418"/>
      <c r="AX1590" s="418"/>
      <c r="AY1590" s="418"/>
      <c r="BF1590" s="1119"/>
      <c r="BG1590" s="1119"/>
      <c r="BH1590" s="1119"/>
    </row>
    <row r="1591" spans="1:60" ht="15.75" customHeight="1">
      <c r="A1591" s="1076"/>
      <c r="B1591" s="416"/>
      <c r="C1591" s="424"/>
      <c r="E1591" s="418"/>
      <c r="F1591" s="493"/>
      <c r="G1591" s="418"/>
      <c r="H1591" s="421"/>
      <c r="I1591" s="421"/>
      <c r="J1591" s="492"/>
      <c r="K1591" s="418"/>
      <c r="L1591" s="418"/>
      <c r="M1591" s="418"/>
      <c r="N1591" s="421"/>
      <c r="O1591" s="421"/>
      <c r="P1591" s="421"/>
      <c r="Q1591" s="418"/>
      <c r="R1591" s="418"/>
      <c r="S1591" s="418"/>
      <c r="T1591" s="418"/>
      <c r="U1591" s="418"/>
      <c r="V1591" s="418"/>
      <c r="W1591" s="418"/>
      <c r="X1591" s="418"/>
      <c r="Y1591" s="418"/>
      <c r="Z1591" s="418"/>
      <c r="AA1591" s="418"/>
      <c r="AB1591" s="418"/>
      <c r="AC1591" s="418"/>
      <c r="AD1591" s="418"/>
      <c r="AE1591" s="418"/>
      <c r="AF1591" s="418"/>
      <c r="AG1591" s="418"/>
      <c r="AH1591" s="418"/>
      <c r="AI1591" s="418"/>
      <c r="AJ1591" s="418"/>
      <c r="AK1591" s="418"/>
      <c r="AL1591" s="418"/>
      <c r="AM1591" s="418"/>
      <c r="AN1591" s="418"/>
      <c r="AO1591" s="418"/>
      <c r="AP1591" s="418"/>
      <c r="AQ1591" s="418"/>
      <c r="AR1591" s="418"/>
      <c r="AS1591" s="418"/>
      <c r="AT1591" s="418"/>
      <c r="AU1591" s="418"/>
      <c r="AV1591" s="418"/>
      <c r="AW1591" s="418"/>
      <c r="AX1591" s="418"/>
      <c r="AY1591" s="418"/>
      <c r="BF1591" s="1119"/>
      <c r="BG1591" s="1119"/>
      <c r="BH1591" s="1119"/>
    </row>
    <row r="1592" spans="1:60" ht="15.75" customHeight="1">
      <c r="A1592" s="1076"/>
      <c r="B1592" s="416"/>
      <c r="C1592" s="424"/>
      <c r="E1592" s="418"/>
      <c r="F1592" s="493"/>
      <c r="G1592" s="418"/>
      <c r="H1592" s="421"/>
      <c r="I1592" s="421"/>
      <c r="J1592" s="492"/>
      <c r="K1592" s="418"/>
      <c r="L1592" s="418"/>
      <c r="M1592" s="418"/>
      <c r="N1592" s="421"/>
      <c r="O1592" s="421"/>
      <c r="P1592" s="421"/>
      <c r="Q1592" s="418"/>
      <c r="R1592" s="418"/>
      <c r="S1592" s="418"/>
      <c r="T1592" s="418"/>
      <c r="U1592" s="418"/>
      <c r="V1592" s="418"/>
      <c r="W1592" s="418"/>
      <c r="X1592" s="418"/>
      <c r="Y1592" s="418"/>
      <c r="Z1592" s="418"/>
      <c r="AA1592" s="418"/>
      <c r="AB1592" s="418"/>
      <c r="AC1592" s="418"/>
      <c r="AD1592" s="418"/>
      <c r="AE1592" s="418"/>
      <c r="AF1592" s="418"/>
      <c r="AG1592" s="418"/>
      <c r="AH1592" s="418"/>
      <c r="AI1592" s="418"/>
      <c r="AJ1592" s="418"/>
      <c r="AK1592" s="418"/>
      <c r="AL1592" s="418"/>
      <c r="AM1592" s="418"/>
      <c r="AN1592" s="418"/>
      <c r="AO1592" s="418"/>
      <c r="AP1592" s="418"/>
      <c r="AQ1592" s="418"/>
      <c r="AR1592" s="418"/>
      <c r="AS1592" s="418"/>
      <c r="AT1592" s="418"/>
      <c r="AU1592" s="418"/>
      <c r="AV1592" s="418"/>
      <c r="AW1592" s="418"/>
      <c r="AX1592" s="418"/>
      <c r="AY1592" s="418"/>
      <c r="BF1592" s="1119"/>
      <c r="BG1592" s="1119"/>
      <c r="BH1592" s="1119"/>
    </row>
    <row r="1593" spans="1:60" ht="15.75" customHeight="1">
      <c r="A1593" s="1076"/>
      <c r="B1593" s="416"/>
      <c r="C1593" s="424"/>
      <c r="E1593" s="418"/>
      <c r="F1593" s="493"/>
      <c r="G1593" s="418"/>
      <c r="H1593" s="421"/>
      <c r="I1593" s="421"/>
      <c r="J1593" s="492"/>
      <c r="K1593" s="418"/>
      <c r="L1593" s="418"/>
      <c r="M1593" s="418"/>
      <c r="N1593" s="421"/>
      <c r="O1593" s="421"/>
      <c r="P1593" s="421"/>
      <c r="Q1593" s="418"/>
      <c r="R1593" s="418"/>
      <c r="S1593" s="418"/>
      <c r="T1593" s="418"/>
      <c r="U1593" s="418"/>
      <c r="V1593" s="418"/>
      <c r="W1593" s="418"/>
      <c r="X1593" s="418"/>
      <c r="Y1593" s="418"/>
      <c r="Z1593" s="418"/>
      <c r="AA1593" s="418"/>
      <c r="AB1593" s="418"/>
      <c r="AC1593" s="418"/>
      <c r="AD1593" s="418"/>
      <c r="AE1593" s="418"/>
      <c r="AF1593" s="418"/>
      <c r="AG1593" s="418"/>
      <c r="AH1593" s="418"/>
      <c r="AI1593" s="418"/>
      <c r="AJ1593" s="418"/>
      <c r="AK1593" s="418"/>
      <c r="AL1593" s="418"/>
      <c r="AM1593" s="418"/>
      <c r="AN1593" s="418"/>
      <c r="AO1593" s="418"/>
      <c r="AP1593" s="418"/>
      <c r="AQ1593" s="418"/>
      <c r="AR1593" s="418"/>
      <c r="AS1593" s="418"/>
      <c r="AT1593" s="418"/>
      <c r="AU1593" s="418"/>
      <c r="AV1593" s="418"/>
      <c r="AW1593" s="418"/>
      <c r="AX1593" s="418"/>
      <c r="AY1593" s="418"/>
      <c r="BF1593" s="1119"/>
      <c r="BG1593" s="1119"/>
      <c r="BH1593" s="1119"/>
    </row>
    <row r="1594" spans="1:60" ht="15.75" customHeight="1">
      <c r="A1594" s="1076"/>
      <c r="B1594" s="416"/>
      <c r="C1594" s="424"/>
      <c r="E1594" s="418"/>
      <c r="F1594" s="493"/>
      <c r="G1594" s="418"/>
      <c r="H1594" s="421"/>
      <c r="I1594" s="421"/>
      <c r="J1594" s="492"/>
      <c r="K1594" s="418"/>
      <c r="L1594" s="418"/>
      <c r="M1594" s="418"/>
      <c r="N1594" s="421"/>
      <c r="O1594" s="421"/>
      <c r="P1594" s="421"/>
      <c r="Q1594" s="418"/>
      <c r="R1594" s="418"/>
      <c r="S1594" s="418"/>
      <c r="T1594" s="418"/>
      <c r="U1594" s="418"/>
      <c r="V1594" s="418"/>
      <c r="W1594" s="418"/>
      <c r="X1594" s="418"/>
      <c r="Y1594" s="418"/>
      <c r="Z1594" s="418"/>
      <c r="AA1594" s="418"/>
      <c r="AB1594" s="418"/>
      <c r="AC1594" s="418"/>
      <c r="AD1594" s="418"/>
      <c r="AE1594" s="418"/>
      <c r="AF1594" s="418"/>
      <c r="AG1594" s="418"/>
      <c r="AH1594" s="418"/>
      <c r="AI1594" s="418"/>
      <c r="AJ1594" s="418"/>
      <c r="AK1594" s="418"/>
      <c r="AL1594" s="418"/>
      <c r="AM1594" s="418"/>
      <c r="AN1594" s="418"/>
      <c r="AO1594" s="418"/>
      <c r="AP1594" s="418"/>
      <c r="AQ1594" s="418"/>
      <c r="AR1594" s="418"/>
      <c r="AS1594" s="418"/>
      <c r="AT1594" s="418"/>
      <c r="AU1594" s="418"/>
      <c r="AV1594" s="418"/>
      <c r="AW1594" s="418"/>
      <c r="AX1594" s="418"/>
      <c r="AY1594" s="418"/>
      <c r="BF1594" s="1119"/>
      <c r="BG1594" s="1119"/>
      <c r="BH1594" s="1119"/>
    </row>
    <row r="1595" spans="1:60" ht="15.75" customHeight="1">
      <c r="A1595" s="1076"/>
      <c r="B1595" s="416"/>
      <c r="C1595" s="424"/>
      <c r="E1595" s="418"/>
      <c r="F1595" s="493"/>
      <c r="G1595" s="418"/>
      <c r="H1595" s="421"/>
      <c r="I1595" s="421"/>
      <c r="J1595" s="492"/>
      <c r="K1595" s="418"/>
      <c r="L1595" s="418"/>
      <c r="M1595" s="418"/>
      <c r="N1595" s="421"/>
      <c r="O1595" s="421"/>
      <c r="P1595" s="421"/>
      <c r="Q1595" s="418"/>
      <c r="R1595" s="418"/>
      <c r="S1595" s="418"/>
      <c r="T1595" s="418"/>
      <c r="U1595" s="418"/>
      <c r="V1595" s="418"/>
      <c r="W1595" s="418"/>
      <c r="X1595" s="418"/>
      <c r="Y1595" s="418"/>
      <c r="Z1595" s="418"/>
      <c r="AA1595" s="418"/>
      <c r="AB1595" s="418"/>
      <c r="AC1595" s="418"/>
      <c r="AD1595" s="418"/>
      <c r="AE1595" s="418"/>
      <c r="AF1595" s="418"/>
      <c r="AG1595" s="418"/>
      <c r="AH1595" s="418"/>
      <c r="AI1595" s="418"/>
      <c r="AJ1595" s="418"/>
      <c r="AK1595" s="418"/>
      <c r="AL1595" s="418"/>
      <c r="AM1595" s="418"/>
      <c r="AN1595" s="418"/>
      <c r="AO1595" s="418"/>
      <c r="AP1595" s="418"/>
      <c r="AQ1595" s="418"/>
      <c r="AR1595" s="418"/>
      <c r="AS1595" s="418"/>
      <c r="AT1595" s="418"/>
      <c r="AU1595" s="418"/>
      <c r="AV1595" s="418"/>
      <c r="AW1595" s="418"/>
      <c r="AX1595" s="418"/>
      <c r="AY1595" s="418"/>
      <c r="BF1595" s="1119"/>
      <c r="BG1595" s="1119"/>
      <c r="BH1595" s="1119"/>
    </row>
    <row r="1596" spans="1:60" ht="15.75" customHeight="1">
      <c r="A1596" s="1076"/>
      <c r="B1596" s="416"/>
      <c r="C1596" s="424"/>
      <c r="E1596" s="418"/>
      <c r="F1596" s="493"/>
      <c r="G1596" s="418"/>
      <c r="H1596" s="421"/>
      <c r="I1596" s="421"/>
      <c r="J1596" s="492"/>
      <c r="K1596" s="418"/>
      <c r="L1596" s="418"/>
      <c r="M1596" s="418"/>
      <c r="N1596" s="421"/>
      <c r="O1596" s="421"/>
      <c r="P1596" s="421"/>
      <c r="Q1596" s="418"/>
      <c r="R1596" s="418"/>
      <c r="S1596" s="418"/>
      <c r="T1596" s="418"/>
      <c r="U1596" s="418"/>
      <c r="V1596" s="418"/>
      <c r="W1596" s="418"/>
      <c r="X1596" s="418"/>
      <c r="Y1596" s="418"/>
      <c r="Z1596" s="418"/>
      <c r="AA1596" s="418"/>
      <c r="AB1596" s="418"/>
      <c r="AC1596" s="418"/>
      <c r="AD1596" s="418"/>
      <c r="AE1596" s="418"/>
      <c r="AF1596" s="418"/>
      <c r="AG1596" s="418"/>
      <c r="AH1596" s="418"/>
      <c r="AI1596" s="418"/>
      <c r="AJ1596" s="418"/>
      <c r="AK1596" s="418"/>
      <c r="AL1596" s="418"/>
      <c r="AM1596" s="418"/>
      <c r="AN1596" s="418"/>
      <c r="AO1596" s="418"/>
      <c r="AP1596" s="418"/>
      <c r="AQ1596" s="418"/>
      <c r="AR1596" s="418"/>
      <c r="AS1596" s="418"/>
      <c r="AT1596" s="418"/>
      <c r="AU1596" s="418"/>
      <c r="AV1596" s="418"/>
      <c r="AW1596" s="418"/>
      <c r="AX1596" s="418"/>
      <c r="AY1596" s="418"/>
      <c r="BF1596" s="1119"/>
      <c r="BG1596" s="1119"/>
      <c r="BH1596" s="1119"/>
    </row>
    <row r="1597" spans="1:60" ht="15.75" customHeight="1">
      <c r="A1597" s="1076"/>
      <c r="B1597" s="416"/>
      <c r="C1597" s="424"/>
      <c r="E1597" s="418"/>
      <c r="F1597" s="493"/>
      <c r="G1597" s="418"/>
      <c r="H1597" s="421"/>
      <c r="I1597" s="421"/>
      <c r="J1597" s="492"/>
      <c r="K1597" s="418"/>
      <c r="L1597" s="418"/>
      <c r="M1597" s="418"/>
      <c r="N1597" s="421"/>
      <c r="O1597" s="421"/>
      <c r="P1597" s="421"/>
      <c r="Q1597" s="418"/>
      <c r="R1597" s="418"/>
      <c r="S1597" s="418"/>
      <c r="T1597" s="418"/>
      <c r="U1597" s="418"/>
      <c r="V1597" s="418"/>
      <c r="W1597" s="418"/>
      <c r="X1597" s="418"/>
      <c r="Y1597" s="418"/>
      <c r="Z1597" s="418"/>
      <c r="AA1597" s="418"/>
      <c r="AB1597" s="418"/>
      <c r="AC1597" s="418"/>
      <c r="AD1597" s="418"/>
      <c r="AE1597" s="418"/>
      <c r="AF1597" s="418"/>
      <c r="AG1597" s="418"/>
      <c r="AH1597" s="418"/>
      <c r="AI1597" s="418"/>
      <c r="AJ1597" s="418"/>
      <c r="AK1597" s="418"/>
      <c r="AL1597" s="418"/>
      <c r="AM1597" s="418"/>
      <c r="AN1597" s="418"/>
      <c r="AO1597" s="418"/>
      <c r="AP1597" s="418"/>
      <c r="AQ1597" s="418"/>
      <c r="AR1597" s="418"/>
      <c r="AS1597" s="418"/>
      <c r="AT1597" s="418"/>
      <c r="AU1597" s="418"/>
      <c r="AV1597" s="418"/>
      <c r="AW1597" s="418"/>
      <c r="AX1597" s="418"/>
      <c r="AY1597" s="418"/>
      <c r="BF1597" s="1119"/>
      <c r="BG1597" s="1119"/>
      <c r="BH1597" s="1119"/>
    </row>
    <row r="1598" spans="1:60" ht="15.75" customHeight="1">
      <c r="A1598" s="1076"/>
      <c r="B1598" s="416"/>
      <c r="C1598" s="424"/>
      <c r="E1598" s="418"/>
      <c r="F1598" s="493"/>
      <c r="G1598" s="418"/>
      <c r="H1598" s="421"/>
      <c r="I1598" s="421"/>
      <c r="J1598" s="492"/>
      <c r="K1598" s="418"/>
      <c r="L1598" s="418"/>
      <c r="M1598" s="418"/>
      <c r="N1598" s="421"/>
      <c r="O1598" s="421"/>
      <c r="P1598" s="421"/>
      <c r="Q1598" s="418"/>
      <c r="R1598" s="418"/>
      <c r="S1598" s="418"/>
      <c r="T1598" s="418"/>
      <c r="U1598" s="418"/>
      <c r="V1598" s="418"/>
      <c r="W1598" s="418"/>
      <c r="X1598" s="418"/>
      <c r="Y1598" s="418"/>
      <c r="Z1598" s="418"/>
      <c r="AA1598" s="418"/>
      <c r="AB1598" s="418"/>
      <c r="AC1598" s="418"/>
      <c r="AD1598" s="418"/>
      <c r="AE1598" s="418"/>
      <c r="AF1598" s="418"/>
      <c r="AG1598" s="418"/>
      <c r="AH1598" s="418"/>
      <c r="AI1598" s="418"/>
      <c r="AJ1598" s="418"/>
      <c r="AK1598" s="418"/>
      <c r="AL1598" s="418"/>
      <c r="AM1598" s="418"/>
      <c r="AN1598" s="418"/>
      <c r="AO1598" s="418"/>
      <c r="AP1598" s="418"/>
      <c r="AQ1598" s="418"/>
      <c r="AR1598" s="418"/>
      <c r="AS1598" s="418"/>
      <c r="AT1598" s="418"/>
      <c r="AU1598" s="418"/>
      <c r="AV1598" s="418"/>
      <c r="AW1598" s="418"/>
      <c r="AX1598" s="418"/>
      <c r="AY1598" s="418"/>
      <c r="BF1598" s="1119"/>
      <c r="BG1598" s="1119"/>
      <c r="BH1598" s="1119"/>
    </row>
    <row r="1599" spans="1:60" ht="15.75" customHeight="1">
      <c r="A1599" s="1076"/>
      <c r="B1599" s="416"/>
      <c r="C1599" s="424"/>
      <c r="E1599" s="418"/>
      <c r="F1599" s="493"/>
      <c r="G1599" s="418"/>
      <c r="H1599" s="421"/>
      <c r="I1599" s="421"/>
      <c r="J1599" s="492"/>
      <c r="K1599" s="418"/>
      <c r="L1599" s="418"/>
      <c r="M1599" s="418"/>
      <c r="N1599" s="421"/>
      <c r="O1599" s="421"/>
      <c r="P1599" s="421"/>
      <c r="Q1599" s="418"/>
      <c r="R1599" s="418"/>
      <c r="S1599" s="418"/>
      <c r="T1599" s="418"/>
      <c r="U1599" s="418"/>
      <c r="V1599" s="418"/>
      <c r="W1599" s="418"/>
      <c r="X1599" s="418"/>
      <c r="Y1599" s="418"/>
      <c r="Z1599" s="418"/>
      <c r="AA1599" s="418"/>
      <c r="AB1599" s="418"/>
      <c r="AC1599" s="418"/>
      <c r="AD1599" s="418"/>
      <c r="AE1599" s="418"/>
      <c r="AF1599" s="418"/>
      <c r="AG1599" s="418"/>
      <c r="AH1599" s="418"/>
      <c r="AI1599" s="418"/>
      <c r="AJ1599" s="418"/>
      <c r="AK1599" s="418"/>
      <c r="AL1599" s="418"/>
      <c r="AM1599" s="418"/>
      <c r="AN1599" s="418"/>
      <c r="AO1599" s="418"/>
      <c r="AP1599" s="418"/>
      <c r="AQ1599" s="418"/>
      <c r="AR1599" s="418"/>
      <c r="AS1599" s="418"/>
      <c r="AT1599" s="418"/>
      <c r="AU1599" s="418"/>
      <c r="AV1599" s="418"/>
      <c r="AW1599" s="418"/>
      <c r="AX1599" s="418"/>
      <c r="AY1599" s="418"/>
      <c r="BF1599" s="1119"/>
      <c r="BG1599" s="1119"/>
      <c r="BH1599" s="1119"/>
    </row>
    <row r="1600" spans="1:60" ht="15.75" customHeight="1">
      <c r="A1600" s="1076"/>
      <c r="B1600" s="416"/>
      <c r="C1600" s="424"/>
      <c r="E1600" s="418"/>
      <c r="F1600" s="493"/>
      <c r="G1600" s="418"/>
      <c r="H1600" s="421"/>
      <c r="I1600" s="421"/>
      <c r="J1600" s="492"/>
      <c r="K1600" s="418"/>
      <c r="L1600" s="418"/>
      <c r="M1600" s="418"/>
      <c r="N1600" s="421"/>
      <c r="O1600" s="421"/>
      <c r="P1600" s="421"/>
      <c r="Q1600" s="418"/>
      <c r="R1600" s="418"/>
      <c r="S1600" s="418"/>
      <c r="T1600" s="418"/>
      <c r="U1600" s="418"/>
      <c r="V1600" s="418"/>
      <c r="W1600" s="418"/>
      <c r="X1600" s="418"/>
      <c r="Y1600" s="418"/>
      <c r="Z1600" s="418"/>
      <c r="AA1600" s="418"/>
      <c r="AB1600" s="418"/>
      <c r="AC1600" s="418"/>
      <c r="AD1600" s="418"/>
      <c r="AE1600" s="418"/>
      <c r="AF1600" s="418"/>
      <c r="AG1600" s="418"/>
      <c r="AH1600" s="418"/>
      <c r="AI1600" s="418"/>
      <c r="AJ1600" s="418"/>
      <c r="AK1600" s="418"/>
      <c r="AL1600" s="418"/>
      <c r="AM1600" s="418"/>
      <c r="AN1600" s="418"/>
      <c r="AO1600" s="418"/>
      <c r="AP1600" s="418"/>
      <c r="AQ1600" s="418"/>
      <c r="AR1600" s="418"/>
      <c r="AS1600" s="418"/>
      <c r="AT1600" s="418"/>
      <c r="AU1600" s="418"/>
      <c r="AV1600" s="418"/>
      <c r="AW1600" s="418"/>
      <c r="AX1600" s="418"/>
      <c r="AY1600" s="418"/>
      <c r="BF1600" s="1119"/>
      <c r="BG1600" s="1119"/>
      <c r="BH1600" s="1119"/>
    </row>
    <row r="1601" spans="1:60" ht="15.75" customHeight="1">
      <c r="A1601" s="1076"/>
      <c r="B1601" s="416"/>
      <c r="C1601" s="424"/>
      <c r="E1601" s="418"/>
      <c r="F1601" s="493"/>
      <c r="G1601" s="418"/>
      <c r="H1601" s="421"/>
      <c r="I1601" s="421"/>
      <c r="J1601" s="492"/>
      <c r="K1601" s="418"/>
      <c r="L1601" s="418"/>
      <c r="M1601" s="418"/>
      <c r="N1601" s="421"/>
      <c r="O1601" s="421"/>
      <c r="P1601" s="421"/>
      <c r="Q1601" s="418"/>
      <c r="R1601" s="418"/>
      <c r="S1601" s="418"/>
      <c r="T1601" s="418"/>
      <c r="U1601" s="418"/>
      <c r="V1601" s="418"/>
      <c r="W1601" s="418"/>
      <c r="X1601" s="418"/>
      <c r="Y1601" s="418"/>
      <c r="Z1601" s="418"/>
      <c r="AA1601" s="418"/>
      <c r="AB1601" s="418"/>
      <c r="AC1601" s="418"/>
      <c r="AD1601" s="418"/>
      <c r="AE1601" s="418"/>
      <c r="AF1601" s="418"/>
      <c r="AG1601" s="418"/>
      <c r="AH1601" s="418"/>
      <c r="AI1601" s="418"/>
      <c r="AJ1601" s="418"/>
      <c r="AK1601" s="418"/>
      <c r="AL1601" s="418"/>
      <c r="AM1601" s="418"/>
      <c r="AN1601" s="418"/>
      <c r="AO1601" s="418"/>
      <c r="AP1601" s="418"/>
      <c r="AQ1601" s="418"/>
      <c r="AR1601" s="418"/>
      <c r="AS1601" s="418"/>
      <c r="AT1601" s="418"/>
      <c r="AU1601" s="418"/>
      <c r="AV1601" s="418"/>
      <c r="AW1601" s="418"/>
      <c r="AX1601" s="418"/>
      <c r="AY1601" s="418"/>
      <c r="BF1601" s="1119"/>
      <c r="BG1601" s="1119"/>
      <c r="BH1601" s="1119"/>
    </row>
    <row r="1602" spans="1:60" ht="15.75" customHeight="1">
      <c r="A1602" s="1076"/>
      <c r="B1602" s="416"/>
      <c r="C1602" s="424"/>
      <c r="E1602" s="418"/>
      <c r="F1602" s="493"/>
      <c r="G1602" s="418"/>
      <c r="H1602" s="421"/>
      <c r="I1602" s="421"/>
      <c r="J1602" s="492"/>
      <c r="K1602" s="418"/>
      <c r="L1602" s="418"/>
      <c r="M1602" s="418"/>
      <c r="N1602" s="421"/>
      <c r="O1602" s="421"/>
      <c r="P1602" s="421"/>
      <c r="Q1602" s="418"/>
      <c r="R1602" s="418"/>
      <c r="S1602" s="418"/>
      <c r="T1602" s="418"/>
      <c r="U1602" s="418"/>
      <c r="V1602" s="418"/>
      <c r="W1602" s="418"/>
      <c r="X1602" s="418"/>
      <c r="Y1602" s="418"/>
      <c r="Z1602" s="418"/>
      <c r="AA1602" s="418"/>
      <c r="AB1602" s="418"/>
      <c r="AC1602" s="418"/>
      <c r="AD1602" s="418"/>
      <c r="AE1602" s="418"/>
      <c r="AF1602" s="418"/>
      <c r="AG1602" s="418"/>
      <c r="AH1602" s="418"/>
      <c r="AI1602" s="418"/>
      <c r="AJ1602" s="418"/>
      <c r="AK1602" s="418"/>
      <c r="AL1602" s="418"/>
      <c r="AM1602" s="418"/>
      <c r="AN1602" s="418"/>
      <c r="AO1602" s="418"/>
      <c r="AP1602" s="418"/>
      <c r="AQ1602" s="418"/>
      <c r="AR1602" s="418"/>
      <c r="AS1602" s="418"/>
      <c r="AT1602" s="418"/>
      <c r="AU1602" s="418"/>
      <c r="AV1602" s="418"/>
      <c r="AW1602" s="418"/>
      <c r="AX1602" s="418"/>
      <c r="AY1602" s="418"/>
      <c r="BF1602" s="1119"/>
      <c r="BG1602" s="1119"/>
      <c r="BH1602" s="1119"/>
    </row>
    <row r="1603" spans="1:60" ht="15.75" customHeight="1">
      <c r="A1603" s="1076"/>
      <c r="B1603" s="416"/>
      <c r="C1603" s="424"/>
      <c r="E1603" s="418"/>
      <c r="F1603" s="493"/>
      <c r="G1603" s="418"/>
      <c r="H1603" s="421"/>
      <c r="I1603" s="421"/>
      <c r="J1603" s="492"/>
      <c r="K1603" s="418"/>
      <c r="L1603" s="418"/>
      <c r="M1603" s="418"/>
      <c r="N1603" s="421"/>
      <c r="O1603" s="421"/>
      <c r="P1603" s="421"/>
      <c r="Q1603" s="418"/>
      <c r="R1603" s="418"/>
      <c r="S1603" s="418"/>
      <c r="T1603" s="418"/>
      <c r="U1603" s="418"/>
      <c r="V1603" s="418"/>
      <c r="W1603" s="418"/>
      <c r="X1603" s="418"/>
      <c r="Y1603" s="418"/>
      <c r="Z1603" s="418"/>
      <c r="AA1603" s="418"/>
      <c r="AB1603" s="418"/>
      <c r="AC1603" s="418"/>
      <c r="AD1603" s="418"/>
      <c r="AE1603" s="418"/>
      <c r="AF1603" s="418"/>
      <c r="AG1603" s="418"/>
      <c r="AH1603" s="418"/>
      <c r="AI1603" s="418"/>
      <c r="AJ1603" s="418"/>
      <c r="AK1603" s="418"/>
      <c r="AL1603" s="418"/>
      <c r="AM1603" s="418"/>
      <c r="AN1603" s="418"/>
      <c r="AO1603" s="418"/>
      <c r="AP1603" s="418"/>
      <c r="AQ1603" s="418"/>
      <c r="AR1603" s="418"/>
      <c r="AS1603" s="418"/>
      <c r="AT1603" s="418"/>
      <c r="AU1603" s="418"/>
      <c r="AV1603" s="418"/>
      <c r="AW1603" s="418"/>
      <c r="AX1603" s="418"/>
      <c r="AY1603" s="418"/>
      <c r="BF1603" s="1119"/>
      <c r="BG1603" s="1119"/>
      <c r="BH1603" s="1119"/>
    </row>
    <row r="1604" spans="1:60" ht="15.75" customHeight="1">
      <c r="A1604" s="1076"/>
      <c r="B1604" s="416"/>
      <c r="C1604" s="424"/>
      <c r="E1604" s="418"/>
      <c r="F1604" s="493"/>
      <c r="G1604" s="418"/>
      <c r="H1604" s="421"/>
      <c r="I1604" s="421"/>
      <c r="J1604" s="492"/>
      <c r="K1604" s="418"/>
      <c r="L1604" s="418"/>
      <c r="M1604" s="418"/>
      <c r="N1604" s="421"/>
      <c r="O1604" s="421"/>
      <c r="P1604" s="421"/>
      <c r="Q1604" s="418"/>
      <c r="R1604" s="418"/>
      <c r="S1604" s="418"/>
      <c r="T1604" s="418"/>
      <c r="U1604" s="418"/>
      <c r="V1604" s="418"/>
      <c r="W1604" s="418"/>
      <c r="X1604" s="418"/>
      <c r="Y1604" s="418"/>
      <c r="Z1604" s="418"/>
      <c r="AA1604" s="418"/>
      <c r="AB1604" s="418"/>
      <c r="AC1604" s="418"/>
      <c r="AD1604" s="418"/>
      <c r="AE1604" s="418"/>
      <c r="AF1604" s="418"/>
      <c r="AG1604" s="418"/>
      <c r="AH1604" s="418"/>
      <c r="AI1604" s="418"/>
      <c r="AJ1604" s="418"/>
      <c r="AK1604" s="418"/>
      <c r="AL1604" s="418"/>
      <c r="AM1604" s="418"/>
      <c r="AN1604" s="418"/>
      <c r="AO1604" s="418"/>
      <c r="AP1604" s="418"/>
      <c r="AQ1604" s="418"/>
      <c r="AR1604" s="418"/>
      <c r="AS1604" s="418"/>
      <c r="AT1604" s="418"/>
      <c r="AU1604" s="418"/>
      <c r="AV1604" s="418"/>
      <c r="AW1604" s="418"/>
      <c r="AX1604" s="418"/>
      <c r="AY1604" s="418"/>
      <c r="BF1604" s="1119"/>
      <c r="BG1604" s="1119"/>
      <c r="BH1604" s="1119"/>
    </row>
    <row r="1605" spans="1:60" ht="15.75" customHeight="1">
      <c r="A1605" s="1076"/>
      <c r="B1605" s="416"/>
      <c r="C1605" s="424"/>
      <c r="E1605" s="418"/>
      <c r="F1605" s="493"/>
      <c r="G1605" s="418"/>
      <c r="H1605" s="421"/>
      <c r="I1605" s="421"/>
      <c r="J1605" s="492"/>
      <c r="K1605" s="418"/>
      <c r="L1605" s="418"/>
      <c r="M1605" s="418"/>
      <c r="N1605" s="421"/>
      <c r="O1605" s="421"/>
      <c r="P1605" s="421"/>
      <c r="Q1605" s="418"/>
      <c r="R1605" s="418"/>
      <c r="S1605" s="418"/>
      <c r="T1605" s="418"/>
      <c r="U1605" s="418"/>
      <c r="V1605" s="418"/>
      <c r="W1605" s="418"/>
      <c r="X1605" s="418"/>
      <c r="Y1605" s="418"/>
      <c r="Z1605" s="418"/>
      <c r="AA1605" s="418"/>
      <c r="AB1605" s="418"/>
      <c r="AC1605" s="418"/>
      <c r="AD1605" s="418"/>
      <c r="AE1605" s="418"/>
      <c r="AF1605" s="418"/>
      <c r="AG1605" s="418"/>
      <c r="AH1605" s="418"/>
      <c r="AI1605" s="418"/>
      <c r="AJ1605" s="418"/>
      <c r="AK1605" s="418"/>
      <c r="AL1605" s="418"/>
      <c r="AM1605" s="418"/>
      <c r="AN1605" s="418"/>
      <c r="AO1605" s="418"/>
      <c r="AP1605" s="418"/>
      <c r="AQ1605" s="418"/>
      <c r="AR1605" s="418"/>
      <c r="AS1605" s="418"/>
      <c r="AT1605" s="418"/>
      <c r="AU1605" s="418"/>
      <c r="AV1605" s="418"/>
      <c r="AW1605" s="418"/>
      <c r="AX1605" s="418"/>
      <c r="AY1605" s="418"/>
      <c r="BF1605" s="1119"/>
      <c r="BG1605" s="1119"/>
      <c r="BH1605" s="1119"/>
    </row>
    <row r="1606" spans="1:60" ht="15.75" customHeight="1">
      <c r="A1606" s="1076"/>
      <c r="B1606" s="416"/>
      <c r="C1606" s="424"/>
      <c r="E1606" s="418"/>
      <c r="F1606" s="493"/>
      <c r="G1606" s="418"/>
      <c r="H1606" s="421"/>
      <c r="I1606" s="421"/>
      <c r="J1606" s="492"/>
      <c r="K1606" s="418"/>
      <c r="L1606" s="418"/>
      <c r="M1606" s="418"/>
      <c r="N1606" s="421"/>
      <c r="O1606" s="421"/>
      <c r="P1606" s="421"/>
      <c r="Q1606" s="418"/>
      <c r="R1606" s="418"/>
      <c r="S1606" s="418"/>
      <c r="T1606" s="418"/>
      <c r="U1606" s="418"/>
      <c r="V1606" s="418"/>
      <c r="W1606" s="418"/>
      <c r="X1606" s="418"/>
      <c r="Y1606" s="418"/>
      <c r="Z1606" s="418"/>
      <c r="AA1606" s="418"/>
      <c r="AB1606" s="418"/>
      <c r="AC1606" s="418"/>
      <c r="AD1606" s="418"/>
      <c r="AE1606" s="418"/>
      <c r="AF1606" s="418"/>
      <c r="AG1606" s="418"/>
      <c r="AH1606" s="418"/>
      <c r="AI1606" s="418"/>
      <c r="AJ1606" s="418"/>
      <c r="AK1606" s="418"/>
      <c r="AL1606" s="418"/>
      <c r="AM1606" s="418"/>
      <c r="AN1606" s="418"/>
      <c r="AO1606" s="418"/>
      <c r="AP1606" s="418"/>
      <c r="AQ1606" s="418"/>
      <c r="AR1606" s="418"/>
      <c r="AS1606" s="418"/>
      <c r="AT1606" s="418"/>
      <c r="AU1606" s="418"/>
      <c r="AV1606" s="418"/>
      <c r="AW1606" s="418"/>
      <c r="AX1606" s="418"/>
      <c r="AY1606" s="418"/>
      <c r="BF1606" s="1119"/>
      <c r="BG1606" s="1119"/>
      <c r="BH1606" s="1119"/>
    </row>
    <row r="1607" spans="1:60" ht="15.75" customHeight="1">
      <c r="A1607" s="1076"/>
      <c r="B1607" s="416"/>
      <c r="C1607" s="424"/>
      <c r="E1607" s="418"/>
      <c r="F1607" s="493"/>
      <c r="G1607" s="418"/>
      <c r="H1607" s="421"/>
      <c r="I1607" s="421"/>
      <c r="J1607" s="492"/>
      <c r="K1607" s="418"/>
      <c r="L1607" s="418"/>
      <c r="M1607" s="418"/>
      <c r="N1607" s="421"/>
      <c r="O1607" s="421"/>
      <c r="P1607" s="421"/>
      <c r="Q1607" s="418"/>
      <c r="R1607" s="418"/>
      <c r="S1607" s="418"/>
      <c r="T1607" s="418"/>
      <c r="U1607" s="418"/>
      <c r="V1607" s="418"/>
      <c r="W1607" s="418"/>
      <c r="X1607" s="418"/>
      <c r="Y1607" s="418"/>
      <c r="Z1607" s="418"/>
      <c r="AA1607" s="418"/>
      <c r="AB1607" s="418"/>
      <c r="AC1607" s="418"/>
      <c r="AD1607" s="418"/>
      <c r="AE1607" s="418"/>
      <c r="AF1607" s="418"/>
      <c r="AG1607" s="418"/>
      <c r="AH1607" s="418"/>
      <c r="AI1607" s="418"/>
      <c r="AJ1607" s="418"/>
      <c r="AK1607" s="418"/>
      <c r="AL1607" s="418"/>
      <c r="AM1607" s="418"/>
      <c r="AN1607" s="418"/>
      <c r="AO1607" s="418"/>
      <c r="AP1607" s="418"/>
      <c r="AQ1607" s="418"/>
      <c r="AR1607" s="418"/>
      <c r="AS1607" s="418"/>
      <c r="AT1607" s="418"/>
      <c r="AU1607" s="418"/>
      <c r="AV1607" s="418"/>
      <c r="AW1607" s="418"/>
      <c r="AX1607" s="418"/>
      <c r="AY1607" s="418"/>
      <c r="BF1607" s="1119"/>
      <c r="BG1607" s="1119"/>
      <c r="BH1607" s="1119"/>
    </row>
    <row r="1608" spans="1:60" ht="15.75" customHeight="1">
      <c r="A1608" s="1076"/>
      <c r="B1608" s="416"/>
      <c r="C1608" s="424"/>
      <c r="E1608" s="418"/>
      <c r="F1608" s="493"/>
      <c r="G1608" s="418"/>
      <c r="H1608" s="421"/>
      <c r="I1608" s="421"/>
      <c r="J1608" s="492"/>
      <c r="K1608" s="418"/>
      <c r="L1608" s="418"/>
      <c r="M1608" s="418"/>
      <c r="N1608" s="421"/>
      <c r="O1608" s="421"/>
      <c r="P1608" s="421"/>
      <c r="Q1608" s="418"/>
      <c r="R1608" s="418"/>
      <c r="S1608" s="418"/>
      <c r="T1608" s="418"/>
      <c r="U1608" s="418"/>
      <c r="V1608" s="418"/>
      <c r="W1608" s="418"/>
      <c r="X1608" s="418"/>
      <c r="Y1608" s="418"/>
      <c r="Z1608" s="418"/>
      <c r="AA1608" s="418"/>
      <c r="AB1608" s="418"/>
      <c r="AC1608" s="418"/>
      <c r="AD1608" s="418"/>
      <c r="AE1608" s="418"/>
      <c r="AF1608" s="418"/>
      <c r="AG1608" s="418"/>
      <c r="AH1608" s="418"/>
      <c r="AI1608" s="418"/>
      <c r="AJ1608" s="418"/>
      <c r="AK1608" s="418"/>
      <c r="AL1608" s="418"/>
      <c r="AM1608" s="418"/>
      <c r="AN1608" s="418"/>
      <c r="AO1608" s="418"/>
      <c r="AP1608" s="418"/>
      <c r="AQ1608" s="418"/>
      <c r="AR1608" s="418"/>
      <c r="AS1608" s="418"/>
      <c r="AT1608" s="418"/>
      <c r="AU1608" s="418"/>
      <c r="AV1608" s="418"/>
      <c r="AW1608" s="418"/>
      <c r="AX1608" s="418"/>
      <c r="AY1608" s="418"/>
      <c r="BF1608" s="1119"/>
      <c r="BG1608" s="1119"/>
      <c r="BH1608" s="1119"/>
    </row>
    <row r="1609" spans="1:60" ht="15.75" customHeight="1">
      <c r="A1609" s="1076"/>
      <c r="B1609" s="416"/>
      <c r="C1609" s="424"/>
      <c r="E1609" s="418"/>
      <c r="F1609" s="493"/>
      <c r="G1609" s="418"/>
      <c r="H1609" s="421"/>
      <c r="I1609" s="421"/>
      <c r="J1609" s="492"/>
      <c r="K1609" s="418"/>
      <c r="L1609" s="418"/>
      <c r="M1609" s="418"/>
      <c r="N1609" s="421"/>
      <c r="O1609" s="421"/>
      <c r="P1609" s="421"/>
      <c r="Q1609" s="418"/>
      <c r="R1609" s="418"/>
      <c r="S1609" s="418"/>
      <c r="T1609" s="418"/>
      <c r="U1609" s="418"/>
      <c r="V1609" s="418"/>
      <c r="W1609" s="418"/>
      <c r="X1609" s="418"/>
      <c r="Y1609" s="418"/>
      <c r="Z1609" s="418"/>
      <c r="AA1609" s="418"/>
      <c r="AB1609" s="418"/>
      <c r="AC1609" s="418"/>
      <c r="AD1609" s="418"/>
      <c r="AE1609" s="418"/>
      <c r="AF1609" s="418"/>
      <c r="AG1609" s="418"/>
      <c r="AH1609" s="418"/>
      <c r="AI1609" s="418"/>
      <c r="AJ1609" s="418"/>
      <c r="AK1609" s="418"/>
      <c r="AL1609" s="418"/>
      <c r="AM1609" s="418"/>
      <c r="AN1609" s="418"/>
      <c r="AO1609" s="418"/>
      <c r="AP1609" s="418"/>
      <c r="AQ1609" s="418"/>
      <c r="AR1609" s="418"/>
      <c r="AS1609" s="418"/>
      <c r="AT1609" s="418"/>
      <c r="AU1609" s="418"/>
      <c r="AV1609" s="418"/>
      <c r="AW1609" s="418"/>
      <c r="AX1609" s="418"/>
      <c r="AY1609" s="418"/>
      <c r="BF1609" s="1119"/>
      <c r="BG1609" s="1119"/>
      <c r="BH1609" s="1119"/>
    </row>
    <row r="1610" spans="1:60" ht="15.75" customHeight="1">
      <c r="A1610" s="1076"/>
      <c r="B1610" s="416"/>
      <c r="C1610" s="424"/>
      <c r="E1610" s="418"/>
      <c r="F1610" s="493"/>
      <c r="G1610" s="418"/>
      <c r="H1610" s="421"/>
      <c r="I1610" s="421"/>
      <c r="J1610" s="492"/>
      <c r="K1610" s="418"/>
      <c r="L1610" s="418"/>
      <c r="M1610" s="418"/>
      <c r="N1610" s="421"/>
      <c r="O1610" s="421"/>
      <c r="P1610" s="421"/>
      <c r="Q1610" s="418"/>
      <c r="R1610" s="418"/>
      <c r="S1610" s="418"/>
      <c r="T1610" s="418"/>
      <c r="U1610" s="418"/>
      <c r="V1610" s="418"/>
      <c r="W1610" s="418"/>
      <c r="X1610" s="418"/>
      <c r="Y1610" s="418"/>
      <c r="Z1610" s="418"/>
      <c r="AA1610" s="418"/>
      <c r="AB1610" s="418"/>
      <c r="AC1610" s="418"/>
      <c r="AD1610" s="418"/>
      <c r="AE1610" s="418"/>
      <c r="AF1610" s="418"/>
      <c r="AG1610" s="418"/>
      <c r="AH1610" s="418"/>
      <c r="AI1610" s="418"/>
      <c r="AJ1610" s="418"/>
      <c r="AK1610" s="418"/>
      <c r="AL1610" s="418"/>
      <c r="AM1610" s="418"/>
      <c r="AN1610" s="418"/>
      <c r="AO1610" s="418"/>
      <c r="AP1610" s="418"/>
      <c r="AQ1610" s="418"/>
      <c r="AR1610" s="418"/>
      <c r="AS1610" s="418"/>
      <c r="AT1610" s="418"/>
      <c r="AU1610" s="418"/>
      <c r="AV1610" s="418"/>
      <c r="AW1610" s="418"/>
      <c r="AX1610" s="418"/>
      <c r="AY1610" s="418"/>
      <c r="BF1610" s="1119"/>
      <c r="BG1610" s="1119"/>
      <c r="BH1610" s="1119"/>
    </row>
    <row r="1611" spans="1:60" ht="15.75" customHeight="1">
      <c r="A1611" s="1076"/>
      <c r="B1611" s="416"/>
      <c r="C1611" s="424"/>
      <c r="E1611" s="418"/>
      <c r="F1611" s="493"/>
      <c r="G1611" s="418"/>
      <c r="H1611" s="421"/>
      <c r="I1611" s="421"/>
      <c r="J1611" s="492"/>
      <c r="K1611" s="418"/>
      <c r="L1611" s="418"/>
      <c r="M1611" s="418"/>
      <c r="N1611" s="421"/>
      <c r="O1611" s="421"/>
      <c r="P1611" s="421"/>
      <c r="Q1611" s="418"/>
      <c r="R1611" s="418"/>
      <c r="S1611" s="418"/>
      <c r="T1611" s="418"/>
      <c r="U1611" s="418"/>
      <c r="V1611" s="418"/>
      <c r="W1611" s="418"/>
      <c r="X1611" s="418"/>
      <c r="Y1611" s="418"/>
      <c r="Z1611" s="418"/>
      <c r="AA1611" s="418"/>
      <c r="AB1611" s="418"/>
      <c r="AC1611" s="418"/>
      <c r="AD1611" s="418"/>
      <c r="AE1611" s="418"/>
      <c r="AF1611" s="418"/>
      <c r="AG1611" s="418"/>
      <c r="AH1611" s="418"/>
      <c r="AI1611" s="418"/>
      <c r="AJ1611" s="418"/>
      <c r="AK1611" s="418"/>
      <c r="AL1611" s="418"/>
      <c r="AM1611" s="418"/>
      <c r="AN1611" s="418"/>
      <c r="AO1611" s="418"/>
      <c r="AP1611" s="418"/>
      <c r="AQ1611" s="418"/>
      <c r="AR1611" s="418"/>
      <c r="AS1611" s="418"/>
      <c r="AT1611" s="418"/>
      <c r="AU1611" s="418"/>
      <c r="AV1611" s="418"/>
      <c r="AW1611" s="418"/>
      <c r="AX1611" s="418"/>
      <c r="AY1611" s="418"/>
      <c r="BF1611" s="1119"/>
      <c r="BG1611" s="1119"/>
      <c r="BH1611" s="1119"/>
    </row>
    <row r="1612" spans="1:60" ht="15.75" customHeight="1">
      <c r="A1612" s="1076"/>
      <c r="B1612" s="416"/>
      <c r="C1612" s="424"/>
      <c r="E1612" s="418"/>
      <c r="F1612" s="493"/>
      <c r="G1612" s="418"/>
      <c r="H1612" s="421"/>
      <c r="I1612" s="421"/>
      <c r="J1612" s="492"/>
      <c r="K1612" s="418"/>
      <c r="L1612" s="418"/>
      <c r="M1612" s="418"/>
      <c r="N1612" s="421"/>
      <c r="O1612" s="421"/>
      <c r="P1612" s="421"/>
      <c r="Q1612" s="418"/>
      <c r="R1612" s="418"/>
      <c r="S1612" s="418"/>
      <c r="T1612" s="418"/>
      <c r="U1612" s="418"/>
      <c r="V1612" s="418"/>
      <c r="W1612" s="418"/>
      <c r="X1612" s="418"/>
      <c r="Y1612" s="418"/>
      <c r="Z1612" s="418"/>
      <c r="AA1612" s="418"/>
      <c r="AB1612" s="418"/>
      <c r="AC1612" s="418"/>
      <c r="AD1612" s="418"/>
      <c r="AE1612" s="418"/>
      <c r="AF1612" s="418"/>
      <c r="AG1612" s="418"/>
      <c r="AH1612" s="418"/>
      <c r="AI1612" s="418"/>
      <c r="AJ1612" s="418"/>
      <c r="AK1612" s="418"/>
      <c r="AL1612" s="418"/>
      <c r="AM1612" s="418"/>
      <c r="AN1612" s="418"/>
      <c r="AO1612" s="418"/>
      <c r="AP1612" s="418"/>
      <c r="AQ1612" s="418"/>
      <c r="AR1612" s="418"/>
      <c r="AS1612" s="418"/>
      <c r="AT1612" s="418"/>
      <c r="AU1612" s="418"/>
      <c r="AV1612" s="418"/>
      <c r="AW1612" s="418"/>
      <c r="AX1612" s="418"/>
      <c r="AY1612" s="418"/>
      <c r="BF1612" s="1119"/>
      <c r="BG1612" s="1119"/>
      <c r="BH1612" s="1119"/>
    </row>
    <row r="1613" spans="1:60" ht="15.75" customHeight="1">
      <c r="A1613" s="1076"/>
      <c r="B1613" s="416"/>
      <c r="C1613" s="424"/>
      <c r="E1613" s="418"/>
      <c r="F1613" s="493"/>
      <c r="G1613" s="418"/>
      <c r="H1613" s="421"/>
      <c r="I1613" s="421"/>
      <c r="J1613" s="492"/>
      <c r="K1613" s="418"/>
      <c r="L1613" s="418"/>
      <c r="M1613" s="418"/>
      <c r="N1613" s="421"/>
      <c r="O1613" s="421"/>
      <c r="P1613" s="421"/>
      <c r="Q1613" s="418"/>
      <c r="R1613" s="418"/>
      <c r="S1613" s="418"/>
      <c r="T1613" s="418"/>
      <c r="U1613" s="418"/>
      <c r="V1613" s="418"/>
      <c r="W1613" s="418"/>
      <c r="X1613" s="418"/>
      <c r="Y1613" s="418"/>
      <c r="Z1613" s="418"/>
      <c r="AA1613" s="418"/>
      <c r="AB1613" s="418"/>
      <c r="AC1613" s="418"/>
      <c r="AD1613" s="418"/>
      <c r="AE1613" s="418"/>
      <c r="AF1613" s="418"/>
      <c r="AG1613" s="418"/>
      <c r="AH1613" s="418"/>
      <c r="AI1613" s="418"/>
      <c r="AJ1613" s="418"/>
      <c r="AK1613" s="418"/>
      <c r="AL1613" s="418"/>
      <c r="AM1613" s="418"/>
      <c r="AN1613" s="418"/>
      <c r="AO1613" s="418"/>
      <c r="AP1613" s="418"/>
      <c r="AQ1613" s="418"/>
      <c r="AR1613" s="418"/>
      <c r="AS1613" s="418"/>
      <c r="AT1613" s="418"/>
      <c r="AU1613" s="418"/>
      <c r="AV1613" s="418"/>
      <c r="AW1613" s="418"/>
      <c r="AX1613" s="418"/>
      <c r="AY1613" s="418"/>
      <c r="BF1613" s="1119"/>
      <c r="BG1613" s="1119"/>
      <c r="BH1613" s="1119"/>
    </row>
    <row r="1614" spans="1:60" ht="15.75" customHeight="1">
      <c r="A1614" s="1076"/>
      <c r="B1614" s="416"/>
      <c r="C1614" s="424"/>
      <c r="E1614" s="418"/>
      <c r="F1614" s="493"/>
      <c r="G1614" s="418"/>
      <c r="H1614" s="421"/>
      <c r="I1614" s="421"/>
      <c r="J1614" s="492"/>
      <c r="K1614" s="418"/>
      <c r="L1614" s="418"/>
      <c r="M1614" s="418"/>
      <c r="N1614" s="421"/>
      <c r="O1614" s="421"/>
      <c r="P1614" s="421"/>
      <c r="Q1614" s="418"/>
      <c r="R1614" s="418"/>
      <c r="S1614" s="418"/>
      <c r="T1614" s="418"/>
      <c r="U1614" s="418"/>
      <c r="V1614" s="418"/>
      <c r="W1614" s="418"/>
      <c r="X1614" s="418"/>
      <c r="Y1614" s="418"/>
      <c r="Z1614" s="418"/>
      <c r="AA1614" s="418"/>
      <c r="AB1614" s="418"/>
      <c r="AC1614" s="418"/>
      <c r="AD1614" s="418"/>
      <c r="AE1614" s="418"/>
      <c r="AF1614" s="418"/>
      <c r="AG1614" s="418"/>
      <c r="AH1614" s="418"/>
      <c r="AI1614" s="418"/>
      <c r="AJ1614" s="418"/>
      <c r="AK1614" s="418"/>
      <c r="AL1614" s="418"/>
      <c r="AM1614" s="418"/>
      <c r="AN1614" s="418"/>
      <c r="AO1614" s="418"/>
      <c r="AP1614" s="418"/>
      <c r="AQ1614" s="418"/>
      <c r="AR1614" s="418"/>
      <c r="AS1614" s="418"/>
      <c r="AT1614" s="418"/>
      <c r="AU1614" s="418"/>
      <c r="AV1614" s="418"/>
      <c r="AW1614" s="418"/>
      <c r="AX1614" s="418"/>
      <c r="AY1614" s="418"/>
      <c r="BF1614" s="1119"/>
      <c r="BG1614" s="1119"/>
      <c r="BH1614" s="1119"/>
    </row>
    <row r="1615" spans="1:60" ht="15.75" customHeight="1">
      <c r="A1615" s="1076"/>
      <c r="B1615" s="416"/>
      <c r="C1615" s="424"/>
      <c r="E1615" s="418"/>
      <c r="F1615" s="493"/>
      <c r="G1615" s="418"/>
      <c r="H1615" s="421"/>
      <c r="I1615" s="421"/>
      <c r="J1615" s="492"/>
      <c r="K1615" s="418"/>
      <c r="L1615" s="418"/>
      <c r="M1615" s="418"/>
      <c r="N1615" s="421"/>
      <c r="O1615" s="421"/>
      <c r="P1615" s="421"/>
      <c r="Q1615" s="418"/>
      <c r="R1615" s="418"/>
      <c r="S1615" s="418"/>
      <c r="T1615" s="418"/>
      <c r="U1615" s="418"/>
      <c r="V1615" s="418"/>
      <c r="W1615" s="418"/>
      <c r="X1615" s="418"/>
      <c r="Y1615" s="418"/>
      <c r="Z1615" s="418"/>
      <c r="AA1615" s="418"/>
      <c r="AB1615" s="418"/>
      <c r="AC1615" s="418"/>
      <c r="AD1615" s="418"/>
      <c r="AE1615" s="418"/>
      <c r="AF1615" s="418"/>
      <c r="AG1615" s="418"/>
      <c r="AH1615" s="418"/>
      <c r="AI1615" s="418"/>
      <c r="AJ1615" s="418"/>
      <c r="AK1615" s="418"/>
      <c r="AL1615" s="418"/>
      <c r="AM1615" s="418"/>
      <c r="AN1615" s="418"/>
      <c r="AO1615" s="418"/>
      <c r="AP1615" s="418"/>
      <c r="AQ1615" s="418"/>
      <c r="AR1615" s="418"/>
      <c r="AS1615" s="418"/>
      <c r="AT1615" s="418"/>
      <c r="AU1615" s="418"/>
      <c r="AV1615" s="418"/>
      <c r="AW1615" s="418"/>
      <c r="AX1615" s="418"/>
      <c r="AY1615" s="418"/>
      <c r="BF1615" s="1119"/>
      <c r="BG1615" s="1119"/>
      <c r="BH1615" s="1119"/>
    </row>
    <row r="1616" spans="1:60" ht="15.75" customHeight="1">
      <c r="A1616" s="1076"/>
      <c r="B1616" s="416"/>
      <c r="C1616" s="424"/>
      <c r="E1616" s="418"/>
      <c r="F1616" s="493"/>
      <c r="G1616" s="418"/>
      <c r="H1616" s="421"/>
      <c r="I1616" s="421"/>
      <c r="J1616" s="492"/>
      <c r="K1616" s="418"/>
      <c r="L1616" s="418"/>
      <c r="M1616" s="418"/>
      <c r="N1616" s="421"/>
      <c r="O1616" s="421"/>
      <c r="P1616" s="421"/>
      <c r="Q1616" s="418"/>
      <c r="R1616" s="418"/>
      <c r="S1616" s="418"/>
      <c r="T1616" s="418"/>
      <c r="U1616" s="418"/>
      <c r="V1616" s="418"/>
      <c r="W1616" s="418"/>
      <c r="X1616" s="418"/>
      <c r="Y1616" s="418"/>
      <c r="Z1616" s="418"/>
      <c r="AA1616" s="418"/>
      <c r="AB1616" s="418"/>
      <c r="AC1616" s="418"/>
      <c r="AD1616" s="418"/>
      <c r="AE1616" s="418"/>
      <c r="AF1616" s="418"/>
      <c r="AG1616" s="418"/>
      <c r="AH1616" s="418"/>
      <c r="AI1616" s="418"/>
      <c r="AJ1616" s="418"/>
      <c r="AK1616" s="418"/>
      <c r="AL1616" s="418"/>
      <c r="AM1616" s="418"/>
      <c r="AN1616" s="418"/>
      <c r="AO1616" s="418"/>
      <c r="AP1616" s="418"/>
      <c r="AQ1616" s="418"/>
      <c r="AR1616" s="418"/>
      <c r="AS1616" s="418"/>
      <c r="AT1616" s="418"/>
      <c r="AU1616" s="418"/>
      <c r="AV1616" s="418"/>
      <c r="AW1616" s="418"/>
      <c r="AX1616" s="418"/>
      <c r="AY1616" s="418"/>
      <c r="BF1616" s="1119"/>
      <c r="BG1616" s="1119"/>
      <c r="BH1616" s="1119"/>
    </row>
    <row r="1617" spans="1:60" ht="15.75" customHeight="1">
      <c r="A1617" s="1076"/>
      <c r="B1617" s="416"/>
      <c r="C1617" s="424"/>
      <c r="E1617" s="418"/>
      <c r="F1617" s="493"/>
      <c r="G1617" s="418"/>
      <c r="H1617" s="421"/>
      <c r="I1617" s="425"/>
      <c r="J1617" s="492"/>
      <c r="K1617" s="418"/>
      <c r="L1617" s="418"/>
      <c r="M1617" s="418"/>
      <c r="N1617" s="421"/>
      <c r="O1617" s="421"/>
      <c r="P1617" s="421"/>
      <c r="Q1617" s="418"/>
      <c r="R1617" s="418"/>
      <c r="S1617" s="418"/>
      <c r="T1617" s="418"/>
      <c r="U1617" s="418"/>
      <c r="V1617" s="418"/>
      <c r="W1617" s="418"/>
      <c r="X1617" s="418"/>
      <c r="Y1617" s="418"/>
      <c r="Z1617" s="418"/>
      <c r="AA1617" s="418"/>
      <c r="AB1617" s="418"/>
      <c r="AC1617" s="418"/>
      <c r="AD1617" s="418"/>
      <c r="AE1617" s="418"/>
      <c r="AF1617" s="418"/>
      <c r="AG1617" s="418"/>
      <c r="AH1617" s="418"/>
      <c r="AI1617" s="418"/>
      <c r="AJ1617" s="418"/>
      <c r="AK1617" s="418"/>
      <c r="AL1617" s="418"/>
      <c r="AM1617" s="418"/>
      <c r="AN1617" s="418"/>
      <c r="AO1617" s="418"/>
      <c r="AP1617" s="418"/>
      <c r="AQ1617" s="418"/>
      <c r="AR1617" s="418"/>
      <c r="AS1617" s="418"/>
      <c r="AT1617" s="418"/>
      <c r="AU1617" s="418"/>
      <c r="AV1617" s="418"/>
      <c r="AW1617" s="418"/>
      <c r="AX1617" s="418"/>
      <c r="AY1617" s="418"/>
      <c r="BF1617" s="1119"/>
      <c r="BG1617" s="1119"/>
      <c r="BH1617" s="1119"/>
    </row>
    <row r="1618" spans="1:60" ht="15.75" customHeight="1">
      <c r="A1618" s="1076"/>
      <c r="B1618" s="416"/>
      <c r="C1618" s="424"/>
      <c r="E1618" s="418"/>
      <c r="F1618" s="493"/>
      <c r="G1618" s="418"/>
      <c r="H1618" s="421"/>
      <c r="I1618" s="421"/>
      <c r="J1618" s="492"/>
      <c r="K1618" s="418"/>
      <c r="L1618" s="418"/>
      <c r="M1618" s="418"/>
      <c r="N1618" s="421"/>
      <c r="O1618" s="421"/>
      <c r="P1618" s="421"/>
      <c r="Q1618" s="418"/>
      <c r="R1618" s="418"/>
      <c r="S1618" s="418"/>
      <c r="T1618" s="418"/>
      <c r="U1618" s="418"/>
      <c r="V1618" s="418"/>
      <c r="W1618" s="418"/>
      <c r="X1618" s="418"/>
      <c r="Y1618" s="418"/>
      <c r="Z1618" s="418"/>
      <c r="AA1618" s="418"/>
      <c r="AB1618" s="418"/>
      <c r="AC1618" s="418"/>
      <c r="AD1618" s="418"/>
      <c r="AE1618" s="418"/>
      <c r="AF1618" s="418"/>
      <c r="AG1618" s="418"/>
      <c r="AH1618" s="418"/>
      <c r="AI1618" s="418"/>
      <c r="AJ1618" s="418"/>
      <c r="AK1618" s="418"/>
      <c r="AL1618" s="418"/>
      <c r="AM1618" s="418"/>
      <c r="AN1618" s="418"/>
      <c r="AO1618" s="418"/>
      <c r="AP1618" s="418"/>
      <c r="AQ1618" s="418"/>
      <c r="AR1618" s="418"/>
      <c r="AS1618" s="418"/>
      <c r="AT1618" s="418"/>
      <c r="AU1618" s="418"/>
      <c r="AV1618" s="418"/>
      <c r="AW1618" s="418"/>
      <c r="AX1618" s="418"/>
      <c r="AY1618" s="418"/>
      <c r="BF1618" s="1119"/>
      <c r="BG1618" s="1119"/>
      <c r="BH1618" s="1119"/>
    </row>
    <row r="1619" spans="1:60" ht="15.75" customHeight="1">
      <c r="A1619" s="1076"/>
      <c r="B1619" s="416"/>
      <c r="C1619" s="424"/>
      <c r="E1619" s="418"/>
      <c r="F1619" s="493"/>
      <c r="G1619" s="418"/>
      <c r="H1619" s="421"/>
      <c r="I1619" s="425"/>
      <c r="J1619" s="492"/>
      <c r="K1619" s="418"/>
      <c r="L1619" s="418"/>
      <c r="M1619" s="418"/>
      <c r="N1619" s="421"/>
      <c r="O1619" s="421"/>
      <c r="P1619" s="421"/>
      <c r="Q1619" s="418"/>
      <c r="R1619" s="418"/>
      <c r="S1619" s="418"/>
      <c r="T1619" s="418"/>
      <c r="U1619" s="418"/>
      <c r="V1619" s="418"/>
      <c r="W1619" s="418"/>
      <c r="X1619" s="418"/>
      <c r="Y1619" s="418"/>
      <c r="Z1619" s="418"/>
      <c r="AA1619" s="418"/>
      <c r="AB1619" s="418"/>
      <c r="AC1619" s="418"/>
      <c r="AD1619" s="418"/>
      <c r="AE1619" s="418"/>
      <c r="AF1619" s="418"/>
      <c r="AG1619" s="418"/>
      <c r="AH1619" s="418"/>
      <c r="AI1619" s="418"/>
      <c r="AJ1619" s="418"/>
      <c r="AK1619" s="418"/>
      <c r="AL1619" s="418"/>
      <c r="AM1619" s="418"/>
      <c r="AN1619" s="418"/>
      <c r="AO1619" s="418"/>
      <c r="AP1619" s="418"/>
      <c r="AQ1619" s="418"/>
      <c r="AR1619" s="418"/>
      <c r="AS1619" s="418"/>
      <c r="AT1619" s="418"/>
      <c r="AU1619" s="418"/>
      <c r="AV1619" s="418"/>
      <c r="AW1619" s="418"/>
      <c r="AX1619" s="418"/>
      <c r="AY1619" s="418"/>
      <c r="BF1619" s="1119"/>
      <c r="BG1619" s="1119"/>
      <c r="BH1619" s="1119"/>
    </row>
    <row r="1620" spans="1:60" ht="15.75" customHeight="1">
      <c r="A1620" s="1076"/>
      <c r="B1620" s="416"/>
      <c r="C1620" s="424"/>
      <c r="E1620" s="418"/>
      <c r="F1620" s="493"/>
      <c r="G1620" s="418"/>
      <c r="H1620" s="421"/>
      <c r="I1620" s="421"/>
      <c r="J1620" s="492"/>
      <c r="K1620" s="418"/>
      <c r="L1620" s="418"/>
      <c r="M1620" s="418"/>
      <c r="N1620" s="421"/>
      <c r="O1620" s="421"/>
      <c r="P1620" s="421"/>
      <c r="Q1620" s="418"/>
      <c r="R1620" s="418"/>
      <c r="S1620" s="418"/>
      <c r="T1620" s="418"/>
      <c r="U1620" s="418"/>
      <c r="V1620" s="418"/>
      <c r="W1620" s="418"/>
      <c r="X1620" s="418"/>
      <c r="Y1620" s="418"/>
      <c r="Z1620" s="418"/>
      <c r="AA1620" s="418"/>
      <c r="AB1620" s="418"/>
      <c r="AC1620" s="418"/>
      <c r="AD1620" s="418"/>
      <c r="AE1620" s="418"/>
      <c r="AF1620" s="418"/>
      <c r="AG1620" s="418"/>
      <c r="AH1620" s="418"/>
      <c r="AI1620" s="418"/>
      <c r="AJ1620" s="418"/>
      <c r="AK1620" s="418"/>
      <c r="AL1620" s="418"/>
      <c r="AM1620" s="418"/>
      <c r="AN1620" s="418"/>
      <c r="AO1620" s="418"/>
      <c r="AP1620" s="418"/>
      <c r="AQ1620" s="418"/>
      <c r="AR1620" s="418"/>
      <c r="AS1620" s="418"/>
      <c r="AT1620" s="418"/>
      <c r="AU1620" s="418"/>
      <c r="AV1620" s="418"/>
      <c r="AW1620" s="418"/>
      <c r="AX1620" s="418"/>
      <c r="AY1620" s="418"/>
      <c r="BF1620" s="1119"/>
      <c r="BG1620" s="1119"/>
      <c r="BH1620" s="1119"/>
    </row>
    <row r="1621" spans="1:60" ht="15.75" customHeight="1">
      <c r="A1621" s="1076"/>
      <c r="B1621" s="416"/>
      <c r="C1621" s="424"/>
      <c r="E1621" s="418"/>
      <c r="F1621" s="493"/>
      <c r="G1621" s="418"/>
      <c r="H1621" s="421"/>
      <c r="I1621" s="421"/>
      <c r="J1621" s="492"/>
      <c r="K1621" s="418"/>
      <c r="L1621" s="418"/>
      <c r="M1621" s="418"/>
      <c r="N1621" s="421"/>
      <c r="O1621" s="421"/>
      <c r="P1621" s="421"/>
      <c r="Q1621" s="418"/>
      <c r="R1621" s="418"/>
      <c r="S1621" s="418"/>
      <c r="T1621" s="418"/>
      <c r="U1621" s="418"/>
      <c r="V1621" s="418"/>
      <c r="W1621" s="418"/>
      <c r="X1621" s="418"/>
      <c r="Y1621" s="418"/>
      <c r="Z1621" s="418"/>
      <c r="AA1621" s="418"/>
      <c r="AB1621" s="418"/>
      <c r="AC1621" s="418"/>
      <c r="AD1621" s="418"/>
      <c r="AE1621" s="418"/>
      <c r="AF1621" s="418"/>
      <c r="AG1621" s="418"/>
      <c r="AH1621" s="418"/>
      <c r="AI1621" s="418"/>
      <c r="AJ1621" s="418"/>
      <c r="AK1621" s="418"/>
      <c r="AL1621" s="418"/>
      <c r="AM1621" s="418"/>
      <c r="AN1621" s="418"/>
      <c r="AO1621" s="418"/>
      <c r="AP1621" s="418"/>
      <c r="AQ1621" s="418"/>
      <c r="AR1621" s="418"/>
      <c r="AS1621" s="418"/>
      <c r="AT1621" s="418"/>
      <c r="AU1621" s="418"/>
      <c r="AV1621" s="418"/>
      <c r="AW1621" s="418"/>
      <c r="AX1621" s="418"/>
      <c r="AY1621" s="418"/>
      <c r="BF1621" s="1119"/>
      <c r="BG1621" s="1119"/>
      <c r="BH1621" s="1119"/>
    </row>
    <row r="1622" spans="1:60" ht="15.75" customHeight="1">
      <c r="A1622" s="1076"/>
      <c r="B1622" s="416"/>
      <c r="C1622" s="424"/>
      <c r="E1622" s="418"/>
      <c r="F1622" s="493"/>
      <c r="G1622" s="418"/>
      <c r="H1622" s="421"/>
      <c r="I1622" s="421"/>
      <c r="J1622" s="492"/>
      <c r="K1622" s="418"/>
      <c r="L1622" s="418"/>
      <c r="M1622" s="418"/>
      <c r="N1622" s="421"/>
      <c r="O1622" s="421"/>
      <c r="P1622" s="421"/>
      <c r="Q1622" s="418"/>
      <c r="R1622" s="418"/>
      <c r="S1622" s="418"/>
      <c r="T1622" s="418"/>
      <c r="U1622" s="418"/>
      <c r="V1622" s="418"/>
      <c r="W1622" s="418"/>
      <c r="X1622" s="418"/>
      <c r="Y1622" s="418"/>
      <c r="Z1622" s="418"/>
      <c r="AA1622" s="418"/>
      <c r="AB1622" s="418"/>
      <c r="AC1622" s="418"/>
      <c r="AD1622" s="418"/>
      <c r="AE1622" s="418"/>
      <c r="AF1622" s="418"/>
      <c r="AG1622" s="418"/>
      <c r="AH1622" s="418"/>
      <c r="AI1622" s="418"/>
      <c r="AJ1622" s="418"/>
      <c r="AK1622" s="418"/>
      <c r="AL1622" s="418"/>
      <c r="AM1622" s="418"/>
      <c r="AN1622" s="418"/>
      <c r="AO1622" s="418"/>
      <c r="AP1622" s="418"/>
      <c r="AQ1622" s="418"/>
      <c r="AR1622" s="418"/>
      <c r="AS1622" s="418"/>
      <c r="AT1622" s="418"/>
      <c r="AU1622" s="418"/>
      <c r="AV1622" s="418"/>
      <c r="AW1622" s="418"/>
      <c r="AX1622" s="418"/>
      <c r="AY1622" s="418"/>
      <c r="BF1622" s="1119"/>
      <c r="BG1622" s="1119"/>
      <c r="BH1622" s="1119"/>
    </row>
    <row r="1623" spans="1:60" ht="15.75" customHeight="1">
      <c r="A1623" s="1076"/>
      <c r="B1623" s="416"/>
      <c r="C1623" s="424"/>
      <c r="E1623" s="418"/>
      <c r="F1623" s="493"/>
      <c r="G1623" s="418"/>
      <c r="H1623" s="421"/>
      <c r="I1623" s="421"/>
      <c r="J1623" s="492"/>
      <c r="K1623" s="418"/>
      <c r="L1623" s="418"/>
      <c r="M1623" s="418"/>
      <c r="N1623" s="421"/>
      <c r="O1623" s="421"/>
      <c r="P1623" s="421"/>
      <c r="Q1623" s="418"/>
      <c r="R1623" s="418"/>
      <c r="S1623" s="418"/>
      <c r="T1623" s="418"/>
      <c r="U1623" s="418"/>
      <c r="V1623" s="418"/>
      <c r="W1623" s="418"/>
      <c r="X1623" s="418"/>
      <c r="Y1623" s="418"/>
      <c r="Z1623" s="418"/>
      <c r="AA1623" s="418"/>
      <c r="AB1623" s="418"/>
      <c r="AC1623" s="418"/>
      <c r="AD1623" s="418"/>
      <c r="AE1623" s="418"/>
      <c r="AF1623" s="418"/>
      <c r="AG1623" s="418"/>
      <c r="AH1623" s="418"/>
      <c r="AI1623" s="418"/>
      <c r="AJ1623" s="418"/>
      <c r="AK1623" s="418"/>
      <c r="AL1623" s="418"/>
      <c r="AM1623" s="418"/>
      <c r="AN1623" s="418"/>
      <c r="AO1623" s="418"/>
      <c r="AP1623" s="418"/>
      <c r="AQ1623" s="418"/>
      <c r="AR1623" s="418"/>
      <c r="AS1623" s="418"/>
      <c r="AT1623" s="418"/>
      <c r="AU1623" s="418"/>
      <c r="AV1623" s="418"/>
      <c r="AW1623" s="418"/>
      <c r="AX1623" s="418"/>
      <c r="AY1623" s="418"/>
      <c r="BF1623" s="1119"/>
      <c r="BG1623" s="1119"/>
      <c r="BH1623" s="1119"/>
    </row>
    <row r="1624" spans="1:60" ht="15.75" customHeight="1">
      <c r="A1624" s="1076"/>
      <c r="B1624" s="416"/>
      <c r="C1624" s="424"/>
      <c r="E1624" s="418"/>
      <c r="F1624" s="493"/>
      <c r="G1624" s="418"/>
      <c r="H1624" s="421"/>
      <c r="I1624" s="421"/>
      <c r="J1624" s="492"/>
      <c r="K1624" s="418"/>
      <c r="L1624" s="418"/>
      <c r="M1624" s="418"/>
      <c r="N1624" s="421"/>
      <c r="O1624" s="421"/>
      <c r="P1624" s="421"/>
      <c r="Q1624" s="418"/>
      <c r="R1624" s="418"/>
      <c r="S1624" s="418"/>
      <c r="T1624" s="418"/>
      <c r="U1624" s="418"/>
      <c r="V1624" s="418"/>
      <c r="W1624" s="418"/>
      <c r="X1624" s="418"/>
      <c r="Y1624" s="418"/>
      <c r="Z1624" s="418"/>
      <c r="AA1624" s="418"/>
      <c r="AB1624" s="418"/>
      <c r="AC1624" s="418"/>
      <c r="AD1624" s="418"/>
      <c r="AE1624" s="418"/>
      <c r="AF1624" s="418"/>
      <c r="AG1624" s="418"/>
      <c r="AH1624" s="418"/>
      <c r="AI1624" s="418"/>
      <c r="AJ1624" s="418"/>
      <c r="AK1624" s="418"/>
      <c r="AL1624" s="418"/>
      <c r="AM1624" s="418"/>
      <c r="AN1624" s="418"/>
      <c r="AO1624" s="418"/>
      <c r="AP1624" s="418"/>
      <c r="AQ1624" s="418"/>
      <c r="AR1624" s="418"/>
      <c r="AS1624" s="418"/>
      <c r="AT1624" s="418"/>
      <c r="AU1624" s="418"/>
      <c r="AV1624" s="418"/>
      <c r="AW1624" s="418"/>
      <c r="AX1624" s="418"/>
      <c r="AY1624" s="418"/>
      <c r="BF1624" s="1119"/>
      <c r="BG1624" s="1119"/>
      <c r="BH1624" s="1119"/>
    </row>
    <row r="1625" spans="1:60" ht="15.75" customHeight="1">
      <c r="A1625" s="1076"/>
      <c r="B1625" s="416"/>
      <c r="C1625" s="424"/>
      <c r="E1625" s="418"/>
      <c r="F1625" s="493"/>
      <c r="G1625" s="418"/>
      <c r="H1625" s="421"/>
      <c r="I1625" s="421"/>
      <c r="J1625" s="492"/>
      <c r="K1625" s="418"/>
      <c r="L1625" s="418"/>
      <c r="M1625" s="418"/>
      <c r="N1625" s="421"/>
      <c r="O1625" s="421"/>
      <c r="P1625" s="421"/>
      <c r="Q1625" s="418"/>
      <c r="R1625" s="418"/>
      <c r="S1625" s="418"/>
      <c r="T1625" s="418"/>
      <c r="U1625" s="418"/>
      <c r="V1625" s="418"/>
      <c r="W1625" s="418"/>
      <c r="X1625" s="418"/>
      <c r="Y1625" s="418"/>
      <c r="Z1625" s="418"/>
      <c r="AA1625" s="418"/>
      <c r="AB1625" s="418"/>
      <c r="AC1625" s="418"/>
      <c r="AD1625" s="418"/>
      <c r="AE1625" s="418"/>
      <c r="AF1625" s="418"/>
      <c r="AG1625" s="418"/>
      <c r="AH1625" s="418"/>
      <c r="AI1625" s="418"/>
      <c r="AJ1625" s="418"/>
      <c r="AK1625" s="418"/>
      <c r="AL1625" s="418"/>
      <c r="AM1625" s="418"/>
      <c r="AN1625" s="418"/>
      <c r="AO1625" s="418"/>
      <c r="AP1625" s="418"/>
      <c r="AQ1625" s="418"/>
      <c r="AR1625" s="418"/>
      <c r="AS1625" s="418"/>
      <c r="AT1625" s="418"/>
      <c r="AU1625" s="418"/>
      <c r="AV1625" s="418"/>
      <c r="AW1625" s="418"/>
      <c r="AX1625" s="418"/>
      <c r="AY1625" s="418"/>
      <c r="BF1625" s="1119"/>
      <c r="BG1625" s="1119"/>
      <c r="BH1625" s="1119"/>
    </row>
    <row r="1626" spans="1:60" ht="15.75" customHeight="1">
      <c r="A1626" s="1076"/>
      <c r="B1626" s="416"/>
      <c r="C1626" s="424"/>
      <c r="E1626" s="418"/>
      <c r="F1626" s="493"/>
      <c r="G1626" s="418"/>
      <c r="H1626" s="421"/>
      <c r="I1626" s="421"/>
      <c r="J1626" s="492"/>
      <c r="K1626" s="418"/>
      <c r="L1626" s="418"/>
      <c r="M1626" s="418"/>
      <c r="N1626" s="421"/>
      <c r="O1626" s="421"/>
      <c r="P1626" s="421"/>
      <c r="Q1626" s="418"/>
      <c r="R1626" s="418"/>
      <c r="S1626" s="418"/>
      <c r="T1626" s="418"/>
      <c r="U1626" s="418"/>
      <c r="V1626" s="418"/>
      <c r="W1626" s="418"/>
      <c r="X1626" s="418"/>
      <c r="Y1626" s="418"/>
      <c r="Z1626" s="418"/>
      <c r="AA1626" s="418"/>
      <c r="AB1626" s="418"/>
      <c r="AC1626" s="418"/>
      <c r="AD1626" s="418"/>
      <c r="AE1626" s="418"/>
      <c r="AF1626" s="418"/>
      <c r="AG1626" s="418"/>
      <c r="AH1626" s="418"/>
      <c r="AI1626" s="418"/>
      <c r="AJ1626" s="418"/>
      <c r="AK1626" s="418"/>
      <c r="AL1626" s="418"/>
      <c r="AM1626" s="418"/>
      <c r="AN1626" s="418"/>
      <c r="AO1626" s="418"/>
      <c r="AP1626" s="418"/>
      <c r="AQ1626" s="418"/>
      <c r="AR1626" s="418"/>
      <c r="AS1626" s="418"/>
      <c r="AT1626" s="418"/>
      <c r="AU1626" s="418"/>
      <c r="AV1626" s="418"/>
      <c r="AW1626" s="418"/>
      <c r="AX1626" s="418"/>
      <c r="AY1626" s="418"/>
      <c r="BF1626" s="1119"/>
      <c r="BG1626" s="1119"/>
      <c r="BH1626" s="1119"/>
    </row>
    <row r="1627" spans="1:60" ht="15.75" customHeight="1">
      <c r="A1627" s="1076"/>
      <c r="B1627" s="416"/>
      <c r="C1627" s="424"/>
      <c r="E1627" s="418"/>
      <c r="F1627" s="493"/>
      <c r="G1627" s="418"/>
      <c r="H1627" s="421"/>
      <c r="I1627" s="421"/>
      <c r="J1627" s="492"/>
      <c r="K1627" s="418"/>
      <c r="L1627" s="418"/>
      <c r="M1627" s="418"/>
      <c r="N1627" s="421"/>
      <c r="O1627" s="421"/>
      <c r="P1627" s="421"/>
      <c r="Q1627" s="418"/>
      <c r="R1627" s="418"/>
      <c r="S1627" s="418"/>
      <c r="T1627" s="418"/>
      <c r="U1627" s="418"/>
      <c r="V1627" s="418"/>
      <c r="W1627" s="418"/>
      <c r="X1627" s="418"/>
      <c r="Y1627" s="418"/>
      <c r="Z1627" s="418"/>
      <c r="AA1627" s="418"/>
      <c r="AB1627" s="418"/>
      <c r="AC1627" s="418"/>
      <c r="AD1627" s="418"/>
      <c r="AE1627" s="418"/>
      <c r="AF1627" s="418"/>
      <c r="AG1627" s="418"/>
      <c r="AH1627" s="418"/>
      <c r="AI1627" s="418"/>
      <c r="AJ1627" s="418"/>
      <c r="AK1627" s="418"/>
      <c r="AL1627" s="418"/>
      <c r="AM1627" s="418"/>
      <c r="AN1627" s="418"/>
      <c r="AO1627" s="418"/>
      <c r="AP1627" s="418"/>
      <c r="AQ1627" s="418"/>
      <c r="AR1627" s="418"/>
      <c r="AS1627" s="418"/>
      <c r="AT1627" s="418"/>
      <c r="AU1627" s="418"/>
      <c r="AV1627" s="418"/>
      <c r="AW1627" s="418"/>
      <c r="AX1627" s="418"/>
      <c r="AY1627" s="418"/>
      <c r="BF1627" s="1119"/>
      <c r="BG1627" s="1119"/>
      <c r="BH1627" s="1119"/>
    </row>
    <row r="1628" spans="1:60" ht="15.75" customHeight="1">
      <c r="A1628" s="1076"/>
      <c r="B1628" s="416"/>
      <c r="C1628" s="424"/>
      <c r="E1628" s="418"/>
      <c r="F1628" s="493"/>
      <c r="G1628" s="418"/>
      <c r="H1628" s="421"/>
      <c r="I1628" s="421"/>
      <c r="J1628" s="492"/>
      <c r="K1628" s="418"/>
      <c r="L1628" s="418"/>
      <c r="M1628" s="418"/>
      <c r="N1628" s="421"/>
      <c r="O1628" s="421"/>
      <c r="P1628" s="421"/>
      <c r="Q1628" s="418"/>
      <c r="R1628" s="418"/>
      <c r="S1628" s="418"/>
      <c r="T1628" s="418"/>
      <c r="U1628" s="418"/>
      <c r="V1628" s="418"/>
      <c r="W1628" s="418"/>
      <c r="X1628" s="418"/>
      <c r="Y1628" s="418"/>
      <c r="Z1628" s="418"/>
      <c r="AA1628" s="418"/>
      <c r="AB1628" s="418"/>
      <c r="AC1628" s="418"/>
      <c r="AD1628" s="418"/>
      <c r="AE1628" s="418"/>
      <c r="AF1628" s="418"/>
      <c r="AG1628" s="418"/>
      <c r="AH1628" s="418"/>
      <c r="AI1628" s="418"/>
      <c r="AJ1628" s="418"/>
      <c r="AK1628" s="418"/>
      <c r="AL1628" s="418"/>
      <c r="AM1628" s="418"/>
      <c r="AN1628" s="418"/>
      <c r="AO1628" s="418"/>
      <c r="AP1628" s="418"/>
      <c r="AQ1628" s="418"/>
      <c r="AR1628" s="418"/>
      <c r="AS1628" s="418"/>
      <c r="AT1628" s="418"/>
      <c r="AU1628" s="418"/>
      <c r="AV1628" s="418"/>
      <c r="AW1628" s="418"/>
      <c r="AX1628" s="418"/>
      <c r="AY1628" s="418"/>
      <c r="BF1628" s="1119"/>
      <c r="BG1628" s="1119"/>
      <c r="BH1628" s="1119"/>
    </row>
    <row r="1629" spans="1:60" ht="15.75" customHeight="1">
      <c r="A1629" s="1076"/>
      <c r="B1629" s="416"/>
      <c r="C1629" s="424"/>
      <c r="E1629" s="418"/>
      <c r="F1629" s="493"/>
      <c r="G1629" s="418"/>
      <c r="H1629" s="421"/>
      <c r="I1629" s="421"/>
      <c r="J1629" s="492"/>
      <c r="K1629" s="418"/>
      <c r="L1629" s="418"/>
      <c r="M1629" s="418"/>
      <c r="N1629" s="421"/>
      <c r="O1629" s="421"/>
      <c r="P1629" s="421"/>
      <c r="Q1629" s="418"/>
      <c r="R1629" s="418"/>
      <c r="S1629" s="418"/>
      <c r="T1629" s="418"/>
      <c r="U1629" s="418"/>
      <c r="V1629" s="418"/>
      <c r="W1629" s="418"/>
      <c r="X1629" s="418"/>
      <c r="Y1629" s="418"/>
      <c r="Z1629" s="418"/>
      <c r="AA1629" s="418"/>
      <c r="AB1629" s="418"/>
      <c r="AC1629" s="418"/>
      <c r="AD1629" s="418"/>
      <c r="AE1629" s="418"/>
      <c r="AF1629" s="418"/>
      <c r="AG1629" s="418"/>
      <c r="AH1629" s="418"/>
      <c r="AI1629" s="418"/>
      <c r="AJ1629" s="418"/>
      <c r="AK1629" s="418"/>
      <c r="AL1629" s="418"/>
      <c r="AM1629" s="418"/>
      <c r="AN1629" s="418"/>
      <c r="AO1629" s="418"/>
      <c r="AP1629" s="418"/>
      <c r="AQ1629" s="418"/>
      <c r="AR1629" s="418"/>
      <c r="AS1629" s="418"/>
      <c r="AT1629" s="418"/>
      <c r="AU1629" s="418"/>
      <c r="AV1629" s="418"/>
      <c r="AW1629" s="418"/>
      <c r="AX1629" s="418"/>
      <c r="AY1629" s="418"/>
      <c r="BF1629" s="1119"/>
      <c r="BG1629" s="1119"/>
      <c r="BH1629" s="1119"/>
    </row>
    <row r="1630" spans="1:60" ht="15.75" customHeight="1">
      <c r="A1630" s="1076"/>
      <c r="B1630" s="416"/>
      <c r="C1630" s="424"/>
      <c r="E1630" s="418"/>
      <c r="F1630" s="493"/>
      <c r="G1630" s="418"/>
      <c r="H1630" s="421"/>
      <c r="I1630" s="421"/>
      <c r="J1630" s="492"/>
      <c r="K1630" s="418"/>
      <c r="L1630" s="418"/>
      <c r="M1630" s="418"/>
      <c r="N1630" s="421"/>
      <c r="O1630" s="421"/>
      <c r="P1630" s="421"/>
      <c r="Q1630" s="418"/>
      <c r="R1630" s="418"/>
      <c r="S1630" s="418"/>
      <c r="T1630" s="418"/>
      <c r="U1630" s="418"/>
      <c r="V1630" s="418"/>
      <c r="W1630" s="418"/>
      <c r="X1630" s="418"/>
      <c r="Y1630" s="418"/>
      <c r="Z1630" s="418"/>
      <c r="AA1630" s="418"/>
      <c r="AB1630" s="418"/>
      <c r="AC1630" s="418"/>
      <c r="AD1630" s="418"/>
      <c r="AE1630" s="418"/>
      <c r="AF1630" s="418"/>
      <c r="AG1630" s="418"/>
      <c r="AH1630" s="418"/>
      <c r="AI1630" s="418"/>
      <c r="AJ1630" s="418"/>
      <c r="AK1630" s="418"/>
      <c r="AL1630" s="418"/>
      <c r="AM1630" s="418"/>
      <c r="AN1630" s="418"/>
      <c r="AO1630" s="418"/>
      <c r="AP1630" s="418"/>
      <c r="AQ1630" s="418"/>
      <c r="AR1630" s="418"/>
      <c r="AS1630" s="418"/>
      <c r="AT1630" s="418"/>
      <c r="AU1630" s="418"/>
      <c r="AV1630" s="418"/>
      <c r="AW1630" s="418"/>
      <c r="AX1630" s="418"/>
      <c r="AY1630" s="418"/>
      <c r="BF1630" s="1119"/>
      <c r="BG1630" s="1119"/>
      <c r="BH1630" s="1119"/>
    </row>
    <row r="1631" spans="1:60" ht="15.75" customHeight="1">
      <c r="A1631" s="1076"/>
      <c r="B1631" s="416"/>
      <c r="C1631" s="424"/>
      <c r="E1631" s="418"/>
      <c r="F1631" s="493"/>
      <c r="G1631" s="418"/>
      <c r="H1631" s="421"/>
      <c r="I1631" s="421"/>
      <c r="J1631" s="492"/>
      <c r="K1631" s="418"/>
      <c r="L1631" s="418"/>
      <c r="M1631" s="418"/>
      <c r="N1631" s="421"/>
      <c r="O1631" s="421"/>
      <c r="P1631" s="421"/>
      <c r="Q1631" s="418"/>
      <c r="R1631" s="418"/>
      <c r="S1631" s="418"/>
      <c r="T1631" s="418"/>
      <c r="U1631" s="418"/>
      <c r="V1631" s="418"/>
      <c r="W1631" s="418"/>
      <c r="X1631" s="418"/>
      <c r="Y1631" s="418"/>
      <c r="Z1631" s="418"/>
      <c r="AA1631" s="418"/>
      <c r="AB1631" s="418"/>
      <c r="AC1631" s="418"/>
      <c r="AD1631" s="418"/>
      <c r="AE1631" s="418"/>
      <c r="AF1631" s="418"/>
      <c r="AG1631" s="418"/>
      <c r="AH1631" s="418"/>
      <c r="AI1631" s="418"/>
      <c r="AJ1631" s="418"/>
      <c r="AK1631" s="418"/>
      <c r="AL1631" s="418"/>
      <c r="AM1631" s="418"/>
      <c r="AN1631" s="418"/>
      <c r="AO1631" s="418"/>
      <c r="AP1631" s="418"/>
      <c r="AQ1631" s="418"/>
      <c r="AR1631" s="418"/>
      <c r="AS1631" s="418"/>
      <c r="AT1631" s="418"/>
      <c r="AU1631" s="418"/>
      <c r="AV1631" s="418"/>
      <c r="AW1631" s="418"/>
      <c r="AX1631" s="418"/>
      <c r="AY1631" s="418"/>
      <c r="BF1631" s="1119"/>
      <c r="BG1631" s="1119"/>
      <c r="BH1631" s="1119"/>
    </row>
    <row r="1632" spans="1:60" ht="15.75" customHeight="1">
      <c r="A1632" s="1076"/>
      <c r="B1632" s="416"/>
      <c r="C1632" s="424"/>
      <c r="E1632" s="418"/>
      <c r="F1632" s="493"/>
      <c r="G1632" s="418"/>
      <c r="H1632" s="421"/>
      <c r="I1632" s="421"/>
      <c r="J1632" s="492"/>
      <c r="K1632" s="418"/>
      <c r="L1632" s="418"/>
      <c r="M1632" s="418"/>
      <c r="N1632" s="421"/>
      <c r="O1632" s="421"/>
      <c r="P1632" s="421"/>
      <c r="Q1632" s="418"/>
      <c r="R1632" s="418"/>
      <c r="S1632" s="418"/>
      <c r="T1632" s="418"/>
      <c r="U1632" s="418"/>
      <c r="V1632" s="418"/>
      <c r="W1632" s="418"/>
      <c r="X1632" s="418"/>
      <c r="Y1632" s="418"/>
      <c r="Z1632" s="418"/>
      <c r="AA1632" s="418"/>
      <c r="AB1632" s="418"/>
      <c r="AC1632" s="418"/>
      <c r="AD1632" s="418"/>
      <c r="AE1632" s="418"/>
      <c r="AF1632" s="418"/>
      <c r="AG1632" s="418"/>
      <c r="AH1632" s="418"/>
      <c r="AI1632" s="418"/>
      <c r="AJ1632" s="418"/>
      <c r="AK1632" s="418"/>
      <c r="AL1632" s="418"/>
      <c r="AM1632" s="418"/>
      <c r="AN1632" s="418"/>
      <c r="AO1632" s="418"/>
      <c r="AP1632" s="418"/>
      <c r="AQ1632" s="418"/>
      <c r="AR1632" s="418"/>
      <c r="AS1632" s="418"/>
      <c r="AT1632" s="418"/>
      <c r="AU1632" s="418"/>
      <c r="AV1632" s="418"/>
      <c r="AW1632" s="418"/>
      <c r="AX1632" s="418"/>
      <c r="AY1632" s="418"/>
      <c r="BF1632" s="1119"/>
      <c r="BG1632" s="1119"/>
      <c r="BH1632" s="1119"/>
    </row>
    <row r="1633" spans="1:60" ht="15.75" customHeight="1">
      <c r="A1633" s="1076"/>
      <c r="B1633" s="416"/>
      <c r="C1633" s="424"/>
      <c r="E1633" s="418"/>
      <c r="F1633" s="493"/>
      <c r="G1633" s="418"/>
      <c r="H1633" s="421"/>
      <c r="I1633" s="425"/>
      <c r="J1633" s="492"/>
      <c r="K1633" s="418"/>
      <c r="L1633" s="418"/>
      <c r="M1633" s="418"/>
      <c r="N1633" s="421"/>
      <c r="O1633" s="421"/>
      <c r="P1633" s="421"/>
      <c r="Q1633" s="418"/>
      <c r="R1633" s="418"/>
      <c r="S1633" s="418"/>
      <c r="T1633" s="418"/>
      <c r="U1633" s="418"/>
      <c r="V1633" s="418"/>
      <c r="W1633" s="418"/>
      <c r="X1633" s="418"/>
      <c r="Y1633" s="418"/>
      <c r="Z1633" s="418"/>
      <c r="AA1633" s="418"/>
      <c r="AB1633" s="418"/>
      <c r="AC1633" s="418"/>
      <c r="AD1633" s="418"/>
      <c r="AE1633" s="418"/>
      <c r="AF1633" s="418"/>
      <c r="AG1633" s="418"/>
      <c r="AH1633" s="418"/>
      <c r="AI1633" s="418"/>
      <c r="AJ1633" s="418"/>
      <c r="AK1633" s="418"/>
      <c r="AL1633" s="418"/>
      <c r="AM1633" s="418"/>
      <c r="AN1633" s="418"/>
      <c r="AO1633" s="418"/>
      <c r="AP1633" s="418"/>
      <c r="AQ1633" s="418"/>
      <c r="AR1633" s="418"/>
      <c r="AS1633" s="418"/>
      <c r="AT1633" s="418"/>
      <c r="AU1633" s="418"/>
      <c r="AV1633" s="418"/>
      <c r="AW1633" s="418"/>
      <c r="AX1633" s="418"/>
      <c r="AY1633" s="418"/>
      <c r="BF1633" s="1119"/>
      <c r="BG1633" s="1119"/>
      <c r="BH1633" s="1119"/>
    </row>
    <row r="1634" spans="1:60" ht="15.75" customHeight="1">
      <c r="A1634" s="1076"/>
      <c r="B1634" s="416"/>
      <c r="C1634" s="424"/>
      <c r="E1634" s="418"/>
      <c r="F1634" s="493"/>
      <c r="G1634" s="418"/>
      <c r="H1634" s="421"/>
      <c r="I1634" s="421"/>
      <c r="J1634" s="492"/>
      <c r="K1634" s="418"/>
      <c r="L1634" s="418"/>
      <c r="M1634" s="418"/>
      <c r="N1634" s="421"/>
      <c r="O1634" s="421"/>
      <c r="P1634" s="421"/>
      <c r="Q1634" s="418"/>
      <c r="R1634" s="418"/>
      <c r="S1634" s="418"/>
      <c r="T1634" s="418"/>
      <c r="U1634" s="418"/>
      <c r="V1634" s="418"/>
      <c r="W1634" s="418"/>
      <c r="X1634" s="418"/>
      <c r="Y1634" s="418"/>
      <c r="Z1634" s="418"/>
      <c r="AA1634" s="418"/>
      <c r="AB1634" s="418"/>
      <c r="AC1634" s="418"/>
      <c r="AD1634" s="418"/>
      <c r="AE1634" s="418"/>
      <c r="AF1634" s="418"/>
      <c r="AG1634" s="418"/>
      <c r="AH1634" s="418"/>
      <c r="AI1634" s="418"/>
      <c r="AJ1634" s="418"/>
      <c r="AK1634" s="418"/>
      <c r="AL1634" s="418"/>
      <c r="AM1634" s="418"/>
      <c r="AN1634" s="418"/>
      <c r="AO1634" s="418"/>
      <c r="AP1634" s="418"/>
      <c r="AQ1634" s="418"/>
      <c r="AR1634" s="418"/>
      <c r="AS1634" s="418"/>
      <c r="AT1634" s="418"/>
      <c r="AU1634" s="418"/>
      <c r="AV1634" s="418"/>
      <c r="AW1634" s="418"/>
      <c r="AX1634" s="418"/>
      <c r="AY1634" s="418"/>
      <c r="BF1634" s="1119"/>
      <c r="BG1634" s="1119"/>
      <c r="BH1634" s="1119"/>
    </row>
    <row r="1635" spans="1:60" ht="15.75" customHeight="1">
      <c r="A1635" s="1076"/>
      <c r="B1635" s="416"/>
      <c r="C1635" s="424"/>
      <c r="E1635" s="418"/>
      <c r="F1635" s="493"/>
      <c r="G1635" s="418"/>
      <c r="H1635" s="421"/>
      <c r="I1635" s="421"/>
      <c r="J1635" s="492"/>
      <c r="K1635" s="418"/>
      <c r="L1635" s="418"/>
      <c r="M1635" s="418"/>
      <c r="N1635" s="421"/>
      <c r="O1635" s="421"/>
      <c r="P1635" s="421"/>
      <c r="Q1635" s="418"/>
      <c r="R1635" s="418"/>
      <c r="S1635" s="418"/>
      <c r="T1635" s="418"/>
      <c r="U1635" s="418"/>
      <c r="V1635" s="418"/>
      <c r="W1635" s="418"/>
      <c r="X1635" s="418"/>
      <c r="Y1635" s="418"/>
      <c r="Z1635" s="418"/>
      <c r="AA1635" s="418"/>
      <c r="AB1635" s="418"/>
      <c r="AC1635" s="418"/>
      <c r="AD1635" s="418"/>
      <c r="AE1635" s="418"/>
      <c r="AF1635" s="418"/>
      <c r="AG1635" s="418"/>
      <c r="AH1635" s="418"/>
      <c r="AI1635" s="418"/>
      <c r="AJ1635" s="418"/>
      <c r="AK1635" s="418"/>
      <c r="AL1635" s="418"/>
      <c r="AM1635" s="418"/>
      <c r="AN1635" s="418"/>
      <c r="AO1635" s="418"/>
      <c r="AP1635" s="418"/>
      <c r="AQ1635" s="418"/>
      <c r="AR1635" s="418"/>
      <c r="AS1635" s="418"/>
      <c r="AT1635" s="418"/>
      <c r="AU1635" s="418"/>
      <c r="AV1635" s="418"/>
      <c r="AW1635" s="418"/>
      <c r="AX1635" s="418"/>
      <c r="AY1635" s="418"/>
      <c r="BF1635" s="1119"/>
      <c r="BG1635" s="1119"/>
      <c r="BH1635" s="1119"/>
    </row>
    <row r="1636" spans="1:60" ht="15.75" customHeight="1">
      <c r="A1636" s="1076"/>
      <c r="B1636" s="416"/>
      <c r="C1636" s="424"/>
      <c r="E1636" s="418"/>
      <c r="F1636" s="493"/>
      <c r="G1636" s="418"/>
      <c r="H1636" s="421"/>
      <c r="I1636" s="421"/>
      <c r="J1636" s="492"/>
      <c r="K1636" s="418"/>
      <c r="L1636" s="418"/>
      <c r="M1636" s="418"/>
      <c r="N1636" s="421"/>
      <c r="O1636" s="421"/>
      <c r="P1636" s="421"/>
      <c r="Q1636" s="418"/>
      <c r="R1636" s="418"/>
      <c r="S1636" s="418"/>
      <c r="T1636" s="418"/>
      <c r="U1636" s="418"/>
      <c r="V1636" s="418"/>
      <c r="W1636" s="418"/>
      <c r="X1636" s="418"/>
      <c r="Y1636" s="418"/>
      <c r="Z1636" s="418"/>
      <c r="AA1636" s="418"/>
      <c r="AB1636" s="418"/>
      <c r="AC1636" s="418"/>
      <c r="AD1636" s="418"/>
      <c r="AE1636" s="418"/>
      <c r="AF1636" s="418"/>
      <c r="AG1636" s="418"/>
      <c r="AH1636" s="418"/>
      <c r="AI1636" s="418"/>
      <c r="AJ1636" s="418"/>
      <c r="AK1636" s="418"/>
      <c r="AL1636" s="418"/>
      <c r="AM1636" s="418"/>
      <c r="AN1636" s="418"/>
      <c r="AO1636" s="418"/>
      <c r="AP1636" s="418"/>
      <c r="AQ1636" s="418"/>
      <c r="AR1636" s="418"/>
      <c r="AS1636" s="418"/>
      <c r="AT1636" s="418"/>
      <c r="AU1636" s="418"/>
      <c r="AV1636" s="418"/>
      <c r="AW1636" s="418"/>
      <c r="AX1636" s="418"/>
      <c r="AY1636" s="418"/>
      <c r="BF1636" s="1119"/>
      <c r="BG1636" s="1119"/>
      <c r="BH1636" s="1119"/>
    </row>
    <row r="1637" spans="1:60" ht="15.75" customHeight="1">
      <c r="A1637" s="1076"/>
      <c r="B1637" s="416"/>
      <c r="C1637" s="424"/>
      <c r="E1637" s="418"/>
      <c r="F1637" s="493"/>
      <c r="G1637" s="418"/>
      <c r="H1637" s="421"/>
      <c r="I1637" s="421"/>
      <c r="J1637" s="492"/>
      <c r="K1637" s="418"/>
      <c r="L1637" s="418"/>
      <c r="M1637" s="418"/>
      <c r="N1637" s="421"/>
      <c r="O1637" s="421"/>
      <c r="P1637" s="421"/>
      <c r="Q1637" s="418"/>
      <c r="R1637" s="418"/>
      <c r="S1637" s="418"/>
      <c r="T1637" s="418"/>
      <c r="U1637" s="418"/>
      <c r="V1637" s="418"/>
      <c r="W1637" s="418"/>
      <c r="X1637" s="418"/>
      <c r="Y1637" s="418"/>
      <c r="Z1637" s="418"/>
      <c r="AA1637" s="418"/>
      <c r="AB1637" s="418"/>
      <c r="AC1637" s="418"/>
      <c r="AD1637" s="418"/>
      <c r="AE1637" s="418"/>
      <c r="AF1637" s="418"/>
      <c r="AG1637" s="418"/>
      <c r="AH1637" s="418"/>
      <c r="AI1637" s="418"/>
      <c r="AJ1637" s="418"/>
      <c r="AK1637" s="418"/>
      <c r="AL1637" s="418"/>
      <c r="AM1637" s="418"/>
      <c r="AN1637" s="418"/>
      <c r="AO1637" s="418"/>
      <c r="AP1637" s="418"/>
      <c r="AQ1637" s="418"/>
      <c r="AR1637" s="418"/>
      <c r="AS1637" s="418"/>
      <c r="AT1637" s="418"/>
      <c r="AU1637" s="418"/>
      <c r="AV1637" s="418"/>
      <c r="AW1637" s="418"/>
      <c r="AX1637" s="418"/>
      <c r="AY1637" s="418"/>
      <c r="BF1637" s="1119"/>
      <c r="BG1637" s="1119"/>
      <c r="BH1637" s="1119"/>
    </row>
    <row r="1638" spans="1:60" ht="15.75" customHeight="1">
      <c r="A1638" s="1076"/>
      <c r="B1638" s="416"/>
      <c r="C1638" s="424"/>
      <c r="E1638" s="418"/>
      <c r="F1638" s="493"/>
      <c r="G1638" s="418"/>
      <c r="H1638" s="421"/>
      <c r="I1638" s="421"/>
      <c r="J1638" s="492"/>
      <c r="K1638" s="418"/>
      <c r="L1638" s="418"/>
      <c r="M1638" s="418"/>
      <c r="N1638" s="421"/>
      <c r="O1638" s="421"/>
      <c r="P1638" s="421"/>
      <c r="Q1638" s="418"/>
      <c r="R1638" s="418"/>
      <c r="S1638" s="418"/>
      <c r="T1638" s="418"/>
      <c r="U1638" s="418"/>
      <c r="V1638" s="418"/>
      <c r="W1638" s="418"/>
      <c r="X1638" s="418"/>
      <c r="Y1638" s="418"/>
      <c r="Z1638" s="418"/>
      <c r="AA1638" s="418"/>
      <c r="AB1638" s="418"/>
      <c r="AC1638" s="418"/>
      <c r="AD1638" s="418"/>
      <c r="AE1638" s="418"/>
      <c r="AF1638" s="418"/>
      <c r="AG1638" s="418"/>
      <c r="AH1638" s="418"/>
      <c r="AI1638" s="418"/>
      <c r="AJ1638" s="418"/>
      <c r="AK1638" s="418"/>
      <c r="AL1638" s="418"/>
      <c r="AM1638" s="418"/>
      <c r="AN1638" s="418"/>
      <c r="AO1638" s="418"/>
      <c r="AP1638" s="418"/>
      <c r="AQ1638" s="418"/>
      <c r="AR1638" s="418"/>
      <c r="AS1638" s="418"/>
      <c r="AT1638" s="418"/>
      <c r="AU1638" s="418"/>
      <c r="AV1638" s="418"/>
      <c r="AW1638" s="418"/>
      <c r="AX1638" s="418"/>
      <c r="AY1638" s="418"/>
      <c r="BF1638" s="1119"/>
      <c r="BG1638" s="1119"/>
      <c r="BH1638" s="1119"/>
    </row>
    <row r="1639" spans="1:60" ht="15.75" customHeight="1">
      <c r="A1639" s="1076"/>
      <c r="B1639" s="416"/>
      <c r="C1639" s="424"/>
      <c r="E1639" s="418"/>
      <c r="F1639" s="493"/>
      <c r="G1639" s="418"/>
      <c r="H1639" s="421"/>
      <c r="I1639" s="421"/>
      <c r="J1639" s="492"/>
      <c r="K1639" s="418"/>
      <c r="L1639" s="418"/>
      <c r="M1639" s="418"/>
      <c r="N1639" s="421"/>
      <c r="O1639" s="421"/>
      <c r="P1639" s="421"/>
      <c r="Q1639" s="418"/>
      <c r="R1639" s="418"/>
      <c r="S1639" s="418"/>
      <c r="T1639" s="418"/>
      <c r="U1639" s="418"/>
      <c r="V1639" s="418"/>
      <c r="W1639" s="418"/>
      <c r="X1639" s="418"/>
      <c r="Y1639" s="418"/>
      <c r="Z1639" s="418"/>
      <c r="AA1639" s="418"/>
      <c r="AB1639" s="418"/>
      <c r="AC1639" s="418"/>
      <c r="AD1639" s="418"/>
      <c r="AE1639" s="418"/>
      <c r="AF1639" s="418"/>
      <c r="AG1639" s="418"/>
      <c r="AH1639" s="418"/>
      <c r="AI1639" s="418"/>
      <c r="AJ1639" s="418"/>
      <c r="AK1639" s="418"/>
      <c r="AL1639" s="418"/>
      <c r="AM1639" s="418"/>
      <c r="AN1639" s="418"/>
      <c r="AO1639" s="418"/>
      <c r="AP1639" s="418"/>
      <c r="AQ1639" s="418"/>
      <c r="AR1639" s="418"/>
      <c r="AS1639" s="418"/>
      <c r="AT1639" s="418"/>
      <c r="AU1639" s="418"/>
      <c r="AV1639" s="418"/>
      <c r="AW1639" s="418"/>
      <c r="AX1639" s="418"/>
      <c r="AY1639" s="418"/>
      <c r="BF1639" s="1119"/>
      <c r="BG1639" s="1119"/>
      <c r="BH1639" s="1119"/>
    </row>
    <row r="1640" spans="1:60" ht="15.75" customHeight="1">
      <c r="A1640" s="1076"/>
      <c r="B1640" s="416"/>
      <c r="C1640" s="424"/>
      <c r="E1640" s="418"/>
      <c r="F1640" s="493"/>
      <c r="G1640" s="418"/>
      <c r="H1640" s="421"/>
      <c r="I1640" s="421"/>
      <c r="J1640" s="492"/>
      <c r="K1640" s="418"/>
      <c r="L1640" s="418"/>
      <c r="M1640" s="418"/>
      <c r="N1640" s="421"/>
      <c r="O1640" s="421"/>
      <c r="P1640" s="421"/>
      <c r="Q1640" s="418"/>
      <c r="R1640" s="418"/>
      <c r="S1640" s="418"/>
      <c r="T1640" s="418"/>
      <c r="U1640" s="418"/>
      <c r="V1640" s="418"/>
      <c r="W1640" s="418"/>
      <c r="X1640" s="418"/>
      <c r="Y1640" s="418"/>
      <c r="Z1640" s="418"/>
      <c r="AA1640" s="418"/>
      <c r="AB1640" s="418"/>
      <c r="AC1640" s="418"/>
      <c r="AD1640" s="418"/>
      <c r="AE1640" s="418"/>
      <c r="AF1640" s="418"/>
      <c r="AG1640" s="418"/>
      <c r="AH1640" s="418"/>
      <c r="AI1640" s="418"/>
      <c r="AJ1640" s="418"/>
      <c r="AK1640" s="418"/>
      <c r="AL1640" s="418"/>
      <c r="AM1640" s="418"/>
      <c r="AN1640" s="418"/>
      <c r="AO1640" s="418"/>
      <c r="AP1640" s="418"/>
      <c r="AQ1640" s="418"/>
      <c r="AR1640" s="418"/>
      <c r="AS1640" s="418"/>
      <c r="AT1640" s="418"/>
      <c r="AU1640" s="418"/>
      <c r="AV1640" s="418"/>
      <c r="AW1640" s="418"/>
      <c r="AX1640" s="418"/>
      <c r="AY1640" s="418"/>
      <c r="BF1640" s="1119"/>
      <c r="BG1640" s="1119"/>
      <c r="BH1640" s="1119"/>
    </row>
    <row r="1641" spans="1:60" ht="15.75" customHeight="1">
      <c r="A1641" s="1076"/>
      <c r="B1641" s="416"/>
      <c r="C1641" s="424"/>
      <c r="E1641" s="418"/>
      <c r="F1641" s="493"/>
      <c r="G1641" s="418"/>
      <c r="H1641" s="421"/>
      <c r="I1641" s="421"/>
      <c r="J1641" s="492"/>
      <c r="K1641" s="418"/>
      <c r="L1641" s="418"/>
      <c r="M1641" s="418"/>
      <c r="N1641" s="421"/>
      <c r="O1641" s="421"/>
      <c r="P1641" s="421"/>
      <c r="Q1641" s="418"/>
      <c r="R1641" s="418"/>
      <c r="S1641" s="418"/>
      <c r="T1641" s="418"/>
      <c r="U1641" s="418"/>
      <c r="V1641" s="418"/>
      <c r="W1641" s="418"/>
      <c r="X1641" s="418"/>
      <c r="Y1641" s="418"/>
      <c r="Z1641" s="418"/>
      <c r="AA1641" s="418"/>
      <c r="AB1641" s="418"/>
      <c r="AC1641" s="418"/>
      <c r="AD1641" s="418"/>
      <c r="AE1641" s="418"/>
      <c r="AF1641" s="418"/>
      <c r="AG1641" s="418"/>
      <c r="AH1641" s="418"/>
      <c r="AI1641" s="418"/>
      <c r="AJ1641" s="418"/>
      <c r="AK1641" s="418"/>
      <c r="AL1641" s="418"/>
      <c r="AM1641" s="418"/>
      <c r="AN1641" s="418"/>
      <c r="AO1641" s="418"/>
      <c r="AP1641" s="418"/>
      <c r="AQ1641" s="418"/>
      <c r="AR1641" s="418"/>
      <c r="AS1641" s="418"/>
      <c r="AT1641" s="418"/>
      <c r="AU1641" s="418"/>
      <c r="AV1641" s="418"/>
      <c r="AW1641" s="418"/>
      <c r="AX1641" s="418"/>
      <c r="AY1641" s="418"/>
      <c r="BF1641" s="1119"/>
      <c r="BG1641" s="1119"/>
      <c r="BH1641" s="1119"/>
    </row>
    <row r="1642" spans="1:60" ht="15.75" customHeight="1">
      <c r="A1642" s="1076"/>
      <c r="B1642" s="416"/>
      <c r="C1642" s="424"/>
      <c r="E1642" s="418"/>
      <c r="F1642" s="493"/>
      <c r="G1642" s="418"/>
      <c r="H1642" s="421"/>
      <c r="I1642" s="421"/>
      <c r="J1642" s="492"/>
      <c r="K1642" s="418"/>
      <c r="L1642" s="418"/>
      <c r="M1642" s="418"/>
      <c r="N1642" s="421"/>
      <c r="O1642" s="421"/>
      <c r="P1642" s="421"/>
      <c r="Q1642" s="418"/>
      <c r="R1642" s="418"/>
      <c r="S1642" s="418"/>
      <c r="T1642" s="418"/>
      <c r="U1642" s="418"/>
      <c r="V1642" s="418"/>
      <c r="W1642" s="418"/>
      <c r="X1642" s="418"/>
      <c r="Y1642" s="418"/>
      <c r="Z1642" s="418"/>
      <c r="AA1642" s="418"/>
      <c r="AB1642" s="418"/>
      <c r="AC1642" s="418"/>
      <c r="AD1642" s="418"/>
      <c r="AE1642" s="418"/>
      <c r="AF1642" s="418"/>
      <c r="AG1642" s="418"/>
      <c r="AH1642" s="418"/>
      <c r="AI1642" s="418"/>
      <c r="AJ1642" s="418"/>
      <c r="AK1642" s="418"/>
      <c r="AL1642" s="418"/>
      <c r="AM1642" s="418"/>
      <c r="AN1642" s="418"/>
      <c r="AO1642" s="418"/>
      <c r="AP1642" s="418"/>
      <c r="AQ1642" s="418"/>
      <c r="AR1642" s="418"/>
      <c r="AS1642" s="418"/>
      <c r="AT1642" s="418"/>
      <c r="AU1642" s="418"/>
      <c r="AV1642" s="418"/>
      <c r="AW1642" s="418"/>
      <c r="AX1642" s="418"/>
      <c r="AY1642" s="418"/>
      <c r="BF1642" s="1119"/>
      <c r="BG1642" s="1119"/>
      <c r="BH1642" s="1119"/>
    </row>
    <row r="1643" spans="1:60" ht="15.75" customHeight="1">
      <c r="A1643" s="1076"/>
      <c r="B1643" s="416"/>
      <c r="C1643" s="424"/>
      <c r="E1643" s="418"/>
      <c r="F1643" s="493"/>
      <c r="G1643" s="418"/>
      <c r="H1643" s="421"/>
      <c r="I1643" s="421"/>
      <c r="J1643" s="492"/>
      <c r="K1643" s="418"/>
      <c r="L1643" s="418"/>
      <c r="M1643" s="418"/>
      <c r="N1643" s="421"/>
      <c r="O1643" s="421"/>
      <c r="P1643" s="421"/>
      <c r="Q1643" s="418"/>
      <c r="R1643" s="418"/>
      <c r="S1643" s="418"/>
      <c r="T1643" s="418"/>
      <c r="U1643" s="418"/>
      <c r="V1643" s="418"/>
      <c r="W1643" s="418"/>
      <c r="X1643" s="418"/>
      <c r="Y1643" s="418"/>
      <c r="Z1643" s="418"/>
      <c r="AA1643" s="418"/>
      <c r="AB1643" s="418"/>
      <c r="AC1643" s="418"/>
      <c r="AD1643" s="418"/>
      <c r="AE1643" s="418"/>
      <c r="AF1643" s="418"/>
      <c r="AG1643" s="418"/>
      <c r="AH1643" s="418"/>
      <c r="AI1643" s="418"/>
      <c r="AJ1643" s="418"/>
      <c r="AK1643" s="418"/>
      <c r="AL1643" s="418"/>
      <c r="AM1643" s="418"/>
      <c r="AN1643" s="418"/>
      <c r="AO1643" s="418"/>
      <c r="AP1643" s="418"/>
      <c r="AQ1643" s="418"/>
      <c r="AR1643" s="418"/>
      <c r="AS1643" s="418"/>
      <c r="AT1643" s="418"/>
      <c r="AU1643" s="418"/>
      <c r="AV1643" s="418"/>
      <c r="AW1643" s="418"/>
      <c r="AX1643" s="418"/>
      <c r="AY1643" s="418"/>
      <c r="BF1643" s="1119"/>
      <c r="BG1643" s="1119"/>
      <c r="BH1643" s="1119"/>
    </row>
    <row r="1644" spans="1:60" ht="15.75" customHeight="1">
      <c r="A1644" s="1076"/>
      <c r="B1644" s="416"/>
      <c r="C1644" s="424"/>
      <c r="E1644" s="418"/>
      <c r="F1644" s="493"/>
      <c r="G1644" s="418"/>
      <c r="H1644" s="421"/>
      <c r="I1644" s="421"/>
      <c r="J1644" s="492"/>
      <c r="K1644" s="418"/>
      <c r="L1644" s="418"/>
      <c r="M1644" s="418"/>
      <c r="N1644" s="421"/>
      <c r="O1644" s="421"/>
      <c r="P1644" s="421"/>
      <c r="Q1644" s="418"/>
      <c r="R1644" s="418"/>
      <c r="S1644" s="418"/>
      <c r="T1644" s="418"/>
      <c r="U1644" s="418"/>
      <c r="V1644" s="418"/>
      <c r="W1644" s="418"/>
      <c r="X1644" s="418"/>
      <c r="Y1644" s="418"/>
      <c r="Z1644" s="418"/>
      <c r="AA1644" s="418"/>
      <c r="AB1644" s="418"/>
      <c r="AC1644" s="418"/>
      <c r="AD1644" s="418"/>
      <c r="AE1644" s="418"/>
      <c r="AF1644" s="418"/>
      <c r="AG1644" s="418"/>
      <c r="AH1644" s="418"/>
      <c r="AI1644" s="418"/>
      <c r="AJ1644" s="418"/>
      <c r="AK1644" s="418"/>
      <c r="AL1644" s="418"/>
      <c r="AM1644" s="418"/>
      <c r="AN1644" s="418"/>
      <c r="AO1644" s="418"/>
      <c r="AP1644" s="418"/>
      <c r="AQ1644" s="418"/>
      <c r="AR1644" s="418"/>
      <c r="AS1644" s="418"/>
      <c r="AT1644" s="418"/>
      <c r="AU1644" s="418"/>
      <c r="AV1644" s="418"/>
      <c r="AW1644" s="418"/>
      <c r="AX1644" s="418"/>
      <c r="AY1644" s="418"/>
      <c r="BF1644" s="1119"/>
      <c r="BG1644" s="1119"/>
      <c r="BH1644" s="1119"/>
    </row>
    <row r="1645" spans="1:60" ht="15.75" customHeight="1">
      <c r="A1645" s="1076"/>
      <c r="B1645" s="416"/>
      <c r="C1645" s="424"/>
      <c r="E1645" s="418"/>
      <c r="F1645" s="493"/>
      <c r="G1645" s="418"/>
      <c r="H1645" s="421"/>
      <c r="I1645" s="421"/>
      <c r="J1645" s="492"/>
      <c r="K1645" s="418"/>
      <c r="L1645" s="418"/>
      <c r="M1645" s="418"/>
      <c r="N1645" s="421"/>
      <c r="O1645" s="421"/>
      <c r="P1645" s="421"/>
      <c r="Q1645" s="418"/>
      <c r="R1645" s="418"/>
      <c r="S1645" s="418"/>
      <c r="T1645" s="418"/>
      <c r="U1645" s="418"/>
      <c r="V1645" s="418"/>
      <c r="W1645" s="418"/>
      <c r="X1645" s="418"/>
      <c r="Y1645" s="418"/>
      <c r="Z1645" s="418"/>
      <c r="AA1645" s="418"/>
      <c r="AB1645" s="418"/>
      <c r="AC1645" s="418"/>
      <c r="AD1645" s="418"/>
      <c r="AE1645" s="418"/>
      <c r="AF1645" s="418"/>
      <c r="AG1645" s="418"/>
      <c r="AH1645" s="418"/>
      <c r="AI1645" s="418"/>
      <c r="AJ1645" s="418"/>
      <c r="AK1645" s="418"/>
      <c r="AL1645" s="418"/>
      <c r="AM1645" s="418"/>
      <c r="AN1645" s="418"/>
      <c r="AO1645" s="418"/>
      <c r="AP1645" s="418"/>
      <c r="AQ1645" s="418"/>
      <c r="AR1645" s="418"/>
      <c r="AS1645" s="418"/>
      <c r="AT1645" s="418"/>
      <c r="AU1645" s="418"/>
      <c r="AV1645" s="418"/>
      <c r="AW1645" s="418"/>
      <c r="AX1645" s="418"/>
      <c r="AY1645" s="418"/>
      <c r="BF1645" s="1119"/>
      <c r="BG1645" s="1119"/>
      <c r="BH1645" s="1119"/>
    </row>
    <row r="1646" spans="1:60" ht="15.75" customHeight="1">
      <c r="A1646" s="1076"/>
      <c r="B1646" s="416"/>
      <c r="C1646" s="424"/>
      <c r="E1646" s="418"/>
      <c r="F1646" s="493"/>
      <c r="G1646" s="418"/>
      <c r="H1646" s="421"/>
      <c r="I1646" s="421"/>
      <c r="J1646" s="492"/>
      <c r="K1646" s="418"/>
      <c r="L1646" s="418"/>
      <c r="M1646" s="418"/>
      <c r="N1646" s="421"/>
      <c r="O1646" s="421"/>
      <c r="P1646" s="421"/>
      <c r="Q1646" s="418"/>
      <c r="R1646" s="418"/>
      <c r="S1646" s="418"/>
      <c r="T1646" s="418"/>
      <c r="U1646" s="418"/>
      <c r="V1646" s="418"/>
      <c r="W1646" s="418"/>
      <c r="X1646" s="418"/>
      <c r="Y1646" s="418"/>
      <c r="Z1646" s="418"/>
      <c r="AA1646" s="418"/>
      <c r="AB1646" s="418"/>
      <c r="AC1646" s="418"/>
      <c r="AD1646" s="418"/>
      <c r="AE1646" s="418"/>
      <c r="AF1646" s="418"/>
      <c r="AG1646" s="418"/>
      <c r="AH1646" s="418"/>
      <c r="AI1646" s="418"/>
      <c r="AJ1646" s="418"/>
      <c r="AK1646" s="418"/>
      <c r="AL1646" s="418"/>
      <c r="AM1646" s="418"/>
      <c r="AN1646" s="418"/>
      <c r="AO1646" s="418"/>
      <c r="AP1646" s="418"/>
      <c r="AQ1646" s="418"/>
      <c r="AR1646" s="418"/>
      <c r="AS1646" s="418"/>
      <c r="AT1646" s="418"/>
      <c r="AU1646" s="418"/>
      <c r="AV1646" s="418"/>
      <c r="AW1646" s="418"/>
      <c r="AX1646" s="418"/>
      <c r="AY1646" s="418"/>
      <c r="BF1646" s="1119"/>
      <c r="BG1646" s="1119"/>
      <c r="BH1646" s="1119"/>
    </row>
    <row r="1647" spans="1:60" ht="15.75" customHeight="1">
      <c r="A1647" s="1076"/>
      <c r="B1647" s="416"/>
      <c r="C1647" s="424"/>
      <c r="E1647" s="418"/>
      <c r="F1647" s="493"/>
      <c r="G1647" s="418"/>
      <c r="H1647" s="421"/>
      <c r="I1647" s="421"/>
      <c r="J1647" s="492"/>
      <c r="K1647" s="418"/>
      <c r="L1647" s="418"/>
      <c r="M1647" s="418"/>
      <c r="N1647" s="421"/>
      <c r="O1647" s="421"/>
      <c r="P1647" s="421"/>
      <c r="Q1647" s="418"/>
      <c r="R1647" s="418"/>
      <c r="S1647" s="418"/>
      <c r="T1647" s="418"/>
      <c r="U1647" s="418"/>
      <c r="V1647" s="418"/>
      <c r="W1647" s="418"/>
      <c r="X1647" s="418"/>
      <c r="Y1647" s="418"/>
      <c r="Z1647" s="418"/>
      <c r="AA1647" s="418"/>
      <c r="AB1647" s="418"/>
      <c r="AC1647" s="418"/>
      <c r="AD1647" s="418"/>
      <c r="AE1647" s="418"/>
      <c r="AF1647" s="418"/>
      <c r="AG1647" s="418"/>
      <c r="AH1647" s="418"/>
      <c r="AI1647" s="418"/>
      <c r="AJ1647" s="418"/>
      <c r="AK1647" s="418"/>
      <c r="AL1647" s="418"/>
      <c r="AM1647" s="418"/>
      <c r="AN1647" s="418"/>
      <c r="AO1647" s="418"/>
      <c r="AP1647" s="418"/>
      <c r="AQ1647" s="418"/>
      <c r="AR1647" s="418"/>
      <c r="AS1647" s="418"/>
      <c r="AT1647" s="418"/>
      <c r="AU1647" s="418"/>
      <c r="AV1647" s="418"/>
      <c r="AW1647" s="418"/>
      <c r="AX1647" s="418"/>
      <c r="AY1647" s="418"/>
      <c r="BF1647" s="1119"/>
      <c r="BG1647" s="1119"/>
      <c r="BH1647" s="1119"/>
    </row>
    <row r="1648" spans="1:60" ht="15.75" customHeight="1">
      <c r="A1648" s="1076"/>
      <c r="B1648" s="416"/>
      <c r="C1648" s="424"/>
      <c r="E1648" s="418"/>
      <c r="F1648" s="493"/>
      <c r="G1648" s="418"/>
      <c r="H1648" s="421"/>
      <c r="I1648" s="421"/>
      <c r="J1648" s="492"/>
      <c r="K1648" s="418"/>
      <c r="L1648" s="418"/>
      <c r="M1648" s="418"/>
      <c r="N1648" s="421"/>
      <c r="O1648" s="421"/>
      <c r="P1648" s="421"/>
      <c r="Q1648" s="418"/>
      <c r="R1648" s="418"/>
      <c r="S1648" s="418"/>
      <c r="T1648" s="418"/>
      <c r="U1648" s="418"/>
      <c r="V1648" s="418"/>
      <c r="W1648" s="418"/>
      <c r="X1648" s="418"/>
      <c r="Y1648" s="418"/>
      <c r="Z1648" s="418"/>
      <c r="AA1648" s="418"/>
      <c r="AB1648" s="418"/>
      <c r="AC1648" s="418"/>
      <c r="AD1648" s="418"/>
      <c r="AE1648" s="418"/>
      <c r="AF1648" s="418"/>
      <c r="AG1648" s="418"/>
      <c r="AH1648" s="418"/>
      <c r="AI1648" s="418"/>
      <c r="AJ1648" s="418"/>
      <c r="AK1648" s="418"/>
      <c r="AL1648" s="418"/>
      <c r="AM1648" s="418"/>
      <c r="AN1648" s="418"/>
      <c r="AO1648" s="418"/>
      <c r="AP1648" s="418"/>
      <c r="AQ1648" s="418"/>
      <c r="AR1648" s="418"/>
      <c r="AS1648" s="418"/>
      <c r="AT1648" s="418"/>
      <c r="AU1648" s="418"/>
      <c r="AV1648" s="418"/>
      <c r="AW1648" s="418"/>
      <c r="AX1648" s="418"/>
      <c r="AY1648" s="418"/>
      <c r="BF1648" s="1119"/>
      <c r="BG1648" s="1119"/>
      <c r="BH1648" s="1119"/>
    </row>
    <row r="1649" spans="1:60" ht="15.75" customHeight="1">
      <c r="A1649" s="1076"/>
      <c r="B1649" s="416"/>
      <c r="C1649" s="424"/>
      <c r="E1649" s="418"/>
      <c r="F1649" s="493"/>
      <c r="G1649" s="418"/>
      <c r="H1649" s="421"/>
      <c r="I1649" s="421"/>
      <c r="J1649" s="492"/>
      <c r="K1649" s="418"/>
      <c r="L1649" s="418"/>
      <c r="M1649" s="418"/>
      <c r="N1649" s="421"/>
      <c r="O1649" s="421"/>
      <c r="P1649" s="421"/>
      <c r="Q1649" s="418"/>
      <c r="R1649" s="418"/>
      <c r="S1649" s="418"/>
      <c r="T1649" s="418"/>
      <c r="U1649" s="418"/>
      <c r="V1649" s="418"/>
      <c r="W1649" s="418"/>
      <c r="X1649" s="418"/>
      <c r="Y1649" s="418"/>
      <c r="Z1649" s="418"/>
      <c r="AA1649" s="418"/>
      <c r="AB1649" s="418"/>
      <c r="AC1649" s="418"/>
      <c r="AD1649" s="418"/>
      <c r="AE1649" s="418"/>
      <c r="AF1649" s="418"/>
      <c r="AG1649" s="418"/>
      <c r="AH1649" s="418"/>
      <c r="AI1649" s="418"/>
      <c r="AJ1649" s="418"/>
      <c r="AK1649" s="418"/>
      <c r="AL1649" s="418"/>
      <c r="AM1649" s="418"/>
      <c r="AN1649" s="418"/>
      <c r="AO1649" s="418"/>
      <c r="AP1649" s="418"/>
      <c r="AQ1649" s="418"/>
      <c r="AR1649" s="418"/>
      <c r="AS1649" s="418"/>
      <c r="AT1649" s="418"/>
      <c r="AU1649" s="418"/>
      <c r="AV1649" s="418"/>
      <c r="AW1649" s="418"/>
      <c r="AX1649" s="418"/>
      <c r="AY1649" s="418"/>
      <c r="BF1649" s="1119"/>
      <c r="BG1649" s="1119"/>
      <c r="BH1649" s="1119"/>
    </row>
    <row r="1650" spans="1:60" ht="15.75" customHeight="1">
      <c r="A1650" s="1076"/>
      <c r="B1650" s="416"/>
      <c r="C1650" s="424"/>
      <c r="E1650" s="418"/>
      <c r="F1650" s="493"/>
      <c r="G1650" s="418"/>
      <c r="H1650" s="421"/>
      <c r="I1650" s="421"/>
      <c r="J1650" s="492"/>
      <c r="K1650" s="418"/>
      <c r="L1650" s="418"/>
      <c r="M1650" s="418"/>
      <c r="N1650" s="421"/>
      <c r="O1650" s="421"/>
      <c r="P1650" s="421"/>
      <c r="Q1650" s="418"/>
      <c r="R1650" s="418"/>
      <c r="S1650" s="418"/>
      <c r="T1650" s="418"/>
      <c r="U1650" s="418"/>
      <c r="V1650" s="418"/>
      <c r="W1650" s="418"/>
      <c r="X1650" s="418"/>
      <c r="Y1650" s="418"/>
      <c r="Z1650" s="418"/>
      <c r="AA1650" s="418"/>
      <c r="AB1650" s="418"/>
      <c r="AC1650" s="418"/>
      <c r="AD1650" s="418"/>
      <c r="AE1650" s="418"/>
      <c r="AF1650" s="418"/>
      <c r="AG1650" s="418"/>
      <c r="AH1650" s="418"/>
      <c r="AI1650" s="418"/>
      <c r="AJ1650" s="418"/>
      <c r="AK1650" s="418"/>
      <c r="AL1650" s="418"/>
      <c r="AM1650" s="418"/>
      <c r="AN1650" s="418"/>
      <c r="AO1650" s="418"/>
      <c r="AP1650" s="418"/>
      <c r="AQ1650" s="418"/>
      <c r="AR1650" s="418"/>
      <c r="AS1650" s="418"/>
      <c r="AT1650" s="418"/>
      <c r="AU1650" s="418"/>
      <c r="AV1650" s="418"/>
      <c r="AW1650" s="418"/>
      <c r="AX1650" s="418"/>
      <c r="AY1650" s="418"/>
      <c r="BF1650" s="1119"/>
      <c r="BG1650" s="1119"/>
      <c r="BH1650" s="1119"/>
    </row>
    <row r="1651" spans="1:60" ht="15.75" customHeight="1">
      <c r="A1651" s="1076"/>
      <c r="B1651" s="416"/>
      <c r="C1651" s="424"/>
      <c r="E1651" s="418"/>
      <c r="F1651" s="493"/>
      <c r="G1651" s="418"/>
      <c r="H1651" s="421"/>
      <c r="I1651" s="425"/>
      <c r="J1651" s="492"/>
      <c r="K1651" s="418"/>
      <c r="L1651" s="418"/>
      <c r="M1651" s="418"/>
      <c r="N1651" s="421"/>
      <c r="O1651" s="421"/>
      <c r="P1651" s="421"/>
      <c r="Q1651" s="418"/>
      <c r="R1651" s="418"/>
      <c r="S1651" s="418"/>
      <c r="T1651" s="418"/>
      <c r="U1651" s="418"/>
      <c r="V1651" s="418"/>
      <c r="W1651" s="418"/>
      <c r="X1651" s="418"/>
      <c r="Y1651" s="418"/>
      <c r="Z1651" s="418"/>
      <c r="AA1651" s="418"/>
      <c r="AB1651" s="418"/>
      <c r="AC1651" s="418"/>
      <c r="AD1651" s="418"/>
      <c r="AE1651" s="418"/>
      <c r="AF1651" s="418"/>
      <c r="AG1651" s="418"/>
      <c r="AH1651" s="418"/>
      <c r="AI1651" s="418"/>
      <c r="AJ1651" s="418"/>
      <c r="AK1651" s="418"/>
      <c r="AL1651" s="418"/>
      <c r="AM1651" s="418"/>
      <c r="AN1651" s="418"/>
      <c r="AO1651" s="418"/>
      <c r="AP1651" s="418"/>
      <c r="AQ1651" s="418"/>
      <c r="AR1651" s="418"/>
      <c r="AS1651" s="418"/>
      <c r="AT1651" s="418"/>
      <c r="AU1651" s="418"/>
      <c r="AV1651" s="418"/>
      <c r="AW1651" s="418"/>
      <c r="AX1651" s="418"/>
      <c r="AY1651" s="418"/>
      <c r="BF1651" s="1119"/>
      <c r="BG1651" s="1119"/>
      <c r="BH1651" s="1119"/>
    </row>
    <row r="1652" spans="1:60" ht="15.75" customHeight="1">
      <c r="A1652" s="1076"/>
      <c r="B1652" s="416"/>
      <c r="C1652" s="424"/>
      <c r="E1652" s="418"/>
      <c r="F1652" s="493"/>
      <c r="G1652" s="418"/>
      <c r="H1652" s="421"/>
      <c r="I1652" s="421"/>
      <c r="J1652" s="492"/>
      <c r="K1652" s="418"/>
      <c r="L1652" s="418"/>
      <c r="M1652" s="418"/>
      <c r="N1652" s="421"/>
      <c r="O1652" s="421"/>
      <c r="P1652" s="421"/>
      <c r="Q1652" s="418"/>
      <c r="R1652" s="418"/>
      <c r="S1652" s="418"/>
      <c r="T1652" s="418"/>
      <c r="U1652" s="418"/>
      <c r="V1652" s="418"/>
      <c r="W1652" s="418"/>
      <c r="X1652" s="418"/>
      <c r="Y1652" s="418"/>
      <c r="Z1652" s="418"/>
      <c r="AA1652" s="418"/>
      <c r="AB1652" s="418"/>
      <c r="AC1652" s="418"/>
      <c r="AD1652" s="418"/>
      <c r="AE1652" s="418"/>
      <c r="AF1652" s="418"/>
      <c r="AG1652" s="418"/>
      <c r="AH1652" s="418"/>
      <c r="AI1652" s="418"/>
      <c r="AJ1652" s="418"/>
      <c r="AK1652" s="418"/>
      <c r="AL1652" s="418"/>
      <c r="AM1652" s="418"/>
      <c r="AN1652" s="418"/>
      <c r="AO1652" s="418"/>
      <c r="AP1652" s="418"/>
      <c r="AQ1652" s="418"/>
      <c r="AR1652" s="418"/>
      <c r="AS1652" s="418"/>
      <c r="AT1652" s="418"/>
      <c r="AU1652" s="418"/>
      <c r="AV1652" s="418"/>
      <c r="AW1652" s="418"/>
      <c r="AX1652" s="418"/>
      <c r="AY1652" s="418"/>
      <c r="BF1652" s="1119"/>
      <c r="BG1652" s="1119"/>
      <c r="BH1652" s="1119"/>
    </row>
    <row r="1653" spans="1:60" ht="15.75" customHeight="1">
      <c r="A1653" s="1076"/>
      <c r="B1653" s="416"/>
      <c r="C1653" s="424"/>
      <c r="E1653" s="418"/>
      <c r="F1653" s="493"/>
      <c r="G1653" s="418"/>
      <c r="H1653" s="421"/>
      <c r="I1653" s="425"/>
      <c r="J1653" s="492"/>
      <c r="K1653" s="418"/>
      <c r="L1653" s="418"/>
      <c r="M1653" s="418"/>
      <c r="N1653" s="421"/>
      <c r="O1653" s="421"/>
      <c r="P1653" s="421"/>
      <c r="Q1653" s="418"/>
      <c r="R1653" s="418"/>
      <c r="S1653" s="418"/>
      <c r="T1653" s="418"/>
      <c r="U1653" s="418"/>
      <c r="V1653" s="418"/>
      <c r="W1653" s="418"/>
      <c r="X1653" s="418"/>
      <c r="Y1653" s="418"/>
      <c r="Z1653" s="418"/>
      <c r="AA1653" s="418"/>
      <c r="AB1653" s="418"/>
      <c r="AC1653" s="418"/>
      <c r="AD1653" s="418"/>
      <c r="AE1653" s="418"/>
      <c r="AF1653" s="418"/>
      <c r="AG1653" s="418"/>
      <c r="AH1653" s="418"/>
      <c r="AI1653" s="418"/>
      <c r="AJ1653" s="418"/>
      <c r="AK1653" s="418"/>
      <c r="AL1653" s="418"/>
      <c r="AM1653" s="418"/>
      <c r="AN1653" s="418"/>
      <c r="AO1653" s="418"/>
      <c r="AP1653" s="418"/>
      <c r="AQ1653" s="418"/>
      <c r="AR1653" s="418"/>
      <c r="AS1653" s="418"/>
      <c r="AT1653" s="418"/>
      <c r="AU1653" s="418"/>
      <c r="AV1653" s="418"/>
      <c r="AW1653" s="418"/>
      <c r="AX1653" s="418"/>
      <c r="AY1653" s="418"/>
      <c r="BF1653" s="1119"/>
      <c r="BG1653" s="1119"/>
      <c r="BH1653" s="1119"/>
    </row>
    <row r="1654" spans="1:60" ht="15.75" customHeight="1">
      <c r="A1654" s="1076"/>
      <c r="B1654" s="416"/>
      <c r="C1654" s="424"/>
      <c r="E1654" s="418"/>
      <c r="F1654" s="493"/>
      <c r="G1654" s="418"/>
      <c r="H1654" s="421"/>
      <c r="I1654" s="421"/>
      <c r="J1654" s="492"/>
      <c r="K1654" s="418"/>
      <c r="L1654" s="418"/>
      <c r="M1654" s="418"/>
      <c r="N1654" s="421"/>
      <c r="O1654" s="421"/>
      <c r="P1654" s="421"/>
      <c r="Q1654" s="418"/>
      <c r="R1654" s="418"/>
      <c r="S1654" s="418"/>
      <c r="T1654" s="418"/>
      <c r="U1654" s="418"/>
      <c r="V1654" s="418"/>
      <c r="W1654" s="418"/>
      <c r="X1654" s="418"/>
      <c r="Y1654" s="418"/>
      <c r="Z1654" s="418"/>
      <c r="AA1654" s="418"/>
      <c r="AB1654" s="418"/>
      <c r="AC1654" s="418"/>
      <c r="AD1654" s="418"/>
      <c r="AE1654" s="418"/>
      <c r="AF1654" s="418"/>
      <c r="AG1654" s="418"/>
      <c r="AH1654" s="418"/>
      <c r="AI1654" s="418"/>
      <c r="AJ1654" s="418"/>
      <c r="AK1654" s="418"/>
      <c r="AL1654" s="418"/>
      <c r="AM1654" s="418"/>
      <c r="AN1654" s="418"/>
      <c r="AO1654" s="418"/>
      <c r="AP1654" s="418"/>
      <c r="AQ1654" s="418"/>
      <c r="AR1654" s="418"/>
      <c r="AS1654" s="418"/>
      <c r="AT1654" s="418"/>
      <c r="AU1654" s="418"/>
      <c r="AV1654" s="418"/>
      <c r="AW1654" s="418"/>
      <c r="AX1654" s="418"/>
      <c r="AY1654" s="418"/>
      <c r="BF1654" s="1119"/>
      <c r="BG1654" s="1119"/>
      <c r="BH1654" s="1119"/>
    </row>
    <row r="1655" spans="1:60" ht="15.75" customHeight="1">
      <c r="A1655" s="1076"/>
      <c r="B1655" s="416"/>
      <c r="C1655" s="424"/>
      <c r="E1655" s="418"/>
      <c r="F1655" s="493"/>
      <c r="G1655" s="418"/>
      <c r="H1655" s="421"/>
      <c r="I1655" s="421"/>
      <c r="J1655" s="492"/>
      <c r="K1655" s="418"/>
      <c r="L1655" s="418"/>
      <c r="M1655" s="418"/>
      <c r="N1655" s="421"/>
      <c r="O1655" s="421"/>
      <c r="P1655" s="421"/>
      <c r="Q1655" s="418"/>
      <c r="R1655" s="418"/>
      <c r="S1655" s="418"/>
      <c r="T1655" s="418"/>
      <c r="U1655" s="418"/>
      <c r="V1655" s="418"/>
      <c r="W1655" s="418"/>
      <c r="X1655" s="418"/>
      <c r="Y1655" s="418"/>
      <c r="Z1655" s="418"/>
      <c r="AA1655" s="418"/>
      <c r="AB1655" s="418"/>
      <c r="AC1655" s="418"/>
      <c r="AD1655" s="418"/>
      <c r="AE1655" s="418"/>
      <c r="AF1655" s="418"/>
      <c r="AG1655" s="418"/>
      <c r="AH1655" s="418"/>
      <c r="AI1655" s="418"/>
      <c r="AJ1655" s="418"/>
      <c r="AK1655" s="418"/>
      <c r="AL1655" s="418"/>
      <c r="AM1655" s="418"/>
      <c r="AN1655" s="418"/>
      <c r="AO1655" s="418"/>
      <c r="AP1655" s="418"/>
      <c r="AQ1655" s="418"/>
      <c r="AR1655" s="418"/>
      <c r="AS1655" s="418"/>
      <c r="AT1655" s="418"/>
      <c r="AU1655" s="418"/>
      <c r="AV1655" s="418"/>
      <c r="AW1655" s="418"/>
      <c r="AX1655" s="418"/>
      <c r="AY1655" s="418"/>
      <c r="BF1655" s="1119"/>
      <c r="BG1655" s="1119"/>
      <c r="BH1655" s="1119"/>
    </row>
    <row r="1656" spans="1:60" ht="15.75" customHeight="1">
      <c r="A1656" s="1076"/>
      <c r="B1656" s="416"/>
      <c r="C1656" s="424"/>
      <c r="E1656" s="418"/>
      <c r="F1656" s="493"/>
      <c r="G1656" s="418"/>
      <c r="H1656" s="421"/>
      <c r="I1656" s="421"/>
      <c r="J1656" s="492"/>
      <c r="K1656" s="418"/>
      <c r="L1656" s="418"/>
      <c r="M1656" s="418"/>
      <c r="N1656" s="421"/>
      <c r="O1656" s="421"/>
      <c r="P1656" s="421"/>
      <c r="Q1656" s="418"/>
      <c r="R1656" s="418"/>
      <c r="S1656" s="418"/>
      <c r="T1656" s="418"/>
      <c r="U1656" s="418"/>
      <c r="V1656" s="418"/>
      <c r="W1656" s="418"/>
      <c r="X1656" s="418"/>
      <c r="Y1656" s="418"/>
      <c r="Z1656" s="418"/>
      <c r="AA1656" s="418"/>
      <c r="AB1656" s="418"/>
      <c r="AC1656" s="418"/>
      <c r="AD1656" s="418"/>
      <c r="AE1656" s="418"/>
      <c r="AF1656" s="418"/>
      <c r="AG1656" s="418"/>
      <c r="AH1656" s="418"/>
      <c r="AI1656" s="418"/>
      <c r="AJ1656" s="418"/>
      <c r="AK1656" s="418"/>
      <c r="AL1656" s="418"/>
      <c r="AM1656" s="418"/>
      <c r="AN1656" s="418"/>
      <c r="AO1656" s="418"/>
      <c r="AP1656" s="418"/>
      <c r="AQ1656" s="418"/>
      <c r="AR1656" s="418"/>
      <c r="AS1656" s="418"/>
      <c r="AT1656" s="418"/>
      <c r="AU1656" s="418"/>
      <c r="AV1656" s="418"/>
      <c r="AW1656" s="418"/>
      <c r="AX1656" s="418"/>
      <c r="AY1656" s="418"/>
      <c r="BF1656" s="1119"/>
      <c r="BG1656" s="1119"/>
      <c r="BH1656" s="1119"/>
    </row>
    <row r="1657" spans="1:60" ht="15.75" customHeight="1">
      <c r="A1657" s="1076"/>
      <c r="B1657" s="416"/>
      <c r="C1657" s="424"/>
      <c r="E1657" s="418"/>
      <c r="F1657" s="493"/>
      <c r="G1657" s="418"/>
      <c r="H1657" s="421"/>
      <c r="I1657" s="421"/>
      <c r="J1657" s="492"/>
      <c r="K1657" s="418"/>
      <c r="L1657" s="418"/>
      <c r="M1657" s="418"/>
      <c r="N1657" s="421"/>
      <c r="O1657" s="421"/>
      <c r="P1657" s="421"/>
      <c r="Q1657" s="418"/>
      <c r="R1657" s="418"/>
      <c r="S1657" s="418"/>
      <c r="T1657" s="418"/>
      <c r="U1657" s="418"/>
      <c r="V1657" s="418"/>
      <c r="W1657" s="418"/>
      <c r="X1657" s="418"/>
      <c r="Y1657" s="418"/>
      <c r="Z1657" s="418"/>
      <c r="AA1657" s="418"/>
      <c r="AB1657" s="418"/>
      <c r="AC1657" s="418"/>
      <c r="AD1657" s="418"/>
      <c r="AE1657" s="418"/>
      <c r="AF1657" s="418"/>
      <c r="AG1657" s="418"/>
      <c r="AH1657" s="418"/>
      <c r="AI1657" s="418"/>
      <c r="AJ1657" s="418"/>
      <c r="AK1657" s="418"/>
      <c r="AL1657" s="418"/>
      <c r="AM1657" s="418"/>
      <c r="AN1657" s="418"/>
      <c r="AO1657" s="418"/>
      <c r="AP1657" s="418"/>
      <c r="AQ1657" s="418"/>
      <c r="AR1657" s="418"/>
      <c r="AS1657" s="418"/>
      <c r="AT1657" s="418"/>
      <c r="AU1657" s="418"/>
      <c r="AV1657" s="418"/>
      <c r="AW1657" s="418"/>
      <c r="AX1657" s="418"/>
      <c r="AY1657" s="418"/>
      <c r="BF1657" s="1119"/>
      <c r="BG1657" s="1119"/>
      <c r="BH1657" s="1119"/>
    </row>
    <row r="1658" spans="1:60" ht="15.75" customHeight="1">
      <c r="A1658" s="1076"/>
      <c r="B1658" s="416"/>
      <c r="C1658" s="424"/>
      <c r="E1658" s="418"/>
      <c r="F1658" s="493"/>
      <c r="G1658" s="418"/>
      <c r="H1658" s="421"/>
      <c r="I1658" s="421"/>
      <c r="J1658" s="492"/>
      <c r="K1658" s="418"/>
      <c r="L1658" s="418"/>
      <c r="M1658" s="418"/>
      <c r="N1658" s="421"/>
      <c r="O1658" s="421"/>
      <c r="P1658" s="421"/>
      <c r="Q1658" s="418"/>
      <c r="R1658" s="418"/>
      <c r="S1658" s="418"/>
      <c r="T1658" s="418"/>
      <c r="U1658" s="418"/>
      <c r="V1658" s="418"/>
      <c r="W1658" s="418"/>
      <c r="X1658" s="418"/>
      <c r="Y1658" s="418"/>
      <c r="Z1658" s="418"/>
      <c r="AA1658" s="418"/>
      <c r="AB1658" s="418"/>
      <c r="AC1658" s="418"/>
      <c r="AD1658" s="418"/>
      <c r="AE1658" s="418"/>
      <c r="AF1658" s="418"/>
      <c r="AG1658" s="418"/>
      <c r="AH1658" s="418"/>
      <c r="AI1658" s="418"/>
      <c r="AJ1658" s="418"/>
      <c r="AK1658" s="418"/>
      <c r="AL1658" s="418"/>
      <c r="AM1658" s="418"/>
      <c r="AN1658" s="418"/>
      <c r="AO1658" s="418"/>
      <c r="AP1658" s="418"/>
      <c r="AQ1658" s="418"/>
      <c r="AR1658" s="418"/>
      <c r="AS1658" s="418"/>
      <c r="AT1658" s="418"/>
      <c r="AU1658" s="418"/>
      <c r="AV1658" s="418"/>
      <c r="AW1658" s="418"/>
      <c r="AX1658" s="418"/>
      <c r="AY1658" s="418"/>
      <c r="BF1658" s="1119"/>
      <c r="BG1658" s="1119"/>
      <c r="BH1658" s="1119"/>
    </row>
    <row r="1659" spans="1:60" ht="15.75" customHeight="1">
      <c r="A1659" s="1076"/>
      <c r="B1659" s="416"/>
      <c r="C1659" s="424"/>
      <c r="E1659" s="418"/>
      <c r="F1659" s="493"/>
      <c r="G1659" s="418"/>
      <c r="H1659" s="421"/>
      <c r="I1659" s="421"/>
      <c r="J1659" s="492"/>
      <c r="K1659" s="418"/>
      <c r="L1659" s="418"/>
      <c r="M1659" s="418"/>
      <c r="N1659" s="421"/>
      <c r="O1659" s="421"/>
      <c r="P1659" s="421"/>
      <c r="Q1659" s="418"/>
      <c r="R1659" s="418"/>
      <c r="S1659" s="418"/>
      <c r="T1659" s="418"/>
      <c r="U1659" s="418"/>
      <c r="V1659" s="418"/>
      <c r="W1659" s="418"/>
      <c r="X1659" s="418"/>
      <c r="Y1659" s="418"/>
      <c r="Z1659" s="418"/>
      <c r="AA1659" s="418"/>
      <c r="AB1659" s="418"/>
      <c r="AC1659" s="418"/>
      <c r="AD1659" s="418"/>
      <c r="AE1659" s="418"/>
      <c r="AF1659" s="418"/>
      <c r="AG1659" s="418"/>
      <c r="AH1659" s="418"/>
      <c r="AI1659" s="418"/>
      <c r="AJ1659" s="418"/>
      <c r="AK1659" s="418"/>
      <c r="AL1659" s="418"/>
      <c r="AM1659" s="418"/>
      <c r="AN1659" s="418"/>
      <c r="AO1659" s="418"/>
      <c r="AP1659" s="418"/>
      <c r="AQ1659" s="418"/>
      <c r="AR1659" s="418"/>
      <c r="AS1659" s="418"/>
      <c r="AT1659" s="418"/>
      <c r="AU1659" s="418"/>
      <c r="AV1659" s="418"/>
      <c r="AW1659" s="418"/>
      <c r="AX1659" s="418"/>
      <c r="AY1659" s="418"/>
      <c r="BF1659" s="1119"/>
      <c r="BG1659" s="1119"/>
      <c r="BH1659" s="1119"/>
    </row>
    <row r="1660" spans="1:60" ht="15.75" customHeight="1">
      <c r="A1660" s="1076"/>
      <c r="B1660" s="416"/>
      <c r="C1660" s="424"/>
      <c r="E1660" s="418"/>
      <c r="F1660" s="493"/>
      <c r="G1660" s="418"/>
      <c r="H1660" s="421"/>
      <c r="I1660" s="421"/>
      <c r="J1660" s="492"/>
      <c r="K1660" s="418"/>
      <c r="L1660" s="418"/>
      <c r="M1660" s="418"/>
      <c r="N1660" s="421"/>
      <c r="O1660" s="421"/>
      <c r="P1660" s="421"/>
      <c r="Q1660" s="418"/>
      <c r="R1660" s="418"/>
      <c r="S1660" s="418"/>
      <c r="T1660" s="418"/>
      <c r="U1660" s="418"/>
      <c r="V1660" s="418"/>
      <c r="W1660" s="418"/>
      <c r="X1660" s="418"/>
      <c r="Y1660" s="418"/>
      <c r="Z1660" s="418"/>
      <c r="AA1660" s="418"/>
      <c r="AB1660" s="418"/>
      <c r="AC1660" s="418"/>
      <c r="AD1660" s="418"/>
      <c r="AE1660" s="418"/>
      <c r="AF1660" s="418"/>
      <c r="AG1660" s="418"/>
      <c r="AH1660" s="418"/>
      <c r="AI1660" s="418"/>
      <c r="AJ1660" s="418"/>
      <c r="AK1660" s="418"/>
      <c r="AL1660" s="418"/>
      <c r="AM1660" s="418"/>
      <c r="AN1660" s="418"/>
      <c r="AO1660" s="418"/>
      <c r="AP1660" s="418"/>
      <c r="AQ1660" s="418"/>
      <c r="AR1660" s="418"/>
      <c r="AS1660" s="418"/>
      <c r="AT1660" s="418"/>
      <c r="AU1660" s="418"/>
      <c r="AV1660" s="418"/>
      <c r="AW1660" s="418"/>
      <c r="AX1660" s="418"/>
      <c r="AY1660" s="418"/>
      <c r="BF1660" s="1119"/>
      <c r="BG1660" s="1119"/>
      <c r="BH1660" s="1119"/>
    </row>
    <row r="1661" spans="1:60" ht="15.75" customHeight="1">
      <c r="A1661" s="1076"/>
      <c r="B1661" s="416"/>
      <c r="C1661" s="424"/>
      <c r="E1661" s="418"/>
      <c r="F1661" s="493"/>
      <c r="G1661" s="418"/>
      <c r="H1661" s="421"/>
      <c r="I1661" s="421"/>
      <c r="J1661" s="492"/>
      <c r="K1661" s="418"/>
      <c r="L1661" s="418"/>
      <c r="M1661" s="418"/>
      <c r="N1661" s="421"/>
      <c r="O1661" s="421"/>
      <c r="P1661" s="421"/>
      <c r="Q1661" s="418"/>
      <c r="R1661" s="418"/>
      <c r="S1661" s="418"/>
      <c r="T1661" s="418"/>
      <c r="U1661" s="418"/>
      <c r="V1661" s="418"/>
      <c r="W1661" s="418"/>
      <c r="X1661" s="418"/>
      <c r="Y1661" s="418"/>
      <c r="Z1661" s="418"/>
      <c r="AA1661" s="418"/>
      <c r="AB1661" s="418"/>
      <c r="AC1661" s="418"/>
      <c r="AD1661" s="418"/>
      <c r="AE1661" s="418"/>
      <c r="AF1661" s="418"/>
      <c r="AG1661" s="418"/>
      <c r="AH1661" s="418"/>
      <c r="AI1661" s="418"/>
      <c r="AJ1661" s="418"/>
      <c r="AK1661" s="418"/>
      <c r="AL1661" s="418"/>
      <c r="AM1661" s="418"/>
      <c r="AN1661" s="418"/>
      <c r="AO1661" s="418"/>
      <c r="AP1661" s="418"/>
      <c r="AQ1661" s="418"/>
      <c r="AR1661" s="418"/>
      <c r="AS1661" s="418"/>
      <c r="AT1661" s="418"/>
      <c r="AU1661" s="418"/>
      <c r="AV1661" s="418"/>
      <c r="AW1661" s="418"/>
      <c r="AX1661" s="418"/>
      <c r="AY1661" s="418"/>
      <c r="BF1661" s="1119"/>
      <c r="BG1661" s="1119"/>
      <c r="BH1661" s="1119"/>
    </row>
    <row r="1662" spans="1:60" ht="15.75" customHeight="1">
      <c r="A1662" s="1076"/>
      <c r="B1662" s="416"/>
      <c r="C1662" s="424"/>
      <c r="E1662" s="418"/>
      <c r="F1662" s="493"/>
      <c r="G1662" s="418"/>
      <c r="H1662" s="421"/>
      <c r="I1662" s="421"/>
      <c r="J1662" s="492"/>
      <c r="K1662" s="418"/>
      <c r="L1662" s="418"/>
      <c r="M1662" s="418"/>
      <c r="N1662" s="421"/>
      <c r="O1662" s="421"/>
      <c r="P1662" s="421"/>
      <c r="Q1662" s="418"/>
      <c r="R1662" s="418"/>
      <c r="S1662" s="418"/>
      <c r="T1662" s="418"/>
      <c r="U1662" s="418"/>
      <c r="V1662" s="418"/>
      <c r="W1662" s="418"/>
      <c r="X1662" s="418"/>
      <c r="Y1662" s="418"/>
      <c r="Z1662" s="418"/>
      <c r="AA1662" s="418"/>
      <c r="AB1662" s="418"/>
      <c r="AC1662" s="418"/>
      <c r="AD1662" s="418"/>
      <c r="AE1662" s="418"/>
      <c r="AF1662" s="418"/>
      <c r="AG1662" s="418"/>
      <c r="AH1662" s="418"/>
      <c r="AI1662" s="418"/>
      <c r="AJ1662" s="418"/>
      <c r="AK1662" s="418"/>
      <c r="AL1662" s="418"/>
      <c r="AM1662" s="418"/>
      <c r="AN1662" s="418"/>
      <c r="AO1662" s="418"/>
      <c r="AP1662" s="418"/>
      <c r="AQ1662" s="418"/>
      <c r="AR1662" s="418"/>
      <c r="AS1662" s="418"/>
      <c r="AT1662" s="418"/>
      <c r="AU1662" s="418"/>
      <c r="AV1662" s="418"/>
      <c r="AW1662" s="418"/>
      <c r="AX1662" s="418"/>
      <c r="AY1662" s="418"/>
      <c r="BF1662" s="1119"/>
      <c r="BG1662" s="1119"/>
      <c r="BH1662" s="1119"/>
    </row>
    <row r="1663" spans="1:60" ht="15.75" customHeight="1">
      <c r="A1663" s="1076"/>
      <c r="B1663" s="416"/>
      <c r="C1663" s="424"/>
      <c r="E1663" s="418"/>
      <c r="F1663" s="493"/>
      <c r="G1663" s="418"/>
      <c r="H1663" s="421"/>
      <c r="I1663" s="421"/>
      <c r="J1663" s="492"/>
      <c r="K1663" s="418"/>
      <c r="L1663" s="418"/>
      <c r="M1663" s="418"/>
      <c r="N1663" s="421"/>
      <c r="O1663" s="421"/>
      <c r="P1663" s="421"/>
      <c r="Q1663" s="418"/>
      <c r="R1663" s="418"/>
      <c r="S1663" s="418"/>
      <c r="T1663" s="418"/>
      <c r="U1663" s="418"/>
      <c r="V1663" s="418"/>
      <c r="W1663" s="418"/>
      <c r="X1663" s="418"/>
      <c r="Y1663" s="418"/>
      <c r="Z1663" s="418"/>
      <c r="AA1663" s="418"/>
      <c r="AB1663" s="418"/>
      <c r="AC1663" s="418"/>
      <c r="AD1663" s="418"/>
      <c r="AE1663" s="418"/>
      <c r="AF1663" s="418"/>
      <c r="AG1663" s="418"/>
      <c r="AH1663" s="418"/>
      <c r="AI1663" s="418"/>
      <c r="AJ1663" s="418"/>
      <c r="AK1663" s="418"/>
      <c r="AL1663" s="418"/>
      <c r="AM1663" s="418"/>
      <c r="AN1663" s="418"/>
      <c r="AO1663" s="418"/>
      <c r="AP1663" s="418"/>
      <c r="AQ1663" s="418"/>
      <c r="AR1663" s="418"/>
      <c r="AS1663" s="418"/>
      <c r="AT1663" s="418"/>
      <c r="AU1663" s="418"/>
      <c r="AV1663" s="418"/>
      <c r="AW1663" s="418"/>
      <c r="AX1663" s="418"/>
      <c r="AY1663" s="418"/>
      <c r="BF1663" s="1119"/>
      <c r="BG1663" s="1119"/>
      <c r="BH1663" s="1119"/>
    </row>
    <row r="1664" spans="1:60" ht="15.75" customHeight="1">
      <c r="A1664" s="1076"/>
      <c r="B1664" s="416"/>
      <c r="C1664" s="424"/>
      <c r="E1664" s="418"/>
      <c r="F1664" s="493"/>
      <c r="G1664" s="418"/>
      <c r="H1664" s="421"/>
      <c r="I1664" s="421"/>
      <c r="J1664" s="492"/>
      <c r="K1664" s="418"/>
      <c r="L1664" s="418"/>
      <c r="M1664" s="418"/>
      <c r="N1664" s="421"/>
      <c r="O1664" s="421"/>
      <c r="P1664" s="421"/>
      <c r="Q1664" s="418"/>
      <c r="R1664" s="418"/>
      <c r="S1664" s="418"/>
      <c r="T1664" s="418"/>
      <c r="U1664" s="418"/>
      <c r="V1664" s="418"/>
      <c r="W1664" s="418"/>
      <c r="X1664" s="418"/>
      <c r="Y1664" s="418"/>
      <c r="Z1664" s="418"/>
      <c r="AA1664" s="418"/>
      <c r="AB1664" s="418"/>
      <c r="AC1664" s="418"/>
      <c r="AD1664" s="418"/>
      <c r="AE1664" s="418"/>
      <c r="AF1664" s="418"/>
      <c r="AG1664" s="418"/>
      <c r="AH1664" s="418"/>
      <c r="AI1664" s="418"/>
      <c r="AJ1664" s="418"/>
      <c r="AK1664" s="418"/>
      <c r="AL1664" s="418"/>
      <c r="AM1664" s="418"/>
      <c r="AN1664" s="418"/>
      <c r="AO1664" s="418"/>
      <c r="AP1664" s="418"/>
      <c r="AQ1664" s="418"/>
      <c r="AR1664" s="418"/>
      <c r="AS1664" s="418"/>
      <c r="AT1664" s="418"/>
      <c r="AU1664" s="418"/>
      <c r="AV1664" s="418"/>
      <c r="AW1664" s="418"/>
      <c r="AX1664" s="418"/>
      <c r="AY1664" s="418"/>
      <c r="BF1664" s="1119"/>
      <c r="BG1664" s="1119"/>
      <c r="BH1664" s="1119"/>
    </row>
    <row r="1665" spans="1:60" ht="15.75" customHeight="1">
      <c r="A1665" s="1076"/>
      <c r="B1665" s="416"/>
      <c r="C1665" s="424"/>
      <c r="E1665" s="418"/>
      <c r="F1665" s="493"/>
      <c r="G1665" s="418"/>
      <c r="H1665" s="421"/>
      <c r="I1665" s="421"/>
      <c r="J1665" s="492"/>
      <c r="K1665" s="418"/>
      <c r="L1665" s="418"/>
      <c r="M1665" s="418"/>
      <c r="N1665" s="421"/>
      <c r="O1665" s="421"/>
      <c r="P1665" s="421"/>
      <c r="Q1665" s="418"/>
      <c r="R1665" s="418"/>
      <c r="S1665" s="418"/>
      <c r="T1665" s="418"/>
      <c r="U1665" s="418"/>
      <c r="V1665" s="418"/>
      <c r="W1665" s="418"/>
      <c r="X1665" s="418"/>
      <c r="Y1665" s="418"/>
      <c r="Z1665" s="418"/>
      <c r="AA1665" s="418"/>
      <c r="AB1665" s="418"/>
      <c r="AC1665" s="418"/>
      <c r="AD1665" s="418"/>
      <c r="AE1665" s="418"/>
      <c r="AF1665" s="418"/>
      <c r="AG1665" s="418"/>
      <c r="AH1665" s="418"/>
      <c r="AI1665" s="418"/>
      <c r="AJ1665" s="418"/>
      <c r="AK1665" s="418"/>
      <c r="AL1665" s="418"/>
      <c r="AM1665" s="418"/>
      <c r="AN1665" s="418"/>
      <c r="AO1665" s="418"/>
      <c r="AP1665" s="418"/>
      <c r="AQ1665" s="418"/>
      <c r="AR1665" s="418"/>
      <c r="AS1665" s="418"/>
      <c r="AT1665" s="418"/>
      <c r="AU1665" s="418"/>
      <c r="AV1665" s="418"/>
      <c r="AW1665" s="418"/>
      <c r="AX1665" s="418"/>
      <c r="AY1665" s="418"/>
      <c r="BF1665" s="1119"/>
      <c r="BG1665" s="1119"/>
      <c r="BH1665" s="1119"/>
    </row>
    <row r="1666" spans="1:60" ht="15.75" customHeight="1">
      <c r="A1666" s="1076"/>
      <c r="B1666" s="416"/>
      <c r="C1666" s="424"/>
      <c r="E1666" s="418"/>
      <c r="F1666" s="493"/>
      <c r="G1666" s="418"/>
      <c r="H1666" s="421"/>
      <c r="I1666" s="421"/>
      <c r="J1666" s="492"/>
      <c r="K1666" s="418"/>
      <c r="L1666" s="418"/>
      <c r="M1666" s="418"/>
      <c r="N1666" s="421"/>
      <c r="O1666" s="421"/>
      <c r="P1666" s="421"/>
      <c r="Q1666" s="418"/>
      <c r="R1666" s="418"/>
      <c r="S1666" s="418"/>
      <c r="T1666" s="418"/>
      <c r="U1666" s="418"/>
      <c r="V1666" s="418"/>
      <c r="W1666" s="418"/>
      <c r="X1666" s="418"/>
      <c r="Y1666" s="418"/>
      <c r="Z1666" s="418"/>
      <c r="AA1666" s="418"/>
      <c r="AB1666" s="418"/>
      <c r="AC1666" s="418"/>
      <c r="AD1666" s="418"/>
      <c r="AE1666" s="418"/>
      <c r="AF1666" s="418"/>
      <c r="AG1666" s="418"/>
      <c r="AH1666" s="418"/>
      <c r="AI1666" s="418"/>
      <c r="AJ1666" s="418"/>
      <c r="AK1666" s="418"/>
      <c r="AL1666" s="418"/>
      <c r="AM1666" s="418"/>
      <c r="AN1666" s="418"/>
      <c r="AO1666" s="418"/>
      <c r="AP1666" s="418"/>
      <c r="AQ1666" s="418"/>
      <c r="AR1666" s="418"/>
      <c r="AS1666" s="418"/>
      <c r="AT1666" s="418"/>
      <c r="AU1666" s="418"/>
      <c r="AV1666" s="418"/>
      <c r="AW1666" s="418"/>
      <c r="AX1666" s="418"/>
      <c r="AY1666" s="418"/>
      <c r="BF1666" s="1119"/>
      <c r="BG1666" s="1119"/>
      <c r="BH1666" s="1119"/>
    </row>
    <row r="1667" spans="1:60" ht="15.75" customHeight="1">
      <c r="A1667" s="1076"/>
      <c r="B1667" s="416"/>
      <c r="C1667" s="424"/>
      <c r="E1667" s="418"/>
      <c r="F1667" s="493"/>
      <c r="G1667" s="418"/>
      <c r="H1667" s="421"/>
      <c r="I1667" s="421"/>
      <c r="J1667" s="492"/>
      <c r="K1667" s="418"/>
      <c r="L1667" s="418"/>
      <c r="M1667" s="418"/>
      <c r="N1667" s="421"/>
      <c r="O1667" s="421"/>
      <c r="P1667" s="421"/>
      <c r="Q1667" s="418"/>
      <c r="R1667" s="418"/>
      <c r="S1667" s="418"/>
      <c r="T1667" s="418"/>
      <c r="U1667" s="418"/>
      <c r="V1667" s="418"/>
      <c r="W1667" s="418"/>
      <c r="X1667" s="418"/>
      <c r="Y1667" s="418"/>
      <c r="Z1667" s="418"/>
      <c r="AA1667" s="418"/>
      <c r="AB1667" s="418"/>
      <c r="AC1667" s="418"/>
      <c r="AD1667" s="418"/>
      <c r="AE1667" s="418"/>
      <c r="AF1667" s="418"/>
      <c r="AG1667" s="418"/>
      <c r="AH1667" s="418"/>
      <c r="AI1667" s="418"/>
      <c r="AJ1667" s="418"/>
      <c r="AK1667" s="418"/>
      <c r="AL1667" s="418"/>
      <c r="AM1667" s="418"/>
      <c r="AN1667" s="418"/>
      <c r="AO1667" s="418"/>
      <c r="AP1667" s="418"/>
      <c r="AQ1667" s="418"/>
      <c r="AR1667" s="418"/>
      <c r="AS1667" s="418"/>
      <c r="AT1667" s="418"/>
      <c r="AU1667" s="418"/>
      <c r="AV1667" s="418"/>
      <c r="AW1667" s="418"/>
      <c r="AX1667" s="418"/>
      <c r="AY1667" s="418"/>
      <c r="BF1667" s="1119"/>
      <c r="BG1667" s="1119"/>
      <c r="BH1667" s="1119"/>
    </row>
    <row r="1668" spans="1:60" ht="15.75" customHeight="1">
      <c r="A1668" s="1076"/>
      <c r="B1668" s="416"/>
      <c r="C1668" s="424"/>
      <c r="E1668" s="418"/>
      <c r="F1668" s="493"/>
      <c r="G1668" s="418"/>
      <c r="H1668" s="421"/>
      <c r="I1668" s="421"/>
      <c r="J1668" s="492"/>
      <c r="K1668" s="418"/>
      <c r="L1668" s="418"/>
      <c r="M1668" s="418"/>
      <c r="N1668" s="421"/>
      <c r="O1668" s="421"/>
      <c r="P1668" s="421"/>
      <c r="Q1668" s="418"/>
      <c r="R1668" s="418"/>
      <c r="S1668" s="418"/>
      <c r="T1668" s="418"/>
      <c r="U1668" s="418"/>
      <c r="V1668" s="418"/>
      <c r="W1668" s="418"/>
      <c r="X1668" s="418"/>
      <c r="Y1668" s="418"/>
      <c r="Z1668" s="418"/>
      <c r="AA1668" s="418"/>
      <c r="AB1668" s="418"/>
      <c r="AC1668" s="418"/>
      <c r="AD1668" s="418"/>
      <c r="AE1668" s="418"/>
      <c r="AF1668" s="418"/>
      <c r="AG1668" s="418"/>
      <c r="AH1668" s="418"/>
      <c r="AI1668" s="418"/>
      <c r="AJ1668" s="418"/>
      <c r="AK1668" s="418"/>
      <c r="AL1668" s="418"/>
      <c r="AM1668" s="418"/>
      <c r="AN1668" s="418"/>
      <c r="AO1668" s="418"/>
      <c r="AP1668" s="418"/>
      <c r="AQ1668" s="418"/>
      <c r="AR1668" s="418"/>
      <c r="AS1668" s="418"/>
      <c r="AT1668" s="418"/>
      <c r="AU1668" s="418"/>
      <c r="AV1668" s="418"/>
      <c r="AW1668" s="418"/>
      <c r="AX1668" s="418"/>
      <c r="AY1668" s="418"/>
      <c r="BF1668" s="1119"/>
      <c r="BG1668" s="1119"/>
      <c r="BH1668" s="1119"/>
    </row>
    <row r="1669" spans="1:60" ht="15.75" customHeight="1">
      <c r="A1669" s="1076"/>
      <c r="B1669" s="416"/>
      <c r="C1669" s="424"/>
      <c r="E1669" s="418"/>
      <c r="F1669" s="493"/>
      <c r="G1669" s="418"/>
      <c r="H1669" s="421"/>
      <c r="I1669" s="421"/>
      <c r="J1669" s="492"/>
      <c r="K1669" s="418"/>
      <c r="L1669" s="418"/>
      <c r="M1669" s="418"/>
      <c r="N1669" s="421"/>
      <c r="O1669" s="421"/>
      <c r="P1669" s="421"/>
      <c r="Q1669" s="418"/>
      <c r="R1669" s="418"/>
      <c r="S1669" s="418"/>
      <c r="T1669" s="418"/>
      <c r="U1669" s="418"/>
      <c r="V1669" s="418"/>
      <c r="W1669" s="418"/>
      <c r="X1669" s="418"/>
      <c r="Y1669" s="418"/>
      <c r="Z1669" s="418"/>
      <c r="AA1669" s="418"/>
      <c r="AB1669" s="418"/>
      <c r="AC1669" s="418"/>
      <c r="AD1669" s="418"/>
      <c r="AE1669" s="418"/>
      <c r="AF1669" s="418"/>
      <c r="AG1669" s="418"/>
      <c r="AH1669" s="418"/>
      <c r="AI1669" s="418"/>
      <c r="AJ1669" s="418"/>
      <c r="AK1669" s="418"/>
      <c r="AL1669" s="418"/>
      <c r="AM1669" s="418"/>
      <c r="AN1669" s="418"/>
      <c r="AO1669" s="418"/>
      <c r="AP1669" s="418"/>
      <c r="AQ1669" s="418"/>
      <c r="AR1669" s="418"/>
      <c r="AS1669" s="418"/>
      <c r="AT1669" s="418"/>
      <c r="AU1669" s="418"/>
      <c r="AV1669" s="418"/>
      <c r="AW1669" s="418"/>
      <c r="AX1669" s="418"/>
      <c r="AY1669" s="418"/>
      <c r="BF1669" s="1119"/>
      <c r="BG1669" s="1119"/>
      <c r="BH1669" s="1119"/>
    </row>
    <row r="1670" spans="1:60" ht="15.75" customHeight="1">
      <c r="A1670" s="1076"/>
      <c r="B1670" s="416"/>
      <c r="C1670" s="424"/>
      <c r="E1670" s="418"/>
      <c r="F1670" s="493"/>
      <c r="G1670" s="418"/>
      <c r="H1670" s="421"/>
      <c r="I1670" s="421"/>
      <c r="J1670" s="492"/>
      <c r="K1670" s="418"/>
      <c r="L1670" s="418"/>
      <c r="M1670" s="418"/>
      <c r="N1670" s="421"/>
      <c r="O1670" s="421"/>
      <c r="P1670" s="421"/>
      <c r="Q1670" s="418"/>
      <c r="R1670" s="418"/>
      <c r="S1670" s="418"/>
      <c r="T1670" s="418"/>
      <c r="U1670" s="418"/>
      <c r="V1670" s="418"/>
      <c r="W1670" s="418"/>
      <c r="X1670" s="418"/>
      <c r="Y1670" s="418"/>
      <c r="Z1670" s="418"/>
      <c r="AA1670" s="418"/>
      <c r="AB1670" s="418"/>
      <c r="AC1670" s="418"/>
      <c r="AD1670" s="418"/>
      <c r="AE1670" s="418"/>
      <c r="AF1670" s="418"/>
      <c r="AG1670" s="418"/>
      <c r="AH1670" s="418"/>
      <c r="AI1670" s="418"/>
      <c r="AJ1670" s="418"/>
      <c r="AK1670" s="418"/>
      <c r="AL1670" s="418"/>
      <c r="AM1670" s="418"/>
      <c r="AN1670" s="418"/>
      <c r="AO1670" s="418"/>
      <c r="AP1670" s="418"/>
      <c r="AQ1670" s="418"/>
      <c r="AR1670" s="418"/>
      <c r="AS1670" s="418"/>
      <c r="AT1670" s="418"/>
      <c r="AU1670" s="418"/>
      <c r="AV1670" s="418"/>
      <c r="AW1670" s="418"/>
      <c r="AX1670" s="418"/>
      <c r="AY1670" s="418"/>
      <c r="BF1670" s="1119"/>
      <c r="BG1670" s="1119"/>
      <c r="BH1670" s="1119"/>
    </row>
    <row r="1671" spans="1:60" ht="15.75" customHeight="1">
      <c r="A1671" s="1076"/>
      <c r="B1671" s="416"/>
      <c r="C1671" s="424"/>
      <c r="E1671" s="418"/>
      <c r="F1671" s="493"/>
      <c r="G1671" s="418"/>
      <c r="H1671" s="421"/>
      <c r="I1671" s="421"/>
      <c r="J1671" s="492"/>
      <c r="K1671" s="418"/>
      <c r="L1671" s="418"/>
      <c r="M1671" s="418"/>
      <c r="N1671" s="421"/>
      <c r="O1671" s="421"/>
      <c r="P1671" s="421"/>
      <c r="Q1671" s="418"/>
      <c r="R1671" s="418"/>
      <c r="S1671" s="418"/>
      <c r="T1671" s="418"/>
      <c r="U1671" s="418"/>
      <c r="V1671" s="418"/>
      <c r="W1671" s="418"/>
      <c r="X1671" s="418"/>
      <c r="Y1671" s="418"/>
      <c r="Z1671" s="418"/>
      <c r="AA1671" s="418"/>
      <c r="AB1671" s="418"/>
      <c r="AC1671" s="418"/>
      <c r="AD1671" s="418"/>
      <c r="AE1671" s="418"/>
      <c r="AF1671" s="418"/>
      <c r="AG1671" s="418"/>
      <c r="AH1671" s="418"/>
      <c r="AI1671" s="418"/>
      <c r="AJ1671" s="418"/>
      <c r="AK1671" s="418"/>
      <c r="AL1671" s="418"/>
      <c r="AM1671" s="418"/>
      <c r="AN1671" s="418"/>
      <c r="AO1671" s="418"/>
      <c r="AP1671" s="418"/>
      <c r="AQ1671" s="418"/>
      <c r="AR1671" s="418"/>
      <c r="AS1671" s="418"/>
      <c r="AT1671" s="418"/>
      <c r="AU1671" s="418"/>
      <c r="AV1671" s="418"/>
      <c r="AW1671" s="418"/>
      <c r="AX1671" s="418"/>
      <c r="AY1671" s="418"/>
      <c r="BF1671" s="1119"/>
      <c r="BG1671" s="1119"/>
      <c r="BH1671" s="1119"/>
    </row>
    <row r="1672" spans="1:60" ht="15.75" customHeight="1">
      <c r="A1672" s="1076"/>
      <c r="B1672" s="416"/>
      <c r="C1672" s="424"/>
      <c r="E1672" s="418"/>
      <c r="F1672" s="493"/>
      <c r="G1672" s="418"/>
      <c r="H1672" s="421"/>
      <c r="I1672" s="421"/>
      <c r="J1672" s="492"/>
      <c r="K1672" s="418"/>
      <c r="L1672" s="418"/>
      <c r="M1672" s="418"/>
      <c r="N1672" s="421"/>
      <c r="O1672" s="421"/>
      <c r="P1672" s="421"/>
      <c r="Q1672" s="418"/>
      <c r="R1672" s="418"/>
      <c r="S1672" s="418"/>
      <c r="T1672" s="418"/>
      <c r="U1672" s="418"/>
      <c r="V1672" s="418"/>
      <c r="W1672" s="418"/>
      <c r="X1672" s="418"/>
      <c r="Y1672" s="418"/>
      <c r="Z1672" s="418"/>
      <c r="AA1672" s="418"/>
      <c r="AB1672" s="418"/>
      <c r="AC1672" s="418"/>
      <c r="AD1672" s="418"/>
      <c r="AE1672" s="418"/>
      <c r="AF1672" s="418"/>
      <c r="AG1672" s="418"/>
      <c r="AH1672" s="418"/>
      <c r="AI1672" s="418"/>
      <c r="AJ1672" s="418"/>
      <c r="AK1672" s="418"/>
      <c r="AL1672" s="418"/>
      <c r="AM1672" s="418"/>
      <c r="AN1672" s="418"/>
      <c r="AO1672" s="418"/>
      <c r="AP1672" s="418"/>
      <c r="AQ1672" s="418"/>
      <c r="AR1672" s="418"/>
      <c r="AS1672" s="418"/>
      <c r="AT1672" s="418"/>
      <c r="AU1672" s="418"/>
      <c r="AV1672" s="418"/>
      <c r="AW1672" s="418"/>
      <c r="AX1672" s="418"/>
      <c r="AY1672" s="418"/>
      <c r="BF1672" s="1119"/>
      <c r="BG1672" s="1119"/>
      <c r="BH1672" s="1119"/>
    </row>
    <row r="1673" spans="1:60" ht="15.75" customHeight="1">
      <c r="A1673" s="1076"/>
      <c r="B1673" s="416"/>
      <c r="C1673" s="424"/>
      <c r="E1673" s="418"/>
      <c r="F1673" s="493"/>
      <c r="G1673" s="418"/>
      <c r="H1673" s="421"/>
      <c r="I1673" s="421"/>
      <c r="J1673" s="492"/>
      <c r="K1673" s="418"/>
      <c r="L1673" s="418"/>
      <c r="M1673" s="418"/>
      <c r="N1673" s="421"/>
      <c r="O1673" s="421"/>
      <c r="P1673" s="421"/>
      <c r="Q1673" s="418"/>
      <c r="R1673" s="418"/>
      <c r="S1673" s="418"/>
      <c r="T1673" s="418"/>
      <c r="U1673" s="418"/>
      <c r="V1673" s="418"/>
      <c r="W1673" s="418"/>
      <c r="X1673" s="418"/>
      <c r="Y1673" s="418"/>
      <c r="Z1673" s="418"/>
      <c r="AA1673" s="418"/>
      <c r="AB1673" s="418"/>
      <c r="AC1673" s="418"/>
      <c r="AD1673" s="418"/>
      <c r="AE1673" s="418"/>
      <c r="AF1673" s="418"/>
      <c r="AG1673" s="418"/>
      <c r="AH1673" s="418"/>
      <c r="AI1673" s="418"/>
      <c r="AJ1673" s="418"/>
      <c r="AK1673" s="418"/>
      <c r="AL1673" s="418"/>
      <c r="AM1673" s="418"/>
      <c r="AN1673" s="418"/>
      <c r="AO1673" s="418"/>
      <c r="AP1673" s="418"/>
      <c r="AQ1673" s="418"/>
      <c r="AR1673" s="418"/>
      <c r="AS1673" s="418"/>
      <c r="AT1673" s="418"/>
      <c r="AU1673" s="418"/>
      <c r="AV1673" s="418"/>
      <c r="AW1673" s="418"/>
      <c r="AX1673" s="418"/>
      <c r="AY1673" s="418"/>
      <c r="BF1673" s="1119"/>
      <c r="BG1673" s="1119"/>
      <c r="BH1673" s="1119"/>
    </row>
    <row r="1674" spans="1:60" ht="15.75" customHeight="1">
      <c r="A1674" s="1076"/>
      <c r="B1674" s="416"/>
      <c r="C1674" s="424"/>
      <c r="E1674" s="418"/>
      <c r="F1674" s="493"/>
      <c r="G1674" s="418"/>
      <c r="H1674" s="421"/>
      <c r="I1674" s="421"/>
      <c r="J1674" s="492"/>
      <c r="K1674" s="418"/>
      <c r="L1674" s="418"/>
      <c r="M1674" s="418"/>
      <c r="N1674" s="421"/>
      <c r="O1674" s="421"/>
      <c r="P1674" s="421"/>
      <c r="Q1674" s="418"/>
      <c r="R1674" s="418"/>
      <c r="S1674" s="418"/>
      <c r="T1674" s="418"/>
      <c r="U1674" s="418"/>
      <c r="V1674" s="418"/>
      <c r="W1674" s="418"/>
      <c r="X1674" s="418"/>
      <c r="Y1674" s="418"/>
      <c r="Z1674" s="418"/>
      <c r="AA1674" s="418"/>
      <c r="AB1674" s="418"/>
      <c r="AC1674" s="418"/>
      <c r="AD1674" s="418"/>
      <c r="AE1674" s="418"/>
      <c r="AF1674" s="418"/>
      <c r="AG1674" s="418"/>
      <c r="AH1674" s="418"/>
      <c r="AI1674" s="418"/>
      <c r="AJ1674" s="418"/>
      <c r="AK1674" s="418"/>
      <c r="AL1674" s="418"/>
      <c r="AM1674" s="418"/>
      <c r="AN1674" s="418"/>
      <c r="AO1674" s="418"/>
      <c r="AP1674" s="418"/>
      <c r="AQ1674" s="418"/>
      <c r="AR1674" s="418"/>
      <c r="AS1674" s="418"/>
      <c r="AT1674" s="418"/>
      <c r="AU1674" s="418"/>
      <c r="AV1674" s="418"/>
      <c r="AW1674" s="418"/>
      <c r="AX1674" s="418"/>
      <c r="AY1674" s="418"/>
      <c r="BF1674" s="1119"/>
      <c r="BG1674" s="1119"/>
      <c r="BH1674" s="1119"/>
    </row>
    <row r="1675" spans="1:60" ht="15.75" customHeight="1">
      <c r="A1675" s="1076"/>
      <c r="B1675" s="416"/>
      <c r="C1675" s="424"/>
      <c r="E1675" s="418"/>
      <c r="F1675" s="493"/>
      <c r="G1675" s="418"/>
      <c r="H1675" s="421"/>
      <c r="I1675" s="421"/>
      <c r="J1675" s="492"/>
      <c r="K1675" s="418"/>
      <c r="L1675" s="418"/>
      <c r="M1675" s="418"/>
      <c r="N1675" s="421"/>
      <c r="O1675" s="421"/>
      <c r="P1675" s="421"/>
      <c r="Q1675" s="418"/>
      <c r="R1675" s="418"/>
      <c r="S1675" s="418"/>
      <c r="T1675" s="418"/>
      <c r="U1675" s="418"/>
      <c r="V1675" s="418"/>
      <c r="W1675" s="418"/>
      <c r="X1675" s="418"/>
      <c r="Y1675" s="418"/>
      <c r="Z1675" s="418"/>
      <c r="AA1675" s="418"/>
      <c r="AB1675" s="418"/>
      <c r="AC1675" s="418"/>
      <c r="AD1675" s="418"/>
      <c r="AE1675" s="418"/>
      <c r="AF1675" s="418"/>
      <c r="AG1675" s="418"/>
      <c r="AH1675" s="418"/>
      <c r="AI1675" s="418"/>
      <c r="AJ1675" s="418"/>
      <c r="AK1675" s="418"/>
      <c r="AL1675" s="418"/>
      <c r="AM1675" s="418"/>
      <c r="AN1675" s="418"/>
      <c r="AO1675" s="418"/>
      <c r="AP1675" s="418"/>
      <c r="AQ1675" s="418"/>
      <c r="AR1675" s="418"/>
      <c r="AS1675" s="418"/>
      <c r="AT1675" s="418"/>
      <c r="AU1675" s="418"/>
      <c r="AV1675" s="418"/>
      <c r="AW1675" s="418"/>
      <c r="AX1675" s="418"/>
      <c r="AY1675" s="418"/>
      <c r="BF1675" s="1119"/>
      <c r="BG1675" s="1119"/>
      <c r="BH1675" s="1119"/>
    </row>
    <row r="1676" spans="1:60" ht="15.75" customHeight="1">
      <c r="A1676" s="1076"/>
      <c r="B1676" s="416"/>
      <c r="C1676" s="424"/>
      <c r="E1676" s="418"/>
      <c r="F1676" s="493"/>
      <c r="G1676" s="418"/>
      <c r="H1676" s="421"/>
      <c r="I1676" s="421"/>
      <c r="J1676" s="492"/>
      <c r="K1676" s="418"/>
      <c r="L1676" s="418"/>
      <c r="M1676" s="418"/>
      <c r="N1676" s="421"/>
      <c r="O1676" s="421"/>
      <c r="P1676" s="421"/>
      <c r="Q1676" s="418"/>
      <c r="R1676" s="418"/>
      <c r="S1676" s="418"/>
      <c r="T1676" s="418"/>
      <c r="U1676" s="418"/>
      <c r="V1676" s="418"/>
      <c r="W1676" s="418"/>
      <c r="X1676" s="418"/>
      <c r="Y1676" s="418"/>
      <c r="Z1676" s="418"/>
      <c r="AA1676" s="418"/>
      <c r="AB1676" s="418"/>
      <c r="AC1676" s="418"/>
      <c r="AD1676" s="418"/>
      <c r="AE1676" s="418"/>
      <c r="AF1676" s="418"/>
      <c r="AG1676" s="418"/>
      <c r="AH1676" s="418"/>
      <c r="AI1676" s="418"/>
      <c r="AJ1676" s="418"/>
      <c r="AK1676" s="418"/>
      <c r="AL1676" s="418"/>
      <c r="AM1676" s="418"/>
      <c r="AN1676" s="418"/>
      <c r="AO1676" s="418"/>
      <c r="AP1676" s="418"/>
      <c r="AQ1676" s="418"/>
      <c r="AR1676" s="418"/>
      <c r="AS1676" s="418"/>
      <c r="AT1676" s="418"/>
      <c r="AU1676" s="418"/>
      <c r="AV1676" s="418"/>
      <c r="AW1676" s="418"/>
      <c r="AX1676" s="418"/>
      <c r="AY1676" s="418"/>
      <c r="BF1676" s="1119"/>
      <c r="BG1676" s="1119"/>
      <c r="BH1676" s="1119"/>
    </row>
    <row r="1677" spans="1:60" ht="15.75" customHeight="1">
      <c r="A1677" s="1076"/>
      <c r="B1677" s="416"/>
      <c r="C1677" s="424"/>
      <c r="E1677" s="418"/>
      <c r="F1677" s="493"/>
      <c r="G1677" s="418"/>
      <c r="H1677" s="421"/>
      <c r="I1677" s="421"/>
      <c r="J1677" s="492"/>
      <c r="K1677" s="418"/>
      <c r="L1677" s="418"/>
      <c r="M1677" s="418"/>
      <c r="N1677" s="421"/>
      <c r="O1677" s="421"/>
      <c r="P1677" s="421"/>
      <c r="Q1677" s="418"/>
      <c r="R1677" s="418"/>
      <c r="S1677" s="418"/>
      <c r="T1677" s="418"/>
      <c r="U1677" s="418"/>
      <c r="V1677" s="418"/>
      <c r="W1677" s="418"/>
      <c r="X1677" s="418"/>
      <c r="Y1677" s="418"/>
      <c r="Z1677" s="418"/>
      <c r="AA1677" s="418"/>
      <c r="AB1677" s="418"/>
      <c r="AC1677" s="418"/>
      <c r="AD1677" s="418"/>
      <c r="AE1677" s="418"/>
      <c r="AF1677" s="418"/>
      <c r="AG1677" s="418"/>
      <c r="AH1677" s="418"/>
      <c r="AI1677" s="418"/>
      <c r="AJ1677" s="418"/>
      <c r="AK1677" s="418"/>
      <c r="AL1677" s="418"/>
      <c r="AM1677" s="418"/>
      <c r="AN1677" s="418"/>
      <c r="AO1677" s="418"/>
      <c r="AP1677" s="418"/>
      <c r="AQ1677" s="418"/>
      <c r="AR1677" s="418"/>
      <c r="AS1677" s="418"/>
      <c r="AT1677" s="418"/>
      <c r="AU1677" s="418"/>
      <c r="AV1677" s="418"/>
      <c r="AW1677" s="418"/>
      <c r="AX1677" s="418"/>
      <c r="AY1677" s="418"/>
      <c r="BF1677" s="1119"/>
      <c r="BG1677" s="1119"/>
      <c r="BH1677" s="1119"/>
    </row>
    <row r="1678" spans="1:60" ht="15.75" customHeight="1">
      <c r="A1678" s="1076"/>
      <c r="B1678" s="416"/>
      <c r="C1678" s="424"/>
      <c r="E1678" s="418"/>
      <c r="F1678" s="493"/>
      <c r="G1678" s="418"/>
      <c r="H1678" s="421"/>
      <c r="I1678" s="421"/>
      <c r="J1678" s="492"/>
      <c r="K1678" s="418"/>
      <c r="L1678" s="418"/>
      <c r="M1678" s="418"/>
      <c r="N1678" s="421"/>
      <c r="O1678" s="421"/>
      <c r="P1678" s="421"/>
      <c r="Q1678" s="418"/>
      <c r="R1678" s="418"/>
      <c r="S1678" s="418"/>
      <c r="T1678" s="418"/>
      <c r="U1678" s="418"/>
      <c r="V1678" s="418"/>
      <c r="W1678" s="418"/>
      <c r="X1678" s="418"/>
      <c r="Y1678" s="418"/>
      <c r="Z1678" s="418"/>
      <c r="AA1678" s="418"/>
      <c r="AB1678" s="418"/>
      <c r="AC1678" s="418"/>
      <c r="AD1678" s="418"/>
      <c r="AE1678" s="418"/>
      <c r="AF1678" s="418"/>
      <c r="AG1678" s="418"/>
      <c r="AH1678" s="418"/>
      <c r="AI1678" s="418"/>
      <c r="AJ1678" s="418"/>
      <c r="AK1678" s="418"/>
      <c r="AL1678" s="418"/>
      <c r="AM1678" s="418"/>
      <c r="AN1678" s="418"/>
      <c r="AO1678" s="418"/>
      <c r="AP1678" s="418"/>
      <c r="AQ1678" s="418"/>
      <c r="AR1678" s="418"/>
      <c r="AS1678" s="418"/>
      <c r="AT1678" s="418"/>
      <c r="AU1678" s="418"/>
      <c r="AV1678" s="418"/>
      <c r="AW1678" s="418"/>
      <c r="AX1678" s="418"/>
      <c r="AY1678" s="418"/>
      <c r="BF1678" s="1119"/>
      <c r="BG1678" s="1119"/>
      <c r="BH1678" s="1119"/>
    </row>
    <row r="1679" spans="1:60" ht="15.75" customHeight="1">
      <c r="A1679" s="1076"/>
      <c r="B1679" s="416"/>
      <c r="C1679" s="424"/>
      <c r="E1679" s="418"/>
      <c r="F1679" s="493"/>
      <c r="G1679" s="418"/>
      <c r="H1679" s="421"/>
      <c r="I1679" s="421"/>
      <c r="J1679" s="492"/>
      <c r="K1679" s="418"/>
      <c r="L1679" s="418"/>
      <c r="M1679" s="418"/>
      <c r="N1679" s="421"/>
      <c r="O1679" s="421"/>
      <c r="P1679" s="421"/>
      <c r="Q1679" s="418"/>
      <c r="R1679" s="418"/>
      <c r="S1679" s="418"/>
      <c r="T1679" s="418"/>
      <c r="U1679" s="418"/>
      <c r="V1679" s="418"/>
      <c r="W1679" s="418"/>
      <c r="X1679" s="418"/>
      <c r="Y1679" s="418"/>
      <c r="Z1679" s="418"/>
      <c r="AA1679" s="418"/>
      <c r="AB1679" s="418"/>
      <c r="AC1679" s="418"/>
      <c r="AD1679" s="418"/>
      <c r="AE1679" s="418"/>
      <c r="AF1679" s="418"/>
      <c r="AG1679" s="418"/>
      <c r="AH1679" s="418"/>
      <c r="AI1679" s="418"/>
      <c r="AJ1679" s="418"/>
      <c r="AK1679" s="418"/>
      <c r="AL1679" s="418"/>
      <c r="AM1679" s="418"/>
      <c r="AN1679" s="418"/>
      <c r="AO1679" s="418"/>
      <c r="AP1679" s="418"/>
      <c r="AQ1679" s="418"/>
      <c r="AR1679" s="418"/>
      <c r="AS1679" s="418"/>
      <c r="AT1679" s="418"/>
      <c r="AU1679" s="418"/>
      <c r="AV1679" s="418"/>
      <c r="AW1679" s="418"/>
      <c r="AX1679" s="418"/>
      <c r="AY1679" s="418"/>
      <c r="BF1679" s="1119"/>
      <c r="BG1679" s="1119"/>
      <c r="BH1679" s="1119"/>
    </row>
    <row r="1680" spans="1:60" ht="15.75" customHeight="1">
      <c r="A1680" s="1076"/>
      <c r="B1680" s="416"/>
      <c r="C1680" s="424"/>
      <c r="E1680" s="418"/>
      <c r="F1680" s="493"/>
      <c r="G1680" s="418"/>
      <c r="H1680" s="421"/>
      <c r="I1680" s="421"/>
      <c r="J1680" s="492"/>
      <c r="K1680" s="418"/>
      <c r="L1680" s="418"/>
      <c r="M1680" s="418"/>
      <c r="N1680" s="421"/>
      <c r="O1680" s="421"/>
      <c r="P1680" s="421"/>
      <c r="Q1680" s="418"/>
      <c r="R1680" s="418"/>
      <c r="S1680" s="418"/>
      <c r="T1680" s="418"/>
      <c r="U1680" s="418"/>
      <c r="V1680" s="418"/>
      <c r="W1680" s="418"/>
      <c r="X1680" s="418"/>
      <c r="Y1680" s="418"/>
      <c r="Z1680" s="418"/>
      <c r="AA1680" s="418"/>
      <c r="AB1680" s="418"/>
      <c r="AC1680" s="418"/>
      <c r="AD1680" s="418"/>
      <c r="AE1680" s="418"/>
      <c r="AF1680" s="418"/>
      <c r="AG1680" s="418"/>
      <c r="AH1680" s="418"/>
      <c r="AI1680" s="418"/>
      <c r="AJ1680" s="418"/>
      <c r="AK1680" s="418"/>
      <c r="AL1680" s="418"/>
      <c r="AM1680" s="418"/>
      <c r="AN1680" s="418"/>
      <c r="AO1680" s="418"/>
      <c r="AP1680" s="418"/>
      <c r="AQ1680" s="418"/>
      <c r="AR1680" s="418"/>
      <c r="AS1680" s="418"/>
      <c r="AT1680" s="418"/>
      <c r="AU1680" s="418"/>
      <c r="AV1680" s="418"/>
      <c r="AW1680" s="418"/>
      <c r="AX1680" s="418"/>
      <c r="AY1680" s="418"/>
      <c r="BF1680" s="1119"/>
      <c r="BG1680" s="1119"/>
      <c r="BH1680" s="1119"/>
    </row>
    <row r="1681" spans="1:60" ht="15.75" customHeight="1">
      <c r="A1681" s="1076"/>
      <c r="B1681" s="416"/>
      <c r="C1681" s="424"/>
      <c r="E1681" s="418"/>
      <c r="F1681" s="493"/>
      <c r="G1681" s="418"/>
      <c r="H1681" s="421"/>
      <c r="I1681" s="421"/>
      <c r="J1681" s="492"/>
      <c r="K1681" s="418"/>
      <c r="L1681" s="418"/>
      <c r="M1681" s="418"/>
      <c r="N1681" s="421"/>
      <c r="O1681" s="421"/>
      <c r="P1681" s="421"/>
      <c r="Q1681" s="418"/>
      <c r="R1681" s="418"/>
      <c r="S1681" s="418"/>
      <c r="T1681" s="418"/>
      <c r="U1681" s="418"/>
      <c r="V1681" s="418"/>
      <c r="W1681" s="418"/>
      <c r="X1681" s="418"/>
      <c r="Y1681" s="418"/>
      <c r="Z1681" s="418"/>
      <c r="AA1681" s="418"/>
      <c r="AB1681" s="418"/>
      <c r="AC1681" s="418"/>
      <c r="AD1681" s="418"/>
      <c r="AE1681" s="418"/>
      <c r="AF1681" s="418"/>
      <c r="AG1681" s="418"/>
      <c r="AH1681" s="418"/>
      <c r="AI1681" s="418"/>
      <c r="AJ1681" s="418"/>
      <c r="AK1681" s="418"/>
      <c r="AL1681" s="418"/>
      <c r="AM1681" s="418"/>
      <c r="AN1681" s="418"/>
      <c r="AO1681" s="418"/>
      <c r="AP1681" s="418"/>
      <c r="AQ1681" s="418"/>
      <c r="AR1681" s="418"/>
      <c r="AS1681" s="418"/>
      <c r="AT1681" s="418"/>
      <c r="AU1681" s="418"/>
      <c r="AV1681" s="418"/>
      <c r="AW1681" s="418"/>
      <c r="AX1681" s="418"/>
      <c r="AY1681" s="418"/>
      <c r="BF1681" s="1119"/>
      <c r="BG1681" s="1119"/>
      <c r="BH1681" s="1119"/>
    </row>
    <row r="1682" spans="1:60" ht="15.75" customHeight="1">
      <c r="A1682" s="1076"/>
      <c r="B1682" s="416"/>
      <c r="C1682" s="424"/>
      <c r="E1682" s="418"/>
      <c r="F1682" s="493"/>
      <c r="G1682" s="418"/>
      <c r="H1682" s="421"/>
      <c r="I1682" s="421"/>
      <c r="J1682" s="492"/>
      <c r="K1682" s="418"/>
      <c r="L1682" s="418"/>
      <c r="M1682" s="418"/>
      <c r="N1682" s="421"/>
      <c r="O1682" s="421"/>
      <c r="P1682" s="421"/>
      <c r="Q1682" s="418"/>
      <c r="R1682" s="418"/>
      <c r="S1682" s="418"/>
      <c r="T1682" s="418"/>
      <c r="U1682" s="418"/>
      <c r="V1682" s="418"/>
      <c r="W1682" s="418"/>
      <c r="X1682" s="418"/>
      <c r="Y1682" s="418"/>
      <c r="Z1682" s="418"/>
      <c r="AA1682" s="418"/>
      <c r="AB1682" s="418"/>
      <c r="AC1682" s="418"/>
      <c r="AD1682" s="418"/>
      <c r="AE1682" s="418"/>
      <c r="AF1682" s="418"/>
      <c r="AG1682" s="418"/>
      <c r="AH1682" s="418"/>
      <c r="AI1682" s="418"/>
      <c r="AJ1682" s="418"/>
      <c r="AK1682" s="418"/>
      <c r="AL1682" s="418"/>
      <c r="AM1682" s="418"/>
      <c r="AN1682" s="418"/>
      <c r="AO1682" s="418"/>
      <c r="AP1682" s="418"/>
      <c r="AQ1682" s="418"/>
      <c r="AR1682" s="418"/>
      <c r="AS1682" s="418"/>
      <c r="AT1682" s="418"/>
      <c r="AU1682" s="418"/>
      <c r="AV1682" s="418"/>
      <c r="AW1682" s="418"/>
      <c r="AX1682" s="418"/>
      <c r="AY1682" s="418"/>
      <c r="BF1682" s="1119"/>
      <c r="BG1682" s="1119"/>
      <c r="BH1682" s="1119"/>
    </row>
    <row r="1683" spans="1:60" ht="15.75" customHeight="1">
      <c r="A1683" s="1076"/>
      <c r="B1683" s="416"/>
      <c r="C1683" s="424"/>
      <c r="E1683" s="418"/>
      <c r="F1683" s="493"/>
      <c r="G1683" s="418"/>
      <c r="H1683" s="421"/>
      <c r="I1683" s="421"/>
      <c r="J1683" s="492"/>
      <c r="K1683" s="418"/>
      <c r="L1683" s="418"/>
      <c r="M1683" s="418"/>
      <c r="N1683" s="421"/>
      <c r="O1683" s="421"/>
      <c r="P1683" s="421"/>
      <c r="Q1683" s="418"/>
      <c r="R1683" s="418"/>
      <c r="S1683" s="418"/>
      <c r="T1683" s="418"/>
      <c r="U1683" s="418"/>
      <c r="V1683" s="418"/>
      <c r="W1683" s="418"/>
      <c r="X1683" s="418"/>
      <c r="Y1683" s="418"/>
      <c r="Z1683" s="418"/>
      <c r="AA1683" s="418"/>
      <c r="AB1683" s="418"/>
      <c r="AC1683" s="418"/>
      <c r="AD1683" s="418"/>
      <c r="AE1683" s="418"/>
      <c r="AF1683" s="418"/>
      <c r="AG1683" s="418"/>
      <c r="AH1683" s="418"/>
      <c r="AI1683" s="418"/>
      <c r="AJ1683" s="418"/>
      <c r="AK1683" s="418"/>
      <c r="AL1683" s="418"/>
      <c r="AM1683" s="418"/>
      <c r="AN1683" s="418"/>
      <c r="AO1683" s="418"/>
      <c r="AP1683" s="418"/>
      <c r="AQ1683" s="418"/>
      <c r="AR1683" s="418"/>
      <c r="AS1683" s="418"/>
      <c r="AT1683" s="418"/>
      <c r="AU1683" s="418"/>
      <c r="AV1683" s="418"/>
      <c r="AW1683" s="418"/>
      <c r="AX1683" s="418"/>
      <c r="AY1683" s="418"/>
      <c r="BF1683" s="1119"/>
      <c r="BG1683" s="1119"/>
      <c r="BH1683" s="1119"/>
    </row>
    <row r="1684" spans="1:60" ht="15.75" customHeight="1">
      <c r="A1684" s="1076"/>
      <c r="B1684" s="416"/>
      <c r="C1684" s="424"/>
      <c r="E1684" s="418"/>
      <c r="F1684" s="493"/>
      <c r="G1684" s="418"/>
      <c r="H1684" s="421"/>
      <c r="I1684" s="421"/>
      <c r="J1684" s="492"/>
      <c r="K1684" s="418"/>
      <c r="L1684" s="418"/>
      <c r="M1684" s="418"/>
      <c r="N1684" s="421"/>
      <c r="O1684" s="421"/>
      <c r="P1684" s="421"/>
      <c r="Q1684" s="418"/>
      <c r="R1684" s="418"/>
      <c r="S1684" s="418"/>
      <c r="T1684" s="418"/>
      <c r="U1684" s="418"/>
      <c r="V1684" s="418"/>
      <c r="W1684" s="418"/>
      <c r="X1684" s="418"/>
      <c r="Y1684" s="418"/>
      <c r="Z1684" s="418"/>
      <c r="AA1684" s="418"/>
      <c r="AB1684" s="418"/>
      <c r="AC1684" s="418"/>
      <c r="AD1684" s="418"/>
      <c r="AE1684" s="418"/>
      <c r="AF1684" s="418"/>
      <c r="AG1684" s="418"/>
      <c r="AH1684" s="418"/>
      <c r="AI1684" s="418"/>
      <c r="AJ1684" s="418"/>
      <c r="AK1684" s="418"/>
      <c r="AL1684" s="418"/>
      <c r="AM1684" s="418"/>
      <c r="AN1684" s="418"/>
      <c r="AO1684" s="418"/>
      <c r="AP1684" s="418"/>
      <c r="AQ1684" s="418"/>
      <c r="AR1684" s="418"/>
      <c r="AS1684" s="418"/>
      <c r="AT1684" s="418"/>
      <c r="AU1684" s="418"/>
      <c r="AV1684" s="418"/>
      <c r="AW1684" s="418"/>
      <c r="AX1684" s="418"/>
      <c r="AY1684" s="418"/>
      <c r="BF1684" s="1119"/>
      <c r="BG1684" s="1119"/>
      <c r="BH1684" s="1119"/>
    </row>
    <row r="1685" spans="1:60" ht="15.75" customHeight="1">
      <c r="A1685" s="1076"/>
      <c r="B1685" s="416"/>
      <c r="C1685" s="424"/>
      <c r="E1685" s="418"/>
      <c r="F1685" s="493"/>
      <c r="G1685" s="418"/>
      <c r="H1685" s="421"/>
      <c r="I1685" s="421"/>
      <c r="J1685" s="492"/>
      <c r="K1685" s="418"/>
      <c r="L1685" s="418"/>
      <c r="M1685" s="418"/>
      <c r="N1685" s="421"/>
      <c r="O1685" s="421"/>
      <c r="P1685" s="421"/>
      <c r="Q1685" s="418"/>
      <c r="R1685" s="418"/>
      <c r="S1685" s="418"/>
      <c r="T1685" s="418"/>
      <c r="U1685" s="418"/>
      <c r="V1685" s="418"/>
      <c r="W1685" s="418"/>
      <c r="X1685" s="418"/>
      <c r="Y1685" s="418"/>
      <c r="Z1685" s="418"/>
      <c r="AA1685" s="418"/>
      <c r="AB1685" s="418"/>
      <c r="AC1685" s="418"/>
      <c r="AD1685" s="418"/>
      <c r="AE1685" s="418"/>
      <c r="AF1685" s="418"/>
      <c r="AG1685" s="418"/>
      <c r="AH1685" s="418"/>
      <c r="AI1685" s="418"/>
      <c r="AJ1685" s="418"/>
      <c r="AK1685" s="418"/>
      <c r="AL1685" s="418"/>
      <c r="AM1685" s="418"/>
      <c r="AN1685" s="418"/>
      <c r="AO1685" s="418"/>
      <c r="AP1685" s="418"/>
      <c r="AQ1685" s="418"/>
      <c r="AR1685" s="418"/>
      <c r="AS1685" s="418"/>
      <c r="AT1685" s="418"/>
      <c r="AU1685" s="418"/>
      <c r="AV1685" s="418"/>
      <c r="AW1685" s="418"/>
      <c r="AX1685" s="418"/>
      <c r="AY1685" s="418"/>
      <c r="BF1685" s="1119"/>
      <c r="BG1685" s="1119"/>
      <c r="BH1685" s="1119"/>
    </row>
    <row r="1686" spans="1:60" ht="15.75" customHeight="1">
      <c r="A1686" s="1076"/>
      <c r="B1686" s="416"/>
      <c r="C1686" s="424"/>
      <c r="E1686" s="418"/>
      <c r="F1686" s="493"/>
      <c r="G1686" s="418"/>
      <c r="H1686" s="421"/>
      <c r="I1686" s="421"/>
      <c r="J1686" s="492"/>
      <c r="K1686" s="418"/>
      <c r="L1686" s="418"/>
      <c r="M1686" s="418"/>
      <c r="N1686" s="421"/>
      <c r="O1686" s="421"/>
      <c r="P1686" s="421"/>
      <c r="Q1686" s="418"/>
      <c r="R1686" s="418"/>
      <c r="S1686" s="418"/>
      <c r="T1686" s="418"/>
      <c r="U1686" s="418"/>
      <c r="V1686" s="418"/>
      <c r="W1686" s="418"/>
      <c r="X1686" s="418"/>
      <c r="Y1686" s="418"/>
      <c r="Z1686" s="418"/>
      <c r="AA1686" s="418"/>
      <c r="AB1686" s="418"/>
      <c r="AC1686" s="418"/>
      <c r="AD1686" s="418"/>
      <c r="AE1686" s="418"/>
      <c r="AF1686" s="418"/>
      <c r="AG1686" s="418"/>
      <c r="AH1686" s="418"/>
      <c r="AI1686" s="418"/>
      <c r="AJ1686" s="418"/>
      <c r="AK1686" s="418"/>
      <c r="AL1686" s="418"/>
      <c r="AM1686" s="418"/>
      <c r="AN1686" s="418"/>
      <c r="AO1686" s="418"/>
      <c r="AP1686" s="418"/>
      <c r="AQ1686" s="418"/>
      <c r="AR1686" s="418"/>
      <c r="AS1686" s="418"/>
      <c r="AT1686" s="418"/>
      <c r="AU1686" s="418"/>
      <c r="AV1686" s="418"/>
      <c r="AW1686" s="418"/>
      <c r="AX1686" s="418"/>
      <c r="AY1686" s="418"/>
      <c r="BF1686" s="1119"/>
      <c r="BG1686" s="1119"/>
      <c r="BH1686" s="1119"/>
    </row>
    <row r="1687" spans="1:60" ht="15.75" customHeight="1">
      <c r="A1687" s="1076"/>
      <c r="B1687" s="416"/>
      <c r="C1687" s="424"/>
      <c r="E1687" s="418"/>
      <c r="F1687" s="493"/>
      <c r="G1687" s="418"/>
      <c r="H1687" s="421"/>
      <c r="I1687" s="421"/>
      <c r="J1687" s="492"/>
      <c r="K1687" s="418"/>
      <c r="L1687" s="418"/>
      <c r="M1687" s="418"/>
      <c r="N1687" s="421"/>
      <c r="O1687" s="421"/>
      <c r="P1687" s="421"/>
      <c r="Q1687" s="418"/>
      <c r="R1687" s="418"/>
      <c r="S1687" s="418"/>
      <c r="T1687" s="418"/>
      <c r="U1687" s="418"/>
      <c r="V1687" s="418"/>
      <c r="W1687" s="418"/>
      <c r="X1687" s="418"/>
      <c r="Y1687" s="418"/>
      <c r="Z1687" s="418"/>
      <c r="AA1687" s="418"/>
      <c r="AB1687" s="418"/>
      <c r="AC1687" s="418"/>
      <c r="AD1687" s="418"/>
      <c r="AE1687" s="418"/>
      <c r="AF1687" s="418"/>
      <c r="AG1687" s="418"/>
      <c r="AH1687" s="418"/>
      <c r="AI1687" s="418"/>
      <c r="AJ1687" s="418"/>
      <c r="AK1687" s="418"/>
      <c r="AL1687" s="418"/>
      <c r="AM1687" s="418"/>
      <c r="AN1687" s="418"/>
      <c r="AO1687" s="418"/>
      <c r="AP1687" s="418"/>
      <c r="AQ1687" s="418"/>
      <c r="AR1687" s="418"/>
      <c r="AS1687" s="418"/>
      <c r="AT1687" s="418"/>
      <c r="AU1687" s="418"/>
      <c r="AV1687" s="418"/>
      <c r="AW1687" s="418"/>
      <c r="AX1687" s="418"/>
      <c r="AY1687" s="418"/>
      <c r="BF1687" s="1119"/>
      <c r="BG1687" s="1119"/>
      <c r="BH1687" s="1119"/>
    </row>
    <row r="1688" spans="1:60" ht="15.75" customHeight="1">
      <c r="A1688" s="1076"/>
      <c r="B1688" s="416"/>
      <c r="C1688" s="424"/>
      <c r="E1688" s="418"/>
      <c r="F1688" s="493"/>
      <c r="G1688" s="418"/>
      <c r="H1688" s="421"/>
      <c r="I1688" s="421"/>
      <c r="J1688" s="492"/>
      <c r="K1688" s="418"/>
      <c r="L1688" s="418"/>
      <c r="M1688" s="418"/>
      <c r="N1688" s="421"/>
      <c r="O1688" s="421"/>
      <c r="P1688" s="421"/>
      <c r="Q1688" s="418"/>
      <c r="R1688" s="418"/>
      <c r="S1688" s="418"/>
      <c r="T1688" s="418"/>
      <c r="U1688" s="418"/>
      <c r="V1688" s="418"/>
      <c r="W1688" s="418"/>
      <c r="X1688" s="418"/>
      <c r="Y1688" s="418"/>
      <c r="Z1688" s="418"/>
      <c r="AA1688" s="418"/>
      <c r="AB1688" s="418"/>
      <c r="AC1688" s="418"/>
      <c r="AD1688" s="418"/>
      <c r="AE1688" s="418"/>
      <c r="AF1688" s="418"/>
      <c r="AG1688" s="418"/>
      <c r="AH1688" s="418"/>
      <c r="AI1688" s="418"/>
      <c r="AJ1688" s="418"/>
      <c r="AK1688" s="418"/>
      <c r="AL1688" s="418"/>
      <c r="AM1688" s="418"/>
      <c r="AN1688" s="418"/>
      <c r="AO1688" s="418"/>
      <c r="AP1688" s="418"/>
      <c r="AQ1688" s="418"/>
      <c r="AR1688" s="418"/>
      <c r="AS1688" s="418"/>
      <c r="AT1688" s="418"/>
      <c r="AU1688" s="418"/>
      <c r="AV1688" s="418"/>
      <c r="AW1688" s="418"/>
      <c r="AX1688" s="418"/>
      <c r="AY1688" s="418"/>
      <c r="BF1688" s="1119"/>
      <c r="BG1688" s="1119"/>
      <c r="BH1688" s="1119"/>
    </row>
    <row r="1689" spans="1:60" ht="15.75" customHeight="1">
      <c r="A1689" s="1076"/>
      <c r="B1689" s="416"/>
      <c r="C1689" s="424"/>
      <c r="E1689" s="418"/>
      <c r="F1689" s="493"/>
      <c r="G1689" s="418"/>
      <c r="H1689" s="421"/>
      <c r="I1689" s="425"/>
      <c r="J1689" s="492"/>
      <c r="K1689" s="418"/>
      <c r="L1689" s="418"/>
      <c r="M1689" s="418"/>
      <c r="N1689" s="421"/>
      <c r="O1689" s="421"/>
      <c r="P1689" s="421"/>
      <c r="Q1689" s="418"/>
      <c r="R1689" s="418"/>
      <c r="S1689" s="418"/>
      <c r="T1689" s="418"/>
      <c r="U1689" s="418"/>
      <c r="V1689" s="418"/>
      <c r="W1689" s="418"/>
      <c r="X1689" s="418"/>
      <c r="Y1689" s="418"/>
      <c r="Z1689" s="418"/>
      <c r="AA1689" s="418"/>
      <c r="AB1689" s="418"/>
      <c r="AC1689" s="418"/>
      <c r="AD1689" s="418"/>
      <c r="AE1689" s="418"/>
      <c r="AF1689" s="418"/>
      <c r="AG1689" s="418"/>
      <c r="AH1689" s="418"/>
      <c r="AI1689" s="418"/>
      <c r="AJ1689" s="418"/>
      <c r="AK1689" s="418"/>
      <c r="AL1689" s="418"/>
      <c r="AM1689" s="418"/>
      <c r="AN1689" s="418"/>
      <c r="AO1689" s="418"/>
      <c r="AP1689" s="418"/>
      <c r="AQ1689" s="418"/>
      <c r="AR1689" s="418"/>
      <c r="AS1689" s="418"/>
      <c r="AT1689" s="418"/>
      <c r="AU1689" s="418"/>
      <c r="AV1689" s="418"/>
      <c r="AW1689" s="418"/>
      <c r="AX1689" s="418"/>
      <c r="AY1689" s="418"/>
      <c r="BF1689" s="1119"/>
      <c r="BG1689" s="1119"/>
      <c r="BH1689" s="1119"/>
    </row>
    <row r="1690" spans="1:60" ht="15.75" customHeight="1">
      <c r="A1690" s="1076"/>
      <c r="B1690" s="416"/>
      <c r="C1690" s="424"/>
      <c r="E1690" s="418"/>
      <c r="F1690" s="493"/>
      <c r="G1690" s="418"/>
      <c r="H1690" s="421"/>
      <c r="I1690" s="421"/>
      <c r="J1690" s="492"/>
      <c r="K1690" s="418"/>
      <c r="L1690" s="418"/>
      <c r="M1690" s="418"/>
      <c r="N1690" s="421"/>
      <c r="O1690" s="421"/>
      <c r="P1690" s="421"/>
      <c r="Q1690" s="418"/>
      <c r="R1690" s="418"/>
      <c r="S1690" s="418"/>
      <c r="T1690" s="418"/>
      <c r="U1690" s="418"/>
      <c r="V1690" s="418"/>
      <c r="W1690" s="418"/>
      <c r="X1690" s="418"/>
      <c r="Y1690" s="418"/>
      <c r="Z1690" s="418"/>
      <c r="AA1690" s="418"/>
      <c r="AB1690" s="418"/>
      <c r="AC1690" s="418"/>
      <c r="AD1690" s="418"/>
      <c r="AE1690" s="418"/>
      <c r="AF1690" s="418"/>
      <c r="AG1690" s="418"/>
      <c r="AH1690" s="418"/>
      <c r="AI1690" s="418"/>
      <c r="AJ1690" s="418"/>
      <c r="AK1690" s="418"/>
      <c r="AL1690" s="418"/>
      <c r="AM1690" s="418"/>
      <c r="AN1690" s="418"/>
      <c r="AO1690" s="418"/>
      <c r="AP1690" s="418"/>
      <c r="AQ1690" s="418"/>
      <c r="AR1690" s="418"/>
      <c r="AS1690" s="418"/>
      <c r="AT1690" s="418"/>
      <c r="AU1690" s="418"/>
      <c r="AV1690" s="418"/>
      <c r="AW1690" s="418"/>
      <c r="AX1690" s="418"/>
      <c r="AY1690" s="418"/>
      <c r="BF1690" s="1119"/>
      <c r="BG1690" s="1119"/>
      <c r="BH1690" s="1119"/>
    </row>
    <row r="1691" spans="1:60" ht="15.75" customHeight="1">
      <c r="A1691" s="1076"/>
      <c r="B1691" s="416"/>
      <c r="C1691" s="424"/>
      <c r="E1691" s="418"/>
      <c r="F1691" s="493"/>
      <c r="G1691" s="418"/>
      <c r="H1691" s="421"/>
      <c r="I1691" s="425"/>
      <c r="J1691" s="492"/>
      <c r="K1691" s="418"/>
      <c r="L1691" s="418"/>
      <c r="M1691" s="418"/>
      <c r="N1691" s="421"/>
      <c r="O1691" s="421"/>
      <c r="P1691" s="421"/>
      <c r="Q1691" s="418"/>
      <c r="R1691" s="418"/>
      <c r="S1691" s="418"/>
      <c r="T1691" s="418"/>
      <c r="U1691" s="418"/>
      <c r="V1691" s="418"/>
      <c r="W1691" s="418"/>
      <c r="X1691" s="418"/>
      <c r="Y1691" s="418"/>
      <c r="Z1691" s="418"/>
      <c r="AA1691" s="418"/>
      <c r="AB1691" s="418"/>
      <c r="AC1691" s="418"/>
      <c r="AD1691" s="418"/>
      <c r="AE1691" s="418"/>
      <c r="AF1691" s="418"/>
      <c r="AG1691" s="418"/>
      <c r="AH1691" s="418"/>
      <c r="AI1691" s="418"/>
      <c r="AJ1691" s="418"/>
      <c r="AK1691" s="418"/>
      <c r="AL1691" s="418"/>
      <c r="AM1691" s="418"/>
      <c r="AN1691" s="418"/>
      <c r="AO1691" s="418"/>
      <c r="AP1691" s="418"/>
      <c r="AQ1691" s="418"/>
      <c r="AR1691" s="418"/>
      <c r="AS1691" s="418"/>
      <c r="AT1691" s="418"/>
      <c r="AU1691" s="418"/>
      <c r="AV1691" s="418"/>
      <c r="AW1691" s="418"/>
      <c r="AX1691" s="418"/>
      <c r="AY1691" s="418"/>
      <c r="BF1691" s="1119"/>
      <c r="BG1691" s="1119"/>
      <c r="BH1691" s="1119"/>
    </row>
    <row r="1692" spans="1:60" ht="15.75" customHeight="1">
      <c r="A1692" s="1076"/>
      <c r="B1692" s="416"/>
      <c r="C1692" s="424"/>
      <c r="E1692" s="418"/>
      <c r="F1692" s="493"/>
      <c r="G1692" s="418"/>
      <c r="H1692" s="421"/>
      <c r="I1692" s="421"/>
      <c r="J1692" s="492"/>
      <c r="K1692" s="418"/>
      <c r="L1692" s="418"/>
      <c r="M1692" s="418"/>
      <c r="N1692" s="421"/>
      <c r="O1692" s="421"/>
      <c r="P1692" s="421"/>
      <c r="Q1692" s="418"/>
      <c r="R1692" s="418"/>
      <c r="S1692" s="418"/>
      <c r="T1692" s="418"/>
      <c r="U1692" s="418"/>
      <c r="V1692" s="418"/>
      <c r="W1692" s="418"/>
      <c r="X1692" s="418"/>
      <c r="Y1692" s="418"/>
      <c r="Z1692" s="418"/>
      <c r="AA1692" s="418"/>
      <c r="AB1692" s="418"/>
      <c r="AC1692" s="418"/>
      <c r="AD1692" s="418"/>
      <c r="AE1692" s="418"/>
      <c r="AF1692" s="418"/>
      <c r="AG1692" s="418"/>
      <c r="AH1692" s="418"/>
      <c r="AI1692" s="418"/>
      <c r="AJ1692" s="418"/>
      <c r="AK1692" s="418"/>
      <c r="AL1692" s="418"/>
      <c r="AM1692" s="418"/>
      <c r="AN1692" s="418"/>
      <c r="AO1692" s="418"/>
      <c r="AP1692" s="418"/>
      <c r="AQ1692" s="418"/>
      <c r="AR1692" s="418"/>
      <c r="AS1692" s="418"/>
      <c r="AT1692" s="418"/>
      <c r="AU1692" s="418"/>
      <c r="AV1692" s="418"/>
      <c r="AW1692" s="418"/>
      <c r="AX1692" s="418"/>
      <c r="AY1692" s="418"/>
      <c r="BF1692" s="1119"/>
      <c r="BG1692" s="1119"/>
      <c r="BH1692" s="1119"/>
    </row>
    <row r="1693" spans="1:60" ht="15.75" customHeight="1">
      <c r="A1693" s="1076"/>
      <c r="B1693" s="416"/>
      <c r="C1693" s="424"/>
      <c r="E1693" s="418"/>
      <c r="F1693" s="493"/>
      <c r="G1693" s="418"/>
      <c r="H1693" s="421"/>
      <c r="I1693" s="421"/>
      <c r="J1693" s="492"/>
      <c r="K1693" s="418"/>
      <c r="L1693" s="418"/>
      <c r="M1693" s="418"/>
      <c r="N1693" s="421"/>
      <c r="O1693" s="421"/>
      <c r="P1693" s="421"/>
      <c r="Q1693" s="418"/>
      <c r="R1693" s="418"/>
      <c r="S1693" s="418"/>
      <c r="T1693" s="418"/>
      <c r="U1693" s="418"/>
      <c r="V1693" s="418"/>
      <c r="W1693" s="418"/>
      <c r="X1693" s="418"/>
      <c r="Y1693" s="418"/>
      <c r="Z1693" s="418"/>
      <c r="AA1693" s="418"/>
      <c r="AB1693" s="418"/>
      <c r="AC1693" s="418"/>
      <c r="AD1693" s="418"/>
      <c r="AE1693" s="418"/>
      <c r="AF1693" s="418"/>
      <c r="AG1693" s="418"/>
      <c r="AH1693" s="418"/>
      <c r="AI1693" s="418"/>
      <c r="AJ1693" s="418"/>
      <c r="AK1693" s="418"/>
      <c r="AL1693" s="418"/>
      <c r="AM1693" s="418"/>
      <c r="AN1693" s="418"/>
      <c r="AO1693" s="418"/>
      <c r="AP1693" s="418"/>
      <c r="AQ1693" s="418"/>
      <c r="AR1693" s="418"/>
      <c r="AS1693" s="418"/>
      <c r="AT1693" s="418"/>
      <c r="AU1693" s="418"/>
      <c r="AV1693" s="418"/>
      <c r="AW1693" s="418"/>
      <c r="AX1693" s="418"/>
      <c r="AY1693" s="418"/>
      <c r="BF1693" s="1119"/>
      <c r="BG1693" s="1119"/>
      <c r="BH1693" s="1119"/>
    </row>
    <row r="1694" spans="1:60" ht="15.75" customHeight="1">
      <c r="A1694" s="1076"/>
      <c r="B1694" s="416"/>
      <c r="C1694" s="424"/>
      <c r="E1694" s="418"/>
      <c r="F1694" s="493"/>
      <c r="G1694" s="418"/>
      <c r="H1694" s="421"/>
      <c r="I1694" s="421"/>
      <c r="J1694" s="492"/>
      <c r="K1694" s="418"/>
      <c r="L1694" s="418"/>
      <c r="M1694" s="418"/>
      <c r="N1694" s="421"/>
      <c r="O1694" s="421"/>
      <c r="P1694" s="421"/>
      <c r="Q1694" s="418"/>
      <c r="R1694" s="418"/>
      <c r="S1694" s="418"/>
      <c r="T1694" s="418"/>
      <c r="U1694" s="418"/>
      <c r="V1694" s="418"/>
      <c r="W1694" s="418"/>
      <c r="X1694" s="418"/>
      <c r="Y1694" s="418"/>
      <c r="Z1694" s="418"/>
      <c r="AA1694" s="418"/>
      <c r="AB1694" s="418"/>
      <c r="AC1694" s="418"/>
      <c r="AD1694" s="418"/>
      <c r="AE1694" s="418"/>
      <c r="AF1694" s="418"/>
      <c r="AG1694" s="418"/>
      <c r="AH1694" s="418"/>
      <c r="AI1694" s="418"/>
      <c r="AJ1694" s="418"/>
      <c r="AK1694" s="418"/>
      <c r="AL1694" s="418"/>
      <c r="AM1694" s="418"/>
      <c r="AN1694" s="418"/>
      <c r="AO1694" s="418"/>
      <c r="AP1694" s="418"/>
      <c r="AQ1694" s="418"/>
      <c r="AR1694" s="418"/>
      <c r="AS1694" s="418"/>
      <c r="AT1694" s="418"/>
      <c r="AU1694" s="418"/>
      <c r="AV1694" s="418"/>
      <c r="AW1694" s="418"/>
      <c r="AX1694" s="418"/>
      <c r="AY1694" s="418"/>
      <c r="BF1694" s="1119"/>
      <c r="BG1694" s="1119"/>
      <c r="BH1694" s="1119"/>
    </row>
    <row r="1695" spans="1:60" ht="15.75" customHeight="1">
      <c r="A1695" s="1076"/>
      <c r="B1695" s="416"/>
      <c r="C1695" s="424"/>
      <c r="E1695" s="418"/>
      <c r="F1695" s="493"/>
      <c r="G1695" s="418"/>
      <c r="H1695" s="421"/>
      <c r="I1695" s="421"/>
      <c r="J1695" s="492"/>
      <c r="K1695" s="418"/>
      <c r="L1695" s="418"/>
      <c r="M1695" s="418"/>
      <c r="N1695" s="421"/>
      <c r="O1695" s="421"/>
      <c r="P1695" s="421"/>
      <c r="Q1695" s="418"/>
      <c r="R1695" s="418"/>
      <c r="S1695" s="418"/>
      <c r="T1695" s="418"/>
      <c r="U1695" s="418"/>
      <c r="V1695" s="418"/>
      <c r="W1695" s="418"/>
      <c r="X1695" s="418"/>
      <c r="Y1695" s="418"/>
      <c r="Z1695" s="418"/>
      <c r="AA1695" s="418"/>
      <c r="AB1695" s="418"/>
      <c r="AC1695" s="418"/>
      <c r="AD1695" s="418"/>
      <c r="AE1695" s="418"/>
      <c r="AF1695" s="418"/>
      <c r="AG1695" s="418"/>
      <c r="AH1695" s="418"/>
      <c r="AI1695" s="418"/>
      <c r="AJ1695" s="418"/>
      <c r="AK1695" s="418"/>
      <c r="AL1695" s="418"/>
      <c r="AM1695" s="418"/>
      <c r="AN1695" s="418"/>
      <c r="AO1695" s="418"/>
      <c r="AP1695" s="418"/>
      <c r="AQ1695" s="418"/>
      <c r="AR1695" s="418"/>
      <c r="AS1695" s="418"/>
      <c r="AT1695" s="418"/>
      <c r="AU1695" s="418"/>
      <c r="AV1695" s="418"/>
      <c r="AW1695" s="418"/>
      <c r="AX1695" s="418"/>
      <c r="AY1695" s="418"/>
      <c r="BF1695" s="1119"/>
      <c r="BG1695" s="1119"/>
      <c r="BH1695" s="1119"/>
    </row>
    <row r="1696" spans="1:60" ht="15.75" customHeight="1">
      <c r="A1696" s="1076"/>
      <c r="B1696" s="416"/>
      <c r="C1696" s="424"/>
      <c r="E1696" s="418"/>
      <c r="F1696" s="493"/>
      <c r="G1696" s="418"/>
      <c r="H1696" s="421"/>
      <c r="I1696" s="421"/>
      <c r="J1696" s="492"/>
      <c r="K1696" s="418"/>
      <c r="L1696" s="418"/>
      <c r="M1696" s="418"/>
      <c r="N1696" s="421"/>
      <c r="O1696" s="421"/>
      <c r="P1696" s="421"/>
      <c r="Q1696" s="418"/>
      <c r="R1696" s="418"/>
      <c r="S1696" s="418"/>
      <c r="T1696" s="418"/>
      <c r="U1696" s="418"/>
      <c r="V1696" s="418"/>
      <c r="W1696" s="418"/>
      <c r="X1696" s="418"/>
      <c r="Y1696" s="418"/>
      <c r="Z1696" s="418"/>
      <c r="AA1696" s="418"/>
      <c r="AB1696" s="418"/>
      <c r="AC1696" s="418"/>
      <c r="AD1696" s="418"/>
      <c r="AE1696" s="418"/>
      <c r="AF1696" s="418"/>
      <c r="AG1696" s="418"/>
      <c r="AH1696" s="418"/>
      <c r="AI1696" s="418"/>
      <c r="AJ1696" s="418"/>
      <c r="AK1696" s="418"/>
      <c r="AL1696" s="418"/>
      <c r="AM1696" s="418"/>
      <c r="AN1696" s="418"/>
      <c r="AO1696" s="418"/>
      <c r="AP1696" s="418"/>
      <c r="AQ1696" s="418"/>
      <c r="AR1696" s="418"/>
      <c r="AS1696" s="418"/>
      <c r="AT1696" s="418"/>
      <c r="AU1696" s="418"/>
      <c r="AV1696" s="418"/>
      <c r="AW1696" s="418"/>
      <c r="AX1696" s="418"/>
      <c r="AY1696" s="418"/>
      <c r="BF1696" s="1119"/>
      <c r="BG1696" s="1119"/>
      <c r="BH1696" s="1119"/>
    </row>
    <row r="1697" spans="1:60" ht="15.75" customHeight="1">
      <c r="A1697" s="1076"/>
      <c r="B1697" s="416"/>
      <c r="C1697" s="424"/>
      <c r="E1697" s="418"/>
      <c r="F1697" s="493"/>
      <c r="G1697" s="418"/>
      <c r="H1697" s="421"/>
      <c r="I1697" s="421"/>
      <c r="J1697" s="492"/>
      <c r="K1697" s="418"/>
      <c r="L1697" s="418"/>
      <c r="M1697" s="418"/>
      <c r="N1697" s="421"/>
      <c r="O1697" s="421"/>
      <c r="P1697" s="421"/>
      <c r="Q1697" s="418"/>
      <c r="R1697" s="418"/>
      <c r="S1697" s="418"/>
      <c r="T1697" s="418"/>
      <c r="U1697" s="418"/>
      <c r="V1697" s="418"/>
      <c r="W1697" s="418"/>
      <c r="X1697" s="418"/>
      <c r="Y1697" s="418"/>
      <c r="Z1697" s="418"/>
      <c r="AA1697" s="418"/>
      <c r="AB1697" s="418"/>
      <c r="AC1697" s="418"/>
      <c r="AD1697" s="418"/>
      <c r="AE1697" s="418"/>
      <c r="AF1697" s="418"/>
      <c r="AG1697" s="418"/>
      <c r="AH1697" s="418"/>
      <c r="AI1697" s="418"/>
      <c r="AJ1697" s="418"/>
      <c r="AK1697" s="418"/>
      <c r="AL1697" s="418"/>
      <c r="AM1697" s="418"/>
      <c r="AN1697" s="418"/>
      <c r="AO1697" s="418"/>
      <c r="AP1697" s="418"/>
      <c r="AQ1697" s="418"/>
      <c r="AR1697" s="418"/>
      <c r="AS1697" s="418"/>
      <c r="AT1697" s="418"/>
      <c r="AU1697" s="418"/>
      <c r="AV1697" s="418"/>
      <c r="AW1697" s="418"/>
      <c r="AX1697" s="418"/>
      <c r="AY1697" s="418"/>
      <c r="BF1697" s="1119"/>
      <c r="BG1697" s="1119"/>
      <c r="BH1697" s="1119"/>
    </row>
    <row r="1698" spans="1:60" ht="15.75" customHeight="1">
      <c r="A1698" s="1076"/>
      <c r="B1698" s="416"/>
      <c r="C1698" s="424"/>
      <c r="E1698" s="418"/>
      <c r="F1698" s="493"/>
      <c r="G1698" s="418"/>
      <c r="H1698" s="421"/>
      <c r="I1698" s="421"/>
      <c r="J1698" s="492"/>
      <c r="K1698" s="418"/>
      <c r="L1698" s="418"/>
      <c r="M1698" s="418"/>
      <c r="N1698" s="421"/>
      <c r="O1698" s="421"/>
      <c r="P1698" s="421"/>
      <c r="Q1698" s="418"/>
      <c r="R1698" s="418"/>
      <c r="S1698" s="418"/>
      <c r="T1698" s="418"/>
      <c r="U1698" s="418"/>
      <c r="V1698" s="418"/>
      <c r="W1698" s="418"/>
      <c r="X1698" s="418"/>
      <c r="Y1698" s="418"/>
      <c r="Z1698" s="418"/>
      <c r="AA1698" s="418"/>
      <c r="AB1698" s="418"/>
      <c r="AC1698" s="418"/>
      <c r="AD1698" s="418"/>
      <c r="AE1698" s="418"/>
      <c r="AF1698" s="418"/>
      <c r="AG1698" s="418"/>
      <c r="AH1698" s="418"/>
      <c r="AI1698" s="418"/>
      <c r="AJ1698" s="418"/>
      <c r="AK1698" s="418"/>
      <c r="AL1698" s="418"/>
      <c r="AM1698" s="418"/>
      <c r="AN1698" s="418"/>
      <c r="AO1698" s="418"/>
      <c r="AP1698" s="418"/>
      <c r="AQ1698" s="418"/>
      <c r="AR1698" s="418"/>
      <c r="AS1698" s="418"/>
      <c r="AT1698" s="418"/>
      <c r="AU1698" s="418"/>
      <c r="AV1698" s="418"/>
      <c r="AW1698" s="418"/>
      <c r="AX1698" s="418"/>
      <c r="AY1698" s="418"/>
      <c r="BF1698" s="1119"/>
      <c r="BG1698" s="1119"/>
      <c r="BH1698" s="1119"/>
    </row>
    <row r="1699" spans="1:60" ht="15.75" customHeight="1">
      <c r="A1699" s="1076"/>
      <c r="B1699" s="416"/>
      <c r="C1699" s="424"/>
      <c r="E1699" s="418"/>
      <c r="F1699" s="493"/>
      <c r="G1699" s="418"/>
      <c r="H1699" s="421"/>
      <c r="I1699" s="421"/>
      <c r="J1699" s="492"/>
      <c r="K1699" s="418"/>
      <c r="L1699" s="418"/>
      <c r="M1699" s="418"/>
      <c r="N1699" s="421"/>
      <c r="O1699" s="421"/>
      <c r="P1699" s="421"/>
      <c r="Q1699" s="418"/>
      <c r="R1699" s="418"/>
      <c r="S1699" s="418"/>
      <c r="T1699" s="418"/>
      <c r="U1699" s="418"/>
      <c r="V1699" s="418"/>
      <c r="W1699" s="418"/>
      <c r="X1699" s="418"/>
      <c r="Y1699" s="418"/>
      <c r="Z1699" s="418"/>
      <c r="AA1699" s="418"/>
      <c r="AB1699" s="418"/>
      <c r="AC1699" s="418"/>
      <c r="AD1699" s="418"/>
      <c r="AE1699" s="418"/>
      <c r="AF1699" s="418"/>
      <c r="AG1699" s="418"/>
      <c r="AH1699" s="418"/>
      <c r="AI1699" s="418"/>
      <c r="AJ1699" s="418"/>
      <c r="AK1699" s="418"/>
      <c r="AL1699" s="418"/>
      <c r="AM1699" s="418"/>
      <c r="AN1699" s="418"/>
      <c r="AO1699" s="418"/>
      <c r="AP1699" s="418"/>
      <c r="AQ1699" s="418"/>
      <c r="AR1699" s="418"/>
      <c r="AS1699" s="418"/>
      <c r="AT1699" s="418"/>
      <c r="AU1699" s="418"/>
      <c r="AV1699" s="418"/>
      <c r="AW1699" s="418"/>
      <c r="AX1699" s="418"/>
      <c r="AY1699" s="418"/>
      <c r="BF1699" s="1119"/>
      <c r="BG1699" s="1119"/>
      <c r="BH1699" s="1119"/>
    </row>
    <row r="1700" spans="1:60" ht="15.75" customHeight="1">
      <c r="A1700" s="1076"/>
      <c r="B1700" s="416"/>
      <c r="C1700" s="424"/>
      <c r="E1700" s="418"/>
      <c r="F1700" s="493"/>
      <c r="G1700" s="418"/>
      <c r="H1700" s="421"/>
      <c r="I1700" s="421"/>
      <c r="J1700" s="492"/>
      <c r="K1700" s="418"/>
      <c r="L1700" s="418"/>
      <c r="M1700" s="418"/>
      <c r="N1700" s="421"/>
      <c r="O1700" s="421"/>
      <c r="P1700" s="421"/>
      <c r="Q1700" s="418"/>
      <c r="R1700" s="418"/>
      <c r="S1700" s="418"/>
      <c r="T1700" s="418"/>
      <c r="U1700" s="418"/>
      <c r="V1700" s="418"/>
      <c r="W1700" s="418"/>
      <c r="X1700" s="418"/>
      <c r="Y1700" s="418"/>
      <c r="Z1700" s="418"/>
      <c r="AA1700" s="418"/>
      <c r="AB1700" s="418"/>
      <c r="AC1700" s="418"/>
      <c r="AD1700" s="418"/>
      <c r="AE1700" s="418"/>
      <c r="AF1700" s="418"/>
      <c r="AG1700" s="418"/>
      <c r="AH1700" s="418"/>
      <c r="AI1700" s="418"/>
      <c r="AJ1700" s="418"/>
      <c r="AK1700" s="418"/>
      <c r="AL1700" s="418"/>
      <c r="AM1700" s="418"/>
      <c r="AN1700" s="418"/>
      <c r="AO1700" s="418"/>
      <c r="AP1700" s="418"/>
      <c r="AQ1700" s="418"/>
      <c r="AR1700" s="418"/>
      <c r="AS1700" s="418"/>
      <c r="AT1700" s="418"/>
      <c r="AU1700" s="418"/>
      <c r="AV1700" s="418"/>
      <c r="AW1700" s="418"/>
      <c r="AX1700" s="418"/>
      <c r="AY1700" s="418"/>
      <c r="BF1700" s="1119"/>
      <c r="BG1700" s="1119"/>
      <c r="BH1700" s="1119"/>
    </row>
    <row r="1701" spans="1:60" ht="15.75" customHeight="1">
      <c r="A1701" s="1076"/>
      <c r="B1701" s="416"/>
      <c r="C1701" s="424"/>
      <c r="E1701" s="418"/>
      <c r="F1701" s="493"/>
      <c r="G1701" s="418"/>
      <c r="H1701" s="421"/>
      <c r="I1701" s="421"/>
      <c r="J1701" s="492"/>
      <c r="K1701" s="418"/>
      <c r="L1701" s="418"/>
      <c r="M1701" s="418"/>
      <c r="N1701" s="421"/>
      <c r="O1701" s="421"/>
      <c r="P1701" s="421"/>
      <c r="Q1701" s="418"/>
      <c r="R1701" s="418"/>
      <c r="S1701" s="418"/>
      <c r="T1701" s="418"/>
      <c r="U1701" s="418"/>
      <c r="V1701" s="418"/>
      <c r="W1701" s="418"/>
      <c r="X1701" s="418"/>
      <c r="Y1701" s="418"/>
      <c r="Z1701" s="418"/>
      <c r="AA1701" s="418"/>
      <c r="AB1701" s="418"/>
      <c r="AC1701" s="418"/>
      <c r="AD1701" s="418"/>
      <c r="AE1701" s="418"/>
      <c r="AF1701" s="418"/>
      <c r="AG1701" s="418"/>
      <c r="AH1701" s="418"/>
      <c r="AI1701" s="418"/>
      <c r="AJ1701" s="418"/>
      <c r="AK1701" s="418"/>
      <c r="AL1701" s="418"/>
      <c r="AM1701" s="418"/>
      <c r="AN1701" s="418"/>
      <c r="AO1701" s="418"/>
      <c r="AP1701" s="418"/>
      <c r="AQ1701" s="418"/>
      <c r="AR1701" s="418"/>
      <c r="AS1701" s="418"/>
      <c r="AT1701" s="418"/>
      <c r="AU1701" s="418"/>
      <c r="AV1701" s="418"/>
      <c r="AW1701" s="418"/>
      <c r="AX1701" s="418"/>
      <c r="AY1701" s="418"/>
      <c r="BF1701" s="1119"/>
      <c r="BG1701" s="1119"/>
      <c r="BH1701" s="1119"/>
    </row>
    <row r="1702" spans="1:60" ht="15.75" customHeight="1">
      <c r="A1702" s="1076"/>
      <c r="B1702" s="416"/>
      <c r="C1702" s="424"/>
      <c r="E1702" s="418"/>
      <c r="F1702" s="493"/>
      <c r="G1702" s="418"/>
      <c r="H1702" s="421"/>
      <c r="I1702" s="421"/>
      <c r="J1702" s="492"/>
      <c r="K1702" s="418"/>
      <c r="L1702" s="418"/>
      <c r="M1702" s="418"/>
      <c r="N1702" s="421"/>
      <c r="O1702" s="421"/>
      <c r="P1702" s="421"/>
      <c r="Q1702" s="418"/>
      <c r="R1702" s="418"/>
      <c r="S1702" s="418"/>
      <c r="T1702" s="418"/>
      <c r="U1702" s="418"/>
      <c r="V1702" s="418"/>
      <c r="W1702" s="418"/>
      <c r="X1702" s="418"/>
      <c r="Y1702" s="418"/>
      <c r="Z1702" s="418"/>
      <c r="AA1702" s="418"/>
      <c r="AB1702" s="418"/>
      <c r="AC1702" s="418"/>
      <c r="AD1702" s="418"/>
      <c r="AE1702" s="418"/>
      <c r="AF1702" s="418"/>
      <c r="AG1702" s="418"/>
      <c r="AH1702" s="418"/>
      <c r="AI1702" s="418"/>
      <c r="AJ1702" s="418"/>
      <c r="AK1702" s="418"/>
      <c r="AL1702" s="418"/>
      <c r="AM1702" s="418"/>
      <c r="AN1702" s="418"/>
      <c r="AO1702" s="418"/>
      <c r="AP1702" s="418"/>
      <c r="AQ1702" s="418"/>
      <c r="AR1702" s="418"/>
      <c r="AS1702" s="418"/>
      <c r="AT1702" s="418"/>
      <c r="AU1702" s="418"/>
      <c r="AV1702" s="418"/>
      <c r="AW1702" s="418"/>
      <c r="AX1702" s="418"/>
      <c r="AY1702" s="418"/>
      <c r="BF1702" s="1119"/>
      <c r="BG1702" s="1119"/>
      <c r="BH1702" s="1119"/>
    </row>
    <row r="1703" spans="1:60" ht="15.75" customHeight="1">
      <c r="A1703" s="1076"/>
      <c r="B1703" s="416"/>
      <c r="C1703" s="424"/>
      <c r="E1703" s="418"/>
      <c r="F1703" s="493"/>
      <c r="G1703" s="418"/>
      <c r="H1703" s="421"/>
      <c r="I1703" s="421"/>
      <c r="J1703" s="492"/>
      <c r="K1703" s="418"/>
      <c r="L1703" s="418"/>
      <c r="M1703" s="418"/>
      <c r="N1703" s="421"/>
      <c r="O1703" s="421"/>
      <c r="P1703" s="421"/>
      <c r="Q1703" s="418"/>
      <c r="R1703" s="418"/>
      <c r="S1703" s="418"/>
      <c r="T1703" s="418"/>
      <c r="U1703" s="418"/>
      <c r="V1703" s="418"/>
      <c r="W1703" s="418"/>
      <c r="X1703" s="418"/>
      <c r="Y1703" s="418"/>
      <c r="Z1703" s="418"/>
      <c r="AA1703" s="418"/>
      <c r="AB1703" s="418"/>
      <c r="AC1703" s="418"/>
      <c r="AD1703" s="418"/>
      <c r="AE1703" s="418"/>
      <c r="AF1703" s="418"/>
      <c r="AG1703" s="418"/>
      <c r="AH1703" s="418"/>
      <c r="AI1703" s="418"/>
      <c r="AJ1703" s="418"/>
      <c r="AK1703" s="418"/>
      <c r="AL1703" s="418"/>
      <c r="AM1703" s="418"/>
      <c r="AN1703" s="418"/>
      <c r="AO1703" s="418"/>
      <c r="AP1703" s="418"/>
      <c r="AQ1703" s="418"/>
      <c r="AR1703" s="418"/>
      <c r="AS1703" s="418"/>
      <c r="AT1703" s="418"/>
      <c r="AU1703" s="418"/>
      <c r="AV1703" s="418"/>
      <c r="AW1703" s="418"/>
      <c r="AX1703" s="418"/>
      <c r="AY1703" s="418"/>
      <c r="BF1703" s="1119"/>
      <c r="BG1703" s="1119"/>
      <c r="BH1703" s="1119"/>
    </row>
    <row r="1704" spans="1:60" ht="15.75" customHeight="1">
      <c r="A1704" s="1076"/>
      <c r="B1704" s="416"/>
      <c r="C1704" s="424"/>
      <c r="E1704" s="418"/>
      <c r="F1704" s="493"/>
      <c r="G1704" s="418"/>
      <c r="H1704" s="421"/>
      <c r="I1704" s="421"/>
      <c r="J1704" s="492"/>
      <c r="K1704" s="418"/>
      <c r="L1704" s="418"/>
      <c r="M1704" s="418"/>
      <c r="N1704" s="421"/>
      <c r="O1704" s="421"/>
      <c r="P1704" s="421"/>
      <c r="Q1704" s="418"/>
      <c r="R1704" s="418"/>
      <c r="S1704" s="418"/>
      <c r="T1704" s="418"/>
      <c r="U1704" s="418"/>
      <c r="V1704" s="418"/>
      <c r="W1704" s="418"/>
      <c r="X1704" s="418"/>
      <c r="Y1704" s="418"/>
      <c r="Z1704" s="418"/>
      <c r="AA1704" s="418"/>
      <c r="AB1704" s="418"/>
      <c r="AC1704" s="418"/>
      <c r="AD1704" s="418"/>
      <c r="AE1704" s="418"/>
      <c r="AF1704" s="418"/>
      <c r="AG1704" s="418"/>
      <c r="AH1704" s="418"/>
      <c r="AI1704" s="418"/>
      <c r="AJ1704" s="418"/>
      <c r="AK1704" s="418"/>
      <c r="AL1704" s="418"/>
      <c r="AM1704" s="418"/>
      <c r="AN1704" s="418"/>
      <c r="AO1704" s="418"/>
      <c r="AP1704" s="418"/>
      <c r="AQ1704" s="418"/>
      <c r="AR1704" s="418"/>
      <c r="AS1704" s="418"/>
      <c r="AT1704" s="418"/>
      <c r="AU1704" s="418"/>
      <c r="AV1704" s="418"/>
      <c r="AW1704" s="418"/>
      <c r="AX1704" s="418"/>
      <c r="AY1704" s="418"/>
      <c r="BF1704" s="1119"/>
      <c r="BG1704" s="1119"/>
      <c r="BH1704" s="1119"/>
    </row>
    <row r="1705" spans="1:60" ht="15.75" customHeight="1">
      <c r="A1705" s="1076"/>
      <c r="B1705" s="416"/>
      <c r="C1705" s="424"/>
      <c r="E1705" s="418"/>
      <c r="F1705" s="493"/>
      <c r="G1705" s="418"/>
      <c r="H1705" s="421"/>
      <c r="I1705" s="421"/>
      <c r="J1705" s="492"/>
      <c r="K1705" s="418"/>
      <c r="L1705" s="418"/>
      <c r="M1705" s="418"/>
      <c r="N1705" s="421"/>
      <c r="O1705" s="421"/>
      <c r="P1705" s="421"/>
      <c r="Q1705" s="418"/>
      <c r="R1705" s="418"/>
      <c r="S1705" s="418"/>
      <c r="T1705" s="418"/>
      <c r="U1705" s="418"/>
      <c r="V1705" s="418"/>
      <c r="W1705" s="418"/>
      <c r="X1705" s="418"/>
      <c r="Y1705" s="418"/>
      <c r="Z1705" s="418"/>
      <c r="AA1705" s="418"/>
      <c r="AB1705" s="418"/>
      <c r="AC1705" s="418"/>
      <c r="AD1705" s="418"/>
      <c r="AE1705" s="418"/>
      <c r="AF1705" s="418"/>
      <c r="AG1705" s="418"/>
      <c r="AH1705" s="418"/>
      <c r="AI1705" s="418"/>
      <c r="AJ1705" s="418"/>
      <c r="AK1705" s="418"/>
      <c r="AL1705" s="418"/>
      <c r="AM1705" s="418"/>
      <c r="AN1705" s="418"/>
      <c r="AO1705" s="418"/>
      <c r="AP1705" s="418"/>
      <c r="AQ1705" s="418"/>
      <c r="AR1705" s="418"/>
      <c r="AS1705" s="418"/>
      <c r="AT1705" s="418"/>
      <c r="AU1705" s="418"/>
      <c r="AV1705" s="418"/>
      <c r="AW1705" s="418"/>
      <c r="AX1705" s="418"/>
      <c r="AY1705" s="418"/>
      <c r="BF1705" s="1119"/>
      <c r="BG1705" s="1119"/>
      <c r="BH1705" s="1119"/>
    </row>
    <row r="1706" spans="1:60" ht="15.75" customHeight="1">
      <c r="A1706" s="1076"/>
      <c r="B1706" s="416"/>
      <c r="C1706" s="424"/>
      <c r="E1706" s="418"/>
      <c r="F1706" s="493"/>
      <c r="G1706" s="418"/>
      <c r="H1706" s="421"/>
      <c r="I1706" s="421"/>
      <c r="J1706" s="492"/>
      <c r="K1706" s="418"/>
      <c r="L1706" s="418"/>
      <c r="M1706" s="418"/>
      <c r="N1706" s="421"/>
      <c r="O1706" s="421"/>
      <c r="P1706" s="421"/>
      <c r="Q1706" s="418"/>
      <c r="R1706" s="418"/>
      <c r="S1706" s="418"/>
      <c r="T1706" s="418"/>
      <c r="U1706" s="418"/>
      <c r="V1706" s="418"/>
      <c r="W1706" s="418"/>
      <c r="X1706" s="418"/>
      <c r="Y1706" s="418"/>
      <c r="Z1706" s="418"/>
      <c r="AA1706" s="418"/>
      <c r="AB1706" s="418"/>
      <c r="AC1706" s="418"/>
      <c r="AD1706" s="418"/>
      <c r="AE1706" s="418"/>
      <c r="AF1706" s="418"/>
      <c r="AG1706" s="418"/>
      <c r="AH1706" s="418"/>
      <c r="AI1706" s="418"/>
      <c r="AJ1706" s="418"/>
      <c r="AK1706" s="418"/>
      <c r="AL1706" s="418"/>
      <c r="AM1706" s="418"/>
      <c r="AN1706" s="418"/>
      <c r="AO1706" s="418"/>
      <c r="AP1706" s="418"/>
      <c r="AQ1706" s="418"/>
      <c r="AR1706" s="418"/>
      <c r="AS1706" s="418"/>
      <c r="AT1706" s="418"/>
      <c r="AU1706" s="418"/>
      <c r="AV1706" s="418"/>
      <c r="AW1706" s="418"/>
      <c r="AX1706" s="418"/>
      <c r="AY1706" s="418"/>
      <c r="BF1706" s="1119"/>
      <c r="BG1706" s="1119"/>
      <c r="BH1706" s="1119"/>
    </row>
    <row r="1707" spans="1:60" ht="15.75" customHeight="1">
      <c r="A1707" s="1076"/>
      <c r="B1707" s="416"/>
      <c r="C1707" s="424"/>
      <c r="E1707" s="418"/>
      <c r="F1707" s="493"/>
      <c r="G1707" s="418"/>
      <c r="H1707" s="421"/>
      <c r="I1707" s="425"/>
      <c r="J1707" s="492"/>
      <c r="K1707" s="418"/>
      <c r="L1707" s="418"/>
      <c r="M1707" s="418"/>
      <c r="N1707" s="421"/>
      <c r="O1707" s="421"/>
      <c r="P1707" s="421"/>
      <c r="Q1707" s="418"/>
      <c r="R1707" s="418"/>
      <c r="S1707" s="418"/>
      <c r="T1707" s="418"/>
      <c r="U1707" s="418"/>
      <c r="V1707" s="418"/>
      <c r="W1707" s="418"/>
      <c r="X1707" s="418"/>
      <c r="Y1707" s="418"/>
      <c r="Z1707" s="418"/>
      <c r="AA1707" s="418"/>
      <c r="AB1707" s="418"/>
      <c r="AC1707" s="418"/>
      <c r="AD1707" s="418"/>
      <c r="AE1707" s="418"/>
      <c r="AF1707" s="418"/>
      <c r="AG1707" s="418"/>
      <c r="AH1707" s="418"/>
      <c r="AI1707" s="418"/>
      <c r="AJ1707" s="418"/>
      <c r="AK1707" s="418"/>
      <c r="AL1707" s="418"/>
      <c r="AM1707" s="418"/>
      <c r="AN1707" s="418"/>
      <c r="AO1707" s="418"/>
      <c r="AP1707" s="418"/>
      <c r="AQ1707" s="418"/>
      <c r="AR1707" s="418"/>
      <c r="AS1707" s="418"/>
      <c r="AT1707" s="418"/>
      <c r="AU1707" s="418"/>
      <c r="AV1707" s="418"/>
      <c r="AW1707" s="418"/>
      <c r="AX1707" s="418"/>
      <c r="AY1707" s="418"/>
      <c r="BF1707" s="1119"/>
      <c r="BG1707" s="1119"/>
      <c r="BH1707" s="1119"/>
    </row>
    <row r="1708" spans="1:60" ht="15.75" customHeight="1">
      <c r="A1708" s="1076"/>
      <c r="B1708" s="416"/>
      <c r="C1708" s="424"/>
      <c r="E1708" s="418"/>
      <c r="F1708" s="493"/>
      <c r="G1708" s="418"/>
      <c r="H1708" s="421"/>
      <c r="I1708" s="421"/>
      <c r="J1708" s="492"/>
      <c r="K1708" s="418"/>
      <c r="L1708" s="418"/>
      <c r="M1708" s="418"/>
      <c r="N1708" s="421"/>
      <c r="O1708" s="421"/>
      <c r="P1708" s="421"/>
      <c r="Q1708" s="418"/>
      <c r="R1708" s="418"/>
      <c r="S1708" s="418"/>
      <c r="T1708" s="418"/>
      <c r="U1708" s="418"/>
      <c r="V1708" s="418"/>
      <c r="W1708" s="418"/>
      <c r="X1708" s="418"/>
      <c r="Y1708" s="418"/>
      <c r="Z1708" s="418"/>
      <c r="AA1708" s="418"/>
      <c r="AB1708" s="418"/>
      <c r="AC1708" s="418"/>
      <c r="AD1708" s="418"/>
      <c r="AE1708" s="418"/>
      <c r="AF1708" s="418"/>
      <c r="AG1708" s="418"/>
      <c r="AH1708" s="418"/>
      <c r="AI1708" s="418"/>
      <c r="AJ1708" s="418"/>
      <c r="AK1708" s="418"/>
      <c r="AL1708" s="418"/>
      <c r="AM1708" s="418"/>
      <c r="AN1708" s="418"/>
      <c r="AO1708" s="418"/>
      <c r="AP1708" s="418"/>
      <c r="AQ1708" s="418"/>
      <c r="AR1708" s="418"/>
      <c r="AS1708" s="418"/>
      <c r="AT1708" s="418"/>
      <c r="AU1708" s="418"/>
      <c r="AV1708" s="418"/>
      <c r="AW1708" s="418"/>
      <c r="AX1708" s="418"/>
      <c r="AY1708" s="418"/>
      <c r="BF1708" s="1119"/>
      <c r="BG1708" s="1119"/>
      <c r="BH1708" s="1119"/>
    </row>
    <row r="1709" spans="1:60" ht="15.75" customHeight="1">
      <c r="A1709" s="1076"/>
      <c r="B1709" s="416"/>
      <c r="C1709" s="424"/>
      <c r="E1709" s="418"/>
      <c r="F1709" s="493"/>
      <c r="G1709" s="418"/>
      <c r="H1709" s="421"/>
      <c r="I1709" s="421"/>
      <c r="J1709" s="492"/>
      <c r="K1709" s="418"/>
      <c r="L1709" s="418"/>
      <c r="M1709" s="418"/>
      <c r="N1709" s="421"/>
      <c r="O1709" s="421"/>
      <c r="P1709" s="421"/>
      <c r="Q1709" s="418"/>
      <c r="R1709" s="418"/>
      <c r="S1709" s="418"/>
      <c r="T1709" s="418"/>
      <c r="U1709" s="418"/>
      <c r="V1709" s="418"/>
      <c r="W1709" s="418"/>
      <c r="X1709" s="418"/>
      <c r="Y1709" s="418"/>
      <c r="Z1709" s="418"/>
      <c r="AA1709" s="418"/>
      <c r="AB1709" s="418"/>
      <c r="AC1709" s="418"/>
      <c r="AD1709" s="418"/>
      <c r="AE1709" s="418"/>
      <c r="AF1709" s="418"/>
      <c r="AG1709" s="418"/>
      <c r="AH1709" s="418"/>
      <c r="AI1709" s="418"/>
      <c r="AJ1709" s="418"/>
      <c r="AK1709" s="418"/>
      <c r="AL1709" s="418"/>
      <c r="AM1709" s="418"/>
      <c r="AN1709" s="418"/>
      <c r="AO1709" s="418"/>
      <c r="AP1709" s="418"/>
      <c r="AQ1709" s="418"/>
      <c r="AR1709" s="418"/>
      <c r="AS1709" s="418"/>
      <c r="AT1709" s="418"/>
      <c r="AU1709" s="418"/>
      <c r="AV1709" s="418"/>
      <c r="AW1709" s="418"/>
      <c r="AX1709" s="418"/>
      <c r="AY1709" s="418"/>
      <c r="BF1709" s="1119"/>
      <c r="BG1709" s="1119"/>
      <c r="BH1709" s="1119"/>
    </row>
    <row r="1710" spans="1:60" ht="15.75" customHeight="1">
      <c r="A1710" s="1076"/>
      <c r="B1710" s="416"/>
      <c r="C1710" s="424"/>
      <c r="E1710" s="418"/>
      <c r="F1710" s="493"/>
      <c r="G1710" s="418"/>
      <c r="H1710" s="421"/>
      <c r="I1710" s="421"/>
      <c r="J1710" s="492"/>
      <c r="K1710" s="418"/>
      <c r="L1710" s="418"/>
      <c r="M1710" s="418"/>
      <c r="N1710" s="421"/>
      <c r="O1710" s="421"/>
      <c r="P1710" s="421"/>
      <c r="Q1710" s="418"/>
      <c r="R1710" s="418"/>
      <c r="S1710" s="418"/>
      <c r="T1710" s="418"/>
      <c r="U1710" s="418"/>
      <c r="V1710" s="418"/>
      <c r="W1710" s="418"/>
      <c r="X1710" s="418"/>
      <c r="Y1710" s="418"/>
      <c r="Z1710" s="418"/>
      <c r="AA1710" s="418"/>
      <c r="AB1710" s="418"/>
      <c r="AC1710" s="418"/>
      <c r="AD1710" s="418"/>
      <c r="AE1710" s="418"/>
      <c r="AF1710" s="418"/>
      <c r="AG1710" s="418"/>
      <c r="AH1710" s="418"/>
      <c r="AI1710" s="418"/>
      <c r="AJ1710" s="418"/>
      <c r="AK1710" s="418"/>
      <c r="AL1710" s="418"/>
      <c r="AM1710" s="418"/>
      <c r="AN1710" s="418"/>
      <c r="AO1710" s="418"/>
      <c r="AP1710" s="418"/>
      <c r="AQ1710" s="418"/>
      <c r="AR1710" s="418"/>
      <c r="AS1710" s="418"/>
      <c r="AT1710" s="418"/>
      <c r="AU1710" s="418"/>
      <c r="AV1710" s="418"/>
      <c r="AW1710" s="418"/>
      <c r="AX1710" s="418"/>
      <c r="AY1710" s="418"/>
      <c r="BF1710" s="1119"/>
      <c r="BG1710" s="1119"/>
      <c r="BH1710" s="1119"/>
    </row>
    <row r="1711" spans="1:60" ht="15.75" customHeight="1">
      <c r="A1711" s="1076"/>
      <c r="B1711" s="416"/>
      <c r="C1711" s="424"/>
      <c r="E1711" s="418"/>
      <c r="F1711" s="493"/>
      <c r="G1711" s="418"/>
      <c r="H1711" s="421"/>
      <c r="I1711" s="421"/>
      <c r="J1711" s="492"/>
      <c r="K1711" s="418"/>
      <c r="L1711" s="418"/>
      <c r="M1711" s="418"/>
      <c r="N1711" s="421"/>
      <c r="O1711" s="421"/>
      <c r="P1711" s="421"/>
      <c r="Q1711" s="418"/>
      <c r="R1711" s="418"/>
      <c r="S1711" s="418"/>
      <c r="T1711" s="418"/>
      <c r="U1711" s="418"/>
      <c r="V1711" s="418"/>
      <c r="W1711" s="418"/>
      <c r="X1711" s="418"/>
      <c r="Y1711" s="418"/>
      <c r="Z1711" s="418"/>
      <c r="AA1711" s="418"/>
      <c r="AB1711" s="418"/>
      <c r="AC1711" s="418"/>
      <c r="AD1711" s="418"/>
      <c r="AE1711" s="418"/>
      <c r="AF1711" s="418"/>
      <c r="AG1711" s="418"/>
      <c r="AH1711" s="418"/>
      <c r="AI1711" s="418"/>
      <c r="AJ1711" s="418"/>
      <c r="AK1711" s="418"/>
      <c r="AL1711" s="418"/>
      <c r="AM1711" s="418"/>
      <c r="AN1711" s="418"/>
      <c r="AO1711" s="418"/>
      <c r="AP1711" s="418"/>
      <c r="AQ1711" s="418"/>
      <c r="AR1711" s="418"/>
      <c r="AS1711" s="418"/>
      <c r="AT1711" s="418"/>
      <c r="AU1711" s="418"/>
      <c r="AV1711" s="418"/>
      <c r="AW1711" s="418"/>
      <c r="AX1711" s="418"/>
      <c r="AY1711" s="418"/>
      <c r="BF1711" s="1119"/>
      <c r="BG1711" s="1119"/>
      <c r="BH1711" s="1119"/>
    </row>
    <row r="1712" spans="1:60" ht="15.75" customHeight="1">
      <c r="A1712" s="1076"/>
      <c r="B1712" s="416"/>
      <c r="C1712" s="424"/>
      <c r="E1712" s="418"/>
      <c r="F1712" s="493"/>
      <c r="G1712" s="418"/>
      <c r="H1712" s="421"/>
      <c r="I1712" s="421"/>
      <c r="J1712" s="492"/>
      <c r="K1712" s="418"/>
      <c r="L1712" s="418"/>
      <c r="M1712" s="418"/>
      <c r="N1712" s="421"/>
      <c r="O1712" s="421"/>
      <c r="P1712" s="421"/>
      <c r="Q1712" s="418"/>
      <c r="R1712" s="418"/>
      <c r="S1712" s="418"/>
      <c r="T1712" s="418"/>
      <c r="U1712" s="418"/>
      <c r="V1712" s="418"/>
      <c r="W1712" s="418"/>
      <c r="X1712" s="418"/>
      <c r="Y1712" s="418"/>
      <c r="Z1712" s="418"/>
      <c r="AA1712" s="418"/>
      <c r="AB1712" s="418"/>
      <c r="AC1712" s="418"/>
      <c r="AD1712" s="418"/>
      <c r="AE1712" s="418"/>
      <c r="AF1712" s="418"/>
      <c r="AG1712" s="418"/>
      <c r="AH1712" s="418"/>
      <c r="AI1712" s="418"/>
      <c r="AJ1712" s="418"/>
      <c r="AK1712" s="418"/>
      <c r="AL1712" s="418"/>
      <c r="AM1712" s="418"/>
      <c r="AN1712" s="418"/>
      <c r="AO1712" s="418"/>
      <c r="AP1712" s="418"/>
      <c r="AQ1712" s="418"/>
      <c r="AR1712" s="418"/>
      <c r="AS1712" s="418"/>
      <c r="AT1712" s="418"/>
      <c r="AU1712" s="418"/>
      <c r="AV1712" s="418"/>
      <c r="AW1712" s="418"/>
      <c r="AX1712" s="418"/>
      <c r="AY1712" s="418"/>
      <c r="BF1712" s="1119"/>
      <c r="BG1712" s="1119"/>
      <c r="BH1712" s="1119"/>
    </row>
    <row r="1713" spans="1:60" ht="15.75" customHeight="1">
      <c r="A1713" s="1076"/>
      <c r="B1713" s="416"/>
      <c r="C1713" s="424"/>
      <c r="E1713" s="418"/>
      <c r="F1713" s="493"/>
      <c r="G1713" s="418"/>
      <c r="H1713" s="421"/>
      <c r="I1713" s="421"/>
      <c r="J1713" s="492"/>
      <c r="K1713" s="418"/>
      <c r="L1713" s="418"/>
      <c r="M1713" s="418"/>
      <c r="N1713" s="421"/>
      <c r="O1713" s="421"/>
      <c r="P1713" s="421"/>
      <c r="Q1713" s="418"/>
      <c r="R1713" s="418"/>
      <c r="S1713" s="418"/>
      <c r="T1713" s="418"/>
      <c r="U1713" s="418"/>
      <c r="V1713" s="418"/>
      <c r="W1713" s="418"/>
      <c r="X1713" s="418"/>
      <c r="Y1713" s="418"/>
      <c r="Z1713" s="418"/>
      <c r="AA1713" s="418"/>
      <c r="AB1713" s="418"/>
      <c r="AC1713" s="418"/>
      <c r="AD1713" s="418"/>
      <c r="AE1713" s="418"/>
      <c r="AF1713" s="418"/>
      <c r="AG1713" s="418"/>
      <c r="AH1713" s="418"/>
      <c r="AI1713" s="418"/>
      <c r="AJ1713" s="418"/>
      <c r="AK1713" s="418"/>
      <c r="AL1713" s="418"/>
      <c r="AM1713" s="418"/>
      <c r="AN1713" s="418"/>
      <c r="AO1713" s="418"/>
      <c r="AP1713" s="418"/>
      <c r="AQ1713" s="418"/>
      <c r="AR1713" s="418"/>
      <c r="AS1713" s="418"/>
      <c r="AT1713" s="418"/>
      <c r="AU1713" s="418"/>
      <c r="AV1713" s="418"/>
      <c r="AW1713" s="418"/>
      <c r="AX1713" s="418"/>
      <c r="AY1713" s="418"/>
      <c r="BF1713" s="1119"/>
      <c r="BG1713" s="1119"/>
      <c r="BH1713" s="1119"/>
    </row>
    <row r="1714" spans="1:60" ht="15.75" customHeight="1">
      <c r="A1714" s="1076"/>
      <c r="B1714" s="416"/>
      <c r="C1714" s="424"/>
      <c r="E1714" s="418"/>
      <c r="F1714" s="493"/>
      <c r="G1714" s="418"/>
      <c r="H1714" s="421"/>
      <c r="I1714" s="421"/>
      <c r="J1714" s="492"/>
      <c r="K1714" s="418"/>
      <c r="L1714" s="418"/>
      <c r="M1714" s="418"/>
      <c r="N1714" s="421"/>
      <c r="O1714" s="421"/>
      <c r="P1714" s="421"/>
      <c r="Q1714" s="418"/>
      <c r="R1714" s="418"/>
      <c r="S1714" s="418"/>
      <c r="T1714" s="418"/>
      <c r="U1714" s="418"/>
      <c r="V1714" s="418"/>
      <c r="W1714" s="418"/>
      <c r="X1714" s="418"/>
      <c r="Y1714" s="418"/>
      <c r="Z1714" s="418"/>
      <c r="AA1714" s="418"/>
      <c r="AB1714" s="418"/>
      <c r="AC1714" s="418"/>
      <c r="AD1714" s="418"/>
      <c r="AE1714" s="418"/>
      <c r="AF1714" s="418"/>
      <c r="AG1714" s="418"/>
      <c r="AH1714" s="418"/>
      <c r="AI1714" s="418"/>
      <c r="AJ1714" s="418"/>
      <c r="AK1714" s="418"/>
      <c r="AL1714" s="418"/>
      <c r="AM1714" s="418"/>
      <c r="AN1714" s="418"/>
      <c r="AO1714" s="418"/>
      <c r="AP1714" s="418"/>
      <c r="AQ1714" s="418"/>
      <c r="AR1714" s="418"/>
      <c r="AS1714" s="418"/>
      <c r="AT1714" s="418"/>
      <c r="AU1714" s="418"/>
      <c r="AV1714" s="418"/>
      <c r="AW1714" s="418"/>
      <c r="AX1714" s="418"/>
      <c r="AY1714" s="418"/>
      <c r="BF1714" s="1119"/>
      <c r="BG1714" s="1119"/>
      <c r="BH1714" s="1119"/>
    </row>
    <row r="1715" spans="1:60" ht="15.75" customHeight="1">
      <c r="A1715" s="1076"/>
      <c r="B1715" s="416"/>
      <c r="C1715" s="424"/>
      <c r="E1715" s="418"/>
      <c r="F1715" s="493"/>
      <c r="G1715" s="418"/>
      <c r="H1715" s="421"/>
      <c r="I1715" s="421"/>
      <c r="J1715" s="492"/>
      <c r="K1715" s="418"/>
      <c r="L1715" s="418"/>
      <c r="M1715" s="418"/>
      <c r="N1715" s="421"/>
      <c r="O1715" s="421"/>
      <c r="P1715" s="421"/>
      <c r="Q1715" s="418"/>
      <c r="R1715" s="418"/>
      <c r="S1715" s="418"/>
      <c r="T1715" s="418"/>
      <c r="U1715" s="418"/>
      <c r="V1715" s="418"/>
      <c r="W1715" s="418"/>
      <c r="X1715" s="418"/>
      <c r="Y1715" s="418"/>
      <c r="Z1715" s="418"/>
      <c r="AA1715" s="418"/>
      <c r="AB1715" s="418"/>
      <c r="AC1715" s="418"/>
      <c r="AD1715" s="418"/>
      <c r="AE1715" s="418"/>
      <c r="AF1715" s="418"/>
      <c r="AG1715" s="418"/>
      <c r="AH1715" s="418"/>
      <c r="AI1715" s="418"/>
      <c r="AJ1715" s="418"/>
      <c r="AK1715" s="418"/>
      <c r="AL1715" s="418"/>
      <c r="AM1715" s="418"/>
      <c r="AN1715" s="418"/>
      <c r="AO1715" s="418"/>
      <c r="AP1715" s="418"/>
      <c r="AQ1715" s="418"/>
      <c r="AR1715" s="418"/>
      <c r="AS1715" s="418"/>
      <c r="AT1715" s="418"/>
      <c r="AU1715" s="418"/>
      <c r="AV1715" s="418"/>
      <c r="AW1715" s="418"/>
      <c r="AX1715" s="418"/>
      <c r="AY1715" s="418"/>
      <c r="BF1715" s="1119"/>
      <c r="BG1715" s="1119"/>
      <c r="BH1715" s="1119"/>
    </row>
    <row r="1716" spans="1:60" ht="15.75" customHeight="1">
      <c r="A1716" s="1076"/>
      <c r="B1716" s="416"/>
      <c r="C1716" s="424"/>
      <c r="E1716" s="418"/>
      <c r="F1716" s="493"/>
      <c r="G1716" s="418"/>
      <c r="H1716" s="421"/>
      <c r="I1716" s="421"/>
      <c r="J1716" s="492"/>
      <c r="K1716" s="418"/>
      <c r="L1716" s="418"/>
      <c r="M1716" s="418"/>
      <c r="N1716" s="421"/>
      <c r="O1716" s="421"/>
      <c r="P1716" s="421"/>
      <c r="Q1716" s="418"/>
      <c r="R1716" s="418"/>
      <c r="S1716" s="418"/>
      <c r="T1716" s="418"/>
      <c r="U1716" s="418"/>
      <c r="V1716" s="418"/>
      <c r="W1716" s="418"/>
      <c r="X1716" s="418"/>
      <c r="Y1716" s="418"/>
      <c r="Z1716" s="418"/>
      <c r="AA1716" s="418"/>
      <c r="AB1716" s="418"/>
      <c r="AC1716" s="418"/>
      <c r="AD1716" s="418"/>
      <c r="AE1716" s="418"/>
      <c r="AF1716" s="418"/>
      <c r="AG1716" s="418"/>
      <c r="AH1716" s="418"/>
      <c r="AI1716" s="418"/>
      <c r="AJ1716" s="418"/>
      <c r="AK1716" s="418"/>
      <c r="AL1716" s="418"/>
      <c r="AM1716" s="418"/>
      <c r="AN1716" s="418"/>
      <c r="AO1716" s="418"/>
      <c r="AP1716" s="418"/>
      <c r="AQ1716" s="418"/>
      <c r="AR1716" s="418"/>
      <c r="AS1716" s="418"/>
      <c r="AT1716" s="418"/>
      <c r="AU1716" s="418"/>
      <c r="AV1716" s="418"/>
      <c r="AW1716" s="418"/>
      <c r="AX1716" s="418"/>
      <c r="AY1716" s="418"/>
      <c r="BF1716" s="1119"/>
      <c r="BG1716" s="1119"/>
      <c r="BH1716" s="1119"/>
    </row>
    <row r="1717" spans="1:60" ht="15.75" customHeight="1">
      <c r="A1717" s="1076"/>
      <c r="B1717" s="416"/>
      <c r="C1717" s="424"/>
      <c r="E1717" s="418"/>
      <c r="F1717" s="493"/>
      <c r="G1717" s="418"/>
      <c r="H1717" s="421"/>
      <c r="I1717" s="421"/>
      <c r="J1717" s="492"/>
      <c r="K1717" s="418"/>
      <c r="L1717" s="418"/>
      <c r="M1717" s="418"/>
      <c r="N1717" s="421"/>
      <c r="O1717" s="421"/>
      <c r="P1717" s="421"/>
      <c r="Q1717" s="418"/>
      <c r="R1717" s="418"/>
      <c r="S1717" s="418"/>
      <c r="T1717" s="418"/>
      <c r="U1717" s="418"/>
      <c r="V1717" s="418"/>
      <c r="W1717" s="418"/>
      <c r="X1717" s="418"/>
      <c r="Y1717" s="418"/>
      <c r="Z1717" s="418"/>
      <c r="AA1717" s="418"/>
      <c r="AB1717" s="418"/>
      <c r="AC1717" s="418"/>
      <c r="AD1717" s="418"/>
      <c r="AE1717" s="418"/>
      <c r="AF1717" s="418"/>
      <c r="AG1717" s="418"/>
      <c r="AH1717" s="418"/>
      <c r="AI1717" s="418"/>
      <c r="AJ1717" s="418"/>
      <c r="AK1717" s="418"/>
      <c r="AL1717" s="418"/>
      <c r="AM1717" s="418"/>
      <c r="AN1717" s="418"/>
      <c r="AO1717" s="418"/>
      <c r="AP1717" s="418"/>
      <c r="AQ1717" s="418"/>
      <c r="AR1717" s="418"/>
      <c r="AS1717" s="418"/>
      <c r="AT1717" s="418"/>
      <c r="AU1717" s="418"/>
      <c r="AV1717" s="418"/>
      <c r="AW1717" s="418"/>
      <c r="AX1717" s="418"/>
      <c r="AY1717" s="418"/>
      <c r="BF1717" s="1119"/>
      <c r="BG1717" s="1119"/>
      <c r="BH1717" s="1119"/>
    </row>
    <row r="1718" spans="1:60" ht="15.75" customHeight="1">
      <c r="A1718" s="1076"/>
      <c r="B1718" s="416"/>
      <c r="C1718" s="424"/>
      <c r="E1718" s="418"/>
      <c r="F1718" s="493"/>
      <c r="G1718" s="418"/>
      <c r="H1718" s="421"/>
      <c r="I1718" s="421"/>
      <c r="J1718" s="492"/>
      <c r="K1718" s="418"/>
      <c r="L1718" s="418"/>
      <c r="M1718" s="418"/>
      <c r="N1718" s="421"/>
      <c r="O1718" s="421"/>
      <c r="P1718" s="421"/>
      <c r="Q1718" s="418"/>
      <c r="R1718" s="418"/>
      <c r="S1718" s="418"/>
      <c r="T1718" s="418"/>
      <c r="U1718" s="418"/>
      <c r="V1718" s="418"/>
      <c r="W1718" s="418"/>
      <c r="X1718" s="418"/>
      <c r="Y1718" s="418"/>
      <c r="Z1718" s="418"/>
      <c r="AA1718" s="418"/>
      <c r="AB1718" s="418"/>
      <c r="AC1718" s="418"/>
      <c r="AD1718" s="418"/>
      <c r="AE1718" s="418"/>
      <c r="AF1718" s="418"/>
      <c r="AG1718" s="418"/>
      <c r="AH1718" s="418"/>
      <c r="AI1718" s="418"/>
      <c r="AJ1718" s="418"/>
      <c r="AK1718" s="418"/>
      <c r="AL1718" s="418"/>
      <c r="AM1718" s="418"/>
      <c r="AN1718" s="418"/>
      <c r="AO1718" s="418"/>
      <c r="AP1718" s="418"/>
      <c r="AQ1718" s="418"/>
      <c r="AR1718" s="418"/>
      <c r="AS1718" s="418"/>
      <c r="AT1718" s="418"/>
      <c r="AU1718" s="418"/>
      <c r="AV1718" s="418"/>
      <c r="AW1718" s="418"/>
      <c r="AX1718" s="418"/>
      <c r="AY1718" s="418"/>
      <c r="BF1718" s="1119"/>
      <c r="BG1718" s="1119"/>
      <c r="BH1718" s="1119"/>
    </row>
    <row r="1719" spans="1:60" ht="15.75" customHeight="1">
      <c r="A1719" s="1076"/>
      <c r="B1719" s="416"/>
      <c r="C1719" s="424"/>
      <c r="E1719" s="418"/>
      <c r="F1719" s="493"/>
      <c r="G1719" s="418"/>
      <c r="H1719" s="421"/>
      <c r="I1719" s="421"/>
      <c r="J1719" s="492"/>
      <c r="K1719" s="418"/>
      <c r="L1719" s="418"/>
      <c r="M1719" s="418"/>
      <c r="N1719" s="421"/>
      <c r="O1719" s="421"/>
      <c r="P1719" s="421"/>
      <c r="Q1719" s="418"/>
      <c r="R1719" s="418"/>
      <c r="S1719" s="418"/>
      <c r="T1719" s="418"/>
      <c r="U1719" s="418"/>
      <c r="V1719" s="418"/>
      <c r="W1719" s="418"/>
      <c r="X1719" s="418"/>
      <c r="Y1719" s="418"/>
      <c r="Z1719" s="418"/>
      <c r="AA1719" s="418"/>
      <c r="AB1719" s="418"/>
      <c r="AC1719" s="418"/>
      <c r="AD1719" s="418"/>
      <c r="AE1719" s="418"/>
      <c r="AF1719" s="418"/>
      <c r="AG1719" s="418"/>
      <c r="AH1719" s="418"/>
      <c r="AI1719" s="418"/>
      <c r="AJ1719" s="418"/>
      <c r="AK1719" s="418"/>
      <c r="AL1719" s="418"/>
      <c r="AM1719" s="418"/>
      <c r="AN1719" s="418"/>
      <c r="AO1719" s="418"/>
      <c r="AP1719" s="418"/>
      <c r="AQ1719" s="418"/>
      <c r="AR1719" s="418"/>
      <c r="AS1719" s="418"/>
      <c r="AT1719" s="418"/>
      <c r="AU1719" s="418"/>
      <c r="AV1719" s="418"/>
      <c r="AW1719" s="418"/>
      <c r="AX1719" s="418"/>
      <c r="AY1719" s="418"/>
      <c r="BF1719" s="1119"/>
      <c r="BG1719" s="1119"/>
      <c r="BH1719" s="1119"/>
    </row>
    <row r="1720" spans="1:60" ht="15.75" customHeight="1">
      <c r="A1720" s="1076"/>
      <c r="B1720" s="416"/>
      <c r="C1720" s="424"/>
      <c r="E1720" s="418"/>
      <c r="F1720" s="493"/>
      <c r="G1720" s="418"/>
      <c r="H1720" s="418"/>
      <c r="I1720" s="418"/>
      <c r="J1720" s="424"/>
      <c r="K1720" s="418"/>
      <c r="L1720" s="418"/>
      <c r="M1720" s="418"/>
      <c r="N1720" s="421"/>
      <c r="O1720" s="421"/>
      <c r="P1720" s="421"/>
      <c r="Q1720" s="418"/>
      <c r="R1720" s="418"/>
      <c r="S1720" s="418"/>
      <c r="T1720" s="418"/>
      <c r="U1720" s="418"/>
      <c r="V1720" s="418"/>
      <c r="W1720" s="418"/>
      <c r="X1720" s="418"/>
      <c r="Y1720" s="418"/>
      <c r="Z1720" s="418"/>
      <c r="AA1720" s="418"/>
      <c r="AB1720" s="418"/>
      <c r="AC1720" s="418"/>
      <c r="AD1720" s="418"/>
      <c r="AE1720" s="418"/>
      <c r="AF1720" s="418"/>
      <c r="AG1720" s="418"/>
      <c r="AH1720" s="418"/>
      <c r="AI1720" s="418"/>
      <c r="AJ1720" s="418"/>
      <c r="AK1720" s="418"/>
      <c r="AL1720" s="418"/>
      <c r="AM1720" s="418"/>
      <c r="AN1720" s="418"/>
      <c r="AO1720" s="418"/>
      <c r="AP1720" s="418"/>
      <c r="AQ1720" s="418"/>
      <c r="AR1720" s="418"/>
      <c r="AS1720" s="418"/>
      <c r="AT1720" s="418"/>
      <c r="AU1720" s="418"/>
      <c r="AV1720" s="418"/>
      <c r="AW1720" s="418"/>
      <c r="AX1720" s="418"/>
      <c r="AY1720" s="418"/>
      <c r="BF1720" s="1119"/>
      <c r="BG1720" s="1119"/>
      <c r="BH1720" s="1119"/>
    </row>
    <row r="1721" spans="1:60" ht="15.75" customHeight="1">
      <c r="A1721" s="1076"/>
      <c r="B1721" s="416"/>
      <c r="C1721" s="424"/>
      <c r="E1721" s="418"/>
      <c r="F1721" s="493"/>
      <c r="G1721" s="418"/>
      <c r="H1721" s="421"/>
      <c r="I1721" s="421"/>
      <c r="J1721" s="492"/>
      <c r="K1721" s="418"/>
      <c r="L1721" s="418"/>
      <c r="M1721" s="418"/>
      <c r="N1721" s="418"/>
      <c r="O1721" s="421"/>
      <c r="P1721" s="421"/>
      <c r="Q1721" s="418"/>
      <c r="R1721" s="418"/>
      <c r="S1721" s="418"/>
      <c r="T1721" s="418"/>
      <c r="U1721" s="418"/>
      <c r="V1721" s="418"/>
      <c r="W1721" s="418"/>
      <c r="X1721" s="418"/>
      <c r="Y1721" s="418"/>
      <c r="Z1721" s="418"/>
      <c r="AA1721" s="418"/>
      <c r="AB1721" s="418"/>
      <c r="AC1721" s="418"/>
      <c r="AD1721" s="418"/>
      <c r="AE1721" s="418"/>
      <c r="AF1721" s="418"/>
      <c r="AG1721" s="418"/>
      <c r="AH1721" s="418"/>
      <c r="AI1721" s="418"/>
      <c r="AJ1721" s="418"/>
      <c r="AK1721" s="418"/>
      <c r="AL1721" s="418"/>
      <c r="AM1721" s="418"/>
      <c r="AN1721" s="418"/>
      <c r="AO1721" s="418"/>
      <c r="AP1721" s="418"/>
      <c r="AQ1721" s="418"/>
      <c r="AR1721" s="418"/>
      <c r="AS1721" s="418"/>
      <c r="AT1721" s="418"/>
      <c r="AU1721" s="418"/>
      <c r="AV1721" s="418"/>
      <c r="AW1721" s="418"/>
      <c r="AX1721" s="418"/>
      <c r="AY1721" s="418"/>
      <c r="BF1721" s="1119"/>
      <c r="BG1721" s="1119"/>
      <c r="BH1721" s="1119"/>
    </row>
    <row r="1722" spans="1:60" ht="15.75" customHeight="1">
      <c r="A1722" s="1076"/>
      <c r="B1722" s="416"/>
      <c r="C1722" s="424"/>
      <c r="E1722" s="418"/>
      <c r="F1722" s="493"/>
      <c r="G1722" s="418"/>
      <c r="H1722" s="421"/>
      <c r="I1722" s="421"/>
      <c r="J1722" s="492"/>
      <c r="K1722" s="418"/>
      <c r="L1722" s="418"/>
      <c r="M1722" s="418"/>
      <c r="N1722" s="421"/>
      <c r="O1722" s="421"/>
      <c r="P1722" s="421"/>
      <c r="Q1722" s="418"/>
      <c r="R1722" s="418"/>
      <c r="S1722" s="418"/>
      <c r="T1722" s="418"/>
      <c r="U1722" s="418"/>
      <c r="V1722" s="418"/>
      <c r="W1722" s="418"/>
      <c r="X1722" s="418"/>
      <c r="Y1722" s="418"/>
      <c r="Z1722" s="418"/>
      <c r="AA1722" s="418"/>
      <c r="AB1722" s="418"/>
      <c r="AC1722" s="418"/>
      <c r="AD1722" s="418"/>
      <c r="AE1722" s="418"/>
      <c r="AF1722" s="418"/>
      <c r="AG1722" s="418"/>
      <c r="AH1722" s="418"/>
      <c r="AI1722" s="418"/>
      <c r="AJ1722" s="418"/>
      <c r="AK1722" s="418"/>
      <c r="AL1722" s="418"/>
      <c r="AM1722" s="418"/>
      <c r="AN1722" s="418"/>
      <c r="AO1722" s="418"/>
      <c r="AP1722" s="418"/>
      <c r="AQ1722" s="418"/>
      <c r="AR1722" s="418"/>
      <c r="AS1722" s="418"/>
      <c r="AT1722" s="418"/>
      <c r="AU1722" s="418"/>
      <c r="AV1722" s="418"/>
      <c r="AW1722" s="418"/>
      <c r="AX1722" s="418"/>
      <c r="AY1722" s="418"/>
      <c r="BF1722" s="1119"/>
      <c r="BG1722" s="1119"/>
      <c r="BH1722" s="1119"/>
    </row>
    <row r="1723" spans="1:60" ht="15.75" customHeight="1">
      <c r="A1723" s="1076"/>
      <c r="B1723" s="416"/>
      <c r="C1723" s="424"/>
      <c r="E1723" s="418"/>
      <c r="F1723" s="493"/>
      <c r="G1723" s="418"/>
      <c r="H1723" s="421"/>
      <c r="I1723" s="425"/>
      <c r="J1723" s="492"/>
      <c r="K1723" s="418"/>
      <c r="L1723" s="418"/>
      <c r="M1723" s="418"/>
      <c r="N1723" s="421"/>
      <c r="O1723" s="421"/>
      <c r="P1723" s="421"/>
      <c r="Q1723" s="418"/>
      <c r="R1723" s="418"/>
      <c r="S1723" s="418"/>
      <c r="T1723" s="418"/>
      <c r="U1723" s="418"/>
      <c r="V1723" s="418"/>
      <c r="W1723" s="418"/>
      <c r="X1723" s="418"/>
      <c r="Y1723" s="418"/>
      <c r="Z1723" s="418"/>
      <c r="AA1723" s="418"/>
      <c r="AB1723" s="418"/>
      <c r="AC1723" s="418"/>
      <c r="AD1723" s="418"/>
      <c r="AE1723" s="418"/>
      <c r="AF1723" s="418"/>
      <c r="AG1723" s="418"/>
      <c r="AH1723" s="418"/>
      <c r="AI1723" s="418"/>
      <c r="AJ1723" s="418"/>
      <c r="AK1723" s="418"/>
      <c r="AL1723" s="418"/>
      <c r="AM1723" s="418"/>
      <c r="AN1723" s="418"/>
      <c r="AO1723" s="418"/>
      <c r="AP1723" s="418"/>
      <c r="AQ1723" s="418"/>
      <c r="AR1723" s="418"/>
      <c r="AS1723" s="418"/>
      <c r="AT1723" s="418"/>
      <c r="AU1723" s="418"/>
      <c r="AV1723" s="418"/>
      <c r="AW1723" s="418"/>
      <c r="AX1723" s="418"/>
      <c r="AY1723" s="418"/>
      <c r="BF1723" s="1119"/>
      <c r="BG1723" s="1119"/>
      <c r="BH1723" s="1119"/>
    </row>
    <row r="1724" spans="1:60" ht="15.75" customHeight="1">
      <c r="A1724" s="1076"/>
      <c r="B1724" s="416"/>
      <c r="C1724" s="424"/>
      <c r="E1724" s="418"/>
      <c r="F1724" s="493"/>
      <c r="G1724" s="418"/>
      <c r="H1724" s="421"/>
      <c r="I1724" s="421"/>
      <c r="J1724" s="492"/>
      <c r="K1724" s="418"/>
      <c r="L1724" s="418"/>
      <c r="M1724" s="418"/>
      <c r="N1724" s="421"/>
      <c r="O1724" s="418"/>
      <c r="P1724" s="421"/>
      <c r="Q1724" s="418"/>
      <c r="R1724" s="418"/>
      <c r="S1724" s="418"/>
      <c r="T1724" s="418"/>
      <c r="U1724" s="418"/>
      <c r="V1724" s="418"/>
      <c r="W1724" s="418"/>
      <c r="X1724" s="418"/>
      <c r="Y1724" s="418"/>
      <c r="Z1724" s="418"/>
      <c r="AA1724" s="418"/>
      <c r="AB1724" s="418"/>
      <c r="AC1724" s="418"/>
      <c r="AD1724" s="418"/>
      <c r="AE1724" s="418"/>
      <c r="AF1724" s="418"/>
      <c r="AG1724" s="418"/>
      <c r="AH1724" s="418"/>
      <c r="AI1724" s="418"/>
      <c r="AJ1724" s="418"/>
      <c r="AK1724" s="418"/>
      <c r="AL1724" s="418"/>
      <c r="AM1724" s="418"/>
      <c r="AN1724" s="418"/>
      <c r="AO1724" s="418"/>
      <c r="AP1724" s="418"/>
      <c r="AQ1724" s="418"/>
      <c r="AR1724" s="418"/>
      <c r="AS1724" s="418"/>
      <c r="AT1724" s="418"/>
      <c r="AU1724" s="418"/>
      <c r="AV1724" s="418"/>
      <c r="AW1724" s="418"/>
      <c r="AX1724" s="418"/>
      <c r="AY1724" s="418"/>
      <c r="BF1724" s="1119"/>
      <c r="BG1724" s="1119"/>
      <c r="BH1724" s="1119"/>
    </row>
    <row r="1725" spans="1:60" ht="15.75" customHeight="1">
      <c r="A1725" s="1076"/>
      <c r="B1725" s="416"/>
      <c r="C1725" s="424"/>
      <c r="E1725" s="418"/>
      <c r="F1725" s="493"/>
      <c r="G1725" s="418"/>
      <c r="H1725" s="421"/>
      <c r="I1725" s="421"/>
      <c r="J1725" s="492"/>
      <c r="K1725" s="418"/>
      <c r="L1725" s="418"/>
      <c r="M1725" s="418"/>
      <c r="N1725" s="421"/>
      <c r="O1725" s="418"/>
      <c r="P1725" s="421"/>
      <c r="Q1725" s="418"/>
      <c r="R1725" s="418"/>
      <c r="S1725" s="418"/>
      <c r="T1725" s="418"/>
      <c r="U1725" s="418"/>
      <c r="V1725" s="418"/>
      <c r="W1725" s="418"/>
      <c r="X1725" s="418"/>
      <c r="Y1725" s="418"/>
      <c r="Z1725" s="418"/>
      <c r="AA1725" s="418"/>
      <c r="AB1725" s="418"/>
      <c r="AC1725" s="418"/>
      <c r="AD1725" s="418"/>
      <c r="AE1725" s="418"/>
      <c r="AF1725" s="418"/>
      <c r="AG1725" s="418"/>
      <c r="AH1725" s="418"/>
      <c r="AI1725" s="418"/>
      <c r="AJ1725" s="418"/>
      <c r="AK1725" s="418"/>
      <c r="AL1725" s="418"/>
      <c r="AM1725" s="418"/>
      <c r="AN1725" s="418"/>
      <c r="AO1725" s="418"/>
      <c r="AP1725" s="418"/>
      <c r="AQ1725" s="418"/>
      <c r="AR1725" s="418"/>
      <c r="AS1725" s="418"/>
      <c r="AT1725" s="418"/>
      <c r="AU1725" s="418"/>
      <c r="AV1725" s="418"/>
      <c r="AW1725" s="418"/>
      <c r="AX1725" s="418"/>
      <c r="AY1725" s="418"/>
      <c r="BF1725" s="1119"/>
      <c r="BG1725" s="1119"/>
      <c r="BH1725" s="1119"/>
    </row>
    <row r="1726" spans="1:60" ht="15.75" customHeight="1">
      <c r="A1726" s="1076"/>
      <c r="B1726" s="416"/>
      <c r="C1726" s="424"/>
      <c r="E1726" s="418"/>
      <c r="F1726" s="493"/>
      <c r="G1726" s="418"/>
      <c r="H1726" s="421"/>
      <c r="I1726" s="421"/>
      <c r="J1726" s="492"/>
      <c r="K1726" s="418"/>
      <c r="L1726" s="418"/>
      <c r="M1726" s="418"/>
      <c r="N1726" s="421"/>
      <c r="O1726" s="418"/>
      <c r="P1726" s="421"/>
      <c r="Q1726" s="418"/>
      <c r="R1726" s="418"/>
      <c r="S1726" s="418"/>
      <c r="T1726" s="418"/>
      <c r="U1726" s="418"/>
      <c r="V1726" s="418"/>
      <c r="W1726" s="418"/>
      <c r="X1726" s="418"/>
      <c r="Y1726" s="418"/>
      <c r="Z1726" s="418"/>
      <c r="AA1726" s="418"/>
      <c r="AB1726" s="418"/>
      <c r="AC1726" s="418"/>
      <c r="AD1726" s="418"/>
      <c r="AE1726" s="418"/>
      <c r="AF1726" s="418"/>
      <c r="AG1726" s="418"/>
      <c r="AH1726" s="418"/>
      <c r="AI1726" s="418"/>
      <c r="AJ1726" s="418"/>
      <c r="AK1726" s="418"/>
      <c r="AL1726" s="418"/>
      <c r="AM1726" s="418"/>
      <c r="AN1726" s="418"/>
      <c r="AO1726" s="418"/>
      <c r="AP1726" s="418"/>
      <c r="AQ1726" s="418"/>
      <c r="AR1726" s="418"/>
      <c r="AS1726" s="418"/>
      <c r="AT1726" s="418"/>
      <c r="AU1726" s="418"/>
      <c r="AV1726" s="418"/>
      <c r="AW1726" s="418"/>
      <c r="AX1726" s="418"/>
      <c r="AY1726" s="418"/>
      <c r="BF1726" s="1119"/>
      <c r="BG1726" s="1119"/>
      <c r="BH1726" s="1119"/>
    </row>
    <row r="1727" spans="1:60" ht="15.75" customHeight="1">
      <c r="A1727" s="1076"/>
      <c r="B1727" s="416"/>
      <c r="C1727" s="424"/>
      <c r="E1727" s="418"/>
      <c r="F1727" s="493"/>
      <c r="G1727" s="418"/>
      <c r="H1727" s="421"/>
      <c r="I1727" s="421"/>
      <c r="J1727" s="492"/>
      <c r="K1727" s="418"/>
      <c r="L1727" s="418"/>
      <c r="M1727" s="418"/>
      <c r="N1727" s="421"/>
      <c r="O1727" s="418"/>
      <c r="P1727" s="421"/>
      <c r="Q1727" s="418"/>
      <c r="R1727" s="418"/>
      <c r="S1727" s="418"/>
      <c r="T1727" s="418"/>
      <c r="U1727" s="418"/>
      <c r="V1727" s="418"/>
      <c r="W1727" s="418"/>
      <c r="X1727" s="418"/>
      <c r="Y1727" s="418"/>
      <c r="Z1727" s="418"/>
      <c r="AA1727" s="418"/>
      <c r="AB1727" s="418"/>
      <c r="AC1727" s="418"/>
      <c r="AD1727" s="418"/>
      <c r="AE1727" s="418"/>
      <c r="AF1727" s="418"/>
      <c r="AG1727" s="418"/>
      <c r="AH1727" s="418"/>
      <c r="AI1727" s="418"/>
      <c r="AJ1727" s="418"/>
      <c r="AK1727" s="418"/>
      <c r="AL1727" s="418"/>
      <c r="AM1727" s="418"/>
      <c r="AN1727" s="418"/>
      <c r="AO1727" s="418"/>
      <c r="AP1727" s="418"/>
      <c r="AQ1727" s="418"/>
      <c r="AR1727" s="418"/>
      <c r="AS1727" s="418"/>
      <c r="AT1727" s="418"/>
      <c r="AU1727" s="418"/>
      <c r="AV1727" s="418"/>
      <c r="AW1727" s="418"/>
      <c r="AX1727" s="418"/>
      <c r="AY1727" s="418"/>
      <c r="BF1727" s="1119"/>
      <c r="BG1727" s="1119"/>
      <c r="BH1727" s="1119"/>
    </row>
    <row r="1728" spans="1:60" ht="15.75" customHeight="1">
      <c r="A1728" s="1076"/>
      <c r="B1728" s="416"/>
      <c r="C1728" s="424"/>
      <c r="E1728" s="418"/>
      <c r="F1728" s="493"/>
      <c r="G1728" s="418"/>
      <c r="H1728" s="421"/>
      <c r="I1728" s="421"/>
      <c r="J1728" s="492"/>
      <c r="K1728" s="418"/>
      <c r="L1728" s="418"/>
      <c r="M1728" s="418"/>
      <c r="N1728" s="421"/>
      <c r="O1728" s="418"/>
      <c r="P1728" s="421"/>
      <c r="Q1728" s="418"/>
      <c r="R1728" s="418"/>
      <c r="S1728" s="418"/>
      <c r="T1728" s="418"/>
      <c r="U1728" s="418"/>
      <c r="V1728" s="418"/>
      <c r="W1728" s="418"/>
      <c r="X1728" s="418"/>
      <c r="Y1728" s="418"/>
      <c r="Z1728" s="418"/>
      <c r="AA1728" s="418"/>
      <c r="AB1728" s="418"/>
      <c r="AC1728" s="418"/>
      <c r="AD1728" s="418"/>
      <c r="AE1728" s="418"/>
      <c r="AF1728" s="418"/>
      <c r="AG1728" s="418"/>
      <c r="AH1728" s="418"/>
      <c r="AI1728" s="418"/>
      <c r="AJ1728" s="418"/>
      <c r="AK1728" s="418"/>
      <c r="AL1728" s="418"/>
      <c r="AM1728" s="418"/>
      <c r="AN1728" s="418"/>
      <c r="AO1728" s="418"/>
      <c r="AP1728" s="418"/>
      <c r="AQ1728" s="418"/>
      <c r="AR1728" s="418"/>
      <c r="AS1728" s="418"/>
      <c r="AT1728" s="418"/>
      <c r="AU1728" s="418"/>
      <c r="AV1728" s="418"/>
      <c r="AW1728" s="418"/>
      <c r="AX1728" s="418"/>
      <c r="AY1728" s="418"/>
      <c r="BF1728" s="1119"/>
      <c r="BG1728" s="1119"/>
      <c r="BH1728" s="1119"/>
    </row>
    <row r="1729" spans="1:60" ht="15.75" customHeight="1">
      <c r="A1729" s="1076"/>
      <c r="B1729" s="416"/>
      <c r="C1729" s="424"/>
      <c r="E1729" s="418"/>
      <c r="F1729" s="493"/>
      <c r="G1729" s="418"/>
      <c r="H1729" s="421"/>
      <c r="I1729" s="425"/>
      <c r="J1729" s="492"/>
      <c r="K1729" s="418"/>
      <c r="L1729" s="418"/>
      <c r="M1729" s="418"/>
      <c r="N1729" s="421"/>
      <c r="O1729" s="421"/>
      <c r="P1729" s="421"/>
      <c r="Q1729" s="418"/>
      <c r="R1729" s="418"/>
      <c r="S1729" s="418"/>
      <c r="T1729" s="418"/>
      <c r="U1729" s="418"/>
      <c r="V1729" s="418"/>
      <c r="W1729" s="418"/>
      <c r="X1729" s="418"/>
      <c r="Y1729" s="418"/>
      <c r="Z1729" s="418"/>
      <c r="AA1729" s="418"/>
      <c r="AB1729" s="418"/>
      <c r="AC1729" s="418"/>
      <c r="AD1729" s="418"/>
      <c r="AE1729" s="418"/>
      <c r="AF1729" s="418"/>
      <c r="AG1729" s="418"/>
      <c r="AH1729" s="418"/>
      <c r="AI1729" s="418"/>
      <c r="AJ1729" s="418"/>
      <c r="AK1729" s="418"/>
      <c r="AL1729" s="418"/>
      <c r="AM1729" s="418"/>
      <c r="AN1729" s="418"/>
      <c r="AO1729" s="418"/>
      <c r="AP1729" s="418"/>
      <c r="AQ1729" s="418"/>
      <c r="AR1729" s="418"/>
      <c r="AS1729" s="418"/>
      <c r="AT1729" s="418"/>
      <c r="AU1729" s="418"/>
      <c r="AV1729" s="418"/>
      <c r="AW1729" s="418"/>
      <c r="AX1729" s="418"/>
      <c r="AY1729" s="418"/>
      <c r="BF1729" s="1119"/>
      <c r="BG1729" s="1119"/>
      <c r="BH1729" s="1119"/>
    </row>
    <row r="1730" spans="1:60" ht="15.75" customHeight="1">
      <c r="A1730" s="1076"/>
      <c r="B1730" s="416"/>
      <c r="C1730" s="424"/>
      <c r="E1730" s="418"/>
      <c r="F1730" s="493"/>
      <c r="G1730" s="418"/>
      <c r="H1730" s="421"/>
      <c r="I1730" s="421"/>
      <c r="J1730" s="492"/>
      <c r="K1730" s="418"/>
      <c r="L1730" s="418"/>
      <c r="M1730" s="418"/>
      <c r="N1730" s="421"/>
      <c r="O1730" s="421"/>
      <c r="P1730" s="421"/>
      <c r="Q1730" s="418"/>
      <c r="R1730" s="418"/>
      <c r="S1730" s="418"/>
      <c r="T1730" s="418"/>
      <c r="U1730" s="418"/>
      <c r="V1730" s="418"/>
      <c r="W1730" s="418"/>
      <c r="X1730" s="418"/>
      <c r="Y1730" s="418"/>
      <c r="Z1730" s="418"/>
      <c r="AA1730" s="418"/>
      <c r="AB1730" s="418"/>
      <c r="AC1730" s="418"/>
      <c r="AD1730" s="418"/>
      <c r="AE1730" s="418"/>
      <c r="AF1730" s="418"/>
      <c r="AG1730" s="418"/>
      <c r="AH1730" s="418"/>
      <c r="AI1730" s="418"/>
      <c r="AJ1730" s="418"/>
      <c r="AK1730" s="418"/>
      <c r="AL1730" s="418"/>
      <c r="AM1730" s="418"/>
      <c r="AN1730" s="418"/>
      <c r="AO1730" s="418"/>
      <c r="AP1730" s="418"/>
      <c r="AQ1730" s="418"/>
      <c r="AR1730" s="418"/>
      <c r="AS1730" s="418"/>
      <c r="AT1730" s="418"/>
      <c r="AU1730" s="418"/>
      <c r="AV1730" s="418"/>
      <c r="AW1730" s="418"/>
      <c r="AX1730" s="418"/>
      <c r="AY1730" s="418"/>
      <c r="BF1730" s="1119"/>
      <c r="BG1730" s="1119"/>
      <c r="BH1730" s="1119"/>
    </row>
    <row r="1731" spans="1:60" ht="15.75" customHeight="1">
      <c r="A1731" s="1076"/>
      <c r="B1731" s="416"/>
      <c r="C1731" s="424"/>
      <c r="E1731" s="418"/>
      <c r="F1731" s="493"/>
      <c r="G1731" s="418"/>
      <c r="H1731" s="421"/>
      <c r="I1731" s="425"/>
      <c r="J1731" s="492"/>
      <c r="K1731" s="418"/>
      <c r="L1731" s="418"/>
      <c r="M1731" s="418"/>
      <c r="N1731" s="421"/>
      <c r="O1731" s="421"/>
      <c r="P1731" s="421"/>
      <c r="Q1731" s="418"/>
      <c r="R1731" s="418"/>
      <c r="S1731" s="418"/>
      <c r="T1731" s="418"/>
      <c r="U1731" s="418"/>
      <c r="V1731" s="418"/>
      <c r="W1731" s="418"/>
      <c r="X1731" s="418"/>
      <c r="Y1731" s="418"/>
      <c r="Z1731" s="418"/>
      <c r="AA1731" s="418"/>
      <c r="AB1731" s="418"/>
      <c r="AC1731" s="418"/>
      <c r="AD1731" s="418"/>
      <c r="AE1731" s="418"/>
      <c r="AF1731" s="418"/>
      <c r="AG1731" s="418"/>
      <c r="AH1731" s="418"/>
      <c r="AI1731" s="418"/>
      <c r="AJ1731" s="418"/>
      <c r="AK1731" s="418"/>
      <c r="AL1731" s="418"/>
      <c r="AM1731" s="418"/>
      <c r="AN1731" s="418"/>
      <c r="AO1731" s="418"/>
      <c r="AP1731" s="418"/>
      <c r="AQ1731" s="418"/>
      <c r="AR1731" s="418"/>
      <c r="AS1731" s="418"/>
      <c r="AT1731" s="418"/>
      <c r="AU1731" s="418"/>
      <c r="AV1731" s="418"/>
      <c r="AW1731" s="418"/>
      <c r="AX1731" s="418"/>
      <c r="AY1731" s="418"/>
      <c r="BF1731" s="1119"/>
      <c r="BG1731" s="1119"/>
      <c r="BH1731" s="1119"/>
    </row>
    <row r="1732" spans="1:60" ht="15.75" customHeight="1">
      <c r="A1732" s="1076"/>
      <c r="B1732" s="416"/>
      <c r="C1732" s="424"/>
      <c r="E1732" s="418"/>
      <c r="F1732" s="493"/>
      <c r="G1732" s="418"/>
      <c r="H1732" s="421"/>
      <c r="I1732" s="421"/>
      <c r="J1732" s="492"/>
      <c r="K1732" s="418"/>
      <c r="L1732" s="418"/>
      <c r="M1732" s="418"/>
      <c r="N1732" s="421"/>
      <c r="O1732" s="421"/>
      <c r="P1732" s="421"/>
      <c r="Q1732" s="418"/>
      <c r="R1732" s="418"/>
      <c r="S1732" s="418"/>
      <c r="T1732" s="418"/>
      <c r="U1732" s="418"/>
      <c r="V1732" s="418"/>
      <c r="W1732" s="418"/>
      <c r="X1732" s="418"/>
      <c r="Y1732" s="418"/>
      <c r="Z1732" s="418"/>
      <c r="AA1732" s="418"/>
      <c r="AB1732" s="418"/>
      <c r="AC1732" s="418"/>
      <c r="AD1732" s="418"/>
      <c r="AE1732" s="418"/>
      <c r="AF1732" s="418"/>
      <c r="AG1732" s="418"/>
      <c r="AH1732" s="418"/>
      <c r="AI1732" s="418"/>
      <c r="AJ1732" s="418"/>
      <c r="AK1732" s="418"/>
      <c r="AL1732" s="418"/>
      <c r="AM1732" s="418"/>
      <c r="AN1732" s="418"/>
      <c r="AO1732" s="418"/>
      <c r="AP1732" s="418"/>
      <c r="AQ1732" s="418"/>
      <c r="AR1732" s="418"/>
      <c r="AS1732" s="418"/>
      <c r="AT1732" s="418"/>
      <c r="AU1732" s="418"/>
      <c r="AV1732" s="418"/>
      <c r="AW1732" s="418"/>
      <c r="AX1732" s="418"/>
      <c r="AY1732" s="418"/>
      <c r="BF1732" s="1119"/>
      <c r="BG1732" s="1119"/>
      <c r="BH1732" s="1119"/>
    </row>
    <row r="1733" spans="1:60" ht="15.75" customHeight="1">
      <c r="A1733" s="1076"/>
      <c r="B1733" s="416"/>
      <c r="C1733" s="424"/>
      <c r="E1733" s="418"/>
      <c r="F1733" s="493"/>
      <c r="G1733" s="418"/>
      <c r="H1733" s="421"/>
      <c r="I1733" s="421"/>
      <c r="J1733" s="492"/>
      <c r="K1733" s="418"/>
      <c r="L1733" s="418"/>
      <c r="M1733" s="418"/>
      <c r="N1733" s="421"/>
      <c r="O1733" s="421"/>
      <c r="P1733" s="421"/>
      <c r="Q1733" s="418"/>
      <c r="R1733" s="418"/>
      <c r="S1733" s="418"/>
      <c r="T1733" s="418"/>
      <c r="U1733" s="418"/>
      <c r="V1733" s="418"/>
      <c r="W1733" s="418"/>
      <c r="X1733" s="418"/>
      <c r="Y1733" s="418"/>
      <c r="Z1733" s="418"/>
      <c r="AA1733" s="418"/>
      <c r="AB1733" s="418"/>
      <c r="AC1733" s="418"/>
      <c r="AD1733" s="418"/>
      <c r="AE1733" s="418"/>
      <c r="AF1733" s="418"/>
      <c r="AG1733" s="418"/>
      <c r="AH1733" s="418"/>
      <c r="AI1733" s="418"/>
      <c r="AJ1733" s="418"/>
      <c r="AK1733" s="418"/>
      <c r="AL1733" s="418"/>
      <c r="AM1733" s="418"/>
      <c r="AN1733" s="418"/>
      <c r="AO1733" s="418"/>
      <c r="AP1733" s="418"/>
      <c r="AQ1733" s="418"/>
      <c r="AR1733" s="418"/>
      <c r="AS1733" s="418"/>
      <c r="AT1733" s="418"/>
      <c r="AU1733" s="418"/>
      <c r="AV1733" s="418"/>
      <c r="AW1733" s="418"/>
      <c r="AX1733" s="418"/>
      <c r="AY1733" s="418"/>
      <c r="BF1733" s="1119"/>
      <c r="BG1733" s="1119"/>
      <c r="BH1733" s="1119"/>
    </row>
    <row r="1734" spans="1:60" ht="15.75" customHeight="1">
      <c r="A1734" s="1076"/>
      <c r="B1734" s="416"/>
      <c r="C1734" s="424"/>
      <c r="E1734" s="418"/>
      <c r="F1734" s="493"/>
      <c r="G1734" s="418"/>
      <c r="H1734" s="421"/>
      <c r="I1734" s="421"/>
      <c r="J1734" s="492"/>
      <c r="K1734" s="418"/>
      <c r="L1734" s="418"/>
      <c r="M1734" s="418"/>
      <c r="N1734" s="421"/>
      <c r="O1734" s="421"/>
      <c r="P1734" s="421"/>
      <c r="Q1734" s="418"/>
      <c r="R1734" s="418"/>
      <c r="S1734" s="418"/>
      <c r="T1734" s="418"/>
      <c r="U1734" s="418"/>
      <c r="V1734" s="418"/>
      <c r="W1734" s="418"/>
      <c r="X1734" s="418"/>
      <c r="Y1734" s="418"/>
      <c r="Z1734" s="418"/>
      <c r="AA1734" s="418"/>
      <c r="AB1734" s="418"/>
      <c r="AC1734" s="418"/>
      <c r="AD1734" s="418"/>
      <c r="AE1734" s="418"/>
      <c r="AF1734" s="418"/>
      <c r="AG1734" s="418"/>
      <c r="AH1734" s="418"/>
      <c r="AI1734" s="418"/>
      <c r="AJ1734" s="418"/>
      <c r="AK1734" s="418"/>
      <c r="AL1734" s="418"/>
      <c r="AM1734" s="418"/>
      <c r="AN1734" s="418"/>
      <c r="AO1734" s="418"/>
      <c r="AP1734" s="418"/>
      <c r="AQ1734" s="418"/>
      <c r="AR1734" s="418"/>
      <c r="AS1734" s="418"/>
      <c r="AT1734" s="418"/>
      <c r="AU1734" s="418"/>
      <c r="AV1734" s="418"/>
      <c r="AW1734" s="418"/>
      <c r="AX1734" s="418"/>
      <c r="AY1734" s="418"/>
      <c r="BF1734" s="1119"/>
      <c r="BG1734" s="1119"/>
      <c r="BH1734" s="1119"/>
    </row>
    <row r="1735" spans="1:60" ht="15.75" customHeight="1">
      <c r="A1735" s="1076"/>
      <c r="B1735" s="416"/>
      <c r="C1735" s="424"/>
      <c r="E1735" s="418"/>
      <c r="F1735" s="493"/>
      <c r="G1735" s="418"/>
      <c r="H1735" s="421"/>
      <c r="I1735" s="421"/>
      <c r="J1735" s="492"/>
      <c r="K1735" s="418"/>
      <c r="L1735" s="418"/>
      <c r="M1735" s="418"/>
      <c r="N1735" s="421"/>
      <c r="O1735" s="421"/>
      <c r="P1735" s="421"/>
      <c r="Q1735" s="418"/>
      <c r="R1735" s="418"/>
      <c r="S1735" s="418"/>
      <c r="T1735" s="418"/>
      <c r="U1735" s="418"/>
      <c r="V1735" s="418"/>
      <c r="W1735" s="418"/>
      <c r="X1735" s="418"/>
      <c r="Y1735" s="418"/>
      <c r="Z1735" s="418"/>
      <c r="AA1735" s="418"/>
      <c r="AB1735" s="418"/>
      <c r="AC1735" s="418"/>
      <c r="AD1735" s="418"/>
      <c r="AE1735" s="418"/>
      <c r="AF1735" s="418"/>
      <c r="AG1735" s="418"/>
      <c r="AH1735" s="418"/>
      <c r="AI1735" s="418"/>
      <c r="AJ1735" s="418"/>
      <c r="AK1735" s="418"/>
      <c r="AL1735" s="418"/>
      <c r="AM1735" s="418"/>
      <c r="AN1735" s="418"/>
      <c r="AO1735" s="418"/>
      <c r="AP1735" s="418"/>
      <c r="AQ1735" s="418"/>
      <c r="AR1735" s="418"/>
      <c r="AS1735" s="418"/>
      <c r="AT1735" s="418"/>
      <c r="AU1735" s="418"/>
      <c r="AV1735" s="418"/>
      <c r="AW1735" s="418"/>
      <c r="AX1735" s="418"/>
      <c r="AY1735" s="418"/>
      <c r="BF1735" s="1119"/>
      <c r="BG1735" s="1119"/>
      <c r="BH1735" s="1119"/>
    </row>
    <row r="1736" spans="1:60" ht="15.75" customHeight="1">
      <c r="A1736" s="1076"/>
      <c r="B1736" s="416"/>
      <c r="C1736" s="424"/>
      <c r="E1736" s="418"/>
      <c r="F1736" s="493"/>
      <c r="G1736" s="418"/>
      <c r="H1736" s="421"/>
      <c r="I1736" s="421"/>
      <c r="J1736" s="492"/>
      <c r="K1736" s="418"/>
      <c r="L1736" s="418"/>
      <c r="M1736" s="418"/>
      <c r="N1736" s="421"/>
      <c r="O1736" s="421"/>
      <c r="P1736" s="421"/>
      <c r="Q1736" s="418"/>
      <c r="R1736" s="418"/>
      <c r="S1736" s="418"/>
      <c r="T1736" s="418"/>
      <c r="U1736" s="418"/>
      <c r="V1736" s="418"/>
      <c r="W1736" s="418"/>
      <c r="X1736" s="418"/>
      <c r="Y1736" s="418"/>
      <c r="Z1736" s="418"/>
      <c r="AA1736" s="418"/>
      <c r="AB1736" s="418"/>
      <c r="AC1736" s="418"/>
      <c r="AD1736" s="418"/>
      <c r="AE1736" s="418"/>
      <c r="AF1736" s="418"/>
      <c r="AG1736" s="418"/>
      <c r="AH1736" s="418"/>
      <c r="AI1736" s="418"/>
      <c r="AJ1736" s="418"/>
      <c r="AK1736" s="418"/>
      <c r="AL1736" s="418"/>
      <c r="AM1736" s="418"/>
      <c r="AN1736" s="418"/>
      <c r="AO1736" s="418"/>
      <c r="AP1736" s="418"/>
      <c r="AQ1736" s="418"/>
      <c r="AR1736" s="418"/>
      <c r="AS1736" s="418"/>
      <c r="AT1736" s="418"/>
      <c r="AU1736" s="418"/>
      <c r="AV1736" s="418"/>
      <c r="AW1736" s="418"/>
      <c r="AX1736" s="418"/>
      <c r="AY1736" s="418"/>
      <c r="BF1736" s="1119"/>
      <c r="BG1736" s="1119"/>
      <c r="BH1736" s="1119"/>
    </row>
    <row r="1737" spans="1:60" ht="15.75" customHeight="1">
      <c r="A1737" s="1076"/>
      <c r="B1737" s="416"/>
      <c r="C1737" s="424"/>
      <c r="E1737" s="418"/>
      <c r="F1737" s="493"/>
      <c r="G1737" s="418"/>
      <c r="H1737" s="421"/>
      <c r="I1737" s="421"/>
      <c r="J1737" s="492"/>
      <c r="K1737" s="418"/>
      <c r="L1737" s="418"/>
      <c r="M1737" s="418"/>
      <c r="N1737" s="421"/>
      <c r="O1737" s="421"/>
      <c r="P1737" s="421"/>
      <c r="Q1737" s="418"/>
      <c r="R1737" s="418"/>
      <c r="S1737" s="418"/>
      <c r="T1737" s="418"/>
      <c r="U1737" s="418"/>
      <c r="V1737" s="418"/>
      <c r="W1737" s="418"/>
      <c r="X1737" s="418"/>
      <c r="Y1737" s="418"/>
      <c r="Z1737" s="418"/>
      <c r="AA1737" s="418"/>
      <c r="AB1737" s="418"/>
      <c r="AC1737" s="418"/>
      <c r="AD1737" s="418"/>
      <c r="AE1737" s="418"/>
      <c r="AF1737" s="418"/>
      <c r="AG1737" s="418"/>
      <c r="AH1737" s="418"/>
      <c r="AI1737" s="418"/>
      <c r="AJ1737" s="418"/>
      <c r="AK1737" s="418"/>
      <c r="AL1737" s="418"/>
      <c r="AM1737" s="418"/>
      <c r="AN1737" s="418"/>
      <c r="AO1737" s="418"/>
      <c r="AP1737" s="418"/>
      <c r="AQ1737" s="418"/>
      <c r="AR1737" s="418"/>
      <c r="AS1737" s="418"/>
      <c r="AT1737" s="418"/>
      <c r="AU1737" s="418"/>
      <c r="AV1737" s="418"/>
      <c r="AW1737" s="418"/>
      <c r="AX1737" s="418"/>
      <c r="AY1737" s="418"/>
      <c r="BF1737" s="1119"/>
      <c r="BG1737" s="1119"/>
      <c r="BH1737" s="1119"/>
    </row>
    <row r="1738" spans="1:60" ht="15.75" customHeight="1">
      <c r="A1738" s="1076"/>
      <c r="B1738" s="416"/>
      <c r="C1738" s="424"/>
      <c r="E1738" s="418"/>
      <c r="F1738" s="493"/>
      <c r="G1738" s="418"/>
      <c r="H1738" s="421"/>
      <c r="I1738" s="421"/>
      <c r="J1738" s="492"/>
      <c r="K1738" s="418"/>
      <c r="L1738" s="418"/>
      <c r="M1738" s="418"/>
      <c r="N1738" s="421"/>
      <c r="O1738" s="421"/>
      <c r="P1738" s="421"/>
      <c r="Q1738" s="418"/>
      <c r="R1738" s="418"/>
      <c r="S1738" s="418"/>
      <c r="T1738" s="418"/>
      <c r="U1738" s="418"/>
      <c r="V1738" s="418"/>
      <c r="W1738" s="418"/>
      <c r="X1738" s="418"/>
      <c r="Y1738" s="418"/>
      <c r="Z1738" s="418"/>
      <c r="AA1738" s="418"/>
      <c r="AB1738" s="418"/>
      <c r="AC1738" s="418"/>
      <c r="AD1738" s="418"/>
      <c r="AE1738" s="418"/>
      <c r="AF1738" s="418"/>
      <c r="AG1738" s="418"/>
      <c r="AH1738" s="418"/>
      <c r="AI1738" s="418"/>
      <c r="AJ1738" s="418"/>
      <c r="AK1738" s="418"/>
      <c r="AL1738" s="418"/>
      <c r="AM1738" s="418"/>
      <c r="AN1738" s="418"/>
      <c r="AO1738" s="418"/>
      <c r="AP1738" s="418"/>
      <c r="AQ1738" s="418"/>
      <c r="AR1738" s="418"/>
      <c r="AS1738" s="418"/>
      <c r="AT1738" s="418"/>
      <c r="AU1738" s="418"/>
      <c r="AV1738" s="418"/>
      <c r="AW1738" s="418"/>
      <c r="AX1738" s="418"/>
      <c r="AY1738" s="418"/>
      <c r="BF1738" s="1119"/>
      <c r="BG1738" s="1119"/>
      <c r="BH1738" s="1119"/>
    </row>
    <row r="1739" spans="1:60" ht="15.75" customHeight="1">
      <c r="A1739" s="1076"/>
      <c r="B1739" s="416"/>
      <c r="C1739" s="424"/>
      <c r="E1739" s="418"/>
      <c r="F1739" s="493"/>
      <c r="G1739" s="418"/>
      <c r="H1739" s="421"/>
      <c r="I1739" s="421"/>
      <c r="J1739" s="492"/>
      <c r="K1739" s="418"/>
      <c r="L1739" s="418"/>
      <c r="M1739" s="418"/>
      <c r="N1739" s="421"/>
      <c r="O1739" s="421"/>
      <c r="P1739" s="421"/>
      <c r="Q1739" s="418"/>
      <c r="R1739" s="418"/>
      <c r="S1739" s="418"/>
      <c r="T1739" s="418"/>
      <c r="U1739" s="418"/>
      <c r="V1739" s="418"/>
      <c r="W1739" s="418"/>
      <c r="X1739" s="418"/>
      <c r="Y1739" s="418"/>
      <c r="Z1739" s="418"/>
      <c r="AA1739" s="418"/>
      <c r="AB1739" s="418"/>
      <c r="AC1739" s="418"/>
      <c r="AD1739" s="418"/>
      <c r="AE1739" s="418"/>
      <c r="AF1739" s="418"/>
      <c r="AG1739" s="418"/>
      <c r="AH1739" s="418"/>
      <c r="AI1739" s="418"/>
      <c r="AJ1739" s="418"/>
      <c r="AK1739" s="418"/>
      <c r="AL1739" s="418"/>
      <c r="AM1739" s="418"/>
      <c r="AN1739" s="418"/>
      <c r="AO1739" s="418"/>
      <c r="AP1739" s="418"/>
      <c r="AQ1739" s="418"/>
      <c r="AR1739" s="418"/>
      <c r="AS1739" s="418"/>
      <c r="AT1739" s="418"/>
      <c r="AU1739" s="418"/>
      <c r="AV1739" s="418"/>
      <c r="AW1739" s="418"/>
      <c r="AX1739" s="418"/>
      <c r="AY1739" s="418"/>
      <c r="BF1739" s="1119"/>
      <c r="BG1739" s="1119"/>
      <c r="BH1739" s="1119"/>
    </row>
    <row r="1740" spans="1:60" ht="15.75" customHeight="1">
      <c r="A1740" s="1076"/>
      <c r="B1740" s="416"/>
      <c r="C1740" s="424"/>
      <c r="E1740" s="418"/>
      <c r="F1740" s="493"/>
      <c r="G1740" s="418"/>
      <c r="H1740" s="421"/>
      <c r="I1740" s="421"/>
      <c r="J1740" s="492"/>
      <c r="K1740" s="418"/>
      <c r="L1740" s="418"/>
      <c r="M1740" s="418"/>
      <c r="N1740" s="421"/>
      <c r="O1740" s="421"/>
      <c r="P1740" s="421"/>
      <c r="Q1740" s="418"/>
      <c r="R1740" s="418"/>
      <c r="S1740" s="418"/>
      <c r="T1740" s="418"/>
      <c r="U1740" s="418"/>
      <c r="V1740" s="418"/>
      <c r="W1740" s="418"/>
      <c r="X1740" s="418"/>
      <c r="Y1740" s="418"/>
      <c r="Z1740" s="418"/>
      <c r="AA1740" s="418"/>
      <c r="AB1740" s="418"/>
      <c r="AC1740" s="418"/>
      <c r="AD1740" s="418"/>
      <c r="AE1740" s="418"/>
      <c r="AF1740" s="418"/>
      <c r="AG1740" s="418"/>
      <c r="AH1740" s="418"/>
      <c r="AI1740" s="418"/>
      <c r="AJ1740" s="418"/>
      <c r="AK1740" s="418"/>
      <c r="AL1740" s="418"/>
      <c r="AM1740" s="418"/>
      <c r="AN1740" s="418"/>
      <c r="AO1740" s="418"/>
      <c r="AP1740" s="418"/>
      <c r="AQ1740" s="418"/>
      <c r="AR1740" s="418"/>
      <c r="AS1740" s="418"/>
      <c r="AT1740" s="418"/>
      <c r="AU1740" s="418"/>
      <c r="AV1740" s="418"/>
      <c r="AW1740" s="418"/>
      <c r="AX1740" s="418"/>
      <c r="AY1740" s="418"/>
      <c r="BF1740" s="1119"/>
      <c r="BG1740" s="1119"/>
      <c r="BH1740" s="1119"/>
    </row>
    <row r="1741" spans="1:60" ht="15.75" customHeight="1">
      <c r="A1741" s="1076"/>
      <c r="B1741" s="416"/>
      <c r="C1741" s="424"/>
      <c r="E1741" s="418"/>
      <c r="F1741" s="493"/>
      <c r="G1741" s="418"/>
      <c r="H1741" s="421"/>
      <c r="I1741" s="421"/>
      <c r="J1741" s="492"/>
      <c r="K1741" s="418"/>
      <c r="L1741" s="418"/>
      <c r="M1741" s="418"/>
      <c r="N1741" s="421"/>
      <c r="O1741" s="421"/>
      <c r="P1741" s="421"/>
      <c r="Q1741" s="418"/>
      <c r="R1741" s="418"/>
      <c r="S1741" s="418"/>
      <c r="T1741" s="418"/>
      <c r="U1741" s="418"/>
      <c r="V1741" s="418"/>
      <c r="W1741" s="418"/>
      <c r="X1741" s="418"/>
      <c r="Y1741" s="418"/>
      <c r="Z1741" s="418"/>
      <c r="AA1741" s="418"/>
      <c r="AB1741" s="418"/>
      <c r="AC1741" s="418"/>
      <c r="AD1741" s="418"/>
      <c r="AE1741" s="418"/>
      <c r="AF1741" s="418"/>
      <c r="AG1741" s="418"/>
      <c r="AH1741" s="418"/>
      <c r="AI1741" s="418"/>
      <c r="AJ1741" s="418"/>
      <c r="AK1741" s="418"/>
      <c r="AL1741" s="418"/>
      <c r="AM1741" s="418"/>
      <c r="AN1741" s="418"/>
      <c r="AO1741" s="418"/>
      <c r="AP1741" s="418"/>
      <c r="AQ1741" s="418"/>
      <c r="AR1741" s="418"/>
      <c r="AS1741" s="418"/>
      <c r="AT1741" s="418"/>
      <c r="AU1741" s="418"/>
      <c r="AV1741" s="418"/>
      <c r="AW1741" s="418"/>
      <c r="AX1741" s="418"/>
      <c r="AY1741" s="418"/>
      <c r="BF1741" s="1119"/>
      <c r="BG1741" s="1119"/>
      <c r="BH1741" s="1119"/>
    </row>
    <row r="1742" spans="1:60" ht="15.75" customHeight="1">
      <c r="A1742" s="1076"/>
      <c r="B1742" s="416"/>
      <c r="C1742" s="424"/>
      <c r="E1742" s="418"/>
      <c r="F1742" s="493"/>
      <c r="G1742" s="418"/>
      <c r="H1742" s="421"/>
      <c r="I1742" s="421"/>
      <c r="J1742" s="492"/>
      <c r="K1742" s="418"/>
      <c r="L1742" s="418"/>
      <c r="M1742" s="418"/>
      <c r="N1742" s="421"/>
      <c r="O1742" s="421"/>
      <c r="P1742" s="421"/>
      <c r="Q1742" s="418"/>
      <c r="R1742" s="418"/>
      <c r="S1742" s="418"/>
      <c r="T1742" s="418"/>
      <c r="U1742" s="418"/>
      <c r="V1742" s="418"/>
      <c r="W1742" s="418"/>
      <c r="X1742" s="418"/>
      <c r="Y1742" s="418"/>
      <c r="Z1742" s="418"/>
      <c r="AA1742" s="418"/>
      <c r="AB1742" s="418"/>
      <c r="AC1742" s="418"/>
      <c r="AD1742" s="418"/>
      <c r="AE1742" s="418"/>
      <c r="AF1742" s="418"/>
      <c r="AG1742" s="418"/>
      <c r="AH1742" s="418"/>
      <c r="AI1742" s="418"/>
      <c r="AJ1742" s="418"/>
      <c r="AK1742" s="418"/>
      <c r="AL1742" s="418"/>
      <c r="AM1742" s="418"/>
      <c r="AN1742" s="418"/>
      <c r="AO1742" s="418"/>
      <c r="AP1742" s="418"/>
      <c r="AQ1742" s="418"/>
      <c r="AR1742" s="418"/>
      <c r="AS1742" s="418"/>
      <c r="AT1742" s="418"/>
      <c r="AU1742" s="418"/>
      <c r="AV1742" s="418"/>
      <c r="AW1742" s="418"/>
      <c r="AX1742" s="418"/>
      <c r="AY1742" s="418"/>
      <c r="BF1742" s="1119"/>
      <c r="BG1742" s="1119"/>
      <c r="BH1742" s="1119"/>
    </row>
    <row r="1743" spans="1:60" ht="15.75" customHeight="1">
      <c r="A1743" s="1076"/>
      <c r="B1743" s="416"/>
      <c r="C1743" s="424"/>
      <c r="E1743" s="418"/>
      <c r="F1743" s="493"/>
      <c r="G1743" s="418"/>
      <c r="H1743" s="421"/>
      <c r="I1743" s="421"/>
      <c r="J1743" s="492"/>
      <c r="K1743" s="418"/>
      <c r="L1743" s="418"/>
      <c r="M1743" s="418"/>
      <c r="N1743" s="421"/>
      <c r="O1743" s="421"/>
      <c r="P1743" s="421"/>
      <c r="Q1743" s="418"/>
      <c r="R1743" s="418"/>
      <c r="S1743" s="418"/>
      <c r="T1743" s="418"/>
      <c r="U1743" s="418"/>
      <c r="V1743" s="418"/>
      <c r="W1743" s="418"/>
      <c r="X1743" s="418"/>
      <c r="Y1743" s="418"/>
      <c r="Z1743" s="418"/>
      <c r="AA1743" s="418"/>
      <c r="AB1743" s="418"/>
      <c r="AC1743" s="418"/>
      <c r="AD1743" s="418"/>
      <c r="AE1743" s="418"/>
      <c r="AF1743" s="418"/>
      <c r="AG1743" s="418"/>
      <c r="AH1743" s="418"/>
      <c r="AI1743" s="418"/>
      <c r="AJ1743" s="418"/>
      <c r="AK1743" s="418"/>
      <c r="AL1743" s="418"/>
      <c r="AM1743" s="418"/>
      <c r="AN1743" s="418"/>
      <c r="AO1743" s="418"/>
      <c r="AP1743" s="418"/>
      <c r="AQ1743" s="418"/>
      <c r="AR1743" s="418"/>
      <c r="AS1743" s="418"/>
      <c r="AT1743" s="418"/>
      <c r="AU1743" s="418"/>
      <c r="AV1743" s="418"/>
      <c r="AW1743" s="418"/>
      <c r="AX1743" s="418"/>
      <c r="AY1743" s="418"/>
      <c r="BF1743" s="1119"/>
      <c r="BG1743" s="1119"/>
      <c r="BH1743" s="1119"/>
    </row>
    <row r="1744" spans="1:60" ht="15.75" customHeight="1">
      <c r="A1744" s="1076"/>
      <c r="B1744" s="416"/>
      <c r="C1744" s="424"/>
      <c r="E1744" s="418"/>
      <c r="F1744" s="493"/>
      <c r="G1744" s="418"/>
      <c r="H1744" s="421"/>
      <c r="I1744" s="421"/>
      <c r="J1744" s="492"/>
      <c r="K1744" s="418"/>
      <c r="L1744" s="418"/>
      <c r="M1744" s="418"/>
      <c r="N1744" s="421"/>
      <c r="O1744" s="421"/>
      <c r="P1744" s="421"/>
      <c r="Q1744" s="418"/>
      <c r="R1744" s="418"/>
      <c r="S1744" s="418"/>
      <c r="T1744" s="418"/>
      <c r="U1744" s="418"/>
      <c r="V1744" s="418"/>
      <c r="W1744" s="418"/>
      <c r="X1744" s="418"/>
      <c r="Y1744" s="418"/>
      <c r="Z1744" s="418"/>
      <c r="AA1744" s="418"/>
      <c r="AB1744" s="418"/>
      <c r="AC1744" s="418"/>
      <c r="AD1744" s="418"/>
      <c r="AE1744" s="418"/>
      <c r="AF1744" s="418"/>
      <c r="AG1744" s="418"/>
      <c r="AH1744" s="418"/>
      <c r="AI1744" s="418"/>
      <c r="AJ1744" s="418"/>
      <c r="AK1744" s="418"/>
      <c r="AL1744" s="418"/>
      <c r="AM1744" s="418"/>
      <c r="AN1744" s="418"/>
      <c r="AO1744" s="418"/>
      <c r="AP1744" s="418"/>
      <c r="AQ1744" s="418"/>
      <c r="AR1744" s="418"/>
      <c r="AS1744" s="418"/>
      <c r="AT1744" s="418"/>
      <c r="AU1744" s="418"/>
      <c r="AV1744" s="418"/>
      <c r="AW1744" s="418"/>
      <c r="AX1744" s="418"/>
      <c r="AY1744" s="418"/>
      <c r="BF1744" s="1119"/>
      <c r="BG1744" s="1119"/>
      <c r="BH1744" s="1119"/>
    </row>
    <row r="1745" spans="1:60" ht="15.75" customHeight="1">
      <c r="A1745" s="1076"/>
      <c r="B1745" s="416"/>
      <c r="C1745" s="424"/>
      <c r="E1745" s="418"/>
      <c r="F1745" s="493"/>
      <c r="G1745" s="418"/>
      <c r="H1745" s="421"/>
      <c r="I1745" s="421"/>
      <c r="J1745" s="492"/>
      <c r="K1745" s="418"/>
      <c r="L1745" s="418"/>
      <c r="M1745" s="418"/>
      <c r="N1745" s="421"/>
      <c r="O1745" s="421"/>
      <c r="P1745" s="421"/>
      <c r="Q1745" s="418"/>
      <c r="R1745" s="418"/>
      <c r="S1745" s="418"/>
      <c r="T1745" s="418"/>
      <c r="U1745" s="418"/>
      <c r="V1745" s="418"/>
      <c r="W1745" s="418"/>
      <c r="X1745" s="418"/>
      <c r="Y1745" s="418"/>
      <c r="Z1745" s="418"/>
      <c r="AA1745" s="418"/>
      <c r="AB1745" s="418"/>
      <c r="AC1745" s="418"/>
      <c r="AD1745" s="418"/>
      <c r="AE1745" s="418"/>
      <c r="AF1745" s="418"/>
      <c r="AG1745" s="418"/>
      <c r="AH1745" s="418"/>
      <c r="AI1745" s="418"/>
      <c r="AJ1745" s="418"/>
      <c r="AK1745" s="418"/>
      <c r="AL1745" s="418"/>
      <c r="AM1745" s="418"/>
      <c r="AN1745" s="418"/>
      <c r="AO1745" s="418"/>
      <c r="AP1745" s="418"/>
      <c r="AQ1745" s="418"/>
      <c r="AR1745" s="418"/>
      <c r="AS1745" s="418"/>
      <c r="AT1745" s="418"/>
      <c r="AU1745" s="418"/>
      <c r="AV1745" s="418"/>
      <c r="AW1745" s="418"/>
      <c r="AX1745" s="418"/>
      <c r="AY1745" s="418"/>
      <c r="BF1745" s="1119"/>
      <c r="BG1745" s="1119"/>
      <c r="BH1745" s="1119"/>
    </row>
    <row r="1746" spans="1:60" ht="15.75" customHeight="1">
      <c r="A1746" s="1076"/>
      <c r="B1746" s="416"/>
      <c r="C1746" s="424"/>
      <c r="E1746" s="418"/>
      <c r="F1746" s="493"/>
      <c r="G1746" s="418"/>
      <c r="H1746" s="421"/>
      <c r="I1746" s="421"/>
      <c r="J1746" s="492"/>
      <c r="K1746" s="418"/>
      <c r="L1746" s="418"/>
      <c r="M1746" s="418"/>
      <c r="N1746" s="421"/>
      <c r="O1746" s="421"/>
      <c r="P1746" s="421"/>
      <c r="Q1746" s="418"/>
      <c r="R1746" s="418"/>
      <c r="S1746" s="418"/>
      <c r="T1746" s="418"/>
      <c r="U1746" s="418"/>
      <c r="V1746" s="418"/>
      <c r="W1746" s="418"/>
      <c r="X1746" s="418"/>
      <c r="Y1746" s="418"/>
      <c r="Z1746" s="418"/>
      <c r="AA1746" s="418"/>
      <c r="AB1746" s="418"/>
      <c r="AC1746" s="418"/>
      <c r="AD1746" s="418"/>
      <c r="AE1746" s="418"/>
      <c r="AF1746" s="418"/>
      <c r="AG1746" s="418"/>
      <c r="AH1746" s="418"/>
      <c r="AI1746" s="418"/>
      <c r="AJ1746" s="418"/>
      <c r="AK1746" s="418"/>
      <c r="AL1746" s="418"/>
      <c r="AM1746" s="418"/>
      <c r="AN1746" s="418"/>
      <c r="AO1746" s="418"/>
      <c r="AP1746" s="418"/>
      <c r="AQ1746" s="418"/>
      <c r="AR1746" s="418"/>
      <c r="AS1746" s="418"/>
      <c r="AT1746" s="418"/>
      <c r="AU1746" s="418"/>
      <c r="AV1746" s="418"/>
      <c r="AW1746" s="418"/>
      <c r="AX1746" s="418"/>
      <c r="AY1746" s="418"/>
      <c r="BF1746" s="1119"/>
      <c r="BG1746" s="1119"/>
      <c r="BH1746" s="1119"/>
    </row>
    <row r="1747" spans="1:60" ht="15.75" customHeight="1">
      <c r="A1747" s="1076"/>
      <c r="B1747" s="416"/>
      <c r="C1747" s="424"/>
      <c r="E1747" s="418"/>
      <c r="F1747" s="493"/>
      <c r="G1747" s="418"/>
      <c r="H1747" s="421"/>
      <c r="I1747" s="421"/>
      <c r="J1747" s="492"/>
      <c r="K1747" s="418"/>
      <c r="L1747" s="418"/>
      <c r="M1747" s="418"/>
      <c r="N1747" s="421"/>
      <c r="O1747" s="421"/>
      <c r="P1747" s="421"/>
      <c r="Q1747" s="418"/>
      <c r="R1747" s="418"/>
      <c r="S1747" s="418"/>
      <c r="T1747" s="418"/>
      <c r="U1747" s="418"/>
      <c r="V1747" s="418"/>
      <c r="W1747" s="418"/>
      <c r="X1747" s="418"/>
      <c r="Y1747" s="418"/>
      <c r="Z1747" s="418"/>
      <c r="AA1747" s="418"/>
      <c r="AB1747" s="418"/>
      <c r="AC1747" s="418"/>
      <c r="AD1747" s="418"/>
      <c r="AE1747" s="418"/>
      <c r="AF1747" s="418"/>
      <c r="AG1747" s="418"/>
      <c r="AH1747" s="418"/>
      <c r="AI1747" s="418"/>
      <c r="AJ1747" s="418"/>
      <c r="AK1747" s="418"/>
      <c r="AL1747" s="418"/>
      <c r="AM1747" s="418"/>
      <c r="AN1747" s="418"/>
      <c r="AO1747" s="418"/>
      <c r="AP1747" s="418"/>
      <c r="AQ1747" s="418"/>
      <c r="AR1747" s="418"/>
      <c r="AS1747" s="418"/>
      <c r="AT1747" s="418"/>
      <c r="AU1747" s="418"/>
      <c r="AV1747" s="418"/>
      <c r="AW1747" s="418"/>
      <c r="AX1747" s="418"/>
      <c r="AY1747" s="418"/>
      <c r="BF1747" s="1119"/>
      <c r="BG1747" s="1119"/>
      <c r="BH1747" s="1119"/>
    </row>
    <row r="1748" spans="1:60" ht="15.75" customHeight="1">
      <c r="A1748" s="1076"/>
      <c r="B1748" s="416"/>
      <c r="C1748" s="424"/>
      <c r="E1748" s="418"/>
      <c r="F1748" s="493"/>
      <c r="G1748" s="418"/>
      <c r="H1748" s="421"/>
      <c r="I1748" s="421"/>
      <c r="J1748" s="492"/>
      <c r="K1748" s="418"/>
      <c r="L1748" s="418"/>
      <c r="M1748" s="418"/>
      <c r="N1748" s="421"/>
      <c r="O1748" s="421"/>
      <c r="P1748" s="421"/>
      <c r="Q1748" s="418"/>
      <c r="R1748" s="418"/>
      <c r="S1748" s="418"/>
      <c r="T1748" s="418"/>
      <c r="U1748" s="418"/>
      <c r="V1748" s="418"/>
      <c r="W1748" s="418"/>
      <c r="X1748" s="418"/>
      <c r="Y1748" s="418"/>
      <c r="Z1748" s="418"/>
      <c r="AA1748" s="418"/>
      <c r="AB1748" s="418"/>
      <c r="AC1748" s="418"/>
      <c r="AD1748" s="418"/>
      <c r="AE1748" s="418"/>
      <c r="AF1748" s="418"/>
      <c r="AG1748" s="418"/>
      <c r="AH1748" s="418"/>
      <c r="AI1748" s="418"/>
      <c r="AJ1748" s="418"/>
      <c r="AK1748" s="418"/>
      <c r="AL1748" s="418"/>
      <c r="AM1748" s="418"/>
      <c r="AN1748" s="418"/>
      <c r="AO1748" s="418"/>
      <c r="AP1748" s="418"/>
      <c r="AQ1748" s="418"/>
      <c r="AR1748" s="418"/>
      <c r="AS1748" s="418"/>
      <c r="AT1748" s="418"/>
      <c r="AU1748" s="418"/>
      <c r="AV1748" s="418"/>
      <c r="AW1748" s="418"/>
      <c r="AX1748" s="418"/>
      <c r="AY1748" s="418"/>
      <c r="BF1748" s="1119"/>
      <c r="BG1748" s="1119"/>
      <c r="BH1748" s="1119"/>
    </row>
    <row r="1749" spans="1:60" ht="15.75" customHeight="1">
      <c r="A1749" s="1076"/>
      <c r="B1749" s="416"/>
      <c r="C1749" s="424"/>
      <c r="E1749" s="418"/>
      <c r="F1749" s="493"/>
      <c r="G1749" s="418"/>
      <c r="H1749" s="421"/>
      <c r="I1749" s="421"/>
      <c r="J1749" s="492"/>
      <c r="K1749" s="418"/>
      <c r="L1749" s="418"/>
      <c r="M1749" s="418"/>
      <c r="N1749" s="421"/>
      <c r="O1749" s="421"/>
      <c r="P1749" s="421"/>
      <c r="Q1749" s="418"/>
      <c r="R1749" s="418"/>
      <c r="S1749" s="418"/>
      <c r="T1749" s="418"/>
      <c r="U1749" s="418"/>
      <c r="V1749" s="418"/>
      <c r="W1749" s="418"/>
      <c r="X1749" s="418"/>
      <c r="Y1749" s="418"/>
      <c r="Z1749" s="418"/>
      <c r="AA1749" s="418"/>
      <c r="AB1749" s="418"/>
      <c r="AC1749" s="418"/>
      <c r="AD1749" s="418"/>
      <c r="AE1749" s="418"/>
      <c r="AF1749" s="418"/>
      <c r="AG1749" s="418"/>
      <c r="AH1749" s="418"/>
      <c r="AI1749" s="418"/>
      <c r="AJ1749" s="418"/>
      <c r="AK1749" s="418"/>
      <c r="AL1749" s="418"/>
      <c r="AM1749" s="418"/>
      <c r="AN1749" s="418"/>
      <c r="AO1749" s="418"/>
      <c r="AP1749" s="418"/>
      <c r="AQ1749" s="418"/>
      <c r="AR1749" s="418"/>
      <c r="AS1749" s="418"/>
      <c r="AT1749" s="418"/>
      <c r="AU1749" s="418"/>
      <c r="AV1749" s="418"/>
      <c r="AW1749" s="418"/>
      <c r="AX1749" s="418"/>
      <c r="AY1749" s="418"/>
      <c r="BF1749" s="1119"/>
      <c r="BG1749" s="1119"/>
      <c r="BH1749" s="1119"/>
    </row>
    <row r="1750" spans="1:60" ht="15.75" customHeight="1">
      <c r="A1750" s="1076"/>
      <c r="B1750" s="416"/>
      <c r="C1750" s="424"/>
      <c r="E1750" s="418"/>
      <c r="F1750" s="493"/>
      <c r="G1750" s="418"/>
      <c r="H1750" s="421"/>
      <c r="I1750" s="421"/>
      <c r="J1750" s="492"/>
      <c r="K1750" s="418"/>
      <c r="L1750" s="418"/>
      <c r="M1750" s="418"/>
      <c r="N1750" s="421"/>
      <c r="O1750" s="421"/>
      <c r="P1750" s="421"/>
      <c r="Q1750" s="418"/>
      <c r="R1750" s="418"/>
      <c r="S1750" s="418"/>
      <c r="T1750" s="418"/>
      <c r="U1750" s="418"/>
      <c r="V1750" s="418"/>
      <c r="W1750" s="418"/>
      <c r="X1750" s="418"/>
      <c r="Y1750" s="418"/>
      <c r="Z1750" s="418"/>
      <c r="AA1750" s="418"/>
      <c r="AB1750" s="418"/>
      <c r="AC1750" s="418"/>
      <c r="AD1750" s="418"/>
      <c r="AE1750" s="418"/>
      <c r="AF1750" s="418"/>
      <c r="AG1750" s="418"/>
      <c r="AH1750" s="418"/>
      <c r="AI1750" s="418"/>
      <c r="AJ1750" s="418"/>
      <c r="AK1750" s="418"/>
      <c r="AL1750" s="418"/>
      <c r="AM1750" s="418"/>
      <c r="AN1750" s="418"/>
      <c r="AO1750" s="418"/>
      <c r="AP1750" s="418"/>
      <c r="AQ1750" s="418"/>
      <c r="AR1750" s="418"/>
      <c r="AS1750" s="418"/>
      <c r="AT1750" s="418"/>
      <c r="AU1750" s="418"/>
      <c r="AV1750" s="418"/>
      <c r="AW1750" s="418"/>
      <c r="AX1750" s="418"/>
      <c r="AY1750" s="418"/>
      <c r="BF1750" s="1119"/>
      <c r="BG1750" s="1119"/>
      <c r="BH1750" s="1119"/>
    </row>
    <row r="1751" spans="1:60" ht="15.75" customHeight="1">
      <c r="A1751" s="1076"/>
      <c r="B1751" s="416"/>
      <c r="C1751" s="424"/>
      <c r="E1751" s="418"/>
      <c r="F1751" s="493"/>
      <c r="G1751" s="418"/>
      <c r="H1751" s="421"/>
      <c r="I1751" s="421"/>
      <c r="J1751" s="492"/>
      <c r="K1751" s="418"/>
      <c r="L1751" s="418"/>
      <c r="M1751" s="418"/>
      <c r="N1751" s="421"/>
      <c r="O1751" s="421"/>
      <c r="P1751" s="421"/>
      <c r="Q1751" s="418"/>
      <c r="R1751" s="418"/>
      <c r="S1751" s="418"/>
      <c r="T1751" s="418"/>
      <c r="U1751" s="418"/>
      <c r="V1751" s="418"/>
      <c r="W1751" s="418"/>
      <c r="X1751" s="418"/>
      <c r="Y1751" s="418"/>
      <c r="Z1751" s="418"/>
      <c r="AA1751" s="418"/>
      <c r="AB1751" s="418"/>
      <c r="AC1751" s="418"/>
      <c r="AD1751" s="418"/>
      <c r="AE1751" s="418"/>
      <c r="AF1751" s="418"/>
      <c r="AG1751" s="418"/>
      <c r="AH1751" s="418"/>
      <c r="AI1751" s="418"/>
      <c r="AJ1751" s="418"/>
      <c r="AK1751" s="418"/>
      <c r="AL1751" s="418"/>
      <c r="AM1751" s="418"/>
      <c r="AN1751" s="418"/>
      <c r="AO1751" s="418"/>
      <c r="AP1751" s="418"/>
      <c r="AQ1751" s="418"/>
      <c r="AR1751" s="418"/>
      <c r="AS1751" s="418"/>
      <c r="AT1751" s="418"/>
      <c r="AU1751" s="418"/>
      <c r="AV1751" s="418"/>
      <c r="AW1751" s="418"/>
      <c r="AX1751" s="418"/>
      <c r="AY1751" s="418"/>
      <c r="BF1751" s="1119"/>
      <c r="BG1751" s="1119"/>
      <c r="BH1751" s="1119"/>
    </row>
    <row r="1752" spans="1:60" ht="15.75" customHeight="1">
      <c r="A1752" s="1076"/>
      <c r="B1752" s="416"/>
      <c r="C1752" s="424"/>
      <c r="E1752" s="418"/>
      <c r="F1752" s="493"/>
      <c r="G1752" s="418"/>
      <c r="H1752" s="421"/>
      <c r="I1752" s="421"/>
      <c r="J1752" s="492"/>
      <c r="K1752" s="418"/>
      <c r="L1752" s="418"/>
      <c r="M1752" s="418"/>
      <c r="N1752" s="421"/>
      <c r="O1752" s="421"/>
      <c r="P1752" s="421"/>
      <c r="Q1752" s="418"/>
      <c r="R1752" s="418"/>
      <c r="S1752" s="418"/>
      <c r="T1752" s="418"/>
      <c r="U1752" s="418"/>
      <c r="V1752" s="418"/>
      <c r="W1752" s="418"/>
      <c r="X1752" s="418"/>
      <c r="Y1752" s="418"/>
      <c r="Z1752" s="418"/>
      <c r="AA1752" s="418"/>
      <c r="AB1752" s="418"/>
      <c r="AC1752" s="418"/>
      <c r="AD1752" s="418"/>
      <c r="AE1752" s="418"/>
      <c r="AF1752" s="418"/>
      <c r="AG1752" s="418"/>
      <c r="AH1752" s="418"/>
      <c r="AI1752" s="418"/>
      <c r="AJ1752" s="418"/>
      <c r="AK1752" s="418"/>
      <c r="AL1752" s="418"/>
      <c r="AM1752" s="418"/>
      <c r="AN1752" s="418"/>
      <c r="AO1752" s="418"/>
      <c r="AP1752" s="418"/>
      <c r="AQ1752" s="418"/>
      <c r="AR1752" s="418"/>
      <c r="AS1752" s="418"/>
      <c r="AT1752" s="418"/>
      <c r="AU1752" s="418"/>
      <c r="AV1752" s="418"/>
      <c r="AW1752" s="418"/>
      <c r="AX1752" s="418"/>
      <c r="AY1752" s="418"/>
      <c r="BF1752" s="1119"/>
      <c r="BG1752" s="1119"/>
      <c r="BH1752" s="1119"/>
    </row>
    <row r="1753" spans="1:60" ht="15.75" customHeight="1">
      <c r="A1753" s="1076"/>
      <c r="B1753" s="416"/>
      <c r="C1753" s="424"/>
      <c r="E1753" s="418"/>
      <c r="F1753" s="493"/>
      <c r="G1753" s="418"/>
      <c r="H1753" s="421"/>
      <c r="I1753" s="421"/>
      <c r="J1753" s="492"/>
      <c r="K1753" s="418"/>
      <c r="L1753" s="418"/>
      <c r="M1753" s="418"/>
      <c r="N1753" s="421"/>
      <c r="O1753" s="421"/>
      <c r="P1753" s="421"/>
      <c r="Q1753" s="418"/>
      <c r="R1753" s="418"/>
      <c r="S1753" s="418"/>
      <c r="T1753" s="418"/>
      <c r="U1753" s="418"/>
      <c r="V1753" s="418"/>
      <c r="W1753" s="418"/>
      <c r="X1753" s="418"/>
      <c r="Y1753" s="418"/>
      <c r="Z1753" s="418"/>
      <c r="AA1753" s="418"/>
      <c r="AB1753" s="418"/>
      <c r="AC1753" s="418"/>
      <c r="AD1753" s="418"/>
      <c r="AE1753" s="418"/>
      <c r="AF1753" s="418"/>
      <c r="AG1753" s="418"/>
      <c r="AH1753" s="418"/>
      <c r="AI1753" s="418"/>
      <c r="AJ1753" s="418"/>
      <c r="AK1753" s="418"/>
      <c r="AL1753" s="418"/>
      <c r="AM1753" s="418"/>
      <c r="AN1753" s="418"/>
      <c r="AO1753" s="418"/>
      <c r="AP1753" s="418"/>
      <c r="AQ1753" s="418"/>
      <c r="AR1753" s="418"/>
      <c r="AS1753" s="418"/>
      <c r="AT1753" s="418"/>
      <c r="AU1753" s="418"/>
      <c r="AV1753" s="418"/>
      <c r="AW1753" s="418"/>
      <c r="AX1753" s="418"/>
      <c r="AY1753" s="418"/>
      <c r="BF1753" s="1119"/>
      <c r="BG1753" s="1119"/>
      <c r="BH1753" s="1119"/>
    </row>
    <row r="1754" spans="1:60" ht="15.75" customHeight="1">
      <c r="A1754" s="1076"/>
      <c r="B1754" s="416"/>
      <c r="C1754" s="424"/>
      <c r="E1754" s="418"/>
      <c r="F1754" s="493"/>
      <c r="G1754" s="418"/>
      <c r="H1754" s="418"/>
      <c r="I1754" s="418"/>
      <c r="J1754" s="424"/>
      <c r="K1754" s="418"/>
      <c r="L1754" s="418"/>
      <c r="M1754" s="418"/>
      <c r="N1754" s="421"/>
      <c r="O1754" s="421"/>
      <c r="P1754" s="421"/>
      <c r="Q1754" s="418"/>
      <c r="R1754" s="418"/>
      <c r="S1754" s="418"/>
      <c r="T1754" s="418"/>
      <c r="U1754" s="418"/>
      <c r="V1754" s="418"/>
      <c r="W1754" s="418"/>
      <c r="X1754" s="418"/>
      <c r="Y1754" s="418"/>
      <c r="Z1754" s="418"/>
      <c r="AA1754" s="418"/>
      <c r="AB1754" s="418"/>
      <c r="AC1754" s="418"/>
      <c r="AD1754" s="418"/>
      <c r="AE1754" s="418"/>
      <c r="AF1754" s="418"/>
      <c r="AG1754" s="418"/>
      <c r="AH1754" s="418"/>
      <c r="AI1754" s="418"/>
      <c r="AJ1754" s="418"/>
      <c r="AK1754" s="418"/>
      <c r="AL1754" s="418"/>
      <c r="AM1754" s="418"/>
      <c r="AN1754" s="418"/>
      <c r="AO1754" s="418"/>
      <c r="AP1754" s="418"/>
      <c r="AQ1754" s="418"/>
      <c r="AR1754" s="418"/>
      <c r="AS1754" s="418"/>
      <c r="AT1754" s="418"/>
      <c r="AU1754" s="418"/>
      <c r="AV1754" s="418"/>
      <c r="AW1754" s="418"/>
      <c r="AX1754" s="418"/>
      <c r="AY1754" s="418"/>
      <c r="BF1754" s="1119"/>
      <c r="BG1754" s="1119"/>
      <c r="BH1754" s="1119"/>
    </row>
    <row r="1755" spans="1:60" ht="15.75" customHeight="1">
      <c r="A1755" s="1076"/>
      <c r="B1755" s="416"/>
      <c r="C1755" s="424"/>
      <c r="E1755" s="418"/>
      <c r="F1755" s="493"/>
      <c r="G1755" s="418"/>
      <c r="H1755" s="418"/>
      <c r="I1755" s="418"/>
      <c r="J1755" s="424"/>
      <c r="K1755" s="418"/>
      <c r="L1755" s="418"/>
      <c r="M1755" s="418"/>
      <c r="N1755" s="421"/>
      <c r="O1755" s="421"/>
      <c r="P1755" s="421"/>
      <c r="Q1755" s="418"/>
      <c r="R1755" s="418"/>
      <c r="S1755" s="418"/>
      <c r="T1755" s="418"/>
      <c r="U1755" s="418"/>
      <c r="V1755" s="418"/>
      <c r="W1755" s="418"/>
      <c r="X1755" s="418"/>
      <c r="Y1755" s="418"/>
      <c r="Z1755" s="418"/>
      <c r="AA1755" s="418"/>
      <c r="AB1755" s="418"/>
      <c r="AC1755" s="418"/>
      <c r="AD1755" s="418"/>
      <c r="AE1755" s="418"/>
      <c r="AF1755" s="418"/>
      <c r="AG1755" s="418"/>
      <c r="AH1755" s="418"/>
      <c r="AI1755" s="418"/>
      <c r="AJ1755" s="418"/>
      <c r="AK1755" s="418"/>
      <c r="AL1755" s="418"/>
      <c r="AM1755" s="418"/>
      <c r="AN1755" s="418"/>
      <c r="AO1755" s="418"/>
      <c r="AP1755" s="418"/>
      <c r="AQ1755" s="418"/>
      <c r="AR1755" s="418"/>
      <c r="AS1755" s="418"/>
      <c r="AT1755" s="418"/>
      <c r="AU1755" s="418"/>
      <c r="AV1755" s="418"/>
      <c r="AW1755" s="418"/>
      <c r="AX1755" s="418"/>
      <c r="AY1755" s="418"/>
      <c r="BF1755" s="1119"/>
      <c r="BG1755" s="1119"/>
      <c r="BH1755" s="1119"/>
    </row>
    <row r="1756" spans="1:60" ht="15.75" customHeight="1">
      <c r="A1756" s="1076"/>
      <c r="B1756" s="416"/>
      <c r="C1756" s="424"/>
      <c r="E1756" s="418"/>
      <c r="F1756" s="493"/>
      <c r="G1756" s="418"/>
      <c r="H1756" s="421"/>
      <c r="I1756" s="421"/>
      <c r="J1756" s="492"/>
      <c r="K1756" s="418"/>
      <c r="L1756" s="418"/>
      <c r="M1756" s="418"/>
      <c r="N1756" s="421"/>
      <c r="O1756" s="421"/>
      <c r="P1756" s="421"/>
      <c r="Q1756" s="418"/>
      <c r="R1756" s="418"/>
      <c r="S1756" s="418"/>
      <c r="T1756" s="418"/>
      <c r="U1756" s="418"/>
      <c r="V1756" s="418"/>
      <c r="W1756" s="418"/>
      <c r="X1756" s="418"/>
      <c r="Y1756" s="418"/>
      <c r="Z1756" s="418"/>
      <c r="AA1756" s="418"/>
      <c r="AB1756" s="418"/>
      <c r="AC1756" s="418"/>
      <c r="AD1756" s="418"/>
      <c r="AE1756" s="418"/>
      <c r="AF1756" s="418"/>
      <c r="AG1756" s="418"/>
      <c r="AH1756" s="418"/>
      <c r="AI1756" s="418"/>
      <c r="AJ1756" s="418"/>
      <c r="AK1756" s="418"/>
      <c r="AL1756" s="418"/>
      <c r="AM1756" s="418"/>
      <c r="AN1756" s="418"/>
      <c r="AO1756" s="418"/>
      <c r="AP1756" s="418"/>
      <c r="AQ1756" s="418"/>
      <c r="AR1756" s="418"/>
      <c r="AS1756" s="418"/>
      <c r="AT1756" s="418"/>
      <c r="AU1756" s="418"/>
      <c r="AV1756" s="418"/>
      <c r="AW1756" s="418"/>
      <c r="AX1756" s="418"/>
      <c r="AY1756" s="418"/>
      <c r="BF1756" s="1119"/>
      <c r="BG1756" s="1119"/>
      <c r="BH1756" s="1119"/>
    </row>
    <row r="1757" spans="1:60" ht="15.75" customHeight="1">
      <c r="A1757" s="1076"/>
      <c r="B1757" s="416"/>
      <c r="C1757" s="424"/>
      <c r="E1757" s="418"/>
      <c r="F1757" s="493"/>
      <c r="G1757" s="418"/>
      <c r="H1757" s="421"/>
      <c r="I1757" s="425"/>
      <c r="J1757" s="492"/>
      <c r="K1757" s="418"/>
      <c r="L1757" s="418"/>
      <c r="M1757" s="418"/>
      <c r="N1757" s="421"/>
      <c r="O1757" s="421"/>
      <c r="P1757" s="421"/>
      <c r="Q1757" s="418"/>
      <c r="R1757" s="418"/>
      <c r="S1757" s="418"/>
      <c r="T1757" s="418"/>
      <c r="U1757" s="418"/>
      <c r="V1757" s="418"/>
      <c r="W1757" s="418"/>
      <c r="X1757" s="418"/>
      <c r="Y1757" s="418"/>
      <c r="Z1757" s="418"/>
      <c r="AA1757" s="418"/>
      <c r="AB1757" s="418"/>
      <c r="AC1757" s="418"/>
      <c r="AD1757" s="418"/>
      <c r="AE1757" s="418"/>
      <c r="AF1757" s="418"/>
      <c r="AG1757" s="418"/>
      <c r="AH1757" s="418"/>
      <c r="AI1757" s="418"/>
      <c r="AJ1757" s="418"/>
      <c r="AK1757" s="418"/>
      <c r="AL1757" s="418"/>
      <c r="AM1757" s="418"/>
      <c r="AN1757" s="418"/>
      <c r="AO1757" s="418"/>
      <c r="AP1757" s="418"/>
      <c r="AQ1757" s="418"/>
      <c r="AR1757" s="418"/>
      <c r="AS1757" s="418"/>
      <c r="AT1757" s="418"/>
      <c r="AU1757" s="418"/>
      <c r="AV1757" s="418"/>
      <c r="AW1757" s="418"/>
      <c r="AX1757" s="418"/>
      <c r="AY1757" s="418"/>
      <c r="BF1757" s="1119"/>
      <c r="BG1757" s="1119"/>
      <c r="BH1757" s="1119"/>
    </row>
    <row r="1758" spans="1:60" ht="15.75" customHeight="1">
      <c r="A1758" s="1076"/>
      <c r="B1758" s="416"/>
      <c r="C1758" s="424"/>
      <c r="E1758" s="418"/>
      <c r="F1758" s="493"/>
      <c r="G1758" s="418"/>
      <c r="H1758" s="421"/>
      <c r="I1758" s="421"/>
      <c r="J1758" s="492"/>
      <c r="K1758" s="418"/>
      <c r="L1758" s="418"/>
      <c r="M1758" s="418"/>
      <c r="N1758" s="421"/>
      <c r="O1758" s="421"/>
      <c r="P1758" s="421"/>
      <c r="Q1758" s="418"/>
      <c r="R1758" s="418"/>
      <c r="S1758" s="418"/>
      <c r="T1758" s="418"/>
      <c r="U1758" s="418"/>
      <c r="V1758" s="418"/>
      <c r="W1758" s="418"/>
      <c r="X1758" s="418"/>
      <c r="Y1758" s="418"/>
      <c r="Z1758" s="418"/>
      <c r="AA1758" s="418"/>
      <c r="AB1758" s="418"/>
      <c r="AC1758" s="418"/>
      <c r="AD1758" s="418"/>
      <c r="AE1758" s="418"/>
      <c r="AF1758" s="418"/>
      <c r="AG1758" s="418"/>
      <c r="AH1758" s="418"/>
      <c r="AI1758" s="418"/>
      <c r="AJ1758" s="418"/>
      <c r="AK1758" s="418"/>
      <c r="AL1758" s="418"/>
      <c r="AM1758" s="418"/>
      <c r="AN1758" s="418"/>
      <c r="AO1758" s="418"/>
      <c r="AP1758" s="418"/>
      <c r="AQ1758" s="418"/>
      <c r="AR1758" s="418"/>
      <c r="AS1758" s="418"/>
      <c r="AT1758" s="418"/>
      <c r="AU1758" s="418"/>
      <c r="AV1758" s="418"/>
      <c r="AW1758" s="418"/>
      <c r="AX1758" s="418"/>
      <c r="AY1758" s="418"/>
      <c r="BF1758" s="1119"/>
      <c r="BG1758" s="1119"/>
      <c r="BH1758" s="1119"/>
    </row>
    <row r="1759" spans="1:60" ht="15.75" customHeight="1">
      <c r="A1759" s="1076"/>
      <c r="B1759" s="416"/>
      <c r="C1759" s="424"/>
      <c r="E1759" s="418"/>
      <c r="F1759" s="493"/>
      <c r="G1759" s="418"/>
      <c r="H1759" s="421"/>
      <c r="I1759" s="425"/>
      <c r="J1759" s="492"/>
      <c r="K1759" s="418"/>
      <c r="L1759" s="418"/>
      <c r="M1759" s="418"/>
      <c r="N1759" s="421"/>
      <c r="O1759" s="421"/>
      <c r="P1759" s="421"/>
      <c r="Q1759" s="418"/>
      <c r="R1759" s="418"/>
      <c r="S1759" s="418"/>
      <c r="T1759" s="418"/>
      <c r="U1759" s="418"/>
      <c r="V1759" s="418"/>
      <c r="W1759" s="418"/>
      <c r="X1759" s="418"/>
      <c r="Y1759" s="418"/>
      <c r="Z1759" s="418"/>
      <c r="AA1759" s="418"/>
      <c r="AB1759" s="418"/>
      <c r="AC1759" s="418"/>
      <c r="AD1759" s="418"/>
      <c r="AE1759" s="418"/>
      <c r="AF1759" s="418"/>
      <c r="AG1759" s="418"/>
      <c r="AH1759" s="418"/>
      <c r="AI1759" s="418"/>
      <c r="AJ1759" s="418"/>
      <c r="AK1759" s="418"/>
      <c r="AL1759" s="418"/>
      <c r="AM1759" s="418"/>
      <c r="AN1759" s="418"/>
      <c r="AO1759" s="418"/>
      <c r="AP1759" s="418"/>
      <c r="AQ1759" s="418"/>
      <c r="AR1759" s="418"/>
      <c r="AS1759" s="418"/>
      <c r="AT1759" s="418"/>
      <c r="AU1759" s="418"/>
      <c r="AV1759" s="418"/>
      <c r="AW1759" s="418"/>
      <c r="AX1759" s="418"/>
      <c r="AY1759" s="418"/>
      <c r="BF1759" s="1119"/>
      <c r="BG1759" s="1119"/>
      <c r="BH1759" s="1119"/>
    </row>
    <row r="1760" spans="1:60" ht="15.75" customHeight="1">
      <c r="A1760" s="1076"/>
      <c r="B1760" s="416"/>
      <c r="C1760" s="424"/>
      <c r="E1760" s="418"/>
      <c r="F1760" s="493"/>
      <c r="G1760" s="418"/>
      <c r="H1760" s="421"/>
      <c r="I1760" s="421"/>
      <c r="J1760" s="492"/>
      <c r="K1760" s="418"/>
      <c r="L1760" s="418"/>
      <c r="M1760" s="418"/>
      <c r="N1760" s="421"/>
      <c r="O1760" s="421"/>
      <c r="P1760" s="421"/>
      <c r="Q1760" s="418"/>
      <c r="R1760" s="418"/>
      <c r="S1760" s="418"/>
      <c r="T1760" s="418"/>
      <c r="U1760" s="418"/>
      <c r="V1760" s="418"/>
      <c r="W1760" s="418"/>
      <c r="X1760" s="418"/>
      <c r="Y1760" s="418"/>
      <c r="Z1760" s="418"/>
      <c r="AA1760" s="418"/>
      <c r="AB1760" s="418"/>
      <c r="AC1760" s="418"/>
      <c r="AD1760" s="418"/>
      <c r="AE1760" s="418"/>
      <c r="AF1760" s="418"/>
      <c r="AG1760" s="418"/>
      <c r="AH1760" s="418"/>
      <c r="AI1760" s="418"/>
      <c r="AJ1760" s="418"/>
      <c r="AK1760" s="418"/>
      <c r="AL1760" s="418"/>
      <c r="AM1760" s="418"/>
      <c r="AN1760" s="418"/>
      <c r="AO1760" s="418"/>
      <c r="AP1760" s="418"/>
      <c r="AQ1760" s="418"/>
      <c r="AR1760" s="418"/>
      <c r="AS1760" s="418"/>
      <c r="AT1760" s="418"/>
      <c r="AU1760" s="418"/>
      <c r="AV1760" s="418"/>
      <c r="AW1760" s="418"/>
      <c r="AX1760" s="418"/>
      <c r="AY1760" s="418"/>
      <c r="BF1760" s="1119"/>
      <c r="BG1760" s="1119"/>
      <c r="BH1760" s="1119"/>
    </row>
    <row r="1761" spans="1:60" ht="15.75" customHeight="1">
      <c r="A1761" s="1076"/>
      <c r="B1761" s="416"/>
      <c r="C1761" s="424"/>
      <c r="E1761" s="418"/>
      <c r="F1761" s="493"/>
      <c r="G1761" s="418"/>
      <c r="H1761" s="418"/>
      <c r="I1761" s="418"/>
      <c r="J1761" s="424"/>
      <c r="K1761" s="418"/>
      <c r="L1761" s="418"/>
      <c r="M1761" s="418"/>
      <c r="N1761" s="421"/>
      <c r="O1761" s="421"/>
      <c r="P1761" s="421"/>
      <c r="Q1761" s="418"/>
      <c r="R1761" s="418"/>
      <c r="S1761" s="418"/>
      <c r="T1761" s="418"/>
      <c r="U1761" s="418"/>
      <c r="V1761" s="418"/>
      <c r="W1761" s="418"/>
      <c r="X1761" s="418"/>
      <c r="Y1761" s="418"/>
      <c r="Z1761" s="418"/>
      <c r="AA1761" s="418"/>
      <c r="AB1761" s="418"/>
      <c r="AC1761" s="418"/>
      <c r="AD1761" s="418"/>
      <c r="AE1761" s="418"/>
      <c r="AF1761" s="418"/>
      <c r="AG1761" s="418"/>
      <c r="AH1761" s="418"/>
      <c r="AI1761" s="418"/>
      <c r="AJ1761" s="418"/>
      <c r="AK1761" s="418"/>
      <c r="AL1761" s="418"/>
      <c r="AM1761" s="418"/>
      <c r="AN1761" s="418"/>
      <c r="AO1761" s="418"/>
      <c r="AP1761" s="418"/>
      <c r="AQ1761" s="418"/>
      <c r="AR1761" s="418"/>
      <c r="AS1761" s="418"/>
      <c r="AT1761" s="418"/>
      <c r="AU1761" s="418"/>
      <c r="AV1761" s="418"/>
      <c r="AW1761" s="418"/>
      <c r="AX1761" s="418"/>
      <c r="AY1761" s="418"/>
      <c r="BF1761" s="1119"/>
      <c r="BG1761" s="1119"/>
      <c r="BH1761" s="1119"/>
    </row>
    <row r="1762" spans="1:60" ht="15.75" customHeight="1">
      <c r="A1762" s="1076"/>
      <c r="B1762" s="416"/>
      <c r="C1762" s="424"/>
      <c r="E1762" s="418"/>
      <c r="F1762" s="493"/>
      <c r="G1762" s="418"/>
      <c r="H1762" s="418"/>
      <c r="I1762" s="418"/>
      <c r="J1762" s="424"/>
      <c r="K1762" s="418"/>
      <c r="L1762" s="418"/>
      <c r="M1762" s="418"/>
      <c r="N1762" s="421"/>
      <c r="O1762" s="421"/>
      <c r="P1762" s="421"/>
      <c r="Q1762" s="418"/>
      <c r="R1762" s="418"/>
      <c r="S1762" s="418"/>
      <c r="T1762" s="418"/>
      <c r="U1762" s="418"/>
      <c r="V1762" s="418"/>
      <c r="W1762" s="418"/>
      <c r="X1762" s="418"/>
      <c r="Y1762" s="418"/>
      <c r="Z1762" s="418"/>
      <c r="AA1762" s="418"/>
      <c r="AB1762" s="418"/>
      <c r="AC1762" s="418"/>
      <c r="AD1762" s="418"/>
      <c r="AE1762" s="418"/>
      <c r="AF1762" s="418"/>
      <c r="AG1762" s="418"/>
      <c r="AH1762" s="418"/>
      <c r="AI1762" s="418"/>
      <c r="AJ1762" s="418"/>
      <c r="AK1762" s="418"/>
      <c r="AL1762" s="418"/>
      <c r="AM1762" s="418"/>
      <c r="AN1762" s="418"/>
      <c r="AO1762" s="418"/>
      <c r="AP1762" s="418"/>
      <c r="AQ1762" s="418"/>
      <c r="AR1762" s="418"/>
      <c r="AS1762" s="418"/>
      <c r="AT1762" s="418"/>
      <c r="AU1762" s="418"/>
      <c r="AV1762" s="418"/>
      <c r="AW1762" s="418"/>
      <c r="AX1762" s="418"/>
      <c r="AY1762" s="418"/>
      <c r="BF1762" s="1119"/>
      <c r="BG1762" s="1119"/>
      <c r="BH1762" s="1119"/>
    </row>
    <row r="1763" spans="1:60" ht="15.75" customHeight="1">
      <c r="A1763" s="1076"/>
      <c r="B1763" s="416"/>
      <c r="C1763" s="424"/>
      <c r="E1763" s="418"/>
      <c r="F1763" s="493"/>
      <c r="G1763" s="418"/>
      <c r="H1763" s="421"/>
      <c r="I1763" s="421"/>
      <c r="J1763" s="492"/>
      <c r="K1763" s="418"/>
      <c r="L1763" s="418"/>
      <c r="M1763" s="418"/>
      <c r="N1763" s="421"/>
      <c r="O1763" s="421"/>
      <c r="P1763" s="421"/>
      <c r="Q1763" s="418"/>
      <c r="R1763" s="418"/>
      <c r="S1763" s="418"/>
      <c r="T1763" s="418"/>
      <c r="U1763" s="418"/>
      <c r="V1763" s="418"/>
      <c r="W1763" s="418"/>
      <c r="X1763" s="418"/>
      <c r="Y1763" s="418"/>
      <c r="Z1763" s="418"/>
      <c r="AA1763" s="418"/>
      <c r="AB1763" s="418"/>
      <c r="AC1763" s="418"/>
      <c r="AD1763" s="418"/>
      <c r="AE1763" s="418"/>
      <c r="AF1763" s="418"/>
      <c r="AG1763" s="418"/>
      <c r="AH1763" s="418"/>
      <c r="AI1763" s="418"/>
      <c r="AJ1763" s="418"/>
      <c r="AK1763" s="418"/>
      <c r="AL1763" s="418"/>
      <c r="AM1763" s="418"/>
      <c r="AN1763" s="418"/>
      <c r="AO1763" s="418"/>
      <c r="AP1763" s="418"/>
      <c r="AQ1763" s="418"/>
      <c r="AR1763" s="418"/>
      <c r="AS1763" s="418"/>
      <c r="AT1763" s="418"/>
      <c r="AU1763" s="418"/>
      <c r="AV1763" s="418"/>
      <c r="AW1763" s="418"/>
      <c r="AX1763" s="418"/>
      <c r="AY1763" s="418"/>
      <c r="BF1763" s="1119"/>
      <c r="BG1763" s="1119"/>
      <c r="BH1763" s="1119"/>
    </row>
    <row r="1764" spans="1:60" ht="15.75" customHeight="1">
      <c r="A1764" s="1076"/>
      <c r="B1764" s="416"/>
      <c r="C1764" s="424"/>
      <c r="E1764" s="418"/>
      <c r="F1764" s="493"/>
      <c r="G1764" s="418"/>
      <c r="H1764" s="421"/>
      <c r="I1764" s="421"/>
      <c r="J1764" s="492"/>
      <c r="K1764" s="418"/>
      <c r="L1764" s="418"/>
      <c r="M1764" s="418"/>
      <c r="N1764" s="421"/>
      <c r="O1764" s="421"/>
      <c r="P1764" s="421"/>
      <c r="Q1764" s="418"/>
      <c r="R1764" s="418"/>
      <c r="S1764" s="418"/>
      <c r="T1764" s="418"/>
      <c r="U1764" s="418"/>
      <c r="V1764" s="418"/>
      <c r="W1764" s="418"/>
      <c r="X1764" s="418"/>
      <c r="Y1764" s="418"/>
      <c r="Z1764" s="418"/>
      <c r="AA1764" s="418"/>
      <c r="AB1764" s="418"/>
      <c r="AC1764" s="418"/>
      <c r="AD1764" s="418"/>
      <c r="AE1764" s="418"/>
      <c r="AF1764" s="418"/>
      <c r="AG1764" s="418"/>
      <c r="AH1764" s="418"/>
      <c r="AI1764" s="418"/>
      <c r="AJ1764" s="418"/>
      <c r="AK1764" s="418"/>
      <c r="AL1764" s="418"/>
      <c r="AM1764" s="418"/>
      <c r="AN1764" s="418"/>
      <c r="AO1764" s="418"/>
      <c r="AP1764" s="418"/>
      <c r="AQ1764" s="418"/>
      <c r="AR1764" s="418"/>
      <c r="AS1764" s="418"/>
      <c r="AT1764" s="418"/>
      <c r="AU1764" s="418"/>
      <c r="AV1764" s="418"/>
      <c r="AW1764" s="418"/>
      <c r="AX1764" s="418"/>
      <c r="AY1764" s="418"/>
      <c r="BF1764" s="1119"/>
      <c r="BG1764" s="1119"/>
      <c r="BH1764" s="1119"/>
    </row>
    <row r="1765" spans="1:60" ht="15.75" customHeight="1">
      <c r="A1765" s="1076"/>
      <c r="B1765" s="416"/>
      <c r="C1765" s="424"/>
      <c r="E1765" s="418"/>
      <c r="F1765" s="493"/>
      <c r="G1765" s="418"/>
      <c r="H1765" s="421"/>
      <c r="I1765" s="421"/>
      <c r="J1765" s="492"/>
      <c r="K1765" s="418"/>
      <c r="L1765" s="418"/>
      <c r="M1765" s="418"/>
      <c r="N1765" s="421"/>
      <c r="O1765" s="421"/>
      <c r="P1765" s="421"/>
      <c r="Q1765" s="418"/>
      <c r="R1765" s="418"/>
      <c r="S1765" s="418"/>
      <c r="T1765" s="418"/>
      <c r="U1765" s="418"/>
      <c r="V1765" s="418"/>
      <c r="W1765" s="418"/>
      <c r="X1765" s="418"/>
      <c r="Y1765" s="418"/>
      <c r="Z1765" s="418"/>
      <c r="AA1765" s="418"/>
      <c r="AB1765" s="418"/>
      <c r="AC1765" s="418"/>
      <c r="AD1765" s="418"/>
      <c r="AE1765" s="418"/>
      <c r="AF1765" s="418"/>
      <c r="AG1765" s="418"/>
      <c r="AH1765" s="418"/>
      <c r="AI1765" s="418"/>
      <c r="AJ1765" s="418"/>
      <c r="AK1765" s="418"/>
      <c r="AL1765" s="418"/>
      <c r="AM1765" s="418"/>
      <c r="AN1765" s="418"/>
      <c r="AO1765" s="418"/>
      <c r="AP1765" s="418"/>
      <c r="AQ1765" s="418"/>
      <c r="AR1765" s="418"/>
      <c r="AS1765" s="418"/>
      <c r="AT1765" s="418"/>
      <c r="AU1765" s="418"/>
      <c r="AV1765" s="418"/>
      <c r="AW1765" s="418"/>
      <c r="AX1765" s="418"/>
      <c r="AY1765" s="418"/>
      <c r="BF1765" s="1119"/>
      <c r="BG1765" s="1119"/>
      <c r="BH1765" s="1119"/>
    </row>
    <row r="1766" spans="1:60" ht="15.75" customHeight="1">
      <c r="A1766" s="1076"/>
      <c r="B1766" s="416"/>
      <c r="C1766" s="424"/>
      <c r="E1766" s="418"/>
      <c r="F1766" s="493"/>
      <c r="G1766" s="418"/>
      <c r="H1766" s="421"/>
      <c r="I1766" s="421"/>
      <c r="J1766" s="492"/>
      <c r="K1766" s="418"/>
      <c r="L1766" s="418"/>
      <c r="M1766" s="418"/>
      <c r="N1766" s="421"/>
      <c r="O1766" s="421"/>
      <c r="P1766" s="421"/>
      <c r="Q1766" s="418"/>
      <c r="R1766" s="418"/>
      <c r="S1766" s="418"/>
      <c r="T1766" s="418"/>
      <c r="U1766" s="418"/>
      <c r="V1766" s="418"/>
      <c r="W1766" s="418"/>
      <c r="X1766" s="418"/>
      <c r="Y1766" s="418"/>
      <c r="Z1766" s="418"/>
      <c r="AA1766" s="418"/>
      <c r="AB1766" s="418"/>
      <c r="AC1766" s="418"/>
      <c r="AD1766" s="418"/>
      <c r="AE1766" s="418"/>
      <c r="AF1766" s="418"/>
      <c r="AG1766" s="418"/>
      <c r="AH1766" s="418"/>
      <c r="AI1766" s="418"/>
      <c r="AJ1766" s="418"/>
      <c r="AK1766" s="418"/>
      <c r="AL1766" s="418"/>
      <c r="AM1766" s="418"/>
      <c r="AN1766" s="418"/>
      <c r="AO1766" s="418"/>
      <c r="AP1766" s="418"/>
      <c r="AQ1766" s="418"/>
      <c r="AR1766" s="418"/>
      <c r="AS1766" s="418"/>
      <c r="AT1766" s="418"/>
      <c r="AU1766" s="418"/>
      <c r="AV1766" s="418"/>
      <c r="AW1766" s="418"/>
      <c r="AX1766" s="418"/>
      <c r="AY1766" s="418"/>
      <c r="BF1766" s="1119"/>
      <c r="BG1766" s="1119"/>
      <c r="BH1766" s="1119"/>
    </row>
    <row r="1767" spans="1:60" ht="15.75" customHeight="1">
      <c r="A1767" s="1076"/>
      <c r="B1767" s="416"/>
      <c r="C1767" s="424"/>
      <c r="E1767" s="418"/>
      <c r="F1767" s="493"/>
      <c r="G1767" s="418"/>
      <c r="H1767" s="421"/>
      <c r="I1767" s="421"/>
      <c r="J1767" s="492"/>
      <c r="K1767" s="418"/>
      <c r="L1767" s="418"/>
      <c r="M1767" s="418"/>
      <c r="N1767" s="421"/>
      <c r="O1767" s="421"/>
      <c r="P1767" s="421"/>
      <c r="Q1767" s="418"/>
      <c r="R1767" s="418"/>
      <c r="S1767" s="418"/>
      <c r="T1767" s="418"/>
      <c r="U1767" s="418"/>
      <c r="V1767" s="418"/>
      <c r="W1767" s="418"/>
      <c r="X1767" s="418"/>
      <c r="Y1767" s="418"/>
      <c r="Z1767" s="418"/>
      <c r="AA1767" s="418"/>
      <c r="AB1767" s="418"/>
      <c r="AC1767" s="418"/>
      <c r="AD1767" s="418"/>
      <c r="AE1767" s="418"/>
      <c r="AF1767" s="418"/>
      <c r="AG1767" s="418"/>
      <c r="AH1767" s="418"/>
      <c r="AI1767" s="418"/>
      <c r="AJ1767" s="418"/>
      <c r="AK1767" s="418"/>
      <c r="AL1767" s="418"/>
      <c r="AM1767" s="418"/>
      <c r="AN1767" s="418"/>
      <c r="AO1767" s="418"/>
      <c r="AP1767" s="418"/>
      <c r="AQ1767" s="418"/>
      <c r="AR1767" s="418"/>
      <c r="AS1767" s="418"/>
      <c r="AT1767" s="418"/>
      <c r="AU1767" s="418"/>
      <c r="AV1767" s="418"/>
      <c r="AW1767" s="418"/>
      <c r="AX1767" s="418"/>
      <c r="AY1767" s="418"/>
      <c r="BF1767" s="1119"/>
      <c r="BG1767" s="1119"/>
      <c r="BH1767" s="1119"/>
    </row>
    <row r="1768" spans="1:60" ht="15.75" customHeight="1">
      <c r="A1768" s="1076"/>
      <c r="B1768" s="416"/>
      <c r="C1768" s="424"/>
      <c r="E1768" s="418"/>
      <c r="F1768" s="493"/>
      <c r="G1768" s="418"/>
      <c r="H1768" s="421"/>
      <c r="I1768" s="421"/>
      <c r="J1768" s="492"/>
      <c r="K1768" s="418"/>
      <c r="L1768" s="418"/>
      <c r="M1768" s="418"/>
      <c r="N1768" s="421"/>
      <c r="O1768" s="421"/>
      <c r="P1768" s="421"/>
      <c r="Q1768" s="418"/>
      <c r="R1768" s="418"/>
      <c r="S1768" s="418"/>
      <c r="T1768" s="418"/>
      <c r="U1768" s="418"/>
      <c r="V1768" s="418"/>
      <c r="W1768" s="418"/>
      <c r="X1768" s="418"/>
      <c r="Y1768" s="418"/>
      <c r="Z1768" s="418"/>
      <c r="AA1768" s="418"/>
      <c r="AB1768" s="418"/>
      <c r="AC1768" s="418"/>
      <c r="AD1768" s="418"/>
      <c r="AE1768" s="418"/>
      <c r="AF1768" s="418"/>
      <c r="AG1768" s="418"/>
      <c r="AH1768" s="418"/>
      <c r="AI1768" s="418"/>
      <c r="AJ1768" s="418"/>
      <c r="AK1768" s="418"/>
      <c r="AL1768" s="418"/>
      <c r="AM1768" s="418"/>
      <c r="AN1768" s="418"/>
      <c r="AO1768" s="418"/>
      <c r="AP1768" s="418"/>
      <c r="AQ1768" s="418"/>
      <c r="AR1768" s="418"/>
      <c r="AS1768" s="418"/>
      <c r="AT1768" s="418"/>
      <c r="AU1768" s="418"/>
      <c r="AV1768" s="418"/>
      <c r="AW1768" s="418"/>
      <c r="AX1768" s="418"/>
      <c r="AY1768" s="418"/>
      <c r="BF1768" s="1119"/>
      <c r="BG1768" s="1119"/>
      <c r="BH1768" s="1119"/>
    </row>
    <row r="1769" spans="1:60" ht="15.75" customHeight="1">
      <c r="A1769" s="1076"/>
      <c r="B1769" s="416"/>
      <c r="C1769" s="424"/>
      <c r="E1769" s="418"/>
      <c r="F1769" s="493"/>
      <c r="G1769" s="418"/>
      <c r="H1769" s="421"/>
      <c r="I1769" s="421"/>
      <c r="J1769" s="492"/>
      <c r="K1769" s="418"/>
      <c r="L1769" s="418"/>
      <c r="M1769" s="418"/>
      <c r="N1769" s="421"/>
      <c r="O1769" s="421"/>
      <c r="P1769" s="421"/>
      <c r="Q1769" s="418"/>
      <c r="R1769" s="418"/>
      <c r="S1769" s="418"/>
      <c r="T1769" s="418"/>
      <c r="U1769" s="418"/>
      <c r="V1769" s="418"/>
      <c r="W1769" s="418"/>
      <c r="X1769" s="418"/>
      <c r="Y1769" s="418"/>
      <c r="Z1769" s="418"/>
      <c r="AA1769" s="418"/>
      <c r="AB1769" s="418"/>
      <c r="AC1769" s="418"/>
      <c r="AD1769" s="418"/>
      <c r="AE1769" s="418"/>
      <c r="AF1769" s="418"/>
      <c r="AG1769" s="418"/>
      <c r="AH1769" s="418"/>
      <c r="AI1769" s="418"/>
      <c r="AJ1769" s="418"/>
      <c r="AK1769" s="418"/>
      <c r="AL1769" s="418"/>
      <c r="AM1769" s="418"/>
      <c r="AN1769" s="418"/>
      <c r="AO1769" s="418"/>
      <c r="AP1769" s="418"/>
      <c r="AQ1769" s="418"/>
      <c r="AR1769" s="418"/>
      <c r="AS1769" s="418"/>
      <c r="AT1769" s="418"/>
      <c r="AU1769" s="418"/>
      <c r="AV1769" s="418"/>
      <c r="AW1769" s="418"/>
      <c r="AX1769" s="418"/>
      <c r="AY1769" s="418"/>
      <c r="BF1769" s="1119"/>
      <c r="BG1769" s="1119"/>
      <c r="BH1769" s="1119"/>
    </row>
    <row r="1770" spans="1:60" ht="15.75" customHeight="1">
      <c r="A1770" s="1076"/>
      <c r="B1770" s="416"/>
      <c r="C1770" s="424"/>
      <c r="E1770" s="418"/>
      <c r="F1770" s="493"/>
      <c r="G1770" s="418"/>
      <c r="H1770" s="421"/>
      <c r="I1770" s="421"/>
      <c r="J1770" s="492"/>
      <c r="K1770" s="418"/>
      <c r="L1770" s="418"/>
      <c r="M1770" s="418"/>
      <c r="N1770" s="421"/>
      <c r="O1770" s="421"/>
      <c r="P1770" s="421"/>
      <c r="Q1770" s="418"/>
      <c r="R1770" s="418"/>
      <c r="S1770" s="418"/>
      <c r="T1770" s="418"/>
      <c r="U1770" s="418"/>
      <c r="V1770" s="418"/>
      <c r="W1770" s="418"/>
      <c r="X1770" s="418"/>
      <c r="Y1770" s="418"/>
      <c r="Z1770" s="418"/>
      <c r="AA1770" s="418"/>
      <c r="AB1770" s="418"/>
      <c r="AC1770" s="418"/>
      <c r="AD1770" s="418"/>
      <c r="AE1770" s="418"/>
      <c r="AF1770" s="418"/>
      <c r="AG1770" s="418"/>
      <c r="AH1770" s="418"/>
      <c r="AI1770" s="418"/>
      <c r="AJ1770" s="418"/>
      <c r="AK1770" s="418"/>
      <c r="AL1770" s="418"/>
      <c r="AM1770" s="418"/>
      <c r="AN1770" s="418"/>
      <c r="AO1770" s="418"/>
      <c r="AP1770" s="418"/>
      <c r="AQ1770" s="418"/>
      <c r="AR1770" s="418"/>
      <c r="AS1770" s="418"/>
      <c r="AT1770" s="418"/>
      <c r="AU1770" s="418"/>
      <c r="AV1770" s="418"/>
      <c r="AW1770" s="418"/>
      <c r="AX1770" s="418"/>
      <c r="AY1770" s="418"/>
      <c r="BF1770" s="1119"/>
      <c r="BG1770" s="1119"/>
      <c r="BH1770" s="1119"/>
    </row>
    <row r="1771" spans="1:60" ht="15.75" customHeight="1">
      <c r="A1771" s="1076"/>
      <c r="B1771" s="416"/>
      <c r="C1771" s="424"/>
      <c r="E1771" s="418"/>
      <c r="F1771" s="493"/>
      <c r="G1771" s="418"/>
      <c r="H1771" s="421"/>
      <c r="I1771" s="421"/>
      <c r="J1771" s="492"/>
      <c r="K1771" s="418"/>
      <c r="L1771" s="418"/>
      <c r="M1771" s="418"/>
      <c r="N1771" s="421"/>
      <c r="O1771" s="421"/>
      <c r="P1771" s="421"/>
      <c r="Q1771" s="418"/>
      <c r="R1771" s="418"/>
      <c r="S1771" s="418"/>
      <c r="T1771" s="418"/>
      <c r="U1771" s="418"/>
      <c r="V1771" s="418"/>
      <c r="W1771" s="418"/>
      <c r="X1771" s="418"/>
      <c r="Y1771" s="418"/>
      <c r="Z1771" s="418"/>
      <c r="AA1771" s="418"/>
      <c r="AB1771" s="418"/>
      <c r="AC1771" s="418"/>
      <c r="AD1771" s="418"/>
      <c r="AE1771" s="418"/>
      <c r="AF1771" s="418"/>
      <c r="AG1771" s="418"/>
      <c r="AH1771" s="418"/>
      <c r="AI1771" s="418"/>
      <c r="AJ1771" s="418"/>
      <c r="AK1771" s="418"/>
      <c r="AL1771" s="418"/>
      <c r="AM1771" s="418"/>
      <c r="AN1771" s="418"/>
      <c r="AO1771" s="418"/>
      <c r="AP1771" s="418"/>
      <c r="AQ1771" s="418"/>
      <c r="AR1771" s="418"/>
      <c r="AS1771" s="418"/>
      <c r="AT1771" s="418"/>
      <c r="AU1771" s="418"/>
      <c r="AV1771" s="418"/>
      <c r="AW1771" s="418"/>
      <c r="AX1771" s="418"/>
      <c r="AY1771" s="418"/>
      <c r="BF1771" s="1119"/>
      <c r="BG1771" s="1119"/>
      <c r="BH1771" s="1119"/>
    </row>
    <row r="1772" spans="1:60" ht="15.75" customHeight="1">
      <c r="A1772" s="1076"/>
      <c r="B1772" s="416"/>
      <c r="C1772" s="424"/>
      <c r="E1772" s="418"/>
      <c r="F1772" s="493"/>
      <c r="G1772" s="418"/>
      <c r="H1772" s="421"/>
      <c r="I1772" s="421"/>
      <c r="J1772" s="492"/>
      <c r="K1772" s="418"/>
      <c r="L1772" s="418"/>
      <c r="M1772" s="418"/>
      <c r="N1772" s="421"/>
      <c r="O1772" s="421"/>
      <c r="P1772" s="421"/>
      <c r="Q1772" s="418"/>
      <c r="R1772" s="418"/>
      <c r="S1772" s="418"/>
      <c r="T1772" s="418"/>
      <c r="U1772" s="418"/>
      <c r="V1772" s="418"/>
      <c r="W1772" s="418"/>
      <c r="X1772" s="418"/>
      <c r="Y1772" s="418"/>
      <c r="Z1772" s="418"/>
      <c r="AA1772" s="418"/>
      <c r="AB1772" s="418"/>
      <c r="AC1772" s="418"/>
      <c r="AD1772" s="418"/>
      <c r="AE1772" s="418"/>
      <c r="AF1772" s="418"/>
      <c r="AG1772" s="418"/>
      <c r="AH1772" s="418"/>
      <c r="AI1772" s="418"/>
      <c r="AJ1772" s="418"/>
      <c r="AK1772" s="418"/>
      <c r="AL1772" s="418"/>
      <c r="AM1772" s="418"/>
      <c r="AN1772" s="418"/>
      <c r="AO1772" s="418"/>
      <c r="AP1772" s="418"/>
      <c r="AQ1772" s="418"/>
      <c r="AR1772" s="418"/>
      <c r="AS1772" s="418"/>
      <c r="AT1772" s="418"/>
      <c r="AU1772" s="418"/>
      <c r="AV1772" s="418"/>
      <c r="AW1772" s="418"/>
      <c r="AX1772" s="418"/>
      <c r="AY1772" s="418"/>
      <c r="BF1772" s="1119"/>
      <c r="BG1772" s="1119"/>
      <c r="BH1772" s="1119"/>
    </row>
    <row r="1773" spans="1:60" ht="15.75" customHeight="1">
      <c r="A1773" s="1076"/>
      <c r="B1773" s="416"/>
      <c r="C1773" s="424"/>
      <c r="E1773" s="418"/>
      <c r="F1773" s="493"/>
      <c r="G1773" s="418"/>
      <c r="H1773" s="421"/>
      <c r="I1773" s="421"/>
      <c r="J1773" s="492"/>
      <c r="K1773" s="418"/>
      <c r="L1773" s="418"/>
      <c r="M1773" s="418"/>
      <c r="N1773" s="421"/>
      <c r="O1773" s="421"/>
      <c r="P1773" s="421"/>
      <c r="Q1773" s="418"/>
      <c r="R1773" s="418"/>
      <c r="S1773" s="418"/>
      <c r="T1773" s="418"/>
      <c r="U1773" s="418"/>
      <c r="V1773" s="418"/>
      <c r="W1773" s="418"/>
      <c r="X1773" s="418"/>
      <c r="Y1773" s="418"/>
      <c r="Z1773" s="418"/>
      <c r="AA1773" s="418"/>
      <c r="AB1773" s="418"/>
      <c r="AC1773" s="418"/>
      <c r="AD1773" s="418"/>
      <c r="AE1773" s="418"/>
      <c r="AF1773" s="418"/>
      <c r="AG1773" s="418"/>
      <c r="AH1773" s="418"/>
      <c r="AI1773" s="418"/>
      <c r="AJ1773" s="418"/>
      <c r="AK1773" s="418"/>
      <c r="AL1773" s="418"/>
      <c r="AM1773" s="418"/>
      <c r="AN1773" s="418"/>
      <c r="AO1773" s="418"/>
      <c r="AP1773" s="418"/>
      <c r="AQ1773" s="418"/>
      <c r="AR1773" s="418"/>
      <c r="AS1773" s="418"/>
      <c r="AT1773" s="418"/>
      <c r="AU1773" s="418"/>
      <c r="AV1773" s="418"/>
      <c r="AW1773" s="418"/>
      <c r="AX1773" s="418"/>
      <c r="AY1773" s="418"/>
      <c r="BF1773" s="1119"/>
      <c r="BG1773" s="1119"/>
      <c r="BH1773" s="1119"/>
    </row>
    <row r="1774" spans="1:60" ht="15.75" customHeight="1">
      <c r="A1774" s="1076"/>
      <c r="B1774" s="416"/>
      <c r="C1774" s="424"/>
      <c r="E1774" s="418"/>
      <c r="F1774" s="493"/>
      <c r="G1774" s="418"/>
      <c r="H1774" s="421"/>
      <c r="I1774" s="421"/>
      <c r="J1774" s="492"/>
      <c r="K1774" s="418"/>
      <c r="L1774" s="418"/>
      <c r="M1774" s="418"/>
      <c r="N1774" s="421"/>
      <c r="O1774" s="421"/>
      <c r="P1774" s="421"/>
      <c r="Q1774" s="418"/>
      <c r="R1774" s="418"/>
      <c r="S1774" s="418"/>
      <c r="T1774" s="418"/>
      <c r="U1774" s="418"/>
      <c r="V1774" s="418"/>
      <c r="W1774" s="418"/>
      <c r="X1774" s="418"/>
      <c r="Y1774" s="418"/>
      <c r="Z1774" s="418"/>
      <c r="AA1774" s="418"/>
      <c r="AB1774" s="418"/>
      <c r="AC1774" s="418"/>
      <c r="AD1774" s="418"/>
      <c r="AE1774" s="418"/>
      <c r="AF1774" s="418"/>
      <c r="AG1774" s="418"/>
      <c r="AH1774" s="418"/>
      <c r="AI1774" s="418"/>
      <c r="AJ1774" s="418"/>
      <c r="AK1774" s="418"/>
      <c r="AL1774" s="418"/>
      <c r="AM1774" s="418"/>
      <c r="AN1774" s="418"/>
      <c r="AO1774" s="418"/>
      <c r="AP1774" s="418"/>
      <c r="AQ1774" s="418"/>
      <c r="AR1774" s="418"/>
      <c r="AS1774" s="418"/>
      <c r="AT1774" s="418"/>
      <c r="AU1774" s="418"/>
      <c r="AV1774" s="418"/>
      <c r="AW1774" s="418"/>
      <c r="AX1774" s="418"/>
      <c r="AY1774" s="418"/>
      <c r="BF1774" s="1119"/>
      <c r="BG1774" s="1119"/>
      <c r="BH1774" s="1119"/>
    </row>
    <row r="1775" spans="1:60" ht="15.75" customHeight="1">
      <c r="A1775" s="1076"/>
      <c r="B1775" s="416"/>
      <c r="C1775" s="424"/>
      <c r="E1775" s="418"/>
      <c r="F1775" s="493"/>
      <c r="G1775" s="418"/>
      <c r="H1775" s="421"/>
      <c r="I1775" s="421"/>
      <c r="J1775" s="492"/>
      <c r="K1775" s="418"/>
      <c r="L1775" s="418"/>
      <c r="M1775" s="418"/>
      <c r="N1775" s="421"/>
      <c r="O1775" s="421"/>
      <c r="P1775" s="421"/>
      <c r="Q1775" s="418"/>
      <c r="R1775" s="418"/>
      <c r="S1775" s="418"/>
      <c r="T1775" s="418"/>
      <c r="U1775" s="418"/>
      <c r="V1775" s="418"/>
      <c r="W1775" s="418"/>
      <c r="X1775" s="418"/>
      <c r="Y1775" s="418"/>
      <c r="Z1775" s="418"/>
      <c r="AA1775" s="418"/>
      <c r="AB1775" s="418"/>
      <c r="AC1775" s="418"/>
      <c r="AD1775" s="418"/>
      <c r="AE1775" s="418"/>
      <c r="AF1775" s="418"/>
      <c r="AG1775" s="418"/>
      <c r="AH1775" s="418"/>
      <c r="AI1775" s="418"/>
      <c r="AJ1775" s="418"/>
      <c r="AK1775" s="418"/>
      <c r="AL1775" s="418"/>
      <c r="AM1775" s="418"/>
      <c r="AN1775" s="418"/>
      <c r="AO1775" s="418"/>
      <c r="AP1775" s="418"/>
      <c r="AQ1775" s="418"/>
      <c r="AR1775" s="418"/>
      <c r="AS1775" s="418"/>
      <c r="AT1775" s="418"/>
      <c r="AU1775" s="418"/>
      <c r="AV1775" s="418"/>
      <c r="AW1775" s="418"/>
      <c r="AX1775" s="418"/>
      <c r="AY1775" s="418"/>
      <c r="BF1775" s="1119"/>
      <c r="BG1775" s="1119"/>
      <c r="BH1775" s="1119"/>
    </row>
    <row r="1776" spans="1:60" ht="15.75" customHeight="1">
      <c r="A1776" s="1076"/>
      <c r="B1776" s="416"/>
      <c r="C1776" s="424"/>
      <c r="E1776" s="418"/>
      <c r="F1776" s="493"/>
      <c r="G1776" s="418"/>
      <c r="H1776" s="421"/>
      <c r="I1776" s="421"/>
      <c r="J1776" s="492"/>
      <c r="K1776" s="418"/>
      <c r="L1776" s="418"/>
      <c r="M1776" s="418"/>
      <c r="N1776" s="421"/>
      <c r="O1776" s="421"/>
      <c r="P1776" s="421"/>
      <c r="Q1776" s="418"/>
      <c r="R1776" s="418"/>
      <c r="S1776" s="418"/>
      <c r="T1776" s="418"/>
      <c r="U1776" s="418"/>
      <c r="V1776" s="418"/>
      <c r="W1776" s="418"/>
      <c r="X1776" s="418"/>
      <c r="Y1776" s="418"/>
      <c r="Z1776" s="418"/>
      <c r="AA1776" s="418"/>
      <c r="AB1776" s="418"/>
      <c r="AC1776" s="418"/>
      <c r="AD1776" s="418"/>
      <c r="AE1776" s="418"/>
      <c r="AF1776" s="418"/>
      <c r="AG1776" s="418"/>
      <c r="AH1776" s="418"/>
      <c r="AI1776" s="418"/>
      <c r="AJ1776" s="418"/>
      <c r="AK1776" s="418"/>
      <c r="AL1776" s="418"/>
      <c r="AM1776" s="418"/>
      <c r="AN1776" s="418"/>
      <c r="AO1776" s="418"/>
      <c r="AP1776" s="418"/>
      <c r="AQ1776" s="418"/>
      <c r="AR1776" s="418"/>
      <c r="AS1776" s="418"/>
      <c r="AT1776" s="418"/>
      <c r="AU1776" s="418"/>
      <c r="AV1776" s="418"/>
      <c r="AW1776" s="418"/>
      <c r="AX1776" s="418"/>
      <c r="AY1776" s="418"/>
      <c r="BF1776" s="1119"/>
      <c r="BG1776" s="1119"/>
      <c r="BH1776" s="1119"/>
    </row>
    <row r="1777" spans="1:60" ht="15.75" customHeight="1">
      <c r="A1777" s="1076"/>
      <c r="B1777" s="416"/>
      <c r="C1777" s="424"/>
      <c r="E1777" s="418"/>
      <c r="F1777" s="493"/>
      <c r="G1777" s="418"/>
      <c r="H1777" s="421"/>
      <c r="I1777" s="421"/>
      <c r="J1777" s="492"/>
      <c r="K1777" s="418"/>
      <c r="L1777" s="418"/>
      <c r="M1777" s="418"/>
      <c r="N1777" s="421"/>
      <c r="O1777" s="421"/>
      <c r="P1777" s="421"/>
      <c r="Q1777" s="418"/>
      <c r="R1777" s="418"/>
      <c r="S1777" s="418"/>
      <c r="T1777" s="418"/>
      <c r="U1777" s="418"/>
      <c r="V1777" s="418"/>
      <c r="W1777" s="418"/>
      <c r="X1777" s="418"/>
      <c r="Y1777" s="418"/>
      <c r="Z1777" s="418"/>
      <c r="AA1777" s="418"/>
      <c r="AB1777" s="418"/>
      <c r="AC1777" s="418"/>
      <c r="AD1777" s="418"/>
      <c r="AE1777" s="418"/>
      <c r="AF1777" s="418"/>
      <c r="AG1777" s="418"/>
      <c r="AH1777" s="418"/>
      <c r="AI1777" s="418"/>
      <c r="AJ1777" s="418"/>
      <c r="AK1777" s="418"/>
      <c r="AL1777" s="418"/>
      <c r="AM1777" s="418"/>
      <c r="AN1777" s="418"/>
      <c r="AO1777" s="418"/>
      <c r="AP1777" s="418"/>
      <c r="AQ1777" s="418"/>
      <c r="AR1777" s="418"/>
      <c r="AS1777" s="418"/>
      <c r="AT1777" s="418"/>
      <c r="AU1777" s="418"/>
      <c r="AV1777" s="418"/>
      <c r="AW1777" s="418"/>
      <c r="AX1777" s="418"/>
      <c r="AY1777" s="418"/>
      <c r="BF1777" s="1119"/>
      <c r="BG1777" s="1119"/>
      <c r="BH1777" s="1119"/>
    </row>
    <row r="1778" spans="1:60" ht="15.75" customHeight="1">
      <c r="A1778" s="1076"/>
      <c r="B1778" s="416"/>
      <c r="C1778" s="424"/>
      <c r="E1778" s="418"/>
      <c r="F1778" s="493"/>
      <c r="G1778" s="418"/>
      <c r="H1778" s="421"/>
      <c r="I1778" s="421"/>
      <c r="J1778" s="492"/>
      <c r="K1778" s="418"/>
      <c r="L1778" s="418"/>
      <c r="M1778" s="418"/>
      <c r="N1778" s="421"/>
      <c r="O1778" s="421"/>
      <c r="P1778" s="421"/>
      <c r="Q1778" s="418"/>
      <c r="R1778" s="418"/>
      <c r="S1778" s="418"/>
      <c r="T1778" s="418"/>
      <c r="U1778" s="418"/>
      <c r="V1778" s="418"/>
      <c r="W1778" s="418"/>
      <c r="X1778" s="418"/>
      <c r="Y1778" s="418"/>
      <c r="Z1778" s="418"/>
      <c r="AA1778" s="418"/>
      <c r="AB1778" s="418"/>
      <c r="AC1778" s="418"/>
      <c r="AD1778" s="418"/>
      <c r="AE1778" s="418"/>
      <c r="AF1778" s="418"/>
      <c r="AG1778" s="418"/>
      <c r="AH1778" s="418"/>
      <c r="AI1778" s="418"/>
      <c r="AJ1778" s="418"/>
      <c r="AK1778" s="418"/>
      <c r="AL1778" s="418"/>
      <c r="AM1778" s="418"/>
      <c r="AN1778" s="418"/>
      <c r="AO1778" s="418"/>
      <c r="AP1778" s="418"/>
      <c r="AQ1778" s="418"/>
      <c r="AR1778" s="418"/>
      <c r="AS1778" s="418"/>
      <c r="AT1778" s="418"/>
      <c r="AU1778" s="418"/>
      <c r="AV1778" s="418"/>
      <c r="AW1778" s="418"/>
      <c r="AX1778" s="418"/>
      <c r="AY1778" s="418"/>
      <c r="BF1778" s="1119"/>
      <c r="BG1778" s="1119"/>
      <c r="BH1778" s="1119"/>
    </row>
    <row r="1779" spans="1:60" ht="15.75" customHeight="1">
      <c r="A1779" s="1076"/>
      <c r="B1779" s="416"/>
      <c r="C1779" s="424"/>
      <c r="E1779" s="418"/>
      <c r="F1779" s="493"/>
      <c r="G1779" s="418"/>
      <c r="H1779" s="421"/>
      <c r="I1779" s="421"/>
      <c r="J1779" s="492"/>
      <c r="K1779" s="418"/>
      <c r="L1779" s="418"/>
      <c r="M1779" s="418"/>
      <c r="N1779" s="421"/>
      <c r="O1779" s="421"/>
      <c r="P1779" s="421"/>
      <c r="Q1779" s="418"/>
      <c r="R1779" s="418"/>
      <c r="S1779" s="418"/>
      <c r="T1779" s="418"/>
      <c r="U1779" s="418"/>
      <c r="V1779" s="418"/>
      <c r="W1779" s="418"/>
      <c r="X1779" s="418"/>
      <c r="Y1779" s="418"/>
      <c r="Z1779" s="418"/>
      <c r="AA1779" s="418"/>
      <c r="AB1779" s="418"/>
      <c r="AC1779" s="418"/>
      <c r="AD1779" s="418"/>
      <c r="AE1779" s="418"/>
      <c r="AF1779" s="418"/>
      <c r="AG1779" s="418"/>
      <c r="AH1779" s="418"/>
      <c r="AI1779" s="418"/>
      <c r="AJ1779" s="418"/>
      <c r="AK1779" s="418"/>
      <c r="AL1779" s="418"/>
      <c r="AM1779" s="418"/>
      <c r="AN1779" s="418"/>
      <c r="AO1779" s="418"/>
      <c r="AP1779" s="418"/>
      <c r="AQ1779" s="418"/>
      <c r="AR1779" s="418"/>
      <c r="AS1779" s="418"/>
      <c r="AT1779" s="418"/>
      <c r="AU1779" s="418"/>
      <c r="AV1779" s="418"/>
      <c r="AW1779" s="418"/>
      <c r="AX1779" s="418"/>
      <c r="AY1779" s="418"/>
      <c r="BF1779" s="1119"/>
      <c r="BG1779" s="1119"/>
      <c r="BH1779" s="1119"/>
    </row>
    <row r="1780" spans="1:60" ht="15.75" customHeight="1">
      <c r="A1780" s="1076"/>
      <c r="B1780" s="416"/>
      <c r="C1780" s="424"/>
      <c r="E1780" s="418"/>
      <c r="F1780" s="493"/>
      <c r="G1780" s="418"/>
      <c r="H1780" s="421"/>
      <c r="I1780" s="421"/>
      <c r="J1780" s="492"/>
      <c r="K1780" s="418"/>
      <c r="L1780" s="418"/>
      <c r="M1780" s="418"/>
      <c r="N1780" s="421"/>
      <c r="O1780" s="421"/>
      <c r="P1780" s="421"/>
      <c r="Q1780" s="418"/>
      <c r="R1780" s="418"/>
      <c r="S1780" s="418"/>
      <c r="T1780" s="418"/>
      <c r="U1780" s="418"/>
      <c r="V1780" s="418"/>
      <c r="W1780" s="418"/>
      <c r="X1780" s="418"/>
      <c r="Y1780" s="418"/>
      <c r="Z1780" s="418"/>
      <c r="AA1780" s="418"/>
      <c r="AB1780" s="418"/>
      <c r="AC1780" s="418"/>
      <c r="AD1780" s="418"/>
      <c r="AE1780" s="418"/>
      <c r="AF1780" s="418"/>
      <c r="AG1780" s="418"/>
      <c r="AH1780" s="418"/>
      <c r="AI1780" s="418"/>
      <c r="AJ1780" s="418"/>
      <c r="AK1780" s="418"/>
      <c r="AL1780" s="418"/>
      <c r="AM1780" s="418"/>
      <c r="AN1780" s="418"/>
      <c r="AO1780" s="418"/>
      <c r="AP1780" s="418"/>
      <c r="AQ1780" s="418"/>
      <c r="AR1780" s="418"/>
      <c r="AS1780" s="418"/>
      <c r="AT1780" s="418"/>
      <c r="AU1780" s="418"/>
      <c r="AV1780" s="418"/>
      <c r="AW1780" s="418"/>
      <c r="AX1780" s="418"/>
      <c r="AY1780" s="418"/>
      <c r="BF1780" s="1119"/>
      <c r="BG1780" s="1119"/>
      <c r="BH1780" s="1119"/>
    </row>
    <row r="1781" spans="1:60" ht="15.75" customHeight="1">
      <c r="A1781" s="1076"/>
      <c r="B1781" s="416"/>
      <c r="C1781" s="424"/>
      <c r="E1781" s="418"/>
      <c r="F1781" s="493"/>
      <c r="G1781" s="418"/>
      <c r="H1781" s="421"/>
      <c r="I1781" s="421"/>
      <c r="J1781" s="492"/>
      <c r="K1781" s="418"/>
      <c r="L1781" s="418"/>
      <c r="M1781" s="418"/>
      <c r="N1781" s="421"/>
      <c r="O1781" s="421"/>
      <c r="P1781" s="421"/>
      <c r="Q1781" s="418"/>
      <c r="R1781" s="418"/>
      <c r="S1781" s="418"/>
      <c r="T1781" s="418"/>
      <c r="U1781" s="418"/>
      <c r="V1781" s="418"/>
      <c r="W1781" s="418"/>
      <c r="X1781" s="418"/>
      <c r="Y1781" s="418"/>
      <c r="Z1781" s="418"/>
      <c r="AA1781" s="418"/>
      <c r="AB1781" s="418"/>
      <c r="AC1781" s="418"/>
      <c r="AD1781" s="418"/>
      <c r="AE1781" s="418"/>
      <c r="AF1781" s="418"/>
      <c r="AG1781" s="418"/>
      <c r="AH1781" s="418"/>
      <c r="AI1781" s="418"/>
      <c r="AJ1781" s="418"/>
      <c r="AK1781" s="418"/>
      <c r="AL1781" s="418"/>
      <c r="AM1781" s="418"/>
      <c r="AN1781" s="418"/>
      <c r="AO1781" s="418"/>
      <c r="AP1781" s="418"/>
      <c r="AQ1781" s="418"/>
      <c r="AR1781" s="418"/>
      <c r="AS1781" s="418"/>
      <c r="AT1781" s="418"/>
      <c r="AU1781" s="418"/>
      <c r="AV1781" s="418"/>
      <c r="AW1781" s="418"/>
      <c r="AX1781" s="418"/>
      <c r="AY1781" s="418"/>
      <c r="BF1781" s="1119"/>
      <c r="BG1781" s="1119"/>
      <c r="BH1781" s="1119"/>
    </row>
    <row r="1782" spans="1:60" ht="15.75" customHeight="1">
      <c r="A1782" s="1076"/>
      <c r="B1782" s="416"/>
      <c r="C1782" s="424"/>
      <c r="E1782" s="418"/>
      <c r="F1782" s="493"/>
      <c r="G1782" s="418"/>
      <c r="H1782" s="421"/>
      <c r="I1782" s="421"/>
      <c r="J1782" s="492"/>
      <c r="K1782" s="418"/>
      <c r="L1782" s="418"/>
      <c r="M1782" s="418"/>
      <c r="N1782" s="421"/>
      <c r="O1782" s="421"/>
      <c r="P1782" s="421"/>
      <c r="Q1782" s="418"/>
      <c r="R1782" s="418"/>
      <c r="S1782" s="418"/>
      <c r="T1782" s="418"/>
      <c r="U1782" s="418"/>
      <c r="V1782" s="418"/>
      <c r="W1782" s="418"/>
      <c r="X1782" s="418"/>
      <c r="Y1782" s="418"/>
      <c r="Z1782" s="418"/>
      <c r="AA1782" s="418"/>
      <c r="AB1782" s="418"/>
      <c r="AC1782" s="418"/>
      <c r="AD1782" s="418"/>
      <c r="AE1782" s="418"/>
      <c r="AF1782" s="418"/>
      <c r="AG1782" s="418"/>
      <c r="AH1782" s="418"/>
      <c r="AI1782" s="418"/>
      <c r="AJ1782" s="418"/>
      <c r="AK1782" s="418"/>
      <c r="AL1782" s="418"/>
      <c r="AM1782" s="418"/>
      <c r="AN1782" s="418"/>
      <c r="AO1782" s="418"/>
      <c r="AP1782" s="418"/>
      <c r="AQ1782" s="418"/>
      <c r="AR1782" s="418"/>
      <c r="AS1782" s="418"/>
      <c r="AT1782" s="418"/>
      <c r="AU1782" s="418"/>
      <c r="AV1782" s="418"/>
      <c r="AW1782" s="418"/>
      <c r="AX1782" s="418"/>
      <c r="AY1782" s="418"/>
      <c r="BF1782" s="1119"/>
      <c r="BG1782" s="1119"/>
      <c r="BH1782" s="1119"/>
    </row>
    <row r="1783" spans="1:60" ht="15.75" customHeight="1">
      <c r="A1783" s="1076"/>
      <c r="B1783" s="416"/>
      <c r="C1783" s="424"/>
      <c r="E1783" s="418"/>
      <c r="F1783" s="493"/>
      <c r="G1783" s="418"/>
      <c r="H1783" s="421"/>
      <c r="I1783" s="421"/>
      <c r="J1783" s="492"/>
      <c r="K1783" s="418"/>
      <c r="L1783" s="418"/>
      <c r="M1783" s="418"/>
      <c r="N1783" s="421"/>
      <c r="O1783" s="421"/>
      <c r="P1783" s="421"/>
      <c r="Q1783" s="418"/>
      <c r="R1783" s="418"/>
      <c r="S1783" s="418"/>
      <c r="T1783" s="418"/>
      <c r="U1783" s="418"/>
      <c r="V1783" s="418"/>
      <c r="W1783" s="418"/>
      <c r="X1783" s="418"/>
      <c r="Y1783" s="418"/>
      <c r="Z1783" s="418"/>
      <c r="AA1783" s="418"/>
      <c r="AB1783" s="418"/>
      <c r="AC1783" s="418"/>
      <c r="AD1783" s="418"/>
      <c r="AE1783" s="418"/>
      <c r="AF1783" s="418"/>
      <c r="AG1783" s="418"/>
      <c r="AH1783" s="418"/>
      <c r="AI1783" s="418"/>
      <c r="AJ1783" s="418"/>
      <c r="AK1783" s="418"/>
      <c r="AL1783" s="418"/>
      <c r="AM1783" s="418"/>
      <c r="AN1783" s="418"/>
      <c r="AO1783" s="418"/>
      <c r="AP1783" s="418"/>
      <c r="AQ1783" s="418"/>
      <c r="AR1783" s="418"/>
      <c r="AS1783" s="418"/>
      <c r="AT1783" s="418"/>
      <c r="AU1783" s="418"/>
      <c r="AV1783" s="418"/>
      <c r="AW1783" s="418"/>
      <c r="AX1783" s="418"/>
      <c r="AY1783" s="418"/>
      <c r="BF1783" s="1119"/>
      <c r="BG1783" s="1119"/>
      <c r="BH1783" s="1119"/>
    </row>
    <row r="1784" spans="1:60" ht="15.75" customHeight="1">
      <c r="A1784" s="1076"/>
      <c r="B1784" s="416"/>
      <c r="C1784" s="424"/>
      <c r="E1784" s="418"/>
      <c r="F1784" s="493"/>
      <c r="G1784" s="418"/>
      <c r="H1784" s="421"/>
      <c r="I1784" s="421"/>
      <c r="J1784" s="492"/>
      <c r="K1784" s="418"/>
      <c r="L1784" s="418"/>
      <c r="M1784" s="418"/>
      <c r="N1784" s="421"/>
      <c r="O1784" s="421"/>
      <c r="P1784" s="421"/>
      <c r="Q1784" s="418"/>
      <c r="R1784" s="418"/>
      <c r="S1784" s="418"/>
      <c r="T1784" s="418"/>
      <c r="U1784" s="418"/>
      <c r="V1784" s="418"/>
      <c r="W1784" s="418"/>
      <c r="X1784" s="418"/>
      <c r="Y1784" s="418"/>
      <c r="Z1784" s="418"/>
      <c r="AA1784" s="418"/>
      <c r="AB1784" s="418"/>
      <c r="AC1784" s="418"/>
      <c r="AD1784" s="418"/>
      <c r="AE1784" s="418"/>
      <c r="AF1784" s="418"/>
      <c r="AG1784" s="418"/>
      <c r="AH1784" s="418"/>
      <c r="AI1784" s="418"/>
      <c r="AJ1784" s="418"/>
      <c r="AK1784" s="418"/>
      <c r="AL1784" s="418"/>
      <c r="AM1784" s="418"/>
      <c r="AN1784" s="418"/>
      <c r="AO1784" s="418"/>
      <c r="AP1784" s="418"/>
      <c r="AQ1784" s="418"/>
      <c r="AR1784" s="418"/>
      <c r="AS1784" s="418"/>
      <c r="AT1784" s="418"/>
      <c r="AU1784" s="418"/>
      <c r="AV1784" s="418"/>
      <c r="AW1784" s="418"/>
      <c r="AX1784" s="418"/>
      <c r="AY1784" s="418"/>
      <c r="BF1784" s="1119"/>
      <c r="BG1784" s="1119"/>
      <c r="BH1784" s="1119"/>
    </row>
    <row r="1785" spans="1:60" ht="15.75" customHeight="1">
      <c r="A1785" s="1076"/>
      <c r="B1785" s="416"/>
      <c r="C1785" s="424"/>
      <c r="E1785" s="418"/>
      <c r="F1785" s="493"/>
      <c r="G1785" s="418"/>
      <c r="H1785" s="421"/>
      <c r="I1785" s="421"/>
      <c r="J1785" s="492"/>
      <c r="K1785" s="418"/>
      <c r="L1785" s="418"/>
      <c r="M1785" s="418"/>
      <c r="N1785" s="421"/>
      <c r="O1785" s="421"/>
      <c r="P1785" s="421"/>
      <c r="Q1785" s="418"/>
      <c r="R1785" s="418"/>
      <c r="S1785" s="418"/>
      <c r="T1785" s="418"/>
      <c r="U1785" s="418"/>
      <c r="V1785" s="418"/>
      <c r="W1785" s="418"/>
      <c r="X1785" s="418"/>
      <c r="Y1785" s="418"/>
      <c r="Z1785" s="418"/>
      <c r="AA1785" s="418"/>
      <c r="AB1785" s="418"/>
      <c r="AC1785" s="418"/>
      <c r="AD1785" s="418"/>
      <c r="AE1785" s="418"/>
      <c r="AF1785" s="418"/>
      <c r="AG1785" s="418"/>
      <c r="AH1785" s="418"/>
      <c r="AI1785" s="418"/>
      <c r="AJ1785" s="418"/>
      <c r="AK1785" s="418"/>
      <c r="AL1785" s="418"/>
      <c r="AM1785" s="418"/>
      <c r="AN1785" s="418"/>
      <c r="AO1785" s="418"/>
      <c r="AP1785" s="418"/>
      <c r="AQ1785" s="418"/>
      <c r="AR1785" s="418"/>
      <c r="AS1785" s="418"/>
      <c r="AT1785" s="418"/>
      <c r="AU1785" s="418"/>
      <c r="AV1785" s="418"/>
      <c r="AW1785" s="418"/>
      <c r="AX1785" s="418"/>
      <c r="AY1785" s="418"/>
      <c r="BF1785" s="1119"/>
      <c r="BG1785" s="1119"/>
      <c r="BH1785" s="1119"/>
    </row>
    <row r="1786" spans="1:60" ht="15.75" customHeight="1">
      <c r="A1786" s="1076"/>
      <c r="B1786" s="416"/>
      <c r="C1786" s="424"/>
      <c r="E1786" s="418"/>
      <c r="F1786" s="493"/>
      <c r="G1786" s="418"/>
      <c r="H1786" s="421"/>
      <c r="I1786" s="421"/>
      <c r="J1786" s="492"/>
      <c r="K1786" s="418"/>
      <c r="L1786" s="418"/>
      <c r="M1786" s="418"/>
      <c r="N1786" s="421"/>
      <c r="O1786" s="421"/>
      <c r="P1786" s="421"/>
      <c r="Q1786" s="418"/>
      <c r="R1786" s="418"/>
      <c r="S1786" s="418"/>
      <c r="T1786" s="418"/>
      <c r="U1786" s="418"/>
      <c r="V1786" s="418"/>
      <c r="W1786" s="418"/>
      <c r="X1786" s="418"/>
      <c r="Y1786" s="418"/>
      <c r="Z1786" s="418"/>
      <c r="AA1786" s="418"/>
      <c r="AB1786" s="418"/>
      <c r="AC1786" s="418"/>
      <c r="AD1786" s="418"/>
      <c r="AE1786" s="418"/>
      <c r="AF1786" s="418"/>
      <c r="AG1786" s="418"/>
      <c r="AH1786" s="418"/>
      <c r="AI1786" s="418"/>
      <c r="AJ1786" s="418"/>
      <c r="AK1786" s="418"/>
      <c r="AL1786" s="418"/>
      <c r="AM1786" s="418"/>
      <c r="AN1786" s="418"/>
      <c r="AO1786" s="418"/>
      <c r="AP1786" s="418"/>
      <c r="AQ1786" s="418"/>
      <c r="AR1786" s="418"/>
      <c r="AS1786" s="418"/>
      <c r="AT1786" s="418"/>
      <c r="AU1786" s="418"/>
      <c r="AV1786" s="418"/>
      <c r="AW1786" s="418"/>
      <c r="AX1786" s="418"/>
      <c r="AY1786" s="418"/>
      <c r="BF1786" s="1119"/>
      <c r="BG1786" s="1119"/>
      <c r="BH1786" s="1119"/>
    </row>
    <row r="1787" spans="1:60" ht="15.75" customHeight="1">
      <c r="A1787" s="1076"/>
      <c r="B1787" s="416"/>
      <c r="C1787" s="424"/>
      <c r="E1787" s="418"/>
      <c r="F1787" s="493"/>
      <c r="G1787" s="418"/>
      <c r="H1787" s="421"/>
      <c r="I1787" s="421"/>
      <c r="J1787" s="492"/>
      <c r="K1787" s="418"/>
      <c r="L1787" s="418"/>
      <c r="M1787" s="418"/>
      <c r="N1787" s="421"/>
      <c r="O1787" s="421"/>
      <c r="P1787" s="421"/>
      <c r="Q1787" s="418"/>
      <c r="R1787" s="418"/>
      <c r="S1787" s="418"/>
      <c r="T1787" s="418"/>
      <c r="U1787" s="418"/>
      <c r="V1787" s="418"/>
      <c r="W1787" s="418"/>
      <c r="X1787" s="418"/>
      <c r="Y1787" s="418"/>
      <c r="Z1787" s="418"/>
      <c r="AA1787" s="418"/>
      <c r="AB1787" s="418"/>
      <c r="AC1787" s="418"/>
      <c r="AD1787" s="418"/>
      <c r="AE1787" s="418"/>
      <c r="AF1787" s="418"/>
      <c r="AG1787" s="418"/>
      <c r="AH1787" s="418"/>
      <c r="AI1787" s="418"/>
      <c r="AJ1787" s="418"/>
      <c r="AK1787" s="418"/>
      <c r="AL1787" s="418"/>
      <c r="AM1787" s="418"/>
      <c r="AN1787" s="418"/>
      <c r="AO1787" s="418"/>
      <c r="AP1787" s="418"/>
      <c r="AQ1787" s="418"/>
      <c r="AR1787" s="418"/>
      <c r="AS1787" s="418"/>
      <c r="AT1787" s="418"/>
      <c r="AU1787" s="418"/>
      <c r="AV1787" s="418"/>
      <c r="AW1787" s="418"/>
      <c r="AX1787" s="418"/>
      <c r="AY1787" s="418"/>
      <c r="BF1787" s="1119"/>
      <c r="BG1787" s="1119"/>
      <c r="BH1787" s="1119"/>
    </row>
    <row r="1788" spans="1:60" ht="15.75" customHeight="1">
      <c r="A1788" s="1076"/>
      <c r="B1788" s="416"/>
      <c r="C1788" s="424"/>
      <c r="E1788" s="418"/>
      <c r="F1788" s="493"/>
      <c r="G1788" s="418"/>
      <c r="H1788" s="421"/>
      <c r="I1788" s="421"/>
      <c r="J1788" s="492"/>
      <c r="K1788" s="418"/>
      <c r="L1788" s="418"/>
      <c r="M1788" s="418"/>
      <c r="N1788" s="421"/>
      <c r="O1788" s="421"/>
      <c r="P1788" s="421"/>
      <c r="Q1788" s="418"/>
      <c r="R1788" s="418"/>
      <c r="S1788" s="418"/>
      <c r="T1788" s="418"/>
      <c r="U1788" s="418"/>
      <c r="V1788" s="418"/>
      <c r="W1788" s="418"/>
      <c r="X1788" s="418"/>
      <c r="Y1788" s="418"/>
      <c r="Z1788" s="418"/>
      <c r="AA1788" s="418"/>
      <c r="AB1788" s="418"/>
      <c r="AC1788" s="418"/>
      <c r="AD1788" s="418"/>
      <c r="AE1788" s="418"/>
      <c r="AF1788" s="418"/>
      <c r="AG1788" s="418"/>
      <c r="AH1788" s="418"/>
      <c r="AI1788" s="418"/>
      <c r="AJ1788" s="418"/>
      <c r="AK1788" s="418"/>
      <c r="AL1788" s="418"/>
      <c r="AM1788" s="418"/>
      <c r="AN1788" s="418"/>
      <c r="AO1788" s="418"/>
      <c r="AP1788" s="418"/>
      <c r="AQ1788" s="418"/>
      <c r="AR1788" s="418"/>
      <c r="AS1788" s="418"/>
      <c r="AT1788" s="418"/>
      <c r="AU1788" s="418"/>
      <c r="AV1788" s="418"/>
      <c r="AW1788" s="418"/>
      <c r="AX1788" s="418"/>
      <c r="AY1788" s="418"/>
      <c r="BF1788" s="1119"/>
      <c r="BG1788" s="1119"/>
      <c r="BH1788" s="1119"/>
    </row>
    <row r="1789" spans="1:60" ht="15.75" customHeight="1">
      <c r="A1789" s="1076"/>
      <c r="B1789" s="416"/>
      <c r="C1789" s="424"/>
      <c r="E1789" s="418"/>
      <c r="F1789" s="493"/>
      <c r="G1789" s="418"/>
      <c r="H1789" s="421"/>
      <c r="I1789" s="421"/>
      <c r="J1789" s="492"/>
      <c r="K1789" s="418"/>
      <c r="L1789" s="418"/>
      <c r="M1789" s="418"/>
      <c r="N1789" s="421"/>
      <c r="O1789" s="421"/>
      <c r="P1789" s="421"/>
      <c r="Q1789" s="418"/>
      <c r="R1789" s="418"/>
      <c r="S1789" s="418"/>
      <c r="T1789" s="418"/>
      <c r="U1789" s="418"/>
      <c r="V1789" s="418"/>
      <c r="W1789" s="418"/>
      <c r="X1789" s="418"/>
      <c r="Y1789" s="418"/>
      <c r="Z1789" s="418"/>
      <c r="AA1789" s="418"/>
      <c r="AB1789" s="418"/>
      <c r="AC1789" s="418"/>
      <c r="AD1789" s="418"/>
      <c r="AE1789" s="418"/>
      <c r="AF1789" s="418"/>
      <c r="AG1789" s="418"/>
      <c r="AH1789" s="418"/>
      <c r="AI1789" s="418"/>
      <c r="AJ1789" s="418"/>
      <c r="AK1789" s="418"/>
      <c r="AL1789" s="418"/>
      <c r="AM1789" s="418"/>
      <c r="AN1789" s="418"/>
      <c r="AO1789" s="418"/>
      <c r="AP1789" s="418"/>
      <c r="AQ1789" s="418"/>
      <c r="AR1789" s="418"/>
      <c r="AS1789" s="418"/>
      <c r="AT1789" s="418"/>
      <c r="AU1789" s="418"/>
      <c r="AV1789" s="418"/>
      <c r="AW1789" s="418"/>
      <c r="AX1789" s="418"/>
      <c r="AY1789" s="418"/>
      <c r="BF1789" s="1119"/>
      <c r="BG1789" s="1119"/>
      <c r="BH1789" s="1119"/>
    </row>
    <row r="1790" spans="1:60" ht="15.75" customHeight="1">
      <c r="A1790" s="1076"/>
      <c r="B1790" s="416"/>
      <c r="C1790" s="424"/>
      <c r="E1790" s="418"/>
      <c r="F1790" s="493"/>
      <c r="G1790" s="418"/>
      <c r="H1790" s="421"/>
      <c r="I1790" s="421"/>
      <c r="J1790" s="492"/>
      <c r="K1790" s="418"/>
      <c r="L1790" s="418"/>
      <c r="M1790" s="418"/>
      <c r="N1790" s="421"/>
      <c r="O1790" s="421"/>
      <c r="P1790" s="421"/>
      <c r="Q1790" s="418"/>
      <c r="R1790" s="418"/>
      <c r="S1790" s="418"/>
      <c r="T1790" s="418"/>
      <c r="U1790" s="418"/>
      <c r="V1790" s="418"/>
      <c r="W1790" s="418"/>
      <c r="X1790" s="418"/>
      <c r="Y1790" s="418"/>
      <c r="Z1790" s="418"/>
      <c r="AA1790" s="418"/>
      <c r="AB1790" s="418"/>
      <c r="AC1790" s="418"/>
      <c r="AD1790" s="418"/>
      <c r="AE1790" s="418"/>
      <c r="AF1790" s="418"/>
      <c r="AG1790" s="418"/>
      <c r="AH1790" s="418"/>
      <c r="AI1790" s="418"/>
      <c r="AJ1790" s="418"/>
      <c r="AK1790" s="418"/>
      <c r="AL1790" s="418"/>
      <c r="AM1790" s="418"/>
      <c r="AN1790" s="418"/>
      <c r="AO1790" s="418"/>
      <c r="AP1790" s="418"/>
      <c r="AQ1790" s="418"/>
      <c r="AR1790" s="418"/>
      <c r="AS1790" s="418"/>
      <c r="AT1790" s="418"/>
      <c r="AU1790" s="418"/>
      <c r="AV1790" s="418"/>
      <c r="AW1790" s="418"/>
      <c r="AX1790" s="418"/>
      <c r="AY1790" s="418"/>
      <c r="BF1790" s="1119"/>
      <c r="BG1790" s="1119"/>
      <c r="BH1790" s="1119"/>
    </row>
    <row r="1791" spans="1:60" ht="15.75" customHeight="1">
      <c r="A1791" s="1076"/>
      <c r="B1791" s="416"/>
      <c r="C1791" s="424"/>
      <c r="E1791" s="418"/>
      <c r="F1791" s="493"/>
      <c r="G1791" s="418"/>
      <c r="H1791" s="421"/>
      <c r="I1791" s="425"/>
      <c r="J1791" s="492"/>
      <c r="K1791" s="418"/>
      <c r="L1791" s="418"/>
      <c r="M1791" s="418"/>
      <c r="N1791" s="421"/>
      <c r="O1791" s="421"/>
      <c r="P1791" s="421"/>
      <c r="Q1791" s="418"/>
      <c r="R1791" s="418"/>
      <c r="S1791" s="418"/>
      <c r="T1791" s="418"/>
      <c r="U1791" s="418"/>
      <c r="V1791" s="418"/>
      <c r="W1791" s="418"/>
      <c r="X1791" s="418"/>
      <c r="Y1791" s="418"/>
      <c r="Z1791" s="418"/>
      <c r="AA1791" s="418"/>
      <c r="AB1791" s="418"/>
      <c r="AC1791" s="418"/>
      <c r="AD1791" s="418"/>
      <c r="AE1791" s="418"/>
      <c r="AF1791" s="418"/>
      <c r="AG1791" s="418"/>
      <c r="AH1791" s="418"/>
      <c r="AI1791" s="418"/>
      <c r="AJ1791" s="418"/>
      <c r="AK1791" s="418"/>
      <c r="AL1791" s="418"/>
      <c r="AM1791" s="418"/>
      <c r="AN1791" s="418"/>
      <c r="AO1791" s="418"/>
      <c r="AP1791" s="418"/>
      <c r="AQ1791" s="418"/>
      <c r="AR1791" s="418"/>
      <c r="AS1791" s="418"/>
      <c r="AT1791" s="418"/>
      <c r="AU1791" s="418"/>
      <c r="AV1791" s="418"/>
      <c r="AW1791" s="418"/>
      <c r="AX1791" s="418"/>
      <c r="AY1791" s="418"/>
      <c r="BF1791" s="1119"/>
      <c r="BG1791" s="1119"/>
      <c r="BH1791" s="1119"/>
    </row>
    <row r="1792" spans="1:60" ht="15.75" customHeight="1">
      <c r="A1792" s="1076"/>
      <c r="B1792" s="416"/>
      <c r="C1792" s="424"/>
      <c r="E1792" s="418"/>
      <c r="F1792" s="493"/>
      <c r="G1792" s="418"/>
      <c r="H1792" s="421"/>
      <c r="I1792" s="421"/>
      <c r="J1792" s="492"/>
      <c r="K1792" s="418"/>
      <c r="L1792" s="418"/>
      <c r="M1792" s="418"/>
      <c r="N1792" s="421"/>
      <c r="O1792" s="421"/>
      <c r="P1792" s="421"/>
      <c r="Q1792" s="418"/>
      <c r="R1792" s="418"/>
      <c r="S1792" s="418"/>
      <c r="T1792" s="418"/>
      <c r="U1792" s="418"/>
      <c r="V1792" s="418"/>
      <c r="W1792" s="418"/>
      <c r="X1792" s="418"/>
      <c r="Y1792" s="418"/>
      <c r="Z1792" s="418"/>
      <c r="AA1792" s="418"/>
      <c r="AB1792" s="418"/>
      <c r="AC1792" s="418"/>
      <c r="AD1792" s="418"/>
      <c r="AE1792" s="418"/>
      <c r="AF1792" s="418"/>
      <c r="AG1792" s="418"/>
      <c r="AH1792" s="418"/>
      <c r="AI1792" s="418"/>
      <c r="AJ1792" s="418"/>
      <c r="AK1792" s="418"/>
      <c r="AL1792" s="418"/>
      <c r="AM1792" s="418"/>
      <c r="AN1792" s="418"/>
      <c r="AO1792" s="418"/>
      <c r="AP1792" s="418"/>
      <c r="AQ1792" s="418"/>
      <c r="AR1792" s="418"/>
      <c r="AS1792" s="418"/>
      <c r="AT1792" s="418"/>
      <c r="AU1792" s="418"/>
      <c r="AV1792" s="418"/>
      <c r="AW1792" s="418"/>
      <c r="AX1792" s="418"/>
      <c r="AY1792" s="418"/>
      <c r="BF1792" s="1119"/>
      <c r="BG1792" s="1119"/>
      <c r="BH1792" s="1119"/>
    </row>
    <row r="1793" spans="1:60" ht="15.75" customHeight="1">
      <c r="A1793" s="1076"/>
      <c r="B1793" s="416"/>
      <c r="C1793" s="424"/>
      <c r="E1793" s="418"/>
      <c r="F1793" s="493"/>
      <c r="G1793" s="418"/>
      <c r="H1793" s="421"/>
      <c r="I1793" s="425"/>
      <c r="J1793" s="492"/>
      <c r="K1793" s="418"/>
      <c r="L1793" s="418"/>
      <c r="M1793" s="418"/>
      <c r="N1793" s="421"/>
      <c r="O1793" s="421"/>
      <c r="P1793" s="421"/>
      <c r="Q1793" s="418"/>
      <c r="R1793" s="418"/>
      <c r="S1793" s="418"/>
      <c r="T1793" s="418"/>
      <c r="U1793" s="418"/>
      <c r="V1793" s="418"/>
      <c r="W1793" s="418"/>
      <c r="X1793" s="418"/>
      <c r="Y1793" s="418"/>
      <c r="Z1793" s="418"/>
      <c r="AA1793" s="418"/>
      <c r="AB1793" s="418"/>
      <c r="AC1793" s="418"/>
      <c r="AD1793" s="418"/>
      <c r="AE1793" s="418"/>
      <c r="AF1793" s="418"/>
      <c r="AG1793" s="418"/>
      <c r="AH1793" s="418"/>
      <c r="AI1793" s="418"/>
      <c r="AJ1793" s="418"/>
      <c r="AK1793" s="418"/>
      <c r="AL1793" s="418"/>
      <c r="AM1793" s="418"/>
      <c r="AN1793" s="418"/>
      <c r="AO1793" s="418"/>
      <c r="AP1793" s="418"/>
      <c r="AQ1793" s="418"/>
      <c r="AR1793" s="418"/>
      <c r="AS1793" s="418"/>
      <c r="AT1793" s="418"/>
      <c r="AU1793" s="418"/>
      <c r="AV1793" s="418"/>
      <c r="AW1793" s="418"/>
      <c r="AX1793" s="418"/>
      <c r="AY1793" s="418"/>
      <c r="BF1793" s="1119"/>
      <c r="BG1793" s="1119"/>
      <c r="BH1793" s="1119"/>
    </row>
    <row r="1794" spans="1:60" ht="15.75" customHeight="1">
      <c r="A1794" s="1076"/>
      <c r="B1794" s="416"/>
      <c r="C1794" s="424"/>
      <c r="E1794" s="418"/>
      <c r="F1794" s="493"/>
      <c r="G1794" s="418"/>
      <c r="H1794" s="421"/>
      <c r="I1794" s="421"/>
      <c r="J1794" s="492"/>
      <c r="K1794" s="418"/>
      <c r="L1794" s="418"/>
      <c r="M1794" s="418"/>
      <c r="N1794" s="421"/>
      <c r="O1794" s="421"/>
      <c r="P1794" s="421"/>
      <c r="Q1794" s="418"/>
      <c r="R1794" s="418"/>
      <c r="S1794" s="418"/>
      <c r="T1794" s="418"/>
      <c r="U1794" s="418"/>
      <c r="V1794" s="418"/>
      <c r="W1794" s="418"/>
      <c r="X1794" s="418"/>
      <c r="Y1794" s="418"/>
      <c r="Z1794" s="418"/>
      <c r="AA1794" s="418"/>
      <c r="AB1794" s="418"/>
      <c r="AC1794" s="418"/>
      <c r="AD1794" s="418"/>
      <c r="AE1794" s="418"/>
      <c r="AF1794" s="418"/>
      <c r="AG1794" s="418"/>
      <c r="AH1794" s="418"/>
      <c r="AI1794" s="418"/>
      <c r="AJ1794" s="418"/>
      <c r="AK1794" s="418"/>
      <c r="AL1794" s="418"/>
      <c r="AM1794" s="418"/>
      <c r="AN1794" s="418"/>
      <c r="AO1794" s="418"/>
      <c r="AP1794" s="418"/>
      <c r="AQ1794" s="418"/>
      <c r="AR1794" s="418"/>
      <c r="AS1794" s="418"/>
      <c r="AT1794" s="418"/>
      <c r="AU1794" s="418"/>
      <c r="AV1794" s="418"/>
      <c r="AW1794" s="418"/>
      <c r="AX1794" s="418"/>
      <c r="AY1794" s="418"/>
      <c r="BF1794" s="1119"/>
      <c r="BG1794" s="1119"/>
      <c r="BH1794" s="1119"/>
    </row>
    <row r="1795" spans="1:60" ht="15.75" customHeight="1">
      <c r="A1795" s="1076"/>
      <c r="B1795" s="416"/>
      <c r="C1795" s="424"/>
      <c r="E1795" s="418"/>
      <c r="F1795" s="493"/>
      <c r="G1795" s="418"/>
      <c r="H1795" s="421"/>
      <c r="I1795" s="421"/>
      <c r="J1795" s="492"/>
      <c r="K1795" s="418"/>
      <c r="L1795" s="418"/>
      <c r="M1795" s="418"/>
      <c r="N1795" s="421"/>
      <c r="O1795" s="421"/>
      <c r="P1795" s="421"/>
      <c r="Q1795" s="418"/>
      <c r="R1795" s="418"/>
      <c r="S1795" s="418"/>
      <c r="T1795" s="418"/>
      <c r="U1795" s="418"/>
      <c r="V1795" s="418"/>
      <c r="W1795" s="418"/>
      <c r="X1795" s="418"/>
      <c r="Y1795" s="418"/>
      <c r="Z1795" s="418"/>
      <c r="AA1795" s="418"/>
      <c r="AB1795" s="418"/>
      <c r="AC1795" s="418"/>
      <c r="AD1795" s="418"/>
      <c r="AE1795" s="418"/>
      <c r="AF1795" s="418"/>
      <c r="AG1795" s="418"/>
      <c r="AH1795" s="418"/>
      <c r="AI1795" s="418"/>
      <c r="AJ1795" s="418"/>
      <c r="AK1795" s="418"/>
      <c r="AL1795" s="418"/>
      <c r="AM1795" s="418"/>
      <c r="AN1795" s="418"/>
      <c r="AO1795" s="418"/>
      <c r="AP1795" s="418"/>
      <c r="AQ1795" s="418"/>
      <c r="AR1795" s="418"/>
      <c r="AS1795" s="418"/>
      <c r="AT1795" s="418"/>
      <c r="AU1795" s="418"/>
      <c r="AV1795" s="418"/>
      <c r="AW1795" s="418"/>
      <c r="AX1795" s="418"/>
      <c r="AY1795" s="418"/>
      <c r="BF1795" s="1119"/>
      <c r="BG1795" s="1119"/>
      <c r="BH1795" s="1119"/>
    </row>
    <row r="1796" spans="1:60" ht="15.75" customHeight="1">
      <c r="A1796" s="1076"/>
      <c r="B1796" s="416"/>
      <c r="C1796" s="424"/>
      <c r="E1796" s="418"/>
      <c r="F1796" s="493"/>
      <c r="G1796" s="418"/>
      <c r="H1796" s="421"/>
      <c r="I1796" s="421"/>
      <c r="J1796" s="492"/>
      <c r="K1796" s="418"/>
      <c r="L1796" s="418"/>
      <c r="M1796" s="418"/>
      <c r="N1796" s="421"/>
      <c r="O1796" s="421"/>
      <c r="P1796" s="421"/>
      <c r="Q1796" s="418"/>
      <c r="R1796" s="418"/>
      <c r="S1796" s="418"/>
      <c r="T1796" s="418"/>
      <c r="U1796" s="418"/>
      <c r="V1796" s="418"/>
      <c r="W1796" s="418"/>
      <c r="X1796" s="418"/>
      <c r="Y1796" s="418"/>
      <c r="Z1796" s="418"/>
      <c r="AA1796" s="418"/>
      <c r="AB1796" s="418"/>
      <c r="AC1796" s="418"/>
      <c r="AD1796" s="418"/>
      <c r="AE1796" s="418"/>
      <c r="AF1796" s="418"/>
      <c r="AG1796" s="418"/>
      <c r="AH1796" s="418"/>
      <c r="AI1796" s="418"/>
      <c r="AJ1796" s="418"/>
      <c r="AK1796" s="418"/>
      <c r="AL1796" s="418"/>
      <c r="AM1796" s="418"/>
      <c r="AN1796" s="418"/>
      <c r="AO1796" s="418"/>
      <c r="AP1796" s="418"/>
      <c r="AQ1796" s="418"/>
      <c r="AR1796" s="418"/>
      <c r="AS1796" s="418"/>
      <c r="AT1796" s="418"/>
      <c r="AU1796" s="418"/>
      <c r="AV1796" s="418"/>
      <c r="AW1796" s="418"/>
      <c r="AX1796" s="418"/>
      <c r="AY1796" s="418"/>
      <c r="BF1796" s="1119"/>
      <c r="BG1796" s="1119"/>
      <c r="BH1796" s="1119"/>
    </row>
    <row r="1797" spans="1:60" ht="15.75" customHeight="1">
      <c r="A1797" s="1076"/>
      <c r="B1797" s="416"/>
      <c r="C1797" s="424"/>
      <c r="E1797" s="418"/>
      <c r="F1797" s="493"/>
      <c r="G1797" s="418"/>
      <c r="H1797" s="421"/>
      <c r="I1797" s="421"/>
      <c r="J1797" s="492"/>
      <c r="K1797" s="418"/>
      <c r="L1797" s="418"/>
      <c r="M1797" s="418"/>
      <c r="N1797" s="421"/>
      <c r="O1797" s="421"/>
      <c r="P1797" s="421"/>
      <c r="Q1797" s="418"/>
      <c r="R1797" s="418"/>
      <c r="S1797" s="418"/>
      <c r="T1797" s="418"/>
      <c r="U1797" s="418"/>
      <c r="V1797" s="418"/>
      <c r="W1797" s="418"/>
      <c r="X1797" s="418"/>
      <c r="Y1797" s="418"/>
      <c r="Z1797" s="418"/>
      <c r="AA1797" s="418"/>
      <c r="AB1797" s="418"/>
      <c r="AC1797" s="418"/>
      <c r="AD1797" s="418"/>
      <c r="AE1797" s="418"/>
      <c r="AF1797" s="418"/>
      <c r="AG1797" s="418"/>
      <c r="AH1797" s="418"/>
      <c r="AI1797" s="418"/>
      <c r="AJ1797" s="418"/>
      <c r="AK1797" s="418"/>
      <c r="AL1797" s="418"/>
      <c r="AM1797" s="418"/>
      <c r="AN1797" s="418"/>
      <c r="AO1797" s="418"/>
      <c r="AP1797" s="418"/>
      <c r="AQ1797" s="418"/>
      <c r="AR1797" s="418"/>
      <c r="AS1797" s="418"/>
      <c r="AT1797" s="418"/>
      <c r="AU1797" s="418"/>
      <c r="AV1797" s="418"/>
      <c r="AW1797" s="418"/>
      <c r="AX1797" s="418"/>
      <c r="AY1797" s="418"/>
      <c r="BF1797" s="1119"/>
      <c r="BG1797" s="1119"/>
      <c r="BH1797" s="1119"/>
    </row>
    <row r="1798" spans="1:60" ht="15.75" customHeight="1">
      <c r="A1798" s="1076"/>
      <c r="B1798" s="416"/>
      <c r="C1798" s="424"/>
      <c r="E1798" s="418"/>
      <c r="F1798" s="493"/>
      <c r="G1798" s="418"/>
      <c r="H1798" s="421"/>
      <c r="I1798" s="421"/>
      <c r="J1798" s="492"/>
      <c r="K1798" s="418"/>
      <c r="L1798" s="418"/>
      <c r="M1798" s="418"/>
      <c r="N1798" s="421"/>
      <c r="O1798" s="421"/>
      <c r="P1798" s="421"/>
      <c r="Q1798" s="418"/>
      <c r="R1798" s="418"/>
      <c r="S1798" s="418"/>
      <c r="T1798" s="418"/>
      <c r="U1798" s="418"/>
      <c r="V1798" s="418"/>
      <c r="W1798" s="418"/>
      <c r="X1798" s="418"/>
      <c r="Y1798" s="418"/>
      <c r="Z1798" s="418"/>
      <c r="AA1798" s="418"/>
      <c r="AB1798" s="418"/>
      <c r="AC1798" s="418"/>
      <c r="AD1798" s="418"/>
      <c r="AE1798" s="418"/>
      <c r="AF1798" s="418"/>
      <c r="AG1798" s="418"/>
      <c r="AH1798" s="418"/>
      <c r="AI1798" s="418"/>
      <c r="AJ1798" s="418"/>
      <c r="AK1798" s="418"/>
      <c r="AL1798" s="418"/>
      <c r="AM1798" s="418"/>
      <c r="AN1798" s="418"/>
      <c r="AO1798" s="418"/>
      <c r="AP1798" s="418"/>
      <c r="AQ1798" s="418"/>
      <c r="AR1798" s="418"/>
      <c r="AS1798" s="418"/>
      <c r="AT1798" s="418"/>
      <c r="AU1798" s="418"/>
      <c r="AV1798" s="418"/>
      <c r="AW1798" s="418"/>
      <c r="AX1798" s="418"/>
      <c r="AY1798" s="418"/>
      <c r="BF1798" s="1119"/>
      <c r="BG1798" s="1119"/>
      <c r="BH1798" s="1119"/>
    </row>
    <row r="1799" spans="1:60" ht="15.75" customHeight="1">
      <c r="A1799" s="1076"/>
      <c r="B1799" s="416"/>
      <c r="C1799" s="424"/>
      <c r="E1799" s="418"/>
      <c r="F1799" s="493"/>
      <c r="G1799" s="418"/>
      <c r="H1799" s="421"/>
      <c r="I1799" s="421"/>
      <c r="J1799" s="492"/>
      <c r="K1799" s="418"/>
      <c r="L1799" s="418"/>
      <c r="M1799" s="418"/>
      <c r="N1799" s="421"/>
      <c r="O1799" s="421"/>
      <c r="P1799" s="421"/>
      <c r="Q1799" s="418"/>
      <c r="R1799" s="418"/>
      <c r="S1799" s="418"/>
      <c r="T1799" s="418"/>
      <c r="U1799" s="418"/>
      <c r="V1799" s="418"/>
      <c r="W1799" s="418"/>
      <c r="X1799" s="418"/>
      <c r="Y1799" s="418"/>
      <c r="Z1799" s="418"/>
      <c r="AA1799" s="418"/>
      <c r="AB1799" s="418"/>
      <c r="AC1799" s="418"/>
      <c r="AD1799" s="418"/>
      <c r="AE1799" s="418"/>
      <c r="AF1799" s="418"/>
      <c r="AG1799" s="418"/>
      <c r="AH1799" s="418"/>
      <c r="AI1799" s="418"/>
      <c r="AJ1799" s="418"/>
      <c r="AK1799" s="418"/>
      <c r="AL1799" s="418"/>
      <c r="AM1799" s="418"/>
      <c r="AN1799" s="418"/>
      <c r="AO1799" s="418"/>
      <c r="AP1799" s="418"/>
      <c r="AQ1799" s="418"/>
      <c r="AR1799" s="418"/>
      <c r="AS1799" s="418"/>
      <c r="AT1799" s="418"/>
      <c r="AU1799" s="418"/>
      <c r="AV1799" s="418"/>
      <c r="AW1799" s="418"/>
      <c r="AX1799" s="418"/>
      <c r="AY1799" s="418"/>
      <c r="BF1799" s="1119"/>
      <c r="BG1799" s="1119"/>
      <c r="BH1799" s="1119"/>
    </row>
    <row r="1800" spans="1:60" ht="15.75" customHeight="1">
      <c r="A1800" s="1076"/>
      <c r="B1800" s="416"/>
      <c r="C1800" s="424"/>
      <c r="E1800" s="418"/>
      <c r="F1800" s="493"/>
      <c r="G1800" s="418"/>
      <c r="H1800" s="421"/>
      <c r="I1800" s="421"/>
      <c r="J1800" s="492"/>
      <c r="K1800" s="418"/>
      <c r="L1800" s="418"/>
      <c r="M1800" s="418"/>
      <c r="N1800" s="421"/>
      <c r="O1800" s="421"/>
      <c r="P1800" s="421"/>
      <c r="Q1800" s="418"/>
      <c r="R1800" s="418"/>
      <c r="S1800" s="418"/>
      <c r="T1800" s="418"/>
      <c r="U1800" s="418"/>
      <c r="V1800" s="418"/>
      <c r="W1800" s="418"/>
      <c r="X1800" s="418"/>
      <c r="Y1800" s="418"/>
      <c r="Z1800" s="418"/>
      <c r="AA1800" s="418"/>
      <c r="AB1800" s="418"/>
      <c r="AC1800" s="418"/>
      <c r="AD1800" s="418"/>
      <c r="AE1800" s="418"/>
      <c r="AF1800" s="418"/>
      <c r="AG1800" s="418"/>
      <c r="AH1800" s="418"/>
      <c r="AI1800" s="418"/>
      <c r="AJ1800" s="418"/>
      <c r="AK1800" s="418"/>
      <c r="AL1800" s="418"/>
      <c r="AM1800" s="418"/>
      <c r="AN1800" s="418"/>
      <c r="AO1800" s="418"/>
      <c r="AP1800" s="418"/>
      <c r="AQ1800" s="418"/>
      <c r="AR1800" s="418"/>
      <c r="AS1800" s="418"/>
      <c r="AT1800" s="418"/>
      <c r="AU1800" s="418"/>
      <c r="AV1800" s="418"/>
      <c r="AW1800" s="418"/>
      <c r="AX1800" s="418"/>
      <c r="AY1800" s="418"/>
      <c r="BF1800" s="1119"/>
      <c r="BG1800" s="1119"/>
      <c r="BH1800" s="1119"/>
    </row>
    <row r="1801" spans="1:60" ht="15.75" customHeight="1">
      <c r="A1801" s="1076"/>
      <c r="B1801" s="416"/>
      <c r="C1801" s="424"/>
      <c r="E1801" s="418"/>
      <c r="F1801" s="493"/>
      <c r="G1801" s="418"/>
      <c r="H1801" s="421"/>
      <c r="I1801" s="421"/>
      <c r="J1801" s="492"/>
      <c r="K1801" s="418"/>
      <c r="L1801" s="418"/>
      <c r="M1801" s="418"/>
      <c r="N1801" s="421"/>
      <c r="O1801" s="421"/>
      <c r="P1801" s="421"/>
      <c r="Q1801" s="418"/>
      <c r="R1801" s="418"/>
      <c r="S1801" s="418"/>
      <c r="T1801" s="418"/>
      <c r="U1801" s="418"/>
      <c r="V1801" s="418"/>
      <c r="W1801" s="418"/>
      <c r="X1801" s="418"/>
      <c r="Y1801" s="418"/>
      <c r="Z1801" s="418"/>
      <c r="AA1801" s="418"/>
      <c r="AB1801" s="418"/>
      <c r="AC1801" s="418"/>
      <c r="AD1801" s="418"/>
      <c r="AE1801" s="418"/>
      <c r="AF1801" s="418"/>
      <c r="AG1801" s="418"/>
      <c r="AH1801" s="418"/>
      <c r="AI1801" s="418"/>
      <c r="AJ1801" s="418"/>
      <c r="AK1801" s="418"/>
      <c r="AL1801" s="418"/>
      <c r="AM1801" s="418"/>
      <c r="AN1801" s="418"/>
      <c r="AO1801" s="418"/>
      <c r="AP1801" s="418"/>
      <c r="AQ1801" s="418"/>
      <c r="AR1801" s="418"/>
      <c r="AS1801" s="418"/>
      <c r="AT1801" s="418"/>
      <c r="AU1801" s="418"/>
      <c r="AV1801" s="418"/>
      <c r="AW1801" s="418"/>
      <c r="AX1801" s="418"/>
      <c r="AY1801" s="418"/>
      <c r="BF1801" s="1119"/>
      <c r="BG1801" s="1119"/>
      <c r="BH1801" s="1119"/>
    </row>
    <row r="1802" spans="1:60" ht="15.75" customHeight="1">
      <c r="A1802" s="1076"/>
      <c r="B1802" s="416"/>
      <c r="C1802" s="424"/>
      <c r="E1802" s="418"/>
      <c r="F1802" s="493"/>
      <c r="G1802" s="418"/>
      <c r="H1802" s="421"/>
      <c r="I1802" s="421"/>
      <c r="J1802" s="492"/>
      <c r="K1802" s="418"/>
      <c r="L1802" s="418"/>
      <c r="M1802" s="418"/>
      <c r="N1802" s="421"/>
      <c r="O1802" s="421"/>
      <c r="P1802" s="421"/>
      <c r="Q1802" s="418"/>
      <c r="R1802" s="418"/>
      <c r="S1802" s="418"/>
      <c r="T1802" s="418"/>
      <c r="U1802" s="418"/>
      <c r="V1802" s="418"/>
      <c r="W1802" s="418"/>
      <c r="X1802" s="418"/>
      <c r="Y1802" s="418"/>
      <c r="Z1802" s="418"/>
      <c r="AA1802" s="418"/>
      <c r="AB1802" s="418"/>
      <c r="AC1802" s="418"/>
      <c r="AD1802" s="418"/>
      <c r="AE1802" s="418"/>
      <c r="AF1802" s="418"/>
      <c r="AG1802" s="418"/>
      <c r="AH1802" s="418"/>
      <c r="AI1802" s="418"/>
      <c r="AJ1802" s="418"/>
      <c r="AK1802" s="418"/>
      <c r="AL1802" s="418"/>
      <c r="AM1802" s="418"/>
      <c r="AN1802" s="418"/>
      <c r="AO1802" s="418"/>
      <c r="AP1802" s="418"/>
      <c r="AQ1802" s="418"/>
      <c r="AR1802" s="418"/>
      <c r="AS1802" s="418"/>
      <c r="AT1802" s="418"/>
      <c r="AU1802" s="418"/>
      <c r="AV1802" s="418"/>
      <c r="AW1802" s="418"/>
      <c r="AX1802" s="418"/>
      <c r="AY1802" s="418"/>
      <c r="BF1802" s="1119"/>
      <c r="BG1802" s="1119"/>
      <c r="BH1802" s="1119"/>
    </row>
    <row r="1803" spans="1:60" ht="15.75" customHeight="1">
      <c r="A1803" s="1076"/>
      <c r="B1803" s="416"/>
      <c r="C1803" s="424"/>
      <c r="E1803" s="418"/>
      <c r="F1803" s="493"/>
      <c r="G1803" s="418"/>
      <c r="H1803" s="421"/>
      <c r="I1803" s="421"/>
      <c r="J1803" s="492"/>
      <c r="K1803" s="418"/>
      <c r="L1803" s="418"/>
      <c r="M1803" s="418"/>
      <c r="N1803" s="421"/>
      <c r="O1803" s="421"/>
      <c r="P1803" s="421"/>
      <c r="Q1803" s="418"/>
      <c r="R1803" s="418"/>
      <c r="S1803" s="418"/>
      <c r="T1803" s="418"/>
      <c r="U1803" s="418"/>
      <c r="V1803" s="418"/>
      <c r="W1803" s="418"/>
      <c r="X1803" s="418"/>
      <c r="Y1803" s="418"/>
      <c r="Z1803" s="418"/>
      <c r="AA1803" s="418"/>
      <c r="AB1803" s="418"/>
      <c r="AC1803" s="418"/>
      <c r="AD1803" s="418"/>
      <c r="AE1803" s="418"/>
      <c r="AF1803" s="418"/>
      <c r="AG1803" s="418"/>
      <c r="AH1803" s="418"/>
      <c r="AI1803" s="418"/>
      <c r="AJ1803" s="418"/>
      <c r="AK1803" s="418"/>
      <c r="AL1803" s="418"/>
      <c r="AM1803" s="418"/>
      <c r="AN1803" s="418"/>
      <c r="AO1803" s="418"/>
      <c r="AP1803" s="418"/>
      <c r="AQ1803" s="418"/>
      <c r="AR1803" s="418"/>
      <c r="AS1803" s="418"/>
      <c r="AT1803" s="418"/>
      <c r="AU1803" s="418"/>
      <c r="AV1803" s="418"/>
      <c r="AW1803" s="418"/>
      <c r="AX1803" s="418"/>
      <c r="AY1803" s="418"/>
      <c r="BF1803" s="1119"/>
      <c r="BG1803" s="1119"/>
      <c r="BH1803" s="1119"/>
    </row>
    <row r="1804" spans="1:60" ht="15.75" customHeight="1">
      <c r="A1804" s="1076"/>
      <c r="B1804" s="416"/>
      <c r="C1804" s="424"/>
      <c r="E1804" s="418"/>
      <c r="F1804" s="493"/>
      <c r="G1804" s="418"/>
      <c r="H1804" s="421"/>
      <c r="I1804" s="421"/>
      <c r="J1804" s="492"/>
      <c r="K1804" s="418"/>
      <c r="L1804" s="418"/>
      <c r="M1804" s="418"/>
      <c r="N1804" s="421"/>
      <c r="O1804" s="421"/>
      <c r="P1804" s="421"/>
      <c r="Q1804" s="418"/>
      <c r="R1804" s="418"/>
      <c r="S1804" s="418"/>
      <c r="T1804" s="418"/>
      <c r="U1804" s="418"/>
      <c r="V1804" s="418"/>
      <c r="W1804" s="418"/>
      <c r="X1804" s="418"/>
      <c r="Y1804" s="418"/>
      <c r="Z1804" s="418"/>
      <c r="AA1804" s="418"/>
      <c r="AB1804" s="418"/>
      <c r="AC1804" s="418"/>
      <c r="AD1804" s="418"/>
      <c r="AE1804" s="418"/>
      <c r="AF1804" s="418"/>
      <c r="AG1804" s="418"/>
      <c r="AH1804" s="418"/>
      <c r="AI1804" s="418"/>
      <c r="AJ1804" s="418"/>
      <c r="AK1804" s="418"/>
      <c r="AL1804" s="418"/>
      <c r="AM1804" s="418"/>
      <c r="AN1804" s="418"/>
      <c r="AO1804" s="418"/>
      <c r="AP1804" s="418"/>
      <c r="AQ1804" s="418"/>
      <c r="AR1804" s="418"/>
      <c r="AS1804" s="418"/>
      <c r="AT1804" s="418"/>
      <c r="AU1804" s="418"/>
      <c r="AV1804" s="418"/>
      <c r="AW1804" s="418"/>
      <c r="AX1804" s="418"/>
      <c r="AY1804" s="418"/>
      <c r="BF1804" s="1119"/>
      <c r="BG1804" s="1119"/>
      <c r="BH1804" s="1119"/>
    </row>
    <row r="1805" spans="1:60" ht="15.75" customHeight="1">
      <c r="A1805" s="1076"/>
      <c r="B1805" s="416"/>
      <c r="C1805" s="424"/>
      <c r="E1805" s="418"/>
      <c r="F1805" s="493"/>
      <c r="G1805" s="418"/>
      <c r="H1805" s="421"/>
      <c r="I1805" s="421"/>
      <c r="J1805" s="492"/>
      <c r="K1805" s="418"/>
      <c r="L1805" s="418"/>
      <c r="M1805" s="418"/>
      <c r="N1805" s="421"/>
      <c r="O1805" s="421"/>
      <c r="P1805" s="421"/>
      <c r="Q1805" s="418"/>
      <c r="R1805" s="418"/>
      <c r="S1805" s="418"/>
      <c r="T1805" s="418"/>
      <c r="U1805" s="418"/>
      <c r="V1805" s="418"/>
      <c r="W1805" s="418"/>
      <c r="X1805" s="418"/>
      <c r="Y1805" s="418"/>
      <c r="Z1805" s="418"/>
      <c r="AA1805" s="418"/>
      <c r="AB1805" s="418"/>
      <c r="AC1805" s="418"/>
      <c r="AD1805" s="418"/>
      <c r="AE1805" s="418"/>
      <c r="AF1805" s="418"/>
      <c r="AG1805" s="418"/>
      <c r="AH1805" s="418"/>
      <c r="AI1805" s="418"/>
      <c r="AJ1805" s="418"/>
      <c r="AK1805" s="418"/>
      <c r="AL1805" s="418"/>
      <c r="AM1805" s="418"/>
      <c r="AN1805" s="418"/>
      <c r="AO1805" s="418"/>
      <c r="AP1805" s="418"/>
      <c r="AQ1805" s="418"/>
      <c r="AR1805" s="418"/>
      <c r="AS1805" s="418"/>
      <c r="AT1805" s="418"/>
      <c r="AU1805" s="418"/>
      <c r="AV1805" s="418"/>
      <c r="AW1805" s="418"/>
      <c r="AX1805" s="418"/>
      <c r="AY1805" s="418"/>
      <c r="BF1805" s="1119"/>
      <c r="BG1805" s="1119"/>
      <c r="BH1805" s="1119"/>
    </row>
    <row r="1806" spans="1:60" ht="15.75" customHeight="1">
      <c r="A1806" s="1076"/>
      <c r="B1806" s="416"/>
      <c r="C1806" s="424"/>
      <c r="E1806" s="418"/>
      <c r="F1806" s="493"/>
      <c r="G1806" s="418"/>
      <c r="H1806" s="421"/>
      <c r="I1806" s="421"/>
      <c r="J1806" s="492"/>
      <c r="K1806" s="418"/>
      <c r="L1806" s="418"/>
      <c r="M1806" s="418"/>
      <c r="N1806" s="421"/>
      <c r="O1806" s="421"/>
      <c r="P1806" s="421"/>
      <c r="Q1806" s="418"/>
      <c r="R1806" s="418"/>
      <c r="S1806" s="418"/>
      <c r="T1806" s="418"/>
      <c r="U1806" s="418"/>
      <c r="V1806" s="418"/>
      <c r="W1806" s="418"/>
      <c r="X1806" s="418"/>
      <c r="Y1806" s="418"/>
      <c r="Z1806" s="418"/>
      <c r="AA1806" s="418"/>
      <c r="AB1806" s="418"/>
      <c r="AC1806" s="418"/>
      <c r="AD1806" s="418"/>
      <c r="AE1806" s="418"/>
      <c r="AF1806" s="418"/>
      <c r="AG1806" s="418"/>
      <c r="AH1806" s="418"/>
      <c r="AI1806" s="418"/>
      <c r="AJ1806" s="418"/>
      <c r="AK1806" s="418"/>
      <c r="AL1806" s="418"/>
      <c r="AM1806" s="418"/>
      <c r="AN1806" s="418"/>
      <c r="AO1806" s="418"/>
      <c r="AP1806" s="418"/>
      <c r="AQ1806" s="418"/>
      <c r="AR1806" s="418"/>
      <c r="AS1806" s="418"/>
      <c r="AT1806" s="418"/>
      <c r="AU1806" s="418"/>
      <c r="AV1806" s="418"/>
      <c r="AW1806" s="418"/>
      <c r="AX1806" s="418"/>
      <c r="AY1806" s="418"/>
      <c r="BF1806" s="1119"/>
      <c r="BG1806" s="1119"/>
      <c r="BH1806" s="1119"/>
    </row>
    <row r="1807" spans="1:60" ht="15.75" customHeight="1">
      <c r="A1807" s="1076"/>
      <c r="B1807" s="416"/>
      <c r="C1807" s="424"/>
      <c r="E1807" s="418"/>
      <c r="F1807" s="493"/>
      <c r="G1807" s="418"/>
      <c r="H1807" s="421"/>
      <c r="I1807" s="421"/>
      <c r="J1807" s="492"/>
      <c r="K1807" s="418"/>
      <c r="L1807" s="418"/>
      <c r="M1807" s="418"/>
      <c r="N1807" s="421"/>
      <c r="O1807" s="421"/>
      <c r="P1807" s="421"/>
      <c r="Q1807" s="418"/>
      <c r="R1807" s="418"/>
      <c r="S1807" s="418"/>
      <c r="T1807" s="418"/>
      <c r="U1807" s="418"/>
      <c r="V1807" s="418"/>
      <c r="W1807" s="418"/>
      <c r="X1807" s="418"/>
      <c r="Y1807" s="418"/>
      <c r="Z1807" s="418"/>
      <c r="AA1807" s="418"/>
      <c r="AB1807" s="418"/>
      <c r="AC1807" s="418"/>
      <c r="AD1807" s="418"/>
      <c r="AE1807" s="418"/>
      <c r="AF1807" s="418"/>
      <c r="AG1807" s="418"/>
      <c r="AH1807" s="418"/>
      <c r="AI1807" s="418"/>
      <c r="AJ1807" s="418"/>
      <c r="AK1807" s="418"/>
      <c r="AL1807" s="418"/>
      <c r="AM1807" s="418"/>
      <c r="AN1807" s="418"/>
      <c r="AO1807" s="418"/>
      <c r="AP1807" s="418"/>
      <c r="AQ1807" s="418"/>
      <c r="AR1807" s="418"/>
      <c r="AS1807" s="418"/>
      <c r="AT1807" s="418"/>
      <c r="AU1807" s="418"/>
      <c r="AV1807" s="418"/>
      <c r="AW1807" s="418"/>
      <c r="AX1807" s="418"/>
      <c r="AY1807" s="418"/>
      <c r="BF1807" s="1119"/>
      <c r="BG1807" s="1119"/>
      <c r="BH1807" s="1119"/>
    </row>
    <row r="1808" spans="1:60" ht="15.75" customHeight="1">
      <c r="A1808" s="1076"/>
      <c r="B1808" s="416"/>
      <c r="C1808" s="424"/>
      <c r="E1808" s="418"/>
      <c r="F1808" s="493"/>
      <c r="G1808" s="418"/>
      <c r="H1808" s="421"/>
      <c r="I1808" s="421"/>
      <c r="J1808" s="492"/>
      <c r="K1808" s="418"/>
      <c r="L1808" s="418"/>
      <c r="M1808" s="418"/>
      <c r="N1808" s="421"/>
      <c r="O1808" s="421"/>
      <c r="P1808" s="421"/>
      <c r="Q1808" s="418"/>
      <c r="R1808" s="418"/>
      <c r="S1808" s="418"/>
      <c r="T1808" s="418"/>
      <c r="U1808" s="418"/>
      <c r="V1808" s="418"/>
      <c r="W1808" s="418"/>
      <c r="X1808" s="418"/>
      <c r="Y1808" s="418"/>
      <c r="Z1808" s="418"/>
      <c r="AA1808" s="418"/>
      <c r="AB1808" s="418"/>
      <c r="AC1808" s="418"/>
      <c r="AD1808" s="418"/>
      <c r="AE1808" s="418"/>
      <c r="AF1808" s="418"/>
      <c r="AG1808" s="418"/>
      <c r="AH1808" s="418"/>
      <c r="AI1808" s="418"/>
      <c r="AJ1808" s="418"/>
      <c r="AK1808" s="418"/>
      <c r="AL1808" s="418"/>
      <c r="AM1808" s="418"/>
      <c r="AN1808" s="418"/>
      <c r="AO1808" s="418"/>
      <c r="AP1808" s="418"/>
      <c r="AQ1808" s="418"/>
      <c r="AR1808" s="418"/>
      <c r="AS1808" s="418"/>
      <c r="AT1808" s="418"/>
      <c r="AU1808" s="418"/>
      <c r="AV1808" s="418"/>
      <c r="AW1808" s="418"/>
      <c r="AX1808" s="418"/>
      <c r="AY1808" s="418"/>
      <c r="BF1808" s="1119"/>
      <c r="BG1808" s="1119"/>
      <c r="BH1808" s="1119"/>
    </row>
    <row r="1809" spans="1:60" ht="15.75" customHeight="1">
      <c r="A1809" s="1076"/>
      <c r="B1809" s="416"/>
      <c r="C1809" s="424"/>
      <c r="E1809" s="418"/>
      <c r="F1809" s="493"/>
      <c r="G1809" s="418"/>
      <c r="H1809" s="421"/>
      <c r="I1809" s="421"/>
      <c r="J1809" s="492"/>
      <c r="K1809" s="418"/>
      <c r="L1809" s="418"/>
      <c r="M1809" s="418"/>
      <c r="N1809" s="421"/>
      <c r="O1809" s="421"/>
      <c r="P1809" s="421"/>
      <c r="Q1809" s="418"/>
      <c r="R1809" s="418"/>
      <c r="S1809" s="418"/>
      <c r="T1809" s="418"/>
      <c r="U1809" s="418"/>
      <c r="V1809" s="418"/>
      <c r="W1809" s="418"/>
      <c r="X1809" s="418"/>
      <c r="Y1809" s="418"/>
      <c r="Z1809" s="418"/>
      <c r="AA1809" s="418"/>
      <c r="AB1809" s="418"/>
      <c r="AC1809" s="418"/>
      <c r="AD1809" s="418"/>
      <c r="AE1809" s="418"/>
      <c r="AF1809" s="418"/>
      <c r="AG1809" s="418"/>
      <c r="AH1809" s="418"/>
      <c r="AI1809" s="418"/>
      <c r="AJ1809" s="418"/>
      <c r="AK1809" s="418"/>
      <c r="AL1809" s="418"/>
      <c r="AM1809" s="418"/>
      <c r="AN1809" s="418"/>
      <c r="AO1809" s="418"/>
      <c r="AP1809" s="418"/>
      <c r="AQ1809" s="418"/>
      <c r="AR1809" s="418"/>
      <c r="AS1809" s="418"/>
      <c r="AT1809" s="418"/>
      <c r="AU1809" s="418"/>
      <c r="AV1809" s="418"/>
      <c r="AW1809" s="418"/>
      <c r="AX1809" s="418"/>
      <c r="AY1809" s="418"/>
      <c r="BF1809" s="1119"/>
      <c r="BG1809" s="1119"/>
      <c r="BH1809" s="1119"/>
    </row>
    <row r="1810" spans="1:60" ht="15.75" customHeight="1">
      <c r="A1810" s="1076"/>
      <c r="B1810" s="416"/>
      <c r="C1810" s="424"/>
      <c r="E1810" s="418"/>
      <c r="F1810" s="493"/>
      <c r="G1810" s="418"/>
      <c r="H1810" s="421"/>
      <c r="I1810" s="421"/>
      <c r="J1810" s="492"/>
      <c r="K1810" s="418"/>
      <c r="L1810" s="418"/>
      <c r="M1810" s="418"/>
      <c r="N1810" s="421"/>
      <c r="O1810" s="421"/>
      <c r="P1810" s="421"/>
      <c r="Q1810" s="418"/>
      <c r="R1810" s="418"/>
      <c r="S1810" s="418"/>
      <c r="T1810" s="418"/>
      <c r="U1810" s="418"/>
      <c r="V1810" s="418"/>
      <c r="W1810" s="418"/>
      <c r="X1810" s="418"/>
      <c r="Y1810" s="418"/>
      <c r="Z1810" s="418"/>
      <c r="AA1810" s="418"/>
      <c r="AB1810" s="418"/>
      <c r="AC1810" s="418"/>
      <c r="AD1810" s="418"/>
      <c r="AE1810" s="418"/>
      <c r="AF1810" s="418"/>
      <c r="AG1810" s="418"/>
      <c r="AH1810" s="418"/>
      <c r="AI1810" s="418"/>
      <c r="AJ1810" s="418"/>
      <c r="AK1810" s="418"/>
      <c r="AL1810" s="418"/>
      <c r="AM1810" s="418"/>
      <c r="AN1810" s="418"/>
      <c r="AO1810" s="418"/>
      <c r="AP1810" s="418"/>
      <c r="AQ1810" s="418"/>
      <c r="AR1810" s="418"/>
      <c r="AS1810" s="418"/>
      <c r="AT1810" s="418"/>
      <c r="AU1810" s="418"/>
      <c r="AV1810" s="418"/>
      <c r="AW1810" s="418"/>
      <c r="AX1810" s="418"/>
      <c r="AY1810" s="418"/>
      <c r="BF1810" s="1119"/>
      <c r="BG1810" s="1119"/>
      <c r="BH1810" s="1119"/>
    </row>
    <row r="1811" spans="1:60" ht="15.75" customHeight="1">
      <c r="A1811" s="1076"/>
      <c r="B1811" s="416"/>
      <c r="C1811" s="424"/>
      <c r="E1811" s="418"/>
      <c r="F1811" s="493"/>
      <c r="G1811" s="418"/>
      <c r="H1811" s="421"/>
      <c r="I1811" s="421"/>
      <c r="J1811" s="492"/>
      <c r="K1811" s="418"/>
      <c r="L1811" s="418"/>
      <c r="M1811" s="418"/>
      <c r="N1811" s="421"/>
      <c r="O1811" s="421"/>
      <c r="P1811" s="421"/>
      <c r="Q1811" s="418"/>
      <c r="R1811" s="418"/>
      <c r="S1811" s="418"/>
      <c r="T1811" s="418"/>
      <c r="U1811" s="418"/>
      <c r="V1811" s="418"/>
      <c r="W1811" s="418"/>
      <c r="X1811" s="418"/>
      <c r="Y1811" s="418"/>
      <c r="Z1811" s="418"/>
      <c r="AA1811" s="418"/>
      <c r="AB1811" s="418"/>
      <c r="AC1811" s="418"/>
      <c r="AD1811" s="418"/>
      <c r="AE1811" s="418"/>
      <c r="AF1811" s="418"/>
      <c r="AG1811" s="418"/>
      <c r="AH1811" s="418"/>
      <c r="AI1811" s="418"/>
      <c r="AJ1811" s="418"/>
      <c r="AK1811" s="418"/>
      <c r="AL1811" s="418"/>
      <c r="AM1811" s="418"/>
      <c r="AN1811" s="418"/>
      <c r="AO1811" s="418"/>
      <c r="AP1811" s="418"/>
      <c r="AQ1811" s="418"/>
      <c r="AR1811" s="418"/>
      <c r="AS1811" s="418"/>
      <c r="AT1811" s="418"/>
      <c r="AU1811" s="418"/>
      <c r="AV1811" s="418"/>
      <c r="AW1811" s="418"/>
      <c r="AX1811" s="418"/>
      <c r="AY1811" s="418"/>
      <c r="BF1811" s="1119"/>
      <c r="BG1811" s="1119"/>
      <c r="BH1811" s="1119"/>
    </row>
    <row r="1812" spans="1:60" ht="15.75" customHeight="1">
      <c r="A1812" s="1076"/>
      <c r="B1812" s="416"/>
      <c r="C1812" s="424"/>
      <c r="E1812" s="418"/>
      <c r="F1812" s="493"/>
      <c r="G1812" s="418"/>
      <c r="H1812" s="421"/>
      <c r="I1812" s="421"/>
      <c r="J1812" s="492"/>
      <c r="K1812" s="418"/>
      <c r="L1812" s="418"/>
      <c r="M1812" s="418"/>
      <c r="N1812" s="421"/>
      <c r="O1812" s="421"/>
      <c r="P1812" s="421"/>
      <c r="Q1812" s="418"/>
      <c r="R1812" s="418"/>
      <c r="S1812" s="418"/>
      <c r="T1812" s="418"/>
      <c r="U1812" s="418"/>
      <c r="V1812" s="418"/>
      <c r="W1812" s="418"/>
      <c r="X1812" s="418"/>
      <c r="Y1812" s="418"/>
      <c r="Z1812" s="418"/>
      <c r="AA1812" s="418"/>
      <c r="AB1812" s="418"/>
      <c r="AC1812" s="418"/>
      <c r="AD1812" s="418"/>
      <c r="AE1812" s="418"/>
      <c r="AF1812" s="418"/>
      <c r="AG1812" s="418"/>
      <c r="AH1812" s="418"/>
      <c r="AI1812" s="418"/>
      <c r="AJ1812" s="418"/>
      <c r="AK1812" s="418"/>
      <c r="AL1812" s="418"/>
      <c r="AM1812" s="418"/>
      <c r="AN1812" s="418"/>
      <c r="AO1812" s="418"/>
      <c r="AP1812" s="418"/>
      <c r="AQ1812" s="418"/>
      <c r="AR1812" s="418"/>
      <c r="AS1812" s="418"/>
      <c r="AT1812" s="418"/>
      <c r="AU1812" s="418"/>
      <c r="AV1812" s="418"/>
      <c r="AW1812" s="418"/>
      <c r="AX1812" s="418"/>
      <c r="AY1812" s="418"/>
      <c r="BF1812" s="1119"/>
      <c r="BG1812" s="1119"/>
      <c r="BH1812" s="1119"/>
    </row>
    <row r="1813" spans="1:60" ht="15.75" customHeight="1">
      <c r="A1813" s="1076"/>
      <c r="B1813" s="416"/>
      <c r="C1813" s="424"/>
      <c r="E1813" s="418"/>
      <c r="F1813" s="493"/>
      <c r="G1813" s="418"/>
      <c r="H1813" s="421"/>
      <c r="I1813" s="421"/>
      <c r="J1813" s="492"/>
      <c r="K1813" s="418"/>
      <c r="L1813" s="418"/>
      <c r="M1813" s="418"/>
      <c r="N1813" s="421"/>
      <c r="O1813" s="421"/>
      <c r="P1813" s="421"/>
      <c r="Q1813" s="418"/>
      <c r="R1813" s="418"/>
      <c r="S1813" s="418"/>
      <c r="T1813" s="418"/>
      <c r="U1813" s="418"/>
      <c r="V1813" s="418"/>
      <c r="W1813" s="418"/>
      <c r="X1813" s="418"/>
      <c r="Y1813" s="418"/>
      <c r="Z1813" s="418"/>
      <c r="AA1813" s="418"/>
      <c r="AB1813" s="418"/>
      <c r="AC1813" s="418"/>
      <c r="AD1813" s="418"/>
      <c r="AE1813" s="418"/>
      <c r="AF1813" s="418"/>
      <c r="AG1813" s="418"/>
      <c r="AH1813" s="418"/>
      <c r="AI1813" s="418"/>
      <c r="AJ1813" s="418"/>
      <c r="AK1813" s="418"/>
      <c r="AL1813" s="418"/>
      <c r="AM1813" s="418"/>
      <c r="AN1813" s="418"/>
      <c r="AO1813" s="418"/>
      <c r="AP1813" s="418"/>
      <c r="AQ1813" s="418"/>
      <c r="AR1813" s="418"/>
      <c r="AS1813" s="418"/>
      <c r="AT1813" s="418"/>
      <c r="AU1813" s="418"/>
      <c r="AV1813" s="418"/>
      <c r="AW1813" s="418"/>
      <c r="AX1813" s="418"/>
      <c r="AY1813" s="418"/>
      <c r="BF1813" s="1119"/>
      <c r="BG1813" s="1119"/>
      <c r="BH1813" s="1119"/>
    </row>
    <row r="1814" spans="1:60" ht="15.75" customHeight="1">
      <c r="A1814" s="1076"/>
      <c r="B1814" s="416"/>
      <c r="C1814" s="424"/>
      <c r="E1814" s="418"/>
      <c r="F1814" s="493"/>
      <c r="G1814" s="418"/>
      <c r="H1814" s="421"/>
      <c r="I1814" s="421"/>
      <c r="J1814" s="492"/>
      <c r="K1814" s="418"/>
      <c r="L1814" s="418"/>
      <c r="M1814" s="418"/>
      <c r="N1814" s="421"/>
      <c r="O1814" s="421"/>
      <c r="P1814" s="421"/>
      <c r="Q1814" s="418"/>
      <c r="R1814" s="418"/>
      <c r="S1814" s="418"/>
      <c r="T1814" s="418"/>
      <c r="U1814" s="418"/>
      <c r="V1814" s="418"/>
      <c r="W1814" s="418"/>
      <c r="X1814" s="418"/>
      <c r="Y1814" s="418"/>
      <c r="Z1814" s="418"/>
      <c r="AA1814" s="418"/>
      <c r="AB1814" s="418"/>
      <c r="AC1814" s="418"/>
      <c r="AD1814" s="418"/>
      <c r="AE1814" s="418"/>
      <c r="AF1814" s="418"/>
      <c r="AG1814" s="418"/>
      <c r="AH1814" s="418"/>
      <c r="AI1814" s="418"/>
      <c r="AJ1814" s="418"/>
      <c r="AK1814" s="418"/>
      <c r="AL1814" s="418"/>
      <c r="AM1814" s="418"/>
      <c r="AN1814" s="418"/>
      <c r="AO1814" s="418"/>
      <c r="AP1814" s="418"/>
      <c r="AQ1814" s="418"/>
      <c r="AR1814" s="418"/>
      <c r="AS1814" s="418"/>
      <c r="AT1814" s="418"/>
      <c r="AU1814" s="418"/>
      <c r="AV1814" s="418"/>
      <c r="AW1814" s="418"/>
      <c r="AX1814" s="418"/>
      <c r="AY1814" s="418"/>
      <c r="BF1814" s="1119"/>
      <c r="BG1814" s="1119"/>
      <c r="BH1814" s="1119"/>
    </row>
    <row r="1815" spans="1:60" ht="15.75" customHeight="1">
      <c r="A1815" s="1076"/>
      <c r="B1815" s="416"/>
      <c r="C1815" s="424"/>
      <c r="E1815" s="418"/>
      <c r="F1815" s="493"/>
      <c r="G1815" s="418"/>
      <c r="H1815" s="421"/>
      <c r="I1815" s="421"/>
      <c r="J1815" s="492"/>
      <c r="K1815" s="418"/>
      <c r="L1815" s="418"/>
      <c r="M1815" s="418"/>
      <c r="N1815" s="421"/>
      <c r="O1815" s="421"/>
      <c r="P1815" s="421"/>
      <c r="Q1815" s="418"/>
      <c r="R1815" s="418"/>
      <c r="S1815" s="418"/>
      <c r="T1815" s="418"/>
      <c r="U1815" s="418"/>
      <c r="V1815" s="418"/>
      <c r="W1815" s="418"/>
      <c r="X1815" s="418"/>
      <c r="Y1815" s="418"/>
      <c r="Z1815" s="418"/>
      <c r="AA1815" s="418"/>
      <c r="AB1815" s="418"/>
      <c r="AC1815" s="418"/>
      <c r="AD1815" s="418"/>
      <c r="AE1815" s="418"/>
      <c r="AF1815" s="418"/>
      <c r="AG1815" s="418"/>
      <c r="AH1815" s="418"/>
      <c r="AI1815" s="418"/>
      <c r="AJ1815" s="418"/>
      <c r="AK1815" s="418"/>
      <c r="AL1815" s="418"/>
      <c r="AM1815" s="418"/>
      <c r="AN1815" s="418"/>
      <c r="AO1815" s="418"/>
      <c r="AP1815" s="418"/>
      <c r="AQ1815" s="418"/>
      <c r="AR1815" s="418"/>
      <c r="AS1815" s="418"/>
      <c r="AT1815" s="418"/>
      <c r="AU1815" s="418"/>
      <c r="AV1815" s="418"/>
      <c r="AW1815" s="418"/>
      <c r="AX1815" s="418"/>
      <c r="AY1815" s="418"/>
      <c r="BF1815" s="1119"/>
      <c r="BG1815" s="1119"/>
      <c r="BH1815" s="1119"/>
    </row>
    <row r="1816" spans="1:60" ht="15.75" customHeight="1">
      <c r="A1816" s="1076"/>
      <c r="B1816" s="416"/>
      <c r="C1816" s="424"/>
      <c r="E1816" s="418"/>
      <c r="F1816" s="493"/>
      <c r="G1816" s="418"/>
      <c r="H1816" s="421"/>
      <c r="I1816" s="421"/>
      <c r="J1816" s="492"/>
      <c r="K1816" s="418"/>
      <c r="L1816" s="418"/>
      <c r="M1816" s="418"/>
      <c r="N1816" s="421"/>
      <c r="O1816" s="421"/>
      <c r="P1816" s="421"/>
      <c r="Q1816" s="418"/>
      <c r="R1816" s="418"/>
      <c r="S1816" s="418"/>
      <c r="T1816" s="418"/>
      <c r="U1816" s="418"/>
      <c r="V1816" s="418"/>
      <c r="W1816" s="418"/>
      <c r="X1816" s="418"/>
      <c r="Y1816" s="418"/>
      <c r="Z1816" s="418"/>
      <c r="AA1816" s="418"/>
      <c r="AB1816" s="418"/>
      <c r="AC1816" s="418"/>
      <c r="AD1816" s="418"/>
      <c r="AE1816" s="418"/>
      <c r="AF1816" s="418"/>
      <c r="AG1816" s="418"/>
      <c r="AH1816" s="418"/>
      <c r="AI1816" s="418"/>
      <c r="AJ1816" s="418"/>
      <c r="AK1816" s="418"/>
      <c r="AL1816" s="418"/>
      <c r="AM1816" s="418"/>
      <c r="AN1816" s="418"/>
      <c r="AO1816" s="418"/>
      <c r="AP1816" s="418"/>
      <c r="AQ1816" s="418"/>
      <c r="AR1816" s="418"/>
      <c r="AS1816" s="418"/>
      <c r="AT1816" s="418"/>
      <c r="AU1816" s="418"/>
      <c r="AV1816" s="418"/>
      <c r="AW1816" s="418"/>
      <c r="AX1816" s="418"/>
      <c r="AY1816" s="418"/>
      <c r="BF1816" s="1119"/>
      <c r="BG1816" s="1119"/>
      <c r="BH1816" s="1119"/>
    </row>
    <row r="1817" spans="1:60" ht="15.75" customHeight="1">
      <c r="A1817" s="1076"/>
      <c r="B1817" s="416"/>
      <c r="C1817" s="424"/>
      <c r="E1817" s="418"/>
      <c r="F1817" s="493"/>
      <c r="G1817" s="418"/>
      <c r="H1817" s="421"/>
      <c r="I1817" s="421"/>
      <c r="J1817" s="492"/>
      <c r="K1817" s="418"/>
      <c r="L1817" s="418"/>
      <c r="M1817" s="418"/>
      <c r="N1817" s="421"/>
      <c r="O1817" s="421"/>
      <c r="P1817" s="421"/>
      <c r="Q1817" s="418"/>
      <c r="R1817" s="418"/>
      <c r="S1817" s="418"/>
      <c r="T1817" s="418"/>
      <c r="U1817" s="418"/>
      <c r="V1817" s="418"/>
      <c r="W1817" s="418"/>
      <c r="X1817" s="418"/>
      <c r="Y1817" s="418"/>
      <c r="Z1817" s="418"/>
      <c r="AA1817" s="418"/>
      <c r="AB1817" s="418"/>
      <c r="AC1817" s="418"/>
      <c r="AD1817" s="418"/>
      <c r="AE1817" s="418"/>
      <c r="AF1817" s="418"/>
      <c r="AG1817" s="418"/>
      <c r="AH1817" s="418"/>
      <c r="AI1817" s="418"/>
      <c r="AJ1817" s="418"/>
      <c r="AK1817" s="418"/>
      <c r="AL1817" s="418"/>
      <c r="AM1817" s="418"/>
      <c r="AN1817" s="418"/>
      <c r="AO1817" s="418"/>
      <c r="AP1817" s="418"/>
      <c r="AQ1817" s="418"/>
      <c r="AR1817" s="418"/>
      <c r="AS1817" s="418"/>
      <c r="AT1817" s="418"/>
      <c r="AU1817" s="418"/>
      <c r="AV1817" s="418"/>
      <c r="AW1817" s="418"/>
      <c r="AX1817" s="418"/>
      <c r="AY1817" s="418"/>
      <c r="BF1817" s="1119"/>
      <c r="BG1817" s="1119"/>
      <c r="BH1817" s="1119"/>
    </row>
    <row r="1818" spans="1:60" ht="15.75" customHeight="1">
      <c r="A1818" s="1076"/>
      <c r="B1818" s="416"/>
      <c r="C1818" s="424"/>
      <c r="E1818" s="418"/>
      <c r="F1818" s="493"/>
      <c r="G1818" s="418"/>
      <c r="H1818" s="421"/>
      <c r="I1818" s="421"/>
      <c r="J1818" s="492"/>
      <c r="K1818" s="418"/>
      <c r="L1818" s="418"/>
      <c r="M1818" s="418"/>
      <c r="N1818" s="421"/>
      <c r="O1818" s="421"/>
      <c r="P1818" s="421"/>
      <c r="Q1818" s="418"/>
      <c r="R1818" s="418"/>
      <c r="S1818" s="418"/>
      <c r="T1818" s="418"/>
      <c r="U1818" s="418"/>
      <c r="V1818" s="418"/>
      <c r="W1818" s="418"/>
      <c r="X1818" s="418"/>
      <c r="Y1818" s="418"/>
      <c r="Z1818" s="418"/>
      <c r="AA1818" s="418"/>
      <c r="AB1818" s="418"/>
      <c r="AC1818" s="418"/>
      <c r="AD1818" s="418"/>
      <c r="AE1818" s="418"/>
      <c r="AF1818" s="418"/>
      <c r="AG1818" s="418"/>
      <c r="AH1818" s="418"/>
      <c r="AI1818" s="418"/>
      <c r="AJ1818" s="418"/>
      <c r="AK1818" s="418"/>
      <c r="AL1818" s="418"/>
      <c r="AM1818" s="418"/>
      <c r="AN1818" s="418"/>
      <c r="AO1818" s="418"/>
      <c r="AP1818" s="418"/>
      <c r="AQ1818" s="418"/>
      <c r="AR1818" s="418"/>
      <c r="AS1818" s="418"/>
      <c r="AT1818" s="418"/>
      <c r="AU1818" s="418"/>
      <c r="AV1818" s="418"/>
      <c r="AW1818" s="418"/>
      <c r="AX1818" s="418"/>
      <c r="AY1818" s="418"/>
      <c r="BF1818" s="1119"/>
      <c r="BG1818" s="1119"/>
      <c r="BH1818" s="1119"/>
    </row>
    <row r="1819" spans="1:60" ht="15.75" customHeight="1">
      <c r="A1819" s="1076"/>
      <c r="B1819" s="416"/>
      <c r="C1819" s="424"/>
      <c r="E1819" s="418"/>
      <c r="F1819" s="493"/>
      <c r="G1819" s="418"/>
      <c r="H1819" s="421"/>
      <c r="I1819" s="421"/>
      <c r="J1819" s="492"/>
      <c r="K1819" s="418"/>
      <c r="L1819" s="418"/>
      <c r="M1819" s="418"/>
      <c r="N1819" s="421"/>
      <c r="O1819" s="421"/>
      <c r="P1819" s="421"/>
      <c r="Q1819" s="418"/>
      <c r="R1819" s="418"/>
      <c r="S1819" s="418"/>
      <c r="T1819" s="418"/>
      <c r="U1819" s="418"/>
      <c r="V1819" s="418"/>
      <c r="W1819" s="418"/>
      <c r="X1819" s="418"/>
      <c r="Y1819" s="418"/>
      <c r="Z1819" s="418"/>
      <c r="AA1819" s="418"/>
      <c r="AB1819" s="418"/>
      <c r="AC1819" s="418"/>
      <c r="AD1819" s="418"/>
      <c r="AE1819" s="418"/>
      <c r="AF1819" s="418"/>
      <c r="AG1819" s="418"/>
      <c r="AH1819" s="418"/>
      <c r="AI1819" s="418"/>
      <c r="AJ1819" s="418"/>
      <c r="AK1819" s="418"/>
      <c r="AL1819" s="418"/>
      <c r="AM1819" s="418"/>
      <c r="AN1819" s="418"/>
      <c r="AO1819" s="418"/>
      <c r="AP1819" s="418"/>
      <c r="AQ1819" s="418"/>
      <c r="AR1819" s="418"/>
      <c r="AS1819" s="418"/>
      <c r="AT1819" s="418"/>
      <c r="AU1819" s="418"/>
      <c r="AV1819" s="418"/>
      <c r="AW1819" s="418"/>
      <c r="AX1819" s="418"/>
      <c r="AY1819" s="418"/>
      <c r="BF1819" s="1119"/>
      <c r="BG1819" s="1119"/>
      <c r="BH1819" s="1119"/>
    </row>
    <row r="1820" spans="1:60" ht="15.75" customHeight="1">
      <c r="A1820" s="1076"/>
      <c r="B1820" s="416"/>
      <c r="C1820" s="424"/>
      <c r="E1820" s="418"/>
      <c r="F1820" s="493"/>
      <c r="G1820" s="418"/>
      <c r="H1820" s="421"/>
      <c r="I1820" s="421"/>
      <c r="J1820" s="492"/>
      <c r="K1820" s="418"/>
      <c r="L1820" s="418"/>
      <c r="M1820" s="418"/>
      <c r="N1820" s="421"/>
      <c r="O1820" s="421"/>
      <c r="P1820" s="421"/>
      <c r="Q1820" s="418"/>
      <c r="R1820" s="418"/>
      <c r="S1820" s="418"/>
      <c r="T1820" s="418"/>
      <c r="U1820" s="418"/>
      <c r="V1820" s="418"/>
      <c r="W1820" s="418"/>
      <c r="X1820" s="418"/>
      <c r="Y1820" s="418"/>
      <c r="Z1820" s="418"/>
      <c r="AA1820" s="418"/>
      <c r="AB1820" s="418"/>
      <c r="AC1820" s="418"/>
      <c r="AD1820" s="418"/>
      <c r="AE1820" s="418"/>
      <c r="AF1820" s="418"/>
      <c r="AG1820" s="418"/>
      <c r="AH1820" s="418"/>
      <c r="AI1820" s="418"/>
      <c r="AJ1820" s="418"/>
      <c r="AK1820" s="418"/>
      <c r="AL1820" s="418"/>
      <c r="AM1820" s="418"/>
      <c r="AN1820" s="418"/>
      <c r="AO1820" s="418"/>
      <c r="AP1820" s="418"/>
      <c r="AQ1820" s="418"/>
      <c r="AR1820" s="418"/>
      <c r="AS1820" s="418"/>
      <c r="AT1820" s="418"/>
      <c r="AU1820" s="418"/>
      <c r="AV1820" s="418"/>
      <c r="AW1820" s="418"/>
      <c r="AX1820" s="418"/>
      <c r="AY1820" s="418"/>
      <c r="BF1820" s="1119"/>
      <c r="BG1820" s="1119"/>
      <c r="BH1820" s="1119"/>
    </row>
    <row r="1821" spans="1:60" ht="15.75" customHeight="1">
      <c r="A1821" s="1076"/>
      <c r="B1821" s="416"/>
      <c r="C1821" s="424"/>
      <c r="E1821" s="418"/>
      <c r="F1821" s="493"/>
      <c r="G1821" s="418"/>
      <c r="H1821" s="421"/>
      <c r="I1821" s="421"/>
      <c r="J1821" s="492"/>
      <c r="K1821" s="418"/>
      <c r="L1821" s="418"/>
      <c r="M1821" s="418"/>
      <c r="N1821" s="421"/>
      <c r="O1821" s="421"/>
      <c r="P1821" s="421"/>
      <c r="Q1821" s="418"/>
      <c r="R1821" s="418"/>
      <c r="S1821" s="418"/>
      <c r="T1821" s="418"/>
      <c r="U1821" s="418"/>
      <c r="V1821" s="418"/>
      <c r="W1821" s="418"/>
      <c r="X1821" s="418"/>
      <c r="Y1821" s="418"/>
      <c r="Z1821" s="418"/>
      <c r="AA1821" s="418"/>
      <c r="AB1821" s="418"/>
      <c r="AC1821" s="418"/>
      <c r="AD1821" s="418"/>
      <c r="AE1821" s="418"/>
      <c r="AF1821" s="418"/>
      <c r="AG1821" s="418"/>
      <c r="AH1821" s="418"/>
      <c r="AI1821" s="418"/>
      <c r="AJ1821" s="418"/>
      <c r="AK1821" s="418"/>
      <c r="AL1821" s="418"/>
      <c r="AM1821" s="418"/>
      <c r="AN1821" s="418"/>
      <c r="AO1821" s="418"/>
      <c r="AP1821" s="418"/>
      <c r="AQ1821" s="418"/>
      <c r="AR1821" s="418"/>
      <c r="AS1821" s="418"/>
      <c r="AT1821" s="418"/>
      <c r="AU1821" s="418"/>
      <c r="AV1821" s="418"/>
      <c r="AW1821" s="418"/>
      <c r="AX1821" s="418"/>
      <c r="AY1821" s="418"/>
      <c r="BF1821" s="1119"/>
      <c r="BG1821" s="1119"/>
      <c r="BH1821" s="1119"/>
    </row>
    <row r="1822" spans="1:60" ht="15.75" customHeight="1">
      <c r="A1822" s="1076"/>
      <c r="B1822" s="416"/>
      <c r="C1822" s="424"/>
      <c r="E1822" s="418"/>
      <c r="F1822" s="493"/>
      <c r="G1822" s="418"/>
      <c r="H1822" s="421"/>
      <c r="I1822" s="421"/>
      <c r="J1822" s="492"/>
      <c r="K1822" s="418"/>
      <c r="L1822" s="418"/>
      <c r="M1822" s="418"/>
      <c r="N1822" s="421"/>
      <c r="O1822" s="421"/>
      <c r="P1822" s="421"/>
      <c r="Q1822" s="418"/>
      <c r="R1822" s="418"/>
      <c r="S1822" s="418"/>
      <c r="T1822" s="418"/>
      <c r="U1822" s="418"/>
      <c r="V1822" s="418"/>
      <c r="W1822" s="418"/>
      <c r="X1822" s="418"/>
      <c r="Y1822" s="418"/>
      <c r="Z1822" s="418"/>
      <c r="AA1822" s="418"/>
      <c r="AB1822" s="418"/>
      <c r="AC1822" s="418"/>
      <c r="AD1822" s="418"/>
      <c r="AE1822" s="418"/>
      <c r="AF1822" s="418"/>
      <c r="AG1822" s="418"/>
      <c r="AH1822" s="418"/>
      <c r="AI1822" s="418"/>
      <c r="AJ1822" s="418"/>
      <c r="AK1822" s="418"/>
      <c r="AL1822" s="418"/>
      <c r="AM1822" s="418"/>
      <c r="AN1822" s="418"/>
      <c r="AO1822" s="418"/>
      <c r="AP1822" s="418"/>
      <c r="AQ1822" s="418"/>
      <c r="AR1822" s="418"/>
      <c r="AS1822" s="418"/>
      <c r="AT1822" s="418"/>
      <c r="AU1822" s="418"/>
      <c r="AV1822" s="418"/>
      <c r="AW1822" s="418"/>
      <c r="AX1822" s="418"/>
      <c r="AY1822" s="418"/>
      <c r="BF1822" s="1119"/>
      <c r="BG1822" s="1119"/>
      <c r="BH1822" s="1119"/>
    </row>
    <row r="1823" spans="1:60" ht="15.75" customHeight="1">
      <c r="A1823" s="1076"/>
      <c r="B1823" s="416"/>
      <c r="C1823" s="424"/>
      <c r="E1823" s="418"/>
      <c r="F1823" s="493"/>
      <c r="G1823" s="418"/>
      <c r="H1823" s="421"/>
      <c r="I1823" s="421"/>
      <c r="J1823" s="492"/>
      <c r="K1823" s="418"/>
      <c r="L1823" s="418"/>
      <c r="M1823" s="418"/>
      <c r="N1823" s="421"/>
      <c r="O1823" s="421"/>
      <c r="P1823" s="421"/>
      <c r="Q1823" s="418"/>
      <c r="R1823" s="418"/>
      <c r="S1823" s="418"/>
      <c r="T1823" s="418"/>
      <c r="U1823" s="418"/>
      <c r="V1823" s="418"/>
      <c r="W1823" s="418"/>
      <c r="X1823" s="418"/>
      <c r="Y1823" s="418"/>
      <c r="Z1823" s="418"/>
      <c r="AA1823" s="418"/>
      <c r="AB1823" s="418"/>
      <c r="AC1823" s="418"/>
      <c r="AD1823" s="418"/>
      <c r="AE1823" s="418"/>
      <c r="AF1823" s="418"/>
      <c r="AG1823" s="418"/>
      <c r="AH1823" s="418"/>
      <c r="AI1823" s="418"/>
      <c r="AJ1823" s="418"/>
      <c r="AK1823" s="418"/>
      <c r="AL1823" s="418"/>
      <c r="AM1823" s="418"/>
      <c r="AN1823" s="418"/>
      <c r="AO1823" s="418"/>
      <c r="AP1823" s="418"/>
      <c r="AQ1823" s="418"/>
      <c r="AR1823" s="418"/>
      <c r="AS1823" s="418"/>
      <c r="AT1823" s="418"/>
      <c r="AU1823" s="418"/>
      <c r="AV1823" s="418"/>
      <c r="AW1823" s="418"/>
      <c r="AX1823" s="418"/>
      <c r="AY1823" s="418"/>
      <c r="BF1823" s="1119"/>
      <c r="BG1823" s="1119"/>
      <c r="BH1823" s="1119"/>
    </row>
    <row r="1824" spans="1:60" ht="15.75" customHeight="1">
      <c r="A1824" s="1076"/>
      <c r="B1824" s="416"/>
      <c r="C1824" s="424"/>
      <c r="E1824" s="418"/>
      <c r="F1824" s="493"/>
      <c r="G1824" s="418"/>
      <c r="H1824" s="421"/>
      <c r="I1824" s="421"/>
      <c r="J1824" s="492"/>
      <c r="K1824" s="418"/>
      <c r="L1824" s="418"/>
      <c r="M1824" s="418"/>
      <c r="N1824" s="421"/>
      <c r="O1824" s="421"/>
      <c r="P1824" s="421"/>
      <c r="Q1824" s="418"/>
      <c r="R1824" s="418"/>
      <c r="S1824" s="418"/>
      <c r="T1824" s="418"/>
      <c r="U1824" s="418"/>
      <c r="V1824" s="418"/>
      <c r="W1824" s="418"/>
      <c r="X1824" s="418"/>
      <c r="Y1824" s="418"/>
      <c r="Z1824" s="418"/>
      <c r="AA1824" s="418"/>
      <c r="AB1824" s="418"/>
      <c r="AC1824" s="418"/>
      <c r="AD1824" s="418"/>
      <c r="AE1824" s="418"/>
      <c r="AF1824" s="418"/>
      <c r="AG1824" s="418"/>
      <c r="AH1824" s="418"/>
      <c r="AI1824" s="418"/>
      <c r="AJ1824" s="418"/>
      <c r="AK1824" s="418"/>
      <c r="AL1824" s="418"/>
      <c r="AM1824" s="418"/>
      <c r="AN1824" s="418"/>
      <c r="AO1824" s="418"/>
      <c r="AP1824" s="418"/>
      <c r="AQ1824" s="418"/>
      <c r="AR1824" s="418"/>
      <c r="AS1824" s="418"/>
      <c r="AT1824" s="418"/>
      <c r="AU1824" s="418"/>
      <c r="AV1824" s="418"/>
      <c r="AW1824" s="418"/>
      <c r="AX1824" s="418"/>
      <c r="AY1824" s="418"/>
      <c r="BF1824" s="1119"/>
      <c r="BG1824" s="1119"/>
      <c r="BH1824" s="1119"/>
    </row>
    <row r="1825" spans="1:60" ht="15.75" customHeight="1">
      <c r="A1825" s="1076"/>
      <c r="B1825" s="416"/>
      <c r="C1825" s="424"/>
      <c r="E1825" s="418"/>
      <c r="F1825" s="493"/>
      <c r="G1825" s="418"/>
      <c r="H1825" s="421"/>
      <c r="I1825" s="421"/>
      <c r="J1825" s="492"/>
      <c r="K1825" s="418"/>
      <c r="L1825" s="418"/>
      <c r="M1825" s="418"/>
      <c r="N1825" s="421"/>
      <c r="O1825" s="421"/>
      <c r="P1825" s="421"/>
      <c r="Q1825" s="418"/>
      <c r="R1825" s="418"/>
      <c r="S1825" s="418"/>
      <c r="T1825" s="418"/>
      <c r="U1825" s="418"/>
      <c r="V1825" s="418"/>
      <c r="W1825" s="418"/>
      <c r="X1825" s="418"/>
      <c r="Y1825" s="418"/>
      <c r="Z1825" s="418"/>
      <c r="AA1825" s="418"/>
      <c r="AB1825" s="418"/>
      <c r="AC1825" s="418"/>
      <c r="AD1825" s="418"/>
      <c r="AE1825" s="418"/>
      <c r="AF1825" s="418"/>
      <c r="AG1825" s="418"/>
      <c r="AH1825" s="418"/>
      <c r="AI1825" s="418"/>
      <c r="AJ1825" s="418"/>
      <c r="AK1825" s="418"/>
      <c r="AL1825" s="418"/>
      <c r="AM1825" s="418"/>
      <c r="AN1825" s="418"/>
      <c r="AO1825" s="418"/>
      <c r="AP1825" s="418"/>
      <c r="AQ1825" s="418"/>
      <c r="AR1825" s="418"/>
      <c r="AS1825" s="418"/>
      <c r="AT1825" s="418"/>
      <c r="AU1825" s="418"/>
      <c r="AV1825" s="418"/>
      <c r="AW1825" s="418"/>
      <c r="AX1825" s="418"/>
      <c r="AY1825" s="418"/>
      <c r="BF1825" s="1119"/>
      <c r="BG1825" s="1119"/>
      <c r="BH1825" s="1119"/>
    </row>
    <row r="1826" spans="1:60" ht="15.75" customHeight="1">
      <c r="A1826" s="1076"/>
      <c r="B1826" s="416"/>
      <c r="C1826" s="424"/>
      <c r="E1826" s="418"/>
      <c r="F1826" s="493"/>
      <c r="G1826" s="418"/>
      <c r="H1826" s="421"/>
      <c r="I1826" s="421"/>
      <c r="J1826" s="492"/>
      <c r="K1826" s="418"/>
      <c r="L1826" s="418"/>
      <c r="M1826" s="418"/>
      <c r="N1826" s="421"/>
      <c r="O1826" s="421"/>
      <c r="P1826" s="421"/>
      <c r="Q1826" s="418"/>
      <c r="R1826" s="418"/>
      <c r="S1826" s="418"/>
      <c r="T1826" s="418"/>
      <c r="U1826" s="418"/>
      <c r="V1826" s="418"/>
      <c r="W1826" s="418"/>
      <c r="X1826" s="418"/>
      <c r="Y1826" s="418"/>
      <c r="Z1826" s="418"/>
      <c r="AA1826" s="418"/>
      <c r="AB1826" s="418"/>
      <c r="AC1826" s="418"/>
      <c r="AD1826" s="418"/>
      <c r="AE1826" s="418"/>
      <c r="AF1826" s="418"/>
      <c r="AG1826" s="418"/>
      <c r="AH1826" s="418"/>
      <c r="AI1826" s="418"/>
      <c r="AJ1826" s="418"/>
      <c r="AK1826" s="418"/>
      <c r="AL1826" s="418"/>
      <c r="AM1826" s="418"/>
      <c r="AN1826" s="418"/>
      <c r="AO1826" s="418"/>
      <c r="AP1826" s="418"/>
      <c r="AQ1826" s="418"/>
      <c r="AR1826" s="418"/>
      <c r="AS1826" s="418"/>
      <c r="AT1826" s="418"/>
      <c r="AU1826" s="418"/>
      <c r="AV1826" s="418"/>
      <c r="AW1826" s="418"/>
      <c r="AX1826" s="418"/>
      <c r="AY1826" s="418"/>
      <c r="BF1826" s="1119"/>
      <c r="BG1826" s="1119"/>
      <c r="BH1826" s="1119"/>
    </row>
    <row r="1827" spans="1:60" ht="15.75" customHeight="1">
      <c r="A1827" s="1076"/>
      <c r="B1827" s="416"/>
      <c r="C1827" s="424"/>
      <c r="E1827" s="418"/>
      <c r="F1827" s="493"/>
      <c r="G1827" s="418"/>
      <c r="H1827" s="421"/>
      <c r="I1827" s="421"/>
      <c r="J1827" s="492"/>
      <c r="K1827" s="418"/>
      <c r="L1827" s="418"/>
      <c r="M1827" s="418"/>
      <c r="N1827" s="421"/>
      <c r="O1827" s="421"/>
      <c r="P1827" s="421"/>
      <c r="Q1827" s="418"/>
      <c r="R1827" s="418"/>
      <c r="S1827" s="418"/>
      <c r="T1827" s="418"/>
      <c r="U1827" s="418"/>
      <c r="V1827" s="418"/>
      <c r="W1827" s="418"/>
      <c r="X1827" s="418"/>
      <c r="Y1827" s="418"/>
      <c r="Z1827" s="418"/>
      <c r="AA1827" s="418"/>
      <c r="AB1827" s="418"/>
      <c r="AC1827" s="418"/>
      <c r="AD1827" s="418"/>
      <c r="AE1827" s="418"/>
      <c r="AF1827" s="418"/>
      <c r="AG1827" s="418"/>
      <c r="AH1827" s="418"/>
      <c r="AI1827" s="418"/>
      <c r="AJ1827" s="418"/>
      <c r="AK1827" s="418"/>
      <c r="AL1827" s="418"/>
      <c r="AM1827" s="418"/>
      <c r="AN1827" s="418"/>
      <c r="AO1827" s="418"/>
      <c r="AP1827" s="418"/>
      <c r="AQ1827" s="418"/>
      <c r="AR1827" s="418"/>
      <c r="AS1827" s="418"/>
      <c r="AT1827" s="418"/>
      <c r="AU1827" s="418"/>
      <c r="AV1827" s="418"/>
      <c r="AW1827" s="418"/>
      <c r="AX1827" s="418"/>
      <c r="AY1827" s="418"/>
      <c r="BF1827" s="1119"/>
      <c r="BG1827" s="1119"/>
      <c r="BH1827" s="1119"/>
    </row>
    <row r="1828" spans="1:60" ht="15.75" customHeight="1">
      <c r="A1828" s="1076"/>
      <c r="B1828" s="416"/>
      <c r="C1828" s="424"/>
      <c r="E1828" s="418"/>
      <c r="F1828" s="493"/>
      <c r="G1828" s="418"/>
      <c r="H1828" s="421"/>
      <c r="I1828" s="421"/>
      <c r="J1828" s="492"/>
      <c r="K1828" s="418"/>
      <c r="L1828" s="418"/>
      <c r="M1828" s="418"/>
      <c r="N1828" s="421"/>
      <c r="O1828" s="421"/>
      <c r="P1828" s="421"/>
      <c r="Q1828" s="418"/>
      <c r="R1828" s="418"/>
      <c r="S1828" s="418"/>
      <c r="T1828" s="418"/>
      <c r="U1828" s="418"/>
      <c r="V1828" s="418"/>
      <c r="W1828" s="418"/>
      <c r="X1828" s="418"/>
      <c r="Y1828" s="418"/>
      <c r="Z1828" s="418"/>
      <c r="AA1828" s="418"/>
      <c r="AB1828" s="418"/>
      <c r="AC1828" s="418"/>
      <c r="AD1828" s="418"/>
      <c r="AE1828" s="418"/>
      <c r="AF1828" s="418"/>
      <c r="AG1828" s="418"/>
      <c r="AH1828" s="418"/>
      <c r="AI1828" s="418"/>
      <c r="AJ1828" s="418"/>
      <c r="AK1828" s="418"/>
      <c r="AL1828" s="418"/>
      <c r="AM1828" s="418"/>
      <c r="AN1828" s="418"/>
      <c r="AO1828" s="418"/>
      <c r="AP1828" s="418"/>
      <c r="AQ1828" s="418"/>
      <c r="AR1828" s="418"/>
      <c r="AS1828" s="418"/>
      <c r="AT1828" s="418"/>
      <c r="AU1828" s="418"/>
      <c r="AV1828" s="418"/>
      <c r="AW1828" s="418"/>
      <c r="AX1828" s="418"/>
      <c r="AY1828" s="418"/>
      <c r="BF1828" s="1119"/>
      <c r="BG1828" s="1119"/>
      <c r="BH1828" s="1119"/>
    </row>
    <row r="1829" spans="1:60" ht="15.75" customHeight="1">
      <c r="A1829" s="1076"/>
      <c r="B1829" s="416"/>
      <c r="C1829" s="424"/>
      <c r="E1829" s="418"/>
      <c r="F1829" s="493"/>
      <c r="G1829" s="418"/>
      <c r="H1829" s="421"/>
      <c r="I1829" s="425"/>
      <c r="J1829" s="492"/>
      <c r="K1829" s="418"/>
      <c r="L1829" s="418"/>
      <c r="M1829" s="418"/>
      <c r="N1829" s="421"/>
      <c r="O1829" s="421"/>
      <c r="P1829" s="421"/>
      <c r="Q1829" s="418"/>
      <c r="R1829" s="418"/>
      <c r="S1829" s="418"/>
      <c r="T1829" s="418"/>
      <c r="U1829" s="418"/>
      <c r="V1829" s="418"/>
      <c r="W1829" s="418"/>
      <c r="X1829" s="418"/>
      <c r="Y1829" s="418"/>
      <c r="Z1829" s="418"/>
      <c r="AA1829" s="418"/>
      <c r="AB1829" s="418"/>
      <c r="AC1829" s="418"/>
      <c r="AD1829" s="418"/>
      <c r="AE1829" s="418"/>
      <c r="AF1829" s="418"/>
      <c r="AG1829" s="418"/>
      <c r="AH1829" s="418"/>
      <c r="AI1829" s="418"/>
      <c r="AJ1829" s="418"/>
      <c r="AK1829" s="418"/>
      <c r="AL1829" s="418"/>
      <c r="AM1829" s="418"/>
      <c r="AN1829" s="418"/>
      <c r="AO1829" s="418"/>
      <c r="AP1829" s="418"/>
      <c r="AQ1829" s="418"/>
      <c r="AR1829" s="418"/>
      <c r="AS1829" s="418"/>
      <c r="AT1829" s="418"/>
      <c r="AU1829" s="418"/>
      <c r="AV1829" s="418"/>
      <c r="AW1829" s="418"/>
      <c r="AX1829" s="418"/>
      <c r="AY1829" s="418"/>
      <c r="BF1829" s="1119"/>
      <c r="BG1829" s="1119"/>
      <c r="BH1829" s="1119"/>
    </row>
    <row r="1830" spans="1:60" ht="15.75" customHeight="1">
      <c r="A1830" s="1076"/>
      <c r="B1830" s="416"/>
      <c r="C1830" s="424"/>
      <c r="E1830" s="418"/>
      <c r="F1830" s="493"/>
      <c r="G1830" s="418"/>
      <c r="H1830" s="421"/>
      <c r="I1830" s="421"/>
      <c r="J1830" s="492"/>
      <c r="K1830" s="418"/>
      <c r="L1830" s="418"/>
      <c r="M1830" s="418"/>
      <c r="N1830" s="421"/>
      <c r="O1830" s="421"/>
      <c r="P1830" s="421"/>
      <c r="Q1830" s="418"/>
      <c r="R1830" s="418"/>
      <c r="S1830" s="418"/>
      <c r="T1830" s="418"/>
      <c r="U1830" s="418"/>
      <c r="V1830" s="418"/>
      <c r="W1830" s="418"/>
      <c r="X1830" s="418"/>
      <c r="Y1830" s="418"/>
      <c r="Z1830" s="418"/>
      <c r="AA1830" s="418"/>
      <c r="AB1830" s="418"/>
      <c r="AC1830" s="418"/>
      <c r="AD1830" s="418"/>
      <c r="AE1830" s="418"/>
      <c r="AF1830" s="418"/>
      <c r="AG1830" s="418"/>
      <c r="AH1830" s="418"/>
      <c r="AI1830" s="418"/>
      <c r="AJ1830" s="418"/>
      <c r="AK1830" s="418"/>
      <c r="AL1830" s="418"/>
      <c r="AM1830" s="418"/>
      <c r="AN1830" s="418"/>
      <c r="AO1830" s="418"/>
      <c r="AP1830" s="418"/>
      <c r="AQ1830" s="418"/>
      <c r="AR1830" s="418"/>
      <c r="AS1830" s="418"/>
      <c r="AT1830" s="418"/>
      <c r="AU1830" s="418"/>
      <c r="AV1830" s="418"/>
      <c r="AW1830" s="418"/>
      <c r="AX1830" s="418"/>
      <c r="AY1830" s="418"/>
      <c r="BF1830" s="1119"/>
      <c r="BG1830" s="1119"/>
      <c r="BH1830" s="1119"/>
    </row>
    <row r="1831" spans="1:60" ht="15.75" customHeight="1">
      <c r="A1831" s="1076"/>
      <c r="B1831" s="416"/>
      <c r="C1831" s="424"/>
      <c r="E1831" s="418"/>
      <c r="F1831" s="493"/>
      <c r="G1831" s="418"/>
      <c r="H1831" s="421"/>
      <c r="I1831" s="425"/>
      <c r="J1831" s="492"/>
      <c r="K1831" s="418"/>
      <c r="L1831" s="418"/>
      <c r="M1831" s="418"/>
      <c r="N1831" s="421"/>
      <c r="O1831" s="421"/>
      <c r="P1831" s="421"/>
      <c r="Q1831" s="418"/>
      <c r="R1831" s="418"/>
      <c r="S1831" s="418"/>
      <c r="T1831" s="418"/>
      <c r="U1831" s="418"/>
      <c r="V1831" s="418"/>
      <c r="W1831" s="418"/>
      <c r="X1831" s="418"/>
      <c r="Y1831" s="418"/>
      <c r="Z1831" s="418"/>
      <c r="AA1831" s="418"/>
      <c r="AB1831" s="418"/>
      <c r="AC1831" s="418"/>
      <c r="AD1831" s="418"/>
      <c r="AE1831" s="418"/>
      <c r="AF1831" s="418"/>
      <c r="AG1831" s="418"/>
      <c r="AH1831" s="418"/>
      <c r="AI1831" s="418"/>
      <c r="AJ1831" s="418"/>
      <c r="AK1831" s="418"/>
      <c r="AL1831" s="418"/>
      <c r="AM1831" s="418"/>
      <c r="AN1831" s="418"/>
      <c r="AO1831" s="418"/>
      <c r="AP1831" s="418"/>
      <c r="AQ1831" s="418"/>
      <c r="AR1831" s="418"/>
      <c r="AS1831" s="418"/>
      <c r="AT1831" s="418"/>
      <c r="AU1831" s="418"/>
      <c r="AV1831" s="418"/>
      <c r="AW1831" s="418"/>
      <c r="AX1831" s="418"/>
      <c r="AY1831" s="418"/>
      <c r="BF1831" s="1119"/>
      <c r="BG1831" s="1119"/>
      <c r="BH1831" s="1119"/>
    </row>
    <row r="1832" spans="1:60" ht="15.75" customHeight="1">
      <c r="A1832" s="1076"/>
      <c r="B1832" s="416"/>
      <c r="C1832" s="424"/>
      <c r="E1832" s="418"/>
      <c r="F1832" s="493"/>
      <c r="G1832" s="418"/>
      <c r="H1832" s="421"/>
      <c r="I1832" s="421"/>
      <c r="J1832" s="492"/>
      <c r="K1832" s="418"/>
      <c r="L1832" s="418"/>
      <c r="M1832" s="418"/>
      <c r="N1832" s="421"/>
      <c r="O1832" s="421"/>
      <c r="P1832" s="421"/>
      <c r="Q1832" s="418"/>
      <c r="R1832" s="418"/>
      <c r="S1832" s="418"/>
      <c r="T1832" s="418"/>
      <c r="U1832" s="418"/>
      <c r="V1832" s="418"/>
      <c r="W1832" s="418"/>
      <c r="X1832" s="418"/>
      <c r="Y1832" s="418"/>
      <c r="Z1832" s="418"/>
      <c r="AA1832" s="418"/>
      <c r="AB1832" s="418"/>
      <c r="AC1832" s="418"/>
      <c r="AD1832" s="418"/>
      <c r="AE1832" s="418"/>
      <c r="AF1832" s="418"/>
      <c r="AG1832" s="418"/>
      <c r="AH1832" s="418"/>
      <c r="AI1832" s="418"/>
      <c r="AJ1832" s="418"/>
      <c r="AK1832" s="418"/>
      <c r="AL1832" s="418"/>
      <c r="AM1832" s="418"/>
      <c r="AN1832" s="418"/>
      <c r="AO1832" s="418"/>
      <c r="AP1832" s="418"/>
      <c r="AQ1832" s="418"/>
      <c r="AR1832" s="418"/>
      <c r="AS1832" s="418"/>
      <c r="AT1832" s="418"/>
      <c r="AU1832" s="418"/>
      <c r="AV1832" s="418"/>
      <c r="AW1832" s="418"/>
      <c r="AX1832" s="418"/>
      <c r="AY1832" s="418"/>
      <c r="BF1832" s="1119"/>
      <c r="BG1832" s="1119"/>
      <c r="BH1832" s="1119"/>
    </row>
    <row r="1833" spans="1:60" ht="15.75" customHeight="1">
      <c r="A1833" s="1076"/>
      <c r="B1833" s="416"/>
      <c r="C1833" s="424"/>
      <c r="E1833" s="418"/>
      <c r="F1833" s="493"/>
      <c r="G1833" s="418"/>
      <c r="H1833" s="421"/>
      <c r="I1833" s="421"/>
      <c r="J1833" s="492"/>
      <c r="K1833" s="418"/>
      <c r="L1833" s="418"/>
      <c r="M1833" s="418"/>
      <c r="N1833" s="421"/>
      <c r="O1833" s="421"/>
      <c r="P1833" s="421"/>
      <c r="Q1833" s="418"/>
      <c r="R1833" s="418"/>
      <c r="S1833" s="418"/>
      <c r="T1833" s="418"/>
      <c r="U1833" s="418"/>
      <c r="V1833" s="418"/>
      <c r="W1833" s="418"/>
      <c r="X1833" s="418"/>
      <c r="Y1833" s="418"/>
      <c r="Z1833" s="418"/>
      <c r="AA1833" s="418"/>
      <c r="AB1833" s="418"/>
      <c r="AC1833" s="418"/>
      <c r="AD1833" s="418"/>
      <c r="AE1833" s="418"/>
      <c r="AF1833" s="418"/>
      <c r="AG1833" s="418"/>
      <c r="AH1833" s="418"/>
      <c r="AI1833" s="418"/>
      <c r="AJ1833" s="418"/>
      <c r="AK1833" s="418"/>
      <c r="AL1833" s="418"/>
      <c r="AM1833" s="418"/>
      <c r="AN1833" s="418"/>
      <c r="AO1833" s="418"/>
      <c r="AP1833" s="418"/>
      <c r="AQ1833" s="418"/>
      <c r="AR1833" s="418"/>
      <c r="AS1833" s="418"/>
      <c r="AT1833" s="418"/>
      <c r="AU1833" s="418"/>
      <c r="AV1833" s="418"/>
      <c r="AW1833" s="418"/>
      <c r="AX1833" s="418"/>
      <c r="AY1833" s="418"/>
      <c r="BF1833" s="1119"/>
      <c r="BG1833" s="1119"/>
      <c r="BH1833" s="1119"/>
    </row>
    <row r="1834" spans="1:60" ht="15.75" customHeight="1">
      <c r="A1834" s="1076"/>
      <c r="B1834" s="416"/>
      <c r="C1834" s="424"/>
      <c r="E1834" s="418"/>
      <c r="F1834" s="493"/>
      <c r="G1834" s="418"/>
      <c r="H1834" s="421"/>
      <c r="I1834" s="421"/>
      <c r="J1834" s="492"/>
      <c r="K1834" s="418"/>
      <c r="L1834" s="418"/>
      <c r="M1834" s="418"/>
      <c r="N1834" s="421"/>
      <c r="O1834" s="421"/>
      <c r="P1834" s="421"/>
      <c r="Q1834" s="418"/>
      <c r="R1834" s="418"/>
      <c r="S1834" s="418"/>
      <c r="T1834" s="418"/>
      <c r="U1834" s="418"/>
      <c r="V1834" s="418"/>
      <c r="W1834" s="418"/>
      <c r="X1834" s="418"/>
      <c r="Y1834" s="418"/>
      <c r="Z1834" s="418"/>
      <c r="AA1834" s="418"/>
      <c r="AB1834" s="418"/>
      <c r="AC1834" s="418"/>
      <c r="AD1834" s="418"/>
      <c r="AE1834" s="418"/>
      <c r="AF1834" s="418"/>
      <c r="AG1834" s="418"/>
      <c r="AH1834" s="418"/>
      <c r="AI1834" s="418"/>
      <c r="AJ1834" s="418"/>
      <c r="AK1834" s="418"/>
      <c r="AL1834" s="418"/>
      <c r="AM1834" s="418"/>
      <c r="AN1834" s="418"/>
      <c r="AO1834" s="418"/>
      <c r="AP1834" s="418"/>
      <c r="AQ1834" s="418"/>
      <c r="AR1834" s="418"/>
      <c r="AS1834" s="418"/>
      <c r="AT1834" s="418"/>
      <c r="AU1834" s="418"/>
      <c r="AV1834" s="418"/>
      <c r="AW1834" s="418"/>
      <c r="AX1834" s="418"/>
      <c r="AY1834" s="418"/>
      <c r="BF1834" s="1119"/>
      <c r="BG1834" s="1119"/>
      <c r="BH1834" s="1119"/>
    </row>
    <row r="1835" spans="1:60" ht="15.75" customHeight="1">
      <c r="A1835" s="1076"/>
      <c r="B1835" s="416"/>
      <c r="C1835" s="424"/>
      <c r="E1835" s="418"/>
      <c r="F1835" s="493"/>
      <c r="G1835" s="418"/>
      <c r="H1835" s="421"/>
      <c r="I1835" s="421"/>
      <c r="J1835" s="492"/>
      <c r="K1835" s="418"/>
      <c r="L1835" s="418"/>
      <c r="M1835" s="418"/>
      <c r="N1835" s="421"/>
      <c r="O1835" s="421"/>
      <c r="P1835" s="421"/>
      <c r="Q1835" s="418"/>
      <c r="R1835" s="418"/>
      <c r="S1835" s="418"/>
      <c r="T1835" s="418"/>
      <c r="U1835" s="418"/>
      <c r="V1835" s="418"/>
      <c r="W1835" s="418"/>
      <c r="X1835" s="418"/>
      <c r="Y1835" s="418"/>
      <c r="Z1835" s="418"/>
      <c r="AA1835" s="418"/>
      <c r="AB1835" s="418"/>
      <c r="AC1835" s="418"/>
      <c r="AD1835" s="418"/>
      <c r="AE1835" s="418"/>
      <c r="AF1835" s="418"/>
      <c r="AG1835" s="418"/>
      <c r="AH1835" s="418"/>
      <c r="AI1835" s="418"/>
      <c r="AJ1835" s="418"/>
      <c r="AK1835" s="418"/>
      <c r="AL1835" s="418"/>
      <c r="AM1835" s="418"/>
      <c r="AN1835" s="418"/>
      <c r="AO1835" s="418"/>
      <c r="AP1835" s="418"/>
      <c r="AQ1835" s="418"/>
      <c r="AR1835" s="418"/>
      <c r="AS1835" s="418"/>
      <c r="AT1835" s="418"/>
      <c r="AU1835" s="418"/>
      <c r="AV1835" s="418"/>
      <c r="AW1835" s="418"/>
      <c r="AX1835" s="418"/>
      <c r="AY1835" s="418"/>
      <c r="BF1835" s="1119"/>
      <c r="BG1835" s="1119"/>
      <c r="BH1835" s="1119"/>
    </row>
    <row r="1836" spans="1:60" ht="15.75" customHeight="1">
      <c r="A1836" s="1076"/>
      <c r="B1836" s="416"/>
      <c r="C1836" s="424"/>
      <c r="E1836" s="418"/>
      <c r="F1836" s="493"/>
      <c r="G1836" s="418"/>
      <c r="H1836" s="421"/>
      <c r="I1836" s="421"/>
      <c r="J1836" s="492"/>
      <c r="K1836" s="418"/>
      <c r="L1836" s="418"/>
      <c r="M1836" s="418"/>
      <c r="N1836" s="421"/>
      <c r="O1836" s="421"/>
      <c r="P1836" s="421"/>
      <c r="Q1836" s="418"/>
      <c r="R1836" s="418"/>
      <c r="S1836" s="418"/>
      <c r="T1836" s="418"/>
      <c r="U1836" s="418"/>
      <c r="V1836" s="418"/>
      <c r="W1836" s="418"/>
      <c r="X1836" s="418"/>
      <c r="Y1836" s="418"/>
      <c r="Z1836" s="418"/>
      <c r="AA1836" s="418"/>
      <c r="AB1836" s="418"/>
      <c r="AC1836" s="418"/>
      <c r="AD1836" s="418"/>
      <c r="AE1836" s="418"/>
      <c r="AF1836" s="418"/>
      <c r="AG1836" s="418"/>
      <c r="AH1836" s="418"/>
      <c r="AI1836" s="418"/>
      <c r="AJ1836" s="418"/>
      <c r="AK1836" s="418"/>
      <c r="AL1836" s="418"/>
      <c r="AM1836" s="418"/>
      <c r="AN1836" s="418"/>
      <c r="AO1836" s="418"/>
      <c r="AP1836" s="418"/>
      <c r="AQ1836" s="418"/>
      <c r="AR1836" s="418"/>
      <c r="AS1836" s="418"/>
      <c r="AT1836" s="418"/>
      <c r="AU1836" s="418"/>
      <c r="AV1836" s="418"/>
      <c r="AW1836" s="418"/>
      <c r="AX1836" s="418"/>
      <c r="AY1836" s="418"/>
      <c r="BF1836" s="1119"/>
      <c r="BG1836" s="1119"/>
      <c r="BH1836" s="1119"/>
    </row>
    <row r="1837" spans="1:60" ht="15.75" customHeight="1">
      <c r="A1837" s="1076"/>
      <c r="B1837" s="416"/>
      <c r="C1837" s="424"/>
      <c r="E1837" s="418"/>
      <c r="F1837" s="493"/>
      <c r="G1837" s="418"/>
      <c r="H1837" s="421"/>
      <c r="I1837" s="421"/>
      <c r="J1837" s="492"/>
      <c r="K1837" s="418"/>
      <c r="L1837" s="418"/>
      <c r="M1837" s="418"/>
      <c r="N1837" s="421"/>
      <c r="O1837" s="421"/>
      <c r="P1837" s="421"/>
      <c r="Q1837" s="418"/>
      <c r="R1837" s="418"/>
      <c r="S1837" s="418"/>
      <c r="T1837" s="418"/>
      <c r="U1837" s="418"/>
      <c r="V1837" s="418"/>
      <c r="W1837" s="418"/>
      <c r="X1837" s="418"/>
      <c r="Y1837" s="418"/>
      <c r="Z1837" s="418"/>
      <c r="AA1837" s="418"/>
      <c r="AB1837" s="418"/>
      <c r="AC1837" s="418"/>
      <c r="AD1837" s="418"/>
      <c r="AE1837" s="418"/>
      <c r="AF1837" s="418"/>
      <c r="AG1837" s="418"/>
      <c r="AH1837" s="418"/>
      <c r="AI1837" s="418"/>
      <c r="AJ1837" s="418"/>
      <c r="AK1837" s="418"/>
      <c r="AL1837" s="418"/>
      <c r="AM1837" s="418"/>
      <c r="AN1837" s="418"/>
      <c r="AO1837" s="418"/>
      <c r="AP1837" s="418"/>
      <c r="AQ1837" s="418"/>
      <c r="AR1837" s="418"/>
      <c r="AS1837" s="418"/>
      <c r="AT1837" s="418"/>
      <c r="AU1837" s="418"/>
      <c r="AV1837" s="418"/>
      <c r="AW1837" s="418"/>
      <c r="AX1837" s="418"/>
      <c r="AY1837" s="418"/>
      <c r="BF1837" s="1119"/>
      <c r="BG1837" s="1119"/>
      <c r="BH1837" s="1119"/>
    </row>
    <row r="1838" spans="1:60" ht="15.75" customHeight="1">
      <c r="A1838" s="1076"/>
      <c r="B1838" s="416"/>
      <c r="C1838" s="424"/>
      <c r="E1838" s="418"/>
      <c r="F1838" s="493"/>
      <c r="G1838" s="418"/>
      <c r="H1838" s="421"/>
      <c r="I1838" s="421"/>
      <c r="J1838" s="492"/>
      <c r="K1838" s="418"/>
      <c r="L1838" s="418"/>
      <c r="M1838" s="418"/>
      <c r="N1838" s="421"/>
      <c r="O1838" s="421"/>
      <c r="P1838" s="421"/>
      <c r="Q1838" s="418"/>
      <c r="R1838" s="418"/>
      <c r="S1838" s="418"/>
      <c r="T1838" s="418"/>
      <c r="U1838" s="418"/>
      <c r="V1838" s="418"/>
      <c r="W1838" s="418"/>
      <c r="X1838" s="418"/>
      <c r="Y1838" s="418"/>
      <c r="Z1838" s="418"/>
      <c r="AA1838" s="418"/>
      <c r="AB1838" s="418"/>
      <c r="AC1838" s="418"/>
      <c r="AD1838" s="418"/>
      <c r="AE1838" s="418"/>
      <c r="AF1838" s="418"/>
      <c r="AG1838" s="418"/>
      <c r="AH1838" s="418"/>
      <c r="AI1838" s="418"/>
      <c r="AJ1838" s="418"/>
      <c r="AK1838" s="418"/>
      <c r="AL1838" s="418"/>
      <c r="AM1838" s="418"/>
      <c r="AN1838" s="418"/>
      <c r="AO1838" s="418"/>
      <c r="AP1838" s="418"/>
      <c r="AQ1838" s="418"/>
      <c r="AR1838" s="418"/>
      <c r="AS1838" s="418"/>
      <c r="AT1838" s="418"/>
      <c r="AU1838" s="418"/>
      <c r="AV1838" s="418"/>
      <c r="AW1838" s="418"/>
      <c r="AX1838" s="418"/>
      <c r="AY1838" s="418"/>
      <c r="BF1838" s="1119"/>
      <c r="BG1838" s="1119"/>
      <c r="BH1838" s="1119"/>
    </row>
    <row r="1839" spans="1:60" ht="15.75" customHeight="1">
      <c r="A1839" s="1076"/>
      <c r="B1839" s="416"/>
      <c r="C1839" s="424"/>
      <c r="E1839" s="418"/>
      <c r="F1839" s="493"/>
      <c r="G1839" s="418"/>
      <c r="H1839" s="421"/>
      <c r="I1839" s="421"/>
      <c r="J1839" s="492"/>
      <c r="K1839" s="418"/>
      <c r="L1839" s="418"/>
      <c r="M1839" s="418"/>
      <c r="N1839" s="421"/>
      <c r="O1839" s="421"/>
      <c r="P1839" s="421"/>
      <c r="Q1839" s="418"/>
      <c r="R1839" s="418"/>
      <c r="S1839" s="418"/>
      <c r="T1839" s="418"/>
      <c r="U1839" s="418"/>
      <c r="V1839" s="418"/>
      <c r="W1839" s="418"/>
      <c r="X1839" s="418"/>
      <c r="Y1839" s="418"/>
      <c r="Z1839" s="418"/>
      <c r="AA1839" s="418"/>
      <c r="AB1839" s="418"/>
      <c r="AC1839" s="418"/>
      <c r="AD1839" s="418"/>
      <c r="AE1839" s="418"/>
      <c r="AF1839" s="418"/>
      <c r="AG1839" s="418"/>
      <c r="AH1839" s="418"/>
      <c r="AI1839" s="418"/>
      <c r="AJ1839" s="418"/>
      <c r="AK1839" s="418"/>
      <c r="AL1839" s="418"/>
      <c r="AM1839" s="418"/>
      <c r="AN1839" s="418"/>
      <c r="AO1839" s="418"/>
      <c r="AP1839" s="418"/>
      <c r="AQ1839" s="418"/>
      <c r="AR1839" s="418"/>
      <c r="AS1839" s="418"/>
      <c r="AT1839" s="418"/>
      <c r="AU1839" s="418"/>
      <c r="AV1839" s="418"/>
      <c r="AW1839" s="418"/>
      <c r="AX1839" s="418"/>
      <c r="AY1839" s="418"/>
      <c r="BF1839" s="1119"/>
      <c r="BG1839" s="1119"/>
      <c r="BH1839" s="1119"/>
    </row>
    <row r="1840" spans="1:60" ht="15.75" customHeight="1">
      <c r="A1840" s="1076"/>
      <c r="B1840" s="416"/>
      <c r="C1840" s="424"/>
      <c r="E1840" s="418"/>
      <c r="F1840" s="493"/>
      <c r="G1840" s="418"/>
      <c r="H1840" s="421"/>
      <c r="I1840" s="421"/>
      <c r="J1840" s="492"/>
      <c r="K1840" s="418"/>
      <c r="L1840" s="418"/>
      <c r="M1840" s="418"/>
      <c r="N1840" s="421"/>
      <c r="O1840" s="421"/>
      <c r="P1840" s="421"/>
      <c r="Q1840" s="418"/>
      <c r="R1840" s="418"/>
      <c r="S1840" s="418"/>
      <c r="T1840" s="418"/>
      <c r="U1840" s="418"/>
      <c r="V1840" s="418"/>
      <c r="W1840" s="418"/>
      <c r="X1840" s="418"/>
      <c r="Y1840" s="418"/>
      <c r="Z1840" s="418"/>
      <c r="AA1840" s="418"/>
      <c r="AB1840" s="418"/>
      <c r="AC1840" s="418"/>
      <c r="AD1840" s="418"/>
      <c r="AE1840" s="418"/>
      <c r="AF1840" s="418"/>
      <c r="AG1840" s="418"/>
      <c r="AH1840" s="418"/>
      <c r="AI1840" s="418"/>
      <c r="AJ1840" s="418"/>
      <c r="AK1840" s="418"/>
      <c r="AL1840" s="418"/>
      <c r="AM1840" s="418"/>
      <c r="AN1840" s="418"/>
      <c r="AO1840" s="418"/>
      <c r="AP1840" s="418"/>
      <c r="AQ1840" s="418"/>
      <c r="AR1840" s="418"/>
      <c r="AS1840" s="418"/>
      <c r="AT1840" s="418"/>
      <c r="AU1840" s="418"/>
      <c r="AV1840" s="418"/>
      <c r="AW1840" s="418"/>
      <c r="AX1840" s="418"/>
      <c r="AY1840" s="418"/>
      <c r="BF1840" s="1119"/>
      <c r="BG1840" s="1119"/>
      <c r="BH1840" s="1119"/>
    </row>
    <row r="1841" spans="1:60" ht="15.75" customHeight="1">
      <c r="A1841" s="1076"/>
      <c r="B1841" s="416"/>
      <c r="C1841" s="424"/>
      <c r="E1841" s="418"/>
      <c r="F1841" s="493"/>
      <c r="G1841" s="418"/>
      <c r="H1841" s="421"/>
      <c r="I1841" s="421"/>
      <c r="J1841" s="492"/>
      <c r="K1841" s="418"/>
      <c r="L1841" s="418"/>
      <c r="M1841" s="418"/>
      <c r="N1841" s="421"/>
      <c r="O1841" s="421"/>
      <c r="P1841" s="421"/>
      <c r="Q1841" s="418"/>
      <c r="R1841" s="418"/>
      <c r="S1841" s="418"/>
      <c r="T1841" s="418"/>
      <c r="U1841" s="418"/>
      <c r="V1841" s="418"/>
      <c r="W1841" s="418"/>
      <c r="X1841" s="418"/>
      <c r="Y1841" s="418"/>
      <c r="Z1841" s="418"/>
      <c r="AA1841" s="418"/>
      <c r="AB1841" s="418"/>
      <c r="AC1841" s="418"/>
      <c r="AD1841" s="418"/>
      <c r="AE1841" s="418"/>
      <c r="AF1841" s="418"/>
      <c r="AG1841" s="418"/>
      <c r="AH1841" s="418"/>
      <c r="AI1841" s="418"/>
      <c r="AJ1841" s="418"/>
      <c r="AK1841" s="418"/>
      <c r="AL1841" s="418"/>
      <c r="AM1841" s="418"/>
      <c r="AN1841" s="418"/>
      <c r="AO1841" s="418"/>
      <c r="AP1841" s="418"/>
      <c r="AQ1841" s="418"/>
      <c r="AR1841" s="418"/>
      <c r="AS1841" s="418"/>
      <c r="AT1841" s="418"/>
      <c r="AU1841" s="418"/>
      <c r="AV1841" s="418"/>
      <c r="AW1841" s="418"/>
      <c r="AX1841" s="418"/>
      <c r="AY1841" s="418"/>
      <c r="BF1841" s="1119"/>
      <c r="BG1841" s="1119"/>
      <c r="BH1841" s="1119"/>
    </row>
    <row r="1842" spans="1:60" ht="15.75" customHeight="1">
      <c r="A1842" s="1076"/>
      <c r="B1842" s="416"/>
      <c r="C1842" s="424"/>
      <c r="E1842" s="418"/>
      <c r="F1842" s="493"/>
      <c r="G1842" s="418"/>
      <c r="H1842" s="421"/>
      <c r="I1842" s="421"/>
      <c r="J1842" s="492"/>
      <c r="K1842" s="418"/>
      <c r="L1842" s="418"/>
      <c r="M1842" s="418"/>
      <c r="N1842" s="421"/>
      <c r="O1842" s="421"/>
      <c r="P1842" s="421"/>
      <c r="Q1842" s="418"/>
      <c r="R1842" s="418"/>
      <c r="S1842" s="418"/>
      <c r="T1842" s="418"/>
      <c r="U1842" s="418"/>
      <c r="V1842" s="418"/>
      <c r="W1842" s="418"/>
      <c r="X1842" s="418"/>
      <c r="Y1842" s="418"/>
      <c r="Z1842" s="418"/>
      <c r="AA1842" s="418"/>
      <c r="AB1842" s="418"/>
      <c r="AC1842" s="418"/>
      <c r="AD1842" s="418"/>
      <c r="AE1842" s="418"/>
      <c r="AF1842" s="418"/>
      <c r="AG1842" s="418"/>
      <c r="AH1842" s="418"/>
      <c r="AI1842" s="418"/>
      <c r="AJ1842" s="418"/>
      <c r="AK1842" s="418"/>
      <c r="AL1842" s="418"/>
      <c r="AM1842" s="418"/>
      <c r="AN1842" s="418"/>
      <c r="AO1842" s="418"/>
      <c r="AP1842" s="418"/>
      <c r="AQ1842" s="418"/>
      <c r="AR1842" s="418"/>
      <c r="AS1842" s="418"/>
      <c r="AT1842" s="418"/>
      <c r="AU1842" s="418"/>
      <c r="AV1842" s="418"/>
      <c r="AW1842" s="418"/>
      <c r="AX1842" s="418"/>
      <c r="AY1842" s="418"/>
      <c r="BF1842" s="1119"/>
      <c r="BG1842" s="1119"/>
      <c r="BH1842" s="1119"/>
    </row>
    <row r="1843" spans="1:60" ht="15.75" customHeight="1">
      <c r="A1843" s="1076"/>
      <c r="B1843" s="416"/>
      <c r="C1843" s="424"/>
      <c r="E1843" s="418"/>
      <c r="F1843" s="493"/>
      <c r="G1843" s="418"/>
      <c r="H1843" s="421"/>
      <c r="I1843" s="421"/>
      <c r="J1843" s="492"/>
      <c r="K1843" s="418"/>
      <c r="L1843" s="418"/>
      <c r="M1843" s="418"/>
      <c r="N1843" s="421"/>
      <c r="O1843" s="421"/>
      <c r="P1843" s="421"/>
      <c r="Q1843" s="418"/>
      <c r="R1843" s="418"/>
      <c r="S1843" s="418"/>
      <c r="T1843" s="418"/>
      <c r="U1843" s="418"/>
      <c r="V1843" s="418"/>
      <c r="W1843" s="418"/>
      <c r="X1843" s="418"/>
      <c r="Y1843" s="418"/>
      <c r="Z1843" s="418"/>
      <c r="AA1843" s="418"/>
      <c r="AB1843" s="418"/>
      <c r="AC1843" s="418"/>
      <c r="AD1843" s="418"/>
      <c r="AE1843" s="418"/>
      <c r="AF1843" s="418"/>
      <c r="AG1843" s="418"/>
      <c r="AH1843" s="418"/>
      <c r="AI1843" s="418"/>
      <c r="AJ1843" s="418"/>
      <c r="AK1843" s="418"/>
      <c r="AL1843" s="418"/>
      <c r="AM1843" s="418"/>
      <c r="AN1843" s="418"/>
      <c r="AO1843" s="418"/>
      <c r="AP1843" s="418"/>
      <c r="AQ1843" s="418"/>
      <c r="AR1843" s="418"/>
      <c r="AS1843" s="418"/>
      <c r="AT1843" s="418"/>
      <c r="AU1843" s="418"/>
      <c r="AV1843" s="418"/>
      <c r="AW1843" s="418"/>
      <c r="AX1843" s="418"/>
      <c r="AY1843" s="418"/>
      <c r="BF1843" s="1119"/>
      <c r="BG1843" s="1119"/>
      <c r="BH1843" s="1119"/>
    </row>
    <row r="1844" spans="1:60" ht="15.75" customHeight="1">
      <c r="A1844" s="1076"/>
      <c r="B1844" s="416"/>
      <c r="C1844" s="424"/>
      <c r="E1844" s="418"/>
      <c r="F1844" s="493"/>
      <c r="G1844" s="418"/>
      <c r="H1844" s="421"/>
      <c r="I1844" s="421"/>
      <c r="J1844" s="492"/>
      <c r="K1844" s="418"/>
      <c r="L1844" s="418"/>
      <c r="M1844" s="418"/>
      <c r="N1844" s="421"/>
      <c r="O1844" s="421"/>
      <c r="P1844" s="421"/>
      <c r="Q1844" s="418"/>
      <c r="R1844" s="418"/>
      <c r="S1844" s="418"/>
      <c r="T1844" s="418"/>
      <c r="U1844" s="418"/>
      <c r="V1844" s="418"/>
      <c r="W1844" s="418"/>
      <c r="X1844" s="418"/>
      <c r="Y1844" s="418"/>
      <c r="Z1844" s="418"/>
      <c r="AA1844" s="418"/>
      <c r="AB1844" s="418"/>
      <c r="AC1844" s="418"/>
      <c r="AD1844" s="418"/>
      <c r="AE1844" s="418"/>
      <c r="AF1844" s="418"/>
      <c r="AG1844" s="418"/>
      <c r="AH1844" s="418"/>
      <c r="AI1844" s="418"/>
      <c r="AJ1844" s="418"/>
      <c r="AK1844" s="418"/>
      <c r="AL1844" s="418"/>
      <c r="AM1844" s="418"/>
      <c r="AN1844" s="418"/>
      <c r="AO1844" s="418"/>
      <c r="AP1844" s="418"/>
      <c r="AQ1844" s="418"/>
      <c r="AR1844" s="418"/>
      <c r="AS1844" s="418"/>
      <c r="AT1844" s="418"/>
      <c r="AU1844" s="418"/>
      <c r="AV1844" s="418"/>
      <c r="AW1844" s="418"/>
      <c r="AX1844" s="418"/>
      <c r="AY1844" s="418"/>
      <c r="BF1844" s="1119"/>
      <c r="BG1844" s="1119"/>
      <c r="BH1844" s="1119"/>
    </row>
    <row r="1845" spans="1:60" ht="15.75" customHeight="1">
      <c r="A1845" s="1076"/>
      <c r="B1845" s="416"/>
      <c r="C1845" s="424"/>
      <c r="E1845" s="418"/>
      <c r="F1845" s="493"/>
      <c r="G1845" s="418"/>
      <c r="H1845" s="421"/>
      <c r="I1845" s="421"/>
      <c r="J1845" s="492"/>
      <c r="K1845" s="418"/>
      <c r="L1845" s="418"/>
      <c r="M1845" s="418"/>
      <c r="N1845" s="421"/>
      <c r="O1845" s="421"/>
      <c r="P1845" s="421"/>
      <c r="Q1845" s="418"/>
      <c r="R1845" s="418"/>
      <c r="S1845" s="418"/>
      <c r="T1845" s="418"/>
      <c r="U1845" s="418"/>
      <c r="V1845" s="418"/>
      <c r="W1845" s="418"/>
      <c r="X1845" s="418"/>
      <c r="Y1845" s="418"/>
      <c r="Z1845" s="418"/>
      <c r="AA1845" s="418"/>
      <c r="AB1845" s="418"/>
      <c r="AC1845" s="418"/>
      <c r="AD1845" s="418"/>
      <c r="AE1845" s="418"/>
      <c r="AF1845" s="418"/>
      <c r="AG1845" s="418"/>
      <c r="AH1845" s="418"/>
      <c r="AI1845" s="418"/>
      <c r="AJ1845" s="418"/>
      <c r="AK1845" s="418"/>
      <c r="AL1845" s="418"/>
      <c r="AM1845" s="418"/>
      <c r="AN1845" s="418"/>
      <c r="AO1845" s="418"/>
      <c r="AP1845" s="418"/>
      <c r="AQ1845" s="418"/>
      <c r="AR1845" s="418"/>
      <c r="AS1845" s="418"/>
      <c r="AT1845" s="418"/>
      <c r="AU1845" s="418"/>
      <c r="AV1845" s="418"/>
      <c r="AW1845" s="418"/>
      <c r="AX1845" s="418"/>
      <c r="AY1845" s="418"/>
      <c r="BF1845" s="1119"/>
      <c r="BG1845" s="1119"/>
      <c r="BH1845" s="1119"/>
    </row>
    <row r="1846" spans="1:60" ht="15.75" customHeight="1">
      <c r="A1846" s="1076"/>
      <c r="B1846" s="416"/>
      <c r="C1846" s="424"/>
      <c r="E1846" s="418"/>
      <c r="F1846" s="493"/>
      <c r="G1846" s="418"/>
      <c r="H1846" s="421"/>
      <c r="I1846" s="421"/>
      <c r="J1846" s="492"/>
      <c r="K1846" s="418"/>
      <c r="L1846" s="418"/>
      <c r="M1846" s="418"/>
      <c r="N1846" s="421"/>
      <c r="O1846" s="421"/>
      <c r="P1846" s="421"/>
      <c r="Q1846" s="418"/>
      <c r="R1846" s="418"/>
      <c r="S1846" s="418"/>
      <c r="T1846" s="418"/>
      <c r="U1846" s="418"/>
      <c r="V1846" s="418"/>
      <c r="W1846" s="418"/>
      <c r="X1846" s="418"/>
      <c r="Y1846" s="418"/>
      <c r="Z1846" s="418"/>
      <c r="AA1846" s="418"/>
      <c r="AB1846" s="418"/>
      <c r="AC1846" s="418"/>
      <c r="AD1846" s="418"/>
      <c r="AE1846" s="418"/>
      <c r="AF1846" s="418"/>
      <c r="AG1846" s="418"/>
      <c r="AH1846" s="418"/>
      <c r="AI1846" s="418"/>
      <c r="AJ1846" s="418"/>
      <c r="AK1846" s="418"/>
      <c r="AL1846" s="418"/>
      <c r="AM1846" s="418"/>
      <c r="AN1846" s="418"/>
      <c r="AO1846" s="418"/>
      <c r="AP1846" s="418"/>
      <c r="AQ1846" s="418"/>
      <c r="AR1846" s="418"/>
      <c r="AS1846" s="418"/>
      <c r="AT1846" s="418"/>
      <c r="AU1846" s="418"/>
      <c r="AV1846" s="418"/>
      <c r="AW1846" s="418"/>
      <c r="AX1846" s="418"/>
      <c r="AY1846" s="418"/>
      <c r="BF1846" s="1119"/>
      <c r="BG1846" s="1119"/>
      <c r="BH1846" s="1119"/>
    </row>
    <row r="1847" spans="1:60" ht="15.75" customHeight="1">
      <c r="A1847" s="1076"/>
      <c r="B1847" s="416"/>
      <c r="C1847" s="424"/>
      <c r="E1847" s="418"/>
      <c r="F1847" s="493"/>
      <c r="G1847" s="418"/>
      <c r="H1847" s="421"/>
      <c r="I1847" s="421"/>
      <c r="J1847" s="492"/>
      <c r="K1847" s="418"/>
      <c r="L1847" s="418"/>
      <c r="M1847" s="418"/>
      <c r="N1847" s="421"/>
      <c r="O1847" s="421"/>
      <c r="P1847" s="421"/>
      <c r="Q1847" s="418"/>
      <c r="R1847" s="418"/>
      <c r="S1847" s="418"/>
      <c r="T1847" s="418"/>
      <c r="U1847" s="418"/>
      <c r="V1847" s="418"/>
      <c r="W1847" s="418"/>
      <c r="X1847" s="418"/>
      <c r="Y1847" s="418"/>
      <c r="Z1847" s="418"/>
      <c r="AA1847" s="418"/>
      <c r="AB1847" s="418"/>
      <c r="AC1847" s="418"/>
      <c r="AD1847" s="418"/>
      <c r="AE1847" s="418"/>
      <c r="AF1847" s="418"/>
      <c r="AG1847" s="418"/>
      <c r="AH1847" s="418"/>
      <c r="AI1847" s="418"/>
      <c r="AJ1847" s="418"/>
      <c r="AK1847" s="418"/>
      <c r="AL1847" s="418"/>
      <c r="AM1847" s="418"/>
      <c r="AN1847" s="418"/>
      <c r="AO1847" s="418"/>
      <c r="AP1847" s="418"/>
      <c r="AQ1847" s="418"/>
      <c r="AR1847" s="418"/>
      <c r="AS1847" s="418"/>
      <c r="AT1847" s="418"/>
      <c r="AU1847" s="418"/>
      <c r="AV1847" s="418"/>
      <c r="AW1847" s="418"/>
      <c r="AX1847" s="418"/>
      <c r="AY1847" s="418"/>
      <c r="BF1847" s="1119"/>
      <c r="BG1847" s="1119"/>
      <c r="BH1847" s="1119"/>
    </row>
    <row r="1848" spans="1:60" ht="15.75" customHeight="1">
      <c r="A1848" s="1076"/>
      <c r="B1848" s="416"/>
      <c r="C1848" s="424"/>
      <c r="E1848" s="418"/>
      <c r="F1848" s="493"/>
      <c r="G1848" s="418"/>
      <c r="H1848" s="421"/>
      <c r="I1848" s="421"/>
      <c r="J1848" s="492"/>
      <c r="K1848" s="418"/>
      <c r="L1848" s="418"/>
      <c r="M1848" s="418"/>
      <c r="N1848" s="421"/>
      <c r="O1848" s="421"/>
      <c r="P1848" s="421"/>
      <c r="Q1848" s="418"/>
      <c r="R1848" s="418"/>
      <c r="S1848" s="418"/>
      <c r="T1848" s="418"/>
      <c r="U1848" s="418"/>
      <c r="V1848" s="418"/>
      <c r="W1848" s="418"/>
      <c r="X1848" s="418"/>
      <c r="Y1848" s="418"/>
      <c r="Z1848" s="418"/>
      <c r="AA1848" s="418"/>
      <c r="AB1848" s="418"/>
      <c r="AC1848" s="418"/>
      <c r="AD1848" s="418"/>
      <c r="AE1848" s="418"/>
      <c r="AF1848" s="418"/>
      <c r="AG1848" s="418"/>
      <c r="AH1848" s="418"/>
      <c r="AI1848" s="418"/>
      <c r="AJ1848" s="418"/>
      <c r="AK1848" s="418"/>
      <c r="AL1848" s="418"/>
      <c r="AM1848" s="418"/>
      <c r="AN1848" s="418"/>
      <c r="AO1848" s="418"/>
      <c r="AP1848" s="418"/>
      <c r="AQ1848" s="418"/>
      <c r="AR1848" s="418"/>
      <c r="AS1848" s="418"/>
      <c r="AT1848" s="418"/>
      <c r="AU1848" s="418"/>
      <c r="AV1848" s="418"/>
      <c r="AW1848" s="418"/>
      <c r="AX1848" s="418"/>
      <c r="AY1848" s="418"/>
      <c r="BF1848" s="1119"/>
      <c r="BG1848" s="1119"/>
      <c r="BH1848" s="1119"/>
    </row>
    <row r="1849" spans="1:60" ht="15.75" customHeight="1">
      <c r="A1849" s="1076"/>
      <c r="B1849" s="416"/>
      <c r="C1849" s="424"/>
      <c r="E1849" s="418"/>
      <c r="F1849" s="493"/>
      <c r="G1849" s="418"/>
      <c r="H1849" s="421"/>
      <c r="I1849" s="421"/>
      <c r="J1849" s="492"/>
      <c r="K1849" s="418"/>
      <c r="L1849" s="418"/>
      <c r="M1849" s="418"/>
      <c r="N1849" s="421"/>
      <c r="O1849" s="421"/>
      <c r="P1849" s="421"/>
      <c r="Q1849" s="418"/>
      <c r="R1849" s="418"/>
      <c r="S1849" s="418"/>
      <c r="T1849" s="418"/>
      <c r="U1849" s="418"/>
      <c r="V1849" s="418"/>
      <c r="W1849" s="418"/>
      <c r="X1849" s="418"/>
      <c r="Y1849" s="418"/>
      <c r="Z1849" s="418"/>
      <c r="AA1849" s="418"/>
      <c r="AB1849" s="418"/>
      <c r="AC1849" s="418"/>
      <c r="AD1849" s="418"/>
      <c r="AE1849" s="418"/>
      <c r="AF1849" s="418"/>
      <c r="AG1849" s="418"/>
      <c r="AH1849" s="418"/>
      <c r="AI1849" s="418"/>
      <c r="AJ1849" s="418"/>
      <c r="AK1849" s="418"/>
      <c r="AL1849" s="418"/>
      <c r="AM1849" s="418"/>
      <c r="AN1849" s="418"/>
      <c r="AO1849" s="418"/>
      <c r="AP1849" s="418"/>
      <c r="AQ1849" s="418"/>
      <c r="AR1849" s="418"/>
      <c r="AS1849" s="418"/>
      <c r="AT1849" s="418"/>
      <c r="AU1849" s="418"/>
      <c r="AV1849" s="418"/>
      <c r="AW1849" s="418"/>
      <c r="AX1849" s="418"/>
      <c r="AY1849" s="418"/>
      <c r="BF1849" s="1119"/>
      <c r="BG1849" s="1119"/>
      <c r="BH1849" s="1119"/>
    </row>
    <row r="1850" spans="1:60" ht="15.75" customHeight="1">
      <c r="A1850" s="1076"/>
      <c r="B1850" s="416"/>
      <c r="C1850" s="424"/>
      <c r="E1850" s="418"/>
      <c r="F1850" s="493"/>
      <c r="G1850" s="418"/>
      <c r="H1850" s="421"/>
      <c r="I1850" s="421"/>
      <c r="J1850" s="492"/>
      <c r="K1850" s="418"/>
      <c r="L1850" s="418"/>
      <c r="M1850" s="418"/>
      <c r="N1850" s="421"/>
      <c r="O1850" s="421"/>
      <c r="P1850" s="421"/>
      <c r="Q1850" s="418"/>
      <c r="R1850" s="418"/>
      <c r="S1850" s="418"/>
      <c r="T1850" s="418"/>
      <c r="U1850" s="418"/>
      <c r="V1850" s="418"/>
      <c r="W1850" s="418"/>
      <c r="X1850" s="418"/>
      <c r="Y1850" s="418"/>
      <c r="Z1850" s="418"/>
      <c r="AA1850" s="418"/>
      <c r="AB1850" s="418"/>
      <c r="AC1850" s="418"/>
      <c r="AD1850" s="418"/>
      <c r="AE1850" s="418"/>
      <c r="AF1850" s="418"/>
      <c r="AG1850" s="418"/>
      <c r="AH1850" s="418"/>
      <c r="AI1850" s="418"/>
      <c r="AJ1850" s="418"/>
      <c r="AK1850" s="418"/>
      <c r="AL1850" s="418"/>
      <c r="AM1850" s="418"/>
      <c r="AN1850" s="418"/>
      <c r="AO1850" s="418"/>
      <c r="AP1850" s="418"/>
      <c r="AQ1850" s="418"/>
      <c r="AR1850" s="418"/>
      <c r="AS1850" s="418"/>
      <c r="AT1850" s="418"/>
      <c r="AU1850" s="418"/>
      <c r="AV1850" s="418"/>
      <c r="AW1850" s="418"/>
      <c r="AX1850" s="418"/>
      <c r="AY1850" s="418"/>
      <c r="BF1850" s="1119"/>
      <c r="BG1850" s="1119"/>
      <c r="BH1850" s="1119"/>
    </row>
    <row r="1851" spans="1:60" ht="15.75" customHeight="1">
      <c r="A1851" s="1076"/>
      <c r="B1851" s="416"/>
      <c r="C1851" s="424"/>
      <c r="E1851" s="418"/>
      <c r="F1851" s="493"/>
      <c r="G1851" s="418"/>
      <c r="H1851" s="421"/>
      <c r="I1851" s="421"/>
      <c r="J1851" s="492"/>
      <c r="K1851" s="418"/>
      <c r="L1851" s="418"/>
      <c r="M1851" s="418"/>
      <c r="N1851" s="421"/>
      <c r="O1851" s="421"/>
      <c r="P1851" s="421"/>
      <c r="Q1851" s="418"/>
      <c r="R1851" s="418"/>
      <c r="S1851" s="418"/>
      <c r="T1851" s="418"/>
      <c r="U1851" s="418"/>
      <c r="V1851" s="418"/>
      <c r="W1851" s="418"/>
      <c r="X1851" s="418"/>
      <c r="Y1851" s="418"/>
      <c r="Z1851" s="418"/>
      <c r="AA1851" s="418"/>
      <c r="AB1851" s="418"/>
      <c r="AC1851" s="418"/>
      <c r="AD1851" s="418"/>
      <c r="AE1851" s="418"/>
      <c r="AF1851" s="418"/>
      <c r="AG1851" s="418"/>
      <c r="AH1851" s="418"/>
      <c r="AI1851" s="418"/>
      <c r="AJ1851" s="418"/>
      <c r="AK1851" s="418"/>
      <c r="AL1851" s="418"/>
      <c r="AM1851" s="418"/>
      <c r="AN1851" s="418"/>
      <c r="AO1851" s="418"/>
      <c r="AP1851" s="418"/>
      <c r="AQ1851" s="418"/>
      <c r="AR1851" s="418"/>
      <c r="AS1851" s="418"/>
      <c r="AT1851" s="418"/>
      <c r="AU1851" s="418"/>
      <c r="AV1851" s="418"/>
      <c r="AW1851" s="418"/>
      <c r="AX1851" s="418"/>
      <c r="AY1851" s="418"/>
      <c r="BF1851" s="1119"/>
      <c r="BG1851" s="1119"/>
      <c r="BH1851" s="1119"/>
    </row>
    <row r="1852" spans="1:60" ht="15.75" customHeight="1">
      <c r="A1852" s="1076"/>
      <c r="B1852" s="416"/>
      <c r="C1852" s="424"/>
      <c r="E1852" s="418"/>
      <c r="F1852" s="493"/>
      <c r="G1852" s="418"/>
      <c r="H1852" s="421"/>
      <c r="I1852" s="421"/>
      <c r="J1852" s="492"/>
      <c r="K1852" s="418"/>
      <c r="L1852" s="418"/>
      <c r="M1852" s="418"/>
      <c r="N1852" s="421"/>
      <c r="O1852" s="421"/>
      <c r="P1852" s="421"/>
      <c r="Q1852" s="418"/>
      <c r="R1852" s="418"/>
      <c r="S1852" s="418"/>
      <c r="T1852" s="418"/>
      <c r="U1852" s="418"/>
      <c r="V1852" s="418"/>
      <c r="W1852" s="418"/>
      <c r="X1852" s="418"/>
      <c r="Y1852" s="418"/>
      <c r="Z1852" s="418"/>
      <c r="AA1852" s="418"/>
      <c r="AB1852" s="418"/>
      <c r="AC1852" s="418"/>
      <c r="AD1852" s="418"/>
      <c r="AE1852" s="418"/>
      <c r="AF1852" s="418"/>
      <c r="AG1852" s="418"/>
      <c r="AH1852" s="418"/>
      <c r="AI1852" s="418"/>
      <c r="AJ1852" s="418"/>
      <c r="AK1852" s="418"/>
      <c r="AL1852" s="418"/>
      <c r="AM1852" s="418"/>
      <c r="AN1852" s="418"/>
      <c r="AO1852" s="418"/>
      <c r="AP1852" s="418"/>
      <c r="AQ1852" s="418"/>
      <c r="AR1852" s="418"/>
      <c r="AS1852" s="418"/>
      <c r="AT1852" s="418"/>
      <c r="AU1852" s="418"/>
      <c r="AV1852" s="418"/>
      <c r="AW1852" s="418"/>
      <c r="AX1852" s="418"/>
      <c r="AY1852" s="418"/>
      <c r="BF1852" s="1119"/>
      <c r="BG1852" s="1119"/>
      <c r="BH1852" s="1119"/>
    </row>
    <row r="1853" spans="1:60" ht="15.75" customHeight="1">
      <c r="A1853" s="1076"/>
      <c r="B1853" s="416"/>
      <c r="C1853" s="424"/>
      <c r="E1853" s="418"/>
      <c r="F1853" s="493"/>
      <c r="G1853" s="418"/>
      <c r="H1853" s="421"/>
      <c r="I1853" s="421"/>
      <c r="J1853" s="492"/>
      <c r="K1853" s="418"/>
      <c r="L1853" s="418"/>
      <c r="M1853" s="418"/>
      <c r="N1853" s="421"/>
      <c r="O1853" s="421"/>
      <c r="P1853" s="421"/>
      <c r="Q1853" s="418"/>
      <c r="R1853" s="418"/>
      <c r="S1853" s="418"/>
      <c r="T1853" s="418"/>
      <c r="U1853" s="418"/>
      <c r="V1853" s="418"/>
      <c r="W1853" s="418"/>
      <c r="X1853" s="418"/>
      <c r="Y1853" s="418"/>
      <c r="Z1853" s="418"/>
      <c r="AA1853" s="418"/>
      <c r="AB1853" s="418"/>
      <c r="AC1853" s="418"/>
      <c r="AD1853" s="418"/>
      <c r="AE1853" s="418"/>
      <c r="AF1853" s="418"/>
      <c r="AG1853" s="418"/>
      <c r="AH1853" s="418"/>
      <c r="AI1853" s="418"/>
      <c r="AJ1853" s="418"/>
      <c r="AK1853" s="418"/>
      <c r="AL1853" s="418"/>
      <c r="AM1853" s="418"/>
      <c r="AN1853" s="418"/>
      <c r="AO1853" s="418"/>
      <c r="AP1853" s="418"/>
      <c r="AQ1853" s="418"/>
      <c r="AR1853" s="418"/>
      <c r="AS1853" s="418"/>
      <c r="AT1853" s="418"/>
      <c r="AU1853" s="418"/>
      <c r="AV1853" s="418"/>
      <c r="AW1853" s="418"/>
      <c r="AX1853" s="418"/>
      <c r="AY1853" s="418"/>
      <c r="BF1853" s="1119"/>
      <c r="BG1853" s="1119"/>
      <c r="BH1853" s="1119"/>
    </row>
    <row r="1854" spans="1:60" ht="15.75" customHeight="1">
      <c r="A1854" s="1076"/>
      <c r="B1854" s="416"/>
      <c r="C1854" s="424"/>
      <c r="E1854" s="418"/>
      <c r="F1854" s="493"/>
      <c r="G1854" s="418"/>
      <c r="H1854" s="421"/>
      <c r="I1854" s="421"/>
      <c r="J1854" s="492"/>
      <c r="K1854" s="418"/>
      <c r="L1854" s="418"/>
      <c r="M1854" s="418"/>
      <c r="N1854" s="421"/>
      <c r="O1854" s="421"/>
      <c r="P1854" s="421"/>
      <c r="Q1854" s="418"/>
      <c r="R1854" s="418"/>
      <c r="S1854" s="418"/>
      <c r="T1854" s="418"/>
      <c r="U1854" s="418"/>
      <c r="V1854" s="418"/>
      <c r="W1854" s="418"/>
      <c r="X1854" s="418"/>
      <c r="Y1854" s="418"/>
      <c r="Z1854" s="418"/>
      <c r="AA1854" s="418"/>
      <c r="AB1854" s="418"/>
      <c r="AC1854" s="418"/>
      <c r="AD1854" s="418"/>
      <c r="AE1854" s="418"/>
      <c r="AF1854" s="418"/>
      <c r="AG1854" s="418"/>
      <c r="AH1854" s="418"/>
      <c r="AI1854" s="418"/>
      <c r="AJ1854" s="418"/>
      <c r="AK1854" s="418"/>
      <c r="AL1854" s="418"/>
      <c r="AM1854" s="418"/>
      <c r="AN1854" s="418"/>
      <c r="AO1854" s="418"/>
      <c r="AP1854" s="418"/>
      <c r="AQ1854" s="418"/>
      <c r="AR1854" s="418"/>
      <c r="AS1854" s="418"/>
      <c r="AT1854" s="418"/>
      <c r="AU1854" s="418"/>
      <c r="AV1854" s="418"/>
      <c r="AW1854" s="418"/>
      <c r="AX1854" s="418"/>
      <c r="AY1854" s="418"/>
      <c r="BF1854" s="1119"/>
      <c r="BG1854" s="1119"/>
      <c r="BH1854" s="1119"/>
    </row>
    <row r="1855" spans="1:60" ht="15.75" customHeight="1">
      <c r="A1855" s="1076"/>
      <c r="B1855" s="416"/>
      <c r="C1855" s="424"/>
      <c r="E1855" s="418"/>
      <c r="F1855" s="493"/>
      <c r="G1855" s="418"/>
      <c r="H1855" s="421"/>
      <c r="I1855" s="421"/>
      <c r="J1855" s="492"/>
      <c r="K1855" s="418"/>
      <c r="L1855" s="418"/>
      <c r="M1855" s="418"/>
      <c r="N1855" s="421"/>
      <c r="O1855" s="421"/>
      <c r="P1855" s="421"/>
      <c r="Q1855" s="418"/>
      <c r="R1855" s="418"/>
      <c r="S1855" s="418"/>
      <c r="T1855" s="418"/>
      <c r="U1855" s="418"/>
      <c r="V1855" s="418"/>
      <c r="W1855" s="418"/>
      <c r="X1855" s="418"/>
      <c r="Y1855" s="418"/>
      <c r="Z1855" s="418"/>
      <c r="AA1855" s="418"/>
      <c r="AB1855" s="418"/>
      <c r="AC1855" s="418"/>
      <c r="AD1855" s="418"/>
      <c r="AE1855" s="418"/>
      <c r="AF1855" s="418"/>
      <c r="AG1855" s="418"/>
      <c r="AH1855" s="418"/>
      <c r="AI1855" s="418"/>
      <c r="AJ1855" s="418"/>
      <c r="AK1855" s="418"/>
      <c r="AL1855" s="418"/>
      <c r="AM1855" s="418"/>
      <c r="AN1855" s="418"/>
      <c r="AO1855" s="418"/>
      <c r="AP1855" s="418"/>
      <c r="AQ1855" s="418"/>
      <c r="AR1855" s="418"/>
      <c r="AS1855" s="418"/>
      <c r="AT1855" s="418"/>
      <c r="AU1855" s="418"/>
      <c r="AV1855" s="418"/>
      <c r="AW1855" s="418"/>
      <c r="AX1855" s="418"/>
      <c r="AY1855" s="418"/>
      <c r="BF1855" s="1119"/>
      <c r="BG1855" s="1119"/>
      <c r="BH1855" s="1119"/>
    </row>
    <row r="1856" spans="1:60" ht="15.75" customHeight="1">
      <c r="A1856" s="1076"/>
      <c r="B1856" s="416"/>
      <c r="C1856" s="424"/>
      <c r="E1856" s="418"/>
      <c r="F1856" s="493"/>
      <c r="G1856" s="418"/>
      <c r="H1856" s="421"/>
      <c r="I1856" s="421"/>
      <c r="J1856" s="492"/>
      <c r="K1856" s="418"/>
      <c r="L1856" s="418"/>
      <c r="M1856" s="418"/>
      <c r="N1856" s="421"/>
      <c r="O1856" s="421"/>
      <c r="P1856" s="421"/>
      <c r="Q1856" s="418"/>
      <c r="R1856" s="418"/>
      <c r="S1856" s="418"/>
      <c r="T1856" s="418"/>
      <c r="U1856" s="418"/>
      <c r="V1856" s="418"/>
      <c r="W1856" s="418"/>
      <c r="X1856" s="418"/>
      <c r="Y1856" s="418"/>
      <c r="Z1856" s="418"/>
      <c r="AA1856" s="418"/>
      <c r="AB1856" s="418"/>
      <c r="AC1856" s="418"/>
      <c r="AD1856" s="418"/>
      <c r="AE1856" s="418"/>
      <c r="AF1856" s="418"/>
      <c r="AG1856" s="418"/>
      <c r="AH1856" s="418"/>
      <c r="AI1856" s="418"/>
      <c r="AJ1856" s="418"/>
      <c r="AK1856" s="418"/>
      <c r="AL1856" s="418"/>
      <c r="AM1856" s="418"/>
      <c r="AN1856" s="418"/>
      <c r="AO1856" s="418"/>
      <c r="AP1856" s="418"/>
      <c r="AQ1856" s="418"/>
      <c r="AR1856" s="418"/>
      <c r="AS1856" s="418"/>
      <c r="AT1856" s="418"/>
      <c r="AU1856" s="418"/>
      <c r="AV1856" s="418"/>
      <c r="AW1856" s="418"/>
      <c r="AX1856" s="418"/>
      <c r="AY1856" s="418"/>
      <c r="BF1856" s="1119"/>
      <c r="BG1856" s="1119"/>
      <c r="BH1856" s="1119"/>
    </row>
    <row r="1857" spans="1:60" ht="15.75" customHeight="1">
      <c r="A1857" s="1076"/>
      <c r="B1857" s="416"/>
      <c r="C1857" s="424"/>
      <c r="E1857" s="418"/>
      <c r="F1857" s="493"/>
      <c r="G1857" s="418"/>
      <c r="H1857" s="421"/>
      <c r="I1857" s="421"/>
      <c r="J1857" s="492"/>
      <c r="K1857" s="418"/>
      <c r="L1857" s="418"/>
      <c r="M1857" s="418"/>
      <c r="N1857" s="421"/>
      <c r="O1857" s="421"/>
      <c r="P1857" s="421"/>
      <c r="Q1857" s="418"/>
      <c r="R1857" s="418"/>
      <c r="S1857" s="418"/>
      <c r="T1857" s="418"/>
      <c r="U1857" s="418"/>
      <c r="V1857" s="418"/>
      <c r="W1857" s="418"/>
      <c r="X1857" s="418"/>
      <c r="Y1857" s="418"/>
      <c r="Z1857" s="418"/>
      <c r="AA1857" s="418"/>
      <c r="AB1857" s="418"/>
      <c r="AC1857" s="418"/>
      <c r="AD1857" s="418"/>
      <c r="AE1857" s="418"/>
      <c r="AF1857" s="418"/>
      <c r="AG1857" s="418"/>
      <c r="AH1857" s="418"/>
      <c r="AI1857" s="418"/>
      <c r="AJ1857" s="418"/>
      <c r="AK1857" s="418"/>
      <c r="AL1857" s="418"/>
      <c r="AM1857" s="418"/>
      <c r="AN1857" s="418"/>
      <c r="AO1857" s="418"/>
      <c r="AP1857" s="418"/>
      <c r="AQ1857" s="418"/>
      <c r="AR1857" s="418"/>
      <c r="AS1857" s="418"/>
      <c r="AT1857" s="418"/>
      <c r="AU1857" s="418"/>
      <c r="AV1857" s="418"/>
      <c r="AW1857" s="418"/>
      <c r="AX1857" s="418"/>
      <c r="AY1857" s="418"/>
      <c r="BF1857" s="1119"/>
      <c r="BG1857" s="1119"/>
      <c r="BH1857" s="1119"/>
    </row>
    <row r="1858" spans="1:60" ht="15.75" customHeight="1">
      <c r="A1858" s="1076"/>
      <c r="B1858" s="416"/>
      <c r="C1858" s="424"/>
      <c r="E1858" s="418"/>
      <c r="F1858" s="493"/>
      <c r="G1858" s="418"/>
      <c r="H1858" s="421"/>
      <c r="I1858" s="421"/>
      <c r="J1858" s="492"/>
      <c r="K1858" s="418"/>
      <c r="L1858" s="418"/>
      <c r="M1858" s="418"/>
      <c r="N1858" s="421"/>
      <c r="O1858" s="421"/>
      <c r="P1858" s="421"/>
      <c r="Q1858" s="418"/>
      <c r="R1858" s="418"/>
      <c r="S1858" s="418"/>
      <c r="T1858" s="418"/>
      <c r="U1858" s="418"/>
      <c r="V1858" s="418"/>
      <c r="W1858" s="418"/>
      <c r="X1858" s="418"/>
      <c r="Y1858" s="418"/>
      <c r="Z1858" s="418"/>
      <c r="AA1858" s="418"/>
      <c r="AB1858" s="418"/>
      <c r="AC1858" s="418"/>
      <c r="AD1858" s="418"/>
      <c r="AE1858" s="418"/>
      <c r="AF1858" s="418"/>
      <c r="AG1858" s="418"/>
      <c r="AH1858" s="418"/>
      <c r="AI1858" s="418"/>
      <c r="AJ1858" s="418"/>
      <c r="AK1858" s="418"/>
      <c r="AL1858" s="418"/>
      <c r="AM1858" s="418"/>
      <c r="AN1858" s="418"/>
      <c r="AO1858" s="418"/>
      <c r="AP1858" s="418"/>
      <c r="AQ1858" s="418"/>
      <c r="AR1858" s="418"/>
      <c r="AS1858" s="418"/>
      <c r="AT1858" s="418"/>
      <c r="AU1858" s="418"/>
      <c r="AV1858" s="418"/>
      <c r="AW1858" s="418"/>
      <c r="AX1858" s="418"/>
      <c r="AY1858" s="418"/>
      <c r="BF1858" s="1119"/>
      <c r="BG1858" s="1119"/>
      <c r="BH1858" s="1119"/>
    </row>
    <row r="1859" spans="1:60" ht="15.75" customHeight="1">
      <c r="A1859" s="1076"/>
      <c r="B1859" s="416"/>
      <c r="C1859" s="424"/>
      <c r="E1859" s="418"/>
      <c r="F1859" s="493"/>
      <c r="G1859" s="418"/>
      <c r="H1859" s="421"/>
      <c r="I1859" s="421"/>
      <c r="J1859" s="492"/>
      <c r="K1859" s="418"/>
      <c r="L1859" s="418"/>
      <c r="M1859" s="418"/>
      <c r="N1859" s="421"/>
      <c r="O1859" s="421"/>
      <c r="P1859" s="421"/>
      <c r="Q1859" s="418"/>
      <c r="R1859" s="418"/>
      <c r="S1859" s="418"/>
      <c r="T1859" s="418"/>
      <c r="U1859" s="418"/>
      <c r="V1859" s="418"/>
      <c r="W1859" s="418"/>
      <c r="X1859" s="418"/>
      <c r="Y1859" s="418"/>
      <c r="Z1859" s="418"/>
      <c r="AA1859" s="418"/>
      <c r="AB1859" s="418"/>
      <c r="AC1859" s="418"/>
      <c r="AD1859" s="418"/>
      <c r="AE1859" s="418"/>
      <c r="AF1859" s="418"/>
      <c r="AG1859" s="418"/>
      <c r="AH1859" s="418"/>
      <c r="AI1859" s="418"/>
      <c r="AJ1859" s="418"/>
      <c r="AK1859" s="418"/>
      <c r="AL1859" s="418"/>
      <c r="AM1859" s="418"/>
      <c r="AN1859" s="418"/>
      <c r="AO1859" s="418"/>
      <c r="AP1859" s="418"/>
      <c r="AQ1859" s="418"/>
      <c r="AR1859" s="418"/>
      <c r="AS1859" s="418"/>
      <c r="AT1859" s="418"/>
      <c r="AU1859" s="418"/>
      <c r="AV1859" s="418"/>
      <c r="AW1859" s="418"/>
      <c r="AX1859" s="418"/>
      <c r="AY1859" s="418"/>
      <c r="BF1859" s="1119"/>
      <c r="BG1859" s="1119"/>
      <c r="BH1859" s="1119"/>
    </row>
    <row r="1860" spans="1:60" ht="15.75" customHeight="1">
      <c r="A1860" s="1076"/>
      <c r="B1860" s="416"/>
      <c r="C1860" s="424"/>
      <c r="E1860" s="418"/>
      <c r="F1860" s="493"/>
      <c r="G1860" s="418"/>
      <c r="H1860" s="421"/>
      <c r="I1860" s="421"/>
      <c r="J1860" s="492"/>
      <c r="K1860" s="418"/>
      <c r="L1860" s="418"/>
      <c r="M1860" s="418"/>
      <c r="N1860" s="421"/>
      <c r="O1860" s="421"/>
      <c r="P1860" s="421"/>
      <c r="Q1860" s="418"/>
      <c r="R1860" s="418"/>
      <c r="S1860" s="418"/>
      <c r="T1860" s="418"/>
      <c r="U1860" s="418"/>
      <c r="V1860" s="418"/>
      <c r="W1860" s="418"/>
      <c r="X1860" s="418"/>
      <c r="Y1860" s="418"/>
      <c r="Z1860" s="418"/>
      <c r="AA1860" s="418"/>
      <c r="AB1860" s="418"/>
      <c r="AC1860" s="418"/>
      <c r="AD1860" s="418"/>
      <c r="AE1860" s="418"/>
      <c r="AF1860" s="418"/>
      <c r="AG1860" s="418"/>
      <c r="AH1860" s="418"/>
      <c r="AI1860" s="418"/>
      <c r="AJ1860" s="418"/>
      <c r="AK1860" s="418"/>
      <c r="AL1860" s="418"/>
      <c r="AM1860" s="418"/>
      <c r="AN1860" s="418"/>
      <c r="AO1860" s="418"/>
      <c r="AP1860" s="418"/>
      <c r="AQ1860" s="418"/>
      <c r="AR1860" s="418"/>
      <c r="AS1860" s="418"/>
      <c r="AT1860" s="418"/>
      <c r="AU1860" s="418"/>
      <c r="AV1860" s="418"/>
      <c r="AW1860" s="418"/>
      <c r="AX1860" s="418"/>
      <c r="AY1860" s="418"/>
      <c r="BF1860" s="1119"/>
      <c r="BG1860" s="1119"/>
      <c r="BH1860" s="1119"/>
    </row>
    <row r="1861" spans="1:60" ht="15.75" customHeight="1">
      <c r="A1861" s="1076"/>
      <c r="B1861" s="416"/>
      <c r="C1861" s="424"/>
      <c r="E1861" s="418"/>
      <c r="F1861" s="493"/>
      <c r="G1861" s="418"/>
      <c r="H1861" s="421"/>
      <c r="I1861" s="421"/>
      <c r="J1861" s="492"/>
      <c r="K1861" s="418"/>
      <c r="L1861" s="418"/>
      <c r="M1861" s="418"/>
      <c r="N1861" s="421"/>
      <c r="O1861" s="421"/>
      <c r="P1861" s="421"/>
      <c r="Q1861" s="418"/>
      <c r="R1861" s="418"/>
      <c r="S1861" s="418"/>
      <c r="T1861" s="418"/>
      <c r="U1861" s="418"/>
      <c r="V1861" s="418"/>
      <c r="W1861" s="418"/>
      <c r="X1861" s="418"/>
      <c r="Y1861" s="418"/>
      <c r="Z1861" s="418"/>
      <c r="AA1861" s="418"/>
      <c r="AB1861" s="418"/>
      <c r="AC1861" s="418"/>
      <c r="AD1861" s="418"/>
      <c r="AE1861" s="418"/>
      <c r="AF1861" s="418"/>
      <c r="AG1861" s="418"/>
      <c r="AH1861" s="418"/>
      <c r="AI1861" s="418"/>
      <c r="AJ1861" s="418"/>
      <c r="AK1861" s="418"/>
      <c r="AL1861" s="418"/>
      <c r="AM1861" s="418"/>
      <c r="AN1861" s="418"/>
      <c r="AO1861" s="418"/>
      <c r="AP1861" s="418"/>
      <c r="AQ1861" s="418"/>
      <c r="AR1861" s="418"/>
      <c r="AS1861" s="418"/>
      <c r="AT1861" s="418"/>
      <c r="AU1861" s="418"/>
      <c r="AV1861" s="418"/>
      <c r="AW1861" s="418"/>
      <c r="AX1861" s="418"/>
      <c r="AY1861" s="418"/>
      <c r="BF1861" s="1119"/>
      <c r="BG1861" s="1119"/>
      <c r="BH1861" s="1119"/>
    </row>
    <row r="1862" spans="1:60" ht="15.75" customHeight="1">
      <c r="A1862" s="1076"/>
      <c r="B1862" s="416"/>
      <c r="C1862" s="424"/>
      <c r="E1862" s="418"/>
      <c r="F1862" s="493"/>
      <c r="G1862" s="418"/>
      <c r="H1862" s="421"/>
      <c r="I1862" s="421"/>
      <c r="J1862" s="492"/>
      <c r="K1862" s="418"/>
      <c r="L1862" s="418"/>
      <c r="M1862" s="418"/>
      <c r="N1862" s="421"/>
      <c r="O1862" s="421"/>
      <c r="P1862" s="421"/>
      <c r="Q1862" s="418"/>
      <c r="R1862" s="418"/>
      <c r="S1862" s="418"/>
      <c r="T1862" s="418"/>
      <c r="U1862" s="418"/>
      <c r="V1862" s="418"/>
      <c r="W1862" s="418"/>
      <c r="X1862" s="418"/>
      <c r="Y1862" s="418"/>
      <c r="Z1862" s="418"/>
      <c r="AA1862" s="418"/>
      <c r="AB1862" s="418"/>
      <c r="AC1862" s="418"/>
      <c r="AD1862" s="418"/>
      <c r="AE1862" s="418"/>
      <c r="AF1862" s="418"/>
      <c r="AG1862" s="418"/>
      <c r="AH1862" s="418"/>
      <c r="AI1862" s="418"/>
      <c r="AJ1862" s="418"/>
      <c r="AK1862" s="418"/>
      <c r="AL1862" s="418"/>
      <c r="AM1862" s="418"/>
      <c r="AN1862" s="418"/>
      <c r="AO1862" s="418"/>
      <c r="AP1862" s="418"/>
      <c r="AQ1862" s="418"/>
      <c r="AR1862" s="418"/>
      <c r="AS1862" s="418"/>
      <c r="AT1862" s="418"/>
      <c r="AU1862" s="418"/>
      <c r="AV1862" s="418"/>
      <c r="AW1862" s="418"/>
      <c r="AX1862" s="418"/>
      <c r="AY1862" s="418"/>
      <c r="BF1862" s="1119"/>
      <c r="BG1862" s="1119"/>
      <c r="BH1862" s="1119"/>
    </row>
    <row r="1863" spans="1:60" ht="15.75" customHeight="1">
      <c r="A1863" s="1076"/>
      <c r="B1863" s="416"/>
      <c r="C1863" s="424"/>
      <c r="E1863" s="418"/>
      <c r="F1863" s="493"/>
      <c r="G1863" s="418"/>
      <c r="H1863" s="421"/>
      <c r="I1863" s="425"/>
      <c r="J1863" s="492"/>
      <c r="K1863" s="418"/>
      <c r="L1863" s="418"/>
      <c r="M1863" s="418"/>
      <c r="N1863" s="421"/>
      <c r="O1863" s="421"/>
      <c r="P1863" s="421"/>
      <c r="Q1863" s="418"/>
      <c r="R1863" s="418"/>
      <c r="S1863" s="418"/>
      <c r="T1863" s="418"/>
      <c r="U1863" s="418"/>
      <c r="V1863" s="418"/>
      <c r="W1863" s="418"/>
      <c r="X1863" s="418"/>
      <c r="Y1863" s="418"/>
      <c r="Z1863" s="418"/>
      <c r="AA1863" s="418"/>
      <c r="AB1863" s="418"/>
      <c r="AC1863" s="418"/>
      <c r="AD1863" s="418"/>
      <c r="AE1863" s="418"/>
      <c r="AF1863" s="418"/>
      <c r="AG1863" s="418"/>
      <c r="AH1863" s="418"/>
      <c r="AI1863" s="418"/>
      <c r="AJ1863" s="418"/>
      <c r="AK1863" s="418"/>
      <c r="AL1863" s="418"/>
      <c r="AM1863" s="418"/>
      <c r="AN1863" s="418"/>
      <c r="AO1863" s="418"/>
      <c r="AP1863" s="418"/>
      <c r="AQ1863" s="418"/>
      <c r="AR1863" s="418"/>
      <c r="AS1863" s="418"/>
      <c r="AT1863" s="418"/>
      <c r="AU1863" s="418"/>
      <c r="AV1863" s="418"/>
      <c r="AW1863" s="418"/>
      <c r="AX1863" s="418"/>
      <c r="AY1863" s="418"/>
      <c r="BF1863" s="1119"/>
      <c r="BG1863" s="1119"/>
      <c r="BH1863" s="1119"/>
    </row>
    <row r="1864" spans="1:60" ht="15.75" customHeight="1">
      <c r="A1864" s="1076"/>
      <c r="B1864" s="416"/>
      <c r="C1864" s="424"/>
      <c r="E1864" s="418"/>
      <c r="F1864" s="493"/>
      <c r="G1864" s="418"/>
      <c r="H1864" s="421"/>
      <c r="I1864" s="421"/>
      <c r="J1864" s="492"/>
      <c r="K1864" s="418"/>
      <c r="L1864" s="418"/>
      <c r="M1864" s="418"/>
      <c r="N1864" s="421"/>
      <c r="O1864" s="421"/>
      <c r="P1864" s="421"/>
      <c r="Q1864" s="418"/>
      <c r="R1864" s="418"/>
      <c r="S1864" s="418"/>
      <c r="T1864" s="418"/>
      <c r="U1864" s="418"/>
      <c r="V1864" s="418"/>
      <c r="W1864" s="418"/>
      <c r="X1864" s="418"/>
      <c r="Y1864" s="418"/>
      <c r="Z1864" s="418"/>
      <c r="AA1864" s="418"/>
      <c r="AB1864" s="418"/>
      <c r="AC1864" s="418"/>
      <c r="AD1864" s="418"/>
      <c r="AE1864" s="418"/>
      <c r="AF1864" s="418"/>
      <c r="AG1864" s="418"/>
      <c r="AH1864" s="418"/>
      <c r="AI1864" s="418"/>
      <c r="AJ1864" s="418"/>
      <c r="AK1864" s="418"/>
      <c r="AL1864" s="418"/>
      <c r="AM1864" s="418"/>
      <c r="AN1864" s="418"/>
      <c r="AO1864" s="418"/>
      <c r="AP1864" s="418"/>
      <c r="AQ1864" s="418"/>
      <c r="AR1864" s="418"/>
      <c r="AS1864" s="418"/>
      <c r="AT1864" s="418"/>
      <c r="AU1864" s="418"/>
      <c r="AV1864" s="418"/>
      <c r="AW1864" s="418"/>
      <c r="AX1864" s="418"/>
      <c r="AY1864" s="418"/>
      <c r="BF1864" s="1119"/>
      <c r="BG1864" s="1119"/>
      <c r="BH1864" s="1119"/>
    </row>
    <row r="1865" spans="1:60" ht="15.75" customHeight="1">
      <c r="A1865" s="1076"/>
      <c r="B1865" s="416"/>
      <c r="C1865" s="424"/>
      <c r="E1865" s="418"/>
      <c r="F1865" s="493"/>
      <c r="G1865" s="418"/>
      <c r="H1865" s="421"/>
      <c r="I1865" s="425"/>
      <c r="J1865" s="492"/>
      <c r="K1865" s="418"/>
      <c r="L1865" s="418"/>
      <c r="M1865" s="418"/>
      <c r="N1865" s="421"/>
      <c r="O1865" s="421"/>
      <c r="P1865" s="421"/>
      <c r="Q1865" s="418"/>
      <c r="R1865" s="418"/>
      <c r="S1865" s="418"/>
      <c r="T1865" s="418"/>
      <c r="U1865" s="418"/>
      <c r="V1865" s="418"/>
      <c r="W1865" s="418"/>
      <c r="X1865" s="418"/>
      <c r="Y1865" s="418"/>
      <c r="Z1865" s="418"/>
      <c r="AA1865" s="418"/>
      <c r="AB1865" s="418"/>
      <c r="AC1865" s="418"/>
      <c r="AD1865" s="418"/>
      <c r="AE1865" s="418"/>
      <c r="AF1865" s="418"/>
      <c r="AG1865" s="418"/>
      <c r="AH1865" s="418"/>
      <c r="AI1865" s="418"/>
      <c r="AJ1865" s="418"/>
      <c r="AK1865" s="418"/>
      <c r="AL1865" s="418"/>
      <c r="AM1865" s="418"/>
      <c r="AN1865" s="418"/>
      <c r="AO1865" s="418"/>
      <c r="AP1865" s="418"/>
      <c r="AQ1865" s="418"/>
      <c r="AR1865" s="418"/>
      <c r="AS1865" s="418"/>
      <c r="AT1865" s="418"/>
      <c r="AU1865" s="418"/>
      <c r="AV1865" s="418"/>
      <c r="AW1865" s="418"/>
      <c r="AX1865" s="418"/>
      <c r="AY1865" s="418"/>
      <c r="BF1865" s="1119"/>
      <c r="BG1865" s="1119"/>
      <c r="BH1865" s="1119"/>
    </row>
    <row r="1866" spans="1:60" ht="15.75" customHeight="1">
      <c r="A1866" s="1076"/>
      <c r="B1866" s="416"/>
      <c r="C1866" s="424"/>
      <c r="E1866" s="418"/>
      <c r="F1866" s="493"/>
      <c r="G1866" s="418"/>
      <c r="H1866" s="421"/>
      <c r="I1866" s="421"/>
      <c r="J1866" s="492"/>
      <c r="K1866" s="418"/>
      <c r="L1866" s="418"/>
      <c r="M1866" s="418"/>
      <c r="N1866" s="421"/>
      <c r="O1866" s="421"/>
      <c r="P1866" s="421"/>
      <c r="Q1866" s="418"/>
      <c r="R1866" s="418"/>
      <c r="S1866" s="418"/>
      <c r="T1866" s="418"/>
      <c r="U1866" s="418"/>
      <c r="V1866" s="418"/>
      <c r="W1866" s="418"/>
      <c r="X1866" s="418"/>
      <c r="Y1866" s="418"/>
      <c r="Z1866" s="418"/>
      <c r="AA1866" s="418"/>
      <c r="AB1866" s="418"/>
      <c r="AC1866" s="418"/>
      <c r="AD1866" s="418"/>
      <c r="AE1866" s="418"/>
      <c r="AF1866" s="418"/>
      <c r="AG1866" s="418"/>
      <c r="AH1866" s="418"/>
      <c r="AI1866" s="418"/>
      <c r="AJ1866" s="418"/>
      <c r="AK1866" s="418"/>
      <c r="AL1866" s="418"/>
      <c r="AM1866" s="418"/>
      <c r="AN1866" s="418"/>
      <c r="AO1866" s="418"/>
      <c r="AP1866" s="418"/>
      <c r="AQ1866" s="418"/>
      <c r="AR1866" s="418"/>
      <c r="AS1866" s="418"/>
      <c r="AT1866" s="418"/>
      <c r="AU1866" s="418"/>
      <c r="AV1866" s="418"/>
      <c r="AW1866" s="418"/>
      <c r="AX1866" s="418"/>
      <c r="AY1866" s="418"/>
      <c r="BF1866" s="1119"/>
      <c r="BG1866" s="1119"/>
      <c r="BH1866" s="1119"/>
    </row>
    <row r="1867" spans="1:60" ht="15.75" customHeight="1">
      <c r="A1867" s="1076"/>
      <c r="B1867" s="416"/>
      <c r="C1867" s="424"/>
      <c r="E1867" s="418"/>
      <c r="F1867" s="493"/>
      <c r="G1867" s="418"/>
      <c r="H1867" s="421"/>
      <c r="I1867" s="421"/>
      <c r="J1867" s="492"/>
      <c r="K1867" s="418"/>
      <c r="L1867" s="418"/>
      <c r="M1867" s="418"/>
      <c r="N1867" s="421"/>
      <c r="O1867" s="421"/>
      <c r="P1867" s="421"/>
      <c r="Q1867" s="418"/>
      <c r="R1867" s="418"/>
      <c r="S1867" s="418"/>
      <c r="T1867" s="418"/>
      <c r="U1867" s="418"/>
      <c r="V1867" s="418"/>
      <c r="W1867" s="418"/>
      <c r="X1867" s="418"/>
      <c r="Y1867" s="418"/>
      <c r="Z1867" s="418"/>
      <c r="AA1867" s="418"/>
      <c r="AB1867" s="418"/>
      <c r="AC1867" s="418"/>
      <c r="AD1867" s="418"/>
      <c r="AE1867" s="418"/>
      <c r="AF1867" s="418"/>
      <c r="AG1867" s="418"/>
      <c r="AH1867" s="418"/>
      <c r="AI1867" s="418"/>
      <c r="AJ1867" s="418"/>
      <c r="AK1867" s="418"/>
      <c r="AL1867" s="418"/>
      <c r="AM1867" s="418"/>
      <c r="AN1867" s="418"/>
      <c r="AO1867" s="418"/>
      <c r="AP1867" s="418"/>
      <c r="AQ1867" s="418"/>
      <c r="AR1867" s="418"/>
      <c r="AS1867" s="418"/>
      <c r="AT1867" s="418"/>
      <c r="AU1867" s="418"/>
      <c r="AV1867" s="418"/>
      <c r="AW1867" s="418"/>
      <c r="AX1867" s="418"/>
      <c r="AY1867" s="418"/>
      <c r="BF1867" s="1119"/>
      <c r="BG1867" s="1119"/>
      <c r="BH1867" s="1119"/>
    </row>
    <row r="1868" spans="1:60" ht="15.75" customHeight="1">
      <c r="A1868" s="1076"/>
      <c r="B1868" s="416"/>
      <c r="C1868" s="424"/>
      <c r="E1868" s="418"/>
      <c r="F1868" s="493"/>
      <c r="G1868" s="418"/>
      <c r="H1868" s="421"/>
      <c r="I1868" s="421"/>
      <c r="J1868" s="492"/>
      <c r="K1868" s="418"/>
      <c r="L1868" s="418"/>
      <c r="M1868" s="418"/>
      <c r="N1868" s="421"/>
      <c r="O1868" s="421"/>
      <c r="P1868" s="421"/>
      <c r="Q1868" s="418"/>
      <c r="R1868" s="418"/>
      <c r="S1868" s="418"/>
      <c r="T1868" s="418"/>
      <c r="U1868" s="418"/>
      <c r="V1868" s="418"/>
      <c r="W1868" s="418"/>
      <c r="X1868" s="418"/>
      <c r="Y1868" s="418"/>
      <c r="Z1868" s="418"/>
      <c r="AA1868" s="418"/>
      <c r="AB1868" s="418"/>
      <c r="AC1868" s="418"/>
      <c r="AD1868" s="418"/>
      <c r="AE1868" s="418"/>
      <c r="AF1868" s="418"/>
      <c r="AG1868" s="418"/>
      <c r="AH1868" s="418"/>
      <c r="AI1868" s="418"/>
      <c r="AJ1868" s="418"/>
      <c r="AK1868" s="418"/>
      <c r="AL1868" s="418"/>
      <c r="AM1868" s="418"/>
      <c r="AN1868" s="418"/>
      <c r="AO1868" s="418"/>
      <c r="AP1868" s="418"/>
      <c r="AQ1868" s="418"/>
      <c r="AR1868" s="418"/>
      <c r="AS1868" s="418"/>
      <c r="AT1868" s="418"/>
      <c r="AU1868" s="418"/>
      <c r="AV1868" s="418"/>
      <c r="AW1868" s="418"/>
      <c r="AX1868" s="418"/>
      <c r="AY1868" s="418"/>
      <c r="BF1868" s="1119"/>
      <c r="BG1868" s="1119"/>
      <c r="BH1868" s="1119"/>
    </row>
    <row r="1869" spans="1:60" ht="15.75" customHeight="1">
      <c r="A1869" s="1076"/>
      <c r="B1869" s="416"/>
      <c r="C1869" s="424"/>
      <c r="E1869" s="418"/>
      <c r="F1869" s="493"/>
      <c r="G1869" s="418"/>
      <c r="H1869" s="421"/>
      <c r="I1869" s="421"/>
      <c r="J1869" s="492"/>
      <c r="K1869" s="418"/>
      <c r="L1869" s="418"/>
      <c r="M1869" s="418"/>
      <c r="N1869" s="421"/>
      <c r="O1869" s="421"/>
      <c r="P1869" s="421"/>
      <c r="Q1869" s="418"/>
      <c r="R1869" s="418"/>
      <c r="S1869" s="418"/>
      <c r="T1869" s="418"/>
      <c r="U1869" s="418"/>
      <c r="V1869" s="418"/>
      <c r="W1869" s="418"/>
      <c r="X1869" s="418"/>
      <c r="Y1869" s="418"/>
      <c r="Z1869" s="418"/>
      <c r="AA1869" s="418"/>
      <c r="AB1869" s="418"/>
      <c r="AC1869" s="418"/>
      <c r="AD1869" s="418"/>
      <c r="AE1869" s="418"/>
      <c r="AF1869" s="418"/>
      <c r="AG1869" s="418"/>
      <c r="AH1869" s="418"/>
      <c r="AI1869" s="418"/>
      <c r="AJ1869" s="418"/>
      <c r="AK1869" s="418"/>
      <c r="AL1869" s="418"/>
      <c r="AM1869" s="418"/>
      <c r="AN1869" s="418"/>
      <c r="AO1869" s="418"/>
      <c r="AP1869" s="418"/>
      <c r="AQ1869" s="418"/>
      <c r="AR1869" s="418"/>
      <c r="AS1869" s="418"/>
      <c r="AT1869" s="418"/>
      <c r="AU1869" s="418"/>
      <c r="AV1869" s="418"/>
      <c r="AW1869" s="418"/>
      <c r="AX1869" s="418"/>
      <c r="AY1869" s="418"/>
      <c r="BF1869" s="1119"/>
      <c r="BG1869" s="1119"/>
      <c r="BH1869" s="1119"/>
    </row>
    <row r="1870" spans="1:60" ht="15.75" customHeight="1">
      <c r="A1870" s="1076"/>
      <c r="B1870" s="416"/>
      <c r="C1870" s="424"/>
      <c r="E1870" s="418"/>
      <c r="F1870" s="493"/>
      <c r="G1870" s="418"/>
      <c r="H1870" s="421"/>
      <c r="I1870" s="421"/>
      <c r="J1870" s="492"/>
      <c r="K1870" s="418"/>
      <c r="L1870" s="418"/>
      <c r="M1870" s="418"/>
      <c r="N1870" s="421"/>
      <c r="O1870" s="421"/>
      <c r="P1870" s="421"/>
      <c r="Q1870" s="418"/>
      <c r="R1870" s="418"/>
      <c r="S1870" s="418"/>
      <c r="T1870" s="418"/>
      <c r="U1870" s="418"/>
      <c r="V1870" s="418"/>
      <c r="W1870" s="418"/>
      <c r="X1870" s="418"/>
      <c r="Y1870" s="418"/>
      <c r="Z1870" s="418"/>
      <c r="AA1870" s="418"/>
      <c r="AB1870" s="418"/>
      <c r="AC1870" s="418"/>
      <c r="AD1870" s="418"/>
      <c r="AE1870" s="418"/>
      <c r="AF1870" s="418"/>
      <c r="AG1870" s="418"/>
      <c r="AH1870" s="418"/>
      <c r="AI1870" s="418"/>
      <c r="AJ1870" s="418"/>
      <c r="AK1870" s="418"/>
      <c r="AL1870" s="418"/>
      <c r="AM1870" s="418"/>
      <c r="AN1870" s="418"/>
      <c r="AO1870" s="418"/>
      <c r="AP1870" s="418"/>
      <c r="AQ1870" s="418"/>
      <c r="AR1870" s="418"/>
      <c r="AS1870" s="418"/>
      <c r="AT1870" s="418"/>
      <c r="AU1870" s="418"/>
      <c r="AV1870" s="418"/>
      <c r="AW1870" s="418"/>
      <c r="AX1870" s="418"/>
      <c r="AY1870" s="418"/>
      <c r="BF1870" s="1119"/>
      <c r="BG1870" s="1119"/>
      <c r="BH1870" s="1119"/>
    </row>
    <row r="1871" spans="1:60" ht="15.75" customHeight="1">
      <c r="A1871" s="1076"/>
      <c r="B1871" s="416"/>
      <c r="C1871" s="424"/>
      <c r="E1871" s="418"/>
      <c r="F1871" s="493"/>
      <c r="G1871" s="418"/>
      <c r="H1871" s="421"/>
      <c r="I1871" s="421"/>
      <c r="J1871" s="492"/>
      <c r="K1871" s="418"/>
      <c r="L1871" s="418"/>
      <c r="M1871" s="418"/>
      <c r="N1871" s="421"/>
      <c r="O1871" s="421"/>
      <c r="P1871" s="421"/>
      <c r="Q1871" s="418"/>
      <c r="R1871" s="418"/>
      <c r="S1871" s="418"/>
      <c r="T1871" s="418"/>
      <c r="U1871" s="418"/>
      <c r="V1871" s="418"/>
      <c r="W1871" s="418"/>
      <c r="X1871" s="418"/>
      <c r="Y1871" s="418"/>
      <c r="Z1871" s="418"/>
      <c r="AA1871" s="418"/>
      <c r="AB1871" s="418"/>
      <c r="AC1871" s="418"/>
      <c r="AD1871" s="418"/>
      <c r="AE1871" s="418"/>
      <c r="AF1871" s="418"/>
      <c r="AG1871" s="418"/>
      <c r="AH1871" s="418"/>
      <c r="AI1871" s="418"/>
      <c r="AJ1871" s="418"/>
      <c r="AK1871" s="418"/>
      <c r="AL1871" s="418"/>
      <c r="AM1871" s="418"/>
      <c r="AN1871" s="418"/>
      <c r="AO1871" s="418"/>
      <c r="AP1871" s="418"/>
      <c r="AQ1871" s="418"/>
      <c r="AR1871" s="418"/>
      <c r="AS1871" s="418"/>
      <c r="AT1871" s="418"/>
      <c r="AU1871" s="418"/>
      <c r="AV1871" s="418"/>
      <c r="AW1871" s="418"/>
      <c r="AX1871" s="418"/>
      <c r="AY1871" s="418"/>
      <c r="BF1871" s="1119"/>
      <c r="BG1871" s="1119"/>
      <c r="BH1871" s="1119"/>
    </row>
    <row r="1872" spans="1:60" ht="15.75" customHeight="1">
      <c r="A1872" s="1076"/>
      <c r="B1872" s="416"/>
      <c r="C1872" s="424"/>
      <c r="E1872" s="418"/>
      <c r="F1872" s="493"/>
      <c r="G1872" s="418"/>
      <c r="H1872" s="421"/>
      <c r="I1872" s="421"/>
      <c r="J1872" s="492"/>
      <c r="K1872" s="418"/>
      <c r="L1872" s="418"/>
      <c r="M1872" s="418"/>
      <c r="N1872" s="421"/>
      <c r="O1872" s="421"/>
      <c r="P1872" s="421"/>
      <c r="Q1872" s="418"/>
      <c r="R1872" s="418"/>
      <c r="S1872" s="418"/>
      <c r="T1872" s="418"/>
      <c r="U1872" s="418"/>
      <c r="V1872" s="418"/>
      <c r="W1872" s="418"/>
      <c r="X1872" s="418"/>
      <c r="Y1872" s="418"/>
      <c r="Z1872" s="418"/>
      <c r="AA1872" s="418"/>
      <c r="AB1872" s="418"/>
      <c r="AC1872" s="418"/>
      <c r="AD1872" s="418"/>
      <c r="AE1872" s="418"/>
      <c r="AF1872" s="418"/>
      <c r="AG1872" s="418"/>
      <c r="AH1872" s="418"/>
      <c r="AI1872" s="418"/>
      <c r="AJ1872" s="418"/>
      <c r="AK1872" s="418"/>
      <c r="AL1872" s="418"/>
      <c r="AM1872" s="418"/>
      <c r="AN1872" s="418"/>
      <c r="AO1872" s="418"/>
      <c r="AP1872" s="418"/>
      <c r="AQ1872" s="418"/>
      <c r="AR1872" s="418"/>
      <c r="AS1872" s="418"/>
      <c r="AT1872" s="418"/>
      <c r="AU1872" s="418"/>
      <c r="AV1872" s="418"/>
      <c r="AW1872" s="418"/>
      <c r="AX1872" s="418"/>
      <c r="AY1872" s="418"/>
      <c r="BF1872" s="1119"/>
      <c r="BG1872" s="1119"/>
      <c r="BH1872" s="1119"/>
    </row>
    <row r="1873" spans="1:60" ht="15.75" customHeight="1">
      <c r="A1873" s="1076"/>
      <c r="B1873" s="416"/>
      <c r="C1873" s="424"/>
      <c r="E1873" s="418"/>
      <c r="F1873" s="493"/>
      <c r="G1873" s="418"/>
      <c r="H1873" s="421"/>
      <c r="I1873" s="421"/>
      <c r="J1873" s="492"/>
      <c r="K1873" s="418"/>
      <c r="L1873" s="418"/>
      <c r="M1873" s="418"/>
      <c r="N1873" s="421"/>
      <c r="O1873" s="421"/>
      <c r="P1873" s="421"/>
      <c r="Q1873" s="418"/>
      <c r="R1873" s="418"/>
      <c r="S1873" s="418"/>
      <c r="T1873" s="418"/>
      <c r="U1873" s="418"/>
      <c r="V1873" s="418"/>
      <c r="W1873" s="418"/>
      <c r="X1873" s="418"/>
      <c r="Y1873" s="418"/>
      <c r="Z1873" s="418"/>
      <c r="AA1873" s="418"/>
      <c r="AB1873" s="418"/>
      <c r="AC1873" s="418"/>
      <c r="AD1873" s="418"/>
      <c r="AE1873" s="418"/>
      <c r="AF1873" s="418"/>
      <c r="AG1873" s="418"/>
      <c r="AH1873" s="418"/>
      <c r="AI1873" s="418"/>
      <c r="AJ1873" s="418"/>
      <c r="AK1873" s="418"/>
      <c r="AL1873" s="418"/>
      <c r="AM1873" s="418"/>
      <c r="AN1873" s="418"/>
      <c r="AO1873" s="418"/>
      <c r="AP1873" s="418"/>
      <c r="AQ1873" s="418"/>
      <c r="AR1873" s="418"/>
      <c r="AS1873" s="418"/>
      <c r="AT1873" s="418"/>
      <c r="AU1873" s="418"/>
      <c r="AV1873" s="418"/>
      <c r="AW1873" s="418"/>
      <c r="AX1873" s="418"/>
      <c r="AY1873" s="418"/>
      <c r="BF1873" s="1119"/>
      <c r="BG1873" s="1119"/>
      <c r="BH1873" s="1119"/>
    </row>
    <row r="1874" spans="1:60" ht="15.75" customHeight="1">
      <c r="A1874" s="1076"/>
      <c r="B1874" s="416"/>
      <c r="C1874" s="424"/>
      <c r="E1874" s="418"/>
      <c r="F1874" s="493"/>
      <c r="G1874" s="418"/>
      <c r="H1874" s="421"/>
      <c r="I1874" s="421"/>
      <c r="J1874" s="492"/>
      <c r="K1874" s="418"/>
      <c r="L1874" s="418"/>
      <c r="M1874" s="418"/>
      <c r="N1874" s="421"/>
      <c r="O1874" s="421"/>
      <c r="P1874" s="421"/>
      <c r="Q1874" s="418"/>
      <c r="R1874" s="418"/>
      <c r="S1874" s="418"/>
      <c r="T1874" s="418"/>
      <c r="U1874" s="418"/>
      <c r="V1874" s="418"/>
      <c r="W1874" s="418"/>
      <c r="X1874" s="418"/>
      <c r="Y1874" s="418"/>
      <c r="Z1874" s="418"/>
      <c r="AA1874" s="418"/>
      <c r="AB1874" s="418"/>
      <c r="AC1874" s="418"/>
      <c r="AD1874" s="418"/>
      <c r="AE1874" s="418"/>
      <c r="AF1874" s="418"/>
      <c r="AG1874" s="418"/>
      <c r="AH1874" s="418"/>
      <c r="AI1874" s="418"/>
      <c r="AJ1874" s="418"/>
      <c r="AK1874" s="418"/>
      <c r="AL1874" s="418"/>
      <c r="AM1874" s="418"/>
      <c r="AN1874" s="418"/>
      <c r="AO1874" s="418"/>
      <c r="AP1874" s="418"/>
      <c r="AQ1874" s="418"/>
      <c r="AR1874" s="418"/>
      <c r="AS1874" s="418"/>
      <c r="AT1874" s="418"/>
      <c r="AU1874" s="418"/>
      <c r="AV1874" s="418"/>
      <c r="AW1874" s="418"/>
      <c r="AX1874" s="418"/>
      <c r="AY1874" s="418"/>
      <c r="BF1874" s="1119"/>
      <c r="BG1874" s="1119"/>
      <c r="BH1874" s="1119"/>
    </row>
    <row r="1875" spans="1:60" ht="15.75" customHeight="1">
      <c r="A1875" s="1076"/>
      <c r="B1875" s="416"/>
      <c r="C1875" s="424"/>
      <c r="E1875" s="418"/>
      <c r="F1875" s="493"/>
      <c r="G1875" s="418"/>
      <c r="H1875" s="421"/>
      <c r="I1875" s="421"/>
      <c r="J1875" s="492"/>
      <c r="K1875" s="418"/>
      <c r="L1875" s="418"/>
      <c r="M1875" s="418"/>
      <c r="N1875" s="421"/>
      <c r="O1875" s="421"/>
      <c r="P1875" s="421"/>
      <c r="Q1875" s="418"/>
      <c r="R1875" s="418"/>
      <c r="S1875" s="418"/>
      <c r="T1875" s="418"/>
      <c r="U1875" s="418"/>
      <c r="V1875" s="418"/>
      <c r="W1875" s="418"/>
      <c r="X1875" s="418"/>
      <c r="Y1875" s="418"/>
      <c r="Z1875" s="418"/>
      <c r="AA1875" s="418"/>
      <c r="AB1875" s="418"/>
      <c r="AC1875" s="418"/>
      <c r="AD1875" s="418"/>
      <c r="AE1875" s="418"/>
      <c r="AF1875" s="418"/>
      <c r="AG1875" s="418"/>
      <c r="AH1875" s="418"/>
      <c r="AI1875" s="418"/>
      <c r="AJ1875" s="418"/>
      <c r="AK1875" s="418"/>
      <c r="AL1875" s="418"/>
      <c r="AM1875" s="418"/>
      <c r="AN1875" s="418"/>
      <c r="AO1875" s="418"/>
      <c r="AP1875" s="418"/>
      <c r="AQ1875" s="418"/>
      <c r="AR1875" s="418"/>
      <c r="AS1875" s="418"/>
      <c r="AT1875" s="418"/>
      <c r="AU1875" s="418"/>
      <c r="AV1875" s="418"/>
      <c r="AW1875" s="418"/>
      <c r="AX1875" s="418"/>
      <c r="AY1875" s="418"/>
      <c r="BF1875" s="1119"/>
      <c r="BG1875" s="1119"/>
      <c r="BH1875" s="1119"/>
    </row>
    <row r="1876" spans="1:60" ht="15.75" customHeight="1">
      <c r="A1876" s="1076"/>
      <c r="B1876" s="416"/>
      <c r="C1876" s="424"/>
      <c r="E1876" s="418"/>
      <c r="F1876" s="493"/>
      <c r="G1876" s="418"/>
      <c r="H1876" s="421"/>
      <c r="I1876" s="421"/>
      <c r="J1876" s="492"/>
      <c r="K1876" s="418"/>
      <c r="L1876" s="418"/>
      <c r="M1876" s="418"/>
      <c r="N1876" s="421"/>
      <c r="O1876" s="421"/>
      <c r="P1876" s="421"/>
      <c r="Q1876" s="418"/>
      <c r="R1876" s="418"/>
      <c r="S1876" s="418"/>
      <c r="T1876" s="418"/>
      <c r="U1876" s="418"/>
      <c r="V1876" s="418"/>
      <c r="W1876" s="418"/>
      <c r="X1876" s="418"/>
      <c r="Y1876" s="418"/>
      <c r="Z1876" s="418"/>
      <c r="AA1876" s="418"/>
      <c r="AB1876" s="418"/>
      <c r="AC1876" s="418"/>
      <c r="AD1876" s="418"/>
      <c r="AE1876" s="418"/>
      <c r="AF1876" s="418"/>
      <c r="AG1876" s="418"/>
      <c r="AH1876" s="418"/>
      <c r="AI1876" s="418"/>
      <c r="AJ1876" s="418"/>
      <c r="AK1876" s="418"/>
      <c r="AL1876" s="418"/>
      <c r="AM1876" s="418"/>
      <c r="AN1876" s="418"/>
      <c r="AO1876" s="418"/>
      <c r="AP1876" s="418"/>
      <c r="AQ1876" s="418"/>
      <c r="AR1876" s="418"/>
      <c r="AS1876" s="418"/>
      <c r="AT1876" s="418"/>
      <c r="AU1876" s="418"/>
      <c r="AV1876" s="418"/>
      <c r="AW1876" s="418"/>
      <c r="AX1876" s="418"/>
      <c r="AY1876" s="418"/>
      <c r="BF1876" s="1119"/>
      <c r="BG1876" s="1119"/>
      <c r="BH1876" s="1119"/>
    </row>
    <row r="1877" spans="1:60" ht="15.75" customHeight="1">
      <c r="A1877" s="1076"/>
      <c r="B1877" s="416"/>
      <c r="C1877" s="424"/>
      <c r="E1877" s="418"/>
      <c r="F1877" s="493"/>
      <c r="G1877" s="418"/>
      <c r="H1877" s="421"/>
      <c r="I1877" s="421"/>
      <c r="J1877" s="492"/>
      <c r="K1877" s="418"/>
      <c r="L1877" s="418"/>
      <c r="M1877" s="418"/>
      <c r="N1877" s="421"/>
      <c r="O1877" s="421"/>
      <c r="P1877" s="421"/>
      <c r="Q1877" s="418"/>
      <c r="R1877" s="418"/>
      <c r="S1877" s="418"/>
      <c r="T1877" s="418"/>
      <c r="U1877" s="418"/>
      <c r="V1877" s="418"/>
      <c r="W1877" s="418"/>
      <c r="X1877" s="418"/>
      <c r="Y1877" s="418"/>
      <c r="Z1877" s="418"/>
      <c r="AA1877" s="418"/>
      <c r="AB1877" s="418"/>
      <c r="AC1877" s="418"/>
      <c r="AD1877" s="418"/>
      <c r="AE1877" s="418"/>
      <c r="AF1877" s="418"/>
      <c r="AG1877" s="418"/>
      <c r="AH1877" s="418"/>
      <c r="AI1877" s="418"/>
      <c r="AJ1877" s="418"/>
      <c r="AK1877" s="418"/>
      <c r="AL1877" s="418"/>
      <c r="AM1877" s="418"/>
      <c r="AN1877" s="418"/>
      <c r="AO1877" s="418"/>
      <c r="AP1877" s="418"/>
      <c r="AQ1877" s="418"/>
      <c r="AR1877" s="418"/>
      <c r="AS1877" s="418"/>
      <c r="AT1877" s="418"/>
      <c r="AU1877" s="418"/>
      <c r="AV1877" s="418"/>
      <c r="AW1877" s="418"/>
      <c r="AX1877" s="418"/>
      <c r="AY1877" s="418"/>
      <c r="BF1877" s="1119"/>
      <c r="BG1877" s="1119"/>
      <c r="BH1877" s="1119"/>
    </row>
    <row r="1878" spans="1:60" ht="15.75" customHeight="1">
      <c r="A1878" s="1076"/>
      <c r="B1878" s="416"/>
      <c r="C1878" s="424"/>
      <c r="E1878" s="418"/>
      <c r="F1878" s="493"/>
      <c r="G1878" s="418"/>
      <c r="H1878" s="421"/>
      <c r="I1878" s="421"/>
      <c r="J1878" s="492"/>
      <c r="K1878" s="418"/>
      <c r="L1878" s="418"/>
      <c r="M1878" s="418"/>
      <c r="N1878" s="421"/>
      <c r="O1878" s="421"/>
      <c r="P1878" s="421"/>
      <c r="Q1878" s="418"/>
      <c r="R1878" s="418"/>
      <c r="S1878" s="418"/>
      <c r="T1878" s="418"/>
      <c r="U1878" s="418"/>
      <c r="V1878" s="418"/>
      <c r="W1878" s="418"/>
      <c r="X1878" s="418"/>
      <c r="Y1878" s="418"/>
      <c r="Z1878" s="418"/>
      <c r="AA1878" s="418"/>
      <c r="AB1878" s="418"/>
      <c r="AC1878" s="418"/>
      <c r="AD1878" s="418"/>
      <c r="AE1878" s="418"/>
      <c r="AF1878" s="418"/>
      <c r="AG1878" s="418"/>
      <c r="AH1878" s="418"/>
      <c r="AI1878" s="418"/>
      <c r="AJ1878" s="418"/>
      <c r="AK1878" s="418"/>
      <c r="AL1878" s="418"/>
      <c r="AM1878" s="418"/>
      <c r="AN1878" s="418"/>
      <c r="AO1878" s="418"/>
      <c r="AP1878" s="418"/>
      <c r="AQ1878" s="418"/>
      <c r="AR1878" s="418"/>
      <c r="AS1878" s="418"/>
      <c r="AT1878" s="418"/>
      <c r="AU1878" s="418"/>
      <c r="AV1878" s="418"/>
      <c r="AW1878" s="418"/>
      <c r="AX1878" s="418"/>
      <c r="AY1878" s="418"/>
      <c r="BF1878" s="1119"/>
      <c r="BG1878" s="1119"/>
      <c r="BH1878" s="1119"/>
    </row>
    <row r="1879" spans="1:60" ht="15.75" customHeight="1">
      <c r="A1879" s="1076"/>
      <c r="B1879" s="416"/>
      <c r="C1879" s="424"/>
      <c r="E1879" s="418"/>
      <c r="F1879" s="493"/>
      <c r="G1879" s="418"/>
      <c r="H1879" s="421"/>
      <c r="I1879" s="421"/>
      <c r="J1879" s="492"/>
      <c r="K1879" s="418"/>
      <c r="L1879" s="418"/>
      <c r="M1879" s="418"/>
      <c r="N1879" s="421"/>
      <c r="O1879" s="421"/>
      <c r="P1879" s="421"/>
      <c r="Q1879" s="418"/>
      <c r="R1879" s="418"/>
      <c r="S1879" s="418"/>
      <c r="T1879" s="418"/>
      <c r="U1879" s="418"/>
      <c r="V1879" s="418"/>
      <c r="W1879" s="418"/>
      <c r="X1879" s="418"/>
      <c r="Y1879" s="418"/>
      <c r="Z1879" s="418"/>
      <c r="AA1879" s="418"/>
      <c r="AB1879" s="418"/>
      <c r="AC1879" s="418"/>
      <c r="AD1879" s="418"/>
      <c r="AE1879" s="418"/>
      <c r="AF1879" s="418"/>
      <c r="AG1879" s="418"/>
      <c r="AH1879" s="418"/>
      <c r="AI1879" s="418"/>
      <c r="AJ1879" s="418"/>
      <c r="AK1879" s="418"/>
      <c r="AL1879" s="418"/>
      <c r="AM1879" s="418"/>
      <c r="AN1879" s="418"/>
      <c r="AO1879" s="418"/>
      <c r="AP1879" s="418"/>
      <c r="AQ1879" s="418"/>
      <c r="AR1879" s="418"/>
      <c r="AS1879" s="418"/>
      <c r="AT1879" s="418"/>
      <c r="AU1879" s="418"/>
      <c r="AV1879" s="418"/>
      <c r="AW1879" s="418"/>
      <c r="AX1879" s="418"/>
      <c r="AY1879" s="418"/>
      <c r="BF1879" s="1119"/>
      <c r="BG1879" s="1119"/>
      <c r="BH1879" s="1119"/>
    </row>
    <row r="1880" spans="1:60" ht="15.75" customHeight="1">
      <c r="A1880" s="1076"/>
      <c r="B1880" s="416"/>
      <c r="C1880" s="424"/>
      <c r="E1880" s="418"/>
      <c r="F1880" s="493"/>
      <c r="G1880" s="418"/>
      <c r="H1880" s="421"/>
      <c r="I1880" s="421"/>
      <c r="J1880" s="492"/>
      <c r="K1880" s="418"/>
      <c r="L1880" s="418"/>
      <c r="M1880" s="418"/>
      <c r="N1880" s="421"/>
      <c r="O1880" s="421"/>
      <c r="P1880" s="421"/>
      <c r="Q1880" s="418"/>
      <c r="R1880" s="418"/>
      <c r="S1880" s="418"/>
      <c r="T1880" s="418"/>
      <c r="U1880" s="418"/>
      <c r="V1880" s="418"/>
      <c r="W1880" s="418"/>
      <c r="X1880" s="418"/>
      <c r="Y1880" s="418"/>
      <c r="Z1880" s="418"/>
      <c r="AA1880" s="418"/>
      <c r="AB1880" s="418"/>
      <c r="AC1880" s="418"/>
      <c r="AD1880" s="418"/>
      <c r="AE1880" s="418"/>
      <c r="AF1880" s="418"/>
      <c r="AG1880" s="418"/>
      <c r="AH1880" s="418"/>
      <c r="AI1880" s="418"/>
      <c r="AJ1880" s="418"/>
      <c r="AK1880" s="418"/>
      <c r="AL1880" s="418"/>
      <c r="AM1880" s="418"/>
      <c r="AN1880" s="418"/>
      <c r="AO1880" s="418"/>
      <c r="AP1880" s="418"/>
      <c r="AQ1880" s="418"/>
      <c r="AR1880" s="418"/>
      <c r="AS1880" s="418"/>
      <c r="AT1880" s="418"/>
      <c r="AU1880" s="418"/>
      <c r="AV1880" s="418"/>
      <c r="AW1880" s="418"/>
      <c r="AX1880" s="418"/>
      <c r="AY1880" s="418"/>
      <c r="BF1880" s="1119"/>
      <c r="BG1880" s="1119"/>
      <c r="BH1880" s="1119"/>
    </row>
    <row r="1881" spans="1:60" ht="15.75" customHeight="1">
      <c r="A1881" s="1076"/>
      <c r="B1881" s="416"/>
      <c r="C1881" s="424"/>
      <c r="E1881" s="418"/>
      <c r="F1881" s="493"/>
      <c r="G1881" s="418"/>
      <c r="H1881" s="421"/>
      <c r="I1881" s="421"/>
      <c r="J1881" s="492"/>
      <c r="K1881" s="418"/>
      <c r="L1881" s="418"/>
      <c r="M1881" s="418"/>
      <c r="N1881" s="421"/>
      <c r="O1881" s="421"/>
      <c r="P1881" s="421"/>
      <c r="Q1881" s="418"/>
      <c r="R1881" s="418"/>
      <c r="S1881" s="418"/>
      <c r="T1881" s="418"/>
      <c r="U1881" s="418"/>
      <c r="V1881" s="418"/>
      <c r="W1881" s="418"/>
      <c r="X1881" s="418"/>
      <c r="Y1881" s="418"/>
      <c r="Z1881" s="418"/>
      <c r="AA1881" s="418"/>
      <c r="AB1881" s="418"/>
      <c r="AC1881" s="418"/>
      <c r="AD1881" s="418"/>
      <c r="AE1881" s="418"/>
      <c r="AF1881" s="418"/>
      <c r="AG1881" s="418"/>
      <c r="AH1881" s="418"/>
      <c r="AI1881" s="418"/>
      <c r="AJ1881" s="418"/>
      <c r="AK1881" s="418"/>
      <c r="AL1881" s="418"/>
      <c r="AM1881" s="418"/>
      <c r="AN1881" s="418"/>
      <c r="AO1881" s="418"/>
      <c r="AP1881" s="418"/>
      <c r="AQ1881" s="418"/>
      <c r="AR1881" s="418"/>
      <c r="AS1881" s="418"/>
      <c r="AT1881" s="418"/>
      <c r="AU1881" s="418"/>
      <c r="AV1881" s="418"/>
      <c r="AW1881" s="418"/>
      <c r="AX1881" s="418"/>
      <c r="AY1881" s="418"/>
      <c r="BF1881" s="1119"/>
      <c r="BG1881" s="1119"/>
      <c r="BH1881" s="1119"/>
    </row>
    <row r="1882" spans="1:60" ht="15.75" customHeight="1">
      <c r="A1882" s="1076"/>
      <c r="B1882" s="416"/>
      <c r="C1882" s="424"/>
      <c r="E1882" s="418"/>
      <c r="F1882" s="493"/>
      <c r="G1882" s="418"/>
      <c r="H1882" s="421"/>
      <c r="I1882" s="421"/>
      <c r="J1882" s="492"/>
      <c r="K1882" s="418"/>
      <c r="L1882" s="418"/>
      <c r="M1882" s="418"/>
      <c r="N1882" s="421"/>
      <c r="O1882" s="421"/>
      <c r="P1882" s="421"/>
      <c r="Q1882" s="418"/>
      <c r="R1882" s="418"/>
      <c r="S1882" s="418"/>
      <c r="T1882" s="418"/>
      <c r="U1882" s="418"/>
      <c r="V1882" s="418"/>
      <c r="W1882" s="418"/>
      <c r="X1882" s="418"/>
      <c r="Y1882" s="418"/>
      <c r="Z1882" s="418"/>
      <c r="AA1882" s="418"/>
      <c r="AB1882" s="418"/>
      <c r="AC1882" s="418"/>
      <c r="AD1882" s="418"/>
      <c r="AE1882" s="418"/>
      <c r="AF1882" s="418"/>
      <c r="AG1882" s="418"/>
      <c r="AH1882" s="418"/>
      <c r="AI1882" s="418"/>
      <c r="AJ1882" s="418"/>
      <c r="AK1882" s="418"/>
      <c r="AL1882" s="418"/>
      <c r="AM1882" s="418"/>
      <c r="AN1882" s="418"/>
      <c r="AO1882" s="418"/>
      <c r="AP1882" s="418"/>
      <c r="AQ1882" s="418"/>
      <c r="AR1882" s="418"/>
      <c r="AS1882" s="418"/>
      <c r="AT1882" s="418"/>
      <c r="AU1882" s="418"/>
      <c r="AV1882" s="418"/>
      <c r="AW1882" s="418"/>
      <c r="AX1882" s="418"/>
      <c r="AY1882" s="418"/>
      <c r="BF1882" s="1119"/>
      <c r="BG1882" s="1119"/>
      <c r="BH1882" s="1119"/>
    </row>
    <row r="1883" spans="1:60" ht="15.75" customHeight="1">
      <c r="A1883" s="1076"/>
      <c r="B1883" s="416"/>
      <c r="C1883" s="424"/>
      <c r="E1883" s="418"/>
      <c r="F1883" s="493"/>
      <c r="G1883" s="418"/>
      <c r="H1883" s="421"/>
      <c r="I1883" s="421"/>
      <c r="J1883" s="492"/>
      <c r="K1883" s="418"/>
      <c r="L1883" s="418"/>
      <c r="M1883" s="418"/>
      <c r="N1883" s="421"/>
      <c r="O1883" s="421"/>
      <c r="P1883" s="421"/>
      <c r="Q1883" s="418"/>
      <c r="R1883" s="418"/>
      <c r="S1883" s="418"/>
      <c r="T1883" s="418"/>
      <c r="U1883" s="418"/>
      <c r="V1883" s="418"/>
      <c r="W1883" s="418"/>
      <c r="X1883" s="418"/>
      <c r="Y1883" s="418"/>
      <c r="Z1883" s="418"/>
      <c r="AA1883" s="418"/>
      <c r="AB1883" s="418"/>
      <c r="AC1883" s="418"/>
      <c r="AD1883" s="418"/>
      <c r="AE1883" s="418"/>
      <c r="AF1883" s="418"/>
      <c r="AG1883" s="418"/>
      <c r="AH1883" s="418"/>
      <c r="AI1883" s="418"/>
      <c r="AJ1883" s="418"/>
      <c r="AK1883" s="418"/>
      <c r="AL1883" s="418"/>
      <c r="AM1883" s="418"/>
      <c r="AN1883" s="418"/>
      <c r="AO1883" s="418"/>
      <c r="AP1883" s="418"/>
      <c r="AQ1883" s="418"/>
      <c r="AR1883" s="418"/>
      <c r="AS1883" s="418"/>
      <c r="AT1883" s="418"/>
      <c r="AU1883" s="418"/>
      <c r="AV1883" s="418"/>
      <c r="AW1883" s="418"/>
      <c r="AX1883" s="418"/>
      <c r="AY1883" s="418"/>
      <c r="BF1883" s="1119"/>
      <c r="BG1883" s="1119"/>
      <c r="BH1883" s="1119"/>
    </row>
    <row r="1884" spans="1:60" ht="15.75" customHeight="1">
      <c r="A1884" s="1076"/>
      <c r="B1884" s="416"/>
      <c r="C1884" s="424"/>
      <c r="E1884" s="418"/>
      <c r="F1884" s="493"/>
      <c r="G1884" s="418"/>
      <c r="H1884" s="421"/>
      <c r="I1884" s="421"/>
      <c r="J1884" s="492"/>
      <c r="K1884" s="418"/>
      <c r="L1884" s="418"/>
      <c r="M1884" s="418"/>
      <c r="N1884" s="421"/>
      <c r="O1884" s="421"/>
      <c r="P1884" s="421"/>
      <c r="Q1884" s="418"/>
      <c r="R1884" s="418"/>
      <c r="S1884" s="418"/>
      <c r="T1884" s="418"/>
      <c r="U1884" s="418"/>
      <c r="V1884" s="418"/>
      <c r="W1884" s="418"/>
      <c r="X1884" s="418"/>
      <c r="Y1884" s="418"/>
      <c r="Z1884" s="418"/>
      <c r="AA1884" s="418"/>
      <c r="AB1884" s="418"/>
      <c r="AC1884" s="418"/>
      <c r="AD1884" s="418"/>
      <c r="AE1884" s="418"/>
      <c r="AF1884" s="418"/>
      <c r="AG1884" s="418"/>
      <c r="AH1884" s="418"/>
      <c r="AI1884" s="418"/>
      <c r="AJ1884" s="418"/>
      <c r="AK1884" s="418"/>
      <c r="AL1884" s="418"/>
      <c r="AM1884" s="418"/>
      <c r="AN1884" s="418"/>
      <c r="AO1884" s="418"/>
      <c r="AP1884" s="418"/>
      <c r="AQ1884" s="418"/>
      <c r="AR1884" s="418"/>
      <c r="AS1884" s="418"/>
      <c r="AT1884" s="418"/>
      <c r="AU1884" s="418"/>
      <c r="AV1884" s="418"/>
      <c r="AW1884" s="418"/>
      <c r="AX1884" s="418"/>
      <c r="AY1884" s="418"/>
      <c r="BF1884" s="1119"/>
      <c r="BG1884" s="1119"/>
      <c r="BH1884" s="1119"/>
    </row>
    <row r="1885" spans="1:60" ht="15.75" customHeight="1">
      <c r="A1885" s="1076"/>
      <c r="B1885" s="416"/>
      <c r="C1885" s="424"/>
      <c r="E1885" s="418"/>
      <c r="F1885" s="493"/>
      <c r="G1885" s="418"/>
      <c r="H1885" s="421"/>
      <c r="I1885" s="421"/>
      <c r="J1885" s="492"/>
      <c r="K1885" s="418"/>
      <c r="L1885" s="418"/>
      <c r="M1885" s="418"/>
      <c r="N1885" s="421"/>
      <c r="O1885" s="421"/>
      <c r="P1885" s="421"/>
      <c r="Q1885" s="418"/>
      <c r="R1885" s="418"/>
      <c r="S1885" s="418"/>
      <c r="T1885" s="418"/>
      <c r="U1885" s="418"/>
      <c r="V1885" s="418"/>
      <c r="W1885" s="418"/>
      <c r="X1885" s="418"/>
      <c r="Y1885" s="418"/>
      <c r="Z1885" s="418"/>
      <c r="AA1885" s="418"/>
      <c r="AB1885" s="418"/>
      <c r="AC1885" s="418"/>
      <c r="AD1885" s="418"/>
      <c r="AE1885" s="418"/>
      <c r="AF1885" s="418"/>
      <c r="AG1885" s="418"/>
      <c r="AH1885" s="418"/>
      <c r="AI1885" s="418"/>
      <c r="AJ1885" s="418"/>
      <c r="AK1885" s="418"/>
      <c r="AL1885" s="418"/>
      <c r="AM1885" s="418"/>
      <c r="AN1885" s="418"/>
      <c r="AO1885" s="418"/>
      <c r="AP1885" s="418"/>
      <c r="AQ1885" s="418"/>
      <c r="AR1885" s="418"/>
      <c r="AS1885" s="418"/>
      <c r="AT1885" s="418"/>
      <c r="AU1885" s="418"/>
      <c r="AV1885" s="418"/>
      <c r="AW1885" s="418"/>
      <c r="AX1885" s="418"/>
      <c r="AY1885" s="418"/>
      <c r="BF1885" s="1119"/>
      <c r="BG1885" s="1119"/>
      <c r="BH1885" s="1119"/>
    </row>
    <row r="1886" spans="1:60" ht="15.75" customHeight="1">
      <c r="A1886" s="1076"/>
      <c r="B1886" s="416"/>
      <c r="C1886" s="424"/>
      <c r="E1886" s="418"/>
      <c r="F1886" s="493"/>
      <c r="G1886" s="418"/>
      <c r="H1886" s="421"/>
      <c r="I1886" s="421"/>
      <c r="J1886" s="492"/>
      <c r="K1886" s="418"/>
      <c r="L1886" s="418"/>
      <c r="M1886" s="418"/>
      <c r="N1886" s="421"/>
      <c r="O1886" s="421"/>
      <c r="P1886" s="421"/>
      <c r="Q1886" s="418"/>
      <c r="R1886" s="418"/>
      <c r="S1886" s="418"/>
      <c r="T1886" s="418"/>
      <c r="U1886" s="418"/>
      <c r="V1886" s="418"/>
      <c r="W1886" s="418"/>
      <c r="X1886" s="418"/>
      <c r="Y1886" s="418"/>
      <c r="Z1886" s="418"/>
      <c r="AA1886" s="418"/>
      <c r="AB1886" s="418"/>
      <c r="AC1886" s="418"/>
      <c r="AD1886" s="418"/>
      <c r="AE1886" s="418"/>
      <c r="AF1886" s="418"/>
      <c r="AG1886" s="418"/>
      <c r="AH1886" s="418"/>
      <c r="AI1886" s="418"/>
      <c r="AJ1886" s="418"/>
      <c r="AK1886" s="418"/>
      <c r="AL1886" s="418"/>
      <c r="AM1886" s="418"/>
      <c r="AN1886" s="418"/>
      <c r="AO1886" s="418"/>
      <c r="AP1886" s="418"/>
      <c r="AQ1886" s="418"/>
      <c r="AR1886" s="418"/>
      <c r="AS1886" s="418"/>
      <c r="AT1886" s="418"/>
      <c r="AU1886" s="418"/>
      <c r="AV1886" s="418"/>
      <c r="AW1886" s="418"/>
      <c r="AX1886" s="418"/>
      <c r="AY1886" s="418"/>
      <c r="BF1886" s="1119"/>
      <c r="BG1886" s="1119"/>
      <c r="BH1886" s="1119"/>
    </row>
    <row r="1887" spans="1:60" ht="15.75" customHeight="1">
      <c r="A1887" s="1076"/>
      <c r="B1887" s="416"/>
      <c r="C1887" s="424"/>
      <c r="E1887" s="418"/>
      <c r="F1887" s="493"/>
      <c r="G1887" s="418"/>
      <c r="H1887" s="421"/>
      <c r="I1887" s="421"/>
      <c r="J1887" s="492"/>
      <c r="K1887" s="418"/>
      <c r="L1887" s="418"/>
      <c r="M1887" s="418"/>
      <c r="N1887" s="421"/>
      <c r="O1887" s="421"/>
      <c r="P1887" s="421"/>
      <c r="Q1887" s="418"/>
      <c r="R1887" s="418"/>
      <c r="S1887" s="418"/>
      <c r="T1887" s="418"/>
      <c r="U1887" s="418"/>
      <c r="V1887" s="418"/>
      <c r="W1887" s="418"/>
      <c r="X1887" s="418"/>
      <c r="Y1887" s="418"/>
      <c r="Z1887" s="418"/>
      <c r="AA1887" s="418"/>
      <c r="AB1887" s="418"/>
      <c r="AC1887" s="418"/>
      <c r="AD1887" s="418"/>
      <c r="AE1887" s="418"/>
      <c r="AF1887" s="418"/>
      <c r="AG1887" s="418"/>
      <c r="AH1887" s="418"/>
      <c r="AI1887" s="418"/>
      <c r="AJ1887" s="418"/>
      <c r="AK1887" s="418"/>
      <c r="AL1887" s="418"/>
      <c r="AM1887" s="418"/>
      <c r="AN1887" s="418"/>
      <c r="AO1887" s="418"/>
      <c r="AP1887" s="418"/>
      <c r="AQ1887" s="418"/>
      <c r="AR1887" s="418"/>
      <c r="AS1887" s="418"/>
      <c r="AT1887" s="418"/>
      <c r="AU1887" s="418"/>
      <c r="AV1887" s="418"/>
      <c r="AW1887" s="418"/>
      <c r="AX1887" s="418"/>
      <c r="AY1887" s="418"/>
      <c r="BF1887" s="1119"/>
      <c r="BG1887" s="1119"/>
      <c r="BH1887" s="1119"/>
    </row>
    <row r="1888" spans="1:60" ht="15.75" customHeight="1">
      <c r="A1888" s="1076"/>
      <c r="B1888" s="416"/>
      <c r="C1888" s="424"/>
      <c r="E1888" s="418"/>
      <c r="F1888" s="493"/>
      <c r="G1888" s="418"/>
      <c r="H1888" s="421"/>
      <c r="I1888" s="421"/>
      <c r="J1888" s="492"/>
      <c r="K1888" s="418"/>
      <c r="L1888" s="418"/>
      <c r="M1888" s="418"/>
      <c r="N1888" s="421"/>
      <c r="O1888" s="421"/>
      <c r="P1888" s="421"/>
      <c r="Q1888" s="418"/>
      <c r="R1888" s="418"/>
      <c r="S1888" s="418"/>
      <c r="T1888" s="418"/>
      <c r="U1888" s="418"/>
      <c r="V1888" s="418"/>
      <c r="W1888" s="418"/>
      <c r="X1888" s="418"/>
      <c r="Y1888" s="418"/>
      <c r="Z1888" s="418"/>
      <c r="AA1888" s="418"/>
      <c r="AB1888" s="418"/>
      <c r="AC1888" s="418"/>
      <c r="AD1888" s="418"/>
      <c r="AE1888" s="418"/>
      <c r="AF1888" s="418"/>
      <c r="AG1888" s="418"/>
      <c r="AH1888" s="418"/>
      <c r="AI1888" s="418"/>
      <c r="AJ1888" s="418"/>
      <c r="AK1888" s="418"/>
      <c r="AL1888" s="418"/>
      <c r="AM1888" s="418"/>
      <c r="AN1888" s="418"/>
      <c r="AO1888" s="418"/>
      <c r="AP1888" s="418"/>
      <c r="AQ1888" s="418"/>
      <c r="AR1888" s="418"/>
      <c r="AS1888" s="418"/>
      <c r="AT1888" s="418"/>
      <c r="AU1888" s="418"/>
      <c r="AV1888" s="418"/>
      <c r="AW1888" s="418"/>
      <c r="AX1888" s="418"/>
      <c r="AY1888" s="418"/>
      <c r="BF1888" s="1119"/>
      <c r="BG1888" s="1119"/>
      <c r="BH1888" s="1119"/>
    </row>
    <row r="1889" spans="1:60" ht="15.75" customHeight="1">
      <c r="A1889" s="1076"/>
      <c r="B1889" s="416"/>
      <c r="C1889" s="424"/>
      <c r="E1889" s="418"/>
      <c r="F1889" s="493"/>
      <c r="G1889" s="418"/>
      <c r="H1889" s="421"/>
      <c r="I1889" s="421"/>
      <c r="J1889" s="492"/>
      <c r="K1889" s="418"/>
      <c r="L1889" s="418"/>
      <c r="M1889" s="418"/>
      <c r="N1889" s="421"/>
      <c r="O1889" s="421"/>
      <c r="P1889" s="421"/>
      <c r="Q1889" s="418"/>
      <c r="R1889" s="418"/>
      <c r="S1889" s="418"/>
      <c r="T1889" s="418"/>
      <c r="U1889" s="418"/>
      <c r="V1889" s="418"/>
      <c r="W1889" s="418"/>
      <c r="X1889" s="418"/>
      <c r="Y1889" s="418"/>
      <c r="Z1889" s="418"/>
      <c r="AA1889" s="418"/>
      <c r="AB1889" s="418"/>
      <c r="AC1889" s="418"/>
      <c r="AD1889" s="418"/>
      <c r="AE1889" s="418"/>
      <c r="AF1889" s="418"/>
      <c r="AG1889" s="418"/>
      <c r="AH1889" s="418"/>
      <c r="AI1889" s="418"/>
      <c r="AJ1889" s="418"/>
      <c r="AK1889" s="418"/>
      <c r="AL1889" s="418"/>
      <c r="AM1889" s="418"/>
      <c r="AN1889" s="418"/>
      <c r="AO1889" s="418"/>
      <c r="AP1889" s="418"/>
      <c r="AQ1889" s="418"/>
      <c r="AR1889" s="418"/>
      <c r="AS1889" s="418"/>
      <c r="AT1889" s="418"/>
      <c r="AU1889" s="418"/>
      <c r="AV1889" s="418"/>
      <c r="AW1889" s="418"/>
      <c r="AX1889" s="418"/>
      <c r="AY1889" s="418"/>
      <c r="BF1889" s="1119"/>
      <c r="BG1889" s="1119"/>
      <c r="BH1889" s="1119"/>
    </row>
    <row r="1890" spans="1:60" ht="15.75" customHeight="1">
      <c r="A1890" s="1076"/>
      <c r="B1890" s="416"/>
      <c r="C1890" s="424"/>
      <c r="E1890" s="418"/>
      <c r="F1890" s="493"/>
      <c r="G1890" s="418"/>
      <c r="H1890" s="421"/>
      <c r="I1890" s="421"/>
      <c r="J1890" s="492"/>
      <c r="K1890" s="418"/>
      <c r="L1890" s="418"/>
      <c r="M1890" s="418"/>
      <c r="N1890" s="421"/>
      <c r="O1890" s="421"/>
      <c r="P1890" s="421"/>
      <c r="Q1890" s="418"/>
      <c r="R1890" s="418"/>
      <c r="S1890" s="418"/>
      <c r="T1890" s="418"/>
      <c r="U1890" s="418"/>
      <c r="V1890" s="418"/>
      <c r="W1890" s="418"/>
      <c r="X1890" s="418"/>
      <c r="Y1890" s="418"/>
      <c r="Z1890" s="418"/>
      <c r="AA1890" s="418"/>
      <c r="AB1890" s="418"/>
      <c r="AC1890" s="418"/>
      <c r="AD1890" s="418"/>
      <c r="AE1890" s="418"/>
      <c r="AF1890" s="418"/>
      <c r="AG1890" s="418"/>
      <c r="AH1890" s="418"/>
      <c r="AI1890" s="418"/>
      <c r="AJ1890" s="418"/>
      <c r="AK1890" s="418"/>
      <c r="AL1890" s="418"/>
      <c r="AM1890" s="418"/>
      <c r="AN1890" s="418"/>
      <c r="AO1890" s="418"/>
      <c r="AP1890" s="418"/>
      <c r="AQ1890" s="418"/>
      <c r="AR1890" s="418"/>
      <c r="AS1890" s="418"/>
      <c r="AT1890" s="418"/>
      <c r="AU1890" s="418"/>
      <c r="AV1890" s="418"/>
      <c r="AW1890" s="418"/>
      <c r="AX1890" s="418"/>
      <c r="AY1890" s="418"/>
      <c r="BF1890" s="1119"/>
      <c r="BG1890" s="1119"/>
      <c r="BH1890" s="1119"/>
    </row>
    <row r="1891" spans="1:60" ht="15.75" customHeight="1">
      <c r="A1891" s="1076"/>
      <c r="B1891" s="416"/>
      <c r="C1891" s="424"/>
      <c r="E1891" s="418"/>
      <c r="F1891" s="493"/>
      <c r="G1891" s="418"/>
      <c r="H1891" s="421"/>
      <c r="I1891" s="421"/>
      <c r="J1891" s="492"/>
      <c r="K1891" s="418"/>
      <c r="L1891" s="418"/>
      <c r="M1891" s="418"/>
      <c r="N1891" s="421"/>
      <c r="O1891" s="421"/>
      <c r="P1891" s="421"/>
      <c r="Q1891" s="418"/>
      <c r="R1891" s="418"/>
      <c r="S1891" s="418"/>
      <c r="T1891" s="418"/>
      <c r="U1891" s="418"/>
      <c r="V1891" s="418"/>
      <c r="W1891" s="418"/>
      <c r="X1891" s="418"/>
      <c r="Y1891" s="418"/>
      <c r="Z1891" s="418"/>
      <c r="AA1891" s="418"/>
      <c r="AB1891" s="418"/>
      <c r="AC1891" s="418"/>
      <c r="AD1891" s="418"/>
      <c r="AE1891" s="418"/>
      <c r="AF1891" s="418"/>
      <c r="AG1891" s="418"/>
      <c r="AH1891" s="418"/>
      <c r="AI1891" s="418"/>
      <c r="AJ1891" s="418"/>
      <c r="AK1891" s="418"/>
      <c r="AL1891" s="418"/>
      <c r="AM1891" s="418"/>
      <c r="AN1891" s="418"/>
      <c r="AO1891" s="418"/>
      <c r="AP1891" s="418"/>
      <c r="AQ1891" s="418"/>
      <c r="AR1891" s="418"/>
      <c r="AS1891" s="418"/>
      <c r="AT1891" s="418"/>
      <c r="AU1891" s="418"/>
      <c r="AV1891" s="418"/>
      <c r="AW1891" s="418"/>
      <c r="AX1891" s="418"/>
      <c r="AY1891" s="418"/>
      <c r="BF1891" s="1119"/>
      <c r="BG1891" s="1119"/>
      <c r="BH1891" s="1119"/>
    </row>
    <row r="1892" spans="1:60" ht="15.75" customHeight="1">
      <c r="A1892" s="1076"/>
      <c r="B1892" s="416"/>
      <c r="C1892" s="424"/>
      <c r="E1892" s="418"/>
      <c r="F1892" s="493"/>
      <c r="G1892" s="418"/>
      <c r="H1892" s="421"/>
      <c r="I1892" s="421"/>
      <c r="J1892" s="492"/>
      <c r="K1892" s="418"/>
      <c r="L1892" s="418"/>
      <c r="M1892" s="418"/>
      <c r="N1892" s="421"/>
      <c r="O1892" s="421"/>
      <c r="P1892" s="421"/>
      <c r="Q1892" s="418"/>
      <c r="R1892" s="418"/>
      <c r="S1892" s="418"/>
      <c r="T1892" s="418"/>
      <c r="U1892" s="418"/>
      <c r="V1892" s="418"/>
      <c r="W1892" s="418"/>
      <c r="X1892" s="418"/>
      <c r="Y1892" s="418"/>
      <c r="Z1892" s="418"/>
      <c r="AA1892" s="418"/>
      <c r="AB1892" s="418"/>
      <c r="AC1892" s="418"/>
      <c r="AD1892" s="418"/>
      <c r="AE1892" s="418"/>
      <c r="AF1892" s="418"/>
      <c r="AG1892" s="418"/>
      <c r="AH1892" s="418"/>
      <c r="AI1892" s="418"/>
      <c r="AJ1892" s="418"/>
      <c r="AK1892" s="418"/>
      <c r="AL1892" s="418"/>
      <c r="AM1892" s="418"/>
      <c r="AN1892" s="418"/>
      <c r="AO1892" s="418"/>
      <c r="AP1892" s="418"/>
      <c r="AQ1892" s="418"/>
      <c r="AR1892" s="418"/>
      <c r="AS1892" s="418"/>
      <c r="AT1892" s="418"/>
      <c r="AU1892" s="418"/>
      <c r="AV1892" s="418"/>
      <c r="AW1892" s="418"/>
      <c r="AX1892" s="418"/>
      <c r="AY1892" s="418"/>
      <c r="BF1892" s="1119"/>
      <c r="BG1892" s="1119"/>
      <c r="BH1892" s="1119"/>
    </row>
    <row r="1893" spans="1:60" ht="15.75" customHeight="1">
      <c r="A1893" s="1076"/>
      <c r="B1893" s="416"/>
      <c r="C1893" s="424"/>
      <c r="E1893" s="418"/>
      <c r="F1893" s="493"/>
      <c r="G1893" s="418"/>
      <c r="H1893" s="421"/>
      <c r="I1893" s="421"/>
      <c r="J1893" s="492"/>
      <c r="K1893" s="418"/>
      <c r="L1893" s="418"/>
      <c r="M1893" s="418"/>
      <c r="N1893" s="421"/>
      <c r="O1893" s="421"/>
      <c r="P1893" s="421"/>
      <c r="Q1893" s="418"/>
      <c r="R1893" s="418"/>
      <c r="S1893" s="418"/>
      <c r="T1893" s="418"/>
      <c r="U1893" s="418"/>
      <c r="V1893" s="418"/>
      <c r="W1893" s="418"/>
      <c r="X1893" s="418"/>
      <c r="Y1893" s="418"/>
      <c r="Z1893" s="418"/>
      <c r="AA1893" s="418"/>
      <c r="AB1893" s="418"/>
      <c r="AC1893" s="418"/>
      <c r="AD1893" s="418"/>
      <c r="AE1893" s="418"/>
      <c r="AF1893" s="418"/>
      <c r="AG1893" s="418"/>
      <c r="AH1893" s="418"/>
      <c r="AI1893" s="418"/>
      <c r="AJ1893" s="418"/>
      <c r="AK1893" s="418"/>
      <c r="AL1893" s="418"/>
      <c r="AM1893" s="418"/>
      <c r="AN1893" s="418"/>
      <c r="AO1893" s="418"/>
      <c r="AP1893" s="418"/>
      <c r="AQ1893" s="418"/>
      <c r="AR1893" s="418"/>
      <c r="AS1893" s="418"/>
      <c r="AT1893" s="418"/>
      <c r="AU1893" s="418"/>
      <c r="AV1893" s="418"/>
      <c r="AW1893" s="418"/>
      <c r="AX1893" s="418"/>
      <c r="AY1893" s="418"/>
      <c r="BF1893" s="1119"/>
      <c r="BG1893" s="1119"/>
      <c r="BH1893" s="1119"/>
    </row>
    <row r="1894" spans="1:60" ht="15.75" customHeight="1">
      <c r="A1894" s="1076"/>
      <c r="B1894" s="416"/>
      <c r="C1894" s="424"/>
      <c r="E1894" s="418"/>
      <c r="F1894" s="493"/>
      <c r="G1894" s="418"/>
      <c r="H1894" s="418"/>
      <c r="I1894" s="418"/>
      <c r="J1894" s="424"/>
      <c r="K1894" s="418"/>
      <c r="L1894" s="418"/>
      <c r="M1894" s="418"/>
      <c r="N1894" s="421"/>
      <c r="O1894" s="421"/>
      <c r="P1894" s="421"/>
      <c r="Q1894" s="418"/>
      <c r="R1894" s="418"/>
      <c r="S1894" s="418"/>
      <c r="T1894" s="418"/>
      <c r="U1894" s="418"/>
      <c r="V1894" s="418"/>
      <c r="W1894" s="418"/>
      <c r="X1894" s="418"/>
      <c r="Y1894" s="418"/>
      <c r="Z1894" s="418"/>
      <c r="AA1894" s="418"/>
      <c r="AB1894" s="418"/>
      <c r="AC1894" s="418"/>
      <c r="AD1894" s="418"/>
      <c r="AE1894" s="418"/>
      <c r="AF1894" s="418"/>
      <c r="AG1894" s="418"/>
      <c r="AH1894" s="418"/>
      <c r="AI1894" s="418"/>
      <c r="AJ1894" s="418"/>
      <c r="AK1894" s="418"/>
      <c r="AL1894" s="418"/>
      <c r="AM1894" s="418"/>
      <c r="AN1894" s="418"/>
      <c r="AO1894" s="418"/>
      <c r="AP1894" s="418"/>
      <c r="AQ1894" s="418"/>
      <c r="AR1894" s="418"/>
      <c r="AS1894" s="418"/>
      <c r="AT1894" s="418"/>
      <c r="AU1894" s="418"/>
      <c r="AV1894" s="418"/>
      <c r="AW1894" s="418"/>
      <c r="AX1894" s="418"/>
      <c r="AY1894" s="418"/>
      <c r="BF1894" s="1119"/>
      <c r="BG1894" s="1119"/>
      <c r="BH1894" s="1119"/>
    </row>
    <row r="1895" spans="1:60" ht="15.75" customHeight="1">
      <c r="A1895" s="1076"/>
      <c r="B1895" s="416"/>
      <c r="C1895" s="424"/>
      <c r="E1895" s="418"/>
      <c r="F1895" s="493"/>
      <c r="G1895" s="418"/>
      <c r="H1895" s="418"/>
      <c r="I1895" s="418"/>
      <c r="J1895" s="424"/>
      <c r="K1895" s="418"/>
      <c r="L1895" s="418"/>
      <c r="M1895" s="418"/>
      <c r="N1895" s="421"/>
      <c r="O1895" s="421"/>
      <c r="P1895" s="421"/>
      <c r="Q1895" s="418"/>
      <c r="R1895" s="418"/>
      <c r="S1895" s="418"/>
      <c r="T1895" s="418"/>
      <c r="U1895" s="418"/>
      <c r="V1895" s="418"/>
      <c r="W1895" s="418"/>
      <c r="X1895" s="418"/>
      <c r="Y1895" s="418"/>
      <c r="Z1895" s="418"/>
      <c r="AA1895" s="418"/>
      <c r="AB1895" s="418"/>
      <c r="AC1895" s="418"/>
      <c r="AD1895" s="418"/>
      <c r="AE1895" s="418"/>
      <c r="AF1895" s="418"/>
      <c r="AG1895" s="418"/>
      <c r="AH1895" s="418"/>
      <c r="AI1895" s="418"/>
      <c r="AJ1895" s="418"/>
      <c r="AK1895" s="418"/>
      <c r="AL1895" s="418"/>
      <c r="AM1895" s="418"/>
      <c r="AN1895" s="418"/>
      <c r="AO1895" s="418"/>
      <c r="AP1895" s="418"/>
      <c r="AQ1895" s="418"/>
      <c r="AR1895" s="418"/>
      <c r="AS1895" s="418"/>
      <c r="AT1895" s="418"/>
      <c r="AU1895" s="418"/>
      <c r="AV1895" s="418"/>
      <c r="AW1895" s="418"/>
      <c r="AX1895" s="418"/>
      <c r="AY1895" s="418"/>
      <c r="BF1895" s="1119"/>
      <c r="BG1895" s="1119"/>
      <c r="BH1895" s="1119"/>
    </row>
    <row r="1896" spans="1:60" ht="15.75" customHeight="1">
      <c r="A1896" s="1076"/>
      <c r="B1896" s="416"/>
      <c r="C1896" s="424"/>
      <c r="E1896" s="418"/>
      <c r="F1896" s="493"/>
      <c r="G1896" s="418"/>
      <c r="H1896" s="421"/>
      <c r="I1896" s="421"/>
      <c r="J1896" s="492"/>
      <c r="K1896" s="418"/>
      <c r="L1896" s="418"/>
      <c r="M1896" s="418"/>
      <c r="N1896" s="421"/>
      <c r="O1896" s="421"/>
      <c r="P1896" s="421"/>
      <c r="Q1896" s="418"/>
      <c r="R1896" s="418"/>
      <c r="S1896" s="418"/>
      <c r="T1896" s="418"/>
      <c r="U1896" s="418"/>
      <c r="V1896" s="418"/>
      <c r="W1896" s="418"/>
      <c r="X1896" s="418"/>
      <c r="Y1896" s="418"/>
      <c r="Z1896" s="418"/>
      <c r="AA1896" s="418"/>
      <c r="AB1896" s="418"/>
      <c r="AC1896" s="418"/>
      <c r="AD1896" s="418"/>
      <c r="AE1896" s="418"/>
      <c r="AF1896" s="418"/>
      <c r="AG1896" s="418"/>
      <c r="AH1896" s="418"/>
      <c r="AI1896" s="418"/>
      <c r="AJ1896" s="418"/>
      <c r="AK1896" s="418"/>
      <c r="AL1896" s="418"/>
      <c r="AM1896" s="418"/>
      <c r="AN1896" s="418"/>
      <c r="AO1896" s="418"/>
      <c r="AP1896" s="418"/>
      <c r="AQ1896" s="418"/>
      <c r="AR1896" s="418"/>
      <c r="AS1896" s="418"/>
      <c r="AT1896" s="418"/>
      <c r="AU1896" s="418"/>
      <c r="AV1896" s="418"/>
      <c r="AW1896" s="418"/>
      <c r="AX1896" s="418"/>
      <c r="AY1896" s="418"/>
      <c r="BF1896" s="1119"/>
      <c r="BG1896" s="1119"/>
      <c r="BH1896" s="1119"/>
    </row>
    <row r="1897" spans="1:60" ht="15.75" customHeight="1">
      <c r="A1897" s="1076"/>
      <c r="B1897" s="416"/>
      <c r="C1897" s="424"/>
      <c r="E1897" s="418"/>
      <c r="F1897" s="493"/>
      <c r="G1897" s="418"/>
      <c r="H1897" s="421"/>
      <c r="I1897" s="425"/>
      <c r="J1897" s="492"/>
      <c r="K1897" s="418"/>
      <c r="L1897" s="418"/>
      <c r="M1897" s="418"/>
      <c r="N1897" s="421"/>
      <c r="O1897" s="421"/>
      <c r="P1897" s="421"/>
      <c r="Q1897" s="418"/>
      <c r="R1897" s="418"/>
      <c r="S1897" s="418"/>
      <c r="T1897" s="418"/>
      <c r="U1897" s="418"/>
      <c r="V1897" s="418"/>
      <c r="W1897" s="418"/>
      <c r="X1897" s="418"/>
      <c r="Y1897" s="418"/>
      <c r="Z1897" s="418"/>
      <c r="AA1897" s="418"/>
      <c r="AB1897" s="418"/>
      <c r="AC1897" s="418"/>
      <c r="AD1897" s="418"/>
      <c r="AE1897" s="418"/>
      <c r="AF1897" s="418"/>
      <c r="AG1897" s="418"/>
      <c r="AH1897" s="418"/>
      <c r="AI1897" s="418"/>
      <c r="AJ1897" s="418"/>
      <c r="AK1897" s="418"/>
      <c r="AL1897" s="418"/>
      <c r="AM1897" s="418"/>
      <c r="AN1897" s="418"/>
      <c r="AO1897" s="418"/>
      <c r="AP1897" s="418"/>
      <c r="AQ1897" s="418"/>
      <c r="AR1897" s="418"/>
      <c r="AS1897" s="418"/>
      <c r="AT1897" s="418"/>
      <c r="AU1897" s="418"/>
      <c r="AV1897" s="418"/>
      <c r="AW1897" s="418"/>
      <c r="AX1897" s="418"/>
      <c r="AY1897" s="418"/>
      <c r="BF1897" s="1119"/>
      <c r="BG1897" s="1119"/>
      <c r="BH1897" s="1119"/>
    </row>
    <row r="1898" spans="1:60" ht="15.75" customHeight="1">
      <c r="A1898" s="1076"/>
      <c r="B1898" s="416"/>
      <c r="C1898" s="424"/>
      <c r="E1898" s="418"/>
      <c r="F1898" s="493"/>
      <c r="G1898" s="418"/>
      <c r="H1898" s="421"/>
      <c r="I1898" s="421"/>
      <c r="J1898" s="492"/>
      <c r="K1898" s="418"/>
      <c r="L1898" s="418"/>
      <c r="M1898" s="418"/>
      <c r="N1898" s="421"/>
      <c r="O1898" s="421"/>
      <c r="P1898" s="421"/>
      <c r="Q1898" s="418"/>
      <c r="R1898" s="418"/>
      <c r="S1898" s="418"/>
      <c r="T1898" s="418"/>
      <c r="U1898" s="418"/>
      <c r="V1898" s="418"/>
      <c r="W1898" s="418"/>
      <c r="X1898" s="418"/>
      <c r="Y1898" s="418"/>
      <c r="Z1898" s="418"/>
      <c r="AA1898" s="418"/>
      <c r="AB1898" s="418"/>
      <c r="AC1898" s="418"/>
      <c r="AD1898" s="418"/>
      <c r="AE1898" s="418"/>
      <c r="AF1898" s="418"/>
      <c r="AG1898" s="418"/>
      <c r="AH1898" s="418"/>
      <c r="AI1898" s="418"/>
      <c r="AJ1898" s="418"/>
      <c r="AK1898" s="418"/>
      <c r="AL1898" s="418"/>
      <c r="AM1898" s="418"/>
      <c r="AN1898" s="418"/>
      <c r="AO1898" s="418"/>
      <c r="AP1898" s="418"/>
      <c r="AQ1898" s="418"/>
      <c r="AR1898" s="418"/>
      <c r="AS1898" s="418"/>
      <c r="AT1898" s="418"/>
      <c r="AU1898" s="418"/>
      <c r="AV1898" s="418"/>
      <c r="AW1898" s="418"/>
      <c r="AX1898" s="418"/>
      <c r="AY1898" s="418"/>
      <c r="BF1898" s="1119"/>
      <c r="BG1898" s="1119"/>
      <c r="BH1898" s="1119"/>
    </row>
    <row r="1899" spans="1:60" ht="15.75" customHeight="1">
      <c r="A1899" s="1076"/>
      <c r="B1899" s="416"/>
      <c r="C1899" s="424"/>
      <c r="E1899" s="418"/>
      <c r="F1899" s="493"/>
      <c r="G1899" s="418"/>
      <c r="H1899" s="421"/>
      <c r="I1899" s="425"/>
      <c r="J1899" s="492"/>
      <c r="K1899" s="418"/>
      <c r="L1899" s="418"/>
      <c r="M1899" s="418"/>
      <c r="N1899" s="421"/>
      <c r="O1899" s="421"/>
      <c r="P1899" s="421"/>
      <c r="Q1899" s="418"/>
      <c r="R1899" s="418"/>
      <c r="S1899" s="418"/>
      <c r="T1899" s="418"/>
      <c r="U1899" s="418"/>
      <c r="V1899" s="418"/>
      <c r="W1899" s="418"/>
      <c r="X1899" s="418"/>
      <c r="Y1899" s="418"/>
      <c r="Z1899" s="418"/>
      <c r="AA1899" s="418"/>
      <c r="AB1899" s="418"/>
      <c r="AC1899" s="418"/>
      <c r="AD1899" s="418"/>
      <c r="AE1899" s="418"/>
      <c r="AF1899" s="418"/>
      <c r="AG1899" s="418"/>
      <c r="AH1899" s="418"/>
      <c r="AI1899" s="418"/>
      <c r="AJ1899" s="418"/>
      <c r="AK1899" s="418"/>
      <c r="AL1899" s="418"/>
      <c r="AM1899" s="418"/>
      <c r="AN1899" s="418"/>
      <c r="AO1899" s="418"/>
      <c r="AP1899" s="418"/>
      <c r="AQ1899" s="418"/>
      <c r="AR1899" s="418"/>
      <c r="AS1899" s="418"/>
      <c r="AT1899" s="418"/>
      <c r="AU1899" s="418"/>
      <c r="AV1899" s="418"/>
      <c r="AW1899" s="418"/>
      <c r="AX1899" s="418"/>
      <c r="AY1899" s="418"/>
      <c r="BF1899" s="1119"/>
      <c r="BG1899" s="1119"/>
      <c r="BH1899" s="1119"/>
    </row>
    <row r="1900" spans="1:60" ht="15.75" customHeight="1">
      <c r="A1900" s="1076"/>
      <c r="B1900" s="416"/>
      <c r="C1900" s="424"/>
      <c r="E1900" s="418"/>
      <c r="F1900" s="493"/>
      <c r="G1900" s="418"/>
      <c r="H1900" s="421"/>
      <c r="I1900" s="421"/>
      <c r="J1900" s="492"/>
      <c r="K1900" s="418"/>
      <c r="L1900" s="418"/>
      <c r="M1900" s="418"/>
      <c r="N1900" s="421"/>
      <c r="O1900" s="421"/>
      <c r="P1900" s="421"/>
      <c r="Q1900" s="418"/>
      <c r="R1900" s="418"/>
      <c r="S1900" s="418"/>
      <c r="T1900" s="418"/>
      <c r="U1900" s="418"/>
      <c r="V1900" s="418"/>
      <c r="W1900" s="418"/>
      <c r="X1900" s="418"/>
      <c r="Y1900" s="418"/>
      <c r="Z1900" s="418"/>
      <c r="AA1900" s="418"/>
      <c r="AB1900" s="418"/>
      <c r="AC1900" s="418"/>
      <c r="AD1900" s="418"/>
      <c r="AE1900" s="418"/>
      <c r="AF1900" s="418"/>
      <c r="AG1900" s="418"/>
      <c r="AH1900" s="418"/>
      <c r="AI1900" s="418"/>
      <c r="AJ1900" s="418"/>
      <c r="AK1900" s="418"/>
      <c r="AL1900" s="418"/>
      <c r="AM1900" s="418"/>
      <c r="AN1900" s="418"/>
      <c r="AO1900" s="418"/>
      <c r="AP1900" s="418"/>
      <c r="AQ1900" s="418"/>
      <c r="AR1900" s="418"/>
      <c r="AS1900" s="418"/>
      <c r="AT1900" s="418"/>
      <c r="AU1900" s="418"/>
      <c r="AV1900" s="418"/>
      <c r="AW1900" s="418"/>
      <c r="AX1900" s="418"/>
      <c r="AY1900" s="418"/>
      <c r="BF1900" s="1119"/>
      <c r="BG1900" s="1119"/>
      <c r="BH1900" s="1119"/>
    </row>
    <row r="1901" spans="1:60" ht="15.75" customHeight="1">
      <c r="A1901" s="1076"/>
      <c r="B1901" s="416"/>
      <c r="C1901" s="424"/>
      <c r="E1901" s="418"/>
      <c r="F1901" s="493"/>
      <c r="G1901" s="418"/>
      <c r="H1901" s="421"/>
      <c r="I1901" s="421"/>
      <c r="J1901" s="492"/>
      <c r="K1901" s="418"/>
      <c r="L1901" s="418"/>
      <c r="M1901" s="418"/>
      <c r="N1901" s="421"/>
      <c r="O1901" s="421"/>
      <c r="P1901" s="421"/>
      <c r="Q1901" s="418"/>
      <c r="R1901" s="418"/>
      <c r="S1901" s="418"/>
      <c r="T1901" s="418"/>
      <c r="U1901" s="418"/>
      <c r="V1901" s="418"/>
      <c r="W1901" s="418"/>
      <c r="X1901" s="418"/>
      <c r="Y1901" s="418"/>
      <c r="Z1901" s="418"/>
      <c r="AA1901" s="418"/>
      <c r="AB1901" s="418"/>
      <c r="AC1901" s="418"/>
      <c r="AD1901" s="418"/>
      <c r="AE1901" s="418"/>
      <c r="AF1901" s="418"/>
      <c r="AG1901" s="418"/>
      <c r="AH1901" s="418"/>
      <c r="AI1901" s="418"/>
      <c r="AJ1901" s="418"/>
      <c r="AK1901" s="418"/>
      <c r="AL1901" s="418"/>
      <c r="AM1901" s="418"/>
      <c r="AN1901" s="418"/>
      <c r="AO1901" s="418"/>
      <c r="AP1901" s="418"/>
      <c r="AQ1901" s="418"/>
      <c r="AR1901" s="418"/>
      <c r="AS1901" s="418"/>
      <c r="AT1901" s="418"/>
      <c r="AU1901" s="418"/>
      <c r="AV1901" s="418"/>
      <c r="AW1901" s="418"/>
      <c r="AX1901" s="418"/>
      <c r="AY1901" s="418"/>
      <c r="BF1901" s="1119"/>
      <c r="BG1901" s="1119"/>
      <c r="BH1901" s="1119"/>
    </row>
    <row r="1902" spans="1:60" ht="15.75" customHeight="1">
      <c r="A1902" s="1076"/>
      <c r="B1902" s="416"/>
      <c r="C1902" s="424"/>
      <c r="E1902" s="418"/>
      <c r="F1902" s="493"/>
      <c r="G1902" s="418"/>
      <c r="H1902" s="421"/>
      <c r="I1902" s="421"/>
      <c r="J1902" s="492"/>
      <c r="K1902" s="418"/>
      <c r="L1902" s="418"/>
      <c r="M1902" s="418"/>
      <c r="N1902" s="421"/>
      <c r="O1902" s="421"/>
      <c r="P1902" s="421"/>
      <c r="Q1902" s="418"/>
      <c r="R1902" s="418"/>
      <c r="S1902" s="418"/>
      <c r="T1902" s="418"/>
      <c r="U1902" s="418"/>
      <c r="V1902" s="418"/>
      <c r="W1902" s="418"/>
      <c r="X1902" s="418"/>
      <c r="Y1902" s="418"/>
      <c r="Z1902" s="418"/>
      <c r="AA1902" s="418"/>
      <c r="AB1902" s="418"/>
      <c r="AC1902" s="418"/>
      <c r="AD1902" s="418"/>
      <c r="AE1902" s="418"/>
      <c r="AF1902" s="418"/>
      <c r="AG1902" s="418"/>
      <c r="AH1902" s="418"/>
      <c r="AI1902" s="418"/>
      <c r="AJ1902" s="418"/>
      <c r="AK1902" s="418"/>
      <c r="AL1902" s="418"/>
      <c r="AM1902" s="418"/>
      <c r="AN1902" s="418"/>
      <c r="AO1902" s="418"/>
      <c r="AP1902" s="418"/>
      <c r="AQ1902" s="418"/>
      <c r="AR1902" s="418"/>
      <c r="AS1902" s="418"/>
      <c r="AT1902" s="418"/>
      <c r="AU1902" s="418"/>
      <c r="AV1902" s="418"/>
      <c r="AW1902" s="418"/>
      <c r="AX1902" s="418"/>
      <c r="AY1902" s="418"/>
      <c r="BF1902" s="1119"/>
      <c r="BG1902" s="1119"/>
      <c r="BH1902" s="1119"/>
    </row>
    <row r="1903" spans="1:60" ht="15.75" customHeight="1">
      <c r="A1903" s="1076"/>
      <c r="B1903" s="416"/>
      <c r="C1903" s="424"/>
      <c r="E1903" s="418"/>
      <c r="F1903" s="493"/>
      <c r="G1903" s="418"/>
      <c r="H1903" s="421"/>
      <c r="I1903" s="421"/>
      <c r="J1903" s="492"/>
      <c r="K1903" s="418"/>
      <c r="L1903" s="418"/>
      <c r="M1903" s="418"/>
      <c r="N1903" s="421"/>
      <c r="O1903" s="421"/>
      <c r="P1903" s="421"/>
      <c r="Q1903" s="418"/>
      <c r="R1903" s="418"/>
      <c r="S1903" s="418"/>
      <c r="T1903" s="418"/>
      <c r="U1903" s="418"/>
      <c r="V1903" s="418"/>
      <c r="W1903" s="418"/>
      <c r="X1903" s="418"/>
      <c r="Y1903" s="418"/>
      <c r="Z1903" s="418"/>
      <c r="AA1903" s="418"/>
      <c r="AB1903" s="418"/>
      <c r="AC1903" s="418"/>
      <c r="AD1903" s="418"/>
      <c r="AE1903" s="418"/>
      <c r="AF1903" s="418"/>
      <c r="AG1903" s="418"/>
      <c r="AH1903" s="418"/>
      <c r="AI1903" s="418"/>
      <c r="AJ1903" s="418"/>
      <c r="AK1903" s="418"/>
      <c r="AL1903" s="418"/>
      <c r="AM1903" s="418"/>
      <c r="AN1903" s="418"/>
      <c r="AO1903" s="418"/>
      <c r="AP1903" s="418"/>
      <c r="AQ1903" s="418"/>
      <c r="AR1903" s="418"/>
      <c r="AS1903" s="418"/>
      <c r="AT1903" s="418"/>
      <c r="AU1903" s="418"/>
      <c r="AV1903" s="418"/>
      <c r="AW1903" s="418"/>
      <c r="AX1903" s="418"/>
      <c r="AY1903" s="418"/>
      <c r="BF1903" s="1119"/>
      <c r="BG1903" s="1119"/>
      <c r="BH1903" s="1119"/>
    </row>
    <row r="1904" spans="1:60" ht="15.75" customHeight="1">
      <c r="A1904" s="1076"/>
      <c r="B1904" s="416"/>
      <c r="C1904" s="424"/>
      <c r="E1904" s="418"/>
      <c r="F1904" s="493"/>
      <c r="G1904" s="418"/>
      <c r="H1904" s="421"/>
      <c r="I1904" s="421"/>
      <c r="J1904" s="492"/>
      <c r="K1904" s="418"/>
      <c r="L1904" s="418"/>
      <c r="M1904" s="418"/>
      <c r="N1904" s="421"/>
      <c r="O1904" s="421"/>
      <c r="P1904" s="421"/>
      <c r="Q1904" s="418"/>
      <c r="R1904" s="418"/>
      <c r="S1904" s="418"/>
      <c r="T1904" s="418"/>
      <c r="U1904" s="418"/>
      <c r="V1904" s="418"/>
      <c r="W1904" s="418"/>
      <c r="X1904" s="418"/>
      <c r="Y1904" s="418"/>
      <c r="Z1904" s="418"/>
      <c r="AA1904" s="418"/>
      <c r="AB1904" s="418"/>
      <c r="AC1904" s="418"/>
      <c r="AD1904" s="418"/>
      <c r="AE1904" s="418"/>
      <c r="AF1904" s="418"/>
      <c r="AG1904" s="418"/>
      <c r="AH1904" s="418"/>
      <c r="AI1904" s="418"/>
      <c r="AJ1904" s="418"/>
      <c r="AK1904" s="418"/>
      <c r="AL1904" s="418"/>
      <c r="AM1904" s="418"/>
      <c r="AN1904" s="418"/>
      <c r="AO1904" s="418"/>
      <c r="AP1904" s="418"/>
      <c r="AQ1904" s="418"/>
      <c r="AR1904" s="418"/>
      <c r="AS1904" s="418"/>
      <c r="AT1904" s="418"/>
      <c r="AU1904" s="418"/>
      <c r="AV1904" s="418"/>
      <c r="AW1904" s="418"/>
      <c r="AX1904" s="418"/>
      <c r="AY1904" s="418"/>
      <c r="BF1904" s="1119"/>
      <c r="BG1904" s="1119"/>
      <c r="BH1904" s="1119"/>
    </row>
    <row r="1905" spans="1:60" ht="15.75" customHeight="1">
      <c r="A1905" s="1076"/>
      <c r="B1905" s="416"/>
      <c r="C1905" s="424"/>
      <c r="E1905" s="418"/>
      <c r="F1905" s="493"/>
      <c r="G1905" s="418"/>
      <c r="H1905" s="421"/>
      <c r="I1905" s="421"/>
      <c r="J1905" s="492"/>
      <c r="K1905" s="418"/>
      <c r="L1905" s="418"/>
      <c r="M1905" s="418"/>
      <c r="N1905" s="421"/>
      <c r="O1905" s="421"/>
      <c r="P1905" s="421"/>
      <c r="Q1905" s="418"/>
      <c r="R1905" s="418"/>
      <c r="S1905" s="418"/>
      <c r="T1905" s="418"/>
      <c r="U1905" s="418"/>
      <c r="V1905" s="418"/>
      <c r="W1905" s="418"/>
      <c r="X1905" s="418"/>
      <c r="Y1905" s="418"/>
      <c r="Z1905" s="418"/>
      <c r="AA1905" s="418"/>
      <c r="AB1905" s="418"/>
      <c r="AC1905" s="418"/>
      <c r="AD1905" s="418"/>
      <c r="AE1905" s="418"/>
      <c r="AF1905" s="418"/>
      <c r="AG1905" s="418"/>
      <c r="AH1905" s="418"/>
      <c r="AI1905" s="418"/>
      <c r="AJ1905" s="418"/>
      <c r="AK1905" s="418"/>
      <c r="AL1905" s="418"/>
      <c r="AM1905" s="418"/>
      <c r="AN1905" s="418"/>
      <c r="AO1905" s="418"/>
      <c r="AP1905" s="418"/>
      <c r="AQ1905" s="418"/>
      <c r="AR1905" s="418"/>
      <c r="AS1905" s="418"/>
      <c r="AT1905" s="418"/>
      <c r="AU1905" s="418"/>
      <c r="AV1905" s="418"/>
      <c r="AW1905" s="418"/>
      <c r="AX1905" s="418"/>
      <c r="AY1905" s="418"/>
      <c r="BF1905" s="1119"/>
      <c r="BG1905" s="1119"/>
      <c r="BH1905" s="1119"/>
    </row>
    <row r="1906" spans="1:60" ht="15.75" customHeight="1">
      <c r="A1906" s="1076"/>
      <c r="B1906" s="416"/>
      <c r="C1906" s="424"/>
      <c r="E1906" s="418"/>
      <c r="F1906" s="493"/>
      <c r="G1906" s="418"/>
      <c r="H1906" s="421"/>
      <c r="I1906" s="421"/>
      <c r="J1906" s="492"/>
      <c r="K1906" s="418"/>
      <c r="L1906" s="418"/>
      <c r="M1906" s="418"/>
      <c r="N1906" s="421"/>
      <c r="O1906" s="421"/>
      <c r="P1906" s="421"/>
      <c r="Q1906" s="418"/>
      <c r="R1906" s="418"/>
      <c r="S1906" s="418"/>
      <c r="T1906" s="418"/>
      <c r="U1906" s="418"/>
      <c r="V1906" s="418"/>
      <c r="W1906" s="418"/>
      <c r="X1906" s="418"/>
      <c r="Y1906" s="418"/>
      <c r="Z1906" s="418"/>
      <c r="AA1906" s="418"/>
      <c r="AB1906" s="418"/>
      <c r="AC1906" s="418"/>
      <c r="AD1906" s="418"/>
      <c r="AE1906" s="418"/>
      <c r="AF1906" s="418"/>
      <c r="AG1906" s="418"/>
      <c r="AH1906" s="418"/>
      <c r="AI1906" s="418"/>
      <c r="AJ1906" s="418"/>
      <c r="AK1906" s="418"/>
      <c r="AL1906" s="418"/>
      <c r="AM1906" s="418"/>
      <c r="AN1906" s="418"/>
      <c r="AO1906" s="418"/>
      <c r="AP1906" s="418"/>
      <c r="AQ1906" s="418"/>
      <c r="AR1906" s="418"/>
      <c r="AS1906" s="418"/>
      <c r="AT1906" s="418"/>
      <c r="AU1906" s="418"/>
      <c r="AV1906" s="418"/>
      <c r="AW1906" s="418"/>
      <c r="AX1906" s="418"/>
      <c r="AY1906" s="418"/>
      <c r="BF1906" s="1119"/>
      <c r="BG1906" s="1119"/>
      <c r="BH1906" s="1119"/>
    </row>
    <row r="1907" spans="1:60" ht="15.75" customHeight="1">
      <c r="A1907" s="1076"/>
      <c r="B1907" s="416"/>
      <c r="C1907" s="424"/>
      <c r="E1907" s="418"/>
      <c r="F1907" s="493"/>
      <c r="G1907" s="418"/>
      <c r="H1907" s="418"/>
      <c r="I1907" s="418"/>
      <c r="J1907" s="424"/>
      <c r="K1907" s="418"/>
      <c r="L1907" s="418"/>
      <c r="M1907" s="418"/>
      <c r="N1907" s="421"/>
      <c r="O1907" s="421"/>
      <c r="P1907" s="421"/>
      <c r="Q1907" s="418"/>
      <c r="R1907" s="418"/>
      <c r="S1907" s="418"/>
      <c r="T1907" s="418"/>
      <c r="U1907" s="418"/>
      <c r="V1907" s="418"/>
      <c r="W1907" s="418"/>
      <c r="X1907" s="418"/>
      <c r="Y1907" s="418"/>
      <c r="Z1907" s="418"/>
      <c r="AA1907" s="418"/>
      <c r="AB1907" s="418"/>
      <c r="AC1907" s="418"/>
      <c r="AD1907" s="418"/>
      <c r="AE1907" s="418"/>
      <c r="AF1907" s="418"/>
      <c r="AG1907" s="418"/>
      <c r="AH1907" s="418"/>
      <c r="AI1907" s="418"/>
      <c r="AJ1907" s="418"/>
      <c r="AK1907" s="418"/>
      <c r="AL1907" s="418"/>
      <c r="AM1907" s="418"/>
      <c r="AN1907" s="418"/>
      <c r="AO1907" s="418"/>
      <c r="AP1907" s="418"/>
      <c r="AQ1907" s="418"/>
      <c r="AR1907" s="418"/>
      <c r="AS1907" s="418"/>
      <c r="AT1907" s="418"/>
      <c r="AU1907" s="418"/>
      <c r="AV1907" s="418"/>
      <c r="AW1907" s="418"/>
      <c r="AX1907" s="418"/>
      <c r="AY1907" s="418"/>
      <c r="BF1907" s="1119"/>
      <c r="BG1907" s="1119"/>
      <c r="BH1907" s="1119"/>
    </row>
    <row r="1908" spans="1:60" ht="15.75" customHeight="1">
      <c r="A1908" s="1076"/>
      <c r="B1908" s="416"/>
      <c r="C1908" s="424"/>
      <c r="E1908" s="418"/>
      <c r="F1908" s="493"/>
      <c r="G1908" s="418"/>
      <c r="H1908" s="418"/>
      <c r="I1908" s="418"/>
      <c r="J1908" s="424"/>
      <c r="K1908" s="418"/>
      <c r="L1908" s="418"/>
      <c r="M1908" s="418"/>
      <c r="N1908" s="421"/>
      <c r="O1908" s="421"/>
      <c r="P1908" s="421"/>
      <c r="Q1908" s="418"/>
      <c r="R1908" s="418"/>
      <c r="S1908" s="418"/>
      <c r="T1908" s="418"/>
      <c r="U1908" s="418"/>
      <c r="V1908" s="418"/>
      <c r="W1908" s="418"/>
      <c r="X1908" s="418"/>
      <c r="Y1908" s="418"/>
      <c r="Z1908" s="418"/>
      <c r="AA1908" s="418"/>
      <c r="AB1908" s="418"/>
      <c r="AC1908" s="418"/>
      <c r="AD1908" s="418"/>
      <c r="AE1908" s="418"/>
      <c r="AF1908" s="418"/>
      <c r="AG1908" s="418"/>
      <c r="AH1908" s="418"/>
      <c r="AI1908" s="418"/>
      <c r="AJ1908" s="418"/>
      <c r="AK1908" s="418"/>
      <c r="AL1908" s="418"/>
      <c r="AM1908" s="418"/>
      <c r="AN1908" s="418"/>
      <c r="AO1908" s="418"/>
      <c r="AP1908" s="418"/>
      <c r="AQ1908" s="418"/>
      <c r="AR1908" s="418"/>
      <c r="AS1908" s="418"/>
      <c r="AT1908" s="418"/>
      <c r="AU1908" s="418"/>
      <c r="AV1908" s="418"/>
      <c r="AW1908" s="418"/>
      <c r="AX1908" s="418"/>
      <c r="AY1908" s="418"/>
      <c r="BF1908" s="1119"/>
      <c r="BG1908" s="1119"/>
      <c r="BH1908" s="1119"/>
    </row>
    <row r="1909" spans="1:60" ht="15.75" customHeight="1">
      <c r="A1909" s="1076"/>
      <c r="B1909" s="416"/>
      <c r="C1909" s="424"/>
      <c r="E1909" s="418"/>
      <c r="F1909" s="493"/>
      <c r="G1909" s="418"/>
      <c r="H1909" s="418"/>
      <c r="I1909" s="418"/>
      <c r="J1909" s="424"/>
      <c r="K1909" s="418"/>
      <c r="L1909" s="418"/>
      <c r="M1909" s="418"/>
      <c r="N1909" s="421"/>
      <c r="O1909" s="421"/>
      <c r="P1909" s="421"/>
      <c r="Q1909" s="418"/>
      <c r="R1909" s="418"/>
      <c r="S1909" s="418"/>
      <c r="T1909" s="418"/>
      <c r="U1909" s="418"/>
      <c r="V1909" s="418"/>
      <c r="W1909" s="418"/>
      <c r="X1909" s="418"/>
      <c r="Y1909" s="418"/>
      <c r="Z1909" s="418"/>
      <c r="AA1909" s="418"/>
      <c r="AB1909" s="418"/>
      <c r="AC1909" s="418"/>
      <c r="AD1909" s="418"/>
      <c r="AE1909" s="418"/>
      <c r="AF1909" s="418"/>
      <c r="AG1909" s="418"/>
      <c r="AH1909" s="418"/>
      <c r="AI1909" s="418"/>
      <c r="AJ1909" s="418"/>
      <c r="AK1909" s="418"/>
      <c r="AL1909" s="418"/>
      <c r="AM1909" s="418"/>
      <c r="AN1909" s="418"/>
      <c r="AO1909" s="418"/>
      <c r="AP1909" s="418"/>
      <c r="AQ1909" s="418"/>
      <c r="AR1909" s="418"/>
      <c r="AS1909" s="418"/>
      <c r="AT1909" s="418"/>
      <c r="AU1909" s="418"/>
      <c r="AV1909" s="418"/>
      <c r="AW1909" s="418"/>
      <c r="AX1909" s="418"/>
      <c r="AY1909" s="418"/>
      <c r="BF1909" s="1119"/>
      <c r="BG1909" s="1119"/>
      <c r="BH1909" s="1119"/>
    </row>
    <row r="1910" spans="1:60" ht="15.75" customHeight="1">
      <c r="A1910" s="1076"/>
      <c r="B1910" s="416"/>
      <c r="C1910" s="424"/>
      <c r="E1910" s="418"/>
      <c r="F1910" s="493"/>
      <c r="G1910" s="418"/>
      <c r="H1910" s="418"/>
      <c r="I1910" s="418"/>
      <c r="J1910" s="424"/>
      <c r="K1910" s="418"/>
      <c r="L1910" s="418"/>
      <c r="M1910" s="418"/>
      <c r="N1910" s="421"/>
      <c r="O1910" s="418"/>
      <c r="P1910" s="421"/>
      <c r="Q1910" s="418"/>
      <c r="R1910" s="418"/>
      <c r="S1910" s="418"/>
      <c r="T1910" s="418"/>
      <c r="U1910" s="418"/>
      <c r="V1910" s="418"/>
      <c r="W1910" s="418"/>
      <c r="X1910" s="418"/>
      <c r="Y1910" s="418"/>
      <c r="Z1910" s="418"/>
      <c r="AA1910" s="418"/>
      <c r="AB1910" s="418"/>
      <c r="AC1910" s="418"/>
      <c r="AD1910" s="418"/>
      <c r="AE1910" s="418"/>
      <c r="AF1910" s="418"/>
      <c r="AG1910" s="418"/>
      <c r="AH1910" s="418"/>
      <c r="AI1910" s="418"/>
      <c r="AJ1910" s="418"/>
      <c r="AK1910" s="418"/>
      <c r="AL1910" s="418"/>
      <c r="AM1910" s="418"/>
      <c r="AN1910" s="418"/>
      <c r="AO1910" s="418"/>
      <c r="AP1910" s="418"/>
      <c r="AQ1910" s="418"/>
      <c r="AR1910" s="418"/>
      <c r="AS1910" s="418"/>
      <c r="AT1910" s="418"/>
      <c r="AU1910" s="418"/>
      <c r="AV1910" s="418"/>
      <c r="AW1910" s="418"/>
      <c r="AX1910" s="418"/>
      <c r="AY1910" s="418"/>
      <c r="BF1910" s="1119"/>
      <c r="BG1910" s="1119"/>
      <c r="BH1910" s="1119"/>
    </row>
    <row r="1911" spans="1:60" ht="15.75" customHeight="1">
      <c r="A1911" s="1076"/>
      <c r="B1911" s="416"/>
      <c r="C1911" s="424"/>
      <c r="E1911" s="418"/>
      <c r="F1911" s="493"/>
      <c r="G1911" s="418"/>
      <c r="H1911" s="421"/>
      <c r="I1911" s="421"/>
      <c r="J1911" s="492"/>
      <c r="K1911" s="418"/>
      <c r="L1911" s="418"/>
      <c r="M1911" s="418"/>
      <c r="N1911" s="421"/>
      <c r="O1911" s="418"/>
      <c r="P1911" s="421"/>
      <c r="Q1911" s="418"/>
      <c r="R1911" s="418"/>
      <c r="S1911" s="418"/>
      <c r="T1911" s="418"/>
      <c r="U1911" s="418"/>
      <c r="V1911" s="418"/>
      <c r="W1911" s="418"/>
      <c r="X1911" s="418"/>
      <c r="Y1911" s="418"/>
      <c r="Z1911" s="418"/>
      <c r="AA1911" s="418"/>
      <c r="AB1911" s="418"/>
      <c r="AC1911" s="418"/>
      <c r="AD1911" s="418"/>
      <c r="AE1911" s="418"/>
      <c r="AF1911" s="418"/>
      <c r="AG1911" s="418"/>
      <c r="AH1911" s="418"/>
      <c r="AI1911" s="418"/>
      <c r="AJ1911" s="418"/>
      <c r="AK1911" s="418"/>
      <c r="AL1911" s="418"/>
      <c r="AM1911" s="418"/>
      <c r="AN1911" s="418"/>
      <c r="AO1911" s="418"/>
      <c r="AP1911" s="418"/>
      <c r="AQ1911" s="418"/>
      <c r="AR1911" s="418"/>
      <c r="AS1911" s="418"/>
      <c r="AT1911" s="418"/>
      <c r="AU1911" s="418"/>
      <c r="AV1911" s="418"/>
      <c r="AW1911" s="418"/>
      <c r="AX1911" s="418"/>
      <c r="AY1911" s="418"/>
      <c r="BF1911" s="1119"/>
      <c r="BG1911" s="1119"/>
      <c r="BH1911" s="1119"/>
    </row>
    <row r="1912" spans="1:60" ht="15.75" customHeight="1">
      <c r="A1912" s="1076"/>
      <c r="B1912" s="416"/>
      <c r="C1912" s="424"/>
      <c r="E1912" s="418"/>
      <c r="F1912" s="493"/>
      <c r="G1912" s="418"/>
      <c r="H1912" s="421"/>
      <c r="I1912" s="421"/>
      <c r="J1912" s="492"/>
      <c r="K1912" s="418"/>
      <c r="L1912" s="418"/>
      <c r="M1912" s="418"/>
      <c r="N1912" s="421"/>
      <c r="O1912" s="418"/>
      <c r="P1912" s="421"/>
      <c r="Q1912" s="418"/>
      <c r="R1912" s="418"/>
      <c r="S1912" s="418"/>
      <c r="T1912" s="418"/>
      <c r="U1912" s="418"/>
      <c r="V1912" s="418"/>
      <c r="W1912" s="418"/>
      <c r="X1912" s="418"/>
      <c r="Y1912" s="418"/>
      <c r="Z1912" s="418"/>
      <c r="AA1912" s="418"/>
      <c r="AB1912" s="418"/>
      <c r="AC1912" s="418"/>
      <c r="AD1912" s="418"/>
      <c r="AE1912" s="418"/>
      <c r="AF1912" s="418"/>
      <c r="AG1912" s="418"/>
      <c r="AH1912" s="418"/>
      <c r="AI1912" s="418"/>
      <c r="AJ1912" s="418"/>
      <c r="AK1912" s="418"/>
      <c r="AL1912" s="418"/>
      <c r="AM1912" s="418"/>
      <c r="AN1912" s="418"/>
      <c r="AO1912" s="418"/>
      <c r="AP1912" s="418"/>
      <c r="AQ1912" s="418"/>
      <c r="AR1912" s="418"/>
      <c r="AS1912" s="418"/>
      <c r="AT1912" s="418"/>
      <c r="AU1912" s="418"/>
      <c r="AV1912" s="418"/>
      <c r="AW1912" s="418"/>
      <c r="AX1912" s="418"/>
      <c r="AY1912" s="418"/>
      <c r="BF1912" s="1119"/>
      <c r="BG1912" s="1119"/>
      <c r="BH1912" s="1119"/>
    </row>
    <row r="1913" spans="1:60" ht="15.75" customHeight="1">
      <c r="A1913" s="1076"/>
      <c r="B1913" s="416"/>
      <c r="C1913" s="424"/>
      <c r="E1913" s="418"/>
      <c r="F1913" s="493"/>
      <c r="G1913" s="418"/>
      <c r="H1913" s="421"/>
      <c r="I1913" s="421"/>
      <c r="J1913" s="492"/>
      <c r="K1913" s="418"/>
      <c r="L1913" s="418"/>
      <c r="M1913" s="418"/>
      <c r="N1913" s="421"/>
      <c r="O1913" s="421"/>
      <c r="P1913" s="421"/>
      <c r="Q1913" s="418"/>
      <c r="R1913" s="418"/>
      <c r="S1913" s="418"/>
      <c r="T1913" s="418"/>
      <c r="U1913" s="418"/>
      <c r="V1913" s="418"/>
      <c r="W1913" s="418"/>
      <c r="X1913" s="418"/>
      <c r="Y1913" s="418"/>
      <c r="Z1913" s="418"/>
      <c r="AA1913" s="418"/>
      <c r="AB1913" s="418"/>
      <c r="AC1913" s="418"/>
      <c r="AD1913" s="418"/>
      <c r="AE1913" s="418"/>
      <c r="AF1913" s="418"/>
      <c r="AG1913" s="418"/>
      <c r="AH1913" s="418"/>
      <c r="AI1913" s="418"/>
      <c r="AJ1913" s="418"/>
      <c r="AK1913" s="418"/>
      <c r="AL1913" s="418"/>
      <c r="AM1913" s="418"/>
      <c r="AN1913" s="418"/>
      <c r="AO1913" s="418"/>
      <c r="AP1913" s="418"/>
      <c r="AQ1913" s="418"/>
      <c r="AR1913" s="418"/>
      <c r="AS1913" s="418"/>
      <c r="AT1913" s="418"/>
      <c r="AU1913" s="418"/>
      <c r="AV1913" s="418"/>
      <c r="AW1913" s="418"/>
      <c r="AX1913" s="418"/>
      <c r="AY1913" s="418"/>
      <c r="BF1913" s="1119"/>
      <c r="BG1913" s="1119"/>
      <c r="BH1913" s="1119"/>
    </row>
    <row r="1914" spans="1:60" ht="15.75" customHeight="1">
      <c r="A1914" s="1076"/>
      <c r="B1914" s="416"/>
      <c r="C1914" s="424"/>
      <c r="E1914" s="418"/>
      <c r="F1914" s="493"/>
      <c r="G1914" s="418"/>
      <c r="H1914" s="421"/>
      <c r="I1914" s="421"/>
      <c r="J1914" s="492"/>
      <c r="K1914" s="418"/>
      <c r="L1914" s="418"/>
      <c r="M1914" s="418"/>
      <c r="N1914" s="421"/>
      <c r="O1914" s="421"/>
      <c r="P1914" s="421"/>
      <c r="Q1914" s="418"/>
      <c r="R1914" s="418"/>
      <c r="S1914" s="418"/>
      <c r="T1914" s="418"/>
      <c r="U1914" s="418"/>
      <c r="V1914" s="418"/>
      <c r="W1914" s="418"/>
      <c r="X1914" s="418"/>
      <c r="Y1914" s="418"/>
      <c r="Z1914" s="418"/>
      <c r="AA1914" s="418"/>
      <c r="AB1914" s="418"/>
      <c r="AC1914" s="418"/>
      <c r="AD1914" s="418"/>
      <c r="AE1914" s="418"/>
      <c r="AF1914" s="418"/>
      <c r="AG1914" s="418"/>
      <c r="AH1914" s="418"/>
      <c r="AI1914" s="418"/>
      <c r="AJ1914" s="418"/>
      <c r="AK1914" s="418"/>
      <c r="AL1914" s="418"/>
      <c r="AM1914" s="418"/>
      <c r="AN1914" s="418"/>
      <c r="AO1914" s="418"/>
      <c r="AP1914" s="418"/>
      <c r="AQ1914" s="418"/>
      <c r="AR1914" s="418"/>
      <c r="AS1914" s="418"/>
      <c r="AT1914" s="418"/>
      <c r="AU1914" s="418"/>
      <c r="AV1914" s="418"/>
      <c r="AW1914" s="418"/>
      <c r="AX1914" s="418"/>
      <c r="AY1914" s="418"/>
      <c r="BF1914" s="1119"/>
      <c r="BG1914" s="1119"/>
      <c r="BH1914" s="1119"/>
    </row>
    <row r="1915" spans="1:60" ht="15.75" customHeight="1">
      <c r="A1915" s="1076"/>
      <c r="B1915" s="416"/>
      <c r="C1915" s="424"/>
      <c r="E1915" s="418"/>
      <c r="F1915" s="493"/>
      <c r="G1915" s="418"/>
      <c r="H1915" s="421"/>
      <c r="I1915" s="421"/>
      <c r="J1915" s="492"/>
      <c r="K1915" s="418"/>
      <c r="L1915" s="418"/>
      <c r="M1915" s="418"/>
      <c r="N1915" s="421"/>
      <c r="O1915" s="421"/>
      <c r="P1915" s="421"/>
      <c r="Q1915" s="418"/>
      <c r="R1915" s="418"/>
      <c r="S1915" s="418"/>
      <c r="T1915" s="418"/>
      <c r="U1915" s="418"/>
      <c r="V1915" s="418"/>
      <c r="W1915" s="418"/>
      <c r="X1915" s="418"/>
      <c r="Y1915" s="418"/>
      <c r="Z1915" s="418"/>
      <c r="AA1915" s="418"/>
      <c r="AB1915" s="418"/>
      <c r="AC1915" s="418"/>
      <c r="AD1915" s="418"/>
      <c r="AE1915" s="418"/>
      <c r="AF1915" s="418"/>
      <c r="AG1915" s="418"/>
      <c r="AH1915" s="418"/>
      <c r="AI1915" s="418"/>
      <c r="AJ1915" s="418"/>
      <c r="AK1915" s="418"/>
      <c r="AL1915" s="418"/>
      <c r="AM1915" s="418"/>
      <c r="AN1915" s="418"/>
      <c r="AO1915" s="418"/>
      <c r="AP1915" s="418"/>
      <c r="AQ1915" s="418"/>
      <c r="AR1915" s="418"/>
      <c r="AS1915" s="418"/>
      <c r="AT1915" s="418"/>
      <c r="AU1915" s="418"/>
      <c r="AV1915" s="418"/>
      <c r="AW1915" s="418"/>
      <c r="AX1915" s="418"/>
      <c r="AY1915" s="418"/>
      <c r="BF1915" s="1119"/>
      <c r="BG1915" s="1119"/>
      <c r="BH1915" s="1119"/>
    </row>
    <row r="1916" spans="1:60" ht="15.75" customHeight="1">
      <c r="A1916" s="1076"/>
      <c r="B1916" s="416"/>
      <c r="C1916" s="424"/>
      <c r="E1916" s="418"/>
      <c r="F1916" s="493"/>
      <c r="G1916" s="418"/>
      <c r="H1916" s="421"/>
      <c r="I1916" s="421"/>
      <c r="J1916" s="492"/>
      <c r="K1916" s="418"/>
      <c r="L1916" s="418"/>
      <c r="M1916" s="418"/>
      <c r="N1916" s="421"/>
      <c r="O1916" s="421"/>
      <c r="P1916" s="421"/>
      <c r="Q1916" s="418"/>
      <c r="R1916" s="418"/>
      <c r="S1916" s="418"/>
      <c r="T1916" s="418"/>
      <c r="U1916" s="418"/>
      <c r="V1916" s="418"/>
      <c r="W1916" s="418"/>
      <c r="X1916" s="418"/>
      <c r="Y1916" s="418"/>
      <c r="Z1916" s="418"/>
      <c r="AA1916" s="418"/>
      <c r="AB1916" s="418"/>
      <c r="AC1916" s="418"/>
      <c r="AD1916" s="418"/>
      <c r="AE1916" s="418"/>
      <c r="AF1916" s="418"/>
      <c r="AG1916" s="418"/>
      <c r="AH1916" s="418"/>
      <c r="AI1916" s="418"/>
      <c r="AJ1916" s="418"/>
      <c r="AK1916" s="418"/>
      <c r="AL1916" s="418"/>
      <c r="AM1916" s="418"/>
      <c r="AN1916" s="418"/>
      <c r="AO1916" s="418"/>
      <c r="AP1916" s="418"/>
      <c r="AQ1916" s="418"/>
      <c r="AR1916" s="418"/>
      <c r="AS1916" s="418"/>
      <c r="AT1916" s="418"/>
      <c r="AU1916" s="418"/>
      <c r="AV1916" s="418"/>
      <c r="AW1916" s="418"/>
      <c r="AX1916" s="418"/>
      <c r="AY1916" s="418"/>
      <c r="BF1916" s="1119"/>
      <c r="BG1916" s="1119"/>
      <c r="BH1916" s="1119"/>
    </row>
    <row r="1917" spans="1:60" ht="15.75" customHeight="1">
      <c r="A1917" s="1076"/>
      <c r="B1917" s="416"/>
      <c r="C1917" s="424"/>
      <c r="E1917" s="418"/>
      <c r="F1917" s="493"/>
      <c r="G1917" s="418"/>
      <c r="H1917" s="421"/>
      <c r="I1917" s="421"/>
      <c r="J1917" s="492"/>
      <c r="K1917" s="418"/>
      <c r="L1917" s="418"/>
      <c r="M1917" s="418"/>
      <c r="N1917" s="421"/>
      <c r="O1917" s="421"/>
      <c r="P1917" s="421"/>
      <c r="Q1917" s="418"/>
      <c r="R1917" s="418"/>
      <c r="S1917" s="418"/>
      <c r="T1917" s="418"/>
      <c r="U1917" s="418"/>
      <c r="V1917" s="418"/>
      <c r="W1917" s="418"/>
      <c r="X1917" s="418"/>
      <c r="Y1917" s="418"/>
      <c r="Z1917" s="418"/>
      <c r="AA1917" s="418"/>
      <c r="AB1917" s="418"/>
      <c r="AC1917" s="418"/>
      <c r="AD1917" s="418"/>
      <c r="AE1917" s="418"/>
      <c r="AF1917" s="418"/>
      <c r="AG1917" s="418"/>
      <c r="AH1917" s="418"/>
      <c r="AI1917" s="418"/>
      <c r="AJ1917" s="418"/>
      <c r="AK1917" s="418"/>
      <c r="AL1917" s="418"/>
      <c r="AM1917" s="418"/>
      <c r="AN1917" s="418"/>
      <c r="AO1917" s="418"/>
      <c r="AP1917" s="418"/>
      <c r="AQ1917" s="418"/>
      <c r="AR1917" s="418"/>
      <c r="AS1917" s="418"/>
      <c r="AT1917" s="418"/>
      <c r="AU1917" s="418"/>
      <c r="AV1917" s="418"/>
      <c r="AW1917" s="418"/>
      <c r="AX1917" s="418"/>
      <c r="AY1917" s="418"/>
      <c r="BF1917" s="1119"/>
      <c r="BG1917" s="1119"/>
      <c r="BH1917" s="1119"/>
    </row>
    <row r="1918" spans="1:60" ht="15.75" customHeight="1">
      <c r="A1918" s="1076"/>
      <c r="B1918" s="416"/>
      <c r="C1918" s="424"/>
      <c r="E1918" s="418"/>
      <c r="F1918" s="493"/>
      <c r="G1918" s="418"/>
      <c r="H1918" s="421"/>
      <c r="I1918" s="421"/>
      <c r="J1918" s="492"/>
      <c r="K1918" s="418"/>
      <c r="L1918" s="418"/>
      <c r="M1918" s="418"/>
      <c r="N1918" s="421"/>
      <c r="O1918" s="421"/>
      <c r="P1918" s="421"/>
      <c r="Q1918" s="418"/>
      <c r="R1918" s="418"/>
      <c r="S1918" s="418"/>
      <c r="T1918" s="418"/>
      <c r="U1918" s="418"/>
      <c r="V1918" s="418"/>
      <c r="W1918" s="418"/>
      <c r="X1918" s="418"/>
      <c r="Y1918" s="418"/>
      <c r="Z1918" s="418"/>
      <c r="AA1918" s="418"/>
      <c r="AB1918" s="418"/>
      <c r="AC1918" s="418"/>
      <c r="AD1918" s="418"/>
      <c r="AE1918" s="418"/>
      <c r="AF1918" s="418"/>
      <c r="AG1918" s="418"/>
      <c r="AH1918" s="418"/>
      <c r="AI1918" s="418"/>
      <c r="AJ1918" s="418"/>
      <c r="AK1918" s="418"/>
      <c r="AL1918" s="418"/>
      <c r="AM1918" s="418"/>
      <c r="AN1918" s="418"/>
      <c r="AO1918" s="418"/>
      <c r="AP1918" s="418"/>
      <c r="AQ1918" s="418"/>
      <c r="AR1918" s="418"/>
      <c r="AS1918" s="418"/>
      <c r="AT1918" s="418"/>
      <c r="AU1918" s="418"/>
      <c r="AV1918" s="418"/>
      <c r="AW1918" s="418"/>
      <c r="AX1918" s="418"/>
      <c r="AY1918" s="418"/>
      <c r="BF1918" s="1119"/>
      <c r="BG1918" s="1119"/>
      <c r="BH1918" s="1119"/>
    </row>
    <row r="1919" spans="1:60" ht="15.75" customHeight="1">
      <c r="A1919" s="1076"/>
      <c r="B1919" s="416"/>
      <c r="C1919" s="424"/>
      <c r="E1919" s="418"/>
      <c r="F1919" s="493"/>
      <c r="G1919" s="418"/>
      <c r="H1919" s="421"/>
      <c r="I1919" s="421"/>
      <c r="J1919" s="492"/>
      <c r="K1919" s="418"/>
      <c r="L1919" s="418"/>
      <c r="M1919" s="418"/>
      <c r="N1919" s="421"/>
      <c r="O1919" s="421"/>
      <c r="P1919" s="421"/>
      <c r="Q1919" s="418"/>
      <c r="R1919" s="418"/>
      <c r="S1919" s="418"/>
      <c r="T1919" s="418"/>
      <c r="U1919" s="418"/>
      <c r="V1919" s="418"/>
      <c r="W1919" s="418"/>
      <c r="X1919" s="418"/>
      <c r="Y1919" s="418"/>
      <c r="Z1919" s="418"/>
      <c r="AA1919" s="418"/>
      <c r="AB1919" s="418"/>
      <c r="AC1919" s="418"/>
      <c r="AD1919" s="418"/>
      <c r="AE1919" s="418"/>
      <c r="AF1919" s="418"/>
      <c r="AG1919" s="418"/>
      <c r="AH1919" s="418"/>
      <c r="AI1919" s="418"/>
      <c r="AJ1919" s="418"/>
      <c r="AK1919" s="418"/>
      <c r="AL1919" s="418"/>
      <c r="AM1919" s="418"/>
      <c r="AN1919" s="418"/>
      <c r="AO1919" s="418"/>
      <c r="AP1919" s="418"/>
      <c r="AQ1919" s="418"/>
      <c r="AR1919" s="418"/>
      <c r="AS1919" s="418"/>
      <c r="AT1919" s="418"/>
      <c r="AU1919" s="418"/>
      <c r="AV1919" s="418"/>
      <c r="AW1919" s="418"/>
      <c r="AX1919" s="418"/>
      <c r="AY1919" s="418"/>
      <c r="BF1919" s="1119"/>
      <c r="BG1919" s="1119"/>
      <c r="BH1919" s="1119"/>
    </row>
    <row r="1920" spans="1:60" ht="15.75" customHeight="1">
      <c r="A1920" s="1076"/>
      <c r="B1920" s="416"/>
      <c r="C1920" s="424"/>
      <c r="E1920" s="418"/>
      <c r="F1920" s="493"/>
      <c r="G1920" s="418"/>
      <c r="H1920" s="418"/>
      <c r="I1920" s="418"/>
      <c r="J1920" s="424"/>
      <c r="K1920" s="418"/>
      <c r="L1920" s="418"/>
      <c r="M1920" s="418"/>
      <c r="N1920" s="421"/>
      <c r="O1920" s="421"/>
      <c r="P1920" s="421"/>
      <c r="Q1920" s="418"/>
      <c r="R1920" s="418"/>
      <c r="S1920" s="418"/>
      <c r="T1920" s="418"/>
      <c r="U1920" s="418"/>
      <c r="V1920" s="418"/>
      <c r="W1920" s="418"/>
      <c r="X1920" s="418"/>
      <c r="Y1920" s="418"/>
      <c r="Z1920" s="418"/>
      <c r="AA1920" s="418"/>
      <c r="AB1920" s="418"/>
      <c r="AC1920" s="418"/>
      <c r="AD1920" s="418"/>
      <c r="AE1920" s="418"/>
      <c r="AF1920" s="418"/>
      <c r="AG1920" s="418"/>
      <c r="AH1920" s="418"/>
      <c r="AI1920" s="418"/>
      <c r="AJ1920" s="418"/>
      <c r="AK1920" s="418"/>
      <c r="AL1920" s="418"/>
      <c r="AM1920" s="418"/>
      <c r="AN1920" s="418"/>
      <c r="AO1920" s="418"/>
      <c r="AP1920" s="418"/>
      <c r="AQ1920" s="418"/>
      <c r="AR1920" s="418"/>
      <c r="AS1920" s="418"/>
      <c r="AT1920" s="418"/>
      <c r="AU1920" s="418"/>
      <c r="AV1920" s="418"/>
      <c r="AW1920" s="418"/>
      <c r="AX1920" s="418"/>
      <c r="AY1920" s="418"/>
      <c r="BF1920" s="1119"/>
      <c r="BG1920" s="1119"/>
      <c r="BH1920" s="1119"/>
    </row>
    <row r="1921" spans="1:60" ht="15.75" customHeight="1">
      <c r="A1921" s="1076"/>
      <c r="B1921" s="416"/>
      <c r="C1921" s="424"/>
      <c r="E1921" s="418"/>
      <c r="F1921" s="493"/>
      <c r="G1921" s="418"/>
      <c r="H1921" s="421"/>
      <c r="I1921" s="421"/>
      <c r="J1921" s="492"/>
      <c r="K1921" s="418"/>
      <c r="L1921" s="418"/>
      <c r="M1921" s="418"/>
      <c r="N1921" s="421"/>
      <c r="O1921" s="421"/>
      <c r="P1921" s="421"/>
      <c r="Q1921" s="418"/>
      <c r="R1921" s="418"/>
      <c r="S1921" s="418"/>
      <c r="T1921" s="418"/>
      <c r="U1921" s="418"/>
      <c r="V1921" s="418"/>
      <c r="W1921" s="418"/>
      <c r="X1921" s="418"/>
      <c r="Y1921" s="418"/>
      <c r="Z1921" s="418"/>
      <c r="AA1921" s="418"/>
      <c r="AB1921" s="418"/>
      <c r="AC1921" s="418"/>
      <c r="AD1921" s="418"/>
      <c r="AE1921" s="418"/>
      <c r="AF1921" s="418"/>
      <c r="AG1921" s="418"/>
      <c r="AH1921" s="418"/>
      <c r="AI1921" s="418"/>
      <c r="AJ1921" s="418"/>
      <c r="AK1921" s="418"/>
      <c r="AL1921" s="418"/>
      <c r="AM1921" s="418"/>
      <c r="AN1921" s="418"/>
      <c r="AO1921" s="418"/>
      <c r="AP1921" s="418"/>
      <c r="AQ1921" s="418"/>
      <c r="AR1921" s="418"/>
      <c r="AS1921" s="418"/>
      <c r="AT1921" s="418"/>
      <c r="AU1921" s="418"/>
      <c r="AV1921" s="418"/>
      <c r="AW1921" s="418"/>
      <c r="AX1921" s="418"/>
      <c r="AY1921" s="418"/>
      <c r="BF1921" s="1119"/>
      <c r="BG1921" s="1119"/>
      <c r="BH1921" s="1119"/>
    </row>
    <row r="1922" spans="1:60" ht="15.75" customHeight="1">
      <c r="A1922" s="1076"/>
      <c r="B1922" s="416"/>
      <c r="C1922" s="424"/>
      <c r="E1922" s="418"/>
      <c r="F1922" s="493"/>
      <c r="G1922" s="418"/>
      <c r="H1922" s="421"/>
      <c r="I1922" s="421"/>
      <c r="J1922" s="492"/>
      <c r="K1922" s="418"/>
      <c r="L1922" s="418"/>
      <c r="M1922" s="418"/>
      <c r="N1922" s="421"/>
      <c r="O1922" s="421"/>
      <c r="P1922" s="421"/>
      <c r="Q1922" s="418"/>
      <c r="R1922" s="418"/>
      <c r="S1922" s="418"/>
      <c r="T1922" s="418"/>
      <c r="U1922" s="418"/>
      <c r="V1922" s="418"/>
      <c r="W1922" s="418"/>
      <c r="X1922" s="418"/>
      <c r="Y1922" s="418"/>
      <c r="Z1922" s="418"/>
      <c r="AA1922" s="418"/>
      <c r="AB1922" s="418"/>
      <c r="AC1922" s="418"/>
      <c r="AD1922" s="418"/>
      <c r="AE1922" s="418"/>
      <c r="AF1922" s="418"/>
      <c r="AG1922" s="418"/>
      <c r="AH1922" s="418"/>
      <c r="AI1922" s="418"/>
      <c r="AJ1922" s="418"/>
      <c r="AK1922" s="418"/>
      <c r="AL1922" s="418"/>
      <c r="AM1922" s="418"/>
      <c r="AN1922" s="418"/>
      <c r="AO1922" s="418"/>
      <c r="AP1922" s="418"/>
      <c r="AQ1922" s="418"/>
      <c r="AR1922" s="418"/>
      <c r="AS1922" s="418"/>
      <c r="AT1922" s="418"/>
      <c r="AU1922" s="418"/>
      <c r="AV1922" s="418"/>
      <c r="AW1922" s="418"/>
      <c r="AX1922" s="418"/>
      <c r="AY1922" s="418"/>
      <c r="BF1922" s="1119"/>
      <c r="BG1922" s="1119"/>
      <c r="BH1922" s="1119"/>
    </row>
    <row r="1923" spans="1:60" ht="15.75" customHeight="1">
      <c r="A1923" s="1076"/>
      <c r="B1923" s="416"/>
      <c r="C1923" s="424"/>
      <c r="E1923" s="418"/>
      <c r="F1923" s="493"/>
      <c r="G1923" s="418"/>
      <c r="H1923" s="418"/>
      <c r="I1923" s="418"/>
      <c r="J1923" s="424"/>
      <c r="K1923" s="418"/>
      <c r="L1923" s="418"/>
      <c r="M1923" s="418"/>
      <c r="N1923" s="421"/>
      <c r="O1923" s="421"/>
      <c r="P1923" s="421"/>
      <c r="Q1923" s="418"/>
      <c r="R1923" s="418"/>
      <c r="S1923" s="418"/>
      <c r="T1923" s="418"/>
      <c r="U1923" s="418"/>
      <c r="V1923" s="418"/>
      <c r="W1923" s="418"/>
      <c r="X1923" s="418"/>
      <c r="Y1923" s="418"/>
      <c r="Z1923" s="418"/>
      <c r="AA1923" s="418"/>
      <c r="AB1923" s="418"/>
      <c r="AC1923" s="418"/>
      <c r="AD1923" s="418"/>
      <c r="AE1923" s="418"/>
      <c r="AF1923" s="418"/>
      <c r="AG1923" s="418"/>
      <c r="AH1923" s="418"/>
      <c r="AI1923" s="418"/>
      <c r="AJ1923" s="418"/>
      <c r="AK1923" s="418"/>
      <c r="AL1923" s="418"/>
      <c r="AM1923" s="418"/>
      <c r="AN1923" s="418"/>
      <c r="AO1923" s="418"/>
      <c r="AP1923" s="418"/>
      <c r="AQ1923" s="418"/>
      <c r="AR1923" s="418"/>
      <c r="AS1923" s="418"/>
      <c r="AT1923" s="418"/>
      <c r="AU1923" s="418"/>
      <c r="AV1923" s="418"/>
      <c r="AW1923" s="418"/>
      <c r="AX1923" s="418"/>
      <c r="AY1923" s="418"/>
      <c r="BF1923" s="1119"/>
      <c r="BG1923" s="1119"/>
      <c r="BH1923" s="1119"/>
    </row>
    <row r="1924" spans="1:60" ht="15.75" customHeight="1">
      <c r="A1924" s="1076"/>
      <c r="B1924" s="416"/>
      <c r="C1924" s="424"/>
      <c r="E1924" s="418"/>
      <c r="F1924" s="493"/>
      <c r="G1924" s="418"/>
      <c r="H1924" s="421"/>
      <c r="I1924" s="421"/>
      <c r="J1924" s="492"/>
      <c r="K1924" s="418"/>
      <c r="L1924" s="418"/>
      <c r="M1924" s="418"/>
      <c r="N1924" s="421"/>
      <c r="O1924" s="421"/>
      <c r="P1924" s="421"/>
      <c r="Q1924" s="418"/>
      <c r="R1924" s="418"/>
      <c r="S1924" s="418"/>
      <c r="T1924" s="418"/>
      <c r="U1924" s="418"/>
      <c r="V1924" s="418"/>
      <c r="W1924" s="418"/>
      <c r="X1924" s="418"/>
      <c r="Y1924" s="418"/>
      <c r="Z1924" s="418"/>
      <c r="AA1924" s="418"/>
      <c r="AB1924" s="418"/>
      <c r="AC1924" s="418"/>
      <c r="AD1924" s="418"/>
      <c r="AE1924" s="418"/>
      <c r="AF1924" s="418"/>
      <c r="AG1924" s="418"/>
      <c r="AH1924" s="418"/>
      <c r="AI1924" s="418"/>
      <c r="AJ1924" s="418"/>
      <c r="AK1924" s="418"/>
      <c r="AL1924" s="418"/>
      <c r="AM1924" s="418"/>
      <c r="AN1924" s="418"/>
      <c r="AO1924" s="418"/>
      <c r="AP1924" s="418"/>
      <c r="AQ1924" s="418"/>
      <c r="AR1924" s="418"/>
      <c r="AS1924" s="418"/>
      <c r="AT1924" s="418"/>
      <c r="AU1924" s="418"/>
      <c r="AV1924" s="418"/>
      <c r="AW1924" s="418"/>
      <c r="AX1924" s="418"/>
      <c r="AY1924" s="418"/>
      <c r="BF1924" s="1119"/>
      <c r="BG1924" s="1119"/>
      <c r="BH1924" s="1119"/>
    </row>
    <row r="1925" spans="1:60" ht="15.75" customHeight="1">
      <c r="A1925" s="1076"/>
      <c r="B1925" s="416"/>
      <c r="C1925" s="424"/>
      <c r="E1925" s="418"/>
      <c r="F1925" s="493"/>
      <c r="G1925" s="418"/>
      <c r="H1925" s="421"/>
      <c r="I1925" s="425"/>
      <c r="J1925" s="492"/>
      <c r="K1925" s="418"/>
      <c r="L1925" s="418"/>
      <c r="M1925" s="418"/>
      <c r="N1925" s="421"/>
      <c r="O1925" s="421"/>
      <c r="P1925" s="421"/>
      <c r="Q1925" s="418"/>
      <c r="R1925" s="418"/>
      <c r="S1925" s="418"/>
      <c r="T1925" s="418"/>
      <c r="U1925" s="418"/>
      <c r="V1925" s="418"/>
      <c r="W1925" s="418"/>
      <c r="X1925" s="418"/>
      <c r="Y1925" s="418"/>
      <c r="Z1925" s="418"/>
      <c r="AA1925" s="418"/>
      <c r="AB1925" s="418"/>
      <c r="AC1925" s="418"/>
      <c r="AD1925" s="418"/>
      <c r="AE1925" s="418"/>
      <c r="AF1925" s="418"/>
      <c r="AG1925" s="418"/>
      <c r="AH1925" s="418"/>
      <c r="AI1925" s="418"/>
      <c r="AJ1925" s="418"/>
      <c r="AK1925" s="418"/>
      <c r="AL1925" s="418"/>
      <c r="AM1925" s="418"/>
      <c r="AN1925" s="418"/>
      <c r="AO1925" s="418"/>
      <c r="AP1925" s="418"/>
      <c r="AQ1925" s="418"/>
      <c r="AR1925" s="418"/>
      <c r="AS1925" s="418"/>
      <c r="AT1925" s="418"/>
      <c r="AU1925" s="418"/>
      <c r="AV1925" s="418"/>
      <c r="AW1925" s="418"/>
      <c r="AX1925" s="418"/>
      <c r="AY1925" s="418"/>
      <c r="BF1925" s="1119"/>
      <c r="BG1925" s="1119"/>
      <c r="BH1925" s="1119"/>
    </row>
    <row r="1926" spans="1:60" ht="15.75" customHeight="1">
      <c r="A1926" s="1076"/>
      <c r="B1926" s="416"/>
      <c r="C1926" s="424"/>
      <c r="E1926" s="418"/>
      <c r="F1926" s="493"/>
      <c r="G1926" s="418"/>
      <c r="H1926" s="421"/>
      <c r="I1926" s="421"/>
      <c r="J1926" s="492"/>
      <c r="K1926" s="418"/>
      <c r="L1926" s="418"/>
      <c r="M1926" s="418"/>
      <c r="N1926" s="421"/>
      <c r="O1926" s="421"/>
      <c r="P1926" s="421"/>
      <c r="Q1926" s="418"/>
      <c r="R1926" s="418"/>
      <c r="S1926" s="418"/>
      <c r="T1926" s="418"/>
      <c r="U1926" s="418"/>
      <c r="V1926" s="418"/>
      <c r="W1926" s="418"/>
      <c r="X1926" s="418"/>
      <c r="Y1926" s="418"/>
      <c r="Z1926" s="418"/>
      <c r="AA1926" s="418"/>
      <c r="AB1926" s="418"/>
      <c r="AC1926" s="418"/>
      <c r="AD1926" s="418"/>
      <c r="AE1926" s="418"/>
      <c r="AF1926" s="418"/>
      <c r="AG1926" s="418"/>
      <c r="AH1926" s="418"/>
      <c r="AI1926" s="418"/>
      <c r="AJ1926" s="418"/>
      <c r="AK1926" s="418"/>
      <c r="AL1926" s="418"/>
      <c r="AM1926" s="418"/>
      <c r="AN1926" s="418"/>
      <c r="AO1926" s="418"/>
      <c r="AP1926" s="418"/>
      <c r="AQ1926" s="418"/>
      <c r="AR1926" s="418"/>
      <c r="AS1926" s="418"/>
      <c r="AT1926" s="418"/>
      <c r="AU1926" s="418"/>
      <c r="AV1926" s="418"/>
      <c r="AW1926" s="418"/>
      <c r="AX1926" s="418"/>
      <c r="AY1926" s="418"/>
      <c r="BF1926" s="1119"/>
      <c r="BG1926" s="1119"/>
      <c r="BH1926" s="1119"/>
    </row>
    <row r="1927" spans="1:60" ht="15.75" customHeight="1">
      <c r="A1927" s="1076"/>
      <c r="B1927" s="416"/>
      <c r="C1927" s="424"/>
      <c r="E1927" s="418"/>
      <c r="F1927" s="493"/>
      <c r="G1927" s="418"/>
      <c r="H1927" s="421"/>
      <c r="I1927" s="425"/>
      <c r="J1927" s="492"/>
      <c r="K1927" s="418"/>
      <c r="L1927" s="418"/>
      <c r="M1927" s="418"/>
      <c r="N1927" s="421"/>
      <c r="O1927" s="421"/>
      <c r="P1927" s="421"/>
      <c r="Q1927" s="418"/>
      <c r="R1927" s="418"/>
      <c r="S1927" s="418"/>
      <c r="T1927" s="418"/>
      <c r="U1927" s="418"/>
      <c r="V1927" s="418"/>
      <c r="W1927" s="418"/>
      <c r="X1927" s="418"/>
      <c r="Y1927" s="418"/>
      <c r="Z1927" s="418"/>
      <c r="AA1927" s="418"/>
      <c r="AB1927" s="418"/>
      <c r="AC1927" s="418"/>
      <c r="AD1927" s="418"/>
      <c r="AE1927" s="418"/>
      <c r="AF1927" s="418"/>
      <c r="AG1927" s="418"/>
      <c r="AH1927" s="418"/>
      <c r="AI1927" s="418"/>
      <c r="AJ1927" s="418"/>
      <c r="AK1927" s="418"/>
      <c r="AL1927" s="418"/>
      <c r="AM1927" s="418"/>
      <c r="AN1927" s="418"/>
      <c r="AO1927" s="418"/>
      <c r="AP1927" s="418"/>
      <c r="AQ1927" s="418"/>
      <c r="AR1927" s="418"/>
      <c r="AS1927" s="418"/>
      <c r="AT1927" s="418"/>
      <c r="AU1927" s="418"/>
      <c r="AV1927" s="418"/>
      <c r="AW1927" s="418"/>
      <c r="AX1927" s="418"/>
      <c r="AY1927" s="418"/>
      <c r="BF1927" s="1119"/>
      <c r="BG1927" s="1119"/>
      <c r="BH1927" s="1119"/>
    </row>
    <row r="1928" spans="1:60" ht="15.75" customHeight="1">
      <c r="A1928" s="1076"/>
      <c r="B1928" s="416"/>
      <c r="C1928" s="424"/>
      <c r="E1928" s="418"/>
      <c r="F1928" s="493"/>
      <c r="G1928" s="418"/>
      <c r="H1928" s="421"/>
      <c r="I1928" s="421"/>
      <c r="J1928" s="492"/>
      <c r="K1928" s="418"/>
      <c r="L1928" s="418"/>
      <c r="M1928" s="418"/>
      <c r="N1928" s="421"/>
      <c r="O1928" s="421"/>
      <c r="P1928" s="421"/>
      <c r="Q1928" s="418"/>
      <c r="R1928" s="418"/>
      <c r="S1928" s="418"/>
      <c r="T1928" s="418"/>
      <c r="U1928" s="418"/>
      <c r="V1928" s="418"/>
      <c r="W1928" s="418"/>
      <c r="X1928" s="418"/>
      <c r="Y1928" s="418"/>
      <c r="Z1928" s="418"/>
      <c r="AA1928" s="418"/>
      <c r="AB1928" s="418"/>
      <c r="AC1928" s="418"/>
      <c r="AD1928" s="418"/>
      <c r="AE1928" s="418"/>
      <c r="AF1928" s="418"/>
      <c r="AG1928" s="418"/>
      <c r="AH1928" s="418"/>
      <c r="AI1928" s="418"/>
      <c r="AJ1928" s="418"/>
      <c r="AK1928" s="418"/>
      <c r="AL1928" s="418"/>
      <c r="AM1928" s="418"/>
      <c r="AN1928" s="418"/>
      <c r="AO1928" s="418"/>
      <c r="AP1928" s="418"/>
      <c r="AQ1928" s="418"/>
      <c r="AR1928" s="418"/>
      <c r="AS1928" s="418"/>
      <c r="AT1928" s="418"/>
      <c r="AU1928" s="418"/>
      <c r="AV1928" s="418"/>
      <c r="AW1928" s="418"/>
      <c r="AX1928" s="418"/>
      <c r="AY1928" s="418"/>
      <c r="BF1928" s="1119"/>
      <c r="BG1928" s="1119"/>
      <c r="BH1928" s="1119"/>
    </row>
    <row r="1929" spans="1:60" ht="15.75" customHeight="1">
      <c r="A1929" s="1076"/>
      <c r="B1929" s="416"/>
      <c r="C1929" s="424"/>
      <c r="E1929" s="418"/>
      <c r="F1929" s="493"/>
      <c r="G1929" s="418"/>
      <c r="H1929" s="418"/>
      <c r="I1929" s="418"/>
      <c r="J1929" s="424"/>
      <c r="K1929" s="418"/>
      <c r="L1929" s="418"/>
      <c r="M1929" s="418"/>
      <c r="N1929" s="421"/>
      <c r="O1929" s="421"/>
      <c r="P1929" s="421"/>
      <c r="Q1929" s="418"/>
      <c r="R1929" s="418"/>
      <c r="S1929" s="418"/>
      <c r="T1929" s="418"/>
      <c r="U1929" s="418"/>
      <c r="V1929" s="418"/>
      <c r="W1929" s="418"/>
      <c r="X1929" s="418"/>
      <c r="Y1929" s="418"/>
      <c r="Z1929" s="418"/>
      <c r="AA1929" s="418"/>
      <c r="AB1929" s="418"/>
      <c r="AC1929" s="418"/>
      <c r="AD1929" s="418"/>
      <c r="AE1929" s="418"/>
      <c r="AF1929" s="418"/>
      <c r="AG1929" s="418"/>
      <c r="AH1929" s="418"/>
      <c r="AI1929" s="418"/>
      <c r="AJ1929" s="418"/>
      <c r="AK1929" s="418"/>
      <c r="AL1929" s="418"/>
      <c r="AM1929" s="418"/>
      <c r="AN1929" s="418"/>
      <c r="AO1929" s="418"/>
      <c r="AP1929" s="418"/>
      <c r="AQ1929" s="418"/>
      <c r="AR1929" s="418"/>
      <c r="AS1929" s="418"/>
      <c r="AT1929" s="418"/>
      <c r="AU1929" s="418"/>
      <c r="AV1929" s="418"/>
      <c r="AW1929" s="418"/>
      <c r="AX1929" s="418"/>
      <c r="AY1929" s="418"/>
      <c r="BF1929" s="1119"/>
      <c r="BG1929" s="1119"/>
      <c r="BH1929" s="1119"/>
    </row>
    <row r="1930" spans="1:60" ht="15.75" customHeight="1">
      <c r="A1930" s="1076"/>
      <c r="B1930" s="416"/>
      <c r="C1930" s="424"/>
      <c r="E1930" s="418"/>
      <c r="F1930" s="493"/>
      <c r="G1930" s="418"/>
      <c r="H1930" s="418"/>
      <c r="I1930" s="418"/>
      <c r="J1930" s="424"/>
      <c r="K1930" s="418"/>
      <c r="L1930" s="418"/>
      <c r="M1930" s="418"/>
      <c r="N1930" s="421"/>
      <c r="O1930" s="421"/>
      <c r="P1930" s="421"/>
      <c r="Q1930" s="418"/>
      <c r="R1930" s="418"/>
      <c r="S1930" s="418"/>
      <c r="T1930" s="418"/>
      <c r="U1930" s="418"/>
      <c r="V1930" s="418"/>
      <c r="W1930" s="418"/>
      <c r="X1930" s="418"/>
      <c r="Y1930" s="418"/>
      <c r="Z1930" s="418"/>
      <c r="AA1930" s="418"/>
      <c r="AB1930" s="418"/>
      <c r="AC1930" s="418"/>
      <c r="AD1930" s="418"/>
      <c r="AE1930" s="418"/>
      <c r="AF1930" s="418"/>
      <c r="AG1930" s="418"/>
      <c r="AH1930" s="418"/>
      <c r="AI1930" s="418"/>
      <c r="AJ1930" s="418"/>
      <c r="AK1930" s="418"/>
      <c r="AL1930" s="418"/>
      <c r="AM1930" s="418"/>
      <c r="AN1930" s="418"/>
      <c r="AO1930" s="418"/>
      <c r="AP1930" s="418"/>
      <c r="AQ1930" s="418"/>
      <c r="AR1930" s="418"/>
      <c r="AS1930" s="418"/>
      <c r="AT1930" s="418"/>
      <c r="AU1930" s="418"/>
      <c r="AV1930" s="418"/>
      <c r="AW1930" s="418"/>
      <c r="AX1930" s="418"/>
      <c r="AY1930" s="418"/>
      <c r="BF1930" s="1119"/>
      <c r="BG1930" s="1119"/>
      <c r="BH1930" s="1119"/>
    </row>
    <row r="1931" spans="1:60" ht="15.75" customHeight="1">
      <c r="A1931" s="1076"/>
      <c r="B1931" s="416"/>
      <c r="C1931" s="424"/>
      <c r="E1931" s="418"/>
      <c r="F1931" s="493"/>
      <c r="G1931" s="418"/>
      <c r="H1931" s="418"/>
      <c r="I1931" s="418"/>
      <c r="J1931" s="424"/>
      <c r="K1931" s="418"/>
      <c r="L1931" s="418"/>
      <c r="M1931" s="418"/>
      <c r="N1931" s="421"/>
      <c r="O1931" s="421"/>
      <c r="P1931" s="421"/>
      <c r="Q1931" s="418"/>
      <c r="R1931" s="418"/>
      <c r="S1931" s="418"/>
      <c r="T1931" s="418"/>
      <c r="U1931" s="418"/>
      <c r="V1931" s="418"/>
      <c r="W1931" s="418"/>
      <c r="X1931" s="418"/>
      <c r="Y1931" s="418"/>
      <c r="Z1931" s="418"/>
      <c r="AA1931" s="418"/>
      <c r="AB1931" s="418"/>
      <c r="AC1931" s="418"/>
      <c r="AD1931" s="418"/>
      <c r="AE1931" s="418"/>
      <c r="AF1931" s="418"/>
      <c r="AG1931" s="418"/>
      <c r="AH1931" s="418"/>
      <c r="AI1931" s="418"/>
      <c r="AJ1931" s="418"/>
      <c r="AK1931" s="418"/>
      <c r="AL1931" s="418"/>
      <c r="AM1931" s="418"/>
      <c r="AN1931" s="418"/>
      <c r="AO1931" s="418"/>
      <c r="AP1931" s="418"/>
      <c r="AQ1931" s="418"/>
      <c r="AR1931" s="418"/>
      <c r="AS1931" s="418"/>
      <c r="AT1931" s="418"/>
      <c r="AU1931" s="418"/>
      <c r="AV1931" s="418"/>
      <c r="AW1931" s="418"/>
      <c r="AX1931" s="418"/>
      <c r="AY1931" s="418"/>
      <c r="BF1931" s="1119"/>
      <c r="BG1931" s="1119"/>
      <c r="BH1931" s="1119"/>
    </row>
    <row r="1932" spans="1:60" ht="15.75" customHeight="1">
      <c r="A1932" s="1076"/>
      <c r="B1932" s="416"/>
      <c r="C1932" s="424"/>
      <c r="E1932" s="418"/>
      <c r="F1932" s="493"/>
      <c r="G1932" s="418"/>
      <c r="H1932" s="418"/>
      <c r="I1932" s="418"/>
      <c r="J1932" s="424"/>
      <c r="K1932" s="418"/>
      <c r="L1932" s="418"/>
      <c r="M1932" s="418"/>
      <c r="N1932" s="421"/>
      <c r="O1932" s="421"/>
      <c r="P1932" s="421"/>
      <c r="Q1932" s="418"/>
      <c r="R1932" s="418"/>
      <c r="S1932" s="418"/>
      <c r="T1932" s="418"/>
      <c r="U1932" s="418"/>
      <c r="V1932" s="418"/>
      <c r="W1932" s="418"/>
      <c r="X1932" s="418"/>
      <c r="Y1932" s="418"/>
      <c r="Z1932" s="418"/>
      <c r="AA1932" s="418"/>
      <c r="AB1932" s="418"/>
      <c r="AC1932" s="418"/>
      <c r="AD1932" s="418"/>
      <c r="AE1932" s="418"/>
      <c r="AF1932" s="418"/>
      <c r="AG1932" s="418"/>
      <c r="AH1932" s="418"/>
      <c r="AI1932" s="418"/>
      <c r="AJ1932" s="418"/>
      <c r="AK1932" s="418"/>
      <c r="AL1932" s="418"/>
      <c r="AM1932" s="418"/>
      <c r="AN1932" s="418"/>
      <c r="AO1932" s="418"/>
      <c r="AP1932" s="418"/>
      <c r="AQ1932" s="418"/>
      <c r="AR1932" s="418"/>
      <c r="AS1932" s="418"/>
      <c r="AT1932" s="418"/>
      <c r="AU1932" s="418"/>
      <c r="AV1932" s="418"/>
      <c r="AW1932" s="418"/>
      <c r="AX1932" s="418"/>
      <c r="AY1932" s="418"/>
      <c r="BF1932" s="1119"/>
      <c r="BG1932" s="1119"/>
      <c r="BH1932" s="1119"/>
    </row>
    <row r="1933" spans="1:60" ht="15.75" customHeight="1">
      <c r="A1933" s="1076"/>
      <c r="B1933" s="416"/>
      <c r="C1933" s="424"/>
      <c r="E1933" s="418"/>
      <c r="F1933" s="493"/>
      <c r="G1933" s="418"/>
      <c r="H1933" s="421"/>
      <c r="I1933" s="421"/>
      <c r="J1933" s="492"/>
      <c r="K1933" s="418"/>
      <c r="L1933" s="418"/>
      <c r="M1933" s="418"/>
      <c r="N1933" s="421"/>
      <c r="O1933" s="421"/>
      <c r="P1933" s="421"/>
      <c r="Q1933" s="418"/>
      <c r="R1933" s="418"/>
      <c r="S1933" s="418"/>
      <c r="T1933" s="418"/>
      <c r="U1933" s="418"/>
      <c r="V1933" s="418"/>
      <c r="W1933" s="418"/>
      <c r="X1933" s="418"/>
      <c r="Y1933" s="418"/>
      <c r="Z1933" s="418"/>
      <c r="AA1933" s="418"/>
      <c r="AB1933" s="418"/>
      <c r="AC1933" s="418"/>
      <c r="AD1933" s="418"/>
      <c r="AE1933" s="418"/>
      <c r="AF1933" s="418"/>
      <c r="AG1933" s="418"/>
      <c r="AH1933" s="418"/>
      <c r="AI1933" s="418"/>
      <c r="AJ1933" s="418"/>
      <c r="AK1933" s="418"/>
      <c r="AL1933" s="418"/>
      <c r="AM1933" s="418"/>
      <c r="AN1933" s="418"/>
      <c r="AO1933" s="418"/>
      <c r="AP1933" s="418"/>
      <c r="AQ1933" s="418"/>
      <c r="AR1933" s="418"/>
      <c r="AS1933" s="418"/>
      <c r="AT1933" s="418"/>
      <c r="AU1933" s="418"/>
      <c r="AV1933" s="418"/>
      <c r="AW1933" s="418"/>
      <c r="AX1933" s="418"/>
      <c r="AY1933" s="418"/>
      <c r="BF1933" s="1119"/>
      <c r="BG1933" s="1119"/>
      <c r="BH1933" s="1119"/>
    </row>
    <row r="1934" spans="1:60" ht="15.75" customHeight="1">
      <c r="A1934" s="1076"/>
      <c r="B1934" s="416"/>
      <c r="C1934" s="424"/>
      <c r="E1934" s="418"/>
      <c r="F1934" s="493"/>
      <c r="G1934" s="418"/>
      <c r="H1934" s="421"/>
      <c r="I1934" s="421"/>
      <c r="J1934" s="492"/>
      <c r="K1934" s="418"/>
      <c r="L1934" s="418"/>
      <c r="M1934" s="418"/>
      <c r="N1934" s="421"/>
      <c r="O1934" s="421"/>
      <c r="P1934" s="421"/>
      <c r="Q1934" s="418"/>
      <c r="R1934" s="418"/>
      <c r="S1934" s="418"/>
      <c r="T1934" s="418"/>
      <c r="U1934" s="418"/>
      <c r="V1934" s="418"/>
      <c r="W1934" s="418"/>
      <c r="X1934" s="418"/>
      <c r="Y1934" s="418"/>
      <c r="Z1934" s="418"/>
      <c r="AA1934" s="418"/>
      <c r="AB1934" s="418"/>
      <c r="AC1934" s="418"/>
      <c r="AD1934" s="418"/>
      <c r="AE1934" s="418"/>
      <c r="AF1934" s="418"/>
      <c r="AG1934" s="418"/>
      <c r="AH1934" s="418"/>
      <c r="AI1934" s="418"/>
      <c r="AJ1934" s="418"/>
      <c r="AK1934" s="418"/>
      <c r="AL1934" s="418"/>
      <c r="AM1934" s="418"/>
      <c r="AN1934" s="418"/>
      <c r="AO1934" s="418"/>
      <c r="AP1934" s="418"/>
      <c r="AQ1934" s="418"/>
      <c r="AR1934" s="418"/>
      <c r="AS1934" s="418"/>
      <c r="AT1934" s="418"/>
      <c r="AU1934" s="418"/>
      <c r="AV1934" s="418"/>
      <c r="AW1934" s="418"/>
      <c r="AX1934" s="418"/>
      <c r="AY1934" s="418"/>
      <c r="BF1934" s="1119"/>
      <c r="BG1934" s="1119"/>
      <c r="BH1934" s="1119"/>
    </row>
    <row r="1935" spans="1:60" ht="15.75" customHeight="1">
      <c r="A1935" s="1076"/>
      <c r="B1935" s="416"/>
      <c r="C1935" s="424"/>
      <c r="E1935" s="418"/>
      <c r="F1935" s="493"/>
      <c r="G1935" s="418"/>
      <c r="H1935" s="421"/>
      <c r="I1935" s="421"/>
      <c r="J1935" s="492"/>
      <c r="K1935" s="418"/>
      <c r="L1935" s="418"/>
      <c r="M1935" s="418"/>
      <c r="N1935" s="421"/>
      <c r="O1935" s="421"/>
      <c r="P1935" s="421"/>
      <c r="Q1935" s="418"/>
      <c r="R1935" s="418"/>
      <c r="S1935" s="418"/>
      <c r="T1935" s="418"/>
      <c r="U1935" s="418"/>
      <c r="V1935" s="418"/>
      <c r="W1935" s="418"/>
      <c r="X1935" s="418"/>
      <c r="Y1935" s="418"/>
      <c r="Z1935" s="418"/>
      <c r="AA1935" s="418"/>
      <c r="AB1935" s="418"/>
      <c r="AC1935" s="418"/>
      <c r="AD1935" s="418"/>
      <c r="AE1935" s="418"/>
      <c r="AF1935" s="418"/>
      <c r="AG1935" s="418"/>
      <c r="AH1935" s="418"/>
      <c r="AI1935" s="418"/>
      <c r="AJ1935" s="418"/>
      <c r="AK1935" s="418"/>
      <c r="AL1935" s="418"/>
      <c r="AM1935" s="418"/>
      <c r="AN1935" s="418"/>
      <c r="AO1935" s="418"/>
      <c r="AP1935" s="418"/>
      <c r="AQ1935" s="418"/>
      <c r="AR1935" s="418"/>
      <c r="AS1935" s="418"/>
      <c r="AT1935" s="418"/>
      <c r="AU1935" s="418"/>
      <c r="AV1935" s="418"/>
      <c r="AW1935" s="418"/>
      <c r="AX1935" s="418"/>
      <c r="AY1935" s="418"/>
      <c r="BF1935" s="1119"/>
      <c r="BG1935" s="1119"/>
      <c r="BH1935" s="1119"/>
    </row>
    <row r="1936" spans="1:60" ht="15.75" customHeight="1">
      <c r="A1936" s="1076"/>
      <c r="B1936" s="416"/>
      <c r="C1936" s="424"/>
      <c r="E1936" s="418"/>
      <c r="F1936" s="493"/>
      <c r="G1936" s="418"/>
      <c r="H1936" s="421"/>
      <c r="I1936" s="421"/>
      <c r="J1936" s="492"/>
      <c r="K1936" s="418"/>
      <c r="L1936" s="418"/>
      <c r="M1936" s="418"/>
      <c r="N1936" s="421"/>
      <c r="O1936" s="421"/>
      <c r="P1936" s="421"/>
      <c r="Q1936" s="418"/>
      <c r="R1936" s="418"/>
      <c r="S1936" s="418"/>
      <c r="T1936" s="418"/>
      <c r="U1936" s="418"/>
      <c r="V1936" s="418"/>
      <c r="W1936" s="418"/>
      <c r="X1936" s="418"/>
      <c r="Y1936" s="418"/>
      <c r="Z1936" s="418"/>
      <c r="AA1936" s="418"/>
      <c r="AB1936" s="418"/>
      <c r="AC1936" s="418"/>
      <c r="AD1936" s="418"/>
      <c r="AE1936" s="418"/>
      <c r="AF1936" s="418"/>
      <c r="AG1936" s="418"/>
      <c r="AH1936" s="418"/>
      <c r="AI1936" s="418"/>
      <c r="AJ1936" s="418"/>
      <c r="AK1936" s="418"/>
      <c r="AL1936" s="418"/>
      <c r="AM1936" s="418"/>
      <c r="AN1936" s="418"/>
      <c r="AO1936" s="418"/>
      <c r="AP1936" s="418"/>
      <c r="AQ1936" s="418"/>
      <c r="AR1936" s="418"/>
      <c r="AS1936" s="418"/>
      <c r="AT1936" s="418"/>
      <c r="AU1936" s="418"/>
      <c r="AV1936" s="418"/>
      <c r="AW1936" s="418"/>
      <c r="AX1936" s="418"/>
      <c r="AY1936" s="418"/>
      <c r="BF1936" s="1119"/>
      <c r="BG1936" s="1119"/>
      <c r="BH1936" s="1119"/>
    </row>
    <row r="1937" spans="1:60" ht="15.75" customHeight="1">
      <c r="A1937" s="1076"/>
      <c r="B1937" s="416"/>
      <c r="C1937" s="424"/>
      <c r="E1937" s="418"/>
      <c r="F1937" s="493"/>
      <c r="G1937" s="418"/>
      <c r="H1937" s="421"/>
      <c r="I1937" s="421"/>
      <c r="J1937" s="492"/>
      <c r="K1937" s="418"/>
      <c r="L1937" s="418"/>
      <c r="M1937" s="418"/>
      <c r="N1937" s="421"/>
      <c r="O1937" s="421"/>
      <c r="P1937" s="421"/>
      <c r="Q1937" s="418"/>
      <c r="R1937" s="418"/>
      <c r="S1937" s="418"/>
      <c r="T1937" s="418"/>
      <c r="U1937" s="418"/>
      <c r="V1937" s="418"/>
      <c r="W1937" s="418"/>
      <c r="X1937" s="418"/>
      <c r="Y1937" s="418"/>
      <c r="Z1937" s="418"/>
      <c r="AA1937" s="418"/>
      <c r="AB1937" s="418"/>
      <c r="AC1937" s="418"/>
      <c r="AD1937" s="418"/>
      <c r="AE1937" s="418"/>
      <c r="AF1937" s="418"/>
      <c r="AG1937" s="418"/>
      <c r="AH1937" s="418"/>
      <c r="AI1937" s="418"/>
      <c r="AJ1937" s="418"/>
      <c r="AK1937" s="418"/>
      <c r="AL1937" s="418"/>
      <c r="AM1937" s="418"/>
      <c r="AN1937" s="418"/>
      <c r="AO1937" s="418"/>
      <c r="AP1937" s="418"/>
      <c r="AQ1937" s="418"/>
      <c r="AR1937" s="418"/>
      <c r="AS1937" s="418"/>
      <c r="AT1937" s="418"/>
      <c r="AU1937" s="418"/>
      <c r="AV1937" s="418"/>
      <c r="AW1937" s="418"/>
      <c r="AX1937" s="418"/>
      <c r="AY1937" s="418"/>
      <c r="BF1937" s="1119"/>
      <c r="BG1937" s="1119"/>
      <c r="BH1937" s="1119"/>
    </row>
    <row r="1938" spans="1:60" ht="15.75" customHeight="1">
      <c r="A1938" s="1076"/>
      <c r="B1938" s="416"/>
      <c r="C1938" s="424"/>
      <c r="E1938" s="418"/>
      <c r="F1938" s="493"/>
      <c r="G1938" s="418"/>
      <c r="H1938" s="421"/>
      <c r="I1938" s="421"/>
      <c r="J1938" s="492"/>
      <c r="K1938" s="418"/>
      <c r="L1938" s="418"/>
      <c r="M1938" s="418"/>
      <c r="N1938" s="421"/>
      <c r="O1938" s="421"/>
      <c r="P1938" s="421"/>
      <c r="Q1938" s="418"/>
      <c r="R1938" s="418"/>
      <c r="S1938" s="418"/>
      <c r="T1938" s="418"/>
      <c r="U1938" s="418"/>
      <c r="V1938" s="418"/>
      <c r="W1938" s="418"/>
      <c r="X1938" s="418"/>
      <c r="Y1938" s="418"/>
      <c r="Z1938" s="418"/>
      <c r="AA1938" s="418"/>
      <c r="AB1938" s="418"/>
      <c r="AC1938" s="418"/>
      <c r="AD1938" s="418"/>
      <c r="AE1938" s="418"/>
      <c r="AF1938" s="418"/>
      <c r="AG1938" s="418"/>
      <c r="AH1938" s="418"/>
      <c r="AI1938" s="418"/>
      <c r="AJ1938" s="418"/>
      <c r="AK1938" s="418"/>
      <c r="AL1938" s="418"/>
      <c r="AM1938" s="418"/>
      <c r="AN1938" s="418"/>
      <c r="AO1938" s="418"/>
      <c r="AP1938" s="418"/>
      <c r="AQ1938" s="418"/>
      <c r="AR1938" s="418"/>
      <c r="AS1938" s="418"/>
      <c r="AT1938" s="418"/>
      <c r="AU1938" s="418"/>
      <c r="AV1938" s="418"/>
      <c r="AW1938" s="418"/>
      <c r="AX1938" s="418"/>
      <c r="AY1938" s="418"/>
      <c r="BF1938" s="1119"/>
      <c r="BG1938" s="1119"/>
      <c r="BH1938" s="1119"/>
    </row>
    <row r="1939" spans="1:60" ht="15.75" customHeight="1">
      <c r="A1939" s="1076"/>
      <c r="B1939" s="416"/>
      <c r="C1939" s="424"/>
      <c r="E1939" s="418"/>
      <c r="F1939" s="493"/>
      <c r="G1939" s="418"/>
      <c r="H1939" s="421"/>
      <c r="I1939" s="421"/>
      <c r="J1939" s="492"/>
      <c r="K1939" s="418"/>
      <c r="L1939" s="418"/>
      <c r="M1939" s="418"/>
      <c r="N1939" s="421"/>
      <c r="O1939" s="421"/>
      <c r="P1939" s="421"/>
      <c r="Q1939" s="418"/>
      <c r="R1939" s="418"/>
      <c r="S1939" s="418"/>
      <c r="T1939" s="418"/>
      <c r="U1939" s="418"/>
      <c r="V1939" s="418"/>
      <c r="W1939" s="418"/>
      <c r="X1939" s="418"/>
      <c r="Y1939" s="418"/>
      <c r="Z1939" s="418"/>
      <c r="AA1939" s="418"/>
      <c r="AB1939" s="418"/>
      <c r="AC1939" s="418"/>
      <c r="AD1939" s="418"/>
      <c r="AE1939" s="418"/>
      <c r="AF1939" s="418"/>
      <c r="AG1939" s="418"/>
      <c r="AH1939" s="418"/>
      <c r="AI1939" s="418"/>
      <c r="AJ1939" s="418"/>
      <c r="AK1939" s="418"/>
      <c r="AL1939" s="418"/>
      <c r="AM1939" s="418"/>
      <c r="AN1939" s="418"/>
      <c r="AO1939" s="418"/>
      <c r="AP1939" s="418"/>
      <c r="AQ1939" s="418"/>
      <c r="AR1939" s="418"/>
      <c r="AS1939" s="418"/>
      <c r="AT1939" s="418"/>
      <c r="AU1939" s="418"/>
      <c r="AV1939" s="418"/>
      <c r="AW1939" s="418"/>
      <c r="AX1939" s="418"/>
      <c r="AY1939" s="418"/>
      <c r="BF1939" s="1119"/>
      <c r="BG1939" s="1119"/>
      <c r="BH1939" s="1119"/>
    </row>
    <row r="1940" spans="1:60" ht="15.75" customHeight="1">
      <c r="A1940" s="1076"/>
      <c r="B1940" s="416"/>
      <c r="C1940" s="424"/>
      <c r="E1940" s="418"/>
      <c r="F1940" s="493"/>
      <c r="G1940" s="418"/>
      <c r="H1940" s="421"/>
      <c r="I1940" s="421"/>
      <c r="J1940" s="492"/>
      <c r="K1940" s="418"/>
      <c r="L1940" s="418"/>
      <c r="M1940" s="418"/>
      <c r="N1940" s="421"/>
      <c r="O1940" s="421"/>
      <c r="P1940" s="421"/>
      <c r="Q1940" s="418"/>
      <c r="R1940" s="418"/>
      <c r="S1940" s="418"/>
      <c r="T1940" s="418"/>
      <c r="U1940" s="418"/>
      <c r="V1940" s="418"/>
      <c r="W1940" s="418"/>
      <c r="X1940" s="418"/>
      <c r="Y1940" s="418"/>
      <c r="Z1940" s="418"/>
      <c r="AA1940" s="418"/>
      <c r="AB1940" s="418"/>
      <c r="AC1940" s="418"/>
      <c r="AD1940" s="418"/>
      <c r="AE1940" s="418"/>
      <c r="AF1940" s="418"/>
      <c r="AG1940" s="418"/>
      <c r="AH1940" s="418"/>
      <c r="AI1940" s="418"/>
      <c r="AJ1940" s="418"/>
      <c r="AK1940" s="418"/>
      <c r="AL1940" s="418"/>
      <c r="AM1940" s="418"/>
      <c r="AN1940" s="418"/>
      <c r="AO1940" s="418"/>
      <c r="AP1940" s="418"/>
      <c r="AQ1940" s="418"/>
      <c r="AR1940" s="418"/>
      <c r="AS1940" s="418"/>
      <c r="AT1940" s="418"/>
      <c r="AU1940" s="418"/>
      <c r="AV1940" s="418"/>
      <c r="AW1940" s="418"/>
      <c r="AX1940" s="418"/>
      <c r="AY1940" s="418"/>
      <c r="BF1940" s="1119"/>
      <c r="BG1940" s="1119"/>
      <c r="BH1940" s="1119"/>
    </row>
    <row r="1941" spans="1:60" ht="15.75" customHeight="1">
      <c r="A1941" s="1076"/>
      <c r="B1941" s="416"/>
      <c r="C1941" s="424"/>
      <c r="E1941" s="418"/>
      <c r="F1941" s="493"/>
      <c r="G1941" s="418"/>
      <c r="H1941" s="421"/>
      <c r="I1941" s="421"/>
      <c r="J1941" s="492"/>
      <c r="K1941" s="418"/>
      <c r="L1941" s="418"/>
      <c r="M1941" s="418"/>
      <c r="N1941" s="421"/>
      <c r="O1941" s="421"/>
      <c r="P1941" s="421"/>
      <c r="Q1941" s="418"/>
      <c r="R1941" s="418"/>
      <c r="S1941" s="418"/>
      <c r="T1941" s="418"/>
      <c r="U1941" s="418"/>
      <c r="V1941" s="418"/>
      <c r="W1941" s="418"/>
      <c r="X1941" s="418"/>
      <c r="Y1941" s="418"/>
      <c r="Z1941" s="418"/>
      <c r="AA1941" s="418"/>
      <c r="AB1941" s="418"/>
      <c r="AC1941" s="418"/>
      <c r="AD1941" s="418"/>
      <c r="AE1941" s="418"/>
      <c r="AF1941" s="418"/>
      <c r="AG1941" s="418"/>
      <c r="AH1941" s="418"/>
      <c r="AI1941" s="418"/>
      <c r="AJ1941" s="418"/>
      <c r="AK1941" s="418"/>
      <c r="AL1941" s="418"/>
      <c r="AM1941" s="418"/>
      <c r="AN1941" s="418"/>
      <c r="AO1941" s="418"/>
      <c r="AP1941" s="418"/>
      <c r="AQ1941" s="418"/>
      <c r="AR1941" s="418"/>
      <c r="AS1941" s="418"/>
      <c r="AT1941" s="418"/>
      <c r="AU1941" s="418"/>
      <c r="AV1941" s="418"/>
      <c r="AW1941" s="418"/>
      <c r="AX1941" s="418"/>
      <c r="AY1941" s="418"/>
      <c r="BF1941" s="1119"/>
      <c r="BG1941" s="1119"/>
      <c r="BH1941" s="1119"/>
    </row>
    <row r="1942" spans="1:60" ht="15.75" customHeight="1">
      <c r="A1942" s="1076"/>
      <c r="B1942" s="416"/>
      <c r="C1942" s="424"/>
      <c r="E1942" s="418"/>
      <c r="F1942" s="493"/>
      <c r="G1942" s="418"/>
      <c r="H1942" s="421"/>
      <c r="I1942" s="421"/>
      <c r="J1942" s="492"/>
      <c r="K1942" s="418"/>
      <c r="L1942" s="418"/>
      <c r="M1942" s="418"/>
      <c r="N1942" s="421"/>
      <c r="O1942" s="421"/>
      <c r="P1942" s="421"/>
      <c r="Q1942" s="418"/>
      <c r="R1942" s="418"/>
      <c r="S1942" s="418"/>
      <c r="T1942" s="418"/>
      <c r="U1942" s="418"/>
      <c r="V1942" s="418"/>
      <c r="W1942" s="418"/>
      <c r="X1942" s="418"/>
      <c r="Y1942" s="418"/>
      <c r="Z1942" s="418"/>
      <c r="AA1942" s="418"/>
      <c r="AB1942" s="418"/>
      <c r="AC1942" s="418"/>
      <c r="AD1942" s="418"/>
      <c r="AE1942" s="418"/>
      <c r="AF1942" s="418"/>
      <c r="AG1942" s="418"/>
      <c r="AH1942" s="418"/>
      <c r="AI1942" s="418"/>
      <c r="AJ1942" s="418"/>
      <c r="AK1942" s="418"/>
      <c r="AL1942" s="418"/>
      <c r="AM1942" s="418"/>
      <c r="AN1942" s="418"/>
      <c r="AO1942" s="418"/>
      <c r="AP1942" s="418"/>
      <c r="AQ1942" s="418"/>
      <c r="AR1942" s="418"/>
      <c r="AS1942" s="418"/>
      <c r="AT1942" s="418"/>
      <c r="AU1942" s="418"/>
      <c r="AV1942" s="418"/>
      <c r="AW1942" s="418"/>
      <c r="AX1942" s="418"/>
      <c r="AY1942" s="418"/>
      <c r="BF1942" s="1119"/>
      <c r="BG1942" s="1119"/>
      <c r="BH1942" s="1119"/>
    </row>
    <row r="1943" spans="1:60" ht="15.75" customHeight="1">
      <c r="A1943" s="1076"/>
      <c r="B1943" s="416"/>
      <c r="C1943" s="424"/>
      <c r="E1943" s="418"/>
      <c r="F1943" s="493"/>
      <c r="G1943" s="418"/>
      <c r="H1943" s="421"/>
      <c r="I1943" s="421"/>
      <c r="J1943" s="492"/>
      <c r="K1943" s="418"/>
      <c r="L1943" s="418"/>
      <c r="M1943" s="418"/>
      <c r="N1943" s="421"/>
      <c r="O1943" s="421"/>
      <c r="P1943" s="421"/>
      <c r="Q1943" s="418"/>
      <c r="R1943" s="418"/>
      <c r="S1943" s="418"/>
      <c r="T1943" s="418"/>
      <c r="U1943" s="418"/>
      <c r="V1943" s="418"/>
      <c r="W1943" s="418"/>
      <c r="X1943" s="418"/>
      <c r="Y1943" s="418"/>
      <c r="Z1943" s="418"/>
      <c r="AA1943" s="418"/>
      <c r="AB1943" s="418"/>
      <c r="AC1943" s="418"/>
      <c r="AD1943" s="418"/>
      <c r="AE1943" s="418"/>
      <c r="AF1943" s="418"/>
      <c r="AG1943" s="418"/>
      <c r="AH1943" s="418"/>
      <c r="AI1943" s="418"/>
      <c r="AJ1943" s="418"/>
      <c r="AK1943" s="418"/>
      <c r="AL1943" s="418"/>
      <c r="AM1943" s="418"/>
      <c r="AN1943" s="418"/>
      <c r="AO1943" s="418"/>
      <c r="AP1943" s="418"/>
      <c r="AQ1943" s="418"/>
      <c r="AR1943" s="418"/>
      <c r="AS1943" s="418"/>
      <c r="AT1943" s="418"/>
      <c r="AU1943" s="418"/>
      <c r="AV1943" s="418"/>
      <c r="AW1943" s="418"/>
      <c r="AX1943" s="418"/>
      <c r="AY1943" s="418"/>
      <c r="BF1943" s="1119"/>
      <c r="BG1943" s="1119"/>
      <c r="BH1943" s="1119"/>
    </row>
    <row r="1944" spans="1:60" ht="15.75" customHeight="1">
      <c r="A1944" s="1076"/>
      <c r="B1944" s="416"/>
      <c r="C1944" s="424"/>
      <c r="E1944" s="418"/>
      <c r="F1944" s="493"/>
      <c r="G1944" s="418"/>
      <c r="H1944" s="421"/>
      <c r="I1944" s="421"/>
      <c r="J1944" s="492"/>
      <c r="K1944" s="418"/>
      <c r="L1944" s="418"/>
      <c r="M1944" s="418"/>
      <c r="N1944" s="421"/>
      <c r="O1944" s="421"/>
      <c r="P1944" s="421"/>
      <c r="Q1944" s="418"/>
      <c r="R1944" s="418"/>
      <c r="S1944" s="418"/>
      <c r="T1944" s="418"/>
      <c r="U1944" s="418"/>
      <c r="V1944" s="418"/>
      <c r="W1944" s="418"/>
      <c r="X1944" s="418"/>
      <c r="Y1944" s="418"/>
      <c r="Z1944" s="418"/>
      <c r="AA1944" s="418"/>
      <c r="AB1944" s="418"/>
      <c r="AC1944" s="418"/>
      <c r="AD1944" s="418"/>
      <c r="AE1944" s="418"/>
      <c r="AF1944" s="418"/>
      <c r="AG1944" s="418"/>
      <c r="AH1944" s="418"/>
      <c r="AI1944" s="418"/>
      <c r="AJ1944" s="418"/>
      <c r="AK1944" s="418"/>
      <c r="AL1944" s="418"/>
      <c r="AM1944" s="418"/>
      <c r="AN1944" s="418"/>
      <c r="AO1944" s="418"/>
      <c r="AP1944" s="418"/>
      <c r="AQ1944" s="418"/>
      <c r="AR1944" s="418"/>
      <c r="AS1944" s="418"/>
      <c r="AT1944" s="418"/>
      <c r="AU1944" s="418"/>
      <c r="AV1944" s="418"/>
      <c r="AW1944" s="418"/>
      <c r="AX1944" s="418"/>
      <c r="AY1944" s="418"/>
      <c r="BF1944" s="1119"/>
      <c r="BG1944" s="1119"/>
      <c r="BH1944" s="1119"/>
    </row>
    <row r="1945" spans="1:60" ht="15.75" customHeight="1">
      <c r="A1945" s="1076"/>
      <c r="B1945" s="416"/>
      <c r="C1945" s="424"/>
      <c r="E1945" s="418"/>
      <c r="F1945" s="493"/>
      <c r="G1945" s="418"/>
      <c r="H1945" s="421"/>
      <c r="I1945" s="421"/>
      <c r="J1945" s="492"/>
      <c r="K1945" s="418"/>
      <c r="L1945" s="418"/>
      <c r="M1945" s="418"/>
      <c r="N1945" s="421"/>
      <c r="O1945" s="421"/>
      <c r="P1945" s="421"/>
      <c r="Q1945" s="418"/>
      <c r="R1945" s="418"/>
      <c r="S1945" s="418"/>
      <c r="T1945" s="418"/>
      <c r="U1945" s="418"/>
      <c r="V1945" s="418"/>
      <c r="W1945" s="418"/>
      <c r="X1945" s="418"/>
      <c r="Y1945" s="418"/>
      <c r="Z1945" s="418"/>
      <c r="AA1945" s="418"/>
      <c r="AB1945" s="418"/>
      <c r="AC1945" s="418"/>
      <c r="AD1945" s="418"/>
      <c r="AE1945" s="418"/>
      <c r="AF1945" s="418"/>
      <c r="AG1945" s="418"/>
      <c r="AH1945" s="418"/>
      <c r="AI1945" s="418"/>
      <c r="AJ1945" s="418"/>
      <c r="AK1945" s="418"/>
      <c r="AL1945" s="418"/>
      <c r="AM1945" s="418"/>
      <c r="AN1945" s="418"/>
      <c r="AO1945" s="418"/>
      <c r="AP1945" s="418"/>
      <c r="AQ1945" s="418"/>
      <c r="AR1945" s="418"/>
      <c r="AS1945" s="418"/>
      <c r="AT1945" s="418"/>
      <c r="AU1945" s="418"/>
      <c r="AV1945" s="418"/>
      <c r="AW1945" s="418"/>
      <c r="AX1945" s="418"/>
      <c r="AY1945" s="418"/>
      <c r="BF1945" s="1119"/>
      <c r="BG1945" s="1119"/>
      <c r="BH1945" s="1119"/>
    </row>
    <row r="1946" spans="1:60" ht="15.75" customHeight="1">
      <c r="A1946" s="1076"/>
      <c r="B1946" s="416"/>
      <c r="C1946" s="424"/>
      <c r="E1946" s="418"/>
      <c r="F1946" s="493"/>
      <c r="G1946" s="418"/>
      <c r="H1946" s="421"/>
      <c r="I1946" s="421"/>
      <c r="J1946" s="492"/>
      <c r="K1946" s="418"/>
      <c r="L1946" s="418"/>
      <c r="M1946" s="418"/>
      <c r="N1946" s="421"/>
      <c r="O1946" s="421"/>
      <c r="P1946" s="421"/>
      <c r="Q1946" s="418"/>
      <c r="R1946" s="418"/>
      <c r="S1946" s="418"/>
      <c r="T1946" s="418"/>
      <c r="U1946" s="418"/>
      <c r="V1946" s="418"/>
      <c r="W1946" s="418"/>
      <c r="X1946" s="418"/>
      <c r="Y1946" s="418"/>
      <c r="Z1946" s="418"/>
      <c r="AA1946" s="418"/>
      <c r="AB1946" s="418"/>
      <c r="AC1946" s="418"/>
      <c r="AD1946" s="418"/>
      <c r="AE1946" s="418"/>
      <c r="AF1946" s="418"/>
      <c r="AG1946" s="418"/>
      <c r="AH1946" s="418"/>
      <c r="AI1946" s="418"/>
      <c r="AJ1946" s="418"/>
      <c r="AK1946" s="418"/>
      <c r="AL1946" s="418"/>
      <c r="AM1946" s="418"/>
      <c r="AN1946" s="418"/>
      <c r="AO1946" s="418"/>
      <c r="AP1946" s="418"/>
      <c r="AQ1946" s="418"/>
      <c r="AR1946" s="418"/>
      <c r="AS1946" s="418"/>
      <c r="AT1946" s="418"/>
      <c r="AU1946" s="418"/>
      <c r="AV1946" s="418"/>
      <c r="AW1946" s="418"/>
      <c r="AX1946" s="418"/>
      <c r="AY1946" s="418"/>
      <c r="BF1946" s="1119"/>
      <c r="BG1946" s="1119"/>
      <c r="BH1946" s="1119"/>
    </row>
    <row r="1947" spans="1:60" ht="15.75" customHeight="1">
      <c r="A1947" s="1076"/>
      <c r="B1947" s="416"/>
      <c r="C1947" s="424"/>
      <c r="E1947" s="418"/>
      <c r="F1947" s="493"/>
      <c r="G1947" s="418"/>
      <c r="H1947" s="421"/>
      <c r="I1947" s="421"/>
      <c r="J1947" s="492"/>
      <c r="K1947" s="418"/>
      <c r="L1947" s="418"/>
      <c r="M1947" s="418"/>
      <c r="N1947" s="421"/>
      <c r="O1947" s="421"/>
      <c r="P1947" s="421"/>
      <c r="Q1947" s="418"/>
      <c r="R1947" s="418"/>
      <c r="S1947" s="418"/>
      <c r="T1947" s="418"/>
      <c r="U1947" s="418"/>
      <c r="V1947" s="418"/>
      <c r="W1947" s="418"/>
      <c r="X1947" s="418"/>
      <c r="Y1947" s="418"/>
      <c r="Z1947" s="418"/>
      <c r="AA1947" s="418"/>
      <c r="AB1947" s="418"/>
      <c r="AC1947" s="418"/>
      <c r="AD1947" s="418"/>
      <c r="AE1947" s="418"/>
      <c r="AF1947" s="418"/>
      <c r="AG1947" s="418"/>
      <c r="AH1947" s="418"/>
      <c r="AI1947" s="418"/>
      <c r="AJ1947" s="418"/>
      <c r="AK1947" s="418"/>
      <c r="AL1947" s="418"/>
      <c r="AM1947" s="418"/>
      <c r="AN1947" s="418"/>
      <c r="AO1947" s="418"/>
      <c r="AP1947" s="418"/>
      <c r="AQ1947" s="418"/>
      <c r="AR1947" s="418"/>
      <c r="AS1947" s="418"/>
      <c r="AT1947" s="418"/>
      <c r="AU1947" s="418"/>
      <c r="AV1947" s="418"/>
      <c r="AW1947" s="418"/>
      <c r="AX1947" s="418"/>
      <c r="AY1947" s="418"/>
      <c r="BF1947" s="1119"/>
      <c r="BG1947" s="1119"/>
      <c r="BH1947" s="1119"/>
    </row>
    <row r="1948" spans="1:60" ht="15.75" customHeight="1">
      <c r="A1948" s="1076"/>
      <c r="B1948" s="416"/>
      <c r="C1948" s="424"/>
      <c r="E1948" s="418"/>
      <c r="F1948" s="493"/>
      <c r="G1948" s="418"/>
      <c r="H1948" s="421"/>
      <c r="I1948" s="421"/>
      <c r="J1948" s="492"/>
      <c r="K1948" s="418"/>
      <c r="L1948" s="418"/>
      <c r="M1948" s="418"/>
      <c r="N1948" s="421"/>
      <c r="O1948" s="421"/>
      <c r="P1948" s="421"/>
      <c r="Q1948" s="418"/>
      <c r="R1948" s="418"/>
      <c r="S1948" s="418"/>
      <c r="T1948" s="418"/>
      <c r="U1948" s="418"/>
      <c r="V1948" s="418"/>
      <c r="W1948" s="418"/>
      <c r="X1948" s="418"/>
      <c r="Y1948" s="418"/>
      <c r="Z1948" s="418"/>
      <c r="AA1948" s="418"/>
      <c r="AB1948" s="418"/>
      <c r="AC1948" s="418"/>
      <c r="AD1948" s="418"/>
      <c r="AE1948" s="418"/>
      <c r="AF1948" s="418"/>
      <c r="AG1948" s="418"/>
      <c r="AH1948" s="418"/>
      <c r="AI1948" s="418"/>
      <c r="AJ1948" s="418"/>
      <c r="AK1948" s="418"/>
      <c r="AL1948" s="418"/>
      <c r="AM1948" s="418"/>
      <c r="AN1948" s="418"/>
      <c r="AO1948" s="418"/>
      <c r="AP1948" s="418"/>
      <c r="AQ1948" s="418"/>
      <c r="AR1948" s="418"/>
      <c r="AS1948" s="418"/>
      <c r="AT1948" s="418"/>
      <c r="AU1948" s="418"/>
      <c r="AV1948" s="418"/>
      <c r="AW1948" s="418"/>
      <c r="AX1948" s="418"/>
      <c r="AY1948" s="418"/>
      <c r="BF1948" s="1119"/>
      <c r="BG1948" s="1119"/>
      <c r="BH1948" s="1119"/>
    </row>
    <row r="1949" spans="1:60" ht="15.75" customHeight="1">
      <c r="A1949" s="1076"/>
      <c r="B1949" s="416"/>
      <c r="C1949" s="424"/>
      <c r="E1949" s="418"/>
      <c r="F1949" s="493"/>
      <c r="G1949" s="418"/>
      <c r="H1949" s="421"/>
      <c r="I1949" s="421"/>
      <c r="J1949" s="492"/>
      <c r="K1949" s="418"/>
      <c r="L1949" s="418"/>
      <c r="M1949" s="418"/>
      <c r="N1949" s="421"/>
      <c r="O1949" s="421"/>
      <c r="P1949" s="421"/>
      <c r="Q1949" s="418"/>
      <c r="R1949" s="418"/>
      <c r="S1949" s="418"/>
      <c r="T1949" s="418"/>
      <c r="U1949" s="418"/>
      <c r="V1949" s="418"/>
      <c r="W1949" s="418"/>
      <c r="X1949" s="418"/>
      <c r="Y1949" s="418"/>
      <c r="Z1949" s="418"/>
      <c r="AA1949" s="418"/>
      <c r="AB1949" s="418"/>
      <c r="AC1949" s="418"/>
      <c r="AD1949" s="418"/>
      <c r="AE1949" s="418"/>
      <c r="AF1949" s="418"/>
      <c r="AG1949" s="418"/>
      <c r="AH1949" s="418"/>
      <c r="AI1949" s="418"/>
      <c r="AJ1949" s="418"/>
      <c r="AK1949" s="418"/>
      <c r="AL1949" s="418"/>
      <c r="AM1949" s="418"/>
      <c r="AN1949" s="418"/>
      <c r="AO1949" s="418"/>
      <c r="AP1949" s="418"/>
      <c r="AQ1949" s="418"/>
      <c r="AR1949" s="418"/>
      <c r="AS1949" s="418"/>
      <c r="AT1949" s="418"/>
      <c r="AU1949" s="418"/>
      <c r="AV1949" s="418"/>
      <c r="AW1949" s="418"/>
      <c r="AX1949" s="418"/>
      <c r="AY1949" s="418"/>
      <c r="BF1949" s="1119"/>
      <c r="BG1949" s="1119"/>
      <c r="BH1949" s="1119"/>
    </row>
    <row r="1950" spans="1:60" ht="15.75" customHeight="1">
      <c r="A1950" s="1076"/>
      <c r="B1950" s="416"/>
      <c r="C1950" s="424"/>
      <c r="E1950" s="418"/>
      <c r="F1950" s="493"/>
      <c r="G1950" s="418"/>
      <c r="H1950" s="421"/>
      <c r="I1950" s="421"/>
      <c r="J1950" s="492"/>
      <c r="K1950" s="418"/>
      <c r="L1950" s="418"/>
      <c r="M1950" s="418"/>
      <c r="N1950" s="421"/>
      <c r="O1950" s="421"/>
      <c r="P1950" s="421"/>
      <c r="Q1950" s="418"/>
      <c r="R1950" s="418"/>
      <c r="S1950" s="418"/>
      <c r="T1950" s="418"/>
      <c r="U1950" s="418"/>
      <c r="V1950" s="418"/>
      <c r="W1950" s="418"/>
      <c r="X1950" s="418"/>
      <c r="Y1950" s="418"/>
      <c r="Z1950" s="418"/>
      <c r="AA1950" s="418"/>
      <c r="AB1950" s="418"/>
      <c r="AC1950" s="418"/>
      <c r="AD1950" s="418"/>
      <c r="AE1950" s="418"/>
      <c r="AF1950" s="418"/>
      <c r="AG1950" s="418"/>
      <c r="AH1950" s="418"/>
      <c r="AI1950" s="418"/>
      <c r="AJ1950" s="418"/>
      <c r="AK1950" s="418"/>
      <c r="AL1950" s="418"/>
      <c r="AM1950" s="418"/>
      <c r="AN1950" s="418"/>
      <c r="AO1950" s="418"/>
      <c r="AP1950" s="418"/>
      <c r="AQ1950" s="418"/>
      <c r="AR1950" s="418"/>
      <c r="AS1950" s="418"/>
      <c r="AT1950" s="418"/>
      <c r="AU1950" s="418"/>
      <c r="AV1950" s="418"/>
      <c r="AW1950" s="418"/>
      <c r="AX1950" s="418"/>
      <c r="AY1950" s="418"/>
      <c r="BF1950" s="1119"/>
      <c r="BG1950" s="1119"/>
      <c r="BH1950" s="1119"/>
    </row>
    <row r="1951" spans="1:60" ht="15.75" customHeight="1">
      <c r="A1951" s="1076"/>
      <c r="B1951" s="416"/>
      <c r="C1951" s="424"/>
      <c r="E1951" s="418"/>
      <c r="F1951" s="493"/>
      <c r="G1951" s="418"/>
      <c r="H1951" s="421"/>
      <c r="I1951" s="421"/>
      <c r="J1951" s="492"/>
      <c r="K1951" s="418"/>
      <c r="L1951" s="418"/>
      <c r="M1951" s="418"/>
      <c r="N1951" s="421"/>
      <c r="O1951" s="421"/>
      <c r="P1951" s="421"/>
      <c r="Q1951" s="418"/>
      <c r="R1951" s="418"/>
      <c r="S1951" s="418"/>
      <c r="T1951" s="418"/>
      <c r="U1951" s="418"/>
      <c r="V1951" s="418"/>
      <c r="W1951" s="418"/>
      <c r="X1951" s="418"/>
      <c r="Y1951" s="418"/>
      <c r="Z1951" s="418"/>
      <c r="AA1951" s="418"/>
      <c r="AB1951" s="418"/>
      <c r="AC1951" s="418"/>
      <c r="AD1951" s="418"/>
      <c r="AE1951" s="418"/>
      <c r="AF1951" s="418"/>
      <c r="AG1951" s="418"/>
      <c r="AH1951" s="418"/>
      <c r="AI1951" s="418"/>
      <c r="AJ1951" s="418"/>
      <c r="AK1951" s="418"/>
      <c r="AL1951" s="418"/>
      <c r="AM1951" s="418"/>
      <c r="AN1951" s="418"/>
      <c r="AO1951" s="418"/>
      <c r="AP1951" s="418"/>
      <c r="AQ1951" s="418"/>
      <c r="AR1951" s="418"/>
      <c r="AS1951" s="418"/>
      <c r="AT1951" s="418"/>
      <c r="AU1951" s="418"/>
      <c r="AV1951" s="418"/>
      <c r="AW1951" s="418"/>
      <c r="AX1951" s="418"/>
      <c r="AY1951" s="418"/>
      <c r="BF1951" s="1119"/>
      <c r="BG1951" s="1119"/>
      <c r="BH1951" s="1119"/>
    </row>
    <row r="1952" spans="1:60" ht="15.75" customHeight="1">
      <c r="A1952" s="1076"/>
      <c r="B1952" s="416"/>
      <c r="C1952" s="424"/>
      <c r="E1952" s="418"/>
      <c r="F1952" s="493"/>
      <c r="G1952" s="418"/>
      <c r="H1952" s="421"/>
      <c r="I1952" s="421"/>
      <c r="J1952" s="492"/>
      <c r="K1952" s="418"/>
      <c r="L1952" s="418"/>
      <c r="M1952" s="418"/>
      <c r="N1952" s="421"/>
      <c r="O1952" s="421"/>
      <c r="P1952" s="421"/>
      <c r="Q1952" s="418"/>
      <c r="R1952" s="418"/>
      <c r="S1952" s="418"/>
      <c r="T1952" s="418"/>
      <c r="U1952" s="418"/>
      <c r="V1952" s="418"/>
      <c r="W1952" s="418"/>
      <c r="X1952" s="418"/>
      <c r="Y1952" s="418"/>
      <c r="Z1952" s="418"/>
      <c r="AA1952" s="418"/>
      <c r="AB1952" s="418"/>
      <c r="AC1952" s="418"/>
      <c r="AD1952" s="418"/>
      <c r="AE1952" s="418"/>
      <c r="AF1952" s="418"/>
      <c r="AG1952" s="418"/>
      <c r="AH1952" s="418"/>
      <c r="AI1952" s="418"/>
      <c r="AJ1952" s="418"/>
      <c r="AK1952" s="418"/>
      <c r="AL1952" s="418"/>
      <c r="AM1952" s="418"/>
      <c r="AN1952" s="418"/>
      <c r="AO1952" s="418"/>
      <c r="AP1952" s="418"/>
      <c r="AQ1952" s="418"/>
      <c r="AR1952" s="418"/>
      <c r="AS1952" s="418"/>
      <c r="AT1952" s="418"/>
      <c r="AU1952" s="418"/>
      <c r="AV1952" s="418"/>
      <c r="AW1952" s="418"/>
      <c r="AX1952" s="418"/>
      <c r="AY1952" s="418"/>
      <c r="BF1952" s="1119"/>
      <c r="BG1952" s="1119"/>
      <c r="BH1952" s="1119"/>
    </row>
    <row r="1953" spans="1:60" ht="15.75" customHeight="1">
      <c r="A1953" s="1076"/>
      <c r="B1953" s="416"/>
      <c r="C1953" s="424"/>
      <c r="E1953" s="418"/>
      <c r="F1953" s="493"/>
      <c r="G1953" s="418"/>
      <c r="H1953" s="421"/>
      <c r="I1953" s="421"/>
      <c r="J1953" s="492"/>
      <c r="K1953" s="418"/>
      <c r="L1953" s="418"/>
      <c r="M1953" s="418"/>
      <c r="N1953" s="421"/>
      <c r="O1953" s="421"/>
      <c r="P1953" s="421"/>
      <c r="Q1953" s="418"/>
      <c r="R1953" s="418"/>
      <c r="S1953" s="418"/>
      <c r="T1953" s="418"/>
      <c r="U1953" s="418"/>
      <c r="V1953" s="418"/>
      <c r="W1953" s="418"/>
      <c r="X1953" s="418"/>
      <c r="Y1953" s="418"/>
      <c r="Z1953" s="418"/>
      <c r="AA1953" s="418"/>
      <c r="AB1953" s="418"/>
      <c r="AC1953" s="418"/>
      <c r="AD1953" s="418"/>
      <c r="AE1953" s="418"/>
      <c r="AF1953" s="418"/>
      <c r="AG1953" s="418"/>
      <c r="AH1953" s="418"/>
      <c r="AI1953" s="418"/>
      <c r="AJ1953" s="418"/>
      <c r="AK1953" s="418"/>
      <c r="AL1953" s="418"/>
      <c r="AM1953" s="418"/>
      <c r="AN1953" s="418"/>
      <c r="AO1953" s="418"/>
      <c r="AP1953" s="418"/>
      <c r="AQ1953" s="418"/>
      <c r="AR1953" s="418"/>
      <c r="AS1953" s="418"/>
      <c r="AT1953" s="418"/>
      <c r="AU1953" s="418"/>
      <c r="AV1953" s="418"/>
      <c r="AW1953" s="418"/>
      <c r="AX1953" s="418"/>
      <c r="AY1953" s="418"/>
      <c r="BF1953" s="1119"/>
      <c r="BG1953" s="1119"/>
      <c r="BH1953" s="1119"/>
    </row>
    <row r="1954" spans="1:60" ht="15.75" customHeight="1">
      <c r="A1954" s="1076"/>
      <c r="B1954" s="416"/>
      <c r="C1954" s="424"/>
      <c r="E1954" s="418"/>
      <c r="F1954" s="493"/>
      <c r="G1954" s="418"/>
      <c r="H1954" s="421"/>
      <c r="I1954" s="421"/>
      <c r="J1954" s="492"/>
      <c r="K1954" s="418"/>
      <c r="L1954" s="418"/>
      <c r="M1954" s="418"/>
      <c r="N1954" s="421"/>
      <c r="O1954" s="421"/>
      <c r="P1954" s="421"/>
      <c r="Q1954" s="418"/>
      <c r="R1954" s="418"/>
      <c r="S1954" s="418"/>
      <c r="T1954" s="418"/>
      <c r="U1954" s="418"/>
      <c r="V1954" s="418"/>
      <c r="W1954" s="418"/>
      <c r="X1954" s="418"/>
      <c r="Y1954" s="418"/>
      <c r="Z1954" s="418"/>
      <c r="AA1954" s="418"/>
      <c r="AB1954" s="418"/>
      <c r="AC1954" s="418"/>
      <c r="AD1954" s="418"/>
      <c r="AE1954" s="418"/>
      <c r="AF1954" s="418"/>
      <c r="AG1954" s="418"/>
      <c r="AH1954" s="418"/>
      <c r="AI1954" s="418"/>
      <c r="AJ1954" s="418"/>
      <c r="AK1954" s="418"/>
      <c r="AL1954" s="418"/>
      <c r="AM1954" s="418"/>
      <c r="AN1954" s="418"/>
      <c r="AO1954" s="418"/>
      <c r="AP1954" s="418"/>
      <c r="AQ1954" s="418"/>
      <c r="AR1954" s="418"/>
      <c r="AS1954" s="418"/>
      <c r="AT1954" s="418"/>
      <c r="AU1954" s="418"/>
      <c r="AV1954" s="418"/>
      <c r="AW1954" s="418"/>
      <c r="AX1954" s="418"/>
      <c r="AY1954" s="418"/>
      <c r="BF1954" s="1119"/>
      <c r="BG1954" s="1119"/>
      <c r="BH1954" s="1119"/>
    </row>
    <row r="1955" spans="1:60" ht="15.75" customHeight="1">
      <c r="A1955" s="1076"/>
      <c r="B1955" s="416"/>
      <c r="C1955" s="424"/>
      <c r="E1955" s="418"/>
      <c r="F1955" s="493"/>
      <c r="G1955" s="418"/>
      <c r="H1955" s="421"/>
      <c r="I1955" s="425"/>
      <c r="J1955" s="492"/>
      <c r="K1955" s="418"/>
      <c r="L1955" s="418"/>
      <c r="M1955" s="418"/>
      <c r="N1955" s="421"/>
      <c r="O1955" s="421"/>
      <c r="P1955" s="421"/>
      <c r="Q1955" s="418"/>
      <c r="R1955" s="418"/>
      <c r="S1955" s="418"/>
      <c r="T1955" s="418"/>
      <c r="U1955" s="418"/>
      <c r="V1955" s="418"/>
      <c r="W1955" s="418"/>
      <c r="X1955" s="418"/>
      <c r="Y1955" s="418"/>
      <c r="Z1955" s="418"/>
      <c r="AA1955" s="418"/>
      <c r="AB1955" s="418"/>
      <c r="AC1955" s="418"/>
      <c r="AD1955" s="418"/>
      <c r="AE1955" s="418"/>
      <c r="AF1955" s="418"/>
      <c r="AG1955" s="418"/>
      <c r="AH1955" s="418"/>
      <c r="AI1955" s="418"/>
      <c r="AJ1955" s="418"/>
      <c r="AK1955" s="418"/>
      <c r="AL1955" s="418"/>
      <c r="AM1955" s="418"/>
      <c r="AN1955" s="418"/>
      <c r="AO1955" s="418"/>
      <c r="AP1955" s="418"/>
      <c r="AQ1955" s="418"/>
      <c r="AR1955" s="418"/>
      <c r="AS1955" s="418"/>
      <c r="AT1955" s="418"/>
      <c r="AU1955" s="418"/>
      <c r="AV1955" s="418"/>
      <c r="AW1955" s="418"/>
      <c r="AX1955" s="418"/>
      <c r="AY1955" s="418"/>
      <c r="BF1955" s="1119"/>
      <c r="BG1955" s="1119"/>
      <c r="BH1955" s="1119"/>
    </row>
    <row r="1956" spans="1:60" ht="15.75" customHeight="1">
      <c r="A1956" s="1076"/>
      <c r="B1956" s="416"/>
      <c r="C1956" s="424"/>
      <c r="E1956" s="418"/>
      <c r="F1956" s="493"/>
      <c r="G1956" s="418"/>
      <c r="H1956" s="421"/>
      <c r="I1956" s="421"/>
      <c r="J1956" s="492"/>
      <c r="K1956" s="418"/>
      <c r="L1956" s="418"/>
      <c r="M1956" s="418"/>
      <c r="N1956" s="421"/>
      <c r="O1956" s="421"/>
      <c r="P1956" s="421"/>
      <c r="Q1956" s="418"/>
      <c r="R1956" s="418"/>
      <c r="S1956" s="418"/>
      <c r="T1956" s="418"/>
      <c r="U1956" s="418"/>
      <c r="V1956" s="418"/>
      <c r="W1956" s="418"/>
      <c r="X1956" s="418"/>
      <c r="Y1956" s="418"/>
      <c r="Z1956" s="418"/>
      <c r="AA1956" s="418"/>
      <c r="AB1956" s="418"/>
      <c r="AC1956" s="418"/>
      <c r="AD1956" s="418"/>
      <c r="AE1956" s="418"/>
      <c r="AF1956" s="418"/>
      <c r="AG1956" s="418"/>
      <c r="AH1956" s="418"/>
      <c r="AI1956" s="418"/>
      <c r="AJ1956" s="418"/>
      <c r="AK1956" s="418"/>
      <c r="AL1956" s="418"/>
      <c r="AM1956" s="418"/>
      <c r="AN1956" s="418"/>
      <c r="AO1956" s="418"/>
      <c r="AP1956" s="418"/>
      <c r="AQ1956" s="418"/>
      <c r="AR1956" s="418"/>
      <c r="AS1956" s="418"/>
      <c r="AT1956" s="418"/>
      <c r="AU1956" s="418"/>
      <c r="AV1956" s="418"/>
      <c r="AW1956" s="418"/>
      <c r="AX1956" s="418"/>
      <c r="AY1956" s="418"/>
      <c r="BF1956" s="1119"/>
      <c r="BG1956" s="1119"/>
      <c r="BH1956" s="1119"/>
    </row>
    <row r="1957" spans="1:60" ht="15.75" customHeight="1">
      <c r="A1957" s="1076"/>
      <c r="B1957" s="416"/>
      <c r="C1957" s="424"/>
      <c r="E1957" s="418"/>
      <c r="F1957" s="493"/>
      <c r="G1957" s="418"/>
      <c r="H1957" s="421"/>
      <c r="I1957" s="425"/>
      <c r="J1957" s="492"/>
      <c r="K1957" s="418"/>
      <c r="L1957" s="418"/>
      <c r="M1957" s="418"/>
      <c r="N1957" s="421"/>
      <c r="O1957" s="421"/>
      <c r="P1957" s="421"/>
      <c r="Q1957" s="418"/>
      <c r="R1957" s="418"/>
      <c r="S1957" s="418"/>
      <c r="T1957" s="418"/>
      <c r="U1957" s="418"/>
      <c r="V1957" s="418"/>
      <c r="W1957" s="418"/>
      <c r="X1957" s="418"/>
      <c r="Y1957" s="418"/>
      <c r="Z1957" s="418"/>
      <c r="AA1957" s="418"/>
      <c r="AB1957" s="418"/>
      <c r="AC1957" s="418"/>
      <c r="AD1957" s="418"/>
      <c r="AE1957" s="418"/>
      <c r="AF1957" s="418"/>
      <c r="AG1957" s="418"/>
      <c r="AH1957" s="418"/>
      <c r="AI1957" s="418"/>
      <c r="AJ1957" s="418"/>
      <c r="AK1957" s="418"/>
      <c r="AL1957" s="418"/>
      <c r="AM1957" s="418"/>
      <c r="AN1957" s="418"/>
      <c r="AO1957" s="418"/>
      <c r="AP1957" s="418"/>
      <c r="AQ1957" s="418"/>
      <c r="AR1957" s="418"/>
      <c r="AS1957" s="418"/>
      <c r="AT1957" s="418"/>
      <c r="AU1957" s="418"/>
      <c r="AV1957" s="418"/>
      <c r="AW1957" s="418"/>
      <c r="AX1957" s="418"/>
      <c r="AY1957" s="418"/>
      <c r="BF1957" s="1119"/>
      <c r="BG1957" s="1119"/>
      <c r="BH1957" s="1119"/>
    </row>
    <row r="1958" spans="1:60" ht="15.75" customHeight="1">
      <c r="A1958" s="1076"/>
      <c r="B1958" s="416"/>
      <c r="C1958" s="424"/>
      <c r="E1958" s="418"/>
      <c r="F1958" s="493"/>
      <c r="G1958" s="418"/>
      <c r="H1958" s="421"/>
      <c r="I1958" s="421"/>
      <c r="J1958" s="492"/>
      <c r="K1958" s="418"/>
      <c r="L1958" s="418"/>
      <c r="M1958" s="418"/>
      <c r="N1958" s="421"/>
      <c r="O1958" s="421"/>
      <c r="P1958" s="421"/>
      <c r="Q1958" s="418"/>
      <c r="R1958" s="418"/>
      <c r="S1958" s="418"/>
      <c r="T1958" s="418"/>
      <c r="U1958" s="418"/>
      <c r="V1958" s="418"/>
      <c r="W1958" s="418"/>
      <c r="X1958" s="418"/>
      <c r="Y1958" s="418"/>
      <c r="Z1958" s="418"/>
      <c r="AA1958" s="418"/>
      <c r="AB1958" s="418"/>
      <c r="AC1958" s="418"/>
      <c r="AD1958" s="418"/>
      <c r="AE1958" s="418"/>
      <c r="AF1958" s="418"/>
      <c r="AG1958" s="418"/>
      <c r="AH1958" s="418"/>
      <c r="AI1958" s="418"/>
      <c r="AJ1958" s="418"/>
      <c r="AK1958" s="418"/>
      <c r="AL1958" s="418"/>
      <c r="AM1958" s="418"/>
      <c r="AN1958" s="418"/>
      <c r="AO1958" s="418"/>
      <c r="AP1958" s="418"/>
      <c r="AQ1958" s="418"/>
      <c r="AR1958" s="418"/>
      <c r="AS1958" s="418"/>
      <c r="AT1958" s="418"/>
      <c r="AU1958" s="418"/>
      <c r="AV1958" s="418"/>
      <c r="AW1958" s="418"/>
      <c r="AX1958" s="418"/>
      <c r="AY1958" s="418"/>
      <c r="BF1958" s="1119"/>
      <c r="BG1958" s="1119"/>
      <c r="BH1958" s="1119"/>
    </row>
    <row r="1959" spans="1:60" ht="15.75" customHeight="1">
      <c r="A1959" s="1076"/>
      <c r="B1959" s="416"/>
      <c r="C1959" s="424"/>
      <c r="E1959" s="418"/>
      <c r="F1959" s="493"/>
      <c r="G1959" s="418"/>
      <c r="H1959" s="421"/>
      <c r="I1959" s="421"/>
      <c r="J1959" s="492"/>
      <c r="K1959" s="418"/>
      <c r="L1959" s="418"/>
      <c r="M1959" s="418"/>
      <c r="N1959" s="421"/>
      <c r="O1959" s="421"/>
      <c r="P1959" s="421"/>
      <c r="Q1959" s="418"/>
      <c r="R1959" s="418"/>
      <c r="S1959" s="418"/>
      <c r="T1959" s="418"/>
      <c r="U1959" s="418"/>
      <c r="V1959" s="418"/>
      <c r="W1959" s="418"/>
      <c r="X1959" s="418"/>
      <c r="Y1959" s="418"/>
      <c r="Z1959" s="418"/>
      <c r="AA1959" s="418"/>
      <c r="AB1959" s="418"/>
      <c r="AC1959" s="418"/>
      <c r="AD1959" s="418"/>
      <c r="AE1959" s="418"/>
      <c r="AF1959" s="418"/>
      <c r="AG1959" s="418"/>
      <c r="AH1959" s="418"/>
      <c r="AI1959" s="418"/>
      <c r="AJ1959" s="418"/>
      <c r="AK1959" s="418"/>
      <c r="AL1959" s="418"/>
      <c r="AM1959" s="418"/>
      <c r="AN1959" s="418"/>
      <c r="AO1959" s="418"/>
      <c r="AP1959" s="418"/>
      <c r="AQ1959" s="418"/>
      <c r="AR1959" s="418"/>
      <c r="AS1959" s="418"/>
      <c r="AT1959" s="418"/>
      <c r="AU1959" s="418"/>
      <c r="AV1959" s="418"/>
      <c r="AW1959" s="418"/>
      <c r="AX1959" s="418"/>
      <c r="AY1959" s="418"/>
      <c r="BF1959" s="1119"/>
      <c r="BG1959" s="1119"/>
      <c r="BH1959" s="1119"/>
    </row>
    <row r="1960" spans="1:60" ht="15.75" customHeight="1">
      <c r="A1960" s="1076"/>
      <c r="B1960" s="416"/>
      <c r="C1960" s="424"/>
      <c r="E1960" s="418"/>
      <c r="F1960" s="493"/>
      <c r="G1960" s="418"/>
      <c r="H1960" s="421"/>
      <c r="I1960" s="421"/>
      <c r="J1960" s="492"/>
      <c r="K1960" s="418"/>
      <c r="L1960" s="418"/>
      <c r="M1960" s="418"/>
      <c r="N1960" s="421"/>
      <c r="O1960" s="421"/>
      <c r="P1960" s="421"/>
      <c r="Q1960" s="418"/>
      <c r="R1960" s="418"/>
      <c r="S1960" s="418"/>
      <c r="T1960" s="418"/>
      <c r="U1960" s="418"/>
      <c r="V1960" s="418"/>
      <c r="W1960" s="418"/>
      <c r="X1960" s="418"/>
      <c r="Y1960" s="418"/>
      <c r="Z1960" s="418"/>
      <c r="AA1960" s="418"/>
      <c r="AB1960" s="418"/>
      <c r="AC1960" s="418"/>
      <c r="AD1960" s="418"/>
      <c r="AE1960" s="418"/>
      <c r="AF1960" s="418"/>
      <c r="AG1960" s="418"/>
      <c r="AH1960" s="418"/>
      <c r="AI1960" s="418"/>
      <c r="AJ1960" s="418"/>
      <c r="AK1960" s="418"/>
      <c r="AL1960" s="418"/>
      <c r="AM1960" s="418"/>
      <c r="AN1960" s="418"/>
      <c r="AO1960" s="418"/>
      <c r="AP1960" s="418"/>
      <c r="AQ1960" s="418"/>
      <c r="AR1960" s="418"/>
      <c r="AS1960" s="418"/>
      <c r="AT1960" s="418"/>
      <c r="AU1960" s="418"/>
      <c r="AV1960" s="418"/>
      <c r="AW1960" s="418"/>
      <c r="AX1960" s="418"/>
      <c r="AY1960" s="418"/>
      <c r="BF1960" s="1119"/>
      <c r="BG1960" s="1119"/>
      <c r="BH1960" s="1119"/>
    </row>
    <row r="1961" spans="1:60" ht="15.75" customHeight="1">
      <c r="A1961" s="1076"/>
      <c r="B1961" s="416"/>
      <c r="C1961" s="424"/>
      <c r="E1961" s="418"/>
      <c r="F1961" s="493"/>
      <c r="G1961" s="418"/>
      <c r="H1961" s="421"/>
      <c r="I1961" s="421"/>
      <c r="J1961" s="492"/>
      <c r="K1961" s="418"/>
      <c r="L1961" s="418"/>
      <c r="M1961" s="418"/>
      <c r="N1961" s="421"/>
      <c r="O1961" s="421"/>
      <c r="P1961" s="421"/>
      <c r="Q1961" s="418"/>
      <c r="R1961" s="418"/>
      <c r="S1961" s="418"/>
      <c r="T1961" s="418"/>
      <c r="U1961" s="418"/>
      <c r="V1961" s="418"/>
      <c r="W1961" s="418"/>
      <c r="X1961" s="418"/>
      <c r="Y1961" s="418"/>
      <c r="Z1961" s="418"/>
      <c r="AA1961" s="418"/>
      <c r="AB1961" s="418"/>
      <c r="AC1961" s="418"/>
      <c r="AD1961" s="418"/>
      <c r="AE1961" s="418"/>
      <c r="AF1961" s="418"/>
      <c r="AG1961" s="418"/>
      <c r="AH1961" s="418"/>
      <c r="AI1961" s="418"/>
      <c r="AJ1961" s="418"/>
      <c r="AK1961" s="418"/>
      <c r="AL1961" s="418"/>
      <c r="AM1961" s="418"/>
      <c r="AN1961" s="418"/>
      <c r="AO1961" s="418"/>
      <c r="AP1961" s="418"/>
      <c r="AQ1961" s="418"/>
      <c r="AR1961" s="418"/>
      <c r="AS1961" s="418"/>
      <c r="AT1961" s="418"/>
      <c r="AU1961" s="418"/>
      <c r="AV1961" s="418"/>
      <c r="AW1961" s="418"/>
      <c r="AX1961" s="418"/>
      <c r="AY1961" s="418"/>
      <c r="BF1961" s="1119"/>
      <c r="BG1961" s="1119"/>
      <c r="BH1961" s="1119"/>
    </row>
    <row r="1962" spans="1:60" ht="15.75" customHeight="1">
      <c r="A1962" s="1076"/>
      <c r="B1962" s="416"/>
      <c r="C1962" s="424"/>
      <c r="E1962" s="418"/>
      <c r="F1962" s="493"/>
      <c r="G1962" s="418"/>
      <c r="H1962" s="421"/>
      <c r="I1962" s="421"/>
      <c r="J1962" s="492"/>
      <c r="K1962" s="418"/>
      <c r="L1962" s="418"/>
      <c r="M1962" s="418"/>
      <c r="N1962" s="421"/>
      <c r="O1962" s="421"/>
      <c r="P1962" s="421"/>
      <c r="Q1962" s="418"/>
      <c r="R1962" s="418"/>
      <c r="S1962" s="418"/>
      <c r="T1962" s="418"/>
      <c r="U1962" s="418"/>
      <c r="V1962" s="418"/>
      <c r="W1962" s="418"/>
      <c r="X1962" s="418"/>
      <c r="Y1962" s="418"/>
      <c r="Z1962" s="418"/>
      <c r="AA1962" s="418"/>
      <c r="AB1962" s="418"/>
      <c r="AC1962" s="418"/>
      <c r="AD1962" s="418"/>
      <c r="AE1962" s="418"/>
      <c r="AF1962" s="418"/>
      <c r="AG1962" s="418"/>
      <c r="AH1962" s="418"/>
      <c r="AI1962" s="418"/>
      <c r="AJ1962" s="418"/>
      <c r="AK1962" s="418"/>
      <c r="AL1962" s="418"/>
      <c r="AM1962" s="418"/>
      <c r="AN1962" s="418"/>
      <c r="AO1962" s="418"/>
      <c r="AP1962" s="418"/>
      <c r="AQ1962" s="418"/>
      <c r="AR1962" s="418"/>
      <c r="AS1962" s="418"/>
      <c r="AT1962" s="418"/>
      <c r="AU1962" s="418"/>
      <c r="AV1962" s="418"/>
      <c r="AW1962" s="418"/>
      <c r="AX1962" s="418"/>
      <c r="AY1962" s="418"/>
      <c r="BF1962" s="1119"/>
      <c r="BG1962" s="1119"/>
      <c r="BH1962" s="1119"/>
    </row>
    <row r="1963" spans="1:60" ht="15.75" customHeight="1">
      <c r="A1963" s="1076"/>
      <c r="B1963" s="416"/>
      <c r="C1963" s="424"/>
      <c r="E1963" s="418"/>
      <c r="F1963" s="493"/>
      <c r="G1963" s="418"/>
      <c r="H1963" s="421"/>
      <c r="I1963" s="421"/>
      <c r="J1963" s="492"/>
      <c r="K1963" s="418"/>
      <c r="L1963" s="418"/>
      <c r="M1963" s="418"/>
      <c r="N1963" s="421"/>
      <c r="O1963" s="421"/>
      <c r="P1963" s="421"/>
      <c r="Q1963" s="418"/>
      <c r="R1963" s="418"/>
      <c r="S1963" s="418"/>
      <c r="T1963" s="418"/>
      <c r="U1963" s="418"/>
      <c r="V1963" s="418"/>
      <c r="W1963" s="418"/>
      <c r="X1963" s="418"/>
      <c r="Y1963" s="418"/>
      <c r="Z1963" s="418"/>
      <c r="AA1963" s="418"/>
      <c r="AB1963" s="418"/>
      <c r="AC1963" s="418"/>
      <c r="AD1963" s="418"/>
      <c r="AE1963" s="418"/>
      <c r="AF1963" s="418"/>
      <c r="AG1963" s="418"/>
      <c r="AH1963" s="418"/>
      <c r="AI1963" s="418"/>
      <c r="AJ1963" s="418"/>
      <c r="AK1963" s="418"/>
      <c r="AL1963" s="418"/>
      <c r="AM1963" s="418"/>
      <c r="AN1963" s="418"/>
      <c r="AO1963" s="418"/>
      <c r="AP1963" s="418"/>
      <c r="AQ1963" s="418"/>
      <c r="AR1963" s="418"/>
      <c r="AS1963" s="418"/>
      <c r="AT1963" s="418"/>
      <c r="AU1963" s="418"/>
      <c r="AV1963" s="418"/>
      <c r="AW1963" s="418"/>
      <c r="AX1963" s="418"/>
      <c r="AY1963" s="418"/>
      <c r="BF1963" s="1119"/>
      <c r="BG1963" s="1119"/>
      <c r="BH1963" s="1119"/>
    </row>
    <row r="1964" spans="1:60" ht="15.75" customHeight="1">
      <c r="A1964" s="1076"/>
      <c r="B1964" s="416"/>
      <c r="C1964" s="424"/>
      <c r="E1964" s="418"/>
      <c r="F1964" s="493"/>
      <c r="G1964" s="418"/>
      <c r="H1964" s="421"/>
      <c r="I1964" s="421"/>
      <c r="J1964" s="492"/>
      <c r="K1964" s="418"/>
      <c r="L1964" s="418"/>
      <c r="M1964" s="418"/>
      <c r="N1964" s="421"/>
      <c r="O1964" s="421"/>
      <c r="P1964" s="421"/>
      <c r="Q1964" s="418"/>
      <c r="R1964" s="418"/>
      <c r="S1964" s="418"/>
      <c r="T1964" s="418"/>
      <c r="U1964" s="418"/>
      <c r="V1964" s="418"/>
      <c r="W1964" s="418"/>
      <c r="X1964" s="418"/>
      <c r="Y1964" s="418"/>
      <c r="Z1964" s="418"/>
      <c r="AA1964" s="418"/>
      <c r="AB1964" s="418"/>
      <c r="AC1964" s="418"/>
      <c r="AD1964" s="418"/>
      <c r="AE1964" s="418"/>
      <c r="AF1964" s="418"/>
      <c r="AG1964" s="418"/>
      <c r="AH1964" s="418"/>
      <c r="AI1964" s="418"/>
      <c r="AJ1964" s="418"/>
      <c r="AK1964" s="418"/>
      <c r="AL1964" s="418"/>
      <c r="AM1964" s="418"/>
      <c r="AN1964" s="418"/>
      <c r="AO1964" s="418"/>
      <c r="AP1964" s="418"/>
      <c r="AQ1964" s="418"/>
      <c r="AR1964" s="418"/>
      <c r="AS1964" s="418"/>
      <c r="AT1964" s="418"/>
      <c r="AU1964" s="418"/>
      <c r="AV1964" s="418"/>
      <c r="AW1964" s="418"/>
      <c r="AX1964" s="418"/>
      <c r="AY1964" s="418"/>
      <c r="BF1964" s="1119"/>
      <c r="BG1964" s="1119"/>
      <c r="BH1964" s="1119"/>
    </row>
    <row r="1965" spans="1:60" ht="15.75" customHeight="1">
      <c r="A1965" s="1076"/>
      <c r="B1965" s="416"/>
      <c r="C1965" s="424"/>
      <c r="E1965" s="418"/>
      <c r="F1965" s="493"/>
      <c r="G1965" s="418"/>
      <c r="H1965" s="421"/>
      <c r="I1965" s="421"/>
      <c r="J1965" s="492"/>
      <c r="K1965" s="418"/>
      <c r="L1965" s="418"/>
      <c r="M1965" s="418"/>
      <c r="N1965" s="421"/>
      <c r="O1965" s="421"/>
      <c r="P1965" s="421"/>
      <c r="Q1965" s="418"/>
      <c r="R1965" s="418"/>
      <c r="S1965" s="418"/>
      <c r="T1965" s="418"/>
      <c r="U1965" s="418"/>
      <c r="V1965" s="418"/>
      <c r="W1965" s="418"/>
      <c r="X1965" s="418"/>
      <c r="Y1965" s="418"/>
      <c r="Z1965" s="418"/>
      <c r="AA1965" s="418"/>
      <c r="AB1965" s="418"/>
      <c r="AC1965" s="418"/>
      <c r="AD1965" s="418"/>
      <c r="AE1965" s="418"/>
      <c r="AF1965" s="418"/>
      <c r="AG1965" s="418"/>
      <c r="AH1965" s="418"/>
      <c r="AI1965" s="418"/>
      <c r="AJ1965" s="418"/>
      <c r="AK1965" s="418"/>
      <c r="AL1965" s="418"/>
      <c r="AM1965" s="418"/>
      <c r="AN1965" s="418"/>
      <c r="AO1965" s="418"/>
      <c r="AP1965" s="418"/>
      <c r="AQ1965" s="418"/>
      <c r="AR1965" s="418"/>
      <c r="AS1965" s="418"/>
      <c r="AT1965" s="418"/>
      <c r="AU1965" s="418"/>
      <c r="AV1965" s="418"/>
      <c r="AW1965" s="418"/>
      <c r="AX1965" s="418"/>
      <c r="AY1965" s="418"/>
      <c r="BF1965" s="1119"/>
      <c r="BG1965" s="1119"/>
      <c r="BH1965" s="1119"/>
    </row>
    <row r="1966" spans="1:60" ht="15.75" customHeight="1">
      <c r="A1966" s="1076"/>
      <c r="B1966" s="416"/>
      <c r="C1966" s="424"/>
      <c r="E1966" s="418"/>
      <c r="F1966" s="493"/>
      <c r="G1966" s="418"/>
      <c r="H1966" s="421"/>
      <c r="I1966" s="421"/>
      <c r="J1966" s="492"/>
      <c r="K1966" s="418"/>
      <c r="L1966" s="418"/>
      <c r="M1966" s="418"/>
      <c r="N1966" s="421"/>
      <c r="O1966" s="421"/>
      <c r="P1966" s="421"/>
      <c r="Q1966" s="418"/>
      <c r="R1966" s="418"/>
      <c r="S1966" s="418"/>
      <c r="T1966" s="418"/>
      <c r="U1966" s="418"/>
      <c r="V1966" s="418"/>
      <c r="W1966" s="418"/>
      <c r="X1966" s="418"/>
      <c r="Y1966" s="418"/>
      <c r="Z1966" s="418"/>
      <c r="AA1966" s="418"/>
      <c r="AB1966" s="418"/>
      <c r="AC1966" s="418"/>
      <c r="AD1966" s="418"/>
      <c r="AE1966" s="418"/>
      <c r="AF1966" s="418"/>
      <c r="AG1966" s="418"/>
      <c r="AH1966" s="418"/>
      <c r="AI1966" s="418"/>
      <c r="AJ1966" s="418"/>
      <c r="AK1966" s="418"/>
      <c r="AL1966" s="418"/>
      <c r="AM1966" s="418"/>
      <c r="AN1966" s="418"/>
      <c r="AO1966" s="418"/>
      <c r="AP1966" s="418"/>
      <c r="AQ1966" s="418"/>
      <c r="AR1966" s="418"/>
      <c r="AS1966" s="418"/>
      <c r="AT1966" s="418"/>
      <c r="AU1966" s="418"/>
      <c r="AV1966" s="418"/>
      <c r="AW1966" s="418"/>
      <c r="AX1966" s="418"/>
      <c r="AY1966" s="418"/>
      <c r="BF1966" s="1119"/>
      <c r="BG1966" s="1119"/>
      <c r="BH1966" s="1119"/>
    </row>
    <row r="1967" spans="1:60" ht="15.75" customHeight="1">
      <c r="A1967" s="1076"/>
      <c r="B1967" s="416"/>
      <c r="C1967" s="424"/>
      <c r="E1967" s="418"/>
      <c r="F1967" s="493"/>
      <c r="G1967" s="418"/>
      <c r="H1967" s="421"/>
      <c r="I1967" s="421"/>
      <c r="J1967" s="492"/>
      <c r="K1967" s="418"/>
      <c r="L1967" s="418"/>
      <c r="M1967" s="418"/>
      <c r="N1967" s="421"/>
      <c r="O1967" s="421"/>
      <c r="P1967" s="421"/>
      <c r="Q1967" s="418"/>
      <c r="R1967" s="418"/>
      <c r="S1967" s="418"/>
      <c r="T1967" s="418"/>
      <c r="U1967" s="418"/>
      <c r="V1967" s="418"/>
      <c r="W1967" s="418"/>
      <c r="X1967" s="418"/>
      <c r="Y1967" s="418"/>
      <c r="Z1967" s="418"/>
      <c r="AA1967" s="418"/>
      <c r="AB1967" s="418"/>
      <c r="AC1967" s="418"/>
      <c r="AD1967" s="418"/>
      <c r="AE1967" s="418"/>
      <c r="AF1967" s="418"/>
      <c r="AG1967" s="418"/>
      <c r="AH1967" s="418"/>
      <c r="AI1967" s="418"/>
      <c r="AJ1967" s="418"/>
      <c r="AK1967" s="418"/>
      <c r="AL1967" s="418"/>
      <c r="AM1967" s="418"/>
      <c r="AN1967" s="418"/>
      <c r="AO1967" s="418"/>
      <c r="AP1967" s="418"/>
      <c r="AQ1967" s="418"/>
      <c r="AR1967" s="418"/>
      <c r="AS1967" s="418"/>
      <c r="AT1967" s="418"/>
      <c r="AU1967" s="418"/>
      <c r="AV1967" s="418"/>
      <c r="AW1967" s="418"/>
      <c r="AX1967" s="418"/>
      <c r="AY1967" s="418"/>
      <c r="BF1967" s="1119"/>
      <c r="BG1967" s="1119"/>
      <c r="BH1967" s="1119"/>
    </row>
    <row r="1968" spans="1:60" ht="15.75" customHeight="1">
      <c r="A1968" s="1076"/>
      <c r="B1968" s="416"/>
      <c r="C1968" s="424"/>
      <c r="E1968" s="418"/>
      <c r="F1968" s="493"/>
      <c r="G1968" s="418"/>
      <c r="H1968" s="421"/>
      <c r="I1968" s="421"/>
      <c r="J1968" s="492"/>
      <c r="K1968" s="418"/>
      <c r="L1968" s="418"/>
      <c r="M1968" s="418"/>
      <c r="N1968" s="421"/>
      <c r="O1968" s="421"/>
      <c r="P1968" s="421"/>
      <c r="Q1968" s="418"/>
      <c r="R1968" s="418"/>
      <c r="S1968" s="418"/>
      <c r="T1968" s="418"/>
      <c r="U1968" s="418"/>
      <c r="V1968" s="418"/>
      <c r="W1968" s="418"/>
      <c r="X1968" s="418"/>
      <c r="Y1968" s="418"/>
      <c r="Z1968" s="418"/>
      <c r="AA1968" s="418"/>
      <c r="AB1968" s="418"/>
      <c r="AC1968" s="418"/>
      <c r="AD1968" s="418"/>
      <c r="AE1968" s="418"/>
      <c r="AF1968" s="418"/>
      <c r="AG1968" s="418"/>
      <c r="AH1968" s="418"/>
      <c r="AI1968" s="418"/>
      <c r="AJ1968" s="418"/>
      <c r="AK1968" s="418"/>
      <c r="AL1968" s="418"/>
      <c r="AM1968" s="418"/>
      <c r="AN1968" s="418"/>
      <c r="AO1968" s="418"/>
      <c r="AP1968" s="418"/>
      <c r="AQ1968" s="418"/>
      <c r="AR1968" s="418"/>
      <c r="AS1968" s="418"/>
      <c r="AT1968" s="418"/>
      <c r="AU1968" s="418"/>
      <c r="AV1968" s="418"/>
      <c r="AW1968" s="418"/>
      <c r="AX1968" s="418"/>
      <c r="AY1968" s="418"/>
      <c r="BF1968" s="1119"/>
      <c r="BG1968" s="1119"/>
      <c r="BH1968" s="1119"/>
    </row>
    <row r="1969" spans="1:60" ht="15.75" customHeight="1">
      <c r="A1969" s="1076"/>
      <c r="B1969" s="416"/>
      <c r="C1969" s="424"/>
      <c r="E1969" s="418"/>
      <c r="F1969" s="493"/>
      <c r="G1969" s="418"/>
      <c r="H1969" s="421"/>
      <c r="I1969" s="421"/>
      <c r="J1969" s="492"/>
      <c r="K1969" s="418"/>
      <c r="L1969" s="418"/>
      <c r="M1969" s="418"/>
      <c r="N1969" s="421"/>
      <c r="O1969" s="421"/>
      <c r="P1969" s="421"/>
      <c r="Q1969" s="418"/>
      <c r="R1969" s="418"/>
      <c r="S1969" s="418"/>
      <c r="T1969" s="418"/>
      <c r="U1969" s="418"/>
      <c r="V1969" s="418"/>
      <c r="W1969" s="418"/>
      <c r="X1969" s="418"/>
      <c r="Y1969" s="418"/>
      <c r="Z1969" s="418"/>
      <c r="AA1969" s="418"/>
      <c r="AB1969" s="418"/>
      <c r="AC1969" s="418"/>
      <c r="AD1969" s="418"/>
      <c r="AE1969" s="418"/>
      <c r="AF1969" s="418"/>
      <c r="AG1969" s="418"/>
      <c r="AH1969" s="418"/>
      <c r="AI1969" s="418"/>
      <c r="AJ1969" s="418"/>
      <c r="AK1969" s="418"/>
      <c r="AL1969" s="418"/>
      <c r="AM1969" s="418"/>
      <c r="AN1969" s="418"/>
      <c r="AO1969" s="418"/>
      <c r="AP1969" s="418"/>
      <c r="AQ1969" s="418"/>
      <c r="AR1969" s="418"/>
      <c r="AS1969" s="418"/>
      <c r="AT1969" s="418"/>
      <c r="AU1969" s="418"/>
      <c r="AV1969" s="418"/>
      <c r="AW1969" s="418"/>
      <c r="AX1969" s="418"/>
      <c r="AY1969" s="418"/>
      <c r="BF1969" s="1119"/>
      <c r="BG1969" s="1119"/>
      <c r="BH1969" s="1119"/>
    </row>
    <row r="1970" spans="1:60" ht="15.75" customHeight="1">
      <c r="A1970" s="1076"/>
      <c r="B1970" s="416"/>
      <c r="C1970" s="424"/>
      <c r="E1970" s="418"/>
      <c r="F1970" s="493"/>
      <c r="G1970" s="418"/>
      <c r="H1970" s="421"/>
      <c r="I1970" s="421"/>
      <c r="J1970" s="492"/>
      <c r="K1970" s="418"/>
      <c r="L1970" s="418"/>
      <c r="M1970" s="418"/>
      <c r="N1970" s="421"/>
      <c r="O1970" s="421"/>
      <c r="P1970" s="421"/>
      <c r="Q1970" s="418"/>
      <c r="R1970" s="418"/>
      <c r="S1970" s="418"/>
      <c r="T1970" s="418"/>
      <c r="U1970" s="418"/>
      <c r="V1970" s="418"/>
      <c r="W1970" s="418"/>
      <c r="X1970" s="418"/>
      <c r="Y1970" s="418"/>
      <c r="Z1970" s="418"/>
      <c r="AA1970" s="418"/>
      <c r="AB1970" s="418"/>
      <c r="AC1970" s="418"/>
      <c r="AD1970" s="418"/>
      <c r="AE1970" s="418"/>
      <c r="AF1970" s="418"/>
      <c r="AG1970" s="418"/>
      <c r="AH1970" s="418"/>
      <c r="AI1970" s="418"/>
      <c r="AJ1970" s="418"/>
      <c r="AK1970" s="418"/>
      <c r="AL1970" s="418"/>
      <c r="AM1970" s="418"/>
      <c r="AN1970" s="418"/>
      <c r="AO1970" s="418"/>
      <c r="AP1970" s="418"/>
      <c r="AQ1970" s="418"/>
      <c r="AR1970" s="418"/>
      <c r="AS1970" s="418"/>
      <c r="AT1970" s="418"/>
      <c r="AU1970" s="418"/>
      <c r="AV1970" s="418"/>
      <c r="AW1970" s="418"/>
      <c r="AX1970" s="418"/>
      <c r="AY1970" s="418"/>
      <c r="BF1970" s="1119"/>
      <c r="BG1970" s="1119"/>
      <c r="BH1970" s="1119"/>
    </row>
    <row r="1971" spans="1:60" ht="15.75" customHeight="1">
      <c r="A1971" s="1076"/>
      <c r="B1971" s="416"/>
      <c r="C1971" s="424"/>
      <c r="E1971" s="418"/>
      <c r="F1971" s="493"/>
      <c r="G1971" s="418"/>
      <c r="H1971" s="421"/>
      <c r="I1971" s="421"/>
      <c r="J1971" s="492"/>
      <c r="K1971" s="418"/>
      <c r="L1971" s="418"/>
      <c r="M1971" s="418"/>
      <c r="N1971" s="421"/>
      <c r="O1971" s="421"/>
      <c r="P1971" s="421"/>
      <c r="Q1971" s="418"/>
      <c r="R1971" s="418"/>
      <c r="S1971" s="418"/>
      <c r="T1971" s="418"/>
      <c r="U1971" s="418"/>
      <c r="V1971" s="418"/>
      <c r="W1971" s="418"/>
      <c r="X1971" s="418"/>
      <c r="Y1971" s="418"/>
      <c r="Z1971" s="418"/>
      <c r="AA1971" s="418"/>
      <c r="AB1971" s="418"/>
      <c r="AC1971" s="418"/>
      <c r="AD1971" s="418"/>
      <c r="AE1971" s="418"/>
      <c r="AF1971" s="418"/>
      <c r="AG1971" s="418"/>
      <c r="AH1971" s="418"/>
      <c r="AI1971" s="418"/>
      <c r="AJ1971" s="418"/>
      <c r="AK1971" s="418"/>
      <c r="AL1971" s="418"/>
      <c r="AM1971" s="418"/>
      <c r="AN1971" s="418"/>
      <c r="AO1971" s="418"/>
      <c r="AP1971" s="418"/>
      <c r="AQ1971" s="418"/>
      <c r="AR1971" s="418"/>
      <c r="AS1971" s="418"/>
      <c r="AT1971" s="418"/>
      <c r="AU1971" s="418"/>
      <c r="AV1971" s="418"/>
      <c r="AW1971" s="418"/>
      <c r="AX1971" s="418"/>
      <c r="AY1971" s="418"/>
      <c r="BF1971" s="1119"/>
      <c r="BG1971" s="1119"/>
      <c r="BH1971" s="1119"/>
    </row>
    <row r="1972" spans="1:60" ht="15.75" customHeight="1">
      <c r="A1972" s="1076"/>
      <c r="B1972" s="416"/>
      <c r="C1972" s="424"/>
      <c r="E1972" s="418"/>
      <c r="F1972" s="493"/>
      <c r="G1972" s="418"/>
      <c r="H1972" s="421"/>
      <c r="I1972" s="421"/>
      <c r="J1972" s="492"/>
      <c r="K1972" s="418"/>
      <c r="L1972" s="418"/>
      <c r="M1972" s="418"/>
      <c r="N1972" s="421"/>
      <c r="O1972" s="421"/>
      <c r="P1972" s="421"/>
      <c r="Q1972" s="418"/>
      <c r="R1972" s="418"/>
      <c r="S1972" s="418"/>
      <c r="T1972" s="418"/>
      <c r="U1972" s="418"/>
      <c r="V1972" s="418"/>
      <c r="W1972" s="418"/>
      <c r="X1972" s="418"/>
      <c r="Y1972" s="418"/>
      <c r="Z1972" s="418"/>
      <c r="AA1972" s="418"/>
      <c r="AB1972" s="418"/>
      <c r="AC1972" s="418"/>
      <c r="AD1972" s="418"/>
      <c r="AE1972" s="418"/>
      <c r="AF1972" s="418"/>
      <c r="AG1972" s="418"/>
      <c r="AH1972" s="418"/>
      <c r="AI1972" s="418"/>
      <c r="AJ1972" s="418"/>
      <c r="AK1972" s="418"/>
      <c r="AL1972" s="418"/>
      <c r="AM1972" s="418"/>
      <c r="AN1972" s="418"/>
      <c r="AO1972" s="418"/>
      <c r="AP1972" s="418"/>
      <c r="AQ1972" s="418"/>
      <c r="AR1972" s="418"/>
      <c r="AS1972" s="418"/>
      <c r="AT1972" s="418"/>
      <c r="AU1972" s="418"/>
      <c r="AV1972" s="418"/>
      <c r="AW1972" s="418"/>
      <c r="AX1972" s="418"/>
      <c r="AY1972" s="418"/>
      <c r="BF1972" s="1119"/>
      <c r="BG1972" s="1119"/>
      <c r="BH1972" s="1119"/>
    </row>
    <row r="1973" spans="1:60" ht="15.75" customHeight="1">
      <c r="A1973" s="1076"/>
      <c r="B1973" s="416"/>
      <c r="C1973" s="424"/>
      <c r="E1973" s="418"/>
      <c r="F1973" s="493"/>
      <c r="G1973" s="418"/>
      <c r="H1973" s="421"/>
      <c r="I1973" s="421"/>
      <c r="J1973" s="492"/>
      <c r="K1973" s="418"/>
      <c r="L1973" s="418"/>
      <c r="M1973" s="418"/>
      <c r="N1973" s="421"/>
      <c r="O1973" s="421"/>
      <c r="P1973" s="421"/>
      <c r="Q1973" s="418"/>
      <c r="R1973" s="418"/>
      <c r="S1973" s="418"/>
      <c r="T1973" s="418"/>
      <c r="U1973" s="418"/>
      <c r="V1973" s="418"/>
      <c r="W1973" s="418"/>
      <c r="X1973" s="418"/>
      <c r="Y1973" s="418"/>
      <c r="Z1973" s="418"/>
      <c r="AA1973" s="418"/>
      <c r="AB1973" s="418"/>
      <c r="AC1973" s="418"/>
      <c r="AD1973" s="418"/>
      <c r="AE1973" s="418"/>
      <c r="AF1973" s="418"/>
      <c r="AG1973" s="418"/>
      <c r="AH1973" s="418"/>
      <c r="AI1973" s="418"/>
      <c r="AJ1973" s="418"/>
      <c r="AK1973" s="418"/>
      <c r="AL1973" s="418"/>
      <c r="AM1973" s="418"/>
      <c r="AN1973" s="418"/>
      <c r="AO1973" s="418"/>
      <c r="AP1973" s="418"/>
      <c r="AQ1973" s="418"/>
      <c r="AR1973" s="418"/>
      <c r="AS1973" s="418"/>
      <c r="AT1973" s="418"/>
      <c r="AU1973" s="418"/>
      <c r="AV1973" s="418"/>
      <c r="AW1973" s="418"/>
      <c r="AX1973" s="418"/>
      <c r="AY1973" s="418"/>
      <c r="BF1973" s="1119"/>
      <c r="BG1973" s="1119"/>
      <c r="BH1973" s="1119"/>
    </row>
    <row r="1974" spans="1:60" ht="15.75" customHeight="1">
      <c r="A1974" s="1076"/>
      <c r="B1974" s="416"/>
      <c r="C1974" s="424"/>
      <c r="E1974" s="418"/>
      <c r="F1974" s="493"/>
      <c r="G1974" s="418"/>
      <c r="H1974" s="421"/>
      <c r="I1974" s="421"/>
      <c r="J1974" s="492"/>
      <c r="K1974" s="418"/>
      <c r="L1974" s="418"/>
      <c r="M1974" s="418"/>
      <c r="N1974" s="421"/>
      <c r="O1974" s="421"/>
      <c r="P1974" s="421"/>
      <c r="Q1974" s="418"/>
      <c r="R1974" s="418"/>
      <c r="S1974" s="418"/>
      <c r="T1974" s="418"/>
      <c r="U1974" s="418"/>
      <c r="V1974" s="418"/>
      <c r="W1974" s="418"/>
      <c r="X1974" s="418"/>
      <c r="Y1974" s="418"/>
      <c r="Z1974" s="418"/>
      <c r="AA1974" s="418"/>
      <c r="AB1974" s="418"/>
      <c r="AC1974" s="418"/>
      <c r="AD1974" s="418"/>
      <c r="AE1974" s="418"/>
      <c r="AF1974" s="418"/>
      <c r="AG1974" s="418"/>
      <c r="AH1974" s="418"/>
      <c r="AI1974" s="418"/>
      <c r="AJ1974" s="418"/>
      <c r="AK1974" s="418"/>
      <c r="AL1974" s="418"/>
      <c r="AM1974" s="418"/>
      <c r="AN1974" s="418"/>
      <c r="AO1974" s="418"/>
      <c r="AP1974" s="418"/>
      <c r="AQ1974" s="418"/>
      <c r="AR1974" s="418"/>
      <c r="AS1974" s="418"/>
      <c r="AT1974" s="418"/>
      <c r="AU1974" s="418"/>
      <c r="AV1974" s="418"/>
      <c r="AW1974" s="418"/>
      <c r="AX1974" s="418"/>
      <c r="AY1974" s="418"/>
      <c r="BF1974" s="1119"/>
      <c r="BG1974" s="1119"/>
      <c r="BH1974" s="1119"/>
    </row>
    <row r="1975" spans="1:60" ht="15.75" customHeight="1">
      <c r="A1975" s="1076"/>
      <c r="B1975" s="416"/>
      <c r="C1975" s="424"/>
      <c r="E1975" s="418"/>
      <c r="F1975" s="493"/>
      <c r="G1975" s="418"/>
      <c r="H1975" s="421"/>
      <c r="I1975" s="421"/>
      <c r="J1975" s="492"/>
      <c r="K1975" s="418"/>
      <c r="L1975" s="418"/>
      <c r="M1975" s="418"/>
      <c r="N1975" s="421"/>
      <c r="O1975" s="421"/>
      <c r="P1975" s="421"/>
      <c r="Q1975" s="418"/>
      <c r="R1975" s="418"/>
      <c r="S1975" s="418"/>
      <c r="T1975" s="418"/>
      <c r="U1975" s="418"/>
      <c r="V1975" s="418"/>
      <c r="W1975" s="418"/>
      <c r="X1975" s="418"/>
      <c r="Y1975" s="418"/>
      <c r="Z1975" s="418"/>
      <c r="AA1975" s="418"/>
      <c r="AB1975" s="418"/>
      <c r="AC1975" s="418"/>
      <c r="AD1975" s="418"/>
      <c r="AE1975" s="418"/>
      <c r="AF1975" s="418"/>
      <c r="AG1975" s="418"/>
      <c r="AH1975" s="418"/>
      <c r="AI1975" s="418"/>
      <c r="AJ1975" s="418"/>
      <c r="AK1975" s="418"/>
      <c r="AL1975" s="418"/>
      <c r="AM1975" s="418"/>
      <c r="AN1975" s="418"/>
      <c r="AO1975" s="418"/>
      <c r="AP1975" s="418"/>
      <c r="AQ1975" s="418"/>
      <c r="AR1975" s="418"/>
      <c r="AS1975" s="418"/>
      <c r="AT1975" s="418"/>
      <c r="AU1975" s="418"/>
      <c r="AV1975" s="418"/>
      <c r="AW1975" s="418"/>
      <c r="AX1975" s="418"/>
      <c r="AY1975" s="418"/>
      <c r="BF1975" s="1119"/>
      <c r="BG1975" s="1119"/>
      <c r="BH1975" s="1119"/>
    </row>
    <row r="1976" spans="1:60" ht="15.75" customHeight="1">
      <c r="A1976" s="1076"/>
      <c r="B1976" s="416"/>
      <c r="C1976" s="424"/>
      <c r="E1976" s="418"/>
      <c r="F1976" s="493"/>
      <c r="G1976" s="418"/>
      <c r="H1976" s="421"/>
      <c r="I1976" s="421"/>
      <c r="J1976" s="492"/>
      <c r="K1976" s="418"/>
      <c r="L1976" s="418"/>
      <c r="M1976" s="418"/>
      <c r="N1976" s="421"/>
      <c r="O1976" s="421"/>
      <c r="P1976" s="421"/>
      <c r="Q1976" s="418"/>
      <c r="R1976" s="418"/>
      <c r="S1976" s="418"/>
      <c r="T1976" s="418"/>
      <c r="U1976" s="418"/>
      <c r="V1976" s="418"/>
      <c r="W1976" s="418"/>
      <c r="X1976" s="418"/>
      <c r="Y1976" s="418"/>
      <c r="Z1976" s="418"/>
      <c r="AA1976" s="418"/>
      <c r="AB1976" s="418"/>
      <c r="AC1976" s="418"/>
      <c r="AD1976" s="418"/>
      <c r="AE1976" s="418"/>
      <c r="AF1976" s="418"/>
      <c r="AG1976" s="418"/>
      <c r="AH1976" s="418"/>
      <c r="AI1976" s="418"/>
      <c r="AJ1976" s="418"/>
      <c r="AK1976" s="418"/>
      <c r="AL1976" s="418"/>
      <c r="AM1976" s="418"/>
      <c r="AN1976" s="418"/>
      <c r="AO1976" s="418"/>
      <c r="AP1976" s="418"/>
      <c r="AQ1976" s="418"/>
      <c r="AR1976" s="418"/>
      <c r="AS1976" s="418"/>
      <c r="AT1976" s="418"/>
      <c r="AU1976" s="418"/>
      <c r="AV1976" s="418"/>
      <c r="AW1976" s="418"/>
      <c r="AX1976" s="418"/>
      <c r="AY1976" s="418"/>
      <c r="BF1976" s="1119"/>
      <c r="BG1976" s="1119"/>
      <c r="BH1976" s="1119"/>
    </row>
    <row r="1977" spans="1:60" ht="15.75" customHeight="1">
      <c r="A1977" s="1076"/>
      <c r="B1977" s="416"/>
      <c r="C1977" s="424"/>
      <c r="E1977" s="418"/>
      <c r="F1977" s="493"/>
      <c r="G1977" s="418"/>
      <c r="H1977" s="421"/>
      <c r="I1977" s="421"/>
      <c r="J1977" s="492"/>
      <c r="K1977" s="418"/>
      <c r="L1977" s="418"/>
      <c r="M1977" s="418"/>
      <c r="N1977" s="421"/>
      <c r="O1977" s="421"/>
      <c r="P1977" s="421"/>
      <c r="Q1977" s="418"/>
      <c r="R1977" s="418"/>
      <c r="S1977" s="418"/>
      <c r="T1977" s="418"/>
      <c r="U1977" s="418"/>
      <c r="V1977" s="418"/>
      <c r="W1977" s="418"/>
      <c r="X1977" s="418"/>
      <c r="Y1977" s="418"/>
      <c r="Z1977" s="418"/>
      <c r="AA1977" s="418"/>
      <c r="AB1977" s="418"/>
      <c r="AC1977" s="418"/>
      <c r="AD1977" s="418"/>
      <c r="AE1977" s="418"/>
      <c r="AF1977" s="418"/>
      <c r="AG1977" s="418"/>
      <c r="AH1977" s="418"/>
      <c r="AI1977" s="418"/>
      <c r="AJ1977" s="418"/>
      <c r="AK1977" s="418"/>
      <c r="AL1977" s="418"/>
      <c r="AM1977" s="418"/>
      <c r="AN1977" s="418"/>
      <c r="AO1977" s="418"/>
      <c r="AP1977" s="418"/>
      <c r="AQ1977" s="418"/>
      <c r="AR1977" s="418"/>
      <c r="AS1977" s="418"/>
      <c r="AT1977" s="418"/>
      <c r="AU1977" s="418"/>
      <c r="AV1977" s="418"/>
      <c r="AW1977" s="418"/>
      <c r="AX1977" s="418"/>
      <c r="AY1977" s="418"/>
      <c r="BF1977" s="1119"/>
      <c r="BG1977" s="1119"/>
      <c r="BH1977" s="1119"/>
    </row>
    <row r="1978" spans="1:60" ht="15.75" customHeight="1">
      <c r="A1978" s="1076"/>
      <c r="B1978" s="416"/>
      <c r="C1978" s="424"/>
      <c r="E1978" s="418"/>
      <c r="F1978" s="493"/>
      <c r="G1978" s="418"/>
      <c r="H1978" s="421"/>
      <c r="I1978" s="421"/>
      <c r="J1978" s="492"/>
      <c r="K1978" s="418"/>
      <c r="L1978" s="418"/>
      <c r="M1978" s="418"/>
      <c r="N1978" s="421"/>
      <c r="O1978" s="421"/>
      <c r="P1978" s="421"/>
      <c r="Q1978" s="418"/>
      <c r="R1978" s="418"/>
      <c r="S1978" s="418"/>
      <c r="T1978" s="418"/>
      <c r="U1978" s="418"/>
      <c r="V1978" s="418"/>
      <c r="W1978" s="418"/>
      <c r="X1978" s="418"/>
      <c r="Y1978" s="418"/>
      <c r="Z1978" s="418"/>
      <c r="AA1978" s="418"/>
      <c r="AB1978" s="418"/>
      <c r="AC1978" s="418"/>
      <c r="AD1978" s="418"/>
      <c r="AE1978" s="418"/>
      <c r="AF1978" s="418"/>
      <c r="AG1978" s="418"/>
      <c r="AH1978" s="418"/>
      <c r="AI1978" s="418"/>
      <c r="AJ1978" s="418"/>
      <c r="AK1978" s="418"/>
      <c r="AL1978" s="418"/>
      <c r="AM1978" s="418"/>
      <c r="AN1978" s="418"/>
      <c r="AO1978" s="418"/>
      <c r="AP1978" s="418"/>
      <c r="AQ1978" s="418"/>
      <c r="AR1978" s="418"/>
      <c r="AS1978" s="418"/>
      <c r="AT1978" s="418"/>
      <c r="AU1978" s="418"/>
      <c r="AV1978" s="418"/>
      <c r="AW1978" s="418"/>
      <c r="AX1978" s="418"/>
      <c r="AY1978" s="418"/>
      <c r="BF1978" s="1119"/>
      <c r="BG1978" s="1119"/>
      <c r="BH1978" s="1119"/>
    </row>
    <row r="1979" spans="1:60" ht="15.75" customHeight="1">
      <c r="A1979" s="1076"/>
      <c r="B1979" s="416"/>
      <c r="C1979" s="424"/>
      <c r="E1979" s="418"/>
      <c r="F1979" s="493"/>
      <c r="G1979" s="418"/>
      <c r="H1979" s="421"/>
      <c r="I1979" s="421"/>
      <c r="J1979" s="492"/>
      <c r="K1979" s="418"/>
      <c r="L1979" s="418"/>
      <c r="M1979" s="418"/>
      <c r="N1979" s="421"/>
      <c r="O1979" s="421"/>
      <c r="P1979" s="421"/>
      <c r="Q1979" s="418"/>
      <c r="R1979" s="418"/>
      <c r="S1979" s="418"/>
      <c r="T1979" s="418"/>
      <c r="U1979" s="418"/>
      <c r="V1979" s="418"/>
      <c r="W1979" s="418"/>
      <c r="X1979" s="418"/>
      <c r="Y1979" s="418"/>
      <c r="Z1979" s="418"/>
      <c r="AA1979" s="418"/>
      <c r="AB1979" s="418"/>
      <c r="AC1979" s="418"/>
      <c r="AD1979" s="418"/>
      <c r="AE1979" s="418"/>
      <c r="AF1979" s="418"/>
      <c r="AG1979" s="418"/>
      <c r="AH1979" s="418"/>
      <c r="AI1979" s="418"/>
      <c r="AJ1979" s="418"/>
      <c r="AK1979" s="418"/>
      <c r="AL1979" s="418"/>
      <c r="AM1979" s="418"/>
      <c r="AN1979" s="418"/>
      <c r="AO1979" s="418"/>
      <c r="AP1979" s="418"/>
      <c r="AQ1979" s="418"/>
      <c r="AR1979" s="418"/>
      <c r="AS1979" s="418"/>
      <c r="AT1979" s="418"/>
      <c r="AU1979" s="418"/>
      <c r="AV1979" s="418"/>
      <c r="AW1979" s="418"/>
      <c r="AX1979" s="418"/>
      <c r="AY1979" s="418"/>
      <c r="BF1979" s="1119"/>
      <c r="BG1979" s="1119"/>
      <c r="BH1979" s="1119"/>
    </row>
    <row r="1980" spans="1:60" ht="15.75" customHeight="1">
      <c r="A1980" s="1076"/>
      <c r="B1980" s="416"/>
      <c r="C1980" s="424"/>
      <c r="E1980" s="418"/>
      <c r="F1980" s="493"/>
      <c r="G1980" s="418"/>
      <c r="H1980" s="421"/>
      <c r="I1980" s="421"/>
      <c r="J1980" s="492"/>
      <c r="K1980" s="418"/>
      <c r="L1980" s="418"/>
      <c r="M1980" s="418"/>
      <c r="N1980" s="421"/>
      <c r="O1980" s="421"/>
      <c r="P1980" s="421"/>
      <c r="Q1980" s="418"/>
      <c r="R1980" s="418"/>
      <c r="S1980" s="418"/>
      <c r="T1980" s="418"/>
      <c r="U1980" s="418"/>
      <c r="V1980" s="418"/>
      <c r="W1980" s="418"/>
      <c r="X1980" s="418"/>
      <c r="Y1980" s="418"/>
      <c r="Z1980" s="418"/>
      <c r="AA1980" s="418"/>
      <c r="AB1980" s="418"/>
      <c r="AC1980" s="418"/>
      <c r="AD1980" s="418"/>
      <c r="AE1980" s="418"/>
      <c r="AF1980" s="418"/>
      <c r="AG1980" s="418"/>
      <c r="AH1980" s="418"/>
      <c r="AI1980" s="418"/>
      <c r="AJ1980" s="418"/>
      <c r="AK1980" s="418"/>
      <c r="AL1980" s="418"/>
      <c r="AM1980" s="418"/>
      <c r="AN1980" s="418"/>
      <c r="AO1980" s="418"/>
      <c r="AP1980" s="418"/>
      <c r="AQ1980" s="418"/>
      <c r="AR1980" s="418"/>
      <c r="AS1980" s="418"/>
      <c r="AT1980" s="418"/>
      <c r="AU1980" s="418"/>
      <c r="AV1980" s="418"/>
      <c r="AW1980" s="418"/>
      <c r="AX1980" s="418"/>
      <c r="AY1980" s="418"/>
      <c r="BF1980" s="1119"/>
      <c r="BG1980" s="1119"/>
      <c r="BH1980" s="1119"/>
    </row>
    <row r="1981" spans="1:60" ht="15.75" customHeight="1">
      <c r="A1981" s="1076"/>
      <c r="B1981" s="416"/>
      <c r="C1981" s="424"/>
      <c r="E1981" s="418"/>
      <c r="F1981" s="493"/>
      <c r="G1981" s="418"/>
      <c r="H1981" s="421"/>
      <c r="I1981" s="421"/>
      <c r="J1981" s="492"/>
      <c r="K1981" s="418"/>
      <c r="L1981" s="418"/>
      <c r="M1981" s="418"/>
      <c r="N1981" s="421"/>
      <c r="O1981" s="421"/>
      <c r="P1981" s="421"/>
      <c r="Q1981" s="418"/>
      <c r="R1981" s="418"/>
      <c r="S1981" s="418"/>
      <c r="T1981" s="418"/>
      <c r="U1981" s="418"/>
      <c r="V1981" s="418"/>
      <c r="W1981" s="418"/>
      <c r="X1981" s="418"/>
      <c r="Y1981" s="418"/>
      <c r="Z1981" s="418"/>
      <c r="AA1981" s="418"/>
      <c r="AB1981" s="418"/>
      <c r="AC1981" s="418"/>
      <c r="AD1981" s="418"/>
      <c r="AE1981" s="418"/>
      <c r="AF1981" s="418"/>
      <c r="AG1981" s="418"/>
      <c r="AH1981" s="418"/>
      <c r="AI1981" s="418"/>
      <c r="AJ1981" s="418"/>
      <c r="AK1981" s="418"/>
      <c r="AL1981" s="418"/>
      <c r="AM1981" s="418"/>
      <c r="AN1981" s="418"/>
      <c r="AO1981" s="418"/>
      <c r="AP1981" s="418"/>
      <c r="AQ1981" s="418"/>
      <c r="AR1981" s="418"/>
      <c r="AS1981" s="418"/>
      <c r="AT1981" s="418"/>
      <c r="AU1981" s="418"/>
      <c r="AV1981" s="418"/>
      <c r="AW1981" s="418"/>
      <c r="AX1981" s="418"/>
      <c r="AY1981" s="418"/>
      <c r="BF1981" s="1119"/>
      <c r="BG1981" s="1119"/>
      <c r="BH1981" s="1119"/>
    </row>
    <row r="1982" spans="1:60" ht="15.75" customHeight="1">
      <c r="A1982" s="1076"/>
      <c r="B1982" s="416"/>
      <c r="C1982" s="424"/>
      <c r="E1982" s="418"/>
      <c r="F1982" s="493"/>
      <c r="G1982" s="418"/>
      <c r="H1982" s="421"/>
      <c r="I1982" s="421"/>
      <c r="J1982" s="492"/>
      <c r="K1982" s="418"/>
      <c r="L1982" s="418"/>
      <c r="M1982" s="418"/>
      <c r="N1982" s="421"/>
      <c r="O1982" s="421"/>
      <c r="P1982" s="421"/>
      <c r="Q1982" s="418"/>
      <c r="R1982" s="418"/>
      <c r="S1982" s="418"/>
      <c r="T1982" s="418"/>
      <c r="U1982" s="418"/>
      <c r="V1982" s="418"/>
      <c r="W1982" s="418"/>
      <c r="X1982" s="418"/>
      <c r="Y1982" s="418"/>
      <c r="Z1982" s="418"/>
      <c r="AA1982" s="418"/>
      <c r="AB1982" s="418"/>
      <c r="AC1982" s="418"/>
      <c r="AD1982" s="418"/>
      <c r="AE1982" s="418"/>
      <c r="AF1982" s="418"/>
      <c r="AG1982" s="418"/>
      <c r="AH1982" s="418"/>
      <c r="AI1982" s="418"/>
      <c r="AJ1982" s="418"/>
      <c r="AK1982" s="418"/>
      <c r="AL1982" s="418"/>
      <c r="AM1982" s="418"/>
      <c r="AN1982" s="418"/>
      <c r="AO1982" s="418"/>
      <c r="AP1982" s="418"/>
      <c r="AQ1982" s="418"/>
      <c r="AR1982" s="418"/>
      <c r="AS1982" s="418"/>
      <c r="AT1982" s="418"/>
      <c r="AU1982" s="418"/>
      <c r="AV1982" s="418"/>
      <c r="AW1982" s="418"/>
      <c r="AX1982" s="418"/>
      <c r="AY1982" s="418"/>
      <c r="BF1982" s="1119"/>
      <c r="BG1982" s="1119"/>
      <c r="BH1982" s="1119"/>
    </row>
    <row r="1983" spans="1:60" ht="15.75" customHeight="1">
      <c r="A1983" s="1076"/>
      <c r="B1983" s="416"/>
      <c r="C1983" s="424"/>
      <c r="E1983" s="418"/>
      <c r="F1983" s="493"/>
      <c r="G1983" s="418"/>
      <c r="H1983" s="421"/>
      <c r="I1983" s="421"/>
      <c r="J1983" s="492"/>
      <c r="K1983" s="418"/>
      <c r="L1983" s="418"/>
      <c r="M1983" s="418"/>
      <c r="N1983" s="421"/>
      <c r="O1983" s="421"/>
      <c r="P1983" s="421"/>
      <c r="Q1983" s="418"/>
      <c r="R1983" s="418"/>
      <c r="S1983" s="418"/>
      <c r="T1983" s="418"/>
      <c r="U1983" s="418"/>
      <c r="V1983" s="418"/>
      <c r="W1983" s="418"/>
      <c r="X1983" s="418"/>
      <c r="Y1983" s="418"/>
      <c r="Z1983" s="418"/>
      <c r="AA1983" s="418"/>
      <c r="AB1983" s="418"/>
      <c r="AC1983" s="418"/>
      <c r="AD1983" s="418"/>
      <c r="AE1983" s="418"/>
      <c r="AF1983" s="418"/>
      <c r="AG1983" s="418"/>
      <c r="AH1983" s="418"/>
      <c r="AI1983" s="418"/>
      <c r="AJ1983" s="418"/>
      <c r="AK1983" s="418"/>
      <c r="AL1983" s="418"/>
      <c r="AM1983" s="418"/>
      <c r="AN1983" s="418"/>
      <c r="AO1983" s="418"/>
      <c r="AP1983" s="418"/>
      <c r="AQ1983" s="418"/>
      <c r="AR1983" s="418"/>
      <c r="AS1983" s="418"/>
      <c r="AT1983" s="418"/>
      <c r="AU1983" s="418"/>
      <c r="AV1983" s="418"/>
      <c r="AW1983" s="418"/>
      <c r="AX1983" s="418"/>
      <c r="AY1983" s="418"/>
      <c r="BF1983" s="1119"/>
      <c r="BG1983" s="1119"/>
      <c r="BH1983" s="1119"/>
    </row>
    <row r="1984" spans="1:60" ht="15.75" customHeight="1">
      <c r="A1984" s="1076"/>
      <c r="B1984" s="416"/>
      <c r="C1984" s="424"/>
      <c r="E1984" s="418"/>
      <c r="F1984" s="493"/>
      <c r="G1984" s="418"/>
      <c r="H1984" s="421"/>
      <c r="I1984" s="421"/>
      <c r="J1984" s="492"/>
      <c r="K1984" s="418"/>
      <c r="L1984" s="418"/>
      <c r="M1984" s="418"/>
      <c r="N1984" s="421"/>
      <c r="O1984" s="421"/>
      <c r="P1984" s="421"/>
      <c r="Q1984" s="418"/>
      <c r="R1984" s="418"/>
      <c r="S1984" s="418"/>
      <c r="T1984" s="418"/>
      <c r="U1984" s="418"/>
      <c r="V1984" s="418"/>
      <c r="W1984" s="418"/>
      <c r="X1984" s="418"/>
      <c r="Y1984" s="418"/>
      <c r="Z1984" s="418"/>
      <c r="AA1984" s="418"/>
      <c r="AB1984" s="418"/>
      <c r="AC1984" s="418"/>
      <c r="AD1984" s="418"/>
      <c r="AE1984" s="418"/>
      <c r="AF1984" s="418"/>
      <c r="AG1984" s="418"/>
      <c r="AH1984" s="418"/>
      <c r="AI1984" s="418"/>
      <c r="AJ1984" s="418"/>
      <c r="AK1984" s="418"/>
      <c r="AL1984" s="418"/>
      <c r="AM1984" s="418"/>
      <c r="AN1984" s="418"/>
      <c r="AO1984" s="418"/>
      <c r="AP1984" s="418"/>
      <c r="AQ1984" s="418"/>
      <c r="AR1984" s="418"/>
      <c r="AS1984" s="418"/>
      <c r="AT1984" s="418"/>
      <c r="AU1984" s="418"/>
      <c r="AV1984" s="418"/>
      <c r="AW1984" s="418"/>
      <c r="AX1984" s="418"/>
      <c r="AY1984" s="418"/>
      <c r="BF1984" s="1119"/>
      <c r="BG1984" s="1119"/>
      <c r="BH1984" s="1119"/>
    </row>
    <row r="1985" spans="1:60" ht="15.75" customHeight="1">
      <c r="A1985" s="1076"/>
      <c r="B1985" s="416"/>
      <c r="C1985" s="424"/>
      <c r="E1985" s="418"/>
      <c r="F1985" s="493"/>
      <c r="G1985" s="418"/>
      <c r="H1985" s="421"/>
      <c r="I1985" s="421"/>
      <c r="J1985" s="492"/>
      <c r="K1985" s="418"/>
      <c r="L1985" s="418"/>
      <c r="M1985" s="418"/>
      <c r="N1985" s="421"/>
      <c r="O1985" s="421"/>
      <c r="P1985" s="421"/>
      <c r="Q1985" s="418"/>
      <c r="R1985" s="418"/>
      <c r="S1985" s="418"/>
      <c r="T1985" s="418"/>
      <c r="U1985" s="418"/>
      <c r="V1985" s="418"/>
      <c r="W1985" s="418"/>
      <c r="X1985" s="418"/>
      <c r="Y1985" s="418"/>
      <c r="Z1985" s="418"/>
      <c r="AA1985" s="418"/>
      <c r="AB1985" s="418"/>
      <c r="AC1985" s="418"/>
      <c r="AD1985" s="418"/>
      <c r="AE1985" s="418"/>
      <c r="AF1985" s="418"/>
      <c r="AG1985" s="418"/>
      <c r="AH1985" s="418"/>
      <c r="AI1985" s="418"/>
      <c r="AJ1985" s="418"/>
      <c r="AK1985" s="418"/>
      <c r="AL1985" s="418"/>
      <c r="AM1985" s="418"/>
      <c r="AN1985" s="418"/>
      <c r="AO1985" s="418"/>
      <c r="AP1985" s="418"/>
      <c r="AQ1985" s="418"/>
      <c r="AR1985" s="418"/>
      <c r="AS1985" s="418"/>
      <c r="AT1985" s="418"/>
      <c r="AU1985" s="418"/>
      <c r="AV1985" s="418"/>
      <c r="AW1985" s="418"/>
      <c r="AX1985" s="418"/>
      <c r="AY1985" s="418"/>
      <c r="BF1985" s="1119"/>
      <c r="BG1985" s="1119"/>
      <c r="BH1985" s="1119"/>
    </row>
    <row r="1986" spans="1:60" ht="15.75" customHeight="1">
      <c r="A1986" s="1076"/>
      <c r="B1986" s="416"/>
      <c r="C1986" s="424"/>
      <c r="E1986" s="418"/>
      <c r="F1986" s="493"/>
      <c r="G1986" s="418"/>
      <c r="H1986" s="421"/>
      <c r="I1986" s="421"/>
      <c r="J1986" s="492"/>
      <c r="K1986" s="418"/>
      <c r="L1986" s="418"/>
      <c r="M1986" s="418"/>
      <c r="N1986" s="421"/>
      <c r="O1986" s="421"/>
      <c r="P1986" s="421"/>
      <c r="Q1986" s="418"/>
      <c r="R1986" s="418"/>
      <c r="S1986" s="418"/>
      <c r="T1986" s="418"/>
      <c r="U1986" s="418"/>
      <c r="V1986" s="418"/>
      <c r="W1986" s="418"/>
      <c r="X1986" s="418"/>
      <c r="Y1986" s="418"/>
      <c r="Z1986" s="418"/>
      <c r="AA1986" s="418"/>
      <c r="AB1986" s="418"/>
      <c r="AC1986" s="418"/>
      <c r="AD1986" s="418"/>
      <c r="AE1986" s="418"/>
      <c r="AF1986" s="418"/>
      <c r="AG1986" s="418"/>
      <c r="AH1986" s="418"/>
      <c r="AI1986" s="418"/>
      <c r="AJ1986" s="418"/>
      <c r="AK1986" s="418"/>
      <c r="AL1986" s="418"/>
      <c r="AM1986" s="418"/>
      <c r="AN1986" s="418"/>
      <c r="AO1986" s="418"/>
      <c r="AP1986" s="418"/>
      <c r="AQ1986" s="418"/>
      <c r="AR1986" s="418"/>
      <c r="AS1986" s="418"/>
      <c r="AT1986" s="418"/>
      <c r="AU1986" s="418"/>
      <c r="AV1986" s="418"/>
      <c r="AW1986" s="418"/>
      <c r="AX1986" s="418"/>
      <c r="AY1986" s="418"/>
      <c r="BF1986" s="1119"/>
      <c r="BG1986" s="1119"/>
      <c r="BH1986" s="1119"/>
    </row>
    <row r="1987" spans="1:60" ht="15.75" customHeight="1">
      <c r="A1987" s="1076"/>
      <c r="B1987" s="416"/>
      <c r="C1987" s="424"/>
      <c r="E1987" s="418"/>
      <c r="F1987" s="493"/>
      <c r="G1987" s="418"/>
      <c r="H1987" s="421"/>
      <c r="I1987" s="421"/>
      <c r="J1987" s="492"/>
      <c r="K1987" s="418"/>
      <c r="L1987" s="418"/>
      <c r="M1987" s="418"/>
      <c r="N1987" s="421"/>
      <c r="O1987" s="421"/>
      <c r="P1987" s="421"/>
      <c r="Q1987" s="418"/>
      <c r="R1987" s="418"/>
      <c r="S1987" s="418"/>
      <c r="T1987" s="418"/>
      <c r="U1987" s="418"/>
      <c r="V1987" s="418"/>
      <c r="W1987" s="418"/>
      <c r="X1987" s="418"/>
      <c r="Y1987" s="418"/>
      <c r="Z1987" s="418"/>
      <c r="AA1987" s="418"/>
      <c r="AB1987" s="418"/>
      <c r="AC1987" s="418"/>
      <c r="AD1987" s="418"/>
      <c r="AE1987" s="418"/>
      <c r="AF1987" s="418"/>
      <c r="AG1987" s="418"/>
      <c r="AH1987" s="418"/>
      <c r="AI1987" s="418"/>
      <c r="AJ1987" s="418"/>
      <c r="AK1987" s="418"/>
      <c r="AL1987" s="418"/>
      <c r="AM1987" s="418"/>
      <c r="AN1987" s="418"/>
      <c r="AO1987" s="418"/>
      <c r="AP1987" s="418"/>
      <c r="AQ1987" s="418"/>
      <c r="AR1987" s="418"/>
      <c r="AS1987" s="418"/>
      <c r="AT1987" s="418"/>
      <c r="AU1987" s="418"/>
      <c r="AV1987" s="418"/>
      <c r="AW1987" s="418"/>
      <c r="AX1987" s="418"/>
      <c r="AY1987" s="418"/>
      <c r="BF1987" s="1119"/>
      <c r="BG1987" s="1119"/>
      <c r="BH1987" s="1119"/>
    </row>
    <row r="1988" spans="1:60" ht="15.75" customHeight="1">
      <c r="A1988" s="1076"/>
      <c r="B1988" s="416"/>
      <c r="C1988" s="424"/>
      <c r="E1988" s="418"/>
      <c r="F1988" s="493"/>
      <c r="G1988" s="418"/>
      <c r="H1988" s="421"/>
      <c r="I1988" s="421"/>
      <c r="J1988" s="492"/>
      <c r="K1988" s="418"/>
      <c r="L1988" s="418"/>
      <c r="M1988" s="418"/>
      <c r="N1988" s="421"/>
      <c r="O1988" s="421"/>
      <c r="P1988" s="421"/>
      <c r="Q1988" s="418"/>
      <c r="R1988" s="418"/>
      <c r="S1988" s="418"/>
      <c r="T1988" s="418"/>
      <c r="U1988" s="418"/>
      <c r="V1988" s="418"/>
      <c r="W1988" s="418"/>
      <c r="X1988" s="418"/>
      <c r="Y1988" s="418"/>
      <c r="Z1988" s="418"/>
      <c r="AA1988" s="418"/>
      <c r="AB1988" s="418"/>
      <c r="AC1988" s="418"/>
      <c r="AD1988" s="418"/>
      <c r="AE1988" s="418"/>
      <c r="AF1988" s="418"/>
      <c r="AG1988" s="418"/>
      <c r="AH1988" s="418"/>
      <c r="AI1988" s="418"/>
      <c r="AJ1988" s="418"/>
      <c r="AK1988" s="418"/>
      <c r="AL1988" s="418"/>
      <c r="AM1988" s="418"/>
      <c r="AN1988" s="418"/>
      <c r="AO1988" s="418"/>
      <c r="AP1988" s="418"/>
      <c r="AQ1988" s="418"/>
      <c r="AR1988" s="418"/>
      <c r="AS1988" s="418"/>
      <c r="AT1988" s="418"/>
      <c r="AU1988" s="418"/>
      <c r="AV1988" s="418"/>
      <c r="AW1988" s="418"/>
      <c r="AX1988" s="418"/>
      <c r="AY1988" s="418"/>
      <c r="BF1988" s="1119"/>
      <c r="BG1988" s="1119"/>
      <c r="BH1988" s="1119"/>
    </row>
    <row r="1989" spans="1:60" ht="15.75" customHeight="1">
      <c r="A1989" s="1076"/>
      <c r="B1989" s="416"/>
      <c r="C1989" s="424"/>
      <c r="E1989" s="418"/>
      <c r="F1989" s="493"/>
      <c r="G1989" s="418"/>
      <c r="H1989" s="421"/>
      <c r="I1989" s="421"/>
      <c r="J1989" s="492"/>
      <c r="K1989" s="418"/>
      <c r="L1989" s="418"/>
      <c r="M1989" s="418"/>
      <c r="N1989" s="421"/>
      <c r="O1989" s="421"/>
      <c r="P1989" s="421"/>
      <c r="Q1989" s="418"/>
      <c r="R1989" s="418"/>
      <c r="S1989" s="418"/>
      <c r="T1989" s="418"/>
      <c r="U1989" s="418"/>
      <c r="V1989" s="418"/>
      <c r="W1989" s="418"/>
      <c r="X1989" s="418"/>
      <c r="Y1989" s="418"/>
      <c r="Z1989" s="418"/>
      <c r="AA1989" s="418"/>
      <c r="AB1989" s="418"/>
      <c r="AC1989" s="418"/>
      <c r="AD1989" s="418"/>
      <c r="AE1989" s="418"/>
      <c r="AF1989" s="418"/>
      <c r="AG1989" s="418"/>
      <c r="AH1989" s="418"/>
      <c r="AI1989" s="418"/>
      <c r="AJ1989" s="418"/>
      <c r="AK1989" s="418"/>
      <c r="AL1989" s="418"/>
      <c r="AM1989" s="418"/>
      <c r="AN1989" s="418"/>
      <c r="AO1989" s="418"/>
      <c r="AP1989" s="418"/>
      <c r="AQ1989" s="418"/>
      <c r="AR1989" s="418"/>
      <c r="AS1989" s="418"/>
      <c r="AT1989" s="418"/>
      <c r="AU1989" s="418"/>
      <c r="AV1989" s="418"/>
      <c r="AW1989" s="418"/>
      <c r="AX1989" s="418"/>
      <c r="AY1989" s="418"/>
      <c r="BF1989" s="1119"/>
      <c r="BG1989" s="1119"/>
      <c r="BH1989" s="1119"/>
    </row>
    <row r="1990" spans="1:60" ht="15.75" customHeight="1">
      <c r="A1990" s="1076"/>
      <c r="B1990" s="416"/>
      <c r="C1990" s="424"/>
      <c r="E1990" s="418"/>
      <c r="F1990" s="493"/>
      <c r="G1990" s="418"/>
      <c r="H1990" s="418"/>
      <c r="I1990" s="418"/>
      <c r="J1990" s="424"/>
      <c r="K1990" s="418"/>
      <c r="L1990" s="418"/>
      <c r="M1990" s="418"/>
      <c r="N1990" s="421"/>
      <c r="O1990" s="421"/>
      <c r="P1990" s="421"/>
      <c r="Q1990" s="418"/>
      <c r="R1990" s="418"/>
      <c r="S1990" s="418"/>
      <c r="T1990" s="418"/>
      <c r="U1990" s="418"/>
      <c r="V1990" s="418"/>
      <c r="W1990" s="418"/>
      <c r="X1990" s="418"/>
      <c r="Y1990" s="418"/>
      <c r="Z1990" s="418"/>
      <c r="AA1990" s="418"/>
      <c r="AB1990" s="418"/>
      <c r="AC1990" s="418"/>
      <c r="AD1990" s="418"/>
      <c r="AE1990" s="418"/>
      <c r="AF1990" s="418"/>
      <c r="AG1990" s="418"/>
      <c r="AH1990" s="418"/>
      <c r="AI1990" s="418"/>
      <c r="AJ1990" s="418"/>
      <c r="AK1990" s="418"/>
      <c r="AL1990" s="418"/>
      <c r="AM1990" s="418"/>
      <c r="AN1990" s="418"/>
      <c r="AO1990" s="418"/>
      <c r="AP1990" s="418"/>
      <c r="AQ1990" s="418"/>
      <c r="AR1990" s="418"/>
      <c r="AS1990" s="418"/>
      <c r="AT1990" s="418"/>
      <c r="AU1990" s="418"/>
      <c r="AV1990" s="418"/>
      <c r="AW1990" s="418"/>
      <c r="AX1990" s="418"/>
      <c r="AY1990" s="418"/>
      <c r="BF1990" s="1119"/>
      <c r="BG1990" s="1119"/>
      <c r="BH1990" s="1119"/>
    </row>
    <row r="1991" spans="1:60" ht="15.75" customHeight="1">
      <c r="A1991" s="1076"/>
      <c r="B1991" s="416"/>
      <c r="C1991" s="424"/>
      <c r="E1991" s="418"/>
      <c r="F1991" s="493"/>
      <c r="G1991" s="418"/>
      <c r="H1991" s="418"/>
      <c r="I1991" s="418"/>
      <c r="J1991" s="424"/>
      <c r="K1991" s="418"/>
      <c r="L1991" s="418"/>
      <c r="M1991" s="418"/>
      <c r="N1991" s="421"/>
      <c r="O1991" s="421"/>
      <c r="P1991" s="421"/>
      <c r="Q1991" s="418"/>
      <c r="R1991" s="418"/>
      <c r="S1991" s="418"/>
      <c r="T1991" s="418"/>
      <c r="U1991" s="418"/>
      <c r="V1991" s="418"/>
      <c r="W1991" s="418"/>
      <c r="X1991" s="418"/>
      <c r="Y1991" s="418"/>
      <c r="Z1991" s="418"/>
      <c r="AA1991" s="418"/>
      <c r="AB1991" s="418"/>
      <c r="AC1991" s="418"/>
      <c r="AD1991" s="418"/>
      <c r="AE1991" s="418"/>
      <c r="AF1991" s="418"/>
      <c r="AG1991" s="418"/>
      <c r="AH1991" s="418"/>
      <c r="AI1991" s="418"/>
      <c r="AJ1991" s="418"/>
      <c r="AK1991" s="418"/>
      <c r="AL1991" s="418"/>
      <c r="AM1991" s="418"/>
      <c r="AN1991" s="418"/>
      <c r="AO1991" s="418"/>
      <c r="AP1991" s="418"/>
      <c r="AQ1991" s="418"/>
      <c r="AR1991" s="418"/>
      <c r="AS1991" s="418"/>
      <c r="AT1991" s="418"/>
      <c r="AU1991" s="418"/>
      <c r="AV1991" s="418"/>
      <c r="AW1991" s="418"/>
      <c r="AX1991" s="418"/>
      <c r="AY1991" s="418"/>
      <c r="BF1991" s="1119"/>
      <c r="BG1991" s="1119"/>
      <c r="BH1991" s="1119"/>
    </row>
    <row r="1992" spans="1:60" ht="15.75" customHeight="1">
      <c r="A1992" s="1076"/>
      <c r="B1992" s="416"/>
      <c r="C1992" s="424"/>
      <c r="E1992" s="418"/>
      <c r="F1992" s="493"/>
      <c r="G1992" s="418"/>
      <c r="H1992" s="421"/>
      <c r="I1992" s="421"/>
      <c r="J1992" s="492"/>
      <c r="K1992" s="418"/>
      <c r="L1992" s="418"/>
      <c r="M1992" s="418"/>
      <c r="N1992" s="421"/>
      <c r="O1992" s="421"/>
      <c r="P1992" s="421"/>
      <c r="Q1992" s="418"/>
      <c r="R1992" s="418"/>
      <c r="S1992" s="418"/>
      <c r="T1992" s="418"/>
      <c r="U1992" s="418"/>
      <c r="V1992" s="418"/>
      <c r="W1992" s="418"/>
      <c r="X1992" s="418"/>
      <c r="Y1992" s="418"/>
      <c r="Z1992" s="418"/>
      <c r="AA1992" s="418"/>
      <c r="AB1992" s="418"/>
      <c r="AC1992" s="418"/>
      <c r="AD1992" s="418"/>
      <c r="AE1992" s="418"/>
      <c r="AF1992" s="418"/>
      <c r="AG1992" s="418"/>
      <c r="AH1992" s="418"/>
      <c r="AI1992" s="418"/>
      <c r="AJ1992" s="418"/>
      <c r="AK1992" s="418"/>
      <c r="AL1992" s="418"/>
      <c r="AM1992" s="418"/>
      <c r="AN1992" s="418"/>
      <c r="AO1992" s="418"/>
      <c r="AP1992" s="418"/>
      <c r="AQ1992" s="418"/>
      <c r="AR1992" s="418"/>
      <c r="AS1992" s="418"/>
      <c r="AT1992" s="418"/>
      <c r="AU1992" s="418"/>
      <c r="AV1992" s="418"/>
      <c r="AW1992" s="418"/>
      <c r="AX1992" s="418"/>
      <c r="AY1992" s="418"/>
      <c r="BF1992" s="1119"/>
      <c r="BG1992" s="1119"/>
      <c r="BH1992" s="1119"/>
    </row>
    <row r="1993" spans="1:60" ht="15.75" customHeight="1">
      <c r="A1993" s="1076"/>
      <c r="B1993" s="416"/>
      <c r="C1993" s="424"/>
      <c r="E1993" s="418"/>
      <c r="F1993" s="493"/>
      <c r="G1993" s="418"/>
      <c r="H1993" s="421"/>
      <c r="I1993" s="425"/>
      <c r="J1993" s="492"/>
      <c r="K1993" s="418"/>
      <c r="L1993" s="418"/>
      <c r="M1993" s="418"/>
      <c r="N1993" s="421"/>
      <c r="O1993" s="421"/>
      <c r="P1993" s="421"/>
      <c r="Q1993" s="418"/>
      <c r="R1993" s="418"/>
      <c r="S1993" s="418"/>
      <c r="T1993" s="418"/>
      <c r="U1993" s="418"/>
      <c r="V1993" s="418"/>
      <c r="W1993" s="418"/>
      <c r="X1993" s="418"/>
      <c r="Y1993" s="418"/>
      <c r="Z1993" s="418"/>
      <c r="AA1993" s="418"/>
      <c r="AB1993" s="418"/>
      <c r="AC1993" s="418"/>
      <c r="AD1993" s="418"/>
      <c r="AE1993" s="418"/>
      <c r="AF1993" s="418"/>
      <c r="AG1993" s="418"/>
      <c r="AH1993" s="418"/>
      <c r="AI1993" s="418"/>
      <c r="AJ1993" s="418"/>
      <c r="AK1993" s="418"/>
      <c r="AL1993" s="418"/>
      <c r="AM1993" s="418"/>
      <c r="AN1993" s="418"/>
      <c r="AO1993" s="418"/>
      <c r="AP1993" s="418"/>
      <c r="AQ1993" s="418"/>
      <c r="AR1993" s="418"/>
      <c r="AS1993" s="418"/>
      <c r="AT1993" s="418"/>
      <c r="AU1993" s="418"/>
      <c r="AV1993" s="418"/>
      <c r="AW1993" s="418"/>
      <c r="AX1993" s="418"/>
      <c r="AY1993" s="418"/>
      <c r="BF1993" s="1119"/>
      <c r="BG1993" s="1119"/>
      <c r="BH1993" s="1119"/>
    </row>
    <row r="1994" spans="1:60" ht="15.75" customHeight="1">
      <c r="A1994" s="1076"/>
      <c r="B1994" s="416"/>
      <c r="C1994" s="424"/>
      <c r="E1994" s="418"/>
      <c r="F1994" s="493"/>
      <c r="G1994" s="418"/>
      <c r="H1994" s="421"/>
      <c r="I1994" s="421"/>
      <c r="J1994" s="492"/>
      <c r="K1994" s="418"/>
      <c r="L1994" s="418"/>
      <c r="M1994" s="418"/>
      <c r="N1994" s="421"/>
      <c r="O1994" s="421"/>
      <c r="P1994" s="421"/>
      <c r="Q1994" s="418"/>
      <c r="R1994" s="418"/>
      <c r="S1994" s="418"/>
      <c r="T1994" s="418"/>
      <c r="U1994" s="418"/>
      <c r="V1994" s="418"/>
      <c r="W1994" s="418"/>
      <c r="X1994" s="418"/>
      <c r="Y1994" s="418"/>
      <c r="Z1994" s="418"/>
      <c r="AA1994" s="418"/>
      <c r="AB1994" s="418"/>
      <c r="AC1994" s="418"/>
      <c r="AD1994" s="418"/>
      <c r="AE1994" s="418"/>
      <c r="AF1994" s="418"/>
      <c r="AG1994" s="418"/>
      <c r="AH1994" s="418"/>
      <c r="AI1994" s="418"/>
      <c r="AJ1994" s="418"/>
      <c r="AK1994" s="418"/>
      <c r="AL1994" s="418"/>
      <c r="AM1994" s="418"/>
      <c r="AN1994" s="418"/>
      <c r="AO1994" s="418"/>
      <c r="AP1994" s="418"/>
      <c r="AQ1994" s="418"/>
      <c r="AR1994" s="418"/>
      <c r="AS1994" s="418"/>
      <c r="AT1994" s="418"/>
      <c r="AU1994" s="418"/>
      <c r="AV1994" s="418"/>
      <c r="AW1994" s="418"/>
      <c r="AX1994" s="418"/>
      <c r="AY1994" s="418"/>
      <c r="BF1994" s="1119"/>
      <c r="BG1994" s="1119"/>
      <c r="BH1994" s="1119"/>
    </row>
    <row r="1995" spans="1:60" ht="15.75" customHeight="1">
      <c r="A1995" s="1076"/>
      <c r="B1995" s="416"/>
      <c r="C1995" s="424"/>
      <c r="E1995" s="418"/>
      <c r="F1995" s="493"/>
      <c r="G1995" s="418"/>
      <c r="H1995" s="421"/>
      <c r="I1995" s="425"/>
      <c r="J1995" s="492"/>
      <c r="K1995" s="418"/>
      <c r="L1995" s="418"/>
      <c r="M1995" s="418"/>
      <c r="N1995" s="421"/>
      <c r="O1995" s="421"/>
      <c r="P1995" s="421"/>
      <c r="Q1995" s="418"/>
      <c r="R1995" s="418"/>
      <c r="S1995" s="418"/>
      <c r="T1995" s="418"/>
      <c r="U1995" s="418"/>
      <c r="V1995" s="418"/>
      <c r="W1995" s="418"/>
      <c r="X1995" s="418"/>
      <c r="Y1995" s="418"/>
      <c r="Z1995" s="418"/>
      <c r="AA1995" s="418"/>
      <c r="AB1995" s="418"/>
      <c r="AC1995" s="418"/>
      <c r="AD1995" s="418"/>
      <c r="AE1995" s="418"/>
      <c r="AF1995" s="418"/>
      <c r="AG1995" s="418"/>
      <c r="AH1995" s="418"/>
      <c r="AI1995" s="418"/>
      <c r="AJ1995" s="418"/>
      <c r="AK1995" s="418"/>
      <c r="AL1995" s="418"/>
      <c r="AM1995" s="418"/>
      <c r="AN1995" s="418"/>
      <c r="AO1995" s="418"/>
      <c r="AP1995" s="418"/>
      <c r="AQ1995" s="418"/>
      <c r="AR1995" s="418"/>
      <c r="AS1995" s="418"/>
      <c r="AT1995" s="418"/>
      <c r="AU1995" s="418"/>
      <c r="AV1995" s="418"/>
      <c r="AW1995" s="418"/>
      <c r="AX1995" s="418"/>
      <c r="AY1995" s="418"/>
      <c r="BF1995" s="1119"/>
      <c r="BG1995" s="1119"/>
      <c r="BH1995" s="1119"/>
    </row>
    <row r="1996" spans="1:60" ht="15.75" customHeight="1">
      <c r="A1996" s="1076"/>
      <c r="B1996" s="416"/>
      <c r="C1996" s="424"/>
      <c r="E1996" s="418"/>
      <c r="F1996" s="493"/>
      <c r="G1996" s="418"/>
      <c r="H1996" s="421"/>
      <c r="I1996" s="421"/>
      <c r="J1996" s="492"/>
      <c r="K1996" s="418"/>
      <c r="L1996" s="418"/>
      <c r="M1996" s="418"/>
      <c r="N1996" s="421"/>
      <c r="O1996" s="421"/>
      <c r="P1996" s="421"/>
      <c r="Q1996" s="418"/>
      <c r="R1996" s="418"/>
      <c r="S1996" s="418"/>
      <c r="T1996" s="418"/>
      <c r="U1996" s="418"/>
      <c r="V1996" s="418"/>
      <c r="W1996" s="418"/>
      <c r="X1996" s="418"/>
      <c r="Y1996" s="418"/>
      <c r="Z1996" s="418"/>
      <c r="AA1996" s="418"/>
      <c r="AB1996" s="418"/>
      <c r="AC1996" s="418"/>
      <c r="AD1996" s="418"/>
      <c r="AE1996" s="418"/>
      <c r="AF1996" s="418"/>
      <c r="AG1996" s="418"/>
      <c r="AH1996" s="418"/>
      <c r="AI1996" s="418"/>
      <c r="AJ1996" s="418"/>
      <c r="AK1996" s="418"/>
      <c r="AL1996" s="418"/>
      <c r="AM1996" s="418"/>
      <c r="AN1996" s="418"/>
      <c r="AO1996" s="418"/>
      <c r="AP1996" s="418"/>
      <c r="AQ1996" s="418"/>
      <c r="AR1996" s="418"/>
      <c r="AS1996" s="418"/>
      <c r="AT1996" s="418"/>
      <c r="AU1996" s="418"/>
      <c r="AV1996" s="418"/>
      <c r="AW1996" s="418"/>
      <c r="AX1996" s="418"/>
      <c r="AY1996" s="418"/>
      <c r="BF1996" s="1119"/>
      <c r="BG1996" s="1119"/>
      <c r="BH1996" s="1119"/>
    </row>
    <row r="1997" spans="1:60" ht="15.75" customHeight="1">
      <c r="A1997" s="1076"/>
      <c r="B1997" s="416"/>
      <c r="C1997" s="424"/>
      <c r="E1997" s="418"/>
      <c r="F1997" s="493"/>
      <c r="G1997" s="418"/>
      <c r="H1997" s="418"/>
      <c r="I1997" s="418"/>
      <c r="J1997" s="424"/>
      <c r="K1997" s="418"/>
      <c r="L1997" s="418"/>
      <c r="M1997" s="418"/>
      <c r="N1997" s="421"/>
      <c r="O1997" s="421"/>
      <c r="P1997" s="421"/>
      <c r="Q1997" s="418"/>
      <c r="R1997" s="418"/>
      <c r="S1997" s="418"/>
      <c r="T1997" s="418"/>
      <c r="U1997" s="418"/>
      <c r="V1997" s="418"/>
      <c r="W1997" s="418"/>
      <c r="X1997" s="418"/>
      <c r="Y1997" s="418"/>
      <c r="Z1997" s="418"/>
      <c r="AA1997" s="418"/>
      <c r="AB1997" s="418"/>
      <c r="AC1997" s="418"/>
      <c r="AD1997" s="418"/>
      <c r="AE1997" s="418"/>
      <c r="AF1997" s="418"/>
      <c r="AG1997" s="418"/>
      <c r="AH1997" s="418"/>
      <c r="AI1997" s="418"/>
      <c r="AJ1997" s="418"/>
      <c r="AK1997" s="418"/>
      <c r="AL1997" s="418"/>
      <c r="AM1997" s="418"/>
      <c r="AN1997" s="418"/>
      <c r="AO1997" s="418"/>
      <c r="AP1997" s="418"/>
      <c r="AQ1997" s="418"/>
      <c r="AR1997" s="418"/>
      <c r="AS1997" s="418"/>
      <c r="AT1997" s="418"/>
      <c r="AU1997" s="418"/>
      <c r="AV1997" s="418"/>
      <c r="AW1997" s="418"/>
      <c r="AX1997" s="418"/>
      <c r="AY1997" s="418"/>
      <c r="BF1997" s="1119"/>
      <c r="BG1997" s="1119"/>
      <c r="BH1997" s="1119"/>
    </row>
    <row r="1998" spans="1:60" ht="15.75" customHeight="1">
      <c r="A1998" s="1076"/>
      <c r="B1998" s="416"/>
      <c r="C1998" s="424"/>
      <c r="E1998" s="418"/>
      <c r="F1998" s="493"/>
      <c r="G1998" s="418"/>
      <c r="H1998" s="418"/>
      <c r="I1998" s="418"/>
      <c r="J1998" s="424"/>
      <c r="K1998" s="418"/>
      <c r="L1998" s="418"/>
      <c r="M1998" s="418"/>
      <c r="N1998" s="421"/>
      <c r="O1998" s="421"/>
      <c r="P1998" s="421"/>
      <c r="Q1998" s="418"/>
      <c r="R1998" s="418"/>
      <c r="S1998" s="418"/>
      <c r="T1998" s="418"/>
      <c r="U1998" s="418"/>
      <c r="V1998" s="418"/>
      <c r="W1998" s="418"/>
      <c r="X1998" s="418"/>
      <c r="Y1998" s="418"/>
      <c r="Z1998" s="418"/>
      <c r="AA1998" s="418"/>
      <c r="AB1998" s="418"/>
      <c r="AC1998" s="418"/>
      <c r="AD1998" s="418"/>
      <c r="AE1998" s="418"/>
      <c r="AF1998" s="418"/>
      <c r="AG1998" s="418"/>
      <c r="AH1998" s="418"/>
      <c r="AI1998" s="418"/>
      <c r="AJ1998" s="418"/>
      <c r="AK1998" s="418"/>
      <c r="AL1998" s="418"/>
      <c r="AM1998" s="418"/>
      <c r="AN1998" s="418"/>
      <c r="AO1998" s="418"/>
      <c r="AP1998" s="418"/>
      <c r="AQ1998" s="418"/>
      <c r="AR1998" s="418"/>
      <c r="AS1998" s="418"/>
      <c r="AT1998" s="418"/>
      <c r="AU1998" s="418"/>
      <c r="AV1998" s="418"/>
      <c r="AW1998" s="418"/>
      <c r="AX1998" s="418"/>
      <c r="AY1998" s="418"/>
      <c r="BF1998" s="1119"/>
      <c r="BG1998" s="1119"/>
      <c r="BH1998" s="1119"/>
    </row>
    <row r="1999" spans="1:60" ht="15.75" customHeight="1">
      <c r="A1999" s="1076"/>
      <c r="B1999" s="416"/>
      <c r="C1999" s="424"/>
      <c r="E1999" s="418"/>
      <c r="F1999" s="493"/>
      <c r="G1999" s="418"/>
      <c r="H1999" s="421"/>
      <c r="I1999" s="421"/>
      <c r="J1999" s="492"/>
      <c r="K1999" s="418"/>
      <c r="L1999" s="418"/>
      <c r="M1999" s="418"/>
      <c r="N1999" s="421"/>
      <c r="O1999" s="421"/>
      <c r="P1999" s="421"/>
      <c r="Q1999" s="418"/>
      <c r="R1999" s="418"/>
      <c r="S1999" s="418"/>
      <c r="T1999" s="418"/>
      <c r="U1999" s="418"/>
      <c r="V1999" s="418"/>
      <c r="W1999" s="418"/>
      <c r="X1999" s="418"/>
      <c r="Y1999" s="418"/>
      <c r="Z1999" s="418"/>
      <c r="AA1999" s="418"/>
      <c r="AB1999" s="418"/>
      <c r="AC1999" s="418"/>
      <c r="AD1999" s="418"/>
      <c r="AE1999" s="418"/>
      <c r="AF1999" s="418"/>
      <c r="AG1999" s="418"/>
      <c r="AH1999" s="418"/>
      <c r="AI1999" s="418"/>
      <c r="AJ1999" s="418"/>
      <c r="AK1999" s="418"/>
      <c r="AL1999" s="418"/>
      <c r="AM1999" s="418"/>
      <c r="AN1999" s="418"/>
      <c r="AO1999" s="418"/>
      <c r="AP1999" s="418"/>
      <c r="AQ1999" s="418"/>
      <c r="AR1999" s="418"/>
      <c r="AS1999" s="418"/>
      <c r="AT1999" s="418"/>
      <c r="AU1999" s="418"/>
      <c r="AV1999" s="418"/>
      <c r="AW1999" s="418"/>
      <c r="AX1999" s="418"/>
      <c r="AY1999" s="418"/>
      <c r="BF1999" s="1119"/>
      <c r="BG1999" s="1119"/>
      <c r="BH1999" s="1119"/>
    </row>
    <row r="2000" spans="1:60" ht="15.75" customHeight="1">
      <c r="A2000" s="1076"/>
      <c r="B2000" s="416"/>
      <c r="C2000" s="424"/>
      <c r="E2000" s="418"/>
      <c r="F2000" s="493"/>
      <c r="G2000" s="418"/>
      <c r="H2000" s="421"/>
      <c r="I2000" s="421"/>
      <c r="J2000" s="492"/>
      <c r="K2000" s="418"/>
      <c r="L2000" s="418"/>
      <c r="M2000" s="418"/>
      <c r="N2000" s="421"/>
      <c r="O2000" s="421"/>
      <c r="P2000" s="421"/>
      <c r="Q2000" s="418"/>
      <c r="R2000" s="418"/>
      <c r="S2000" s="418"/>
      <c r="T2000" s="418"/>
      <c r="U2000" s="418"/>
      <c r="V2000" s="418"/>
      <c r="W2000" s="418"/>
      <c r="X2000" s="418"/>
      <c r="Y2000" s="418"/>
      <c r="Z2000" s="418"/>
      <c r="AA2000" s="418"/>
      <c r="AB2000" s="418"/>
      <c r="AC2000" s="418"/>
      <c r="AD2000" s="418"/>
      <c r="AE2000" s="418"/>
      <c r="AF2000" s="418"/>
      <c r="AG2000" s="418"/>
      <c r="AH2000" s="418"/>
      <c r="AI2000" s="418"/>
      <c r="AJ2000" s="418"/>
      <c r="AK2000" s="418"/>
      <c r="AL2000" s="418"/>
      <c r="AM2000" s="418"/>
      <c r="AN2000" s="418"/>
      <c r="AO2000" s="418"/>
      <c r="AP2000" s="418"/>
      <c r="AQ2000" s="418"/>
      <c r="AR2000" s="418"/>
      <c r="AS2000" s="418"/>
      <c r="AT2000" s="418"/>
      <c r="AU2000" s="418"/>
      <c r="AV2000" s="418"/>
      <c r="AW2000" s="418"/>
      <c r="AX2000" s="418"/>
      <c r="AY2000" s="418"/>
      <c r="BF2000" s="1119"/>
      <c r="BG2000" s="1119"/>
      <c r="BH2000" s="1119"/>
    </row>
    <row r="2001" spans="1:60" ht="15.75" customHeight="1">
      <c r="A2001" s="1076"/>
      <c r="B2001" s="416"/>
      <c r="C2001" s="424"/>
      <c r="E2001" s="418"/>
      <c r="F2001" s="493"/>
      <c r="G2001" s="418"/>
      <c r="H2001" s="421"/>
      <c r="I2001" s="421"/>
      <c r="J2001" s="492"/>
      <c r="K2001" s="418"/>
      <c r="L2001" s="418"/>
      <c r="M2001" s="418"/>
      <c r="N2001" s="421"/>
      <c r="O2001" s="421"/>
      <c r="P2001" s="421"/>
      <c r="Q2001" s="418"/>
      <c r="R2001" s="418"/>
      <c r="S2001" s="418"/>
      <c r="T2001" s="418"/>
      <c r="U2001" s="418"/>
      <c r="V2001" s="418"/>
      <c r="W2001" s="418"/>
      <c r="X2001" s="418"/>
      <c r="Y2001" s="418"/>
      <c r="Z2001" s="418"/>
      <c r="AA2001" s="418"/>
      <c r="AB2001" s="418"/>
      <c r="AC2001" s="418"/>
      <c r="AD2001" s="418"/>
      <c r="AE2001" s="418"/>
      <c r="AF2001" s="418"/>
      <c r="AG2001" s="418"/>
      <c r="AH2001" s="418"/>
      <c r="AI2001" s="418"/>
      <c r="AJ2001" s="418"/>
      <c r="AK2001" s="418"/>
      <c r="AL2001" s="418"/>
      <c r="AM2001" s="418"/>
      <c r="AN2001" s="418"/>
      <c r="AO2001" s="418"/>
      <c r="AP2001" s="418"/>
      <c r="AQ2001" s="418"/>
      <c r="AR2001" s="418"/>
      <c r="AS2001" s="418"/>
      <c r="AT2001" s="418"/>
      <c r="AU2001" s="418"/>
      <c r="AV2001" s="418"/>
      <c r="AW2001" s="418"/>
      <c r="AX2001" s="418"/>
      <c r="AY2001" s="418"/>
      <c r="BF2001" s="1119"/>
      <c r="BG2001" s="1119"/>
      <c r="BH2001" s="1119"/>
    </row>
    <row r="2002" spans="1:60" ht="15.75" customHeight="1">
      <c r="A2002" s="1076"/>
      <c r="B2002" s="416"/>
      <c r="C2002" s="424"/>
      <c r="E2002" s="418"/>
      <c r="F2002" s="493"/>
      <c r="G2002" s="418"/>
      <c r="H2002" s="421"/>
      <c r="I2002" s="421"/>
      <c r="J2002" s="492"/>
      <c r="K2002" s="418"/>
      <c r="L2002" s="418"/>
      <c r="M2002" s="418"/>
      <c r="N2002" s="421"/>
      <c r="O2002" s="421"/>
      <c r="P2002" s="421"/>
      <c r="Q2002" s="418"/>
      <c r="R2002" s="418"/>
      <c r="S2002" s="418"/>
      <c r="T2002" s="418"/>
      <c r="U2002" s="418"/>
      <c r="V2002" s="418"/>
      <c r="W2002" s="418"/>
      <c r="X2002" s="418"/>
      <c r="Y2002" s="418"/>
      <c r="Z2002" s="418"/>
      <c r="AA2002" s="418"/>
      <c r="AB2002" s="418"/>
      <c r="AC2002" s="418"/>
      <c r="AD2002" s="418"/>
      <c r="AE2002" s="418"/>
      <c r="AF2002" s="418"/>
      <c r="AG2002" s="418"/>
      <c r="AH2002" s="418"/>
      <c r="AI2002" s="418"/>
      <c r="AJ2002" s="418"/>
      <c r="AK2002" s="418"/>
      <c r="AL2002" s="418"/>
      <c r="AM2002" s="418"/>
      <c r="AN2002" s="418"/>
      <c r="AO2002" s="418"/>
      <c r="AP2002" s="418"/>
      <c r="AQ2002" s="418"/>
      <c r="AR2002" s="418"/>
      <c r="AS2002" s="418"/>
      <c r="AT2002" s="418"/>
      <c r="AU2002" s="418"/>
      <c r="AV2002" s="418"/>
      <c r="AW2002" s="418"/>
      <c r="AX2002" s="418"/>
      <c r="AY2002" s="418"/>
      <c r="BF2002" s="1119"/>
      <c r="BG2002" s="1119"/>
      <c r="BH2002" s="1119"/>
    </row>
    <row r="2003" spans="1:60" ht="15.75" customHeight="1">
      <c r="A2003" s="1076"/>
      <c r="B2003" s="416"/>
      <c r="C2003" s="424"/>
      <c r="E2003" s="418"/>
      <c r="F2003" s="493"/>
      <c r="G2003" s="418"/>
      <c r="H2003" s="421"/>
      <c r="I2003" s="421"/>
      <c r="J2003" s="492"/>
      <c r="K2003" s="418"/>
      <c r="L2003" s="418"/>
      <c r="M2003" s="418"/>
      <c r="N2003" s="421"/>
      <c r="O2003" s="421"/>
      <c r="P2003" s="421"/>
      <c r="Q2003" s="418"/>
      <c r="R2003" s="418"/>
      <c r="S2003" s="418"/>
      <c r="T2003" s="418"/>
      <c r="U2003" s="418"/>
      <c r="V2003" s="418"/>
      <c r="W2003" s="418"/>
      <c r="X2003" s="418"/>
      <c r="Y2003" s="418"/>
      <c r="Z2003" s="418"/>
      <c r="AA2003" s="418"/>
      <c r="AB2003" s="418"/>
      <c r="AC2003" s="418"/>
      <c r="AD2003" s="418"/>
      <c r="AE2003" s="418"/>
      <c r="AF2003" s="418"/>
      <c r="AG2003" s="418"/>
      <c r="AH2003" s="418"/>
      <c r="AI2003" s="418"/>
      <c r="AJ2003" s="418"/>
      <c r="AK2003" s="418"/>
      <c r="AL2003" s="418"/>
      <c r="AM2003" s="418"/>
      <c r="AN2003" s="418"/>
      <c r="AO2003" s="418"/>
      <c r="AP2003" s="418"/>
      <c r="AQ2003" s="418"/>
      <c r="AR2003" s="418"/>
      <c r="AS2003" s="418"/>
      <c r="AT2003" s="418"/>
      <c r="AU2003" s="418"/>
      <c r="AV2003" s="418"/>
      <c r="AW2003" s="418"/>
      <c r="AX2003" s="418"/>
      <c r="AY2003" s="418"/>
      <c r="BF2003" s="1119"/>
      <c r="BG2003" s="1119"/>
      <c r="BH2003" s="1119"/>
    </row>
    <row r="2004" spans="1:60" ht="15.75" customHeight="1">
      <c r="A2004" s="1076"/>
      <c r="B2004" s="416"/>
      <c r="C2004" s="424"/>
      <c r="E2004" s="418"/>
      <c r="F2004" s="493"/>
      <c r="G2004" s="418"/>
      <c r="H2004" s="421"/>
      <c r="I2004" s="421"/>
      <c r="J2004" s="492"/>
      <c r="K2004" s="418"/>
      <c r="L2004" s="418"/>
      <c r="M2004" s="418"/>
      <c r="N2004" s="421"/>
      <c r="O2004" s="421"/>
      <c r="P2004" s="421"/>
      <c r="Q2004" s="418"/>
      <c r="R2004" s="418"/>
      <c r="S2004" s="418"/>
      <c r="T2004" s="418"/>
      <c r="U2004" s="418"/>
      <c r="V2004" s="418"/>
      <c r="W2004" s="418"/>
      <c r="X2004" s="418"/>
      <c r="Y2004" s="418"/>
      <c r="Z2004" s="418"/>
      <c r="AA2004" s="418"/>
      <c r="AB2004" s="418"/>
      <c r="AC2004" s="418"/>
      <c r="AD2004" s="418"/>
      <c r="AE2004" s="418"/>
      <c r="AF2004" s="418"/>
      <c r="AG2004" s="418"/>
      <c r="AH2004" s="418"/>
      <c r="AI2004" s="418"/>
      <c r="AJ2004" s="418"/>
      <c r="AK2004" s="418"/>
      <c r="AL2004" s="418"/>
      <c r="AM2004" s="418"/>
      <c r="AN2004" s="418"/>
      <c r="AO2004" s="418"/>
      <c r="AP2004" s="418"/>
      <c r="AQ2004" s="418"/>
      <c r="AR2004" s="418"/>
      <c r="AS2004" s="418"/>
      <c r="AT2004" s="418"/>
      <c r="AU2004" s="418"/>
      <c r="AV2004" s="418"/>
      <c r="AW2004" s="418"/>
      <c r="AX2004" s="418"/>
      <c r="AY2004" s="418"/>
      <c r="BF2004" s="1119"/>
      <c r="BG2004" s="1119"/>
      <c r="BH2004" s="1119"/>
    </row>
    <row r="2005" spans="1:60" ht="15.75" customHeight="1">
      <c r="A2005" s="1076"/>
      <c r="B2005" s="416"/>
      <c r="C2005" s="424"/>
      <c r="E2005" s="418"/>
      <c r="F2005" s="493"/>
      <c r="G2005" s="418"/>
      <c r="H2005" s="421"/>
      <c r="I2005" s="421"/>
      <c r="J2005" s="492"/>
      <c r="K2005" s="418"/>
      <c r="L2005" s="418"/>
      <c r="M2005" s="418"/>
      <c r="N2005" s="421"/>
      <c r="O2005" s="421"/>
      <c r="P2005" s="421"/>
      <c r="Q2005" s="418"/>
      <c r="R2005" s="418"/>
      <c r="S2005" s="418"/>
      <c r="T2005" s="418"/>
      <c r="U2005" s="418"/>
      <c r="V2005" s="418"/>
      <c r="W2005" s="418"/>
      <c r="X2005" s="418"/>
      <c r="Y2005" s="418"/>
      <c r="Z2005" s="418"/>
      <c r="AA2005" s="418"/>
      <c r="AB2005" s="418"/>
      <c r="AC2005" s="418"/>
      <c r="AD2005" s="418"/>
      <c r="AE2005" s="418"/>
      <c r="AF2005" s="418"/>
      <c r="AG2005" s="418"/>
      <c r="AH2005" s="418"/>
      <c r="AI2005" s="418"/>
      <c r="AJ2005" s="418"/>
      <c r="AK2005" s="418"/>
      <c r="AL2005" s="418"/>
      <c r="AM2005" s="418"/>
      <c r="AN2005" s="418"/>
      <c r="AO2005" s="418"/>
      <c r="AP2005" s="418"/>
      <c r="AQ2005" s="418"/>
      <c r="AR2005" s="418"/>
      <c r="AS2005" s="418"/>
      <c r="AT2005" s="418"/>
      <c r="AU2005" s="418"/>
      <c r="AV2005" s="418"/>
      <c r="AW2005" s="418"/>
      <c r="AX2005" s="418"/>
      <c r="AY2005" s="418"/>
      <c r="BF2005" s="1119"/>
      <c r="BG2005" s="1119"/>
      <c r="BH2005" s="1119"/>
    </row>
    <row r="2006" spans="1:60" ht="15.75" customHeight="1">
      <c r="A2006" s="1076"/>
      <c r="B2006" s="416"/>
      <c r="C2006" s="424"/>
      <c r="E2006" s="418"/>
      <c r="F2006" s="493"/>
      <c r="G2006" s="418"/>
      <c r="H2006" s="421"/>
      <c r="I2006" s="421"/>
      <c r="J2006" s="492"/>
      <c r="K2006" s="418"/>
      <c r="L2006" s="418"/>
      <c r="M2006" s="418"/>
      <c r="N2006" s="421"/>
      <c r="O2006" s="421"/>
      <c r="P2006" s="421"/>
      <c r="Q2006" s="418"/>
      <c r="R2006" s="418"/>
      <c r="S2006" s="418"/>
      <c r="T2006" s="418"/>
      <c r="U2006" s="418"/>
      <c r="V2006" s="418"/>
      <c r="W2006" s="418"/>
      <c r="X2006" s="418"/>
      <c r="Y2006" s="418"/>
      <c r="Z2006" s="418"/>
      <c r="AA2006" s="418"/>
      <c r="AB2006" s="418"/>
      <c r="AC2006" s="418"/>
      <c r="AD2006" s="418"/>
      <c r="AE2006" s="418"/>
      <c r="AF2006" s="418"/>
      <c r="AG2006" s="418"/>
      <c r="AH2006" s="418"/>
      <c r="AI2006" s="418"/>
      <c r="AJ2006" s="418"/>
      <c r="AK2006" s="418"/>
      <c r="AL2006" s="418"/>
      <c r="AM2006" s="418"/>
      <c r="AN2006" s="418"/>
      <c r="AO2006" s="418"/>
      <c r="AP2006" s="418"/>
      <c r="AQ2006" s="418"/>
      <c r="AR2006" s="418"/>
      <c r="AS2006" s="418"/>
      <c r="AT2006" s="418"/>
      <c r="AU2006" s="418"/>
      <c r="AV2006" s="418"/>
      <c r="AW2006" s="418"/>
      <c r="AX2006" s="418"/>
      <c r="AY2006" s="418"/>
      <c r="BF2006" s="1119"/>
      <c r="BG2006" s="1119"/>
      <c r="BH2006" s="1119"/>
    </row>
    <row r="2007" spans="1:60" ht="15.75" customHeight="1">
      <c r="A2007" s="1076"/>
      <c r="B2007" s="416"/>
      <c r="C2007" s="424"/>
      <c r="E2007" s="418"/>
      <c r="F2007" s="493"/>
      <c r="G2007" s="418"/>
      <c r="H2007" s="421"/>
      <c r="I2007" s="421"/>
      <c r="J2007" s="492"/>
      <c r="K2007" s="418"/>
      <c r="L2007" s="418"/>
      <c r="M2007" s="418"/>
      <c r="N2007" s="421"/>
      <c r="O2007" s="421"/>
      <c r="P2007" s="421"/>
      <c r="Q2007" s="418"/>
      <c r="R2007" s="418"/>
      <c r="S2007" s="418"/>
      <c r="T2007" s="418"/>
      <c r="U2007" s="418"/>
      <c r="V2007" s="418"/>
      <c r="W2007" s="418"/>
      <c r="X2007" s="418"/>
      <c r="Y2007" s="418"/>
      <c r="Z2007" s="418"/>
      <c r="AA2007" s="418"/>
      <c r="AB2007" s="418"/>
      <c r="AC2007" s="418"/>
      <c r="AD2007" s="418"/>
      <c r="AE2007" s="418"/>
      <c r="AF2007" s="418"/>
      <c r="AG2007" s="418"/>
      <c r="AH2007" s="418"/>
      <c r="AI2007" s="418"/>
      <c r="AJ2007" s="418"/>
      <c r="AK2007" s="418"/>
      <c r="AL2007" s="418"/>
      <c r="AM2007" s="418"/>
      <c r="AN2007" s="418"/>
      <c r="AO2007" s="418"/>
      <c r="AP2007" s="418"/>
      <c r="AQ2007" s="418"/>
      <c r="AR2007" s="418"/>
      <c r="AS2007" s="418"/>
      <c r="AT2007" s="418"/>
      <c r="AU2007" s="418"/>
      <c r="AV2007" s="418"/>
      <c r="AW2007" s="418"/>
      <c r="AX2007" s="418"/>
      <c r="AY2007" s="418"/>
      <c r="BF2007" s="1119"/>
      <c r="BG2007" s="1119"/>
      <c r="BH2007" s="1119"/>
    </row>
    <row r="2008" spans="1:60" ht="15.75" customHeight="1">
      <c r="A2008" s="1076"/>
      <c r="B2008" s="416"/>
      <c r="C2008" s="424"/>
      <c r="E2008" s="418"/>
      <c r="F2008" s="493"/>
      <c r="G2008" s="418"/>
      <c r="H2008" s="421"/>
      <c r="I2008" s="421"/>
      <c r="J2008" s="492"/>
      <c r="K2008" s="418"/>
      <c r="L2008" s="418"/>
      <c r="M2008" s="418"/>
      <c r="N2008" s="421"/>
      <c r="O2008" s="421"/>
      <c r="P2008" s="421"/>
      <c r="Q2008" s="418"/>
      <c r="R2008" s="418"/>
      <c r="S2008" s="418"/>
      <c r="T2008" s="418"/>
      <c r="U2008" s="418"/>
      <c r="V2008" s="418"/>
      <c r="W2008" s="418"/>
      <c r="X2008" s="418"/>
      <c r="Y2008" s="418"/>
      <c r="Z2008" s="418"/>
      <c r="AA2008" s="418"/>
      <c r="AB2008" s="418"/>
      <c r="AC2008" s="418"/>
      <c r="AD2008" s="418"/>
      <c r="AE2008" s="418"/>
      <c r="AF2008" s="418"/>
      <c r="AG2008" s="418"/>
      <c r="AH2008" s="418"/>
      <c r="AI2008" s="418"/>
      <c r="AJ2008" s="418"/>
      <c r="AK2008" s="418"/>
      <c r="AL2008" s="418"/>
      <c r="AM2008" s="418"/>
      <c r="AN2008" s="418"/>
      <c r="AO2008" s="418"/>
      <c r="AP2008" s="418"/>
      <c r="AQ2008" s="418"/>
      <c r="AR2008" s="418"/>
      <c r="AS2008" s="418"/>
      <c r="AT2008" s="418"/>
      <c r="AU2008" s="418"/>
      <c r="AV2008" s="418"/>
      <c r="AW2008" s="418"/>
      <c r="AX2008" s="418"/>
      <c r="AY2008" s="418"/>
      <c r="BF2008" s="1119"/>
      <c r="BG2008" s="1119"/>
      <c r="BH2008" s="1119"/>
    </row>
    <row r="2009" spans="1:60" ht="15.75" customHeight="1">
      <c r="A2009" s="1076"/>
      <c r="B2009" s="416"/>
      <c r="C2009" s="424"/>
      <c r="E2009" s="418"/>
      <c r="F2009" s="493"/>
      <c r="G2009" s="418"/>
      <c r="H2009" s="421"/>
      <c r="I2009" s="421"/>
      <c r="J2009" s="492"/>
      <c r="K2009" s="418"/>
      <c r="L2009" s="418"/>
      <c r="M2009" s="418"/>
      <c r="N2009" s="421"/>
      <c r="O2009" s="421"/>
      <c r="P2009" s="421"/>
      <c r="Q2009" s="418"/>
      <c r="R2009" s="418"/>
      <c r="S2009" s="418"/>
      <c r="T2009" s="418"/>
      <c r="U2009" s="418"/>
      <c r="V2009" s="418"/>
      <c r="W2009" s="418"/>
      <c r="X2009" s="418"/>
      <c r="Y2009" s="418"/>
      <c r="Z2009" s="418"/>
      <c r="AA2009" s="418"/>
      <c r="AB2009" s="418"/>
      <c r="AC2009" s="418"/>
      <c r="AD2009" s="418"/>
      <c r="AE2009" s="418"/>
      <c r="AF2009" s="418"/>
      <c r="AG2009" s="418"/>
      <c r="AH2009" s="418"/>
      <c r="AI2009" s="418"/>
      <c r="AJ2009" s="418"/>
      <c r="AK2009" s="418"/>
      <c r="AL2009" s="418"/>
      <c r="AM2009" s="418"/>
      <c r="AN2009" s="418"/>
      <c r="AO2009" s="418"/>
      <c r="AP2009" s="418"/>
      <c r="AQ2009" s="418"/>
      <c r="AR2009" s="418"/>
      <c r="AS2009" s="418"/>
      <c r="AT2009" s="418"/>
      <c r="AU2009" s="418"/>
      <c r="AV2009" s="418"/>
      <c r="AW2009" s="418"/>
      <c r="AX2009" s="418"/>
      <c r="AY2009" s="418"/>
      <c r="BF2009" s="1119"/>
      <c r="BG2009" s="1119"/>
      <c r="BH2009" s="1119"/>
    </row>
    <row r="2010" spans="1:60" ht="15.75" customHeight="1">
      <c r="A2010" s="1076"/>
      <c r="B2010" s="416"/>
      <c r="C2010" s="424"/>
      <c r="E2010" s="418"/>
      <c r="F2010" s="493"/>
      <c r="G2010" s="418"/>
      <c r="H2010" s="421"/>
      <c r="I2010" s="421"/>
      <c r="J2010" s="492"/>
      <c r="K2010" s="418"/>
      <c r="L2010" s="418"/>
      <c r="M2010" s="418"/>
      <c r="N2010" s="421"/>
      <c r="O2010" s="421"/>
      <c r="P2010" s="421"/>
      <c r="Q2010" s="418"/>
      <c r="R2010" s="418"/>
      <c r="S2010" s="418"/>
      <c r="T2010" s="418"/>
      <c r="U2010" s="418"/>
      <c r="V2010" s="418"/>
      <c r="W2010" s="418"/>
      <c r="X2010" s="418"/>
      <c r="Y2010" s="418"/>
      <c r="Z2010" s="418"/>
      <c r="AA2010" s="418"/>
      <c r="AB2010" s="418"/>
      <c r="AC2010" s="418"/>
      <c r="AD2010" s="418"/>
      <c r="AE2010" s="418"/>
      <c r="AF2010" s="418"/>
      <c r="AG2010" s="418"/>
      <c r="AH2010" s="418"/>
      <c r="AI2010" s="418"/>
      <c r="AJ2010" s="418"/>
      <c r="AK2010" s="418"/>
      <c r="AL2010" s="418"/>
      <c r="AM2010" s="418"/>
      <c r="AN2010" s="418"/>
      <c r="AO2010" s="418"/>
      <c r="AP2010" s="418"/>
      <c r="AQ2010" s="418"/>
      <c r="AR2010" s="418"/>
      <c r="AS2010" s="418"/>
      <c r="AT2010" s="418"/>
      <c r="AU2010" s="418"/>
      <c r="AV2010" s="418"/>
      <c r="AW2010" s="418"/>
      <c r="AX2010" s="418"/>
      <c r="AY2010" s="418"/>
      <c r="BF2010" s="1119"/>
      <c r="BG2010" s="1119"/>
      <c r="BH2010" s="1119"/>
    </row>
    <row r="2011" spans="1:60" ht="15.75" customHeight="1">
      <c r="A2011" s="1076"/>
      <c r="B2011" s="416"/>
      <c r="C2011" s="424"/>
      <c r="E2011" s="418"/>
      <c r="F2011" s="493"/>
      <c r="G2011" s="418"/>
      <c r="H2011" s="421"/>
      <c r="I2011" s="421"/>
      <c r="J2011" s="492"/>
      <c r="K2011" s="418"/>
      <c r="L2011" s="418"/>
      <c r="M2011" s="418"/>
      <c r="N2011" s="421"/>
      <c r="O2011" s="421"/>
      <c r="P2011" s="421"/>
      <c r="Q2011" s="418"/>
      <c r="R2011" s="418"/>
      <c r="S2011" s="418"/>
      <c r="T2011" s="418"/>
      <c r="U2011" s="418"/>
      <c r="V2011" s="418"/>
      <c r="W2011" s="418"/>
      <c r="X2011" s="418"/>
      <c r="Y2011" s="418"/>
      <c r="Z2011" s="418"/>
      <c r="AA2011" s="418"/>
      <c r="AB2011" s="418"/>
      <c r="AC2011" s="418"/>
      <c r="AD2011" s="418"/>
      <c r="AE2011" s="418"/>
      <c r="AF2011" s="418"/>
      <c r="AG2011" s="418"/>
      <c r="AH2011" s="418"/>
      <c r="AI2011" s="418"/>
      <c r="AJ2011" s="418"/>
      <c r="AK2011" s="418"/>
      <c r="AL2011" s="418"/>
      <c r="AM2011" s="418"/>
      <c r="AN2011" s="418"/>
      <c r="AO2011" s="418"/>
      <c r="AP2011" s="418"/>
      <c r="AQ2011" s="418"/>
      <c r="AR2011" s="418"/>
      <c r="AS2011" s="418"/>
      <c r="AT2011" s="418"/>
      <c r="AU2011" s="418"/>
      <c r="AV2011" s="418"/>
      <c r="AW2011" s="418"/>
      <c r="AX2011" s="418"/>
      <c r="AY2011" s="418"/>
      <c r="BF2011" s="1119"/>
      <c r="BG2011" s="1119"/>
      <c r="BH2011" s="1119"/>
    </row>
    <row r="2012" spans="1:60" ht="15.75" customHeight="1">
      <c r="A2012" s="1076"/>
      <c r="B2012" s="416"/>
      <c r="C2012" s="424"/>
      <c r="E2012" s="418"/>
      <c r="F2012" s="493"/>
      <c r="G2012" s="418"/>
      <c r="H2012" s="421"/>
      <c r="I2012" s="421"/>
      <c r="J2012" s="492"/>
      <c r="K2012" s="418"/>
      <c r="L2012" s="418"/>
      <c r="M2012" s="418"/>
      <c r="N2012" s="421"/>
      <c r="O2012" s="421"/>
      <c r="P2012" s="421"/>
      <c r="Q2012" s="418"/>
      <c r="R2012" s="418"/>
      <c r="S2012" s="418"/>
      <c r="T2012" s="418"/>
      <c r="U2012" s="418"/>
      <c r="V2012" s="418"/>
      <c r="W2012" s="418"/>
      <c r="X2012" s="418"/>
      <c r="Y2012" s="418"/>
      <c r="Z2012" s="418"/>
      <c r="AA2012" s="418"/>
      <c r="AB2012" s="418"/>
      <c r="AC2012" s="418"/>
      <c r="AD2012" s="418"/>
      <c r="AE2012" s="418"/>
      <c r="AF2012" s="418"/>
      <c r="AG2012" s="418"/>
      <c r="AH2012" s="418"/>
      <c r="AI2012" s="418"/>
      <c r="AJ2012" s="418"/>
      <c r="AK2012" s="418"/>
      <c r="AL2012" s="418"/>
      <c r="AM2012" s="418"/>
      <c r="AN2012" s="418"/>
      <c r="AO2012" s="418"/>
      <c r="AP2012" s="418"/>
      <c r="AQ2012" s="418"/>
      <c r="AR2012" s="418"/>
      <c r="AS2012" s="418"/>
      <c r="AT2012" s="418"/>
      <c r="AU2012" s="418"/>
      <c r="AV2012" s="418"/>
      <c r="AW2012" s="418"/>
      <c r="AX2012" s="418"/>
      <c r="AY2012" s="418"/>
      <c r="BF2012" s="1119"/>
      <c r="BG2012" s="1119"/>
      <c r="BH2012" s="1119"/>
    </row>
    <row r="2013" spans="1:60" ht="15.75" customHeight="1">
      <c r="A2013" s="1076"/>
      <c r="B2013" s="416"/>
      <c r="C2013" s="424"/>
      <c r="E2013" s="418"/>
      <c r="F2013" s="493"/>
      <c r="G2013" s="418"/>
      <c r="H2013" s="421"/>
      <c r="I2013" s="421"/>
      <c r="J2013" s="492"/>
      <c r="K2013" s="418"/>
      <c r="L2013" s="418"/>
      <c r="M2013" s="418"/>
      <c r="N2013" s="421"/>
      <c r="O2013" s="421"/>
      <c r="P2013" s="421"/>
      <c r="Q2013" s="418"/>
      <c r="R2013" s="418"/>
      <c r="S2013" s="418"/>
      <c r="T2013" s="418"/>
      <c r="U2013" s="418"/>
      <c r="V2013" s="418"/>
      <c r="W2013" s="418"/>
      <c r="X2013" s="418"/>
      <c r="Y2013" s="418"/>
      <c r="Z2013" s="418"/>
      <c r="AA2013" s="418"/>
      <c r="AB2013" s="418"/>
      <c r="AC2013" s="418"/>
      <c r="AD2013" s="418"/>
      <c r="AE2013" s="418"/>
      <c r="AF2013" s="418"/>
      <c r="AG2013" s="418"/>
      <c r="AH2013" s="418"/>
      <c r="AI2013" s="418"/>
      <c r="AJ2013" s="418"/>
      <c r="AK2013" s="418"/>
      <c r="AL2013" s="418"/>
      <c r="AM2013" s="418"/>
      <c r="AN2013" s="418"/>
      <c r="AO2013" s="418"/>
      <c r="AP2013" s="418"/>
      <c r="AQ2013" s="418"/>
      <c r="AR2013" s="418"/>
      <c r="AS2013" s="418"/>
      <c r="AT2013" s="418"/>
      <c r="AU2013" s="418"/>
      <c r="AV2013" s="418"/>
      <c r="AW2013" s="418"/>
      <c r="AX2013" s="418"/>
      <c r="AY2013" s="418"/>
      <c r="BF2013" s="1119"/>
      <c r="BG2013" s="1119"/>
      <c r="BH2013" s="1119"/>
    </row>
    <row r="2014" spans="1:60" ht="15.75" customHeight="1">
      <c r="A2014" s="1076"/>
      <c r="B2014" s="416"/>
      <c r="C2014" s="424"/>
      <c r="E2014" s="418"/>
      <c r="F2014" s="493"/>
      <c r="G2014" s="418"/>
      <c r="H2014" s="421"/>
      <c r="I2014" s="421"/>
      <c r="J2014" s="492"/>
      <c r="K2014" s="418"/>
      <c r="L2014" s="418"/>
      <c r="M2014" s="418"/>
      <c r="N2014" s="421"/>
      <c r="O2014" s="418"/>
      <c r="P2014" s="421"/>
      <c r="Q2014" s="418"/>
      <c r="R2014" s="418"/>
      <c r="S2014" s="418"/>
      <c r="T2014" s="418"/>
      <c r="U2014" s="418"/>
      <c r="V2014" s="418"/>
      <c r="W2014" s="418"/>
      <c r="X2014" s="418"/>
      <c r="Y2014" s="418"/>
      <c r="Z2014" s="418"/>
      <c r="AA2014" s="418"/>
      <c r="AB2014" s="418"/>
      <c r="AC2014" s="418"/>
      <c r="AD2014" s="418"/>
      <c r="AE2014" s="418"/>
      <c r="AF2014" s="418"/>
      <c r="AG2014" s="418"/>
      <c r="AH2014" s="418"/>
      <c r="AI2014" s="418"/>
      <c r="AJ2014" s="418"/>
      <c r="AK2014" s="418"/>
      <c r="AL2014" s="418"/>
      <c r="AM2014" s="418"/>
      <c r="AN2014" s="418"/>
      <c r="AO2014" s="418"/>
      <c r="AP2014" s="418"/>
      <c r="AQ2014" s="418"/>
      <c r="AR2014" s="418"/>
      <c r="AS2014" s="418"/>
      <c r="AT2014" s="418"/>
      <c r="AU2014" s="418"/>
      <c r="AV2014" s="418"/>
      <c r="AW2014" s="418"/>
      <c r="AX2014" s="418"/>
      <c r="AY2014" s="418"/>
      <c r="BF2014" s="1119"/>
      <c r="BG2014" s="1119"/>
      <c r="BH2014" s="1119"/>
    </row>
    <row r="2015" spans="1:60" ht="15.75" customHeight="1">
      <c r="A2015" s="1076"/>
      <c r="B2015" s="416"/>
      <c r="C2015" s="424"/>
      <c r="E2015" s="418"/>
      <c r="F2015" s="493"/>
      <c r="G2015" s="418"/>
      <c r="H2015" s="421"/>
      <c r="I2015" s="421"/>
      <c r="J2015" s="492"/>
      <c r="K2015" s="418"/>
      <c r="L2015" s="418"/>
      <c r="M2015" s="418"/>
      <c r="N2015" s="421"/>
      <c r="O2015" s="418"/>
      <c r="P2015" s="421"/>
      <c r="Q2015" s="418"/>
      <c r="R2015" s="418"/>
      <c r="S2015" s="418"/>
      <c r="T2015" s="418"/>
      <c r="U2015" s="418"/>
      <c r="V2015" s="418"/>
      <c r="W2015" s="418"/>
      <c r="X2015" s="418"/>
      <c r="Y2015" s="418"/>
      <c r="Z2015" s="418"/>
      <c r="AA2015" s="418"/>
      <c r="AB2015" s="418"/>
      <c r="AC2015" s="418"/>
      <c r="AD2015" s="418"/>
      <c r="AE2015" s="418"/>
      <c r="AF2015" s="418"/>
      <c r="AG2015" s="418"/>
      <c r="AH2015" s="418"/>
      <c r="AI2015" s="418"/>
      <c r="AJ2015" s="418"/>
      <c r="AK2015" s="418"/>
      <c r="AL2015" s="418"/>
      <c r="AM2015" s="418"/>
      <c r="AN2015" s="418"/>
      <c r="AO2015" s="418"/>
      <c r="AP2015" s="418"/>
      <c r="AQ2015" s="418"/>
      <c r="AR2015" s="418"/>
      <c r="AS2015" s="418"/>
      <c r="AT2015" s="418"/>
      <c r="AU2015" s="418"/>
      <c r="AV2015" s="418"/>
      <c r="AW2015" s="418"/>
      <c r="AX2015" s="418"/>
      <c r="AY2015" s="418"/>
      <c r="BF2015" s="1119"/>
      <c r="BG2015" s="1119"/>
      <c r="BH2015" s="1119"/>
    </row>
    <row r="2016" spans="1:60" ht="15.75" customHeight="1">
      <c r="A2016" s="1076"/>
      <c r="B2016" s="416"/>
      <c r="C2016" s="424"/>
      <c r="E2016" s="418"/>
      <c r="F2016" s="493"/>
      <c r="G2016" s="418"/>
      <c r="H2016" s="421"/>
      <c r="I2016" s="421"/>
      <c r="J2016" s="492"/>
      <c r="K2016" s="418"/>
      <c r="L2016" s="418"/>
      <c r="M2016" s="418"/>
      <c r="N2016" s="421"/>
      <c r="O2016" s="421"/>
      <c r="P2016" s="421"/>
      <c r="Q2016" s="418"/>
      <c r="R2016" s="418"/>
      <c r="S2016" s="418"/>
      <c r="T2016" s="418"/>
      <c r="U2016" s="418"/>
      <c r="V2016" s="418"/>
      <c r="W2016" s="418"/>
      <c r="X2016" s="418"/>
      <c r="Y2016" s="418"/>
      <c r="Z2016" s="418"/>
      <c r="AA2016" s="418"/>
      <c r="AB2016" s="418"/>
      <c r="AC2016" s="418"/>
      <c r="AD2016" s="418"/>
      <c r="AE2016" s="418"/>
      <c r="AF2016" s="418"/>
      <c r="AG2016" s="418"/>
      <c r="AH2016" s="418"/>
      <c r="AI2016" s="418"/>
      <c r="AJ2016" s="418"/>
      <c r="AK2016" s="418"/>
      <c r="AL2016" s="418"/>
      <c r="AM2016" s="418"/>
      <c r="AN2016" s="418"/>
      <c r="AO2016" s="418"/>
      <c r="AP2016" s="418"/>
      <c r="AQ2016" s="418"/>
      <c r="AR2016" s="418"/>
      <c r="AS2016" s="418"/>
      <c r="AT2016" s="418"/>
      <c r="AU2016" s="418"/>
      <c r="AV2016" s="418"/>
      <c r="AW2016" s="418"/>
      <c r="AX2016" s="418"/>
      <c r="AY2016" s="418"/>
      <c r="BF2016" s="1119"/>
      <c r="BG2016" s="1119"/>
      <c r="BH2016" s="1119"/>
    </row>
    <row r="2017" spans="1:60" ht="15.75" customHeight="1">
      <c r="A2017" s="1076"/>
      <c r="B2017" s="416"/>
      <c r="C2017" s="424"/>
      <c r="E2017" s="418"/>
      <c r="F2017" s="493"/>
      <c r="G2017" s="418"/>
      <c r="H2017" s="421"/>
      <c r="I2017" s="421"/>
      <c r="J2017" s="492"/>
      <c r="K2017" s="418"/>
      <c r="L2017" s="418"/>
      <c r="M2017" s="418"/>
      <c r="N2017" s="421"/>
      <c r="O2017" s="421"/>
      <c r="P2017" s="421"/>
      <c r="Q2017" s="418"/>
      <c r="R2017" s="418"/>
      <c r="S2017" s="418"/>
      <c r="T2017" s="418"/>
      <c r="U2017" s="418"/>
      <c r="V2017" s="418"/>
      <c r="W2017" s="418"/>
      <c r="X2017" s="418"/>
      <c r="Y2017" s="418"/>
      <c r="Z2017" s="418"/>
      <c r="AA2017" s="418"/>
      <c r="AB2017" s="418"/>
      <c r="AC2017" s="418"/>
      <c r="AD2017" s="418"/>
      <c r="AE2017" s="418"/>
      <c r="AF2017" s="418"/>
      <c r="AG2017" s="418"/>
      <c r="AH2017" s="418"/>
      <c r="AI2017" s="418"/>
      <c r="AJ2017" s="418"/>
      <c r="AK2017" s="418"/>
      <c r="AL2017" s="418"/>
      <c r="AM2017" s="418"/>
      <c r="AN2017" s="418"/>
      <c r="AO2017" s="418"/>
      <c r="AP2017" s="418"/>
      <c r="AQ2017" s="418"/>
      <c r="AR2017" s="418"/>
      <c r="AS2017" s="418"/>
      <c r="AT2017" s="418"/>
      <c r="AU2017" s="418"/>
      <c r="AV2017" s="418"/>
      <c r="AW2017" s="418"/>
      <c r="AX2017" s="418"/>
      <c r="AY2017" s="418"/>
      <c r="BF2017" s="1119"/>
      <c r="BG2017" s="1119"/>
      <c r="BH2017" s="1119"/>
    </row>
    <row r="2018" spans="1:60" ht="15.75" customHeight="1">
      <c r="A2018" s="1076"/>
      <c r="B2018" s="416"/>
      <c r="C2018" s="424"/>
      <c r="E2018" s="418"/>
      <c r="F2018" s="493"/>
      <c r="G2018" s="418"/>
      <c r="H2018" s="421"/>
      <c r="I2018" s="421"/>
      <c r="J2018" s="492"/>
      <c r="K2018" s="418"/>
      <c r="L2018" s="418"/>
      <c r="M2018" s="418"/>
      <c r="N2018" s="421"/>
      <c r="O2018" s="421"/>
      <c r="P2018" s="421"/>
      <c r="Q2018" s="418"/>
      <c r="R2018" s="418"/>
      <c r="S2018" s="418"/>
      <c r="T2018" s="418"/>
      <c r="U2018" s="418"/>
      <c r="V2018" s="418"/>
      <c r="W2018" s="418"/>
      <c r="X2018" s="418"/>
      <c r="Y2018" s="418"/>
      <c r="Z2018" s="418"/>
      <c r="AA2018" s="418"/>
      <c r="AB2018" s="418"/>
      <c r="AC2018" s="418"/>
      <c r="AD2018" s="418"/>
      <c r="AE2018" s="418"/>
      <c r="AF2018" s="418"/>
      <c r="AG2018" s="418"/>
      <c r="AH2018" s="418"/>
      <c r="AI2018" s="418"/>
      <c r="AJ2018" s="418"/>
      <c r="AK2018" s="418"/>
      <c r="AL2018" s="418"/>
      <c r="AM2018" s="418"/>
      <c r="AN2018" s="418"/>
      <c r="AO2018" s="418"/>
      <c r="AP2018" s="418"/>
      <c r="AQ2018" s="418"/>
      <c r="AR2018" s="418"/>
      <c r="AS2018" s="418"/>
      <c r="AT2018" s="418"/>
      <c r="AU2018" s="418"/>
      <c r="AV2018" s="418"/>
      <c r="AW2018" s="418"/>
      <c r="AX2018" s="418"/>
      <c r="AY2018" s="418"/>
      <c r="BF2018" s="1119"/>
      <c r="BG2018" s="1119"/>
      <c r="BH2018" s="1119"/>
    </row>
    <row r="2019" spans="1:60" ht="15.75" customHeight="1">
      <c r="A2019" s="1076"/>
      <c r="B2019" s="416"/>
      <c r="C2019" s="424"/>
      <c r="E2019" s="418"/>
      <c r="F2019" s="493"/>
      <c r="G2019" s="418"/>
      <c r="H2019" s="421"/>
      <c r="I2019" s="421"/>
      <c r="J2019" s="492"/>
      <c r="K2019" s="418"/>
      <c r="L2019" s="418"/>
      <c r="M2019" s="418"/>
      <c r="N2019" s="421"/>
      <c r="O2019" s="421"/>
      <c r="P2019" s="421"/>
      <c r="Q2019" s="418"/>
      <c r="R2019" s="418"/>
      <c r="S2019" s="418"/>
      <c r="T2019" s="418"/>
      <c r="U2019" s="418"/>
      <c r="V2019" s="418"/>
      <c r="W2019" s="418"/>
      <c r="X2019" s="418"/>
      <c r="Y2019" s="418"/>
      <c r="Z2019" s="418"/>
      <c r="AA2019" s="418"/>
      <c r="AB2019" s="418"/>
      <c r="AC2019" s="418"/>
      <c r="AD2019" s="418"/>
      <c r="AE2019" s="418"/>
      <c r="AF2019" s="418"/>
      <c r="AG2019" s="418"/>
      <c r="AH2019" s="418"/>
      <c r="AI2019" s="418"/>
      <c r="AJ2019" s="418"/>
      <c r="AK2019" s="418"/>
      <c r="AL2019" s="418"/>
      <c r="AM2019" s="418"/>
      <c r="AN2019" s="418"/>
      <c r="AO2019" s="418"/>
      <c r="AP2019" s="418"/>
      <c r="AQ2019" s="418"/>
      <c r="AR2019" s="418"/>
      <c r="AS2019" s="418"/>
      <c r="AT2019" s="418"/>
      <c r="AU2019" s="418"/>
      <c r="AV2019" s="418"/>
      <c r="AW2019" s="418"/>
      <c r="AX2019" s="418"/>
      <c r="AY2019" s="418"/>
      <c r="BF2019" s="1119"/>
      <c r="BG2019" s="1119"/>
      <c r="BH2019" s="1119"/>
    </row>
    <row r="2020" spans="1:60" ht="15.75" customHeight="1">
      <c r="A2020" s="1076"/>
      <c r="B2020" s="416"/>
      <c r="C2020" s="424"/>
      <c r="E2020" s="418"/>
      <c r="F2020" s="493"/>
      <c r="G2020" s="418"/>
      <c r="H2020" s="421"/>
      <c r="I2020" s="421"/>
      <c r="J2020" s="492"/>
      <c r="K2020" s="418"/>
      <c r="L2020" s="418"/>
      <c r="M2020" s="418"/>
      <c r="N2020" s="421"/>
      <c r="O2020" s="421"/>
      <c r="P2020" s="421"/>
      <c r="Q2020" s="418"/>
      <c r="R2020" s="418"/>
      <c r="S2020" s="418"/>
      <c r="T2020" s="418"/>
      <c r="U2020" s="418"/>
      <c r="V2020" s="418"/>
      <c r="W2020" s="418"/>
      <c r="X2020" s="418"/>
      <c r="Y2020" s="418"/>
      <c r="Z2020" s="418"/>
      <c r="AA2020" s="418"/>
      <c r="AB2020" s="418"/>
      <c r="AC2020" s="418"/>
      <c r="AD2020" s="418"/>
      <c r="AE2020" s="418"/>
      <c r="AF2020" s="418"/>
      <c r="AG2020" s="418"/>
      <c r="AH2020" s="418"/>
      <c r="AI2020" s="418"/>
      <c r="AJ2020" s="418"/>
      <c r="AK2020" s="418"/>
      <c r="AL2020" s="418"/>
      <c r="AM2020" s="418"/>
      <c r="AN2020" s="418"/>
      <c r="AO2020" s="418"/>
      <c r="AP2020" s="418"/>
      <c r="AQ2020" s="418"/>
      <c r="AR2020" s="418"/>
      <c r="AS2020" s="418"/>
      <c r="AT2020" s="418"/>
      <c r="AU2020" s="418"/>
      <c r="AV2020" s="418"/>
      <c r="AW2020" s="418"/>
      <c r="AX2020" s="418"/>
      <c r="AY2020" s="418"/>
      <c r="BF2020" s="1119"/>
      <c r="BG2020" s="1119"/>
      <c r="BH2020" s="1119"/>
    </row>
    <row r="2021" spans="1:60" ht="15.75" customHeight="1">
      <c r="A2021" s="1076"/>
      <c r="B2021" s="416"/>
      <c r="C2021" s="424"/>
      <c r="E2021" s="418"/>
      <c r="F2021" s="493"/>
      <c r="G2021" s="418"/>
      <c r="H2021" s="421"/>
      <c r="I2021" s="421"/>
      <c r="J2021" s="492"/>
      <c r="K2021" s="418"/>
      <c r="L2021" s="418"/>
      <c r="M2021" s="418"/>
      <c r="N2021" s="421"/>
      <c r="O2021" s="421"/>
      <c r="P2021" s="421"/>
      <c r="Q2021" s="418"/>
      <c r="R2021" s="418"/>
      <c r="S2021" s="418"/>
      <c r="T2021" s="418"/>
      <c r="U2021" s="418"/>
      <c r="V2021" s="418"/>
      <c r="W2021" s="418"/>
      <c r="X2021" s="418"/>
      <c r="Y2021" s="418"/>
      <c r="Z2021" s="418"/>
      <c r="AA2021" s="418"/>
      <c r="AB2021" s="418"/>
      <c r="AC2021" s="418"/>
      <c r="AD2021" s="418"/>
      <c r="AE2021" s="418"/>
      <c r="AF2021" s="418"/>
      <c r="AG2021" s="418"/>
      <c r="AH2021" s="418"/>
      <c r="AI2021" s="418"/>
      <c r="AJ2021" s="418"/>
      <c r="AK2021" s="418"/>
      <c r="AL2021" s="418"/>
      <c r="AM2021" s="418"/>
      <c r="AN2021" s="418"/>
      <c r="AO2021" s="418"/>
      <c r="AP2021" s="418"/>
      <c r="AQ2021" s="418"/>
      <c r="AR2021" s="418"/>
      <c r="AS2021" s="418"/>
      <c r="AT2021" s="418"/>
      <c r="AU2021" s="418"/>
      <c r="AV2021" s="418"/>
      <c r="AW2021" s="418"/>
      <c r="AX2021" s="418"/>
      <c r="AY2021" s="418"/>
      <c r="BF2021" s="1119"/>
      <c r="BG2021" s="1119"/>
      <c r="BH2021" s="1119"/>
    </row>
    <row r="2022" spans="1:60" ht="15.75" customHeight="1">
      <c r="A2022" s="1076"/>
      <c r="B2022" s="416"/>
      <c r="C2022" s="424"/>
      <c r="E2022" s="418"/>
      <c r="F2022" s="493"/>
      <c r="G2022" s="418"/>
      <c r="H2022" s="418"/>
      <c r="I2022" s="418"/>
      <c r="J2022" s="424"/>
      <c r="K2022" s="418"/>
      <c r="L2022" s="418"/>
      <c r="M2022" s="418"/>
      <c r="N2022" s="421"/>
      <c r="O2022" s="421"/>
      <c r="P2022" s="421"/>
      <c r="Q2022" s="418"/>
      <c r="R2022" s="418"/>
      <c r="S2022" s="418"/>
      <c r="T2022" s="418"/>
      <c r="U2022" s="418"/>
      <c r="V2022" s="418"/>
      <c r="W2022" s="418"/>
      <c r="X2022" s="418"/>
      <c r="Y2022" s="418"/>
      <c r="Z2022" s="418"/>
      <c r="AA2022" s="418"/>
      <c r="AB2022" s="418"/>
      <c r="AC2022" s="418"/>
      <c r="AD2022" s="418"/>
      <c r="AE2022" s="418"/>
      <c r="AF2022" s="418"/>
      <c r="AG2022" s="418"/>
      <c r="AH2022" s="418"/>
      <c r="AI2022" s="418"/>
      <c r="AJ2022" s="418"/>
      <c r="AK2022" s="418"/>
      <c r="AL2022" s="418"/>
      <c r="AM2022" s="418"/>
      <c r="AN2022" s="418"/>
      <c r="AO2022" s="418"/>
      <c r="AP2022" s="418"/>
      <c r="AQ2022" s="418"/>
      <c r="AR2022" s="418"/>
      <c r="AS2022" s="418"/>
      <c r="AT2022" s="418"/>
      <c r="AU2022" s="418"/>
      <c r="AV2022" s="418"/>
      <c r="AW2022" s="418"/>
      <c r="AX2022" s="418"/>
      <c r="AY2022" s="418"/>
      <c r="BF2022" s="1119"/>
      <c r="BG2022" s="1119"/>
      <c r="BH2022" s="1119"/>
    </row>
    <row r="2023" spans="1:60" ht="15.75" customHeight="1">
      <c r="A2023" s="1076"/>
      <c r="B2023" s="416"/>
      <c r="C2023" s="424"/>
      <c r="E2023" s="418"/>
      <c r="F2023" s="493"/>
      <c r="G2023" s="418"/>
      <c r="H2023" s="418"/>
      <c r="I2023" s="418"/>
      <c r="J2023" s="424"/>
      <c r="K2023" s="418"/>
      <c r="L2023" s="418"/>
      <c r="M2023" s="418"/>
      <c r="N2023" s="421"/>
      <c r="O2023" s="421"/>
      <c r="P2023" s="421"/>
      <c r="Q2023" s="418"/>
      <c r="R2023" s="418"/>
      <c r="S2023" s="418"/>
      <c r="T2023" s="418"/>
      <c r="U2023" s="418"/>
      <c r="V2023" s="418"/>
      <c r="W2023" s="418"/>
      <c r="X2023" s="418"/>
      <c r="Y2023" s="418"/>
      <c r="Z2023" s="418"/>
      <c r="AA2023" s="418"/>
      <c r="AB2023" s="418"/>
      <c r="AC2023" s="418"/>
      <c r="AD2023" s="418"/>
      <c r="AE2023" s="418"/>
      <c r="AF2023" s="418"/>
      <c r="AG2023" s="418"/>
      <c r="AH2023" s="418"/>
      <c r="AI2023" s="418"/>
      <c r="AJ2023" s="418"/>
      <c r="AK2023" s="418"/>
      <c r="AL2023" s="418"/>
      <c r="AM2023" s="418"/>
      <c r="AN2023" s="418"/>
      <c r="AO2023" s="418"/>
      <c r="AP2023" s="418"/>
      <c r="AQ2023" s="418"/>
      <c r="AR2023" s="418"/>
      <c r="AS2023" s="418"/>
      <c r="AT2023" s="418"/>
      <c r="AU2023" s="418"/>
      <c r="AV2023" s="418"/>
      <c r="AW2023" s="418"/>
      <c r="AX2023" s="418"/>
      <c r="AY2023" s="418"/>
      <c r="BF2023" s="1119"/>
      <c r="BG2023" s="1119"/>
      <c r="BH2023" s="1119"/>
    </row>
    <row r="2024" spans="1:60" ht="15.75" customHeight="1">
      <c r="A2024" s="1076"/>
      <c r="B2024" s="416"/>
      <c r="C2024" s="424"/>
      <c r="E2024" s="418"/>
      <c r="F2024" s="493"/>
      <c r="G2024" s="418"/>
      <c r="H2024" s="421"/>
      <c r="I2024" s="421"/>
      <c r="J2024" s="492"/>
      <c r="K2024" s="418"/>
      <c r="L2024" s="418"/>
      <c r="M2024" s="418"/>
      <c r="N2024" s="421"/>
      <c r="O2024" s="421"/>
      <c r="P2024" s="421"/>
      <c r="Q2024" s="418"/>
      <c r="R2024" s="418"/>
      <c r="S2024" s="418"/>
      <c r="T2024" s="418"/>
      <c r="U2024" s="418"/>
      <c r="V2024" s="418"/>
      <c r="W2024" s="418"/>
      <c r="X2024" s="418"/>
      <c r="Y2024" s="418"/>
      <c r="Z2024" s="418"/>
      <c r="AA2024" s="418"/>
      <c r="AB2024" s="418"/>
      <c r="AC2024" s="418"/>
      <c r="AD2024" s="418"/>
      <c r="AE2024" s="418"/>
      <c r="AF2024" s="418"/>
      <c r="AG2024" s="418"/>
      <c r="AH2024" s="418"/>
      <c r="AI2024" s="418"/>
      <c r="AJ2024" s="418"/>
      <c r="AK2024" s="418"/>
      <c r="AL2024" s="418"/>
      <c r="AM2024" s="418"/>
      <c r="AN2024" s="418"/>
      <c r="AO2024" s="418"/>
      <c r="AP2024" s="418"/>
      <c r="AQ2024" s="418"/>
      <c r="AR2024" s="418"/>
      <c r="AS2024" s="418"/>
      <c r="AT2024" s="418"/>
      <c r="AU2024" s="418"/>
      <c r="AV2024" s="418"/>
      <c r="AW2024" s="418"/>
      <c r="AX2024" s="418"/>
      <c r="AY2024" s="418"/>
      <c r="BF2024" s="1119"/>
      <c r="BG2024" s="1119"/>
      <c r="BH2024" s="1119"/>
    </row>
    <row r="2025" spans="1:60" ht="15.75" customHeight="1">
      <c r="A2025" s="1076"/>
      <c r="B2025" s="416"/>
      <c r="C2025" s="424"/>
      <c r="E2025" s="418"/>
      <c r="F2025" s="493"/>
      <c r="G2025" s="418"/>
      <c r="H2025" s="421"/>
      <c r="I2025" s="425"/>
      <c r="J2025" s="492"/>
      <c r="K2025" s="418"/>
      <c r="L2025" s="418"/>
      <c r="M2025" s="418"/>
      <c r="N2025" s="421"/>
      <c r="O2025" s="421"/>
      <c r="P2025" s="421"/>
      <c r="Q2025" s="418"/>
      <c r="R2025" s="418"/>
      <c r="S2025" s="418"/>
      <c r="T2025" s="418"/>
      <c r="U2025" s="418"/>
      <c r="V2025" s="418"/>
      <c r="W2025" s="418"/>
      <c r="X2025" s="418"/>
      <c r="Y2025" s="418"/>
      <c r="Z2025" s="418"/>
      <c r="AA2025" s="418"/>
      <c r="AB2025" s="418"/>
      <c r="AC2025" s="418"/>
      <c r="AD2025" s="418"/>
      <c r="AE2025" s="418"/>
      <c r="AF2025" s="418"/>
      <c r="AG2025" s="418"/>
      <c r="AH2025" s="418"/>
      <c r="AI2025" s="418"/>
      <c r="AJ2025" s="418"/>
      <c r="AK2025" s="418"/>
      <c r="AL2025" s="418"/>
      <c r="AM2025" s="418"/>
      <c r="AN2025" s="418"/>
      <c r="AO2025" s="418"/>
      <c r="AP2025" s="418"/>
      <c r="AQ2025" s="418"/>
      <c r="AR2025" s="418"/>
      <c r="AS2025" s="418"/>
      <c r="AT2025" s="418"/>
      <c r="AU2025" s="418"/>
      <c r="AV2025" s="418"/>
      <c r="AW2025" s="418"/>
      <c r="AX2025" s="418"/>
      <c r="AY2025" s="418"/>
      <c r="BF2025" s="1119"/>
      <c r="BG2025" s="1119"/>
      <c r="BH2025" s="1119"/>
    </row>
    <row r="2026" spans="1:60" ht="15.75" customHeight="1">
      <c r="A2026" s="1076"/>
      <c r="B2026" s="416"/>
      <c r="C2026" s="424"/>
      <c r="E2026" s="418"/>
      <c r="F2026" s="493"/>
      <c r="G2026" s="418"/>
      <c r="H2026" s="421"/>
      <c r="I2026" s="421"/>
      <c r="J2026" s="492"/>
      <c r="K2026" s="418"/>
      <c r="L2026" s="418"/>
      <c r="M2026" s="418"/>
      <c r="N2026" s="421"/>
      <c r="O2026" s="421"/>
      <c r="P2026" s="421"/>
      <c r="Q2026" s="418"/>
      <c r="R2026" s="418"/>
      <c r="S2026" s="418"/>
      <c r="T2026" s="418"/>
      <c r="U2026" s="418"/>
      <c r="V2026" s="418"/>
      <c r="W2026" s="418"/>
      <c r="X2026" s="418"/>
      <c r="Y2026" s="418"/>
      <c r="Z2026" s="418"/>
      <c r="AA2026" s="418"/>
      <c r="AB2026" s="418"/>
      <c r="AC2026" s="418"/>
      <c r="AD2026" s="418"/>
      <c r="AE2026" s="418"/>
      <c r="AF2026" s="418"/>
      <c r="AG2026" s="418"/>
      <c r="AH2026" s="418"/>
      <c r="AI2026" s="418"/>
      <c r="AJ2026" s="418"/>
      <c r="AK2026" s="418"/>
      <c r="AL2026" s="418"/>
      <c r="AM2026" s="418"/>
      <c r="AN2026" s="418"/>
      <c r="AO2026" s="418"/>
      <c r="AP2026" s="418"/>
      <c r="AQ2026" s="418"/>
      <c r="AR2026" s="418"/>
      <c r="AS2026" s="418"/>
      <c r="AT2026" s="418"/>
      <c r="AU2026" s="418"/>
      <c r="AV2026" s="418"/>
      <c r="AW2026" s="418"/>
      <c r="AX2026" s="418"/>
      <c r="AY2026" s="418"/>
      <c r="BF2026" s="1119"/>
      <c r="BG2026" s="1119"/>
      <c r="BH2026" s="1119"/>
    </row>
    <row r="2027" spans="1:60" ht="15.75" customHeight="1">
      <c r="A2027" s="1076"/>
      <c r="B2027" s="416"/>
      <c r="C2027" s="424"/>
      <c r="E2027" s="418"/>
      <c r="F2027" s="493"/>
      <c r="G2027" s="418"/>
      <c r="H2027" s="421"/>
      <c r="I2027" s="425"/>
      <c r="J2027" s="492"/>
      <c r="K2027" s="418"/>
      <c r="L2027" s="418"/>
      <c r="M2027" s="418"/>
      <c r="N2027" s="421"/>
      <c r="O2027" s="421"/>
      <c r="P2027" s="421"/>
      <c r="Q2027" s="418"/>
      <c r="R2027" s="418"/>
      <c r="S2027" s="418"/>
      <c r="T2027" s="418"/>
      <c r="U2027" s="418"/>
      <c r="V2027" s="418"/>
      <c r="W2027" s="418"/>
      <c r="X2027" s="418"/>
      <c r="Y2027" s="418"/>
      <c r="Z2027" s="418"/>
      <c r="AA2027" s="418"/>
      <c r="AB2027" s="418"/>
      <c r="AC2027" s="418"/>
      <c r="AD2027" s="418"/>
      <c r="AE2027" s="418"/>
      <c r="AF2027" s="418"/>
      <c r="AG2027" s="418"/>
      <c r="AH2027" s="418"/>
      <c r="AI2027" s="418"/>
      <c r="AJ2027" s="418"/>
      <c r="AK2027" s="418"/>
      <c r="AL2027" s="418"/>
      <c r="AM2027" s="418"/>
      <c r="AN2027" s="418"/>
      <c r="AO2027" s="418"/>
      <c r="AP2027" s="418"/>
      <c r="AQ2027" s="418"/>
      <c r="AR2027" s="418"/>
      <c r="AS2027" s="418"/>
      <c r="AT2027" s="418"/>
      <c r="AU2027" s="418"/>
      <c r="AV2027" s="418"/>
      <c r="AW2027" s="418"/>
      <c r="AX2027" s="418"/>
      <c r="AY2027" s="418"/>
      <c r="BF2027" s="1119"/>
      <c r="BG2027" s="1119"/>
      <c r="BH2027" s="1119"/>
    </row>
    <row r="2028" spans="1:60" ht="15.75" customHeight="1">
      <c r="A2028" s="1076"/>
      <c r="B2028" s="416"/>
      <c r="C2028" s="424"/>
      <c r="E2028" s="418"/>
      <c r="F2028" s="493"/>
      <c r="G2028" s="418"/>
      <c r="H2028" s="421"/>
      <c r="I2028" s="421"/>
      <c r="J2028" s="492"/>
      <c r="K2028" s="418"/>
      <c r="L2028" s="418"/>
      <c r="M2028" s="418"/>
      <c r="N2028" s="421"/>
      <c r="O2028" s="421"/>
      <c r="P2028" s="421"/>
      <c r="Q2028" s="418"/>
      <c r="R2028" s="418"/>
      <c r="S2028" s="418"/>
      <c r="T2028" s="418"/>
      <c r="U2028" s="418"/>
      <c r="V2028" s="418"/>
      <c r="W2028" s="418"/>
      <c r="X2028" s="418"/>
      <c r="Y2028" s="418"/>
      <c r="Z2028" s="418"/>
      <c r="AA2028" s="418"/>
      <c r="AB2028" s="418"/>
      <c r="AC2028" s="418"/>
      <c r="AD2028" s="418"/>
      <c r="AE2028" s="418"/>
      <c r="AF2028" s="418"/>
      <c r="AG2028" s="418"/>
      <c r="AH2028" s="418"/>
      <c r="AI2028" s="418"/>
      <c r="AJ2028" s="418"/>
      <c r="AK2028" s="418"/>
      <c r="AL2028" s="418"/>
      <c r="AM2028" s="418"/>
      <c r="AN2028" s="418"/>
      <c r="AO2028" s="418"/>
      <c r="AP2028" s="418"/>
      <c r="AQ2028" s="418"/>
      <c r="AR2028" s="418"/>
      <c r="AS2028" s="418"/>
      <c r="AT2028" s="418"/>
      <c r="AU2028" s="418"/>
      <c r="AV2028" s="418"/>
      <c r="AW2028" s="418"/>
      <c r="AX2028" s="418"/>
      <c r="AY2028" s="418"/>
      <c r="BF2028" s="1119"/>
      <c r="BG2028" s="1119"/>
      <c r="BH2028" s="1119"/>
    </row>
    <row r="2029" spans="1:60" ht="15.75" customHeight="1">
      <c r="A2029" s="1076"/>
      <c r="B2029" s="416"/>
      <c r="C2029" s="424"/>
      <c r="E2029" s="418"/>
      <c r="F2029" s="493"/>
      <c r="G2029" s="418"/>
      <c r="H2029" s="421"/>
      <c r="I2029" s="421"/>
      <c r="J2029" s="492"/>
      <c r="K2029" s="418"/>
      <c r="L2029" s="418"/>
      <c r="M2029" s="418"/>
      <c r="N2029" s="421"/>
      <c r="O2029" s="421"/>
      <c r="P2029" s="421"/>
      <c r="Q2029" s="418"/>
      <c r="R2029" s="418"/>
      <c r="S2029" s="418"/>
      <c r="T2029" s="418"/>
      <c r="U2029" s="418"/>
      <c r="V2029" s="418"/>
      <c r="W2029" s="418"/>
      <c r="X2029" s="418"/>
      <c r="Y2029" s="418"/>
      <c r="Z2029" s="418"/>
      <c r="AA2029" s="418"/>
      <c r="AB2029" s="418"/>
      <c r="AC2029" s="418"/>
      <c r="AD2029" s="418"/>
      <c r="AE2029" s="418"/>
      <c r="AF2029" s="418"/>
      <c r="AG2029" s="418"/>
      <c r="AH2029" s="418"/>
      <c r="AI2029" s="418"/>
      <c r="AJ2029" s="418"/>
      <c r="AK2029" s="418"/>
      <c r="AL2029" s="418"/>
      <c r="AM2029" s="418"/>
      <c r="AN2029" s="418"/>
      <c r="AO2029" s="418"/>
      <c r="AP2029" s="418"/>
      <c r="AQ2029" s="418"/>
      <c r="AR2029" s="418"/>
      <c r="AS2029" s="418"/>
      <c r="AT2029" s="418"/>
      <c r="AU2029" s="418"/>
      <c r="AV2029" s="418"/>
      <c r="AW2029" s="418"/>
      <c r="AX2029" s="418"/>
      <c r="AY2029" s="418"/>
      <c r="BF2029" s="1119"/>
      <c r="BG2029" s="1119"/>
      <c r="BH2029" s="1119"/>
    </row>
    <row r="2030" spans="1:60" ht="15.75" customHeight="1">
      <c r="A2030" s="1076"/>
      <c r="B2030" s="416"/>
      <c r="C2030" s="424"/>
      <c r="E2030" s="418"/>
      <c r="F2030" s="493"/>
      <c r="G2030" s="418"/>
      <c r="H2030" s="421"/>
      <c r="I2030" s="421"/>
      <c r="J2030" s="492"/>
      <c r="K2030" s="418"/>
      <c r="L2030" s="418"/>
      <c r="M2030" s="418"/>
      <c r="N2030" s="421"/>
      <c r="O2030" s="421"/>
      <c r="P2030" s="421"/>
      <c r="Q2030" s="418"/>
      <c r="R2030" s="418"/>
      <c r="S2030" s="418"/>
      <c r="T2030" s="418"/>
      <c r="U2030" s="418"/>
      <c r="V2030" s="418"/>
      <c r="W2030" s="418"/>
      <c r="X2030" s="418"/>
      <c r="Y2030" s="418"/>
      <c r="Z2030" s="418"/>
      <c r="AA2030" s="418"/>
      <c r="AB2030" s="418"/>
      <c r="AC2030" s="418"/>
      <c r="AD2030" s="418"/>
      <c r="AE2030" s="418"/>
      <c r="AF2030" s="418"/>
      <c r="AG2030" s="418"/>
      <c r="AH2030" s="418"/>
      <c r="AI2030" s="418"/>
      <c r="AJ2030" s="418"/>
      <c r="AK2030" s="418"/>
      <c r="AL2030" s="418"/>
      <c r="AM2030" s="418"/>
      <c r="AN2030" s="418"/>
      <c r="AO2030" s="418"/>
      <c r="AP2030" s="418"/>
      <c r="AQ2030" s="418"/>
      <c r="AR2030" s="418"/>
      <c r="AS2030" s="418"/>
      <c r="AT2030" s="418"/>
      <c r="AU2030" s="418"/>
      <c r="AV2030" s="418"/>
      <c r="AW2030" s="418"/>
      <c r="AX2030" s="418"/>
      <c r="AY2030" s="418"/>
      <c r="BF2030" s="1119"/>
      <c r="BG2030" s="1119"/>
      <c r="BH2030" s="1119"/>
    </row>
    <row r="2031" spans="1:60" ht="15.75" customHeight="1">
      <c r="A2031" s="1076"/>
      <c r="B2031" s="416"/>
      <c r="C2031" s="424"/>
      <c r="E2031" s="418"/>
      <c r="F2031" s="493"/>
      <c r="G2031" s="418"/>
      <c r="H2031" s="421"/>
      <c r="I2031" s="421"/>
      <c r="J2031" s="492"/>
      <c r="K2031" s="418"/>
      <c r="L2031" s="418"/>
      <c r="M2031" s="418"/>
      <c r="N2031" s="421"/>
      <c r="O2031" s="421"/>
      <c r="P2031" s="421"/>
      <c r="Q2031" s="418"/>
      <c r="R2031" s="418"/>
      <c r="S2031" s="418"/>
      <c r="T2031" s="418"/>
      <c r="U2031" s="418"/>
      <c r="V2031" s="418"/>
      <c r="W2031" s="418"/>
      <c r="X2031" s="418"/>
      <c r="Y2031" s="418"/>
      <c r="Z2031" s="418"/>
      <c r="AA2031" s="418"/>
      <c r="AB2031" s="418"/>
      <c r="AC2031" s="418"/>
      <c r="AD2031" s="418"/>
      <c r="AE2031" s="418"/>
      <c r="AF2031" s="418"/>
      <c r="AG2031" s="418"/>
      <c r="AH2031" s="418"/>
      <c r="AI2031" s="418"/>
      <c r="AJ2031" s="418"/>
      <c r="AK2031" s="418"/>
      <c r="AL2031" s="418"/>
      <c r="AM2031" s="418"/>
      <c r="AN2031" s="418"/>
      <c r="AO2031" s="418"/>
      <c r="AP2031" s="418"/>
      <c r="AQ2031" s="418"/>
      <c r="AR2031" s="418"/>
      <c r="AS2031" s="418"/>
      <c r="AT2031" s="418"/>
      <c r="AU2031" s="418"/>
      <c r="AV2031" s="418"/>
      <c r="AW2031" s="418"/>
      <c r="AX2031" s="418"/>
      <c r="AY2031" s="418"/>
      <c r="BF2031" s="1119"/>
      <c r="BG2031" s="1119"/>
      <c r="BH2031" s="1119"/>
    </row>
    <row r="2032" spans="1:60" ht="15.75" customHeight="1">
      <c r="A2032" s="1076"/>
      <c r="B2032" s="416"/>
      <c r="C2032" s="424"/>
      <c r="E2032" s="418"/>
      <c r="F2032" s="493"/>
      <c r="G2032" s="418"/>
      <c r="H2032" s="421"/>
      <c r="I2032" s="421"/>
      <c r="J2032" s="492"/>
      <c r="K2032" s="418"/>
      <c r="L2032" s="418"/>
      <c r="M2032" s="418"/>
      <c r="N2032" s="421"/>
      <c r="O2032" s="421"/>
      <c r="P2032" s="421"/>
      <c r="Q2032" s="418"/>
      <c r="R2032" s="418"/>
      <c r="S2032" s="418"/>
      <c r="T2032" s="418"/>
      <c r="U2032" s="418"/>
      <c r="V2032" s="418"/>
      <c r="W2032" s="418"/>
      <c r="X2032" s="418"/>
      <c r="Y2032" s="418"/>
      <c r="Z2032" s="418"/>
      <c r="AA2032" s="418"/>
      <c r="AB2032" s="418"/>
      <c r="AC2032" s="418"/>
      <c r="AD2032" s="418"/>
      <c r="AE2032" s="418"/>
      <c r="AF2032" s="418"/>
      <c r="AG2032" s="418"/>
      <c r="AH2032" s="418"/>
      <c r="AI2032" s="418"/>
      <c r="AJ2032" s="418"/>
      <c r="AK2032" s="418"/>
      <c r="AL2032" s="418"/>
      <c r="AM2032" s="418"/>
      <c r="AN2032" s="418"/>
      <c r="AO2032" s="418"/>
      <c r="AP2032" s="418"/>
      <c r="AQ2032" s="418"/>
      <c r="AR2032" s="418"/>
      <c r="AS2032" s="418"/>
      <c r="AT2032" s="418"/>
      <c r="AU2032" s="418"/>
      <c r="AV2032" s="418"/>
      <c r="AW2032" s="418"/>
      <c r="AX2032" s="418"/>
      <c r="AY2032" s="418"/>
      <c r="BF2032" s="1119"/>
      <c r="BG2032" s="1119"/>
      <c r="BH2032" s="1119"/>
    </row>
    <row r="2033" spans="1:60" ht="15.75" customHeight="1">
      <c r="A2033" s="1076"/>
      <c r="B2033" s="416"/>
      <c r="C2033" s="424"/>
      <c r="E2033" s="418"/>
      <c r="F2033" s="493"/>
      <c r="G2033" s="418"/>
      <c r="H2033" s="421"/>
      <c r="I2033" s="421"/>
      <c r="J2033" s="492"/>
      <c r="K2033" s="418"/>
      <c r="L2033" s="418"/>
      <c r="M2033" s="418"/>
      <c r="N2033" s="421"/>
      <c r="O2033" s="421"/>
      <c r="P2033" s="421"/>
      <c r="Q2033" s="418"/>
      <c r="R2033" s="418"/>
      <c r="S2033" s="418"/>
      <c r="T2033" s="418"/>
      <c r="U2033" s="418"/>
      <c r="V2033" s="418"/>
      <c r="W2033" s="418"/>
      <c r="X2033" s="418"/>
      <c r="Y2033" s="418"/>
      <c r="Z2033" s="418"/>
      <c r="AA2033" s="418"/>
      <c r="AB2033" s="418"/>
      <c r="AC2033" s="418"/>
      <c r="AD2033" s="418"/>
      <c r="AE2033" s="418"/>
      <c r="AF2033" s="418"/>
      <c r="AG2033" s="418"/>
      <c r="AH2033" s="418"/>
      <c r="AI2033" s="418"/>
      <c r="AJ2033" s="418"/>
      <c r="AK2033" s="418"/>
      <c r="AL2033" s="418"/>
      <c r="AM2033" s="418"/>
      <c r="AN2033" s="418"/>
      <c r="AO2033" s="418"/>
      <c r="AP2033" s="418"/>
      <c r="AQ2033" s="418"/>
      <c r="AR2033" s="418"/>
      <c r="AS2033" s="418"/>
      <c r="AT2033" s="418"/>
      <c r="AU2033" s="418"/>
      <c r="AV2033" s="418"/>
      <c r="AW2033" s="418"/>
      <c r="AX2033" s="418"/>
      <c r="AY2033" s="418"/>
      <c r="BF2033" s="1119"/>
      <c r="BG2033" s="1119"/>
      <c r="BH2033" s="1119"/>
    </row>
    <row r="2034" spans="1:60" ht="15.75" customHeight="1">
      <c r="A2034" s="1076"/>
      <c r="B2034" s="416"/>
      <c r="C2034" s="424"/>
      <c r="E2034" s="418"/>
      <c r="F2034" s="493"/>
      <c r="G2034" s="418"/>
      <c r="H2034" s="421"/>
      <c r="I2034" s="421"/>
      <c r="J2034" s="492"/>
      <c r="K2034" s="418"/>
      <c r="L2034" s="418"/>
      <c r="M2034" s="418"/>
      <c r="N2034" s="421"/>
      <c r="O2034" s="421"/>
      <c r="P2034" s="421"/>
      <c r="Q2034" s="418"/>
      <c r="R2034" s="418"/>
      <c r="S2034" s="418"/>
      <c r="T2034" s="418"/>
      <c r="U2034" s="418"/>
      <c r="V2034" s="418"/>
      <c r="W2034" s="418"/>
      <c r="X2034" s="418"/>
      <c r="Y2034" s="418"/>
      <c r="Z2034" s="418"/>
      <c r="AA2034" s="418"/>
      <c r="AB2034" s="418"/>
      <c r="AC2034" s="418"/>
      <c r="AD2034" s="418"/>
      <c r="AE2034" s="418"/>
      <c r="AF2034" s="418"/>
      <c r="AG2034" s="418"/>
      <c r="AH2034" s="418"/>
      <c r="AI2034" s="418"/>
      <c r="AJ2034" s="418"/>
      <c r="AK2034" s="418"/>
      <c r="AL2034" s="418"/>
      <c r="AM2034" s="418"/>
      <c r="AN2034" s="418"/>
      <c r="AO2034" s="418"/>
      <c r="AP2034" s="418"/>
      <c r="AQ2034" s="418"/>
      <c r="AR2034" s="418"/>
      <c r="AS2034" s="418"/>
      <c r="AT2034" s="418"/>
      <c r="AU2034" s="418"/>
      <c r="AV2034" s="418"/>
      <c r="AW2034" s="418"/>
      <c r="AX2034" s="418"/>
      <c r="AY2034" s="418"/>
      <c r="BF2034" s="1119"/>
      <c r="BG2034" s="1119"/>
      <c r="BH2034" s="1119"/>
    </row>
    <row r="2035" spans="1:60" ht="15.75" customHeight="1">
      <c r="A2035" s="1076"/>
      <c r="B2035" s="416"/>
      <c r="C2035" s="424"/>
      <c r="E2035" s="418"/>
      <c r="F2035" s="493"/>
      <c r="G2035" s="418"/>
      <c r="H2035" s="421"/>
      <c r="I2035" s="421"/>
      <c r="J2035" s="492"/>
      <c r="K2035" s="418"/>
      <c r="L2035" s="418"/>
      <c r="M2035" s="418"/>
      <c r="N2035" s="421"/>
      <c r="O2035" s="421"/>
      <c r="P2035" s="421"/>
      <c r="Q2035" s="418"/>
      <c r="R2035" s="418"/>
      <c r="S2035" s="418"/>
      <c r="T2035" s="418"/>
      <c r="U2035" s="418"/>
      <c r="V2035" s="418"/>
      <c r="W2035" s="418"/>
      <c r="X2035" s="418"/>
      <c r="Y2035" s="418"/>
      <c r="Z2035" s="418"/>
      <c r="AA2035" s="418"/>
      <c r="AB2035" s="418"/>
      <c r="AC2035" s="418"/>
      <c r="AD2035" s="418"/>
      <c r="AE2035" s="418"/>
      <c r="AF2035" s="418"/>
      <c r="AG2035" s="418"/>
      <c r="AH2035" s="418"/>
      <c r="AI2035" s="418"/>
      <c r="AJ2035" s="418"/>
      <c r="AK2035" s="418"/>
      <c r="AL2035" s="418"/>
      <c r="AM2035" s="418"/>
      <c r="AN2035" s="418"/>
      <c r="AO2035" s="418"/>
      <c r="AP2035" s="418"/>
      <c r="AQ2035" s="418"/>
      <c r="AR2035" s="418"/>
      <c r="AS2035" s="418"/>
      <c r="AT2035" s="418"/>
      <c r="AU2035" s="418"/>
      <c r="AV2035" s="418"/>
      <c r="AW2035" s="418"/>
      <c r="AX2035" s="418"/>
      <c r="AY2035" s="418"/>
      <c r="BF2035" s="1119"/>
      <c r="BG2035" s="1119"/>
      <c r="BH2035" s="1119"/>
    </row>
    <row r="2036" spans="1:60" ht="15.75" customHeight="1">
      <c r="A2036" s="1076"/>
      <c r="B2036" s="416"/>
      <c r="C2036" s="424"/>
      <c r="E2036" s="418"/>
      <c r="F2036" s="493"/>
      <c r="G2036" s="418"/>
      <c r="H2036" s="421"/>
      <c r="I2036" s="421"/>
      <c r="J2036" s="492"/>
      <c r="K2036" s="418"/>
      <c r="L2036" s="418"/>
      <c r="M2036" s="418"/>
      <c r="N2036" s="421"/>
      <c r="O2036" s="421"/>
      <c r="P2036" s="421"/>
      <c r="Q2036" s="418"/>
      <c r="R2036" s="418"/>
      <c r="S2036" s="418"/>
      <c r="T2036" s="418"/>
      <c r="U2036" s="418"/>
      <c r="V2036" s="418"/>
      <c r="W2036" s="418"/>
      <c r="X2036" s="418"/>
      <c r="Y2036" s="418"/>
      <c r="Z2036" s="418"/>
      <c r="AA2036" s="418"/>
      <c r="AB2036" s="418"/>
      <c r="AC2036" s="418"/>
      <c r="AD2036" s="418"/>
      <c r="AE2036" s="418"/>
      <c r="AF2036" s="418"/>
      <c r="AG2036" s="418"/>
      <c r="AH2036" s="418"/>
      <c r="AI2036" s="418"/>
      <c r="AJ2036" s="418"/>
      <c r="AK2036" s="418"/>
      <c r="AL2036" s="418"/>
      <c r="AM2036" s="418"/>
      <c r="AN2036" s="418"/>
      <c r="AO2036" s="418"/>
      <c r="AP2036" s="418"/>
      <c r="AQ2036" s="418"/>
      <c r="AR2036" s="418"/>
      <c r="AS2036" s="418"/>
      <c r="AT2036" s="418"/>
      <c r="AU2036" s="418"/>
      <c r="AV2036" s="418"/>
      <c r="AW2036" s="418"/>
      <c r="AX2036" s="418"/>
      <c r="AY2036" s="418"/>
      <c r="BF2036" s="1119"/>
      <c r="BG2036" s="1119"/>
      <c r="BH2036" s="1119"/>
    </row>
    <row r="2037" spans="1:60" ht="15.75" customHeight="1">
      <c r="A2037" s="1076"/>
      <c r="B2037" s="416"/>
      <c r="C2037" s="424"/>
      <c r="E2037" s="418"/>
      <c r="F2037" s="493"/>
      <c r="G2037" s="418"/>
      <c r="H2037" s="421"/>
      <c r="I2037" s="421"/>
      <c r="J2037" s="492"/>
      <c r="K2037" s="418"/>
      <c r="L2037" s="418"/>
      <c r="M2037" s="418"/>
      <c r="N2037" s="421"/>
      <c r="O2037" s="421"/>
      <c r="P2037" s="421"/>
      <c r="Q2037" s="418"/>
      <c r="R2037" s="418"/>
      <c r="S2037" s="418"/>
      <c r="T2037" s="418"/>
      <c r="U2037" s="418"/>
      <c r="V2037" s="418"/>
      <c r="W2037" s="418"/>
      <c r="X2037" s="418"/>
      <c r="Y2037" s="418"/>
      <c r="Z2037" s="418"/>
      <c r="AA2037" s="418"/>
      <c r="AB2037" s="418"/>
      <c r="AC2037" s="418"/>
      <c r="AD2037" s="418"/>
      <c r="AE2037" s="418"/>
      <c r="AF2037" s="418"/>
      <c r="AG2037" s="418"/>
      <c r="AH2037" s="418"/>
      <c r="AI2037" s="418"/>
      <c r="AJ2037" s="418"/>
      <c r="AK2037" s="418"/>
      <c r="AL2037" s="418"/>
      <c r="AM2037" s="418"/>
      <c r="AN2037" s="418"/>
      <c r="AO2037" s="418"/>
      <c r="AP2037" s="418"/>
      <c r="AQ2037" s="418"/>
      <c r="AR2037" s="418"/>
      <c r="AS2037" s="418"/>
      <c r="AT2037" s="418"/>
      <c r="AU2037" s="418"/>
      <c r="AV2037" s="418"/>
      <c r="AW2037" s="418"/>
      <c r="AX2037" s="418"/>
      <c r="AY2037" s="418"/>
      <c r="BF2037" s="1119"/>
      <c r="BG2037" s="1119"/>
      <c r="BH2037" s="1119"/>
    </row>
    <row r="2038" spans="1:60" ht="15.75" customHeight="1">
      <c r="A2038" s="1076"/>
      <c r="B2038" s="416"/>
      <c r="C2038" s="424"/>
      <c r="E2038" s="418"/>
      <c r="F2038" s="493"/>
      <c r="G2038" s="418"/>
      <c r="H2038" s="421"/>
      <c r="I2038" s="421"/>
      <c r="J2038" s="492"/>
      <c r="K2038" s="418"/>
      <c r="L2038" s="418"/>
      <c r="M2038" s="418"/>
      <c r="N2038" s="421"/>
      <c r="O2038" s="421"/>
      <c r="P2038" s="421"/>
      <c r="Q2038" s="418"/>
      <c r="R2038" s="418"/>
      <c r="S2038" s="418"/>
      <c r="T2038" s="418"/>
      <c r="U2038" s="418"/>
      <c r="V2038" s="418"/>
      <c r="W2038" s="418"/>
      <c r="X2038" s="418"/>
      <c r="Y2038" s="418"/>
      <c r="Z2038" s="418"/>
      <c r="AA2038" s="418"/>
      <c r="AB2038" s="418"/>
      <c r="AC2038" s="418"/>
      <c r="AD2038" s="418"/>
      <c r="AE2038" s="418"/>
      <c r="AF2038" s="418"/>
      <c r="AG2038" s="418"/>
      <c r="AH2038" s="418"/>
      <c r="AI2038" s="418"/>
      <c r="AJ2038" s="418"/>
      <c r="AK2038" s="418"/>
      <c r="AL2038" s="418"/>
      <c r="AM2038" s="418"/>
      <c r="AN2038" s="418"/>
      <c r="AO2038" s="418"/>
      <c r="AP2038" s="418"/>
      <c r="AQ2038" s="418"/>
      <c r="AR2038" s="418"/>
      <c r="AS2038" s="418"/>
      <c r="AT2038" s="418"/>
      <c r="AU2038" s="418"/>
      <c r="AV2038" s="418"/>
      <c r="AW2038" s="418"/>
      <c r="AX2038" s="418"/>
      <c r="AY2038" s="418"/>
      <c r="BF2038" s="1119"/>
      <c r="BG2038" s="1119"/>
      <c r="BH2038" s="1119"/>
    </row>
    <row r="2039" spans="1:60" ht="15.75" customHeight="1">
      <c r="A2039" s="1076"/>
      <c r="B2039" s="416"/>
      <c r="C2039" s="424"/>
      <c r="E2039" s="418"/>
      <c r="F2039" s="493"/>
      <c r="G2039" s="418"/>
      <c r="H2039" s="421"/>
      <c r="I2039" s="421"/>
      <c r="J2039" s="492"/>
      <c r="K2039" s="418"/>
      <c r="L2039" s="418"/>
      <c r="M2039" s="418"/>
      <c r="N2039" s="421"/>
      <c r="O2039" s="421"/>
      <c r="P2039" s="421"/>
      <c r="Q2039" s="418"/>
      <c r="R2039" s="418"/>
      <c r="S2039" s="418"/>
      <c r="T2039" s="418"/>
      <c r="U2039" s="418"/>
      <c r="V2039" s="418"/>
      <c r="W2039" s="418"/>
      <c r="X2039" s="418"/>
      <c r="Y2039" s="418"/>
      <c r="Z2039" s="418"/>
      <c r="AA2039" s="418"/>
      <c r="AB2039" s="418"/>
      <c r="AC2039" s="418"/>
      <c r="AD2039" s="418"/>
      <c r="AE2039" s="418"/>
      <c r="AF2039" s="418"/>
      <c r="AG2039" s="418"/>
      <c r="AH2039" s="418"/>
      <c r="AI2039" s="418"/>
      <c r="AJ2039" s="418"/>
      <c r="AK2039" s="418"/>
      <c r="AL2039" s="418"/>
      <c r="AM2039" s="418"/>
      <c r="AN2039" s="418"/>
      <c r="AO2039" s="418"/>
      <c r="AP2039" s="418"/>
      <c r="AQ2039" s="418"/>
      <c r="AR2039" s="418"/>
      <c r="AS2039" s="418"/>
      <c r="AT2039" s="418"/>
      <c r="AU2039" s="418"/>
      <c r="AV2039" s="418"/>
      <c r="AW2039" s="418"/>
      <c r="AX2039" s="418"/>
      <c r="AY2039" s="418"/>
      <c r="BF2039" s="1119"/>
      <c r="BG2039" s="1119"/>
      <c r="BH2039" s="1119"/>
    </row>
    <row r="2040" spans="1:60" ht="15.75" customHeight="1">
      <c r="A2040" s="1076"/>
      <c r="B2040" s="416"/>
      <c r="C2040" s="424"/>
      <c r="E2040" s="418"/>
      <c r="F2040" s="493"/>
      <c r="G2040" s="418"/>
      <c r="H2040" s="421"/>
      <c r="I2040" s="421"/>
      <c r="J2040" s="492"/>
      <c r="K2040" s="418"/>
      <c r="L2040" s="418"/>
      <c r="M2040" s="418"/>
      <c r="N2040" s="421"/>
      <c r="O2040" s="421"/>
      <c r="P2040" s="421"/>
      <c r="Q2040" s="418"/>
      <c r="R2040" s="418"/>
      <c r="S2040" s="418"/>
      <c r="T2040" s="418"/>
      <c r="U2040" s="418"/>
      <c r="V2040" s="418"/>
      <c r="W2040" s="418"/>
      <c r="X2040" s="418"/>
      <c r="Y2040" s="418"/>
      <c r="Z2040" s="418"/>
      <c r="AA2040" s="418"/>
      <c r="AB2040" s="418"/>
      <c r="AC2040" s="418"/>
      <c r="AD2040" s="418"/>
      <c r="AE2040" s="418"/>
      <c r="AF2040" s="418"/>
      <c r="AG2040" s="418"/>
      <c r="AH2040" s="418"/>
      <c r="AI2040" s="418"/>
      <c r="AJ2040" s="418"/>
      <c r="AK2040" s="418"/>
      <c r="AL2040" s="418"/>
      <c r="AM2040" s="418"/>
      <c r="AN2040" s="418"/>
      <c r="AO2040" s="418"/>
      <c r="AP2040" s="418"/>
      <c r="AQ2040" s="418"/>
      <c r="AR2040" s="418"/>
      <c r="AS2040" s="418"/>
      <c r="AT2040" s="418"/>
      <c r="AU2040" s="418"/>
      <c r="AV2040" s="418"/>
      <c r="AW2040" s="418"/>
      <c r="AX2040" s="418"/>
      <c r="AY2040" s="418"/>
      <c r="BF2040" s="1119"/>
      <c r="BG2040" s="1119"/>
      <c r="BH2040" s="1119"/>
    </row>
    <row r="2041" spans="1:60" ht="15.75" customHeight="1">
      <c r="A2041" s="1076"/>
      <c r="B2041" s="416"/>
      <c r="C2041" s="424"/>
      <c r="E2041" s="418"/>
      <c r="F2041" s="493"/>
      <c r="G2041" s="418"/>
      <c r="H2041" s="421"/>
      <c r="I2041" s="421"/>
      <c r="J2041" s="492"/>
      <c r="K2041" s="418"/>
      <c r="L2041" s="418"/>
      <c r="M2041" s="418"/>
      <c r="N2041" s="421"/>
      <c r="O2041" s="421"/>
      <c r="P2041" s="421"/>
      <c r="Q2041" s="418"/>
      <c r="R2041" s="418"/>
      <c r="S2041" s="418"/>
      <c r="T2041" s="418"/>
      <c r="U2041" s="418"/>
      <c r="V2041" s="418"/>
      <c r="W2041" s="418"/>
      <c r="X2041" s="418"/>
      <c r="Y2041" s="418"/>
      <c r="Z2041" s="418"/>
      <c r="AA2041" s="418"/>
      <c r="AB2041" s="418"/>
      <c r="AC2041" s="418"/>
      <c r="AD2041" s="418"/>
      <c r="AE2041" s="418"/>
      <c r="AF2041" s="418"/>
      <c r="AG2041" s="418"/>
      <c r="AH2041" s="418"/>
      <c r="AI2041" s="418"/>
      <c r="AJ2041" s="418"/>
      <c r="AK2041" s="418"/>
      <c r="AL2041" s="418"/>
      <c r="AM2041" s="418"/>
      <c r="AN2041" s="418"/>
      <c r="AO2041" s="418"/>
      <c r="AP2041" s="418"/>
      <c r="AQ2041" s="418"/>
      <c r="AR2041" s="418"/>
      <c r="AS2041" s="418"/>
      <c r="AT2041" s="418"/>
      <c r="AU2041" s="418"/>
      <c r="AV2041" s="418"/>
      <c r="AW2041" s="418"/>
      <c r="AX2041" s="418"/>
      <c r="AY2041" s="418"/>
      <c r="BF2041" s="1119"/>
      <c r="BG2041" s="1119"/>
      <c r="BH2041" s="1119"/>
    </row>
    <row r="2042" spans="1:60" ht="15.75" customHeight="1">
      <c r="A2042" s="1076"/>
      <c r="B2042" s="416"/>
      <c r="C2042" s="424"/>
      <c r="E2042" s="418"/>
      <c r="F2042" s="493"/>
      <c r="G2042" s="418"/>
      <c r="H2042" s="421"/>
      <c r="I2042" s="421"/>
      <c r="J2042" s="492"/>
      <c r="K2042" s="418"/>
      <c r="L2042" s="418"/>
      <c r="M2042" s="418"/>
      <c r="N2042" s="421"/>
      <c r="O2042" s="421"/>
      <c r="P2042" s="421"/>
      <c r="Q2042" s="418"/>
      <c r="R2042" s="418"/>
      <c r="S2042" s="418"/>
      <c r="T2042" s="418"/>
      <c r="U2042" s="418"/>
      <c r="V2042" s="418"/>
      <c r="W2042" s="418"/>
      <c r="X2042" s="418"/>
      <c r="Y2042" s="418"/>
      <c r="Z2042" s="418"/>
      <c r="AA2042" s="418"/>
      <c r="AB2042" s="418"/>
      <c r="AC2042" s="418"/>
      <c r="AD2042" s="418"/>
      <c r="AE2042" s="418"/>
      <c r="AF2042" s="418"/>
      <c r="AG2042" s="418"/>
      <c r="AH2042" s="418"/>
      <c r="AI2042" s="418"/>
      <c r="AJ2042" s="418"/>
      <c r="AK2042" s="418"/>
      <c r="AL2042" s="418"/>
      <c r="AM2042" s="418"/>
      <c r="AN2042" s="418"/>
      <c r="AO2042" s="418"/>
      <c r="AP2042" s="418"/>
      <c r="AQ2042" s="418"/>
      <c r="AR2042" s="418"/>
      <c r="AS2042" s="418"/>
      <c r="AT2042" s="418"/>
      <c r="AU2042" s="418"/>
      <c r="AV2042" s="418"/>
      <c r="AW2042" s="418"/>
      <c r="AX2042" s="418"/>
      <c r="AY2042" s="418"/>
      <c r="BF2042" s="1119"/>
      <c r="BG2042" s="1119"/>
      <c r="BH2042" s="1119"/>
    </row>
    <row r="2043" spans="1:60" ht="15.75" customHeight="1">
      <c r="A2043" s="1076"/>
      <c r="B2043" s="416"/>
      <c r="C2043" s="424"/>
      <c r="E2043" s="418"/>
      <c r="F2043" s="493"/>
      <c r="G2043" s="418"/>
      <c r="H2043" s="421"/>
      <c r="I2043" s="421"/>
      <c r="J2043" s="492"/>
      <c r="K2043" s="418"/>
      <c r="L2043" s="418"/>
      <c r="M2043" s="418"/>
      <c r="N2043" s="421"/>
      <c r="O2043" s="421"/>
      <c r="P2043" s="421"/>
      <c r="Q2043" s="418"/>
      <c r="R2043" s="418"/>
      <c r="S2043" s="418"/>
      <c r="T2043" s="418"/>
      <c r="U2043" s="418"/>
      <c r="V2043" s="418"/>
      <c r="W2043" s="418"/>
      <c r="X2043" s="418"/>
      <c r="Y2043" s="418"/>
      <c r="Z2043" s="418"/>
      <c r="AA2043" s="418"/>
      <c r="AB2043" s="418"/>
      <c r="AC2043" s="418"/>
      <c r="AD2043" s="418"/>
      <c r="AE2043" s="418"/>
      <c r="AF2043" s="418"/>
      <c r="AG2043" s="418"/>
      <c r="AH2043" s="418"/>
      <c r="AI2043" s="418"/>
      <c r="AJ2043" s="418"/>
      <c r="AK2043" s="418"/>
      <c r="AL2043" s="418"/>
      <c r="AM2043" s="418"/>
      <c r="AN2043" s="418"/>
      <c r="AO2043" s="418"/>
      <c r="AP2043" s="418"/>
      <c r="AQ2043" s="418"/>
      <c r="AR2043" s="418"/>
      <c r="AS2043" s="418"/>
      <c r="AT2043" s="418"/>
      <c r="AU2043" s="418"/>
      <c r="AV2043" s="418"/>
      <c r="AW2043" s="418"/>
      <c r="AX2043" s="418"/>
      <c r="AY2043" s="418"/>
      <c r="BF2043" s="1119"/>
      <c r="BG2043" s="1119"/>
      <c r="BH2043" s="1119"/>
    </row>
    <row r="2044" spans="1:60" ht="15.75" customHeight="1">
      <c r="A2044" s="1076"/>
      <c r="B2044" s="416"/>
      <c r="C2044" s="424"/>
      <c r="E2044" s="418"/>
      <c r="F2044" s="493"/>
      <c r="G2044" s="418"/>
      <c r="H2044" s="421"/>
      <c r="I2044" s="421"/>
      <c r="J2044" s="492"/>
      <c r="K2044" s="418"/>
      <c r="L2044" s="418"/>
      <c r="M2044" s="418"/>
      <c r="N2044" s="421"/>
      <c r="O2044" s="421"/>
      <c r="P2044" s="421"/>
      <c r="Q2044" s="418"/>
      <c r="R2044" s="418"/>
      <c r="S2044" s="418"/>
      <c r="T2044" s="418"/>
      <c r="U2044" s="418"/>
      <c r="V2044" s="418"/>
      <c r="W2044" s="418"/>
      <c r="X2044" s="418"/>
      <c r="Y2044" s="418"/>
      <c r="Z2044" s="418"/>
      <c r="AA2044" s="418"/>
      <c r="AB2044" s="418"/>
      <c r="AC2044" s="418"/>
      <c r="AD2044" s="418"/>
      <c r="AE2044" s="418"/>
      <c r="AF2044" s="418"/>
      <c r="AG2044" s="418"/>
      <c r="AH2044" s="418"/>
      <c r="AI2044" s="418"/>
      <c r="AJ2044" s="418"/>
      <c r="AK2044" s="418"/>
      <c r="AL2044" s="418"/>
      <c r="AM2044" s="418"/>
      <c r="AN2044" s="418"/>
      <c r="AO2044" s="418"/>
      <c r="AP2044" s="418"/>
      <c r="AQ2044" s="418"/>
      <c r="AR2044" s="418"/>
      <c r="AS2044" s="418"/>
      <c r="AT2044" s="418"/>
      <c r="AU2044" s="418"/>
      <c r="AV2044" s="418"/>
      <c r="AW2044" s="418"/>
      <c r="AX2044" s="418"/>
      <c r="AY2044" s="418"/>
      <c r="BF2044" s="1119"/>
      <c r="BG2044" s="1119"/>
      <c r="BH2044" s="1119"/>
    </row>
    <row r="2045" spans="1:60" ht="15.75" customHeight="1">
      <c r="A2045" s="1076"/>
      <c r="B2045" s="416"/>
      <c r="C2045" s="424"/>
      <c r="E2045" s="418"/>
      <c r="F2045" s="493"/>
      <c r="G2045" s="418"/>
      <c r="H2045" s="421"/>
      <c r="I2045" s="421"/>
      <c r="J2045" s="492"/>
      <c r="K2045" s="418"/>
      <c r="L2045" s="418"/>
      <c r="M2045" s="418"/>
      <c r="N2045" s="421"/>
      <c r="O2045" s="421"/>
      <c r="P2045" s="421"/>
      <c r="Q2045" s="418"/>
      <c r="R2045" s="418"/>
      <c r="S2045" s="418"/>
      <c r="T2045" s="418"/>
      <c r="U2045" s="418"/>
      <c r="V2045" s="418"/>
      <c r="W2045" s="418"/>
      <c r="X2045" s="418"/>
      <c r="Y2045" s="418"/>
      <c r="Z2045" s="418"/>
      <c r="AA2045" s="418"/>
      <c r="AB2045" s="418"/>
      <c r="AC2045" s="418"/>
      <c r="AD2045" s="418"/>
      <c r="AE2045" s="418"/>
      <c r="AF2045" s="418"/>
      <c r="AG2045" s="418"/>
      <c r="AH2045" s="418"/>
      <c r="AI2045" s="418"/>
      <c r="AJ2045" s="418"/>
      <c r="AK2045" s="418"/>
      <c r="AL2045" s="418"/>
      <c r="AM2045" s="418"/>
      <c r="AN2045" s="418"/>
      <c r="AO2045" s="418"/>
      <c r="AP2045" s="418"/>
      <c r="AQ2045" s="418"/>
      <c r="AR2045" s="418"/>
      <c r="AS2045" s="418"/>
      <c r="AT2045" s="418"/>
      <c r="AU2045" s="418"/>
      <c r="AV2045" s="418"/>
      <c r="AW2045" s="418"/>
      <c r="AX2045" s="418"/>
      <c r="AY2045" s="418"/>
      <c r="BF2045" s="1119"/>
      <c r="BG2045" s="1119"/>
      <c r="BH2045" s="1119"/>
    </row>
    <row r="2046" spans="1:60" ht="15.75" customHeight="1">
      <c r="A2046" s="1076"/>
      <c r="B2046" s="416"/>
      <c r="C2046" s="424"/>
      <c r="E2046" s="418"/>
      <c r="F2046" s="493"/>
      <c r="G2046" s="418"/>
      <c r="H2046" s="421"/>
      <c r="I2046" s="421"/>
      <c r="J2046" s="492"/>
      <c r="K2046" s="418"/>
      <c r="L2046" s="418"/>
      <c r="M2046" s="418"/>
      <c r="N2046" s="421"/>
      <c r="O2046" s="421"/>
      <c r="P2046" s="421"/>
      <c r="Q2046" s="418"/>
      <c r="R2046" s="418"/>
      <c r="S2046" s="418"/>
      <c r="T2046" s="418"/>
      <c r="U2046" s="418"/>
      <c r="V2046" s="418"/>
      <c r="W2046" s="418"/>
      <c r="X2046" s="418"/>
      <c r="Y2046" s="418"/>
      <c r="Z2046" s="418"/>
      <c r="AA2046" s="418"/>
      <c r="AB2046" s="418"/>
      <c r="AC2046" s="418"/>
      <c r="AD2046" s="418"/>
      <c r="AE2046" s="418"/>
      <c r="AF2046" s="418"/>
      <c r="AG2046" s="418"/>
      <c r="AH2046" s="418"/>
      <c r="AI2046" s="418"/>
      <c r="AJ2046" s="418"/>
      <c r="AK2046" s="418"/>
      <c r="AL2046" s="418"/>
      <c r="AM2046" s="418"/>
      <c r="AN2046" s="418"/>
      <c r="AO2046" s="418"/>
      <c r="AP2046" s="418"/>
      <c r="AQ2046" s="418"/>
      <c r="AR2046" s="418"/>
      <c r="AS2046" s="418"/>
      <c r="AT2046" s="418"/>
      <c r="AU2046" s="418"/>
      <c r="AV2046" s="418"/>
      <c r="AW2046" s="418"/>
      <c r="AX2046" s="418"/>
      <c r="AY2046" s="418"/>
      <c r="BF2046" s="1119"/>
      <c r="BG2046" s="1119"/>
      <c r="BH2046" s="1119"/>
    </row>
    <row r="2047" spans="1:60" ht="15.75" customHeight="1">
      <c r="A2047" s="1076"/>
      <c r="B2047" s="416"/>
      <c r="C2047" s="424"/>
      <c r="E2047" s="418"/>
      <c r="F2047" s="493"/>
      <c r="G2047" s="418"/>
      <c r="H2047" s="421"/>
      <c r="I2047" s="421"/>
      <c r="J2047" s="492"/>
      <c r="K2047" s="418"/>
      <c r="L2047" s="418"/>
      <c r="M2047" s="418"/>
      <c r="N2047" s="421"/>
      <c r="O2047" s="421"/>
      <c r="P2047" s="421"/>
      <c r="Q2047" s="418"/>
      <c r="R2047" s="418"/>
      <c r="S2047" s="418"/>
      <c r="T2047" s="418"/>
      <c r="U2047" s="418"/>
      <c r="V2047" s="418"/>
      <c r="W2047" s="418"/>
      <c r="X2047" s="418"/>
      <c r="Y2047" s="418"/>
      <c r="Z2047" s="418"/>
      <c r="AA2047" s="418"/>
      <c r="AB2047" s="418"/>
      <c r="AC2047" s="418"/>
      <c r="AD2047" s="418"/>
      <c r="AE2047" s="418"/>
      <c r="AF2047" s="418"/>
      <c r="AG2047" s="418"/>
      <c r="AH2047" s="418"/>
      <c r="AI2047" s="418"/>
      <c r="AJ2047" s="418"/>
      <c r="AK2047" s="418"/>
      <c r="AL2047" s="418"/>
      <c r="AM2047" s="418"/>
      <c r="AN2047" s="418"/>
      <c r="AO2047" s="418"/>
      <c r="AP2047" s="418"/>
      <c r="AQ2047" s="418"/>
      <c r="AR2047" s="418"/>
      <c r="AS2047" s="418"/>
      <c r="AT2047" s="418"/>
      <c r="AU2047" s="418"/>
      <c r="AV2047" s="418"/>
      <c r="AW2047" s="418"/>
      <c r="AX2047" s="418"/>
      <c r="AY2047" s="418"/>
      <c r="BF2047" s="1119"/>
      <c r="BG2047" s="1119"/>
      <c r="BH2047" s="1119"/>
    </row>
    <row r="2048" spans="1:60" ht="15.75" customHeight="1">
      <c r="A2048" s="1076"/>
      <c r="B2048" s="416"/>
      <c r="C2048" s="424"/>
      <c r="E2048" s="418"/>
      <c r="F2048" s="493"/>
      <c r="G2048" s="418"/>
      <c r="H2048" s="421"/>
      <c r="I2048" s="421"/>
      <c r="J2048" s="492"/>
      <c r="K2048" s="418"/>
      <c r="L2048" s="418"/>
      <c r="M2048" s="418"/>
      <c r="N2048" s="421"/>
      <c r="O2048" s="421"/>
      <c r="P2048" s="421"/>
      <c r="Q2048" s="418"/>
      <c r="R2048" s="418"/>
      <c r="S2048" s="418"/>
      <c r="T2048" s="418"/>
      <c r="U2048" s="418"/>
      <c r="V2048" s="418"/>
      <c r="W2048" s="418"/>
      <c r="X2048" s="418"/>
      <c r="Y2048" s="418"/>
      <c r="Z2048" s="418"/>
      <c r="AA2048" s="418"/>
      <c r="AB2048" s="418"/>
      <c r="AC2048" s="418"/>
      <c r="AD2048" s="418"/>
      <c r="AE2048" s="418"/>
      <c r="AF2048" s="418"/>
      <c r="AG2048" s="418"/>
      <c r="AH2048" s="418"/>
      <c r="AI2048" s="418"/>
      <c r="AJ2048" s="418"/>
      <c r="AK2048" s="418"/>
      <c r="AL2048" s="418"/>
      <c r="AM2048" s="418"/>
      <c r="AN2048" s="418"/>
      <c r="AO2048" s="418"/>
      <c r="AP2048" s="418"/>
      <c r="AQ2048" s="418"/>
      <c r="AR2048" s="418"/>
      <c r="AS2048" s="418"/>
      <c r="AT2048" s="418"/>
      <c r="AU2048" s="418"/>
      <c r="AV2048" s="418"/>
      <c r="AW2048" s="418"/>
      <c r="AX2048" s="418"/>
      <c r="AY2048" s="418"/>
      <c r="BF2048" s="1119"/>
      <c r="BG2048" s="1119"/>
      <c r="BH2048" s="1119"/>
    </row>
    <row r="2049" spans="1:60" ht="15.75" customHeight="1">
      <c r="A2049" s="1076"/>
      <c r="B2049" s="416"/>
      <c r="C2049" s="424"/>
      <c r="E2049" s="418"/>
      <c r="F2049" s="493"/>
      <c r="G2049" s="418"/>
      <c r="H2049" s="421"/>
      <c r="I2049" s="421"/>
      <c r="J2049" s="492"/>
      <c r="K2049" s="418"/>
      <c r="L2049" s="418"/>
      <c r="M2049" s="418"/>
      <c r="N2049" s="421"/>
      <c r="O2049" s="421"/>
      <c r="P2049" s="421"/>
      <c r="Q2049" s="418"/>
      <c r="R2049" s="418"/>
      <c r="S2049" s="418"/>
      <c r="T2049" s="418"/>
      <c r="U2049" s="418"/>
      <c r="V2049" s="418"/>
      <c r="W2049" s="418"/>
      <c r="X2049" s="418"/>
      <c r="Y2049" s="418"/>
      <c r="Z2049" s="418"/>
      <c r="AA2049" s="418"/>
      <c r="AB2049" s="418"/>
      <c r="AC2049" s="418"/>
      <c r="AD2049" s="418"/>
      <c r="AE2049" s="418"/>
      <c r="AF2049" s="418"/>
      <c r="AG2049" s="418"/>
      <c r="AH2049" s="418"/>
      <c r="AI2049" s="418"/>
      <c r="AJ2049" s="418"/>
      <c r="AK2049" s="418"/>
      <c r="AL2049" s="418"/>
      <c r="AM2049" s="418"/>
      <c r="AN2049" s="418"/>
      <c r="AO2049" s="418"/>
      <c r="AP2049" s="418"/>
      <c r="AQ2049" s="418"/>
      <c r="AR2049" s="418"/>
      <c r="AS2049" s="418"/>
      <c r="AT2049" s="418"/>
      <c r="AU2049" s="418"/>
      <c r="AV2049" s="418"/>
      <c r="AW2049" s="418"/>
      <c r="AX2049" s="418"/>
      <c r="AY2049" s="418"/>
      <c r="BF2049" s="1119"/>
      <c r="BG2049" s="1119"/>
      <c r="BH2049" s="1119"/>
    </row>
    <row r="2050" spans="1:60" ht="15.75" customHeight="1">
      <c r="A2050" s="1076"/>
      <c r="B2050" s="416"/>
      <c r="C2050" s="424"/>
      <c r="E2050" s="418"/>
      <c r="F2050" s="493"/>
      <c r="G2050" s="418"/>
      <c r="H2050" s="421"/>
      <c r="I2050" s="421"/>
      <c r="J2050" s="492"/>
      <c r="K2050" s="418"/>
      <c r="L2050" s="418"/>
      <c r="M2050" s="418"/>
      <c r="N2050" s="421"/>
      <c r="O2050" s="421"/>
      <c r="P2050" s="421"/>
      <c r="Q2050" s="418"/>
      <c r="R2050" s="418"/>
      <c r="S2050" s="418"/>
      <c r="T2050" s="418"/>
      <c r="U2050" s="418"/>
      <c r="V2050" s="418"/>
      <c r="W2050" s="418"/>
      <c r="X2050" s="418"/>
      <c r="Y2050" s="418"/>
      <c r="Z2050" s="418"/>
      <c r="AA2050" s="418"/>
      <c r="AB2050" s="418"/>
      <c r="AC2050" s="418"/>
      <c r="AD2050" s="418"/>
      <c r="AE2050" s="418"/>
      <c r="AF2050" s="418"/>
      <c r="AG2050" s="418"/>
      <c r="AH2050" s="418"/>
      <c r="AI2050" s="418"/>
      <c r="AJ2050" s="418"/>
      <c r="AK2050" s="418"/>
      <c r="AL2050" s="418"/>
      <c r="AM2050" s="418"/>
      <c r="AN2050" s="418"/>
      <c r="AO2050" s="418"/>
      <c r="AP2050" s="418"/>
      <c r="AQ2050" s="418"/>
      <c r="AR2050" s="418"/>
      <c r="AS2050" s="418"/>
      <c r="AT2050" s="418"/>
      <c r="AU2050" s="418"/>
      <c r="AV2050" s="418"/>
      <c r="AW2050" s="418"/>
      <c r="AX2050" s="418"/>
      <c r="AY2050" s="418"/>
      <c r="BF2050" s="1119"/>
      <c r="BG2050" s="1119"/>
      <c r="BH2050" s="1119"/>
    </row>
    <row r="2051" spans="1:60" ht="15.75" customHeight="1">
      <c r="A2051" s="1076"/>
      <c r="B2051" s="416"/>
      <c r="C2051" s="424"/>
      <c r="E2051" s="418"/>
      <c r="F2051" s="493"/>
      <c r="G2051" s="418"/>
      <c r="H2051" s="421"/>
      <c r="I2051" s="421"/>
      <c r="J2051" s="492"/>
      <c r="K2051" s="418"/>
      <c r="L2051" s="418"/>
      <c r="M2051" s="418"/>
      <c r="N2051" s="421"/>
      <c r="O2051" s="421"/>
      <c r="P2051" s="421"/>
      <c r="Q2051" s="418"/>
      <c r="R2051" s="418"/>
      <c r="S2051" s="418"/>
      <c r="T2051" s="418"/>
      <c r="U2051" s="418"/>
      <c r="V2051" s="418"/>
      <c r="W2051" s="418"/>
      <c r="X2051" s="418"/>
      <c r="Y2051" s="418"/>
      <c r="Z2051" s="418"/>
      <c r="AA2051" s="418"/>
      <c r="AB2051" s="418"/>
      <c r="AC2051" s="418"/>
      <c r="AD2051" s="418"/>
      <c r="AE2051" s="418"/>
      <c r="AF2051" s="418"/>
      <c r="AG2051" s="418"/>
      <c r="AH2051" s="418"/>
      <c r="AI2051" s="418"/>
      <c r="AJ2051" s="418"/>
      <c r="AK2051" s="418"/>
      <c r="AL2051" s="418"/>
      <c r="AM2051" s="418"/>
      <c r="AN2051" s="418"/>
      <c r="AO2051" s="418"/>
      <c r="AP2051" s="418"/>
      <c r="AQ2051" s="418"/>
      <c r="AR2051" s="418"/>
      <c r="AS2051" s="418"/>
      <c r="AT2051" s="418"/>
      <c r="AU2051" s="418"/>
      <c r="AV2051" s="418"/>
      <c r="AW2051" s="418"/>
      <c r="AX2051" s="418"/>
      <c r="AY2051" s="418"/>
      <c r="BF2051" s="1119"/>
      <c r="BG2051" s="1119"/>
      <c r="BH2051" s="1119"/>
    </row>
    <row r="2052" spans="1:60" ht="15.75" customHeight="1">
      <c r="A2052" s="1076"/>
      <c r="B2052" s="416"/>
      <c r="C2052" s="424"/>
      <c r="E2052" s="418"/>
      <c r="F2052" s="493"/>
      <c r="G2052" s="418"/>
      <c r="H2052" s="421"/>
      <c r="I2052" s="421"/>
      <c r="J2052" s="492"/>
      <c r="K2052" s="418"/>
      <c r="L2052" s="418"/>
      <c r="M2052" s="418"/>
      <c r="N2052" s="421"/>
      <c r="O2052" s="421"/>
      <c r="P2052" s="421"/>
      <c r="Q2052" s="418"/>
      <c r="R2052" s="418"/>
      <c r="S2052" s="418"/>
      <c r="T2052" s="418"/>
      <c r="U2052" s="418"/>
      <c r="V2052" s="418"/>
      <c r="W2052" s="418"/>
      <c r="X2052" s="418"/>
      <c r="Y2052" s="418"/>
      <c r="Z2052" s="418"/>
      <c r="AA2052" s="418"/>
      <c r="AB2052" s="418"/>
      <c r="AC2052" s="418"/>
      <c r="AD2052" s="418"/>
      <c r="AE2052" s="418"/>
      <c r="AF2052" s="418"/>
      <c r="AG2052" s="418"/>
      <c r="AH2052" s="418"/>
      <c r="AI2052" s="418"/>
      <c r="AJ2052" s="418"/>
      <c r="AK2052" s="418"/>
      <c r="AL2052" s="418"/>
      <c r="AM2052" s="418"/>
      <c r="AN2052" s="418"/>
      <c r="AO2052" s="418"/>
      <c r="AP2052" s="418"/>
      <c r="AQ2052" s="418"/>
      <c r="AR2052" s="418"/>
      <c r="AS2052" s="418"/>
      <c r="AT2052" s="418"/>
      <c r="AU2052" s="418"/>
      <c r="AV2052" s="418"/>
      <c r="AW2052" s="418"/>
      <c r="AX2052" s="418"/>
      <c r="AY2052" s="418"/>
      <c r="BF2052" s="1119"/>
      <c r="BG2052" s="1119"/>
      <c r="BH2052" s="1119"/>
    </row>
    <row r="2053" spans="1:60" ht="15.75" customHeight="1">
      <c r="A2053" s="1076"/>
      <c r="B2053" s="416"/>
      <c r="C2053" s="424"/>
      <c r="E2053" s="418"/>
      <c r="F2053" s="493"/>
      <c r="G2053" s="418"/>
      <c r="H2053" s="421"/>
      <c r="I2053" s="421"/>
      <c r="J2053" s="492"/>
      <c r="K2053" s="418"/>
      <c r="L2053" s="418"/>
      <c r="M2053" s="418"/>
      <c r="N2053" s="421"/>
      <c r="O2053" s="421"/>
      <c r="P2053" s="421"/>
      <c r="Q2053" s="418"/>
      <c r="R2053" s="418"/>
      <c r="S2053" s="418"/>
      <c r="T2053" s="418"/>
      <c r="U2053" s="418"/>
      <c r="V2053" s="418"/>
      <c r="W2053" s="418"/>
      <c r="X2053" s="418"/>
      <c r="Y2053" s="418"/>
      <c r="Z2053" s="418"/>
      <c r="AA2053" s="418"/>
      <c r="AB2053" s="418"/>
      <c r="AC2053" s="418"/>
      <c r="AD2053" s="418"/>
      <c r="AE2053" s="418"/>
      <c r="AF2053" s="418"/>
      <c r="AG2053" s="418"/>
      <c r="AH2053" s="418"/>
      <c r="AI2053" s="418"/>
      <c r="AJ2053" s="418"/>
      <c r="AK2053" s="418"/>
      <c r="AL2053" s="418"/>
      <c r="AM2053" s="418"/>
      <c r="AN2053" s="418"/>
      <c r="AO2053" s="418"/>
      <c r="AP2053" s="418"/>
      <c r="AQ2053" s="418"/>
      <c r="AR2053" s="418"/>
      <c r="AS2053" s="418"/>
      <c r="AT2053" s="418"/>
      <c r="AU2053" s="418"/>
      <c r="AV2053" s="418"/>
      <c r="AW2053" s="418"/>
      <c r="AX2053" s="418"/>
      <c r="AY2053" s="418"/>
      <c r="BF2053" s="1119"/>
      <c r="BG2053" s="1119"/>
      <c r="BH2053" s="1119"/>
    </row>
    <row r="2054" spans="1:60" ht="15.75" customHeight="1">
      <c r="A2054" s="1076"/>
      <c r="B2054" s="416"/>
      <c r="C2054" s="424"/>
      <c r="E2054" s="418"/>
      <c r="F2054" s="493"/>
      <c r="G2054" s="418"/>
      <c r="H2054" s="421"/>
      <c r="I2054" s="421"/>
      <c r="J2054" s="492"/>
      <c r="K2054" s="418"/>
      <c r="L2054" s="418"/>
      <c r="M2054" s="418"/>
      <c r="N2054" s="421"/>
      <c r="O2054" s="421"/>
      <c r="P2054" s="421"/>
      <c r="Q2054" s="418"/>
      <c r="R2054" s="418"/>
      <c r="S2054" s="418"/>
      <c r="T2054" s="418"/>
      <c r="U2054" s="418"/>
      <c r="V2054" s="418"/>
      <c r="W2054" s="418"/>
      <c r="X2054" s="418"/>
      <c r="Y2054" s="418"/>
      <c r="Z2054" s="418"/>
      <c r="AA2054" s="418"/>
      <c r="AB2054" s="418"/>
      <c r="AC2054" s="418"/>
      <c r="AD2054" s="418"/>
      <c r="AE2054" s="418"/>
      <c r="AF2054" s="418"/>
      <c r="AG2054" s="418"/>
      <c r="AH2054" s="418"/>
      <c r="AI2054" s="418"/>
      <c r="AJ2054" s="418"/>
      <c r="AK2054" s="418"/>
      <c r="AL2054" s="418"/>
      <c r="AM2054" s="418"/>
      <c r="AN2054" s="418"/>
      <c r="AO2054" s="418"/>
      <c r="AP2054" s="418"/>
      <c r="AQ2054" s="418"/>
      <c r="AR2054" s="418"/>
      <c r="AS2054" s="418"/>
      <c r="AT2054" s="418"/>
      <c r="AU2054" s="418"/>
      <c r="AV2054" s="418"/>
      <c r="AW2054" s="418"/>
      <c r="AX2054" s="418"/>
      <c r="AY2054" s="418"/>
      <c r="BF2054" s="1119"/>
      <c r="BG2054" s="1119"/>
      <c r="BH2054" s="1119"/>
    </row>
    <row r="2055" spans="1:60" ht="15.75" customHeight="1">
      <c r="A2055" s="1076"/>
      <c r="B2055" s="416"/>
      <c r="C2055" s="424"/>
      <c r="E2055" s="418"/>
      <c r="F2055" s="493"/>
      <c r="G2055" s="418"/>
      <c r="H2055" s="421"/>
      <c r="I2055" s="421"/>
      <c r="J2055" s="492"/>
      <c r="K2055" s="418"/>
      <c r="L2055" s="418"/>
      <c r="M2055" s="418"/>
      <c r="N2055" s="421"/>
      <c r="O2055" s="421"/>
      <c r="P2055" s="421"/>
      <c r="Q2055" s="418"/>
      <c r="R2055" s="418"/>
      <c r="S2055" s="418"/>
      <c r="T2055" s="418"/>
      <c r="U2055" s="418"/>
      <c r="V2055" s="418"/>
      <c r="W2055" s="418"/>
      <c r="X2055" s="418"/>
      <c r="Y2055" s="418"/>
      <c r="Z2055" s="418"/>
      <c r="AA2055" s="418"/>
      <c r="AB2055" s="418"/>
      <c r="AC2055" s="418"/>
      <c r="AD2055" s="418"/>
      <c r="AE2055" s="418"/>
      <c r="AF2055" s="418"/>
      <c r="AG2055" s="418"/>
      <c r="AH2055" s="418"/>
      <c r="AI2055" s="418"/>
      <c r="AJ2055" s="418"/>
      <c r="AK2055" s="418"/>
      <c r="AL2055" s="418"/>
      <c r="AM2055" s="418"/>
      <c r="AN2055" s="418"/>
      <c r="AO2055" s="418"/>
      <c r="AP2055" s="418"/>
      <c r="AQ2055" s="418"/>
      <c r="AR2055" s="418"/>
      <c r="AS2055" s="418"/>
      <c r="AT2055" s="418"/>
      <c r="AU2055" s="418"/>
      <c r="AV2055" s="418"/>
      <c r="AW2055" s="418"/>
      <c r="AX2055" s="418"/>
      <c r="AY2055" s="418"/>
      <c r="BF2055" s="1119"/>
      <c r="BG2055" s="1119"/>
      <c r="BH2055" s="1119"/>
    </row>
    <row r="2056" spans="1:60" ht="15.75" customHeight="1">
      <c r="A2056" s="1076"/>
      <c r="B2056" s="416"/>
      <c r="C2056" s="424"/>
      <c r="E2056" s="418"/>
      <c r="F2056" s="493"/>
      <c r="G2056" s="418"/>
      <c r="H2056" s="421"/>
      <c r="I2056" s="421"/>
      <c r="J2056" s="492"/>
      <c r="K2056" s="418"/>
      <c r="L2056" s="418"/>
      <c r="M2056" s="418"/>
      <c r="N2056" s="421"/>
      <c r="O2056" s="421"/>
      <c r="P2056" s="421"/>
      <c r="Q2056" s="418"/>
      <c r="R2056" s="418"/>
      <c r="S2056" s="418"/>
      <c r="T2056" s="418"/>
      <c r="U2056" s="418"/>
      <c r="V2056" s="418"/>
      <c r="W2056" s="418"/>
      <c r="X2056" s="418"/>
      <c r="Y2056" s="418"/>
      <c r="Z2056" s="418"/>
      <c r="AA2056" s="418"/>
      <c r="AB2056" s="418"/>
      <c r="AC2056" s="418"/>
      <c r="AD2056" s="418"/>
      <c r="AE2056" s="418"/>
      <c r="AF2056" s="418"/>
      <c r="AG2056" s="418"/>
      <c r="AH2056" s="418"/>
      <c r="AI2056" s="418"/>
      <c r="AJ2056" s="418"/>
      <c r="AK2056" s="418"/>
      <c r="AL2056" s="418"/>
      <c r="AM2056" s="418"/>
      <c r="AN2056" s="418"/>
      <c r="AO2056" s="418"/>
      <c r="AP2056" s="418"/>
      <c r="AQ2056" s="418"/>
      <c r="AR2056" s="418"/>
      <c r="AS2056" s="418"/>
      <c r="AT2056" s="418"/>
      <c r="AU2056" s="418"/>
      <c r="AV2056" s="418"/>
      <c r="AW2056" s="418"/>
      <c r="AX2056" s="418"/>
      <c r="AY2056" s="418"/>
      <c r="BF2056" s="1119"/>
      <c r="BG2056" s="1119"/>
      <c r="BH2056" s="1119"/>
    </row>
    <row r="2057" spans="1:60" ht="15.75" customHeight="1">
      <c r="A2057" s="1076"/>
      <c r="B2057" s="416"/>
      <c r="C2057" s="424"/>
      <c r="E2057" s="418"/>
      <c r="F2057" s="493"/>
      <c r="G2057" s="418"/>
      <c r="H2057" s="421"/>
      <c r="I2057" s="425"/>
      <c r="J2057" s="492"/>
      <c r="K2057" s="418"/>
      <c r="L2057" s="418"/>
      <c r="M2057" s="418"/>
      <c r="N2057" s="421"/>
      <c r="O2057" s="421"/>
      <c r="P2057" s="421"/>
      <c r="Q2057" s="418"/>
      <c r="R2057" s="418"/>
      <c r="S2057" s="418"/>
      <c r="T2057" s="418"/>
      <c r="U2057" s="418"/>
      <c r="V2057" s="418"/>
      <c r="W2057" s="418"/>
      <c r="X2057" s="418"/>
      <c r="Y2057" s="418"/>
      <c r="Z2057" s="418"/>
      <c r="AA2057" s="418"/>
      <c r="AB2057" s="418"/>
      <c r="AC2057" s="418"/>
      <c r="AD2057" s="418"/>
      <c r="AE2057" s="418"/>
      <c r="AF2057" s="418"/>
      <c r="AG2057" s="418"/>
      <c r="AH2057" s="418"/>
      <c r="AI2057" s="418"/>
      <c r="AJ2057" s="418"/>
      <c r="AK2057" s="418"/>
      <c r="AL2057" s="418"/>
      <c r="AM2057" s="418"/>
      <c r="AN2057" s="418"/>
      <c r="AO2057" s="418"/>
      <c r="AP2057" s="418"/>
      <c r="AQ2057" s="418"/>
      <c r="AR2057" s="418"/>
      <c r="AS2057" s="418"/>
      <c r="AT2057" s="418"/>
      <c r="AU2057" s="418"/>
      <c r="AV2057" s="418"/>
      <c r="AW2057" s="418"/>
      <c r="AX2057" s="418"/>
      <c r="AY2057" s="418"/>
      <c r="BF2057" s="1119"/>
      <c r="BG2057" s="1119"/>
      <c r="BH2057" s="1119"/>
    </row>
    <row r="2058" spans="1:60" ht="15.75" customHeight="1">
      <c r="A2058" s="1076"/>
      <c r="B2058" s="416"/>
      <c r="C2058" s="424"/>
      <c r="E2058" s="418"/>
      <c r="F2058" s="493"/>
      <c r="G2058" s="418"/>
      <c r="H2058" s="421"/>
      <c r="I2058" s="421"/>
      <c r="J2058" s="492"/>
      <c r="K2058" s="418"/>
      <c r="L2058" s="418"/>
      <c r="M2058" s="418"/>
      <c r="N2058" s="421"/>
      <c r="O2058" s="421"/>
      <c r="P2058" s="421"/>
      <c r="Q2058" s="418"/>
      <c r="R2058" s="418"/>
      <c r="S2058" s="418"/>
      <c r="T2058" s="418"/>
      <c r="U2058" s="418"/>
      <c r="V2058" s="418"/>
      <c r="W2058" s="418"/>
      <c r="X2058" s="418"/>
      <c r="Y2058" s="418"/>
      <c r="Z2058" s="418"/>
      <c r="AA2058" s="418"/>
      <c r="AB2058" s="418"/>
      <c r="AC2058" s="418"/>
      <c r="AD2058" s="418"/>
      <c r="AE2058" s="418"/>
      <c r="AF2058" s="418"/>
      <c r="AG2058" s="418"/>
      <c r="AH2058" s="418"/>
      <c r="AI2058" s="418"/>
      <c r="AJ2058" s="418"/>
      <c r="AK2058" s="418"/>
      <c r="AL2058" s="418"/>
      <c r="AM2058" s="418"/>
      <c r="AN2058" s="418"/>
      <c r="AO2058" s="418"/>
      <c r="AP2058" s="418"/>
      <c r="AQ2058" s="418"/>
      <c r="AR2058" s="418"/>
      <c r="AS2058" s="418"/>
      <c r="AT2058" s="418"/>
      <c r="AU2058" s="418"/>
      <c r="AV2058" s="418"/>
      <c r="AW2058" s="418"/>
      <c r="AX2058" s="418"/>
      <c r="AY2058" s="418"/>
      <c r="BF2058" s="1119"/>
      <c r="BG2058" s="1119"/>
      <c r="BH2058" s="1119"/>
    </row>
    <row r="2059" spans="1:60" ht="15.75" customHeight="1">
      <c r="A2059" s="1076"/>
      <c r="B2059" s="416"/>
      <c r="C2059" s="424"/>
      <c r="E2059" s="418"/>
      <c r="F2059" s="493"/>
      <c r="G2059" s="418"/>
      <c r="H2059" s="421"/>
      <c r="I2059" s="425"/>
      <c r="J2059" s="492"/>
      <c r="K2059" s="418"/>
      <c r="L2059" s="418"/>
      <c r="M2059" s="418"/>
      <c r="N2059" s="421"/>
      <c r="O2059" s="421"/>
      <c r="P2059" s="421"/>
      <c r="Q2059" s="418"/>
      <c r="R2059" s="418"/>
      <c r="S2059" s="418"/>
      <c r="T2059" s="418"/>
      <c r="U2059" s="418"/>
      <c r="V2059" s="418"/>
      <c r="W2059" s="418"/>
      <c r="X2059" s="418"/>
      <c r="Y2059" s="418"/>
      <c r="Z2059" s="418"/>
      <c r="AA2059" s="418"/>
      <c r="AB2059" s="418"/>
      <c r="AC2059" s="418"/>
      <c r="AD2059" s="418"/>
      <c r="AE2059" s="418"/>
      <c r="AF2059" s="418"/>
      <c r="AG2059" s="418"/>
      <c r="AH2059" s="418"/>
      <c r="AI2059" s="418"/>
      <c r="AJ2059" s="418"/>
      <c r="AK2059" s="418"/>
      <c r="AL2059" s="418"/>
      <c r="AM2059" s="418"/>
      <c r="AN2059" s="418"/>
      <c r="AO2059" s="418"/>
      <c r="AP2059" s="418"/>
      <c r="AQ2059" s="418"/>
      <c r="AR2059" s="418"/>
      <c r="AS2059" s="418"/>
      <c r="AT2059" s="418"/>
      <c r="AU2059" s="418"/>
      <c r="AV2059" s="418"/>
      <c r="AW2059" s="418"/>
      <c r="AX2059" s="418"/>
      <c r="AY2059" s="418"/>
      <c r="BF2059" s="1119"/>
      <c r="BG2059" s="1119"/>
      <c r="BH2059" s="1119"/>
    </row>
    <row r="2060" spans="1:60" ht="15.75" customHeight="1">
      <c r="A2060" s="1076"/>
      <c r="B2060" s="416"/>
      <c r="C2060" s="424"/>
      <c r="E2060" s="418"/>
      <c r="F2060" s="493"/>
      <c r="G2060" s="418"/>
      <c r="H2060" s="421"/>
      <c r="I2060" s="421"/>
      <c r="J2060" s="492"/>
      <c r="K2060" s="418"/>
      <c r="L2060" s="418"/>
      <c r="M2060" s="418"/>
      <c r="N2060" s="421"/>
      <c r="O2060" s="421"/>
      <c r="P2060" s="421"/>
      <c r="Q2060" s="418"/>
      <c r="R2060" s="418"/>
      <c r="S2060" s="418"/>
      <c r="T2060" s="418"/>
      <c r="U2060" s="418"/>
      <c r="V2060" s="418"/>
      <c r="W2060" s="418"/>
      <c r="X2060" s="418"/>
      <c r="Y2060" s="418"/>
      <c r="Z2060" s="418"/>
      <c r="AA2060" s="418"/>
      <c r="AB2060" s="418"/>
      <c r="AC2060" s="418"/>
      <c r="AD2060" s="418"/>
      <c r="AE2060" s="418"/>
      <c r="AF2060" s="418"/>
      <c r="AG2060" s="418"/>
      <c r="AH2060" s="418"/>
      <c r="AI2060" s="418"/>
      <c r="AJ2060" s="418"/>
      <c r="AK2060" s="418"/>
      <c r="AL2060" s="418"/>
      <c r="AM2060" s="418"/>
      <c r="AN2060" s="418"/>
      <c r="AO2060" s="418"/>
      <c r="AP2060" s="418"/>
      <c r="AQ2060" s="418"/>
      <c r="AR2060" s="418"/>
      <c r="AS2060" s="418"/>
      <c r="AT2060" s="418"/>
      <c r="AU2060" s="418"/>
      <c r="AV2060" s="418"/>
      <c r="AW2060" s="418"/>
      <c r="AX2060" s="418"/>
      <c r="AY2060" s="418"/>
      <c r="BF2060" s="1119"/>
      <c r="BG2060" s="1119"/>
      <c r="BH2060" s="1119"/>
    </row>
    <row r="2061" spans="1:60" ht="15.75" customHeight="1">
      <c r="A2061" s="1076"/>
      <c r="B2061" s="416"/>
      <c r="C2061" s="424"/>
      <c r="E2061" s="418"/>
      <c r="F2061" s="493"/>
      <c r="G2061" s="418"/>
      <c r="H2061" s="421"/>
      <c r="I2061" s="421"/>
      <c r="J2061" s="492"/>
      <c r="K2061" s="418"/>
      <c r="L2061" s="418"/>
      <c r="M2061" s="418"/>
      <c r="N2061" s="421"/>
      <c r="O2061" s="421"/>
      <c r="P2061" s="421"/>
      <c r="Q2061" s="418"/>
      <c r="R2061" s="418"/>
      <c r="S2061" s="418"/>
      <c r="T2061" s="418"/>
      <c r="U2061" s="418"/>
      <c r="V2061" s="418"/>
      <c r="W2061" s="418"/>
      <c r="X2061" s="418"/>
      <c r="Y2061" s="418"/>
      <c r="Z2061" s="418"/>
      <c r="AA2061" s="418"/>
      <c r="AB2061" s="418"/>
      <c r="AC2061" s="418"/>
      <c r="AD2061" s="418"/>
      <c r="AE2061" s="418"/>
      <c r="AF2061" s="418"/>
      <c r="AG2061" s="418"/>
      <c r="AH2061" s="418"/>
      <c r="AI2061" s="418"/>
      <c r="AJ2061" s="418"/>
      <c r="AK2061" s="418"/>
      <c r="AL2061" s="418"/>
      <c r="AM2061" s="418"/>
      <c r="AN2061" s="418"/>
      <c r="AO2061" s="418"/>
      <c r="AP2061" s="418"/>
      <c r="AQ2061" s="418"/>
      <c r="AR2061" s="418"/>
      <c r="AS2061" s="418"/>
      <c r="AT2061" s="418"/>
      <c r="AU2061" s="418"/>
      <c r="AV2061" s="418"/>
      <c r="AW2061" s="418"/>
      <c r="AX2061" s="418"/>
      <c r="AY2061" s="418"/>
      <c r="BF2061" s="1119"/>
      <c r="BG2061" s="1119"/>
      <c r="BH2061" s="1119"/>
    </row>
    <row r="2062" spans="1:60" ht="15.75" customHeight="1">
      <c r="A2062" s="1076"/>
      <c r="B2062" s="416"/>
      <c r="C2062" s="424"/>
      <c r="E2062" s="418"/>
      <c r="F2062" s="493"/>
      <c r="G2062" s="418"/>
      <c r="H2062" s="421"/>
      <c r="I2062" s="421"/>
      <c r="J2062" s="492"/>
      <c r="K2062" s="418"/>
      <c r="L2062" s="418"/>
      <c r="M2062" s="418"/>
      <c r="N2062" s="421"/>
      <c r="O2062" s="421"/>
      <c r="P2062" s="421"/>
      <c r="Q2062" s="418"/>
      <c r="R2062" s="418"/>
      <c r="S2062" s="418"/>
      <c r="T2062" s="418"/>
      <c r="U2062" s="418"/>
      <c r="V2062" s="418"/>
      <c r="W2062" s="418"/>
      <c r="X2062" s="418"/>
      <c r="Y2062" s="418"/>
      <c r="Z2062" s="418"/>
      <c r="AA2062" s="418"/>
      <c r="AB2062" s="418"/>
      <c r="AC2062" s="418"/>
      <c r="AD2062" s="418"/>
      <c r="AE2062" s="418"/>
      <c r="AF2062" s="418"/>
      <c r="AG2062" s="418"/>
      <c r="AH2062" s="418"/>
      <c r="AI2062" s="418"/>
      <c r="AJ2062" s="418"/>
      <c r="AK2062" s="418"/>
      <c r="AL2062" s="418"/>
      <c r="AM2062" s="418"/>
      <c r="AN2062" s="418"/>
      <c r="AO2062" s="418"/>
      <c r="AP2062" s="418"/>
      <c r="AQ2062" s="418"/>
      <c r="AR2062" s="418"/>
      <c r="AS2062" s="418"/>
      <c r="AT2062" s="418"/>
      <c r="AU2062" s="418"/>
      <c r="AV2062" s="418"/>
      <c r="AW2062" s="418"/>
      <c r="AX2062" s="418"/>
      <c r="AY2062" s="418"/>
      <c r="BF2062" s="1119"/>
      <c r="BG2062" s="1119"/>
      <c r="BH2062" s="1119"/>
    </row>
    <row r="2063" spans="1:60" ht="15.75" customHeight="1">
      <c r="A2063" s="1076"/>
      <c r="B2063" s="416"/>
      <c r="C2063" s="424"/>
      <c r="E2063" s="418"/>
      <c r="F2063" s="493"/>
      <c r="G2063" s="418"/>
      <c r="H2063" s="421"/>
      <c r="I2063" s="421"/>
      <c r="J2063" s="492"/>
      <c r="K2063" s="418"/>
      <c r="L2063" s="418"/>
      <c r="M2063" s="418"/>
      <c r="N2063" s="421"/>
      <c r="O2063" s="421"/>
      <c r="P2063" s="421"/>
      <c r="Q2063" s="418"/>
      <c r="R2063" s="418"/>
      <c r="S2063" s="418"/>
      <c r="T2063" s="418"/>
      <c r="U2063" s="418"/>
      <c r="V2063" s="418"/>
      <c r="W2063" s="418"/>
      <c r="X2063" s="418"/>
      <c r="Y2063" s="418"/>
      <c r="Z2063" s="418"/>
      <c r="AA2063" s="418"/>
      <c r="AB2063" s="418"/>
      <c r="AC2063" s="418"/>
      <c r="AD2063" s="418"/>
      <c r="AE2063" s="418"/>
      <c r="AF2063" s="418"/>
      <c r="AG2063" s="418"/>
      <c r="AH2063" s="418"/>
      <c r="AI2063" s="418"/>
      <c r="AJ2063" s="418"/>
      <c r="AK2063" s="418"/>
      <c r="AL2063" s="418"/>
      <c r="AM2063" s="418"/>
      <c r="AN2063" s="418"/>
      <c r="AO2063" s="418"/>
      <c r="AP2063" s="418"/>
      <c r="AQ2063" s="418"/>
      <c r="AR2063" s="418"/>
      <c r="AS2063" s="418"/>
      <c r="AT2063" s="418"/>
      <c r="AU2063" s="418"/>
      <c r="AV2063" s="418"/>
      <c r="AW2063" s="418"/>
      <c r="AX2063" s="418"/>
      <c r="AY2063" s="418"/>
      <c r="BF2063" s="1119"/>
      <c r="BG2063" s="1119"/>
      <c r="BH2063" s="1119"/>
    </row>
    <row r="2064" spans="1:60" ht="15.75" customHeight="1">
      <c r="A2064" s="1076"/>
      <c r="B2064" s="416"/>
      <c r="C2064" s="424"/>
      <c r="E2064" s="418"/>
      <c r="F2064" s="493"/>
      <c r="G2064" s="418"/>
      <c r="H2064" s="421"/>
      <c r="I2064" s="421"/>
      <c r="J2064" s="492"/>
      <c r="K2064" s="418"/>
      <c r="L2064" s="418"/>
      <c r="M2064" s="418"/>
      <c r="N2064" s="421"/>
      <c r="O2064" s="421"/>
      <c r="P2064" s="421"/>
      <c r="Q2064" s="418"/>
      <c r="R2064" s="418"/>
      <c r="S2064" s="418"/>
      <c r="T2064" s="418"/>
      <c r="U2064" s="418"/>
      <c r="V2064" s="418"/>
      <c r="W2064" s="418"/>
      <c r="X2064" s="418"/>
      <c r="Y2064" s="418"/>
      <c r="Z2064" s="418"/>
      <c r="AA2064" s="418"/>
      <c r="AB2064" s="418"/>
      <c r="AC2064" s="418"/>
      <c r="AD2064" s="418"/>
      <c r="AE2064" s="418"/>
      <c r="AF2064" s="418"/>
      <c r="AG2064" s="418"/>
      <c r="AH2064" s="418"/>
      <c r="AI2064" s="418"/>
      <c r="AJ2064" s="418"/>
      <c r="AK2064" s="418"/>
      <c r="AL2064" s="418"/>
      <c r="AM2064" s="418"/>
      <c r="AN2064" s="418"/>
      <c r="AO2064" s="418"/>
      <c r="AP2064" s="418"/>
      <c r="AQ2064" s="418"/>
      <c r="AR2064" s="418"/>
      <c r="AS2064" s="418"/>
      <c r="AT2064" s="418"/>
      <c r="AU2064" s="418"/>
      <c r="AV2064" s="418"/>
      <c r="AW2064" s="418"/>
      <c r="AX2064" s="418"/>
      <c r="AY2064" s="418"/>
      <c r="BF2064" s="1119"/>
      <c r="BG2064" s="1119"/>
      <c r="BH2064" s="1119"/>
    </row>
    <row r="2065" spans="1:60" ht="15.75" customHeight="1">
      <c r="A2065" s="1076"/>
      <c r="B2065" s="416"/>
      <c r="C2065" s="424"/>
      <c r="E2065" s="418"/>
      <c r="F2065" s="493"/>
      <c r="G2065" s="418"/>
      <c r="H2065" s="421"/>
      <c r="I2065" s="421"/>
      <c r="J2065" s="492"/>
      <c r="K2065" s="418"/>
      <c r="L2065" s="418"/>
      <c r="M2065" s="418"/>
      <c r="N2065" s="421"/>
      <c r="O2065" s="421"/>
      <c r="P2065" s="421"/>
      <c r="Q2065" s="418"/>
      <c r="R2065" s="418"/>
      <c r="S2065" s="418"/>
      <c r="T2065" s="418"/>
      <c r="U2065" s="418"/>
      <c r="V2065" s="418"/>
      <c r="W2065" s="418"/>
      <c r="X2065" s="418"/>
      <c r="Y2065" s="418"/>
      <c r="Z2065" s="418"/>
      <c r="AA2065" s="418"/>
      <c r="AB2065" s="418"/>
      <c r="AC2065" s="418"/>
      <c r="AD2065" s="418"/>
      <c r="AE2065" s="418"/>
      <c r="AF2065" s="418"/>
      <c r="AG2065" s="418"/>
      <c r="AH2065" s="418"/>
      <c r="AI2065" s="418"/>
      <c r="AJ2065" s="418"/>
      <c r="AK2065" s="418"/>
      <c r="AL2065" s="418"/>
      <c r="AM2065" s="418"/>
      <c r="AN2065" s="418"/>
      <c r="AO2065" s="418"/>
      <c r="AP2065" s="418"/>
      <c r="AQ2065" s="418"/>
      <c r="AR2065" s="418"/>
      <c r="AS2065" s="418"/>
      <c r="AT2065" s="418"/>
      <c r="AU2065" s="418"/>
      <c r="AV2065" s="418"/>
      <c r="AW2065" s="418"/>
      <c r="AX2065" s="418"/>
      <c r="AY2065" s="418"/>
      <c r="BF2065" s="1119"/>
      <c r="BG2065" s="1119"/>
      <c r="BH2065" s="1119"/>
    </row>
    <row r="2066" spans="1:60" ht="15.75" customHeight="1">
      <c r="A2066" s="1076"/>
      <c r="B2066" s="416"/>
      <c r="C2066" s="424"/>
      <c r="E2066" s="418"/>
      <c r="F2066" s="493"/>
      <c r="G2066" s="418"/>
      <c r="H2066" s="421"/>
      <c r="I2066" s="421"/>
      <c r="J2066" s="492"/>
      <c r="K2066" s="418"/>
      <c r="L2066" s="418"/>
      <c r="M2066" s="418"/>
      <c r="N2066" s="421"/>
      <c r="O2066" s="421"/>
      <c r="P2066" s="421"/>
      <c r="Q2066" s="418"/>
      <c r="R2066" s="418"/>
      <c r="S2066" s="418"/>
      <c r="T2066" s="418"/>
      <c r="U2066" s="418"/>
      <c r="V2066" s="418"/>
      <c r="W2066" s="418"/>
      <c r="X2066" s="418"/>
      <c r="Y2066" s="418"/>
      <c r="Z2066" s="418"/>
      <c r="AA2066" s="418"/>
      <c r="AB2066" s="418"/>
      <c r="AC2066" s="418"/>
      <c r="AD2066" s="418"/>
      <c r="AE2066" s="418"/>
      <c r="AF2066" s="418"/>
      <c r="AG2066" s="418"/>
      <c r="AH2066" s="418"/>
      <c r="AI2066" s="418"/>
      <c r="AJ2066" s="418"/>
      <c r="AK2066" s="418"/>
      <c r="AL2066" s="418"/>
      <c r="AM2066" s="418"/>
      <c r="AN2066" s="418"/>
      <c r="AO2066" s="418"/>
      <c r="AP2066" s="418"/>
      <c r="AQ2066" s="418"/>
      <c r="AR2066" s="418"/>
      <c r="AS2066" s="418"/>
      <c r="AT2066" s="418"/>
      <c r="AU2066" s="418"/>
      <c r="AV2066" s="418"/>
      <c r="AW2066" s="418"/>
      <c r="AX2066" s="418"/>
      <c r="AY2066" s="418"/>
      <c r="BF2066" s="1119"/>
      <c r="BG2066" s="1119"/>
      <c r="BH2066" s="1119"/>
    </row>
    <row r="2067" spans="1:60" ht="15.75" customHeight="1">
      <c r="A2067" s="1076"/>
      <c r="B2067" s="416"/>
      <c r="C2067" s="424"/>
      <c r="E2067" s="418"/>
      <c r="F2067" s="493"/>
      <c r="G2067" s="418"/>
      <c r="H2067" s="421"/>
      <c r="I2067" s="421"/>
      <c r="J2067" s="492"/>
      <c r="K2067" s="418"/>
      <c r="L2067" s="418"/>
      <c r="M2067" s="418"/>
      <c r="N2067" s="421"/>
      <c r="O2067" s="421"/>
      <c r="P2067" s="421"/>
      <c r="Q2067" s="418"/>
      <c r="R2067" s="418"/>
      <c r="S2067" s="418"/>
      <c r="T2067" s="418"/>
      <c r="U2067" s="418"/>
      <c r="V2067" s="418"/>
      <c r="W2067" s="418"/>
      <c r="X2067" s="418"/>
      <c r="Y2067" s="418"/>
      <c r="Z2067" s="418"/>
      <c r="AA2067" s="418"/>
      <c r="AB2067" s="418"/>
      <c r="AC2067" s="418"/>
      <c r="AD2067" s="418"/>
      <c r="AE2067" s="418"/>
      <c r="AF2067" s="418"/>
      <c r="AG2067" s="418"/>
      <c r="AH2067" s="418"/>
      <c r="AI2067" s="418"/>
      <c r="AJ2067" s="418"/>
      <c r="AK2067" s="418"/>
      <c r="AL2067" s="418"/>
      <c r="AM2067" s="418"/>
      <c r="AN2067" s="418"/>
      <c r="AO2067" s="418"/>
      <c r="AP2067" s="418"/>
      <c r="AQ2067" s="418"/>
      <c r="AR2067" s="418"/>
      <c r="AS2067" s="418"/>
      <c r="AT2067" s="418"/>
      <c r="AU2067" s="418"/>
      <c r="AV2067" s="418"/>
      <c r="AW2067" s="418"/>
      <c r="AX2067" s="418"/>
      <c r="AY2067" s="418"/>
      <c r="BF2067" s="1119"/>
      <c r="BG2067" s="1119"/>
      <c r="BH2067" s="1119"/>
    </row>
    <row r="2068" spans="1:60" ht="15.75" customHeight="1">
      <c r="A2068" s="1076"/>
      <c r="B2068" s="416"/>
      <c r="C2068" s="424"/>
      <c r="E2068" s="418"/>
      <c r="F2068" s="493"/>
      <c r="G2068" s="418"/>
      <c r="H2068" s="421"/>
      <c r="I2068" s="421"/>
      <c r="J2068" s="492"/>
      <c r="K2068" s="418"/>
      <c r="L2068" s="418"/>
      <c r="M2068" s="418"/>
      <c r="N2068" s="421"/>
      <c r="O2068" s="421"/>
      <c r="P2068" s="421"/>
      <c r="Q2068" s="418"/>
      <c r="R2068" s="418"/>
      <c r="S2068" s="418"/>
      <c r="T2068" s="418"/>
      <c r="U2068" s="418"/>
      <c r="V2068" s="418"/>
      <c r="W2068" s="418"/>
      <c r="X2068" s="418"/>
      <c r="Y2068" s="418"/>
      <c r="Z2068" s="418"/>
      <c r="AA2068" s="418"/>
      <c r="AB2068" s="418"/>
      <c r="AC2068" s="418"/>
      <c r="AD2068" s="418"/>
      <c r="AE2068" s="418"/>
      <c r="AF2068" s="418"/>
      <c r="AG2068" s="418"/>
      <c r="AH2068" s="418"/>
      <c r="AI2068" s="418"/>
      <c r="AJ2068" s="418"/>
      <c r="AK2068" s="418"/>
      <c r="AL2068" s="418"/>
      <c r="AM2068" s="418"/>
      <c r="AN2068" s="418"/>
      <c r="AO2068" s="418"/>
      <c r="AP2068" s="418"/>
      <c r="AQ2068" s="418"/>
      <c r="AR2068" s="418"/>
      <c r="AS2068" s="418"/>
      <c r="AT2068" s="418"/>
      <c r="AU2068" s="418"/>
      <c r="AV2068" s="418"/>
      <c r="AW2068" s="418"/>
      <c r="AX2068" s="418"/>
      <c r="AY2068" s="418"/>
      <c r="BF2068" s="1119"/>
      <c r="BG2068" s="1119"/>
      <c r="BH2068" s="1119"/>
    </row>
    <row r="2069" spans="1:60" ht="15.75" customHeight="1">
      <c r="A2069" s="1076"/>
      <c r="B2069" s="416"/>
      <c r="C2069" s="424"/>
      <c r="E2069" s="418"/>
      <c r="F2069" s="493"/>
      <c r="G2069" s="418"/>
      <c r="H2069" s="421"/>
      <c r="I2069" s="421"/>
      <c r="J2069" s="492"/>
      <c r="K2069" s="418"/>
      <c r="L2069" s="418"/>
      <c r="M2069" s="418"/>
      <c r="N2069" s="421"/>
      <c r="O2069" s="421"/>
      <c r="P2069" s="421"/>
      <c r="Q2069" s="418"/>
      <c r="R2069" s="418"/>
      <c r="S2069" s="418"/>
      <c r="T2069" s="418"/>
      <c r="U2069" s="418"/>
      <c r="V2069" s="418"/>
      <c r="W2069" s="418"/>
      <c r="X2069" s="418"/>
      <c r="Y2069" s="418"/>
      <c r="Z2069" s="418"/>
      <c r="AA2069" s="418"/>
      <c r="AB2069" s="418"/>
      <c r="AC2069" s="418"/>
      <c r="AD2069" s="418"/>
      <c r="AE2069" s="418"/>
      <c r="AF2069" s="418"/>
      <c r="AG2069" s="418"/>
      <c r="AH2069" s="418"/>
      <c r="AI2069" s="418"/>
      <c r="AJ2069" s="418"/>
      <c r="AK2069" s="418"/>
      <c r="AL2069" s="418"/>
      <c r="AM2069" s="418"/>
      <c r="AN2069" s="418"/>
      <c r="AO2069" s="418"/>
      <c r="AP2069" s="418"/>
      <c r="AQ2069" s="418"/>
      <c r="AR2069" s="418"/>
      <c r="AS2069" s="418"/>
      <c r="AT2069" s="418"/>
      <c r="AU2069" s="418"/>
      <c r="AV2069" s="418"/>
      <c r="AW2069" s="418"/>
      <c r="AX2069" s="418"/>
      <c r="AY2069" s="418"/>
      <c r="BF2069" s="1119"/>
      <c r="BG2069" s="1119"/>
      <c r="BH2069" s="1119"/>
    </row>
    <row r="2070" spans="1:60" ht="15.75" customHeight="1">
      <c r="A2070" s="1076"/>
      <c r="B2070" s="416"/>
      <c r="C2070" s="424"/>
      <c r="E2070" s="418"/>
      <c r="F2070" s="493"/>
      <c r="G2070" s="418"/>
      <c r="H2070" s="421"/>
      <c r="I2070" s="421"/>
      <c r="J2070" s="492"/>
      <c r="K2070" s="418"/>
      <c r="L2070" s="418"/>
      <c r="M2070" s="418"/>
      <c r="N2070" s="421"/>
      <c r="O2070" s="421"/>
      <c r="P2070" s="421"/>
      <c r="Q2070" s="418"/>
      <c r="R2070" s="418"/>
      <c r="S2070" s="418"/>
      <c r="T2070" s="418"/>
      <c r="U2070" s="418"/>
      <c r="V2070" s="418"/>
      <c r="W2070" s="418"/>
      <c r="X2070" s="418"/>
      <c r="Y2070" s="418"/>
      <c r="Z2070" s="418"/>
      <c r="AA2070" s="418"/>
      <c r="AB2070" s="418"/>
      <c r="AC2070" s="418"/>
      <c r="AD2070" s="418"/>
      <c r="AE2070" s="418"/>
      <c r="AF2070" s="418"/>
      <c r="AG2070" s="418"/>
      <c r="AH2070" s="418"/>
      <c r="AI2070" s="418"/>
      <c r="AJ2070" s="418"/>
      <c r="AK2070" s="418"/>
      <c r="AL2070" s="418"/>
      <c r="AM2070" s="418"/>
      <c r="AN2070" s="418"/>
      <c r="AO2070" s="418"/>
      <c r="AP2070" s="418"/>
      <c r="AQ2070" s="418"/>
      <c r="AR2070" s="418"/>
      <c r="AS2070" s="418"/>
      <c r="AT2070" s="418"/>
      <c r="AU2070" s="418"/>
      <c r="AV2070" s="418"/>
      <c r="AW2070" s="418"/>
      <c r="AX2070" s="418"/>
      <c r="AY2070" s="418"/>
      <c r="BF2070" s="1119"/>
      <c r="BG2070" s="1119"/>
      <c r="BH2070" s="1119"/>
    </row>
    <row r="2071" spans="1:60" ht="15.75" customHeight="1">
      <c r="A2071" s="1076"/>
      <c r="B2071" s="416"/>
      <c r="C2071" s="424"/>
      <c r="E2071" s="418"/>
      <c r="F2071" s="493"/>
      <c r="G2071" s="418"/>
      <c r="H2071" s="421"/>
      <c r="I2071" s="421"/>
      <c r="J2071" s="492"/>
      <c r="K2071" s="418"/>
      <c r="L2071" s="418"/>
      <c r="M2071" s="418"/>
      <c r="N2071" s="421"/>
      <c r="O2071" s="421"/>
      <c r="P2071" s="421"/>
      <c r="Q2071" s="418"/>
      <c r="R2071" s="418"/>
      <c r="S2071" s="418"/>
      <c r="T2071" s="418"/>
      <c r="U2071" s="418"/>
      <c r="V2071" s="418"/>
      <c r="W2071" s="418"/>
      <c r="X2071" s="418"/>
      <c r="Y2071" s="418"/>
      <c r="Z2071" s="418"/>
      <c r="AA2071" s="418"/>
      <c r="AB2071" s="418"/>
      <c r="AC2071" s="418"/>
      <c r="AD2071" s="418"/>
      <c r="AE2071" s="418"/>
      <c r="AF2071" s="418"/>
      <c r="AG2071" s="418"/>
      <c r="AH2071" s="418"/>
      <c r="AI2071" s="418"/>
      <c r="AJ2071" s="418"/>
      <c r="AK2071" s="418"/>
      <c r="AL2071" s="418"/>
      <c r="AM2071" s="418"/>
      <c r="AN2071" s="418"/>
      <c r="AO2071" s="418"/>
      <c r="AP2071" s="418"/>
      <c r="AQ2071" s="418"/>
      <c r="AR2071" s="418"/>
      <c r="AS2071" s="418"/>
      <c r="AT2071" s="418"/>
      <c r="AU2071" s="418"/>
      <c r="AV2071" s="418"/>
      <c r="AW2071" s="418"/>
      <c r="AX2071" s="418"/>
      <c r="AY2071" s="418"/>
      <c r="BF2071" s="1119"/>
      <c r="BG2071" s="1119"/>
      <c r="BH2071" s="1119"/>
    </row>
    <row r="2072" spans="1:60" ht="15.75" customHeight="1">
      <c r="A2072" s="1076"/>
      <c r="B2072" s="416"/>
      <c r="C2072" s="424"/>
      <c r="E2072" s="418"/>
      <c r="F2072" s="493"/>
      <c r="G2072" s="418"/>
      <c r="H2072" s="421"/>
      <c r="I2072" s="421"/>
      <c r="J2072" s="492"/>
      <c r="K2072" s="418"/>
      <c r="L2072" s="418"/>
      <c r="M2072" s="418"/>
      <c r="N2072" s="421"/>
      <c r="O2072" s="421"/>
      <c r="P2072" s="421"/>
      <c r="Q2072" s="418"/>
      <c r="R2072" s="418"/>
      <c r="S2072" s="418"/>
      <c r="T2072" s="418"/>
      <c r="U2072" s="418"/>
      <c r="V2072" s="418"/>
      <c r="W2072" s="418"/>
      <c r="X2072" s="418"/>
      <c r="Y2072" s="418"/>
      <c r="Z2072" s="418"/>
      <c r="AA2072" s="418"/>
      <c r="AB2072" s="418"/>
      <c r="AC2072" s="418"/>
      <c r="AD2072" s="418"/>
      <c r="AE2072" s="418"/>
      <c r="AF2072" s="418"/>
      <c r="AG2072" s="418"/>
      <c r="AH2072" s="418"/>
      <c r="AI2072" s="418"/>
      <c r="AJ2072" s="418"/>
      <c r="AK2072" s="418"/>
      <c r="AL2072" s="418"/>
      <c r="AM2072" s="418"/>
      <c r="AN2072" s="418"/>
      <c r="AO2072" s="418"/>
      <c r="AP2072" s="418"/>
      <c r="AQ2072" s="418"/>
      <c r="AR2072" s="418"/>
      <c r="AS2072" s="418"/>
      <c r="AT2072" s="418"/>
      <c r="AU2072" s="418"/>
      <c r="AV2072" s="418"/>
      <c r="AW2072" s="418"/>
      <c r="AX2072" s="418"/>
      <c r="AY2072" s="418"/>
      <c r="BF2072" s="1119"/>
      <c r="BG2072" s="1119"/>
      <c r="BH2072" s="1119"/>
    </row>
    <row r="2073" spans="1:60" ht="15.75" customHeight="1">
      <c r="A2073" s="1076"/>
      <c r="B2073" s="416"/>
      <c r="C2073" s="424"/>
      <c r="E2073" s="418"/>
      <c r="F2073" s="493"/>
      <c r="G2073" s="418"/>
      <c r="H2073" s="421"/>
      <c r="I2073" s="421"/>
      <c r="J2073" s="492"/>
      <c r="K2073" s="418"/>
      <c r="L2073" s="418"/>
      <c r="M2073" s="418"/>
      <c r="N2073" s="421"/>
      <c r="O2073" s="421"/>
      <c r="P2073" s="421"/>
      <c r="Q2073" s="418"/>
      <c r="R2073" s="418"/>
      <c r="S2073" s="418"/>
      <c r="T2073" s="418"/>
      <c r="U2073" s="418"/>
      <c r="V2073" s="418"/>
      <c r="W2073" s="418"/>
      <c r="X2073" s="418"/>
      <c r="Y2073" s="418"/>
      <c r="Z2073" s="418"/>
      <c r="AA2073" s="418"/>
      <c r="AB2073" s="418"/>
      <c r="AC2073" s="418"/>
      <c r="AD2073" s="418"/>
      <c r="AE2073" s="418"/>
      <c r="AF2073" s="418"/>
      <c r="AG2073" s="418"/>
      <c r="AH2073" s="418"/>
      <c r="AI2073" s="418"/>
      <c r="AJ2073" s="418"/>
      <c r="AK2073" s="418"/>
      <c r="AL2073" s="418"/>
      <c r="AM2073" s="418"/>
      <c r="AN2073" s="418"/>
      <c r="AO2073" s="418"/>
      <c r="AP2073" s="418"/>
      <c r="AQ2073" s="418"/>
      <c r="AR2073" s="418"/>
      <c r="AS2073" s="418"/>
      <c r="AT2073" s="418"/>
      <c r="AU2073" s="418"/>
      <c r="AV2073" s="418"/>
      <c r="AW2073" s="418"/>
      <c r="AX2073" s="418"/>
      <c r="AY2073" s="418"/>
      <c r="BF2073" s="1119"/>
      <c r="BG2073" s="1119"/>
      <c r="BH2073" s="1119"/>
    </row>
    <row r="2074" spans="1:60" ht="15.75" customHeight="1">
      <c r="A2074" s="1076"/>
      <c r="B2074" s="416"/>
      <c r="C2074" s="424"/>
      <c r="E2074" s="418"/>
      <c r="F2074" s="493"/>
      <c r="G2074" s="418"/>
      <c r="H2074" s="421"/>
      <c r="I2074" s="421"/>
      <c r="J2074" s="492"/>
      <c r="K2074" s="418"/>
      <c r="L2074" s="418"/>
      <c r="M2074" s="418"/>
      <c r="N2074" s="421"/>
      <c r="O2074" s="421"/>
      <c r="P2074" s="421"/>
      <c r="Q2074" s="418"/>
      <c r="R2074" s="418"/>
      <c r="S2074" s="418"/>
      <c r="T2074" s="418"/>
      <c r="U2074" s="418"/>
      <c r="V2074" s="418"/>
      <c r="W2074" s="418"/>
      <c r="X2074" s="418"/>
      <c r="Y2074" s="418"/>
      <c r="Z2074" s="418"/>
      <c r="AA2074" s="418"/>
      <c r="AB2074" s="418"/>
      <c r="AC2074" s="418"/>
      <c r="AD2074" s="418"/>
      <c r="AE2074" s="418"/>
      <c r="AF2074" s="418"/>
      <c r="AG2074" s="418"/>
      <c r="AH2074" s="418"/>
      <c r="AI2074" s="418"/>
      <c r="AJ2074" s="418"/>
      <c r="AK2074" s="418"/>
      <c r="AL2074" s="418"/>
      <c r="AM2074" s="418"/>
      <c r="AN2074" s="418"/>
      <c r="AO2074" s="418"/>
      <c r="AP2074" s="418"/>
      <c r="AQ2074" s="418"/>
      <c r="AR2074" s="418"/>
      <c r="AS2074" s="418"/>
      <c r="AT2074" s="418"/>
      <c r="AU2074" s="418"/>
      <c r="AV2074" s="418"/>
      <c r="AW2074" s="418"/>
      <c r="AX2074" s="418"/>
      <c r="AY2074" s="418"/>
      <c r="BF2074" s="1119"/>
      <c r="BG2074" s="1119"/>
      <c r="BH2074" s="1119"/>
    </row>
    <row r="2075" spans="1:60" ht="15.75" customHeight="1">
      <c r="A2075" s="1076"/>
      <c r="B2075" s="416"/>
      <c r="C2075" s="424"/>
      <c r="E2075" s="418"/>
      <c r="F2075" s="493"/>
      <c r="G2075" s="418"/>
      <c r="H2075" s="421"/>
      <c r="I2075" s="421"/>
      <c r="J2075" s="492"/>
      <c r="K2075" s="418"/>
      <c r="L2075" s="418"/>
      <c r="M2075" s="418"/>
      <c r="N2075" s="421"/>
      <c r="O2075" s="421"/>
      <c r="P2075" s="421"/>
      <c r="Q2075" s="418"/>
      <c r="R2075" s="418"/>
      <c r="S2075" s="418"/>
      <c r="T2075" s="418"/>
      <c r="U2075" s="418"/>
      <c r="V2075" s="418"/>
      <c r="W2075" s="418"/>
      <c r="X2075" s="418"/>
      <c r="Y2075" s="418"/>
      <c r="Z2075" s="418"/>
      <c r="AA2075" s="418"/>
      <c r="AB2075" s="418"/>
      <c r="AC2075" s="418"/>
      <c r="AD2075" s="418"/>
      <c r="AE2075" s="418"/>
      <c r="AF2075" s="418"/>
      <c r="AG2075" s="418"/>
      <c r="AH2075" s="418"/>
      <c r="AI2075" s="418"/>
      <c r="AJ2075" s="418"/>
      <c r="AK2075" s="418"/>
      <c r="AL2075" s="418"/>
      <c r="AM2075" s="418"/>
      <c r="AN2075" s="418"/>
      <c r="AO2075" s="418"/>
      <c r="AP2075" s="418"/>
      <c r="AQ2075" s="418"/>
      <c r="AR2075" s="418"/>
      <c r="AS2075" s="418"/>
      <c r="AT2075" s="418"/>
      <c r="AU2075" s="418"/>
      <c r="AV2075" s="418"/>
      <c r="AW2075" s="418"/>
      <c r="AX2075" s="418"/>
      <c r="AY2075" s="418"/>
      <c r="BF2075" s="1119"/>
      <c r="BG2075" s="1119"/>
      <c r="BH2075" s="1119"/>
    </row>
    <row r="2076" spans="1:60" ht="15.75" customHeight="1">
      <c r="A2076" s="1076"/>
      <c r="B2076" s="416"/>
      <c r="C2076" s="424"/>
      <c r="E2076" s="418"/>
      <c r="F2076" s="493"/>
      <c r="G2076" s="418"/>
      <c r="H2076" s="421"/>
      <c r="I2076" s="421"/>
      <c r="J2076" s="492"/>
      <c r="K2076" s="418"/>
      <c r="L2076" s="418"/>
      <c r="M2076" s="418"/>
      <c r="N2076" s="421"/>
      <c r="O2076" s="421"/>
      <c r="P2076" s="421"/>
      <c r="Q2076" s="418"/>
      <c r="R2076" s="418"/>
      <c r="S2076" s="418"/>
      <c r="T2076" s="418"/>
      <c r="U2076" s="418"/>
      <c r="V2076" s="418"/>
      <c r="W2076" s="418"/>
      <c r="X2076" s="418"/>
      <c r="Y2076" s="418"/>
      <c r="Z2076" s="418"/>
      <c r="AA2076" s="418"/>
      <c r="AB2076" s="418"/>
      <c r="AC2076" s="418"/>
      <c r="AD2076" s="418"/>
      <c r="AE2076" s="418"/>
      <c r="AF2076" s="418"/>
      <c r="AG2076" s="418"/>
      <c r="AH2076" s="418"/>
      <c r="AI2076" s="418"/>
      <c r="AJ2076" s="418"/>
      <c r="AK2076" s="418"/>
      <c r="AL2076" s="418"/>
      <c r="AM2076" s="418"/>
      <c r="AN2076" s="418"/>
      <c r="AO2076" s="418"/>
      <c r="AP2076" s="418"/>
      <c r="AQ2076" s="418"/>
      <c r="AR2076" s="418"/>
      <c r="AS2076" s="418"/>
      <c r="AT2076" s="418"/>
      <c r="AU2076" s="418"/>
      <c r="AV2076" s="418"/>
      <c r="AW2076" s="418"/>
      <c r="AX2076" s="418"/>
      <c r="AY2076" s="418"/>
      <c r="BF2076" s="1119"/>
      <c r="BG2076" s="1119"/>
      <c r="BH2076" s="1119"/>
    </row>
    <row r="2077" spans="1:60" ht="15.75" customHeight="1">
      <c r="A2077" s="1076"/>
      <c r="B2077" s="416"/>
      <c r="C2077" s="424"/>
      <c r="E2077" s="418"/>
      <c r="F2077" s="493"/>
      <c r="G2077" s="418"/>
      <c r="H2077" s="421"/>
      <c r="I2077" s="421"/>
      <c r="J2077" s="492"/>
      <c r="K2077" s="418"/>
      <c r="L2077" s="418"/>
      <c r="M2077" s="418"/>
      <c r="N2077" s="421"/>
      <c r="O2077" s="421"/>
      <c r="P2077" s="421"/>
      <c r="Q2077" s="418"/>
      <c r="R2077" s="418"/>
      <c r="S2077" s="418"/>
      <c r="T2077" s="418"/>
      <c r="U2077" s="418"/>
      <c r="V2077" s="418"/>
      <c r="W2077" s="418"/>
      <c r="X2077" s="418"/>
      <c r="Y2077" s="418"/>
      <c r="Z2077" s="418"/>
      <c r="AA2077" s="418"/>
      <c r="AB2077" s="418"/>
      <c r="AC2077" s="418"/>
      <c r="AD2077" s="418"/>
      <c r="AE2077" s="418"/>
      <c r="AF2077" s="418"/>
      <c r="AG2077" s="418"/>
      <c r="AH2077" s="418"/>
      <c r="AI2077" s="418"/>
      <c r="AJ2077" s="418"/>
      <c r="AK2077" s="418"/>
      <c r="AL2077" s="418"/>
      <c r="AM2077" s="418"/>
      <c r="AN2077" s="418"/>
      <c r="AO2077" s="418"/>
      <c r="AP2077" s="418"/>
      <c r="AQ2077" s="418"/>
      <c r="AR2077" s="418"/>
      <c r="AS2077" s="418"/>
      <c r="AT2077" s="418"/>
      <c r="AU2077" s="418"/>
      <c r="AV2077" s="418"/>
      <c r="AW2077" s="418"/>
      <c r="AX2077" s="418"/>
      <c r="AY2077" s="418"/>
      <c r="BF2077" s="1119"/>
      <c r="BG2077" s="1119"/>
      <c r="BH2077" s="1119"/>
    </row>
    <row r="2078" spans="1:60" ht="15.75" customHeight="1">
      <c r="A2078" s="1076"/>
      <c r="B2078" s="416"/>
      <c r="C2078" s="424"/>
      <c r="E2078" s="418"/>
      <c r="F2078" s="493"/>
      <c r="G2078" s="418"/>
      <c r="H2078" s="421"/>
      <c r="I2078" s="421"/>
      <c r="J2078" s="492"/>
      <c r="K2078" s="418"/>
      <c r="L2078" s="418"/>
      <c r="M2078" s="418"/>
      <c r="N2078" s="421"/>
      <c r="O2078" s="421"/>
      <c r="P2078" s="421"/>
      <c r="Q2078" s="418"/>
      <c r="R2078" s="418"/>
      <c r="S2078" s="418"/>
      <c r="T2078" s="418"/>
      <c r="U2078" s="418"/>
      <c r="V2078" s="418"/>
      <c r="W2078" s="418"/>
      <c r="X2078" s="418"/>
      <c r="Y2078" s="418"/>
      <c r="Z2078" s="418"/>
      <c r="AA2078" s="418"/>
      <c r="AB2078" s="418"/>
      <c r="AC2078" s="418"/>
      <c r="AD2078" s="418"/>
      <c r="AE2078" s="418"/>
      <c r="AF2078" s="418"/>
      <c r="AG2078" s="418"/>
      <c r="AH2078" s="418"/>
      <c r="AI2078" s="418"/>
      <c r="AJ2078" s="418"/>
      <c r="AK2078" s="418"/>
      <c r="AL2078" s="418"/>
      <c r="AM2078" s="418"/>
      <c r="AN2078" s="418"/>
      <c r="AO2078" s="418"/>
      <c r="AP2078" s="418"/>
      <c r="AQ2078" s="418"/>
      <c r="AR2078" s="418"/>
      <c r="AS2078" s="418"/>
      <c r="AT2078" s="418"/>
      <c r="AU2078" s="418"/>
      <c r="AV2078" s="418"/>
      <c r="AW2078" s="418"/>
      <c r="AX2078" s="418"/>
      <c r="AY2078" s="418"/>
      <c r="BF2078" s="1119"/>
      <c r="BG2078" s="1119"/>
      <c r="BH2078" s="1119"/>
    </row>
    <row r="2079" spans="1:60" ht="15.75" customHeight="1">
      <c r="A2079" s="1076"/>
      <c r="B2079" s="416"/>
      <c r="C2079" s="424"/>
      <c r="E2079" s="418"/>
      <c r="F2079" s="493"/>
      <c r="G2079" s="418"/>
      <c r="H2079" s="421"/>
      <c r="I2079" s="421"/>
      <c r="J2079" s="492"/>
      <c r="K2079" s="418"/>
      <c r="L2079" s="418"/>
      <c r="M2079" s="418"/>
      <c r="N2079" s="421"/>
      <c r="O2079" s="421"/>
      <c r="P2079" s="421"/>
      <c r="Q2079" s="418"/>
      <c r="R2079" s="418"/>
      <c r="S2079" s="418"/>
      <c r="T2079" s="418"/>
      <c r="U2079" s="418"/>
      <c r="V2079" s="418"/>
      <c r="W2079" s="418"/>
      <c r="X2079" s="418"/>
      <c r="Y2079" s="418"/>
      <c r="Z2079" s="418"/>
      <c r="AA2079" s="418"/>
      <c r="AB2079" s="418"/>
      <c r="AC2079" s="418"/>
      <c r="AD2079" s="418"/>
      <c r="AE2079" s="418"/>
      <c r="AF2079" s="418"/>
      <c r="AG2079" s="418"/>
      <c r="AH2079" s="418"/>
      <c r="AI2079" s="418"/>
      <c r="AJ2079" s="418"/>
      <c r="AK2079" s="418"/>
      <c r="AL2079" s="418"/>
      <c r="AM2079" s="418"/>
      <c r="AN2079" s="418"/>
      <c r="AO2079" s="418"/>
      <c r="AP2079" s="418"/>
      <c r="AQ2079" s="418"/>
      <c r="AR2079" s="418"/>
      <c r="AS2079" s="418"/>
      <c r="AT2079" s="418"/>
      <c r="AU2079" s="418"/>
      <c r="AV2079" s="418"/>
      <c r="AW2079" s="418"/>
      <c r="AX2079" s="418"/>
      <c r="AY2079" s="418"/>
      <c r="BF2079" s="1119"/>
      <c r="BG2079" s="1119"/>
      <c r="BH2079" s="1119"/>
    </row>
    <row r="2080" spans="1:60" ht="15.75" customHeight="1">
      <c r="A2080" s="1076"/>
      <c r="B2080" s="416"/>
      <c r="C2080" s="424"/>
      <c r="E2080" s="418"/>
      <c r="F2080" s="493"/>
      <c r="G2080" s="418"/>
      <c r="H2080" s="421"/>
      <c r="I2080" s="421"/>
      <c r="J2080" s="492"/>
      <c r="K2080" s="418"/>
      <c r="L2080" s="418"/>
      <c r="M2080" s="418"/>
      <c r="N2080" s="421"/>
      <c r="O2080" s="421"/>
      <c r="P2080" s="421"/>
      <c r="Q2080" s="418"/>
      <c r="R2080" s="418"/>
      <c r="S2080" s="418"/>
      <c r="T2080" s="418"/>
      <c r="U2080" s="418"/>
      <c r="V2080" s="418"/>
      <c r="W2080" s="418"/>
      <c r="X2080" s="418"/>
      <c r="Y2080" s="418"/>
      <c r="Z2080" s="418"/>
      <c r="AA2080" s="418"/>
      <c r="AB2080" s="418"/>
      <c r="AC2080" s="418"/>
      <c r="AD2080" s="418"/>
      <c r="AE2080" s="418"/>
      <c r="AF2080" s="418"/>
      <c r="AG2080" s="418"/>
      <c r="AH2080" s="418"/>
      <c r="AI2080" s="418"/>
      <c r="AJ2080" s="418"/>
      <c r="AK2080" s="418"/>
      <c r="AL2080" s="418"/>
      <c r="AM2080" s="418"/>
      <c r="AN2080" s="418"/>
      <c r="AO2080" s="418"/>
      <c r="AP2080" s="418"/>
      <c r="AQ2080" s="418"/>
      <c r="AR2080" s="418"/>
      <c r="AS2080" s="418"/>
      <c r="AT2080" s="418"/>
      <c r="AU2080" s="418"/>
      <c r="AV2080" s="418"/>
      <c r="AW2080" s="418"/>
      <c r="AX2080" s="418"/>
      <c r="AY2080" s="418"/>
      <c r="BF2080" s="1119"/>
      <c r="BG2080" s="1119"/>
      <c r="BH2080" s="1119"/>
    </row>
    <row r="2081" spans="1:60" ht="15.75" customHeight="1">
      <c r="A2081" s="1076"/>
      <c r="B2081" s="416"/>
      <c r="C2081" s="424"/>
      <c r="E2081" s="418"/>
      <c r="F2081" s="493"/>
      <c r="G2081" s="418"/>
      <c r="H2081" s="421"/>
      <c r="I2081" s="421"/>
      <c r="J2081" s="492"/>
      <c r="K2081" s="418"/>
      <c r="L2081" s="418"/>
      <c r="M2081" s="418"/>
      <c r="N2081" s="421"/>
      <c r="O2081" s="421"/>
      <c r="P2081" s="421"/>
      <c r="Q2081" s="418"/>
      <c r="R2081" s="418"/>
      <c r="S2081" s="418"/>
      <c r="T2081" s="418"/>
      <c r="U2081" s="418"/>
      <c r="V2081" s="418"/>
      <c r="W2081" s="418"/>
      <c r="X2081" s="418"/>
      <c r="Y2081" s="418"/>
      <c r="Z2081" s="418"/>
      <c r="AA2081" s="418"/>
      <c r="AB2081" s="418"/>
      <c r="AC2081" s="418"/>
      <c r="AD2081" s="418"/>
      <c r="AE2081" s="418"/>
      <c r="AF2081" s="418"/>
      <c r="AG2081" s="418"/>
      <c r="AH2081" s="418"/>
      <c r="AI2081" s="418"/>
      <c r="AJ2081" s="418"/>
      <c r="AK2081" s="418"/>
      <c r="AL2081" s="418"/>
      <c r="AM2081" s="418"/>
      <c r="AN2081" s="418"/>
      <c r="AO2081" s="418"/>
      <c r="AP2081" s="418"/>
      <c r="AQ2081" s="418"/>
      <c r="AR2081" s="418"/>
      <c r="AS2081" s="418"/>
      <c r="AT2081" s="418"/>
      <c r="AU2081" s="418"/>
      <c r="AV2081" s="418"/>
      <c r="AW2081" s="418"/>
      <c r="AX2081" s="418"/>
      <c r="AY2081" s="418"/>
      <c r="BF2081" s="1119"/>
      <c r="BG2081" s="1119"/>
      <c r="BH2081" s="1119"/>
    </row>
    <row r="2082" spans="1:60" ht="15.75" customHeight="1">
      <c r="A2082" s="1076"/>
      <c r="B2082" s="416"/>
      <c r="C2082" s="424"/>
      <c r="E2082" s="418"/>
      <c r="F2082" s="493"/>
      <c r="G2082" s="418"/>
      <c r="H2082" s="421"/>
      <c r="I2082" s="421"/>
      <c r="J2082" s="492"/>
      <c r="K2082" s="418"/>
      <c r="L2082" s="418"/>
      <c r="M2082" s="418"/>
      <c r="N2082" s="421"/>
      <c r="O2082" s="421"/>
      <c r="P2082" s="421"/>
      <c r="Q2082" s="418"/>
      <c r="R2082" s="418"/>
      <c r="S2082" s="418"/>
      <c r="T2082" s="418"/>
      <c r="U2082" s="418"/>
      <c r="V2082" s="418"/>
      <c r="W2082" s="418"/>
      <c r="X2082" s="418"/>
      <c r="Y2082" s="418"/>
      <c r="Z2082" s="418"/>
      <c r="AA2082" s="418"/>
      <c r="AB2082" s="418"/>
      <c r="AC2082" s="418"/>
      <c r="AD2082" s="418"/>
      <c r="AE2082" s="418"/>
      <c r="AF2082" s="418"/>
      <c r="AG2082" s="418"/>
      <c r="AH2082" s="418"/>
      <c r="AI2082" s="418"/>
      <c r="AJ2082" s="418"/>
      <c r="AK2082" s="418"/>
      <c r="AL2082" s="418"/>
      <c r="AM2082" s="418"/>
      <c r="AN2082" s="418"/>
      <c r="AO2082" s="418"/>
      <c r="AP2082" s="418"/>
      <c r="AQ2082" s="418"/>
      <c r="AR2082" s="418"/>
      <c r="AS2082" s="418"/>
      <c r="AT2082" s="418"/>
      <c r="AU2082" s="418"/>
      <c r="AV2082" s="418"/>
      <c r="AW2082" s="418"/>
      <c r="AX2082" s="418"/>
      <c r="AY2082" s="418"/>
      <c r="BF2082" s="1119"/>
      <c r="BG2082" s="1119"/>
      <c r="BH2082" s="1119"/>
    </row>
    <row r="2083" spans="1:60" ht="15.75" customHeight="1">
      <c r="A2083" s="1076"/>
      <c r="B2083" s="416"/>
      <c r="C2083" s="424"/>
      <c r="E2083" s="418"/>
      <c r="F2083" s="493"/>
      <c r="G2083" s="418"/>
      <c r="H2083" s="421"/>
      <c r="I2083" s="421"/>
      <c r="J2083" s="492"/>
      <c r="K2083" s="418"/>
      <c r="L2083" s="418"/>
      <c r="M2083" s="418"/>
      <c r="N2083" s="421"/>
      <c r="O2083" s="421"/>
      <c r="P2083" s="421"/>
      <c r="Q2083" s="418"/>
      <c r="R2083" s="418"/>
      <c r="S2083" s="418"/>
      <c r="T2083" s="418"/>
      <c r="U2083" s="418"/>
      <c r="V2083" s="418"/>
      <c r="W2083" s="418"/>
      <c r="X2083" s="418"/>
      <c r="Y2083" s="418"/>
      <c r="Z2083" s="418"/>
      <c r="AA2083" s="418"/>
      <c r="AB2083" s="418"/>
      <c r="AC2083" s="418"/>
      <c r="AD2083" s="418"/>
      <c r="AE2083" s="418"/>
      <c r="AF2083" s="418"/>
      <c r="AG2083" s="418"/>
      <c r="AH2083" s="418"/>
      <c r="AI2083" s="418"/>
      <c r="AJ2083" s="418"/>
      <c r="AK2083" s="418"/>
      <c r="AL2083" s="418"/>
      <c r="AM2083" s="418"/>
      <c r="AN2083" s="418"/>
      <c r="AO2083" s="418"/>
      <c r="AP2083" s="418"/>
      <c r="AQ2083" s="418"/>
      <c r="AR2083" s="418"/>
      <c r="AS2083" s="418"/>
      <c r="AT2083" s="418"/>
      <c r="AU2083" s="418"/>
      <c r="AV2083" s="418"/>
      <c r="AW2083" s="418"/>
      <c r="AX2083" s="418"/>
      <c r="AY2083" s="418"/>
      <c r="BF2083" s="1119"/>
      <c r="BG2083" s="1119"/>
      <c r="BH2083" s="1119"/>
    </row>
    <row r="2084" spans="1:60" ht="15.75" customHeight="1">
      <c r="A2084" s="1076"/>
      <c r="B2084" s="416"/>
      <c r="C2084" s="424"/>
      <c r="E2084" s="418"/>
      <c r="F2084" s="493"/>
      <c r="G2084" s="418"/>
      <c r="H2084" s="421"/>
      <c r="I2084" s="421"/>
      <c r="J2084" s="492"/>
      <c r="K2084" s="418"/>
      <c r="L2084" s="418"/>
      <c r="M2084" s="418"/>
      <c r="N2084" s="421"/>
      <c r="O2084" s="421"/>
      <c r="P2084" s="421"/>
      <c r="Q2084" s="418"/>
      <c r="R2084" s="418"/>
      <c r="S2084" s="418"/>
      <c r="T2084" s="418"/>
      <c r="U2084" s="418"/>
      <c r="V2084" s="418"/>
      <c r="W2084" s="418"/>
      <c r="X2084" s="418"/>
      <c r="Y2084" s="418"/>
      <c r="Z2084" s="418"/>
      <c r="AA2084" s="418"/>
      <c r="AB2084" s="418"/>
      <c r="AC2084" s="418"/>
      <c r="AD2084" s="418"/>
      <c r="AE2084" s="418"/>
      <c r="AF2084" s="418"/>
      <c r="AG2084" s="418"/>
      <c r="AH2084" s="418"/>
      <c r="AI2084" s="418"/>
      <c r="AJ2084" s="418"/>
      <c r="AK2084" s="418"/>
      <c r="AL2084" s="418"/>
      <c r="AM2084" s="418"/>
      <c r="AN2084" s="418"/>
      <c r="AO2084" s="418"/>
      <c r="AP2084" s="418"/>
      <c r="AQ2084" s="418"/>
      <c r="AR2084" s="418"/>
      <c r="AS2084" s="418"/>
      <c r="AT2084" s="418"/>
      <c r="AU2084" s="418"/>
      <c r="AV2084" s="418"/>
      <c r="AW2084" s="418"/>
      <c r="AX2084" s="418"/>
      <c r="AY2084" s="418"/>
      <c r="BF2084" s="1119"/>
      <c r="BG2084" s="1119"/>
      <c r="BH2084" s="1119"/>
    </row>
    <row r="2085" spans="1:60" ht="15.75" customHeight="1">
      <c r="A2085" s="1076"/>
      <c r="B2085" s="416"/>
      <c r="C2085" s="424"/>
      <c r="E2085" s="418"/>
      <c r="F2085" s="493"/>
      <c r="G2085" s="418"/>
      <c r="H2085" s="421"/>
      <c r="I2085" s="421"/>
      <c r="J2085" s="492"/>
      <c r="K2085" s="418"/>
      <c r="L2085" s="418"/>
      <c r="M2085" s="418"/>
      <c r="N2085" s="421"/>
      <c r="O2085" s="421"/>
      <c r="P2085" s="421"/>
      <c r="Q2085" s="418"/>
      <c r="R2085" s="418"/>
      <c r="S2085" s="418"/>
      <c r="T2085" s="418"/>
      <c r="U2085" s="418"/>
      <c r="V2085" s="418"/>
      <c r="W2085" s="418"/>
      <c r="X2085" s="418"/>
      <c r="Y2085" s="418"/>
      <c r="Z2085" s="418"/>
      <c r="AA2085" s="418"/>
      <c r="AB2085" s="418"/>
      <c r="AC2085" s="418"/>
      <c r="AD2085" s="418"/>
      <c r="AE2085" s="418"/>
      <c r="AF2085" s="418"/>
      <c r="AG2085" s="418"/>
      <c r="AH2085" s="418"/>
      <c r="AI2085" s="418"/>
      <c r="AJ2085" s="418"/>
      <c r="AK2085" s="418"/>
      <c r="AL2085" s="418"/>
      <c r="AM2085" s="418"/>
      <c r="AN2085" s="418"/>
      <c r="AO2085" s="418"/>
      <c r="AP2085" s="418"/>
      <c r="AQ2085" s="418"/>
      <c r="AR2085" s="418"/>
      <c r="AS2085" s="418"/>
      <c r="AT2085" s="418"/>
      <c r="AU2085" s="418"/>
      <c r="AV2085" s="418"/>
      <c r="AW2085" s="418"/>
      <c r="AX2085" s="418"/>
      <c r="AY2085" s="418"/>
      <c r="BF2085" s="1119"/>
      <c r="BG2085" s="1119"/>
      <c r="BH2085" s="1119"/>
    </row>
    <row r="2086" spans="1:60" ht="15.75" customHeight="1">
      <c r="A2086" s="1076"/>
      <c r="B2086" s="416"/>
      <c r="C2086" s="424"/>
      <c r="E2086" s="418"/>
      <c r="F2086" s="493"/>
      <c r="G2086" s="418"/>
      <c r="H2086" s="421"/>
      <c r="I2086" s="421"/>
      <c r="J2086" s="492"/>
      <c r="K2086" s="418"/>
      <c r="L2086" s="418"/>
      <c r="M2086" s="418"/>
      <c r="N2086" s="421"/>
      <c r="O2086" s="421"/>
      <c r="P2086" s="421"/>
      <c r="Q2086" s="418"/>
      <c r="R2086" s="418"/>
      <c r="S2086" s="418"/>
      <c r="T2086" s="418"/>
      <c r="U2086" s="418"/>
      <c r="V2086" s="418"/>
      <c r="W2086" s="418"/>
      <c r="X2086" s="418"/>
      <c r="Y2086" s="418"/>
      <c r="Z2086" s="418"/>
      <c r="AA2086" s="418"/>
      <c r="AB2086" s="418"/>
      <c r="AC2086" s="418"/>
      <c r="AD2086" s="418"/>
      <c r="AE2086" s="418"/>
      <c r="AF2086" s="418"/>
      <c r="AG2086" s="418"/>
      <c r="AH2086" s="418"/>
      <c r="AI2086" s="418"/>
      <c r="AJ2086" s="418"/>
      <c r="AK2086" s="418"/>
      <c r="AL2086" s="418"/>
      <c r="AM2086" s="418"/>
      <c r="AN2086" s="418"/>
      <c r="AO2086" s="418"/>
      <c r="AP2086" s="418"/>
      <c r="AQ2086" s="418"/>
      <c r="AR2086" s="418"/>
      <c r="AS2086" s="418"/>
      <c r="AT2086" s="418"/>
      <c r="AU2086" s="418"/>
      <c r="AV2086" s="418"/>
      <c r="AW2086" s="418"/>
      <c r="AX2086" s="418"/>
      <c r="AY2086" s="418"/>
      <c r="BF2086" s="1119"/>
      <c r="BG2086" s="1119"/>
      <c r="BH2086" s="1119"/>
    </row>
    <row r="2087" spans="1:60" ht="15.75" customHeight="1">
      <c r="A2087" s="1076"/>
      <c r="B2087" s="416"/>
      <c r="C2087" s="424"/>
      <c r="E2087" s="418"/>
      <c r="F2087" s="493"/>
      <c r="G2087" s="418"/>
      <c r="H2087" s="421"/>
      <c r="I2087" s="421"/>
      <c r="J2087" s="492"/>
      <c r="K2087" s="418"/>
      <c r="L2087" s="418"/>
      <c r="M2087" s="418"/>
      <c r="N2087" s="421"/>
      <c r="O2087" s="421"/>
      <c r="P2087" s="421"/>
      <c r="Q2087" s="418"/>
      <c r="R2087" s="418"/>
      <c r="S2087" s="418"/>
      <c r="T2087" s="418"/>
      <c r="U2087" s="418"/>
      <c r="V2087" s="418"/>
      <c r="W2087" s="418"/>
      <c r="X2087" s="418"/>
      <c r="Y2087" s="418"/>
      <c r="Z2087" s="418"/>
      <c r="AA2087" s="418"/>
      <c r="AB2087" s="418"/>
      <c r="AC2087" s="418"/>
      <c r="AD2087" s="418"/>
      <c r="AE2087" s="418"/>
      <c r="AF2087" s="418"/>
      <c r="AG2087" s="418"/>
      <c r="AH2087" s="418"/>
      <c r="AI2087" s="418"/>
      <c r="AJ2087" s="418"/>
      <c r="AK2087" s="418"/>
      <c r="AL2087" s="418"/>
      <c r="AM2087" s="418"/>
      <c r="AN2087" s="418"/>
      <c r="AO2087" s="418"/>
      <c r="AP2087" s="418"/>
      <c r="AQ2087" s="418"/>
      <c r="AR2087" s="418"/>
      <c r="AS2087" s="418"/>
      <c r="AT2087" s="418"/>
      <c r="AU2087" s="418"/>
      <c r="AV2087" s="418"/>
      <c r="AW2087" s="418"/>
      <c r="AX2087" s="418"/>
      <c r="AY2087" s="418"/>
      <c r="BF2087" s="1119"/>
      <c r="BG2087" s="1119"/>
      <c r="BH2087" s="1119"/>
    </row>
    <row r="2088" spans="1:60" ht="15.75" customHeight="1">
      <c r="A2088" s="1076"/>
      <c r="B2088" s="416"/>
      <c r="C2088" s="424"/>
      <c r="E2088" s="418"/>
      <c r="F2088" s="493"/>
      <c r="G2088" s="418"/>
      <c r="H2088" s="421"/>
      <c r="I2088" s="421"/>
      <c r="J2088" s="492"/>
      <c r="K2088" s="418"/>
      <c r="L2088" s="418"/>
      <c r="M2088" s="418"/>
      <c r="N2088" s="421"/>
      <c r="O2088" s="421"/>
      <c r="P2088" s="421"/>
      <c r="Q2088" s="418"/>
      <c r="R2088" s="418"/>
      <c r="S2088" s="418"/>
      <c r="T2088" s="418"/>
      <c r="U2088" s="418"/>
      <c r="V2088" s="418"/>
      <c r="W2088" s="418"/>
      <c r="X2088" s="418"/>
      <c r="Y2088" s="418"/>
      <c r="Z2088" s="418"/>
      <c r="AA2088" s="418"/>
      <c r="AB2088" s="418"/>
      <c r="AC2088" s="418"/>
      <c r="AD2088" s="418"/>
      <c r="AE2088" s="418"/>
      <c r="AF2088" s="418"/>
      <c r="AG2088" s="418"/>
      <c r="AH2088" s="418"/>
      <c r="AI2088" s="418"/>
      <c r="AJ2088" s="418"/>
      <c r="AK2088" s="418"/>
      <c r="AL2088" s="418"/>
      <c r="AM2088" s="418"/>
      <c r="AN2088" s="418"/>
      <c r="AO2088" s="418"/>
      <c r="AP2088" s="418"/>
      <c r="AQ2088" s="418"/>
      <c r="AR2088" s="418"/>
      <c r="AS2088" s="418"/>
      <c r="AT2088" s="418"/>
      <c r="AU2088" s="418"/>
      <c r="AV2088" s="418"/>
      <c r="AW2088" s="418"/>
      <c r="AX2088" s="418"/>
      <c r="AY2088" s="418"/>
      <c r="BF2088" s="1119"/>
      <c r="BG2088" s="1119"/>
      <c r="BH2088" s="1119"/>
    </row>
    <row r="2089" spans="1:60" ht="15.75" customHeight="1">
      <c r="A2089" s="1076"/>
      <c r="B2089" s="416"/>
      <c r="C2089" s="424"/>
      <c r="E2089" s="418"/>
      <c r="F2089" s="493"/>
      <c r="G2089" s="418"/>
      <c r="H2089" s="421"/>
      <c r="I2089" s="421"/>
      <c r="J2089" s="492"/>
      <c r="K2089" s="418"/>
      <c r="L2089" s="418"/>
      <c r="M2089" s="418"/>
      <c r="N2089" s="421"/>
      <c r="O2089" s="421"/>
      <c r="P2089" s="421"/>
      <c r="Q2089" s="418"/>
      <c r="R2089" s="418"/>
      <c r="S2089" s="418"/>
      <c r="T2089" s="418"/>
      <c r="U2089" s="418"/>
      <c r="V2089" s="418"/>
      <c r="W2089" s="418"/>
      <c r="X2089" s="418"/>
      <c r="Y2089" s="418"/>
      <c r="Z2089" s="418"/>
      <c r="AA2089" s="418"/>
      <c r="AB2089" s="418"/>
      <c r="AC2089" s="418"/>
      <c r="AD2089" s="418"/>
      <c r="AE2089" s="418"/>
      <c r="AF2089" s="418"/>
      <c r="AG2089" s="418"/>
      <c r="AH2089" s="418"/>
      <c r="AI2089" s="418"/>
      <c r="AJ2089" s="418"/>
      <c r="AK2089" s="418"/>
      <c r="AL2089" s="418"/>
      <c r="AM2089" s="418"/>
      <c r="AN2089" s="418"/>
      <c r="AO2089" s="418"/>
      <c r="AP2089" s="418"/>
      <c r="AQ2089" s="418"/>
      <c r="AR2089" s="418"/>
      <c r="AS2089" s="418"/>
      <c r="AT2089" s="418"/>
      <c r="AU2089" s="418"/>
      <c r="AV2089" s="418"/>
      <c r="AW2089" s="418"/>
      <c r="AX2089" s="418"/>
      <c r="AY2089" s="418"/>
      <c r="BF2089" s="1119"/>
      <c r="BG2089" s="1119"/>
      <c r="BH2089" s="1119"/>
    </row>
    <row r="2090" spans="1:60" ht="15.75" customHeight="1">
      <c r="A2090" s="1076"/>
      <c r="B2090" s="416"/>
      <c r="C2090" s="424"/>
      <c r="E2090" s="418"/>
      <c r="F2090" s="493"/>
      <c r="G2090" s="418"/>
      <c r="H2090" s="421"/>
      <c r="I2090" s="421"/>
      <c r="J2090" s="492"/>
      <c r="K2090" s="418"/>
      <c r="L2090" s="418"/>
      <c r="M2090" s="418"/>
      <c r="N2090" s="421"/>
      <c r="O2090" s="421"/>
      <c r="P2090" s="421"/>
      <c r="Q2090" s="418"/>
      <c r="R2090" s="418"/>
      <c r="S2090" s="418"/>
      <c r="T2090" s="418"/>
      <c r="U2090" s="418"/>
      <c r="V2090" s="418"/>
      <c r="W2090" s="418"/>
      <c r="X2090" s="418"/>
      <c r="Y2090" s="418"/>
      <c r="Z2090" s="418"/>
      <c r="AA2090" s="418"/>
      <c r="AB2090" s="418"/>
      <c r="AC2090" s="418"/>
      <c r="AD2090" s="418"/>
      <c r="AE2090" s="418"/>
      <c r="AF2090" s="418"/>
      <c r="AG2090" s="418"/>
      <c r="AH2090" s="418"/>
      <c r="AI2090" s="418"/>
      <c r="AJ2090" s="418"/>
      <c r="AK2090" s="418"/>
      <c r="AL2090" s="418"/>
      <c r="AM2090" s="418"/>
      <c r="AN2090" s="418"/>
      <c r="AO2090" s="418"/>
      <c r="AP2090" s="418"/>
      <c r="AQ2090" s="418"/>
      <c r="AR2090" s="418"/>
      <c r="AS2090" s="418"/>
      <c r="AT2090" s="418"/>
      <c r="AU2090" s="418"/>
      <c r="AV2090" s="418"/>
      <c r="AW2090" s="418"/>
      <c r="AX2090" s="418"/>
      <c r="AY2090" s="418"/>
      <c r="BF2090" s="1119"/>
      <c r="BG2090" s="1119"/>
      <c r="BH2090" s="1119"/>
    </row>
    <row r="2091" spans="1:60" ht="15.75" customHeight="1">
      <c r="A2091" s="1076"/>
      <c r="B2091" s="416"/>
      <c r="C2091" s="424"/>
      <c r="E2091" s="418"/>
      <c r="F2091" s="493"/>
      <c r="G2091" s="418"/>
      <c r="H2091" s="421"/>
      <c r="I2091" s="421"/>
      <c r="J2091" s="492"/>
      <c r="K2091" s="418"/>
      <c r="L2091" s="418"/>
      <c r="M2091" s="418"/>
      <c r="N2091" s="421"/>
      <c r="O2091" s="421"/>
      <c r="P2091" s="421"/>
      <c r="Q2091" s="418"/>
      <c r="R2091" s="418"/>
      <c r="S2091" s="418"/>
      <c r="T2091" s="418"/>
      <c r="U2091" s="418"/>
      <c r="V2091" s="418"/>
      <c r="W2091" s="418"/>
      <c r="X2091" s="418"/>
      <c r="Y2091" s="418"/>
      <c r="Z2091" s="418"/>
      <c r="AA2091" s="418"/>
      <c r="AB2091" s="418"/>
      <c r="AC2091" s="418"/>
      <c r="AD2091" s="418"/>
      <c r="AE2091" s="418"/>
      <c r="AF2091" s="418"/>
      <c r="AG2091" s="418"/>
      <c r="AH2091" s="418"/>
      <c r="AI2091" s="418"/>
      <c r="AJ2091" s="418"/>
      <c r="AK2091" s="418"/>
      <c r="AL2091" s="418"/>
      <c r="AM2091" s="418"/>
      <c r="AN2091" s="418"/>
      <c r="AO2091" s="418"/>
      <c r="AP2091" s="418"/>
      <c r="AQ2091" s="418"/>
      <c r="AR2091" s="418"/>
      <c r="AS2091" s="418"/>
      <c r="AT2091" s="418"/>
      <c r="AU2091" s="418"/>
      <c r="AV2091" s="418"/>
      <c r="AW2091" s="418"/>
      <c r="AX2091" s="418"/>
      <c r="AY2091" s="418"/>
      <c r="BF2091" s="1119"/>
      <c r="BG2091" s="1119"/>
      <c r="BH2091" s="1119"/>
    </row>
    <row r="2092" spans="1:60" ht="15.75" customHeight="1">
      <c r="A2092" s="1076"/>
      <c r="B2092" s="416"/>
      <c r="C2092" s="424"/>
      <c r="E2092" s="418"/>
      <c r="F2092" s="493"/>
      <c r="G2092" s="418"/>
      <c r="H2092" s="421"/>
      <c r="I2092" s="421"/>
      <c r="J2092" s="492"/>
      <c r="K2092" s="418"/>
      <c r="L2092" s="418"/>
      <c r="M2092" s="418"/>
      <c r="N2092" s="421"/>
      <c r="O2092" s="421"/>
      <c r="P2092" s="421"/>
      <c r="Q2092" s="418"/>
      <c r="R2092" s="418"/>
      <c r="S2092" s="418"/>
      <c r="T2092" s="418"/>
      <c r="U2092" s="418"/>
      <c r="V2092" s="418"/>
      <c r="W2092" s="418"/>
      <c r="X2092" s="418"/>
      <c r="Y2092" s="418"/>
      <c r="Z2092" s="418"/>
      <c r="AA2092" s="418"/>
      <c r="AB2092" s="418"/>
      <c r="AC2092" s="418"/>
      <c r="AD2092" s="418"/>
      <c r="AE2092" s="418"/>
      <c r="AF2092" s="418"/>
      <c r="AG2092" s="418"/>
      <c r="AH2092" s="418"/>
      <c r="AI2092" s="418"/>
      <c r="AJ2092" s="418"/>
      <c r="AK2092" s="418"/>
      <c r="AL2092" s="418"/>
      <c r="AM2092" s="418"/>
      <c r="AN2092" s="418"/>
      <c r="AO2092" s="418"/>
      <c r="AP2092" s="418"/>
      <c r="AQ2092" s="418"/>
      <c r="AR2092" s="418"/>
      <c r="AS2092" s="418"/>
      <c r="AT2092" s="418"/>
      <c r="AU2092" s="418"/>
      <c r="AV2092" s="418"/>
      <c r="AW2092" s="418"/>
      <c r="AX2092" s="418"/>
      <c r="AY2092" s="418"/>
      <c r="BF2092" s="1119"/>
      <c r="BG2092" s="1119"/>
      <c r="BH2092" s="1119"/>
    </row>
    <row r="2093" spans="1:60" ht="15.75" customHeight="1">
      <c r="A2093" s="1076"/>
      <c r="B2093" s="416"/>
      <c r="C2093" s="424"/>
      <c r="E2093" s="418"/>
      <c r="F2093" s="493"/>
      <c r="G2093" s="418"/>
      <c r="H2093" s="421"/>
      <c r="I2093" s="421"/>
      <c r="J2093" s="492"/>
      <c r="K2093" s="418"/>
      <c r="L2093" s="418"/>
      <c r="M2093" s="418"/>
      <c r="N2093" s="421"/>
      <c r="O2093" s="421"/>
      <c r="P2093" s="421"/>
      <c r="Q2093" s="418"/>
      <c r="R2093" s="418"/>
      <c r="S2093" s="418"/>
      <c r="T2093" s="418"/>
      <c r="U2093" s="418"/>
      <c r="V2093" s="418"/>
      <c r="W2093" s="418"/>
      <c r="X2093" s="418"/>
      <c r="Y2093" s="418"/>
      <c r="Z2093" s="418"/>
      <c r="AA2093" s="418"/>
      <c r="AB2093" s="418"/>
      <c r="AC2093" s="418"/>
      <c r="AD2093" s="418"/>
      <c r="AE2093" s="418"/>
      <c r="AF2093" s="418"/>
      <c r="AG2093" s="418"/>
      <c r="AH2093" s="418"/>
      <c r="AI2093" s="418"/>
      <c r="AJ2093" s="418"/>
      <c r="AK2093" s="418"/>
      <c r="AL2093" s="418"/>
      <c r="AM2093" s="418"/>
      <c r="AN2093" s="418"/>
      <c r="AO2093" s="418"/>
      <c r="AP2093" s="418"/>
      <c r="AQ2093" s="418"/>
      <c r="AR2093" s="418"/>
      <c r="AS2093" s="418"/>
      <c r="AT2093" s="418"/>
      <c r="AU2093" s="418"/>
      <c r="AV2093" s="418"/>
      <c r="AW2093" s="418"/>
      <c r="AX2093" s="418"/>
      <c r="AY2093" s="418"/>
      <c r="BF2093" s="1119"/>
      <c r="BG2093" s="1119"/>
      <c r="BH2093" s="1119"/>
    </row>
    <row r="2094" spans="1:60" ht="15.75" customHeight="1">
      <c r="A2094" s="1076"/>
      <c r="B2094" s="416"/>
      <c r="C2094" s="424"/>
      <c r="E2094" s="418"/>
      <c r="F2094" s="493"/>
      <c r="G2094" s="418"/>
      <c r="H2094" s="421"/>
      <c r="I2094" s="421"/>
      <c r="J2094" s="492"/>
      <c r="K2094" s="418"/>
      <c r="L2094" s="418"/>
      <c r="M2094" s="418"/>
      <c r="N2094" s="421"/>
      <c r="O2094" s="421"/>
      <c r="P2094" s="421"/>
      <c r="Q2094" s="418"/>
      <c r="R2094" s="418"/>
      <c r="S2094" s="418"/>
      <c r="T2094" s="418"/>
      <c r="U2094" s="418"/>
      <c r="V2094" s="418"/>
      <c r="W2094" s="418"/>
      <c r="X2094" s="418"/>
      <c r="Y2094" s="418"/>
      <c r="Z2094" s="418"/>
      <c r="AA2094" s="418"/>
      <c r="AB2094" s="418"/>
      <c r="AC2094" s="418"/>
      <c r="AD2094" s="418"/>
      <c r="AE2094" s="418"/>
      <c r="AF2094" s="418"/>
      <c r="AG2094" s="418"/>
      <c r="AH2094" s="418"/>
      <c r="AI2094" s="418"/>
      <c r="AJ2094" s="418"/>
      <c r="AK2094" s="418"/>
      <c r="AL2094" s="418"/>
      <c r="AM2094" s="418"/>
      <c r="AN2094" s="418"/>
      <c r="AO2094" s="418"/>
      <c r="AP2094" s="418"/>
      <c r="AQ2094" s="418"/>
      <c r="AR2094" s="418"/>
      <c r="AS2094" s="418"/>
      <c r="AT2094" s="418"/>
      <c r="AU2094" s="418"/>
      <c r="AV2094" s="418"/>
      <c r="AW2094" s="418"/>
      <c r="AX2094" s="418"/>
      <c r="AY2094" s="418"/>
      <c r="BF2094" s="1119"/>
      <c r="BG2094" s="1119"/>
      <c r="BH2094" s="1119"/>
    </row>
    <row r="2095" spans="1:60" ht="15.75" customHeight="1">
      <c r="A2095" s="1076"/>
      <c r="B2095" s="416"/>
      <c r="C2095" s="424"/>
      <c r="E2095" s="418"/>
      <c r="F2095" s="493"/>
      <c r="G2095" s="418"/>
      <c r="H2095" s="421"/>
      <c r="I2095" s="421"/>
      <c r="J2095" s="492"/>
      <c r="K2095" s="418"/>
      <c r="L2095" s="418"/>
      <c r="M2095" s="418"/>
      <c r="N2095" s="421"/>
      <c r="O2095" s="421"/>
      <c r="P2095" s="421"/>
      <c r="Q2095" s="418"/>
      <c r="R2095" s="418"/>
      <c r="S2095" s="418"/>
      <c r="T2095" s="418"/>
      <c r="U2095" s="418"/>
      <c r="V2095" s="418"/>
      <c r="W2095" s="418"/>
      <c r="X2095" s="418"/>
      <c r="Y2095" s="418"/>
      <c r="Z2095" s="418"/>
      <c r="AA2095" s="418"/>
      <c r="AB2095" s="418"/>
      <c r="AC2095" s="418"/>
      <c r="AD2095" s="418"/>
      <c r="AE2095" s="418"/>
      <c r="AF2095" s="418"/>
      <c r="AG2095" s="418"/>
      <c r="AH2095" s="418"/>
      <c r="AI2095" s="418"/>
      <c r="AJ2095" s="418"/>
      <c r="AK2095" s="418"/>
      <c r="AL2095" s="418"/>
      <c r="AM2095" s="418"/>
      <c r="AN2095" s="418"/>
      <c r="AO2095" s="418"/>
      <c r="AP2095" s="418"/>
      <c r="AQ2095" s="418"/>
      <c r="AR2095" s="418"/>
      <c r="AS2095" s="418"/>
      <c r="AT2095" s="418"/>
      <c r="AU2095" s="418"/>
      <c r="AV2095" s="418"/>
      <c r="AW2095" s="418"/>
      <c r="AX2095" s="418"/>
      <c r="AY2095" s="418"/>
      <c r="BF2095" s="1119"/>
      <c r="BG2095" s="1119"/>
      <c r="BH2095" s="1119"/>
    </row>
    <row r="2096" spans="1:60" ht="15.75" customHeight="1">
      <c r="A2096" s="1076"/>
      <c r="B2096" s="416"/>
      <c r="C2096" s="424"/>
      <c r="E2096" s="418"/>
      <c r="F2096" s="493"/>
      <c r="G2096" s="418"/>
      <c r="H2096" s="421"/>
      <c r="I2096" s="421"/>
      <c r="J2096" s="492"/>
      <c r="K2096" s="418"/>
      <c r="L2096" s="418"/>
      <c r="M2096" s="418"/>
      <c r="N2096" s="421"/>
      <c r="O2096" s="421"/>
      <c r="P2096" s="421"/>
      <c r="Q2096" s="418"/>
      <c r="R2096" s="418"/>
      <c r="S2096" s="418"/>
      <c r="T2096" s="418"/>
      <c r="U2096" s="418"/>
      <c r="V2096" s="418"/>
      <c r="W2096" s="418"/>
      <c r="X2096" s="418"/>
      <c r="Y2096" s="418"/>
      <c r="Z2096" s="418"/>
      <c r="AA2096" s="418"/>
      <c r="AB2096" s="418"/>
      <c r="AC2096" s="418"/>
      <c r="AD2096" s="418"/>
      <c r="AE2096" s="418"/>
      <c r="AF2096" s="418"/>
      <c r="AG2096" s="418"/>
      <c r="AH2096" s="418"/>
      <c r="AI2096" s="418"/>
      <c r="AJ2096" s="418"/>
      <c r="AK2096" s="418"/>
      <c r="AL2096" s="418"/>
      <c r="AM2096" s="418"/>
      <c r="AN2096" s="418"/>
      <c r="AO2096" s="418"/>
      <c r="AP2096" s="418"/>
      <c r="AQ2096" s="418"/>
      <c r="AR2096" s="418"/>
      <c r="AS2096" s="418"/>
      <c r="AT2096" s="418"/>
      <c r="AU2096" s="418"/>
      <c r="AV2096" s="418"/>
      <c r="AW2096" s="418"/>
      <c r="AX2096" s="418"/>
      <c r="AY2096" s="418"/>
      <c r="BF2096" s="1119"/>
      <c r="BG2096" s="1119"/>
      <c r="BH2096" s="1119"/>
    </row>
    <row r="2097" spans="1:60" ht="15.75" customHeight="1">
      <c r="A2097" s="1076"/>
      <c r="B2097" s="416"/>
      <c r="C2097" s="424"/>
      <c r="E2097" s="418"/>
      <c r="F2097" s="493"/>
      <c r="G2097" s="418"/>
      <c r="H2097" s="421"/>
      <c r="I2097" s="421"/>
      <c r="J2097" s="492"/>
      <c r="K2097" s="418"/>
      <c r="L2097" s="418"/>
      <c r="M2097" s="418"/>
      <c r="N2097" s="421"/>
      <c r="O2097" s="421"/>
      <c r="P2097" s="421"/>
      <c r="Q2097" s="418"/>
      <c r="R2097" s="418"/>
      <c r="S2097" s="418"/>
      <c r="T2097" s="418"/>
      <c r="U2097" s="418"/>
      <c r="V2097" s="418"/>
      <c r="W2097" s="418"/>
      <c r="X2097" s="418"/>
      <c r="Y2097" s="418"/>
      <c r="Z2097" s="418"/>
      <c r="AA2097" s="418"/>
      <c r="AB2097" s="418"/>
      <c r="AC2097" s="418"/>
      <c r="AD2097" s="418"/>
      <c r="AE2097" s="418"/>
      <c r="AF2097" s="418"/>
      <c r="AG2097" s="418"/>
      <c r="AH2097" s="418"/>
      <c r="AI2097" s="418"/>
      <c r="AJ2097" s="418"/>
      <c r="AK2097" s="418"/>
      <c r="AL2097" s="418"/>
      <c r="AM2097" s="418"/>
      <c r="AN2097" s="418"/>
      <c r="AO2097" s="418"/>
      <c r="AP2097" s="418"/>
      <c r="AQ2097" s="418"/>
      <c r="AR2097" s="418"/>
      <c r="AS2097" s="418"/>
      <c r="AT2097" s="418"/>
      <c r="AU2097" s="418"/>
      <c r="AV2097" s="418"/>
      <c r="AW2097" s="418"/>
      <c r="AX2097" s="418"/>
      <c r="AY2097" s="418"/>
      <c r="BF2097" s="1119"/>
      <c r="BG2097" s="1119"/>
      <c r="BH2097" s="1119"/>
    </row>
    <row r="2098" spans="1:60" ht="15.75" customHeight="1">
      <c r="A2098" s="1076"/>
      <c r="B2098" s="416"/>
      <c r="C2098" s="424"/>
      <c r="E2098" s="418"/>
      <c r="F2098" s="493"/>
      <c r="G2098" s="418"/>
      <c r="H2098" s="421"/>
      <c r="I2098" s="421"/>
      <c r="J2098" s="492"/>
      <c r="K2098" s="418"/>
      <c r="L2098" s="418"/>
      <c r="M2098" s="418"/>
      <c r="N2098" s="421"/>
      <c r="O2098" s="421"/>
      <c r="P2098" s="421"/>
      <c r="Q2098" s="418"/>
      <c r="R2098" s="418"/>
      <c r="S2098" s="418"/>
      <c r="T2098" s="418"/>
      <c r="U2098" s="418"/>
      <c r="V2098" s="418"/>
      <c r="W2098" s="418"/>
      <c r="X2098" s="418"/>
      <c r="Y2098" s="418"/>
      <c r="Z2098" s="418"/>
      <c r="AA2098" s="418"/>
      <c r="AB2098" s="418"/>
      <c r="AC2098" s="418"/>
      <c r="AD2098" s="418"/>
      <c r="AE2098" s="418"/>
      <c r="AF2098" s="418"/>
      <c r="AG2098" s="418"/>
      <c r="AH2098" s="418"/>
      <c r="AI2098" s="418"/>
      <c r="AJ2098" s="418"/>
      <c r="AK2098" s="418"/>
      <c r="AL2098" s="418"/>
      <c r="AM2098" s="418"/>
      <c r="AN2098" s="418"/>
      <c r="AO2098" s="418"/>
      <c r="AP2098" s="418"/>
      <c r="AQ2098" s="418"/>
      <c r="AR2098" s="418"/>
      <c r="AS2098" s="418"/>
      <c r="AT2098" s="418"/>
      <c r="AU2098" s="418"/>
      <c r="AV2098" s="418"/>
      <c r="AW2098" s="418"/>
      <c r="AX2098" s="418"/>
      <c r="AY2098" s="418"/>
      <c r="BF2098" s="1119"/>
      <c r="BG2098" s="1119"/>
      <c r="BH2098" s="1119"/>
    </row>
    <row r="2099" spans="1:60" ht="15.75" customHeight="1">
      <c r="A2099" s="1076"/>
      <c r="B2099" s="416"/>
      <c r="C2099" s="424"/>
      <c r="E2099" s="418"/>
      <c r="F2099" s="493"/>
      <c r="G2099" s="418"/>
      <c r="H2099" s="421"/>
      <c r="I2099" s="421"/>
      <c r="J2099" s="492"/>
      <c r="K2099" s="418"/>
      <c r="L2099" s="418"/>
      <c r="M2099" s="418"/>
      <c r="N2099" s="421"/>
      <c r="O2099" s="421"/>
      <c r="P2099" s="421"/>
      <c r="Q2099" s="418"/>
      <c r="R2099" s="418"/>
      <c r="S2099" s="418"/>
      <c r="T2099" s="418"/>
      <c r="U2099" s="418"/>
      <c r="V2099" s="418"/>
      <c r="W2099" s="418"/>
      <c r="X2099" s="418"/>
      <c r="Y2099" s="418"/>
      <c r="Z2099" s="418"/>
      <c r="AA2099" s="418"/>
      <c r="AB2099" s="418"/>
      <c r="AC2099" s="418"/>
      <c r="AD2099" s="418"/>
      <c r="AE2099" s="418"/>
      <c r="AF2099" s="418"/>
      <c r="AG2099" s="418"/>
      <c r="AH2099" s="418"/>
      <c r="AI2099" s="418"/>
      <c r="AJ2099" s="418"/>
      <c r="AK2099" s="418"/>
      <c r="AL2099" s="418"/>
      <c r="AM2099" s="418"/>
      <c r="AN2099" s="418"/>
      <c r="AO2099" s="418"/>
      <c r="AP2099" s="418"/>
      <c r="AQ2099" s="418"/>
      <c r="AR2099" s="418"/>
      <c r="AS2099" s="418"/>
      <c r="AT2099" s="418"/>
      <c r="AU2099" s="418"/>
      <c r="AV2099" s="418"/>
      <c r="AW2099" s="418"/>
      <c r="AX2099" s="418"/>
      <c r="AY2099" s="418"/>
      <c r="BF2099" s="1119"/>
      <c r="BG2099" s="1119"/>
      <c r="BH2099" s="1119"/>
    </row>
    <row r="2100" spans="1:60" ht="15.75" customHeight="1">
      <c r="A2100" s="1076"/>
      <c r="B2100" s="416"/>
      <c r="C2100" s="424"/>
      <c r="E2100" s="418"/>
      <c r="F2100" s="493"/>
      <c r="G2100" s="418"/>
      <c r="H2100" s="421"/>
      <c r="I2100" s="421"/>
      <c r="J2100" s="492"/>
      <c r="K2100" s="418"/>
      <c r="L2100" s="418"/>
      <c r="M2100" s="418"/>
      <c r="N2100" s="421"/>
      <c r="O2100" s="421"/>
      <c r="P2100" s="421"/>
      <c r="Q2100" s="418"/>
      <c r="R2100" s="418"/>
      <c r="S2100" s="418"/>
      <c r="T2100" s="418"/>
      <c r="U2100" s="418"/>
      <c r="V2100" s="418"/>
      <c r="W2100" s="418"/>
      <c r="X2100" s="418"/>
      <c r="Y2100" s="418"/>
      <c r="Z2100" s="418"/>
      <c r="AA2100" s="418"/>
      <c r="AB2100" s="418"/>
      <c r="AC2100" s="418"/>
      <c r="AD2100" s="418"/>
      <c r="AE2100" s="418"/>
      <c r="AF2100" s="418"/>
      <c r="AG2100" s="418"/>
      <c r="AH2100" s="418"/>
      <c r="AI2100" s="418"/>
      <c r="AJ2100" s="418"/>
      <c r="AK2100" s="418"/>
      <c r="AL2100" s="418"/>
      <c r="AM2100" s="418"/>
      <c r="AN2100" s="418"/>
      <c r="AO2100" s="418"/>
      <c r="AP2100" s="418"/>
      <c r="AQ2100" s="418"/>
      <c r="AR2100" s="418"/>
      <c r="AS2100" s="418"/>
      <c r="AT2100" s="418"/>
      <c r="AU2100" s="418"/>
      <c r="AV2100" s="418"/>
      <c r="AW2100" s="418"/>
      <c r="AX2100" s="418"/>
      <c r="AY2100" s="418"/>
      <c r="BF2100" s="1119"/>
      <c r="BG2100" s="1119"/>
      <c r="BH2100" s="1119"/>
    </row>
    <row r="2101" spans="1:60" ht="15.75" customHeight="1">
      <c r="A2101" s="1076"/>
      <c r="B2101" s="416"/>
      <c r="C2101" s="424"/>
      <c r="E2101" s="418"/>
      <c r="F2101" s="493"/>
      <c r="G2101" s="418"/>
      <c r="H2101" s="421"/>
      <c r="I2101" s="421"/>
      <c r="J2101" s="492"/>
      <c r="K2101" s="418"/>
      <c r="L2101" s="418"/>
      <c r="M2101" s="418"/>
      <c r="N2101" s="421"/>
      <c r="O2101" s="421"/>
      <c r="P2101" s="421"/>
      <c r="Q2101" s="418"/>
      <c r="R2101" s="418"/>
      <c r="S2101" s="418"/>
      <c r="T2101" s="418"/>
      <c r="U2101" s="418"/>
      <c r="V2101" s="418"/>
      <c r="W2101" s="418"/>
      <c r="X2101" s="418"/>
      <c r="Y2101" s="418"/>
      <c r="Z2101" s="418"/>
      <c r="AA2101" s="418"/>
      <c r="AB2101" s="418"/>
      <c r="AC2101" s="418"/>
      <c r="AD2101" s="418"/>
      <c r="AE2101" s="418"/>
      <c r="AF2101" s="418"/>
      <c r="AG2101" s="418"/>
      <c r="AH2101" s="418"/>
      <c r="AI2101" s="418"/>
      <c r="AJ2101" s="418"/>
      <c r="AK2101" s="418"/>
      <c r="AL2101" s="418"/>
      <c r="AM2101" s="418"/>
      <c r="AN2101" s="418"/>
      <c r="AO2101" s="418"/>
      <c r="AP2101" s="418"/>
      <c r="AQ2101" s="418"/>
      <c r="AR2101" s="418"/>
      <c r="AS2101" s="418"/>
      <c r="AT2101" s="418"/>
      <c r="AU2101" s="418"/>
      <c r="AV2101" s="418"/>
      <c r="AW2101" s="418"/>
      <c r="AX2101" s="418"/>
      <c r="AY2101" s="418"/>
      <c r="BF2101" s="1119"/>
      <c r="BG2101" s="1119"/>
      <c r="BH2101" s="1119"/>
    </row>
    <row r="2102" spans="1:60" ht="15.75" customHeight="1">
      <c r="A2102" s="1076"/>
      <c r="B2102" s="416"/>
      <c r="C2102" s="424"/>
      <c r="E2102" s="418"/>
      <c r="F2102" s="493"/>
      <c r="G2102" s="418"/>
      <c r="H2102" s="421"/>
      <c r="I2102" s="421"/>
      <c r="J2102" s="492"/>
      <c r="K2102" s="418"/>
      <c r="L2102" s="418"/>
      <c r="M2102" s="418"/>
      <c r="N2102" s="421"/>
      <c r="O2102" s="421"/>
      <c r="P2102" s="421"/>
      <c r="Q2102" s="418"/>
      <c r="R2102" s="418"/>
      <c r="S2102" s="418"/>
      <c r="T2102" s="418"/>
      <c r="U2102" s="418"/>
      <c r="V2102" s="418"/>
      <c r="W2102" s="418"/>
      <c r="X2102" s="418"/>
      <c r="Y2102" s="418"/>
      <c r="Z2102" s="418"/>
      <c r="AA2102" s="418"/>
      <c r="AB2102" s="418"/>
      <c r="AC2102" s="418"/>
      <c r="AD2102" s="418"/>
      <c r="AE2102" s="418"/>
      <c r="AF2102" s="418"/>
      <c r="AG2102" s="418"/>
      <c r="AH2102" s="418"/>
      <c r="AI2102" s="418"/>
      <c r="AJ2102" s="418"/>
      <c r="AK2102" s="418"/>
      <c r="AL2102" s="418"/>
      <c r="AM2102" s="418"/>
      <c r="AN2102" s="418"/>
      <c r="AO2102" s="418"/>
      <c r="AP2102" s="418"/>
      <c r="AQ2102" s="418"/>
      <c r="AR2102" s="418"/>
      <c r="AS2102" s="418"/>
      <c r="AT2102" s="418"/>
      <c r="AU2102" s="418"/>
      <c r="AV2102" s="418"/>
      <c r="AW2102" s="418"/>
      <c r="AX2102" s="418"/>
      <c r="AY2102" s="418"/>
      <c r="BF2102" s="1119"/>
      <c r="BG2102" s="1119"/>
      <c r="BH2102" s="1119"/>
    </row>
    <row r="2103" spans="1:60" ht="15.75" customHeight="1">
      <c r="A2103" s="1076"/>
      <c r="B2103" s="416"/>
      <c r="C2103" s="424"/>
      <c r="E2103" s="418"/>
      <c r="F2103" s="493"/>
      <c r="G2103" s="418"/>
      <c r="H2103" s="421"/>
      <c r="I2103" s="421"/>
      <c r="J2103" s="492"/>
      <c r="K2103" s="418"/>
      <c r="L2103" s="418"/>
      <c r="M2103" s="418"/>
      <c r="N2103" s="421"/>
      <c r="O2103" s="421"/>
      <c r="P2103" s="421"/>
      <c r="Q2103" s="418"/>
      <c r="R2103" s="418"/>
      <c r="S2103" s="418"/>
      <c r="T2103" s="418"/>
      <c r="U2103" s="418"/>
      <c r="V2103" s="418"/>
      <c r="W2103" s="418"/>
      <c r="X2103" s="418"/>
      <c r="Y2103" s="418"/>
      <c r="Z2103" s="418"/>
      <c r="AA2103" s="418"/>
      <c r="AB2103" s="418"/>
      <c r="AC2103" s="418"/>
      <c r="AD2103" s="418"/>
      <c r="AE2103" s="418"/>
      <c r="AF2103" s="418"/>
      <c r="AG2103" s="418"/>
      <c r="AH2103" s="418"/>
      <c r="AI2103" s="418"/>
      <c r="AJ2103" s="418"/>
      <c r="AK2103" s="418"/>
      <c r="AL2103" s="418"/>
      <c r="AM2103" s="418"/>
      <c r="AN2103" s="418"/>
      <c r="AO2103" s="418"/>
      <c r="AP2103" s="418"/>
      <c r="AQ2103" s="418"/>
      <c r="AR2103" s="418"/>
      <c r="AS2103" s="418"/>
      <c r="AT2103" s="418"/>
      <c r="AU2103" s="418"/>
      <c r="AV2103" s="418"/>
      <c r="AW2103" s="418"/>
      <c r="AX2103" s="418"/>
      <c r="AY2103" s="418"/>
      <c r="BF2103" s="1119"/>
      <c r="BG2103" s="1119"/>
      <c r="BH2103" s="1119"/>
    </row>
    <row r="2104" spans="1:60" ht="15.75" customHeight="1">
      <c r="A2104" s="1076"/>
      <c r="B2104" s="416"/>
      <c r="C2104" s="424"/>
      <c r="E2104" s="418"/>
      <c r="F2104" s="493"/>
      <c r="G2104" s="418"/>
      <c r="H2104" s="421"/>
      <c r="I2104" s="421"/>
      <c r="J2104" s="492"/>
      <c r="K2104" s="418"/>
      <c r="L2104" s="418"/>
      <c r="M2104" s="418"/>
      <c r="N2104" s="421"/>
      <c r="O2104" s="421"/>
      <c r="P2104" s="421"/>
      <c r="Q2104" s="418"/>
      <c r="R2104" s="418"/>
      <c r="S2104" s="418"/>
      <c r="T2104" s="418"/>
      <c r="U2104" s="418"/>
      <c r="V2104" s="418"/>
      <c r="W2104" s="418"/>
      <c r="X2104" s="418"/>
      <c r="Y2104" s="418"/>
      <c r="Z2104" s="418"/>
      <c r="AA2104" s="418"/>
      <c r="AB2104" s="418"/>
      <c r="AC2104" s="418"/>
      <c r="AD2104" s="418"/>
      <c r="AE2104" s="418"/>
      <c r="AF2104" s="418"/>
      <c r="AG2104" s="418"/>
      <c r="AH2104" s="418"/>
      <c r="AI2104" s="418"/>
      <c r="AJ2104" s="418"/>
      <c r="AK2104" s="418"/>
      <c r="AL2104" s="418"/>
      <c r="AM2104" s="418"/>
      <c r="AN2104" s="418"/>
      <c r="AO2104" s="418"/>
      <c r="AP2104" s="418"/>
      <c r="AQ2104" s="418"/>
      <c r="AR2104" s="418"/>
      <c r="AS2104" s="418"/>
      <c r="AT2104" s="418"/>
      <c r="AU2104" s="418"/>
      <c r="AV2104" s="418"/>
      <c r="AW2104" s="418"/>
      <c r="AX2104" s="418"/>
      <c r="AY2104" s="418"/>
      <c r="BF2104" s="1119"/>
      <c r="BG2104" s="1119"/>
      <c r="BH2104" s="1119"/>
    </row>
    <row r="2105" spans="1:60" ht="15.75" customHeight="1">
      <c r="A2105" s="1076"/>
      <c r="B2105" s="416"/>
      <c r="C2105" s="424"/>
      <c r="E2105" s="418"/>
      <c r="F2105" s="493"/>
      <c r="G2105" s="418"/>
      <c r="H2105" s="421"/>
      <c r="I2105" s="421"/>
      <c r="J2105" s="492"/>
      <c r="K2105" s="418"/>
      <c r="L2105" s="418"/>
      <c r="M2105" s="418"/>
      <c r="N2105" s="421"/>
      <c r="O2105" s="421"/>
      <c r="P2105" s="421"/>
      <c r="Q2105" s="418"/>
      <c r="R2105" s="418"/>
      <c r="S2105" s="418"/>
      <c r="T2105" s="418"/>
      <c r="U2105" s="418"/>
      <c r="V2105" s="418"/>
      <c r="W2105" s="418"/>
      <c r="X2105" s="418"/>
      <c r="Y2105" s="418"/>
      <c r="Z2105" s="418"/>
      <c r="AA2105" s="418"/>
      <c r="AB2105" s="418"/>
      <c r="AC2105" s="418"/>
      <c r="AD2105" s="418"/>
      <c r="AE2105" s="418"/>
      <c r="AF2105" s="418"/>
      <c r="AG2105" s="418"/>
      <c r="AH2105" s="418"/>
      <c r="AI2105" s="418"/>
      <c r="AJ2105" s="418"/>
      <c r="AK2105" s="418"/>
      <c r="AL2105" s="418"/>
      <c r="AM2105" s="418"/>
      <c r="AN2105" s="418"/>
      <c r="AO2105" s="418"/>
      <c r="AP2105" s="418"/>
      <c r="AQ2105" s="418"/>
      <c r="AR2105" s="418"/>
      <c r="AS2105" s="418"/>
      <c r="AT2105" s="418"/>
      <c r="AU2105" s="418"/>
      <c r="AV2105" s="418"/>
      <c r="AW2105" s="418"/>
      <c r="AX2105" s="418"/>
      <c r="AY2105" s="418"/>
      <c r="BF2105" s="1119"/>
      <c r="BG2105" s="1119"/>
      <c r="BH2105" s="1119"/>
    </row>
    <row r="2106" spans="1:60" ht="15.75" customHeight="1">
      <c r="A2106" s="1076"/>
      <c r="B2106" s="416"/>
      <c r="C2106" s="424"/>
      <c r="E2106" s="418"/>
      <c r="F2106" s="493"/>
      <c r="G2106" s="418"/>
      <c r="H2106" s="421"/>
      <c r="I2106" s="421"/>
      <c r="J2106" s="492"/>
      <c r="K2106" s="418"/>
      <c r="L2106" s="418"/>
      <c r="M2106" s="418"/>
      <c r="N2106" s="421"/>
      <c r="O2106" s="421"/>
      <c r="P2106" s="421"/>
      <c r="Q2106" s="418"/>
      <c r="R2106" s="418"/>
      <c r="S2106" s="418"/>
      <c r="T2106" s="418"/>
      <c r="U2106" s="418"/>
      <c r="V2106" s="418"/>
      <c r="W2106" s="418"/>
      <c r="X2106" s="418"/>
      <c r="Y2106" s="418"/>
      <c r="Z2106" s="418"/>
      <c r="AA2106" s="418"/>
      <c r="AB2106" s="418"/>
      <c r="AC2106" s="418"/>
      <c r="AD2106" s="418"/>
      <c r="AE2106" s="418"/>
      <c r="AF2106" s="418"/>
      <c r="AG2106" s="418"/>
      <c r="AH2106" s="418"/>
      <c r="AI2106" s="418"/>
      <c r="AJ2106" s="418"/>
      <c r="AK2106" s="418"/>
      <c r="AL2106" s="418"/>
      <c r="AM2106" s="418"/>
      <c r="AN2106" s="418"/>
      <c r="AO2106" s="418"/>
      <c r="AP2106" s="418"/>
      <c r="AQ2106" s="418"/>
      <c r="AR2106" s="418"/>
      <c r="AS2106" s="418"/>
      <c r="AT2106" s="418"/>
      <c r="AU2106" s="418"/>
      <c r="AV2106" s="418"/>
      <c r="AW2106" s="418"/>
      <c r="AX2106" s="418"/>
      <c r="AY2106" s="418"/>
      <c r="BF2106" s="1119"/>
      <c r="BG2106" s="1119"/>
      <c r="BH2106" s="1119"/>
    </row>
    <row r="2107" spans="1:60" ht="15.75" customHeight="1">
      <c r="A2107" s="1076"/>
      <c r="B2107" s="416"/>
      <c r="C2107" s="424"/>
      <c r="E2107" s="418"/>
      <c r="F2107" s="493"/>
      <c r="G2107" s="418"/>
      <c r="H2107" s="421"/>
      <c r="I2107" s="421"/>
      <c r="J2107" s="492"/>
      <c r="K2107" s="418"/>
      <c r="L2107" s="418"/>
      <c r="M2107" s="418"/>
      <c r="N2107" s="421"/>
      <c r="O2107" s="421"/>
      <c r="P2107" s="421"/>
      <c r="Q2107" s="418"/>
      <c r="R2107" s="418"/>
      <c r="S2107" s="418"/>
      <c r="T2107" s="418"/>
      <c r="U2107" s="418"/>
      <c r="V2107" s="418"/>
      <c r="W2107" s="418"/>
      <c r="X2107" s="418"/>
      <c r="Y2107" s="418"/>
      <c r="Z2107" s="418"/>
      <c r="AA2107" s="418"/>
      <c r="AB2107" s="418"/>
      <c r="AC2107" s="418"/>
      <c r="AD2107" s="418"/>
      <c r="AE2107" s="418"/>
      <c r="AF2107" s="418"/>
      <c r="AG2107" s="418"/>
      <c r="AH2107" s="418"/>
      <c r="AI2107" s="418"/>
      <c r="AJ2107" s="418"/>
      <c r="AK2107" s="418"/>
      <c r="AL2107" s="418"/>
      <c r="AM2107" s="418"/>
      <c r="AN2107" s="418"/>
      <c r="AO2107" s="418"/>
      <c r="AP2107" s="418"/>
      <c r="AQ2107" s="418"/>
      <c r="AR2107" s="418"/>
      <c r="AS2107" s="418"/>
      <c r="AT2107" s="418"/>
      <c r="AU2107" s="418"/>
      <c r="AV2107" s="418"/>
      <c r="AW2107" s="418"/>
      <c r="AX2107" s="418"/>
      <c r="AY2107" s="418"/>
      <c r="BF2107" s="1119"/>
      <c r="BG2107" s="1119"/>
      <c r="BH2107" s="1119"/>
    </row>
    <row r="2108" spans="1:60" ht="15.75" customHeight="1">
      <c r="A2108" s="1076"/>
      <c r="B2108" s="416"/>
      <c r="C2108" s="424"/>
      <c r="E2108" s="418"/>
      <c r="F2108" s="493"/>
      <c r="G2108" s="418"/>
      <c r="H2108" s="421"/>
      <c r="I2108" s="421"/>
      <c r="J2108" s="492"/>
      <c r="K2108" s="418"/>
      <c r="L2108" s="418"/>
      <c r="M2108" s="418"/>
      <c r="N2108" s="421"/>
      <c r="O2108" s="421"/>
      <c r="P2108" s="421"/>
      <c r="Q2108" s="418"/>
      <c r="R2108" s="418"/>
      <c r="S2108" s="418"/>
      <c r="T2108" s="418"/>
      <c r="U2108" s="418"/>
      <c r="V2108" s="418"/>
      <c r="W2108" s="418"/>
      <c r="X2108" s="418"/>
      <c r="Y2108" s="418"/>
      <c r="Z2108" s="418"/>
      <c r="AA2108" s="418"/>
      <c r="AB2108" s="418"/>
      <c r="AC2108" s="418"/>
      <c r="AD2108" s="418"/>
      <c r="AE2108" s="418"/>
      <c r="AF2108" s="418"/>
      <c r="AG2108" s="418"/>
      <c r="AH2108" s="418"/>
      <c r="AI2108" s="418"/>
      <c r="AJ2108" s="418"/>
      <c r="AK2108" s="418"/>
      <c r="AL2108" s="418"/>
      <c r="AM2108" s="418"/>
      <c r="AN2108" s="418"/>
      <c r="AO2108" s="418"/>
      <c r="AP2108" s="418"/>
      <c r="AQ2108" s="418"/>
      <c r="AR2108" s="418"/>
      <c r="AS2108" s="418"/>
      <c r="AT2108" s="418"/>
      <c r="AU2108" s="418"/>
      <c r="AV2108" s="418"/>
      <c r="AW2108" s="418"/>
      <c r="AX2108" s="418"/>
      <c r="AY2108" s="418"/>
      <c r="BF2108" s="1119"/>
      <c r="BG2108" s="1119"/>
      <c r="BH2108" s="1119"/>
    </row>
    <row r="2109" spans="1:60" ht="15.75" customHeight="1">
      <c r="A2109" s="1076"/>
      <c r="B2109" s="416"/>
      <c r="C2109" s="424"/>
      <c r="E2109" s="418"/>
      <c r="F2109" s="493"/>
      <c r="G2109" s="418"/>
      <c r="H2109" s="421"/>
      <c r="I2109" s="421"/>
      <c r="J2109" s="492"/>
      <c r="K2109" s="418"/>
      <c r="L2109" s="418"/>
      <c r="M2109" s="418"/>
      <c r="N2109" s="421"/>
      <c r="O2109" s="421"/>
      <c r="P2109" s="421"/>
      <c r="Q2109" s="418"/>
      <c r="R2109" s="418"/>
      <c r="S2109" s="418"/>
      <c r="T2109" s="418"/>
      <c r="U2109" s="418"/>
      <c r="V2109" s="418"/>
      <c r="W2109" s="418"/>
      <c r="X2109" s="418"/>
      <c r="Y2109" s="418"/>
      <c r="Z2109" s="418"/>
      <c r="AA2109" s="418"/>
      <c r="AB2109" s="418"/>
      <c r="AC2109" s="418"/>
      <c r="AD2109" s="418"/>
      <c r="AE2109" s="418"/>
      <c r="AF2109" s="418"/>
      <c r="AG2109" s="418"/>
      <c r="AH2109" s="418"/>
      <c r="AI2109" s="418"/>
      <c r="AJ2109" s="418"/>
      <c r="AK2109" s="418"/>
      <c r="AL2109" s="418"/>
      <c r="AM2109" s="418"/>
      <c r="AN2109" s="418"/>
      <c r="AO2109" s="418"/>
      <c r="AP2109" s="418"/>
      <c r="AQ2109" s="418"/>
      <c r="AR2109" s="418"/>
      <c r="AS2109" s="418"/>
      <c r="AT2109" s="418"/>
      <c r="AU2109" s="418"/>
      <c r="AV2109" s="418"/>
      <c r="AW2109" s="418"/>
      <c r="AX2109" s="418"/>
      <c r="AY2109" s="418"/>
      <c r="BF2109" s="1119"/>
      <c r="BG2109" s="1119"/>
      <c r="BH2109" s="1119"/>
    </row>
    <row r="2110" spans="1:60" ht="15.75" customHeight="1">
      <c r="A2110" s="1076"/>
      <c r="B2110" s="416"/>
      <c r="C2110" s="424"/>
      <c r="E2110" s="418"/>
      <c r="F2110" s="493"/>
      <c r="G2110" s="418"/>
      <c r="H2110" s="421"/>
      <c r="I2110" s="421"/>
      <c r="J2110" s="492"/>
      <c r="K2110" s="418"/>
      <c r="L2110" s="418"/>
      <c r="M2110" s="418"/>
      <c r="N2110" s="421"/>
      <c r="O2110" s="421"/>
      <c r="P2110" s="421"/>
      <c r="Q2110" s="418"/>
      <c r="R2110" s="418"/>
      <c r="S2110" s="418"/>
      <c r="T2110" s="418"/>
      <c r="U2110" s="418"/>
      <c r="V2110" s="418"/>
      <c r="W2110" s="418"/>
      <c r="X2110" s="418"/>
      <c r="Y2110" s="418"/>
      <c r="Z2110" s="418"/>
      <c r="AA2110" s="418"/>
      <c r="AB2110" s="418"/>
      <c r="AC2110" s="418"/>
      <c r="AD2110" s="418"/>
      <c r="AE2110" s="418"/>
      <c r="AF2110" s="418"/>
      <c r="AG2110" s="418"/>
      <c r="AH2110" s="418"/>
      <c r="AI2110" s="418"/>
      <c r="AJ2110" s="418"/>
      <c r="AK2110" s="418"/>
      <c r="AL2110" s="418"/>
      <c r="AM2110" s="418"/>
      <c r="AN2110" s="418"/>
      <c r="AO2110" s="418"/>
      <c r="AP2110" s="418"/>
      <c r="AQ2110" s="418"/>
      <c r="AR2110" s="418"/>
      <c r="AS2110" s="418"/>
      <c r="AT2110" s="418"/>
      <c r="AU2110" s="418"/>
      <c r="AV2110" s="418"/>
      <c r="AW2110" s="418"/>
      <c r="AX2110" s="418"/>
      <c r="AY2110" s="418"/>
      <c r="BF2110" s="1119"/>
      <c r="BG2110" s="1119"/>
      <c r="BH2110" s="1119"/>
    </row>
    <row r="2111" spans="1:60" ht="15.75" customHeight="1">
      <c r="A2111" s="1076"/>
      <c r="B2111" s="416"/>
      <c r="C2111" s="424"/>
      <c r="E2111" s="418"/>
      <c r="F2111" s="493"/>
      <c r="G2111" s="418"/>
      <c r="H2111" s="421"/>
      <c r="I2111" s="421"/>
      <c r="J2111" s="492"/>
      <c r="K2111" s="418"/>
      <c r="L2111" s="418"/>
      <c r="M2111" s="418"/>
      <c r="N2111" s="421"/>
      <c r="O2111" s="421"/>
      <c r="P2111" s="421"/>
      <c r="Q2111" s="418"/>
      <c r="R2111" s="418"/>
      <c r="S2111" s="418"/>
      <c r="T2111" s="418"/>
      <c r="U2111" s="418"/>
      <c r="V2111" s="418"/>
      <c r="W2111" s="418"/>
      <c r="X2111" s="418"/>
      <c r="Y2111" s="418"/>
      <c r="Z2111" s="418"/>
      <c r="AA2111" s="418"/>
      <c r="AB2111" s="418"/>
      <c r="AC2111" s="418"/>
      <c r="AD2111" s="418"/>
      <c r="AE2111" s="418"/>
      <c r="AF2111" s="418"/>
      <c r="AG2111" s="418"/>
      <c r="AH2111" s="418"/>
      <c r="AI2111" s="418"/>
      <c r="AJ2111" s="418"/>
      <c r="AK2111" s="418"/>
      <c r="AL2111" s="418"/>
      <c r="AM2111" s="418"/>
      <c r="AN2111" s="418"/>
      <c r="AO2111" s="418"/>
      <c r="AP2111" s="418"/>
      <c r="AQ2111" s="418"/>
      <c r="AR2111" s="418"/>
      <c r="AS2111" s="418"/>
      <c r="AT2111" s="418"/>
      <c r="AU2111" s="418"/>
      <c r="AV2111" s="418"/>
      <c r="AW2111" s="418"/>
      <c r="AX2111" s="418"/>
      <c r="AY2111" s="418"/>
      <c r="BF2111" s="1119"/>
      <c r="BG2111" s="1119"/>
      <c r="BH2111" s="1119"/>
    </row>
    <row r="2112" spans="1:60" ht="15.75" customHeight="1">
      <c r="A2112" s="1076"/>
      <c r="B2112" s="416"/>
      <c r="C2112" s="424"/>
      <c r="E2112" s="418"/>
      <c r="F2112" s="493"/>
      <c r="G2112" s="418"/>
      <c r="H2112" s="421"/>
      <c r="I2112" s="421"/>
      <c r="J2112" s="492"/>
      <c r="K2112" s="418"/>
      <c r="L2112" s="418"/>
      <c r="M2112" s="418"/>
      <c r="N2112" s="421"/>
      <c r="O2112" s="421"/>
      <c r="P2112" s="421"/>
      <c r="Q2112" s="418"/>
      <c r="R2112" s="418"/>
      <c r="S2112" s="418"/>
      <c r="T2112" s="418"/>
      <c r="U2112" s="418"/>
      <c r="V2112" s="418"/>
      <c r="W2112" s="418"/>
      <c r="X2112" s="418"/>
      <c r="Y2112" s="418"/>
      <c r="Z2112" s="418"/>
      <c r="AA2112" s="418"/>
      <c r="AB2112" s="418"/>
      <c r="AC2112" s="418"/>
      <c r="AD2112" s="418"/>
      <c r="AE2112" s="418"/>
      <c r="AF2112" s="418"/>
      <c r="AG2112" s="418"/>
      <c r="AH2112" s="418"/>
      <c r="AI2112" s="418"/>
      <c r="AJ2112" s="418"/>
      <c r="AK2112" s="418"/>
      <c r="AL2112" s="418"/>
      <c r="AM2112" s="418"/>
      <c r="AN2112" s="418"/>
      <c r="AO2112" s="418"/>
      <c r="AP2112" s="418"/>
      <c r="AQ2112" s="418"/>
      <c r="AR2112" s="418"/>
      <c r="AS2112" s="418"/>
      <c r="AT2112" s="418"/>
      <c r="AU2112" s="418"/>
      <c r="AV2112" s="418"/>
      <c r="AW2112" s="418"/>
      <c r="AX2112" s="418"/>
      <c r="AY2112" s="418"/>
      <c r="BF2112" s="1119"/>
      <c r="BG2112" s="1119"/>
      <c r="BH2112" s="1119"/>
    </row>
    <row r="2113" spans="1:60" ht="15.75" customHeight="1">
      <c r="A2113" s="1076"/>
      <c r="B2113" s="416"/>
      <c r="C2113" s="424"/>
      <c r="E2113" s="418"/>
      <c r="F2113" s="493"/>
      <c r="G2113" s="418"/>
      <c r="H2113" s="421"/>
      <c r="I2113" s="421"/>
      <c r="J2113" s="492"/>
      <c r="K2113" s="418"/>
      <c r="L2113" s="418"/>
      <c r="M2113" s="418"/>
      <c r="N2113" s="421"/>
      <c r="O2113" s="421"/>
      <c r="P2113" s="421"/>
      <c r="Q2113" s="418"/>
      <c r="R2113" s="418"/>
      <c r="S2113" s="418"/>
      <c r="T2113" s="418"/>
      <c r="U2113" s="418"/>
      <c r="V2113" s="418"/>
      <c r="W2113" s="418"/>
      <c r="X2113" s="418"/>
      <c r="Y2113" s="418"/>
      <c r="Z2113" s="418"/>
      <c r="AA2113" s="418"/>
      <c r="AB2113" s="418"/>
      <c r="AC2113" s="418"/>
      <c r="AD2113" s="418"/>
      <c r="AE2113" s="418"/>
      <c r="AF2113" s="418"/>
      <c r="AG2113" s="418"/>
      <c r="AH2113" s="418"/>
      <c r="AI2113" s="418"/>
      <c r="AJ2113" s="418"/>
      <c r="AK2113" s="418"/>
      <c r="AL2113" s="418"/>
      <c r="AM2113" s="418"/>
      <c r="AN2113" s="418"/>
      <c r="AO2113" s="418"/>
      <c r="AP2113" s="418"/>
      <c r="AQ2113" s="418"/>
      <c r="AR2113" s="418"/>
      <c r="AS2113" s="418"/>
      <c r="AT2113" s="418"/>
      <c r="AU2113" s="418"/>
      <c r="AV2113" s="418"/>
      <c r="AW2113" s="418"/>
      <c r="AX2113" s="418"/>
      <c r="AY2113" s="418"/>
      <c r="BF2113" s="1119"/>
      <c r="BG2113" s="1119"/>
      <c r="BH2113" s="1119"/>
    </row>
    <row r="2114" spans="1:60" ht="15.75" customHeight="1">
      <c r="A2114" s="1076"/>
      <c r="B2114" s="416"/>
      <c r="C2114" s="424"/>
      <c r="E2114" s="418"/>
      <c r="F2114" s="493"/>
      <c r="G2114" s="418"/>
      <c r="H2114" s="421"/>
      <c r="I2114" s="421"/>
      <c r="J2114" s="492"/>
      <c r="K2114" s="418"/>
      <c r="L2114" s="418"/>
      <c r="M2114" s="418"/>
      <c r="N2114" s="421"/>
      <c r="O2114" s="421"/>
      <c r="P2114" s="421"/>
      <c r="Q2114" s="418"/>
      <c r="R2114" s="418"/>
      <c r="S2114" s="418"/>
      <c r="T2114" s="418"/>
      <c r="U2114" s="418"/>
      <c r="V2114" s="418"/>
      <c r="W2114" s="418"/>
      <c r="X2114" s="418"/>
      <c r="Y2114" s="418"/>
      <c r="Z2114" s="418"/>
      <c r="AA2114" s="418"/>
      <c r="AB2114" s="418"/>
      <c r="AC2114" s="418"/>
      <c r="AD2114" s="418"/>
      <c r="AE2114" s="418"/>
      <c r="AF2114" s="418"/>
      <c r="AG2114" s="418"/>
      <c r="AH2114" s="418"/>
      <c r="AI2114" s="418"/>
      <c r="AJ2114" s="418"/>
      <c r="AK2114" s="418"/>
      <c r="AL2114" s="418"/>
      <c r="AM2114" s="418"/>
      <c r="AN2114" s="418"/>
      <c r="AO2114" s="418"/>
      <c r="AP2114" s="418"/>
      <c r="AQ2114" s="418"/>
      <c r="AR2114" s="418"/>
      <c r="AS2114" s="418"/>
      <c r="AT2114" s="418"/>
      <c r="AU2114" s="418"/>
      <c r="AV2114" s="418"/>
      <c r="AW2114" s="418"/>
      <c r="AX2114" s="418"/>
      <c r="AY2114" s="418"/>
      <c r="BF2114" s="1119"/>
      <c r="BG2114" s="1119"/>
      <c r="BH2114" s="1119"/>
    </row>
    <row r="2115" spans="1:60" ht="15.75" customHeight="1">
      <c r="A2115" s="1076"/>
      <c r="B2115" s="416"/>
      <c r="C2115" s="424"/>
      <c r="E2115" s="418"/>
      <c r="F2115" s="493"/>
      <c r="G2115" s="418"/>
      <c r="H2115" s="421"/>
      <c r="I2115" s="421"/>
      <c r="J2115" s="492"/>
      <c r="K2115" s="418"/>
      <c r="L2115" s="418"/>
      <c r="M2115" s="418"/>
      <c r="N2115" s="421"/>
      <c r="O2115" s="421"/>
      <c r="P2115" s="421"/>
      <c r="Q2115" s="418"/>
      <c r="R2115" s="418"/>
      <c r="S2115" s="418"/>
      <c r="T2115" s="418"/>
      <c r="U2115" s="418"/>
      <c r="V2115" s="418"/>
      <c r="W2115" s="418"/>
      <c r="X2115" s="418"/>
      <c r="Y2115" s="418"/>
      <c r="Z2115" s="418"/>
      <c r="AA2115" s="418"/>
      <c r="AB2115" s="418"/>
      <c r="AC2115" s="418"/>
      <c r="AD2115" s="418"/>
      <c r="AE2115" s="418"/>
      <c r="AF2115" s="418"/>
      <c r="AG2115" s="418"/>
      <c r="AH2115" s="418"/>
      <c r="AI2115" s="418"/>
      <c r="AJ2115" s="418"/>
      <c r="AK2115" s="418"/>
      <c r="AL2115" s="418"/>
      <c r="AM2115" s="418"/>
      <c r="AN2115" s="418"/>
      <c r="AO2115" s="418"/>
      <c r="AP2115" s="418"/>
      <c r="AQ2115" s="418"/>
      <c r="AR2115" s="418"/>
      <c r="AS2115" s="418"/>
      <c r="AT2115" s="418"/>
      <c r="AU2115" s="418"/>
      <c r="AV2115" s="418"/>
      <c r="AW2115" s="418"/>
      <c r="AX2115" s="418"/>
      <c r="AY2115" s="418"/>
      <c r="BF2115" s="1119"/>
      <c r="BG2115" s="1119"/>
      <c r="BH2115" s="1119"/>
    </row>
    <row r="2116" spans="1:60" ht="15.75" customHeight="1">
      <c r="A2116" s="1076"/>
      <c r="B2116" s="416"/>
      <c r="C2116" s="424"/>
      <c r="E2116" s="418"/>
      <c r="F2116" s="493"/>
      <c r="G2116" s="418"/>
      <c r="H2116" s="421"/>
      <c r="I2116" s="421"/>
      <c r="J2116" s="492"/>
      <c r="K2116" s="418"/>
      <c r="L2116" s="418"/>
      <c r="M2116" s="418"/>
      <c r="N2116" s="421"/>
      <c r="O2116" s="421"/>
      <c r="P2116" s="421"/>
      <c r="Q2116" s="418"/>
      <c r="R2116" s="418"/>
      <c r="S2116" s="418"/>
      <c r="T2116" s="418"/>
      <c r="U2116" s="418"/>
      <c r="V2116" s="418"/>
      <c r="W2116" s="418"/>
      <c r="X2116" s="418"/>
      <c r="Y2116" s="418"/>
      <c r="Z2116" s="418"/>
      <c r="AA2116" s="418"/>
      <c r="AB2116" s="418"/>
      <c r="AC2116" s="418"/>
      <c r="AD2116" s="418"/>
      <c r="AE2116" s="418"/>
      <c r="AF2116" s="418"/>
      <c r="AG2116" s="418"/>
      <c r="AH2116" s="418"/>
      <c r="AI2116" s="418"/>
      <c r="AJ2116" s="418"/>
      <c r="AK2116" s="418"/>
      <c r="AL2116" s="418"/>
      <c r="AM2116" s="418"/>
      <c r="AN2116" s="418"/>
      <c r="AO2116" s="418"/>
      <c r="AP2116" s="418"/>
      <c r="AQ2116" s="418"/>
      <c r="AR2116" s="418"/>
      <c r="AS2116" s="418"/>
      <c r="AT2116" s="418"/>
      <c r="AU2116" s="418"/>
      <c r="AV2116" s="418"/>
      <c r="AW2116" s="418"/>
      <c r="AX2116" s="418"/>
      <c r="AY2116" s="418"/>
      <c r="BF2116" s="1119"/>
      <c r="BG2116" s="1119"/>
      <c r="BH2116" s="1119"/>
    </row>
    <row r="2117" spans="1:60" ht="15.75" customHeight="1">
      <c r="A2117" s="1076"/>
      <c r="B2117" s="416"/>
      <c r="C2117" s="424"/>
      <c r="E2117" s="418"/>
      <c r="F2117" s="493"/>
      <c r="G2117" s="418"/>
      <c r="H2117" s="421"/>
      <c r="I2117" s="421"/>
      <c r="J2117" s="492"/>
      <c r="K2117" s="418"/>
      <c r="L2117" s="418"/>
      <c r="M2117" s="418"/>
      <c r="N2117" s="421"/>
      <c r="O2117" s="421"/>
      <c r="P2117" s="421"/>
      <c r="Q2117" s="418"/>
      <c r="R2117" s="418"/>
      <c r="S2117" s="418"/>
      <c r="T2117" s="418"/>
      <c r="U2117" s="418"/>
      <c r="V2117" s="418"/>
      <c r="W2117" s="418"/>
      <c r="X2117" s="418"/>
      <c r="Y2117" s="418"/>
      <c r="Z2117" s="418"/>
      <c r="AA2117" s="418"/>
      <c r="AB2117" s="418"/>
      <c r="AC2117" s="418"/>
      <c r="AD2117" s="418"/>
      <c r="AE2117" s="418"/>
      <c r="AF2117" s="418"/>
      <c r="AG2117" s="418"/>
      <c r="AH2117" s="418"/>
      <c r="AI2117" s="418"/>
      <c r="AJ2117" s="418"/>
      <c r="AK2117" s="418"/>
      <c r="AL2117" s="418"/>
      <c r="AM2117" s="418"/>
      <c r="AN2117" s="418"/>
      <c r="AO2117" s="418"/>
      <c r="AP2117" s="418"/>
      <c r="AQ2117" s="418"/>
      <c r="AR2117" s="418"/>
      <c r="AS2117" s="418"/>
      <c r="AT2117" s="418"/>
      <c r="AU2117" s="418"/>
      <c r="AV2117" s="418"/>
      <c r="AW2117" s="418"/>
      <c r="AX2117" s="418"/>
      <c r="AY2117" s="418"/>
      <c r="BF2117" s="1119"/>
      <c r="BG2117" s="1119"/>
      <c r="BH2117" s="1119"/>
    </row>
    <row r="2118" spans="1:60" ht="15.75" customHeight="1">
      <c r="A2118" s="1076"/>
      <c r="B2118" s="416"/>
      <c r="C2118" s="424"/>
      <c r="E2118" s="418"/>
      <c r="F2118" s="493"/>
      <c r="G2118" s="418"/>
      <c r="H2118" s="421"/>
      <c r="I2118" s="421"/>
      <c r="J2118" s="492"/>
      <c r="K2118" s="418"/>
      <c r="L2118" s="418"/>
      <c r="M2118" s="418"/>
      <c r="N2118" s="421"/>
      <c r="O2118" s="421"/>
      <c r="P2118" s="421"/>
      <c r="Q2118" s="418"/>
      <c r="R2118" s="418"/>
      <c r="S2118" s="418"/>
      <c r="T2118" s="418"/>
      <c r="U2118" s="418"/>
      <c r="V2118" s="418"/>
      <c r="W2118" s="418"/>
      <c r="X2118" s="418"/>
      <c r="Y2118" s="418"/>
      <c r="Z2118" s="418"/>
      <c r="AA2118" s="418"/>
      <c r="AB2118" s="418"/>
      <c r="AC2118" s="418"/>
      <c r="AD2118" s="418"/>
      <c r="AE2118" s="418"/>
      <c r="AF2118" s="418"/>
      <c r="AG2118" s="418"/>
      <c r="AH2118" s="418"/>
      <c r="AI2118" s="418"/>
      <c r="AJ2118" s="418"/>
      <c r="AK2118" s="418"/>
      <c r="AL2118" s="418"/>
      <c r="AM2118" s="418"/>
      <c r="AN2118" s="418"/>
      <c r="AO2118" s="418"/>
      <c r="AP2118" s="418"/>
      <c r="AQ2118" s="418"/>
      <c r="AR2118" s="418"/>
      <c r="AS2118" s="418"/>
      <c r="AT2118" s="418"/>
      <c r="AU2118" s="418"/>
      <c r="AV2118" s="418"/>
      <c r="AW2118" s="418"/>
      <c r="AX2118" s="418"/>
      <c r="AY2118" s="418"/>
      <c r="BF2118" s="1119"/>
      <c r="BG2118" s="1119"/>
      <c r="BH2118" s="1119"/>
    </row>
    <row r="2119" spans="1:60" ht="15.75" customHeight="1">
      <c r="A2119" s="1076"/>
      <c r="B2119" s="416"/>
      <c r="C2119" s="424"/>
      <c r="E2119" s="418"/>
      <c r="F2119" s="493"/>
      <c r="G2119" s="418"/>
      <c r="H2119" s="421"/>
      <c r="I2119" s="421"/>
      <c r="J2119" s="492"/>
      <c r="K2119" s="418"/>
      <c r="L2119" s="418"/>
      <c r="M2119" s="418"/>
      <c r="N2119" s="421"/>
      <c r="O2119" s="421"/>
      <c r="P2119" s="421"/>
      <c r="Q2119" s="418"/>
      <c r="R2119" s="418"/>
      <c r="S2119" s="418"/>
      <c r="T2119" s="418"/>
      <c r="U2119" s="418"/>
      <c r="V2119" s="418"/>
      <c r="W2119" s="418"/>
      <c r="X2119" s="418"/>
      <c r="Y2119" s="418"/>
      <c r="Z2119" s="418"/>
      <c r="AA2119" s="418"/>
      <c r="AB2119" s="418"/>
      <c r="AC2119" s="418"/>
      <c r="AD2119" s="418"/>
      <c r="AE2119" s="418"/>
      <c r="AF2119" s="418"/>
      <c r="AG2119" s="418"/>
      <c r="AH2119" s="418"/>
      <c r="AI2119" s="418"/>
      <c r="AJ2119" s="418"/>
      <c r="AK2119" s="418"/>
      <c r="AL2119" s="418"/>
      <c r="AM2119" s="418"/>
      <c r="AN2119" s="418"/>
      <c r="AO2119" s="418"/>
      <c r="AP2119" s="418"/>
      <c r="AQ2119" s="418"/>
      <c r="AR2119" s="418"/>
      <c r="AS2119" s="418"/>
      <c r="AT2119" s="418"/>
      <c r="AU2119" s="418"/>
      <c r="AV2119" s="418"/>
      <c r="AW2119" s="418"/>
      <c r="AX2119" s="418"/>
      <c r="AY2119" s="418"/>
      <c r="BF2119" s="1119"/>
      <c r="BG2119" s="1119"/>
      <c r="BH2119" s="1119"/>
    </row>
    <row r="2120" spans="1:60" ht="15.75" customHeight="1">
      <c r="A2120" s="1076"/>
      <c r="B2120" s="416"/>
      <c r="C2120" s="424"/>
      <c r="E2120" s="418"/>
      <c r="F2120" s="493"/>
      <c r="G2120" s="418"/>
      <c r="H2120" s="421"/>
      <c r="I2120" s="421"/>
      <c r="J2120" s="492"/>
      <c r="K2120" s="418"/>
      <c r="L2120" s="418"/>
      <c r="M2120" s="418"/>
      <c r="N2120" s="421"/>
      <c r="O2120" s="421"/>
      <c r="P2120" s="421"/>
      <c r="Q2120" s="418"/>
      <c r="R2120" s="418"/>
      <c r="S2120" s="418"/>
      <c r="T2120" s="418"/>
      <c r="U2120" s="418"/>
      <c r="V2120" s="418"/>
      <c r="W2120" s="418"/>
      <c r="X2120" s="418"/>
      <c r="Y2120" s="418"/>
      <c r="Z2120" s="418"/>
      <c r="AA2120" s="418"/>
      <c r="AB2120" s="418"/>
      <c r="AC2120" s="418"/>
      <c r="AD2120" s="418"/>
      <c r="AE2120" s="418"/>
      <c r="AF2120" s="418"/>
      <c r="AG2120" s="418"/>
      <c r="AH2120" s="418"/>
      <c r="AI2120" s="418"/>
      <c r="AJ2120" s="418"/>
      <c r="AK2120" s="418"/>
      <c r="AL2120" s="418"/>
      <c r="AM2120" s="418"/>
      <c r="AN2120" s="418"/>
      <c r="AO2120" s="418"/>
      <c r="AP2120" s="418"/>
      <c r="AQ2120" s="418"/>
      <c r="AR2120" s="418"/>
      <c r="AS2120" s="418"/>
      <c r="AT2120" s="418"/>
      <c r="AU2120" s="418"/>
      <c r="AV2120" s="418"/>
      <c r="AW2120" s="418"/>
      <c r="AX2120" s="418"/>
      <c r="AY2120" s="418"/>
      <c r="BF2120" s="1119"/>
      <c r="BG2120" s="1119"/>
      <c r="BH2120" s="1119"/>
    </row>
    <row r="2121" spans="1:60" ht="15.75" customHeight="1">
      <c r="A2121" s="1076"/>
      <c r="B2121" s="416"/>
      <c r="C2121" s="424"/>
      <c r="E2121" s="418"/>
      <c r="F2121" s="493"/>
      <c r="G2121" s="418"/>
      <c r="H2121" s="421"/>
      <c r="I2121" s="421"/>
      <c r="J2121" s="492"/>
      <c r="K2121" s="418"/>
      <c r="L2121" s="418"/>
      <c r="M2121" s="418"/>
      <c r="N2121" s="421"/>
      <c r="O2121" s="421"/>
      <c r="P2121" s="421"/>
      <c r="Q2121" s="418"/>
      <c r="R2121" s="418"/>
      <c r="S2121" s="418"/>
      <c r="T2121" s="418"/>
      <c r="U2121" s="418"/>
      <c r="V2121" s="418"/>
      <c r="W2121" s="418"/>
      <c r="X2121" s="418"/>
      <c r="Y2121" s="418"/>
      <c r="Z2121" s="418"/>
      <c r="AA2121" s="418"/>
      <c r="AB2121" s="418"/>
      <c r="AC2121" s="418"/>
      <c r="AD2121" s="418"/>
      <c r="AE2121" s="418"/>
      <c r="AF2121" s="418"/>
      <c r="AG2121" s="418"/>
      <c r="AH2121" s="418"/>
      <c r="AI2121" s="418"/>
      <c r="AJ2121" s="418"/>
      <c r="AK2121" s="418"/>
      <c r="AL2121" s="418"/>
      <c r="AM2121" s="418"/>
      <c r="AN2121" s="418"/>
      <c r="AO2121" s="418"/>
      <c r="AP2121" s="418"/>
      <c r="AQ2121" s="418"/>
      <c r="AR2121" s="418"/>
      <c r="AS2121" s="418"/>
      <c r="AT2121" s="418"/>
      <c r="AU2121" s="418"/>
      <c r="AV2121" s="418"/>
      <c r="AW2121" s="418"/>
      <c r="AX2121" s="418"/>
      <c r="AY2121" s="418"/>
      <c r="BF2121" s="1119"/>
      <c r="BG2121" s="1119"/>
      <c r="BH2121" s="1119"/>
    </row>
    <row r="2122" spans="1:60" ht="15.75" customHeight="1">
      <c r="A2122" s="1076"/>
      <c r="B2122" s="416"/>
      <c r="C2122" s="424"/>
      <c r="E2122" s="418"/>
      <c r="F2122" s="493"/>
      <c r="G2122" s="418"/>
      <c r="H2122" s="421"/>
      <c r="I2122" s="421"/>
      <c r="J2122" s="492"/>
      <c r="K2122" s="418"/>
      <c r="L2122" s="418"/>
      <c r="M2122" s="418"/>
      <c r="N2122" s="421"/>
      <c r="O2122" s="421"/>
      <c r="P2122" s="421"/>
      <c r="Q2122" s="418"/>
      <c r="R2122" s="418"/>
      <c r="S2122" s="418"/>
      <c r="T2122" s="418"/>
      <c r="U2122" s="418"/>
      <c r="V2122" s="418"/>
      <c r="W2122" s="418"/>
      <c r="X2122" s="418"/>
      <c r="Y2122" s="418"/>
      <c r="Z2122" s="418"/>
      <c r="AA2122" s="418"/>
      <c r="AB2122" s="418"/>
      <c r="AC2122" s="418"/>
      <c r="AD2122" s="418"/>
      <c r="AE2122" s="418"/>
      <c r="AF2122" s="418"/>
      <c r="AG2122" s="418"/>
      <c r="AH2122" s="418"/>
      <c r="AI2122" s="418"/>
      <c r="AJ2122" s="418"/>
      <c r="AK2122" s="418"/>
      <c r="AL2122" s="418"/>
      <c r="AM2122" s="418"/>
      <c r="AN2122" s="418"/>
      <c r="AO2122" s="418"/>
      <c r="AP2122" s="418"/>
      <c r="AQ2122" s="418"/>
      <c r="AR2122" s="418"/>
      <c r="AS2122" s="418"/>
      <c r="AT2122" s="418"/>
      <c r="AU2122" s="418"/>
      <c r="AV2122" s="418"/>
      <c r="AW2122" s="418"/>
      <c r="AX2122" s="418"/>
      <c r="AY2122" s="418"/>
      <c r="BF2122" s="1119"/>
      <c r="BG2122" s="1119"/>
      <c r="BH2122" s="1119"/>
    </row>
    <row r="2123" spans="1:60" ht="15.75" customHeight="1">
      <c r="A2123" s="1076"/>
      <c r="B2123" s="416"/>
      <c r="C2123" s="424"/>
      <c r="E2123" s="418"/>
      <c r="F2123" s="493"/>
      <c r="G2123" s="418"/>
      <c r="H2123" s="421"/>
      <c r="I2123" s="421"/>
      <c r="J2123" s="492"/>
      <c r="K2123" s="418"/>
      <c r="L2123" s="418"/>
      <c r="M2123" s="418"/>
      <c r="N2123" s="421"/>
      <c r="O2123" s="421"/>
      <c r="P2123" s="421"/>
      <c r="Q2123" s="418"/>
      <c r="R2123" s="418"/>
      <c r="S2123" s="418"/>
      <c r="T2123" s="418"/>
      <c r="U2123" s="418"/>
      <c r="V2123" s="418"/>
      <c r="W2123" s="418"/>
      <c r="X2123" s="418"/>
      <c r="Y2123" s="418"/>
      <c r="Z2123" s="418"/>
      <c r="AA2123" s="418"/>
      <c r="AB2123" s="418"/>
      <c r="AC2123" s="418"/>
      <c r="AD2123" s="418"/>
      <c r="AE2123" s="418"/>
      <c r="AF2123" s="418"/>
      <c r="AG2123" s="418"/>
      <c r="AH2123" s="418"/>
      <c r="AI2123" s="418"/>
      <c r="AJ2123" s="418"/>
      <c r="AK2123" s="418"/>
      <c r="AL2123" s="418"/>
      <c r="AM2123" s="418"/>
      <c r="AN2123" s="418"/>
      <c r="AO2123" s="418"/>
      <c r="AP2123" s="418"/>
      <c r="AQ2123" s="418"/>
      <c r="AR2123" s="418"/>
      <c r="AS2123" s="418"/>
      <c r="AT2123" s="418"/>
      <c r="AU2123" s="418"/>
      <c r="AV2123" s="418"/>
      <c r="AW2123" s="418"/>
      <c r="AX2123" s="418"/>
      <c r="AY2123" s="418"/>
      <c r="BF2123" s="1119"/>
      <c r="BG2123" s="1119"/>
      <c r="BH2123" s="1119"/>
    </row>
    <row r="2124" spans="1:60" ht="15.75" customHeight="1">
      <c r="A2124" s="1076"/>
      <c r="B2124" s="416"/>
      <c r="C2124" s="424"/>
      <c r="E2124" s="418"/>
      <c r="F2124" s="493"/>
      <c r="G2124" s="418"/>
      <c r="H2124" s="421"/>
      <c r="I2124" s="421"/>
      <c r="J2124" s="492"/>
      <c r="K2124" s="418"/>
      <c r="L2124" s="418"/>
      <c r="M2124" s="418"/>
      <c r="N2124" s="421"/>
      <c r="O2124" s="421"/>
      <c r="P2124" s="421"/>
      <c r="Q2124" s="418"/>
      <c r="R2124" s="418"/>
      <c r="S2124" s="418"/>
      <c r="T2124" s="418"/>
      <c r="U2124" s="418"/>
      <c r="V2124" s="418"/>
      <c r="W2124" s="418"/>
      <c r="X2124" s="418"/>
      <c r="Y2124" s="418"/>
      <c r="Z2124" s="418"/>
      <c r="AA2124" s="418"/>
      <c r="AB2124" s="418"/>
      <c r="AC2124" s="418"/>
      <c r="AD2124" s="418"/>
      <c r="AE2124" s="418"/>
      <c r="AF2124" s="418"/>
      <c r="AG2124" s="418"/>
      <c r="AH2124" s="418"/>
      <c r="AI2124" s="418"/>
      <c r="AJ2124" s="418"/>
      <c r="AK2124" s="418"/>
      <c r="AL2124" s="418"/>
      <c r="AM2124" s="418"/>
      <c r="AN2124" s="418"/>
      <c r="AO2124" s="418"/>
      <c r="AP2124" s="418"/>
      <c r="AQ2124" s="418"/>
      <c r="AR2124" s="418"/>
      <c r="AS2124" s="418"/>
      <c r="AT2124" s="418"/>
      <c r="AU2124" s="418"/>
      <c r="AV2124" s="418"/>
      <c r="AW2124" s="418"/>
      <c r="AX2124" s="418"/>
      <c r="AY2124" s="418"/>
      <c r="BF2124" s="1119"/>
      <c r="BG2124" s="1119"/>
      <c r="BH2124" s="1119"/>
    </row>
    <row r="2125" spans="1:60" ht="15.75" customHeight="1">
      <c r="A2125" s="1076"/>
      <c r="B2125" s="416"/>
      <c r="C2125" s="424"/>
      <c r="E2125" s="418"/>
      <c r="F2125" s="493"/>
      <c r="G2125" s="418"/>
      <c r="H2125" s="421"/>
      <c r="I2125" s="421"/>
      <c r="J2125" s="492"/>
      <c r="K2125" s="418"/>
      <c r="L2125" s="418"/>
      <c r="M2125" s="418"/>
      <c r="N2125" s="421"/>
      <c r="O2125" s="421"/>
      <c r="P2125" s="421"/>
      <c r="Q2125" s="418"/>
      <c r="R2125" s="418"/>
      <c r="S2125" s="418"/>
      <c r="T2125" s="418"/>
      <c r="U2125" s="418"/>
      <c r="V2125" s="418"/>
      <c r="W2125" s="418"/>
      <c r="X2125" s="418"/>
      <c r="Y2125" s="418"/>
      <c r="Z2125" s="418"/>
      <c r="AA2125" s="418"/>
      <c r="AB2125" s="418"/>
      <c r="AC2125" s="418"/>
      <c r="AD2125" s="418"/>
      <c r="AE2125" s="418"/>
      <c r="AF2125" s="418"/>
      <c r="AG2125" s="418"/>
      <c r="AH2125" s="418"/>
      <c r="AI2125" s="418"/>
      <c r="AJ2125" s="418"/>
      <c r="AK2125" s="418"/>
      <c r="AL2125" s="418"/>
      <c r="AM2125" s="418"/>
      <c r="AN2125" s="418"/>
      <c r="AO2125" s="418"/>
      <c r="AP2125" s="418"/>
      <c r="AQ2125" s="418"/>
      <c r="AR2125" s="418"/>
      <c r="AS2125" s="418"/>
      <c r="AT2125" s="418"/>
      <c r="AU2125" s="418"/>
      <c r="AV2125" s="418"/>
      <c r="AW2125" s="418"/>
      <c r="AX2125" s="418"/>
      <c r="AY2125" s="418"/>
      <c r="BF2125" s="1119"/>
      <c r="BG2125" s="1119"/>
      <c r="BH2125" s="1119"/>
    </row>
    <row r="2126" spans="1:60" ht="15.75" customHeight="1">
      <c r="A2126" s="1076"/>
      <c r="B2126" s="416"/>
      <c r="C2126" s="424"/>
      <c r="E2126" s="418"/>
      <c r="F2126" s="493"/>
      <c r="G2126" s="418"/>
      <c r="H2126" s="421"/>
      <c r="I2126" s="421"/>
      <c r="J2126" s="492"/>
      <c r="K2126" s="418"/>
      <c r="L2126" s="418"/>
      <c r="M2126" s="418"/>
      <c r="N2126" s="421"/>
      <c r="O2126" s="418"/>
      <c r="P2126" s="421"/>
      <c r="Q2126" s="418"/>
      <c r="R2126" s="418"/>
      <c r="S2126" s="418"/>
      <c r="T2126" s="418"/>
      <c r="U2126" s="418"/>
      <c r="V2126" s="418"/>
      <c r="W2126" s="418"/>
      <c r="X2126" s="418"/>
      <c r="Y2126" s="418"/>
      <c r="Z2126" s="418"/>
      <c r="AA2126" s="418"/>
      <c r="AB2126" s="418"/>
      <c r="AC2126" s="418"/>
      <c r="AD2126" s="418"/>
      <c r="AE2126" s="418"/>
      <c r="AF2126" s="418"/>
      <c r="AG2126" s="418"/>
      <c r="AH2126" s="418"/>
      <c r="AI2126" s="418"/>
      <c r="AJ2126" s="418"/>
      <c r="AK2126" s="418"/>
      <c r="AL2126" s="418"/>
      <c r="AM2126" s="418"/>
      <c r="AN2126" s="418"/>
      <c r="AO2126" s="418"/>
      <c r="AP2126" s="418"/>
      <c r="AQ2126" s="418"/>
      <c r="AR2126" s="418"/>
      <c r="AS2126" s="418"/>
      <c r="AT2126" s="418"/>
      <c r="AU2126" s="418"/>
      <c r="AV2126" s="418"/>
      <c r="AW2126" s="418"/>
      <c r="AX2126" s="418"/>
      <c r="AY2126" s="418"/>
      <c r="BF2126" s="1119"/>
      <c r="BG2126" s="1119"/>
      <c r="BH2126" s="1119"/>
    </row>
    <row r="2127" spans="1:60" ht="15.75" customHeight="1">
      <c r="A2127" s="1076"/>
      <c r="B2127" s="416"/>
      <c r="C2127" s="424"/>
      <c r="E2127" s="418"/>
      <c r="F2127" s="493"/>
      <c r="G2127" s="418"/>
      <c r="H2127" s="418"/>
      <c r="I2127" s="418"/>
      <c r="J2127" s="424"/>
      <c r="K2127" s="418"/>
      <c r="L2127" s="418"/>
      <c r="M2127" s="418"/>
      <c r="N2127" s="421"/>
      <c r="O2127" s="418"/>
      <c r="P2127" s="421"/>
      <c r="Q2127" s="418"/>
      <c r="R2127" s="418"/>
      <c r="S2127" s="418"/>
      <c r="T2127" s="418"/>
      <c r="U2127" s="418"/>
      <c r="V2127" s="418"/>
      <c r="W2127" s="418"/>
      <c r="X2127" s="418"/>
      <c r="Y2127" s="418"/>
      <c r="Z2127" s="418"/>
      <c r="AA2127" s="418"/>
      <c r="AB2127" s="418"/>
      <c r="AC2127" s="418"/>
      <c r="AD2127" s="418"/>
      <c r="AE2127" s="418"/>
      <c r="AF2127" s="418"/>
      <c r="AG2127" s="418"/>
      <c r="AH2127" s="418"/>
      <c r="AI2127" s="418"/>
      <c r="AJ2127" s="418"/>
      <c r="AK2127" s="418"/>
      <c r="AL2127" s="418"/>
      <c r="AM2127" s="418"/>
      <c r="AN2127" s="418"/>
      <c r="AO2127" s="418"/>
      <c r="AP2127" s="418"/>
      <c r="AQ2127" s="418"/>
      <c r="AR2127" s="418"/>
      <c r="AS2127" s="418"/>
      <c r="AT2127" s="418"/>
      <c r="AU2127" s="418"/>
      <c r="AV2127" s="418"/>
      <c r="AW2127" s="418"/>
      <c r="AX2127" s="418"/>
      <c r="AY2127" s="418"/>
      <c r="BF2127" s="1119"/>
      <c r="BG2127" s="1119"/>
      <c r="BH2127" s="1119"/>
    </row>
    <row r="2128" spans="1:60" ht="15.75" customHeight="1">
      <c r="A2128" s="1076"/>
      <c r="B2128" s="416"/>
      <c r="C2128" s="424"/>
      <c r="E2128" s="418"/>
      <c r="F2128" s="493"/>
      <c r="G2128" s="418"/>
      <c r="H2128" s="418"/>
      <c r="I2128" s="418"/>
      <c r="J2128" s="424"/>
      <c r="K2128" s="418"/>
      <c r="L2128" s="418"/>
      <c r="M2128" s="418"/>
      <c r="N2128" s="421"/>
      <c r="O2128" s="418"/>
      <c r="P2128" s="421"/>
      <c r="Q2128" s="418"/>
      <c r="R2128" s="418"/>
      <c r="S2128" s="418"/>
      <c r="T2128" s="418"/>
      <c r="U2128" s="418"/>
      <c r="V2128" s="418"/>
      <c r="W2128" s="418"/>
      <c r="X2128" s="418"/>
      <c r="Y2128" s="418"/>
      <c r="Z2128" s="418"/>
      <c r="AA2128" s="418"/>
      <c r="AB2128" s="418"/>
      <c r="AC2128" s="418"/>
      <c r="AD2128" s="418"/>
      <c r="AE2128" s="418"/>
      <c r="AF2128" s="418"/>
      <c r="AG2128" s="418"/>
      <c r="AH2128" s="418"/>
      <c r="AI2128" s="418"/>
      <c r="AJ2128" s="418"/>
      <c r="AK2128" s="418"/>
      <c r="AL2128" s="418"/>
      <c r="AM2128" s="418"/>
      <c r="AN2128" s="418"/>
      <c r="AO2128" s="418"/>
      <c r="AP2128" s="418"/>
      <c r="AQ2128" s="418"/>
      <c r="AR2128" s="418"/>
      <c r="AS2128" s="418"/>
      <c r="AT2128" s="418"/>
      <c r="AU2128" s="418"/>
      <c r="AV2128" s="418"/>
      <c r="AW2128" s="418"/>
      <c r="AX2128" s="418"/>
      <c r="AY2128" s="418"/>
      <c r="BF2128" s="1119"/>
      <c r="BG2128" s="1119"/>
      <c r="BH2128" s="1119"/>
    </row>
    <row r="2129" spans="1:60" ht="15.75" customHeight="1">
      <c r="A2129" s="1076"/>
      <c r="B2129" s="416"/>
      <c r="C2129" s="424"/>
      <c r="E2129" s="418"/>
      <c r="F2129" s="493"/>
      <c r="G2129" s="418"/>
      <c r="H2129" s="418"/>
      <c r="I2129" s="418"/>
      <c r="J2129" s="424"/>
      <c r="K2129" s="418"/>
      <c r="L2129" s="418"/>
      <c r="M2129" s="418"/>
      <c r="N2129" s="421"/>
      <c r="O2129" s="421"/>
      <c r="P2129" s="421"/>
      <c r="Q2129" s="418"/>
      <c r="R2129" s="418"/>
      <c r="S2129" s="418"/>
      <c r="T2129" s="418"/>
      <c r="U2129" s="418"/>
      <c r="V2129" s="418"/>
      <c r="W2129" s="418"/>
      <c r="X2129" s="418"/>
      <c r="Y2129" s="418"/>
      <c r="Z2129" s="418"/>
      <c r="AA2129" s="418"/>
      <c r="AB2129" s="418"/>
      <c r="AC2129" s="418"/>
      <c r="AD2129" s="418"/>
      <c r="AE2129" s="418"/>
      <c r="AF2129" s="418"/>
      <c r="AG2129" s="418"/>
      <c r="AH2129" s="418"/>
      <c r="AI2129" s="418"/>
      <c r="AJ2129" s="418"/>
      <c r="AK2129" s="418"/>
      <c r="AL2129" s="418"/>
      <c r="AM2129" s="418"/>
      <c r="AN2129" s="418"/>
      <c r="AO2129" s="418"/>
      <c r="AP2129" s="418"/>
      <c r="AQ2129" s="418"/>
      <c r="AR2129" s="418"/>
      <c r="AS2129" s="418"/>
      <c r="AT2129" s="418"/>
      <c r="AU2129" s="418"/>
      <c r="AV2129" s="418"/>
      <c r="AW2129" s="418"/>
      <c r="AX2129" s="418"/>
      <c r="AY2129" s="418"/>
      <c r="BF2129" s="1119"/>
      <c r="BG2129" s="1119"/>
      <c r="BH2129" s="1119"/>
    </row>
    <row r="2130" spans="1:60" ht="15.75" customHeight="1">
      <c r="A2130" s="1076"/>
      <c r="B2130" s="416"/>
      <c r="C2130" s="424"/>
      <c r="E2130" s="418"/>
      <c r="F2130" s="493"/>
      <c r="G2130" s="418"/>
      <c r="H2130" s="421"/>
      <c r="I2130" s="421"/>
      <c r="J2130" s="492"/>
      <c r="K2130" s="418"/>
      <c r="L2130" s="418"/>
      <c r="M2130" s="418"/>
      <c r="N2130" s="421"/>
      <c r="O2130" s="421"/>
      <c r="P2130" s="421"/>
      <c r="Q2130" s="418"/>
      <c r="R2130" s="418"/>
      <c r="S2130" s="418"/>
      <c r="T2130" s="418"/>
      <c r="U2130" s="418"/>
      <c r="V2130" s="418"/>
      <c r="W2130" s="418"/>
      <c r="X2130" s="418"/>
      <c r="Y2130" s="418"/>
      <c r="Z2130" s="418"/>
      <c r="AA2130" s="418"/>
      <c r="AB2130" s="418"/>
      <c r="AC2130" s="418"/>
      <c r="AD2130" s="418"/>
      <c r="AE2130" s="418"/>
      <c r="AF2130" s="418"/>
      <c r="AG2130" s="418"/>
      <c r="AH2130" s="418"/>
      <c r="AI2130" s="418"/>
      <c r="AJ2130" s="418"/>
      <c r="AK2130" s="418"/>
      <c r="AL2130" s="418"/>
      <c r="AM2130" s="418"/>
      <c r="AN2130" s="418"/>
      <c r="AO2130" s="418"/>
      <c r="AP2130" s="418"/>
      <c r="AQ2130" s="418"/>
      <c r="AR2130" s="418"/>
      <c r="AS2130" s="418"/>
      <c r="AT2130" s="418"/>
      <c r="AU2130" s="418"/>
      <c r="AV2130" s="418"/>
      <c r="AW2130" s="418"/>
      <c r="AX2130" s="418"/>
      <c r="AY2130" s="418"/>
      <c r="BF2130" s="1119"/>
      <c r="BG2130" s="1119"/>
      <c r="BH2130" s="1119"/>
    </row>
    <row r="2131" spans="1:60" ht="15.75" customHeight="1">
      <c r="A2131" s="1076"/>
      <c r="B2131" s="416"/>
      <c r="C2131" s="424"/>
      <c r="E2131" s="418"/>
      <c r="F2131" s="493"/>
      <c r="G2131" s="418"/>
      <c r="H2131" s="421"/>
      <c r="I2131" s="421"/>
      <c r="J2131" s="492"/>
      <c r="K2131" s="418"/>
      <c r="L2131" s="418"/>
      <c r="M2131" s="418"/>
      <c r="N2131" s="421"/>
      <c r="O2131" s="421"/>
      <c r="P2131" s="421"/>
      <c r="Q2131" s="418"/>
      <c r="R2131" s="418"/>
      <c r="S2131" s="418"/>
      <c r="T2131" s="418"/>
      <c r="U2131" s="418"/>
      <c r="V2131" s="418"/>
      <c r="W2131" s="418"/>
      <c r="X2131" s="418"/>
      <c r="Y2131" s="418"/>
      <c r="Z2131" s="418"/>
      <c r="AA2131" s="418"/>
      <c r="AB2131" s="418"/>
      <c r="AC2131" s="418"/>
      <c r="AD2131" s="418"/>
      <c r="AE2131" s="418"/>
      <c r="AF2131" s="418"/>
      <c r="AG2131" s="418"/>
      <c r="AH2131" s="418"/>
      <c r="AI2131" s="418"/>
      <c r="AJ2131" s="418"/>
      <c r="AK2131" s="418"/>
      <c r="AL2131" s="418"/>
      <c r="AM2131" s="418"/>
      <c r="AN2131" s="418"/>
      <c r="AO2131" s="418"/>
      <c r="AP2131" s="418"/>
      <c r="AQ2131" s="418"/>
      <c r="AR2131" s="418"/>
      <c r="AS2131" s="418"/>
      <c r="AT2131" s="418"/>
      <c r="AU2131" s="418"/>
      <c r="AV2131" s="418"/>
      <c r="AW2131" s="418"/>
      <c r="AX2131" s="418"/>
      <c r="AY2131" s="418"/>
      <c r="BF2131" s="1119"/>
      <c r="BG2131" s="1119"/>
      <c r="BH2131" s="1119"/>
    </row>
    <row r="2132" spans="1:60" ht="15.75" customHeight="1">
      <c r="A2132" s="1076"/>
      <c r="B2132" s="416"/>
      <c r="C2132" s="424"/>
      <c r="E2132" s="418"/>
      <c r="F2132" s="493"/>
      <c r="G2132" s="418"/>
      <c r="H2132" s="421"/>
      <c r="I2132" s="421"/>
      <c r="J2132" s="492"/>
      <c r="K2132" s="418"/>
      <c r="L2132" s="418"/>
      <c r="M2132" s="418"/>
      <c r="N2132" s="421"/>
      <c r="O2132" s="421"/>
      <c r="P2132" s="421"/>
      <c r="Q2132" s="418"/>
      <c r="R2132" s="418"/>
      <c r="S2132" s="418"/>
      <c r="T2132" s="418"/>
      <c r="U2132" s="418"/>
      <c r="V2132" s="418"/>
      <c r="W2132" s="418"/>
      <c r="X2132" s="418"/>
      <c r="Y2132" s="418"/>
      <c r="Z2132" s="418"/>
      <c r="AA2132" s="418"/>
      <c r="AB2132" s="418"/>
      <c r="AC2132" s="418"/>
      <c r="AD2132" s="418"/>
      <c r="AE2132" s="418"/>
      <c r="AF2132" s="418"/>
      <c r="AG2132" s="418"/>
      <c r="AH2132" s="418"/>
      <c r="AI2132" s="418"/>
      <c r="AJ2132" s="418"/>
      <c r="AK2132" s="418"/>
      <c r="AL2132" s="418"/>
      <c r="AM2132" s="418"/>
      <c r="AN2132" s="418"/>
      <c r="AO2132" s="418"/>
      <c r="AP2132" s="418"/>
      <c r="AQ2132" s="418"/>
      <c r="AR2132" s="418"/>
      <c r="AS2132" s="418"/>
      <c r="AT2132" s="418"/>
      <c r="AU2132" s="418"/>
      <c r="AV2132" s="418"/>
      <c r="AW2132" s="418"/>
      <c r="AX2132" s="418"/>
      <c r="AY2132" s="418"/>
      <c r="BF2132" s="1119"/>
      <c r="BG2132" s="1119"/>
      <c r="BH2132" s="1119"/>
    </row>
    <row r="2133" spans="1:60" ht="15.75" customHeight="1">
      <c r="A2133" s="1076"/>
      <c r="B2133" s="416"/>
      <c r="C2133" s="424"/>
      <c r="E2133" s="418"/>
      <c r="F2133" s="493"/>
      <c r="G2133" s="418"/>
      <c r="H2133" s="421"/>
      <c r="I2133" s="421"/>
      <c r="J2133" s="492"/>
      <c r="K2133" s="418"/>
      <c r="L2133" s="418"/>
      <c r="M2133" s="418"/>
      <c r="N2133" s="421"/>
      <c r="O2133" s="421"/>
      <c r="P2133" s="421"/>
      <c r="Q2133" s="418"/>
      <c r="R2133" s="418"/>
      <c r="S2133" s="418"/>
      <c r="T2133" s="418"/>
      <c r="U2133" s="418"/>
      <c r="V2133" s="418"/>
      <c r="W2133" s="418"/>
      <c r="X2133" s="418"/>
      <c r="Y2133" s="418"/>
      <c r="Z2133" s="418"/>
      <c r="AA2133" s="418"/>
      <c r="AB2133" s="418"/>
      <c r="AC2133" s="418"/>
      <c r="AD2133" s="418"/>
      <c r="AE2133" s="418"/>
      <c r="AF2133" s="418"/>
      <c r="AG2133" s="418"/>
      <c r="AH2133" s="418"/>
      <c r="AI2133" s="418"/>
      <c r="AJ2133" s="418"/>
      <c r="AK2133" s="418"/>
      <c r="AL2133" s="418"/>
      <c r="AM2133" s="418"/>
      <c r="AN2133" s="418"/>
      <c r="AO2133" s="418"/>
      <c r="AP2133" s="418"/>
      <c r="AQ2133" s="418"/>
      <c r="AR2133" s="418"/>
      <c r="AS2133" s="418"/>
      <c r="AT2133" s="418"/>
      <c r="AU2133" s="418"/>
      <c r="AV2133" s="418"/>
      <c r="AW2133" s="418"/>
      <c r="AX2133" s="418"/>
      <c r="AY2133" s="418"/>
      <c r="BF2133" s="1119"/>
      <c r="BG2133" s="1119"/>
      <c r="BH2133" s="1119"/>
    </row>
    <row r="2134" spans="1:60" ht="15.75" customHeight="1">
      <c r="A2134" s="1076"/>
      <c r="B2134" s="416"/>
      <c r="C2134" s="424"/>
      <c r="E2134" s="418"/>
      <c r="F2134" s="493"/>
      <c r="G2134" s="418"/>
      <c r="H2134" s="421"/>
      <c r="I2134" s="421"/>
      <c r="J2134" s="492"/>
      <c r="K2134" s="418"/>
      <c r="L2134" s="418"/>
      <c r="M2134" s="418"/>
      <c r="N2134" s="421"/>
      <c r="O2134" s="421"/>
      <c r="P2134" s="421"/>
      <c r="Q2134" s="418"/>
      <c r="R2134" s="418"/>
      <c r="S2134" s="418"/>
      <c r="T2134" s="418"/>
      <c r="U2134" s="418"/>
      <c r="V2134" s="418"/>
      <c r="W2134" s="418"/>
      <c r="X2134" s="418"/>
      <c r="Y2134" s="418"/>
      <c r="Z2134" s="418"/>
      <c r="AA2134" s="418"/>
      <c r="AB2134" s="418"/>
      <c r="AC2134" s="418"/>
      <c r="AD2134" s="418"/>
      <c r="AE2134" s="418"/>
      <c r="AF2134" s="418"/>
      <c r="AG2134" s="418"/>
      <c r="AH2134" s="418"/>
      <c r="AI2134" s="418"/>
      <c r="AJ2134" s="418"/>
      <c r="AK2134" s="418"/>
      <c r="AL2134" s="418"/>
      <c r="AM2134" s="418"/>
      <c r="AN2134" s="418"/>
      <c r="AO2134" s="418"/>
      <c r="AP2134" s="418"/>
      <c r="AQ2134" s="418"/>
      <c r="AR2134" s="418"/>
      <c r="AS2134" s="418"/>
      <c r="AT2134" s="418"/>
      <c r="AU2134" s="418"/>
      <c r="AV2134" s="418"/>
      <c r="AW2134" s="418"/>
      <c r="AX2134" s="418"/>
      <c r="AY2134" s="418"/>
      <c r="BF2134" s="1119"/>
      <c r="BG2134" s="1119"/>
      <c r="BH2134" s="1119"/>
    </row>
    <row r="2135" spans="1:60" ht="15.75" customHeight="1">
      <c r="A2135" s="1076"/>
      <c r="B2135" s="416"/>
      <c r="C2135" s="424"/>
      <c r="E2135" s="418"/>
      <c r="F2135" s="493"/>
      <c r="G2135" s="418"/>
      <c r="H2135" s="421"/>
      <c r="I2135" s="421"/>
      <c r="J2135" s="492"/>
      <c r="K2135" s="418"/>
      <c r="L2135" s="418"/>
      <c r="M2135" s="418"/>
      <c r="N2135" s="421"/>
      <c r="O2135" s="421"/>
      <c r="P2135" s="421"/>
      <c r="Q2135" s="418"/>
      <c r="R2135" s="418"/>
      <c r="S2135" s="418"/>
      <c r="T2135" s="418"/>
      <c r="U2135" s="418"/>
      <c r="V2135" s="418"/>
      <c r="W2135" s="418"/>
      <c r="X2135" s="418"/>
      <c r="Y2135" s="418"/>
      <c r="Z2135" s="418"/>
      <c r="AA2135" s="418"/>
      <c r="AB2135" s="418"/>
      <c r="AC2135" s="418"/>
      <c r="AD2135" s="418"/>
      <c r="AE2135" s="418"/>
      <c r="AF2135" s="418"/>
      <c r="AG2135" s="418"/>
      <c r="AH2135" s="418"/>
      <c r="AI2135" s="418"/>
      <c r="AJ2135" s="418"/>
      <c r="AK2135" s="418"/>
      <c r="AL2135" s="418"/>
      <c r="AM2135" s="418"/>
      <c r="AN2135" s="418"/>
      <c r="AO2135" s="418"/>
      <c r="AP2135" s="418"/>
      <c r="AQ2135" s="418"/>
      <c r="AR2135" s="418"/>
      <c r="AS2135" s="418"/>
      <c r="AT2135" s="418"/>
      <c r="AU2135" s="418"/>
      <c r="AV2135" s="418"/>
      <c r="AW2135" s="418"/>
      <c r="AX2135" s="418"/>
      <c r="AY2135" s="418"/>
      <c r="BF2135" s="1119"/>
      <c r="BG2135" s="1119"/>
      <c r="BH2135" s="1119"/>
    </row>
    <row r="2136" spans="1:60" ht="15.75" customHeight="1">
      <c r="A2136" s="1076"/>
      <c r="B2136" s="416"/>
      <c r="C2136" s="424"/>
      <c r="E2136" s="418"/>
      <c r="F2136" s="493"/>
      <c r="G2136" s="418"/>
      <c r="H2136" s="421"/>
      <c r="I2136" s="421"/>
      <c r="J2136" s="492"/>
      <c r="K2136" s="418"/>
      <c r="L2136" s="418"/>
      <c r="M2136" s="418"/>
      <c r="N2136" s="421"/>
      <c r="O2136" s="421"/>
      <c r="P2136" s="421"/>
      <c r="Q2136" s="418"/>
      <c r="R2136" s="418"/>
      <c r="S2136" s="418"/>
      <c r="T2136" s="418"/>
      <c r="U2136" s="418"/>
      <c r="V2136" s="418"/>
      <c r="W2136" s="418"/>
      <c r="X2136" s="418"/>
      <c r="Y2136" s="418"/>
      <c r="Z2136" s="418"/>
      <c r="AA2136" s="418"/>
      <c r="AB2136" s="418"/>
      <c r="AC2136" s="418"/>
      <c r="AD2136" s="418"/>
      <c r="AE2136" s="418"/>
      <c r="AF2136" s="418"/>
      <c r="AG2136" s="418"/>
      <c r="AH2136" s="418"/>
      <c r="AI2136" s="418"/>
      <c r="AJ2136" s="418"/>
      <c r="AK2136" s="418"/>
      <c r="AL2136" s="418"/>
      <c r="AM2136" s="418"/>
      <c r="AN2136" s="418"/>
      <c r="AO2136" s="418"/>
      <c r="AP2136" s="418"/>
      <c r="AQ2136" s="418"/>
      <c r="AR2136" s="418"/>
      <c r="AS2136" s="418"/>
      <c r="AT2136" s="418"/>
      <c r="AU2136" s="418"/>
      <c r="AV2136" s="418"/>
      <c r="AW2136" s="418"/>
      <c r="AX2136" s="418"/>
      <c r="AY2136" s="418"/>
      <c r="BF2136" s="1119"/>
      <c r="BG2136" s="1119"/>
      <c r="BH2136" s="1119"/>
    </row>
    <row r="2137" spans="1:60" ht="15.75" customHeight="1">
      <c r="A2137" s="1076"/>
      <c r="B2137" s="416"/>
      <c r="C2137" s="424"/>
      <c r="E2137" s="418"/>
      <c r="F2137" s="493"/>
      <c r="G2137" s="418"/>
      <c r="H2137" s="421"/>
      <c r="I2137" s="421"/>
      <c r="J2137" s="492"/>
      <c r="K2137" s="418"/>
      <c r="L2137" s="418"/>
      <c r="M2137" s="418"/>
      <c r="N2137" s="421"/>
      <c r="O2137" s="421"/>
      <c r="P2137" s="421"/>
      <c r="Q2137" s="418"/>
      <c r="R2137" s="418"/>
      <c r="S2137" s="418"/>
      <c r="T2137" s="418"/>
      <c r="U2137" s="418"/>
      <c r="V2137" s="418"/>
      <c r="W2137" s="418"/>
      <c r="X2137" s="418"/>
      <c r="Y2137" s="418"/>
      <c r="Z2137" s="418"/>
      <c r="AA2137" s="418"/>
      <c r="AB2137" s="418"/>
      <c r="AC2137" s="418"/>
      <c r="AD2137" s="418"/>
      <c r="AE2137" s="418"/>
      <c r="AF2137" s="418"/>
      <c r="AG2137" s="418"/>
      <c r="AH2137" s="418"/>
      <c r="AI2137" s="418"/>
      <c r="AJ2137" s="418"/>
      <c r="AK2137" s="418"/>
      <c r="AL2137" s="418"/>
      <c r="AM2137" s="418"/>
      <c r="AN2137" s="418"/>
      <c r="AO2137" s="418"/>
      <c r="AP2137" s="418"/>
      <c r="AQ2137" s="418"/>
      <c r="AR2137" s="418"/>
      <c r="AS2137" s="418"/>
      <c r="AT2137" s="418"/>
      <c r="AU2137" s="418"/>
      <c r="AV2137" s="418"/>
      <c r="AW2137" s="418"/>
      <c r="AX2137" s="418"/>
      <c r="AY2137" s="418"/>
      <c r="BF2137" s="1119"/>
      <c r="BG2137" s="1119"/>
      <c r="BH2137" s="1119"/>
    </row>
    <row r="2138" spans="1:60" ht="15.75" customHeight="1">
      <c r="A2138" s="1076"/>
      <c r="B2138" s="416"/>
      <c r="C2138" s="424"/>
      <c r="E2138" s="418"/>
      <c r="F2138" s="493"/>
      <c r="G2138" s="418"/>
      <c r="H2138" s="421"/>
      <c r="I2138" s="421"/>
      <c r="J2138" s="492"/>
      <c r="K2138" s="418"/>
      <c r="L2138" s="418"/>
      <c r="M2138" s="418"/>
      <c r="N2138" s="421"/>
      <c r="O2138" s="421"/>
      <c r="P2138" s="421"/>
      <c r="Q2138" s="418"/>
      <c r="R2138" s="418"/>
      <c r="S2138" s="418"/>
      <c r="T2138" s="418"/>
      <c r="U2138" s="418"/>
      <c r="V2138" s="418"/>
      <c r="W2138" s="418"/>
      <c r="X2138" s="418"/>
      <c r="Y2138" s="418"/>
      <c r="Z2138" s="418"/>
      <c r="AA2138" s="418"/>
      <c r="AB2138" s="418"/>
      <c r="AC2138" s="418"/>
      <c r="AD2138" s="418"/>
      <c r="AE2138" s="418"/>
      <c r="AF2138" s="418"/>
      <c r="AG2138" s="418"/>
      <c r="AH2138" s="418"/>
      <c r="AI2138" s="418"/>
      <c r="AJ2138" s="418"/>
      <c r="AK2138" s="418"/>
      <c r="AL2138" s="418"/>
      <c r="AM2138" s="418"/>
      <c r="AN2138" s="418"/>
      <c r="AO2138" s="418"/>
      <c r="AP2138" s="418"/>
      <c r="AQ2138" s="418"/>
      <c r="AR2138" s="418"/>
      <c r="AS2138" s="418"/>
      <c r="AT2138" s="418"/>
      <c r="AU2138" s="418"/>
      <c r="AV2138" s="418"/>
      <c r="AW2138" s="418"/>
      <c r="AX2138" s="418"/>
      <c r="AY2138" s="418"/>
      <c r="BF2138" s="1119"/>
      <c r="BG2138" s="1119"/>
      <c r="BH2138" s="1119"/>
    </row>
    <row r="2139" spans="1:60" ht="15.75" customHeight="1">
      <c r="A2139" s="1076"/>
      <c r="B2139" s="416"/>
      <c r="C2139" s="424"/>
      <c r="E2139" s="418"/>
      <c r="F2139" s="493"/>
      <c r="G2139" s="418"/>
      <c r="H2139" s="421"/>
      <c r="I2139" s="421"/>
      <c r="J2139" s="492"/>
      <c r="K2139" s="418"/>
      <c r="L2139" s="418"/>
      <c r="M2139" s="418"/>
      <c r="N2139" s="421"/>
      <c r="O2139" s="421"/>
      <c r="P2139" s="421"/>
      <c r="Q2139" s="418"/>
      <c r="R2139" s="418"/>
      <c r="S2139" s="418"/>
      <c r="T2139" s="418"/>
      <c r="U2139" s="418"/>
      <c r="V2139" s="418"/>
      <c r="W2139" s="418"/>
      <c r="X2139" s="418"/>
      <c r="Y2139" s="418"/>
      <c r="Z2139" s="418"/>
      <c r="AA2139" s="418"/>
      <c r="AB2139" s="418"/>
      <c r="AC2139" s="418"/>
      <c r="AD2139" s="418"/>
      <c r="AE2139" s="418"/>
      <c r="AF2139" s="418"/>
      <c r="AG2139" s="418"/>
      <c r="AH2139" s="418"/>
      <c r="AI2139" s="418"/>
      <c r="AJ2139" s="418"/>
      <c r="AK2139" s="418"/>
      <c r="AL2139" s="418"/>
      <c r="AM2139" s="418"/>
      <c r="AN2139" s="418"/>
      <c r="AO2139" s="418"/>
      <c r="AP2139" s="418"/>
      <c r="AQ2139" s="418"/>
      <c r="AR2139" s="418"/>
      <c r="AS2139" s="418"/>
      <c r="AT2139" s="418"/>
      <c r="AU2139" s="418"/>
      <c r="AV2139" s="418"/>
      <c r="AW2139" s="418"/>
      <c r="AX2139" s="418"/>
      <c r="AY2139" s="418"/>
      <c r="BF2139" s="1119"/>
      <c r="BG2139" s="1119"/>
      <c r="BH2139" s="1119"/>
    </row>
    <row r="2140" spans="1:60" ht="15.75" customHeight="1">
      <c r="A2140" s="1076"/>
      <c r="B2140" s="416"/>
      <c r="C2140" s="424"/>
      <c r="E2140" s="418"/>
      <c r="F2140" s="493"/>
      <c r="G2140" s="418"/>
      <c r="H2140" s="421"/>
      <c r="I2140" s="421"/>
      <c r="J2140" s="492"/>
      <c r="K2140" s="418"/>
      <c r="L2140" s="418"/>
      <c r="M2140" s="418"/>
      <c r="N2140" s="421"/>
      <c r="O2140" s="421"/>
      <c r="P2140" s="421"/>
      <c r="Q2140" s="418"/>
      <c r="R2140" s="418"/>
      <c r="S2140" s="418"/>
      <c r="T2140" s="418"/>
      <c r="U2140" s="418"/>
      <c r="V2140" s="418"/>
      <c r="W2140" s="418"/>
      <c r="X2140" s="418"/>
      <c r="Y2140" s="418"/>
      <c r="Z2140" s="418"/>
      <c r="AA2140" s="418"/>
      <c r="AB2140" s="418"/>
      <c r="AC2140" s="418"/>
      <c r="AD2140" s="418"/>
      <c r="AE2140" s="418"/>
      <c r="AF2140" s="418"/>
      <c r="AG2140" s="418"/>
      <c r="AH2140" s="418"/>
      <c r="AI2140" s="418"/>
      <c r="AJ2140" s="418"/>
      <c r="AK2140" s="418"/>
      <c r="AL2140" s="418"/>
      <c r="AM2140" s="418"/>
      <c r="AN2140" s="418"/>
      <c r="AO2140" s="418"/>
      <c r="AP2140" s="418"/>
      <c r="AQ2140" s="418"/>
      <c r="AR2140" s="418"/>
      <c r="AS2140" s="418"/>
      <c r="AT2140" s="418"/>
      <c r="AU2140" s="418"/>
      <c r="AV2140" s="418"/>
      <c r="AW2140" s="418"/>
      <c r="AX2140" s="418"/>
      <c r="AY2140" s="418"/>
      <c r="BF2140" s="1119"/>
      <c r="BG2140" s="1119"/>
      <c r="BH2140" s="1119"/>
    </row>
    <row r="2141" spans="1:60" ht="15.75" customHeight="1">
      <c r="A2141" s="1076"/>
      <c r="B2141" s="416"/>
      <c r="C2141" s="424"/>
      <c r="E2141" s="418"/>
      <c r="F2141" s="493"/>
      <c r="G2141" s="418"/>
      <c r="H2141" s="421"/>
      <c r="I2141" s="421"/>
      <c r="J2141" s="492"/>
      <c r="K2141" s="418"/>
      <c r="L2141" s="418"/>
      <c r="M2141" s="418"/>
      <c r="N2141" s="421"/>
      <c r="O2141" s="421"/>
      <c r="P2141" s="421"/>
      <c r="Q2141" s="418"/>
      <c r="R2141" s="418"/>
      <c r="S2141" s="418"/>
      <c r="T2141" s="418"/>
      <c r="U2141" s="418"/>
      <c r="V2141" s="418"/>
      <c r="W2141" s="418"/>
      <c r="X2141" s="418"/>
      <c r="Y2141" s="418"/>
      <c r="Z2141" s="418"/>
      <c r="AA2141" s="418"/>
      <c r="AB2141" s="418"/>
      <c r="AC2141" s="418"/>
      <c r="AD2141" s="418"/>
      <c r="AE2141" s="418"/>
      <c r="AF2141" s="418"/>
      <c r="AG2141" s="418"/>
      <c r="AH2141" s="418"/>
      <c r="AI2141" s="418"/>
      <c r="AJ2141" s="418"/>
      <c r="AK2141" s="418"/>
      <c r="AL2141" s="418"/>
      <c r="AM2141" s="418"/>
      <c r="AN2141" s="418"/>
      <c r="AO2141" s="418"/>
      <c r="AP2141" s="418"/>
      <c r="AQ2141" s="418"/>
      <c r="AR2141" s="418"/>
      <c r="AS2141" s="418"/>
      <c r="AT2141" s="418"/>
      <c r="AU2141" s="418"/>
      <c r="AV2141" s="418"/>
      <c r="AW2141" s="418"/>
      <c r="AX2141" s="418"/>
      <c r="AY2141" s="418"/>
      <c r="BF2141" s="1119"/>
      <c r="BG2141" s="1119"/>
      <c r="BH2141" s="1119"/>
    </row>
    <row r="2142" spans="1:60" ht="15.75" customHeight="1">
      <c r="A2142" s="1076"/>
      <c r="B2142" s="416"/>
      <c r="C2142" s="424"/>
      <c r="E2142" s="418"/>
      <c r="F2142" s="493"/>
      <c r="G2142" s="418"/>
      <c r="H2142" s="421"/>
      <c r="I2142" s="421"/>
      <c r="J2142" s="492"/>
      <c r="K2142" s="418"/>
      <c r="L2142" s="418"/>
      <c r="M2142" s="418"/>
      <c r="N2142" s="421"/>
      <c r="O2142" s="421"/>
      <c r="P2142" s="421"/>
      <c r="Q2142" s="418"/>
      <c r="R2142" s="418"/>
      <c r="S2142" s="418"/>
      <c r="T2142" s="418"/>
      <c r="U2142" s="418"/>
      <c r="V2142" s="418"/>
      <c r="W2142" s="418"/>
      <c r="X2142" s="418"/>
      <c r="Y2142" s="418"/>
      <c r="Z2142" s="418"/>
      <c r="AA2142" s="418"/>
      <c r="AB2142" s="418"/>
      <c r="AC2142" s="418"/>
      <c r="AD2142" s="418"/>
      <c r="AE2142" s="418"/>
      <c r="AF2142" s="418"/>
      <c r="AG2142" s="418"/>
      <c r="AH2142" s="418"/>
      <c r="AI2142" s="418"/>
      <c r="AJ2142" s="418"/>
      <c r="AK2142" s="418"/>
      <c r="AL2142" s="418"/>
      <c r="AM2142" s="418"/>
      <c r="AN2142" s="418"/>
      <c r="AO2142" s="418"/>
      <c r="AP2142" s="418"/>
      <c r="AQ2142" s="418"/>
      <c r="AR2142" s="418"/>
      <c r="AS2142" s="418"/>
      <c r="AT2142" s="418"/>
      <c r="AU2142" s="418"/>
      <c r="AV2142" s="418"/>
      <c r="AW2142" s="418"/>
      <c r="AX2142" s="418"/>
      <c r="AY2142" s="418"/>
      <c r="BF2142" s="1119"/>
      <c r="BG2142" s="1119"/>
      <c r="BH2142" s="1119"/>
    </row>
    <row r="2143" spans="1:60" ht="15.75" customHeight="1">
      <c r="A2143" s="1076"/>
      <c r="B2143" s="416"/>
      <c r="C2143" s="424"/>
      <c r="E2143" s="418"/>
      <c r="F2143" s="493"/>
      <c r="G2143" s="418"/>
      <c r="H2143" s="421"/>
      <c r="I2143" s="421"/>
      <c r="J2143" s="492"/>
      <c r="K2143" s="418"/>
      <c r="L2143" s="418"/>
      <c r="M2143" s="418"/>
      <c r="N2143" s="421"/>
      <c r="O2143" s="421"/>
      <c r="P2143" s="421"/>
      <c r="Q2143" s="418"/>
      <c r="R2143" s="418"/>
      <c r="S2143" s="418"/>
      <c r="T2143" s="418"/>
      <c r="U2143" s="418"/>
      <c r="V2143" s="418"/>
      <c r="W2143" s="418"/>
      <c r="X2143" s="418"/>
      <c r="Y2143" s="418"/>
      <c r="Z2143" s="418"/>
      <c r="AA2143" s="418"/>
      <c r="AB2143" s="418"/>
      <c r="AC2143" s="418"/>
      <c r="AD2143" s="418"/>
      <c r="AE2143" s="418"/>
      <c r="AF2143" s="418"/>
      <c r="AG2143" s="418"/>
      <c r="AH2143" s="418"/>
      <c r="AI2143" s="418"/>
      <c r="AJ2143" s="418"/>
      <c r="AK2143" s="418"/>
      <c r="AL2143" s="418"/>
      <c r="AM2143" s="418"/>
      <c r="AN2143" s="418"/>
      <c r="AO2143" s="418"/>
      <c r="AP2143" s="418"/>
      <c r="AQ2143" s="418"/>
      <c r="AR2143" s="418"/>
      <c r="AS2143" s="418"/>
      <c r="AT2143" s="418"/>
      <c r="AU2143" s="418"/>
      <c r="AV2143" s="418"/>
      <c r="AW2143" s="418"/>
      <c r="AX2143" s="418"/>
      <c r="AY2143" s="418"/>
      <c r="BF2143" s="1119"/>
      <c r="BG2143" s="1119"/>
      <c r="BH2143" s="1119"/>
    </row>
    <row r="2144" spans="1:60" ht="15.75" customHeight="1">
      <c r="A2144" s="1076"/>
      <c r="B2144" s="416"/>
      <c r="C2144" s="424"/>
      <c r="E2144" s="418"/>
      <c r="F2144" s="493"/>
      <c r="G2144" s="418"/>
      <c r="H2144" s="421"/>
      <c r="I2144" s="421"/>
      <c r="J2144" s="492"/>
      <c r="K2144" s="418"/>
      <c r="L2144" s="418"/>
      <c r="M2144" s="418"/>
      <c r="N2144" s="421"/>
      <c r="O2144" s="421"/>
      <c r="P2144" s="421"/>
      <c r="Q2144" s="418"/>
      <c r="R2144" s="418"/>
      <c r="S2144" s="418"/>
      <c r="T2144" s="418"/>
      <c r="U2144" s="418"/>
      <c r="V2144" s="418"/>
      <c r="W2144" s="418"/>
      <c r="X2144" s="418"/>
      <c r="Y2144" s="418"/>
      <c r="Z2144" s="418"/>
      <c r="AA2144" s="418"/>
      <c r="AB2144" s="418"/>
      <c r="AC2144" s="418"/>
      <c r="AD2144" s="418"/>
      <c r="AE2144" s="418"/>
      <c r="AF2144" s="418"/>
      <c r="AG2144" s="418"/>
      <c r="AH2144" s="418"/>
      <c r="AI2144" s="418"/>
      <c r="AJ2144" s="418"/>
      <c r="AK2144" s="418"/>
      <c r="AL2144" s="418"/>
      <c r="AM2144" s="418"/>
      <c r="AN2144" s="418"/>
      <c r="AO2144" s="418"/>
      <c r="AP2144" s="418"/>
      <c r="AQ2144" s="418"/>
      <c r="AR2144" s="418"/>
      <c r="AS2144" s="418"/>
      <c r="AT2144" s="418"/>
      <c r="AU2144" s="418"/>
      <c r="AV2144" s="418"/>
      <c r="AW2144" s="418"/>
      <c r="AX2144" s="418"/>
      <c r="AY2144" s="418"/>
      <c r="BF2144" s="1119"/>
      <c r="BG2144" s="1119"/>
      <c r="BH2144" s="1119"/>
    </row>
    <row r="2145" spans="1:60" ht="15.75" customHeight="1">
      <c r="A2145" s="1076"/>
      <c r="B2145" s="416"/>
      <c r="C2145" s="424"/>
      <c r="E2145" s="418"/>
      <c r="F2145" s="493"/>
      <c r="G2145" s="418"/>
      <c r="H2145" s="421"/>
      <c r="I2145" s="421"/>
      <c r="J2145" s="492"/>
      <c r="K2145" s="418"/>
      <c r="L2145" s="418"/>
      <c r="M2145" s="418"/>
      <c r="N2145" s="421"/>
      <c r="O2145" s="421"/>
      <c r="P2145" s="421"/>
      <c r="Q2145" s="418"/>
      <c r="R2145" s="418"/>
      <c r="S2145" s="418"/>
      <c r="T2145" s="418"/>
      <c r="U2145" s="418"/>
      <c r="V2145" s="418"/>
      <c r="W2145" s="418"/>
      <c r="X2145" s="418"/>
      <c r="Y2145" s="418"/>
      <c r="Z2145" s="418"/>
      <c r="AA2145" s="418"/>
      <c r="AB2145" s="418"/>
      <c r="AC2145" s="418"/>
      <c r="AD2145" s="418"/>
      <c r="AE2145" s="418"/>
      <c r="AF2145" s="418"/>
      <c r="AG2145" s="418"/>
      <c r="AH2145" s="418"/>
      <c r="AI2145" s="418"/>
      <c r="AJ2145" s="418"/>
      <c r="AK2145" s="418"/>
      <c r="AL2145" s="418"/>
      <c r="AM2145" s="418"/>
      <c r="AN2145" s="418"/>
      <c r="AO2145" s="418"/>
      <c r="AP2145" s="418"/>
      <c r="AQ2145" s="418"/>
      <c r="AR2145" s="418"/>
      <c r="AS2145" s="418"/>
      <c r="AT2145" s="418"/>
      <c r="AU2145" s="418"/>
      <c r="AV2145" s="418"/>
      <c r="AW2145" s="418"/>
      <c r="AX2145" s="418"/>
      <c r="AY2145" s="418"/>
      <c r="BF2145" s="1119"/>
      <c r="BG2145" s="1119"/>
      <c r="BH2145" s="1119"/>
    </row>
    <row r="2146" spans="1:60" ht="15.75" customHeight="1">
      <c r="A2146" s="1076"/>
      <c r="B2146" s="416"/>
      <c r="C2146" s="424"/>
      <c r="E2146" s="418"/>
      <c r="F2146" s="493"/>
      <c r="G2146" s="418"/>
      <c r="H2146" s="418"/>
      <c r="I2146" s="418"/>
      <c r="J2146" s="424"/>
      <c r="K2146" s="418"/>
      <c r="L2146" s="418"/>
      <c r="M2146" s="418"/>
      <c r="N2146" s="421"/>
      <c r="O2146" s="421"/>
      <c r="P2146" s="421"/>
      <c r="Q2146" s="418"/>
      <c r="R2146" s="418"/>
      <c r="S2146" s="418"/>
      <c r="T2146" s="418"/>
      <c r="U2146" s="418"/>
      <c r="V2146" s="418"/>
      <c r="W2146" s="418"/>
      <c r="X2146" s="418"/>
      <c r="Y2146" s="418"/>
      <c r="Z2146" s="418"/>
      <c r="AA2146" s="418"/>
      <c r="AB2146" s="418"/>
      <c r="AC2146" s="418"/>
      <c r="AD2146" s="418"/>
      <c r="AE2146" s="418"/>
      <c r="AF2146" s="418"/>
      <c r="AG2146" s="418"/>
      <c r="AH2146" s="418"/>
      <c r="AI2146" s="418"/>
      <c r="AJ2146" s="418"/>
      <c r="AK2146" s="418"/>
      <c r="AL2146" s="418"/>
      <c r="AM2146" s="418"/>
      <c r="AN2146" s="418"/>
      <c r="AO2146" s="418"/>
      <c r="AP2146" s="418"/>
      <c r="AQ2146" s="418"/>
      <c r="AR2146" s="418"/>
      <c r="AS2146" s="418"/>
      <c r="AT2146" s="418"/>
      <c r="AU2146" s="418"/>
      <c r="AV2146" s="418"/>
      <c r="AW2146" s="418"/>
      <c r="AX2146" s="418"/>
      <c r="AY2146" s="418"/>
      <c r="BF2146" s="1119"/>
      <c r="BG2146" s="1119"/>
      <c r="BH2146" s="1119"/>
    </row>
    <row r="2147" spans="1:60" ht="15.75" customHeight="1">
      <c r="A2147" s="1076"/>
      <c r="B2147" s="416"/>
      <c r="C2147" s="424"/>
      <c r="E2147" s="418"/>
      <c r="F2147" s="493"/>
      <c r="G2147" s="418"/>
      <c r="H2147" s="418"/>
      <c r="I2147" s="418"/>
      <c r="J2147" s="424"/>
      <c r="K2147" s="418"/>
      <c r="L2147" s="418"/>
      <c r="M2147" s="418"/>
      <c r="N2147" s="421"/>
      <c r="O2147" s="421"/>
      <c r="P2147" s="421"/>
      <c r="Q2147" s="418"/>
      <c r="R2147" s="418"/>
      <c r="S2147" s="418"/>
      <c r="T2147" s="418"/>
      <c r="U2147" s="418"/>
      <c r="V2147" s="418"/>
      <c r="W2147" s="418"/>
      <c r="X2147" s="418"/>
      <c r="Y2147" s="418"/>
      <c r="Z2147" s="418"/>
      <c r="AA2147" s="418"/>
      <c r="AB2147" s="418"/>
      <c r="AC2147" s="418"/>
      <c r="AD2147" s="418"/>
      <c r="AE2147" s="418"/>
      <c r="AF2147" s="418"/>
      <c r="AG2147" s="418"/>
      <c r="AH2147" s="418"/>
      <c r="AI2147" s="418"/>
      <c r="AJ2147" s="418"/>
      <c r="AK2147" s="418"/>
      <c r="AL2147" s="418"/>
      <c r="AM2147" s="418"/>
      <c r="AN2147" s="418"/>
      <c r="AO2147" s="418"/>
      <c r="AP2147" s="418"/>
      <c r="AQ2147" s="418"/>
      <c r="AR2147" s="418"/>
      <c r="AS2147" s="418"/>
      <c r="AT2147" s="418"/>
      <c r="AU2147" s="418"/>
      <c r="AV2147" s="418"/>
      <c r="AW2147" s="418"/>
      <c r="AX2147" s="418"/>
      <c r="AY2147" s="418"/>
      <c r="BF2147" s="1119"/>
      <c r="BG2147" s="1119"/>
      <c r="BH2147" s="1119"/>
    </row>
    <row r="2148" spans="1:60" ht="15.75" customHeight="1">
      <c r="A2148" s="1076"/>
      <c r="B2148" s="416"/>
      <c r="C2148" s="424"/>
      <c r="E2148" s="418"/>
      <c r="F2148" s="493"/>
      <c r="G2148" s="418"/>
      <c r="H2148" s="418"/>
      <c r="I2148" s="418"/>
      <c r="J2148" s="424"/>
      <c r="K2148" s="418"/>
      <c r="L2148" s="418"/>
      <c r="M2148" s="418"/>
      <c r="N2148" s="421"/>
      <c r="O2148" s="421"/>
      <c r="P2148" s="421"/>
      <c r="Q2148" s="418"/>
      <c r="R2148" s="418"/>
      <c r="S2148" s="418"/>
      <c r="T2148" s="418"/>
      <c r="U2148" s="418"/>
      <c r="V2148" s="418"/>
      <c r="W2148" s="418"/>
      <c r="X2148" s="418"/>
      <c r="Y2148" s="418"/>
      <c r="Z2148" s="418"/>
      <c r="AA2148" s="418"/>
      <c r="AB2148" s="418"/>
      <c r="AC2148" s="418"/>
      <c r="AD2148" s="418"/>
      <c r="AE2148" s="418"/>
      <c r="AF2148" s="418"/>
      <c r="AG2148" s="418"/>
      <c r="AH2148" s="418"/>
      <c r="AI2148" s="418"/>
      <c r="AJ2148" s="418"/>
      <c r="AK2148" s="418"/>
      <c r="AL2148" s="418"/>
      <c r="AM2148" s="418"/>
      <c r="AN2148" s="418"/>
      <c r="AO2148" s="418"/>
      <c r="AP2148" s="418"/>
      <c r="AQ2148" s="418"/>
      <c r="AR2148" s="418"/>
      <c r="AS2148" s="418"/>
      <c r="AT2148" s="418"/>
      <c r="AU2148" s="418"/>
      <c r="AV2148" s="418"/>
      <c r="AW2148" s="418"/>
      <c r="AX2148" s="418"/>
      <c r="AY2148" s="418"/>
      <c r="BF2148" s="1119"/>
      <c r="BG2148" s="1119"/>
      <c r="BH2148" s="1119"/>
    </row>
    <row r="2149" spans="1:60" ht="15.75" customHeight="1">
      <c r="A2149" s="1076"/>
      <c r="B2149" s="416"/>
      <c r="C2149" s="424"/>
      <c r="E2149" s="418"/>
      <c r="F2149" s="493"/>
      <c r="G2149" s="418"/>
      <c r="H2149" s="418"/>
      <c r="I2149" s="418"/>
      <c r="J2149" s="424"/>
      <c r="K2149" s="418"/>
      <c r="L2149" s="418"/>
      <c r="M2149" s="418"/>
      <c r="N2149" s="421"/>
      <c r="O2149" s="421"/>
      <c r="P2149" s="421"/>
      <c r="Q2149" s="418"/>
      <c r="R2149" s="418"/>
      <c r="S2149" s="418"/>
      <c r="T2149" s="418"/>
      <c r="U2149" s="418"/>
      <c r="V2149" s="418"/>
      <c r="W2149" s="418"/>
      <c r="X2149" s="418"/>
      <c r="Y2149" s="418"/>
      <c r="Z2149" s="418"/>
      <c r="AA2149" s="418"/>
      <c r="AB2149" s="418"/>
      <c r="AC2149" s="418"/>
      <c r="AD2149" s="418"/>
      <c r="AE2149" s="418"/>
      <c r="AF2149" s="418"/>
      <c r="AG2149" s="418"/>
      <c r="AH2149" s="418"/>
      <c r="AI2149" s="418"/>
      <c r="AJ2149" s="418"/>
      <c r="AK2149" s="418"/>
      <c r="AL2149" s="418"/>
      <c r="AM2149" s="418"/>
      <c r="AN2149" s="418"/>
      <c r="AO2149" s="418"/>
      <c r="AP2149" s="418"/>
      <c r="AQ2149" s="418"/>
      <c r="AR2149" s="418"/>
      <c r="AS2149" s="418"/>
      <c r="AT2149" s="418"/>
      <c r="AU2149" s="418"/>
      <c r="AV2149" s="418"/>
      <c r="AW2149" s="418"/>
      <c r="AX2149" s="418"/>
      <c r="AY2149" s="418"/>
      <c r="BF2149" s="1119"/>
      <c r="BG2149" s="1119"/>
      <c r="BH2149" s="1119"/>
    </row>
    <row r="2150" spans="1:60" ht="15.75" customHeight="1">
      <c r="A2150" s="1076"/>
      <c r="B2150" s="416"/>
      <c r="C2150" s="424"/>
      <c r="E2150" s="418"/>
      <c r="F2150" s="493"/>
      <c r="G2150" s="418"/>
      <c r="H2150" s="418"/>
      <c r="I2150" s="418"/>
      <c r="J2150" s="424"/>
      <c r="K2150" s="418"/>
      <c r="L2150" s="418"/>
      <c r="M2150" s="418"/>
      <c r="N2150" s="421"/>
      <c r="O2150" s="421"/>
      <c r="P2150" s="421"/>
      <c r="Q2150" s="418"/>
      <c r="R2150" s="418"/>
      <c r="S2150" s="418"/>
      <c r="T2150" s="418"/>
      <c r="U2150" s="418"/>
      <c r="V2150" s="418"/>
      <c r="W2150" s="418"/>
      <c r="X2150" s="418"/>
      <c r="Y2150" s="418"/>
      <c r="Z2150" s="418"/>
      <c r="AA2150" s="418"/>
      <c r="AB2150" s="418"/>
      <c r="AC2150" s="418"/>
      <c r="AD2150" s="418"/>
      <c r="AE2150" s="418"/>
      <c r="AF2150" s="418"/>
      <c r="AG2150" s="418"/>
      <c r="AH2150" s="418"/>
      <c r="AI2150" s="418"/>
      <c r="AJ2150" s="418"/>
      <c r="AK2150" s="418"/>
      <c r="AL2150" s="418"/>
      <c r="AM2150" s="418"/>
      <c r="AN2150" s="418"/>
      <c r="AO2150" s="418"/>
      <c r="AP2150" s="418"/>
      <c r="AQ2150" s="418"/>
      <c r="AR2150" s="418"/>
      <c r="AS2150" s="418"/>
      <c r="AT2150" s="418"/>
      <c r="AU2150" s="418"/>
      <c r="AV2150" s="418"/>
      <c r="AW2150" s="418"/>
      <c r="AX2150" s="418"/>
      <c r="AY2150" s="418"/>
      <c r="BF2150" s="1119"/>
      <c r="BG2150" s="1119"/>
      <c r="BH2150" s="1119"/>
    </row>
    <row r="2151" spans="1:60" ht="15.75" customHeight="1">
      <c r="A2151" s="1076"/>
      <c r="B2151" s="416"/>
      <c r="C2151" s="424"/>
      <c r="E2151" s="418"/>
      <c r="F2151" s="493"/>
      <c r="G2151" s="418"/>
      <c r="H2151" s="418"/>
      <c r="I2151" s="418"/>
      <c r="J2151" s="424"/>
      <c r="K2151" s="418"/>
      <c r="L2151" s="418"/>
      <c r="M2151" s="418"/>
      <c r="N2151" s="421"/>
      <c r="O2151" s="421"/>
      <c r="P2151" s="421"/>
      <c r="Q2151" s="418"/>
      <c r="R2151" s="418"/>
      <c r="S2151" s="418"/>
      <c r="T2151" s="418"/>
      <c r="U2151" s="418"/>
      <c r="V2151" s="418"/>
      <c r="W2151" s="418"/>
      <c r="X2151" s="418"/>
      <c r="Y2151" s="418"/>
      <c r="Z2151" s="418"/>
      <c r="AA2151" s="418"/>
      <c r="AB2151" s="418"/>
      <c r="AC2151" s="418"/>
      <c r="AD2151" s="418"/>
      <c r="AE2151" s="418"/>
      <c r="AF2151" s="418"/>
      <c r="AG2151" s="418"/>
      <c r="AH2151" s="418"/>
      <c r="AI2151" s="418"/>
      <c r="AJ2151" s="418"/>
      <c r="AK2151" s="418"/>
      <c r="AL2151" s="418"/>
      <c r="AM2151" s="418"/>
      <c r="AN2151" s="418"/>
      <c r="AO2151" s="418"/>
      <c r="AP2151" s="418"/>
      <c r="AQ2151" s="418"/>
      <c r="AR2151" s="418"/>
      <c r="AS2151" s="418"/>
      <c r="AT2151" s="418"/>
      <c r="AU2151" s="418"/>
      <c r="AV2151" s="418"/>
      <c r="AW2151" s="418"/>
      <c r="AX2151" s="418"/>
      <c r="AY2151" s="418"/>
      <c r="BF2151" s="1119"/>
      <c r="BG2151" s="1119"/>
      <c r="BH2151" s="1119"/>
    </row>
    <row r="2152" spans="1:60" ht="15.75" customHeight="1">
      <c r="A2152" s="1076"/>
      <c r="B2152" s="416"/>
      <c r="C2152" s="424"/>
      <c r="E2152" s="418"/>
      <c r="F2152" s="493"/>
      <c r="G2152" s="418"/>
      <c r="H2152" s="421"/>
      <c r="I2152" s="421"/>
      <c r="J2152" s="492"/>
      <c r="K2152" s="418"/>
      <c r="L2152" s="418"/>
      <c r="M2152" s="418"/>
      <c r="N2152" s="421"/>
      <c r="O2152" s="421"/>
      <c r="P2152" s="421"/>
      <c r="Q2152" s="418"/>
      <c r="R2152" s="418"/>
      <c r="S2152" s="418"/>
      <c r="T2152" s="418"/>
      <c r="U2152" s="418"/>
      <c r="V2152" s="418"/>
      <c r="W2152" s="418"/>
      <c r="X2152" s="418"/>
      <c r="Y2152" s="418"/>
      <c r="Z2152" s="418"/>
      <c r="AA2152" s="418"/>
      <c r="AB2152" s="418"/>
      <c r="AC2152" s="418"/>
      <c r="AD2152" s="418"/>
      <c r="AE2152" s="418"/>
      <c r="AF2152" s="418"/>
      <c r="AG2152" s="418"/>
      <c r="AH2152" s="418"/>
      <c r="AI2152" s="418"/>
      <c r="AJ2152" s="418"/>
      <c r="AK2152" s="418"/>
      <c r="AL2152" s="418"/>
      <c r="AM2152" s="418"/>
      <c r="AN2152" s="418"/>
      <c r="AO2152" s="418"/>
      <c r="AP2152" s="418"/>
      <c r="AQ2152" s="418"/>
      <c r="AR2152" s="418"/>
      <c r="AS2152" s="418"/>
      <c r="AT2152" s="418"/>
      <c r="AU2152" s="418"/>
      <c r="AV2152" s="418"/>
      <c r="AW2152" s="418"/>
      <c r="AX2152" s="418"/>
      <c r="AY2152" s="418"/>
      <c r="BF2152" s="1119"/>
      <c r="BG2152" s="1119"/>
      <c r="BH2152" s="1119"/>
    </row>
    <row r="2153" spans="1:60" ht="15.75" customHeight="1">
      <c r="A2153" s="1076"/>
      <c r="B2153" s="416"/>
      <c r="C2153" s="424"/>
      <c r="E2153" s="418"/>
      <c r="F2153" s="493"/>
      <c r="G2153" s="418"/>
      <c r="H2153" s="421"/>
      <c r="I2153" s="421"/>
      <c r="J2153" s="492"/>
      <c r="K2153" s="418"/>
      <c r="L2153" s="418"/>
      <c r="M2153" s="418"/>
      <c r="N2153" s="421"/>
      <c r="O2153" s="421"/>
      <c r="P2153" s="421"/>
      <c r="Q2153" s="418"/>
      <c r="R2153" s="418"/>
      <c r="S2153" s="418"/>
      <c r="T2153" s="418"/>
      <c r="U2153" s="418"/>
      <c r="V2153" s="418"/>
      <c r="W2153" s="418"/>
      <c r="X2153" s="418"/>
      <c r="Y2153" s="418"/>
      <c r="Z2153" s="418"/>
      <c r="AA2153" s="418"/>
      <c r="AB2153" s="418"/>
      <c r="AC2153" s="418"/>
      <c r="AD2153" s="418"/>
      <c r="AE2153" s="418"/>
      <c r="AF2153" s="418"/>
      <c r="AG2153" s="418"/>
      <c r="AH2153" s="418"/>
      <c r="AI2153" s="418"/>
      <c r="AJ2153" s="418"/>
      <c r="AK2153" s="418"/>
      <c r="AL2153" s="418"/>
      <c r="AM2153" s="418"/>
      <c r="AN2153" s="418"/>
      <c r="AO2153" s="418"/>
      <c r="AP2153" s="418"/>
      <c r="AQ2153" s="418"/>
      <c r="AR2153" s="418"/>
      <c r="AS2153" s="418"/>
      <c r="AT2153" s="418"/>
      <c r="AU2153" s="418"/>
      <c r="AV2153" s="418"/>
      <c r="AW2153" s="418"/>
      <c r="AX2153" s="418"/>
      <c r="AY2153" s="418"/>
      <c r="BF2153" s="1119"/>
      <c r="BG2153" s="1119"/>
      <c r="BH2153" s="1119"/>
    </row>
    <row r="2154" spans="1:60" ht="15.75" customHeight="1">
      <c r="A2154" s="1076"/>
      <c r="B2154" s="416"/>
      <c r="C2154" s="424"/>
      <c r="E2154" s="418"/>
      <c r="F2154" s="493"/>
      <c r="G2154" s="418"/>
      <c r="H2154" s="421"/>
      <c r="I2154" s="421"/>
      <c r="J2154" s="492"/>
      <c r="K2154" s="418"/>
      <c r="L2154" s="418"/>
      <c r="M2154" s="418"/>
      <c r="N2154" s="421"/>
      <c r="O2154" s="421"/>
      <c r="P2154" s="421"/>
      <c r="Q2154" s="418"/>
      <c r="R2154" s="418"/>
      <c r="S2154" s="418"/>
      <c r="T2154" s="418"/>
      <c r="U2154" s="418"/>
      <c r="V2154" s="418"/>
      <c r="W2154" s="418"/>
      <c r="X2154" s="418"/>
      <c r="Y2154" s="418"/>
      <c r="Z2154" s="418"/>
      <c r="AA2154" s="418"/>
      <c r="AB2154" s="418"/>
      <c r="AC2154" s="418"/>
      <c r="AD2154" s="418"/>
      <c r="AE2154" s="418"/>
      <c r="AF2154" s="418"/>
      <c r="AG2154" s="418"/>
      <c r="AH2154" s="418"/>
      <c r="AI2154" s="418"/>
      <c r="AJ2154" s="418"/>
      <c r="AK2154" s="418"/>
      <c r="AL2154" s="418"/>
      <c r="AM2154" s="418"/>
      <c r="AN2154" s="418"/>
      <c r="AO2154" s="418"/>
      <c r="AP2154" s="418"/>
      <c r="AQ2154" s="418"/>
      <c r="AR2154" s="418"/>
      <c r="AS2154" s="418"/>
      <c r="AT2154" s="418"/>
      <c r="AU2154" s="418"/>
      <c r="AV2154" s="418"/>
      <c r="AW2154" s="418"/>
      <c r="AX2154" s="418"/>
      <c r="AY2154" s="418"/>
      <c r="BF2154" s="1119"/>
      <c r="BG2154" s="1119"/>
      <c r="BH2154" s="1119"/>
    </row>
    <row r="2155" spans="1:60" ht="15.75" customHeight="1">
      <c r="A2155" s="1076"/>
      <c r="B2155" s="416"/>
      <c r="C2155" s="424"/>
      <c r="E2155" s="418"/>
      <c r="F2155" s="493"/>
      <c r="G2155" s="418"/>
      <c r="H2155" s="421"/>
      <c r="I2155" s="421"/>
      <c r="J2155" s="492"/>
      <c r="K2155" s="418"/>
      <c r="L2155" s="418"/>
      <c r="M2155" s="418"/>
      <c r="N2155" s="421"/>
      <c r="O2155" s="421"/>
      <c r="P2155" s="421"/>
      <c r="Q2155" s="418"/>
      <c r="R2155" s="418"/>
      <c r="S2155" s="418"/>
      <c r="T2155" s="418"/>
      <c r="U2155" s="418"/>
      <c r="V2155" s="418"/>
      <c r="W2155" s="418"/>
      <c r="X2155" s="418"/>
      <c r="Y2155" s="418"/>
      <c r="Z2155" s="418"/>
      <c r="AA2155" s="418"/>
      <c r="AB2155" s="418"/>
      <c r="AC2155" s="418"/>
      <c r="AD2155" s="418"/>
      <c r="AE2155" s="418"/>
      <c r="AF2155" s="418"/>
      <c r="AG2155" s="418"/>
      <c r="AH2155" s="418"/>
      <c r="AI2155" s="418"/>
      <c r="AJ2155" s="418"/>
      <c r="AK2155" s="418"/>
      <c r="AL2155" s="418"/>
      <c r="AM2155" s="418"/>
      <c r="AN2155" s="418"/>
      <c r="AO2155" s="418"/>
      <c r="AP2155" s="418"/>
      <c r="AQ2155" s="418"/>
      <c r="AR2155" s="418"/>
      <c r="AS2155" s="418"/>
      <c r="AT2155" s="418"/>
      <c r="AU2155" s="418"/>
      <c r="AV2155" s="418"/>
      <c r="AW2155" s="418"/>
      <c r="AX2155" s="418"/>
      <c r="AY2155" s="418"/>
      <c r="BF2155" s="1119"/>
      <c r="BG2155" s="1119"/>
      <c r="BH2155" s="1119"/>
    </row>
    <row r="2156" spans="1:60" ht="15.75" customHeight="1">
      <c r="A2156" s="1076"/>
      <c r="B2156" s="416"/>
      <c r="C2156" s="424"/>
      <c r="E2156" s="418"/>
      <c r="F2156" s="493"/>
      <c r="G2156" s="418"/>
      <c r="H2156" s="421"/>
      <c r="I2156" s="421"/>
      <c r="J2156" s="492"/>
      <c r="K2156" s="418"/>
      <c r="L2156" s="418"/>
      <c r="M2156" s="418"/>
      <c r="N2156" s="421"/>
      <c r="O2156" s="421"/>
      <c r="P2156" s="421"/>
      <c r="Q2156" s="418"/>
      <c r="R2156" s="418"/>
      <c r="S2156" s="418"/>
      <c r="T2156" s="418"/>
      <c r="U2156" s="418"/>
      <c r="V2156" s="418"/>
      <c r="W2156" s="418"/>
      <c r="X2156" s="418"/>
      <c r="Y2156" s="418"/>
      <c r="Z2156" s="418"/>
      <c r="AA2156" s="418"/>
      <c r="AB2156" s="418"/>
      <c r="AC2156" s="418"/>
      <c r="AD2156" s="418"/>
      <c r="AE2156" s="418"/>
      <c r="AF2156" s="418"/>
      <c r="AG2156" s="418"/>
      <c r="AH2156" s="418"/>
      <c r="AI2156" s="418"/>
      <c r="AJ2156" s="418"/>
      <c r="AK2156" s="418"/>
      <c r="AL2156" s="418"/>
      <c r="AM2156" s="418"/>
      <c r="AN2156" s="418"/>
      <c r="AO2156" s="418"/>
      <c r="AP2156" s="418"/>
      <c r="AQ2156" s="418"/>
      <c r="AR2156" s="418"/>
      <c r="AS2156" s="418"/>
      <c r="AT2156" s="418"/>
      <c r="AU2156" s="418"/>
      <c r="AV2156" s="418"/>
      <c r="AW2156" s="418"/>
      <c r="AX2156" s="418"/>
      <c r="AY2156" s="418"/>
      <c r="BF2156" s="1119"/>
      <c r="BG2156" s="1119"/>
      <c r="BH2156" s="1119"/>
    </row>
    <row r="2157" spans="1:60" ht="15.75" customHeight="1">
      <c r="A2157" s="1076"/>
      <c r="B2157" s="416"/>
      <c r="C2157" s="424"/>
      <c r="E2157" s="418"/>
      <c r="F2157" s="493"/>
      <c r="G2157" s="418"/>
      <c r="H2157" s="421"/>
      <c r="I2157" s="421"/>
      <c r="J2157" s="492"/>
      <c r="K2157" s="418"/>
      <c r="L2157" s="418"/>
      <c r="M2157" s="418"/>
      <c r="N2157" s="421"/>
      <c r="O2157" s="421"/>
      <c r="P2157" s="421"/>
      <c r="Q2157" s="418"/>
      <c r="R2157" s="418"/>
      <c r="S2157" s="418"/>
      <c r="T2157" s="418"/>
      <c r="U2157" s="418"/>
      <c r="V2157" s="418"/>
      <c r="W2157" s="418"/>
      <c r="X2157" s="418"/>
      <c r="Y2157" s="418"/>
      <c r="Z2157" s="418"/>
      <c r="AA2157" s="418"/>
      <c r="AB2157" s="418"/>
      <c r="AC2157" s="418"/>
      <c r="AD2157" s="418"/>
      <c r="AE2157" s="418"/>
      <c r="AF2157" s="418"/>
      <c r="AG2157" s="418"/>
      <c r="AH2157" s="418"/>
      <c r="AI2157" s="418"/>
      <c r="AJ2157" s="418"/>
      <c r="AK2157" s="418"/>
      <c r="AL2157" s="418"/>
      <c r="AM2157" s="418"/>
      <c r="AN2157" s="418"/>
      <c r="AO2157" s="418"/>
      <c r="AP2157" s="418"/>
      <c r="AQ2157" s="418"/>
      <c r="AR2157" s="418"/>
      <c r="AS2157" s="418"/>
      <c r="AT2157" s="418"/>
      <c r="AU2157" s="418"/>
      <c r="AV2157" s="418"/>
      <c r="AW2157" s="418"/>
      <c r="AX2157" s="418"/>
      <c r="AY2157" s="418"/>
      <c r="BF2157" s="1119"/>
      <c r="BG2157" s="1119"/>
      <c r="BH2157" s="1119"/>
    </row>
    <row r="2158" spans="1:60" ht="15.75" customHeight="1">
      <c r="A2158" s="1076"/>
      <c r="B2158" s="416"/>
      <c r="C2158" s="424"/>
      <c r="E2158" s="418"/>
      <c r="F2158" s="493"/>
      <c r="G2158" s="418"/>
      <c r="H2158" s="421"/>
      <c r="I2158" s="421"/>
      <c r="J2158" s="492"/>
      <c r="K2158" s="418"/>
      <c r="L2158" s="418"/>
      <c r="M2158" s="418"/>
      <c r="N2158" s="421"/>
      <c r="O2158" s="421"/>
      <c r="P2158" s="421"/>
      <c r="Q2158" s="418"/>
      <c r="R2158" s="418"/>
      <c r="S2158" s="418"/>
      <c r="T2158" s="418"/>
      <c r="U2158" s="418"/>
      <c r="V2158" s="418"/>
      <c r="W2158" s="418"/>
      <c r="X2158" s="418"/>
      <c r="Y2158" s="418"/>
      <c r="Z2158" s="418"/>
      <c r="AA2158" s="418"/>
      <c r="AB2158" s="418"/>
      <c r="AC2158" s="418"/>
      <c r="AD2158" s="418"/>
      <c r="AE2158" s="418"/>
      <c r="AF2158" s="418"/>
      <c r="AG2158" s="418"/>
      <c r="AH2158" s="418"/>
      <c r="AI2158" s="418"/>
      <c r="AJ2158" s="418"/>
      <c r="AK2158" s="418"/>
      <c r="AL2158" s="418"/>
      <c r="AM2158" s="418"/>
      <c r="AN2158" s="418"/>
      <c r="AO2158" s="418"/>
      <c r="AP2158" s="418"/>
      <c r="AQ2158" s="418"/>
      <c r="AR2158" s="418"/>
      <c r="AS2158" s="418"/>
      <c r="AT2158" s="418"/>
      <c r="AU2158" s="418"/>
      <c r="AV2158" s="418"/>
      <c r="AW2158" s="418"/>
      <c r="AX2158" s="418"/>
      <c r="AY2158" s="418"/>
      <c r="BF2158" s="1119"/>
      <c r="BG2158" s="1119"/>
      <c r="BH2158" s="1119"/>
    </row>
    <row r="2159" spans="1:60" ht="15.75" customHeight="1">
      <c r="A2159" s="1076"/>
      <c r="B2159" s="416"/>
      <c r="C2159" s="424"/>
      <c r="E2159" s="418"/>
      <c r="F2159" s="493"/>
      <c r="G2159" s="418"/>
      <c r="H2159" s="421"/>
      <c r="I2159" s="421"/>
      <c r="J2159" s="492"/>
      <c r="K2159" s="418"/>
      <c r="L2159" s="418"/>
      <c r="M2159" s="418"/>
      <c r="N2159" s="421"/>
      <c r="O2159" s="421"/>
      <c r="P2159" s="421"/>
      <c r="Q2159" s="418"/>
      <c r="R2159" s="418"/>
      <c r="S2159" s="418"/>
      <c r="T2159" s="418"/>
      <c r="U2159" s="418"/>
      <c r="V2159" s="418"/>
      <c r="W2159" s="418"/>
      <c r="X2159" s="418"/>
      <c r="Y2159" s="418"/>
      <c r="Z2159" s="418"/>
      <c r="AA2159" s="418"/>
      <c r="AB2159" s="418"/>
      <c r="AC2159" s="418"/>
      <c r="AD2159" s="418"/>
      <c r="AE2159" s="418"/>
      <c r="AF2159" s="418"/>
      <c r="AG2159" s="418"/>
      <c r="AH2159" s="418"/>
      <c r="AI2159" s="418"/>
      <c r="AJ2159" s="418"/>
      <c r="AK2159" s="418"/>
      <c r="AL2159" s="418"/>
      <c r="AM2159" s="418"/>
      <c r="AN2159" s="418"/>
      <c r="AO2159" s="418"/>
      <c r="AP2159" s="418"/>
      <c r="AQ2159" s="418"/>
      <c r="AR2159" s="418"/>
      <c r="AS2159" s="418"/>
      <c r="AT2159" s="418"/>
      <c r="AU2159" s="418"/>
      <c r="AV2159" s="418"/>
      <c r="AW2159" s="418"/>
      <c r="AX2159" s="418"/>
      <c r="AY2159" s="418"/>
      <c r="BF2159" s="1119"/>
      <c r="BG2159" s="1119"/>
      <c r="BH2159" s="1119"/>
    </row>
    <row r="2160" spans="1:60" ht="15.75" customHeight="1">
      <c r="A2160" s="1076"/>
      <c r="B2160" s="416"/>
      <c r="C2160" s="424"/>
      <c r="E2160" s="418"/>
      <c r="F2160" s="493"/>
      <c r="G2160" s="418"/>
      <c r="H2160" s="421"/>
      <c r="I2160" s="421"/>
      <c r="J2160" s="492"/>
      <c r="K2160" s="418"/>
      <c r="L2160" s="418"/>
      <c r="M2160" s="418"/>
      <c r="N2160" s="421"/>
      <c r="O2160" s="421"/>
      <c r="P2160" s="421"/>
      <c r="Q2160" s="418"/>
      <c r="R2160" s="418"/>
      <c r="S2160" s="418"/>
      <c r="T2160" s="418"/>
      <c r="U2160" s="418"/>
      <c r="V2160" s="418"/>
      <c r="W2160" s="418"/>
      <c r="X2160" s="418"/>
      <c r="Y2160" s="418"/>
      <c r="Z2160" s="418"/>
      <c r="AA2160" s="418"/>
      <c r="AB2160" s="418"/>
      <c r="AC2160" s="418"/>
      <c r="AD2160" s="418"/>
      <c r="AE2160" s="418"/>
      <c r="AF2160" s="418"/>
      <c r="AG2160" s="418"/>
      <c r="AH2160" s="418"/>
      <c r="AI2160" s="418"/>
      <c r="AJ2160" s="418"/>
      <c r="AK2160" s="418"/>
      <c r="AL2160" s="418"/>
      <c r="AM2160" s="418"/>
      <c r="AN2160" s="418"/>
      <c r="AO2160" s="418"/>
      <c r="AP2160" s="418"/>
      <c r="AQ2160" s="418"/>
      <c r="AR2160" s="418"/>
      <c r="AS2160" s="418"/>
      <c r="AT2160" s="418"/>
      <c r="AU2160" s="418"/>
      <c r="AV2160" s="418"/>
      <c r="AW2160" s="418"/>
      <c r="AX2160" s="418"/>
      <c r="AY2160" s="418"/>
      <c r="BF2160" s="1119"/>
      <c r="BG2160" s="1119"/>
      <c r="BH2160" s="1119"/>
    </row>
    <row r="2161" spans="1:60" ht="15.75" customHeight="1">
      <c r="A2161" s="1076"/>
      <c r="B2161" s="416"/>
      <c r="C2161" s="424"/>
      <c r="E2161" s="418"/>
      <c r="F2161" s="493"/>
      <c r="G2161" s="418"/>
      <c r="H2161" s="421"/>
      <c r="I2161" s="421"/>
      <c r="J2161" s="492"/>
      <c r="K2161" s="418"/>
      <c r="L2161" s="418"/>
      <c r="M2161" s="418"/>
      <c r="N2161" s="421"/>
      <c r="O2161" s="421"/>
      <c r="P2161" s="421"/>
      <c r="Q2161" s="418"/>
      <c r="R2161" s="418"/>
      <c r="S2161" s="418"/>
      <c r="T2161" s="418"/>
      <c r="U2161" s="418"/>
      <c r="V2161" s="418"/>
      <c r="W2161" s="418"/>
      <c r="X2161" s="418"/>
      <c r="Y2161" s="418"/>
      <c r="Z2161" s="418"/>
      <c r="AA2161" s="418"/>
      <c r="AB2161" s="418"/>
      <c r="AC2161" s="418"/>
      <c r="AD2161" s="418"/>
      <c r="AE2161" s="418"/>
      <c r="AF2161" s="418"/>
      <c r="AG2161" s="418"/>
      <c r="AH2161" s="418"/>
      <c r="AI2161" s="418"/>
      <c r="AJ2161" s="418"/>
      <c r="AK2161" s="418"/>
      <c r="AL2161" s="418"/>
      <c r="AM2161" s="418"/>
      <c r="AN2161" s="418"/>
      <c r="AO2161" s="418"/>
      <c r="AP2161" s="418"/>
      <c r="AQ2161" s="418"/>
      <c r="AR2161" s="418"/>
      <c r="AS2161" s="418"/>
      <c r="AT2161" s="418"/>
      <c r="AU2161" s="418"/>
      <c r="AV2161" s="418"/>
      <c r="AW2161" s="418"/>
      <c r="AX2161" s="418"/>
      <c r="AY2161" s="418"/>
      <c r="BF2161" s="1119"/>
      <c r="BG2161" s="1119"/>
      <c r="BH2161" s="1119"/>
    </row>
    <row r="2162" spans="1:60" ht="15.75" customHeight="1">
      <c r="A2162" s="1076"/>
      <c r="B2162" s="416"/>
      <c r="C2162" s="424"/>
      <c r="E2162" s="418"/>
      <c r="F2162" s="493"/>
      <c r="G2162" s="418"/>
      <c r="H2162" s="421"/>
      <c r="I2162" s="421"/>
      <c r="J2162" s="492"/>
      <c r="K2162" s="418"/>
      <c r="L2162" s="418"/>
      <c r="M2162" s="418"/>
      <c r="N2162" s="421"/>
      <c r="O2162" s="421"/>
      <c r="P2162" s="421"/>
      <c r="Q2162" s="418"/>
      <c r="R2162" s="418"/>
      <c r="S2162" s="418"/>
      <c r="T2162" s="418"/>
      <c r="U2162" s="418"/>
      <c r="V2162" s="418"/>
      <c r="W2162" s="418"/>
      <c r="X2162" s="418"/>
      <c r="Y2162" s="418"/>
      <c r="Z2162" s="418"/>
      <c r="AA2162" s="418"/>
      <c r="AB2162" s="418"/>
      <c r="AC2162" s="418"/>
      <c r="AD2162" s="418"/>
      <c r="AE2162" s="418"/>
      <c r="AF2162" s="418"/>
      <c r="AG2162" s="418"/>
      <c r="AH2162" s="418"/>
      <c r="AI2162" s="418"/>
      <c r="AJ2162" s="418"/>
      <c r="AK2162" s="418"/>
      <c r="AL2162" s="418"/>
      <c r="AM2162" s="418"/>
      <c r="AN2162" s="418"/>
      <c r="AO2162" s="418"/>
      <c r="AP2162" s="418"/>
      <c r="AQ2162" s="418"/>
      <c r="AR2162" s="418"/>
      <c r="AS2162" s="418"/>
      <c r="AT2162" s="418"/>
      <c r="AU2162" s="418"/>
      <c r="AV2162" s="418"/>
      <c r="AW2162" s="418"/>
      <c r="AX2162" s="418"/>
      <c r="AY2162" s="418"/>
      <c r="BF2162" s="1119"/>
      <c r="BG2162" s="1119"/>
      <c r="BH2162" s="1119"/>
    </row>
    <row r="2163" spans="1:60" ht="15.75" customHeight="1">
      <c r="A2163" s="1076"/>
      <c r="B2163" s="416"/>
      <c r="C2163" s="424"/>
      <c r="E2163" s="418"/>
      <c r="F2163" s="493"/>
      <c r="G2163" s="418"/>
      <c r="H2163" s="421"/>
      <c r="I2163" s="421"/>
      <c r="J2163" s="492"/>
      <c r="K2163" s="418"/>
      <c r="L2163" s="418"/>
      <c r="M2163" s="418"/>
      <c r="N2163" s="421"/>
      <c r="O2163" s="421"/>
      <c r="P2163" s="421"/>
      <c r="Q2163" s="418"/>
      <c r="R2163" s="418"/>
      <c r="S2163" s="418"/>
      <c r="T2163" s="418"/>
      <c r="U2163" s="418"/>
      <c r="V2163" s="418"/>
      <c r="W2163" s="418"/>
      <c r="X2163" s="418"/>
      <c r="Y2163" s="418"/>
      <c r="Z2163" s="418"/>
      <c r="AA2163" s="418"/>
      <c r="AB2163" s="418"/>
      <c r="AC2163" s="418"/>
      <c r="AD2163" s="418"/>
      <c r="AE2163" s="418"/>
      <c r="AF2163" s="418"/>
      <c r="AG2163" s="418"/>
      <c r="AH2163" s="418"/>
      <c r="AI2163" s="418"/>
      <c r="AJ2163" s="418"/>
      <c r="AK2163" s="418"/>
      <c r="AL2163" s="418"/>
      <c r="AM2163" s="418"/>
      <c r="AN2163" s="418"/>
      <c r="AO2163" s="418"/>
      <c r="AP2163" s="418"/>
      <c r="AQ2163" s="418"/>
      <c r="AR2163" s="418"/>
      <c r="AS2163" s="418"/>
      <c r="AT2163" s="418"/>
      <c r="AU2163" s="418"/>
      <c r="AV2163" s="418"/>
      <c r="AW2163" s="418"/>
      <c r="AX2163" s="418"/>
      <c r="AY2163" s="418"/>
      <c r="BF2163" s="1119"/>
      <c r="BG2163" s="1119"/>
      <c r="BH2163" s="1119"/>
    </row>
    <row r="2164" spans="1:60" ht="15.75" customHeight="1">
      <c r="A2164" s="1076"/>
      <c r="B2164" s="416"/>
      <c r="C2164" s="424"/>
      <c r="E2164" s="418"/>
      <c r="F2164" s="493"/>
      <c r="G2164" s="418"/>
      <c r="H2164" s="421"/>
      <c r="I2164" s="421"/>
      <c r="J2164" s="492"/>
      <c r="K2164" s="418"/>
      <c r="L2164" s="418"/>
      <c r="M2164" s="418"/>
      <c r="N2164" s="421"/>
      <c r="O2164" s="418"/>
      <c r="P2164" s="421"/>
      <c r="Q2164" s="418"/>
      <c r="R2164" s="418"/>
      <c r="S2164" s="418"/>
      <c r="T2164" s="418"/>
      <c r="U2164" s="418"/>
      <c r="V2164" s="418"/>
      <c r="W2164" s="418"/>
      <c r="X2164" s="418"/>
      <c r="Y2164" s="418"/>
      <c r="Z2164" s="418"/>
      <c r="AA2164" s="418"/>
      <c r="AB2164" s="418"/>
      <c r="AC2164" s="418"/>
      <c r="AD2164" s="418"/>
      <c r="AE2164" s="418"/>
      <c r="AF2164" s="418"/>
      <c r="AG2164" s="418"/>
      <c r="AH2164" s="418"/>
      <c r="AI2164" s="418"/>
      <c r="AJ2164" s="418"/>
      <c r="AK2164" s="418"/>
      <c r="AL2164" s="418"/>
      <c r="AM2164" s="418"/>
      <c r="AN2164" s="418"/>
      <c r="AO2164" s="418"/>
      <c r="AP2164" s="418"/>
      <c r="AQ2164" s="418"/>
      <c r="AR2164" s="418"/>
      <c r="AS2164" s="418"/>
      <c r="AT2164" s="418"/>
      <c r="AU2164" s="418"/>
      <c r="AV2164" s="418"/>
      <c r="AW2164" s="418"/>
      <c r="AX2164" s="418"/>
      <c r="AY2164" s="418"/>
      <c r="BF2164" s="1119"/>
      <c r="BG2164" s="1119"/>
      <c r="BH2164" s="1119"/>
    </row>
    <row r="2165" spans="1:60" ht="15.75" customHeight="1">
      <c r="A2165" s="1076"/>
      <c r="B2165" s="416"/>
      <c r="C2165" s="424"/>
      <c r="E2165" s="418"/>
      <c r="F2165" s="493"/>
      <c r="G2165" s="418"/>
      <c r="H2165" s="421"/>
      <c r="I2165" s="421"/>
      <c r="J2165" s="492"/>
      <c r="K2165" s="418"/>
      <c r="L2165" s="418"/>
      <c r="M2165" s="418"/>
      <c r="N2165" s="421"/>
      <c r="O2165" s="418"/>
      <c r="P2165" s="421"/>
      <c r="Q2165" s="418"/>
      <c r="R2165" s="418"/>
      <c r="S2165" s="418"/>
      <c r="T2165" s="418"/>
      <c r="U2165" s="418"/>
      <c r="V2165" s="418"/>
      <c r="W2165" s="418"/>
      <c r="X2165" s="418"/>
      <c r="Y2165" s="418"/>
      <c r="Z2165" s="418"/>
      <c r="AA2165" s="418"/>
      <c r="AB2165" s="418"/>
      <c r="AC2165" s="418"/>
      <c r="AD2165" s="418"/>
      <c r="AE2165" s="418"/>
      <c r="AF2165" s="418"/>
      <c r="AG2165" s="418"/>
      <c r="AH2165" s="418"/>
      <c r="AI2165" s="418"/>
      <c r="AJ2165" s="418"/>
      <c r="AK2165" s="418"/>
      <c r="AL2165" s="418"/>
      <c r="AM2165" s="418"/>
      <c r="AN2165" s="418"/>
      <c r="AO2165" s="418"/>
      <c r="AP2165" s="418"/>
      <c r="AQ2165" s="418"/>
      <c r="AR2165" s="418"/>
      <c r="AS2165" s="418"/>
      <c r="AT2165" s="418"/>
      <c r="AU2165" s="418"/>
      <c r="AV2165" s="418"/>
      <c r="AW2165" s="418"/>
      <c r="AX2165" s="418"/>
      <c r="AY2165" s="418"/>
      <c r="BF2165" s="1119"/>
      <c r="BG2165" s="1119"/>
      <c r="BH2165" s="1119"/>
    </row>
    <row r="2166" spans="1:60" ht="15.75" customHeight="1">
      <c r="A2166" s="1076"/>
      <c r="B2166" s="416"/>
      <c r="C2166" s="424"/>
      <c r="E2166" s="418"/>
      <c r="F2166" s="493"/>
      <c r="G2166" s="418"/>
      <c r="H2166" s="421"/>
      <c r="I2166" s="421"/>
      <c r="J2166" s="492"/>
      <c r="K2166" s="418"/>
      <c r="L2166" s="418"/>
      <c r="M2166" s="418"/>
      <c r="N2166" s="421"/>
      <c r="O2166" s="421"/>
      <c r="P2166" s="421"/>
      <c r="Q2166" s="418"/>
      <c r="R2166" s="418"/>
      <c r="S2166" s="418"/>
      <c r="T2166" s="418"/>
      <c r="U2166" s="418"/>
      <c r="V2166" s="418"/>
      <c r="W2166" s="418"/>
      <c r="X2166" s="418"/>
      <c r="Y2166" s="418"/>
      <c r="Z2166" s="418"/>
      <c r="AA2166" s="418"/>
      <c r="AB2166" s="418"/>
      <c r="AC2166" s="418"/>
      <c r="AD2166" s="418"/>
      <c r="AE2166" s="418"/>
      <c r="AF2166" s="418"/>
      <c r="AG2166" s="418"/>
      <c r="AH2166" s="418"/>
      <c r="AI2166" s="418"/>
      <c r="AJ2166" s="418"/>
      <c r="AK2166" s="418"/>
      <c r="AL2166" s="418"/>
      <c r="AM2166" s="418"/>
      <c r="AN2166" s="418"/>
      <c r="AO2166" s="418"/>
      <c r="AP2166" s="418"/>
      <c r="AQ2166" s="418"/>
      <c r="AR2166" s="418"/>
      <c r="AS2166" s="418"/>
      <c r="AT2166" s="418"/>
      <c r="AU2166" s="418"/>
      <c r="AV2166" s="418"/>
      <c r="AW2166" s="418"/>
      <c r="AX2166" s="418"/>
      <c r="AY2166" s="418"/>
      <c r="BF2166" s="1119"/>
      <c r="BG2166" s="1119"/>
      <c r="BH2166" s="1119"/>
    </row>
    <row r="2167" spans="1:60" ht="15.75" customHeight="1">
      <c r="A2167" s="1076"/>
      <c r="B2167" s="416"/>
      <c r="C2167" s="424"/>
      <c r="E2167" s="418"/>
      <c r="F2167" s="493"/>
      <c r="G2167" s="418"/>
      <c r="H2167" s="421"/>
      <c r="I2167" s="421"/>
      <c r="J2167" s="492"/>
      <c r="K2167" s="418"/>
      <c r="L2167" s="418"/>
      <c r="M2167" s="418"/>
      <c r="N2167" s="421"/>
      <c r="O2167" s="421"/>
      <c r="P2167" s="421"/>
      <c r="Q2167" s="418"/>
      <c r="R2167" s="418"/>
      <c r="S2167" s="418"/>
      <c r="T2167" s="418"/>
      <c r="U2167" s="418"/>
      <c r="V2167" s="418"/>
      <c r="W2167" s="418"/>
      <c r="X2167" s="418"/>
      <c r="Y2167" s="418"/>
      <c r="Z2167" s="418"/>
      <c r="AA2167" s="418"/>
      <c r="AB2167" s="418"/>
      <c r="AC2167" s="418"/>
      <c r="AD2167" s="418"/>
      <c r="AE2167" s="418"/>
      <c r="AF2167" s="418"/>
      <c r="AG2167" s="418"/>
      <c r="AH2167" s="418"/>
      <c r="AI2167" s="418"/>
      <c r="AJ2167" s="418"/>
      <c r="AK2167" s="418"/>
      <c r="AL2167" s="418"/>
      <c r="AM2167" s="418"/>
      <c r="AN2167" s="418"/>
      <c r="AO2167" s="418"/>
      <c r="AP2167" s="418"/>
      <c r="AQ2167" s="418"/>
      <c r="AR2167" s="418"/>
      <c r="AS2167" s="418"/>
      <c r="AT2167" s="418"/>
      <c r="AU2167" s="418"/>
      <c r="AV2167" s="418"/>
      <c r="AW2167" s="418"/>
      <c r="AX2167" s="418"/>
      <c r="AY2167" s="418"/>
      <c r="BF2167" s="1119"/>
      <c r="BG2167" s="1119"/>
      <c r="BH2167" s="1119"/>
    </row>
    <row r="2168" spans="1:60" ht="15.75" customHeight="1">
      <c r="A2168" s="1076"/>
      <c r="B2168" s="416"/>
      <c r="C2168" s="424"/>
      <c r="E2168" s="418"/>
      <c r="F2168" s="493"/>
      <c r="G2168" s="418"/>
      <c r="H2168" s="421"/>
      <c r="I2168" s="421"/>
      <c r="J2168" s="492"/>
      <c r="K2168" s="418"/>
      <c r="L2168" s="418"/>
      <c r="M2168" s="418"/>
      <c r="N2168" s="421"/>
      <c r="O2168" s="421"/>
      <c r="P2168" s="421"/>
      <c r="Q2168" s="418"/>
      <c r="R2168" s="418"/>
      <c r="S2168" s="418"/>
      <c r="T2168" s="418"/>
      <c r="U2168" s="418"/>
      <c r="V2168" s="418"/>
      <c r="W2168" s="418"/>
      <c r="X2168" s="418"/>
      <c r="Y2168" s="418"/>
      <c r="Z2168" s="418"/>
      <c r="AA2168" s="418"/>
      <c r="AB2168" s="418"/>
      <c r="AC2168" s="418"/>
      <c r="AD2168" s="418"/>
      <c r="AE2168" s="418"/>
      <c r="AF2168" s="418"/>
      <c r="AG2168" s="418"/>
      <c r="AH2168" s="418"/>
      <c r="AI2168" s="418"/>
      <c r="AJ2168" s="418"/>
      <c r="AK2168" s="418"/>
      <c r="AL2168" s="418"/>
      <c r="AM2168" s="418"/>
      <c r="AN2168" s="418"/>
      <c r="AO2168" s="418"/>
      <c r="AP2168" s="418"/>
      <c r="AQ2168" s="418"/>
      <c r="AR2168" s="418"/>
      <c r="AS2168" s="418"/>
      <c r="AT2168" s="418"/>
      <c r="AU2168" s="418"/>
      <c r="AV2168" s="418"/>
      <c r="AW2168" s="418"/>
      <c r="AX2168" s="418"/>
      <c r="AY2168" s="418"/>
      <c r="BF2168" s="1119"/>
      <c r="BG2168" s="1119"/>
      <c r="BH2168" s="1119"/>
    </row>
    <row r="2169" spans="1:60" ht="15.75" customHeight="1">
      <c r="A2169" s="1076"/>
      <c r="B2169" s="416"/>
      <c r="C2169" s="424"/>
      <c r="E2169" s="418"/>
      <c r="F2169" s="493"/>
      <c r="G2169" s="418"/>
      <c r="H2169" s="421"/>
      <c r="I2169" s="421"/>
      <c r="J2169" s="492"/>
      <c r="K2169" s="418"/>
      <c r="L2169" s="418"/>
      <c r="M2169" s="418"/>
      <c r="N2169" s="421"/>
      <c r="O2169" s="421"/>
      <c r="P2169" s="421"/>
      <c r="Q2169" s="418"/>
      <c r="R2169" s="418"/>
      <c r="S2169" s="418"/>
      <c r="T2169" s="418"/>
      <c r="U2169" s="418"/>
      <c r="V2169" s="418"/>
      <c r="W2169" s="418"/>
      <c r="X2169" s="418"/>
      <c r="Y2169" s="418"/>
      <c r="Z2169" s="418"/>
      <c r="AA2169" s="418"/>
      <c r="AB2169" s="418"/>
      <c r="AC2169" s="418"/>
      <c r="AD2169" s="418"/>
      <c r="AE2169" s="418"/>
      <c r="AF2169" s="418"/>
      <c r="AG2169" s="418"/>
      <c r="AH2169" s="418"/>
      <c r="AI2169" s="418"/>
      <c r="AJ2169" s="418"/>
      <c r="AK2169" s="418"/>
      <c r="AL2169" s="418"/>
      <c r="AM2169" s="418"/>
      <c r="AN2169" s="418"/>
      <c r="AO2169" s="418"/>
      <c r="AP2169" s="418"/>
      <c r="AQ2169" s="418"/>
      <c r="AR2169" s="418"/>
      <c r="AS2169" s="418"/>
      <c r="AT2169" s="418"/>
      <c r="AU2169" s="418"/>
      <c r="AV2169" s="418"/>
      <c r="AW2169" s="418"/>
      <c r="AX2169" s="418"/>
      <c r="AY2169" s="418"/>
      <c r="BF2169" s="1119"/>
      <c r="BG2169" s="1119"/>
      <c r="BH2169" s="1119"/>
    </row>
    <row r="2170" spans="1:60" ht="15.75" customHeight="1">
      <c r="A2170" s="1076"/>
      <c r="B2170" s="416"/>
      <c r="C2170" s="424"/>
      <c r="E2170" s="418"/>
      <c r="F2170" s="493"/>
      <c r="G2170" s="418"/>
      <c r="H2170" s="421"/>
      <c r="I2170" s="421"/>
      <c r="J2170" s="492"/>
      <c r="K2170" s="418"/>
      <c r="L2170" s="418"/>
      <c r="M2170" s="418"/>
      <c r="N2170" s="421"/>
      <c r="O2170" s="421"/>
      <c r="P2170" s="421"/>
      <c r="Q2170" s="418"/>
      <c r="R2170" s="418"/>
      <c r="S2170" s="418"/>
      <c r="T2170" s="418"/>
      <c r="U2170" s="418"/>
      <c r="V2170" s="418"/>
      <c r="W2170" s="418"/>
      <c r="X2170" s="418"/>
      <c r="Y2170" s="418"/>
      <c r="Z2170" s="418"/>
      <c r="AA2170" s="418"/>
      <c r="AB2170" s="418"/>
      <c r="AC2170" s="418"/>
      <c r="AD2170" s="418"/>
      <c r="AE2170" s="418"/>
      <c r="AF2170" s="418"/>
      <c r="AG2170" s="418"/>
      <c r="AH2170" s="418"/>
      <c r="AI2170" s="418"/>
      <c r="AJ2170" s="418"/>
      <c r="AK2170" s="418"/>
      <c r="AL2170" s="418"/>
      <c r="AM2170" s="418"/>
      <c r="AN2170" s="418"/>
      <c r="AO2170" s="418"/>
      <c r="AP2170" s="418"/>
      <c r="AQ2170" s="418"/>
      <c r="AR2170" s="418"/>
      <c r="AS2170" s="418"/>
      <c r="AT2170" s="418"/>
      <c r="AU2170" s="418"/>
      <c r="AV2170" s="418"/>
      <c r="AW2170" s="418"/>
      <c r="AX2170" s="418"/>
      <c r="AY2170" s="418"/>
      <c r="BF2170" s="1119"/>
      <c r="BG2170" s="1119"/>
      <c r="BH2170" s="1119"/>
    </row>
    <row r="2171" spans="1:60" ht="15.75" customHeight="1">
      <c r="A2171" s="1076"/>
      <c r="B2171" s="416"/>
      <c r="C2171" s="424"/>
      <c r="E2171" s="418"/>
      <c r="F2171" s="493"/>
      <c r="G2171" s="418"/>
      <c r="H2171" s="421"/>
      <c r="I2171" s="421"/>
      <c r="J2171" s="492"/>
      <c r="K2171" s="418"/>
      <c r="L2171" s="418"/>
      <c r="M2171" s="418"/>
      <c r="N2171" s="421"/>
      <c r="O2171" s="421"/>
      <c r="P2171" s="421"/>
      <c r="Q2171" s="418"/>
      <c r="R2171" s="418"/>
      <c r="S2171" s="418"/>
      <c r="T2171" s="418"/>
      <c r="U2171" s="418"/>
      <c r="V2171" s="418"/>
      <c r="W2171" s="418"/>
      <c r="X2171" s="418"/>
      <c r="Y2171" s="418"/>
      <c r="Z2171" s="418"/>
      <c r="AA2171" s="418"/>
      <c r="AB2171" s="418"/>
      <c r="AC2171" s="418"/>
      <c r="AD2171" s="418"/>
      <c r="AE2171" s="418"/>
      <c r="AF2171" s="418"/>
      <c r="AG2171" s="418"/>
      <c r="AH2171" s="418"/>
      <c r="AI2171" s="418"/>
      <c r="AJ2171" s="418"/>
      <c r="AK2171" s="418"/>
      <c r="AL2171" s="418"/>
      <c r="AM2171" s="418"/>
      <c r="AN2171" s="418"/>
      <c r="AO2171" s="418"/>
      <c r="AP2171" s="418"/>
      <c r="AQ2171" s="418"/>
      <c r="AR2171" s="418"/>
      <c r="AS2171" s="418"/>
      <c r="AT2171" s="418"/>
      <c r="AU2171" s="418"/>
      <c r="AV2171" s="418"/>
      <c r="AW2171" s="418"/>
      <c r="AX2171" s="418"/>
      <c r="AY2171" s="418"/>
      <c r="BF2171" s="1119"/>
      <c r="BG2171" s="1119"/>
      <c r="BH2171" s="1119"/>
    </row>
    <row r="2172" spans="1:60" ht="15.75" customHeight="1">
      <c r="A2172" s="1076"/>
      <c r="B2172" s="416"/>
      <c r="C2172" s="424"/>
      <c r="E2172" s="418"/>
      <c r="F2172" s="493"/>
      <c r="G2172" s="418"/>
      <c r="H2172" s="421"/>
      <c r="I2172" s="421"/>
      <c r="J2172" s="492"/>
      <c r="K2172" s="418"/>
      <c r="L2172" s="418"/>
      <c r="M2172" s="418"/>
      <c r="N2172" s="421"/>
      <c r="O2172" s="421"/>
      <c r="P2172" s="421"/>
      <c r="Q2172" s="418"/>
      <c r="R2172" s="418"/>
      <c r="S2172" s="418"/>
      <c r="T2172" s="418"/>
      <c r="U2172" s="418"/>
      <c r="V2172" s="418"/>
      <c r="W2172" s="418"/>
      <c r="X2172" s="418"/>
      <c r="Y2172" s="418"/>
      <c r="Z2172" s="418"/>
      <c r="AA2172" s="418"/>
      <c r="AB2172" s="418"/>
      <c r="AC2172" s="418"/>
      <c r="AD2172" s="418"/>
      <c r="AE2172" s="418"/>
      <c r="AF2172" s="418"/>
      <c r="AG2172" s="418"/>
      <c r="AH2172" s="418"/>
      <c r="AI2172" s="418"/>
      <c r="AJ2172" s="418"/>
      <c r="AK2172" s="418"/>
      <c r="AL2172" s="418"/>
      <c r="AM2172" s="418"/>
      <c r="AN2172" s="418"/>
      <c r="AO2172" s="418"/>
      <c r="AP2172" s="418"/>
      <c r="AQ2172" s="418"/>
      <c r="AR2172" s="418"/>
      <c r="AS2172" s="418"/>
      <c r="AT2172" s="418"/>
      <c r="AU2172" s="418"/>
      <c r="AV2172" s="418"/>
      <c r="AW2172" s="418"/>
      <c r="AX2172" s="418"/>
      <c r="AY2172" s="418"/>
      <c r="BF2172" s="1119"/>
      <c r="BG2172" s="1119"/>
      <c r="BH2172" s="1119"/>
    </row>
    <row r="2173" spans="1:60" ht="15.75" customHeight="1">
      <c r="A2173" s="1076"/>
      <c r="B2173" s="416"/>
      <c r="C2173" s="424"/>
      <c r="E2173" s="418"/>
      <c r="F2173" s="493"/>
      <c r="G2173" s="418"/>
      <c r="H2173" s="421"/>
      <c r="I2173" s="421"/>
      <c r="J2173" s="492"/>
      <c r="K2173" s="418"/>
      <c r="L2173" s="418"/>
      <c r="M2173" s="418"/>
      <c r="N2173" s="421"/>
      <c r="O2173" s="421"/>
      <c r="P2173" s="421"/>
      <c r="Q2173" s="418"/>
      <c r="R2173" s="418"/>
      <c r="S2173" s="418"/>
      <c r="T2173" s="418"/>
      <c r="U2173" s="418"/>
      <c r="V2173" s="418"/>
      <c r="W2173" s="418"/>
      <c r="X2173" s="418"/>
      <c r="Y2173" s="418"/>
      <c r="Z2173" s="418"/>
      <c r="AA2173" s="418"/>
      <c r="AB2173" s="418"/>
      <c r="AC2173" s="418"/>
      <c r="AD2173" s="418"/>
      <c r="AE2173" s="418"/>
      <c r="AF2173" s="418"/>
      <c r="AG2173" s="418"/>
      <c r="AH2173" s="418"/>
      <c r="AI2173" s="418"/>
      <c r="AJ2173" s="418"/>
      <c r="AK2173" s="418"/>
      <c r="AL2173" s="418"/>
      <c r="AM2173" s="418"/>
      <c r="AN2173" s="418"/>
      <c r="AO2173" s="418"/>
      <c r="AP2173" s="418"/>
      <c r="AQ2173" s="418"/>
      <c r="AR2173" s="418"/>
      <c r="AS2173" s="418"/>
      <c r="AT2173" s="418"/>
      <c r="AU2173" s="418"/>
      <c r="AV2173" s="418"/>
      <c r="AW2173" s="418"/>
      <c r="AX2173" s="418"/>
      <c r="AY2173" s="418"/>
      <c r="BF2173" s="1119"/>
      <c r="BG2173" s="1119"/>
      <c r="BH2173" s="1119"/>
    </row>
    <row r="2174" spans="1:60" ht="15.75" customHeight="1">
      <c r="A2174" s="1076"/>
      <c r="B2174" s="416"/>
      <c r="C2174" s="424"/>
      <c r="E2174" s="418"/>
      <c r="F2174" s="493"/>
      <c r="G2174" s="418"/>
      <c r="H2174" s="421"/>
      <c r="I2174" s="421"/>
      <c r="J2174" s="492"/>
      <c r="K2174" s="418"/>
      <c r="L2174" s="418"/>
      <c r="M2174" s="418"/>
      <c r="N2174" s="421"/>
      <c r="O2174" s="421"/>
      <c r="P2174" s="421"/>
      <c r="Q2174" s="418"/>
      <c r="R2174" s="418"/>
      <c r="S2174" s="418"/>
      <c r="T2174" s="418"/>
      <c r="U2174" s="418"/>
      <c r="V2174" s="418"/>
      <c r="W2174" s="418"/>
      <c r="X2174" s="418"/>
      <c r="Y2174" s="418"/>
      <c r="Z2174" s="418"/>
      <c r="AA2174" s="418"/>
      <c r="AB2174" s="418"/>
      <c r="AC2174" s="418"/>
      <c r="AD2174" s="418"/>
      <c r="AE2174" s="418"/>
      <c r="AF2174" s="418"/>
      <c r="AG2174" s="418"/>
      <c r="AH2174" s="418"/>
      <c r="AI2174" s="418"/>
      <c r="AJ2174" s="418"/>
      <c r="AK2174" s="418"/>
      <c r="AL2174" s="418"/>
      <c r="AM2174" s="418"/>
      <c r="AN2174" s="418"/>
      <c r="AO2174" s="418"/>
      <c r="AP2174" s="418"/>
      <c r="AQ2174" s="418"/>
      <c r="AR2174" s="418"/>
      <c r="AS2174" s="418"/>
      <c r="AT2174" s="418"/>
      <c r="AU2174" s="418"/>
      <c r="AV2174" s="418"/>
      <c r="AW2174" s="418"/>
      <c r="AX2174" s="418"/>
      <c r="AY2174" s="418"/>
      <c r="BF2174" s="1119"/>
      <c r="BG2174" s="1119"/>
      <c r="BH2174" s="1119"/>
    </row>
    <row r="2175" spans="1:60" ht="15.75" customHeight="1">
      <c r="A2175" s="1076"/>
      <c r="B2175" s="416"/>
      <c r="C2175" s="424"/>
      <c r="E2175" s="418"/>
      <c r="F2175" s="493"/>
      <c r="G2175" s="418"/>
      <c r="H2175" s="421"/>
      <c r="I2175" s="421"/>
      <c r="J2175" s="492"/>
      <c r="K2175" s="418"/>
      <c r="L2175" s="418"/>
      <c r="M2175" s="418"/>
      <c r="N2175" s="421"/>
      <c r="O2175" s="421"/>
      <c r="P2175" s="421"/>
      <c r="Q2175" s="418"/>
      <c r="R2175" s="418"/>
      <c r="S2175" s="418"/>
      <c r="T2175" s="418"/>
      <c r="U2175" s="418"/>
      <c r="V2175" s="418"/>
      <c r="W2175" s="418"/>
      <c r="X2175" s="418"/>
      <c r="Y2175" s="418"/>
      <c r="Z2175" s="418"/>
      <c r="AA2175" s="418"/>
      <c r="AB2175" s="418"/>
      <c r="AC2175" s="418"/>
      <c r="AD2175" s="418"/>
      <c r="AE2175" s="418"/>
      <c r="AF2175" s="418"/>
      <c r="AG2175" s="418"/>
      <c r="AH2175" s="418"/>
      <c r="AI2175" s="418"/>
      <c r="AJ2175" s="418"/>
      <c r="AK2175" s="418"/>
      <c r="AL2175" s="418"/>
      <c r="AM2175" s="418"/>
      <c r="AN2175" s="418"/>
      <c r="AO2175" s="418"/>
      <c r="AP2175" s="418"/>
      <c r="AQ2175" s="418"/>
      <c r="AR2175" s="418"/>
      <c r="AS2175" s="418"/>
      <c r="AT2175" s="418"/>
      <c r="AU2175" s="418"/>
      <c r="AV2175" s="418"/>
      <c r="AW2175" s="418"/>
      <c r="AX2175" s="418"/>
      <c r="AY2175" s="418"/>
      <c r="BF2175" s="1119"/>
      <c r="BG2175" s="1119"/>
      <c r="BH2175" s="1119"/>
    </row>
    <row r="2176" spans="1:60" ht="15.75" customHeight="1">
      <c r="A2176" s="1076"/>
      <c r="B2176" s="416"/>
      <c r="C2176" s="424"/>
      <c r="E2176" s="418"/>
      <c r="F2176" s="493"/>
      <c r="G2176" s="418"/>
      <c r="H2176" s="421"/>
      <c r="I2176" s="421"/>
      <c r="J2176" s="492"/>
      <c r="K2176" s="418"/>
      <c r="L2176" s="418"/>
      <c r="M2176" s="418"/>
      <c r="N2176" s="421"/>
      <c r="O2176" s="421"/>
      <c r="P2176" s="421"/>
      <c r="Q2176" s="418"/>
      <c r="R2176" s="418"/>
      <c r="S2176" s="418"/>
      <c r="T2176" s="418"/>
      <c r="U2176" s="418"/>
      <c r="V2176" s="418"/>
      <c r="W2176" s="418"/>
      <c r="X2176" s="418"/>
      <c r="Y2176" s="418"/>
      <c r="Z2176" s="418"/>
      <c r="AA2176" s="418"/>
      <c r="AB2176" s="418"/>
      <c r="AC2176" s="418"/>
      <c r="AD2176" s="418"/>
      <c r="AE2176" s="418"/>
      <c r="AF2176" s="418"/>
      <c r="AG2176" s="418"/>
      <c r="AH2176" s="418"/>
      <c r="AI2176" s="418"/>
      <c r="AJ2176" s="418"/>
      <c r="AK2176" s="418"/>
      <c r="AL2176" s="418"/>
      <c r="AM2176" s="418"/>
      <c r="AN2176" s="418"/>
      <c r="AO2176" s="418"/>
      <c r="AP2176" s="418"/>
      <c r="AQ2176" s="418"/>
      <c r="AR2176" s="418"/>
      <c r="AS2176" s="418"/>
      <c r="AT2176" s="418"/>
      <c r="AU2176" s="418"/>
      <c r="AV2176" s="418"/>
      <c r="AW2176" s="418"/>
      <c r="AX2176" s="418"/>
      <c r="AY2176" s="418"/>
      <c r="BF2176" s="1119"/>
      <c r="BG2176" s="1119"/>
      <c r="BH2176" s="1119"/>
    </row>
    <row r="2177" spans="1:60" ht="15.75" customHeight="1">
      <c r="A2177" s="1076"/>
      <c r="B2177" s="416"/>
      <c r="C2177" s="424"/>
      <c r="E2177" s="418"/>
      <c r="F2177" s="493"/>
      <c r="G2177" s="418"/>
      <c r="H2177" s="421"/>
      <c r="I2177" s="421"/>
      <c r="J2177" s="492"/>
      <c r="K2177" s="418"/>
      <c r="L2177" s="418"/>
      <c r="M2177" s="418"/>
      <c r="N2177" s="421"/>
      <c r="O2177" s="421"/>
      <c r="P2177" s="421"/>
      <c r="Q2177" s="418"/>
      <c r="R2177" s="418"/>
      <c r="S2177" s="418"/>
      <c r="T2177" s="418"/>
      <c r="U2177" s="418"/>
      <c r="V2177" s="418"/>
      <c r="W2177" s="418"/>
      <c r="X2177" s="418"/>
      <c r="Y2177" s="418"/>
      <c r="Z2177" s="418"/>
      <c r="AA2177" s="418"/>
      <c r="AB2177" s="418"/>
      <c r="AC2177" s="418"/>
      <c r="AD2177" s="418"/>
      <c r="AE2177" s="418"/>
      <c r="AF2177" s="418"/>
      <c r="AG2177" s="418"/>
      <c r="AH2177" s="418"/>
      <c r="AI2177" s="418"/>
      <c r="AJ2177" s="418"/>
      <c r="AK2177" s="418"/>
      <c r="AL2177" s="418"/>
      <c r="AM2177" s="418"/>
      <c r="AN2177" s="418"/>
      <c r="AO2177" s="418"/>
      <c r="AP2177" s="418"/>
      <c r="AQ2177" s="418"/>
      <c r="AR2177" s="418"/>
      <c r="AS2177" s="418"/>
      <c r="AT2177" s="418"/>
      <c r="AU2177" s="418"/>
      <c r="AV2177" s="418"/>
      <c r="AW2177" s="418"/>
      <c r="AX2177" s="418"/>
      <c r="AY2177" s="418"/>
      <c r="BF2177" s="1119"/>
      <c r="BG2177" s="1119"/>
      <c r="BH2177" s="1119"/>
    </row>
    <row r="2178" spans="1:60" ht="15.75" customHeight="1">
      <c r="A2178" s="1076"/>
      <c r="B2178" s="416"/>
      <c r="C2178" s="424"/>
      <c r="E2178" s="418"/>
      <c r="F2178" s="493"/>
      <c r="G2178" s="418"/>
      <c r="H2178" s="421"/>
      <c r="I2178" s="421"/>
      <c r="J2178" s="492"/>
      <c r="K2178" s="418"/>
      <c r="L2178" s="418"/>
      <c r="M2178" s="418"/>
      <c r="N2178" s="421"/>
      <c r="O2178" s="421"/>
      <c r="P2178" s="421"/>
      <c r="Q2178" s="418"/>
      <c r="R2178" s="418"/>
      <c r="S2178" s="418"/>
      <c r="T2178" s="418"/>
      <c r="U2178" s="418"/>
      <c r="V2178" s="418"/>
      <c r="W2178" s="418"/>
      <c r="X2178" s="418"/>
      <c r="Y2178" s="418"/>
      <c r="Z2178" s="418"/>
      <c r="AA2178" s="418"/>
      <c r="AB2178" s="418"/>
      <c r="AC2178" s="418"/>
      <c r="AD2178" s="418"/>
      <c r="AE2178" s="418"/>
      <c r="AF2178" s="418"/>
      <c r="AG2178" s="418"/>
      <c r="AH2178" s="418"/>
      <c r="AI2178" s="418"/>
      <c r="AJ2178" s="418"/>
      <c r="AK2178" s="418"/>
      <c r="AL2178" s="418"/>
      <c r="AM2178" s="418"/>
      <c r="AN2178" s="418"/>
      <c r="AO2178" s="418"/>
      <c r="AP2178" s="418"/>
      <c r="AQ2178" s="418"/>
      <c r="AR2178" s="418"/>
      <c r="AS2178" s="418"/>
      <c r="AT2178" s="418"/>
      <c r="AU2178" s="418"/>
      <c r="AV2178" s="418"/>
      <c r="AW2178" s="418"/>
      <c r="AX2178" s="418"/>
      <c r="AY2178" s="418"/>
      <c r="BF2178" s="1119"/>
      <c r="BG2178" s="1119"/>
      <c r="BH2178" s="1119"/>
    </row>
    <row r="2179" spans="1:60" ht="15.75" customHeight="1">
      <c r="A2179" s="1076"/>
      <c r="B2179" s="416"/>
      <c r="C2179" s="424"/>
      <c r="E2179" s="418"/>
      <c r="F2179" s="493"/>
      <c r="G2179" s="418"/>
      <c r="H2179" s="421"/>
      <c r="I2179" s="421"/>
      <c r="J2179" s="492"/>
      <c r="K2179" s="418"/>
      <c r="L2179" s="418"/>
      <c r="M2179" s="418"/>
      <c r="N2179" s="421"/>
      <c r="O2179" s="421"/>
      <c r="P2179" s="421"/>
      <c r="Q2179" s="418"/>
      <c r="R2179" s="418"/>
      <c r="S2179" s="418"/>
      <c r="T2179" s="418"/>
      <c r="U2179" s="418"/>
      <c r="V2179" s="418"/>
      <c r="W2179" s="418"/>
      <c r="X2179" s="418"/>
      <c r="Y2179" s="418"/>
      <c r="Z2179" s="418"/>
      <c r="AA2179" s="418"/>
      <c r="AB2179" s="418"/>
      <c r="AC2179" s="418"/>
      <c r="AD2179" s="418"/>
      <c r="AE2179" s="418"/>
      <c r="AF2179" s="418"/>
      <c r="AG2179" s="418"/>
      <c r="AH2179" s="418"/>
      <c r="AI2179" s="418"/>
      <c r="AJ2179" s="418"/>
      <c r="AK2179" s="418"/>
      <c r="AL2179" s="418"/>
      <c r="AM2179" s="418"/>
      <c r="AN2179" s="418"/>
      <c r="AO2179" s="418"/>
      <c r="AP2179" s="418"/>
      <c r="AQ2179" s="418"/>
      <c r="AR2179" s="418"/>
      <c r="AS2179" s="418"/>
      <c r="AT2179" s="418"/>
      <c r="AU2179" s="418"/>
      <c r="AV2179" s="418"/>
      <c r="AW2179" s="418"/>
      <c r="AX2179" s="418"/>
      <c r="AY2179" s="418"/>
      <c r="BF2179" s="1119"/>
      <c r="BG2179" s="1119"/>
      <c r="BH2179" s="1119"/>
    </row>
    <row r="2180" spans="1:60" ht="15.75" customHeight="1">
      <c r="A2180" s="1076"/>
      <c r="B2180" s="416"/>
      <c r="C2180" s="424"/>
      <c r="E2180" s="418"/>
      <c r="F2180" s="493"/>
      <c r="G2180" s="418"/>
      <c r="H2180" s="421"/>
      <c r="I2180" s="421"/>
      <c r="J2180" s="492"/>
      <c r="K2180" s="418"/>
      <c r="L2180" s="418"/>
      <c r="M2180" s="418"/>
      <c r="N2180" s="421"/>
      <c r="O2180" s="421"/>
      <c r="P2180" s="421"/>
      <c r="Q2180" s="418"/>
      <c r="R2180" s="418"/>
      <c r="S2180" s="418"/>
      <c r="T2180" s="418"/>
      <c r="U2180" s="418"/>
      <c r="V2180" s="418"/>
      <c r="W2180" s="418"/>
      <c r="X2180" s="418"/>
      <c r="Y2180" s="418"/>
      <c r="Z2180" s="418"/>
      <c r="AA2180" s="418"/>
      <c r="AB2180" s="418"/>
      <c r="AC2180" s="418"/>
      <c r="AD2180" s="418"/>
      <c r="AE2180" s="418"/>
      <c r="AF2180" s="418"/>
      <c r="AG2180" s="418"/>
      <c r="AH2180" s="418"/>
      <c r="AI2180" s="418"/>
      <c r="AJ2180" s="418"/>
      <c r="AK2180" s="418"/>
      <c r="AL2180" s="418"/>
      <c r="AM2180" s="418"/>
      <c r="AN2180" s="418"/>
      <c r="AO2180" s="418"/>
      <c r="AP2180" s="418"/>
      <c r="AQ2180" s="418"/>
      <c r="AR2180" s="418"/>
      <c r="AS2180" s="418"/>
      <c r="AT2180" s="418"/>
      <c r="AU2180" s="418"/>
      <c r="AV2180" s="418"/>
      <c r="AW2180" s="418"/>
      <c r="AX2180" s="418"/>
      <c r="AY2180" s="418"/>
      <c r="BF2180" s="1119"/>
      <c r="BG2180" s="1119"/>
      <c r="BH2180" s="1119"/>
    </row>
    <row r="2181" spans="1:60" ht="15.75" customHeight="1">
      <c r="A2181" s="1076"/>
      <c r="B2181" s="416"/>
      <c r="C2181" s="424"/>
      <c r="E2181" s="418"/>
      <c r="F2181" s="493"/>
      <c r="G2181" s="418"/>
      <c r="H2181" s="421"/>
      <c r="I2181" s="421"/>
      <c r="J2181" s="492"/>
      <c r="K2181" s="418"/>
      <c r="L2181" s="418"/>
      <c r="M2181" s="418"/>
      <c r="N2181" s="421"/>
      <c r="O2181" s="421"/>
      <c r="P2181" s="421"/>
      <c r="Q2181" s="418"/>
      <c r="R2181" s="418"/>
      <c r="S2181" s="418"/>
      <c r="T2181" s="418"/>
      <c r="U2181" s="418"/>
      <c r="V2181" s="418"/>
      <c r="W2181" s="418"/>
      <c r="X2181" s="418"/>
      <c r="Y2181" s="418"/>
      <c r="Z2181" s="418"/>
      <c r="AA2181" s="418"/>
      <c r="AB2181" s="418"/>
      <c r="AC2181" s="418"/>
      <c r="AD2181" s="418"/>
      <c r="AE2181" s="418"/>
      <c r="AF2181" s="418"/>
      <c r="AG2181" s="418"/>
      <c r="AH2181" s="418"/>
      <c r="AI2181" s="418"/>
      <c r="AJ2181" s="418"/>
      <c r="AK2181" s="418"/>
      <c r="AL2181" s="418"/>
      <c r="AM2181" s="418"/>
      <c r="AN2181" s="418"/>
      <c r="AO2181" s="418"/>
      <c r="AP2181" s="418"/>
      <c r="AQ2181" s="418"/>
      <c r="AR2181" s="418"/>
      <c r="AS2181" s="418"/>
      <c r="AT2181" s="418"/>
      <c r="AU2181" s="418"/>
      <c r="AV2181" s="418"/>
      <c r="AW2181" s="418"/>
      <c r="AX2181" s="418"/>
      <c r="AY2181" s="418"/>
      <c r="BF2181" s="1119"/>
      <c r="BG2181" s="1119"/>
      <c r="BH2181" s="1119"/>
    </row>
    <row r="2182" spans="1:60" ht="15.75" customHeight="1">
      <c r="A2182" s="1076"/>
      <c r="B2182" s="416"/>
      <c r="C2182" s="424"/>
      <c r="E2182" s="418"/>
      <c r="F2182" s="493"/>
      <c r="G2182" s="418"/>
      <c r="H2182" s="421"/>
      <c r="I2182" s="421"/>
      <c r="J2182" s="492"/>
      <c r="K2182" s="418"/>
      <c r="L2182" s="418"/>
      <c r="M2182" s="418"/>
      <c r="N2182" s="421"/>
      <c r="O2182" s="421"/>
      <c r="P2182" s="421"/>
      <c r="Q2182" s="418"/>
      <c r="R2182" s="418"/>
      <c r="S2182" s="418"/>
      <c r="T2182" s="418"/>
      <c r="U2182" s="418"/>
      <c r="V2182" s="418"/>
      <c r="W2182" s="418"/>
      <c r="X2182" s="418"/>
      <c r="Y2182" s="418"/>
      <c r="Z2182" s="418"/>
      <c r="AA2182" s="418"/>
      <c r="AB2182" s="418"/>
      <c r="AC2182" s="418"/>
      <c r="AD2182" s="418"/>
      <c r="AE2182" s="418"/>
      <c r="AF2182" s="418"/>
      <c r="AG2182" s="418"/>
      <c r="AH2182" s="418"/>
      <c r="AI2182" s="418"/>
      <c r="AJ2182" s="418"/>
      <c r="AK2182" s="418"/>
      <c r="AL2182" s="418"/>
      <c r="AM2182" s="418"/>
      <c r="AN2182" s="418"/>
      <c r="AO2182" s="418"/>
      <c r="AP2182" s="418"/>
      <c r="AQ2182" s="418"/>
      <c r="AR2182" s="418"/>
      <c r="AS2182" s="418"/>
      <c r="AT2182" s="418"/>
      <c r="AU2182" s="418"/>
      <c r="AV2182" s="418"/>
      <c r="AW2182" s="418"/>
      <c r="AX2182" s="418"/>
      <c r="AY2182" s="418"/>
      <c r="BF2182" s="1119"/>
      <c r="BG2182" s="1119"/>
      <c r="BH2182" s="1119"/>
    </row>
    <row r="2183" spans="1:60" ht="15.75" customHeight="1">
      <c r="A2183" s="1076"/>
      <c r="B2183" s="416"/>
      <c r="C2183" s="424"/>
      <c r="E2183" s="418"/>
      <c r="F2183" s="493"/>
      <c r="G2183" s="418"/>
      <c r="H2183" s="421"/>
      <c r="I2183" s="421"/>
      <c r="J2183" s="492"/>
      <c r="K2183" s="418"/>
      <c r="L2183" s="418"/>
      <c r="M2183" s="418"/>
      <c r="N2183" s="421"/>
      <c r="O2183" s="421"/>
      <c r="P2183" s="421"/>
      <c r="Q2183" s="418"/>
      <c r="R2183" s="418"/>
      <c r="S2183" s="418"/>
      <c r="T2183" s="418"/>
      <c r="U2183" s="418"/>
      <c r="V2183" s="418"/>
      <c r="W2183" s="418"/>
      <c r="X2183" s="418"/>
      <c r="Y2183" s="418"/>
      <c r="Z2183" s="418"/>
      <c r="AA2183" s="418"/>
      <c r="AB2183" s="418"/>
      <c r="AC2183" s="418"/>
      <c r="AD2183" s="418"/>
      <c r="AE2183" s="418"/>
      <c r="AF2183" s="418"/>
      <c r="AG2183" s="418"/>
      <c r="AH2183" s="418"/>
      <c r="AI2183" s="418"/>
      <c r="AJ2183" s="418"/>
      <c r="AK2183" s="418"/>
      <c r="AL2183" s="418"/>
      <c r="AM2183" s="418"/>
      <c r="AN2183" s="418"/>
      <c r="AO2183" s="418"/>
      <c r="AP2183" s="418"/>
      <c r="AQ2183" s="418"/>
      <c r="AR2183" s="418"/>
      <c r="AS2183" s="418"/>
      <c r="AT2183" s="418"/>
      <c r="AU2183" s="418"/>
      <c r="AV2183" s="418"/>
      <c r="AW2183" s="418"/>
      <c r="AX2183" s="418"/>
      <c r="AY2183" s="418"/>
      <c r="BF2183" s="1119"/>
      <c r="BG2183" s="1119"/>
      <c r="BH2183" s="1119"/>
    </row>
    <row r="2184" spans="1:60" ht="15.75" customHeight="1">
      <c r="A2184" s="1076"/>
      <c r="B2184" s="416"/>
      <c r="C2184" s="424"/>
      <c r="E2184" s="418"/>
      <c r="F2184" s="493"/>
      <c r="G2184" s="418"/>
      <c r="H2184" s="421"/>
      <c r="I2184" s="421"/>
      <c r="J2184" s="492"/>
      <c r="K2184" s="418"/>
      <c r="L2184" s="418"/>
      <c r="M2184" s="418"/>
      <c r="N2184" s="421"/>
      <c r="O2184" s="421"/>
      <c r="P2184" s="421"/>
      <c r="Q2184" s="418"/>
      <c r="R2184" s="418"/>
      <c r="S2184" s="418"/>
      <c r="T2184" s="418"/>
      <c r="U2184" s="418"/>
      <c r="V2184" s="418"/>
      <c r="W2184" s="418"/>
      <c r="X2184" s="418"/>
      <c r="Y2184" s="418"/>
      <c r="Z2184" s="418"/>
      <c r="AA2184" s="418"/>
      <c r="AB2184" s="418"/>
      <c r="AC2184" s="418"/>
      <c r="AD2184" s="418"/>
      <c r="AE2184" s="418"/>
      <c r="AF2184" s="418"/>
      <c r="AG2184" s="418"/>
      <c r="AH2184" s="418"/>
      <c r="AI2184" s="418"/>
      <c r="AJ2184" s="418"/>
      <c r="AK2184" s="418"/>
      <c r="AL2184" s="418"/>
      <c r="AM2184" s="418"/>
      <c r="AN2184" s="418"/>
      <c r="AO2184" s="418"/>
      <c r="AP2184" s="418"/>
      <c r="AQ2184" s="418"/>
      <c r="AR2184" s="418"/>
      <c r="AS2184" s="418"/>
      <c r="AT2184" s="418"/>
      <c r="AU2184" s="418"/>
      <c r="AV2184" s="418"/>
      <c r="AW2184" s="418"/>
      <c r="AX2184" s="418"/>
      <c r="AY2184" s="418"/>
      <c r="BF2184" s="1119"/>
      <c r="BG2184" s="1119"/>
      <c r="BH2184" s="1119"/>
    </row>
    <row r="2185" spans="1:60" ht="15.75" customHeight="1">
      <c r="A2185" s="1076"/>
      <c r="B2185" s="416"/>
      <c r="C2185" s="424"/>
      <c r="E2185" s="418"/>
      <c r="F2185" s="493"/>
      <c r="G2185" s="418"/>
      <c r="H2185" s="421"/>
      <c r="I2185" s="421"/>
      <c r="J2185" s="492"/>
      <c r="K2185" s="418"/>
      <c r="L2185" s="418"/>
      <c r="M2185" s="418"/>
      <c r="N2185" s="421"/>
      <c r="O2185" s="421"/>
      <c r="P2185" s="421"/>
      <c r="Q2185" s="418"/>
      <c r="R2185" s="418"/>
      <c r="S2185" s="418"/>
      <c r="T2185" s="418"/>
      <c r="U2185" s="418"/>
      <c r="V2185" s="418"/>
      <c r="W2185" s="418"/>
      <c r="X2185" s="418"/>
      <c r="Y2185" s="418"/>
      <c r="Z2185" s="418"/>
      <c r="AA2185" s="418"/>
      <c r="AB2185" s="418"/>
      <c r="AC2185" s="418"/>
      <c r="AD2185" s="418"/>
      <c r="AE2185" s="418"/>
      <c r="AF2185" s="418"/>
      <c r="AG2185" s="418"/>
      <c r="AH2185" s="418"/>
      <c r="AI2185" s="418"/>
      <c r="AJ2185" s="418"/>
      <c r="AK2185" s="418"/>
      <c r="AL2185" s="418"/>
      <c r="AM2185" s="418"/>
      <c r="AN2185" s="418"/>
      <c r="AO2185" s="418"/>
      <c r="AP2185" s="418"/>
      <c r="AQ2185" s="418"/>
      <c r="AR2185" s="418"/>
      <c r="AS2185" s="418"/>
      <c r="AT2185" s="418"/>
      <c r="AU2185" s="418"/>
      <c r="AV2185" s="418"/>
      <c r="AW2185" s="418"/>
      <c r="AX2185" s="418"/>
      <c r="AY2185" s="418"/>
      <c r="BF2185" s="1119"/>
      <c r="BG2185" s="1119"/>
      <c r="BH2185" s="1119"/>
    </row>
    <row r="2186" spans="1:60" ht="15.75" customHeight="1">
      <c r="A2186" s="1076"/>
      <c r="B2186" s="416"/>
      <c r="C2186" s="424"/>
      <c r="E2186" s="418"/>
      <c r="F2186" s="493"/>
      <c r="G2186" s="418"/>
      <c r="H2186" s="421"/>
      <c r="I2186" s="421"/>
      <c r="J2186" s="492"/>
      <c r="K2186" s="418"/>
      <c r="L2186" s="418"/>
      <c r="M2186" s="418"/>
      <c r="N2186" s="421"/>
      <c r="O2186" s="421"/>
      <c r="P2186" s="421"/>
      <c r="Q2186" s="418"/>
      <c r="R2186" s="418"/>
      <c r="S2186" s="418"/>
      <c r="T2186" s="418"/>
      <c r="U2186" s="418"/>
      <c r="V2186" s="418"/>
      <c r="W2186" s="418"/>
      <c r="X2186" s="418"/>
      <c r="Y2186" s="418"/>
      <c r="Z2186" s="418"/>
      <c r="AA2186" s="418"/>
      <c r="AB2186" s="418"/>
      <c r="AC2186" s="418"/>
      <c r="AD2186" s="418"/>
      <c r="AE2186" s="418"/>
      <c r="AF2186" s="418"/>
      <c r="AG2186" s="418"/>
      <c r="AH2186" s="418"/>
      <c r="AI2186" s="418"/>
      <c r="AJ2186" s="418"/>
      <c r="AK2186" s="418"/>
      <c r="AL2186" s="418"/>
      <c r="AM2186" s="418"/>
      <c r="AN2186" s="418"/>
      <c r="AO2186" s="418"/>
      <c r="AP2186" s="418"/>
      <c r="AQ2186" s="418"/>
      <c r="AR2186" s="418"/>
      <c r="AS2186" s="418"/>
      <c r="AT2186" s="418"/>
      <c r="AU2186" s="418"/>
      <c r="AV2186" s="418"/>
      <c r="AW2186" s="418"/>
      <c r="AX2186" s="418"/>
      <c r="AY2186" s="418"/>
      <c r="BF2186" s="1119"/>
      <c r="BG2186" s="1119"/>
      <c r="BH2186" s="1119"/>
    </row>
    <row r="2187" spans="1:60" ht="15.75" customHeight="1">
      <c r="A2187" s="1076"/>
      <c r="B2187" s="416"/>
      <c r="C2187" s="424"/>
      <c r="E2187" s="418"/>
      <c r="F2187" s="493"/>
      <c r="G2187" s="418"/>
      <c r="H2187" s="421"/>
      <c r="I2187" s="421"/>
      <c r="J2187" s="492"/>
      <c r="K2187" s="418"/>
      <c r="L2187" s="418"/>
      <c r="M2187" s="418"/>
      <c r="N2187" s="421"/>
      <c r="O2187" s="421"/>
      <c r="P2187" s="421"/>
      <c r="Q2187" s="418"/>
      <c r="R2187" s="418"/>
      <c r="S2187" s="418"/>
      <c r="T2187" s="418"/>
      <c r="U2187" s="418"/>
      <c r="V2187" s="418"/>
      <c r="W2187" s="418"/>
      <c r="X2187" s="418"/>
      <c r="Y2187" s="418"/>
      <c r="Z2187" s="418"/>
      <c r="AA2187" s="418"/>
      <c r="AB2187" s="418"/>
      <c r="AC2187" s="418"/>
      <c r="AD2187" s="418"/>
      <c r="AE2187" s="418"/>
      <c r="AF2187" s="418"/>
      <c r="AG2187" s="418"/>
      <c r="AH2187" s="418"/>
      <c r="AI2187" s="418"/>
      <c r="AJ2187" s="418"/>
      <c r="AK2187" s="418"/>
      <c r="AL2187" s="418"/>
      <c r="AM2187" s="418"/>
      <c r="AN2187" s="418"/>
      <c r="AO2187" s="418"/>
      <c r="AP2187" s="418"/>
      <c r="AQ2187" s="418"/>
      <c r="AR2187" s="418"/>
      <c r="AS2187" s="418"/>
      <c r="AT2187" s="418"/>
      <c r="AU2187" s="418"/>
      <c r="AV2187" s="418"/>
      <c r="AW2187" s="418"/>
      <c r="AX2187" s="418"/>
      <c r="AY2187" s="418"/>
      <c r="BF2187" s="1119"/>
      <c r="BG2187" s="1119"/>
      <c r="BH2187" s="1119"/>
    </row>
    <row r="2188" spans="1:60" ht="15.75" customHeight="1">
      <c r="A2188" s="1076"/>
      <c r="B2188" s="416"/>
      <c r="C2188" s="424"/>
      <c r="E2188" s="418"/>
      <c r="F2188" s="493"/>
      <c r="G2188" s="418"/>
      <c r="H2188" s="421"/>
      <c r="I2188" s="421"/>
      <c r="J2188" s="492"/>
      <c r="K2188" s="418"/>
      <c r="L2188" s="418"/>
      <c r="M2188" s="418"/>
      <c r="N2188" s="421"/>
      <c r="O2188" s="421"/>
      <c r="P2188" s="421"/>
      <c r="Q2188" s="418"/>
      <c r="R2188" s="418"/>
      <c r="S2188" s="418"/>
      <c r="T2188" s="418"/>
      <c r="U2188" s="418"/>
      <c r="V2188" s="418"/>
      <c r="W2188" s="418"/>
      <c r="X2188" s="418"/>
      <c r="Y2188" s="418"/>
      <c r="Z2188" s="418"/>
      <c r="AA2188" s="418"/>
      <c r="AB2188" s="418"/>
      <c r="AC2188" s="418"/>
      <c r="AD2188" s="418"/>
      <c r="AE2188" s="418"/>
      <c r="AF2188" s="418"/>
      <c r="AG2188" s="418"/>
      <c r="AH2188" s="418"/>
      <c r="AI2188" s="418"/>
      <c r="AJ2188" s="418"/>
      <c r="AK2188" s="418"/>
      <c r="AL2188" s="418"/>
      <c r="AM2188" s="418"/>
      <c r="AN2188" s="418"/>
      <c r="AO2188" s="418"/>
      <c r="AP2188" s="418"/>
      <c r="AQ2188" s="418"/>
      <c r="AR2188" s="418"/>
      <c r="AS2188" s="418"/>
      <c r="AT2188" s="418"/>
      <c r="AU2188" s="418"/>
      <c r="AV2188" s="418"/>
      <c r="AW2188" s="418"/>
      <c r="AX2188" s="418"/>
      <c r="AY2188" s="418"/>
      <c r="BF2188" s="1119"/>
      <c r="BG2188" s="1119"/>
      <c r="BH2188" s="1119"/>
    </row>
    <row r="2189" spans="1:60" ht="15.75" customHeight="1">
      <c r="A2189" s="1076"/>
      <c r="B2189" s="416"/>
      <c r="C2189" s="424"/>
      <c r="E2189" s="418"/>
      <c r="F2189" s="493"/>
      <c r="G2189" s="418"/>
      <c r="H2189" s="421"/>
      <c r="I2189" s="421"/>
      <c r="J2189" s="492"/>
      <c r="K2189" s="418"/>
      <c r="L2189" s="418"/>
      <c r="M2189" s="418"/>
      <c r="N2189" s="421"/>
      <c r="O2189" s="421"/>
      <c r="P2189" s="421"/>
      <c r="Q2189" s="418"/>
      <c r="R2189" s="418"/>
      <c r="S2189" s="418"/>
      <c r="T2189" s="418"/>
      <c r="U2189" s="418"/>
      <c r="V2189" s="418"/>
      <c r="W2189" s="418"/>
      <c r="X2189" s="418"/>
      <c r="Y2189" s="418"/>
      <c r="Z2189" s="418"/>
      <c r="AA2189" s="418"/>
      <c r="AB2189" s="418"/>
      <c r="AC2189" s="418"/>
      <c r="AD2189" s="418"/>
      <c r="AE2189" s="418"/>
      <c r="AF2189" s="418"/>
      <c r="AG2189" s="418"/>
      <c r="AH2189" s="418"/>
      <c r="AI2189" s="418"/>
      <c r="AJ2189" s="418"/>
      <c r="AK2189" s="418"/>
      <c r="AL2189" s="418"/>
      <c r="AM2189" s="418"/>
      <c r="AN2189" s="418"/>
      <c r="AO2189" s="418"/>
      <c r="AP2189" s="418"/>
      <c r="AQ2189" s="418"/>
      <c r="AR2189" s="418"/>
      <c r="AS2189" s="418"/>
      <c r="AT2189" s="418"/>
      <c r="AU2189" s="418"/>
      <c r="AV2189" s="418"/>
      <c r="AW2189" s="418"/>
      <c r="AX2189" s="418"/>
      <c r="AY2189" s="418"/>
      <c r="BF2189" s="1119"/>
      <c r="BG2189" s="1119"/>
      <c r="BH2189" s="1119"/>
    </row>
    <row r="2190" spans="1:60" ht="15.75" customHeight="1">
      <c r="A2190" s="1076"/>
      <c r="B2190" s="416"/>
      <c r="C2190" s="424"/>
      <c r="E2190" s="418"/>
      <c r="F2190" s="493"/>
      <c r="G2190" s="418"/>
      <c r="H2190" s="421"/>
      <c r="I2190" s="421"/>
      <c r="J2190" s="492"/>
      <c r="K2190" s="418"/>
      <c r="L2190" s="418"/>
      <c r="M2190" s="418"/>
      <c r="N2190" s="421"/>
      <c r="O2190" s="421"/>
      <c r="P2190" s="421"/>
      <c r="Q2190" s="418"/>
      <c r="R2190" s="418"/>
      <c r="S2190" s="418"/>
      <c r="T2190" s="418"/>
      <c r="U2190" s="418"/>
      <c r="V2190" s="418"/>
      <c r="W2190" s="418"/>
      <c r="X2190" s="418"/>
      <c r="Y2190" s="418"/>
      <c r="Z2190" s="418"/>
      <c r="AA2190" s="418"/>
      <c r="AB2190" s="418"/>
      <c r="AC2190" s="418"/>
      <c r="AD2190" s="418"/>
      <c r="AE2190" s="418"/>
      <c r="AF2190" s="418"/>
      <c r="AG2190" s="418"/>
      <c r="AH2190" s="418"/>
      <c r="AI2190" s="418"/>
      <c r="AJ2190" s="418"/>
      <c r="AK2190" s="418"/>
      <c r="AL2190" s="418"/>
      <c r="AM2190" s="418"/>
      <c r="AN2190" s="418"/>
      <c r="AO2190" s="418"/>
      <c r="AP2190" s="418"/>
      <c r="AQ2190" s="418"/>
      <c r="AR2190" s="418"/>
      <c r="AS2190" s="418"/>
      <c r="AT2190" s="418"/>
      <c r="AU2190" s="418"/>
      <c r="AV2190" s="418"/>
      <c r="AW2190" s="418"/>
      <c r="AX2190" s="418"/>
      <c r="AY2190" s="418"/>
      <c r="BF2190" s="1119"/>
      <c r="BG2190" s="1119"/>
      <c r="BH2190" s="1119"/>
    </row>
    <row r="2191" spans="1:60" ht="15.75" customHeight="1">
      <c r="A2191" s="1076"/>
      <c r="B2191" s="416"/>
      <c r="C2191" s="424"/>
      <c r="E2191" s="418"/>
      <c r="F2191" s="493"/>
      <c r="G2191" s="418"/>
      <c r="H2191" s="421"/>
      <c r="I2191" s="421"/>
      <c r="J2191" s="492"/>
      <c r="K2191" s="418"/>
      <c r="L2191" s="418"/>
      <c r="M2191" s="418"/>
      <c r="N2191" s="421"/>
      <c r="O2191" s="421"/>
      <c r="P2191" s="421"/>
      <c r="Q2191" s="418"/>
      <c r="R2191" s="418"/>
      <c r="S2191" s="418"/>
      <c r="T2191" s="418"/>
      <c r="U2191" s="418"/>
      <c r="V2191" s="418"/>
      <c r="W2191" s="418"/>
      <c r="X2191" s="418"/>
      <c r="Y2191" s="418"/>
      <c r="Z2191" s="418"/>
      <c r="AA2191" s="418"/>
      <c r="AB2191" s="418"/>
      <c r="AC2191" s="418"/>
      <c r="AD2191" s="418"/>
      <c r="AE2191" s="418"/>
      <c r="AF2191" s="418"/>
      <c r="AG2191" s="418"/>
      <c r="AH2191" s="418"/>
      <c r="AI2191" s="418"/>
      <c r="AJ2191" s="418"/>
      <c r="AK2191" s="418"/>
      <c r="AL2191" s="418"/>
      <c r="AM2191" s="418"/>
      <c r="AN2191" s="418"/>
      <c r="AO2191" s="418"/>
      <c r="AP2191" s="418"/>
      <c r="AQ2191" s="418"/>
      <c r="AR2191" s="418"/>
      <c r="AS2191" s="418"/>
      <c r="AT2191" s="418"/>
      <c r="AU2191" s="418"/>
      <c r="AV2191" s="418"/>
      <c r="AW2191" s="418"/>
      <c r="AX2191" s="418"/>
      <c r="AY2191" s="418"/>
      <c r="BF2191" s="1119"/>
      <c r="BG2191" s="1119"/>
      <c r="BH2191" s="1119"/>
    </row>
    <row r="2192" spans="1:60" ht="15.75" customHeight="1">
      <c r="A2192" s="1076"/>
      <c r="B2192" s="416"/>
      <c r="C2192" s="424"/>
      <c r="E2192" s="418"/>
      <c r="F2192" s="493"/>
      <c r="G2192" s="418"/>
      <c r="H2192" s="421"/>
      <c r="I2192" s="421"/>
      <c r="J2192" s="492"/>
      <c r="K2192" s="418"/>
      <c r="L2192" s="418"/>
      <c r="M2192" s="418"/>
      <c r="N2192" s="421"/>
      <c r="O2192" s="421"/>
      <c r="P2192" s="421"/>
      <c r="Q2192" s="418"/>
      <c r="R2192" s="418"/>
      <c r="S2192" s="418"/>
      <c r="T2192" s="418"/>
      <c r="U2192" s="418"/>
      <c r="V2192" s="418"/>
      <c r="W2192" s="418"/>
      <c r="X2192" s="418"/>
      <c r="Y2192" s="418"/>
      <c r="Z2192" s="418"/>
      <c r="AA2192" s="418"/>
      <c r="AB2192" s="418"/>
      <c r="AC2192" s="418"/>
      <c r="AD2192" s="418"/>
      <c r="AE2192" s="418"/>
      <c r="AF2192" s="418"/>
      <c r="AG2192" s="418"/>
      <c r="AH2192" s="418"/>
      <c r="AI2192" s="418"/>
      <c r="AJ2192" s="418"/>
      <c r="AK2192" s="418"/>
      <c r="AL2192" s="418"/>
      <c r="AM2192" s="418"/>
      <c r="AN2192" s="418"/>
      <c r="AO2192" s="418"/>
      <c r="AP2192" s="418"/>
      <c r="AQ2192" s="418"/>
      <c r="AR2192" s="418"/>
      <c r="AS2192" s="418"/>
      <c r="AT2192" s="418"/>
      <c r="AU2192" s="418"/>
      <c r="AV2192" s="418"/>
      <c r="AW2192" s="418"/>
      <c r="AX2192" s="418"/>
      <c r="AY2192" s="418"/>
      <c r="BF2192" s="1119"/>
      <c r="BG2192" s="1119"/>
      <c r="BH2192" s="1119"/>
    </row>
    <row r="2193" spans="1:60" ht="15.75" customHeight="1">
      <c r="A2193" s="1076"/>
      <c r="B2193" s="416"/>
      <c r="C2193" s="424"/>
      <c r="E2193" s="418"/>
      <c r="F2193" s="493"/>
      <c r="G2193" s="418"/>
      <c r="H2193" s="421"/>
      <c r="I2193" s="421"/>
      <c r="J2193" s="492"/>
      <c r="K2193" s="418"/>
      <c r="L2193" s="418"/>
      <c r="M2193" s="418"/>
      <c r="N2193" s="421"/>
      <c r="O2193" s="421"/>
      <c r="P2193" s="421"/>
      <c r="Q2193" s="418"/>
      <c r="R2193" s="418"/>
      <c r="S2193" s="418"/>
      <c r="T2193" s="418"/>
      <c r="U2193" s="418"/>
      <c r="V2193" s="418"/>
      <c r="W2193" s="418"/>
      <c r="X2193" s="418"/>
      <c r="Y2193" s="418"/>
      <c r="Z2193" s="418"/>
      <c r="AA2193" s="418"/>
      <c r="AB2193" s="418"/>
      <c r="AC2193" s="418"/>
      <c r="AD2193" s="418"/>
      <c r="AE2193" s="418"/>
      <c r="AF2193" s="418"/>
      <c r="AG2193" s="418"/>
      <c r="AH2193" s="418"/>
      <c r="AI2193" s="418"/>
      <c r="AJ2193" s="418"/>
      <c r="AK2193" s="418"/>
      <c r="AL2193" s="418"/>
      <c r="AM2193" s="418"/>
      <c r="AN2193" s="418"/>
      <c r="AO2193" s="418"/>
      <c r="AP2193" s="418"/>
      <c r="AQ2193" s="418"/>
      <c r="AR2193" s="418"/>
      <c r="AS2193" s="418"/>
      <c r="AT2193" s="418"/>
      <c r="AU2193" s="418"/>
      <c r="AV2193" s="418"/>
      <c r="AW2193" s="418"/>
      <c r="AX2193" s="418"/>
      <c r="AY2193" s="418"/>
      <c r="BF2193" s="1119"/>
      <c r="BG2193" s="1119"/>
      <c r="BH2193" s="1119"/>
    </row>
    <row r="2194" spans="1:60" ht="15.75" customHeight="1">
      <c r="A2194" s="1076"/>
      <c r="B2194" s="416"/>
      <c r="C2194" s="424"/>
      <c r="E2194" s="418"/>
      <c r="F2194" s="493"/>
      <c r="G2194" s="418"/>
      <c r="H2194" s="421"/>
      <c r="I2194" s="421"/>
      <c r="J2194" s="492"/>
      <c r="K2194" s="418"/>
      <c r="L2194" s="418"/>
      <c r="M2194" s="418"/>
      <c r="N2194" s="421"/>
      <c r="O2194" s="421"/>
      <c r="P2194" s="421"/>
      <c r="Q2194" s="418"/>
      <c r="R2194" s="418"/>
      <c r="S2194" s="418"/>
      <c r="T2194" s="418"/>
      <c r="U2194" s="418"/>
      <c r="V2194" s="418"/>
      <c r="W2194" s="418"/>
      <c r="X2194" s="418"/>
      <c r="Y2194" s="418"/>
      <c r="Z2194" s="418"/>
      <c r="AA2194" s="418"/>
      <c r="AB2194" s="418"/>
      <c r="AC2194" s="418"/>
      <c r="AD2194" s="418"/>
      <c r="AE2194" s="418"/>
      <c r="AF2194" s="418"/>
      <c r="AG2194" s="418"/>
      <c r="AH2194" s="418"/>
      <c r="AI2194" s="418"/>
      <c r="AJ2194" s="418"/>
      <c r="AK2194" s="418"/>
      <c r="AL2194" s="418"/>
      <c r="AM2194" s="418"/>
      <c r="AN2194" s="418"/>
      <c r="AO2194" s="418"/>
      <c r="AP2194" s="418"/>
      <c r="AQ2194" s="418"/>
      <c r="AR2194" s="418"/>
      <c r="AS2194" s="418"/>
      <c r="AT2194" s="418"/>
      <c r="AU2194" s="418"/>
      <c r="AV2194" s="418"/>
      <c r="AW2194" s="418"/>
      <c r="AX2194" s="418"/>
      <c r="AY2194" s="418"/>
      <c r="BF2194" s="1119"/>
      <c r="BG2194" s="1119"/>
      <c r="BH2194" s="1119"/>
    </row>
    <row r="2195" spans="1:60" ht="15.75" customHeight="1">
      <c r="A2195" s="1076"/>
      <c r="B2195" s="416"/>
      <c r="C2195" s="424"/>
      <c r="E2195" s="418"/>
      <c r="F2195" s="493"/>
      <c r="G2195" s="418"/>
      <c r="H2195" s="421"/>
      <c r="I2195" s="421"/>
      <c r="J2195" s="492"/>
      <c r="K2195" s="418"/>
      <c r="L2195" s="418"/>
      <c r="M2195" s="418"/>
      <c r="N2195" s="421"/>
      <c r="O2195" s="421"/>
      <c r="P2195" s="421"/>
      <c r="Q2195" s="418"/>
      <c r="R2195" s="418"/>
      <c r="S2195" s="418"/>
      <c r="T2195" s="418"/>
      <c r="U2195" s="418"/>
      <c r="V2195" s="418"/>
      <c r="W2195" s="418"/>
      <c r="X2195" s="418"/>
      <c r="Y2195" s="418"/>
      <c r="Z2195" s="418"/>
      <c r="AA2195" s="418"/>
      <c r="AB2195" s="418"/>
      <c r="AC2195" s="418"/>
      <c r="AD2195" s="418"/>
      <c r="AE2195" s="418"/>
      <c r="AF2195" s="418"/>
      <c r="AG2195" s="418"/>
      <c r="AH2195" s="418"/>
      <c r="AI2195" s="418"/>
      <c r="AJ2195" s="418"/>
      <c r="AK2195" s="418"/>
      <c r="AL2195" s="418"/>
      <c r="AM2195" s="418"/>
      <c r="AN2195" s="418"/>
      <c r="AO2195" s="418"/>
      <c r="AP2195" s="418"/>
      <c r="AQ2195" s="418"/>
      <c r="AR2195" s="418"/>
      <c r="AS2195" s="418"/>
      <c r="AT2195" s="418"/>
      <c r="AU2195" s="418"/>
      <c r="AV2195" s="418"/>
      <c r="AW2195" s="418"/>
      <c r="AX2195" s="418"/>
      <c r="AY2195" s="418"/>
      <c r="BF2195" s="1119"/>
      <c r="BG2195" s="1119"/>
      <c r="BH2195" s="1119"/>
    </row>
    <row r="2196" spans="1:60" ht="15.75" customHeight="1">
      <c r="A2196" s="1076"/>
      <c r="B2196" s="416"/>
      <c r="C2196" s="424"/>
      <c r="E2196" s="418"/>
      <c r="F2196" s="493"/>
      <c r="G2196" s="418"/>
      <c r="H2196" s="421"/>
      <c r="I2196" s="421"/>
      <c r="J2196" s="492"/>
      <c r="K2196" s="418"/>
      <c r="L2196" s="418"/>
      <c r="M2196" s="418"/>
      <c r="N2196" s="421"/>
      <c r="O2196" s="421"/>
      <c r="P2196" s="421"/>
      <c r="Q2196" s="418"/>
      <c r="R2196" s="418"/>
      <c r="S2196" s="418"/>
      <c r="T2196" s="418"/>
      <c r="U2196" s="418"/>
      <c r="V2196" s="418"/>
      <c r="W2196" s="418"/>
      <c r="X2196" s="418"/>
      <c r="Y2196" s="418"/>
      <c r="Z2196" s="418"/>
      <c r="AA2196" s="418"/>
      <c r="AB2196" s="418"/>
      <c r="AC2196" s="418"/>
      <c r="AD2196" s="418"/>
      <c r="AE2196" s="418"/>
      <c r="AF2196" s="418"/>
      <c r="AG2196" s="418"/>
      <c r="AH2196" s="418"/>
      <c r="AI2196" s="418"/>
      <c r="AJ2196" s="418"/>
      <c r="AK2196" s="418"/>
      <c r="AL2196" s="418"/>
      <c r="AM2196" s="418"/>
      <c r="AN2196" s="418"/>
      <c r="AO2196" s="418"/>
      <c r="AP2196" s="418"/>
      <c r="AQ2196" s="418"/>
      <c r="AR2196" s="418"/>
      <c r="AS2196" s="418"/>
      <c r="AT2196" s="418"/>
      <c r="AU2196" s="418"/>
      <c r="AV2196" s="418"/>
      <c r="AW2196" s="418"/>
      <c r="AX2196" s="418"/>
      <c r="AY2196" s="418"/>
      <c r="BF2196" s="1119"/>
      <c r="BG2196" s="1119"/>
      <c r="BH2196" s="1119"/>
    </row>
    <row r="2197" spans="1:60" ht="15.75" customHeight="1">
      <c r="A2197" s="1076"/>
      <c r="B2197" s="416"/>
      <c r="C2197" s="424"/>
      <c r="E2197" s="418"/>
      <c r="F2197" s="493"/>
      <c r="G2197" s="418"/>
      <c r="H2197" s="421"/>
      <c r="I2197" s="421"/>
      <c r="J2197" s="492"/>
      <c r="K2197" s="418"/>
      <c r="L2197" s="418"/>
      <c r="M2197" s="418"/>
      <c r="N2197" s="421"/>
      <c r="O2197" s="421"/>
      <c r="P2197" s="421"/>
      <c r="Q2197" s="418"/>
      <c r="R2197" s="418"/>
      <c r="S2197" s="418"/>
      <c r="T2197" s="418"/>
      <c r="U2197" s="418"/>
      <c r="V2197" s="418"/>
      <c r="W2197" s="418"/>
      <c r="X2197" s="418"/>
      <c r="Y2197" s="418"/>
      <c r="Z2197" s="418"/>
      <c r="AA2197" s="418"/>
      <c r="AB2197" s="418"/>
      <c r="AC2197" s="418"/>
      <c r="AD2197" s="418"/>
      <c r="AE2197" s="418"/>
      <c r="AF2197" s="418"/>
      <c r="AG2197" s="418"/>
      <c r="AH2197" s="418"/>
      <c r="AI2197" s="418"/>
      <c r="AJ2197" s="418"/>
      <c r="AK2197" s="418"/>
      <c r="AL2197" s="418"/>
      <c r="AM2197" s="418"/>
      <c r="AN2197" s="418"/>
      <c r="AO2197" s="418"/>
      <c r="AP2197" s="418"/>
      <c r="AQ2197" s="418"/>
      <c r="AR2197" s="418"/>
      <c r="AS2197" s="418"/>
      <c r="AT2197" s="418"/>
      <c r="AU2197" s="418"/>
      <c r="AV2197" s="418"/>
      <c r="AW2197" s="418"/>
      <c r="AX2197" s="418"/>
      <c r="AY2197" s="418"/>
      <c r="BF2197" s="1119"/>
      <c r="BG2197" s="1119"/>
      <c r="BH2197" s="1119"/>
    </row>
    <row r="2198" spans="1:60" ht="15.75" customHeight="1">
      <c r="A2198" s="1076"/>
      <c r="B2198" s="416"/>
      <c r="C2198" s="424"/>
      <c r="E2198" s="418"/>
      <c r="F2198" s="493"/>
      <c r="G2198" s="418"/>
      <c r="H2198" s="421"/>
      <c r="I2198" s="421"/>
      <c r="J2198" s="492"/>
      <c r="K2198" s="418"/>
      <c r="L2198" s="418"/>
      <c r="M2198" s="418"/>
      <c r="N2198" s="421"/>
      <c r="O2198" s="421"/>
      <c r="P2198" s="421"/>
      <c r="Q2198" s="418"/>
      <c r="R2198" s="418"/>
      <c r="S2198" s="418"/>
      <c r="T2198" s="418"/>
      <c r="U2198" s="418"/>
      <c r="V2198" s="418"/>
      <c r="W2198" s="418"/>
      <c r="X2198" s="418"/>
      <c r="Y2198" s="418"/>
      <c r="Z2198" s="418"/>
      <c r="AA2198" s="418"/>
      <c r="AB2198" s="418"/>
      <c r="AC2198" s="418"/>
      <c r="AD2198" s="418"/>
      <c r="AE2198" s="418"/>
      <c r="AF2198" s="418"/>
      <c r="AG2198" s="418"/>
      <c r="AH2198" s="418"/>
      <c r="AI2198" s="418"/>
      <c r="AJ2198" s="418"/>
      <c r="AK2198" s="418"/>
      <c r="AL2198" s="418"/>
      <c r="AM2198" s="418"/>
      <c r="AN2198" s="418"/>
      <c r="AO2198" s="418"/>
      <c r="AP2198" s="418"/>
      <c r="AQ2198" s="418"/>
      <c r="AR2198" s="418"/>
      <c r="AS2198" s="418"/>
      <c r="AT2198" s="418"/>
      <c r="AU2198" s="418"/>
      <c r="AV2198" s="418"/>
      <c r="AW2198" s="418"/>
      <c r="AX2198" s="418"/>
      <c r="AY2198" s="418"/>
      <c r="BF2198" s="1119"/>
      <c r="BG2198" s="1119"/>
      <c r="BH2198" s="1119"/>
    </row>
    <row r="2199" spans="1:60" ht="15.75" customHeight="1">
      <c r="A2199" s="1076"/>
      <c r="B2199" s="416"/>
      <c r="C2199" s="424"/>
      <c r="E2199" s="418"/>
      <c r="F2199" s="493"/>
      <c r="G2199" s="418"/>
      <c r="H2199" s="421"/>
      <c r="I2199" s="421"/>
      <c r="J2199" s="492"/>
      <c r="K2199" s="418"/>
      <c r="L2199" s="418"/>
      <c r="M2199" s="418"/>
      <c r="N2199" s="421"/>
      <c r="O2199" s="421"/>
      <c r="P2199" s="421"/>
      <c r="Q2199" s="418"/>
      <c r="R2199" s="418"/>
      <c r="S2199" s="418"/>
      <c r="T2199" s="418"/>
      <c r="U2199" s="418"/>
      <c r="V2199" s="418"/>
      <c r="W2199" s="418"/>
      <c r="X2199" s="418"/>
      <c r="Y2199" s="418"/>
      <c r="Z2199" s="418"/>
      <c r="AA2199" s="418"/>
      <c r="AB2199" s="418"/>
      <c r="AC2199" s="418"/>
      <c r="AD2199" s="418"/>
      <c r="AE2199" s="418"/>
      <c r="AF2199" s="418"/>
      <c r="AG2199" s="418"/>
      <c r="AH2199" s="418"/>
      <c r="AI2199" s="418"/>
      <c r="AJ2199" s="418"/>
      <c r="AK2199" s="418"/>
      <c r="AL2199" s="418"/>
      <c r="AM2199" s="418"/>
      <c r="AN2199" s="418"/>
      <c r="AO2199" s="418"/>
      <c r="AP2199" s="418"/>
      <c r="AQ2199" s="418"/>
      <c r="AR2199" s="418"/>
      <c r="AS2199" s="418"/>
      <c r="AT2199" s="418"/>
      <c r="AU2199" s="418"/>
      <c r="AV2199" s="418"/>
      <c r="AW2199" s="418"/>
      <c r="AX2199" s="418"/>
      <c r="AY2199" s="418"/>
      <c r="BF2199" s="1119"/>
      <c r="BG2199" s="1119"/>
      <c r="BH2199" s="1119"/>
    </row>
    <row r="2200" spans="1:60" ht="15.75" customHeight="1">
      <c r="A2200" s="1076"/>
      <c r="B2200" s="416"/>
      <c r="C2200" s="424"/>
      <c r="E2200" s="418"/>
      <c r="F2200" s="493"/>
      <c r="G2200" s="418"/>
      <c r="H2200" s="421"/>
      <c r="I2200" s="421"/>
      <c r="J2200" s="492"/>
      <c r="K2200" s="418"/>
      <c r="L2200" s="418"/>
      <c r="M2200" s="418"/>
      <c r="N2200" s="421"/>
      <c r="O2200" s="421"/>
      <c r="P2200" s="421"/>
      <c r="Q2200" s="418"/>
      <c r="R2200" s="418"/>
      <c r="S2200" s="418"/>
      <c r="T2200" s="418"/>
      <c r="U2200" s="418"/>
      <c r="V2200" s="418"/>
      <c r="W2200" s="418"/>
      <c r="X2200" s="418"/>
      <c r="Y2200" s="418"/>
      <c r="Z2200" s="418"/>
      <c r="AA2200" s="418"/>
      <c r="AB2200" s="418"/>
      <c r="AC2200" s="418"/>
      <c r="AD2200" s="418"/>
      <c r="AE2200" s="418"/>
      <c r="AF2200" s="418"/>
      <c r="AG2200" s="418"/>
      <c r="AH2200" s="418"/>
      <c r="AI2200" s="418"/>
      <c r="AJ2200" s="418"/>
      <c r="AK2200" s="418"/>
      <c r="AL2200" s="418"/>
      <c r="AM2200" s="418"/>
      <c r="AN2200" s="418"/>
      <c r="AO2200" s="418"/>
      <c r="AP2200" s="418"/>
      <c r="AQ2200" s="418"/>
      <c r="AR2200" s="418"/>
      <c r="AS2200" s="418"/>
      <c r="AT2200" s="418"/>
      <c r="AU2200" s="418"/>
      <c r="AV2200" s="418"/>
      <c r="AW2200" s="418"/>
      <c r="AX2200" s="418"/>
      <c r="AY2200" s="418"/>
      <c r="BF2200" s="1119"/>
      <c r="BG2200" s="1119"/>
      <c r="BH2200" s="1119"/>
    </row>
    <row r="2201" spans="1:60" ht="15.75" customHeight="1">
      <c r="A2201" s="1076"/>
      <c r="B2201" s="416"/>
      <c r="C2201" s="424"/>
      <c r="E2201" s="418"/>
      <c r="F2201" s="493"/>
      <c r="G2201" s="418"/>
      <c r="H2201" s="421"/>
      <c r="I2201" s="421"/>
      <c r="J2201" s="492"/>
      <c r="K2201" s="418"/>
      <c r="L2201" s="418"/>
      <c r="M2201" s="418"/>
      <c r="N2201" s="421"/>
      <c r="O2201" s="421"/>
      <c r="P2201" s="421"/>
      <c r="Q2201" s="418"/>
      <c r="R2201" s="418"/>
      <c r="S2201" s="418"/>
      <c r="T2201" s="418"/>
      <c r="U2201" s="418"/>
      <c r="V2201" s="418"/>
      <c r="W2201" s="418"/>
      <c r="X2201" s="418"/>
      <c r="Y2201" s="418"/>
      <c r="Z2201" s="418"/>
      <c r="AA2201" s="418"/>
      <c r="AB2201" s="418"/>
      <c r="AC2201" s="418"/>
      <c r="AD2201" s="418"/>
      <c r="AE2201" s="418"/>
      <c r="AF2201" s="418"/>
      <c r="AG2201" s="418"/>
      <c r="AH2201" s="418"/>
      <c r="AI2201" s="418"/>
      <c r="AJ2201" s="418"/>
      <c r="AK2201" s="418"/>
      <c r="AL2201" s="418"/>
      <c r="AM2201" s="418"/>
      <c r="AN2201" s="418"/>
      <c r="AO2201" s="418"/>
      <c r="AP2201" s="418"/>
      <c r="AQ2201" s="418"/>
      <c r="AR2201" s="418"/>
      <c r="AS2201" s="418"/>
      <c r="AT2201" s="418"/>
      <c r="AU2201" s="418"/>
      <c r="AV2201" s="418"/>
      <c r="AW2201" s="418"/>
      <c r="AX2201" s="418"/>
      <c r="AY2201" s="418"/>
      <c r="BF2201" s="1119"/>
      <c r="BG2201" s="1119"/>
      <c r="BH2201" s="1119"/>
    </row>
    <row r="2202" spans="1:60" ht="15.75" customHeight="1">
      <c r="A2202" s="1076"/>
      <c r="B2202" s="416"/>
      <c r="C2202" s="424"/>
      <c r="E2202" s="418"/>
      <c r="F2202" s="493"/>
      <c r="G2202" s="418"/>
      <c r="H2202" s="421"/>
      <c r="I2202" s="421"/>
      <c r="J2202" s="492"/>
      <c r="K2202" s="418"/>
      <c r="L2202" s="418"/>
      <c r="M2202" s="418"/>
      <c r="N2202" s="421"/>
      <c r="O2202" s="421"/>
      <c r="P2202" s="421"/>
      <c r="Q2202" s="418"/>
      <c r="R2202" s="418"/>
      <c r="S2202" s="418"/>
      <c r="T2202" s="418"/>
      <c r="U2202" s="418"/>
      <c r="V2202" s="418"/>
      <c r="W2202" s="418"/>
      <c r="X2202" s="418"/>
      <c r="Y2202" s="418"/>
      <c r="Z2202" s="418"/>
      <c r="AA2202" s="418"/>
      <c r="AB2202" s="418"/>
      <c r="AC2202" s="418"/>
      <c r="AD2202" s="418"/>
      <c r="AE2202" s="418"/>
      <c r="AF2202" s="418"/>
      <c r="AG2202" s="418"/>
      <c r="AH2202" s="418"/>
      <c r="AI2202" s="418"/>
      <c r="AJ2202" s="418"/>
      <c r="AK2202" s="418"/>
      <c r="AL2202" s="418"/>
      <c r="AM2202" s="418"/>
      <c r="AN2202" s="418"/>
      <c r="AO2202" s="418"/>
      <c r="AP2202" s="418"/>
      <c r="AQ2202" s="418"/>
      <c r="AR2202" s="418"/>
      <c r="AS2202" s="418"/>
      <c r="AT2202" s="418"/>
      <c r="AU2202" s="418"/>
      <c r="AV2202" s="418"/>
      <c r="AW2202" s="418"/>
      <c r="AX2202" s="418"/>
      <c r="AY2202" s="418"/>
      <c r="BF2202" s="1119"/>
      <c r="BG2202" s="1119"/>
      <c r="BH2202" s="1119"/>
    </row>
    <row r="2203" spans="1:60" ht="15.75" customHeight="1">
      <c r="A2203" s="1076"/>
      <c r="B2203" s="416"/>
      <c r="C2203" s="424"/>
      <c r="E2203" s="418"/>
      <c r="F2203" s="493"/>
      <c r="G2203" s="418"/>
      <c r="H2203" s="421"/>
      <c r="I2203" s="421"/>
      <c r="J2203" s="492"/>
      <c r="K2203" s="418"/>
      <c r="L2203" s="418"/>
      <c r="M2203" s="418"/>
      <c r="N2203" s="421"/>
      <c r="O2203" s="421"/>
      <c r="P2203" s="421"/>
      <c r="Q2203" s="418"/>
      <c r="R2203" s="418"/>
      <c r="S2203" s="418"/>
      <c r="T2203" s="418"/>
      <c r="U2203" s="418"/>
      <c r="V2203" s="418"/>
      <c r="W2203" s="418"/>
      <c r="X2203" s="418"/>
      <c r="Y2203" s="418"/>
      <c r="Z2203" s="418"/>
      <c r="AA2203" s="418"/>
      <c r="AB2203" s="418"/>
      <c r="AC2203" s="418"/>
      <c r="AD2203" s="418"/>
      <c r="AE2203" s="418"/>
      <c r="AF2203" s="418"/>
      <c r="AG2203" s="418"/>
      <c r="AH2203" s="418"/>
      <c r="AI2203" s="418"/>
      <c r="AJ2203" s="418"/>
      <c r="AK2203" s="418"/>
      <c r="AL2203" s="418"/>
      <c r="AM2203" s="418"/>
      <c r="AN2203" s="418"/>
      <c r="AO2203" s="418"/>
      <c r="AP2203" s="418"/>
      <c r="AQ2203" s="418"/>
      <c r="AR2203" s="418"/>
      <c r="AS2203" s="418"/>
      <c r="AT2203" s="418"/>
      <c r="AU2203" s="418"/>
      <c r="AV2203" s="418"/>
      <c r="AW2203" s="418"/>
      <c r="AX2203" s="418"/>
      <c r="AY2203" s="418"/>
      <c r="BF2203" s="1119"/>
      <c r="BG2203" s="1119"/>
      <c r="BH2203" s="1119"/>
    </row>
    <row r="2204" spans="1:60" ht="15.75" customHeight="1">
      <c r="A2204" s="1076"/>
      <c r="B2204" s="416"/>
      <c r="C2204" s="424"/>
      <c r="E2204" s="418"/>
      <c r="F2204" s="493"/>
      <c r="G2204" s="418"/>
      <c r="H2204" s="421"/>
      <c r="I2204" s="418"/>
      <c r="J2204" s="424"/>
      <c r="K2204" s="418"/>
      <c r="L2204" s="418"/>
      <c r="M2204" s="418"/>
      <c r="N2204" s="421"/>
      <c r="O2204" s="421"/>
      <c r="P2204" s="421"/>
      <c r="Q2204" s="418"/>
      <c r="R2204" s="418"/>
      <c r="S2204" s="418"/>
      <c r="T2204" s="418"/>
      <c r="U2204" s="418"/>
      <c r="V2204" s="418"/>
      <c r="W2204" s="418"/>
      <c r="X2204" s="418"/>
      <c r="Y2204" s="418"/>
      <c r="Z2204" s="418"/>
      <c r="AA2204" s="418"/>
      <c r="AB2204" s="418"/>
      <c r="AC2204" s="418"/>
      <c r="AD2204" s="418"/>
      <c r="AE2204" s="418"/>
      <c r="AF2204" s="418"/>
      <c r="AG2204" s="418"/>
      <c r="AH2204" s="418"/>
      <c r="AI2204" s="418"/>
      <c r="AJ2204" s="418"/>
      <c r="AK2204" s="418"/>
      <c r="AL2204" s="418"/>
      <c r="AM2204" s="418"/>
      <c r="AN2204" s="418"/>
      <c r="AO2204" s="418"/>
      <c r="AP2204" s="418"/>
      <c r="AQ2204" s="418"/>
      <c r="AR2204" s="418"/>
      <c r="AS2204" s="418"/>
      <c r="AT2204" s="418"/>
      <c r="AU2204" s="418"/>
      <c r="AV2204" s="418"/>
      <c r="AW2204" s="418"/>
      <c r="AX2204" s="418"/>
      <c r="AY2204" s="418"/>
      <c r="BF2204" s="1119"/>
      <c r="BG2204" s="1119"/>
      <c r="BH2204" s="1119"/>
    </row>
    <row r="2205" spans="1:60" ht="15.75" customHeight="1">
      <c r="A2205" s="1076"/>
      <c r="B2205" s="416"/>
      <c r="C2205" s="424"/>
      <c r="E2205" s="418"/>
      <c r="F2205" s="493"/>
      <c r="G2205" s="418"/>
      <c r="H2205" s="421"/>
      <c r="I2205" s="421"/>
      <c r="J2205" s="492"/>
      <c r="K2205" s="418"/>
      <c r="L2205" s="418"/>
      <c r="M2205" s="418"/>
      <c r="N2205" s="421"/>
      <c r="O2205" s="421"/>
      <c r="P2205" s="421"/>
      <c r="Q2205" s="418"/>
      <c r="R2205" s="418"/>
      <c r="S2205" s="418"/>
      <c r="T2205" s="418"/>
      <c r="U2205" s="418"/>
      <c r="V2205" s="418"/>
      <c r="W2205" s="418"/>
      <c r="X2205" s="418"/>
      <c r="Y2205" s="418"/>
      <c r="Z2205" s="418"/>
      <c r="AA2205" s="418"/>
      <c r="AB2205" s="418"/>
      <c r="AC2205" s="418"/>
      <c r="AD2205" s="418"/>
      <c r="AE2205" s="418"/>
      <c r="AF2205" s="418"/>
      <c r="AG2205" s="418"/>
      <c r="AH2205" s="418"/>
      <c r="AI2205" s="418"/>
      <c r="AJ2205" s="418"/>
      <c r="AK2205" s="418"/>
      <c r="AL2205" s="418"/>
      <c r="AM2205" s="418"/>
      <c r="AN2205" s="418"/>
      <c r="AO2205" s="418"/>
      <c r="AP2205" s="418"/>
      <c r="AQ2205" s="418"/>
      <c r="AR2205" s="418"/>
      <c r="AS2205" s="418"/>
      <c r="AT2205" s="418"/>
      <c r="AU2205" s="418"/>
      <c r="AV2205" s="418"/>
      <c r="AW2205" s="418"/>
      <c r="AX2205" s="418"/>
      <c r="AY2205" s="418"/>
      <c r="BF2205" s="1119"/>
      <c r="BG2205" s="1119"/>
      <c r="BH2205" s="1119"/>
    </row>
    <row r="2206" spans="1:60" ht="15.75" customHeight="1">
      <c r="A2206" s="1076"/>
      <c r="B2206" s="416"/>
      <c r="C2206" s="424"/>
      <c r="E2206" s="418"/>
      <c r="F2206" s="493"/>
      <c r="G2206" s="418"/>
      <c r="H2206" s="418"/>
      <c r="I2206" s="418"/>
      <c r="J2206" s="424"/>
      <c r="K2206" s="418"/>
      <c r="L2206" s="418"/>
      <c r="M2206" s="418"/>
      <c r="N2206" s="421"/>
      <c r="O2206" s="421"/>
      <c r="P2206" s="421"/>
      <c r="Q2206" s="418"/>
      <c r="R2206" s="418"/>
      <c r="S2206" s="418"/>
      <c r="T2206" s="418"/>
      <c r="U2206" s="418"/>
      <c r="V2206" s="418"/>
      <c r="W2206" s="418"/>
      <c r="X2206" s="418"/>
      <c r="Y2206" s="418"/>
      <c r="Z2206" s="418"/>
      <c r="AA2206" s="418"/>
      <c r="AB2206" s="418"/>
      <c r="AC2206" s="418"/>
      <c r="AD2206" s="418"/>
      <c r="AE2206" s="418"/>
      <c r="AF2206" s="418"/>
      <c r="AG2206" s="418"/>
      <c r="AH2206" s="418"/>
      <c r="AI2206" s="418"/>
      <c r="AJ2206" s="418"/>
      <c r="AK2206" s="418"/>
      <c r="AL2206" s="418"/>
      <c r="AM2206" s="418"/>
      <c r="AN2206" s="418"/>
      <c r="AO2206" s="418"/>
      <c r="AP2206" s="418"/>
      <c r="AQ2206" s="418"/>
      <c r="AR2206" s="418"/>
      <c r="AS2206" s="418"/>
      <c r="AT2206" s="418"/>
      <c r="AU2206" s="418"/>
      <c r="AV2206" s="418"/>
      <c r="AW2206" s="418"/>
      <c r="AX2206" s="418"/>
      <c r="AY2206" s="418"/>
      <c r="BF2206" s="1119"/>
      <c r="BG2206" s="1119"/>
      <c r="BH2206" s="1119"/>
    </row>
    <row r="2207" spans="1:60" ht="15.75" customHeight="1">
      <c r="A2207" s="1076"/>
      <c r="B2207" s="416"/>
      <c r="C2207" s="424"/>
      <c r="E2207" s="418"/>
      <c r="F2207" s="493"/>
      <c r="G2207" s="418"/>
      <c r="H2207" s="418"/>
      <c r="I2207" s="418"/>
      <c r="J2207" s="424"/>
      <c r="K2207" s="418"/>
      <c r="L2207" s="418"/>
      <c r="M2207" s="418"/>
      <c r="N2207" s="421"/>
      <c r="O2207" s="421"/>
      <c r="P2207" s="421"/>
      <c r="Q2207" s="418"/>
      <c r="R2207" s="418"/>
      <c r="S2207" s="418"/>
      <c r="T2207" s="418"/>
      <c r="U2207" s="418"/>
      <c r="V2207" s="418"/>
      <c r="W2207" s="418"/>
      <c r="X2207" s="418"/>
      <c r="Y2207" s="418"/>
      <c r="Z2207" s="418"/>
      <c r="AA2207" s="418"/>
      <c r="AB2207" s="418"/>
      <c r="AC2207" s="418"/>
      <c r="AD2207" s="418"/>
      <c r="AE2207" s="418"/>
      <c r="AF2207" s="418"/>
      <c r="AG2207" s="418"/>
      <c r="AH2207" s="418"/>
      <c r="AI2207" s="418"/>
      <c r="AJ2207" s="418"/>
      <c r="AK2207" s="418"/>
      <c r="AL2207" s="418"/>
      <c r="AM2207" s="418"/>
      <c r="AN2207" s="418"/>
      <c r="AO2207" s="418"/>
      <c r="AP2207" s="418"/>
      <c r="AQ2207" s="418"/>
      <c r="AR2207" s="418"/>
      <c r="AS2207" s="418"/>
      <c r="AT2207" s="418"/>
      <c r="AU2207" s="418"/>
      <c r="AV2207" s="418"/>
      <c r="AW2207" s="418"/>
      <c r="AX2207" s="418"/>
      <c r="AY2207" s="418"/>
      <c r="BF2207" s="1119"/>
      <c r="BG2207" s="1119"/>
      <c r="BH2207" s="1119"/>
    </row>
    <row r="2208" spans="1:60" ht="15.75" customHeight="1">
      <c r="A2208" s="1076"/>
      <c r="B2208" s="416"/>
      <c r="C2208" s="424"/>
      <c r="E2208" s="418"/>
      <c r="F2208" s="493"/>
      <c r="G2208" s="418"/>
      <c r="H2208" s="418"/>
      <c r="I2208" s="418"/>
      <c r="J2208" s="424"/>
      <c r="K2208" s="418"/>
      <c r="L2208" s="418"/>
      <c r="M2208" s="418"/>
      <c r="N2208" s="421"/>
      <c r="O2208" s="421"/>
      <c r="P2208" s="421"/>
      <c r="Q2208" s="418"/>
      <c r="R2208" s="418"/>
      <c r="S2208" s="418"/>
      <c r="T2208" s="418"/>
      <c r="U2208" s="418"/>
      <c r="V2208" s="418"/>
      <c r="W2208" s="418"/>
      <c r="X2208" s="418"/>
      <c r="Y2208" s="418"/>
      <c r="Z2208" s="418"/>
      <c r="AA2208" s="418"/>
      <c r="AB2208" s="418"/>
      <c r="AC2208" s="418"/>
      <c r="AD2208" s="418"/>
      <c r="AE2208" s="418"/>
      <c r="AF2208" s="418"/>
      <c r="AG2208" s="418"/>
      <c r="AH2208" s="418"/>
      <c r="AI2208" s="418"/>
      <c r="AJ2208" s="418"/>
      <c r="AK2208" s="418"/>
      <c r="AL2208" s="418"/>
      <c r="AM2208" s="418"/>
      <c r="AN2208" s="418"/>
      <c r="AO2208" s="418"/>
      <c r="AP2208" s="418"/>
      <c r="AQ2208" s="418"/>
      <c r="AR2208" s="418"/>
      <c r="AS2208" s="418"/>
      <c r="AT2208" s="418"/>
      <c r="AU2208" s="418"/>
      <c r="AV2208" s="418"/>
      <c r="AW2208" s="418"/>
      <c r="AX2208" s="418"/>
      <c r="AY2208" s="418"/>
      <c r="BF2208" s="1119"/>
      <c r="BG2208" s="1119"/>
      <c r="BH2208" s="1119"/>
    </row>
    <row r="2209" spans="1:60" ht="15.75" customHeight="1">
      <c r="A2209" s="1076"/>
      <c r="B2209" s="416"/>
      <c r="C2209" s="424"/>
      <c r="E2209" s="418"/>
      <c r="F2209" s="493"/>
      <c r="G2209" s="418"/>
      <c r="H2209" s="418"/>
      <c r="I2209" s="418"/>
      <c r="J2209" s="424"/>
      <c r="K2209" s="418"/>
      <c r="L2209" s="418"/>
      <c r="M2209" s="418"/>
      <c r="N2209" s="421"/>
      <c r="O2209" s="421"/>
      <c r="P2209" s="421"/>
      <c r="Q2209" s="418"/>
      <c r="R2209" s="418"/>
      <c r="S2209" s="418"/>
      <c r="T2209" s="418"/>
      <c r="U2209" s="418"/>
      <c r="V2209" s="418"/>
      <c r="W2209" s="418"/>
      <c r="X2209" s="418"/>
      <c r="Y2209" s="418"/>
      <c r="Z2209" s="418"/>
      <c r="AA2209" s="418"/>
      <c r="AB2209" s="418"/>
      <c r="AC2209" s="418"/>
      <c r="AD2209" s="418"/>
      <c r="AE2209" s="418"/>
      <c r="AF2209" s="418"/>
      <c r="AG2209" s="418"/>
      <c r="AH2209" s="418"/>
      <c r="AI2209" s="418"/>
      <c r="AJ2209" s="418"/>
      <c r="AK2209" s="418"/>
      <c r="AL2209" s="418"/>
      <c r="AM2209" s="418"/>
      <c r="AN2209" s="418"/>
      <c r="AO2209" s="418"/>
      <c r="AP2209" s="418"/>
      <c r="AQ2209" s="418"/>
      <c r="AR2209" s="418"/>
      <c r="AS2209" s="418"/>
      <c r="AT2209" s="418"/>
      <c r="AU2209" s="418"/>
      <c r="AV2209" s="418"/>
      <c r="AW2209" s="418"/>
      <c r="AX2209" s="418"/>
      <c r="AY2209" s="418"/>
      <c r="BF2209" s="1119"/>
      <c r="BG2209" s="1119"/>
      <c r="BH2209" s="1119"/>
    </row>
    <row r="2210" spans="1:60" ht="15.75" customHeight="1">
      <c r="A2210" s="1076"/>
      <c r="B2210" s="416"/>
      <c r="C2210" s="424"/>
      <c r="E2210" s="418"/>
      <c r="F2210" s="493"/>
      <c r="G2210" s="418"/>
      <c r="H2210" s="418"/>
      <c r="I2210" s="418"/>
      <c r="J2210" s="424"/>
      <c r="K2210" s="418"/>
      <c r="L2210" s="418"/>
      <c r="M2210" s="418"/>
      <c r="N2210" s="421"/>
      <c r="O2210" s="421"/>
      <c r="P2210" s="421"/>
      <c r="Q2210" s="418"/>
      <c r="R2210" s="418"/>
      <c r="S2210" s="418"/>
      <c r="T2210" s="418"/>
      <c r="U2210" s="418"/>
      <c r="V2210" s="418"/>
      <c r="W2210" s="418"/>
      <c r="X2210" s="418"/>
      <c r="Y2210" s="418"/>
      <c r="Z2210" s="418"/>
      <c r="AA2210" s="418"/>
      <c r="AB2210" s="418"/>
      <c r="AC2210" s="418"/>
      <c r="AD2210" s="418"/>
      <c r="AE2210" s="418"/>
      <c r="AF2210" s="418"/>
      <c r="AG2210" s="418"/>
      <c r="AH2210" s="418"/>
      <c r="AI2210" s="418"/>
      <c r="AJ2210" s="418"/>
      <c r="AK2210" s="418"/>
      <c r="AL2210" s="418"/>
      <c r="AM2210" s="418"/>
      <c r="AN2210" s="418"/>
      <c r="AO2210" s="418"/>
      <c r="AP2210" s="418"/>
      <c r="AQ2210" s="418"/>
      <c r="AR2210" s="418"/>
      <c r="AS2210" s="418"/>
      <c r="AT2210" s="418"/>
      <c r="AU2210" s="418"/>
      <c r="AV2210" s="418"/>
      <c r="AW2210" s="418"/>
      <c r="AX2210" s="418"/>
      <c r="AY2210" s="418"/>
      <c r="BF2210" s="1119"/>
      <c r="BG2210" s="1119"/>
      <c r="BH2210" s="1119"/>
    </row>
    <row r="2211" spans="1:60" ht="15.75" customHeight="1">
      <c r="A2211" s="1076"/>
      <c r="B2211" s="416"/>
      <c r="C2211" s="424"/>
      <c r="E2211" s="418"/>
      <c r="F2211" s="493"/>
      <c r="G2211" s="418"/>
      <c r="H2211" s="418"/>
      <c r="I2211" s="418"/>
      <c r="J2211" s="424"/>
      <c r="K2211" s="418"/>
      <c r="L2211" s="418"/>
      <c r="M2211" s="418"/>
      <c r="N2211" s="421"/>
      <c r="O2211" s="421"/>
      <c r="P2211" s="421"/>
      <c r="Q2211" s="418"/>
      <c r="R2211" s="418"/>
      <c r="S2211" s="418"/>
      <c r="T2211" s="418"/>
      <c r="U2211" s="418"/>
      <c r="V2211" s="418"/>
      <c r="W2211" s="418"/>
      <c r="X2211" s="418"/>
      <c r="Y2211" s="418"/>
      <c r="Z2211" s="418"/>
      <c r="AA2211" s="418"/>
      <c r="AB2211" s="418"/>
      <c r="AC2211" s="418"/>
      <c r="AD2211" s="418"/>
      <c r="AE2211" s="418"/>
      <c r="AF2211" s="418"/>
      <c r="AG2211" s="418"/>
      <c r="AH2211" s="418"/>
      <c r="AI2211" s="418"/>
      <c r="AJ2211" s="418"/>
      <c r="AK2211" s="418"/>
      <c r="AL2211" s="418"/>
      <c r="AM2211" s="418"/>
      <c r="AN2211" s="418"/>
      <c r="AO2211" s="418"/>
      <c r="AP2211" s="418"/>
      <c r="AQ2211" s="418"/>
      <c r="AR2211" s="418"/>
      <c r="AS2211" s="418"/>
      <c r="AT2211" s="418"/>
      <c r="AU2211" s="418"/>
      <c r="AV2211" s="418"/>
      <c r="AW2211" s="418"/>
      <c r="AX2211" s="418"/>
      <c r="AY2211" s="418"/>
      <c r="BF2211" s="1119"/>
      <c r="BG2211" s="1119"/>
      <c r="BH2211" s="1119"/>
    </row>
    <row r="2212" spans="1:60" ht="15.75" customHeight="1">
      <c r="A2212" s="1076"/>
      <c r="B2212" s="416"/>
      <c r="C2212" s="424"/>
      <c r="E2212" s="418"/>
      <c r="F2212" s="493"/>
      <c r="G2212" s="418"/>
      <c r="H2212" s="418"/>
      <c r="I2212" s="418"/>
      <c r="J2212" s="424"/>
      <c r="K2212" s="418"/>
      <c r="L2212" s="418"/>
      <c r="M2212" s="418"/>
      <c r="N2212" s="421"/>
      <c r="O2212" s="421"/>
      <c r="P2212" s="421"/>
      <c r="Q2212" s="418"/>
      <c r="R2212" s="418"/>
      <c r="S2212" s="418"/>
      <c r="T2212" s="418"/>
      <c r="U2212" s="418"/>
      <c r="V2212" s="418"/>
      <c r="W2212" s="418"/>
      <c r="X2212" s="418"/>
      <c r="Y2212" s="418"/>
      <c r="Z2212" s="418"/>
      <c r="AA2212" s="418"/>
      <c r="AB2212" s="418"/>
      <c r="AC2212" s="418"/>
      <c r="AD2212" s="418"/>
      <c r="AE2212" s="418"/>
      <c r="AF2212" s="418"/>
      <c r="AG2212" s="418"/>
      <c r="AH2212" s="418"/>
      <c r="AI2212" s="418"/>
      <c r="AJ2212" s="418"/>
      <c r="AK2212" s="418"/>
      <c r="AL2212" s="418"/>
      <c r="AM2212" s="418"/>
      <c r="AN2212" s="418"/>
      <c r="AO2212" s="418"/>
      <c r="AP2212" s="418"/>
      <c r="AQ2212" s="418"/>
      <c r="AR2212" s="418"/>
      <c r="AS2212" s="418"/>
      <c r="AT2212" s="418"/>
      <c r="AU2212" s="418"/>
      <c r="AV2212" s="418"/>
      <c r="AW2212" s="418"/>
      <c r="AX2212" s="418"/>
      <c r="AY2212" s="418"/>
      <c r="BF2212" s="1119"/>
      <c r="BG2212" s="1119"/>
      <c r="BH2212" s="1119"/>
    </row>
    <row r="2213" spans="1:60" ht="15.75" customHeight="1">
      <c r="A2213" s="1076"/>
      <c r="B2213" s="416"/>
      <c r="C2213" s="424"/>
      <c r="E2213" s="418"/>
      <c r="F2213" s="493"/>
      <c r="G2213" s="418"/>
      <c r="H2213" s="421"/>
      <c r="I2213" s="421"/>
      <c r="J2213" s="492"/>
      <c r="K2213" s="418"/>
      <c r="L2213" s="418"/>
      <c r="M2213" s="418"/>
      <c r="N2213" s="421"/>
      <c r="O2213" s="421"/>
      <c r="P2213" s="421"/>
      <c r="Q2213" s="418"/>
      <c r="R2213" s="418"/>
      <c r="S2213" s="418"/>
      <c r="T2213" s="418"/>
      <c r="U2213" s="418"/>
      <c r="V2213" s="418"/>
      <c r="W2213" s="418"/>
      <c r="X2213" s="418"/>
      <c r="Y2213" s="418"/>
      <c r="Z2213" s="418"/>
      <c r="AA2213" s="418"/>
      <c r="AB2213" s="418"/>
      <c r="AC2213" s="418"/>
      <c r="AD2213" s="418"/>
      <c r="AE2213" s="418"/>
      <c r="AF2213" s="418"/>
      <c r="AG2213" s="418"/>
      <c r="AH2213" s="418"/>
      <c r="AI2213" s="418"/>
      <c r="AJ2213" s="418"/>
      <c r="AK2213" s="418"/>
      <c r="AL2213" s="418"/>
      <c r="AM2213" s="418"/>
      <c r="AN2213" s="418"/>
      <c r="AO2213" s="418"/>
      <c r="AP2213" s="418"/>
      <c r="AQ2213" s="418"/>
      <c r="AR2213" s="418"/>
      <c r="AS2213" s="418"/>
      <c r="AT2213" s="418"/>
      <c r="AU2213" s="418"/>
      <c r="AV2213" s="418"/>
      <c r="AW2213" s="418"/>
      <c r="AX2213" s="418"/>
      <c r="AY2213" s="418"/>
      <c r="BF2213" s="1119"/>
      <c r="BG2213" s="1119"/>
      <c r="BH2213" s="1119"/>
    </row>
    <row r="2214" spans="1:60" ht="15.75" customHeight="1">
      <c r="A2214" s="1076"/>
      <c r="B2214" s="416"/>
      <c r="C2214" s="424"/>
      <c r="E2214" s="418"/>
      <c r="F2214" s="493"/>
      <c r="G2214" s="418"/>
      <c r="H2214" s="421"/>
      <c r="I2214" s="421"/>
      <c r="J2214" s="492"/>
      <c r="K2214" s="418"/>
      <c r="L2214" s="418"/>
      <c r="M2214" s="418"/>
      <c r="N2214" s="421"/>
      <c r="O2214" s="421"/>
      <c r="P2214" s="421"/>
      <c r="Q2214" s="418"/>
      <c r="R2214" s="418"/>
      <c r="S2214" s="418"/>
      <c r="T2214" s="418"/>
      <c r="U2214" s="418"/>
      <c r="V2214" s="418"/>
      <c r="W2214" s="418"/>
      <c r="X2214" s="418"/>
      <c r="Y2214" s="418"/>
      <c r="Z2214" s="418"/>
      <c r="AA2214" s="418"/>
      <c r="AB2214" s="418"/>
      <c r="AC2214" s="418"/>
      <c r="AD2214" s="418"/>
      <c r="AE2214" s="418"/>
      <c r="AF2214" s="418"/>
      <c r="AG2214" s="418"/>
      <c r="AH2214" s="418"/>
      <c r="AI2214" s="418"/>
      <c r="AJ2214" s="418"/>
      <c r="AK2214" s="418"/>
      <c r="AL2214" s="418"/>
      <c r="AM2214" s="418"/>
      <c r="AN2214" s="418"/>
      <c r="AO2214" s="418"/>
      <c r="AP2214" s="418"/>
      <c r="AQ2214" s="418"/>
      <c r="AR2214" s="418"/>
      <c r="AS2214" s="418"/>
      <c r="AT2214" s="418"/>
      <c r="AU2214" s="418"/>
      <c r="AV2214" s="418"/>
      <c r="AW2214" s="418"/>
      <c r="AX2214" s="418"/>
      <c r="AY2214" s="418"/>
      <c r="BF2214" s="1119"/>
      <c r="BG2214" s="1119"/>
      <c r="BH2214" s="1119"/>
    </row>
    <row r="2215" spans="1:60" ht="15.75" customHeight="1">
      <c r="A2215" s="1076"/>
      <c r="B2215" s="416"/>
      <c r="C2215" s="424"/>
      <c r="E2215" s="418"/>
      <c r="F2215" s="493"/>
      <c r="G2215" s="418"/>
      <c r="H2215" s="421"/>
      <c r="I2215" s="421"/>
      <c r="J2215" s="492"/>
      <c r="K2215" s="418"/>
      <c r="L2215" s="418"/>
      <c r="M2215" s="418"/>
      <c r="N2215" s="421"/>
      <c r="O2215" s="421"/>
      <c r="P2215" s="421"/>
      <c r="Q2215" s="418"/>
      <c r="R2215" s="418"/>
      <c r="S2215" s="418"/>
      <c r="T2215" s="418"/>
      <c r="U2215" s="418"/>
      <c r="V2215" s="418"/>
      <c r="W2215" s="418"/>
      <c r="X2215" s="418"/>
      <c r="Y2215" s="418"/>
      <c r="Z2215" s="418"/>
      <c r="AA2215" s="418"/>
      <c r="AB2215" s="418"/>
      <c r="AC2215" s="418"/>
      <c r="AD2215" s="418"/>
      <c r="AE2215" s="418"/>
      <c r="AF2215" s="418"/>
      <c r="AG2215" s="418"/>
      <c r="AH2215" s="418"/>
      <c r="AI2215" s="418"/>
      <c r="AJ2215" s="418"/>
      <c r="AK2215" s="418"/>
      <c r="AL2215" s="418"/>
      <c r="AM2215" s="418"/>
      <c r="AN2215" s="418"/>
      <c r="AO2215" s="418"/>
      <c r="AP2215" s="418"/>
      <c r="AQ2215" s="418"/>
      <c r="AR2215" s="418"/>
      <c r="AS2215" s="418"/>
      <c r="AT2215" s="418"/>
      <c r="AU2215" s="418"/>
      <c r="AV2215" s="418"/>
      <c r="AW2215" s="418"/>
      <c r="AX2215" s="418"/>
      <c r="AY2215" s="418"/>
      <c r="BF2215" s="1119"/>
      <c r="BG2215" s="1119"/>
      <c r="BH2215" s="1119"/>
    </row>
    <row r="2216" spans="1:60" ht="15.75" customHeight="1">
      <c r="A2216" s="1076"/>
      <c r="B2216" s="416"/>
      <c r="C2216" s="424"/>
      <c r="E2216" s="418"/>
      <c r="F2216" s="493"/>
      <c r="G2216" s="418"/>
      <c r="H2216" s="421"/>
      <c r="I2216" s="421"/>
      <c r="J2216" s="492"/>
      <c r="K2216" s="418"/>
      <c r="L2216" s="418"/>
      <c r="M2216" s="418"/>
      <c r="N2216" s="421"/>
      <c r="O2216" s="421"/>
      <c r="P2216" s="421"/>
      <c r="Q2216" s="418"/>
      <c r="R2216" s="418"/>
      <c r="S2216" s="418"/>
      <c r="T2216" s="418"/>
      <c r="U2216" s="418"/>
      <c r="V2216" s="418"/>
      <c r="W2216" s="418"/>
      <c r="X2216" s="418"/>
      <c r="Y2216" s="418"/>
      <c r="Z2216" s="418"/>
      <c r="AA2216" s="418"/>
      <c r="AB2216" s="418"/>
      <c r="AC2216" s="418"/>
      <c r="AD2216" s="418"/>
      <c r="AE2216" s="418"/>
      <c r="AF2216" s="418"/>
      <c r="AG2216" s="418"/>
      <c r="AH2216" s="418"/>
      <c r="AI2216" s="418"/>
      <c r="AJ2216" s="418"/>
      <c r="AK2216" s="418"/>
      <c r="AL2216" s="418"/>
      <c r="AM2216" s="418"/>
      <c r="AN2216" s="418"/>
      <c r="AO2216" s="418"/>
      <c r="AP2216" s="418"/>
      <c r="AQ2216" s="418"/>
      <c r="AR2216" s="418"/>
      <c r="AS2216" s="418"/>
      <c r="AT2216" s="418"/>
      <c r="AU2216" s="418"/>
      <c r="AV2216" s="418"/>
      <c r="AW2216" s="418"/>
      <c r="AX2216" s="418"/>
      <c r="AY2216" s="418"/>
      <c r="BF2216" s="1119"/>
      <c r="BG2216" s="1119"/>
      <c r="BH2216" s="1119"/>
    </row>
    <row r="2217" spans="1:60" ht="15.75" customHeight="1">
      <c r="A2217" s="1076"/>
      <c r="B2217" s="416"/>
      <c r="C2217" s="424"/>
      <c r="E2217" s="418"/>
      <c r="F2217" s="493"/>
      <c r="G2217" s="418"/>
      <c r="H2217" s="421"/>
      <c r="I2217" s="421"/>
      <c r="J2217" s="492"/>
      <c r="K2217" s="418"/>
      <c r="L2217" s="418"/>
      <c r="M2217" s="418"/>
      <c r="N2217" s="421"/>
      <c r="O2217" s="421"/>
      <c r="P2217" s="421"/>
      <c r="Q2217" s="418"/>
      <c r="R2217" s="418"/>
      <c r="S2217" s="418"/>
      <c r="T2217" s="418"/>
      <c r="U2217" s="418"/>
      <c r="V2217" s="418"/>
      <c r="W2217" s="418"/>
      <c r="X2217" s="418"/>
      <c r="Y2217" s="418"/>
      <c r="Z2217" s="418"/>
      <c r="AA2217" s="418"/>
      <c r="AB2217" s="418"/>
      <c r="AC2217" s="418"/>
      <c r="AD2217" s="418"/>
      <c r="AE2217" s="418"/>
      <c r="AF2217" s="418"/>
      <c r="AG2217" s="418"/>
      <c r="AH2217" s="418"/>
      <c r="AI2217" s="418"/>
      <c r="AJ2217" s="418"/>
      <c r="AK2217" s="418"/>
      <c r="AL2217" s="418"/>
      <c r="AM2217" s="418"/>
      <c r="AN2217" s="418"/>
      <c r="AO2217" s="418"/>
      <c r="AP2217" s="418"/>
      <c r="AQ2217" s="418"/>
      <c r="AR2217" s="418"/>
      <c r="AS2217" s="418"/>
      <c r="AT2217" s="418"/>
      <c r="AU2217" s="418"/>
      <c r="AV2217" s="418"/>
      <c r="AW2217" s="418"/>
      <c r="AX2217" s="418"/>
      <c r="AY2217" s="418"/>
      <c r="BF2217" s="1119"/>
      <c r="BG2217" s="1119"/>
      <c r="BH2217" s="1119"/>
    </row>
    <row r="2218" spans="1:60" ht="15.75" customHeight="1">
      <c r="A2218" s="1076"/>
      <c r="B2218" s="416"/>
      <c r="C2218" s="424"/>
      <c r="E2218" s="418"/>
      <c r="F2218" s="493"/>
      <c r="G2218" s="418"/>
      <c r="H2218" s="421"/>
      <c r="I2218" s="421"/>
      <c r="J2218" s="492"/>
      <c r="K2218" s="418"/>
      <c r="L2218" s="418"/>
      <c r="M2218" s="418"/>
      <c r="N2218" s="421"/>
      <c r="O2218" s="421"/>
      <c r="P2218" s="421"/>
      <c r="Q2218" s="418"/>
      <c r="R2218" s="418"/>
      <c r="S2218" s="418"/>
      <c r="T2218" s="418"/>
      <c r="U2218" s="418"/>
      <c r="V2218" s="418"/>
      <c r="W2218" s="418"/>
      <c r="X2218" s="418"/>
      <c r="Y2218" s="418"/>
      <c r="Z2218" s="418"/>
      <c r="AA2218" s="418"/>
      <c r="AB2218" s="418"/>
      <c r="AC2218" s="418"/>
      <c r="AD2218" s="418"/>
      <c r="AE2218" s="418"/>
      <c r="AF2218" s="418"/>
      <c r="AG2218" s="418"/>
      <c r="AH2218" s="418"/>
      <c r="AI2218" s="418"/>
      <c r="AJ2218" s="418"/>
      <c r="AK2218" s="418"/>
      <c r="AL2218" s="418"/>
      <c r="AM2218" s="418"/>
      <c r="AN2218" s="418"/>
      <c r="AO2218" s="418"/>
      <c r="AP2218" s="418"/>
      <c r="AQ2218" s="418"/>
      <c r="AR2218" s="418"/>
      <c r="AS2218" s="418"/>
      <c r="AT2218" s="418"/>
      <c r="AU2218" s="418"/>
      <c r="AV2218" s="418"/>
      <c r="AW2218" s="418"/>
      <c r="AX2218" s="418"/>
      <c r="AY2218" s="418"/>
      <c r="BF2218" s="1119"/>
      <c r="BG2218" s="1119"/>
      <c r="BH2218" s="1119"/>
    </row>
    <row r="2219" spans="1:60" ht="15.75" customHeight="1">
      <c r="A2219" s="1076"/>
      <c r="B2219" s="416"/>
      <c r="C2219" s="424"/>
      <c r="E2219" s="418"/>
      <c r="F2219" s="493"/>
      <c r="G2219" s="418"/>
      <c r="H2219" s="421"/>
      <c r="I2219" s="421"/>
      <c r="J2219" s="492"/>
      <c r="K2219" s="418"/>
      <c r="L2219" s="418"/>
      <c r="M2219" s="418"/>
      <c r="N2219" s="421"/>
      <c r="O2219" s="421"/>
      <c r="P2219" s="421"/>
      <c r="Q2219" s="418"/>
      <c r="R2219" s="418"/>
      <c r="S2219" s="418"/>
      <c r="T2219" s="418"/>
      <c r="U2219" s="418"/>
      <c r="V2219" s="418"/>
      <c r="W2219" s="418"/>
      <c r="X2219" s="418"/>
      <c r="Y2219" s="418"/>
      <c r="Z2219" s="418"/>
      <c r="AA2219" s="418"/>
      <c r="AB2219" s="418"/>
      <c r="AC2219" s="418"/>
      <c r="AD2219" s="418"/>
      <c r="AE2219" s="418"/>
      <c r="AF2219" s="418"/>
      <c r="AG2219" s="418"/>
      <c r="AH2219" s="418"/>
      <c r="AI2219" s="418"/>
      <c r="AJ2219" s="418"/>
      <c r="AK2219" s="418"/>
      <c r="AL2219" s="418"/>
      <c r="AM2219" s="418"/>
      <c r="AN2219" s="418"/>
      <c r="AO2219" s="418"/>
      <c r="AP2219" s="418"/>
      <c r="AQ2219" s="418"/>
      <c r="AR2219" s="418"/>
      <c r="AS2219" s="418"/>
      <c r="AT2219" s="418"/>
      <c r="AU2219" s="418"/>
      <c r="AV2219" s="418"/>
      <c r="AW2219" s="418"/>
      <c r="AX2219" s="418"/>
      <c r="AY2219" s="418"/>
      <c r="BF2219" s="1119"/>
      <c r="BG2219" s="1119"/>
      <c r="BH2219" s="1119"/>
    </row>
    <row r="2220" spans="1:60" ht="15.75" customHeight="1">
      <c r="A2220" s="1076"/>
      <c r="B2220" s="416"/>
      <c r="C2220" s="424"/>
      <c r="E2220" s="418"/>
      <c r="F2220" s="493"/>
      <c r="G2220" s="418"/>
      <c r="H2220" s="421"/>
      <c r="I2220" s="421"/>
      <c r="J2220" s="492"/>
      <c r="K2220" s="418"/>
      <c r="L2220" s="418"/>
      <c r="M2220" s="418"/>
      <c r="N2220" s="421"/>
      <c r="O2220" s="421"/>
      <c r="P2220" s="421"/>
      <c r="Q2220" s="418"/>
      <c r="R2220" s="418"/>
      <c r="S2220" s="418"/>
      <c r="T2220" s="418"/>
      <c r="U2220" s="418"/>
      <c r="V2220" s="418"/>
      <c r="W2220" s="418"/>
      <c r="X2220" s="418"/>
      <c r="Y2220" s="418"/>
      <c r="Z2220" s="418"/>
      <c r="AA2220" s="418"/>
      <c r="AB2220" s="418"/>
      <c r="AC2220" s="418"/>
      <c r="AD2220" s="418"/>
      <c r="AE2220" s="418"/>
      <c r="AF2220" s="418"/>
      <c r="AG2220" s="418"/>
      <c r="AH2220" s="418"/>
      <c r="AI2220" s="418"/>
      <c r="AJ2220" s="418"/>
      <c r="AK2220" s="418"/>
      <c r="AL2220" s="418"/>
      <c r="AM2220" s="418"/>
      <c r="AN2220" s="418"/>
      <c r="AO2220" s="418"/>
      <c r="AP2220" s="418"/>
      <c r="AQ2220" s="418"/>
      <c r="AR2220" s="418"/>
      <c r="AS2220" s="418"/>
      <c r="AT2220" s="418"/>
      <c r="AU2220" s="418"/>
      <c r="AV2220" s="418"/>
      <c r="AW2220" s="418"/>
      <c r="AX2220" s="418"/>
      <c r="AY2220" s="418"/>
      <c r="BF2220" s="1119"/>
      <c r="BG2220" s="1119"/>
      <c r="BH2220" s="1119"/>
    </row>
    <row r="2221" spans="1:60" ht="15.75" customHeight="1">
      <c r="A2221" s="1076"/>
      <c r="B2221" s="416"/>
      <c r="C2221" s="424"/>
      <c r="E2221" s="418"/>
      <c r="F2221" s="493"/>
      <c r="G2221" s="418"/>
      <c r="H2221" s="421"/>
      <c r="I2221" s="421"/>
      <c r="J2221" s="492"/>
      <c r="K2221" s="418"/>
      <c r="L2221" s="418"/>
      <c r="M2221" s="418"/>
      <c r="N2221" s="421"/>
      <c r="O2221" s="421"/>
      <c r="P2221" s="421"/>
      <c r="Q2221" s="418"/>
      <c r="R2221" s="418"/>
      <c r="S2221" s="418"/>
      <c r="T2221" s="418"/>
      <c r="U2221" s="418"/>
      <c r="V2221" s="418"/>
      <c r="W2221" s="418"/>
      <c r="X2221" s="418"/>
      <c r="Y2221" s="418"/>
      <c r="Z2221" s="418"/>
      <c r="AA2221" s="418"/>
      <c r="AB2221" s="418"/>
      <c r="AC2221" s="418"/>
      <c r="AD2221" s="418"/>
      <c r="AE2221" s="418"/>
      <c r="AF2221" s="418"/>
      <c r="AG2221" s="418"/>
      <c r="AH2221" s="418"/>
      <c r="AI2221" s="418"/>
      <c r="AJ2221" s="418"/>
      <c r="AK2221" s="418"/>
      <c r="AL2221" s="418"/>
      <c r="AM2221" s="418"/>
      <c r="AN2221" s="418"/>
      <c r="AO2221" s="418"/>
      <c r="AP2221" s="418"/>
      <c r="AQ2221" s="418"/>
      <c r="AR2221" s="418"/>
      <c r="AS2221" s="418"/>
      <c r="AT2221" s="418"/>
      <c r="AU2221" s="418"/>
      <c r="AV2221" s="418"/>
      <c r="AW2221" s="418"/>
      <c r="AX2221" s="418"/>
      <c r="AY2221" s="418"/>
      <c r="BF2221" s="1119"/>
      <c r="BG2221" s="1119"/>
      <c r="BH2221" s="1119"/>
    </row>
    <row r="2222" spans="1:60" ht="15.75" customHeight="1">
      <c r="A2222" s="1076"/>
      <c r="B2222" s="416"/>
      <c r="C2222" s="424"/>
      <c r="E2222" s="418"/>
      <c r="F2222" s="493"/>
      <c r="G2222" s="418"/>
      <c r="H2222" s="418"/>
      <c r="I2222" s="418"/>
      <c r="J2222" s="424"/>
      <c r="K2222" s="418"/>
      <c r="L2222" s="418"/>
      <c r="M2222" s="418"/>
      <c r="N2222" s="421"/>
      <c r="O2222" s="421"/>
      <c r="P2222" s="421"/>
      <c r="Q2222" s="418"/>
      <c r="R2222" s="418"/>
      <c r="S2222" s="418"/>
      <c r="T2222" s="418"/>
      <c r="U2222" s="418"/>
      <c r="V2222" s="418"/>
      <c r="W2222" s="418"/>
      <c r="X2222" s="418"/>
      <c r="Y2222" s="418"/>
      <c r="Z2222" s="418"/>
      <c r="AA2222" s="418"/>
      <c r="AB2222" s="418"/>
      <c r="AC2222" s="418"/>
      <c r="AD2222" s="418"/>
      <c r="AE2222" s="418"/>
      <c r="AF2222" s="418"/>
      <c r="AG2222" s="418"/>
      <c r="AH2222" s="418"/>
      <c r="AI2222" s="418"/>
      <c r="AJ2222" s="418"/>
      <c r="AK2222" s="418"/>
      <c r="AL2222" s="418"/>
      <c r="AM2222" s="418"/>
      <c r="AN2222" s="418"/>
      <c r="AO2222" s="418"/>
      <c r="AP2222" s="418"/>
      <c r="AQ2222" s="418"/>
      <c r="AR2222" s="418"/>
      <c r="AS2222" s="418"/>
      <c r="AT2222" s="418"/>
      <c r="AU2222" s="418"/>
      <c r="AV2222" s="418"/>
      <c r="AW2222" s="418"/>
      <c r="AX2222" s="418"/>
      <c r="AY2222" s="418"/>
      <c r="BF2222" s="1119"/>
      <c r="BG2222" s="1119"/>
      <c r="BH2222" s="1119"/>
    </row>
    <row r="2223" spans="1:60" ht="15.75" customHeight="1">
      <c r="A2223" s="1076"/>
      <c r="B2223" s="416"/>
      <c r="C2223" s="424"/>
      <c r="E2223" s="418"/>
      <c r="F2223" s="493"/>
      <c r="G2223" s="418"/>
      <c r="H2223" s="418"/>
      <c r="I2223" s="418"/>
      <c r="J2223" s="424"/>
      <c r="K2223" s="418"/>
      <c r="L2223" s="418"/>
      <c r="M2223" s="418"/>
      <c r="N2223" s="421"/>
      <c r="O2223" s="421"/>
      <c r="P2223" s="421"/>
      <c r="Q2223" s="418"/>
      <c r="R2223" s="418"/>
      <c r="S2223" s="418"/>
      <c r="T2223" s="418"/>
      <c r="U2223" s="418"/>
      <c r="V2223" s="418"/>
      <c r="W2223" s="418"/>
      <c r="X2223" s="418"/>
      <c r="Y2223" s="418"/>
      <c r="Z2223" s="418"/>
      <c r="AA2223" s="418"/>
      <c r="AB2223" s="418"/>
      <c r="AC2223" s="418"/>
      <c r="AD2223" s="418"/>
      <c r="AE2223" s="418"/>
      <c r="AF2223" s="418"/>
      <c r="AG2223" s="418"/>
      <c r="AH2223" s="418"/>
      <c r="AI2223" s="418"/>
      <c r="AJ2223" s="418"/>
      <c r="AK2223" s="418"/>
      <c r="AL2223" s="418"/>
      <c r="AM2223" s="418"/>
      <c r="AN2223" s="418"/>
      <c r="AO2223" s="418"/>
      <c r="AP2223" s="418"/>
      <c r="AQ2223" s="418"/>
      <c r="AR2223" s="418"/>
      <c r="AS2223" s="418"/>
      <c r="AT2223" s="418"/>
      <c r="AU2223" s="418"/>
      <c r="AV2223" s="418"/>
      <c r="AW2223" s="418"/>
      <c r="AX2223" s="418"/>
      <c r="AY2223" s="418"/>
      <c r="BF2223" s="1119"/>
      <c r="BG2223" s="1119"/>
      <c r="BH2223" s="1119"/>
    </row>
    <row r="2224" spans="1:60" ht="15.75" customHeight="1">
      <c r="A2224" s="1076"/>
      <c r="B2224" s="416"/>
      <c r="C2224" s="424"/>
      <c r="E2224" s="418"/>
      <c r="F2224" s="493"/>
      <c r="G2224" s="418"/>
      <c r="H2224" s="421"/>
      <c r="I2224" s="418"/>
      <c r="J2224" s="424"/>
      <c r="K2224" s="418"/>
      <c r="L2224" s="418"/>
      <c r="M2224" s="418"/>
      <c r="N2224" s="421"/>
      <c r="O2224" s="421"/>
      <c r="P2224" s="421"/>
      <c r="Q2224" s="418"/>
      <c r="R2224" s="418"/>
      <c r="S2224" s="418"/>
      <c r="T2224" s="418"/>
      <c r="U2224" s="418"/>
      <c r="V2224" s="418"/>
      <c r="W2224" s="418"/>
      <c r="X2224" s="418"/>
      <c r="Y2224" s="418"/>
      <c r="Z2224" s="418"/>
      <c r="AA2224" s="418"/>
      <c r="AB2224" s="418"/>
      <c r="AC2224" s="418"/>
      <c r="AD2224" s="418"/>
      <c r="AE2224" s="418"/>
      <c r="AF2224" s="418"/>
      <c r="AG2224" s="418"/>
      <c r="AH2224" s="418"/>
      <c r="AI2224" s="418"/>
      <c r="AJ2224" s="418"/>
      <c r="AK2224" s="418"/>
      <c r="AL2224" s="418"/>
      <c r="AM2224" s="418"/>
      <c r="AN2224" s="418"/>
      <c r="AO2224" s="418"/>
      <c r="AP2224" s="418"/>
      <c r="AQ2224" s="418"/>
      <c r="AR2224" s="418"/>
      <c r="AS2224" s="418"/>
      <c r="AT2224" s="418"/>
      <c r="AU2224" s="418"/>
      <c r="AV2224" s="418"/>
      <c r="AW2224" s="418"/>
      <c r="AX2224" s="418"/>
      <c r="AY2224" s="418"/>
      <c r="BF2224" s="1119"/>
      <c r="BG2224" s="1119"/>
      <c r="BH2224" s="1119"/>
    </row>
    <row r="2225" spans="1:60" ht="15.75" customHeight="1">
      <c r="A2225" s="1076"/>
      <c r="B2225" s="416"/>
      <c r="C2225" s="424"/>
      <c r="E2225" s="418"/>
      <c r="F2225" s="493"/>
      <c r="G2225" s="418"/>
      <c r="H2225" s="421"/>
      <c r="I2225" s="421"/>
      <c r="J2225" s="492"/>
      <c r="K2225" s="418"/>
      <c r="L2225" s="418"/>
      <c r="M2225" s="418"/>
      <c r="N2225" s="421"/>
      <c r="O2225" s="421"/>
      <c r="P2225" s="421"/>
      <c r="Q2225" s="418"/>
      <c r="R2225" s="418"/>
      <c r="S2225" s="418"/>
      <c r="T2225" s="418"/>
      <c r="U2225" s="418"/>
      <c r="V2225" s="418"/>
      <c r="W2225" s="418"/>
      <c r="X2225" s="418"/>
      <c r="Y2225" s="418"/>
      <c r="Z2225" s="418"/>
      <c r="AA2225" s="418"/>
      <c r="AB2225" s="418"/>
      <c r="AC2225" s="418"/>
      <c r="AD2225" s="418"/>
      <c r="AE2225" s="418"/>
      <c r="AF2225" s="418"/>
      <c r="AG2225" s="418"/>
      <c r="AH2225" s="418"/>
      <c r="AI2225" s="418"/>
      <c r="AJ2225" s="418"/>
      <c r="AK2225" s="418"/>
      <c r="AL2225" s="418"/>
      <c r="AM2225" s="418"/>
      <c r="AN2225" s="418"/>
      <c r="AO2225" s="418"/>
      <c r="AP2225" s="418"/>
      <c r="AQ2225" s="418"/>
      <c r="AR2225" s="418"/>
      <c r="AS2225" s="418"/>
      <c r="AT2225" s="418"/>
      <c r="AU2225" s="418"/>
      <c r="AV2225" s="418"/>
      <c r="AW2225" s="418"/>
      <c r="AX2225" s="418"/>
      <c r="AY2225" s="418"/>
      <c r="BF2225" s="1119"/>
      <c r="BG2225" s="1119"/>
      <c r="BH2225" s="1119"/>
    </row>
    <row r="2226" spans="1:60" ht="15.75" customHeight="1">
      <c r="A2226" s="1076"/>
      <c r="B2226" s="416"/>
      <c r="C2226" s="424"/>
      <c r="E2226" s="418"/>
      <c r="F2226" s="493"/>
      <c r="G2226" s="418"/>
      <c r="H2226" s="421"/>
      <c r="I2226" s="421"/>
      <c r="J2226" s="492"/>
      <c r="K2226" s="418"/>
      <c r="L2226" s="418"/>
      <c r="M2226" s="418"/>
      <c r="N2226" s="421"/>
      <c r="O2226" s="421"/>
      <c r="P2226" s="421"/>
      <c r="Q2226" s="418"/>
      <c r="R2226" s="418"/>
      <c r="S2226" s="418"/>
      <c r="T2226" s="418"/>
      <c r="U2226" s="418"/>
      <c r="V2226" s="418"/>
      <c r="W2226" s="418"/>
      <c r="X2226" s="418"/>
      <c r="Y2226" s="418"/>
      <c r="Z2226" s="418"/>
      <c r="AA2226" s="418"/>
      <c r="AB2226" s="418"/>
      <c r="AC2226" s="418"/>
      <c r="AD2226" s="418"/>
      <c r="AE2226" s="418"/>
      <c r="AF2226" s="418"/>
      <c r="AG2226" s="418"/>
      <c r="AH2226" s="418"/>
      <c r="AI2226" s="418"/>
      <c r="AJ2226" s="418"/>
      <c r="AK2226" s="418"/>
      <c r="AL2226" s="418"/>
      <c r="AM2226" s="418"/>
      <c r="AN2226" s="418"/>
      <c r="AO2226" s="418"/>
      <c r="AP2226" s="418"/>
      <c r="AQ2226" s="418"/>
      <c r="AR2226" s="418"/>
      <c r="AS2226" s="418"/>
      <c r="AT2226" s="418"/>
      <c r="AU2226" s="418"/>
      <c r="AV2226" s="418"/>
      <c r="AW2226" s="418"/>
      <c r="AX2226" s="418"/>
      <c r="AY2226" s="418"/>
      <c r="BF2226" s="1119"/>
      <c r="BG2226" s="1119"/>
      <c r="BH2226" s="1119"/>
    </row>
    <row r="2227" spans="1:60" ht="15.75" customHeight="1">
      <c r="A2227" s="1076"/>
      <c r="B2227" s="416"/>
      <c r="C2227" s="424"/>
      <c r="E2227" s="418"/>
      <c r="F2227" s="493"/>
      <c r="G2227" s="418"/>
      <c r="H2227" s="421"/>
      <c r="I2227" s="421"/>
      <c r="J2227" s="492"/>
      <c r="K2227" s="418"/>
      <c r="L2227" s="418"/>
      <c r="M2227" s="418"/>
      <c r="N2227" s="421"/>
      <c r="O2227" s="421"/>
      <c r="P2227" s="421"/>
      <c r="Q2227" s="418"/>
      <c r="R2227" s="418"/>
      <c r="S2227" s="418"/>
      <c r="T2227" s="418"/>
      <c r="U2227" s="418"/>
      <c r="V2227" s="418"/>
      <c r="W2227" s="418"/>
      <c r="X2227" s="418"/>
      <c r="Y2227" s="418"/>
      <c r="Z2227" s="418"/>
      <c r="AA2227" s="418"/>
      <c r="AB2227" s="418"/>
      <c r="AC2227" s="418"/>
      <c r="AD2227" s="418"/>
      <c r="AE2227" s="418"/>
      <c r="AF2227" s="418"/>
      <c r="AG2227" s="418"/>
      <c r="AH2227" s="418"/>
      <c r="AI2227" s="418"/>
      <c r="AJ2227" s="418"/>
      <c r="AK2227" s="418"/>
      <c r="AL2227" s="418"/>
      <c r="AM2227" s="418"/>
      <c r="AN2227" s="418"/>
      <c r="AO2227" s="418"/>
      <c r="AP2227" s="418"/>
      <c r="AQ2227" s="418"/>
      <c r="AR2227" s="418"/>
      <c r="AS2227" s="418"/>
      <c r="AT2227" s="418"/>
      <c r="AU2227" s="418"/>
      <c r="AV2227" s="418"/>
      <c r="AW2227" s="418"/>
      <c r="AX2227" s="418"/>
      <c r="AY2227" s="418"/>
      <c r="BF2227" s="1119"/>
      <c r="BG2227" s="1119"/>
      <c r="BH2227" s="1119"/>
    </row>
    <row r="2228" spans="1:60" ht="15.75" customHeight="1">
      <c r="A2228" s="1076"/>
      <c r="B2228" s="416"/>
      <c r="C2228" s="424"/>
      <c r="E2228" s="418"/>
      <c r="F2228" s="493"/>
      <c r="G2228" s="418"/>
      <c r="H2228" s="421"/>
      <c r="I2228" s="421"/>
      <c r="J2228" s="492"/>
      <c r="K2228" s="418"/>
      <c r="L2228" s="418"/>
      <c r="M2228" s="418"/>
      <c r="N2228" s="421"/>
      <c r="O2228" s="421"/>
      <c r="P2228" s="421"/>
      <c r="Q2228" s="418"/>
      <c r="R2228" s="418"/>
      <c r="S2228" s="418"/>
      <c r="T2228" s="418"/>
      <c r="U2228" s="418"/>
      <c r="V2228" s="418"/>
      <c r="W2228" s="418"/>
      <c r="X2228" s="418"/>
      <c r="Y2228" s="418"/>
      <c r="Z2228" s="418"/>
      <c r="AA2228" s="418"/>
      <c r="AB2228" s="418"/>
      <c r="AC2228" s="418"/>
      <c r="AD2228" s="418"/>
      <c r="AE2228" s="418"/>
      <c r="AF2228" s="418"/>
      <c r="AG2228" s="418"/>
      <c r="AH2228" s="418"/>
      <c r="AI2228" s="418"/>
      <c r="AJ2228" s="418"/>
      <c r="AK2228" s="418"/>
      <c r="AL2228" s="418"/>
      <c r="AM2228" s="418"/>
      <c r="AN2228" s="418"/>
      <c r="AO2228" s="418"/>
      <c r="AP2228" s="418"/>
      <c r="AQ2228" s="418"/>
      <c r="AR2228" s="418"/>
      <c r="AS2228" s="418"/>
      <c r="AT2228" s="418"/>
      <c r="AU2228" s="418"/>
      <c r="AV2228" s="418"/>
      <c r="AW2228" s="418"/>
      <c r="AX2228" s="418"/>
      <c r="AY2228" s="418"/>
      <c r="BF2228" s="1119"/>
      <c r="BG2228" s="1119"/>
      <c r="BH2228" s="1119"/>
    </row>
    <row r="2229" spans="1:60" ht="15.75" customHeight="1">
      <c r="A2229" s="1076"/>
      <c r="B2229" s="416"/>
      <c r="C2229" s="424"/>
      <c r="E2229" s="418"/>
      <c r="F2229" s="493"/>
      <c r="G2229" s="418"/>
      <c r="H2229" s="421"/>
      <c r="I2229" s="421"/>
      <c r="J2229" s="492"/>
      <c r="K2229" s="418"/>
      <c r="L2229" s="418"/>
      <c r="M2229" s="418"/>
      <c r="N2229" s="421"/>
      <c r="O2229" s="421"/>
      <c r="P2229" s="421"/>
      <c r="Q2229" s="418"/>
      <c r="R2229" s="418"/>
      <c r="S2229" s="418"/>
      <c r="T2229" s="418"/>
      <c r="U2229" s="418"/>
      <c r="V2229" s="418"/>
      <c r="W2229" s="418"/>
      <c r="X2229" s="418"/>
      <c r="Y2229" s="418"/>
      <c r="Z2229" s="418"/>
      <c r="AA2229" s="418"/>
      <c r="AB2229" s="418"/>
      <c r="AC2229" s="418"/>
      <c r="AD2229" s="418"/>
      <c r="AE2229" s="418"/>
      <c r="AF2229" s="418"/>
      <c r="AG2229" s="418"/>
      <c r="AH2229" s="418"/>
      <c r="AI2229" s="418"/>
      <c r="AJ2229" s="418"/>
      <c r="AK2229" s="418"/>
      <c r="AL2229" s="418"/>
      <c r="AM2229" s="418"/>
      <c r="AN2229" s="418"/>
      <c r="AO2229" s="418"/>
      <c r="AP2229" s="418"/>
      <c r="AQ2229" s="418"/>
      <c r="AR2229" s="418"/>
      <c r="AS2229" s="418"/>
      <c r="AT2229" s="418"/>
      <c r="AU2229" s="418"/>
      <c r="AV2229" s="418"/>
      <c r="AW2229" s="418"/>
      <c r="AX2229" s="418"/>
      <c r="AY2229" s="418"/>
      <c r="BF2229" s="1119"/>
      <c r="BG2229" s="1119"/>
      <c r="BH2229" s="1119"/>
    </row>
    <row r="2230" spans="1:60" ht="15.75" customHeight="1">
      <c r="A2230" s="1076"/>
      <c r="B2230" s="416"/>
      <c r="C2230" s="424"/>
      <c r="E2230" s="418"/>
      <c r="F2230" s="493"/>
      <c r="G2230" s="418"/>
      <c r="H2230" s="421"/>
      <c r="I2230" s="421"/>
      <c r="J2230" s="492"/>
      <c r="K2230" s="418"/>
      <c r="L2230" s="418"/>
      <c r="M2230" s="418"/>
      <c r="N2230" s="421"/>
      <c r="O2230" s="421"/>
      <c r="P2230" s="421"/>
      <c r="Q2230" s="418"/>
      <c r="R2230" s="418"/>
      <c r="S2230" s="418"/>
      <c r="T2230" s="418"/>
      <c r="U2230" s="418"/>
      <c r="V2230" s="418"/>
      <c r="W2230" s="418"/>
      <c r="X2230" s="418"/>
      <c r="Y2230" s="418"/>
      <c r="Z2230" s="418"/>
      <c r="AA2230" s="418"/>
      <c r="AB2230" s="418"/>
      <c r="AC2230" s="418"/>
      <c r="AD2230" s="418"/>
      <c r="AE2230" s="418"/>
      <c r="AF2230" s="418"/>
      <c r="AG2230" s="418"/>
      <c r="AH2230" s="418"/>
      <c r="AI2230" s="418"/>
      <c r="AJ2230" s="418"/>
      <c r="AK2230" s="418"/>
      <c r="AL2230" s="418"/>
      <c r="AM2230" s="418"/>
      <c r="AN2230" s="418"/>
      <c r="AO2230" s="418"/>
      <c r="AP2230" s="418"/>
      <c r="AQ2230" s="418"/>
      <c r="AR2230" s="418"/>
      <c r="AS2230" s="418"/>
      <c r="AT2230" s="418"/>
      <c r="AU2230" s="418"/>
      <c r="AV2230" s="418"/>
      <c r="AW2230" s="418"/>
      <c r="AX2230" s="418"/>
      <c r="AY2230" s="418"/>
      <c r="BF2230" s="1119"/>
      <c r="BG2230" s="1119"/>
      <c r="BH2230" s="1119"/>
    </row>
    <row r="2231" spans="1:60" ht="15.75" customHeight="1">
      <c r="A2231" s="1076"/>
      <c r="B2231" s="416"/>
      <c r="C2231" s="424"/>
      <c r="E2231" s="418"/>
      <c r="F2231" s="493"/>
      <c r="G2231" s="418"/>
      <c r="H2231" s="421"/>
      <c r="I2231" s="421"/>
      <c r="J2231" s="492"/>
      <c r="K2231" s="418"/>
      <c r="L2231" s="418"/>
      <c r="M2231" s="418"/>
      <c r="N2231" s="421"/>
      <c r="O2231" s="421"/>
      <c r="P2231" s="421"/>
      <c r="Q2231" s="418"/>
      <c r="R2231" s="418"/>
      <c r="S2231" s="418"/>
      <c r="T2231" s="418"/>
      <c r="U2231" s="418"/>
      <c r="V2231" s="418"/>
      <c r="W2231" s="418"/>
      <c r="X2231" s="418"/>
      <c r="Y2231" s="418"/>
      <c r="Z2231" s="418"/>
      <c r="AA2231" s="418"/>
      <c r="AB2231" s="418"/>
      <c r="AC2231" s="418"/>
      <c r="AD2231" s="418"/>
      <c r="AE2231" s="418"/>
      <c r="AF2231" s="418"/>
      <c r="AG2231" s="418"/>
      <c r="AH2231" s="418"/>
      <c r="AI2231" s="418"/>
      <c r="AJ2231" s="418"/>
      <c r="AK2231" s="418"/>
      <c r="AL2231" s="418"/>
      <c r="AM2231" s="418"/>
      <c r="AN2231" s="418"/>
      <c r="AO2231" s="418"/>
      <c r="AP2231" s="418"/>
      <c r="AQ2231" s="418"/>
      <c r="AR2231" s="418"/>
      <c r="AS2231" s="418"/>
      <c r="AT2231" s="418"/>
      <c r="AU2231" s="418"/>
      <c r="AV2231" s="418"/>
      <c r="AW2231" s="418"/>
      <c r="AX2231" s="418"/>
      <c r="AY2231" s="418"/>
      <c r="BF2231" s="1119"/>
      <c r="BG2231" s="1119"/>
      <c r="BH2231" s="1119"/>
    </row>
    <row r="2232" spans="1:60" ht="15.75" customHeight="1">
      <c r="A2232" s="1076"/>
      <c r="B2232" s="416"/>
      <c r="C2232" s="424"/>
      <c r="E2232" s="418"/>
      <c r="F2232" s="493"/>
      <c r="G2232" s="418"/>
      <c r="H2232" s="421"/>
      <c r="I2232" s="421"/>
      <c r="J2232" s="492"/>
      <c r="K2232" s="418"/>
      <c r="L2232" s="418"/>
      <c r="M2232" s="418"/>
      <c r="N2232" s="421"/>
      <c r="O2232" s="421"/>
      <c r="P2232" s="421"/>
      <c r="Q2232" s="418"/>
      <c r="R2232" s="418"/>
      <c r="S2232" s="418"/>
      <c r="T2232" s="418"/>
      <c r="U2232" s="418"/>
      <c r="V2232" s="418"/>
      <c r="W2232" s="418"/>
      <c r="X2232" s="418"/>
      <c r="Y2232" s="418"/>
      <c r="Z2232" s="418"/>
      <c r="AA2232" s="418"/>
      <c r="AB2232" s="418"/>
      <c r="AC2232" s="418"/>
      <c r="AD2232" s="418"/>
      <c r="AE2232" s="418"/>
      <c r="AF2232" s="418"/>
      <c r="AG2232" s="418"/>
      <c r="AH2232" s="418"/>
      <c r="AI2232" s="418"/>
      <c r="AJ2232" s="418"/>
      <c r="AK2232" s="418"/>
      <c r="AL2232" s="418"/>
      <c r="AM2232" s="418"/>
      <c r="AN2232" s="418"/>
      <c r="AO2232" s="418"/>
      <c r="AP2232" s="418"/>
      <c r="AQ2232" s="418"/>
      <c r="AR2232" s="418"/>
      <c r="AS2232" s="418"/>
      <c r="AT2232" s="418"/>
      <c r="AU2232" s="418"/>
      <c r="AV2232" s="418"/>
      <c r="AW2232" s="418"/>
      <c r="AX2232" s="418"/>
      <c r="AY2232" s="418"/>
      <c r="BF2232" s="1119"/>
      <c r="BG2232" s="1119"/>
      <c r="BH2232" s="1119"/>
    </row>
    <row r="2233" spans="1:60" ht="15.75" customHeight="1">
      <c r="A2233" s="1076"/>
      <c r="B2233" s="416"/>
      <c r="C2233" s="424"/>
      <c r="E2233" s="418"/>
      <c r="F2233" s="493"/>
      <c r="G2233" s="418"/>
      <c r="H2233" s="421"/>
      <c r="I2233" s="421"/>
      <c r="J2233" s="492"/>
      <c r="K2233" s="418"/>
      <c r="L2233" s="418"/>
      <c r="M2233" s="418"/>
      <c r="N2233" s="421"/>
      <c r="O2233" s="421"/>
      <c r="P2233" s="421"/>
      <c r="Q2233" s="418"/>
      <c r="R2233" s="418"/>
      <c r="S2233" s="418"/>
      <c r="T2233" s="418"/>
      <c r="U2233" s="418"/>
      <c r="V2233" s="418"/>
      <c r="W2233" s="418"/>
      <c r="X2233" s="418"/>
      <c r="Y2233" s="418"/>
      <c r="Z2233" s="418"/>
      <c r="AA2233" s="418"/>
      <c r="AB2233" s="418"/>
      <c r="AC2233" s="418"/>
      <c r="AD2233" s="418"/>
      <c r="AE2233" s="418"/>
      <c r="AF2233" s="418"/>
      <c r="AG2233" s="418"/>
      <c r="AH2233" s="418"/>
      <c r="AI2233" s="418"/>
      <c r="AJ2233" s="418"/>
      <c r="AK2233" s="418"/>
      <c r="AL2233" s="418"/>
      <c r="AM2233" s="418"/>
      <c r="AN2233" s="418"/>
      <c r="AO2233" s="418"/>
      <c r="AP2233" s="418"/>
      <c r="AQ2233" s="418"/>
      <c r="AR2233" s="418"/>
      <c r="AS2233" s="418"/>
      <c r="AT2233" s="418"/>
      <c r="AU2233" s="418"/>
      <c r="AV2233" s="418"/>
      <c r="AW2233" s="418"/>
      <c r="AX2233" s="418"/>
      <c r="AY2233" s="418"/>
      <c r="BF2233" s="1119"/>
      <c r="BG2233" s="1119"/>
      <c r="BH2233" s="1119"/>
    </row>
    <row r="2234" spans="1:60" ht="15.75" customHeight="1">
      <c r="A2234" s="1076"/>
      <c r="B2234" s="416"/>
      <c r="C2234" s="424"/>
      <c r="E2234" s="418"/>
      <c r="F2234" s="493"/>
      <c r="G2234" s="418"/>
      <c r="H2234" s="421"/>
      <c r="I2234" s="421"/>
      <c r="J2234" s="492"/>
      <c r="K2234" s="418"/>
      <c r="L2234" s="418"/>
      <c r="M2234" s="418"/>
      <c r="N2234" s="421"/>
      <c r="O2234" s="421"/>
      <c r="P2234" s="421"/>
      <c r="Q2234" s="418"/>
      <c r="R2234" s="418"/>
      <c r="S2234" s="418"/>
      <c r="T2234" s="418"/>
      <c r="U2234" s="418"/>
      <c r="V2234" s="418"/>
      <c r="W2234" s="418"/>
      <c r="X2234" s="418"/>
      <c r="Y2234" s="418"/>
      <c r="Z2234" s="418"/>
      <c r="AA2234" s="418"/>
      <c r="AB2234" s="418"/>
      <c r="AC2234" s="418"/>
      <c r="AD2234" s="418"/>
      <c r="AE2234" s="418"/>
      <c r="AF2234" s="418"/>
      <c r="AG2234" s="418"/>
      <c r="AH2234" s="418"/>
      <c r="AI2234" s="418"/>
      <c r="AJ2234" s="418"/>
      <c r="AK2234" s="418"/>
      <c r="AL2234" s="418"/>
      <c r="AM2234" s="418"/>
      <c r="AN2234" s="418"/>
      <c r="AO2234" s="418"/>
      <c r="AP2234" s="418"/>
      <c r="AQ2234" s="418"/>
      <c r="AR2234" s="418"/>
      <c r="AS2234" s="418"/>
      <c r="AT2234" s="418"/>
      <c r="AU2234" s="418"/>
      <c r="AV2234" s="418"/>
      <c r="AW2234" s="418"/>
      <c r="AX2234" s="418"/>
      <c r="AY2234" s="418"/>
      <c r="BF2234" s="1119"/>
      <c r="BG2234" s="1119"/>
      <c r="BH2234" s="1119"/>
    </row>
    <row r="2235" spans="1:60" ht="15.75" customHeight="1">
      <c r="A2235" s="1076"/>
      <c r="B2235" s="416"/>
      <c r="C2235" s="424"/>
      <c r="E2235" s="418"/>
      <c r="F2235" s="493"/>
      <c r="G2235" s="418"/>
      <c r="H2235" s="421"/>
      <c r="I2235" s="421"/>
      <c r="J2235" s="492"/>
      <c r="K2235" s="418"/>
      <c r="L2235" s="418"/>
      <c r="M2235" s="418"/>
      <c r="N2235" s="421"/>
      <c r="O2235" s="421"/>
      <c r="P2235" s="421"/>
      <c r="Q2235" s="418"/>
      <c r="R2235" s="418"/>
      <c r="S2235" s="418"/>
      <c r="T2235" s="418"/>
      <c r="U2235" s="418"/>
      <c r="V2235" s="418"/>
      <c r="W2235" s="418"/>
      <c r="X2235" s="418"/>
      <c r="Y2235" s="418"/>
      <c r="Z2235" s="418"/>
      <c r="AA2235" s="418"/>
      <c r="AB2235" s="418"/>
      <c r="AC2235" s="418"/>
      <c r="AD2235" s="418"/>
      <c r="AE2235" s="418"/>
      <c r="AF2235" s="418"/>
      <c r="AG2235" s="418"/>
      <c r="AH2235" s="418"/>
      <c r="AI2235" s="418"/>
      <c r="AJ2235" s="418"/>
      <c r="AK2235" s="418"/>
      <c r="AL2235" s="418"/>
      <c r="AM2235" s="418"/>
      <c r="AN2235" s="418"/>
      <c r="AO2235" s="418"/>
      <c r="AP2235" s="418"/>
      <c r="AQ2235" s="418"/>
      <c r="AR2235" s="418"/>
      <c r="AS2235" s="418"/>
      <c r="AT2235" s="418"/>
      <c r="AU2235" s="418"/>
      <c r="AV2235" s="418"/>
      <c r="AW2235" s="418"/>
      <c r="AX2235" s="418"/>
      <c r="AY2235" s="418"/>
      <c r="BF2235" s="1119"/>
      <c r="BG2235" s="1119"/>
      <c r="BH2235" s="1119"/>
    </row>
    <row r="2236" spans="1:60" ht="15.75" customHeight="1">
      <c r="A2236" s="1076"/>
      <c r="B2236" s="416"/>
      <c r="C2236" s="424"/>
      <c r="E2236" s="418"/>
      <c r="F2236" s="493"/>
      <c r="G2236" s="418"/>
      <c r="H2236" s="421"/>
      <c r="I2236" s="421"/>
      <c r="J2236" s="492"/>
      <c r="K2236" s="418"/>
      <c r="L2236" s="418"/>
      <c r="M2236" s="418"/>
      <c r="N2236" s="421"/>
      <c r="O2236" s="421"/>
      <c r="P2236" s="421"/>
      <c r="Q2236" s="418"/>
      <c r="R2236" s="418"/>
      <c r="S2236" s="418"/>
      <c r="T2236" s="418"/>
      <c r="U2236" s="418"/>
      <c r="V2236" s="418"/>
      <c r="W2236" s="418"/>
      <c r="X2236" s="418"/>
      <c r="Y2236" s="418"/>
      <c r="Z2236" s="418"/>
      <c r="AA2236" s="418"/>
      <c r="AB2236" s="418"/>
      <c r="AC2236" s="418"/>
      <c r="AD2236" s="418"/>
      <c r="AE2236" s="418"/>
      <c r="AF2236" s="418"/>
      <c r="AG2236" s="418"/>
      <c r="AH2236" s="418"/>
      <c r="AI2236" s="418"/>
      <c r="AJ2236" s="418"/>
      <c r="AK2236" s="418"/>
      <c r="AL2236" s="418"/>
      <c r="AM2236" s="418"/>
      <c r="AN2236" s="418"/>
      <c r="AO2236" s="418"/>
      <c r="AP2236" s="418"/>
      <c r="AQ2236" s="418"/>
      <c r="AR2236" s="418"/>
      <c r="AS2236" s="418"/>
      <c r="AT2236" s="418"/>
      <c r="AU2236" s="418"/>
      <c r="AV2236" s="418"/>
      <c r="AW2236" s="418"/>
      <c r="AX2236" s="418"/>
      <c r="AY2236" s="418"/>
      <c r="BF2236" s="1119"/>
      <c r="BG2236" s="1119"/>
      <c r="BH2236" s="1119"/>
    </row>
    <row r="2237" spans="1:60" ht="15.75" customHeight="1">
      <c r="A2237" s="1076"/>
      <c r="B2237" s="416"/>
      <c r="C2237" s="424"/>
      <c r="E2237" s="418"/>
      <c r="F2237" s="493"/>
      <c r="G2237" s="418"/>
      <c r="H2237" s="421"/>
      <c r="I2237" s="421"/>
      <c r="J2237" s="492"/>
      <c r="K2237" s="418"/>
      <c r="L2237" s="418"/>
      <c r="M2237" s="418"/>
      <c r="N2237" s="421"/>
      <c r="O2237" s="421"/>
      <c r="P2237" s="421"/>
      <c r="Q2237" s="418"/>
      <c r="R2237" s="418"/>
      <c r="S2237" s="418"/>
      <c r="T2237" s="418"/>
      <c r="U2237" s="418"/>
      <c r="V2237" s="418"/>
      <c r="W2237" s="418"/>
      <c r="X2237" s="418"/>
      <c r="Y2237" s="418"/>
      <c r="Z2237" s="418"/>
      <c r="AA2237" s="418"/>
      <c r="AB2237" s="418"/>
      <c r="AC2237" s="418"/>
      <c r="AD2237" s="418"/>
      <c r="AE2237" s="418"/>
      <c r="AF2237" s="418"/>
      <c r="AG2237" s="418"/>
      <c r="AH2237" s="418"/>
      <c r="AI2237" s="418"/>
      <c r="AJ2237" s="418"/>
      <c r="AK2237" s="418"/>
      <c r="AL2237" s="418"/>
      <c r="AM2237" s="418"/>
      <c r="AN2237" s="418"/>
      <c r="AO2237" s="418"/>
      <c r="AP2237" s="418"/>
      <c r="AQ2237" s="418"/>
      <c r="AR2237" s="418"/>
      <c r="AS2237" s="418"/>
      <c r="AT2237" s="418"/>
      <c r="AU2237" s="418"/>
      <c r="AV2237" s="418"/>
      <c r="AW2237" s="418"/>
      <c r="AX2237" s="418"/>
      <c r="AY2237" s="418"/>
      <c r="BF2237" s="1119"/>
      <c r="BG2237" s="1119"/>
      <c r="BH2237" s="1119"/>
    </row>
    <row r="2238" spans="1:60" ht="15.75" customHeight="1">
      <c r="A2238" s="1076"/>
      <c r="B2238" s="416"/>
      <c r="C2238" s="424"/>
      <c r="E2238" s="418"/>
      <c r="F2238" s="493"/>
      <c r="G2238" s="418"/>
      <c r="H2238" s="421"/>
      <c r="I2238" s="421"/>
      <c r="J2238" s="492"/>
      <c r="K2238" s="418"/>
      <c r="L2238" s="418"/>
      <c r="M2238" s="418"/>
      <c r="N2238" s="421"/>
      <c r="O2238" s="421"/>
      <c r="P2238" s="421"/>
      <c r="Q2238" s="418"/>
      <c r="R2238" s="418"/>
      <c r="S2238" s="418"/>
      <c r="T2238" s="418"/>
      <c r="U2238" s="418"/>
      <c r="V2238" s="418"/>
      <c r="W2238" s="418"/>
      <c r="X2238" s="418"/>
      <c r="Y2238" s="418"/>
      <c r="Z2238" s="418"/>
      <c r="AA2238" s="418"/>
      <c r="AB2238" s="418"/>
      <c r="AC2238" s="418"/>
      <c r="AD2238" s="418"/>
      <c r="AE2238" s="418"/>
      <c r="AF2238" s="418"/>
      <c r="AG2238" s="418"/>
      <c r="AH2238" s="418"/>
      <c r="AI2238" s="418"/>
      <c r="AJ2238" s="418"/>
      <c r="AK2238" s="418"/>
      <c r="AL2238" s="418"/>
      <c r="AM2238" s="418"/>
      <c r="AN2238" s="418"/>
      <c r="AO2238" s="418"/>
      <c r="AP2238" s="418"/>
      <c r="AQ2238" s="418"/>
      <c r="AR2238" s="418"/>
      <c r="AS2238" s="418"/>
      <c r="AT2238" s="418"/>
      <c r="AU2238" s="418"/>
      <c r="AV2238" s="418"/>
      <c r="AW2238" s="418"/>
      <c r="AX2238" s="418"/>
      <c r="AY2238" s="418"/>
      <c r="BF2238" s="1119"/>
      <c r="BG2238" s="1119"/>
      <c r="BH2238" s="1119"/>
    </row>
    <row r="2239" spans="1:60" ht="15.75" customHeight="1">
      <c r="A2239" s="1076"/>
      <c r="B2239" s="416"/>
      <c r="C2239" s="424"/>
      <c r="E2239" s="418"/>
      <c r="F2239" s="493"/>
      <c r="G2239" s="418"/>
      <c r="H2239" s="421"/>
      <c r="I2239" s="421"/>
      <c r="J2239" s="492"/>
      <c r="K2239" s="418"/>
      <c r="L2239" s="418"/>
      <c r="M2239" s="418"/>
      <c r="N2239" s="421"/>
      <c r="O2239" s="421"/>
      <c r="P2239" s="421"/>
      <c r="Q2239" s="418"/>
      <c r="R2239" s="418"/>
      <c r="S2239" s="418"/>
      <c r="T2239" s="418"/>
      <c r="U2239" s="418"/>
      <c r="V2239" s="418"/>
      <c r="W2239" s="418"/>
      <c r="X2239" s="418"/>
      <c r="Y2239" s="418"/>
      <c r="Z2239" s="418"/>
      <c r="AA2239" s="418"/>
      <c r="AB2239" s="418"/>
      <c r="AC2239" s="418"/>
      <c r="AD2239" s="418"/>
      <c r="AE2239" s="418"/>
      <c r="AF2239" s="418"/>
      <c r="AG2239" s="418"/>
      <c r="AH2239" s="418"/>
      <c r="AI2239" s="418"/>
      <c r="AJ2239" s="418"/>
      <c r="AK2239" s="418"/>
      <c r="AL2239" s="418"/>
      <c r="AM2239" s="418"/>
      <c r="AN2239" s="418"/>
      <c r="AO2239" s="418"/>
      <c r="AP2239" s="418"/>
      <c r="AQ2239" s="418"/>
      <c r="AR2239" s="418"/>
      <c r="AS2239" s="418"/>
      <c r="AT2239" s="418"/>
      <c r="AU2239" s="418"/>
      <c r="AV2239" s="418"/>
      <c r="AW2239" s="418"/>
      <c r="AX2239" s="418"/>
      <c r="AY2239" s="418"/>
      <c r="BF2239" s="1119"/>
      <c r="BG2239" s="1119"/>
      <c r="BH2239" s="1119"/>
    </row>
    <row r="2240" spans="1:60" ht="15.75" customHeight="1">
      <c r="A2240" s="1076"/>
      <c r="B2240" s="416"/>
      <c r="C2240" s="424"/>
      <c r="E2240" s="418"/>
      <c r="F2240" s="493"/>
      <c r="G2240" s="418"/>
      <c r="H2240" s="421"/>
      <c r="I2240" s="421"/>
      <c r="J2240" s="492"/>
      <c r="K2240" s="418"/>
      <c r="L2240" s="418"/>
      <c r="M2240" s="418"/>
      <c r="N2240" s="421"/>
      <c r="O2240" s="421"/>
      <c r="P2240" s="421"/>
      <c r="Q2240" s="418"/>
      <c r="R2240" s="418"/>
      <c r="S2240" s="418"/>
      <c r="T2240" s="418"/>
      <c r="U2240" s="418"/>
      <c r="V2240" s="418"/>
      <c r="W2240" s="418"/>
      <c r="X2240" s="418"/>
      <c r="Y2240" s="418"/>
      <c r="Z2240" s="418"/>
      <c r="AA2240" s="418"/>
      <c r="AB2240" s="418"/>
      <c r="AC2240" s="418"/>
      <c r="AD2240" s="418"/>
      <c r="AE2240" s="418"/>
      <c r="AF2240" s="418"/>
      <c r="AG2240" s="418"/>
      <c r="AH2240" s="418"/>
      <c r="AI2240" s="418"/>
      <c r="AJ2240" s="418"/>
      <c r="AK2240" s="418"/>
      <c r="AL2240" s="418"/>
      <c r="AM2240" s="418"/>
      <c r="AN2240" s="418"/>
      <c r="AO2240" s="418"/>
      <c r="AP2240" s="418"/>
      <c r="AQ2240" s="418"/>
      <c r="AR2240" s="418"/>
      <c r="AS2240" s="418"/>
      <c r="AT2240" s="418"/>
      <c r="AU2240" s="418"/>
      <c r="AV2240" s="418"/>
      <c r="AW2240" s="418"/>
      <c r="AX2240" s="418"/>
      <c r="AY2240" s="418"/>
      <c r="BF2240" s="1119"/>
      <c r="BG2240" s="1119"/>
      <c r="BH2240" s="1119"/>
    </row>
    <row r="2241" spans="1:60" ht="15.75" customHeight="1">
      <c r="A2241" s="1076"/>
      <c r="B2241" s="416"/>
      <c r="C2241" s="424"/>
      <c r="E2241" s="418"/>
      <c r="F2241" s="493"/>
      <c r="G2241" s="418"/>
      <c r="H2241" s="421"/>
      <c r="I2241" s="421"/>
      <c r="J2241" s="492"/>
      <c r="K2241" s="418"/>
      <c r="L2241" s="418"/>
      <c r="M2241" s="418"/>
      <c r="N2241" s="421"/>
      <c r="O2241" s="421"/>
      <c r="P2241" s="421"/>
      <c r="Q2241" s="418"/>
      <c r="R2241" s="418"/>
      <c r="S2241" s="418"/>
      <c r="T2241" s="418"/>
      <c r="U2241" s="418"/>
      <c r="V2241" s="418"/>
      <c r="W2241" s="418"/>
      <c r="X2241" s="418"/>
      <c r="Y2241" s="418"/>
      <c r="Z2241" s="418"/>
      <c r="AA2241" s="418"/>
      <c r="AB2241" s="418"/>
      <c r="AC2241" s="418"/>
      <c r="AD2241" s="418"/>
      <c r="AE2241" s="418"/>
      <c r="AF2241" s="418"/>
      <c r="AG2241" s="418"/>
      <c r="AH2241" s="418"/>
      <c r="AI2241" s="418"/>
      <c r="AJ2241" s="418"/>
      <c r="AK2241" s="418"/>
      <c r="AL2241" s="418"/>
      <c r="AM2241" s="418"/>
      <c r="AN2241" s="418"/>
      <c r="AO2241" s="418"/>
      <c r="AP2241" s="418"/>
      <c r="AQ2241" s="418"/>
      <c r="AR2241" s="418"/>
      <c r="AS2241" s="418"/>
      <c r="AT2241" s="418"/>
      <c r="AU2241" s="418"/>
      <c r="AV2241" s="418"/>
      <c r="AW2241" s="418"/>
      <c r="AX2241" s="418"/>
      <c r="AY2241" s="418"/>
      <c r="BF2241" s="1119"/>
      <c r="BG2241" s="1119"/>
      <c r="BH2241" s="1119"/>
    </row>
    <row r="2242" spans="1:60" ht="15.75" customHeight="1">
      <c r="A2242" s="1076"/>
      <c r="B2242" s="416"/>
      <c r="C2242" s="424"/>
      <c r="E2242" s="418"/>
      <c r="F2242" s="493"/>
      <c r="G2242" s="418"/>
      <c r="H2242" s="421"/>
      <c r="I2242" s="421"/>
      <c r="J2242" s="492"/>
      <c r="K2242" s="418"/>
      <c r="L2242" s="418"/>
      <c r="M2242" s="418"/>
      <c r="N2242" s="421"/>
      <c r="O2242" s="421"/>
      <c r="P2242" s="421"/>
      <c r="Q2242" s="418"/>
      <c r="R2242" s="418"/>
      <c r="S2242" s="418"/>
      <c r="T2242" s="418"/>
      <c r="U2242" s="418"/>
      <c r="V2242" s="418"/>
      <c r="W2242" s="418"/>
      <c r="X2242" s="418"/>
      <c r="Y2242" s="418"/>
      <c r="Z2242" s="418"/>
      <c r="AA2242" s="418"/>
      <c r="AB2242" s="418"/>
      <c r="AC2242" s="418"/>
      <c r="AD2242" s="418"/>
      <c r="AE2242" s="418"/>
      <c r="AF2242" s="418"/>
      <c r="AG2242" s="418"/>
      <c r="AH2242" s="418"/>
      <c r="AI2242" s="418"/>
      <c r="AJ2242" s="418"/>
      <c r="AK2242" s="418"/>
      <c r="AL2242" s="418"/>
      <c r="AM2242" s="418"/>
      <c r="AN2242" s="418"/>
      <c r="AO2242" s="418"/>
      <c r="AP2242" s="418"/>
      <c r="AQ2242" s="418"/>
      <c r="AR2242" s="418"/>
      <c r="AS2242" s="418"/>
      <c r="AT2242" s="418"/>
      <c r="AU2242" s="418"/>
      <c r="AV2242" s="418"/>
      <c r="AW2242" s="418"/>
      <c r="AX2242" s="418"/>
      <c r="AY2242" s="418"/>
      <c r="BF2242" s="1119"/>
      <c r="BG2242" s="1119"/>
      <c r="BH2242" s="1119"/>
    </row>
    <row r="2243" spans="1:60" ht="15.75" customHeight="1">
      <c r="A2243" s="1076"/>
      <c r="B2243" s="416"/>
      <c r="C2243" s="424"/>
      <c r="E2243" s="418"/>
      <c r="F2243" s="493"/>
      <c r="G2243" s="418"/>
      <c r="H2243" s="421"/>
      <c r="I2243" s="421"/>
      <c r="J2243" s="492"/>
      <c r="K2243" s="418"/>
      <c r="L2243" s="418"/>
      <c r="M2243" s="418"/>
      <c r="N2243" s="421"/>
      <c r="O2243" s="421"/>
      <c r="P2243" s="421"/>
      <c r="Q2243" s="418"/>
      <c r="R2243" s="418"/>
      <c r="S2243" s="418"/>
      <c r="T2243" s="418"/>
      <c r="U2243" s="418"/>
      <c r="V2243" s="418"/>
      <c r="W2243" s="418"/>
      <c r="X2243" s="418"/>
      <c r="Y2243" s="418"/>
      <c r="Z2243" s="418"/>
      <c r="AA2243" s="418"/>
      <c r="AB2243" s="418"/>
      <c r="AC2243" s="418"/>
      <c r="AD2243" s="418"/>
      <c r="AE2243" s="418"/>
      <c r="AF2243" s="418"/>
      <c r="AG2243" s="418"/>
      <c r="AH2243" s="418"/>
      <c r="AI2243" s="418"/>
      <c r="AJ2243" s="418"/>
      <c r="AK2243" s="418"/>
      <c r="AL2243" s="418"/>
      <c r="AM2243" s="418"/>
      <c r="AN2243" s="418"/>
      <c r="AO2243" s="418"/>
      <c r="AP2243" s="418"/>
      <c r="AQ2243" s="418"/>
      <c r="AR2243" s="418"/>
      <c r="AS2243" s="418"/>
      <c r="AT2243" s="418"/>
      <c r="AU2243" s="418"/>
      <c r="AV2243" s="418"/>
      <c r="AW2243" s="418"/>
      <c r="AX2243" s="418"/>
      <c r="AY2243" s="418"/>
      <c r="BF2243" s="1119"/>
      <c r="BG2243" s="1119"/>
      <c r="BH2243" s="1119"/>
    </row>
    <row r="2244" spans="1:60" ht="15.75" customHeight="1">
      <c r="A2244" s="1076"/>
      <c r="B2244" s="416"/>
      <c r="C2244" s="424"/>
      <c r="E2244" s="418"/>
      <c r="F2244" s="493"/>
      <c r="G2244" s="418"/>
      <c r="H2244" s="421"/>
      <c r="I2244" s="421"/>
      <c r="J2244" s="492"/>
      <c r="K2244" s="418"/>
      <c r="L2244" s="418"/>
      <c r="M2244" s="418"/>
      <c r="N2244" s="421"/>
      <c r="O2244" s="421"/>
      <c r="P2244" s="421"/>
      <c r="Q2244" s="418"/>
      <c r="R2244" s="418"/>
      <c r="S2244" s="418"/>
      <c r="T2244" s="418"/>
      <c r="U2244" s="418"/>
      <c r="V2244" s="418"/>
      <c r="W2244" s="418"/>
      <c r="X2244" s="418"/>
      <c r="Y2244" s="418"/>
      <c r="Z2244" s="418"/>
      <c r="AA2244" s="418"/>
      <c r="AB2244" s="418"/>
      <c r="AC2244" s="418"/>
      <c r="AD2244" s="418"/>
      <c r="AE2244" s="418"/>
      <c r="AF2244" s="418"/>
      <c r="AG2244" s="418"/>
      <c r="AH2244" s="418"/>
      <c r="AI2244" s="418"/>
      <c r="AJ2244" s="418"/>
      <c r="AK2244" s="418"/>
      <c r="AL2244" s="418"/>
      <c r="AM2244" s="418"/>
      <c r="AN2244" s="418"/>
      <c r="AO2244" s="418"/>
      <c r="AP2244" s="418"/>
      <c r="AQ2244" s="418"/>
      <c r="AR2244" s="418"/>
      <c r="AS2244" s="418"/>
      <c r="AT2244" s="418"/>
      <c r="AU2244" s="418"/>
      <c r="AV2244" s="418"/>
      <c r="AW2244" s="418"/>
      <c r="AX2244" s="418"/>
      <c r="AY2244" s="418"/>
      <c r="BF2244" s="1119"/>
      <c r="BG2244" s="1119"/>
      <c r="BH2244" s="1119"/>
    </row>
    <row r="2245" spans="1:60" ht="15.75" customHeight="1">
      <c r="A2245" s="1076"/>
      <c r="B2245" s="416"/>
      <c r="C2245" s="424"/>
      <c r="E2245" s="418"/>
      <c r="F2245" s="493"/>
      <c r="G2245" s="418"/>
      <c r="H2245" s="421"/>
      <c r="I2245" s="421"/>
      <c r="J2245" s="492"/>
      <c r="K2245" s="418"/>
      <c r="L2245" s="418"/>
      <c r="M2245" s="418"/>
      <c r="N2245" s="421"/>
      <c r="O2245" s="421"/>
      <c r="P2245" s="421"/>
      <c r="Q2245" s="418"/>
      <c r="R2245" s="418"/>
      <c r="S2245" s="418"/>
      <c r="T2245" s="418"/>
      <c r="U2245" s="418"/>
      <c r="V2245" s="418"/>
      <c r="W2245" s="418"/>
      <c r="X2245" s="418"/>
      <c r="Y2245" s="418"/>
      <c r="Z2245" s="418"/>
      <c r="AA2245" s="418"/>
      <c r="AB2245" s="418"/>
      <c r="AC2245" s="418"/>
      <c r="AD2245" s="418"/>
      <c r="AE2245" s="418"/>
      <c r="AF2245" s="418"/>
      <c r="AG2245" s="418"/>
      <c r="AH2245" s="418"/>
      <c r="AI2245" s="418"/>
      <c r="AJ2245" s="418"/>
      <c r="AK2245" s="418"/>
      <c r="AL2245" s="418"/>
      <c r="AM2245" s="418"/>
      <c r="AN2245" s="418"/>
      <c r="AO2245" s="418"/>
      <c r="AP2245" s="418"/>
      <c r="AQ2245" s="418"/>
      <c r="AR2245" s="418"/>
      <c r="AS2245" s="418"/>
      <c r="AT2245" s="418"/>
      <c r="AU2245" s="418"/>
      <c r="AV2245" s="418"/>
      <c r="AW2245" s="418"/>
      <c r="AX2245" s="418"/>
      <c r="AY2245" s="418"/>
      <c r="BF2245" s="1119"/>
      <c r="BG2245" s="1119"/>
      <c r="BH2245" s="1119"/>
    </row>
    <row r="2246" spans="1:60" ht="15.75" customHeight="1">
      <c r="A2246" s="1076"/>
      <c r="B2246" s="416"/>
      <c r="C2246" s="424"/>
      <c r="E2246" s="418"/>
      <c r="F2246" s="493"/>
      <c r="G2246" s="418"/>
      <c r="H2246" s="421"/>
      <c r="I2246" s="421"/>
      <c r="J2246" s="492"/>
      <c r="K2246" s="418"/>
      <c r="L2246" s="418"/>
      <c r="M2246" s="418"/>
      <c r="N2246" s="421"/>
      <c r="O2246" s="421"/>
      <c r="P2246" s="421"/>
      <c r="Q2246" s="418"/>
      <c r="R2246" s="418"/>
      <c r="S2246" s="418"/>
      <c r="T2246" s="418"/>
      <c r="U2246" s="418"/>
      <c r="V2246" s="418"/>
      <c r="W2246" s="418"/>
      <c r="X2246" s="418"/>
      <c r="Y2246" s="418"/>
      <c r="Z2246" s="418"/>
      <c r="AA2246" s="418"/>
      <c r="AB2246" s="418"/>
      <c r="AC2246" s="418"/>
      <c r="AD2246" s="418"/>
      <c r="AE2246" s="418"/>
      <c r="AF2246" s="418"/>
      <c r="AG2246" s="418"/>
      <c r="AH2246" s="418"/>
      <c r="AI2246" s="418"/>
      <c r="AJ2246" s="418"/>
      <c r="AK2246" s="418"/>
      <c r="AL2246" s="418"/>
      <c r="AM2246" s="418"/>
      <c r="AN2246" s="418"/>
      <c r="AO2246" s="418"/>
      <c r="AP2246" s="418"/>
      <c r="AQ2246" s="418"/>
      <c r="AR2246" s="418"/>
      <c r="AS2246" s="418"/>
      <c r="AT2246" s="418"/>
      <c r="AU2246" s="418"/>
      <c r="AV2246" s="418"/>
      <c r="AW2246" s="418"/>
      <c r="AX2246" s="418"/>
      <c r="AY2246" s="418"/>
      <c r="BF2246" s="1119"/>
      <c r="BG2246" s="1119"/>
      <c r="BH2246" s="1119"/>
    </row>
    <row r="2247" spans="1:60" ht="15.75" customHeight="1">
      <c r="A2247" s="1076"/>
      <c r="B2247" s="416"/>
      <c r="C2247" s="424"/>
      <c r="E2247" s="418"/>
      <c r="F2247" s="493"/>
      <c r="G2247" s="418"/>
      <c r="H2247" s="421"/>
      <c r="I2247" s="421"/>
      <c r="J2247" s="492"/>
      <c r="K2247" s="418"/>
      <c r="L2247" s="418"/>
      <c r="M2247" s="418"/>
      <c r="N2247" s="421"/>
      <c r="O2247" s="421"/>
      <c r="P2247" s="421"/>
      <c r="Q2247" s="418"/>
      <c r="R2247" s="418"/>
      <c r="S2247" s="418"/>
      <c r="T2247" s="418"/>
      <c r="U2247" s="418"/>
      <c r="V2247" s="418"/>
      <c r="W2247" s="418"/>
      <c r="X2247" s="418"/>
      <c r="Y2247" s="418"/>
      <c r="Z2247" s="418"/>
      <c r="AA2247" s="418"/>
      <c r="AB2247" s="418"/>
      <c r="AC2247" s="418"/>
      <c r="AD2247" s="418"/>
      <c r="AE2247" s="418"/>
      <c r="AF2247" s="418"/>
      <c r="AG2247" s="418"/>
      <c r="AH2247" s="418"/>
      <c r="AI2247" s="418"/>
      <c r="AJ2247" s="418"/>
      <c r="AK2247" s="418"/>
      <c r="AL2247" s="418"/>
      <c r="AM2247" s="418"/>
      <c r="AN2247" s="418"/>
      <c r="AO2247" s="418"/>
      <c r="AP2247" s="418"/>
      <c r="AQ2247" s="418"/>
      <c r="AR2247" s="418"/>
      <c r="AS2247" s="418"/>
      <c r="AT2247" s="418"/>
      <c r="AU2247" s="418"/>
      <c r="AV2247" s="418"/>
      <c r="AW2247" s="418"/>
      <c r="AX2247" s="418"/>
      <c r="AY2247" s="418"/>
      <c r="BF2247" s="1119"/>
      <c r="BG2247" s="1119"/>
      <c r="BH2247" s="1119"/>
    </row>
    <row r="2248" spans="1:60" ht="15.75" customHeight="1">
      <c r="A2248" s="1076"/>
      <c r="B2248" s="416"/>
      <c r="C2248" s="424"/>
      <c r="E2248" s="418"/>
      <c r="F2248" s="493"/>
      <c r="G2248" s="418"/>
      <c r="H2248" s="421"/>
      <c r="I2248" s="421"/>
      <c r="J2248" s="492"/>
      <c r="K2248" s="418"/>
      <c r="L2248" s="418"/>
      <c r="M2248" s="418"/>
      <c r="N2248" s="421"/>
      <c r="O2248" s="421"/>
      <c r="P2248" s="421"/>
      <c r="Q2248" s="418"/>
      <c r="R2248" s="418"/>
      <c r="S2248" s="418"/>
      <c r="T2248" s="418"/>
      <c r="U2248" s="418"/>
      <c r="V2248" s="418"/>
      <c r="W2248" s="418"/>
      <c r="X2248" s="418"/>
      <c r="Y2248" s="418"/>
      <c r="Z2248" s="418"/>
      <c r="AA2248" s="418"/>
      <c r="AB2248" s="418"/>
      <c r="AC2248" s="418"/>
      <c r="AD2248" s="418"/>
      <c r="AE2248" s="418"/>
      <c r="AF2248" s="418"/>
      <c r="AG2248" s="418"/>
      <c r="AH2248" s="418"/>
      <c r="AI2248" s="418"/>
      <c r="AJ2248" s="418"/>
      <c r="AK2248" s="418"/>
      <c r="AL2248" s="418"/>
      <c r="AM2248" s="418"/>
      <c r="AN2248" s="418"/>
      <c r="AO2248" s="418"/>
      <c r="AP2248" s="418"/>
      <c r="AQ2248" s="418"/>
      <c r="AR2248" s="418"/>
      <c r="AS2248" s="418"/>
      <c r="AT2248" s="418"/>
      <c r="AU2248" s="418"/>
      <c r="AV2248" s="418"/>
      <c r="AW2248" s="418"/>
      <c r="AX2248" s="418"/>
      <c r="AY2248" s="418"/>
      <c r="BF2248" s="1119"/>
      <c r="BG2248" s="1119"/>
      <c r="BH2248" s="1119"/>
    </row>
    <row r="2249" spans="1:60" ht="15.75" customHeight="1">
      <c r="A2249" s="1076"/>
      <c r="B2249" s="416"/>
      <c r="C2249" s="424"/>
      <c r="E2249" s="418"/>
      <c r="F2249" s="493"/>
      <c r="G2249" s="418"/>
      <c r="H2249" s="421"/>
      <c r="I2249" s="421"/>
      <c r="J2249" s="492"/>
      <c r="K2249" s="418"/>
      <c r="L2249" s="418"/>
      <c r="M2249" s="418"/>
      <c r="N2249" s="421"/>
      <c r="O2249" s="421"/>
      <c r="P2249" s="421"/>
      <c r="Q2249" s="418"/>
      <c r="R2249" s="418"/>
      <c r="S2249" s="418"/>
      <c r="T2249" s="418"/>
      <c r="U2249" s="418"/>
      <c r="V2249" s="418"/>
      <c r="W2249" s="418"/>
      <c r="X2249" s="418"/>
      <c r="Y2249" s="418"/>
      <c r="Z2249" s="418"/>
      <c r="AA2249" s="418"/>
      <c r="AB2249" s="418"/>
      <c r="AC2249" s="418"/>
      <c r="AD2249" s="418"/>
      <c r="AE2249" s="418"/>
      <c r="AF2249" s="418"/>
      <c r="AG2249" s="418"/>
      <c r="AH2249" s="418"/>
      <c r="AI2249" s="418"/>
      <c r="AJ2249" s="418"/>
      <c r="AK2249" s="418"/>
      <c r="AL2249" s="418"/>
      <c r="AM2249" s="418"/>
      <c r="AN2249" s="418"/>
      <c r="AO2249" s="418"/>
      <c r="AP2249" s="418"/>
      <c r="AQ2249" s="418"/>
      <c r="AR2249" s="418"/>
      <c r="AS2249" s="418"/>
      <c r="AT2249" s="418"/>
      <c r="AU2249" s="418"/>
      <c r="AV2249" s="418"/>
      <c r="AW2249" s="418"/>
      <c r="AX2249" s="418"/>
      <c r="AY2249" s="418"/>
      <c r="BF2249" s="1119"/>
      <c r="BG2249" s="1119"/>
      <c r="BH2249" s="1119"/>
    </row>
    <row r="2250" spans="1:60" ht="15.75" customHeight="1">
      <c r="A2250" s="1076"/>
      <c r="B2250" s="416"/>
      <c r="C2250" s="424"/>
      <c r="E2250" s="418"/>
      <c r="F2250" s="493"/>
      <c r="G2250" s="418"/>
      <c r="H2250" s="421"/>
      <c r="I2250" s="421"/>
      <c r="J2250" s="492"/>
      <c r="K2250" s="418"/>
      <c r="L2250" s="418"/>
      <c r="M2250" s="418"/>
      <c r="N2250" s="421"/>
      <c r="O2250" s="421"/>
      <c r="P2250" s="421"/>
      <c r="Q2250" s="418"/>
      <c r="R2250" s="418"/>
      <c r="S2250" s="418"/>
      <c r="T2250" s="418"/>
      <c r="U2250" s="418"/>
      <c r="V2250" s="418"/>
      <c r="W2250" s="418"/>
      <c r="X2250" s="418"/>
      <c r="Y2250" s="418"/>
      <c r="Z2250" s="418"/>
      <c r="AA2250" s="418"/>
      <c r="AB2250" s="418"/>
      <c r="AC2250" s="418"/>
      <c r="AD2250" s="418"/>
      <c r="AE2250" s="418"/>
      <c r="AF2250" s="418"/>
      <c r="AG2250" s="418"/>
      <c r="AH2250" s="418"/>
      <c r="AI2250" s="418"/>
      <c r="AJ2250" s="418"/>
      <c r="AK2250" s="418"/>
      <c r="AL2250" s="418"/>
      <c r="AM2250" s="418"/>
      <c r="AN2250" s="418"/>
      <c r="AO2250" s="418"/>
      <c r="AP2250" s="418"/>
      <c r="AQ2250" s="418"/>
      <c r="AR2250" s="418"/>
      <c r="AS2250" s="418"/>
      <c r="AT2250" s="418"/>
      <c r="AU2250" s="418"/>
      <c r="AV2250" s="418"/>
      <c r="AW2250" s="418"/>
      <c r="AX2250" s="418"/>
      <c r="AY2250" s="418"/>
      <c r="BF2250" s="1119"/>
      <c r="BG2250" s="1119"/>
      <c r="BH2250" s="1119"/>
    </row>
    <row r="2251" spans="1:60" ht="15.75" customHeight="1">
      <c r="A2251" s="1076"/>
      <c r="B2251" s="416"/>
      <c r="C2251" s="424"/>
      <c r="E2251" s="418"/>
      <c r="F2251" s="493"/>
      <c r="G2251" s="418"/>
      <c r="H2251" s="421"/>
      <c r="I2251" s="421"/>
      <c r="J2251" s="492"/>
      <c r="K2251" s="418"/>
      <c r="L2251" s="418"/>
      <c r="M2251" s="418"/>
      <c r="N2251" s="421"/>
      <c r="O2251" s="421"/>
      <c r="P2251" s="421"/>
      <c r="Q2251" s="418"/>
      <c r="R2251" s="418"/>
      <c r="S2251" s="418"/>
      <c r="T2251" s="418"/>
      <c r="U2251" s="418"/>
      <c r="V2251" s="418"/>
      <c r="W2251" s="418"/>
      <c r="X2251" s="418"/>
      <c r="Y2251" s="418"/>
      <c r="Z2251" s="418"/>
      <c r="AA2251" s="418"/>
      <c r="AB2251" s="418"/>
      <c r="AC2251" s="418"/>
      <c r="AD2251" s="418"/>
      <c r="AE2251" s="418"/>
      <c r="AF2251" s="418"/>
      <c r="AG2251" s="418"/>
      <c r="AH2251" s="418"/>
      <c r="AI2251" s="418"/>
      <c r="AJ2251" s="418"/>
      <c r="AK2251" s="418"/>
      <c r="AL2251" s="418"/>
      <c r="AM2251" s="418"/>
      <c r="AN2251" s="418"/>
      <c r="AO2251" s="418"/>
      <c r="AP2251" s="418"/>
      <c r="AQ2251" s="418"/>
      <c r="AR2251" s="418"/>
      <c r="AS2251" s="418"/>
      <c r="AT2251" s="418"/>
      <c r="AU2251" s="418"/>
      <c r="AV2251" s="418"/>
      <c r="AW2251" s="418"/>
      <c r="AX2251" s="418"/>
      <c r="AY2251" s="418"/>
      <c r="BF2251" s="1119"/>
      <c r="BG2251" s="1119"/>
      <c r="BH2251" s="1119"/>
    </row>
    <row r="2252" spans="1:60" ht="15.75" customHeight="1">
      <c r="A2252" s="1076"/>
      <c r="B2252" s="416"/>
      <c r="C2252" s="424"/>
      <c r="E2252" s="418"/>
      <c r="F2252" s="493"/>
      <c r="G2252" s="418"/>
      <c r="H2252" s="421"/>
      <c r="I2252" s="421"/>
      <c r="J2252" s="492"/>
      <c r="K2252" s="418"/>
      <c r="L2252" s="418"/>
      <c r="M2252" s="418"/>
      <c r="N2252" s="421"/>
      <c r="O2252" s="421"/>
      <c r="P2252" s="421"/>
      <c r="Q2252" s="418"/>
      <c r="R2252" s="418"/>
      <c r="S2252" s="418"/>
      <c r="T2252" s="418"/>
      <c r="U2252" s="418"/>
      <c r="V2252" s="418"/>
      <c r="W2252" s="418"/>
      <c r="X2252" s="418"/>
      <c r="Y2252" s="418"/>
      <c r="Z2252" s="418"/>
      <c r="AA2252" s="418"/>
      <c r="AB2252" s="418"/>
      <c r="AC2252" s="418"/>
      <c r="AD2252" s="418"/>
      <c r="AE2252" s="418"/>
      <c r="AF2252" s="418"/>
      <c r="AG2252" s="418"/>
      <c r="AH2252" s="418"/>
      <c r="AI2252" s="418"/>
      <c r="AJ2252" s="418"/>
      <c r="AK2252" s="418"/>
      <c r="AL2252" s="418"/>
      <c r="AM2252" s="418"/>
      <c r="AN2252" s="418"/>
      <c r="AO2252" s="418"/>
      <c r="AP2252" s="418"/>
      <c r="AQ2252" s="418"/>
      <c r="AR2252" s="418"/>
      <c r="AS2252" s="418"/>
      <c r="AT2252" s="418"/>
      <c r="AU2252" s="418"/>
      <c r="AV2252" s="418"/>
      <c r="AW2252" s="418"/>
      <c r="AX2252" s="418"/>
      <c r="AY2252" s="418"/>
      <c r="BF2252" s="1119"/>
      <c r="BG2252" s="1119"/>
      <c r="BH2252" s="1119"/>
    </row>
    <row r="2253" spans="1:60" ht="15.75" customHeight="1">
      <c r="A2253" s="1076"/>
      <c r="B2253" s="416"/>
      <c r="C2253" s="424"/>
      <c r="E2253" s="418"/>
      <c r="F2253" s="493"/>
      <c r="G2253" s="418"/>
      <c r="H2253" s="421"/>
      <c r="I2253" s="421"/>
      <c r="J2253" s="492"/>
      <c r="K2253" s="418"/>
      <c r="L2253" s="418"/>
      <c r="M2253" s="418"/>
      <c r="N2253" s="421"/>
      <c r="O2253" s="421"/>
      <c r="P2253" s="421"/>
      <c r="Q2253" s="418"/>
      <c r="R2253" s="418"/>
      <c r="S2253" s="418"/>
      <c r="T2253" s="418"/>
      <c r="U2253" s="418"/>
      <c r="V2253" s="418"/>
      <c r="W2253" s="418"/>
      <c r="X2253" s="418"/>
      <c r="Y2253" s="418"/>
      <c r="Z2253" s="418"/>
      <c r="AA2253" s="418"/>
      <c r="AB2253" s="418"/>
      <c r="AC2253" s="418"/>
      <c r="AD2253" s="418"/>
      <c r="AE2253" s="418"/>
      <c r="AF2253" s="418"/>
      <c r="AG2253" s="418"/>
      <c r="AH2253" s="418"/>
      <c r="AI2253" s="418"/>
      <c r="AJ2253" s="418"/>
      <c r="AK2253" s="418"/>
      <c r="AL2253" s="418"/>
      <c r="AM2253" s="418"/>
      <c r="AN2253" s="418"/>
      <c r="AO2253" s="418"/>
      <c r="AP2253" s="418"/>
      <c r="AQ2253" s="418"/>
      <c r="AR2253" s="418"/>
      <c r="AS2253" s="418"/>
      <c r="AT2253" s="418"/>
      <c r="AU2253" s="418"/>
      <c r="AV2253" s="418"/>
      <c r="AW2253" s="418"/>
      <c r="AX2253" s="418"/>
      <c r="AY2253" s="418"/>
      <c r="BF2253" s="1119"/>
      <c r="BG2253" s="1119"/>
      <c r="BH2253" s="1119"/>
    </row>
    <row r="2254" spans="1:60" ht="15.75" customHeight="1">
      <c r="A2254" s="1076"/>
      <c r="B2254" s="416"/>
      <c r="C2254" s="424"/>
      <c r="E2254" s="418"/>
      <c r="F2254" s="493"/>
      <c r="G2254" s="418"/>
      <c r="H2254" s="421"/>
      <c r="I2254" s="421"/>
      <c r="J2254" s="492"/>
      <c r="K2254" s="418"/>
      <c r="L2254" s="418"/>
      <c r="M2254" s="418"/>
      <c r="N2254" s="421"/>
      <c r="O2254" s="421"/>
      <c r="P2254" s="421"/>
      <c r="Q2254" s="418"/>
      <c r="R2254" s="418"/>
      <c r="S2254" s="418"/>
      <c r="T2254" s="418"/>
      <c r="U2254" s="418"/>
      <c r="V2254" s="418"/>
      <c r="W2254" s="418"/>
      <c r="X2254" s="418"/>
      <c r="Y2254" s="418"/>
      <c r="Z2254" s="418"/>
      <c r="AA2254" s="418"/>
      <c r="AB2254" s="418"/>
      <c r="AC2254" s="418"/>
      <c r="AD2254" s="418"/>
      <c r="AE2254" s="418"/>
      <c r="AF2254" s="418"/>
      <c r="AG2254" s="418"/>
      <c r="AH2254" s="418"/>
      <c r="AI2254" s="418"/>
      <c r="AJ2254" s="418"/>
      <c r="AK2254" s="418"/>
      <c r="AL2254" s="418"/>
      <c r="AM2254" s="418"/>
      <c r="AN2254" s="418"/>
      <c r="AO2254" s="418"/>
      <c r="AP2254" s="418"/>
      <c r="AQ2254" s="418"/>
      <c r="AR2254" s="418"/>
      <c r="AS2254" s="418"/>
      <c r="AT2254" s="418"/>
      <c r="AU2254" s="418"/>
      <c r="AV2254" s="418"/>
      <c r="AW2254" s="418"/>
      <c r="AX2254" s="418"/>
      <c r="AY2254" s="418"/>
      <c r="BF2254" s="1119"/>
      <c r="BG2254" s="1119"/>
      <c r="BH2254" s="1119"/>
    </row>
    <row r="2255" spans="1:60" ht="15.75" customHeight="1">
      <c r="A2255" s="1076"/>
      <c r="B2255" s="416"/>
      <c r="C2255" s="424"/>
      <c r="E2255" s="418"/>
      <c r="F2255" s="493"/>
      <c r="G2255" s="418"/>
      <c r="H2255" s="421"/>
      <c r="I2255" s="421"/>
      <c r="J2255" s="492"/>
      <c r="K2255" s="418"/>
      <c r="L2255" s="418"/>
      <c r="M2255" s="418"/>
      <c r="N2255" s="421"/>
      <c r="O2255" s="421"/>
      <c r="P2255" s="421"/>
      <c r="Q2255" s="418"/>
      <c r="R2255" s="418"/>
      <c r="S2255" s="418"/>
      <c r="T2255" s="418"/>
      <c r="U2255" s="418"/>
      <c r="V2255" s="418"/>
      <c r="W2255" s="418"/>
      <c r="X2255" s="418"/>
      <c r="Y2255" s="418"/>
      <c r="Z2255" s="418"/>
      <c r="AA2255" s="418"/>
      <c r="AB2255" s="418"/>
      <c r="AC2255" s="418"/>
      <c r="AD2255" s="418"/>
      <c r="AE2255" s="418"/>
      <c r="AF2255" s="418"/>
      <c r="AG2255" s="418"/>
      <c r="AH2255" s="418"/>
      <c r="AI2255" s="418"/>
      <c r="AJ2255" s="418"/>
      <c r="AK2255" s="418"/>
      <c r="AL2255" s="418"/>
      <c r="AM2255" s="418"/>
      <c r="AN2255" s="418"/>
      <c r="AO2255" s="418"/>
      <c r="AP2255" s="418"/>
      <c r="AQ2255" s="418"/>
      <c r="AR2255" s="418"/>
      <c r="AS2255" s="418"/>
      <c r="AT2255" s="418"/>
      <c r="AU2255" s="418"/>
      <c r="AV2255" s="418"/>
      <c r="AW2255" s="418"/>
      <c r="AX2255" s="418"/>
      <c r="AY2255" s="418"/>
      <c r="BF2255" s="1119"/>
      <c r="BG2255" s="1119"/>
      <c r="BH2255" s="1119"/>
    </row>
    <row r="2256" spans="1:60" ht="15.75" customHeight="1">
      <c r="A2256" s="1076"/>
      <c r="B2256" s="416"/>
      <c r="C2256" s="424"/>
      <c r="E2256" s="418"/>
      <c r="F2256" s="493"/>
      <c r="G2256" s="418"/>
      <c r="H2256" s="421"/>
      <c r="I2256" s="421"/>
      <c r="J2256" s="492"/>
      <c r="K2256" s="418"/>
      <c r="L2256" s="418"/>
      <c r="M2256" s="418"/>
      <c r="N2256" s="421"/>
      <c r="O2256" s="421"/>
      <c r="P2256" s="421"/>
      <c r="Q2256" s="418"/>
      <c r="R2256" s="418"/>
      <c r="S2256" s="418"/>
      <c r="T2256" s="418"/>
      <c r="U2256" s="418"/>
      <c r="V2256" s="418"/>
      <c r="W2256" s="418"/>
      <c r="X2256" s="418"/>
      <c r="Y2256" s="418"/>
      <c r="Z2256" s="418"/>
      <c r="AA2256" s="418"/>
      <c r="AB2256" s="418"/>
      <c r="AC2256" s="418"/>
      <c r="AD2256" s="418"/>
      <c r="AE2256" s="418"/>
      <c r="AF2256" s="418"/>
      <c r="AG2256" s="418"/>
      <c r="AH2256" s="418"/>
      <c r="AI2256" s="418"/>
      <c r="AJ2256" s="418"/>
      <c r="AK2256" s="418"/>
      <c r="AL2256" s="418"/>
      <c r="AM2256" s="418"/>
      <c r="AN2256" s="418"/>
      <c r="AO2256" s="418"/>
      <c r="AP2256" s="418"/>
      <c r="AQ2256" s="418"/>
      <c r="AR2256" s="418"/>
      <c r="AS2256" s="418"/>
      <c r="AT2256" s="418"/>
      <c r="AU2256" s="418"/>
      <c r="AV2256" s="418"/>
      <c r="AW2256" s="418"/>
      <c r="AX2256" s="418"/>
      <c r="AY2256" s="418"/>
      <c r="BF2256" s="1119"/>
      <c r="BG2256" s="1119"/>
      <c r="BH2256" s="1119"/>
    </row>
    <row r="2257" spans="1:60" ht="15.75" customHeight="1">
      <c r="A2257" s="1076"/>
      <c r="B2257" s="416"/>
      <c r="C2257" s="424"/>
      <c r="E2257" s="418"/>
      <c r="F2257" s="493"/>
      <c r="G2257" s="418"/>
      <c r="H2257" s="421"/>
      <c r="I2257" s="421"/>
      <c r="J2257" s="492"/>
      <c r="K2257" s="418"/>
      <c r="L2257" s="418"/>
      <c r="M2257" s="418"/>
      <c r="N2257" s="421"/>
      <c r="O2257" s="421"/>
      <c r="P2257" s="421"/>
      <c r="Q2257" s="418"/>
      <c r="R2257" s="418"/>
      <c r="S2257" s="418"/>
      <c r="T2257" s="418"/>
      <c r="U2257" s="418"/>
      <c r="V2257" s="418"/>
      <c r="W2257" s="418"/>
      <c r="X2257" s="418"/>
      <c r="Y2257" s="418"/>
      <c r="Z2257" s="418"/>
      <c r="AA2257" s="418"/>
      <c r="AB2257" s="418"/>
      <c r="AC2257" s="418"/>
      <c r="AD2257" s="418"/>
      <c r="AE2257" s="418"/>
      <c r="AF2257" s="418"/>
      <c r="AG2257" s="418"/>
      <c r="AH2257" s="418"/>
      <c r="AI2257" s="418"/>
      <c r="AJ2257" s="418"/>
      <c r="AK2257" s="418"/>
      <c r="AL2257" s="418"/>
      <c r="AM2257" s="418"/>
      <c r="AN2257" s="418"/>
      <c r="AO2257" s="418"/>
      <c r="AP2257" s="418"/>
      <c r="AQ2257" s="418"/>
      <c r="AR2257" s="418"/>
      <c r="AS2257" s="418"/>
      <c r="AT2257" s="418"/>
      <c r="AU2257" s="418"/>
      <c r="AV2257" s="418"/>
      <c r="AW2257" s="418"/>
      <c r="AX2257" s="418"/>
      <c r="AY2257" s="418"/>
      <c r="BF2257" s="1119"/>
      <c r="BG2257" s="1119"/>
      <c r="BH2257" s="1119"/>
    </row>
    <row r="2258" spans="1:60" ht="15.75" customHeight="1">
      <c r="A2258" s="1076"/>
      <c r="B2258" s="416"/>
      <c r="C2258" s="424"/>
      <c r="E2258" s="418"/>
      <c r="F2258" s="493"/>
      <c r="G2258" s="418"/>
      <c r="H2258" s="421"/>
      <c r="I2258" s="421"/>
      <c r="J2258" s="492"/>
      <c r="K2258" s="418"/>
      <c r="L2258" s="418"/>
      <c r="M2258" s="418"/>
      <c r="N2258" s="421"/>
      <c r="O2258" s="421"/>
      <c r="P2258" s="421"/>
      <c r="Q2258" s="418"/>
      <c r="R2258" s="418"/>
      <c r="S2258" s="418"/>
      <c r="T2258" s="418"/>
      <c r="U2258" s="418"/>
      <c r="V2258" s="418"/>
      <c r="W2258" s="418"/>
      <c r="X2258" s="418"/>
      <c r="Y2258" s="418"/>
      <c r="Z2258" s="418"/>
      <c r="AA2258" s="418"/>
      <c r="AB2258" s="418"/>
      <c r="AC2258" s="418"/>
      <c r="AD2258" s="418"/>
      <c r="AE2258" s="418"/>
      <c r="AF2258" s="418"/>
      <c r="AG2258" s="418"/>
      <c r="AH2258" s="418"/>
      <c r="AI2258" s="418"/>
      <c r="AJ2258" s="418"/>
      <c r="AK2258" s="418"/>
      <c r="AL2258" s="418"/>
      <c r="AM2258" s="418"/>
      <c r="AN2258" s="418"/>
      <c r="AO2258" s="418"/>
      <c r="AP2258" s="418"/>
      <c r="AQ2258" s="418"/>
      <c r="AR2258" s="418"/>
      <c r="AS2258" s="418"/>
      <c r="AT2258" s="418"/>
      <c r="AU2258" s="418"/>
      <c r="AV2258" s="418"/>
      <c r="AW2258" s="418"/>
      <c r="AX2258" s="418"/>
      <c r="AY2258" s="418"/>
      <c r="BF2258" s="1119"/>
      <c r="BG2258" s="1119"/>
      <c r="BH2258" s="1119"/>
    </row>
    <row r="2259" spans="1:60" ht="15.75" customHeight="1">
      <c r="A2259" s="1076"/>
      <c r="B2259" s="416"/>
      <c r="C2259" s="424"/>
      <c r="E2259" s="418"/>
      <c r="F2259" s="493"/>
      <c r="G2259" s="418"/>
      <c r="H2259" s="421"/>
      <c r="I2259" s="421"/>
      <c r="J2259" s="492"/>
      <c r="K2259" s="418"/>
      <c r="L2259" s="418"/>
      <c r="M2259" s="418"/>
      <c r="N2259" s="421"/>
      <c r="O2259" s="421"/>
      <c r="P2259" s="421"/>
      <c r="Q2259" s="418"/>
      <c r="R2259" s="418"/>
      <c r="S2259" s="418"/>
      <c r="T2259" s="418"/>
      <c r="U2259" s="418"/>
      <c r="V2259" s="418"/>
      <c r="W2259" s="418"/>
      <c r="X2259" s="418"/>
      <c r="Y2259" s="418"/>
      <c r="Z2259" s="418"/>
      <c r="AA2259" s="418"/>
      <c r="AB2259" s="418"/>
      <c r="AC2259" s="418"/>
      <c r="AD2259" s="418"/>
      <c r="AE2259" s="418"/>
      <c r="AF2259" s="418"/>
      <c r="AG2259" s="418"/>
      <c r="AH2259" s="418"/>
      <c r="AI2259" s="418"/>
      <c r="AJ2259" s="418"/>
      <c r="AK2259" s="418"/>
      <c r="AL2259" s="418"/>
      <c r="AM2259" s="418"/>
      <c r="AN2259" s="418"/>
      <c r="AO2259" s="418"/>
      <c r="AP2259" s="418"/>
      <c r="AQ2259" s="418"/>
      <c r="AR2259" s="418"/>
      <c r="AS2259" s="418"/>
      <c r="AT2259" s="418"/>
      <c r="AU2259" s="418"/>
      <c r="AV2259" s="418"/>
      <c r="AW2259" s="418"/>
      <c r="AX2259" s="418"/>
      <c r="AY2259" s="418"/>
      <c r="BF2259" s="1119"/>
      <c r="BG2259" s="1119"/>
      <c r="BH2259" s="1119"/>
    </row>
    <row r="2260" spans="1:60" ht="15.75" customHeight="1">
      <c r="A2260" s="1076"/>
      <c r="B2260" s="416"/>
      <c r="C2260" s="424"/>
      <c r="E2260" s="418"/>
      <c r="F2260" s="493"/>
      <c r="G2260" s="418"/>
      <c r="H2260" s="421"/>
      <c r="I2260" s="421"/>
      <c r="J2260" s="492"/>
      <c r="K2260" s="418"/>
      <c r="L2260" s="418"/>
      <c r="M2260" s="418"/>
      <c r="N2260" s="421"/>
      <c r="O2260" s="421"/>
      <c r="P2260" s="421"/>
      <c r="Q2260" s="418"/>
      <c r="R2260" s="418"/>
      <c r="S2260" s="418"/>
      <c r="T2260" s="418"/>
      <c r="U2260" s="418"/>
      <c r="V2260" s="418"/>
      <c r="W2260" s="418"/>
      <c r="X2260" s="418"/>
      <c r="Y2260" s="418"/>
      <c r="Z2260" s="418"/>
      <c r="AA2260" s="418"/>
      <c r="AB2260" s="418"/>
      <c r="AC2260" s="418"/>
      <c r="AD2260" s="418"/>
      <c r="AE2260" s="418"/>
      <c r="AF2260" s="418"/>
      <c r="AG2260" s="418"/>
      <c r="AH2260" s="418"/>
      <c r="AI2260" s="418"/>
      <c r="AJ2260" s="418"/>
      <c r="AK2260" s="418"/>
      <c r="AL2260" s="418"/>
      <c r="AM2260" s="418"/>
      <c r="AN2260" s="418"/>
      <c r="AO2260" s="418"/>
      <c r="AP2260" s="418"/>
      <c r="AQ2260" s="418"/>
      <c r="AR2260" s="418"/>
      <c r="AS2260" s="418"/>
      <c r="AT2260" s="418"/>
      <c r="AU2260" s="418"/>
      <c r="AV2260" s="418"/>
      <c r="AW2260" s="418"/>
      <c r="AX2260" s="418"/>
      <c r="AY2260" s="418"/>
      <c r="BF2260" s="1119"/>
      <c r="BG2260" s="1119"/>
      <c r="BH2260" s="1119"/>
    </row>
    <row r="2261" spans="1:60" ht="15.75" customHeight="1">
      <c r="A2261" s="1076"/>
      <c r="B2261" s="416"/>
      <c r="C2261" s="424"/>
      <c r="E2261" s="418"/>
      <c r="F2261" s="493"/>
      <c r="G2261" s="418"/>
      <c r="H2261" s="421"/>
      <c r="I2261" s="421"/>
      <c r="J2261" s="492"/>
      <c r="K2261" s="418"/>
      <c r="L2261" s="418"/>
      <c r="M2261" s="418"/>
      <c r="N2261" s="421"/>
      <c r="O2261" s="421"/>
      <c r="P2261" s="421"/>
      <c r="Q2261" s="418"/>
      <c r="R2261" s="418"/>
      <c r="S2261" s="418"/>
      <c r="T2261" s="418"/>
      <c r="U2261" s="418"/>
      <c r="V2261" s="418"/>
      <c r="W2261" s="418"/>
      <c r="X2261" s="418"/>
      <c r="Y2261" s="418"/>
      <c r="Z2261" s="418"/>
      <c r="AA2261" s="418"/>
      <c r="AB2261" s="418"/>
      <c r="AC2261" s="418"/>
      <c r="AD2261" s="418"/>
      <c r="AE2261" s="418"/>
      <c r="AF2261" s="418"/>
      <c r="AG2261" s="418"/>
      <c r="AH2261" s="418"/>
      <c r="AI2261" s="418"/>
      <c r="AJ2261" s="418"/>
      <c r="AK2261" s="418"/>
      <c r="AL2261" s="418"/>
      <c r="AM2261" s="418"/>
      <c r="AN2261" s="418"/>
      <c r="AO2261" s="418"/>
      <c r="AP2261" s="418"/>
      <c r="AQ2261" s="418"/>
      <c r="AR2261" s="418"/>
      <c r="AS2261" s="418"/>
      <c r="AT2261" s="418"/>
      <c r="AU2261" s="418"/>
      <c r="AV2261" s="418"/>
      <c r="AW2261" s="418"/>
      <c r="AX2261" s="418"/>
      <c r="AY2261" s="418"/>
      <c r="BF2261" s="1119"/>
      <c r="BG2261" s="1119"/>
      <c r="BH2261" s="1119"/>
    </row>
    <row r="2262" spans="1:60" ht="15.75" customHeight="1">
      <c r="A2262" s="1076"/>
      <c r="B2262" s="416"/>
      <c r="C2262" s="424"/>
      <c r="E2262" s="418"/>
      <c r="F2262" s="493"/>
      <c r="G2262" s="418"/>
      <c r="H2262" s="421"/>
      <c r="I2262" s="421"/>
      <c r="J2262" s="492"/>
      <c r="K2262" s="418"/>
      <c r="L2262" s="418"/>
      <c r="M2262" s="418"/>
      <c r="N2262" s="421"/>
      <c r="O2262" s="421"/>
      <c r="P2262" s="421"/>
      <c r="Q2262" s="418"/>
      <c r="R2262" s="418"/>
      <c r="S2262" s="418"/>
      <c r="T2262" s="418"/>
      <c r="U2262" s="418"/>
      <c r="V2262" s="418"/>
      <c r="W2262" s="418"/>
      <c r="X2262" s="418"/>
      <c r="Y2262" s="418"/>
      <c r="Z2262" s="418"/>
      <c r="AA2262" s="418"/>
      <c r="AB2262" s="418"/>
      <c r="AC2262" s="418"/>
      <c r="AD2262" s="418"/>
      <c r="AE2262" s="418"/>
      <c r="AF2262" s="418"/>
      <c r="AG2262" s="418"/>
      <c r="AH2262" s="418"/>
      <c r="AI2262" s="418"/>
      <c r="AJ2262" s="418"/>
      <c r="AK2262" s="418"/>
      <c r="AL2262" s="418"/>
      <c r="AM2262" s="418"/>
      <c r="AN2262" s="418"/>
      <c r="AO2262" s="418"/>
      <c r="AP2262" s="418"/>
      <c r="AQ2262" s="418"/>
      <c r="AR2262" s="418"/>
      <c r="AS2262" s="418"/>
      <c r="AT2262" s="418"/>
      <c r="AU2262" s="418"/>
      <c r="AV2262" s="418"/>
      <c r="AW2262" s="418"/>
      <c r="AX2262" s="418"/>
      <c r="AY2262" s="418"/>
      <c r="BF2262" s="1119"/>
      <c r="BG2262" s="1119"/>
      <c r="BH2262" s="1119"/>
    </row>
    <row r="2263" spans="1:60" ht="15.75" customHeight="1">
      <c r="A2263" s="1076"/>
      <c r="B2263" s="416"/>
      <c r="C2263" s="424"/>
      <c r="E2263" s="418"/>
      <c r="F2263" s="493"/>
      <c r="G2263" s="418"/>
      <c r="H2263" s="421"/>
      <c r="I2263" s="421"/>
      <c r="J2263" s="492"/>
      <c r="K2263" s="418"/>
      <c r="L2263" s="418"/>
      <c r="M2263" s="418"/>
      <c r="N2263" s="421"/>
      <c r="O2263" s="421"/>
      <c r="P2263" s="421"/>
      <c r="Q2263" s="418"/>
      <c r="R2263" s="418"/>
      <c r="S2263" s="418"/>
      <c r="T2263" s="418"/>
      <c r="U2263" s="418"/>
      <c r="V2263" s="418"/>
      <c r="W2263" s="418"/>
      <c r="X2263" s="418"/>
      <c r="Y2263" s="418"/>
      <c r="Z2263" s="418"/>
      <c r="AA2263" s="418"/>
      <c r="AB2263" s="418"/>
      <c r="AC2263" s="418"/>
      <c r="AD2263" s="418"/>
      <c r="AE2263" s="418"/>
      <c r="AF2263" s="418"/>
      <c r="AG2263" s="418"/>
      <c r="AH2263" s="418"/>
      <c r="AI2263" s="418"/>
      <c r="AJ2263" s="418"/>
      <c r="AK2263" s="418"/>
      <c r="AL2263" s="418"/>
      <c r="AM2263" s="418"/>
      <c r="AN2263" s="418"/>
      <c r="AO2263" s="418"/>
      <c r="AP2263" s="418"/>
      <c r="AQ2263" s="418"/>
      <c r="AR2263" s="418"/>
      <c r="AS2263" s="418"/>
      <c r="AT2263" s="418"/>
      <c r="AU2263" s="418"/>
      <c r="AV2263" s="418"/>
      <c r="AW2263" s="418"/>
      <c r="AX2263" s="418"/>
      <c r="AY2263" s="418"/>
      <c r="BF2263" s="1119"/>
      <c r="BG2263" s="1119"/>
      <c r="BH2263" s="1119"/>
    </row>
    <row r="2264" spans="1:60" ht="15.75" customHeight="1">
      <c r="A2264" s="1076"/>
      <c r="B2264" s="416"/>
      <c r="C2264" s="424"/>
      <c r="E2264" s="418"/>
      <c r="F2264" s="493"/>
      <c r="G2264" s="418"/>
      <c r="H2264" s="421"/>
      <c r="I2264" s="421"/>
      <c r="J2264" s="492"/>
      <c r="K2264" s="418"/>
      <c r="L2264" s="418"/>
      <c r="M2264" s="418"/>
      <c r="N2264" s="421"/>
      <c r="O2264" s="421"/>
      <c r="P2264" s="421"/>
      <c r="Q2264" s="418"/>
      <c r="R2264" s="418"/>
      <c r="S2264" s="418"/>
      <c r="T2264" s="418"/>
      <c r="U2264" s="418"/>
      <c r="V2264" s="418"/>
      <c r="W2264" s="418"/>
      <c r="X2264" s="418"/>
      <c r="Y2264" s="418"/>
      <c r="Z2264" s="418"/>
      <c r="AA2264" s="418"/>
      <c r="AB2264" s="418"/>
      <c r="AC2264" s="418"/>
      <c r="AD2264" s="418"/>
      <c r="AE2264" s="418"/>
      <c r="AF2264" s="418"/>
      <c r="AG2264" s="418"/>
      <c r="AH2264" s="418"/>
      <c r="AI2264" s="418"/>
      <c r="AJ2264" s="418"/>
      <c r="AK2264" s="418"/>
      <c r="AL2264" s="418"/>
      <c r="AM2264" s="418"/>
      <c r="AN2264" s="418"/>
      <c r="AO2264" s="418"/>
      <c r="AP2264" s="418"/>
      <c r="AQ2264" s="418"/>
      <c r="AR2264" s="418"/>
      <c r="AS2264" s="418"/>
      <c r="AT2264" s="418"/>
      <c r="AU2264" s="418"/>
      <c r="AV2264" s="418"/>
      <c r="AW2264" s="418"/>
      <c r="AX2264" s="418"/>
      <c r="AY2264" s="418"/>
      <c r="BF2264" s="1119"/>
      <c r="BG2264" s="1119"/>
      <c r="BH2264" s="1119"/>
    </row>
    <row r="2265" spans="1:60" ht="15.75" customHeight="1">
      <c r="A2265" s="1076"/>
      <c r="B2265" s="416"/>
      <c r="C2265" s="424"/>
      <c r="E2265" s="418"/>
      <c r="F2265" s="493"/>
      <c r="G2265" s="418"/>
      <c r="H2265" s="421"/>
      <c r="I2265" s="421"/>
      <c r="J2265" s="492"/>
      <c r="K2265" s="418"/>
      <c r="L2265" s="418"/>
      <c r="M2265" s="418"/>
      <c r="N2265" s="421"/>
      <c r="O2265" s="421"/>
      <c r="P2265" s="421"/>
      <c r="Q2265" s="418"/>
      <c r="R2265" s="418"/>
      <c r="S2265" s="418"/>
      <c r="T2265" s="418"/>
      <c r="U2265" s="418"/>
      <c r="V2265" s="418"/>
      <c r="W2265" s="418"/>
      <c r="X2265" s="418"/>
      <c r="Y2265" s="418"/>
      <c r="Z2265" s="418"/>
      <c r="AA2265" s="418"/>
      <c r="AB2265" s="418"/>
      <c r="AC2265" s="418"/>
      <c r="AD2265" s="418"/>
      <c r="AE2265" s="418"/>
      <c r="AF2265" s="418"/>
      <c r="AG2265" s="418"/>
      <c r="AH2265" s="418"/>
      <c r="AI2265" s="418"/>
      <c r="AJ2265" s="418"/>
      <c r="AK2265" s="418"/>
      <c r="AL2265" s="418"/>
      <c r="AM2265" s="418"/>
      <c r="AN2265" s="418"/>
      <c r="AO2265" s="418"/>
      <c r="AP2265" s="418"/>
      <c r="AQ2265" s="418"/>
      <c r="AR2265" s="418"/>
      <c r="AS2265" s="418"/>
      <c r="AT2265" s="418"/>
      <c r="AU2265" s="418"/>
      <c r="AV2265" s="418"/>
      <c r="AW2265" s="418"/>
      <c r="AX2265" s="418"/>
      <c r="AY2265" s="418"/>
      <c r="BF2265" s="1119"/>
      <c r="BG2265" s="1119"/>
      <c r="BH2265" s="1119"/>
    </row>
    <row r="2266" spans="1:60" ht="15.75" customHeight="1">
      <c r="A2266" s="1076"/>
      <c r="B2266" s="416"/>
      <c r="C2266" s="424"/>
      <c r="E2266" s="418"/>
      <c r="F2266" s="493"/>
      <c r="G2266" s="418"/>
      <c r="H2266" s="421"/>
      <c r="I2266" s="421"/>
      <c r="J2266" s="492"/>
      <c r="K2266" s="418"/>
      <c r="L2266" s="418"/>
      <c r="M2266" s="418"/>
      <c r="N2266" s="421"/>
      <c r="O2266" s="421"/>
      <c r="P2266" s="421"/>
      <c r="Q2266" s="418"/>
      <c r="R2266" s="418"/>
      <c r="S2266" s="418"/>
      <c r="T2266" s="418"/>
      <c r="U2266" s="418"/>
      <c r="V2266" s="418"/>
      <c r="W2266" s="418"/>
      <c r="X2266" s="418"/>
      <c r="Y2266" s="418"/>
      <c r="Z2266" s="418"/>
      <c r="AA2266" s="418"/>
      <c r="AB2266" s="418"/>
      <c r="AC2266" s="418"/>
      <c r="AD2266" s="418"/>
      <c r="AE2266" s="418"/>
      <c r="AF2266" s="418"/>
      <c r="AG2266" s="418"/>
      <c r="AH2266" s="418"/>
      <c r="AI2266" s="418"/>
      <c r="AJ2266" s="418"/>
      <c r="AK2266" s="418"/>
      <c r="AL2266" s="418"/>
      <c r="AM2266" s="418"/>
      <c r="AN2266" s="418"/>
      <c r="AO2266" s="418"/>
      <c r="AP2266" s="418"/>
      <c r="AQ2266" s="418"/>
      <c r="AR2266" s="418"/>
      <c r="AS2266" s="418"/>
      <c r="AT2266" s="418"/>
      <c r="AU2266" s="418"/>
      <c r="AV2266" s="418"/>
      <c r="AW2266" s="418"/>
      <c r="AX2266" s="418"/>
      <c r="AY2266" s="418"/>
      <c r="BF2266" s="1119"/>
      <c r="BG2266" s="1119"/>
      <c r="BH2266" s="1119"/>
    </row>
    <row r="2267" spans="1:60" ht="15.75" customHeight="1">
      <c r="A2267" s="1076"/>
      <c r="B2267" s="416"/>
      <c r="C2267" s="424"/>
      <c r="E2267" s="418"/>
      <c r="F2267" s="493"/>
      <c r="G2267" s="418"/>
      <c r="H2267" s="421"/>
      <c r="I2267" s="421"/>
      <c r="J2267" s="492"/>
      <c r="K2267" s="418"/>
      <c r="L2267" s="418"/>
      <c r="M2267" s="418"/>
      <c r="N2267" s="421"/>
      <c r="O2267" s="421"/>
      <c r="P2267" s="421"/>
      <c r="Q2267" s="418"/>
      <c r="R2267" s="418"/>
      <c r="S2267" s="418"/>
      <c r="T2267" s="418"/>
      <c r="U2267" s="418"/>
      <c r="V2267" s="418"/>
      <c r="W2267" s="418"/>
      <c r="X2267" s="418"/>
      <c r="Y2267" s="418"/>
      <c r="Z2267" s="418"/>
      <c r="AA2267" s="418"/>
      <c r="AB2267" s="418"/>
      <c r="AC2267" s="418"/>
      <c r="AD2267" s="418"/>
      <c r="AE2267" s="418"/>
      <c r="AF2267" s="418"/>
      <c r="AG2267" s="418"/>
      <c r="AH2267" s="418"/>
      <c r="AI2267" s="418"/>
      <c r="AJ2267" s="418"/>
      <c r="AK2267" s="418"/>
      <c r="AL2267" s="418"/>
      <c r="AM2267" s="418"/>
      <c r="AN2267" s="418"/>
      <c r="AO2267" s="418"/>
      <c r="AP2267" s="418"/>
      <c r="AQ2267" s="418"/>
      <c r="AR2267" s="418"/>
      <c r="AS2267" s="418"/>
      <c r="AT2267" s="418"/>
      <c r="AU2267" s="418"/>
      <c r="AV2267" s="418"/>
      <c r="AW2267" s="418"/>
      <c r="AX2267" s="418"/>
      <c r="AY2267" s="418"/>
      <c r="BF2267" s="1119"/>
      <c r="BG2267" s="1119"/>
      <c r="BH2267" s="1119"/>
    </row>
    <row r="2268" spans="1:60" ht="15.75" customHeight="1">
      <c r="A2268" s="1076"/>
      <c r="B2268" s="416"/>
      <c r="C2268" s="424"/>
      <c r="E2268" s="418"/>
      <c r="F2268" s="493"/>
      <c r="G2268" s="418"/>
      <c r="H2268" s="421"/>
      <c r="I2268" s="421"/>
      <c r="J2268" s="492"/>
      <c r="K2268" s="418"/>
      <c r="L2268" s="418"/>
      <c r="M2268" s="418"/>
      <c r="N2268" s="421"/>
      <c r="O2268" s="421"/>
      <c r="P2268" s="421"/>
      <c r="Q2268" s="418"/>
      <c r="R2268" s="418"/>
      <c r="S2268" s="418"/>
      <c r="T2268" s="418"/>
      <c r="U2268" s="418"/>
      <c r="V2268" s="418"/>
      <c r="W2268" s="418"/>
      <c r="X2268" s="418"/>
      <c r="Y2268" s="418"/>
      <c r="Z2268" s="418"/>
      <c r="AA2268" s="418"/>
      <c r="AB2268" s="418"/>
      <c r="AC2268" s="418"/>
      <c r="AD2268" s="418"/>
      <c r="AE2268" s="418"/>
      <c r="AF2268" s="418"/>
      <c r="AG2268" s="418"/>
      <c r="AH2268" s="418"/>
      <c r="AI2268" s="418"/>
      <c r="AJ2268" s="418"/>
      <c r="AK2268" s="418"/>
      <c r="AL2268" s="418"/>
      <c r="AM2268" s="418"/>
      <c r="AN2268" s="418"/>
      <c r="AO2268" s="418"/>
      <c r="AP2268" s="418"/>
      <c r="AQ2268" s="418"/>
      <c r="AR2268" s="418"/>
      <c r="AS2268" s="418"/>
      <c r="AT2268" s="418"/>
      <c r="AU2268" s="418"/>
      <c r="AV2268" s="418"/>
      <c r="AW2268" s="418"/>
      <c r="AX2268" s="418"/>
      <c r="AY2268" s="418"/>
      <c r="BF2268" s="1119"/>
      <c r="BG2268" s="1119"/>
      <c r="BH2268" s="1119"/>
    </row>
    <row r="2269" spans="1:60" ht="15.75" customHeight="1">
      <c r="A2269" s="1076"/>
      <c r="B2269" s="416"/>
      <c r="C2269" s="424"/>
      <c r="E2269" s="418"/>
      <c r="F2269" s="493"/>
      <c r="G2269" s="418"/>
      <c r="H2269" s="421"/>
      <c r="I2269" s="421"/>
      <c r="J2269" s="492"/>
      <c r="K2269" s="418"/>
      <c r="L2269" s="418"/>
      <c r="M2269" s="418"/>
      <c r="N2269" s="421"/>
      <c r="O2269" s="421"/>
      <c r="P2269" s="421"/>
      <c r="Q2269" s="418"/>
      <c r="R2269" s="418"/>
      <c r="S2269" s="418"/>
      <c r="T2269" s="418"/>
      <c r="U2269" s="418"/>
      <c r="V2269" s="418"/>
      <c r="W2269" s="418"/>
      <c r="X2269" s="418"/>
      <c r="Y2269" s="418"/>
      <c r="Z2269" s="418"/>
      <c r="AA2269" s="418"/>
      <c r="AB2269" s="418"/>
      <c r="AC2269" s="418"/>
      <c r="AD2269" s="418"/>
      <c r="AE2269" s="418"/>
      <c r="AF2269" s="418"/>
      <c r="AG2269" s="418"/>
      <c r="AH2269" s="418"/>
      <c r="AI2269" s="418"/>
      <c r="AJ2269" s="418"/>
      <c r="AK2269" s="418"/>
      <c r="AL2269" s="418"/>
      <c r="AM2269" s="418"/>
      <c r="AN2269" s="418"/>
      <c r="AO2269" s="418"/>
      <c r="AP2269" s="418"/>
      <c r="AQ2269" s="418"/>
      <c r="AR2269" s="418"/>
      <c r="AS2269" s="418"/>
      <c r="AT2269" s="418"/>
      <c r="AU2269" s="418"/>
      <c r="AV2269" s="418"/>
      <c r="AW2269" s="418"/>
      <c r="AX2269" s="418"/>
      <c r="AY2269" s="418"/>
      <c r="BF2269" s="1119"/>
      <c r="BG2269" s="1119"/>
      <c r="BH2269" s="1119"/>
    </row>
    <row r="2270" spans="1:60" ht="15.75" customHeight="1">
      <c r="A2270" s="1076"/>
      <c r="B2270" s="416"/>
      <c r="C2270" s="424"/>
      <c r="E2270" s="418"/>
      <c r="F2270" s="493"/>
      <c r="G2270" s="418"/>
      <c r="H2270" s="418"/>
      <c r="I2270" s="418"/>
      <c r="J2270" s="424"/>
      <c r="K2270" s="418"/>
      <c r="L2270" s="418"/>
      <c r="M2270" s="418"/>
      <c r="N2270" s="421"/>
      <c r="O2270" s="421"/>
      <c r="P2270" s="421"/>
      <c r="Q2270" s="418"/>
      <c r="R2270" s="418"/>
      <c r="S2270" s="418"/>
      <c r="T2270" s="418"/>
      <c r="U2270" s="418"/>
      <c r="V2270" s="418"/>
      <c r="W2270" s="418"/>
      <c r="X2270" s="418"/>
      <c r="Y2270" s="418"/>
      <c r="Z2270" s="418"/>
      <c r="AA2270" s="418"/>
      <c r="AB2270" s="418"/>
      <c r="AC2270" s="418"/>
      <c r="AD2270" s="418"/>
      <c r="AE2270" s="418"/>
      <c r="AF2270" s="418"/>
      <c r="AG2270" s="418"/>
      <c r="AH2270" s="418"/>
      <c r="AI2270" s="418"/>
      <c r="AJ2270" s="418"/>
      <c r="AK2270" s="418"/>
      <c r="AL2270" s="418"/>
      <c r="AM2270" s="418"/>
      <c r="AN2270" s="418"/>
      <c r="AO2270" s="418"/>
      <c r="AP2270" s="418"/>
      <c r="AQ2270" s="418"/>
      <c r="AR2270" s="418"/>
      <c r="AS2270" s="418"/>
      <c r="AT2270" s="418"/>
      <c r="AU2270" s="418"/>
      <c r="AV2270" s="418"/>
      <c r="AW2270" s="418"/>
      <c r="AX2270" s="418"/>
      <c r="AY2270" s="418"/>
      <c r="BF2270" s="1119"/>
      <c r="BG2270" s="1119"/>
      <c r="BH2270" s="1119"/>
    </row>
    <row r="2271" spans="1:60" ht="15.75" customHeight="1">
      <c r="A2271" s="1076"/>
      <c r="B2271" s="416"/>
      <c r="C2271" s="424"/>
      <c r="E2271" s="418"/>
      <c r="F2271" s="493"/>
      <c r="G2271" s="418"/>
      <c r="H2271" s="418"/>
      <c r="I2271" s="418"/>
      <c r="J2271" s="424"/>
      <c r="K2271" s="418"/>
      <c r="L2271" s="418"/>
      <c r="M2271" s="418"/>
      <c r="N2271" s="421"/>
      <c r="O2271" s="421"/>
      <c r="P2271" s="421"/>
      <c r="Q2271" s="418"/>
      <c r="R2271" s="418"/>
      <c r="S2271" s="418"/>
      <c r="T2271" s="418"/>
      <c r="U2271" s="418"/>
      <c r="V2271" s="418"/>
      <c r="W2271" s="418"/>
      <c r="X2271" s="418"/>
      <c r="Y2271" s="418"/>
      <c r="Z2271" s="418"/>
      <c r="AA2271" s="418"/>
      <c r="AB2271" s="418"/>
      <c r="AC2271" s="418"/>
      <c r="AD2271" s="418"/>
      <c r="AE2271" s="418"/>
      <c r="AF2271" s="418"/>
      <c r="AG2271" s="418"/>
      <c r="AH2271" s="418"/>
      <c r="AI2271" s="418"/>
      <c r="AJ2271" s="418"/>
      <c r="AK2271" s="418"/>
      <c r="AL2271" s="418"/>
      <c r="AM2271" s="418"/>
      <c r="AN2271" s="418"/>
      <c r="AO2271" s="418"/>
      <c r="AP2271" s="418"/>
      <c r="AQ2271" s="418"/>
      <c r="AR2271" s="418"/>
      <c r="AS2271" s="418"/>
      <c r="AT2271" s="418"/>
      <c r="AU2271" s="418"/>
      <c r="AV2271" s="418"/>
      <c r="AW2271" s="418"/>
      <c r="AX2271" s="418"/>
      <c r="AY2271" s="418"/>
      <c r="BF2271" s="1119"/>
      <c r="BG2271" s="1119"/>
      <c r="BH2271" s="1119"/>
    </row>
    <row r="2272" spans="1:60" ht="15.75" customHeight="1">
      <c r="A2272" s="1076"/>
      <c r="B2272" s="416"/>
      <c r="C2272" s="424"/>
      <c r="E2272" s="418"/>
      <c r="F2272" s="493"/>
      <c r="G2272" s="418"/>
      <c r="H2272" s="418"/>
      <c r="I2272" s="418"/>
      <c r="J2272" s="424"/>
      <c r="K2272" s="418"/>
      <c r="L2272" s="418"/>
      <c r="M2272" s="418"/>
      <c r="N2272" s="421"/>
      <c r="O2272" s="421"/>
      <c r="P2272" s="421"/>
      <c r="Q2272" s="418"/>
      <c r="R2272" s="418"/>
      <c r="S2272" s="418"/>
      <c r="T2272" s="418"/>
      <c r="U2272" s="418"/>
      <c r="V2272" s="418"/>
      <c r="W2272" s="418"/>
      <c r="X2272" s="418"/>
      <c r="Y2272" s="418"/>
      <c r="Z2272" s="418"/>
      <c r="AA2272" s="418"/>
      <c r="AB2272" s="418"/>
      <c r="AC2272" s="418"/>
      <c r="AD2272" s="418"/>
      <c r="AE2272" s="418"/>
      <c r="AF2272" s="418"/>
      <c r="AG2272" s="418"/>
      <c r="AH2272" s="418"/>
      <c r="AI2272" s="418"/>
      <c r="AJ2272" s="418"/>
      <c r="AK2272" s="418"/>
      <c r="AL2272" s="418"/>
      <c r="AM2272" s="418"/>
      <c r="AN2272" s="418"/>
      <c r="AO2272" s="418"/>
      <c r="AP2272" s="418"/>
      <c r="AQ2272" s="418"/>
      <c r="AR2272" s="418"/>
      <c r="AS2272" s="418"/>
      <c r="AT2272" s="418"/>
      <c r="AU2272" s="418"/>
      <c r="AV2272" s="418"/>
      <c r="AW2272" s="418"/>
      <c r="AX2272" s="418"/>
      <c r="AY2272" s="418"/>
      <c r="BF2272" s="1119"/>
      <c r="BG2272" s="1119"/>
      <c r="BH2272" s="1119"/>
    </row>
    <row r="2273" spans="1:60" ht="15.75" customHeight="1">
      <c r="A2273" s="1076"/>
      <c r="B2273" s="416"/>
      <c r="C2273" s="424"/>
      <c r="E2273" s="418"/>
      <c r="F2273" s="493"/>
      <c r="G2273" s="418"/>
      <c r="H2273" s="418"/>
      <c r="I2273" s="418"/>
      <c r="J2273" s="424"/>
      <c r="K2273" s="418"/>
      <c r="L2273" s="418"/>
      <c r="M2273" s="418"/>
      <c r="N2273" s="421"/>
      <c r="O2273" s="421"/>
      <c r="P2273" s="421"/>
      <c r="Q2273" s="418"/>
      <c r="R2273" s="418"/>
      <c r="S2273" s="418"/>
      <c r="T2273" s="418"/>
      <c r="U2273" s="418"/>
      <c r="V2273" s="418"/>
      <c r="W2273" s="418"/>
      <c r="X2273" s="418"/>
      <c r="Y2273" s="418"/>
      <c r="Z2273" s="418"/>
      <c r="AA2273" s="418"/>
      <c r="AB2273" s="418"/>
      <c r="AC2273" s="418"/>
      <c r="AD2273" s="418"/>
      <c r="AE2273" s="418"/>
      <c r="AF2273" s="418"/>
      <c r="AG2273" s="418"/>
      <c r="AH2273" s="418"/>
      <c r="AI2273" s="418"/>
      <c r="AJ2273" s="418"/>
      <c r="AK2273" s="418"/>
      <c r="AL2273" s="418"/>
      <c r="AM2273" s="418"/>
      <c r="AN2273" s="418"/>
      <c r="AO2273" s="418"/>
      <c r="AP2273" s="418"/>
      <c r="AQ2273" s="418"/>
      <c r="AR2273" s="418"/>
      <c r="AS2273" s="418"/>
      <c r="AT2273" s="418"/>
      <c r="AU2273" s="418"/>
      <c r="AV2273" s="418"/>
      <c r="AW2273" s="418"/>
      <c r="AX2273" s="418"/>
      <c r="AY2273" s="418"/>
      <c r="BF2273" s="1119"/>
      <c r="BG2273" s="1119"/>
      <c r="BH2273" s="1119"/>
    </row>
    <row r="2274" spans="1:60" ht="15.75" customHeight="1">
      <c r="A2274" s="1076"/>
      <c r="B2274" s="416"/>
      <c r="C2274" s="424"/>
      <c r="E2274" s="418"/>
      <c r="F2274" s="493"/>
      <c r="G2274" s="418"/>
      <c r="H2274" s="421"/>
      <c r="I2274" s="421"/>
      <c r="J2274" s="492"/>
      <c r="K2274" s="418"/>
      <c r="L2274" s="418"/>
      <c r="M2274" s="418"/>
      <c r="N2274" s="421"/>
      <c r="O2274" s="421"/>
      <c r="P2274" s="421"/>
      <c r="Q2274" s="418"/>
      <c r="R2274" s="418"/>
      <c r="S2274" s="418"/>
      <c r="T2274" s="418"/>
      <c r="U2274" s="418"/>
      <c r="V2274" s="418"/>
      <c r="W2274" s="418"/>
      <c r="X2274" s="418"/>
      <c r="Y2274" s="418"/>
      <c r="Z2274" s="418"/>
      <c r="AA2274" s="418"/>
      <c r="AB2274" s="418"/>
      <c r="AC2274" s="418"/>
      <c r="AD2274" s="418"/>
      <c r="AE2274" s="418"/>
      <c r="AF2274" s="418"/>
      <c r="AG2274" s="418"/>
      <c r="AH2274" s="418"/>
      <c r="AI2274" s="418"/>
      <c r="AJ2274" s="418"/>
      <c r="AK2274" s="418"/>
      <c r="AL2274" s="418"/>
      <c r="AM2274" s="418"/>
      <c r="AN2274" s="418"/>
      <c r="AO2274" s="418"/>
      <c r="AP2274" s="418"/>
      <c r="AQ2274" s="418"/>
      <c r="AR2274" s="418"/>
      <c r="AS2274" s="418"/>
      <c r="AT2274" s="418"/>
      <c r="AU2274" s="418"/>
      <c r="AV2274" s="418"/>
      <c r="AW2274" s="418"/>
      <c r="AX2274" s="418"/>
      <c r="AY2274" s="418"/>
      <c r="BF2274" s="1119"/>
      <c r="BG2274" s="1119"/>
      <c r="BH2274" s="1119"/>
    </row>
    <row r="2275" spans="1:60" ht="15.75" customHeight="1">
      <c r="A2275" s="1076"/>
      <c r="B2275" s="416"/>
      <c r="C2275" s="424"/>
      <c r="E2275" s="418"/>
      <c r="F2275" s="493"/>
      <c r="G2275" s="418"/>
      <c r="H2275" s="421"/>
      <c r="I2275" s="421"/>
      <c r="J2275" s="492"/>
      <c r="K2275" s="418"/>
      <c r="L2275" s="418"/>
      <c r="M2275" s="418"/>
      <c r="N2275" s="421"/>
      <c r="O2275" s="421"/>
      <c r="P2275" s="421"/>
      <c r="Q2275" s="418"/>
      <c r="R2275" s="418"/>
      <c r="S2275" s="418"/>
      <c r="T2275" s="418"/>
      <c r="U2275" s="418"/>
      <c r="V2275" s="418"/>
      <c r="W2275" s="418"/>
      <c r="X2275" s="418"/>
      <c r="Y2275" s="418"/>
      <c r="Z2275" s="418"/>
      <c r="AA2275" s="418"/>
      <c r="AB2275" s="418"/>
      <c r="AC2275" s="418"/>
      <c r="AD2275" s="418"/>
      <c r="AE2275" s="418"/>
      <c r="AF2275" s="418"/>
      <c r="AG2275" s="418"/>
      <c r="AH2275" s="418"/>
      <c r="AI2275" s="418"/>
      <c r="AJ2275" s="418"/>
      <c r="AK2275" s="418"/>
      <c r="AL2275" s="418"/>
      <c r="AM2275" s="418"/>
      <c r="AN2275" s="418"/>
      <c r="AO2275" s="418"/>
      <c r="AP2275" s="418"/>
      <c r="AQ2275" s="418"/>
      <c r="AR2275" s="418"/>
      <c r="AS2275" s="418"/>
      <c r="AT2275" s="418"/>
      <c r="AU2275" s="418"/>
      <c r="AV2275" s="418"/>
      <c r="AW2275" s="418"/>
      <c r="AX2275" s="418"/>
      <c r="AY2275" s="418"/>
      <c r="BF2275" s="1119"/>
      <c r="BG2275" s="1119"/>
      <c r="BH2275" s="1119"/>
    </row>
    <row r="2276" spans="1:60" ht="15.75" customHeight="1">
      <c r="A2276" s="1076"/>
      <c r="B2276" s="416"/>
      <c r="C2276" s="424"/>
      <c r="E2276" s="418"/>
      <c r="F2276" s="493"/>
      <c r="G2276" s="418"/>
      <c r="H2276" s="421"/>
      <c r="I2276" s="421"/>
      <c r="J2276" s="492"/>
      <c r="K2276" s="418"/>
      <c r="L2276" s="418"/>
      <c r="M2276" s="418"/>
      <c r="N2276" s="421"/>
      <c r="O2276" s="421"/>
      <c r="P2276" s="421"/>
      <c r="Q2276" s="418"/>
      <c r="R2276" s="418"/>
      <c r="S2276" s="418"/>
      <c r="T2276" s="418"/>
      <c r="U2276" s="418"/>
      <c r="V2276" s="418"/>
      <c r="W2276" s="418"/>
      <c r="X2276" s="418"/>
      <c r="Y2276" s="418"/>
      <c r="Z2276" s="418"/>
      <c r="AA2276" s="418"/>
      <c r="AB2276" s="418"/>
      <c r="AC2276" s="418"/>
      <c r="AD2276" s="418"/>
      <c r="AE2276" s="418"/>
      <c r="AF2276" s="418"/>
      <c r="AG2276" s="418"/>
      <c r="AH2276" s="418"/>
      <c r="AI2276" s="418"/>
      <c r="AJ2276" s="418"/>
      <c r="AK2276" s="418"/>
      <c r="AL2276" s="418"/>
      <c r="AM2276" s="418"/>
      <c r="AN2276" s="418"/>
      <c r="AO2276" s="418"/>
      <c r="AP2276" s="418"/>
      <c r="AQ2276" s="418"/>
      <c r="AR2276" s="418"/>
      <c r="AS2276" s="418"/>
      <c r="AT2276" s="418"/>
      <c r="AU2276" s="418"/>
      <c r="AV2276" s="418"/>
      <c r="AW2276" s="418"/>
      <c r="AX2276" s="418"/>
      <c r="AY2276" s="418"/>
      <c r="BF2276" s="1119"/>
      <c r="BG2276" s="1119"/>
      <c r="BH2276" s="1119"/>
    </row>
    <row r="2277" spans="1:60" ht="15.75" customHeight="1">
      <c r="A2277" s="1076"/>
      <c r="B2277" s="416"/>
      <c r="C2277" s="424"/>
      <c r="E2277" s="418"/>
      <c r="F2277" s="493"/>
      <c r="G2277" s="418"/>
      <c r="H2277" s="421"/>
      <c r="I2277" s="421"/>
      <c r="J2277" s="492"/>
      <c r="K2277" s="418"/>
      <c r="L2277" s="418"/>
      <c r="M2277" s="418"/>
      <c r="N2277" s="421"/>
      <c r="O2277" s="421"/>
      <c r="P2277" s="421"/>
      <c r="Q2277" s="418"/>
      <c r="R2277" s="418"/>
      <c r="S2277" s="418"/>
      <c r="T2277" s="418"/>
      <c r="U2277" s="418"/>
      <c r="V2277" s="418"/>
      <c r="W2277" s="418"/>
      <c r="X2277" s="418"/>
      <c r="Y2277" s="418"/>
      <c r="Z2277" s="418"/>
      <c r="AA2277" s="418"/>
      <c r="AB2277" s="418"/>
      <c r="AC2277" s="418"/>
      <c r="AD2277" s="418"/>
      <c r="AE2277" s="418"/>
      <c r="AF2277" s="418"/>
      <c r="AG2277" s="418"/>
      <c r="AH2277" s="418"/>
      <c r="AI2277" s="418"/>
      <c r="AJ2277" s="418"/>
      <c r="AK2277" s="418"/>
      <c r="AL2277" s="418"/>
      <c r="AM2277" s="418"/>
      <c r="AN2277" s="418"/>
      <c r="AO2277" s="418"/>
      <c r="AP2277" s="418"/>
      <c r="AQ2277" s="418"/>
      <c r="AR2277" s="418"/>
      <c r="AS2277" s="418"/>
      <c r="AT2277" s="418"/>
      <c r="AU2277" s="418"/>
      <c r="AV2277" s="418"/>
      <c r="AW2277" s="418"/>
      <c r="AX2277" s="418"/>
      <c r="AY2277" s="418"/>
      <c r="BF2277" s="1119"/>
      <c r="BG2277" s="1119"/>
      <c r="BH2277" s="1119"/>
    </row>
    <row r="2278" spans="1:60" ht="15.75" customHeight="1">
      <c r="A2278" s="1076"/>
      <c r="B2278" s="416"/>
      <c r="C2278" s="424"/>
      <c r="E2278" s="418"/>
      <c r="F2278" s="493"/>
      <c r="G2278" s="418"/>
      <c r="H2278" s="421"/>
      <c r="I2278" s="421"/>
      <c r="J2278" s="492"/>
      <c r="K2278" s="418"/>
      <c r="L2278" s="418"/>
      <c r="M2278" s="418"/>
      <c r="N2278" s="421"/>
      <c r="O2278" s="421"/>
      <c r="P2278" s="421"/>
      <c r="Q2278" s="418"/>
      <c r="R2278" s="418"/>
      <c r="S2278" s="418"/>
      <c r="T2278" s="418"/>
      <c r="U2278" s="418"/>
      <c r="V2278" s="418"/>
      <c r="W2278" s="418"/>
      <c r="X2278" s="418"/>
      <c r="Y2278" s="418"/>
      <c r="Z2278" s="418"/>
      <c r="AA2278" s="418"/>
      <c r="AB2278" s="418"/>
      <c r="AC2278" s="418"/>
      <c r="AD2278" s="418"/>
      <c r="AE2278" s="418"/>
      <c r="AF2278" s="418"/>
      <c r="AG2278" s="418"/>
      <c r="AH2278" s="418"/>
      <c r="AI2278" s="418"/>
      <c r="AJ2278" s="418"/>
      <c r="AK2278" s="418"/>
      <c r="AL2278" s="418"/>
      <c r="AM2278" s="418"/>
      <c r="AN2278" s="418"/>
      <c r="AO2278" s="418"/>
      <c r="AP2278" s="418"/>
      <c r="AQ2278" s="418"/>
      <c r="AR2278" s="418"/>
      <c r="AS2278" s="418"/>
      <c r="AT2278" s="418"/>
      <c r="AU2278" s="418"/>
      <c r="AV2278" s="418"/>
      <c r="AW2278" s="418"/>
      <c r="AX2278" s="418"/>
      <c r="AY2278" s="418"/>
      <c r="BF2278" s="1119"/>
      <c r="BG2278" s="1119"/>
      <c r="BH2278" s="1119"/>
    </row>
    <row r="2279" spans="1:60" ht="15.75" customHeight="1">
      <c r="A2279" s="1076"/>
      <c r="B2279" s="416"/>
      <c r="C2279" s="424"/>
      <c r="E2279" s="418"/>
      <c r="F2279" s="493"/>
      <c r="G2279" s="418"/>
      <c r="H2279" s="418"/>
      <c r="I2279" s="418"/>
      <c r="J2279" s="424"/>
      <c r="K2279" s="418"/>
      <c r="L2279" s="418"/>
      <c r="M2279" s="418"/>
      <c r="N2279" s="421"/>
      <c r="O2279" s="421"/>
      <c r="P2279" s="421"/>
      <c r="Q2279" s="418"/>
      <c r="R2279" s="418"/>
      <c r="S2279" s="418"/>
      <c r="T2279" s="418"/>
      <c r="U2279" s="418"/>
      <c r="V2279" s="418"/>
      <c r="W2279" s="418"/>
      <c r="X2279" s="418"/>
      <c r="Y2279" s="418"/>
      <c r="Z2279" s="418"/>
      <c r="AA2279" s="418"/>
      <c r="AB2279" s="418"/>
      <c r="AC2279" s="418"/>
      <c r="AD2279" s="418"/>
      <c r="AE2279" s="418"/>
      <c r="AF2279" s="418"/>
      <c r="AG2279" s="418"/>
      <c r="AH2279" s="418"/>
      <c r="AI2279" s="418"/>
      <c r="AJ2279" s="418"/>
      <c r="AK2279" s="418"/>
      <c r="AL2279" s="418"/>
      <c r="AM2279" s="418"/>
      <c r="AN2279" s="418"/>
      <c r="AO2279" s="418"/>
      <c r="AP2279" s="418"/>
      <c r="AQ2279" s="418"/>
      <c r="AR2279" s="418"/>
      <c r="AS2279" s="418"/>
      <c r="AT2279" s="418"/>
      <c r="AU2279" s="418"/>
      <c r="AV2279" s="418"/>
      <c r="AW2279" s="418"/>
      <c r="AX2279" s="418"/>
      <c r="AY2279" s="418"/>
      <c r="BF2279" s="1119"/>
      <c r="BG2279" s="1119"/>
      <c r="BH2279" s="1119"/>
    </row>
    <row r="2280" spans="1:60" ht="15.75" customHeight="1">
      <c r="A2280" s="1076"/>
      <c r="B2280" s="416"/>
      <c r="C2280" s="424"/>
      <c r="E2280" s="418"/>
      <c r="F2280" s="493"/>
      <c r="G2280" s="418"/>
      <c r="H2280" s="418"/>
      <c r="I2280" s="418"/>
      <c r="J2280" s="424"/>
      <c r="K2280" s="418"/>
      <c r="L2280" s="418"/>
      <c r="M2280" s="418"/>
      <c r="N2280" s="421"/>
      <c r="O2280" s="421"/>
      <c r="P2280" s="421"/>
      <c r="Q2280" s="418"/>
      <c r="R2280" s="418"/>
      <c r="S2280" s="418"/>
      <c r="T2280" s="418"/>
      <c r="U2280" s="418"/>
      <c r="V2280" s="418"/>
      <c r="W2280" s="418"/>
      <c r="X2280" s="418"/>
      <c r="Y2280" s="418"/>
      <c r="Z2280" s="418"/>
      <c r="AA2280" s="418"/>
      <c r="AB2280" s="418"/>
      <c r="AC2280" s="418"/>
      <c r="AD2280" s="418"/>
      <c r="AE2280" s="418"/>
      <c r="AF2280" s="418"/>
      <c r="AG2280" s="418"/>
      <c r="AH2280" s="418"/>
      <c r="AI2280" s="418"/>
      <c r="AJ2280" s="418"/>
      <c r="AK2280" s="418"/>
      <c r="AL2280" s="418"/>
      <c r="AM2280" s="418"/>
      <c r="AN2280" s="418"/>
      <c r="AO2280" s="418"/>
      <c r="AP2280" s="418"/>
      <c r="AQ2280" s="418"/>
      <c r="AR2280" s="418"/>
      <c r="AS2280" s="418"/>
      <c r="AT2280" s="418"/>
      <c r="AU2280" s="418"/>
      <c r="AV2280" s="418"/>
      <c r="AW2280" s="418"/>
      <c r="AX2280" s="418"/>
      <c r="AY2280" s="418"/>
      <c r="BF2280" s="1119"/>
      <c r="BG2280" s="1119"/>
      <c r="BH2280" s="1119"/>
    </row>
    <row r="2281" spans="1:60" ht="15.75" customHeight="1">
      <c r="A2281" s="1076"/>
      <c r="B2281" s="416"/>
      <c r="C2281" s="424"/>
      <c r="E2281" s="418"/>
      <c r="F2281" s="493"/>
      <c r="G2281" s="418"/>
      <c r="H2281" s="421"/>
      <c r="I2281" s="421"/>
      <c r="J2281" s="492"/>
      <c r="K2281" s="418"/>
      <c r="L2281" s="418"/>
      <c r="M2281" s="418"/>
      <c r="N2281" s="421"/>
      <c r="O2281" s="421"/>
      <c r="P2281" s="421"/>
      <c r="Q2281" s="418"/>
      <c r="R2281" s="418"/>
      <c r="S2281" s="418"/>
      <c r="T2281" s="418"/>
      <c r="U2281" s="418"/>
      <c r="V2281" s="418"/>
      <c r="W2281" s="418"/>
      <c r="X2281" s="418"/>
      <c r="Y2281" s="418"/>
      <c r="Z2281" s="418"/>
      <c r="AA2281" s="418"/>
      <c r="AB2281" s="418"/>
      <c r="AC2281" s="418"/>
      <c r="AD2281" s="418"/>
      <c r="AE2281" s="418"/>
      <c r="AF2281" s="418"/>
      <c r="AG2281" s="418"/>
      <c r="AH2281" s="418"/>
      <c r="AI2281" s="418"/>
      <c r="AJ2281" s="418"/>
      <c r="AK2281" s="418"/>
      <c r="AL2281" s="418"/>
      <c r="AM2281" s="418"/>
      <c r="AN2281" s="418"/>
      <c r="AO2281" s="418"/>
      <c r="AP2281" s="418"/>
      <c r="AQ2281" s="418"/>
      <c r="AR2281" s="418"/>
      <c r="AS2281" s="418"/>
      <c r="AT2281" s="418"/>
      <c r="AU2281" s="418"/>
      <c r="AV2281" s="418"/>
      <c r="AW2281" s="418"/>
      <c r="AX2281" s="418"/>
      <c r="AY2281" s="418"/>
      <c r="BF2281" s="1119"/>
      <c r="BG2281" s="1119"/>
      <c r="BH2281" s="1119"/>
    </row>
    <row r="2282" spans="1:60" ht="15.75" customHeight="1">
      <c r="A2282" s="1076"/>
      <c r="B2282" s="416"/>
      <c r="C2282" s="424"/>
      <c r="E2282" s="418"/>
      <c r="F2282" s="493"/>
      <c r="G2282" s="418"/>
      <c r="H2282" s="421"/>
      <c r="I2282" s="421"/>
      <c r="J2282" s="492"/>
      <c r="K2282" s="418"/>
      <c r="L2282" s="418"/>
      <c r="M2282" s="418"/>
      <c r="N2282" s="421"/>
      <c r="O2282" s="421"/>
      <c r="P2282" s="421"/>
      <c r="Q2282" s="418"/>
      <c r="R2282" s="418"/>
      <c r="S2282" s="418"/>
      <c r="T2282" s="418"/>
      <c r="U2282" s="418"/>
      <c r="V2282" s="418"/>
      <c r="W2282" s="418"/>
      <c r="X2282" s="418"/>
      <c r="Y2282" s="418"/>
      <c r="Z2282" s="418"/>
      <c r="AA2282" s="418"/>
      <c r="AB2282" s="418"/>
      <c r="AC2282" s="418"/>
      <c r="AD2282" s="418"/>
      <c r="AE2282" s="418"/>
      <c r="AF2282" s="418"/>
      <c r="AG2282" s="418"/>
      <c r="AH2282" s="418"/>
      <c r="AI2282" s="418"/>
      <c r="AJ2282" s="418"/>
      <c r="AK2282" s="418"/>
      <c r="AL2282" s="418"/>
      <c r="AM2282" s="418"/>
      <c r="AN2282" s="418"/>
      <c r="AO2282" s="418"/>
      <c r="AP2282" s="418"/>
      <c r="AQ2282" s="418"/>
      <c r="AR2282" s="418"/>
      <c r="AS2282" s="418"/>
      <c r="AT2282" s="418"/>
      <c r="AU2282" s="418"/>
      <c r="AV2282" s="418"/>
      <c r="AW2282" s="418"/>
      <c r="AX2282" s="418"/>
      <c r="AY2282" s="418"/>
      <c r="BF2282" s="1119"/>
      <c r="BG2282" s="1119"/>
      <c r="BH2282" s="1119"/>
    </row>
    <row r="2283" spans="1:60" ht="15.75" customHeight="1">
      <c r="A2283" s="1076"/>
      <c r="B2283" s="416"/>
      <c r="C2283" s="424"/>
      <c r="E2283" s="418"/>
      <c r="F2283" s="493"/>
      <c r="G2283" s="418"/>
      <c r="H2283" s="418"/>
      <c r="I2283" s="418"/>
      <c r="J2283" s="424"/>
      <c r="K2283" s="418"/>
      <c r="L2283" s="418"/>
      <c r="M2283" s="418"/>
      <c r="N2283" s="421"/>
      <c r="O2283" s="421"/>
      <c r="P2283" s="421"/>
      <c r="Q2283" s="418"/>
      <c r="R2283" s="418"/>
      <c r="S2283" s="418"/>
      <c r="T2283" s="418"/>
      <c r="U2283" s="418"/>
      <c r="V2283" s="418"/>
      <c r="W2283" s="418"/>
      <c r="X2283" s="418"/>
      <c r="Y2283" s="418"/>
      <c r="Z2283" s="418"/>
      <c r="AA2283" s="418"/>
      <c r="AB2283" s="418"/>
      <c r="AC2283" s="418"/>
      <c r="AD2283" s="418"/>
      <c r="AE2283" s="418"/>
      <c r="AF2283" s="418"/>
      <c r="AG2283" s="418"/>
      <c r="AH2283" s="418"/>
      <c r="AI2283" s="418"/>
      <c r="AJ2283" s="418"/>
      <c r="AK2283" s="418"/>
      <c r="AL2283" s="418"/>
      <c r="AM2283" s="418"/>
      <c r="AN2283" s="418"/>
      <c r="AO2283" s="418"/>
      <c r="AP2283" s="418"/>
      <c r="AQ2283" s="418"/>
      <c r="AR2283" s="418"/>
      <c r="AS2283" s="418"/>
      <c r="AT2283" s="418"/>
      <c r="AU2283" s="418"/>
      <c r="AV2283" s="418"/>
      <c r="AW2283" s="418"/>
      <c r="AX2283" s="418"/>
      <c r="AY2283" s="418"/>
      <c r="BF2283" s="1119"/>
      <c r="BG2283" s="1119"/>
      <c r="BH2283" s="1119"/>
    </row>
    <row r="2284" spans="1:60" ht="15.75" customHeight="1">
      <c r="A2284" s="1076"/>
      <c r="B2284" s="416"/>
      <c r="C2284" s="424"/>
      <c r="E2284" s="418"/>
      <c r="F2284" s="493"/>
      <c r="G2284" s="418"/>
      <c r="H2284" s="418"/>
      <c r="I2284" s="418"/>
      <c r="J2284" s="424"/>
      <c r="K2284" s="418"/>
      <c r="L2284" s="418"/>
      <c r="M2284" s="418"/>
      <c r="N2284" s="421"/>
      <c r="O2284" s="421"/>
      <c r="P2284" s="421"/>
      <c r="Q2284" s="418"/>
      <c r="R2284" s="418"/>
      <c r="S2284" s="418"/>
      <c r="T2284" s="418"/>
      <c r="U2284" s="418"/>
      <c r="V2284" s="418"/>
      <c r="W2284" s="418"/>
      <c r="X2284" s="418"/>
      <c r="Y2284" s="418"/>
      <c r="Z2284" s="418"/>
      <c r="AA2284" s="418"/>
      <c r="AB2284" s="418"/>
      <c r="AC2284" s="418"/>
      <c r="AD2284" s="418"/>
      <c r="AE2284" s="418"/>
      <c r="AF2284" s="418"/>
      <c r="AG2284" s="418"/>
      <c r="AH2284" s="418"/>
      <c r="AI2284" s="418"/>
      <c r="AJ2284" s="418"/>
      <c r="AK2284" s="418"/>
      <c r="AL2284" s="418"/>
      <c r="AM2284" s="418"/>
      <c r="AN2284" s="418"/>
      <c r="AO2284" s="418"/>
      <c r="AP2284" s="418"/>
      <c r="AQ2284" s="418"/>
      <c r="AR2284" s="418"/>
      <c r="AS2284" s="418"/>
      <c r="AT2284" s="418"/>
      <c r="AU2284" s="418"/>
      <c r="AV2284" s="418"/>
      <c r="AW2284" s="418"/>
      <c r="AX2284" s="418"/>
      <c r="AY2284" s="418"/>
      <c r="BF2284" s="1119"/>
      <c r="BG2284" s="1119"/>
      <c r="BH2284" s="1119"/>
    </row>
    <row r="2285" spans="1:60" ht="15.75" customHeight="1">
      <c r="A2285" s="1076"/>
      <c r="B2285" s="416"/>
      <c r="C2285" s="424"/>
      <c r="E2285" s="418"/>
      <c r="F2285" s="493"/>
      <c r="G2285" s="418"/>
      <c r="H2285" s="418"/>
      <c r="I2285" s="418"/>
      <c r="J2285" s="424"/>
      <c r="K2285" s="418"/>
      <c r="L2285" s="418"/>
      <c r="M2285" s="418"/>
      <c r="N2285" s="421"/>
      <c r="O2285" s="421"/>
      <c r="P2285" s="421"/>
      <c r="Q2285" s="418"/>
      <c r="R2285" s="418"/>
      <c r="S2285" s="418"/>
      <c r="T2285" s="418"/>
      <c r="U2285" s="418"/>
      <c r="V2285" s="418"/>
      <c r="W2285" s="418"/>
      <c r="X2285" s="418"/>
      <c r="Y2285" s="418"/>
      <c r="Z2285" s="418"/>
      <c r="AA2285" s="418"/>
      <c r="AB2285" s="418"/>
      <c r="AC2285" s="418"/>
      <c r="AD2285" s="418"/>
      <c r="AE2285" s="418"/>
      <c r="AF2285" s="418"/>
      <c r="AG2285" s="418"/>
      <c r="AH2285" s="418"/>
      <c r="AI2285" s="418"/>
      <c r="AJ2285" s="418"/>
      <c r="AK2285" s="418"/>
      <c r="AL2285" s="418"/>
      <c r="AM2285" s="418"/>
      <c r="AN2285" s="418"/>
      <c r="AO2285" s="418"/>
      <c r="AP2285" s="418"/>
      <c r="AQ2285" s="418"/>
      <c r="AR2285" s="418"/>
      <c r="AS2285" s="418"/>
      <c r="AT2285" s="418"/>
      <c r="AU2285" s="418"/>
      <c r="AV2285" s="418"/>
      <c r="AW2285" s="418"/>
      <c r="AX2285" s="418"/>
      <c r="AY2285" s="418"/>
      <c r="BF2285" s="1119"/>
      <c r="BG2285" s="1119"/>
      <c r="BH2285" s="1119"/>
    </row>
    <row r="2286" spans="1:60" ht="15.75" customHeight="1">
      <c r="A2286" s="1076"/>
      <c r="B2286" s="416"/>
      <c r="C2286" s="424"/>
      <c r="E2286" s="418"/>
      <c r="F2286" s="493"/>
      <c r="G2286" s="418"/>
      <c r="H2286" s="418"/>
      <c r="I2286" s="418"/>
      <c r="J2286" s="424"/>
      <c r="K2286" s="418"/>
      <c r="L2286" s="418"/>
      <c r="M2286" s="418"/>
      <c r="N2286" s="421"/>
      <c r="O2286" s="421"/>
      <c r="P2286" s="421"/>
      <c r="Q2286" s="418"/>
      <c r="R2286" s="418"/>
      <c r="S2286" s="418"/>
      <c r="T2286" s="418"/>
      <c r="U2286" s="418"/>
      <c r="V2286" s="418"/>
      <c r="W2286" s="418"/>
      <c r="X2286" s="418"/>
      <c r="Y2286" s="418"/>
      <c r="Z2286" s="418"/>
      <c r="AA2286" s="418"/>
      <c r="AB2286" s="418"/>
      <c r="AC2286" s="418"/>
      <c r="AD2286" s="418"/>
      <c r="AE2286" s="418"/>
      <c r="AF2286" s="418"/>
      <c r="AG2286" s="418"/>
      <c r="AH2286" s="418"/>
      <c r="AI2286" s="418"/>
      <c r="AJ2286" s="418"/>
      <c r="AK2286" s="418"/>
      <c r="AL2286" s="418"/>
      <c r="AM2286" s="418"/>
      <c r="AN2286" s="418"/>
      <c r="AO2286" s="418"/>
      <c r="AP2286" s="418"/>
      <c r="AQ2286" s="418"/>
      <c r="AR2286" s="418"/>
      <c r="AS2286" s="418"/>
      <c r="AT2286" s="418"/>
      <c r="AU2286" s="418"/>
      <c r="AV2286" s="418"/>
      <c r="AW2286" s="418"/>
      <c r="AX2286" s="418"/>
      <c r="AY2286" s="418"/>
      <c r="BF2286" s="1119"/>
      <c r="BG2286" s="1119"/>
      <c r="BH2286" s="1119"/>
    </row>
    <row r="2287" spans="1:60" ht="15.75" customHeight="1">
      <c r="A2287" s="1076"/>
      <c r="B2287" s="416"/>
      <c r="C2287" s="424"/>
      <c r="E2287" s="418"/>
      <c r="F2287" s="493"/>
      <c r="G2287" s="418"/>
      <c r="H2287" s="418"/>
      <c r="I2287" s="418"/>
      <c r="J2287" s="424"/>
      <c r="K2287" s="418"/>
      <c r="L2287" s="418"/>
      <c r="M2287" s="418"/>
      <c r="N2287" s="421"/>
      <c r="O2287" s="421"/>
      <c r="P2287" s="421"/>
      <c r="Q2287" s="418"/>
      <c r="R2287" s="418"/>
      <c r="S2287" s="418"/>
      <c r="T2287" s="418"/>
      <c r="U2287" s="418"/>
      <c r="V2287" s="418"/>
      <c r="W2287" s="418"/>
      <c r="X2287" s="418"/>
      <c r="Y2287" s="418"/>
      <c r="Z2287" s="418"/>
      <c r="AA2287" s="418"/>
      <c r="AB2287" s="418"/>
      <c r="AC2287" s="418"/>
      <c r="AD2287" s="418"/>
      <c r="AE2287" s="418"/>
      <c r="AF2287" s="418"/>
      <c r="AG2287" s="418"/>
      <c r="AH2287" s="418"/>
      <c r="AI2287" s="418"/>
      <c r="AJ2287" s="418"/>
      <c r="AK2287" s="418"/>
      <c r="AL2287" s="418"/>
      <c r="AM2287" s="418"/>
      <c r="AN2287" s="418"/>
      <c r="AO2287" s="418"/>
      <c r="AP2287" s="418"/>
      <c r="AQ2287" s="418"/>
      <c r="AR2287" s="418"/>
      <c r="AS2287" s="418"/>
      <c r="AT2287" s="418"/>
      <c r="AU2287" s="418"/>
      <c r="AV2287" s="418"/>
      <c r="AW2287" s="418"/>
      <c r="AX2287" s="418"/>
      <c r="AY2287" s="418"/>
      <c r="BF2287" s="1119"/>
      <c r="BG2287" s="1119"/>
      <c r="BH2287" s="1119"/>
    </row>
    <row r="2288" spans="1:60" ht="15.75" customHeight="1">
      <c r="A2288" s="1076"/>
      <c r="B2288" s="416"/>
      <c r="C2288" s="424"/>
      <c r="E2288" s="418"/>
      <c r="F2288" s="493"/>
      <c r="G2288" s="418"/>
      <c r="H2288" s="418"/>
      <c r="I2288" s="418"/>
      <c r="J2288" s="424"/>
      <c r="K2288" s="418"/>
      <c r="L2288" s="418"/>
      <c r="M2288" s="418"/>
      <c r="N2288" s="421"/>
      <c r="O2288" s="421"/>
      <c r="P2288" s="421"/>
      <c r="Q2288" s="418"/>
      <c r="R2288" s="418"/>
      <c r="S2288" s="418"/>
      <c r="T2288" s="418"/>
      <c r="U2288" s="418"/>
      <c r="V2288" s="418"/>
      <c r="W2288" s="418"/>
      <c r="X2288" s="418"/>
      <c r="Y2288" s="418"/>
      <c r="Z2288" s="418"/>
      <c r="AA2288" s="418"/>
      <c r="AB2288" s="418"/>
      <c r="AC2288" s="418"/>
      <c r="AD2288" s="418"/>
      <c r="AE2288" s="418"/>
      <c r="AF2288" s="418"/>
      <c r="AG2288" s="418"/>
      <c r="AH2288" s="418"/>
      <c r="AI2288" s="418"/>
      <c r="AJ2288" s="418"/>
      <c r="AK2288" s="418"/>
      <c r="AL2288" s="418"/>
      <c r="AM2288" s="418"/>
      <c r="AN2288" s="418"/>
      <c r="AO2288" s="418"/>
      <c r="AP2288" s="418"/>
      <c r="AQ2288" s="418"/>
      <c r="AR2288" s="418"/>
      <c r="AS2288" s="418"/>
      <c r="AT2288" s="418"/>
      <c r="AU2288" s="418"/>
      <c r="AV2288" s="418"/>
      <c r="AW2288" s="418"/>
      <c r="AX2288" s="418"/>
      <c r="AY2288" s="418"/>
      <c r="BF2288" s="1119"/>
      <c r="BG2288" s="1119"/>
      <c r="BH2288" s="1119"/>
    </row>
    <row r="2289" spans="1:60" ht="15.75" customHeight="1">
      <c r="A2289" s="1076"/>
      <c r="B2289" s="416"/>
      <c r="C2289" s="424"/>
      <c r="E2289" s="418"/>
      <c r="F2289" s="493"/>
      <c r="G2289" s="418"/>
      <c r="H2289" s="418"/>
      <c r="I2289" s="418"/>
      <c r="J2289" s="424"/>
      <c r="K2289" s="418"/>
      <c r="L2289" s="418"/>
      <c r="M2289" s="418"/>
      <c r="N2289" s="421"/>
      <c r="O2289" s="421"/>
      <c r="P2289" s="421"/>
      <c r="Q2289" s="418"/>
      <c r="R2289" s="418"/>
      <c r="S2289" s="418"/>
      <c r="T2289" s="418"/>
      <c r="U2289" s="418"/>
      <c r="V2289" s="418"/>
      <c r="W2289" s="418"/>
      <c r="X2289" s="418"/>
      <c r="Y2289" s="418"/>
      <c r="Z2289" s="418"/>
      <c r="AA2289" s="418"/>
      <c r="AB2289" s="418"/>
      <c r="AC2289" s="418"/>
      <c r="AD2289" s="418"/>
      <c r="AE2289" s="418"/>
      <c r="AF2289" s="418"/>
      <c r="AG2289" s="418"/>
      <c r="AH2289" s="418"/>
      <c r="AI2289" s="418"/>
      <c r="AJ2289" s="418"/>
      <c r="AK2289" s="418"/>
      <c r="AL2289" s="418"/>
      <c r="AM2289" s="418"/>
      <c r="AN2289" s="418"/>
      <c r="AO2289" s="418"/>
      <c r="AP2289" s="418"/>
      <c r="AQ2289" s="418"/>
      <c r="AR2289" s="418"/>
      <c r="AS2289" s="418"/>
      <c r="AT2289" s="418"/>
      <c r="AU2289" s="418"/>
      <c r="AV2289" s="418"/>
      <c r="AW2289" s="418"/>
      <c r="AX2289" s="418"/>
      <c r="AY2289" s="418"/>
      <c r="BF2289" s="1119"/>
      <c r="BG2289" s="1119"/>
      <c r="BH2289" s="1119"/>
    </row>
    <row r="2290" spans="1:60" ht="15.75" customHeight="1">
      <c r="A2290" s="1076"/>
      <c r="B2290" s="416"/>
      <c r="C2290" s="424"/>
      <c r="E2290" s="418"/>
      <c r="F2290" s="493"/>
      <c r="G2290" s="418"/>
      <c r="H2290" s="418"/>
      <c r="I2290" s="418"/>
      <c r="J2290" s="424"/>
      <c r="K2290" s="418"/>
      <c r="L2290" s="418"/>
      <c r="M2290" s="418"/>
      <c r="N2290" s="421"/>
      <c r="O2290" s="421"/>
      <c r="P2290" s="421"/>
      <c r="Q2290" s="418"/>
      <c r="R2290" s="418"/>
      <c r="S2290" s="418"/>
      <c r="T2290" s="418"/>
      <c r="U2290" s="418"/>
      <c r="V2290" s="418"/>
      <c r="W2290" s="418"/>
      <c r="X2290" s="418"/>
      <c r="Y2290" s="418"/>
      <c r="Z2290" s="418"/>
      <c r="AA2290" s="418"/>
      <c r="AB2290" s="418"/>
      <c r="AC2290" s="418"/>
      <c r="AD2290" s="418"/>
      <c r="AE2290" s="418"/>
      <c r="AF2290" s="418"/>
      <c r="AG2290" s="418"/>
      <c r="AH2290" s="418"/>
      <c r="AI2290" s="418"/>
      <c r="AJ2290" s="418"/>
      <c r="AK2290" s="418"/>
      <c r="AL2290" s="418"/>
      <c r="AM2290" s="418"/>
      <c r="AN2290" s="418"/>
      <c r="AO2290" s="418"/>
      <c r="AP2290" s="418"/>
      <c r="AQ2290" s="418"/>
      <c r="AR2290" s="418"/>
      <c r="AS2290" s="418"/>
      <c r="AT2290" s="418"/>
      <c r="AU2290" s="418"/>
      <c r="AV2290" s="418"/>
      <c r="AW2290" s="418"/>
      <c r="AX2290" s="418"/>
      <c r="AY2290" s="418"/>
      <c r="BF2290" s="1119"/>
      <c r="BG2290" s="1119"/>
      <c r="BH2290" s="1119"/>
    </row>
    <row r="2291" spans="1:60" ht="15.75" customHeight="1">
      <c r="A2291" s="1076"/>
      <c r="B2291" s="416"/>
      <c r="C2291" s="424"/>
      <c r="E2291" s="418"/>
      <c r="F2291" s="493"/>
      <c r="G2291" s="418"/>
      <c r="H2291" s="421"/>
      <c r="I2291" s="421"/>
      <c r="J2291" s="492"/>
      <c r="K2291" s="418"/>
      <c r="L2291" s="418"/>
      <c r="M2291" s="418"/>
      <c r="N2291" s="421"/>
      <c r="O2291" s="421"/>
      <c r="P2291" s="421"/>
      <c r="Q2291" s="418"/>
      <c r="R2291" s="418"/>
      <c r="S2291" s="418"/>
      <c r="T2291" s="418"/>
      <c r="U2291" s="418"/>
      <c r="V2291" s="418"/>
      <c r="W2291" s="418"/>
      <c r="X2291" s="418"/>
      <c r="Y2291" s="418"/>
      <c r="Z2291" s="418"/>
      <c r="AA2291" s="418"/>
      <c r="AB2291" s="418"/>
      <c r="AC2291" s="418"/>
      <c r="AD2291" s="418"/>
      <c r="AE2291" s="418"/>
      <c r="AF2291" s="418"/>
      <c r="AG2291" s="418"/>
      <c r="AH2291" s="418"/>
      <c r="AI2291" s="418"/>
      <c r="AJ2291" s="418"/>
      <c r="AK2291" s="418"/>
      <c r="AL2291" s="418"/>
      <c r="AM2291" s="418"/>
      <c r="AN2291" s="418"/>
      <c r="AO2291" s="418"/>
      <c r="AP2291" s="418"/>
      <c r="AQ2291" s="418"/>
      <c r="AR2291" s="418"/>
      <c r="AS2291" s="418"/>
      <c r="AT2291" s="418"/>
      <c r="AU2291" s="418"/>
      <c r="AV2291" s="418"/>
      <c r="AW2291" s="418"/>
      <c r="AX2291" s="418"/>
      <c r="AY2291" s="418"/>
      <c r="BF2291" s="1119"/>
      <c r="BG2291" s="1119"/>
      <c r="BH2291" s="1119"/>
    </row>
    <row r="2292" spans="1:60" ht="15.75" customHeight="1">
      <c r="A2292" s="1076"/>
      <c r="B2292" s="416"/>
      <c r="C2292" s="424"/>
      <c r="E2292" s="418"/>
      <c r="F2292" s="493"/>
      <c r="G2292" s="418"/>
      <c r="H2292" s="421"/>
      <c r="I2292" s="421"/>
      <c r="J2292" s="492"/>
      <c r="K2292" s="418"/>
      <c r="L2292" s="418"/>
      <c r="M2292" s="418"/>
      <c r="N2292" s="421"/>
      <c r="O2292" s="421"/>
      <c r="P2292" s="421"/>
      <c r="Q2292" s="418"/>
      <c r="R2292" s="418"/>
      <c r="S2292" s="418"/>
      <c r="T2292" s="418"/>
      <c r="U2292" s="418"/>
      <c r="V2292" s="418"/>
      <c r="W2292" s="418"/>
      <c r="X2292" s="418"/>
      <c r="Y2292" s="418"/>
      <c r="Z2292" s="418"/>
      <c r="AA2292" s="418"/>
      <c r="AB2292" s="418"/>
      <c r="AC2292" s="418"/>
      <c r="AD2292" s="418"/>
      <c r="AE2292" s="418"/>
      <c r="AF2292" s="418"/>
      <c r="AG2292" s="418"/>
      <c r="AH2292" s="418"/>
      <c r="AI2292" s="418"/>
      <c r="AJ2292" s="418"/>
      <c r="AK2292" s="418"/>
      <c r="AL2292" s="418"/>
      <c r="AM2292" s="418"/>
      <c r="AN2292" s="418"/>
      <c r="AO2292" s="418"/>
      <c r="AP2292" s="418"/>
      <c r="AQ2292" s="418"/>
      <c r="AR2292" s="418"/>
      <c r="AS2292" s="418"/>
      <c r="AT2292" s="418"/>
      <c r="AU2292" s="418"/>
      <c r="AV2292" s="418"/>
      <c r="AW2292" s="418"/>
      <c r="AX2292" s="418"/>
      <c r="AY2292" s="418"/>
      <c r="BF2292" s="1119"/>
      <c r="BG2292" s="1119"/>
      <c r="BH2292" s="1119"/>
    </row>
    <row r="2293" spans="1:60" ht="15.75" customHeight="1">
      <c r="A2293" s="1076"/>
      <c r="B2293" s="416"/>
      <c r="C2293" s="424"/>
      <c r="E2293" s="418"/>
      <c r="F2293" s="493"/>
      <c r="G2293" s="418"/>
      <c r="H2293" s="421"/>
      <c r="I2293" s="421"/>
      <c r="J2293" s="492"/>
      <c r="K2293" s="418"/>
      <c r="L2293" s="418"/>
      <c r="M2293" s="418"/>
      <c r="N2293" s="421"/>
      <c r="O2293" s="421"/>
      <c r="P2293" s="421"/>
      <c r="Q2293" s="418"/>
      <c r="R2293" s="418"/>
      <c r="S2293" s="418"/>
      <c r="T2293" s="418"/>
      <c r="U2293" s="418"/>
      <c r="V2293" s="418"/>
      <c r="W2293" s="418"/>
      <c r="X2293" s="418"/>
      <c r="Y2293" s="418"/>
      <c r="Z2293" s="418"/>
      <c r="AA2293" s="418"/>
      <c r="AB2293" s="418"/>
      <c r="AC2293" s="418"/>
      <c r="AD2293" s="418"/>
      <c r="AE2293" s="418"/>
      <c r="AF2293" s="418"/>
      <c r="AG2293" s="418"/>
      <c r="AH2293" s="418"/>
      <c r="AI2293" s="418"/>
      <c r="AJ2293" s="418"/>
      <c r="AK2293" s="418"/>
      <c r="AL2293" s="418"/>
      <c r="AM2293" s="418"/>
      <c r="AN2293" s="418"/>
      <c r="AO2293" s="418"/>
      <c r="AP2293" s="418"/>
      <c r="AQ2293" s="418"/>
      <c r="AR2293" s="418"/>
      <c r="AS2293" s="418"/>
      <c r="AT2293" s="418"/>
      <c r="AU2293" s="418"/>
      <c r="AV2293" s="418"/>
      <c r="AW2293" s="418"/>
      <c r="AX2293" s="418"/>
      <c r="AY2293" s="418"/>
      <c r="BF2293" s="1119"/>
      <c r="BG2293" s="1119"/>
      <c r="BH2293" s="1119"/>
    </row>
    <row r="2294" spans="1:60" ht="15.75" customHeight="1">
      <c r="A2294" s="1076"/>
      <c r="B2294" s="416"/>
      <c r="C2294" s="424"/>
      <c r="E2294" s="418"/>
      <c r="F2294" s="493"/>
      <c r="G2294" s="418"/>
      <c r="H2294" s="421"/>
      <c r="I2294" s="421"/>
      <c r="J2294" s="492"/>
      <c r="K2294" s="418"/>
      <c r="L2294" s="418"/>
      <c r="M2294" s="418"/>
      <c r="N2294" s="421"/>
      <c r="O2294" s="421"/>
      <c r="P2294" s="421"/>
      <c r="Q2294" s="418"/>
      <c r="R2294" s="418"/>
      <c r="S2294" s="418"/>
      <c r="T2294" s="418"/>
      <c r="U2294" s="418"/>
      <c r="V2294" s="418"/>
      <c r="W2294" s="418"/>
      <c r="X2294" s="418"/>
      <c r="Y2294" s="418"/>
      <c r="Z2294" s="418"/>
      <c r="AA2294" s="418"/>
      <c r="AB2294" s="418"/>
      <c r="AC2294" s="418"/>
      <c r="AD2294" s="418"/>
      <c r="AE2294" s="418"/>
      <c r="AF2294" s="418"/>
      <c r="AG2294" s="418"/>
      <c r="AH2294" s="418"/>
      <c r="AI2294" s="418"/>
      <c r="AJ2294" s="418"/>
      <c r="AK2294" s="418"/>
      <c r="AL2294" s="418"/>
      <c r="AM2294" s="418"/>
      <c r="AN2294" s="418"/>
      <c r="AO2294" s="418"/>
      <c r="AP2294" s="418"/>
      <c r="AQ2294" s="418"/>
      <c r="AR2294" s="418"/>
      <c r="AS2294" s="418"/>
      <c r="AT2294" s="418"/>
      <c r="AU2294" s="418"/>
      <c r="AV2294" s="418"/>
      <c r="AW2294" s="418"/>
      <c r="AX2294" s="418"/>
      <c r="AY2294" s="418"/>
      <c r="BF2294" s="1119"/>
      <c r="BG2294" s="1119"/>
      <c r="BH2294" s="1119"/>
    </row>
    <row r="2295" spans="1:60" ht="15.75" customHeight="1">
      <c r="A2295" s="1076"/>
      <c r="B2295" s="416"/>
      <c r="C2295" s="424"/>
      <c r="E2295" s="418"/>
      <c r="F2295" s="493"/>
      <c r="G2295" s="418"/>
      <c r="H2295" s="421"/>
      <c r="I2295" s="421"/>
      <c r="J2295" s="492"/>
      <c r="K2295" s="418"/>
      <c r="L2295" s="418"/>
      <c r="M2295" s="418"/>
      <c r="N2295" s="421"/>
      <c r="O2295" s="421"/>
      <c r="P2295" s="421"/>
      <c r="Q2295" s="418"/>
      <c r="R2295" s="418"/>
      <c r="S2295" s="418"/>
      <c r="T2295" s="418"/>
      <c r="U2295" s="418"/>
      <c r="V2295" s="418"/>
      <c r="W2295" s="418"/>
      <c r="X2295" s="418"/>
      <c r="Y2295" s="418"/>
      <c r="Z2295" s="418"/>
      <c r="AA2295" s="418"/>
      <c r="AB2295" s="418"/>
      <c r="AC2295" s="418"/>
      <c r="AD2295" s="418"/>
      <c r="AE2295" s="418"/>
      <c r="AF2295" s="418"/>
      <c r="AG2295" s="418"/>
      <c r="AH2295" s="418"/>
      <c r="AI2295" s="418"/>
      <c r="AJ2295" s="418"/>
      <c r="AK2295" s="418"/>
      <c r="AL2295" s="418"/>
      <c r="AM2295" s="418"/>
      <c r="AN2295" s="418"/>
      <c r="AO2295" s="418"/>
      <c r="AP2295" s="418"/>
      <c r="AQ2295" s="418"/>
      <c r="AR2295" s="418"/>
      <c r="AS2295" s="418"/>
      <c r="AT2295" s="418"/>
      <c r="AU2295" s="418"/>
      <c r="AV2295" s="418"/>
      <c r="AW2295" s="418"/>
      <c r="AX2295" s="418"/>
      <c r="AY2295" s="418"/>
      <c r="BF2295" s="1119"/>
      <c r="BG2295" s="1119"/>
      <c r="BH2295" s="1119"/>
    </row>
    <row r="2296" spans="1:60" ht="15.75" customHeight="1">
      <c r="A2296" s="1076"/>
      <c r="B2296" s="416"/>
      <c r="C2296" s="424"/>
      <c r="E2296" s="418"/>
      <c r="F2296" s="493"/>
      <c r="G2296" s="418"/>
      <c r="H2296" s="421"/>
      <c r="I2296" s="421"/>
      <c r="J2296" s="492"/>
      <c r="K2296" s="418"/>
      <c r="L2296" s="418"/>
      <c r="M2296" s="418"/>
      <c r="N2296" s="421"/>
      <c r="O2296" s="421"/>
      <c r="P2296" s="421"/>
      <c r="Q2296" s="418"/>
      <c r="R2296" s="418"/>
      <c r="S2296" s="418"/>
      <c r="T2296" s="418"/>
      <c r="U2296" s="418"/>
      <c r="V2296" s="418"/>
      <c r="W2296" s="418"/>
      <c r="X2296" s="418"/>
      <c r="Y2296" s="418"/>
      <c r="Z2296" s="418"/>
      <c r="AA2296" s="418"/>
      <c r="AB2296" s="418"/>
      <c r="AC2296" s="418"/>
      <c r="AD2296" s="418"/>
      <c r="AE2296" s="418"/>
      <c r="AF2296" s="418"/>
      <c r="AG2296" s="418"/>
      <c r="AH2296" s="418"/>
      <c r="AI2296" s="418"/>
      <c r="AJ2296" s="418"/>
      <c r="AK2296" s="418"/>
      <c r="AL2296" s="418"/>
      <c r="AM2296" s="418"/>
      <c r="AN2296" s="418"/>
      <c r="AO2296" s="418"/>
      <c r="AP2296" s="418"/>
      <c r="AQ2296" s="418"/>
      <c r="AR2296" s="418"/>
      <c r="AS2296" s="418"/>
      <c r="AT2296" s="418"/>
      <c r="AU2296" s="418"/>
      <c r="AV2296" s="418"/>
      <c r="AW2296" s="418"/>
      <c r="AX2296" s="418"/>
      <c r="AY2296" s="418"/>
      <c r="BF2296" s="1119"/>
      <c r="BG2296" s="1119"/>
      <c r="BH2296" s="1119"/>
    </row>
    <row r="2297" spans="1:60" ht="15.75" customHeight="1">
      <c r="A2297" s="1076"/>
      <c r="B2297" s="416"/>
      <c r="C2297" s="424"/>
      <c r="E2297" s="418"/>
      <c r="F2297" s="493"/>
      <c r="G2297" s="418"/>
      <c r="H2297" s="421"/>
      <c r="I2297" s="421"/>
      <c r="J2297" s="492"/>
      <c r="K2297" s="418"/>
      <c r="L2297" s="418"/>
      <c r="M2297" s="418"/>
      <c r="N2297" s="421"/>
      <c r="O2297" s="421"/>
      <c r="P2297" s="421"/>
      <c r="Q2297" s="418"/>
      <c r="R2297" s="418"/>
      <c r="S2297" s="418"/>
      <c r="T2297" s="418"/>
      <c r="U2297" s="418"/>
      <c r="V2297" s="418"/>
      <c r="W2297" s="418"/>
      <c r="X2297" s="418"/>
      <c r="Y2297" s="418"/>
      <c r="Z2297" s="418"/>
      <c r="AA2297" s="418"/>
      <c r="AB2297" s="418"/>
      <c r="AC2297" s="418"/>
      <c r="AD2297" s="418"/>
      <c r="AE2297" s="418"/>
      <c r="AF2297" s="418"/>
      <c r="AG2297" s="418"/>
      <c r="AH2297" s="418"/>
      <c r="AI2297" s="418"/>
      <c r="AJ2297" s="418"/>
      <c r="AK2297" s="418"/>
      <c r="AL2297" s="418"/>
      <c r="AM2297" s="418"/>
      <c r="AN2297" s="418"/>
      <c r="AO2297" s="418"/>
      <c r="AP2297" s="418"/>
      <c r="AQ2297" s="418"/>
      <c r="AR2297" s="418"/>
      <c r="AS2297" s="418"/>
      <c r="AT2297" s="418"/>
      <c r="AU2297" s="418"/>
      <c r="AV2297" s="418"/>
      <c r="AW2297" s="418"/>
      <c r="AX2297" s="418"/>
      <c r="AY2297" s="418"/>
      <c r="BF2297" s="1119"/>
      <c r="BG2297" s="1119"/>
      <c r="BH2297" s="1119"/>
    </row>
    <row r="2298" spans="1:60" ht="15.75" customHeight="1">
      <c r="A2298" s="1076"/>
      <c r="B2298" s="416"/>
      <c r="C2298" s="424"/>
      <c r="E2298" s="418"/>
      <c r="F2298" s="493"/>
      <c r="G2298" s="418"/>
      <c r="H2298" s="421"/>
      <c r="I2298" s="421"/>
      <c r="J2298" s="492"/>
      <c r="K2298" s="418"/>
      <c r="L2298" s="418"/>
      <c r="M2298" s="418"/>
      <c r="N2298" s="421"/>
      <c r="O2298" s="421"/>
      <c r="P2298" s="421"/>
      <c r="Q2298" s="418"/>
      <c r="R2298" s="418"/>
      <c r="S2298" s="418"/>
      <c r="T2298" s="418"/>
      <c r="U2298" s="418"/>
      <c r="V2298" s="418"/>
      <c r="W2298" s="418"/>
      <c r="X2298" s="418"/>
      <c r="Y2298" s="418"/>
      <c r="Z2298" s="418"/>
      <c r="AA2298" s="418"/>
      <c r="AB2298" s="418"/>
      <c r="AC2298" s="418"/>
      <c r="AD2298" s="418"/>
      <c r="AE2298" s="418"/>
      <c r="AF2298" s="418"/>
      <c r="AG2298" s="418"/>
      <c r="AH2298" s="418"/>
      <c r="AI2298" s="418"/>
      <c r="AJ2298" s="418"/>
      <c r="AK2298" s="418"/>
      <c r="AL2298" s="418"/>
      <c r="AM2298" s="418"/>
      <c r="AN2298" s="418"/>
      <c r="AO2298" s="418"/>
      <c r="AP2298" s="418"/>
      <c r="AQ2298" s="418"/>
      <c r="AR2298" s="418"/>
      <c r="AS2298" s="418"/>
      <c r="AT2298" s="418"/>
      <c r="AU2298" s="418"/>
      <c r="AV2298" s="418"/>
      <c r="AW2298" s="418"/>
      <c r="AX2298" s="418"/>
      <c r="AY2298" s="418"/>
      <c r="BF2298" s="1119"/>
      <c r="BG2298" s="1119"/>
      <c r="BH2298" s="1119"/>
    </row>
    <row r="2299" spans="1:60" ht="15.75" customHeight="1">
      <c r="A2299" s="1076"/>
      <c r="B2299" s="416"/>
      <c r="C2299" s="424"/>
      <c r="E2299" s="418"/>
      <c r="F2299" s="493"/>
      <c r="G2299" s="418"/>
      <c r="H2299" s="421"/>
      <c r="I2299" s="421"/>
      <c r="J2299" s="492"/>
      <c r="K2299" s="418"/>
      <c r="L2299" s="418"/>
      <c r="M2299" s="418"/>
      <c r="N2299" s="421"/>
      <c r="O2299" s="421"/>
      <c r="P2299" s="421"/>
      <c r="Q2299" s="418"/>
      <c r="R2299" s="418"/>
      <c r="S2299" s="418"/>
      <c r="T2299" s="418"/>
      <c r="U2299" s="418"/>
      <c r="V2299" s="418"/>
      <c r="W2299" s="418"/>
      <c r="X2299" s="418"/>
      <c r="Y2299" s="418"/>
      <c r="Z2299" s="418"/>
      <c r="AA2299" s="418"/>
      <c r="AB2299" s="418"/>
      <c r="AC2299" s="418"/>
      <c r="AD2299" s="418"/>
      <c r="AE2299" s="418"/>
      <c r="AF2299" s="418"/>
      <c r="AG2299" s="418"/>
      <c r="AH2299" s="418"/>
      <c r="AI2299" s="418"/>
      <c r="AJ2299" s="418"/>
      <c r="AK2299" s="418"/>
      <c r="AL2299" s="418"/>
      <c r="AM2299" s="418"/>
      <c r="AN2299" s="418"/>
      <c r="AO2299" s="418"/>
      <c r="AP2299" s="418"/>
      <c r="AQ2299" s="418"/>
      <c r="AR2299" s="418"/>
      <c r="AS2299" s="418"/>
      <c r="AT2299" s="418"/>
      <c r="AU2299" s="418"/>
      <c r="AV2299" s="418"/>
      <c r="AW2299" s="418"/>
      <c r="AX2299" s="418"/>
      <c r="AY2299" s="418"/>
      <c r="BF2299" s="1119"/>
      <c r="BG2299" s="1119"/>
      <c r="BH2299" s="1119"/>
    </row>
    <row r="2300" spans="1:60" ht="15.75" customHeight="1">
      <c r="A2300" s="1076"/>
      <c r="B2300" s="416"/>
      <c r="C2300" s="424"/>
      <c r="E2300" s="418"/>
      <c r="F2300" s="493"/>
      <c r="G2300" s="418"/>
      <c r="H2300" s="418"/>
      <c r="I2300" s="418"/>
      <c r="J2300" s="424"/>
      <c r="K2300" s="418"/>
      <c r="L2300" s="418"/>
      <c r="M2300" s="418"/>
      <c r="N2300" s="421"/>
      <c r="O2300" s="421"/>
      <c r="P2300" s="421"/>
      <c r="Q2300" s="418"/>
      <c r="R2300" s="418"/>
      <c r="S2300" s="418"/>
      <c r="T2300" s="418"/>
      <c r="U2300" s="418"/>
      <c r="V2300" s="418"/>
      <c r="W2300" s="418"/>
      <c r="X2300" s="418"/>
      <c r="Y2300" s="418"/>
      <c r="Z2300" s="418"/>
      <c r="AA2300" s="418"/>
      <c r="AB2300" s="418"/>
      <c r="AC2300" s="418"/>
      <c r="AD2300" s="418"/>
      <c r="AE2300" s="418"/>
      <c r="AF2300" s="418"/>
      <c r="AG2300" s="418"/>
      <c r="AH2300" s="418"/>
      <c r="AI2300" s="418"/>
      <c r="AJ2300" s="418"/>
      <c r="AK2300" s="418"/>
      <c r="AL2300" s="418"/>
      <c r="AM2300" s="418"/>
      <c r="AN2300" s="418"/>
      <c r="AO2300" s="418"/>
      <c r="AP2300" s="418"/>
      <c r="AQ2300" s="418"/>
      <c r="AR2300" s="418"/>
      <c r="AS2300" s="418"/>
      <c r="AT2300" s="418"/>
      <c r="AU2300" s="418"/>
      <c r="AV2300" s="418"/>
      <c r="AW2300" s="418"/>
      <c r="AX2300" s="418"/>
      <c r="AY2300" s="418"/>
      <c r="BF2300" s="1119"/>
      <c r="BG2300" s="1119"/>
      <c r="BH2300" s="1119"/>
    </row>
    <row r="2301" spans="1:60" ht="15.75" customHeight="1">
      <c r="A2301" s="1076"/>
      <c r="B2301" s="416"/>
      <c r="C2301" s="424"/>
      <c r="E2301" s="418"/>
      <c r="F2301" s="493"/>
      <c r="G2301" s="418"/>
      <c r="H2301" s="418"/>
      <c r="I2301" s="418"/>
      <c r="J2301" s="424"/>
      <c r="K2301" s="418"/>
      <c r="L2301" s="418"/>
      <c r="M2301" s="418"/>
      <c r="N2301" s="421"/>
      <c r="O2301" s="421"/>
      <c r="P2301" s="421"/>
      <c r="Q2301" s="418"/>
      <c r="R2301" s="418"/>
      <c r="S2301" s="418"/>
      <c r="T2301" s="418"/>
      <c r="U2301" s="418"/>
      <c r="V2301" s="418"/>
      <c r="W2301" s="418"/>
      <c r="X2301" s="418"/>
      <c r="Y2301" s="418"/>
      <c r="Z2301" s="418"/>
      <c r="AA2301" s="418"/>
      <c r="AB2301" s="418"/>
      <c r="AC2301" s="418"/>
      <c r="AD2301" s="418"/>
      <c r="AE2301" s="418"/>
      <c r="AF2301" s="418"/>
      <c r="AG2301" s="418"/>
      <c r="AH2301" s="418"/>
      <c r="AI2301" s="418"/>
      <c r="AJ2301" s="418"/>
      <c r="AK2301" s="418"/>
      <c r="AL2301" s="418"/>
      <c r="AM2301" s="418"/>
      <c r="AN2301" s="418"/>
      <c r="AO2301" s="418"/>
      <c r="AP2301" s="418"/>
      <c r="AQ2301" s="418"/>
      <c r="AR2301" s="418"/>
      <c r="AS2301" s="418"/>
      <c r="AT2301" s="418"/>
      <c r="AU2301" s="418"/>
      <c r="AV2301" s="418"/>
      <c r="AW2301" s="418"/>
      <c r="AX2301" s="418"/>
      <c r="AY2301" s="418"/>
      <c r="BF2301" s="1119"/>
      <c r="BG2301" s="1119"/>
      <c r="BH2301" s="1119"/>
    </row>
    <row r="2302" spans="1:60" ht="15.75" customHeight="1">
      <c r="A2302" s="1076"/>
      <c r="B2302" s="416"/>
      <c r="C2302" s="424"/>
      <c r="E2302" s="418"/>
      <c r="F2302" s="493"/>
      <c r="G2302" s="418"/>
      <c r="H2302" s="421"/>
      <c r="I2302" s="421"/>
      <c r="J2302" s="492"/>
      <c r="K2302" s="418"/>
      <c r="L2302" s="418"/>
      <c r="M2302" s="418"/>
      <c r="N2302" s="421"/>
      <c r="O2302" s="421"/>
      <c r="P2302" s="421"/>
      <c r="Q2302" s="418"/>
      <c r="R2302" s="418"/>
      <c r="S2302" s="418"/>
      <c r="T2302" s="418"/>
      <c r="U2302" s="418"/>
      <c r="V2302" s="418"/>
      <c r="W2302" s="418"/>
      <c r="X2302" s="418"/>
      <c r="Y2302" s="418"/>
      <c r="Z2302" s="418"/>
      <c r="AA2302" s="418"/>
      <c r="AB2302" s="418"/>
      <c r="AC2302" s="418"/>
      <c r="AD2302" s="418"/>
      <c r="AE2302" s="418"/>
      <c r="AF2302" s="418"/>
      <c r="AG2302" s="418"/>
      <c r="AH2302" s="418"/>
      <c r="AI2302" s="418"/>
      <c r="AJ2302" s="418"/>
      <c r="AK2302" s="418"/>
      <c r="AL2302" s="418"/>
      <c r="AM2302" s="418"/>
      <c r="AN2302" s="418"/>
      <c r="AO2302" s="418"/>
      <c r="AP2302" s="418"/>
      <c r="AQ2302" s="418"/>
      <c r="AR2302" s="418"/>
      <c r="AS2302" s="418"/>
      <c r="AT2302" s="418"/>
      <c r="AU2302" s="418"/>
      <c r="AV2302" s="418"/>
      <c r="AW2302" s="418"/>
      <c r="AX2302" s="418"/>
      <c r="AY2302" s="418"/>
      <c r="BF2302" s="1119"/>
      <c r="BG2302" s="1119"/>
      <c r="BH2302" s="1119"/>
    </row>
    <row r="2303" spans="1:60" ht="15.75" customHeight="1">
      <c r="A2303" s="1076"/>
      <c r="B2303" s="416"/>
      <c r="C2303" s="424"/>
      <c r="E2303" s="418"/>
      <c r="F2303" s="493"/>
      <c r="G2303" s="418"/>
      <c r="H2303" s="421"/>
      <c r="I2303" s="421"/>
      <c r="J2303" s="492"/>
      <c r="K2303" s="418"/>
      <c r="L2303" s="418"/>
      <c r="M2303" s="418"/>
      <c r="N2303" s="421"/>
      <c r="O2303" s="421"/>
      <c r="P2303" s="421"/>
      <c r="Q2303" s="418"/>
      <c r="R2303" s="418"/>
      <c r="S2303" s="418"/>
      <c r="T2303" s="418"/>
      <c r="U2303" s="418"/>
      <c r="V2303" s="418"/>
      <c r="W2303" s="418"/>
      <c r="X2303" s="418"/>
      <c r="Y2303" s="418"/>
      <c r="Z2303" s="418"/>
      <c r="AA2303" s="418"/>
      <c r="AB2303" s="418"/>
      <c r="AC2303" s="418"/>
      <c r="AD2303" s="418"/>
      <c r="AE2303" s="418"/>
      <c r="AF2303" s="418"/>
      <c r="AG2303" s="418"/>
      <c r="AH2303" s="418"/>
      <c r="AI2303" s="418"/>
      <c r="AJ2303" s="418"/>
      <c r="AK2303" s="418"/>
      <c r="AL2303" s="418"/>
      <c r="AM2303" s="418"/>
      <c r="AN2303" s="418"/>
      <c r="AO2303" s="418"/>
      <c r="AP2303" s="418"/>
      <c r="AQ2303" s="418"/>
      <c r="AR2303" s="418"/>
      <c r="AS2303" s="418"/>
      <c r="AT2303" s="418"/>
      <c r="AU2303" s="418"/>
      <c r="AV2303" s="418"/>
      <c r="AW2303" s="418"/>
      <c r="AX2303" s="418"/>
      <c r="AY2303" s="418"/>
      <c r="BF2303" s="1119"/>
      <c r="BG2303" s="1119"/>
      <c r="BH2303" s="1119"/>
    </row>
    <row r="2304" spans="1:60" ht="15.75" customHeight="1">
      <c r="A2304" s="1076"/>
      <c r="B2304" s="416"/>
      <c r="C2304" s="424"/>
      <c r="E2304" s="418"/>
      <c r="F2304" s="493"/>
      <c r="G2304" s="418"/>
      <c r="H2304" s="421"/>
      <c r="I2304" s="421"/>
      <c r="J2304" s="492"/>
      <c r="K2304" s="418"/>
      <c r="L2304" s="418"/>
      <c r="M2304" s="418"/>
      <c r="N2304" s="421"/>
      <c r="O2304" s="421"/>
      <c r="P2304" s="421"/>
      <c r="Q2304" s="418"/>
      <c r="R2304" s="418"/>
      <c r="S2304" s="418"/>
      <c r="T2304" s="418"/>
      <c r="U2304" s="418"/>
      <c r="V2304" s="418"/>
      <c r="W2304" s="418"/>
      <c r="X2304" s="418"/>
      <c r="Y2304" s="418"/>
      <c r="Z2304" s="418"/>
      <c r="AA2304" s="418"/>
      <c r="AB2304" s="418"/>
      <c r="AC2304" s="418"/>
      <c r="AD2304" s="418"/>
      <c r="AE2304" s="418"/>
      <c r="AF2304" s="418"/>
      <c r="AG2304" s="418"/>
      <c r="AH2304" s="418"/>
      <c r="AI2304" s="418"/>
      <c r="AJ2304" s="418"/>
      <c r="AK2304" s="418"/>
      <c r="AL2304" s="418"/>
      <c r="AM2304" s="418"/>
      <c r="AN2304" s="418"/>
      <c r="AO2304" s="418"/>
      <c r="AP2304" s="418"/>
      <c r="AQ2304" s="418"/>
      <c r="AR2304" s="418"/>
      <c r="AS2304" s="418"/>
      <c r="AT2304" s="418"/>
      <c r="AU2304" s="418"/>
      <c r="AV2304" s="418"/>
      <c r="AW2304" s="418"/>
      <c r="AX2304" s="418"/>
      <c r="AY2304" s="418"/>
      <c r="BF2304" s="1119"/>
      <c r="BG2304" s="1119"/>
      <c r="BH2304" s="1119"/>
    </row>
    <row r="2305" spans="1:60" ht="15.75" customHeight="1">
      <c r="A2305" s="1076"/>
      <c r="B2305" s="416"/>
      <c r="C2305" s="424"/>
      <c r="E2305" s="418"/>
      <c r="F2305" s="493"/>
      <c r="G2305" s="418"/>
      <c r="H2305" s="421"/>
      <c r="I2305" s="421"/>
      <c r="J2305" s="492"/>
      <c r="K2305" s="418"/>
      <c r="L2305" s="418"/>
      <c r="M2305" s="418"/>
      <c r="N2305" s="421"/>
      <c r="O2305" s="421"/>
      <c r="P2305" s="421"/>
      <c r="Q2305" s="418"/>
      <c r="R2305" s="418"/>
      <c r="S2305" s="418"/>
      <c r="T2305" s="418"/>
      <c r="U2305" s="418"/>
      <c r="V2305" s="418"/>
      <c r="W2305" s="418"/>
      <c r="X2305" s="418"/>
      <c r="Y2305" s="418"/>
      <c r="Z2305" s="418"/>
      <c r="AA2305" s="418"/>
      <c r="AB2305" s="418"/>
      <c r="AC2305" s="418"/>
      <c r="AD2305" s="418"/>
      <c r="AE2305" s="418"/>
      <c r="AF2305" s="418"/>
      <c r="AG2305" s="418"/>
      <c r="AH2305" s="418"/>
      <c r="AI2305" s="418"/>
      <c r="AJ2305" s="418"/>
      <c r="AK2305" s="418"/>
      <c r="AL2305" s="418"/>
      <c r="AM2305" s="418"/>
      <c r="AN2305" s="418"/>
      <c r="AO2305" s="418"/>
      <c r="AP2305" s="418"/>
      <c r="AQ2305" s="418"/>
      <c r="AR2305" s="418"/>
      <c r="AS2305" s="418"/>
      <c r="AT2305" s="418"/>
      <c r="AU2305" s="418"/>
      <c r="AV2305" s="418"/>
      <c r="AW2305" s="418"/>
      <c r="AX2305" s="418"/>
      <c r="AY2305" s="418"/>
      <c r="BF2305" s="1119"/>
      <c r="BG2305" s="1119"/>
      <c r="BH2305" s="1119"/>
    </row>
    <row r="2306" spans="1:60" ht="15.75" customHeight="1">
      <c r="A2306" s="1076"/>
      <c r="B2306" s="416"/>
      <c r="C2306" s="424"/>
      <c r="E2306" s="418"/>
      <c r="F2306" s="493"/>
      <c r="G2306" s="418"/>
      <c r="H2306" s="421"/>
      <c r="I2306" s="421"/>
      <c r="J2306" s="492"/>
      <c r="K2306" s="418"/>
      <c r="L2306" s="418"/>
      <c r="M2306" s="418"/>
      <c r="N2306" s="421"/>
      <c r="O2306" s="421"/>
      <c r="P2306" s="421"/>
      <c r="Q2306" s="418"/>
      <c r="R2306" s="418"/>
      <c r="S2306" s="418"/>
      <c r="T2306" s="418"/>
      <c r="U2306" s="418"/>
      <c r="V2306" s="418"/>
      <c r="W2306" s="418"/>
      <c r="X2306" s="418"/>
      <c r="Y2306" s="418"/>
      <c r="Z2306" s="418"/>
      <c r="AA2306" s="418"/>
      <c r="AB2306" s="418"/>
      <c r="AC2306" s="418"/>
      <c r="AD2306" s="418"/>
      <c r="AE2306" s="418"/>
      <c r="AF2306" s="418"/>
      <c r="AG2306" s="418"/>
      <c r="AH2306" s="418"/>
      <c r="AI2306" s="418"/>
      <c r="AJ2306" s="418"/>
      <c r="AK2306" s="418"/>
      <c r="AL2306" s="418"/>
      <c r="AM2306" s="418"/>
      <c r="AN2306" s="418"/>
      <c r="AO2306" s="418"/>
      <c r="AP2306" s="418"/>
      <c r="AQ2306" s="418"/>
      <c r="AR2306" s="418"/>
      <c r="AS2306" s="418"/>
      <c r="AT2306" s="418"/>
      <c r="AU2306" s="418"/>
      <c r="AV2306" s="418"/>
      <c r="AW2306" s="418"/>
      <c r="AX2306" s="418"/>
      <c r="AY2306" s="418"/>
      <c r="BF2306" s="1119"/>
      <c r="BG2306" s="1119"/>
      <c r="BH2306" s="1119"/>
    </row>
    <row r="2307" spans="1:60" ht="15.75" customHeight="1">
      <c r="A2307" s="1076"/>
      <c r="B2307" s="416"/>
      <c r="C2307" s="424"/>
      <c r="E2307" s="418"/>
      <c r="F2307" s="493"/>
      <c r="G2307" s="418"/>
      <c r="H2307" s="421"/>
      <c r="I2307" s="421"/>
      <c r="J2307" s="492"/>
      <c r="K2307" s="418"/>
      <c r="L2307" s="418"/>
      <c r="M2307" s="418"/>
      <c r="N2307" s="421"/>
      <c r="O2307" s="421"/>
      <c r="P2307" s="421"/>
      <c r="Q2307" s="418"/>
      <c r="R2307" s="418"/>
      <c r="S2307" s="418"/>
      <c r="T2307" s="418"/>
      <c r="U2307" s="418"/>
      <c r="V2307" s="418"/>
      <c r="W2307" s="418"/>
      <c r="X2307" s="418"/>
      <c r="Y2307" s="418"/>
      <c r="Z2307" s="418"/>
      <c r="AA2307" s="418"/>
      <c r="AB2307" s="418"/>
      <c r="AC2307" s="418"/>
      <c r="AD2307" s="418"/>
      <c r="AE2307" s="418"/>
      <c r="AF2307" s="418"/>
      <c r="AG2307" s="418"/>
      <c r="AH2307" s="418"/>
      <c r="AI2307" s="418"/>
      <c r="AJ2307" s="418"/>
      <c r="AK2307" s="418"/>
      <c r="AL2307" s="418"/>
      <c r="AM2307" s="418"/>
      <c r="AN2307" s="418"/>
      <c r="AO2307" s="418"/>
      <c r="AP2307" s="418"/>
      <c r="AQ2307" s="418"/>
      <c r="AR2307" s="418"/>
      <c r="AS2307" s="418"/>
      <c r="AT2307" s="418"/>
      <c r="AU2307" s="418"/>
      <c r="AV2307" s="418"/>
      <c r="AW2307" s="418"/>
      <c r="AX2307" s="418"/>
      <c r="AY2307" s="418"/>
      <c r="BF2307" s="1119"/>
      <c r="BG2307" s="1119"/>
      <c r="BH2307" s="1119"/>
    </row>
    <row r="2308" spans="1:60" ht="15.75" customHeight="1">
      <c r="A2308" s="1076"/>
      <c r="B2308" s="416"/>
      <c r="C2308" s="424"/>
      <c r="E2308" s="418"/>
      <c r="F2308" s="493"/>
      <c r="G2308" s="418"/>
      <c r="H2308" s="421"/>
      <c r="I2308" s="421"/>
      <c r="J2308" s="492"/>
      <c r="K2308" s="418"/>
      <c r="L2308" s="418"/>
      <c r="M2308" s="418"/>
      <c r="N2308" s="421"/>
      <c r="O2308" s="421"/>
      <c r="P2308" s="421"/>
      <c r="Q2308" s="418"/>
      <c r="R2308" s="418"/>
      <c r="S2308" s="418"/>
      <c r="T2308" s="418"/>
      <c r="U2308" s="418"/>
      <c r="V2308" s="418"/>
      <c r="W2308" s="418"/>
      <c r="X2308" s="418"/>
      <c r="Y2308" s="418"/>
      <c r="Z2308" s="418"/>
      <c r="AA2308" s="418"/>
      <c r="AB2308" s="418"/>
      <c r="AC2308" s="418"/>
      <c r="AD2308" s="418"/>
      <c r="AE2308" s="418"/>
      <c r="AF2308" s="418"/>
      <c r="AG2308" s="418"/>
      <c r="AH2308" s="418"/>
      <c r="AI2308" s="418"/>
      <c r="AJ2308" s="418"/>
      <c r="AK2308" s="418"/>
      <c r="AL2308" s="418"/>
      <c r="AM2308" s="418"/>
      <c r="AN2308" s="418"/>
      <c r="AO2308" s="418"/>
      <c r="AP2308" s="418"/>
      <c r="AQ2308" s="418"/>
      <c r="AR2308" s="418"/>
      <c r="AS2308" s="418"/>
      <c r="AT2308" s="418"/>
      <c r="AU2308" s="418"/>
      <c r="AV2308" s="418"/>
      <c r="AW2308" s="418"/>
      <c r="AX2308" s="418"/>
      <c r="AY2308" s="418"/>
      <c r="BF2308" s="1119"/>
      <c r="BG2308" s="1119"/>
      <c r="BH2308" s="1119"/>
    </row>
    <row r="2309" spans="1:60" ht="15.75" customHeight="1">
      <c r="A2309" s="1076"/>
      <c r="B2309" s="416"/>
      <c r="C2309" s="424"/>
      <c r="E2309" s="418"/>
      <c r="F2309" s="493"/>
      <c r="G2309" s="418"/>
      <c r="H2309" s="421"/>
      <c r="I2309" s="421"/>
      <c r="J2309" s="492"/>
      <c r="K2309" s="418"/>
      <c r="L2309" s="418"/>
      <c r="M2309" s="418"/>
      <c r="N2309" s="421"/>
      <c r="O2309" s="421"/>
      <c r="P2309" s="421"/>
      <c r="Q2309" s="418"/>
      <c r="R2309" s="418"/>
      <c r="S2309" s="418"/>
      <c r="T2309" s="418"/>
      <c r="U2309" s="418"/>
      <c r="V2309" s="418"/>
      <c r="W2309" s="418"/>
      <c r="X2309" s="418"/>
      <c r="Y2309" s="418"/>
      <c r="Z2309" s="418"/>
      <c r="AA2309" s="418"/>
      <c r="AB2309" s="418"/>
      <c r="AC2309" s="418"/>
      <c r="AD2309" s="418"/>
      <c r="AE2309" s="418"/>
      <c r="AF2309" s="418"/>
      <c r="AG2309" s="418"/>
      <c r="AH2309" s="418"/>
      <c r="AI2309" s="418"/>
      <c r="AJ2309" s="418"/>
      <c r="AK2309" s="418"/>
      <c r="AL2309" s="418"/>
      <c r="AM2309" s="418"/>
      <c r="AN2309" s="418"/>
      <c r="AO2309" s="418"/>
      <c r="AP2309" s="418"/>
      <c r="AQ2309" s="418"/>
      <c r="AR2309" s="418"/>
      <c r="AS2309" s="418"/>
      <c r="AT2309" s="418"/>
      <c r="AU2309" s="418"/>
      <c r="AV2309" s="418"/>
      <c r="AW2309" s="418"/>
      <c r="AX2309" s="418"/>
      <c r="AY2309" s="418"/>
      <c r="BF2309" s="1119"/>
      <c r="BG2309" s="1119"/>
      <c r="BH2309" s="1119"/>
    </row>
    <row r="2310" spans="1:60" ht="15.75" customHeight="1">
      <c r="A2310" s="1076"/>
      <c r="B2310" s="416"/>
      <c r="C2310" s="424"/>
      <c r="E2310" s="418"/>
      <c r="F2310" s="493"/>
      <c r="G2310" s="418"/>
      <c r="H2310" s="421"/>
      <c r="I2310" s="421"/>
      <c r="J2310" s="492"/>
      <c r="K2310" s="418"/>
      <c r="L2310" s="418"/>
      <c r="M2310" s="418"/>
      <c r="N2310" s="421"/>
      <c r="O2310" s="421"/>
      <c r="P2310" s="421"/>
      <c r="Q2310" s="418"/>
      <c r="R2310" s="418"/>
      <c r="S2310" s="418"/>
      <c r="T2310" s="418"/>
      <c r="U2310" s="418"/>
      <c r="V2310" s="418"/>
      <c r="W2310" s="418"/>
      <c r="X2310" s="418"/>
      <c r="Y2310" s="418"/>
      <c r="Z2310" s="418"/>
      <c r="AA2310" s="418"/>
      <c r="AB2310" s="418"/>
      <c r="AC2310" s="418"/>
      <c r="AD2310" s="418"/>
      <c r="AE2310" s="418"/>
      <c r="AF2310" s="418"/>
      <c r="AG2310" s="418"/>
      <c r="AH2310" s="418"/>
      <c r="AI2310" s="418"/>
      <c r="AJ2310" s="418"/>
      <c r="AK2310" s="418"/>
      <c r="AL2310" s="418"/>
      <c r="AM2310" s="418"/>
      <c r="AN2310" s="418"/>
      <c r="AO2310" s="418"/>
      <c r="AP2310" s="418"/>
      <c r="AQ2310" s="418"/>
      <c r="AR2310" s="418"/>
      <c r="AS2310" s="418"/>
      <c r="AT2310" s="418"/>
      <c r="AU2310" s="418"/>
      <c r="AV2310" s="418"/>
      <c r="AW2310" s="418"/>
      <c r="AX2310" s="418"/>
      <c r="AY2310" s="418"/>
      <c r="BF2310" s="1119"/>
      <c r="BG2310" s="1119"/>
      <c r="BH2310" s="1119"/>
    </row>
    <row r="2311" spans="1:60" ht="15.75" customHeight="1">
      <c r="A2311" s="1076"/>
      <c r="B2311" s="416"/>
      <c r="C2311" s="424"/>
      <c r="E2311" s="418"/>
      <c r="F2311" s="493"/>
      <c r="G2311" s="418"/>
      <c r="H2311" s="421"/>
      <c r="I2311" s="421"/>
      <c r="J2311" s="492"/>
      <c r="K2311" s="418"/>
      <c r="L2311" s="418"/>
      <c r="M2311" s="418"/>
      <c r="N2311" s="421"/>
      <c r="O2311" s="421"/>
      <c r="P2311" s="421"/>
      <c r="Q2311" s="418"/>
      <c r="R2311" s="418"/>
      <c r="S2311" s="418"/>
      <c r="T2311" s="418"/>
      <c r="U2311" s="418"/>
      <c r="V2311" s="418"/>
      <c r="W2311" s="418"/>
      <c r="X2311" s="418"/>
      <c r="Y2311" s="418"/>
      <c r="Z2311" s="418"/>
      <c r="AA2311" s="418"/>
      <c r="AB2311" s="418"/>
      <c r="AC2311" s="418"/>
      <c r="AD2311" s="418"/>
      <c r="AE2311" s="418"/>
      <c r="AF2311" s="418"/>
      <c r="AG2311" s="418"/>
      <c r="AH2311" s="418"/>
      <c r="AI2311" s="418"/>
      <c r="AJ2311" s="418"/>
      <c r="AK2311" s="418"/>
      <c r="AL2311" s="418"/>
      <c r="AM2311" s="418"/>
      <c r="AN2311" s="418"/>
      <c r="AO2311" s="418"/>
      <c r="AP2311" s="418"/>
      <c r="AQ2311" s="418"/>
      <c r="AR2311" s="418"/>
      <c r="AS2311" s="418"/>
      <c r="AT2311" s="418"/>
      <c r="AU2311" s="418"/>
      <c r="AV2311" s="418"/>
      <c r="AW2311" s="418"/>
      <c r="AX2311" s="418"/>
      <c r="AY2311" s="418"/>
      <c r="BF2311" s="1119"/>
      <c r="BG2311" s="1119"/>
      <c r="BH2311" s="1119"/>
    </row>
    <row r="2312" spans="1:60" ht="15.75" customHeight="1">
      <c r="A2312" s="1076"/>
      <c r="B2312" s="416"/>
      <c r="C2312" s="424"/>
      <c r="E2312" s="418"/>
      <c r="F2312" s="493"/>
      <c r="G2312" s="418"/>
      <c r="H2312" s="418"/>
      <c r="I2312" s="418"/>
      <c r="J2312" s="424"/>
      <c r="K2312" s="418"/>
      <c r="L2312" s="418"/>
      <c r="M2312" s="418"/>
      <c r="N2312" s="421"/>
      <c r="O2312" s="421"/>
      <c r="P2312" s="421"/>
      <c r="Q2312" s="418"/>
      <c r="R2312" s="418"/>
      <c r="S2312" s="418"/>
      <c r="T2312" s="418"/>
      <c r="U2312" s="418"/>
      <c r="V2312" s="418"/>
      <c r="W2312" s="418"/>
      <c r="X2312" s="418"/>
      <c r="Y2312" s="418"/>
      <c r="Z2312" s="418"/>
      <c r="AA2312" s="418"/>
      <c r="AB2312" s="418"/>
      <c r="AC2312" s="418"/>
      <c r="AD2312" s="418"/>
      <c r="AE2312" s="418"/>
      <c r="AF2312" s="418"/>
      <c r="AG2312" s="418"/>
      <c r="AH2312" s="418"/>
      <c r="AI2312" s="418"/>
      <c r="AJ2312" s="418"/>
      <c r="AK2312" s="418"/>
      <c r="AL2312" s="418"/>
      <c r="AM2312" s="418"/>
      <c r="AN2312" s="418"/>
      <c r="AO2312" s="418"/>
      <c r="AP2312" s="418"/>
      <c r="AQ2312" s="418"/>
      <c r="AR2312" s="418"/>
      <c r="AS2312" s="418"/>
      <c r="AT2312" s="418"/>
      <c r="AU2312" s="418"/>
      <c r="AV2312" s="418"/>
      <c r="AW2312" s="418"/>
      <c r="AX2312" s="418"/>
      <c r="AY2312" s="418"/>
      <c r="BF2312" s="1119"/>
      <c r="BG2312" s="1119"/>
      <c r="BH2312" s="1119"/>
    </row>
    <row r="2313" spans="1:60" ht="15.75" customHeight="1">
      <c r="A2313" s="1076"/>
      <c r="B2313" s="416"/>
      <c r="C2313" s="424"/>
      <c r="E2313" s="418"/>
      <c r="F2313" s="493"/>
      <c r="G2313" s="418"/>
      <c r="H2313" s="421"/>
      <c r="I2313" s="421"/>
      <c r="J2313" s="492"/>
      <c r="K2313" s="418"/>
      <c r="L2313" s="418"/>
      <c r="M2313" s="418"/>
      <c r="N2313" s="421"/>
      <c r="O2313" s="421"/>
      <c r="P2313" s="421"/>
      <c r="Q2313" s="418"/>
      <c r="R2313" s="418"/>
      <c r="S2313" s="418"/>
      <c r="T2313" s="418"/>
      <c r="U2313" s="418"/>
      <c r="V2313" s="418"/>
      <c r="W2313" s="418"/>
      <c r="X2313" s="418"/>
      <c r="Y2313" s="418"/>
      <c r="Z2313" s="418"/>
      <c r="AA2313" s="418"/>
      <c r="AB2313" s="418"/>
      <c r="AC2313" s="418"/>
      <c r="AD2313" s="418"/>
      <c r="AE2313" s="418"/>
      <c r="AF2313" s="418"/>
      <c r="AG2313" s="418"/>
      <c r="AH2313" s="418"/>
      <c r="AI2313" s="418"/>
      <c r="AJ2313" s="418"/>
      <c r="AK2313" s="418"/>
      <c r="AL2313" s="418"/>
      <c r="AM2313" s="418"/>
      <c r="AN2313" s="418"/>
      <c r="AO2313" s="418"/>
      <c r="AP2313" s="418"/>
      <c r="AQ2313" s="418"/>
      <c r="AR2313" s="418"/>
      <c r="AS2313" s="418"/>
      <c r="AT2313" s="418"/>
      <c r="AU2313" s="418"/>
      <c r="AV2313" s="418"/>
      <c r="AW2313" s="418"/>
      <c r="AX2313" s="418"/>
      <c r="AY2313" s="418"/>
      <c r="BF2313" s="1119"/>
      <c r="BG2313" s="1119"/>
      <c r="BH2313" s="1119"/>
    </row>
    <row r="2314" spans="1:60" ht="15.75" customHeight="1">
      <c r="A2314" s="1076"/>
      <c r="B2314" s="416"/>
      <c r="C2314" s="424"/>
      <c r="E2314" s="418"/>
      <c r="F2314" s="493"/>
      <c r="G2314" s="418"/>
      <c r="H2314" s="421"/>
      <c r="I2314" s="421"/>
      <c r="J2314" s="492"/>
      <c r="K2314" s="418"/>
      <c r="L2314" s="418"/>
      <c r="M2314" s="418"/>
      <c r="N2314" s="421"/>
      <c r="O2314" s="421"/>
      <c r="P2314" s="421"/>
      <c r="Q2314" s="418"/>
      <c r="R2314" s="418"/>
      <c r="S2314" s="418"/>
      <c r="T2314" s="418"/>
      <c r="U2314" s="418"/>
      <c r="V2314" s="418"/>
      <c r="W2314" s="418"/>
      <c r="X2314" s="418"/>
      <c r="Y2314" s="418"/>
      <c r="Z2314" s="418"/>
      <c r="AA2314" s="418"/>
      <c r="AB2314" s="418"/>
      <c r="AC2314" s="418"/>
      <c r="AD2314" s="418"/>
      <c r="AE2314" s="418"/>
      <c r="AF2314" s="418"/>
      <c r="AG2314" s="418"/>
      <c r="AH2314" s="418"/>
      <c r="AI2314" s="418"/>
      <c r="AJ2314" s="418"/>
      <c r="AK2314" s="418"/>
      <c r="AL2314" s="418"/>
      <c r="AM2314" s="418"/>
      <c r="AN2314" s="418"/>
      <c r="AO2314" s="418"/>
      <c r="AP2314" s="418"/>
      <c r="AQ2314" s="418"/>
      <c r="AR2314" s="418"/>
      <c r="AS2314" s="418"/>
      <c r="AT2314" s="418"/>
      <c r="AU2314" s="418"/>
      <c r="AV2314" s="418"/>
      <c r="AW2314" s="418"/>
      <c r="AX2314" s="418"/>
      <c r="AY2314" s="418"/>
      <c r="BF2314" s="1119"/>
      <c r="BG2314" s="1119"/>
      <c r="BH2314" s="1119"/>
    </row>
    <row r="2315" spans="1:60" ht="15.75" customHeight="1">
      <c r="A2315" s="1076"/>
      <c r="B2315" s="416"/>
      <c r="C2315" s="424"/>
      <c r="E2315" s="418"/>
      <c r="F2315" s="493"/>
      <c r="G2315" s="418"/>
      <c r="H2315" s="421"/>
      <c r="I2315" s="421"/>
      <c r="J2315" s="492"/>
      <c r="K2315" s="418"/>
      <c r="L2315" s="418"/>
      <c r="M2315" s="418"/>
      <c r="N2315" s="421"/>
      <c r="O2315" s="421"/>
      <c r="P2315" s="421"/>
      <c r="Q2315" s="418"/>
      <c r="R2315" s="418"/>
      <c r="S2315" s="418"/>
      <c r="T2315" s="418"/>
      <c r="U2315" s="418"/>
      <c r="V2315" s="418"/>
      <c r="W2315" s="418"/>
      <c r="X2315" s="418"/>
      <c r="Y2315" s="418"/>
      <c r="Z2315" s="418"/>
      <c r="AA2315" s="418"/>
      <c r="AB2315" s="418"/>
      <c r="AC2315" s="418"/>
      <c r="AD2315" s="418"/>
      <c r="AE2315" s="418"/>
      <c r="AF2315" s="418"/>
      <c r="AG2315" s="418"/>
      <c r="AH2315" s="418"/>
      <c r="AI2315" s="418"/>
      <c r="AJ2315" s="418"/>
      <c r="AK2315" s="418"/>
      <c r="AL2315" s="418"/>
      <c r="AM2315" s="418"/>
      <c r="AN2315" s="418"/>
      <c r="AO2315" s="418"/>
      <c r="AP2315" s="418"/>
      <c r="AQ2315" s="418"/>
      <c r="AR2315" s="418"/>
      <c r="AS2315" s="418"/>
      <c r="AT2315" s="418"/>
      <c r="AU2315" s="418"/>
      <c r="AV2315" s="418"/>
      <c r="AW2315" s="418"/>
      <c r="AX2315" s="418"/>
      <c r="AY2315" s="418"/>
      <c r="BF2315" s="1119"/>
      <c r="BG2315" s="1119"/>
      <c r="BH2315" s="1119"/>
    </row>
    <row r="2316" spans="1:60" ht="15.75" customHeight="1">
      <c r="A2316" s="1076"/>
      <c r="B2316" s="416"/>
      <c r="C2316" s="424"/>
      <c r="E2316" s="418"/>
      <c r="F2316" s="493"/>
      <c r="G2316" s="418"/>
      <c r="H2316" s="421"/>
      <c r="I2316" s="421"/>
      <c r="J2316" s="492"/>
      <c r="K2316" s="418"/>
      <c r="L2316" s="418"/>
      <c r="M2316" s="418"/>
      <c r="N2316" s="421"/>
      <c r="O2316" s="421"/>
      <c r="P2316" s="421"/>
      <c r="Q2316" s="418"/>
      <c r="R2316" s="418"/>
      <c r="S2316" s="418"/>
      <c r="T2316" s="418"/>
      <c r="U2316" s="418"/>
      <c r="V2316" s="418"/>
      <c r="W2316" s="418"/>
      <c r="X2316" s="418"/>
      <c r="Y2316" s="418"/>
      <c r="Z2316" s="418"/>
      <c r="AA2316" s="418"/>
      <c r="AB2316" s="418"/>
      <c r="AC2316" s="418"/>
      <c r="AD2316" s="418"/>
      <c r="AE2316" s="418"/>
      <c r="AF2316" s="418"/>
      <c r="AG2316" s="418"/>
      <c r="AH2316" s="418"/>
      <c r="AI2316" s="418"/>
      <c r="AJ2316" s="418"/>
      <c r="AK2316" s="418"/>
      <c r="AL2316" s="418"/>
      <c r="AM2316" s="418"/>
      <c r="AN2316" s="418"/>
      <c r="AO2316" s="418"/>
      <c r="AP2316" s="418"/>
      <c r="AQ2316" s="418"/>
      <c r="AR2316" s="418"/>
      <c r="AS2316" s="418"/>
      <c r="AT2316" s="418"/>
      <c r="AU2316" s="418"/>
      <c r="AV2316" s="418"/>
      <c r="AW2316" s="418"/>
      <c r="AX2316" s="418"/>
      <c r="AY2316" s="418"/>
      <c r="BF2316" s="1119"/>
      <c r="BG2316" s="1119"/>
      <c r="BH2316" s="1119"/>
    </row>
    <row r="2317" spans="1:60" ht="15.75" customHeight="1">
      <c r="A2317" s="1076"/>
      <c r="B2317" s="416"/>
      <c r="C2317" s="424"/>
      <c r="E2317" s="418"/>
      <c r="F2317" s="493"/>
      <c r="G2317" s="418"/>
      <c r="H2317" s="421"/>
      <c r="I2317" s="421"/>
      <c r="J2317" s="492"/>
      <c r="K2317" s="418"/>
      <c r="L2317" s="418"/>
      <c r="M2317" s="418"/>
      <c r="N2317" s="421"/>
      <c r="O2317" s="421"/>
      <c r="P2317" s="421"/>
      <c r="Q2317" s="418"/>
      <c r="R2317" s="418"/>
      <c r="S2317" s="418"/>
      <c r="T2317" s="418"/>
      <c r="U2317" s="418"/>
      <c r="V2317" s="418"/>
      <c r="W2317" s="418"/>
      <c r="X2317" s="418"/>
      <c r="Y2317" s="418"/>
      <c r="Z2317" s="418"/>
      <c r="AA2317" s="418"/>
      <c r="AB2317" s="418"/>
      <c r="AC2317" s="418"/>
      <c r="AD2317" s="418"/>
      <c r="AE2317" s="418"/>
      <c r="AF2317" s="418"/>
      <c r="AG2317" s="418"/>
      <c r="AH2317" s="418"/>
      <c r="AI2317" s="418"/>
      <c r="AJ2317" s="418"/>
      <c r="AK2317" s="418"/>
      <c r="AL2317" s="418"/>
      <c r="AM2317" s="418"/>
      <c r="AN2317" s="418"/>
      <c r="AO2317" s="418"/>
      <c r="AP2317" s="418"/>
      <c r="AQ2317" s="418"/>
      <c r="AR2317" s="418"/>
      <c r="AS2317" s="418"/>
      <c r="AT2317" s="418"/>
      <c r="AU2317" s="418"/>
      <c r="AV2317" s="418"/>
      <c r="AW2317" s="418"/>
      <c r="AX2317" s="418"/>
      <c r="AY2317" s="418"/>
      <c r="BF2317" s="1119"/>
      <c r="BG2317" s="1119"/>
      <c r="BH2317" s="1119"/>
    </row>
    <row r="2318" spans="1:60" ht="15.75" customHeight="1">
      <c r="A2318" s="1076"/>
      <c r="B2318" s="416"/>
      <c r="C2318" s="424"/>
      <c r="E2318" s="418"/>
      <c r="F2318" s="493"/>
      <c r="G2318" s="418"/>
      <c r="H2318" s="421"/>
      <c r="I2318" s="421"/>
      <c r="J2318" s="492"/>
      <c r="K2318" s="418"/>
      <c r="L2318" s="418"/>
      <c r="M2318" s="418"/>
      <c r="N2318" s="421"/>
      <c r="O2318" s="421"/>
      <c r="P2318" s="421"/>
      <c r="Q2318" s="418"/>
      <c r="R2318" s="418"/>
      <c r="S2318" s="418"/>
      <c r="T2318" s="418"/>
      <c r="U2318" s="418"/>
      <c r="V2318" s="418"/>
      <c r="W2318" s="418"/>
      <c r="X2318" s="418"/>
      <c r="Y2318" s="418"/>
      <c r="Z2318" s="418"/>
      <c r="AA2318" s="418"/>
      <c r="AB2318" s="418"/>
      <c r="AC2318" s="418"/>
      <c r="AD2318" s="418"/>
      <c r="AE2318" s="418"/>
      <c r="AF2318" s="418"/>
      <c r="AG2318" s="418"/>
      <c r="AH2318" s="418"/>
      <c r="AI2318" s="418"/>
      <c r="AJ2318" s="418"/>
      <c r="AK2318" s="418"/>
      <c r="AL2318" s="418"/>
      <c r="AM2318" s="418"/>
      <c r="AN2318" s="418"/>
      <c r="AO2318" s="418"/>
      <c r="AP2318" s="418"/>
      <c r="AQ2318" s="418"/>
      <c r="AR2318" s="418"/>
      <c r="AS2318" s="418"/>
      <c r="AT2318" s="418"/>
      <c r="AU2318" s="418"/>
      <c r="AV2318" s="418"/>
      <c r="AW2318" s="418"/>
      <c r="AX2318" s="418"/>
      <c r="AY2318" s="418"/>
      <c r="BF2318" s="1119"/>
      <c r="BG2318" s="1119"/>
      <c r="BH2318" s="1119"/>
    </row>
    <row r="2319" spans="1:60" ht="15.75" customHeight="1">
      <c r="A2319" s="1076"/>
      <c r="B2319" s="416"/>
      <c r="C2319" s="424"/>
      <c r="E2319" s="418"/>
      <c r="F2319" s="493"/>
      <c r="G2319" s="418"/>
      <c r="H2319" s="421"/>
      <c r="I2319" s="421"/>
      <c r="J2319" s="492"/>
      <c r="K2319" s="418"/>
      <c r="L2319" s="418"/>
      <c r="M2319" s="418"/>
      <c r="N2319" s="421"/>
      <c r="O2319" s="421"/>
      <c r="P2319" s="421"/>
      <c r="Q2319" s="418"/>
      <c r="R2319" s="418"/>
      <c r="S2319" s="418"/>
      <c r="T2319" s="418"/>
      <c r="U2319" s="418"/>
      <c r="V2319" s="418"/>
      <c r="W2319" s="418"/>
      <c r="X2319" s="418"/>
      <c r="Y2319" s="418"/>
      <c r="Z2319" s="418"/>
      <c r="AA2319" s="418"/>
      <c r="AB2319" s="418"/>
      <c r="AC2319" s="418"/>
      <c r="AD2319" s="418"/>
      <c r="AE2319" s="418"/>
      <c r="AF2319" s="418"/>
      <c r="AG2319" s="418"/>
      <c r="AH2319" s="418"/>
      <c r="AI2319" s="418"/>
      <c r="AJ2319" s="418"/>
      <c r="AK2319" s="418"/>
      <c r="AL2319" s="418"/>
      <c r="AM2319" s="418"/>
      <c r="AN2319" s="418"/>
      <c r="AO2319" s="418"/>
      <c r="AP2319" s="418"/>
      <c r="AQ2319" s="418"/>
      <c r="AR2319" s="418"/>
      <c r="AS2319" s="418"/>
      <c r="AT2319" s="418"/>
      <c r="AU2319" s="418"/>
      <c r="AV2319" s="418"/>
      <c r="AW2319" s="418"/>
      <c r="AX2319" s="418"/>
      <c r="AY2319" s="418"/>
      <c r="BF2319" s="1119"/>
      <c r="BG2319" s="1119"/>
      <c r="BH2319" s="1119"/>
    </row>
    <row r="2320" spans="1:60" ht="15.75" customHeight="1">
      <c r="A2320" s="1076"/>
      <c r="B2320" s="416"/>
      <c r="C2320" s="424"/>
      <c r="E2320" s="418"/>
      <c r="F2320" s="493"/>
      <c r="G2320" s="418"/>
      <c r="H2320" s="421"/>
      <c r="I2320" s="421"/>
      <c r="J2320" s="492"/>
      <c r="K2320" s="418"/>
      <c r="L2320" s="418"/>
      <c r="M2320" s="418"/>
      <c r="N2320" s="421"/>
      <c r="O2320" s="421"/>
      <c r="P2320" s="421"/>
      <c r="Q2320" s="418"/>
      <c r="R2320" s="418"/>
      <c r="S2320" s="418"/>
      <c r="T2320" s="418"/>
      <c r="U2320" s="418"/>
      <c r="V2320" s="418"/>
      <c r="W2320" s="418"/>
      <c r="X2320" s="418"/>
      <c r="Y2320" s="418"/>
      <c r="Z2320" s="418"/>
      <c r="AA2320" s="418"/>
      <c r="AB2320" s="418"/>
      <c r="AC2320" s="418"/>
      <c r="AD2320" s="418"/>
      <c r="AE2320" s="418"/>
      <c r="AF2320" s="418"/>
      <c r="AG2320" s="418"/>
      <c r="AH2320" s="418"/>
      <c r="AI2320" s="418"/>
      <c r="AJ2320" s="418"/>
      <c r="AK2320" s="418"/>
      <c r="AL2320" s="418"/>
      <c r="AM2320" s="418"/>
      <c r="AN2320" s="418"/>
      <c r="AO2320" s="418"/>
      <c r="AP2320" s="418"/>
      <c r="AQ2320" s="418"/>
      <c r="AR2320" s="418"/>
      <c r="AS2320" s="418"/>
      <c r="AT2320" s="418"/>
      <c r="AU2320" s="418"/>
      <c r="AV2320" s="418"/>
      <c r="AW2320" s="418"/>
      <c r="AX2320" s="418"/>
      <c r="AY2320" s="418"/>
      <c r="BF2320" s="1119"/>
      <c r="BG2320" s="1119"/>
      <c r="BH2320" s="1119"/>
    </row>
    <row r="2321" spans="1:60" ht="15.75" customHeight="1">
      <c r="A2321" s="1076"/>
      <c r="B2321" s="416"/>
      <c r="C2321" s="424"/>
      <c r="E2321" s="418"/>
      <c r="F2321" s="493"/>
      <c r="G2321" s="418"/>
      <c r="H2321" s="421"/>
      <c r="I2321" s="421"/>
      <c r="J2321" s="492"/>
      <c r="K2321" s="418"/>
      <c r="L2321" s="418"/>
      <c r="M2321" s="418"/>
      <c r="N2321" s="421"/>
      <c r="O2321" s="421"/>
      <c r="P2321" s="421"/>
      <c r="Q2321" s="418"/>
      <c r="R2321" s="418"/>
      <c r="S2321" s="418"/>
      <c r="T2321" s="418"/>
      <c r="U2321" s="418"/>
      <c r="V2321" s="418"/>
      <c r="W2321" s="418"/>
      <c r="X2321" s="418"/>
      <c r="Y2321" s="418"/>
      <c r="Z2321" s="418"/>
      <c r="AA2321" s="418"/>
      <c r="AB2321" s="418"/>
      <c r="AC2321" s="418"/>
      <c r="AD2321" s="418"/>
      <c r="AE2321" s="418"/>
      <c r="AF2321" s="418"/>
      <c r="AG2321" s="418"/>
      <c r="AH2321" s="418"/>
      <c r="AI2321" s="418"/>
      <c r="AJ2321" s="418"/>
      <c r="AK2321" s="418"/>
      <c r="AL2321" s="418"/>
      <c r="AM2321" s="418"/>
      <c r="AN2321" s="418"/>
      <c r="AO2321" s="418"/>
      <c r="AP2321" s="418"/>
      <c r="AQ2321" s="418"/>
      <c r="AR2321" s="418"/>
      <c r="AS2321" s="418"/>
      <c r="AT2321" s="418"/>
      <c r="AU2321" s="418"/>
      <c r="AV2321" s="418"/>
      <c r="AW2321" s="418"/>
      <c r="AX2321" s="418"/>
      <c r="AY2321" s="418"/>
      <c r="BF2321" s="1119"/>
      <c r="BG2321" s="1119"/>
      <c r="BH2321" s="1119"/>
    </row>
    <row r="2322" spans="1:60" ht="15.75" customHeight="1">
      <c r="A2322" s="1076"/>
      <c r="B2322" s="416"/>
      <c r="C2322" s="424"/>
      <c r="E2322" s="418"/>
      <c r="F2322" s="493"/>
      <c r="G2322" s="418"/>
      <c r="H2322" s="421"/>
      <c r="I2322" s="421"/>
      <c r="J2322" s="492"/>
      <c r="K2322" s="418"/>
      <c r="L2322" s="418"/>
      <c r="M2322" s="418"/>
      <c r="N2322" s="421"/>
      <c r="O2322" s="421"/>
      <c r="P2322" s="421"/>
      <c r="Q2322" s="418"/>
      <c r="R2322" s="418"/>
      <c r="S2322" s="418"/>
      <c r="T2322" s="418"/>
      <c r="U2322" s="418"/>
      <c r="V2322" s="418"/>
      <c r="W2322" s="418"/>
      <c r="X2322" s="418"/>
      <c r="Y2322" s="418"/>
      <c r="Z2322" s="418"/>
      <c r="AA2322" s="418"/>
      <c r="AB2322" s="418"/>
      <c r="AC2322" s="418"/>
      <c r="AD2322" s="418"/>
      <c r="AE2322" s="418"/>
      <c r="AF2322" s="418"/>
      <c r="AG2322" s="418"/>
      <c r="AH2322" s="418"/>
      <c r="AI2322" s="418"/>
      <c r="AJ2322" s="418"/>
      <c r="AK2322" s="418"/>
      <c r="AL2322" s="418"/>
      <c r="AM2322" s="418"/>
      <c r="AN2322" s="418"/>
      <c r="AO2322" s="418"/>
      <c r="AP2322" s="418"/>
      <c r="AQ2322" s="418"/>
      <c r="AR2322" s="418"/>
      <c r="AS2322" s="418"/>
      <c r="AT2322" s="418"/>
      <c r="AU2322" s="418"/>
      <c r="AV2322" s="418"/>
      <c r="AW2322" s="418"/>
      <c r="AX2322" s="418"/>
      <c r="AY2322" s="418"/>
      <c r="BF2322" s="1119"/>
      <c r="BG2322" s="1119"/>
      <c r="BH2322" s="1119"/>
    </row>
    <row r="2323" spans="1:60" ht="15.75" customHeight="1">
      <c r="A2323" s="1076"/>
      <c r="B2323" s="416"/>
      <c r="C2323" s="424"/>
      <c r="E2323" s="418"/>
      <c r="F2323" s="493"/>
      <c r="G2323" s="418"/>
      <c r="H2323" s="421"/>
      <c r="I2323" s="421"/>
      <c r="J2323" s="492"/>
      <c r="K2323" s="418"/>
      <c r="L2323" s="418"/>
      <c r="M2323" s="418"/>
      <c r="N2323" s="421"/>
      <c r="O2323" s="421"/>
      <c r="P2323" s="421"/>
      <c r="Q2323" s="418"/>
      <c r="R2323" s="418"/>
      <c r="S2323" s="418"/>
      <c r="T2323" s="418"/>
      <c r="U2323" s="418"/>
      <c r="V2323" s="418"/>
      <c r="W2323" s="418"/>
      <c r="X2323" s="418"/>
      <c r="Y2323" s="418"/>
      <c r="Z2323" s="418"/>
      <c r="AA2323" s="418"/>
      <c r="AB2323" s="418"/>
      <c r="AC2323" s="418"/>
      <c r="AD2323" s="418"/>
      <c r="AE2323" s="418"/>
      <c r="AF2323" s="418"/>
      <c r="AG2323" s="418"/>
      <c r="AH2323" s="418"/>
      <c r="AI2323" s="418"/>
      <c r="AJ2323" s="418"/>
      <c r="AK2323" s="418"/>
      <c r="AL2323" s="418"/>
      <c r="AM2323" s="418"/>
      <c r="AN2323" s="418"/>
      <c r="AO2323" s="418"/>
      <c r="AP2323" s="418"/>
      <c r="AQ2323" s="418"/>
      <c r="AR2323" s="418"/>
      <c r="AS2323" s="418"/>
      <c r="AT2323" s="418"/>
      <c r="AU2323" s="418"/>
      <c r="AV2323" s="418"/>
      <c r="AW2323" s="418"/>
      <c r="AX2323" s="418"/>
      <c r="AY2323" s="418"/>
      <c r="BF2323" s="1119"/>
      <c r="BG2323" s="1119"/>
      <c r="BH2323" s="1119"/>
    </row>
    <row r="2324" spans="1:60" ht="15.75" customHeight="1">
      <c r="A2324" s="1076"/>
      <c r="B2324" s="416"/>
      <c r="C2324" s="424"/>
      <c r="E2324" s="418"/>
      <c r="F2324" s="493"/>
      <c r="G2324" s="418"/>
      <c r="H2324" s="421"/>
      <c r="I2324" s="421"/>
      <c r="J2324" s="492"/>
      <c r="K2324" s="418"/>
      <c r="L2324" s="418"/>
      <c r="M2324" s="418"/>
      <c r="N2324" s="421"/>
      <c r="O2324" s="421"/>
      <c r="P2324" s="421"/>
      <c r="Q2324" s="418"/>
      <c r="R2324" s="418"/>
      <c r="S2324" s="418"/>
      <c r="T2324" s="418"/>
      <c r="U2324" s="418"/>
      <c r="V2324" s="418"/>
      <c r="W2324" s="418"/>
      <c r="X2324" s="418"/>
      <c r="Y2324" s="418"/>
      <c r="Z2324" s="418"/>
      <c r="AA2324" s="418"/>
      <c r="AB2324" s="418"/>
      <c r="AC2324" s="418"/>
      <c r="AD2324" s="418"/>
      <c r="AE2324" s="418"/>
      <c r="AF2324" s="418"/>
      <c r="AG2324" s="418"/>
      <c r="AH2324" s="418"/>
      <c r="AI2324" s="418"/>
      <c r="AJ2324" s="418"/>
      <c r="AK2324" s="418"/>
      <c r="AL2324" s="418"/>
      <c r="AM2324" s="418"/>
      <c r="AN2324" s="418"/>
      <c r="AO2324" s="418"/>
      <c r="AP2324" s="418"/>
      <c r="AQ2324" s="418"/>
      <c r="AR2324" s="418"/>
      <c r="AS2324" s="418"/>
      <c r="AT2324" s="418"/>
      <c r="AU2324" s="418"/>
      <c r="AV2324" s="418"/>
      <c r="AW2324" s="418"/>
      <c r="AX2324" s="418"/>
      <c r="AY2324" s="418"/>
      <c r="BF2324" s="1119"/>
      <c r="BG2324" s="1119"/>
      <c r="BH2324" s="1119"/>
    </row>
    <row r="2325" spans="1:60" ht="15.75" customHeight="1">
      <c r="A2325" s="1076"/>
      <c r="B2325" s="416"/>
      <c r="C2325" s="424"/>
      <c r="E2325" s="418"/>
      <c r="F2325" s="493"/>
      <c r="G2325" s="418"/>
      <c r="H2325" s="421"/>
      <c r="I2325" s="421"/>
      <c r="J2325" s="492"/>
      <c r="K2325" s="418"/>
      <c r="L2325" s="418"/>
      <c r="M2325" s="418"/>
      <c r="N2325" s="421"/>
      <c r="O2325" s="421"/>
      <c r="P2325" s="421"/>
      <c r="Q2325" s="418"/>
      <c r="R2325" s="418"/>
      <c r="S2325" s="418"/>
      <c r="T2325" s="418"/>
      <c r="U2325" s="418"/>
      <c r="V2325" s="418"/>
      <c r="W2325" s="418"/>
      <c r="X2325" s="418"/>
      <c r="Y2325" s="418"/>
      <c r="Z2325" s="418"/>
      <c r="AA2325" s="418"/>
      <c r="AB2325" s="418"/>
      <c r="AC2325" s="418"/>
      <c r="AD2325" s="418"/>
      <c r="AE2325" s="418"/>
      <c r="AF2325" s="418"/>
      <c r="AG2325" s="418"/>
      <c r="AH2325" s="418"/>
      <c r="AI2325" s="418"/>
      <c r="AJ2325" s="418"/>
      <c r="AK2325" s="418"/>
      <c r="AL2325" s="418"/>
      <c r="AM2325" s="418"/>
      <c r="AN2325" s="418"/>
      <c r="AO2325" s="418"/>
      <c r="AP2325" s="418"/>
      <c r="AQ2325" s="418"/>
      <c r="AR2325" s="418"/>
      <c r="AS2325" s="418"/>
      <c r="AT2325" s="418"/>
      <c r="AU2325" s="418"/>
      <c r="AV2325" s="418"/>
      <c r="AW2325" s="418"/>
      <c r="AX2325" s="418"/>
      <c r="AY2325" s="418"/>
      <c r="BF2325" s="1119"/>
      <c r="BG2325" s="1119"/>
      <c r="BH2325" s="1119"/>
    </row>
    <row r="2326" spans="1:60" ht="15.75" customHeight="1">
      <c r="A2326" s="1076"/>
      <c r="B2326" s="416"/>
      <c r="C2326" s="424"/>
      <c r="E2326" s="418"/>
      <c r="F2326" s="493"/>
      <c r="G2326" s="418"/>
      <c r="H2326" s="421"/>
      <c r="I2326" s="421"/>
      <c r="J2326" s="492"/>
      <c r="K2326" s="418"/>
      <c r="L2326" s="418"/>
      <c r="M2326" s="418"/>
      <c r="N2326" s="421"/>
      <c r="O2326" s="421"/>
      <c r="P2326" s="421"/>
      <c r="Q2326" s="418"/>
      <c r="R2326" s="418"/>
      <c r="S2326" s="418"/>
      <c r="T2326" s="418"/>
      <c r="U2326" s="418"/>
      <c r="V2326" s="418"/>
      <c r="W2326" s="418"/>
      <c r="X2326" s="418"/>
      <c r="Y2326" s="418"/>
      <c r="Z2326" s="418"/>
      <c r="AA2326" s="418"/>
      <c r="AB2326" s="418"/>
      <c r="AC2326" s="418"/>
      <c r="AD2326" s="418"/>
      <c r="AE2326" s="418"/>
      <c r="AF2326" s="418"/>
      <c r="AG2326" s="418"/>
      <c r="AH2326" s="418"/>
      <c r="AI2326" s="418"/>
      <c r="AJ2326" s="418"/>
      <c r="AK2326" s="418"/>
      <c r="AL2326" s="418"/>
      <c r="AM2326" s="418"/>
      <c r="AN2326" s="418"/>
      <c r="AO2326" s="418"/>
      <c r="AP2326" s="418"/>
      <c r="AQ2326" s="418"/>
      <c r="AR2326" s="418"/>
      <c r="AS2326" s="418"/>
      <c r="AT2326" s="418"/>
      <c r="AU2326" s="418"/>
      <c r="AV2326" s="418"/>
      <c r="AW2326" s="418"/>
      <c r="AX2326" s="418"/>
      <c r="AY2326" s="418"/>
      <c r="BF2326" s="1119"/>
      <c r="BG2326" s="1119"/>
      <c r="BH2326" s="1119"/>
    </row>
    <row r="2327" spans="1:60" ht="15.75" customHeight="1">
      <c r="A2327" s="1076"/>
      <c r="B2327" s="416"/>
      <c r="C2327" s="424"/>
      <c r="E2327" s="418"/>
      <c r="F2327" s="493"/>
      <c r="G2327" s="418"/>
      <c r="H2327" s="421"/>
      <c r="I2327" s="421"/>
      <c r="J2327" s="492"/>
      <c r="K2327" s="418"/>
      <c r="L2327" s="418"/>
      <c r="M2327" s="418"/>
      <c r="N2327" s="421"/>
      <c r="O2327" s="421"/>
      <c r="P2327" s="421"/>
      <c r="Q2327" s="418"/>
      <c r="R2327" s="418"/>
      <c r="S2327" s="418"/>
      <c r="T2327" s="418"/>
      <c r="U2327" s="418"/>
      <c r="V2327" s="418"/>
      <c r="W2327" s="418"/>
      <c r="X2327" s="418"/>
      <c r="Y2327" s="418"/>
      <c r="Z2327" s="418"/>
      <c r="AA2327" s="418"/>
      <c r="AB2327" s="418"/>
      <c r="AC2327" s="418"/>
      <c r="AD2327" s="418"/>
      <c r="AE2327" s="418"/>
      <c r="AF2327" s="418"/>
      <c r="AG2327" s="418"/>
      <c r="AH2327" s="418"/>
      <c r="AI2327" s="418"/>
      <c r="AJ2327" s="418"/>
      <c r="AK2327" s="418"/>
      <c r="AL2327" s="418"/>
      <c r="AM2327" s="418"/>
      <c r="AN2327" s="418"/>
      <c r="AO2327" s="418"/>
      <c r="AP2327" s="418"/>
      <c r="AQ2327" s="418"/>
      <c r="AR2327" s="418"/>
      <c r="AS2327" s="418"/>
      <c r="AT2327" s="418"/>
      <c r="AU2327" s="418"/>
      <c r="AV2327" s="418"/>
      <c r="AW2327" s="418"/>
      <c r="AX2327" s="418"/>
      <c r="AY2327" s="418"/>
      <c r="BF2327" s="1119"/>
      <c r="BG2327" s="1119"/>
      <c r="BH2327" s="1119"/>
    </row>
    <row r="2328" spans="1:60" ht="15.75" customHeight="1">
      <c r="A2328" s="1076"/>
      <c r="B2328" s="416"/>
      <c r="C2328" s="424"/>
      <c r="E2328" s="418"/>
      <c r="F2328" s="493"/>
      <c r="G2328" s="418"/>
      <c r="H2328" s="421"/>
      <c r="I2328" s="421"/>
      <c r="J2328" s="492"/>
      <c r="K2328" s="418"/>
      <c r="L2328" s="418"/>
      <c r="M2328" s="418"/>
      <c r="N2328" s="421"/>
      <c r="O2328" s="421"/>
      <c r="P2328" s="421"/>
      <c r="Q2328" s="418"/>
      <c r="R2328" s="418"/>
      <c r="S2328" s="418"/>
      <c r="T2328" s="418"/>
      <c r="U2328" s="418"/>
      <c r="V2328" s="418"/>
      <c r="W2328" s="418"/>
      <c r="X2328" s="418"/>
      <c r="Y2328" s="418"/>
      <c r="Z2328" s="418"/>
      <c r="AA2328" s="418"/>
      <c r="AB2328" s="418"/>
      <c r="AC2328" s="418"/>
      <c r="AD2328" s="418"/>
      <c r="AE2328" s="418"/>
      <c r="AF2328" s="418"/>
      <c r="AG2328" s="418"/>
      <c r="AH2328" s="418"/>
      <c r="AI2328" s="418"/>
      <c r="AJ2328" s="418"/>
      <c r="AK2328" s="418"/>
      <c r="AL2328" s="418"/>
      <c r="AM2328" s="418"/>
      <c r="AN2328" s="418"/>
      <c r="AO2328" s="418"/>
      <c r="AP2328" s="418"/>
      <c r="AQ2328" s="418"/>
      <c r="AR2328" s="418"/>
      <c r="AS2328" s="418"/>
      <c r="AT2328" s="418"/>
      <c r="AU2328" s="418"/>
      <c r="AV2328" s="418"/>
      <c r="AW2328" s="418"/>
      <c r="AX2328" s="418"/>
      <c r="AY2328" s="418"/>
      <c r="BF2328" s="1119"/>
      <c r="BG2328" s="1119"/>
      <c r="BH2328" s="1119"/>
    </row>
    <row r="2329" spans="1:60" ht="15.75" customHeight="1">
      <c r="A2329" s="1076"/>
      <c r="B2329" s="416"/>
      <c r="C2329" s="424"/>
      <c r="E2329" s="418"/>
      <c r="F2329" s="493"/>
      <c r="G2329" s="418"/>
      <c r="H2329" s="421"/>
      <c r="I2329" s="421"/>
      <c r="J2329" s="492"/>
      <c r="K2329" s="418"/>
      <c r="L2329" s="418"/>
      <c r="M2329" s="418"/>
      <c r="N2329" s="421"/>
      <c r="O2329" s="421"/>
      <c r="P2329" s="421"/>
      <c r="Q2329" s="418"/>
      <c r="R2329" s="418"/>
      <c r="S2329" s="418"/>
      <c r="T2329" s="418"/>
      <c r="U2329" s="418"/>
      <c r="V2329" s="418"/>
      <c r="W2329" s="418"/>
      <c r="X2329" s="418"/>
      <c r="Y2329" s="418"/>
      <c r="Z2329" s="418"/>
      <c r="AA2329" s="418"/>
      <c r="AB2329" s="418"/>
      <c r="AC2329" s="418"/>
      <c r="AD2329" s="418"/>
      <c r="AE2329" s="418"/>
      <c r="AF2329" s="418"/>
      <c r="AG2329" s="418"/>
      <c r="AH2329" s="418"/>
      <c r="AI2329" s="418"/>
      <c r="AJ2329" s="418"/>
      <c r="AK2329" s="418"/>
      <c r="AL2329" s="418"/>
      <c r="AM2329" s="418"/>
      <c r="AN2329" s="418"/>
      <c r="AO2329" s="418"/>
      <c r="AP2329" s="418"/>
      <c r="AQ2329" s="418"/>
      <c r="AR2329" s="418"/>
      <c r="AS2329" s="418"/>
      <c r="AT2329" s="418"/>
      <c r="AU2329" s="418"/>
      <c r="AV2329" s="418"/>
      <c r="AW2329" s="418"/>
      <c r="AX2329" s="418"/>
      <c r="AY2329" s="418"/>
      <c r="BF2329" s="1119"/>
      <c r="BG2329" s="1119"/>
      <c r="BH2329" s="1119"/>
    </row>
    <row r="2330" spans="1:60" ht="15.75" customHeight="1">
      <c r="A2330" s="1076"/>
      <c r="B2330" s="416"/>
      <c r="C2330" s="424"/>
      <c r="E2330" s="418"/>
      <c r="F2330" s="493"/>
      <c r="G2330" s="418"/>
      <c r="H2330" s="421"/>
      <c r="I2330" s="421"/>
      <c r="J2330" s="492"/>
      <c r="K2330" s="418"/>
      <c r="L2330" s="418"/>
      <c r="M2330" s="418"/>
      <c r="N2330" s="421"/>
      <c r="O2330" s="421"/>
      <c r="P2330" s="421"/>
      <c r="Q2330" s="418"/>
      <c r="R2330" s="418"/>
      <c r="S2330" s="418"/>
      <c r="T2330" s="418"/>
      <c r="U2330" s="418"/>
      <c r="V2330" s="418"/>
      <c r="W2330" s="418"/>
      <c r="X2330" s="418"/>
      <c r="Y2330" s="418"/>
      <c r="Z2330" s="418"/>
      <c r="AA2330" s="418"/>
      <c r="AB2330" s="418"/>
      <c r="AC2330" s="418"/>
      <c r="AD2330" s="418"/>
      <c r="AE2330" s="418"/>
      <c r="AF2330" s="418"/>
      <c r="AG2330" s="418"/>
      <c r="AH2330" s="418"/>
      <c r="AI2330" s="418"/>
      <c r="AJ2330" s="418"/>
      <c r="AK2330" s="418"/>
      <c r="AL2330" s="418"/>
      <c r="AM2330" s="418"/>
      <c r="AN2330" s="418"/>
      <c r="AO2330" s="418"/>
      <c r="AP2330" s="418"/>
      <c r="AQ2330" s="418"/>
      <c r="AR2330" s="418"/>
      <c r="AS2330" s="418"/>
      <c r="AT2330" s="418"/>
      <c r="AU2330" s="418"/>
      <c r="AV2330" s="418"/>
      <c r="AW2330" s="418"/>
      <c r="AX2330" s="418"/>
      <c r="AY2330" s="418"/>
      <c r="BF2330" s="1119"/>
      <c r="BG2330" s="1119"/>
      <c r="BH2330" s="1119"/>
    </row>
    <row r="2331" spans="1:60" ht="15.75" customHeight="1">
      <c r="A2331" s="1076"/>
      <c r="B2331" s="416"/>
      <c r="C2331" s="424"/>
      <c r="E2331" s="418"/>
      <c r="F2331" s="493"/>
      <c r="G2331" s="418"/>
      <c r="H2331" s="421"/>
      <c r="I2331" s="421"/>
      <c r="J2331" s="492"/>
      <c r="K2331" s="418"/>
      <c r="L2331" s="418"/>
      <c r="M2331" s="418"/>
      <c r="N2331" s="421"/>
      <c r="O2331" s="421"/>
      <c r="P2331" s="421"/>
      <c r="Q2331" s="418"/>
      <c r="R2331" s="418"/>
      <c r="S2331" s="418"/>
      <c r="T2331" s="418"/>
      <c r="U2331" s="418"/>
      <c r="V2331" s="418"/>
      <c r="W2331" s="418"/>
      <c r="X2331" s="418"/>
      <c r="Y2331" s="418"/>
      <c r="Z2331" s="418"/>
      <c r="AA2331" s="418"/>
      <c r="AB2331" s="418"/>
      <c r="AC2331" s="418"/>
      <c r="AD2331" s="418"/>
      <c r="AE2331" s="418"/>
      <c r="AF2331" s="418"/>
      <c r="AG2331" s="418"/>
      <c r="AH2331" s="418"/>
      <c r="AI2331" s="418"/>
      <c r="AJ2331" s="418"/>
      <c r="AK2331" s="418"/>
      <c r="AL2331" s="418"/>
      <c r="AM2331" s="418"/>
      <c r="AN2331" s="418"/>
      <c r="AO2331" s="418"/>
      <c r="AP2331" s="418"/>
      <c r="AQ2331" s="418"/>
      <c r="AR2331" s="418"/>
      <c r="AS2331" s="418"/>
      <c r="AT2331" s="418"/>
      <c r="AU2331" s="418"/>
      <c r="AV2331" s="418"/>
      <c r="AW2331" s="418"/>
      <c r="AX2331" s="418"/>
      <c r="AY2331" s="418"/>
      <c r="BF2331" s="1119"/>
      <c r="BG2331" s="1119"/>
      <c r="BH2331" s="1119"/>
    </row>
    <row r="2332" spans="1:60" ht="15.75" customHeight="1">
      <c r="A2332" s="1076"/>
      <c r="B2332" s="416"/>
      <c r="C2332" s="424"/>
      <c r="E2332" s="418"/>
      <c r="F2332" s="493"/>
      <c r="G2332" s="418"/>
      <c r="H2332" s="421"/>
      <c r="I2332" s="421"/>
      <c r="J2332" s="492"/>
      <c r="K2332" s="418"/>
      <c r="L2332" s="418"/>
      <c r="M2332" s="418"/>
      <c r="N2332" s="421"/>
      <c r="O2332" s="421"/>
      <c r="P2332" s="421"/>
      <c r="Q2332" s="418"/>
      <c r="R2332" s="418"/>
      <c r="S2332" s="418"/>
      <c r="T2332" s="418"/>
      <c r="U2332" s="418"/>
      <c r="V2332" s="418"/>
      <c r="W2332" s="418"/>
      <c r="X2332" s="418"/>
      <c r="Y2332" s="418"/>
      <c r="Z2332" s="418"/>
      <c r="AA2332" s="418"/>
      <c r="AB2332" s="418"/>
      <c r="AC2332" s="418"/>
      <c r="AD2332" s="418"/>
      <c r="AE2332" s="418"/>
      <c r="AF2332" s="418"/>
      <c r="AG2332" s="418"/>
      <c r="AH2332" s="418"/>
      <c r="AI2332" s="418"/>
      <c r="AJ2332" s="418"/>
      <c r="AK2332" s="418"/>
      <c r="AL2332" s="418"/>
      <c r="AM2332" s="418"/>
      <c r="AN2332" s="418"/>
      <c r="AO2332" s="418"/>
      <c r="AP2332" s="418"/>
      <c r="AQ2332" s="418"/>
      <c r="AR2332" s="418"/>
      <c r="AS2332" s="418"/>
      <c r="AT2332" s="418"/>
      <c r="AU2332" s="418"/>
      <c r="AV2332" s="418"/>
      <c r="AW2332" s="418"/>
      <c r="AX2332" s="418"/>
      <c r="AY2332" s="418"/>
      <c r="BF2332" s="1119"/>
      <c r="BG2332" s="1119"/>
      <c r="BH2332" s="1119"/>
    </row>
    <row r="2333" spans="1:60" ht="15.75" customHeight="1">
      <c r="A2333" s="1076"/>
      <c r="B2333" s="416"/>
      <c r="C2333" s="424"/>
      <c r="E2333" s="418"/>
      <c r="F2333" s="493"/>
      <c r="G2333" s="418"/>
      <c r="H2333" s="421"/>
      <c r="I2333" s="421"/>
      <c r="J2333" s="492"/>
      <c r="K2333" s="418"/>
      <c r="L2333" s="418"/>
      <c r="M2333" s="418"/>
      <c r="N2333" s="421"/>
      <c r="O2333" s="421"/>
      <c r="P2333" s="421"/>
      <c r="Q2333" s="418"/>
      <c r="R2333" s="418"/>
      <c r="S2333" s="418"/>
      <c r="T2333" s="418"/>
      <c r="U2333" s="418"/>
      <c r="V2333" s="418"/>
      <c r="W2333" s="418"/>
      <c r="X2333" s="418"/>
      <c r="Y2333" s="418"/>
      <c r="Z2333" s="418"/>
      <c r="AA2333" s="418"/>
      <c r="AB2333" s="418"/>
      <c r="AC2333" s="418"/>
      <c r="AD2333" s="418"/>
      <c r="AE2333" s="418"/>
      <c r="AF2333" s="418"/>
      <c r="AG2333" s="418"/>
      <c r="AH2333" s="418"/>
      <c r="AI2333" s="418"/>
      <c r="AJ2333" s="418"/>
      <c r="AK2333" s="418"/>
      <c r="AL2333" s="418"/>
      <c r="AM2333" s="418"/>
      <c r="AN2333" s="418"/>
      <c r="AO2333" s="418"/>
      <c r="AP2333" s="418"/>
      <c r="AQ2333" s="418"/>
      <c r="AR2333" s="418"/>
      <c r="AS2333" s="418"/>
      <c r="AT2333" s="418"/>
      <c r="AU2333" s="418"/>
      <c r="AV2333" s="418"/>
      <c r="AW2333" s="418"/>
      <c r="AX2333" s="418"/>
      <c r="AY2333" s="418"/>
      <c r="BF2333" s="1119"/>
      <c r="BG2333" s="1119"/>
      <c r="BH2333" s="1119"/>
    </row>
    <row r="2334" spans="1:60" ht="15.75" customHeight="1">
      <c r="A2334" s="1076"/>
      <c r="B2334" s="416"/>
      <c r="C2334" s="424"/>
      <c r="E2334" s="418"/>
      <c r="F2334" s="493"/>
      <c r="G2334" s="418"/>
      <c r="H2334" s="421"/>
      <c r="I2334" s="421"/>
      <c r="J2334" s="492"/>
      <c r="K2334" s="418"/>
      <c r="L2334" s="418"/>
      <c r="M2334" s="418"/>
      <c r="N2334" s="421"/>
      <c r="O2334" s="421"/>
      <c r="P2334" s="421"/>
      <c r="Q2334" s="418"/>
      <c r="R2334" s="418"/>
      <c r="S2334" s="418"/>
      <c r="T2334" s="418"/>
      <c r="U2334" s="418"/>
      <c r="V2334" s="418"/>
      <c r="W2334" s="418"/>
      <c r="X2334" s="418"/>
      <c r="Y2334" s="418"/>
      <c r="Z2334" s="418"/>
      <c r="AA2334" s="418"/>
      <c r="AB2334" s="418"/>
      <c r="AC2334" s="418"/>
      <c r="AD2334" s="418"/>
      <c r="AE2334" s="418"/>
      <c r="AF2334" s="418"/>
      <c r="AG2334" s="418"/>
      <c r="AH2334" s="418"/>
      <c r="AI2334" s="418"/>
      <c r="AJ2334" s="418"/>
      <c r="AK2334" s="418"/>
      <c r="AL2334" s="418"/>
      <c r="AM2334" s="418"/>
      <c r="AN2334" s="418"/>
      <c r="AO2334" s="418"/>
      <c r="AP2334" s="418"/>
      <c r="AQ2334" s="418"/>
      <c r="AR2334" s="418"/>
      <c r="AS2334" s="418"/>
      <c r="AT2334" s="418"/>
      <c r="AU2334" s="418"/>
      <c r="AV2334" s="418"/>
      <c r="AW2334" s="418"/>
      <c r="AX2334" s="418"/>
      <c r="AY2334" s="418"/>
      <c r="BF2334" s="1119"/>
      <c r="BG2334" s="1119"/>
      <c r="BH2334" s="1119"/>
    </row>
    <row r="2335" spans="1:60" ht="15.75" customHeight="1">
      <c r="A2335" s="1076"/>
      <c r="B2335" s="416"/>
      <c r="C2335" s="424"/>
      <c r="E2335" s="418"/>
      <c r="F2335" s="493"/>
      <c r="G2335" s="418"/>
      <c r="H2335" s="421"/>
      <c r="I2335" s="421"/>
      <c r="J2335" s="492"/>
      <c r="K2335" s="418"/>
      <c r="L2335" s="418"/>
      <c r="M2335" s="418"/>
      <c r="N2335" s="421"/>
      <c r="O2335" s="421"/>
      <c r="P2335" s="421"/>
      <c r="Q2335" s="418"/>
      <c r="R2335" s="418"/>
      <c r="S2335" s="418"/>
      <c r="T2335" s="418"/>
      <c r="U2335" s="418"/>
      <c r="V2335" s="418"/>
      <c r="W2335" s="418"/>
      <c r="X2335" s="418"/>
      <c r="Y2335" s="418"/>
      <c r="Z2335" s="418"/>
      <c r="AA2335" s="418"/>
      <c r="AB2335" s="418"/>
      <c r="AC2335" s="418"/>
      <c r="AD2335" s="418"/>
      <c r="AE2335" s="418"/>
      <c r="AF2335" s="418"/>
      <c r="AG2335" s="418"/>
      <c r="AH2335" s="418"/>
      <c r="AI2335" s="418"/>
      <c r="AJ2335" s="418"/>
      <c r="AK2335" s="418"/>
      <c r="AL2335" s="418"/>
      <c r="AM2335" s="418"/>
      <c r="AN2335" s="418"/>
      <c r="AO2335" s="418"/>
      <c r="AP2335" s="418"/>
      <c r="AQ2335" s="418"/>
      <c r="AR2335" s="418"/>
      <c r="AS2335" s="418"/>
      <c r="AT2335" s="418"/>
      <c r="AU2335" s="418"/>
      <c r="AV2335" s="418"/>
      <c r="AW2335" s="418"/>
      <c r="AX2335" s="418"/>
      <c r="AY2335" s="418"/>
      <c r="BF2335" s="1119"/>
      <c r="BG2335" s="1119"/>
      <c r="BH2335" s="1119"/>
    </row>
    <row r="2336" spans="1:60" ht="15.75" customHeight="1">
      <c r="A2336" s="1076"/>
      <c r="B2336" s="416"/>
      <c r="C2336" s="424"/>
      <c r="E2336" s="418"/>
      <c r="F2336" s="493"/>
      <c r="G2336" s="418"/>
      <c r="H2336" s="421"/>
      <c r="I2336" s="421"/>
      <c r="J2336" s="492"/>
      <c r="K2336" s="418"/>
      <c r="L2336" s="418"/>
      <c r="M2336" s="418"/>
      <c r="N2336" s="421"/>
      <c r="O2336" s="421"/>
      <c r="P2336" s="421"/>
      <c r="Q2336" s="418"/>
      <c r="R2336" s="418"/>
      <c r="S2336" s="418"/>
      <c r="T2336" s="418"/>
      <c r="U2336" s="418"/>
      <c r="V2336" s="418"/>
      <c r="W2336" s="418"/>
      <c r="X2336" s="418"/>
      <c r="Y2336" s="418"/>
      <c r="Z2336" s="418"/>
      <c r="AA2336" s="418"/>
      <c r="AB2336" s="418"/>
      <c r="AC2336" s="418"/>
      <c r="AD2336" s="418"/>
      <c r="AE2336" s="418"/>
      <c r="AF2336" s="418"/>
      <c r="AG2336" s="418"/>
      <c r="AH2336" s="418"/>
      <c r="AI2336" s="418"/>
      <c r="AJ2336" s="418"/>
      <c r="AK2336" s="418"/>
      <c r="AL2336" s="418"/>
      <c r="AM2336" s="418"/>
      <c r="AN2336" s="418"/>
      <c r="AO2336" s="418"/>
      <c r="AP2336" s="418"/>
      <c r="AQ2336" s="418"/>
      <c r="AR2336" s="418"/>
      <c r="AS2336" s="418"/>
      <c r="AT2336" s="418"/>
      <c r="AU2336" s="418"/>
      <c r="AV2336" s="418"/>
      <c r="AW2336" s="418"/>
      <c r="AX2336" s="418"/>
      <c r="AY2336" s="418"/>
      <c r="BF2336" s="1119"/>
      <c r="BG2336" s="1119"/>
      <c r="BH2336" s="1119"/>
    </row>
    <row r="2337" spans="1:60" ht="15.75" customHeight="1">
      <c r="A2337" s="1076"/>
      <c r="B2337" s="416"/>
      <c r="C2337" s="424"/>
      <c r="E2337" s="418"/>
      <c r="F2337" s="493"/>
      <c r="G2337" s="418"/>
      <c r="H2337" s="421"/>
      <c r="I2337" s="421"/>
      <c r="J2337" s="492"/>
      <c r="K2337" s="418"/>
      <c r="L2337" s="418"/>
      <c r="M2337" s="418"/>
      <c r="N2337" s="421"/>
      <c r="O2337" s="421"/>
      <c r="P2337" s="421"/>
      <c r="Q2337" s="418"/>
      <c r="R2337" s="418"/>
      <c r="S2337" s="418"/>
      <c r="T2337" s="418"/>
      <c r="U2337" s="418"/>
      <c r="V2337" s="418"/>
      <c r="W2337" s="418"/>
      <c r="X2337" s="418"/>
      <c r="Y2337" s="418"/>
      <c r="Z2337" s="418"/>
      <c r="AA2337" s="418"/>
      <c r="AB2337" s="418"/>
      <c r="AC2337" s="418"/>
      <c r="AD2337" s="418"/>
      <c r="AE2337" s="418"/>
      <c r="AF2337" s="418"/>
      <c r="AG2337" s="418"/>
      <c r="AH2337" s="418"/>
      <c r="AI2337" s="418"/>
      <c r="AJ2337" s="418"/>
      <c r="AK2337" s="418"/>
      <c r="AL2337" s="418"/>
      <c r="AM2337" s="418"/>
      <c r="AN2337" s="418"/>
      <c r="AO2337" s="418"/>
      <c r="AP2337" s="418"/>
      <c r="AQ2337" s="418"/>
      <c r="AR2337" s="418"/>
      <c r="AS2337" s="418"/>
      <c r="AT2337" s="418"/>
      <c r="AU2337" s="418"/>
      <c r="AV2337" s="418"/>
      <c r="AW2337" s="418"/>
      <c r="AX2337" s="418"/>
      <c r="AY2337" s="418"/>
      <c r="BF2337" s="1119"/>
      <c r="BG2337" s="1119"/>
      <c r="BH2337" s="1119"/>
    </row>
    <row r="2338" spans="1:60" ht="15.75" customHeight="1">
      <c r="A2338" s="1076"/>
      <c r="B2338" s="416"/>
      <c r="C2338" s="424"/>
      <c r="E2338" s="418"/>
      <c r="F2338" s="493"/>
      <c r="G2338" s="418"/>
      <c r="H2338" s="421"/>
      <c r="I2338" s="421"/>
      <c r="J2338" s="492"/>
      <c r="K2338" s="418"/>
      <c r="L2338" s="418"/>
      <c r="M2338" s="418"/>
      <c r="N2338" s="421"/>
      <c r="O2338" s="421"/>
      <c r="P2338" s="421"/>
      <c r="Q2338" s="418"/>
      <c r="R2338" s="418"/>
      <c r="S2338" s="418"/>
      <c r="T2338" s="418"/>
      <c r="U2338" s="418"/>
      <c r="V2338" s="418"/>
      <c r="W2338" s="418"/>
      <c r="X2338" s="418"/>
      <c r="Y2338" s="418"/>
      <c r="Z2338" s="418"/>
      <c r="AA2338" s="418"/>
      <c r="AB2338" s="418"/>
      <c r="AC2338" s="418"/>
      <c r="AD2338" s="418"/>
      <c r="AE2338" s="418"/>
      <c r="AF2338" s="418"/>
      <c r="AG2338" s="418"/>
      <c r="AH2338" s="418"/>
      <c r="AI2338" s="418"/>
      <c r="AJ2338" s="418"/>
      <c r="AK2338" s="418"/>
      <c r="AL2338" s="418"/>
      <c r="AM2338" s="418"/>
      <c r="AN2338" s="418"/>
      <c r="AO2338" s="418"/>
      <c r="AP2338" s="418"/>
      <c r="AQ2338" s="418"/>
      <c r="AR2338" s="418"/>
      <c r="AS2338" s="418"/>
      <c r="AT2338" s="418"/>
      <c r="AU2338" s="418"/>
      <c r="AV2338" s="418"/>
      <c r="AW2338" s="418"/>
      <c r="AX2338" s="418"/>
      <c r="AY2338" s="418"/>
      <c r="BF2338" s="1119"/>
      <c r="BG2338" s="1119"/>
      <c r="BH2338" s="1119"/>
    </row>
    <row r="2339" spans="1:60" ht="15.75" customHeight="1">
      <c r="A2339" s="1076"/>
      <c r="B2339" s="416"/>
      <c r="C2339" s="424"/>
      <c r="E2339" s="418"/>
      <c r="F2339" s="493"/>
      <c r="G2339" s="418"/>
      <c r="H2339" s="421"/>
      <c r="I2339" s="421"/>
      <c r="J2339" s="492"/>
      <c r="K2339" s="418"/>
      <c r="L2339" s="418"/>
      <c r="M2339" s="418"/>
      <c r="N2339" s="421"/>
      <c r="O2339" s="421"/>
      <c r="P2339" s="421"/>
      <c r="Q2339" s="418"/>
      <c r="R2339" s="418"/>
      <c r="S2339" s="418"/>
      <c r="T2339" s="418"/>
      <c r="U2339" s="418"/>
      <c r="V2339" s="418"/>
      <c r="W2339" s="418"/>
      <c r="X2339" s="418"/>
      <c r="Y2339" s="418"/>
      <c r="Z2339" s="418"/>
      <c r="AA2339" s="418"/>
      <c r="AB2339" s="418"/>
      <c r="AC2339" s="418"/>
      <c r="AD2339" s="418"/>
      <c r="AE2339" s="418"/>
      <c r="AF2339" s="418"/>
      <c r="AG2339" s="418"/>
      <c r="AH2339" s="418"/>
      <c r="AI2339" s="418"/>
      <c r="AJ2339" s="418"/>
      <c r="AK2339" s="418"/>
      <c r="AL2339" s="418"/>
      <c r="AM2339" s="418"/>
      <c r="AN2339" s="418"/>
      <c r="AO2339" s="418"/>
      <c r="AP2339" s="418"/>
      <c r="AQ2339" s="418"/>
      <c r="AR2339" s="418"/>
      <c r="AS2339" s="418"/>
      <c r="AT2339" s="418"/>
      <c r="AU2339" s="418"/>
      <c r="AV2339" s="418"/>
      <c r="AW2339" s="418"/>
      <c r="AX2339" s="418"/>
      <c r="AY2339" s="418"/>
      <c r="BF2339" s="1119"/>
      <c r="BG2339" s="1119"/>
      <c r="BH2339" s="1119"/>
    </row>
    <row r="2340" spans="1:60" ht="15.75" customHeight="1">
      <c r="A2340" s="1076"/>
      <c r="B2340" s="416"/>
      <c r="C2340" s="424"/>
      <c r="E2340" s="418"/>
      <c r="F2340" s="493"/>
      <c r="G2340" s="418"/>
      <c r="H2340" s="421"/>
      <c r="I2340" s="421"/>
      <c r="J2340" s="492"/>
      <c r="K2340" s="418"/>
      <c r="L2340" s="418"/>
      <c r="M2340" s="418"/>
      <c r="N2340" s="421"/>
      <c r="O2340" s="421"/>
      <c r="P2340" s="421"/>
      <c r="Q2340" s="418"/>
      <c r="R2340" s="418"/>
      <c r="S2340" s="418"/>
      <c r="T2340" s="418"/>
      <c r="U2340" s="418"/>
      <c r="V2340" s="418"/>
      <c r="W2340" s="418"/>
      <c r="X2340" s="418"/>
      <c r="Y2340" s="418"/>
      <c r="Z2340" s="418"/>
      <c r="AA2340" s="418"/>
      <c r="AB2340" s="418"/>
      <c r="AC2340" s="418"/>
      <c r="AD2340" s="418"/>
      <c r="AE2340" s="418"/>
      <c r="AF2340" s="418"/>
      <c r="AG2340" s="418"/>
      <c r="AH2340" s="418"/>
      <c r="AI2340" s="418"/>
      <c r="AJ2340" s="418"/>
      <c r="AK2340" s="418"/>
      <c r="AL2340" s="418"/>
      <c r="AM2340" s="418"/>
      <c r="AN2340" s="418"/>
      <c r="AO2340" s="418"/>
      <c r="AP2340" s="418"/>
      <c r="AQ2340" s="418"/>
      <c r="AR2340" s="418"/>
      <c r="AS2340" s="418"/>
      <c r="AT2340" s="418"/>
      <c r="AU2340" s="418"/>
      <c r="AV2340" s="418"/>
      <c r="AW2340" s="418"/>
      <c r="AX2340" s="418"/>
      <c r="AY2340" s="418"/>
      <c r="BF2340" s="1119"/>
      <c r="BG2340" s="1119"/>
      <c r="BH2340" s="1119"/>
    </row>
    <row r="2341" spans="1:60" ht="15.75" customHeight="1">
      <c r="A2341" s="1076"/>
      <c r="B2341" s="416"/>
      <c r="C2341" s="424"/>
      <c r="E2341" s="418"/>
      <c r="F2341" s="493"/>
      <c r="G2341" s="418"/>
      <c r="H2341" s="421"/>
      <c r="I2341" s="421"/>
      <c r="J2341" s="492"/>
      <c r="K2341" s="418"/>
      <c r="L2341" s="418"/>
      <c r="M2341" s="418"/>
      <c r="N2341" s="421"/>
      <c r="O2341" s="421"/>
      <c r="P2341" s="421"/>
      <c r="Q2341" s="418"/>
      <c r="R2341" s="418"/>
      <c r="S2341" s="418"/>
      <c r="T2341" s="418"/>
      <c r="U2341" s="418"/>
      <c r="V2341" s="418"/>
      <c r="W2341" s="418"/>
      <c r="X2341" s="418"/>
      <c r="Y2341" s="418"/>
      <c r="Z2341" s="418"/>
      <c r="AA2341" s="418"/>
      <c r="AB2341" s="418"/>
      <c r="AC2341" s="418"/>
      <c r="AD2341" s="418"/>
      <c r="AE2341" s="418"/>
      <c r="AF2341" s="418"/>
      <c r="AG2341" s="418"/>
      <c r="AH2341" s="418"/>
      <c r="AI2341" s="418"/>
      <c r="AJ2341" s="418"/>
      <c r="AK2341" s="418"/>
      <c r="AL2341" s="418"/>
      <c r="AM2341" s="418"/>
      <c r="AN2341" s="418"/>
      <c r="AO2341" s="418"/>
      <c r="AP2341" s="418"/>
      <c r="AQ2341" s="418"/>
      <c r="AR2341" s="418"/>
      <c r="AS2341" s="418"/>
      <c r="AT2341" s="418"/>
      <c r="AU2341" s="418"/>
      <c r="AV2341" s="418"/>
      <c r="AW2341" s="418"/>
      <c r="AX2341" s="418"/>
      <c r="AY2341" s="418"/>
      <c r="BF2341" s="1119"/>
      <c r="BG2341" s="1119"/>
      <c r="BH2341" s="1119"/>
    </row>
    <row r="2342" spans="1:60" ht="15.75" customHeight="1">
      <c r="A2342" s="1076"/>
      <c r="B2342" s="416"/>
      <c r="C2342" s="424"/>
      <c r="E2342" s="418"/>
      <c r="F2342" s="493"/>
      <c r="G2342" s="418"/>
      <c r="H2342" s="421"/>
      <c r="I2342" s="421"/>
      <c r="J2342" s="492"/>
      <c r="K2342" s="418"/>
      <c r="L2342" s="418"/>
      <c r="M2342" s="418"/>
      <c r="N2342" s="421"/>
      <c r="O2342" s="421"/>
      <c r="P2342" s="421"/>
      <c r="Q2342" s="418"/>
      <c r="R2342" s="418"/>
      <c r="S2342" s="418"/>
      <c r="T2342" s="418"/>
      <c r="U2342" s="418"/>
      <c r="V2342" s="418"/>
      <c r="W2342" s="418"/>
      <c r="X2342" s="418"/>
      <c r="Y2342" s="418"/>
      <c r="Z2342" s="418"/>
      <c r="AA2342" s="418"/>
      <c r="AB2342" s="418"/>
      <c r="AC2342" s="418"/>
      <c r="AD2342" s="418"/>
      <c r="AE2342" s="418"/>
      <c r="AF2342" s="418"/>
      <c r="AG2342" s="418"/>
      <c r="AH2342" s="418"/>
      <c r="AI2342" s="418"/>
      <c r="AJ2342" s="418"/>
      <c r="AK2342" s="418"/>
      <c r="AL2342" s="418"/>
      <c r="AM2342" s="418"/>
      <c r="AN2342" s="418"/>
      <c r="AO2342" s="418"/>
      <c r="AP2342" s="418"/>
      <c r="AQ2342" s="418"/>
      <c r="AR2342" s="418"/>
      <c r="AS2342" s="418"/>
      <c r="AT2342" s="418"/>
      <c r="AU2342" s="418"/>
      <c r="AV2342" s="418"/>
      <c r="AW2342" s="418"/>
      <c r="AX2342" s="418"/>
      <c r="AY2342" s="418"/>
      <c r="BF2342" s="1119"/>
      <c r="BG2342" s="1119"/>
      <c r="BH2342" s="1119"/>
    </row>
    <row r="2343" spans="1:60" ht="15.75" customHeight="1">
      <c r="A2343" s="1076"/>
      <c r="B2343" s="416"/>
      <c r="C2343" s="424"/>
      <c r="E2343" s="418"/>
      <c r="F2343" s="493"/>
      <c r="G2343" s="418"/>
      <c r="H2343" s="421"/>
      <c r="I2343" s="421"/>
      <c r="J2343" s="492"/>
      <c r="K2343" s="418"/>
      <c r="L2343" s="418"/>
      <c r="M2343" s="418"/>
      <c r="N2343" s="421"/>
      <c r="O2343" s="421"/>
      <c r="P2343" s="421"/>
      <c r="Q2343" s="418"/>
      <c r="R2343" s="418"/>
      <c r="S2343" s="418"/>
      <c r="T2343" s="418"/>
      <c r="U2343" s="418"/>
      <c r="V2343" s="418"/>
      <c r="W2343" s="418"/>
      <c r="X2343" s="418"/>
      <c r="Y2343" s="418"/>
      <c r="Z2343" s="418"/>
      <c r="AA2343" s="418"/>
      <c r="AB2343" s="418"/>
      <c r="AC2343" s="418"/>
      <c r="AD2343" s="418"/>
      <c r="AE2343" s="418"/>
      <c r="AF2343" s="418"/>
      <c r="AG2343" s="418"/>
      <c r="AH2343" s="418"/>
      <c r="AI2343" s="418"/>
      <c r="AJ2343" s="418"/>
      <c r="AK2343" s="418"/>
      <c r="AL2343" s="418"/>
      <c r="AM2343" s="418"/>
      <c r="AN2343" s="418"/>
      <c r="AO2343" s="418"/>
      <c r="AP2343" s="418"/>
      <c r="AQ2343" s="418"/>
      <c r="AR2343" s="418"/>
      <c r="AS2343" s="418"/>
      <c r="AT2343" s="418"/>
      <c r="AU2343" s="418"/>
      <c r="AV2343" s="418"/>
      <c r="AW2343" s="418"/>
      <c r="AX2343" s="418"/>
      <c r="AY2343" s="418"/>
      <c r="BF2343" s="1119"/>
      <c r="BG2343" s="1119"/>
      <c r="BH2343" s="1119"/>
    </row>
    <row r="2344" spans="1:60" ht="15.75" customHeight="1">
      <c r="A2344" s="1076"/>
      <c r="B2344" s="416"/>
      <c r="C2344" s="424"/>
      <c r="E2344" s="418"/>
      <c r="F2344" s="493"/>
      <c r="G2344" s="418"/>
      <c r="H2344" s="421"/>
      <c r="I2344" s="421"/>
      <c r="J2344" s="492"/>
      <c r="K2344" s="418"/>
      <c r="L2344" s="418"/>
      <c r="M2344" s="418"/>
      <c r="N2344" s="421"/>
      <c r="O2344" s="421"/>
      <c r="P2344" s="421"/>
      <c r="Q2344" s="418"/>
      <c r="R2344" s="418"/>
      <c r="S2344" s="418"/>
      <c r="T2344" s="418"/>
      <c r="U2344" s="418"/>
      <c r="V2344" s="418"/>
      <c r="W2344" s="418"/>
      <c r="X2344" s="418"/>
      <c r="Y2344" s="418"/>
      <c r="Z2344" s="418"/>
      <c r="AA2344" s="418"/>
      <c r="AB2344" s="418"/>
      <c r="AC2344" s="418"/>
      <c r="AD2344" s="418"/>
      <c r="AE2344" s="418"/>
      <c r="AF2344" s="418"/>
      <c r="AG2344" s="418"/>
      <c r="AH2344" s="418"/>
      <c r="AI2344" s="418"/>
      <c r="AJ2344" s="418"/>
      <c r="AK2344" s="418"/>
      <c r="AL2344" s="418"/>
      <c r="AM2344" s="418"/>
      <c r="AN2344" s="418"/>
      <c r="AO2344" s="418"/>
      <c r="AP2344" s="418"/>
      <c r="AQ2344" s="418"/>
      <c r="AR2344" s="418"/>
      <c r="AS2344" s="418"/>
      <c r="AT2344" s="418"/>
      <c r="AU2344" s="418"/>
      <c r="AV2344" s="418"/>
      <c r="AW2344" s="418"/>
      <c r="AX2344" s="418"/>
      <c r="AY2344" s="418"/>
      <c r="BF2344" s="1119"/>
      <c r="BG2344" s="1119"/>
      <c r="BH2344" s="1119"/>
    </row>
    <row r="2345" spans="1:60" ht="15.75" customHeight="1">
      <c r="A2345" s="1076"/>
      <c r="B2345" s="416"/>
      <c r="C2345" s="424"/>
      <c r="E2345" s="418"/>
      <c r="F2345" s="493"/>
      <c r="G2345" s="418"/>
      <c r="H2345" s="421"/>
      <c r="I2345" s="421"/>
      <c r="J2345" s="492"/>
      <c r="K2345" s="418"/>
      <c r="L2345" s="418"/>
      <c r="M2345" s="418"/>
      <c r="N2345" s="421"/>
      <c r="O2345" s="421"/>
      <c r="P2345" s="421"/>
      <c r="Q2345" s="418"/>
      <c r="R2345" s="418"/>
      <c r="S2345" s="418"/>
      <c r="T2345" s="418"/>
      <c r="U2345" s="418"/>
      <c r="V2345" s="418"/>
      <c r="W2345" s="418"/>
      <c r="X2345" s="418"/>
      <c r="Y2345" s="418"/>
      <c r="Z2345" s="418"/>
      <c r="AA2345" s="418"/>
      <c r="AB2345" s="418"/>
      <c r="AC2345" s="418"/>
      <c r="AD2345" s="418"/>
      <c r="AE2345" s="418"/>
      <c r="AF2345" s="418"/>
      <c r="AG2345" s="418"/>
      <c r="AH2345" s="418"/>
      <c r="AI2345" s="418"/>
      <c r="AJ2345" s="418"/>
      <c r="AK2345" s="418"/>
      <c r="AL2345" s="418"/>
      <c r="AM2345" s="418"/>
      <c r="AN2345" s="418"/>
      <c r="AO2345" s="418"/>
      <c r="AP2345" s="418"/>
      <c r="AQ2345" s="418"/>
      <c r="AR2345" s="418"/>
      <c r="AS2345" s="418"/>
      <c r="AT2345" s="418"/>
      <c r="AU2345" s="418"/>
      <c r="AV2345" s="418"/>
      <c r="AW2345" s="418"/>
      <c r="AX2345" s="418"/>
      <c r="AY2345" s="418"/>
      <c r="BF2345" s="1119"/>
      <c r="BG2345" s="1119"/>
      <c r="BH2345" s="1119"/>
    </row>
    <row r="2346" spans="1:60" ht="15.75" customHeight="1">
      <c r="A2346" s="1076"/>
      <c r="B2346" s="416"/>
      <c r="C2346" s="424"/>
      <c r="E2346" s="418"/>
      <c r="F2346" s="493"/>
      <c r="G2346" s="418"/>
      <c r="H2346" s="421"/>
      <c r="I2346" s="421"/>
      <c r="J2346" s="492"/>
      <c r="K2346" s="418"/>
      <c r="L2346" s="418"/>
      <c r="M2346" s="418"/>
      <c r="N2346" s="421"/>
      <c r="O2346" s="421"/>
      <c r="P2346" s="421"/>
      <c r="Q2346" s="418"/>
      <c r="R2346" s="418"/>
      <c r="S2346" s="418"/>
      <c r="T2346" s="418"/>
      <c r="U2346" s="418"/>
      <c r="V2346" s="418"/>
      <c r="W2346" s="418"/>
      <c r="X2346" s="418"/>
      <c r="Y2346" s="418"/>
      <c r="Z2346" s="418"/>
      <c r="AA2346" s="418"/>
      <c r="AB2346" s="418"/>
      <c r="AC2346" s="418"/>
      <c r="AD2346" s="418"/>
      <c r="AE2346" s="418"/>
      <c r="AF2346" s="418"/>
      <c r="AG2346" s="418"/>
      <c r="AH2346" s="418"/>
      <c r="AI2346" s="418"/>
      <c r="AJ2346" s="418"/>
      <c r="AK2346" s="418"/>
      <c r="AL2346" s="418"/>
      <c r="AM2346" s="418"/>
      <c r="AN2346" s="418"/>
      <c r="AO2346" s="418"/>
      <c r="AP2346" s="418"/>
      <c r="AQ2346" s="418"/>
      <c r="AR2346" s="418"/>
      <c r="AS2346" s="418"/>
      <c r="AT2346" s="418"/>
      <c r="AU2346" s="418"/>
      <c r="AV2346" s="418"/>
      <c r="AW2346" s="418"/>
      <c r="AX2346" s="418"/>
      <c r="AY2346" s="418"/>
      <c r="BF2346" s="1119"/>
      <c r="BG2346" s="1119"/>
      <c r="BH2346" s="1119"/>
    </row>
    <row r="2347" spans="1:60" ht="15.75" customHeight="1">
      <c r="A2347" s="1076"/>
      <c r="B2347" s="416"/>
      <c r="C2347" s="424"/>
      <c r="E2347" s="418"/>
      <c r="F2347" s="493"/>
      <c r="G2347" s="418"/>
      <c r="H2347" s="421"/>
      <c r="I2347" s="421"/>
      <c r="J2347" s="492"/>
      <c r="K2347" s="418"/>
      <c r="L2347" s="418"/>
      <c r="M2347" s="418"/>
      <c r="N2347" s="421"/>
      <c r="O2347" s="421"/>
      <c r="P2347" s="421"/>
      <c r="Q2347" s="418"/>
      <c r="R2347" s="418"/>
      <c r="S2347" s="418"/>
      <c r="T2347" s="418"/>
      <c r="U2347" s="418"/>
      <c r="V2347" s="418"/>
      <c r="W2347" s="418"/>
      <c r="X2347" s="418"/>
      <c r="Y2347" s="418"/>
      <c r="Z2347" s="418"/>
      <c r="AA2347" s="418"/>
      <c r="AB2347" s="418"/>
      <c r="AC2347" s="418"/>
      <c r="AD2347" s="418"/>
      <c r="AE2347" s="418"/>
      <c r="AF2347" s="418"/>
      <c r="AG2347" s="418"/>
      <c r="AH2347" s="418"/>
      <c r="AI2347" s="418"/>
      <c r="AJ2347" s="418"/>
      <c r="AK2347" s="418"/>
      <c r="AL2347" s="418"/>
      <c r="AM2347" s="418"/>
      <c r="AN2347" s="418"/>
      <c r="AO2347" s="418"/>
      <c r="AP2347" s="418"/>
      <c r="AQ2347" s="418"/>
      <c r="AR2347" s="418"/>
      <c r="AS2347" s="418"/>
      <c r="AT2347" s="418"/>
      <c r="AU2347" s="418"/>
      <c r="AV2347" s="418"/>
      <c r="AW2347" s="418"/>
      <c r="AX2347" s="418"/>
      <c r="AY2347" s="418"/>
      <c r="BF2347" s="1119"/>
      <c r="BG2347" s="1119"/>
      <c r="BH2347" s="1119"/>
    </row>
    <row r="2348" spans="1:60" ht="15.75" customHeight="1">
      <c r="A2348" s="1076"/>
      <c r="B2348" s="416"/>
      <c r="C2348" s="424"/>
      <c r="E2348" s="418"/>
      <c r="F2348" s="493"/>
      <c r="G2348" s="418"/>
      <c r="H2348" s="421"/>
      <c r="I2348" s="421"/>
      <c r="J2348" s="492"/>
      <c r="K2348" s="418"/>
      <c r="L2348" s="418"/>
      <c r="M2348" s="418"/>
      <c r="N2348" s="421"/>
      <c r="O2348" s="421"/>
      <c r="P2348" s="421"/>
      <c r="Q2348" s="418"/>
      <c r="R2348" s="418"/>
      <c r="S2348" s="418"/>
      <c r="T2348" s="418"/>
      <c r="U2348" s="418"/>
      <c r="V2348" s="418"/>
      <c r="W2348" s="418"/>
      <c r="X2348" s="418"/>
      <c r="Y2348" s="418"/>
      <c r="Z2348" s="418"/>
      <c r="AA2348" s="418"/>
      <c r="AB2348" s="418"/>
      <c r="AC2348" s="418"/>
      <c r="AD2348" s="418"/>
      <c r="AE2348" s="418"/>
      <c r="AF2348" s="418"/>
      <c r="AG2348" s="418"/>
      <c r="AH2348" s="418"/>
      <c r="AI2348" s="418"/>
      <c r="AJ2348" s="418"/>
      <c r="AK2348" s="418"/>
      <c r="AL2348" s="418"/>
      <c r="AM2348" s="418"/>
      <c r="AN2348" s="418"/>
      <c r="AO2348" s="418"/>
      <c r="AP2348" s="418"/>
      <c r="AQ2348" s="418"/>
      <c r="AR2348" s="418"/>
      <c r="AS2348" s="418"/>
      <c r="AT2348" s="418"/>
      <c r="AU2348" s="418"/>
      <c r="AV2348" s="418"/>
      <c r="AW2348" s="418"/>
      <c r="AX2348" s="418"/>
      <c r="AY2348" s="418"/>
      <c r="BF2348" s="1119"/>
      <c r="BG2348" s="1119"/>
      <c r="BH2348" s="1119"/>
    </row>
    <row r="2349" spans="1:60" ht="15.75" customHeight="1">
      <c r="A2349" s="1076"/>
      <c r="B2349" s="416"/>
      <c r="C2349" s="424"/>
      <c r="E2349" s="418"/>
      <c r="F2349" s="493"/>
      <c r="G2349" s="418"/>
      <c r="H2349" s="421"/>
      <c r="I2349" s="421"/>
      <c r="J2349" s="492"/>
      <c r="K2349" s="418"/>
      <c r="L2349" s="418"/>
      <c r="M2349" s="418"/>
      <c r="N2349" s="421"/>
      <c r="O2349" s="421"/>
      <c r="P2349" s="421"/>
      <c r="Q2349" s="418"/>
      <c r="R2349" s="418"/>
      <c r="S2349" s="418"/>
      <c r="T2349" s="418"/>
      <c r="U2349" s="418"/>
      <c r="V2349" s="418"/>
      <c r="W2349" s="418"/>
      <c r="X2349" s="418"/>
      <c r="Y2349" s="418"/>
      <c r="Z2349" s="418"/>
      <c r="AA2349" s="418"/>
      <c r="AB2349" s="418"/>
      <c r="AC2349" s="418"/>
      <c r="AD2349" s="418"/>
      <c r="AE2349" s="418"/>
      <c r="AF2349" s="418"/>
      <c r="AG2349" s="418"/>
      <c r="AH2349" s="418"/>
      <c r="AI2349" s="418"/>
      <c r="AJ2349" s="418"/>
      <c r="AK2349" s="418"/>
      <c r="AL2349" s="418"/>
      <c r="AM2349" s="418"/>
      <c r="AN2349" s="418"/>
      <c r="AO2349" s="418"/>
      <c r="AP2349" s="418"/>
      <c r="AQ2349" s="418"/>
      <c r="AR2349" s="418"/>
      <c r="AS2349" s="418"/>
      <c r="AT2349" s="418"/>
      <c r="AU2349" s="418"/>
      <c r="AV2349" s="418"/>
      <c r="AW2349" s="418"/>
      <c r="AX2349" s="418"/>
      <c r="AY2349" s="418"/>
      <c r="BF2349" s="1119"/>
      <c r="BG2349" s="1119"/>
      <c r="BH2349" s="1119"/>
    </row>
    <row r="2350" spans="1:60" ht="15.75" customHeight="1">
      <c r="A2350" s="1076"/>
      <c r="B2350" s="416"/>
      <c r="C2350" s="424"/>
      <c r="E2350" s="418"/>
      <c r="F2350" s="493"/>
      <c r="G2350" s="418"/>
      <c r="H2350" s="421"/>
      <c r="I2350" s="421"/>
      <c r="J2350" s="492"/>
      <c r="K2350" s="418"/>
      <c r="L2350" s="418"/>
      <c r="M2350" s="418"/>
      <c r="N2350" s="421"/>
      <c r="O2350" s="421"/>
      <c r="P2350" s="421"/>
      <c r="Q2350" s="418"/>
      <c r="R2350" s="418"/>
      <c r="S2350" s="418"/>
      <c r="T2350" s="418"/>
      <c r="U2350" s="418"/>
      <c r="V2350" s="418"/>
      <c r="W2350" s="418"/>
      <c r="X2350" s="418"/>
      <c r="Y2350" s="418"/>
      <c r="Z2350" s="418"/>
      <c r="AA2350" s="418"/>
      <c r="AB2350" s="418"/>
      <c r="AC2350" s="418"/>
      <c r="AD2350" s="418"/>
      <c r="AE2350" s="418"/>
      <c r="AF2350" s="418"/>
      <c r="AG2350" s="418"/>
      <c r="AH2350" s="418"/>
      <c r="AI2350" s="418"/>
      <c r="AJ2350" s="418"/>
      <c r="AK2350" s="418"/>
      <c r="AL2350" s="418"/>
      <c r="AM2350" s="418"/>
      <c r="AN2350" s="418"/>
      <c r="AO2350" s="418"/>
      <c r="AP2350" s="418"/>
      <c r="AQ2350" s="418"/>
      <c r="AR2350" s="418"/>
      <c r="AS2350" s="418"/>
      <c r="AT2350" s="418"/>
      <c r="AU2350" s="418"/>
      <c r="AV2350" s="418"/>
      <c r="AW2350" s="418"/>
      <c r="AX2350" s="418"/>
      <c r="AY2350" s="418"/>
      <c r="BF2350" s="1119"/>
      <c r="BG2350" s="1119"/>
      <c r="BH2350" s="1119"/>
    </row>
    <row r="2351" spans="1:60" ht="15.75" customHeight="1">
      <c r="A2351" s="1076"/>
      <c r="B2351" s="416"/>
      <c r="C2351" s="424"/>
      <c r="E2351" s="418"/>
      <c r="F2351" s="493"/>
      <c r="G2351" s="418"/>
      <c r="H2351" s="421"/>
      <c r="I2351" s="421"/>
      <c r="J2351" s="492"/>
      <c r="K2351" s="418"/>
      <c r="L2351" s="418"/>
      <c r="M2351" s="418"/>
      <c r="N2351" s="421"/>
      <c r="O2351" s="421"/>
      <c r="P2351" s="421"/>
      <c r="Q2351" s="418"/>
      <c r="R2351" s="418"/>
      <c r="S2351" s="418"/>
      <c r="T2351" s="418"/>
      <c r="U2351" s="418"/>
      <c r="V2351" s="418"/>
      <c r="W2351" s="418"/>
      <c r="X2351" s="418"/>
      <c r="Y2351" s="418"/>
      <c r="Z2351" s="418"/>
      <c r="AA2351" s="418"/>
      <c r="AB2351" s="418"/>
      <c r="AC2351" s="418"/>
      <c r="AD2351" s="418"/>
      <c r="AE2351" s="418"/>
      <c r="AF2351" s="418"/>
      <c r="AG2351" s="418"/>
      <c r="AH2351" s="418"/>
      <c r="AI2351" s="418"/>
      <c r="AJ2351" s="418"/>
      <c r="AK2351" s="418"/>
      <c r="AL2351" s="418"/>
      <c r="AM2351" s="418"/>
      <c r="AN2351" s="418"/>
      <c r="AO2351" s="418"/>
      <c r="AP2351" s="418"/>
      <c r="AQ2351" s="418"/>
      <c r="AR2351" s="418"/>
      <c r="AS2351" s="418"/>
      <c r="AT2351" s="418"/>
      <c r="AU2351" s="418"/>
      <c r="AV2351" s="418"/>
      <c r="AW2351" s="418"/>
      <c r="AX2351" s="418"/>
      <c r="AY2351" s="418"/>
      <c r="BF2351" s="1119"/>
      <c r="BG2351" s="1119"/>
      <c r="BH2351" s="1119"/>
    </row>
    <row r="2352" spans="1:60" ht="15.75" customHeight="1">
      <c r="A2352" s="1076"/>
      <c r="B2352" s="416"/>
      <c r="C2352" s="424"/>
      <c r="E2352" s="418"/>
      <c r="F2352" s="493"/>
      <c r="G2352" s="418"/>
      <c r="H2352" s="421"/>
      <c r="I2352" s="421"/>
      <c r="J2352" s="492"/>
      <c r="K2352" s="418"/>
      <c r="L2352" s="418"/>
      <c r="M2352" s="418"/>
      <c r="N2352" s="421"/>
      <c r="O2352" s="421"/>
      <c r="P2352" s="421"/>
      <c r="Q2352" s="418"/>
      <c r="R2352" s="418"/>
      <c r="S2352" s="418"/>
      <c r="T2352" s="418"/>
      <c r="U2352" s="418"/>
      <c r="V2352" s="418"/>
      <c r="W2352" s="418"/>
      <c r="X2352" s="418"/>
      <c r="Y2352" s="418"/>
      <c r="Z2352" s="418"/>
      <c r="AA2352" s="418"/>
      <c r="AB2352" s="418"/>
      <c r="AC2352" s="418"/>
      <c r="AD2352" s="418"/>
      <c r="AE2352" s="418"/>
      <c r="AF2352" s="418"/>
      <c r="AG2352" s="418"/>
      <c r="AH2352" s="418"/>
      <c r="AI2352" s="418"/>
      <c r="AJ2352" s="418"/>
      <c r="AK2352" s="418"/>
      <c r="AL2352" s="418"/>
      <c r="AM2352" s="418"/>
      <c r="AN2352" s="418"/>
      <c r="AO2352" s="418"/>
      <c r="AP2352" s="418"/>
      <c r="AQ2352" s="418"/>
      <c r="AR2352" s="418"/>
      <c r="AS2352" s="418"/>
      <c r="AT2352" s="418"/>
      <c r="AU2352" s="418"/>
      <c r="AV2352" s="418"/>
      <c r="AW2352" s="418"/>
      <c r="AX2352" s="418"/>
      <c r="AY2352" s="418"/>
      <c r="BF2352" s="1119"/>
      <c r="BG2352" s="1119"/>
      <c r="BH2352" s="1119"/>
    </row>
    <row r="2353" spans="1:60" ht="15.75" customHeight="1">
      <c r="A2353" s="1076"/>
      <c r="B2353" s="416"/>
      <c r="C2353" s="424"/>
      <c r="E2353" s="418"/>
      <c r="F2353" s="493"/>
      <c r="G2353" s="418"/>
      <c r="H2353" s="421"/>
      <c r="I2353" s="421"/>
      <c r="J2353" s="492"/>
      <c r="K2353" s="418"/>
      <c r="L2353" s="418"/>
      <c r="M2353" s="418"/>
      <c r="N2353" s="421"/>
      <c r="O2353" s="421"/>
      <c r="P2353" s="421"/>
      <c r="Q2353" s="418"/>
      <c r="R2353" s="418"/>
      <c r="S2353" s="418"/>
      <c r="T2353" s="418"/>
      <c r="U2353" s="418"/>
      <c r="V2353" s="418"/>
      <c r="W2353" s="418"/>
      <c r="X2353" s="418"/>
      <c r="Y2353" s="418"/>
      <c r="Z2353" s="418"/>
      <c r="AA2353" s="418"/>
      <c r="AB2353" s="418"/>
      <c r="AC2353" s="418"/>
      <c r="AD2353" s="418"/>
      <c r="AE2353" s="418"/>
      <c r="AF2353" s="418"/>
      <c r="AG2353" s="418"/>
      <c r="AH2353" s="418"/>
      <c r="AI2353" s="418"/>
      <c r="AJ2353" s="418"/>
      <c r="AK2353" s="418"/>
      <c r="AL2353" s="418"/>
      <c r="AM2353" s="418"/>
      <c r="AN2353" s="418"/>
      <c r="AO2353" s="418"/>
      <c r="AP2353" s="418"/>
      <c r="AQ2353" s="418"/>
      <c r="AR2353" s="418"/>
      <c r="AS2353" s="418"/>
      <c r="AT2353" s="418"/>
      <c r="AU2353" s="418"/>
      <c r="AV2353" s="418"/>
      <c r="AW2353" s="418"/>
      <c r="AX2353" s="418"/>
      <c r="AY2353" s="418"/>
      <c r="BF2353" s="1119"/>
      <c r="BG2353" s="1119"/>
      <c r="BH2353" s="1119"/>
    </row>
    <row r="2354" spans="1:60" ht="15.75" customHeight="1">
      <c r="A2354" s="1076"/>
      <c r="B2354" s="416"/>
      <c r="C2354" s="424"/>
      <c r="E2354" s="418"/>
      <c r="F2354" s="493"/>
      <c r="G2354" s="418"/>
      <c r="H2354" s="421"/>
      <c r="I2354" s="421"/>
      <c r="J2354" s="492"/>
      <c r="K2354" s="418"/>
      <c r="L2354" s="418"/>
      <c r="M2354" s="418"/>
      <c r="N2354" s="421"/>
      <c r="O2354" s="421"/>
      <c r="P2354" s="421"/>
      <c r="Q2354" s="418"/>
      <c r="R2354" s="418"/>
      <c r="S2354" s="418"/>
      <c r="T2354" s="418"/>
      <c r="U2354" s="418"/>
      <c r="V2354" s="418"/>
      <c r="W2354" s="418"/>
      <c r="X2354" s="418"/>
      <c r="Y2354" s="418"/>
      <c r="Z2354" s="418"/>
      <c r="AA2354" s="418"/>
      <c r="AB2354" s="418"/>
      <c r="AC2354" s="418"/>
      <c r="AD2354" s="418"/>
      <c r="AE2354" s="418"/>
      <c r="AF2354" s="418"/>
      <c r="AG2354" s="418"/>
      <c r="AH2354" s="418"/>
      <c r="AI2354" s="418"/>
      <c r="AJ2354" s="418"/>
      <c r="AK2354" s="418"/>
      <c r="AL2354" s="418"/>
      <c r="AM2354" s="418"/>
      <c r="AN2354" s="418"/>
      <c r="AO2354" s="418"/>
      <c r="AP2354" s="418"/>
      <c r="AQ2354" s="418"/>
      <c r="AR2354" s="418"/>
      <c r="AS2354" s="418"/>
      <c r="AT2354" s="418"/>
      <c r="AU2354" s="418"/>
      <c r="AV2354" s="418"/>
      <c r="AW2354" s="418"/>
      <c r="AX2354" s="418"/>
      <c r="AY2354" s="418"/>
      <c r="BF2354" s="1119"/>
      <c r="BG2354" s="1119"/>
      <c r="BH2354" s="1119"/>
    </row>
    <row r="2355" spans="1:60" ht="15.75" customHeight="1">
      <c r="A2355" s="1076"/>
      <c r="B2355" s="416"/>
      <c r="C2355" s="424"/>
      <c r="E2355" s="418"/>
      <c r="F2355" s="493"/>
      <c r="G2355" s="418"/>
      <c r="H2355" s="421"/>
      <c r="I2355" s="421"/>
      <c r="J2355" s="492"/>
      <c r="K2355" s="418"/>
      <c r="L2355" s="418"/>
      <c r="M2355" s="418"/>
      <c r="N2355" s="421"/>
      <c r="O2355" s="421"/>
      <c r="P2355" s="421"/>
      <c r="Q2355" s="418"/>
      <c r="R2355" s="418"/>
      <c r="S2355" s="418"/>
      <c r="T2355" s="418"/>
      <c r="U2355" s="418"/>
      <c r="V2355" s="418"/>
      <c r="W2355" s="418"/>
      <c r="X2355" s="418"/>
      <c r="Y2355" s="418"/>
      <c r="Z2355" s="418"/>
      <c r="AA2355" s="418"/>
      <c r="AB2355" s="418"/>
      <c r="AC2355" s="418"/>
      <c r="AD2355" s="418"/>
      <c r="AE2355" s="418"/>
      <c r="AF2355" s="418"/>
      <c r="AG2355" s="418"/>
      <c r="AH2355" s="418"/>
      <c r="AI2355" s="418"/>
      <c r="AJ2355" s="418"/>
      <c r="AK2355" s="418"/>
      <c r="AL2355" s="418"/>
      <c r="AM2355" s="418"/>
      <c r="AN2355" s="418"/>
      <c r="AO2355" s="418"/>
      <c r="AP2355" s="418"/>
      <c r="AQ2355" s="418"/>
      <c r="AR2355" s="418"/>
      <c r="AS2355" s="418"/>
      <c r="AT2355" s="418"/>
      <c r="AU2355" s="418"/>
      <c r="AV2355" s="418"/>
      <c r="AW2355" s="418"/>
      <c r="AX2355" s="418"/>
      <c r="AY2355" s="418"/>
      <c r="BF2355" s="1119"/>
      <c r="BG2355" s="1119"/>
      <c r="BH2355" s="1119"/>
    </row>
    <row r="2356" spans="1:60" ht="15.75" customHeight="1">
      <c r="A2356" s="1076"/>
      <c r="B2356" s="416"/>
      <c r="C2356" s="424"/>
      <c r="E2356" s="418"/>
      <c r="F2356" s="493"/>
      <c r="G2356" s="418"/>
      <c r="H2356" s="421"/>
      <c r="I2356" s="421"/>
      <c r="J2356" s="492"/>
      <c r="K2356" s="418"/>
      <c r="L2356" s="418"/>
      <c r="M2356" s="418"/>
      <c r="N2356" s="421"/>
      <c r="O2356" s="421"/>
      <c r="P2356" s="421"/>
      <c r="Q2356" s="418"/>
      <c r="R2356" s="418"/>
      <c r="S2356" s="418"/>
      <c r="T2356" s="418"/>
      <c r="U2356" s="418"/>
      <c r="V2356" s="418"/>
      <c r="W2356" s="418"/>
      <c r="X2356" s="418"/>
      <c r="Y2356" s="418"/>
      <c r="Z2356" s="418"/>
      <c r="AA2356" s="418"/>
      <c r="AB2356" s="418"/>
      <c r="AC2356" s="418"/>
      <c r="AD2356" s="418"/>
      <c r="AE2356" s="418"/>
      <c r="AF2356" s="418"/>
      <c r="AG2356" s="418"/>
      <c r="AH2356" s="418"/>
      <c r="AI2356" s="418"/>
      <c r="AJ2356" s="418"/>
      <c r="AK2356" s="418"/>
      <c r="AL2356" s="418"/>
      <c r="AM2356" s="418"/>
      <c r="AN2356" s="418"/>
      <c r="AO2356" s="418"/>
      <c r="AP2356" s="418"/>
      <c r="AQ2356" s="418"/>
      <c r="AR2356" s="418"/>
      <c r="AS2356" s="418"/>
      <c r="AT2356" s="418"/>
      <c r="AU2356" s="418"/>
      <c r="AV2356" s="418"/>
      <c r="AW2356" s="418"/>
      <c r="AX2356" s="418"/>
      <c r="AY2356" s="418"/>
      <c r="BF2356" s="1119"/>
      <c r="BG2356" s="1119"/>
      <c r="BH2356" s="1119"/>
    </row>
    <row r="2357" spans="1:60" ht="15.75" customHeight="1">
      <c r="A2357" s="1076"/>
      <c r="B2357" s="416"/>
      <c r="C2357" s="424"/>
      <c r="E2357" s="418"/>
      <c r="F2357" s="493"/>
      <c r="G2357" s="418"/>
      <c r="H2357" s="421"/>
      <c r="I2357" s="421"/>
      <c r="J2357" s="492"/>
      <c r="K2357" s="418"/>
      <c r="L2357" s="418"/>
      <c r="M2357" s="418"/>
      <c r="N2357" s="421"/>
      <c r="O2357" s="421"/>
      <c r="P2357" s="421"/>
      <c r="Q2357" s="418"/>
      <c r="R2357" s="418"/>
      <c r="S2357" s="418"/>
      <c r="T2357" s="418"/>
      <c r="U2357" s="418"/>
      <c r="V2357" s="418"/>
      <c r="W2357" s="418"/>
      <c r="X2357" s="418"/>
      <c r="Y2357" s="418"/>
      <c r="Z2357" s="418"/>
      <c r="AA2357" s="418"/>
      <c r="AB2357" s="418"/>
      <c r="AC2357" s="418"/>
      <c r="AD2357" s="418"/>
      <c r="AE2357" s="418"/>
      <c r="AF2357" s="418"/>
      <c r="AG2357" s="418"/>
      <c r="AH2357" s="418"/>
      <c r="AI2357" s="418"/>
      <c r="AJ2357" s="418"/>
      <c r="AK2357" s="418"/>
      <c r="AL2357" s="418"/>
      <c r="AM2357" s="418"/>
      <c r="AN2357" s="418"/>
      <c r="AO2357" s="418"/>
      <c r="AP2357" s="418"/>
      <c r="AQ2357" s="418"/>
      <c r="AR2357" s="418"/>
      <c r="AS2357" s="418"/>
      <c r="AT2357" s="418"/>
      <c r="AU2357" s="418"/>
      <c r="AV2357" s="418"/>
      <c r="AW2357" s="418"/>
      <c r="AX2357" s="418"/>
      <c r="AY2357" s="418"/>
      <c r="BF2357" s="1119"/>
      <c r="BG2357" s="1119"/>
      <c r="BH2357" s="1119"/>
    </row>
    <row r="2358" spans="1:60" ht="15.75" customHeight="1">
      <c r="A2358" s="1076"/>
      <c r="B2358" s="416"/>
      <c r="C2358" s="424"/>
      <c r="E2358" s="418"/>
      <c r="F2358" s="493"/>
      <c r="G2358" s="418"/>
      <c r="H2358" s="421"/>
      <c r="I2358" s="421"/>
      <c r="J2358" s="492"/>
      <c r="K2358" s="418"/>
      <c r="L2358" s="418"/>
      <c r="M2358" s="418"/>
      <c r="N2358" s="421"/>
      <c r="O2358" s="421"/>
      <c r="P2358" s="421"/>
      <c r="Q2358" s="418"/>
      <c r="R2358" s="418"/>
      <c r="S2358" s="418"/>
      <c r="T2358" s="418"/>
      <c r="U2358" s="418"/>
      <c r="V2358" s="418"/>
      <c r="W2358" s="418"/>
      <c r="X2358" s="418"/>
      <c r="Y2358" s="418"/>
      <c r="Z2358" s="418"/>
      <c r="AA2358" s="418"/>
      <c r="AB2358" s="418"/>
      <c r="AC2358" s="418"/>
      <c r="AD2358" s="418"/>
      <c r="AE2358" s="418"/>
      <c r="AF2358" s="418"/>
      <c r="AG2358" s="418"/>
      <c r="AH2358" s="418"/>
      <c r="AI2358" s="418"/>
      <c r="AJ2358" s="418"/>
      <c r="AK2358" s="418"/>
      <c r="AL2358" s="418"/>
      <c r="AM2358" s="418"/>
      <c r="AN2358" s="418"/>
      <c r="AO2358" s="418"/>
      <c r="AP2358" s="418"/>
      <c r="AQ2358" s="418"/>
      <c r="AR2358" s="418"/>
      <c r="AS2358" s="418"/>
      <c r="AT2358" s="418"/>
      <c r="AU2358" s="418"/>
      <c r="AV2358" s="418"/>
      <c r="AW2358" s="418"/>
      <c r="AX2358" s="418"/>
      <c r="AY2358" s="418"/>
      <c r="BF2358" s="1119"/>
      <c r="BG2358" s="1119"/>
      <c r="BH2358" s="1119"/>
    </row>
    <row r="2359" spans="1:60" ht="15.75" customHeight="1">
      <c r="A2359" s="1076"/>
      <c r="B2359" s="416"/>
      <c r="C2359" s="424"/>
      <c r="E2359" s="418"/>
      <c r="F2359" s="493"/>
      <c r="G2359" s="418"/>
      <c r="H2359" s="421"/>
      <c r="I2359" s="421"/>
      <c r="J2359" s="492"/>
      <c r="K2359" s="418"/>
      <c r="L2359" s="418"/>
      <c r="M2359" s="418"/>
      <c r="N2359" s="421"/>
      <c r="O2359" s="421"/>
      <c r="P2359" s="421"/>
      <c r="Q2359" s="418"/>
      <c r="R2359" s="418"/>
      <c r="S2359" s="418"/>
      <c r="T2359" s="418"/>
      <c r="U2359" s="418"/>
      <c r="V2359" s="418"/>
      <c r="W2359" s="418"/>
      <c r="X2359" s="418"/>
      <c r="Y2359" s="418"/>
      <c r="Z2359" s="418"/>
      <c r="AA2359" s="418"/>
      <c r="AB2359" s="418"/>
      <c r="AC2359" s="418"/>
      <c r="AD2359" s="418"/>
      <c r="AE2359" s="418"/>
      <c r="AF2359" s="418"/>
      <c r="AG2359" s="418"/>
      <c r="AH2359" s="418"/>
      <c r="AI2359" s="418"/>
      <c r="AJ2359" s="418"/>
      <c r="AK2359" s="418"/>
      <c r="AL2359" s="418"/>
      <c r="AM2359" s="418"/>
      <c r="AN2359" s="418"/>
      <c r="AO2359" s="418"/>
      <c r="AP2359" s="418"/>
      <c r="AQ2359" s="418"/>
      <c r="AR2359" s="418"/>
      <c r="AS2359" s="418"/>
      <c r="AT2359" s="418"/>
      <c r="AU2359" s="418"/>
      <c r="AV2359" s="418"/>
      <c r="AW2359" s="418"/>
      <c r="AX2359" s="418"/>
      <c r="AY2359" s="418"/>
      <c r="BF2359" s="1119"/>
      <c r="BG2359" s="1119"/>
      <c r="BH2359" s="1119"/>
    </row>
    <row r="2360" spans="1:60" ht="15.75" customHeight="1">
      <c r="A2360" s="1076"/>
      <c r="B2360" s="416"/>
      <c r="C2360" s="424"/>
      <c r="E2360" s="418"/>
      <c r="F2360" s="493"/>
      <c r="G2360" s="418"/>
      <c r="H2360" s="421"/>
      <c r="I2360" s="421"/>
      <c r="J2360" s="492"/>
      <c r="K2360" s="418"/>
      <c r="L2360" s="418"/>
      <c r="M2360" s="418"/>
      <c r="N2360" s="421"/>
      <c r="O2360" s="421"/>
      <c r="P2360" s="421"/>
      <c r="Q2360" s="418"/>
      <c r="R2360" s="418"/>
      <c r="S2360" s="418"/>
      <c r="T2360" s="418"/>
      <c r="U2360" s="418"/>
      <c r="V2360" s="418"/>
      <c r="W2360" s="418"/>
      <c r="X2360" s="418"/>
      <c r="Y2360" s="418"/>
      <c r="Z2360" s="418"/>
      <c r="AA2360" s="418"/>
      <c r="AB2360" s="418"/>
      <c r="AC2360" s="418"/>
      <c r="AD2360" s="418"/>
      <c r="AE2360" s="418"/>
      <c r="AF2360" s="418"/>
      <c r="AG2360" s="418"/>
      <c r="AH2360" s="418"/>
      <c r="AI2360" s="418"/>
      <c r="AJ2360" s="418"/>
      <c r="AK2360" s="418"/>
      <c r="AL2360" s="418"/>
      <c r="AM2360" s="418"/>
      <c r="AN2360" s="418"/>
      <c r="AO2360" s="418"/>
      <c r="AP2360" s="418"/>
      <c r="AQ2360" s="418"/>
      <c r="AR2360" s="418"/>
      <c r="AS2360" s="418"/>
      <c r="AT2360" s="418"/>
      <c r="AU2360" s="418"/>
      <c r="AV2360" s="418"/>
      <c r="AW2360" s="418"/>
      <c r="AX2360" s="418"/>
      <c r="AY2360" s="418"/>
      <c r="BF2360" s="1119"/>
      <c r="BG2360" s="1119"/>
      <c r="BH2360" s="1119"/>
    </row>
    <row r="2361" spans="1:60" ht="15.75" customHeight="1">
      <c r="A2361" s="1076"/>
      <c r="B2361" s="416"/>
      <c r="C2361" s="424"/>
      <c r="E2361" s="418"/>
      <c r="F2361" s="493"/>
      <c r="G2361" s="418"/>
      <c r="H2361" s="421"/>
      <c r="I2361" s="421"/>
      <c r="J2361" s="492"/>
      <c r="K2361" s="418"/>
      <c r="L2361" s="418"/>
      <c r="M2361" s="418"/>
      <c r="N2361" s="421"/>
      <c r="O2361" s="421"/>
      <c r="P2361" s="421"/>
      <c r="Q2361" s="418"/>
      <c r="R2361" s="418"/>
      <c r="S2361" s="418"/>
      <c r="T2361" s="418"/>
      <c r="U2361" s="418"/>
      <c r="V2361" s="418"/>
      <c r="W2361" s="418"/>
      <c r="X2361" s="418"/>
      <c r="Y2361" s="418"/>
      <c r="Z2361" s="418"/>
      <c r="AA2361" s="418"/>
      <c r="AB2361" s="418"/>
      <c r="AC2361" s="418"/>
      <c r="AD2361" s="418"/>
      <c r="AE2361" s="418"/>
      <c r="AF2361" s="418"/>
      <c r="AG2361" s="418"/>
      <c r="AH2361" s="418"/>
      <c r="AI2361" s="418"/>
      <c r="AJ2361" s="418"/>
      <c r="AK2361" s="418"/>
      <c r="AL2361" s="418"/>
      <c r="AM2361" s="418"/>
      <c r="AN2361" s="418"/>
      <c r="AO2361" s="418"/>
      <c r="AP2361" s="418"/>
      <c r="AQ2361" s="418"/>
      <c r="AR2361" s="418"/>
      <c r="AS2361" s="418"/>
      <c r="AT2361" s="418"/>
      <c r="AU2361" s="418"/>
      <c r="AV2361" s="418"/>
      <c r="AW2361" s="418"/>
      <c r="AX2361" s="418"/>
      <c r="AY2361" s="418"/>
      <c r="BF2361" s="1119"/>
      <c r="BG2361" s="1119"/>
      <c r="BH2361" s="1119"/>
    </row>
    <row r="2362" spans="1:60" ht="15.75" customHeight="1">
      <c r="A2362" s="1076"/>
      <c r="B2362" s="416"/>
      <c r="C2362" s="424"/>
      <c r="E2362" s="418"/>
      <c r="F2362" s="493"/>
      <c r="G2362" s="418"/>
      <c r="H2362" s="421"/>
      <c r="I2362" s="421"/>
      <c r="J2362" s="492"/>
      <c r="K2362" s="418"/>
      <c r="L2362" s="418"/>
      <c r="M2362" s="418"/>
      <c r="N2362" s="421"/>
      <c r="O2362" s="421"/>
      <c r="P2362" s="421"/>
      <c r="Q2362" s="418"/>
      <c r="R2362" s="418"/>
      <c r="S2362" s="418"/>
      <c r="T2362" s="418"/>
      <c r="U2362" s="418"/>
      <c r="V2362" s="418"/>
      <c r="W2362" s="418"/>
      <c r="X2362" s="418"/>
      <c r="Y2362" s="418"/>
      <c r="Z2362" s="418"/>
      <c r="AA2362" s="418"/>
      <c r="AB2362" s="418"/>
      <c r="AC2362" s="418"/>
      <c r="AD2362" s="418"/>
      <c r="AE2362" s="418"/>
      <c r="AF2362" s="418"/>
      <c r="AG2362" s="418"/>
      <c r="AH2362" s="418"/>
      <c r="AI2362" s="418"/>
      <c r="AJ2362" s="418"/>
      <c r="AK2362" s="418"/>
      <c r="AL2362" s="418"/>
      <c r="AM2362" s="418"/>
      <c r="AN2362" s="418"/>
      <c r="AO2362" s="418"/>
      <c r="AP2362" s="418"/>
      <c r="AQ2362" s="418"/>
      <c r="AR2362" s="418"/>
      <c r="AS2362" s="418"/>
      <c r="AT2362" s="418"/>
      <c r="AU2362" s="418"/>
      <c r="AV2362" s="418"/>
      <c r="AW2362" s="418"/>
      <c r="AX2362" s="418"/>
      <c r="AY2362" s="418"/>
      <c r="BF2362" s="1119"/>
      <c r="BG2362" s="1119"/>
      <c r="BH2362" s="1119"/>
    </row>
    <row r="2363" spans="1:60" ht="15.75" customHeight="1">
      <c r="A2363" s="1076"/>
      <c r="B2363" s="416"/>
      <c r="C2363" s="424"/>
      <c r="E2363" s="418"/>
      <c r="F2363" s="493"/>
      <c r="G2363" s="418"/>
      <c r="H2363" s="421"/>
      <c r="I2363" s="421"/>
      <c r="J2363" s="492"/>
      <c r="K2363" s="418"/>
      <c r="L2363" s="418"/>
      <c r="M2363" s="418"/>
      <c r="N2363" s="421"/>
      <c r="O2363" s="421"/>
      <c r="P2363" s="421"/>
      <c r="Q2363" s="418"/>
      <c r="R2363" s="418"/>
      <c r="S2363" s="418"/>
      <c r="T2363" s="418"/>
      <c r="U2363" s="418"/>
      <c r="V2363" s="418"/>
      <c r="W2363" s="418"/>
      <c r="X2363" s="418"/>
      <c r="Y2363" s="418"/>
      <c r="Z2363" s="418"/>
      <c r="AA2363" s="418"/>
      <c r="AB2363" s="418"/>
      <c r="AC2363" s="418"/>
      <c r="AD2363" s="418"/>
      <c r="AE2363" s="418"/>
      <c r="AF2363" s="418"/>
      <c r="AG2363" s="418"/>
      <c r="AH2363" s="418"/>
      <c r="AI2363" s="418"/>
      <c r="AJ2363" s="418"/>
      <c r="AK2363" s="418"/>
      <c r="AL2363" s="418"/>
      <c r="AM2363" s="418"/>
      <c r="AN2363" s="418"/>
      <c r="AO2363" s="418"/>
      <c r="AP2363" s="418"/>
      <c r="AQ2363" s="418"/>
      <c r="AR2363" s="418"/>
      <c r="AS2363" s="418"/>
      <c r="AT2363" s="418"/>
      <c r="AU2363" s="418"/>
      <c r="AV2363" s="418"/>
      <c r="AW2363" s="418"/>
      <c r="AX2363" s="418"/>
      <c r="AY2363" s="418"/>
      <c r="BF2363" s="1119"/>
      <c r="BG2363" s="1119"/>
      <c r="BH2363" s="1119"/>
    </row>
    <row r="2364" spans="1:60" ht="15.75" customHeight="1">
      <c r="A2364" s="1076"/>
      <c r="B2364" s="416"/>
      <c r="C2364" s="424"/>
      <c r="E2364" s="418"/>
      <c r="F2364" s="493"/>
      <c r="G2364" s="418"/>
      <c r="H2364" s="421"/>
      <c r="I2364" s="421"/>
      <c r="J2364" s="492"/>
      <c r="K2364" s="418"/>
      <c r="L2364" s="418"/>
      <c r="M2364" s="418"/>
      <c r="N2364" s="421"/>
      <c r="O2364" s="421"/>
      <c r="P2364" s="421"/>
      <c r="Q2364" s="418"/>
      <c r="R2364" s="418"/>
      <c r="S2364" s="418"/>
      <c r="T2364" s="418"/>
      <c r="U2364" s="418"/>
      <c r="V2364" s="418"/>
      <c r="W2364" s="418"/>
      <c r="X2364" s="418"/>
      <c r="Y2364" s="418"/>
      <c r="Z2364" s="418"/>
      <c r="AA2364" s="418"/>
      <c r="AB2364" s="418"/>
      <c r="AC2364" s="418"/>
      <c r="AD2364" s="418"/>
      <c r="AE2364" s="418"/>
      <c r="AF2364" s="418"/>
      <c r="AG2364" s="418"/>
      <c r="AH2364" s="418"/>
      <c r="AI2364" s="418"/>
      <c r="AJ2364" s="418"/>
      <c r="AK2364" s="418"/>
      <c r="AL2364" s="418"/>
      <c r="AM2364" s="418"/>
      <c r="AN2364" s="418"/>
      <c r="AO2364" s="418"/>
      <c r="AP2364" s="418"/>
      <c r="AQ2364" s="418"/>
      <c r="AR2364" s="418"/>
      <c r="AS2364" s="418"/>
      <c r="AT2364" s="418"/>
      <c r="AU2364" s="418"/>
      <c r="AV2364" s="418"/>
      <c r="AW2364" s="418"/>
      <c r="AX2364" s="418"/>
      <c r="AY2364" s="418"/>
      <c r="BF2364" s="1119"/>
      <c r="BG2364" s="1119"/>
      <c r="BH2364" s="1119"/>
    </row>
    <row r="2365" spans="1:60" ht="15.75" customHeight="1">
      <c r="A2365" s="1076"/>
      <c r="B2365" s="416"/>
      <c r="C2365" s="424"/>
      <c r="E2365" s="418"/>
      <c r="F2365" s="493"/>
      <c r="G2365" s="418"/>
      <c r="H2365" s="421"/>
      <c r="I2365" s="421"/>
      <c r="J2365" s="492"/>
      <c r="K2365" s="418"/>
      <c r="L2365" s="418"/>
      <c r="M2365" s="418"/>
      <c r="N2365" s="421"/>
      <c r="O2365" s="421"/>
      <c r="P2365" s="421"/>
      <c r="Q2365" s="418"/>
      <c r="R2365" s="418"/>
      <c r="S2365" s="418"/>
      <c r="T2365" s="418"/>
      <c r="U2365" s="418"/>
      <c r="V2365" s="418"/>
      <c r="W2365" s="418"/>
      <c r="X2365" s="418"/>
      <c r="Y2365" s="418"/>
      <c r="Z2365" s="418"/>
      <c r="AA2365" s="418"/>
      <c r="AB2365" s="418"/>
      <c r="AC2365" s="418"/>
      <c r="AD2365" s="418"/>
      <c r="AE2365" s="418"/>
      <c r="AF2365" s="418"/>
      <c r="AG2365" s="418"/>
      <c r="AH2365" s="418"/>
      <c r="AI2365" s="418"/>
      <c r="AJ2365" s="418"/>
      <c r="AK2365" s="418"/>
      <c r="AL2365" s="418"/>
      <c r="AM2365" s="418"/>
      <c r="AN2365" s="418"/>
      <c r="AO2365" s="418"/>
      <c r="AP2365" s="418"/>
      <c r="AQ2365" s="418"/>
      <c r="AR2365" s="418"/>
      <c r="AS2365" s="418"/>
      <c r="AT2365" s="418"/>
      <c r="AU2365" s="418"/>
      <c r="AV2365" s="418"/>
      <c r="AW2365" s="418"/>
      <c r="AX2365" s="418"/>
      <c r="AY2365" s="418"/>
      <c r="BF2365" s="1119"/>
      <c r="BG2365" s="1119"/>
      <c r="BH2365" s="1119"/>
    </row>
    <row r="2366" spans="1:60" ht="15.75" customHeight="1">
      <c r="A2366" s="1076"/>
      <c r="B2366" s="416"/>
      <c r="C2366" s="424"/>
      <c r="E2366" s="418"/>
      <c r="F2366" s="493"/>
      <c r="G2366" s="418"/>
      <c r="H2366" s="421"/>
      <c r="I2366" s="421"/>
      <c r="J2366" s="492"/>
      <c r="K2366" s="418"/>
      <c r="L2366" s="418"/>
      <c r="M2366" s="418"/>
      <c r="N2366" s="421"/>
      <c r="O2366" s="421"/>
      <c r="P2366" s="421"/>
      <c r="Q2366" s="418"/>
      <c r="R2366" s="418"/>
      <c r="S2366" s="418"/>
      <c r="T2366" s="418"/>
      <c r="U2366" s="418"/>
      <c r="V2366" s="418"/>
      <c r="W2366" s="418"/>
      <c r="X2366" s="418"/>
      <c r="Y2366" s="418"/>
      <c r="Z2366" s="418"/>
      <c r="AA2366" s="418"/>
      <c r="AB2366" s="418"/>
      <c r="AC2366" s="418"/>
      <c r="AD2366" s="418"/>
      <c r="AE2366" s="418"/>
      <c r="AF2366" s="418"/>
      <c r="AG2366" s="418"/>
      <c r="AH2366" s="418"/>
      <c r="AI2366" s="418"/>
      <c r="AJ2366" s="418"/>
      <c r="AK2366" s="418"/>
      <c r="AL2366" s="418"/>
      <c r="AM2366" s="418"/>
      <c r="AN2366" s="418"/>
      <c r="AO2366" s="418"/>
      <c r="AP2366" s="418"/>
      <c r="AQ2366" s="418"/>
      <c r="AR2366" s="418"/>
      <c r="AS2366" s="418"/>
      <c r="AT2366" s="418"/>
      <c r="AU2366" s="418"/>
      <c r="AV2366" s="418"/>
      <c r="AW2366" s="418"/>
      <c r="AX2366" s="418"/>
      <c r="AY2366" s="418"/>
      <c r="BF2366" s="1119"/>
      <c r="BG2366" s="1119"/>
      <c r="BH2366" s="1119"/>
    </row>
    <row r="2367" spans="1:60" ht="15.75" customHeight="1">
      <c r="A2367" s="1076"/>
      <c r="B2367" s="416"/>
      <c r="C2367" s="424"/>
      <c r="E2367" s="418"/>
      <c r="F2367" s="493"/>
      <c r="G2367" s="418"/>
      <c r="H2367" s="421"/>
      <c r="I2367" s="421"/>
      <c r="J2367" s="492"/>
      <c r="K2367" s="418"/>
      <c r="L2367" s="418"/>
      <c r="M2367" s="418"/>
      <c r="N2367" s="421"/>
      <c r="O2367" s="421"/>
      <c r="P2367" s="421"/>
      <c r="Q2367" s="418"/>
      <c r="R2367" s="418"/>
      <c r="S2367" s="418"/>
      <c r="T2367" s="418"/>
      <c r="U2367" s="418"/>
      <c r="V2367" s="418"/>
      <c r="W2367" s="418"/>
      <c r="X2367" s="418"/>
      <c r="Y2367" s="418"/>
      <c r="Z2367" s="418"/>
      <c r="AA2367" s="418"/>
      <c r="AB2367" s="418"/>
      <c r="AC2367" s="418"/>
      <c r="AD2367" s="418"/>
      <c r="AE2367" s="418"/>
      <c r="AF2367" s="418"/>
      <c r="AG2367" s="418"/>
      <c r="AH2367" s="418"/>
      <c r="AI2367" s="418"/>
      <c r="AJ2367" s="418"/>
      <c r="AK2367" s="418"/>
      <c r="AL2367" s="418"/>
      <c r="AM2367" s="418"/>
      <c r="AN2367" s="418"/>
      <c r="AO2367" s="418"/>
      <c r="AP2367" s="418"/>
      <c r="AQ2367" s="418"/>
      <c r="AR2367" s="418"/>
      <c r="AS2367" s="418"/>
      <c r="AT2367" s="418"/>
      <c r="AU2367" s="418"/>
      <c r="AV2367" s="418"/>
      <c r="AW2367" s="418"/>
      <c r="AX2367" s="418"/>
      <c r="AY2367" s="418"/>
      <c r="BF2367" s="1119"/>
      <c r="BG2367" s="1119"/>
      <c r="BH2367" s="1119"/>
    </row>
    <row r="2368" spans="1:60" ht="15.75" customHeight="1">
      <c r="A2368" s="1076"/>
      <c r="B2368" s="416"/>
      <c r="C2368" s="424"/>
      <c r="E2368" s="418"/>
      <c r="F2368" s="493"/>
      <c r="G2368" s="418"/>
      <c r="H2368" s="421"/>
      <c r="I2368" s="421"/>
      <c r="J2368" s="492"/>
      <c r="K2368" s="418"/>
      <c r="L2368" s="418"/>
      <c r="M2368" s="418"/>
      <c r="N2368" s="421"/>
      <c r="O2368" s="421"/>
      <c r="P2368" s="421"/>
      <c r="Q2368" s="418"/>
      <c r="R2368" s="418"/>
      <c r="S2368" s="418"/>
      <c r="T2368" s="418"/>
      <c r="U2368" s="418"/>
      <c r="V2368" s="418"/>
      <c r="W2368" s="418"/>
      <c r="X2368" s="418"/>
      <c r="Y2368" s="418"/>
      <c r="Z2368" s="418"/>
      <c r="AA2368" s="418"/>
      <c r="AB2368" s="418"/>
      <c r="AC2368" s="418"/>
      <c r="AD2368" s="418"/>
      <c r="AE2368" s="418"/>
      <c r="AF2368" s="418"/>
      <c r="AG2368" s="418"/>
      <c r="AH2368" s="418"/>
      <c r="AI2368" s="418"/>
      <c r="AJ2368" s="418"/>
      <c r="AK2368" s="418"/>
      <c r="AL2368" s="418"/>
      <c r="AM2368" s="418"/>
      <c r="AN2368" s="418"/>
      <c r="AO2368" s="418"/>
      <c r="AP2368" s="418"/>
      <c r="AQ2368" s="418"/>
      <c r="AR2368" s="418"/>
      <c r="AS2368" s="418"/>
      <c r="AT2368" s="418"/>
      <c r="AU2368" s="418"/>
      <c r="AV2368" s="418"/>
      <c r="AW2368" s="418"/>
      <c r="AX2368" s="418"/>
      <c r="AY2368" s="418"/>
      <c r="BF2368" s="1119"/>
      <c r="BG2368" s="1119"/>
      <c r="BH2368" s="1119"/>
    </row>
    <row r="2369" spans="1:60" ht="15.75" customHeight="1">
      <c r="A2369" s="1076"/>
      <c r="B2369" s="416"/>
      <c r="C2369" s="424"/>
      <c r="E2369" s="418"/>
      <c r="F2369" s="493"/>
      <c r="G2369" s="418"/>
      <c r="H2369" s="421"/>
      <c r="I2369" s="421"/>
      <c r="J2369" s="492"/>
      <c r="K2369" s="418"/>
      <c r="L2369" s="418"/>
      <c r="M2369" s="418"/>
      <c r="N2369" s="421"/>
      <c r="O2369" s="421"/>
      <c r="P2369" s="421"/>
      <c r="Q2369" s="418"/>
      <c r="R2369" s="418"/>
      <c r="S2369" s="418"/>
      <c r="T2369" s="418"/>
      <c r="U2369" s="418"/>
      <c r="V2369" s="418"/>
      <c r="W2369" s="418"/>
      <c r="X2369" s="418"/>
      <c r="Y2369" s="418"/>
      <c r="Z2369" s="418"/>
      <c r="AA2369" s="418"/>
      <c r="AB2369" s="418"/>
      <c r="AC2369" s="418"/>
      <c r="AD2369" s="418"/>
      <c r="AE2369" s="418"/>
      <c r="AF2369" s="418"/>
      <c r="AG2369" s="418"/>
      <c r="AH2369" s="418"/>
      <c r="AI2369" s="418"/>
      <c r="AJ2369" s="418"/>
      <c r="AK2369" s="418"/>
      <c r="AL2369" s="418"/>
      <c r="AM2369" s="418"/>
      <c r="AN2369" s="418"/>
      <c r="AO2369" s="418"/>
      <c r="AP2369" s="418"/>
      <c r="AQ2369" s="418"/>
      <c r="AR2369" s="418"/>
      <c r="AS2369" s="418"/>
      <c r="AT2369" s="418"/>
      <c r="AU2369" s="418"/>
      <c r="AV2369" s="418"/>
      <c r="AW2369" s="418"/>
      <c r="AX2369" s="418"/>
      <c r="AY2369" s="418"/>
      <c r="BF2369" s="1119"/>
      <c r="BG2369" s="1119"/>
      <c r="BH2369" s="1119"/>
    </row>
    <row r="2370" spans="1:60" ht="15.75" customHeight="1">
      <c r="A2370" s="1076"/>
      <c r="B2370" s="416"/>
      <c r="C2370" s="424"/>
      <c r="E2370" s="418"/>
      <c r="F2370" s="493"/>
      <c r="G2370" s="418"/>
      <c r="H2370" s="421"/>
      <c r="I2370" s="421"/>
      <c r="J2370" s="492"/>
      <c r="K2370" s="418"/>
      <c r="L2370" s="418"/>
      <c r="M2370" s="418"/>
      <c r="N2370" s="421"/>
      <c r="O2370" s="421"/>
      <c r="P2370" s="421"/>
      <c r="Q2370" s="418"/>
      <c r="R2370" s="418"/>
      <c r="S2370" s="418"/>
      <c r="T2370" s="418"/>
      <c r="U2370" s="418"/>
      <c r="V2370" s="418"/>
      <c r="W2370" s="418"/>
      <c r="X2370" s="418"/>
      <c r="Y2370" s="418"/>
      <c r="Z2370" s="418"/>
      <c r="AA2370" s="418"/>
      <c r="AB2370" s="418"/>
      <c r="AC2370" s="418"/>
      <c r="AD2370" s="418"/>
      <c r="AE2370" s="418"/>
      <c r="AF2370" s="418"/>
      <c r="AG2370" s="418"/>
      <c r="AH2370" s="418"/>
      <c r="AI2370" s="418"/>
      <c r="AJ2370" s="418"/>
      <c r="AK2370" s="418"/>
      <c r="AL2370" s="418"/>
      <c r="AM2370" s="418"/>
      <c r="AN2370" s="418"/>
      <c r="AO2370" s="418"/>
      <c r="AP2370" s="418"/>
      <c r="AQ2370" s="418"/>
      <c r="AR2370" s="418"/>
      <c r="AS2370" s="418"/>
      <c r="AT2370" s="418"/>
      <c r="AU2370" s="418"/>
      <c r="AV2370" s="418"/>
      <c r="AW2370" s="418"/>
      <c r="AX2370" s="418"/>
      <c r="AY2370" s="418"/>
      <c r="BF2370" s="1119"/>
      <c r="BG2370" s="1119"/>
      <c r="BH2370" s="1119"/>
    </row>
    <row r="2371" spans="1:60" ht="15.75" customHeight="1">
      <c r="A2371" s="1076"/>
      <c r="B2371" s="416"/>
      <c r="C2371" s="424"/>
      <c r="E2371" s="418"/>
      <c r="F2371" s="493"/>
      <c r="G2371" s="418"/>
      <c r="H2371" s="421"/>
      <c r="I2371" s="421"/>
      <c r="J2371" s="492"/>
      <c r="K2371" s="418"/>
      <c r="L2371" s="418"/>
      <c r="M2371" s="418"/>
      <c r="N2371" s="421"/>
      <c r="O2371" s="421"/>
      <c r="P2371" s="421"/>
      <c r="Q2371" s="418"/>
      <c r="R2371" s="418"/>
      <c r="S2371" s="418"/>
      <c r="T2371" s="418"/>
      <c r="U2371" s="418"/>
      <c r="V2371" s="418"/>
      <c r="W2371" s="418"/>
      <c r="X2371" s="418"/>
      <c r="Y2371" s="418"/>
      <c r="Z2371" s="418"/>
      <c r="AA2371" s="418"/>
      <c r="AB2371" s="418"/>
      <c r="AC2371" s="418"/>
      <c r="AD2371" s="418"/>
      <c r="AE2371" s="418"/>
      <c r="AF2371" s="418"/>
      <c r="AG2371" s="418"/>
      <c r="AH2371" s="418"/>
      <c r="AI2371" s="418"/>
      <c r="AJ2371" s="418"/>
      <c r="AK2371" s="418"/>
      <c r="AL2371" s="418"/>
      <c r="AM2371" s="418"/>
      <c r="AN2371" s="418"/>
      <c r="AO2371" s="418"/>
      <c r="AP2371" s="418"/>
      <c r="AQ2371" s="418"/>
      <c r="AR2371" s="418"/>
      <c r="AS2371" s="418"/>
      <c r="AT2371" s="418"/>
      <c r="AU2371" s="418"/>
      <c r="AV2371" s="418"/>
      <c r="AW2371" s="418"/>
      <c r="AX2371" s="418"/>
      <c r="AY2371" s="418"/>
      <c r="BF2371" s="1119"/>
      <c r="BG2371" s="1119"/>
      <c r="BH2371" s="1119"/>
    </row>
    <row r="2372" spans="1:60" ht="15.75" customHeight="1">
      <c r="A2372" s="1076"/>
      <c r="B2372" s="416"/>
      <c r="C2372" s="424"/>
      <c r="E2372" s="418"/>
      <c r="F2372" s="493"/>
      <c r="G2372" s="418"/>
      <c r="H2372" s="421"/>
      <c r="I2372" s="421"/>
      <c r="J2372" s="492"/>
      <c r="K2372" s="418"/>
      <c r="L2372" s="418"/>
      <c r="M2372" s="418"/>
      <c r="N2372" s="421"/>
      <c r="O2372" s="421"/>
      <c r="P2372" s="421"/>
      <c r="Q2372" s="418"/>
      <c r="R2372" s="418"/>
      <c r="S2372" s="418"/>
      <c r="T2372" s="418"/>
      <c r="U2372" s="418"/>
      <c r="V2372" s="418"/>
      <c r="W2372" s="418"/>
      <c r="X2372" s="418"/>
      <c r="Y2372" s="418"/>
      <c r="Z2372" s="418"/>
      <c r="AA2372" s="418"/>
      <c r="AB2372" s="418"/>
      <c r="AC2372" s="418"/>
      <c r="AD2372" s="418"/>
      <c r="AE2372" s="418"/>
      <c r="AF2372" s="418"/>
      <c r="AG2372" s="418"/>
      <c r="AH2372" s="418"/>
      <c r="AI2372" s="418"/>
      <c r="AJ2372" s="418"/>
      <c r="AK2372" s="418"/>
      <c r="AL2372" s="418"/>
      <c r="AM2372" s="418"/>
      <c r="AN2372" s="418"/>
      <c r="AO2372" s="418"/>
      <c r="AP2372" s="418"/>
      <c r="AQ2372" s="418"/>
      <c r="AR2372" s="418"/>
      <c r="AS2372" s="418"/>
      <c r="AT2372" s="418"/>
      <c r="AU2372" s="418"/>
      <c r="AV2372" s="418"/>
      <c r="AW2372" s="418"/>
      <c r="AX2372" s="418"/>
      <c r="AY2372" s="418"/>
      <c r="BF2372" s="1119"/>
      <c r="BG2372" s="1119"/>
      <c r="BH2372" s="1119"/>
    </row>
    <row r="2373" spans="1:60" ht="15.75" customHeight="1">
      <c r="A2373" s="1076"/>
      <c r="B2373" s="416"/>
      <c r="C2373" s="424"/>
      <c r="E2373" s="418"/>
      <c r="F2373" s="493"/>
      <c r="G2373" s="418"/>
      <c r="H2373" s="421"/>
      <c r="I2373" s="421"/>
      <c r="J2373" s="492"/>
      <c r="K2373" s="418"/>
      <c r="L2373" s="418"/>
      <c r="M2373" s="418"/>
      <c r="N2373" s="421"/>
      <c r="O2373" s="421"/>
      <c r="P2373" s="421"/>
      <c r="Q2373" s="418"/>
      <c r="R2373" s="418"/>
      <c r="S2373" s="418"/>
      <c r="T2373" s="418"/>
      <c r="U2373" s="418"/>
      <c r="V2373" s="418"/>
      <c r="W2373" s="418"/>
      <c r="X2373" s="418"/>
      <c r="Y2373" s="418"/>
      <c r="Z2373" s="418"/>
      <c r="AA2373" s="418"/>
      <c r="AB2373" s="418"/>
      <c r="AC2373" s="418"/>
      <c r="AD2373" s="418"/>
      <c r="AE2373" s="418"/>
      <c r="AF2373" s="418"/>
      <c r="AG2373" s="418"/>
      <c r="AH2373" s="418"/>
      <c r="AI2373" s="418"/>
      <c r="AJ2373" s="418"/>
      <c r="AK2373" s="418"/>
      <c r="AL2373" s="418"/>
      <c r="AM2373" s="418"/>
      <c r="AN2373" s="418"/>
      <c r="AO2373" s="418"/>
      <c r="AP2373" s="418"/>
      <c r="AQ2373" s="418"/>
      <c r="AR2373" s="418"/>
      <c r="AS2373" s="418"/>
      <c r="AT2373" s="418"/>
      <c r="AU2373" s="418"/>
      <c r="AV2373" s="418"/>
      <c r="AW2373" s="418"/>
      <c r="AX2373" s="418"/>
      <c r="AY2373" s="418"/>
      <c r="BF2373" s="1119"/>
      <c r="BG2373" s="1119"/>
      <c r="BH2373" s="1119"/>
    </row>
    <row r="2374" spans="1:60" ht="15.75" customHeight="1">
      <c r="A2374" s="1076"/>
      <c r="B2374" s="416"/>
      <c r="C2374" s="424"/>
      <c r="E2374" s="418"/>
      <c r="F2374" s="493"/>
      <c r="G2374" s="418"/>
      <c r="H2374" s="421"/>
      <c r="I2374" s="421"/>
      <c r="J2374" s="492"/>
      <c r="K2374" s="418"/>
      <c r="L2374" s="418"/>
      <c r="M2374" s="418"/>
      <c r="N2374" s="421"/>
      <c r="O2374" s="421"/>
      <c r="P2374" s="421"/>
      <c r="Q2374" s="418"/>
      <c r="R2374" s="418"/>
      <c r="S2374" s="418"/>
      <c r="T2374" s="418"/>
      <c r="U2374" s="418"/>
      <c r="V2374" s="418"/>
      <c r="W2374" s="418"/>
      <c r="X2374" s="418"/>
      <c r="Y2374" s="418"/>
      <c r="Z2374" s="418"/>
      <c r="AA2374" s="418"/>
      <c r="AB2374" s="418"/>
      <c r="AC2374" s="418"/>
      <c r="AD2374" s="418"/>
      <c r="AE2374" s="418"/>
      <c r="AF2374" s="418"/>
      <c r="AG2374" s="418"/>
      <c r="AH2374" s="418"/>
      <c r="AI2374" s="418"/>
      <c r="AJ2374" s="418"/>
      <c r="AK2374" s="418"/>
      <c r="AL2374" s="418"/>
      <c r="AM2374" s="418"/>
      <c r="AN2374" s="418"/>
      <c r="AO2374" s="418"/>
      <c r="AP2374" s="418"/>
      <c r="AQ2374" s="418"/>
      <c r="AR2374" s="418"/>
      <c r="AS2374" s="418"/>
      <c r="AT2374" s="418"/>
      <c r="AU2374" s="418"/>
      <c r="AV2374" s="418"/>
      <c r="AW2374" s="418"/>
      <c r="AX2374" s="418"/>
      <c r="AY2374" s="418"/>
      <c r="BF2374" s="1119"/>
      <c r="BG2374" s="1119"/>
      <c r="BH2374" s="1119"/>
    </row>
    <row r="2375" spans="1:60" ht="15.75" customHeight="1">
      <c r="A2375" s="1076"/>
      <c r="B2375" s="416"/>
      <c r="C2375" s="424"/>
      <c r="E2375" s="418"/>
      <c r="F2375" s="493"/>
      <c r="G2375" s="418"/>
      <c r="H2375" s="421"/>
      <c r="I2375" s="421"/>
      <c r="J2375" s="492"/>
      <c r="K2375" s="418"/>
      <c r="L2375" s="418"/>
      <c r="M2375" s="418"/>
      <c r="N2375" s="421"/>
      <c r="O2375" s="421"/>
      <c r="P2375" s="421"/>
      <c r="Q2375" s="418"/>
      <c r="R2375" s="418"/>
      <c r="S2375" s="418"/>
      <c r="T2375" s="418"/>
      <c r="U2375" s="418"/>
      <c r="V2375" s="418"/>
      <c r="W2375" s="418"/>
      <c r="X2375" s="418"/>
      <c r="Y2375" s="418"/>
      <c r="Z2375" s="418"/>
      <c r="AA2375" s="418"/>
      <c r="AB2375" s="418"/>
      <c r="AC2375" s="418"/>
      <c r="AD2375" s="418"/>
      <c r="AE2375" s="418"/>
      <c r="AF2375" s="418"/>
      <c r="AG2375" s="418"/>
      <c r="AH2375" s="418"/>
      <c r="AI2375" s="418"/>
      <c r="AJ2375" s="418"/>
      <c r="AK2375" s="418"/>
      <c r="AL2375" s="418"/>
      <c r="AM2375" s="418"/>
      <c r="AN2375" s="418"/>
      <c r="AO2375" s="418"/>
      <c r="AP2375" s="418"/>
      <c r="AQ2375" s="418"/>
      <c r="AR2375" s="418"/>
      <c r="AS2375" s="418"/>
      <c r="AT2375" s="418"/>
      <c r="AU2375" s="418"/>
      <c r="AV2375" s="418"/>
      <c r="AW2375" s="418"/>
      <c r="AX2375" s="418"/>
      <c r="AY2375" s="418"/>
      <c r="BF2375" s="1119"/>
      <c r="BG2375" s="1119"/>
      <c r="BH2375" s="1119"/>
    </row>
    <row r="2376" spans="1:60" ht="15.75" customHeight="1">
      <c r="A2376" s="1076"/>
      <c r="B2376" s="416"/>
      <c r="C2376" s="424"/>
      <c r="E2376" s="418"/>
      <c r="F2376" s="493"/>
      <c r="G2376" s="418"/>
      <c r="H2376" s="421"/>
      <c r="I2376" s="421"/>
      <c r="J2376" s="492"/>
      <c r="K2376" s="418"/>
      <c r="L2376" s="418"/>
      <c r="M2376" s="418"/>
      <c r="N2376" s="421"/>
      <c r="O2376" s="421"/>
      <c r="P2376" s="421"/>
      <c r="Q2376" s="418"/>
      <c r="R2376" s="418"/>
      <c r="S2376" s="418"/>
      <c r="T2376" s="418"/>
      <c r="U2376" s="418"/>
      <c r="V2376" s="418"/>
      <c r="W2376" s="418"/>
      <c r="X2376" s="418"/>
      <c r="Y2376" s="418"/>
      <c r="Z2376" s="418"/>
      <c r="AA2376" s="418"/>
      <c r="AB2376" s="418"/>
      <c r="AC2376" s="418"/>
      <c r="AD2376" s="418"/>
      <c r="AE2376" s="418"/>
      <c r="AF2376" s="418"/>
      <c r="AG2376" s="418"/>
      <c r="AH2376" s="418"/>
      <c r="AI2376" s="418"/>
      <c r="AJ2376" s="418"/>
      <c r="AK2376" s="418"/>
      <c r="AL2376" s="418"/>
      <c r="AM2376" s="418"/>
      <c r="AN2376" s="418"/>
      <c r="AO2376" s="418"/>
      <c r="AP2376" s="418"/>
      <c r="AQ2376" s="418"/>
      <c r="AR2376" s="418"/>
      <c r="AS2376" s="418"/>
      <c r="AT2376" s="418"/>
      <c r="AU2376" s="418"/>
      <c r="AV2376" s="418"/>
      <c r="AW2376" s="418"/>
      <c r="AX2376" s="418"/>
      <c r="AY2376" s="418"/>
      <c r="BF2376" s="1119"/>
      <c r="BG2376" s="1119"/>
      <c r="BH2376" s="1119"/>
    </row>
    <row r="2377" spans="1:60" ht="15.75" customHeight="1">
      <c r="A2377" s="1076"/>
      <c r="B2377" s="416"/>
      <c r="C2377" s="424"/>
      <c r="E2377" s="418"/>
      <c r="F2377" s="493"/>
      <c r="G2377" s="418"/>
      <c r="H2377" s="421"/>
      <c r="I2377" s="421"/>
      <c r="J2377" s="492"/>
      <c r="K2377" s="418"/>
      <c r="L2377" s="418"/>
      <c r="M2377" s="418"/>
      <c r="N2377" s="421"/>
      <c r="O2377" s="421"/>
      <c r="P2377" s="421"/>
      <c r="Q2377" s="418"/>
      <c r="R2377" s="418"/>
      <c r="S2377" s="418"/>
      <c r="T2377" s="418"/>
      <c r="U2377" s="418"/>
      <c r="V2377" s="418"/>
      <c r="W2377" s="418"/>
      <c r="X2377" s="418"/>
      <c r="Y2377" s="418"/>
      <c r="Z2377" s="418"/>
      <c r="AA2377" s="418"/>
      <c r="AB2377" s="418"/>
      <c r="AC2377" s="418"/>
      <c r="AD2377" s="418"/>
      <c r="AE2377" s="418"/>
      <c r="AF2377" s="418"/>
      <c r="AG2377" s="418"/>
      <c r="AH2377" s="418"/>
      <c r="AI2377" s="418"/>
      <c r="AJ2377" s="418"/>
      <c r="AK2377" s="418"/>
      <c r="AL2377" s="418"/>
      <c r="AM2377" s="418"/>
      <c r="AN2377" s="418"/>
      <c r="AO2377" s="418"/>
      <c r="AP2377" s="418"/>
      <c r="AQ2377" s="418"/>
      <c r="AR2377" s="418"/>
      <c r="AS2377" s="418"/>
      <c r="AT2377" s="418"/>
      <c r="AU2377" s="418"/>
      <c r="AV2377" s="418"/>
      <c r="AW2377" s="418"/>
      <c r="AX2377" s="418"/>
      <c r="AY2377" s="418"/>
      <c r="BF2377" s="1119"/>
      <c r="BG2377" s="1119"/>
      <c r="BH2377" s="1119"/>
    </row>
    <row r="2378" spans="1:60" ht="15.75" customHeight="1">
      <c r="A2378" s="1076"/>
      <c r="B2378" s="416"/>
      <c r="C2378" s="424"/>
      <c r="E2378" s="418"/>
      <c r="F2378" s="493"/>
      <c r="G2378" s="418"/>
      <c r="H2378" s="421"/>
      <c r="I2378" s="421"/>
      <c r="J2378" s="492"/>
      <c r="K2378" s="418"/>
      <c r="L2378" s="418"/>
      <c r="M2378" s="418"/>
      <c r="N2378" s="421"/>
      <c r="O2378" s="421"/>
      <c r="P2378" s="421"/>
      <c r="Q2378" s="418"/>
      <c r="R2378" s="418"/>
      <c r="S2378" s="418"/>
      <c r="T2378" s="418"/>
      <c r="U2378" s="418"/>
      <c r="V2378" s="418"/>
      <c r="W2378" s="418"/>
      <c r="X2378" s="418"/>
      <c r="Y2378" s="418"/>
      <c r="Z2378" s="418"/>
      <c r="AA2378" s="418"/>
      <c r="AB2378" s="418"/>
      <c r="AC2378" s="418"/>
      <c r="AD2378" s="418"/>
      <c r="AE2378" s="418"/>
      <c r="AF2378" s="418"/>
      <c r="AG2378" s="418"/>
      <c r="AH2378" s="418"/>
      <c r="AI2378" s="418"/>
      <c r="AJ2378" s="418"/>
      <c r="AK2378" s="418"/>
      <c r="AL2378" s="418"/>
      <c r="AM2378" s="418"/>
      <c r="AN2378" s="418"/>
      <c r="AO2378" s="418"/>
      <c r="AP2378" s="418"/>
      <c r="AQ2378" s="418"/>
      <c r="AR2378" s="418"/>
      <c r="AS2378" s="418"/>
      <c r="AT2378" s="418"/>
      <c r="AU2378" s="418"/>
      <c r="AV2378" s="418"/>
      <c r="AW2378" s="418"/>
      <c r="AX2378" s="418"/>
      <c r="AY2378" s="418"/>
      <c r="BF2378" s="1119"/>
      <c r="BG2378" s="1119"/>
      <c r="BH2378" s="1119"/>
    </row>
    <row r="2379" spans="1:60" ht="15.75" customHeight="1">
      <c r="A2379" s="1076"/>
      <c r="B2379" s="416"/>
      <c r="C2379" s="424"/>
      <c r="E2379" s="418"/>
      <c r="F2379" s="493"/>
      <c r="G2379" s="418"/>
      <c r="H2379" s="421"/>
      <c r="I2379" s="421"/>
      <c r="J2379" s="492"/>
      <c r="K2379" s="418"/>
      <c r="L2379" s="418"/>
      <c r="M2379" s="418"/>
      <c r="N2379" s="421"/>
      <c r="O2379" s="421"/>
      <c r="P2379" s="421"/>
      <c r="Q2379" s="418"/>
      <c r="R2379" s="418"/>
      <c r="S2379" s="418"/>
      <c r="T2379" s="418"/>
      <c r="U2379" s="418"/>
      <c r="V2379" s="418"/>
      <c r="W2379" s="418"/>
      <c r="X2379" s="418"/>
      <c r="Y2379" s="418"/>
      <c r="Z2379" s="418"/>
      <c r="AA2379" s="418"/>
      <c r="AB2379" s="418"/>
      <c r="AC2379" s="418"/>
      <c r="AD2379" s="418"/>
      <c r="AE2379" s="418"/>
      <c r="AF2379" s="418"/>
      <c r="AG2379" s="418"/>
      <c r="AH2379" s="418"/>
      <c r="AI2379" s="418"/>
      <c r="AJ2379" s="418"/>
      <c r="AK2379" s="418"/>
      <c r="AL2379" s="418"/>
      <c r="AM2379" s="418"/>
      <c r="AN2379" s="418"/>
      <c r="AO2379" s="418"/>
      <c r="AP2379" s="418"/>
      <c r="AQ2379" s="418"/>
      <c r="AR2379" s="418"/>
      <c r="AS2379" s="418"/>
      <c r="AT2379" s="418"/>
      <c r="AU2379" s="418"/>
      <c r="AV2379" s="418"/>
      <c r="AW2379" s="418"/>
      <c r="AX2379" s="418"/>
      <c r="AY2379" s="418"/>
      <c r="BF2379" s="1119"/>
      <c r="BG2379" s="1119"/>
      <c r="BH2379" s="1119"/>
    </row>
    <row r="2380" spans="1:60" ht="15.75" customHeight="1">
      <c r="A2380" s="1076"/>
      <c r="B2380" s="416"/>
      <c r="C2380" s="424"/>
      <c r="E2380" s="418"/>
      <c r="F2380" s="493"/>
      <c r="G2380" s="418"/>
      <c r="H2380" s="421"/>
      <c r="I2380" s="421"/>
      <c r="J2380" s="492"/>
      <c r="K2380" s="418"/>
      <c r="L2380" s="418"/>
      <c r="M2380" s="418"/>
      <c r="N2380" s="421"/>
      <c r="O2380" s="421"/>
      <c r="P2380" s="421"/>
      <c r="Q2380" s="418"/>
      <c r="R2380" s="418"/>
      <c r="S2380" s="418"/>
      <c r="T2380" s="418"/>
      <c r="U2380" s="418"/>
      <c r="V2380" s="418"/>
      <c r="W2380" s="418"/>
      <c r="X2380" s="418"/>
      <c r="Y2380" s="418"/>
      <c r="Z2380" s="418"/>
      <c r="AA2380" s="418"/>
      <c r="AB2380" s="418"/>
      <c r="AC2380" s="418"/>
      <c r="AD2380" s="418"/>
      <c r="AE2380" s="418"/>
      <c r="AF2380" s="418"/>
      <c r="AG2380" s="418"/>
      <c r="AH2380" s="418"/>
      <c r="AI2380" s="418"/>
      <c r="AJ2380" s="418"/>
      <c r="AK2380" s="418"/>
      <c r="AL2380" s="418"/>
      <c r="AM2380" s="418"/>
      <c r="AN2380" s="418"/>
      <c r="AO2380" s="418"/>
      <c r="AP2380" s="418"/>
      <c r="AQ2380" s="418"/>
      <c r="AR2380" s="418"/>
      <c r="AS2380" s="418"/>
      <c r="AT2380" s="418"/>
      <c r="AU2380" s="418"/>
      <c r="AV2380" s="418"/>
      <c r="AW2380" s="418"/>
      <c r="AX2380" s="418"/>
      <c r="AY2380" s="418"/>
      <c r="BF2380" s="1119"/>
      <c r="BG2380" s="1119"/>
      <c r="BH2380" s="1119"/>
    </row>
    <row r="2381" spans="1:60" ht="15.75" customHeight="1">
      <c r="A2381" s="1076"/>
      <c r="B2381" s="416"/>
      <c r="C2381" s="424"/>
      <c r="E2381" s="418"/>
      <c r="F2381" s="493"/>
      <c r="G2381" s="418"/>
      <c r="H2381" s="421"/>
      <c r="I2381" s="421"/>
      <c r="J2381" s="492"/>
      <c r="K2381" s="418"/>
      <c r="L2381" s="418"/>
      <c r="M2381" s="418"/>
      <c r="N2381" s="421"/>
      <c r="O2381" s="421"/>
      <c r="P2381" s="421"/>
      <c r="Q2381" s="418"/>
      <c r="R2381" s="418"/>
      <c r="S2381" s="418"/>
      <c r="T2381" s="418"/>
      <c r="U2381" s="418"/>
      <c r="V2381" s="418"/>
      <c r="W2381" s="418"/>
      <c r="X2381" s="418"/>
      <c r="Y2381" s="418"/>
      <c r="Z2381" s="418"/>
      <c r="AA2381" s="418"/>
      <c r="AB2381" s="418"/>
      <c r="AC2381" s="418"/>
      <c r="AD2381" s="418"/>
      <c r="AE2381" s="418"/>
      <c r="AF2381" s="418"/>
      <c r="AG2381" s="418"/>
      <c r="AH2381" s="418"/>
      <c r="AI2381" s="418"/>
      <c r="AJ2381" s="418"/>
      <c r="AK2381" s="418"/>
      <c r="AL2381" s="418"/>
      <c r="AM2381" s="418"/>
      <c r="AN2381" s="418"/>
      <c r="AO2381" s="418"/>
      <c r="AP2381" s="418"/>
      <c r="AQ2381" s="418"/>
      <c r="AR2381" s="418"/>
      <c r="AS2381" s="418"/>
      <c r="AT2381" s="418"/>
      <c r="AU2381" s="418"/>
      <c r="AV2381" s="418"/>
      <c r="AW2381" s="418"/>
      <c r="AX2381" s="418"/>
      <c r="AY2381" s="418"/>
      <c r="BF2381" s="1119"/>
      <c r="BG2381" s="1119"/>
      <c r="BH2381" s="1119"/>
    </row>
    <row r="2382" spans="1:60" ht="15.75" customHeight="1">
      <c r="A2382" s="1076"/>
      <c r="B2382" s="416"/>
      <c r="C2382" s="424"/>
      <c r="E2382" s="418"/>
      <c r="F2382" s="493"/>
      <c r="G2382" s="418"/>
      <c r="H2382" s="421"/>
      <c r="I2382" s="421"/>
      <c r="J2382" s="492"/>
      <c r="K2382" s="418"/>
      <c r="L2382" s="418"/>
      <c r="M2382" s="418"/>
      <c r="N2382" s="421"/>
      <c r="O2382" s="421"/>
      <c r="P2382" s="421"/>
      <c r="Q2382" s="418"/>
      <c r="R2382" s="418"/>
      <c r="S2382" s="418"/>
      <c r="T2382" s="418"/>
      <c r="U2382" s="418"/>
      <c r="V2382" s="418"/>
      <c r="W2382" s="418"/>
      <c r="X2382" s="418"/>
      <c r="Y2382" s="418"/>
      <c r="Z2382" s="418"/>
      <c r="AA2382" s="418"/>
      <c r="AB2382" s="418"/>
      <c r="AC2382" s="418"/>
      <c r="AD2382" s="418"/>
      <c r="AE2382" s="418"/>
      <c r="AF2382" s="418"/>
      <c r="AG2382" s="418"/>
      <c r="AH2382" s="418"/>
      <c r="AI2382" s="418"/>
      <c r="AJ2382" s="418"/>
      <c r="AK2382" s="418"/>
      <c r="AL2382" s="418"/>
      <c r="AM2382" s="418"/>
      <c r="AN2382" s="418"/>
      <c r="AO2382" s="418"/>
      <c r="AP2382" s="418"/>
      <c r="AQ2382" s="418"/>
      <c r="AR2382" s="418"/>
      <c r="AS2382" s="418"/>
      <c r="AT2382" s="418"/>
      <c r="AU2382" s="418"/>
      <c r="AV2382" s="418"/>
      <c r="AW2382" s="418"/>
      <c r="AX2382" s="418"/>
      <c r="AY2382" s="418"/>
      <c r="BF2382" s="1119"/>
      <c r="BG2382" s="1119"/>
      <c r="BH2382" s="1119"/>
    </row>
    <row r="2383" spans="1:60" ht="15.75" customHeight="1">
      <c r="A2383" s="1076"/>
      <c r="B2383" s="416"/>
      <c r="C2383" s="424"/>
      <c r="E2383" s="418"/>
      <c r="F2383" s="493"/>
      <c r="G2383" s="418"/>
      <c r="H2383" s="421"/>
      <c r="I2383" s="421"/>
      <c r="J2383" s="492"/>
      <c r="K2383" s="418"/>
      <c r="L2383" s="418"/>
      <c r="M2383" s="418"/>
      <c r="N2383" s="421"/>
      <c r="O2383" s="421"/>
      <c r="P2383" s="421"/>
      <c r="Q2383" s="418"/>
      <c r="R2383" s="418"/>
      <c r="S2383" s="418"/>
      <c r="T2383" s="418"/>
      <c r="U2383" s="418"/>
      <c r="V2383" s="418"/>
      <c r="W2383" s="418"/>
      <c r="X2383" s="418"/>
      <c r="Y2383" s="418"/>
      <c r="Z2383" s="418"/>
      <c r="AA2383" s="418"/>
      <c r="AB2383" s="418"/>
      <c r="AC2383" s="418"/>
      <c r="AD2383" s="418"/>
      <c r="AE2383" s="418"/>
      <c r="AF2383" s="418"/>
      <c r="AG2383" s="418"/>
      <c r="AH2383" s="418"/>
      <c r="AI2383" s="418"/>
      <c r="AJ2383" s="418"/>
      <c r="AK2383" s="418"/>
      <c r="AL2383" s="418"/>
      <c r="AM2383" s="418"/>
      <c r="AN2383" s="418"/>
      <c r="AO2383" s="418"/>
      <c r="AP2383" s="418"/>
      <c r="AQ2383" s="418"/>
      <c r="AR2383" s="418"/>
      <c r="AS2383" s="418"/>
      <c r="AT2383" s="418"/>
      <c r="AU2383" s="418"/>
      <c r="AV2383" s="418"/>
      <c r="AW2383" s="418"/>
      <c r="AX2383" s="418"/>
      <c r="AY2383" s="418"/>
      <c r="BF2383" s="1119"/>
      <c r="BG2383" s="1119"/>
      <c r="BH2383" s="1119"/>
    </row>
    <row r="2384" spans="1:60" ht="15.75" customHeight="1">
      <c r="A2384" s="1076"/>
      <c r="B2384" s="416"/>
      <c r="C2384" s="424"/>
      <c r="E2384" s="418"/>
      <c r="F2384" s="493"/>
      <c r="G2384" s="418"/>
      <c r="H2384" s="421"/>
      <c r="I2384" s="421"/>
      <c r="J2384" s="492"/>
      <c r="K2384" s="418"/>
      <c r="L2384" s="418"/>
      <c r="M2384" s="418"/>
      <c r="N2384" s="421"/>
      <c r="O2384" s="421"/>
      <c r="P2384" s="421"/>
      <c r="Q2384" s="418"/>
      <c r="R2384" s="418"/>
      <c r="S2384" s="418"/>
      <c r="T2384" s="418"/>
      <c r="U2384" s="418"/>
      <c r="V2384" s="418"/>
      <c r="W2384" s="418"/>
      <c r="X2384" s="418"/>
      <c r="Y2384" s="418"/>
      <c r="Z2384" s="418"/>
      <c r="AA2384" s="418"/>
      <c r="AB2384" s="418"/>
      <c r="AC2384" s="418"/>
      <c r="AD2384" s="418"/>
      <c r="AE2384" s="418"/>
      <c r="AF2384" s="418"/>
      <c r="AG2384" s="418"/>
      <c r="AH2384" s="418"/>
      <c r="AI2384" s="418"/>
      <c r="AJ2384" s="418"/>
      <c r="AK2384" s="418"/>
      <c r="AL2384" s="418"/>
      <c r="AM2384" s="418"/>
      <c r="AN2384" s="418"/>
      <c r="AO2384" s="418"/>
      <c r="AP2384" s="418"/>
      <c r="AQ2384" s="418"/>
      <c r="AR2384" s="418"/>
      <c r="AS2384" s="418"/>
      <c r="AT2384" s="418"/>
      <c r="AU2384" s="418"/>
      <c r="AV2384" s="418"/>
      <c r="AW2384" s="418"/>
      <c r="AX2384" s="418"/>
      <c r="AY2384" s="418"/>
      <c r="BF2384" s="1119"/>
      <c r="BG2384" s="1119"/>
      <c r="BH2384" s="1119"/>
    </row>
    <row r="2385" spans="1:60" ht="15.75" customHeight="1">
      <c r="A2385" s="1076"/>
      <c r="B2385" s="416"/>
      <c r="C2385" s="424"/>
      <c r="E2385" s="418"/>
      <c r="F2385" s="493"/>
      <c r="G2385" s="418"/>
      <c r="H2385" s="421"/>
      <c r="I2385" s="421"/>
      <c r="J2385" s="492"/>
      <c r="K2385" s="418"/>
      <c r="L2385" s="418"/>
      <c r="M2385" s="418"/>
      <c r="N2385" s="421"/>
      <c r="O2385" s="421"/>
      <c r="P2385" s="421"/>
      <c r="Q2385" s="418"/>
      <c r="R2385" s="418"/>
      <c r="S2385" s="418"/>
      <c r="T2385" s="418"/>
      <c r="U2385" s="418"/>
      <c r="V2385" s="418"/>
      <c r="W2385" s="418"/>
      <c r="X2385" s="418"/>
      <c r="Y2385" s="418"/>
      <c r="Z2385" s="418"/>
      <c r="AA2385" s="418"/>
      <c r="AB2385" s="418"/>
      <c r="AC2385" s="418"/>
      <c r="AD2385" s="418"/>
      <c r="AE2385" s="418"/>
      <c r="AF2385" s="418"/>
      <c r="AG2385" s="418"/>
      <c r="AH2385" s="418"/>
      <c r="AI2385" s="418"/>
      <c r="AJ2385" s="418"/>
      <c r="AK2385" s="418"/>
      <c r="AL2385" s="418"/>
      <c r="AM2385" s="418"/>
      <c r="AN2385" s="418"/>
      <c r="AO2385" s="418"/>
      <c r="AP2385" s="418"/>
      <c r="AQ2385" s="418"/>
      <c r="AR2385" s="418"/>
      <c r="AS2385" s="418"/>
      <c r="AT2385" s="418"/>
      <c r="AU2385" s="418"/>
      <c r="AV2385" s="418"/>
      <c r="AW2385" s="418"/>
      <c r="AX2385" s="418"/>
      <c r="AY2385" s="418"/>
      <c r="BF2385" s="1119"/>
      <c r="BG2385" s="1119"/>
      <c r="BH2385" s="1119"/>
    </row>
    <row r="2386" spans="1:60" ht="15.75" customHeight="1">
      <c r="A2386" s="1076"/>
      <c r="B2386" s="416"/>
      <c r="C2386" s="424"/>
      <c r="E2386" s="418"/>
      <c r="F2386" s="493"/>
      <c r="G2386" s="418"/>
      <c r="H2386" s="421"/>
      <c r="I2386" s="421"/>
      <c r="J2386" s="492"/>
      <c r="K2386" s="418"/>
      <c r="L2386" s="418"/>
      <c r="M2386" s="418"/>
      <c r="N2386" s="421"/>
      <c r="O2386" s="421"/>
      <c r="P2386" s="421"/>
      <c r="Q2386" s="418"/>
      <c r="R2386" s="418"/>
      <c r="S2386" s="418"/>
      <c r="T2386" s="418"/>
      <c r="U2386" s="418"/>
      <c r="V2386" s="418"/>
      <c r="W2386" s="418"/>
      <c r="X2386" s="418"/>
      <c r="Y2386" s="418"/>
      <c r="Z2386" s="418"/>
      <c r="AA2386" s="418"/>
      <c r="AB2386" s="418"/>
      <c r="AC2386" s="418"/>
      <c r="AD2386" s="418"/>
      <c r="AE2386" s="418"/>
      <c r="AF2386" s="418"/>
      <c r="AG2386" s="418"/>
      <c r="AH2386" s="418"/>
      <c r="AI2386" s="418"/>
      <c r="AJ2386" s="418"/>
      <c r="AK2386" s="418"/>
      <c r="AL2386" s="418"/>
      <c r="AM2386" s="418"/>
      <c r="AN2386" s="418"/>
      <c r="AO2386" s="418"/>
      <c r="AP2386" s="418"/>
      <c r="AQ2386" s="418"/>
      <c r="AR2386" s="418"/>
      <c r="AS2386" s="418"/>
      <c r="AT2386" s="418"/>
      <c r="AU2386" s="418"/>
      <c r="AV2386" s="418"/>
      <c r="AW2386" s="418"/>
      <c r="AX2386" s="418"/>
      <c r="AY2386" s="418"/>
      <c r="BF2386" s="1119"/>
      <c r="BG2386" s="1119"/>
      <c r="BH2386" s="1119"/>
    </row>
    <row r="2387" spans="1:60" ht="15.75" customHeight="1">
      <c r="A2387" s="1076"/>
      <c r="B2387" s="416"/>
      <c r="C2387" s="424"/>
      <c r="E2387" s="418"/>
      <c r="F2387" s="493"/>
      <c r="G2387" s="418"/>
      <c r="H2387" s="421"/>
      <c r="I2387" s="421"/>
      <c r="J2387" s="492"/>
      <c r="K2387" s="418"/>
      <c r="L2387" s="418"/>
      <c r="M2387" s="418"/>
      <c r="N2387" s="421"/>
      <c r="O2387" s="421"/>
      <c r="P2387" s="421"/>
      <c r="Q2387" s="418"/>
      <c r="R2387" s="418"/>
      <c r="S2387" s="418"/>
      <c r="T2387" s="418"/>
      <c r="U2387" s="418"/>
      <c r="V2387" s="418"/>
      <c r="W2387" s="418"/>
      <c r="X2387" s="418"/>
      <c r="Y2387" s="418"/>
      <c r="Z2387" s="418"/>
      <c r="AA2387" s="418"/>
      <c r="AB2387" s="418"/>
      <c r="AC2387" s="418"/>
      <c r="AD2387" s="418"/>
      <c r="AE2387" s="418"/>
      <c r="AF2387" s="418"/>
      <c r="AG2387" s="418"/>
      <c r="AH2387" s="418"/>
      <c r="AI2387" s="418"/>
      <c r="AJ2387" s="418"/>
      <c r="AK2387" s="418"/>
      <c r="AL2387" s="418"/>
      <c r="AM2387" s="418"/>
      <c r="AN2387" s="418"/>
      <c r="AO2387" s="418"/>
      <c r="AP2387" s="418"/>
      <c r="AQ2387" s="418"/>
      <c r="AR2387" s="418"/>
      <c r="AS2387" s="418"/>
      <c r="AT2387" s="418"/>
      <c r="AU2387" s="418"/>
      <c r="AV2387" s="418"/>
      <c r="AW2387" s="418"/>
      <c r="AX2387" s="418"/>
      <c r="AY2387" s="418"/>
      <c r="BF2387" s="1119"/>
      <c r="BG2387" s="1119"/>
      <c r="BH2387" s="1119"/>
    </row>
    <row r="2388" spans="1:60" ht="15.75" customHeight="1">
      <c r="A2388" s="1076"/>
      <c r="B2388" s="416"/>
      <c r="C2388" s="424"/>
      <c r="E2388" s="418"/>
      <c r="F2388" s="493"/>
      <c r="G2388" s="418"/>
      <c r="H2388" s="421"/>
      <c r="I2388" s="421"/>
      <c r="J2388" s="492"/>
      <c r="K2388" s="418"/>
      <c r="L2388" s="418"/>
      <c r="M2388" s="418"/>
      <c r="N2388" s="421"/>
      <c r="O2388" s="421"/>
      <c r="P2388" s="421"/>
      <c r="Q2388" s="418"/>
      <c r="R2388" s="418"/>
      <c r="S2388" s="418"/>
      <c r="T2388" s="418"/>
      <c r="U2388" s="418"/>
      <c r="V2388" s="418"/>
      <c r="W2388" s="418"/>
      <c r="X2388" s="418"/>
      <c r="Y2388" s="418"/>
      <c r="Z2388" s="418"/>
      <c r="AA2388" s="418"/>
      <c r="AB2388" s="418"/>
      <c r="AC2388" s="418"/>
      <c r="AD2388" s="418"/>
      <c r="AE2388" s="418"/>
      <c r="AF2388" s="418"/>
      <c r="AG2388" s="418"/>
      <c r="AH2388" s="418"/>
      <c r="AI2388" s="418"/>
      <c r="AJ2388" s="418"/>
      <c r="AK2388" s="418"/>
      <c r="AL2388" s="418"/>
      <c r="AM2388" s="418"/>
      <c r="AN2388" s="418"/>
      <c r="AO2388" s="418"/>
      <c r="AP2388" s="418"/>
      <c r="AQ2388" s="418"/>
      <c r="AR2388" s="418"/>
      <c r="AS2388" s="418"/>
      <c r="AT2388" s="418"/>
      <c r="AU2388" s="418"/>
      <c r="AV2388" s="418"/>
      <c r="AW2388" s="418"/>
      <c r="AX2388" s="418"/>
      <c r="AY2388" s="418"/>
      <c r="BF2388" s="1119"/>
      <c r="BG2388" s="1119"/>
      <c r="BH2388" s="1119"/>
    </row>
    <row r="2389" spans="1:60" ht="15.75" customHeight="1">
      <c r="A2389" s="1076"/>
      <c r="B2389" s="416"/>
      <c r="C2389" s="424"/>
      <c r="E2389" s="418"/>
      <c r="F2389" s="493"/>
      <c r="G2389" s="418"/>
      <c r="H2389" s="421"/>
      <c r="I2389" s="421"/>
      <c r="J2389" s="492"/>
      <c r="K2389" s="418"/>
      <c r="L2389" s="418"/>
      <c r="M2389" s="418"/>
      <c r="N2389" s="421"/>
      <c r="O2389" s="421"/>
      <c r="P2389" s="421"/>
      <c r="Q2389" s="418"/>
      <c r="R2389" s="418"/>
      <c r="S2389" s="418"/>
      <c r="T2389" s="418"/>
      <c r="U2389" s="418"/>
      <c r="V2389" s="418"/>
      <c r="W2389" s="418"/>
      <c r="X2389" s="418"/>
      <c r="Y2389" s="418"/>
      <c r="Z2389" s="418"/>
      <c r="AA2389" s="418"/>
      <c r="AB2389" s="418"/>
      <c r="AC2389" s="418"/>
      <c r="AD2389" s="418"/>
      <c r="AE2389" s="418"/>
      <c r="AF2389" s="418"/>
      <c r="AG2389" s="418"/>
      <c r="AH2389" s="418"/>
      <c r="AI2389" s="418"/>
      <c r="AJ2389" s="418"/>
      <c r="AK2389" s="418"/>
      <c r="AL2389" s="418"/>
      <c r="AM2389" s="418"/>
      <c r="AN2389" s="418"/>
      <c r="AO2389" s="418"/>
      <c r="AP2389" s="418"/>
      <c r="AQ2389" s="418"/>
      <c r="AR2389" s="418"/>
      <c r="AS2389" s="418"/>
      <c r="AT2389" s="418"/>
      <c r="AU2389" s="418"/>
      <c r="AV2389" s="418"/>
      <c r="AW2389" s="418"/>
      <c r="AX2389" s="418"/>
      <c r="AY2389" s="418"/>
      <c r="BF2389" s="1119"/>
      <c r="BG2389" s="1119"/>
      <c r="BH2389" s="1119"/>
    </row>
    <row r="2390" spans="1:60" ht="15.75" customHeight="1">
      <c r="A2390" s="1076"/>
      <c r="B2390" s="416"/>
      <c r="C2390" s="424"/>
      <c r="E2390" s="418"/>
      <c r="F2390" s="493"/>
      <c r="G2390" s="418"/>
      <c r="H2390" s="421"/>
      <c r="I2390" s="421"/>
      <c r="J2390" s="492"/>
      <c r="K2390" s="418"/>
      <c r="L2390" s="418"/>
      <c r="M2390" s="418"/>
      <c r="N2390" s="421"/>
      <c r="O2390" s="421"/>
      <c r="P2390" s="421"/>
      <c r="Q2390" s="418"/>
      <c r="R2390" s="418"/>
      <c r="S2390" s="418"/>
      <c r="T2390" s="418"/>
      <c r="U2390" s="418"/>
      <c r="V2390" s="418"/>
      <c r="W2390" s="418"/>
      <c r="X2390" s="418"/>
      <c r="Y2390" s="418"/>
      <c r="Z2390" s="418"/>
      <c r="AA2390" s="418"/>
      <c r="AB2390" s="418"/>
      <c r="AC2390" s="418"/>
      <c r="AD2390" s="418"/>
      <c r="AE2390" s="418"/>
      <c r="AF2390" s="418"/>
      <c r="AG2390" s="418"/>
      <c r="AH2390" s="418"/>
      <c r="AI2390" s="418"/>
      <c r="AJ2390" s="418"/>
      <c r="AK2390" s="418"/>
      <c r="AL2390" s="418"/>
      <c r="AM2390" s="418"/>
      <c r="AN2390" s="418"/>
      <c r="AO2390" s="418"/>
      <c r="AP2390" s="418"/>
      <c r="AQ2390" s="418"/>
      <c r="AR2390" s="418"/>
      <c r="AS2390" s="418"/>
      <c r="AT2390" s="418"/>
      <c r="AU2390" s="418"/>
      <c r="AV2390" s="418"/>
      <c r="AW2390" s="418"/>
      <c r="AX2390" s="418"/>
      <c r="AY2390" s="418"/>
      <c r="BF2390" s="1119"/>
      <c r="BG2390" s="1119"/>
      <c r="BH2390" s="1119"/>
    </row>
    <row r="2391" spans="1:60" ht="15.75" customHeight="1">
      <c r="A2391" s="1076"/>
      <c r="B2391" s="416"/>
      <c r="C2391" s="424"/>
      <c r="E2391" s="418"/>
      <c r="F2391" s="493"/>
      <c r="G2391" s="418"/>
      <c r="H2391" s="421"/>
      <c r="I2391" s="421"/>
      <c r="J2391" s="492"/>
      <c r="K2391" s="418"/>
      <c r="L2391" s="418"/>
      <c r="M2391" s="418"/>
      <c r="N2391" s="421"/>
      <c r="O2391" s="421"/>
      <c r="P2391" s="421"/>
      <c r="Q2391" s="418"/>
      <c r="R2391" s="418"/>
      <c r="S2391" s="418"/>
      <c r="T2391" s="418"/>
      <c r="U2391" s="418"/>
      <c r="V2391" s="418"/>
      <c r="W2391" s="418"/>
      <c r="X2391" s="418"/>
      <c r="Y2391" s="418"/>
      <c r="Z2391" s="418"/>
      <c r="AA2391" s="418"/>
      <c r="AB2391" s="418"/>
      <c r="AC2391" s="418"/>
      <c r="AD2391" s="418"/>
      <c r="AE2391" s="418"/>
      <c r="AF2391" s="418"/>
      <c r="AG2391" s="418"/>
      <c r="AH2391" s="418"/>
      <c r="AI2391" s="418"/>
      <c r="AJ2391" s="418"/>
      <c r="AK2391" s="418"/>
      <c r="AL2391" s="418"/>
      <c r="AM2391" s="418"/>
      <c r="AN2391" s="418"/>
      <c r="AO2391" s="418"/>
      <c r="AP2391" s="418"/>
      <c r="AQ2391" s="418"/>
      <c r="AR2391" s="418"/>
      <c r="AS2391" s="418"/>
      <c r="AT2391" s="418"/>
      <c r="AU2391" s="418"/>
      <c r="AV2391" s="418"/>
      <c r="AW2391" s="418"/>
      <c r="AX2391" s="418"/>
      <c r="AY2391" s="418"/>
      <c r="BF2391" s="1119"/>
      <c r="BG2391" s="1119"/>
      <c r="BH2391" s="1119"/>
    </row>
    <row r="2392" spans="1:60" ht="15.75" customHeight="1">
      <c r="A2392" s="1076"/>
      <c r="B2392" s="416"/>
      <c r="C2392" s="424"/>
      <c r="E2392" s="418"/>
      <c r="F2392" s="493"/>
      <c r="G2392" s="418"/>
      <c r="H2392" s="421"/>
      <c r="I2392" s="421"/>
      <c r="J2392" s="492"/>
      <c r="K2392" s="418"/>
      <c r="L2392" s="418"/>
      <c r="M2392" s="418"/>
      <c r="N2392" s="421"/>
      <c r="O2392" s="421"/>
      <c r="P2392" s="421"/>
      <c r="Q2392" s="418"/>
      <c r="R2392" s="418"/>
      <c r="S2392" s="418"/>
      <c r="T2392" s="418"/>
      <c r="U2392" s="418"/>
      <c r="V2392" s="418"/>
      <c r="W2392" s="418"/>
      <c r="X2392" s="418"/>
      <c r="Y2392" s="418"/>
      <c r="Z2392" s="418"/>
      <c r="AA2392" s="418"/>
      <c r="AB2392" s="418"/>
      <c r="AC2392" s="418"/>
      <c r="AD2392" s="418"/>
      <c r="AE2392" s="418"/>
      <c r="AF2392" s="418"/>
      <c r="AG2392" s="418"/>
      <c r="AH2392" s="418"/>
      <c r="AI2392" s="418"/>
      <c r="AJ2392" s="418"/>
      <c r="AK2392" s="418"/>
      <c r="AL2392" s="418"/>
      <c r="AM2392" s="418"/>
      <c r="AN2392" s="418"/>
      <c r="AO2392" s="418"/>
      <c r="AP2392" s="418"/>
      <c r="AQ2392" s="418"/>
      <c r="AR2392" s="418"/>
      <c r="AS2392" s="418"/>
      <c r="AT2392" s="418"/>
      <c r="AU2392" s="418"/>
      <c r="AV2392" s="418"/>
      <c r="AW2392" s="418"/>
      <c r="AX2392" s="418"/>
      <c r="AY2392" s="418"/>
      <c r="BF2392" s="1119"/>
      <c r="BG2392" s="1119"/>
      <c r="BH2392" s="1119"/>
    </row>
    <row r="2393" spans="1:60" ht="15.75" customHeight="1">
      <c r="A2393" s="1076"/>
      <c r="B2393" s="416"/>
      <c r="C2393" s="424"/>
      <c r="E2393" s="418"/>
      <c r="F2393" s="493"/>
      <c r="G2393" s="418"/>
      <c r="H2393" s="421"/>
      <c r="I2393" s="421"/>
      <c r="J2393" s="492"/>
      <c r="K2393" s="418"/>
      <c r="L2393" s="418"/>
      <c r="M2393" s="418"/>
      <c r="N2393" s="421"/>
      <c r="O2393" s="421"/>
      <c r="P2393" s="421"/>
      <c r="Q2393" s="418"/>
      <c r="R2393" s="418"/>
      <c r="S2393" s="418"/>
      <c r="T2393" s="418"/>
      <c r="U2393" s="418"/>
      <c r="V2393" s="418"/>
      <c r="W2393" s="418"/>
      <c r="X2393" s="418"/>
      <c r="Y2393" s="418"/>
      <c r="Z2393" s="418"/>
      <c r="AA2393" s="418"/>
      <c r="AB2393" s="418"/>
      <c r="AC2393" s="418"/>
      <c r="AD2393" s="418"/>
      <c r="AE2393" s="418"/>
      <c r="AF2393" s="418"/>
      <c r="AG2393" s="418"/>
      <c r="AH2393" s="418"/>
      <c r="AI2393" s="418"/>
      <c r="AJ2393" s="418"/>
      <c r="AK2393" s="418"/>
      <c r="AL2393" s="418"/>
      <c r="AM2393" s="418"/>
      <c r="AN2393" s="418"/>
      <c r="AO2393" s="418"/>
      <c r="AP2393" s="418"/>
      <c r="AQ2393" s="418"/>
      <c r="AR2393" s="418"/>
      <c r="AS2393" s="418"/>
      <c r="AT2393" s="418"/>
      <c r="AU2393" s="418"/>
      <c r="AV2393" s="418"/>
      <c r="AW2393" s="418"/>
      <c r="AX2393" s="418"/>
      <c r="AY2393" s="418"/>
      <c r="BF2393" s="1119"/>
      <c r="BG2393" s="1119"/>
      <c r="BH2393" s="1119"/>
    </row>
    <row r="2394" spans="1:60" ht="15.75" customHeight="1">
      <c r="A2394" s="1076"/>
      <c r="B2394" s="416"/>
      <c r="C2394" s="424"/>
      <c r="E2394" s="418"/>
      <c r="F2394" s="493"/>
      <c r="G2394" s="418"/>
      <c r="H2394" s="421"/>
      <c r="I2394" s="421"/>
      <c r="J2394" s="492"/>
      <c r="K2394" s="418"/>
      <c r="L2394" s="418"/>
      <c r="M2394" s="418"/>
      <c r="N2394" s="421"/>
      <c r="O2394" s="421"/>
      <c r="P2394" s="421"/>
      <c r="Q2394" s="418"/>
      <c r="R2394" s="418"/>
      <c r="S2394" s="418"/>
      <c r="T2394" s="418"/>
      <c r="U2394" s="418"/>
      <c r="V2394" s="418"/>
      <c r="W2394" s="418"/>
      <c r="X2394" s="418"/>
      <c r="Y2394" s="418"/>
      <c r="Z2394" s="418"/>
      <c r="AA2394" s="418"/>
      <c r="AB2394" s="418"/>
      <c r="AC2394" s="418"/>
      <c r="AD2394" s="418"/>
      <c r="AE2394" s="418"/>
      <c r="AF2394" s="418"/>
      <c r="AG2394" s="418"/>
      <c r="AH2394" s="418"/>
      <c r="AI2394" s="418"/>
      <c r="AJ2394" s="418"/>
      <c r="AK2394" s="418"/>
      <c r="AL2394" s="418"/>
      <c r="AM2394" s="418"/>
      <c r="AN2394" s="418"/>
      <c r="AO2394" s="418"/>
      <c r="AP2394" s="418"/>
      <c r="AQ2394" s="418"/>
      <c r="AR2394" s="418"/>
      <c r="AS2394" s="418"/>
      <c r="AT2394" s="418"/>
      <c r="AU2394" s="418"/>
      <c r="AV2394" s="418"/>
      <c r="AW2394" s="418"/>
      <c r="AX2394" s="418"/>
      <c r="AY2394" s="418"/>
      <c r="BF2394" s="1119"/>
      <c r="BG2394" s="1119"/>
      <c r="BH2394" s="1119"/>
    </row>
    <row r="2395" spans="1:60" ht="15.75" customHeight="1">
      <c r="A2395" s="1076"/>
      <c r="B2395" s="416"/>
      <c r="C2395" s="424"/>
      <c r="E2395" s="418"/>
      <c r="F2395" s="493"/>
      <c r="G2395" s="418"/>
      <c r="H2395" s="421"/>
      <c r="I2395" s="421"/>
      <c r="J2395" s="492"/>
      <c r="K2395" s="418"/>
      <c r="L2395" s="418"/>
      <c r="M2395" s="418"/>
      <c r="N2395" s="421"/>
      <c r="O2395" s="421"/>
      <c r="P2395" s="421"/>
      <c r="Q2395" s="418"/>
      <c r="R2395" s="418"/>
      <c r="S2395" s="418"/>
      <c r="T2395" s="418"/>
      <c r="U2395" s="418"/>
      <c r="V2395" s="418"/>
      <c r="W2395" s="418"/>
      <c r="X2395" s="418"/>
      <c r="Y2395" s="418"/>
      <c r="Z2395" s="418"/>
      <c r="AA2395" s="418"/>
      <c r="AB2395" s="418"/>
      <c r="AC2395" s="418"/>
      <c r="AD2395" s="418"/>
      <c r="AE2395" s="418"/>
      <c r="AF2395" s="418"/>
      <c r="AG2395" s="418"/>
      <c r="AH2395" s="418"/>
      <c r="AI2395" s="418"/>
      <c r="AJ2395" s="418"/>
      <c r="AK2395" s="418"/>
      <c r="AL2395" s="418"/>
      <c r="AM2395" s="418"/>
      <c r="AN2395" s="418"/>
      <c r="AO2395" s="418"/>
      <c r="AP2395" s="418"/>
      <c r="AQ2395" s="418"/>
      <c r="AR2395" s="418"/>
      <c r="AS2395" s="418"/>
      <c r="AT2395" s="418"/>
      <c r="AU2395" s="418"/>
      <c r="AV2395" s="418"/>
      <c r="AW2395" s="418"/>
      <c r="AX2395" s="418"/>
      <c r="AY2395" s="418"/>
      <c r="BF2395" s="1119"/>
      <c r="BG2395" s="1119"/>
      <c r="BH2395" s="1119"/>
    </row>
    <row r="2396" spans="1:60" ht="15.75" customHeight="1">
      <c r="A2396" s="1076"/>
      <c r="B2396" s="416"/>
      <c r="C2396" s="424"/>
      <c r="E2396" s="418"/>
      <c r="F2396" s="493"/>
      <c r="G2396" s="418"/>
      <c r="H2396" s="421"/>
      <c r="I2396" s="421"/>
      <c r="J2396" s="492"/>
      <c r="K2396" s="418"/>
      <c r="L2396" s="418"/>
      <c r="M2396" s="418"/>
      <c r="N2396" s="421"/>
      <c r="O2396" s="421"/>
      <c r="P2396" s="421"/>
      <c r="Q2396" s="418"/>
      <c r="R2396" s="418"/>
      <c r="S2396" s="418"/>
      <c r="T2396" s="418"/>
      <c r="U2396" s="418"/>
      <c r="V2396" s="418"/>
      <c r="W2396" s="418"/>
      <c r="X2396" s="418"/>
      <c r="Y2396" s="418"/>
      <c r="Z2396" s="418"/>
      <c r="AA2396" s="418"/>
      <c r="AB2396" s="418"/>
      <c r="AC2396" s="418"/>
      <c r="AD2396" s="418"/>
      <c r="AE2396" s="418"/>
      <c r="AF2396" s="418"/>
      <c r="AG2396" s="418"/>
      <c r="AH2396" s="418"/>
      <c r="AI2396" s="418"/>
      <c r="AJ2396" s="418"/>
      <c r="AK2396" s="418"/>
      <c r="AL2396" s="418"/>
      <c r="AM2396" s="418"/>
      <c r="AN2396" s="418"/>
      <c r="AO2396" s="418"/>
      <c r="AP2396" s="418"/>
      <c r="AQ2396" s="418"/>
      <c r="AR2396" s="418"/>
      <c r="AS2396" s="418"/>
      <c r="AT2396" s="418"/>
      <c r="AU2396" s="418"/>
      <c r="AV2396" s="418"/>
      <c r="AW2396" s="418"/>
      <c r="AX2396" s="418"/>
      <c r="AY2396" s="418"/>
      <c r="BF2396" s="1119"/>
      <c r="BG2396" s="1119"/>
      <c r="BH2396" s="1119"/>
    </row>
    <row r="2397" spans="1:60" ht="15.75" customHeight="1">
      <c r="A2397" s="1076"/>
      <c r="B2397" s="416"/>
      <c r="C2397" s="424"/>
      <c r="E2397" s="418"/>
      <c r="F2397" s="493"/>
      <c r="G2397" s="418"/>
      <c r="H2397" s="421"/>
      <c r="I2397" s="421"/>
      <c r="J2397" s="492"/>
      <c r="K2397" s="418"/>
      <c r="L2397" s="418"/>
      <c r="M2397" s="418"/>
      <c r="N2397" s="421"/>
      <c r="O2397" s="421"/>
      <c r="P2397" s="421"/>
      <c r="Q2397" s="418"/>
      <c r="R2397" s="418"/>
      <c r="S2397" s="418"/>
      <c r="T2397" s="418"/>
      <c r="U2397" s="418"/>
      <c r="V2397" s="418"/>
      <c r="W2397" s="418"/>
      <c r="X2397" s="418"/>
      <c r="Y2397" s="418"/>
      <c r="Z2397" s="418"/>
      <c r="AA2397" s="418"/>
      <c r="AB2397" s="418"/>
      <c r="AC2397" s="418"/>
      <c r="AD2397" s="418"/>
      <c r="AE2397" s="418"/>
      <c r="AF2397" s="418"/>
      <c r="AG2397" s="418"/>
      <c r="AH2397" s="418"/>
      <c r="AI2397" s="418"/>
      <c r="AJ2397" s="418"/>
      <c r="AK2397" s="418"/>
      <c r="AL2397" s="418"/>
      <c r="AM2397" s="418"/>
      <c r="AN2397" s="418"/>
      <c r="AO2397" s="418"/>
      <c r="AP2397" s="418"/>
      <c r="AQ2397" s="418"/>
      <c r="AR2397" s="418"/>
      <c r="AS2397" s="418"/>
      <c r="AT2397" s="418"/>
      <c r="AU2397" s="418"/>
      <c r="AV2397" s="418"/>
      <c r="AW2397" s="418"/>
      <c r="AX2397" s="418"/>
      <c r="AY2397" s="418"/>
      <c r="BF2397" s="1119"/>
      <c r="BG2397" s="1119"/>
      <c r="BH2397" s="1119"/>
    </row>
    <row r="2398" spans="1:60" ht="15.75" customHeight="1">
      <c r="A2398" s="1076"/>
      <c r="B2398" s="416"/>
      <c r="C2398" s="424"/>
      <c r="E2398" s="418"/>
      <c r="F2398" s="493"/>
      <c r="G2398" s="418"/>
      <c r="H2398" s="421"/>
      <c r="I2398" s="421"/>
      <c r="J2398" s="492"/>
      <c r="K2398" s="418"/>
      <c r="L2398" s="418"/>
      <c r="M2398" s="418"/>
      <c r="N2398" s="421"/>
      <c r="O2398" s="421"/>
      <c r="P2398" s="421"/>
      <c r="Q2398" s="418"/>
      <c r="R2398" s="418"/>
      <c r="S2398" s="418"/>
      <c r="T2398" s="418"/>
      <c r="U2398" s="418"/>
      <c r="V2398" s="418"/>
      <c r="W2398" s="418"/>
      <c r="X2398" s="418"/>
      <c r="Y2398" s="418"/>
      <c r="Z2398" s="418"/>
      <c r="AA2398" s="418"/>
      <c r="AB2398" s="418"/>
      <c r="AC2398" s="418"/>
      <c r="AD2398" s="418"/>
      <c r="AE2398" s="418"/>
      <c r="AF2398" s="418"/>
      <c r="AG2398" s="418"/>
      <c r="AH2398" s="418"/>
      <c r="AI2398" s="418"/>
      <c r="AJ2398" s="418"/>
      <c r="AK2398" s="418"/>
      <c r="AL2398" s="418"/>
      <c r="AM2398" s="418"/>
      <c r="AN2398" s="418"/>
      <c r="AO2398" s="418"/>
      <c r="AP2398" s="418"/>
      <c r="AQ2398" s="418"/>
      <c r="AR2398" s="418"/>
      <c r="AS2398" s="418"/>
      <c r="AT2398" s="418"/>
      <c r="AU2398" s="418"/>
      <c r="AV2398" s="418"/>
      <c r="AW2398" s="418"/>
      <c r="AX2398" s="418"/>
      <c r="AY2398" s="418"/>
      <c r="BF2398" s="1119"/>
      <c r="BG2398" s="1119"/>
      <c r="BH2398" s="1119"/>
    </row>
    <row r="2399" spans="1:60" ht="15.75" customHeight="1">
      <c r="A2399" s="1076"/>
      <c r="B2399" s="416"/>
      <c r="C2399" s="424"/>
      <c r="E2399" s="418"/>
      <c r="F2399" s="493"/>
      <c r="G2399" s="418"/>
      <c r="H2399" s="421"/>
      <c r="I2399" s="421"/>
      <c r="J2399" s="492"/>
      <c r="K2399" s="418"/>
      <c r="L2399" s="418"/>
      <c r="M2399" s="418"/>
      <c r="N2399" s="421"/>
      <c r="O2399" s="421"/>
      <c r="P2399" s="421"/>
      <c r="Q2399" s="418"/>
      <c r="R2399" s="418"/>
      <c r="S2399" s="418"/>
      <c r="T2399" s="418"/>
      <c r="U2399" s="418"/>
      <c r="V2399" s="418"/>
      <c r="W2399" s="418"/>
      <c r="X2399" s="418"/>
      <c r="Y2399" s="418"/>
      <c r="Z2399" s="418"/>
      <c r="AA2399" s="418"/>
      <c r="AB2399" s="418"/>
      <c r="AC2399" s="418"/>
      <c r="AD2399" s="418"/>
      <c r="AE2399" s="418"/>
      <c r="AF2399" s="418"/>
      <c r="AG2399" s="418"/>
      <c r="AH2399" s="418"/>
      <c r="AI2399" s="418"/>
      <c r="AJ2399" s="418"/>
      <c r="AK2399" s="418"/>
      <c r="AL2399" s="418"/>
      <c r="AM2399" s="418"/>
      <c r="AN2399" s="418"/>
      <c r="AO2399" s="418"/>
      <c r="AP2399" s="418"/>
      <c r="AQ2399" s="418"/>
      <c r="AR2399" s="418"/>
      <c r="AS2399" s="418"/>
      <c r="AT2399" s="418"/>
      <c r="AU2399" s="418"/>
      <c r="AV2399" s="418"/>
      <c r="AW2399" s="418"/>
      <c r="AX2399" s="418"/>
      <c r="AY2399" s="418"/>
      <c r="BF2399" s="1119"/>
      <c r="BG2399" s="1119"/>
      <c r="BH2399" s="1119"/>
    </row>
    <row r="2400" spans="1:60" ht="15.75" customHeight="1">
      <c r="A2400" s="1076"/>
      <c r="B2400" s="416"/>
      <c r="C2400" s="424"/>
      <c r="E2400" s="418"/>
      <c r="F2400" s="493"/>
      <c r="G2400" s="418"/>
      <c r="H2400" s="421"/>
      <c r="I2400" s="421"/>
      <c r="J2400" s="492"/>
      <c r="K2400" s="418"/>
      <c r="L2400" s="418"/>
      <c r="M2400" s="418"/>
      <c r="N2400" s="421"/>
      <c r="O2400" s="421"/>
      <c r="P2400" s="421"/>
      <c r="Q2400" s="418"/>
      <c r="R2400" s="418"/>
      <c r="S2400" s="418"/>
      <c r="T2400" s="418"/>
      <c r="U2400" s="418"/>
      <c r="V2400" s="418"/>
      <c r="W2400" s="418"/>
      <c r="X2400" s="418"/>
      <c r="Y2400" s="418"/>
      <c r="Z2400" s="418"/>
      <c r="AA2400" s="418"/>
      <c r="AB2400" s="418"/>
      <c r="AC2400" s="418"/>
      <c r="AD2400" s="418"/>
      <c r="AE2400" s="418"/>
      <c r="AF2400" s="418"/>
      <c r="AG2400" s="418"/>
      <c r="AH2400" s="418"/>
      <c r="AI2400" s="418"/>
      <c r="AJ2400" s="418"/>
      <c r="AK2400" s="418"/>
      <c r="AL2400" s="418"/>
      <c r="AM2400" s="418"/>
      <c r="AN2400" s="418"/>
      <c r="AO2400" s="418"/>
      <c r="AP2400" s="418"/>
      <c r="AQ2400" s="418"/>
      <c r="AR2400" s="418"/>
      <c r="AS2400" s="418"/>
      <c r="AT2400" s="418"/>
      <c r="AU2400" s="418"/>
      <c r="AV2400" s="418"/>
      <c r="AW2400" s="418"/>
      <c r="AX2400" s="418"/>
      <c r="AY2400" s="418"/>
      <c r="BF2400" s="1119"/>
      <c r="BG2400" s="1119"/>
      <c r="BH2400" s="1119"/>
    </row>
    <row r="2401" spans="1:60" ht="15.75" customHeight="1">
      <c r="A2401" s="1076"/>
      <c r="B2401" s="416"/>
      <c r="C2401" s="424"/>
      <c r="E2401" s="418"/>
      <c r="F2401" s="493"/>
      <c r="G2401" s="418"/>
      <c r="H2401" s="421"/>
      <c r="I2401" s="421"/>
      <c r="J2401" s="492"/>
      <c r="K2401" s="418"/>
      <c r="L2401" s="418"/>
      <c r="M2401" s="418"/>
      <c r="N2401" s="421"/>
      <c r="O2401" s="421"/>
      <c r="P2401" s="421"/>
      <c r="Q2401" s="418"/>
      <c r="R2401" s="418"/>
      <c r="S2401" s="418"/>
      <c r="T2401" s="418"/>
      <c r="U2401" s="418"/>
      <c r="V2401" s="418"/>
      <c r="W2401" s="418"/>
      <c r="X2401" s="418"/>
      <c r="Y2401" s="418"/>
      <c r="Z2401" s="418"/>
      <c r="AA2401" s="418"/>
      <c r="AB2401" s="418"/>
      <c r="AC2401" s="418"/>
      <c r="AD2401" s="418"/>
      <c r="AE2401" s="418"/>
      <c r="AF2401" s="418"/>
      <c r="AG2401" s="418"/>
      <c r="AH2401" s="418"/>
      <c r="AI2401" s="418"/>
      <c r="AJ2401" s="418"/>
      <c r="AK2401" s="418"/>
      <c r="AL2401" s="418"/>
      <c r="AM2401" s="418"/>
      <c r="AN2401" s="418"/>
      <c r="AO2401" s="418"/>
      <c r="AP2401" s="418"/>
      <c r="AQ2401" s="418"/>
      <c r="AR2401" s="418"/>
      <c r="AS2401" s="418"/>
      <c r="AT2401" s="418"/>
      <c r="AU2401" s="418"/>
      <c r="AV2401" s="418"/>
      <c r="AW2401" s="418"/>
      <c r="AX2401" s="418"/>
      <c r="AY2401" s="418"/>
      <c r="BF2401" s="1119"/>
      <c r="BG2401" s="1119"/>
      <c r="BH2401" s="1119"/>
    </row>
    <row r="2402" spans="1:60" ht="15.75" customHeight="1">
      <c r="A2402" s="1076"/>
      <c r="B2402" s="416"/>
      <c r="C2402" s="424"/>
      <c r="E2402" s="418"/>
      <c r="F2402" s="493"/>
      <c r="G2402" s="418"/>
      <c r="H2402" s="418"/>
      <c r="I2402" s="418"/>
      <c r="J2402" s="424"/>
      <c r="K2402" s="418"/>
      <c r="L2402" s="418"/>
      <c r="M2402" s="418"/>
      <c r="N2402" s="421"/>
      <c r="O2402" s="418"/>
      <c r="P2402" s="421"/>
      <c r="Q2402" s="418"/>
      <c r="R2402" s="418"/>
      <c r="S2402" s="418"/>
      <c r="T2402" s="418"/>
      <c r="U2402" s="418"/>
      <c r="V2402" s="418"/>
      <c r="W2402" s="418"/>
      <c r="X2402" s="418"/>
      <c r="Y2402" s="418"/>
      <c r="Z2402" s="418"/>
      <c r="AA2402" s="418"/>
      <c r="AB2402" s="418"/>
      <c r="AC2402" s="418"/>
      <c r="AD2402" s="418"/>
      <c r="AE2402" s="418"/>
      <c r="AF2402" s="418"/>
      <c r="AG2402" s="418"/>
      <c r="AH2402" s="418"/>
      <c r="AI2402" s="418"/>
      <c r="AJ2402" s="418"/>
      <c r="AK2402" s="418"/>
      <c r="AL2402" s="418"/>
      <c r="AM2402" s="418"/>
      <c r="AN2402" s="418"/>
      <c r="AO2402" s="418"/>
      <c r="AP2402" s="418"/>
      <c r="AQ2402" s="418"/>
      <c r="AR2402" s="418"/>
      <c r="AS2402" s="418"/>
      <c r="AT2402" s="418"/>
      <c r="AU2402" s="418"/>
      <c r="AV2402" s="418"/>
      <c r="AW2402" s="418"/>
      <c r="AX2402" s="418"/>
      <c r="AY2402" s="418"/>
      <c r="BF2402" s="1119"/>
      <c r="BG2402" s="1119"/>
      <c r="BH2402" s="1119"/>
    </row>
    <row r="2403" spans="1:60" ht="15.75" customHeight="1">
      <c r="A2403" s="1076"/>
      <c r="B2403" s="416"/>
      <c r="C2403" s="424"/>
      <c r="E2403" s="418"/>
      <c r="F2403" s="493"/>
      <c r="G2403" s="418"/>
      <c r="H2403" s="418"/>
      <c r="I2403" s="418"/>
      <c r="J2403" s="424"/>
      <c r="K2403" s="418"/>
      <c r="L2403" s="418"/>
      <c r="M2403" s="418"/>
      <c r="N2403" s="421"/>
      <c r="O2403" s="418"/>
      <c r="P2403" s="421"/>
      <c r="Q2403" s="418"/>
      <c r="R2403" s="418"/>
      <c r="S2403" s="418"/>
      <c r="T2403" s="418"/>
      <c r="U2403" s="418"/>
      <c r="V2403" s="418"/>
      <c r="W2403" s="418"/>
      <c r="X2403" s="418"/>
      <c r="Y2403" s="418"/>
      <c r="Z2403" s="418"/>
      <c r="AA2403" s="418"/>
      <c r="AB2403" s="418"/>
      <c r="AC2403" s="418"/>
      <c r="AD2403" s="418"/>
      <c r="AE2403" s="418"/>
      <c r="AF2403" s="418"/>
      <c r="AG2403" s="418"/>
      <c r="AH2403" s="418"/>
      <c r="AI2403" s="418"/>
      <c r="AJ2403" s="418"/>
      <c r="AK2403" s="418"/>
      <c r="AL2403" s="418"/>
      <c r="AM2403" s="418"/>
      <c r="AN2403" s="418"/>
      <c r="AO2403" s="418"/>
      <c r="AP2403" s="418"/>
      <c r="AQ2403" s="418"/>
      <c r="AR2403" s="418"/>
      <c r="AS2403" s="418"/>
      <c r="AT2403" s="418"/>
      <c r="AU2403" s="418"/>
      <c r="AV2403" s="418"/>
      <c r="AW2403" s="418"/>
      <c r="AX2403" s="418"/>
      <c r="AY2403" s="418"/>
      <c r="BF2403" s="1119"/>
      <c r="BG2403" s="1119"/>
      <c r="BH2403" s="1119"/>
    </row>
    <row r="2404" spans="1:60" ht="15.75" customHeight="1">
      <c r="A2404" s="1076"/>
      <c r="B2404" s="416"/>
      <c r="C2404" s="424"/>
      <c r="E2404" s="418"/>
      <c r="F2404" s="493"/>
      <c r="G2404" s="418"/>
      <c r="H2404" s="418"/>
      <c r="I2404" s="418"/>
      <c r="J2404" s="424"/>
      <c r="K2404" s="418"/>
      <c r="L2404" s="418"/>
      <c r="M2404" s="418"/>
      <c r="N2404" s="421"/>
      <c r="O2404" s="418"/>
      <c r="P2404" s="421"/>
      <c r="Q2404" s="418"/>
      <c r="R2404" s="418"/>
      <c r="S2404" s="418"/>
      <c r="T2404" s="418"/>
      <c r="U2404" s="418"/>
      <c r="V2404" s="418"/>
      <c r="W2404" s="418"/>
      <c r="X2404" s="418"/>
      <c r="Y2404" s="418"/>
      <c r="Z2404" s="418"/>
      <c r="AA2404" s="418"/>
      <c r="AB2404" s="418"/>
      <c r="AC2404" s="418"/>
      <c r="AD2404" s="418"/>
      <c r="AE2404" s="418"/>
      <c r="AF2404" s="418"/>
      <c r="AG2404" s="418"/>
      <c r="AH2404" s="418"/>
      <c r="AI2404" s="418"/>
      <c r="AJ2404" s="418"/>
      <c r="AK2404" s="418"/>
      <c r="AL2404" s="418"/>
      <c r="AM2404" s="418"/>
      <c r="AN2404" s="418"/>
      <c r="AO2404" s="418"/>
      <c r="AP2404" s="418"/>
      <c r="AQ2404" s="418"/>
      <c r="AR2404" s="418"/>
      <c r="AS2404" s="418"/>
      <c r="AT2404" s="418"/>
      <c r="AU2404" s="418"/>
      <c r="AV2404" s="418"/>
      <c r="AW2404" s="418"/>
      <c r="AX2404" s="418"/>
      <c r="AY2404" s="418"/>
      <c r="BF2404" s="1119"/>
      <c r="BG2404" s="1119"/>
      <c r="BH2404" s="1119"/>
    </row>
    <row r="2405" spans="1:60" ht="15.75" customHeight="1">
      <c r="A2405" s="1076"/>
      <c r="B2405" s="416"/>
      <c r="C2405" s="424"/>
      <c r="E2405" s="418"/>
      <c r="F2405" s="493"/>
      <c r="G2405" s="418"/>
      <c r="H2405" s="418"/>
      <c r="I2405" s="418"/>
      <c r="J2405" s="424"/>
      <c r="K2405" s="418"/>
      <c r="L2405" s="418"/>
      <c r="M2405" s="418"/>
      <c r="N2405" s="421"/>
      <c r="O2405" s="418"/>
      <c r="P2405" s="421"/>
      <c r="Q2405" s="418"/>
      <c r="R2405" s="418"/>
      <c r="S2405" s="418"/>
      <c r="T2405" s="418"/>
      <c r="U2405" s="418"/>
      <c r="V2405" s="418"/>
      <c r="W2405" s="418"/>
      <c r="X2405" s="418"/>
      <c r="Y2405" s="418"/>
      <c r="Z2405" s="418"/>
      <c r="AA2405" s="418"/>
      <c r="AB2405" s="418"/>
      <c r="AC2405" s="418"/>
      <c r="AD2405" s="418"/>
      <c r="AE2405" s="418"/>
      <c r="AF2405" s="418"/>
      <c r="AG2405" s="418"/>
      <c r="AH2405" s="418"/>
      <c r="AI2405" s="418"/>
      <c r="AJ2405" s="418"/>
      <c r="AK2405" s="418"/>
      <c r="AL2405" s="418"/>
      <c r="AM2405" s="418"/>
      <c r="AN2405" s="418"/>
      <c r="AO2405" s="418"/>
      <c r="AP2405" s="418"/>
      <c r="AQ2405" s="418"/>
      <c r="AR2405" s="418"/>
      <c r="AS2405" s="418"/>
      <c r="AT2405" s="418"/>
      <c r="AU2405" s="418"/>
      <c r="AV2405" s="418"/>
      <c r="AW2405" s="418"/>
      <c r="AX2405" s="418"/>
      <c r="AY2405" s="418"/>
      <c r="BF2405" s="1119"/>
      <c r="BG2405" s="1119"/>
      <c r="BH2405" s="1119"/>
    </row>
    <row r="2406" spans="1:60" ht="15.75" customHeight="1">
      <c r="A2406" s="1076"/>
      <c r="B2406" s="416"/>
      <c r="C2406" s="424"/>
      <c r="E2406" s="418"/>
      <c r="F2406" s="493"/>
      <c r="G2406" s="418"/>
      <c r="H2406" s="418"/>
      <c r="I2406" s="418"/>
      <c r="J2406" s="424"/>
      <c r="K2406" s="418"/>
      <c r="L2406" s="418"/>
      <c r="M2406" s="418"/>
      <c r="N2406" s="421"/>
      <c r="O2406" s="418"/>
      <c r="P2406" s="421"/>
      <c r="Q2406" s="418"/>
      <c r="R2406" s="418"/>
      <c r="S2406" s="418"/>
      <c r="T2406" s="418"/>
      <c r="U2406" s="418"/>
      <c r="V2406" s="418"/>
      <c r="W2406" s="418"/>
      <c r="X2406" s="418"/>
      <c r="Y2406" s="418"/>
      <c r="Z2406" s="418"/>
      <c r="AA2406" s="418"/>
      <c r="AB2406" s="418"/>
      <c r="AC2406" s="418"/>
      <c r="AD2406" s="418"/>
      <c r="AE2406" s="418"/>
      <c r="AF2406" s="418"/>
      <c r="AG2406" s="418"/>
      <c r="AH2406" s="418"/>
      <c r="AI2406" s="418"/>
      <c r="AJ2406" s="418"/>
      <c r="AK2406" s="418"/>
      <c r="AL2406" s="418"/>
      <c r="AM2406" s="418"/>
      <c r="AN2406" s="418"/>
      <c r="AO2406" s="418"/>
      <c r="AP2406" s="418"/>
      <c r="AQ2406" s="418"/>
      <c r="AR2406" s="418"/>
      <c r="AS2406" s="418"/>
      <c r="AT2406" s="418"/>
      <c r="AU2406" s="418"/>
      <c r="AV2406" s="418"/>
      <c r="AW2406" s="418"/>
      <c r="AX2406" s="418"/>
      <c r="AY2406" s="418"/>
      <c r="BF2406" s="1119"/>
      <c r="BG2406" s="1119"/>
      <c r="BH2406" s="1119"/>
    </row>
    <row r="2407" spans="1:60" ht="15.75" customHeight="1">
      <c r="A2407" s="1076"/>
      <c r="B2407" s="416"/>
      <c r="C2407" s="424"/>
      <c r="E2407" s="418"/>
      <c r="F2407" s="493"/>
      <c r="G2407" s="418"/>
      <c r="H2407" s="418"/>
      <c r="I2407" s="418"/>
      <c r="J2407" s="424"/>
      <c r="K2407" s="418"/>
      <c r="L2407" s="418"/>
      <c r="M2407" s="418"/>
      <c r="N2407" s="418"/>
      <c r="O2407" s="418"/>
      <c r="P2407" s="421"/>
      <c r="Q2407" s="418"/>
      <c r="R2407" s="418"/>
      <c r="S2407" s="418"/>
      <c r="T2407" s="418"/>
      <c r="U2407" s="418"/>
      <c r="V2407" s="418"/>
      <c r="W2407" s="418"/>
      <c r="X2407" s="418"/>
      <c r="Y2407" s="418"/>
      <c r="Z2407" s="418"/>
      <c r="AA2407" s="418"/>
      <c r="AB2407" s="418"/>
      <c r="AC2407" s="418"/>
      <c r="AD2407" s="418"/>
      <c r="AE2407" s="418"/>
      <c r="AF2407" s="418"/>
      <c r="AG2407" s="418"/>
      <c r="AH2407" s="418"/>
      <c r="AI2407" s="418"/>
      <c r="AJ2407" s="418"/>
      <c r="AK2407" s="418"/>
      <c r="AL2407" s="418"/>
      <c r="AM2407" s="418"/>
      <c r="AN2407" s="418"/>
      <c r="AO2407" s="418"/>
      <c r="AP2407" s="418"/>
      <c r="AQ2407" s="418"/>
      <c r="AR2407" s="418"/>
      <c r="AS2407" s="418"/>
      <c r="AT2407" s="418"/>
      <c r="AU2407" s="418"/>
      <c r="AV2407" s="418"/>
      <c r="AW2407" s="418"/>
      <c r="AX2407" s="418"/>
      <c r="AY2407" s="418"/>
      <c r="BF2407" s="1119"/>
      <c r="BG2407" s="1119"/>
      <c r="BH2407" s="1119"/>
    </row>
    <row r="2408" spans="1:60" ht="15.75" customHeight="1">
      <c r="A2408" s="1076"/>
      <c r="B2408" s="416"/>
      <c r="C2408" s="424"/>
      <c r="E2408" s="418"/>
      <c r="F2408" s="493"/>
      <c r="G2408" s="418"/>
      <c r="H2408" s="421"/>
      <c r="I2408" s="421"/>
      <c r="J2408" s="492"/>
      <c r="K2408" s="418"/>
      <c r="L2408" s="418"/>
      <c r="M2408" s="418"/>
      <c r="N2408" s="421"/>
      <c r="O2408" s="421"/>
      <c r="P2408" s="421"/>
      <c r="Q2408" s="418"/>
      <c r="R2408" s="418"/>
      <c r="S2408" s="418"/>
      <c r="T2408" s="418"/>
      <c r="U2408" s="418"/>
      <c r="V2408" s="418"/>
      <c r="W2408" s="418"/>
      <c r="X2408" s="418"/>
      <c r="Y2408" s="418"/>
      <c r="Z2408" s="418"/>
      <c r="AA2408" s="418"/>
      <c r="AB2408" s="418"/>
      <c r="AC2408" s="418"/>
      <c r="AD2408" s="418"/>
      <c r="AE2408" s="418"/>
      <c r="AF2408" s="418"/>
      <c r="AG2408" s="418"/>
      <c r="AH2408" s="418"/>
      <c r="AI2408" s="418"/>
      <c r="AJ2408" s="418"/>
      <c r="AK2408" s="418"/>
      <c r="AL2408" s="418"/>
      <c r="AM2408" s="418"/>
      <c r="AN2408" s="418"/>
      <c r="AO2408" s="418"/>
      <c r="AP2408" s="418"/>
      <c r="AQ2408" s="418"/>
      <c r="AR2408" s="418"/>
      <c r="AS2408" s="418"/>
      <c r="AT2408" s="418"/>
      <c r="AU2408" s="418"/>
      <c r="AV2408" s="418"/>
      <c r="AW2408" s="418"/>
      <c r="AX2408" s="418"/>
      <c r="AY2408" s="418"/>
      <c r="BF2408" s="1119"/>
      <c r="BG2408" s="1119"/>
      <c r="BH2408" s="1119"/>
    </row>
    <row r="2409" spans="1:60" ht="15.75" customHeight="1">
      <c r="A2409" s="1076"/>
      <c r="B2409" s="416"/>
      <c r="C2409" s="424"/>
      <c r="E2409" s="418"/>
      <c r="F2409" s="493"/>
      <c r="G2409" s="418"/>
      <c r="H2409" s="421"/>
      <c r="I2409" s="421"/>
      <c r="J2409" s="492"/>
      <c r="K2409" s="418"/>
      <c r="L2409" s="418"/>
      <c r="M2409" s="418"/>
      <c r="N2409" s="421"/>
      <c r="O2409" s="421"/>
      <c r="P2409" s="421"/>
      <c r="Q2409" s="418"/>
      <c r="R2409" s="418"/>
      <c r="S2409" s="418"/>
      <c r="T2409" s="418"/>
      <c r="U2409" s="418"/>
      <c r="V2409" s="418"/>
      <c r="W2409" s="418"/>
      <c r="X2409" s="418"/>
      <c r="Y2409" s="418"/>
      <c r="Z2409" s="418"/>
      <c r="AA2409" s="418"/>
      <c r="AB2409" s="418"/>
      <c r="AC2409" s="418"/>
      <c r="AD2409" s="418"/>
      <c r="AE2409" s="418"/>
      <c r="AF2409" s="418"/>
      <c r="AG2409" s="418"/>
      <c r="AH2409" s="418"/>
      <c r="AI2409" s="418"/>
      <c r="AJ2409" s="418"/>
      <c r="AK2409" s="418"/>
      <c r="AL2409" s="418"/>
      <c r="AM2409" s="418"/>
      <c r="AN2409" s="418"/>
      <c r="AO2409" s="418"/>
      <c r="AP2409" s="418"/>
      <c r="AQ2409" s="418"/>
      <c r="AR2409" s="418"/>
      <c r="AS2409" s="418"/>
      <c r="AT2409" s="418"/>
      <c r="AU2409" s="418"/>
      <c r="AV2409" s="418"/>
      <c r="AW2409" s="418"/>
      <c r="AX2409" s="418"/>
      <c r="AY2409" s="418"/>
      <c r="BF2409" s="1119"/>
      <c r="BG2409" s="1119"/>
      <c r="BH2409" s="1119"/>
    </row>
    <row r="2410" spans="1:60" ht="15.75" customHeight="1">
      <c r="A2410" s="1076"/>
      <c r="B2410" s="416"/>
      <c r="C2410" s="424"/>
      <c r="E2410" s="418"/>
      <c r="F2410" s="493"/>
      <c r="G2410" s="418"/>
      <c r="H2410" s="421"/>
      <c r="I2410" s="421"/>
      <c r="J2410" s="492"/>
      <c r="K2410" s="418"/>
      <c r="L2410" s="418"/>
      <c r="M2410" s="418"/>
      <c r="N2410" s="421"/>
      <c r="O2410" s="421"/>
      <c r="P2410" s="421"/>
      <c r="Q2410" s="418"/>
      <c r="R2410" s="418"/>
      <c r="S2410" s="418"/>
      <c r="T2410" s="418"/>
      <c r="U2410" s="418"/>
      <c r="V2410" s="418"/>
      <c r="W2410" s="418"/>
      <c r="X2410" s="418"/>
      <c r="Y2410" s="418"/>
      <c r="Z2410" s="418"/>
      <c r="AA2410" s="418"/>
      <c r="AB2410" s="418"/>
      <c r="AC2410" s="418"/>
      <c r="AD2410" s="418"/>
      <c r="AE2410" s="418"/>
      <c r="AF2410" s="418"/>
      <c r="AG2410" s="418"/>
      <c r="AH2410" s="418"/>
      <c r="AI2410" s="418"/>
      <c r="AJ2410" s="418"/>
      <c r="AK2410" s="418"/>
      <c r="AL2410" s="418"/>
      <c r="AM2410" s="418"/>
      <c r="AN2410" s="418"/>
      <c r="AO2410" s="418"/>
      <c r="AP2410" s="418"/>
      <c r="AQ2410" s="418"/>
      <c r="AR2410" s="418"/>
      <c r="AS2410" s="418"/>
      <c r="AT2410" s="418"/>
      <c r="AU2410" s="418"/>
      <c r="AV2410" s="418"/>
      <c r="AW2410" s="418"/>
      <c r="AX2410" s="418"/>
      <c r="AY2410" s="418"/>
      <c r="BF2410" s="1119"/>
      <c r="BG2410" s="1119"/>
      <c r="BH2410" s="1119"/>
    </row>
    <row r="2411" spans="1:60" ht="15.75" customHeight="1">
      <c r="A2411" s="1076"/>
      <c r="B2411" s="416"/>
      <c r="C2411" s="424"/>
      <c r="E2411" s="418"/>
      <c r="F2411" s="493"/>
      <c r="G2411" s="418"/>
      <c r="H2411" s="421"/>
      <c r="I2411" s="421"/>
      <c r="J2411" s="492"/>
      <c r="K2411" s="418"/>
      <c r="L2411" s="418"/>
      <c r="M2411" s="418"/>
      <c r="N2411" s="421"/>
      <c r="O2411" s="421"/>
      <c r="P2411" s="421"/>
      <c r="Q2411" s="418"/>
      <c r="R2411" s="418"/>
      <c r="S2411" s="418"/>
      <c r="T2411" s="418"/>
      <c r="U2411" s="418"/>
      <c r="V2411" s="418"/>
      <c r="W2411" s="418"/>
      <c r="X2411" s="418"/>
      <c r="Y2411" s="418"/>
      <c r="Z2411" s="418"/>
      <c r="AA2411" s="418"/>
      <c r="AB2411" s="418"/>
      <c r="AC2411" s="418"/>
      <c r="AD2411" s="418"/>
      <c r="AE2411" s="418"/>
      <c r="AF2411" s="418"/>
      <c r="AG2411" s="418"/>
      <c r="AH2411" s="418"/>
      <c r="AI2411" s="418"/>
      <c r="AJ2411" s="418"/>
      <c r="AK2411" s="418"/>
      <c r="AL2411" s="418"/>
      <c r="AM2411" s="418"/>
      <c r="AN2411" s="418"/>
      <c r="AO2411" s="418"/>
      <c r="AP2411" s="418"/>
      <c r="AQ2411" s="418"/>
      <c r="AR2411" s="418"/>
      <c r="AS2411" s="418"/>
      <c r="AT2411" s="418"/>
      <c r="AU2411" s="418"/>
      <c r="AV2411" s="418"/>
      <c r="AW2411" s="418"/>
      <c r="AX2411" s="418"/>
      <c r="AY2411" s="418"/>
      <c r="BF2411" s="1119"/>
      <c r="BG2411" s="1119"/>
      <c r="BH2411" s="1119"/>
    </row>
    <row r="2412" spans="1:60" ht="15.75" customHeight="1">
      <c r="A2412" s="1076"/>
      <c r="B2412" s="416"/>
      <c r="C2412" s="424"/>
      <c r="E2412" s="418"/>
      <c r="F2412" s="493"/>
      <c r="G2412" s="418"/>
      <c r="H2412" s="421"/>
      <c r="I2412" s="421"/>
      <c r="J2412" s="492"/>
      <c r="K2412" s="418"/>
      <c r="L2412" s="418"/>
      <c r="M2412" s="418"/>
      <c r="N2412" s="421"/>
      <c r="O2412" s="421"/>
      <c r="P2412" s="421"/>
      <c r="Q2412" s="418"/>
      <c r="R2412" s="418"/>
      <c r="S2412" s="418"/>
      <c r="T2412" s="418"/>
      <c r="U2412" s="418"/>
      <c r="V2412" s="418"/>
      <c r="W2412" s="418"/>
      <c r="X2412" s="418"/>
      <c r="Y2412" s="418"/>
      <c r="Z2412" s="418"/>
      <c r="AA2412" s="418"/>
      <c r="AB2412" s="418"/>
      <c r="AC2412" s="418"/>
      <c r="AD2412" s="418"/>
      <c r="AE2412" s="418"/>
      <c r="AF2412" s="418"/>
      <c r="AG2412" s="418"/>
      <c r="AH2412" s="418"/>
      <c r="AI2412" s="418"/>
      <c r="AJ2412" s="418"/>
      <c r="AK2412" s="418"/>
      <c r="AL2412" s="418"/>
      <c r="AM2412" s="418"/>
      <c r="AN2412" s="418"/>
      <c r="AO2412" s="418"/>
      <c r="AP2412" s="418"/>
      <c r="AQ2412" s="418"/>
      <c r="AR2412" s="418"/>
      <c r="AS2412" s="418"/>
      <c r="AT2412" s="418"/>
      <c r="AU2412" s="418"/>
      <c r="AV2412" s="418"/>
      <c r="AW2412" s="418"/>
      <c r="AX2412" s="418"/>
      <c r="AY2412" s="418"/>
      <c r="BF2412" s="1119"/>
      <c r="BG2412" s="1119"/>
      <c r="BH2412" s="1119"/>
    </row>
    <row r="2413" spans="1:60" ht="15.75" customHeight="1">
      <c r="A2413" s="1076"/>
      <c r="B2413" s="416"/>
      <c r="C2413" s="424"/>
      <c r="E2413" s="418"/>
      <c r="F2413" s="493"/>
      <c r="G2413" s="418"/>
      <c r="H2413" s="421"/>
      <c r="I2413" s="421"/>
      <c r="J2413" s="492"/>
      <c r="K2413" s="418"/>
      <c r="L2413" s="418"/>
      <c r="M2413" s="418"/>
      <c r="N2413" s="421"/>
      <c r="O2413" s="421"/>
      <c r="P2413" s="421"/>
      <c r="Q2413" s="418"/>
      <c r="R2413" s="418"/>
      <c r="S2413" s="418"/>
      <c r="T2413" s="418"/>
      <c r="U2413" s="418"/>
      <c r="V2413" s="418"/>
      <c r="W2413" s="418"/>
      <c r="X2413" s="418"/>
      <c r="Y2413" s="418"/>
      <c r="Z2413" s="418"/>
      <c r="AA2413" s="418"/>
      <c r="AB2413" s="418"/>
      <c r="AC2413" s="418"/>
      <c r="AD2413" s="418"/>
      <c r="AE2413" s="418"/>
      <c r="AF2413" s="418"/>
      <c r="AG2413" s="418"/>
      <c r="AH2413" s="418"/>
      <c r="AI2413" s="418"/>
      <c r="AJ2413" s="418"/>
      <c r="AK2413" s="418"/>
      <c r="AL2413" s="418"/>
      <c r="AM2413" s="418"/>
      <c r="AN2413" s="418"/>
      <c r="AO2413" s="418"/>
      <c r="AP2413" s="418"/>
      <c r="AQ2413" s="418"/>
      <c r="AR2413" s="418"/>
      <c r="AS2413" s="418"/>
      <c r="AT2413" s="418"/>
      <c r="AU2413" s="418"/>
      <c r="AV2413" s="418"/>
      <c r="AW2413" s="418"/>
      <c r="AX2413" s="418"/>
      <c r="AY2413" s="418"/>
      <c r="BF2413" s="1119"/>
      <c r="BG2413" s="1119"/>
      <c r="BH2413" s="1119"/>
    </row>
    <row r="2414" spans="1:60" ht="15.75" customHeight="1">
      <c r="A2414" s="1076"/>
      <c r="B2414" s="416"/>
      <c r="C2414" s="424"/>
      <c r="E2414" s="418"/>
      <c r="F2414" s="493"/>
      <c r="G2414" s="418"/>
      <c r="H2414" s="421"/>
      <c r="I2414" s="421"/>
      <c r="J2414" s="492"/>
      <c r="K2414" s="418"/>
      <c r="L2414" s="418"/>
      <c r="M2414" s="418"/>
      <c r="N2414" s="421"/>
      <c r="O2414" s="421"/>
      <c r="P2414" s="421"/>
      <c r="Q2414" s="418"/>
      <c r="R2414" s="418"/>
      <c r="S2414" s="418"/>
      <c r="T2414" s="418"/>
      <c r="U2414" s="418"/>
      <c r="V2414" s="418"/>
      <c r="W2414" s="418"/>
      <c r="X2414" s="418"/>
      <c r="Y2414" s="418"/>
      <c r="Z2414" s="418"/>
      <c r="AA2414" s="418"/>
      <c r="AB2414" s="418"/>
      <c r="AC2414" s="418"/>
      <c r="AD2414" s="418"/>
      <c r="AE2414" s="418"/>
      <c r="AF2414" s="418"/>
      <c r="AG2414" s="418"/>
      <c r="AH2414" s="418"/>
      <c r="AI2414" s="418"/>
      <c r="AJ2414" s="418"/>
      <c r="AK2414" s="418"/>
      <c r="AL2414" s="418"/>
      <c r="AM2414" s="418"/>
      <c r="AN2414" s="418"/>
      <c r="AO2414" s="418"/>
      <c r="AP2414" s="418"/>
      <c r="AQ2414" s="418"/>
      <c r="AR2414" s="418"/>
      <c r="AS2414" s="418"/>
      <c r="AT2414" s="418"/>
      <c r="AU2414" s="418"/>
      <c r="AV2414" s="418"/>
      <c r="AW2414" s="418"/>
      <c r="AX2414" s="418"/>
      <c r="AY2414" s="418"/>
      <c r="BF2414" s="1119"/>
      <c r="BG2414" s="1119"/>
      <c r="BH2414" s="1119"/>
    </row>
    <row r="2415" spans="1:60" ht="15.75" customHeight="1">
      <c r="A2415" s="1076"/>
      <c r="B2415" s="416"/>
      <c r="C2415" s="424"/>
      <c r="E2415" s="418"/>
      <c r="F2415" s="493"/>
      <c r="G2415" s="418"/>
      <c r="H2415" s="421"/>
      <c r="I2415" s="421"/>
      <c r="J2415" s="492"/>
      <c r="K2415" s="418"/>
      <c r="L2415" s="418"/>
      <c r="M2415" s="418"/>
      <c r="N2415" s="421"/>
      <c r="O2415" s="421"/>
      <c r="P2415" s="421"/>
      <c r="Q2415" s="418"/>
      <c r="R2415" s="418"/>
      <c r="S2415" s="418"/>
      <c r="T2415" s="418"/>
      <c r="U2415" s="418"/>
      <c r="V2415" s="418"/>
      <c r="W2415" s="418"/>
      <c r="X2415" s="418"/>
      <c r="Y2415" s="418"/>
      <c r="Z2415" s="418"/>
      <c r="AA2415" s="418"/>
      <c r="AB2415" s="418"/>
      <c r="AC2415" s="418"/>
      <c r="AD2415" s="418"/>
      <c r="AE2415" s="418"/>
      <c r="AF2415" s="418"/>
      <c r="AG2415" s="418"/>
      <c r="AH2415" s="418"/>
      <c r="AI2415" s="418"/>
      <c r="AJ2415" s="418"/>
      <c r="AK2415" s="418"/>
      <c r="AL2415" s="418"/>
      <c r="AM2415" s="418"/>
      <c r="AN2415" s="418"/>
      <c r="AO2415" s="418"/>
      <c r="AP2415" s="418"/>
      <c r="AQ2415" s="418"/>
      <c r="AR2415" s="418"/>
      <c r="AS2415" s="418"/>
      <c r="AT2415" s="418"/>
      <c r="AU2415" s="418"/>
      <c r="AV2415" s="418"/>
      <c r="AW2415" s="418"/>
      <c r="AX2415" s="418"/>
      <c r="AY2415" s="418"/>
      <c r="BF2415" s="1119"/>
      <c r="BG2415" s="1119"/>
      <c r="BH2415" s="1119"/>
    </row>
    <row r="2416" spans="1:60" ht="15.75" customHeight="1">
      <c r="A2416" s="1076"/>
      <c r="B2416" s="416"/>
      <c r="C2416" s="424"/>
      <c r="E2416" s="418"/>
      <c r="F2416" s="493"/>
      <c r="G2416" s="418"/>
      <c r="H2416" s="421"/>
      <c r="I2416" s="421"/>
      <c r="J2416" s="492"/>
      <c r="K2416" s="418"/>
      <c r="L2416" s="418"/>
      <c r="M2416" s="418"/>
      <c r="N2416" s="421"/>
      <c r="O2416" s="421"/>
      <c r="P2416" s="421"/>
      <c r="Q2416" s="418"/>
      <c r="R2416" s="418"/>
      <c r="S2416" s="418"/>
      <c r="T2416" s="418"/>
      <c r="U2416" s="418"/>
      <c r="V2416" s="418"/>
      <c r="W2416" s="418"/>
      <c r="X2416" s="418"/>
      <c r="Y2416" s="418"/>
      <c r="Z2416" s="418"/>
      <c r="AA2416" s="418"/>
      <c r="AB2416" s="418"/>
      <c r="AC2416" s="418"/>
      <c r="AD2416" s="418"/>
      <c r="AE2416" s="418"/>
      <c r="AF2416" s="418"/>
      <c r="AG2416" s="418"/>
      <c r="AH2416" s="418"/>
      <c r="AI2416" s="418"/>
      <c r="AJ2416" s="418"/>
      <c r="AK2416" s="418"/>
      <c r="AL2416" s="418"/>
      <c r="AM2416" s="418"/>
      <c r="AN2416" s="418"/>
      <c r="AO2416" s="418"/>
      <c r="AP2416" s="418"/>
      <c r="AQ2416" s="418"/>
      <c r="AR2416" s="418"/>
      <c r="AS2416" s="418"/>
      <c r="AT2416" s="418"/>
      <c r="AU2416" s="418"/>
      <c r="AV2416" s="418"/>
      <c r="AW2416" s="418"/>
      <c r="AX2416" s="418"/>
      <c r="AY2416" s="418"/>
      <c r="BF2416" s="1119"/>
      <c r="BG2416" s="1119"/>
      <c r="BH2416" s="1119"/>
    </row>
    <row r="2417" spans="1:60" ht="15.75" customHeight="1">
      <c r="A2417" s="1076"/>
      <c r="B2417" s="416"/>
      <c r="C2417" s="424"/>
      <c r="E2417" s="418"/>
      <c r="F2417" s="493"/>
      <c r="G2417" s="418"/>
      <c r="H2417" s="421"/>
      <c r="I2417" s="421"/>
      <c r="J2417" s="492"/>
      <c r="K2417" s="418"/>
      <c r="L2417" s="418"/>
      <c r="M2417" s="418"/>
      <c r="N2417" s="421"/>
      <c r="O2417" s="421"/>
      <c r="P2417" s="421"/>
      <c r="Q2417" s="418"/>
      <c r="R2417" s="418"/>
      <c r="S2417" s="418"/>
      <c r="T2417" s="418"/>
      <c r="U2417" s="418"/>
      <c r="V2417" s="418"/>
      <c r="W2417" s="418"/>
      <c r="X2417" s="418"/>
      <c r="Y2417" s="418"/>
      <c r="Z2417" s="418"/>
      <c r="AA2417" s="418"/>
      <c r="AB2417" s="418"/>
      <c r="AC2417" s="418"/>
      <c r="AD2417" s="418"/>
      <c r="AE2417" s="418"/>
      <c r="AF2417" s="418"/>
      <c r="AG2417" s="418"/>
      <c r="AH2417" s="418"/>
      <c r="AI2417" s="418"/>
      <c r="AJ2417" s="418"/>
      <c r="AK2417" s="418"/>
      <c r="AL2417" s="418"/>
      <c r="AM2417" s="418"/>
      <c r="AN2417" s="418"/>
      <c r="AO2417" s="418"/>
      <c r="AP2417" s="418"/>
      <c r="AQ2417" s="418"/>
      <c r="AR2417" s="418"/>
      <c r="AS2417" s="418"/>
      <c r="AT2417" s="418"/>
      <c r="AU2417" s="418"/>
      <c r="AV2417" s="418"/>
      <c r="AW2417" s="418"/>
      <c r="AX2417" s="418"/>
      <c r="AY2417" s="418"/>
      <c r="BF2417" s="1119"/>
      <c r="BG2417" s="1119"/>
      <c r="BH2417" s="1119"/>
    </row>
    <row r="2418" spans="1:60" ht="15.75" customHeight="1">
      <c r="A2418" s="1076"/>
      <c r="B2418" s="416"/>
      <c r="C2418" s="424"/>
      <c r="E2418" s="418"/>
      <c r="F2418" s="493"/>
      <c r="G2418" s="418"/>
      <c r="H2418" s="421"/>
      <c r="I2418" s="421"/>
      <c r="J2418" s="492"/>
      <c r="K2418" s="418"/>
      <c r="L2418" s="418"/>
      <c r="M2418" s="418"/>
      <c r="N2418" s="421"/>
      <c r="O2418" s="421"/>
      <c r="P2418" s="421"/>
      <c r="Q2418" s="418"/>
      <c r="R2418" s="418"/>
      <c r="S2418" s="418"/>
      <c r="T2418" s="418"/>
      <c r="U2418" s="418"/>
      <c r="V2418" s="418"/>
      <c r="W2418" s="418"/>
      <c r="X2418" s="418"/>
      <c r="Y2418" s="418"/>
      <c r="Z2418" s="418"/>
      <c r="AA2418" s="418"/>
      <c r="AB2418" s="418"/>
      <c r="AC2418" s="418"/>
      <c r="AD2418" s="418"/>
      <c r="AE2418" s="418"/>
      <c r="AF2418" s="418"/>
      <c r="AG2418" s="418"/>
      <c r="AH2418" s="418"/>
      <c r="AI2418" s="418"/>
      <c r="AJ2418" s="418"/>
      <c r="AK2418" s="418"/>
      <c r="AL2418" s="418"/>
      <c r="AM2418" s="418"/>
      <c r="AN2418" s="418"/>
      <c r="AO2418" s="418"/>
      <c r="AP2418" s="418"/>
      <c r="AQ2418" s="418"/>
      <c r="AR2418" s="418"/>
      <c r="AS2418" s="418"/>
      <c r="AT2418" s="418"/>
      <c r="AU2418" s="418"/>
      <c r="AV2418" s="418"/>
      <c r="AW2418" s="418"/>
      <c r="AX2418" s="418"/>
      <c r="AY2418" s="418"/>
      <c r="BF2418" s="1119"/>
      <c r="BG2418" s="1119"/>
      <c r="BH2418" s="1119"/>
    </row>
    <row r="2419" spans="1:60" ht="15.75" customHeight="1">
      <c r="A2419" s="1076"/>
      <c r="B2419" s="416"/>
      <c r="C2419" s="424"/>
      <c r="E2419" s="418"/>
      <c r="F2419" s="493"/>
      <c r="G2419" s="418"/>
      <c r="H2419" s="421"/>
      <c r="I2419" s="421"/>
      <c r="J2419" s="492"/>
      <c r="K2419" s="418"/>
      <c r="L2419" s="418"/>
      <c r="M2419" s="418"/>
      <c r="N2419" s="421"/>
      <c r="O2419" s="421"/>
      <c r="P2419" s="421"/>
      <c r="Q2419" s="418"/>
      <c r="R2419" s="418"/>
      <c r="S2419" s="418"/>
      <c r="T2419" s="418"/>
      <c r="U2419" s="418"/>
      <c r="V2419" s="418"/>
      <c r="W2419" s="418"/>
      <c r="X2419" s="418"/>
      <c r="Y2419" s="418"/>
      <c r="Z2419" s="418"/>
      <c r="AA2419" s="418"/>
      <c r="AB2419" s="418"/>
      <c r="AC2419" s="418"/>
      <c r="AD2419" s="418"/>
      <c r="AE2419" s="418"/>
      <c r="AF2419" s="418"/>
      <c r="AG2419" s="418"/>
      <c r="AH2419" s="418"/>
      <c r="AI2419" s="418"/>
      <c r="AJ2419" s="418"/>
      <c r="AK2419" s="418"/>
      <c r="AL2419" s="418"/>
      <c r="AM2419" s="418"/>
      <c r="AN2419" s="418"/>
      <c r="AO2419" s="418"/>
      <c r="AP2419" s="418"/>
      <c r="AQ2419" s="418"/>
      <c r="AR2419" s="418"/>
      <c r="AS2419" s="418"/>
      <c r="AT2419" s="418"/>
      <c r="AU2419" s="418"/>
      <c r="AV2419" s="418"/>
      <c r="AW2419" s="418"/>
      <c r="AX2419" s="418"/>
      <c r="AY2419" s="418"/>
      <c r="BF2419" s="1119"/>
      <c r="BG2419" s="1119"/>
      <c r="BH2419" s="1119"/>
    </row>
    <row r="2420" spans="1:60" ht="15.75" customHeight="1">
      <c r="A2420" s="1076"/>
      <c r="B2420" s="416"/>
      <c r="C2420" s="424"/>
      <c r="E2420" s="418"/>
      <c r="F2420" s="493"/>
      <c r="G2420" s="418"/>
      <c r="H2420" s="421"/>
      <c r="I2420" s="421"/>
      <c r="J2420" s="492"/>
      <c r="K2420" s="418"/>
      <c r="L2420" s="418"/>
      <c r="M2420" s="418"/>
      <c r="N2420" s="421"/>
      <c r="O2420" s="421"/>
      <c r="P2420" s="421"/>
      <c r="Q2420" s="418"/>
      <c r="R2420" s="418"/>
      <c r="S2420" s="418"/>
      <c r="T2420" s="418"/>
      <c r="U2420" s="418"/>
      <c r="V2420" s="418"/>
      <c r="W2420" s="418"/>
      <c r="X2420" s="418"/>
      <c r="Y2420" s="418"/>
      <c r="Z2420" s="418"/>
      <c r="AA2420" s="418"/>
      <c r="AB2420" s="418"/>
      <c r="AC2420" s="418"/>
      <c r="AD2420" s="418"/>
      <c r="AE2420" s="418"/>
      <c r="AF2420" s="418"/>
      <c r="AG2420" s="418"/>
      <c r="AH2420" s="418"/>
      <c r="AI2420" s="418"/>
      <c r="AJ2420" s="418"/>
      <c r="AK2420" s="418"/>
      <c r="AL2420" s="418"/>
      <c r="AM2420" s="418"/>
      <c r="AN2420" s="418"/>
      <c r="AO2420" s="418"/>
      <c r="AP2420" s="418"/>
      <c r="AQ2420" s="418"/>
      <c r="AR2420" s="418"/>
      <c r="AS2420" s="418"/>
      <c r="AT2420" s="418"/>
      <c r="AU2420" s="418"/>
      <c r="AV2420" s="418"/>
      <c r="AW2420" s="418"/>
      <c r="AX2420" s="418"/>
      <c r="AY2420" s="418"/>
      <c r="BF2420" s="1119"/>
      <c r="BG2420" s="1119"/>
      <c r="BH2420" s="1119"/>
    </row>
    <row r="2421" spans="1:60" ht="15.75" customHeight="1">
      <c r="A2421" s="1076"/>
      <c r="B2421" s="416"/>
      <c r="C2421" s="424"/>
      <c r="E2421" s="418"/>
      <c r="F2421" s="493"/>
      <c r="G2421" s="418"/>
      <c r="H2421" s="421"/>
      <c r="I2421" s="421"/>
      <c r="J2421" s="492"/>
      <c r="K2421" s="418"/>
      <c r="L2421" s="418"/>
      <c r="M2421" s="418"/>
      <c r="N2421" s="421"/>
      <c r="O2421" s="421"/>
      <c r="P2421" s="421"/>
      <c r="Q2421" s="418"/>
      <c r="R2421" s="418"/>
      <c r="S2421" s="418"/>
      <c r="T2421" s="418"/>
      <c r="U2421" s="418"/>
      <c r="V2421" s="418"/>
      <c r="W2421" s="418"/>
      <c r="X2421" s="418"/>
      <c r="Y2421" s="418"/>
      <c r="Z2421" s="418"/>
      <c r="AA2421" s="418"/>
      <c r="AB2421" s="418"/>
      <c r="AC2421" s="418"/>
      <c r="AD2421" s="418"/>
      <c r="AE2421" s="418"/>
      <c r="AF2421" s="418"/>
      <c r="AG2421" s="418"/>
      <c r="AH2421" s="418"/>
      <c r="AI2421" s="418"/>
      <c r="AJ2421" s="418"/>
      <c r="AK2421" s="418"/>
      <c r="AL2421" s="418"/>
      <c r="AM2421" s="418"/>
      <c r="AN2421" s="418"/>
      <c r="AO2421" s="418"/>
      <c r="AP2421" s="418"/>
      <c r="AQ2421" s="418"/>
      <c r="AR2421" s="418"/>
      <c r="AS2421" s="418"/>
      <c r="AT2421" s="418"/>
      <c r="AU2421" s="418"/>
      <c r="AV2421" s="418"/>
      <c r="AW2421" s="418"/>
      <c r="AX2421" s="418"/>
      <c r="AY2421" s="418"/>
      <c r="BF2421" s="1119"/>
      <c r="BG2421" s="1119"/>
      <c r="BH2421" s="1119"/>
    </row>
    <row r="2422" spans="1:60" ht="15.75" customHeight="1">
      <c r="A2422" s="1076"/>
      <c r="B2422" s="416"/>
      <c r="C2422" s="424"/>
      <c r="E2422" s="418"/>
      <c r="F2422" s="493"/>
      <c r="G2422" s="418"/>
      <c r="H2422" s="421"/>
      <c r="I2422" s="421"/>
      <c r="J2422" s="492"/>
      <c r="K2422" s="418"/>
      <c r="L2422" s="418"/>
      <c r="M2422" s="418"/>
      <c r="N2422" s="421"/>
      <c r="O2422" s="421"/>
      <c r="P2422" s="421"/>
      <c r="Q2422" s="418"/>
      <c r="R2422" s="418"/>
      <c r="S2422" s="418"/>
      <c r="T2422" s="418"/>
      <c r="U2422" s="418"/>
      <c r="V2422" s="418"/>
      <c r="W2422" s="418"/>
      <c r="X2422" s="418"/>
      <c r="Y2422" s="418"/>
      <c r="Z2422" s="418"/>
      <c r="AA2422" s="418"/>
      <c r="AB2422" s="418"/>
      <c r="AC2422" s="418"/>
      <c r="AD2422" s="418"/>
      <c r="AE2422" s="418"/>
      <c r="AF2422" s="418"/>
      <c r="AG2422" s="418"/>
      <c r="AH2422" s="418"/>
      <c r="AI2422" s="418"/>
      <c r="AJ2422" s="418"/>
      <c r="AK2422" s="418"/>
      <c r="AL2422" s="418"/>
      <c r="AM2422" s="418"/>
      <c r="AN2422" s="418"/>
      <c r="AO2422" s="418"/>
      <c r="AP2422" s="418"/>
      <c r="AQ2422" s="418"/>
      <c r="AR2422" s="418"/>
      <c r="AS2422" s="418"/>
      <c r="AT2422" s="418"/>
      <c r="AU2422" s="418"/>
      <c r="AV2422" s="418"/>
      <c r="AW2422" s="418"/>
      <c r="AX2422" s="418"/>
      <c r="AY2422" s="418"/>
      <c r="BF2422" s="1119"/>
      <c r="BG2422" s="1119"/>
      <c r="BH2422" s="1119"/>
    </row>
    <row r="2423" spans="1:60" ht="15.75" customHeight="1">
      <c r="A2423" s="1076"/>
      <c r="B2423" s="416"/>
      <c r="C2423" s="424"/>
      <c r="E2423" s="418"/>
      <c r="F2423" s="493"/>
      <c r="G2423" s="418"/>
      <c r="H2423" s="421"/>
      <c r="I2423" s="421"/>
      <c r="J2423" s="492"/>
      <c r="K2423" s="418"/>
      <c r="L2423" s="418"/>
      <c r="M2423" s="418"/>
      <c r="N2423" s="421"/>
      <c r="O2423" s="421"/>
      <c r="P2423" s="421"/>
      <c r="Q2423" s="418"/>
      <c r="R2423" s="418"/>
      <c r="S2423" s="418"/>
      <c r="T2423" s="418"/>
      <c r="U2423" s="418"/>
      <c r="V2423" s="418"/>
      <c r="W2423" s="418"/>
      <c r="X2423" s="418"/>
      <c r="Y2423" s="418"/>
      <c r="Z2423" s="418"/>
      <c r="AA2423" s="418"/>
      <c r="AB2423" s="418"/>
      <c r="AC2423" s="418"/>
      <c r="AD2423" s="418"/>
      <c r="AE2423" s="418"/>
      <c r="AF2423" s="418"/>
      <c r="AG2423" s="418"/>
      <c r="AH2423" s="418"/>
      <c r="AI2423" s="418"/>
      <c r="AJ2423" s="418"/>
      <c r="AK2423" s="418"/>
      <c r="AL2423" s="418"/>
      <c r="AM2423" s="418"/>
      <c r="AN2423" s="418"/>
      <c r="AO2423" s="418"/>
      <c r="AP2423" s="418"/>
      <c r="AQ2423" s="418"/>
      <c r="AR2423" s="418"/>
      <c r="AS2423" s="418"/>
      <c r="AT2423" s="418"/>
      <c r="AU2423" s="418"/>
      <c r="AV2423" s="418"/>
      <c r="AW2423" s="418"/>
      <c r="AX2423" s="418"/>
      <c r="AY2423" s="418"/>
      <c r="BF2423" s="1119"/>
      <c r="BG2423" s="1119"/>
      <c r="BH2423" s="1119"/>
    </row>
    <row r="2424" spans="1:60" ht="15.75" customHeight="1">
      <c r="A2424" s="1076"/>
      <c r="B2424" s="416"/>
      <c r="C2424" s="424"/>
      <c r="E2424" s="418"/>
      <c r="F2424" s="493"/>
      <c r="G2424" s="418"/>
      <c r="H2424" s="421"/>
      <c r="I2424" s="421"/>
      <c r="J2424" s="492"/>
      <c r="K2424" s="418"/>
      <c r="L2424" s="418"/>
      <c r="M2424" s="418"/>
      <c r="N2424" s="421"/>
      <c r="O2424" s="421"/>
      <c r="P2424" s="421"/>
      <c r="Q2424" s="418"/>
      <c r="R2424" s="418"/>
      <c r="S2424" s="418"/>
      <c r="T2424" s="418"/>
      <c r="U2424" s="418"/>
      <c r="V2424" s="418"/>
      <c r="W2424" s="418"/>
      <c r="X2424" s="418"/>
      <c r="Y2424" s="418"/>
      <c r="Z2424" s="418"/>
      <c r="AA2424" s="418"/>
      <c r="AB2424" s="418"/>
      <c r="AC2424" s="418"/>
      <c r="AD2424" s="418"/>
      <c r="AE2424" s="418"/>
      <c r="AF2424" s="418"/>
      <c r="AG2424" s="418"/>
      <c r="AH2424" s="418"/>
      <c r="AI2424" s="418"/>
      <c r="AJ2424" s="418"/>
      <c r="AK2424" s="418"/>
      <c r="AL2424" s="418"/>
      <c r="AM2424" s="418"/>
      <c r="AN2424" s="418"/>
      <c r="AO2424" s="418"/>
      <c r="AP2424" s="418"/>
      <c r="AQ2424" s="418"/>
      <c r="AR2424" s="418"/>
      <c r="AS2424" s="418"/>
      <c r="AT2424" s="418"/>
      <c r="AU2424" s="418"/>
      <c r="AV2424" s="418"/>
      <c r="AW2424" s="418"/>
      <c r="AX2424" s="418"/>
      <c r="AY2424" s="418"/>
      <c r="BF2424" s="1119"/>
      <c r="BG2424" s="1119"/>
      <c r="BH2424" s="1119"/>
    </row>
    <row r="2425" spans="1:60" ht="15.75" customHeight="1">
      <c r="A2425" s="1076"/>
      <c r="B2425" s="416"/>
      <c r="C2425" s="424"/>
      <c r="E2425" s="418"/>
      <c r="F2425" s="493"/>
      <c r="G2425" s="418"/>
      <c r="H2425" s="421"/>
      <c r="I2425" s="421"/>
      <c r="J2425" s="492"/>
      <c r="K2425" s="418"/>
      <c r="L2425" s="418"/>
      <c r="M2425" s="418"/>
      <c r="N2425" s="421"/>
      <c r="O2425" s="421"/>
      <c r="P2425" s="421"/>
      <c r="Q2425" s="418"/>
      <c r="R2425" s="418"/>
      <c r="S2425" s="418"/>
      <c r="T2425" s="418"/>
      <c r="U2425" s="418"/>
      <c r="V2425" s="418"/>
      <c r="W2425" s="418"/>
      <c r="X2425" s="418"/>
      <c r="Y2425" s="418"/>
      <c r="Z2425" s="418"/>
      <c r="AA2425" s="418"/>
      <c r="AB2425" s="418"/>
      <c r="AC2425" s="418"/>
      <c r="AD2425" s="418"/>
      <c r="AE2425" s="418"/>
      <c r="AF2425" s="418"/>
      <c r="AG2425" s="418"/>
      <c r="AH2425" s="418"/>
      <c r="AI2425" s="418"/>
      <c r="AJ2425" s="418"/>
      <c r="AK2425" s="418"/>
      <c r="AL2425" s="418"/>
      <c r="AM2425" s="418"/>
      <c r="AN2425" s="418"/>
      <c r="AO2425" s="418"/>
      <c r="AP2425" s="418"/>
      <c r="AQ2425" s="418"/>
      <c r="AR2425" s="418"/>
      <c r="AS2425" s="418"/>
      <c r="AT2425" s="418"/>
      <c r="AU2425" s="418"/>
      <c r="AV2425" s="418"/>
      <c r="AW2425" s="418"/>
      <c r="AX2425" s="418"/>
      <c r="AY2425" s="418"/>
      <c r="BF2425" s="1119"/>
      <c r="BG2425" s="1119"/>
      <c r="BH2425" s="1119"/>
    </row>
    <row r="2426" spans="1:60" ht="15.75" customHeight="1">
      <c r="A2426" s="1076"/>
      <c r="B2426" s="416"/>
      <c r="C2426" s="424"/>
      <c r="E2426" s="418"/>
      <c r="F2426" s="493"/>
      <c r="G2426" s="418"/>
      <c r="H2426" s="421"/>
      <c r="I2426" s="421"/>
      <c r="J2426" s="492"/>
      <c r="K2426" s="418"/>
      <c r="L2426" s="418"/>
      <c r="M2426" s="418"/>
      <c r="N2426" s="421"/>
      <c r="O2426" s="421"/>
      <c r="P2426" s="421"/>
      <c r="Q2426" s="418"/>
      <c r="R2426" s="418"/>
      <c r="S2426" s="418"/>
      <c r="T2426" s="418"/>
      <c r="U2426" s="418"/>
      <c r="V2426" s="418"/>
      <c r="W2426" s="418"/>
      <c r="X2426" s="418"/>
      <c r="Y2426" s="418"/>
      <c r="Z2426" s="418"/>
      <c r="AA2426" s="418"/>
      <c r="AB2426" s="418"/>
      <c r="AC2426" s="418"/>
      <c r="AD2426" s="418"/>
      <c r="AE2426" s="418"/>
      <c r="AF2426" s="418"/>
      <c r="AG2426" s="418"/>
      <c r="AH2426" s="418"/>
      <c r="AI2426" s="418"/>
      <c r="AJ2426" s="418"/>
      <c r="AK2426" s="418"/>
      <c r="AL2426" s="418"/>
      <c r="AM2426" s="418"/>
      <c r="AN2426" s="418"/>
      <c r="AO2426" s="418"/>
      <c r="AP2426" s="418"/>
      <c r="AQ2426" s="418"/>
      <c r="AR2426" s="418"/>
      <c r="AS2426" s="418"/>
      <c r="AT2426" s="418"/>
      <c r="AU2426" s="418"/>
      <c r="AV2426" s="418"/>
      <c r="AW2426" s="418"/>
      <c r="AX2426" s="418"/>
      <c r="AY2426" s="418"/>
      <c r="BF2426" s="1119"/>
      <c r="BG2426" s="1119"/>
      <c r="BH2426" s="1119"/>
    </row>
    <row r="2427" spans="1:60" ht="15.75" customHeight="1">
      <c r="A2427" s="1076"/>
      <c r="B2427" s="416"/>
      <c r="C2427" s="424"/>
      <c r="E2427" s="418"/>
      <c r="F2427" s="493"/>
      <c r="G2427" s="418"/>
      <c r="H2427" s="421"/>
      <c r="I2427" s="421"/>
      <c r="J2427" s="492"/>
      <c r="K2427" s="418"/>
      <c r="L2427" s="418"/>
      <c r="M2427" s="418"/>
      <c r="N2427" s="421"/>
      <c r="O2427" s="421"/>
      <c r="P2427" s="421"/>
      <c r="Q2427" s="418"/>
      <c r="R2427" s="418"/>
      <c r="S2427" s="418"/>
      <c r="T2427" s="418"/>
      <c r="U2427" s="418"/>
      <c r="V2427" s="418"/>
      <c r="W2427" s="418"/>
      <c r="X2427" s="418"/>
      <c r="Y2427" s="418"/>
      <c r="Z2427" s="418"/>
      <c r="AA2427" s="418"/>
      <c r="AB2427" s="418"/>
      <c r="AC2427" s="418"/>
      <c r="AD2427" s="418"/>
      <c r="AE2427" s="418"/>
      <c r="AF2427" s="418"/>
      <c r="AG2427" s="418"/>
      <c r="AH2427" s="418"/>
      <c r="AI2427" s="418"/>
      <c r="AJ2427" s="418"/>
      <c r="AK2427" s="418"/>
      <c r="AL2427" s="418"/>
      <c r="AM2427" s="418"/>
      <c r="AN2427" s="418"/>
      <c r="AO2427" s="418"/>
      <c r="AP2427" s="418"/>
      <c r="AQ2427" s="418"/>
      <c r="AR2427" s="418"/>
      <c r="AS2427" s="418"/>
      <c r="AT2427" s="418"/>
      <c r="AU2427" s="418"/>
      <c r="AV2427" s="418"/>
      <c r="AW2427" s="418"/>
      <c r="AX2427" s="418"/>
      <c r="AY2427" s="418"/>
      <c r="BF2427" s="1119"/>
      <c r="BG2427" s="1119"/>
      <c r="BH2427" s="1119"/>
    </row>
    <row r="2428" spans="1:60" ht="15.75" customHeight="1">
      <c r="A2428" s="1076"/>
      <c r="B2428" s="416"/>
      <c r="C2428" s="424"/>
      <c r="E2428" s="418"/>
      <c r="F2428" s="493"/>
      <c r="G2428" s="418"/>
      <c r="H2428" s="421"/>
      <c r="I2428" s="421"/>
      <c r="J2428" s="492"/>
      <c r="K2428" s="418"/>
      <c r="L2428" s="418"/>
      <c r="M2428" s="418"/>
      <c r="N2428" s="421"/>
      <c r="O2428" s="421"/>
      <c r="P2428" s="421"/>
      <c r="Q2428" s="418"/>
      <c r="R2428" s="418"/>
      <c r="S2428" s="418"/>
      <c r="T2428" s="418"/>
      <c r="U2428" s="418"/>
      <c r="V2428" s="418"/>
      <c r="W2428" s="418"/>
      <c r="X2428" s="418"/>
      <c r="Y2428" s="418"/>
      <c r="Z2428" s="418"/>
      <c r="AA2428" s="418"/>
      <c r="AB2428" s="418"/>
      <c r="AC2428" s="418"/>
      <c r="AD2428" s="418"/>
      <c r="AE2428" s="418"/>
      <c r="AF2428" s="418"/>
      <c r="AG2428" s="418"/>
      <c r="AH2428" s="418"/>
      <c r="AI2428" s="418"/>
      <c r="AJ2428" s="418"/>
      <c r="AK2428" s="418"/>
      <c r="AL2428" s="418"/>
      <c r="AM2428" s="418"/>
      <c r="AN2428" s="418"/>
      <c r="AO2428" s="418"/>
      <c r="AP2428" s="418"/>
      <c r="AQ2428" s="418"/>
      <c r="AR2428" s="418"/>
      <c r="AS2428" s="418"/>
      <c r="AT2428" s="418"/>
      <c r="AU2428" s="418"/>
      <c r="AV2428" s="418"/>
      <c r="AW2428" s="418"/>
      <c r="AX2428" s="418"/>
      <c r="AY2428" s="418"/>
      <c r="BF2428" s="1119"/>
      <c r="BG2428" s="1119"/>
      <c r="BH2428" s="1119"/>
    </row>
    <row r="2429" spans="1:60" ht="15.75" customHeight="1">
      <c r="A2429" s="1076"/>
      <c r="B2429" s="416"/>
      <c r="C2429" s="424"/>
      <c r="E2429" s="418"/>
      <c r="F2429" s="493"/>
      <c r="G2429" s="418"/>
      <c r="H2429" s="421"/>
      <c r="I2429" s="421"/>
      <c r="J2429" s="492"/>
      <c r="K2429" s="418"/>
      <c r="L2429" s="418"/>
      <c r="M2429" s="418"/>
      <c r="N2429" s="421"/>
      <c r="O2429" s="421"/>
      <c r="P2429" s="421"/>
      <c r="Q2429" s="418"/>
      <c r="R2429" s="418"/>
      <c r="S2429" s="418"/>
      <c r="T2429" s="418"/>
      <c r="U2429" s="418"/>
      <c r="V2429" s="418"/>
      <c r="W2429" s="418"/>
      <c r="X2429" s="418"/>
      <c r="Y2429" s="418"/>
      <c r="Z2429" s="418"/>
      <c r="AA2429" s="418"/>
      <c r="AB2429" s="418"/>
      <c r="AC2429" s="418"/>
      <c r="AD2429" s="418"/>
      <c r="AE2429" s="418"/>
      <c r="AF2429" s="418"/>
      <c r="AG2429" s="418"/>
      <c r="AH2429" s="418"/>
      <c r="AI2429" s="418"/>
      <c r="AJ2429" s="418"/>
      <c r="AK2429" s="418"/>
      <c r="AL2429" s="418"/>
      <c r="AM2429" s="418"/>
      <c r="AN2429" s="418"/>
      <c r="AO2429" s="418"/>
      <c r="AP2429" s="418"/>
      <c r="AQ2429" s="418"/>
      <c r="AR2429" s="418"/>
      <c r="AS2429" s="418"/>
      <c r="AT2429" s="418"/>
      <c r="AU2429" s="418"/>
      <c r="AV2429" s="418"/>
      <c r="AW2429" s="418"/>
      <c r="AX2429" s="418"/>
      <c r="AY2429" s="418"/>
      <c r="BF2429" s="1119"/>
      <c r="BG2429" s="1119"/>
      <c r="BH2429" s="1119"/>
    </row>
    <row r="2430" spans="1:60" ht="15.75" customHeight="1">
      <c r="A2430" s="1076"/>
      <c r="B2430" s="416"/>
      <c r="C2430" s="424"/>
      <c r="E2430" s="418"/>
      <c r="F2430" s="493"/>
      <c r="G2430" s="418"/>
      <c r="H2430" s="421"/>
      <c r="I2430" s="421"/>
      <c r="J2430" s="492"/>
      <c r="K2430" s="418"/>
      <c r="L2430" s="418"/>
      <c r="M2430" s="418"/>
      <c r="N2430" s="421"/>
      <c r="O2430" s="421"/>
      <c r="P2430" s="421"/>
      <c r="Q2430" s="418"/>
      <c r="R2430" s="418"/>
      <c r="S2430" s="418"/>
      <c r="T2430" s="418"/>
      <c r="U2430" s="418"/>
      <c r="V2430" s="418"/>
      <c r="W2430" s="418"/>
      <c r="X2430" s="418"/>
      <c r="Y2430" s="418"/>
      <c r="Z2430" s="418"/>
      <c r="AA2430" s="418"/>
      <c r="AB2430" s="418"/>
      <c r="AC2430" s="418"/>
      <c r="AD2430" s="418"/>
      <c r="AE2430" s="418"/>
      <c r="AF2430" s="418"/>
      <c r="AG2430" s="418"/>
      <c r="AH2430" s="418"/>
      <c r="AI2430" s="418"/>
      <c r="AJ2430" s="418"/>
      <c r="AK2430" s="418"/>
      <c r="AL2430" s="418"/>
      <c r="AM2430" s="418"/>
      <c r="AN2430" s="418"/>
      <c r="AO2430" s="418"/>
      <c r="AP2430" s="418"/>
      <c r="AQ2430" s="418"/>
      <c r="AR2430" s="418"/>
      <c r="AS2430" s="418"/>
      <c r="AT2430" s="418"/>
      <c r="AU2430" s="418"/>
      <c r="AV2430" s="418"/>
      <c r="AW2430" s="418"/>
      <c r="AX2430" s="418"/>
      <c r="AY2430" s="418"/>
      <c r="BF2430" s="1119"/>
      <c r="BG2430" s="1119"/>
      <c r="BH2430" s="1119"/>
    </row>
    <row r="2431" spans="1:60" ht="15.75" customHeight="1">
      <c r="A2431" s="1076"/>
      <c r="B2431" s="416"/>
      <c r="C2431" s="424"/>
      <c r="E2431" s="418"/>
      <c r="F2431" s="493"/>
      <c r="G2431" s="418"/>
      <c r="H2431" s="421"/>
      <c r="I2431" s="421"/>
      <c r="J2431" s="492"/>
      <c r="K2431" s="418"/>
      <c r="L2431" s="418"/>
      <c r="M2431" s="418"/>
      <c r="N2431" s="421"/>
      <c r="O2431" s="421"/>
      <c r="P2431" s="421"/>
      <c r="Q2431" s="418"/>
      <c r="R2431" s="418"/>
      <c r="S2431" s="418"/>
      <c r="T2431" s="418"/>
      <c r="U2431" s="418"/>
      <c r="V2431" s="418"/>
      <c r="W2431" s="418"/>
      <c r="X2431" s="418"/>
      <c r="Y2431" s="418"/>
      <c r="Z2431" s="418"/>
      <c r="AA2431" s="418"/>
      <c r="AB2431" s="418"/>
      <c r="AC2431" s="418"/>
      <c r="AD2431" s="418"/>
      <c r="AE2431" s="418"/>
      <c r="AF2431" s="418"/>
      <c r="AG2431" s="418"/>
      <c r="AH2431" s="418"/>
      <c r="AI2431" s="418"/>
      <c r="AJ2431" s="418"/>
      <c r="AK2431" s="418"/>
      <c r="AL2431" s="418"/>
      <c r="AM2431" s="418"/>
      <c r="AN2431" s="418"/>
      <c r="AO2431" s="418"/>
      <c r="AP2431" s="418"/>
      <c r="AQ2431" s="418"/>
      <c r="AR2431" s="418"/>
      <c r="AS2431" s="418"/>
      <c r="AT2431" s="418"/>
      <c r="AU2431" s="418"/>
      <c r="AV2431" s="418"/>
      <c r="AW2431" s="418"/>
      <c r="AX2431" s="418"/>
      <c r="AY2431" s="418"/>
      <c r="BF2431" s="1119"/>
      <c r="BG2431" s="1119"/>
      <c r="BH2431" s="1119"/>
    </row>
    <row r="2432" spans="1:60" ht="15.75" customHeight="1">
      <c r="A2432" s="1076"/>
      <c r="B2432" s="416"/>
      <c r="C2432" s="424"/>
      <c r="E2432" s="418"/>
      <c r="F2432" s="493"/>
      <c r="G2432" s="418"/>
      <c r="H2432" s="421"/>
      <c r="I2432" s="421"/>
      <c r="J2432" s="492"/>
      <c r="K2432" s="418"/>
      <c r="L2432" s="418"/>
      <c r="M2432" s="418"/>
      <c r="N2432" s="421"/>
      <c r="O2432" s="421"/>
      <c r="P2432" s="421"/>
      <c r="Q2432" s="418"/>
      <c r="R2432" s="418"/>
      <c r="S2432" s="418"/>
      <c r="T2432" s="418"/>
      <c r="U2432" s="418"/>
      <c r="V2432" s="418"/>
      <c r="W2432" s="418"/>
      <c r="X2432" s="418"/>
      <c r="Y2432" s="418"/>
      <c r="Z2432" s="418"/>
      <c r="AA2432" s="418"/>
      <c r="AB2432" s="418"/>
      <c r="AC2432" s="418"/>
      <c r="AD2432" s="418"/>
      <c r="AE2432" s="418"/>
      <c r="AF2432" s="418"/>
      <c r="AG2432" s="418"/>
      <c r="AH2432" s="418"/>
      <c r="AI2432" s="418"/>
      <c r="AJ2432" s="418"/>
      <c r="AK2432" s="418"/>
      <c r="AL2432" s="418"/>
      <c r="AM2432" s="418"/>
      <c r="AN2432" s="418"/>
      <c r="AO2432" s="418"/>
      <c r="AP2432" s="418"/>
      <c r="AQ2432" s="418"/>
      <c r="AR2432" s="418"/>
      <c r="AS2432" s="418"/>
      <c r="AT2432" s="418"/>
      <c r="AU2432" s="418"/>
      <c r="AV2432" s="418"/>
      <c r="AW2432" s="418"/>
      <c r="AX2432" s="418"/>
      <c r="AY2432" s="418"/>
      <c r="BF2432" s="1119"/>
      <c r="BG2432" s="1119"/>
      <c r="BH2432" s="1119"/>
    </row>
    <row r="2433" spans="1:60" ht="15.75" customHeight="1">
      <c r="A2433" s="1076"/>
      <c r="B2433" s="416"/>
      <c r="C2433" s="424"/>
      <c r="E2433" s="418"/>
      <c r="F2433" s="493"/>
      <c r="G2433" s="418"/>
      <c r="H2433" s="421"/>
      <c r="I2433" s="421"/>
      <c r="J2433" s="492"/>
      <c r="K2433" s="418"/>
      <c r="L2433" s="418"/>
      <c r="M2433" s="418"/>
      <c r="N2433" s="421"/>
      <c r="O2433" s="421"/>
      <c r="P2433" s="421"/>
      <c r="Q2433" s="418"/>
      <c r="R2433" s="418"/>
      <c r="S2433" s="418"/>
      <c r="T2433" s="418"/>
      <c r="U2433" s="418"/>
      <c r="V2433" s="418"/>
      <c r="W2433" s="418"/>
      <c r="X2433" s="418"/>
      <c r="Y2433" s="418"/>
      <c r="Z2433" s="418"/>
      <c r="AA2433" s="418"/>
      <c r="AB2433" s="418"/>
      <c r="AC2433" s="418"/>
      <c r="AD2433" s="418"/>
      <c r="AE2433" s="418"/>
      <c r="AF2433" s="418"/>
      <c r="AG2433" s="418"/>
      <c r="AH2433" s="418"/>
      <c r="AI2433" s="418"/>
      <c r="AJ2433" s="418"/>
      <c r="AK2433" s="418"/>
      <c r="AL2433" s="418"/>
      <c r="AM2433" s="418"/>
      <c r="AN2433" s="418"/>
      <c r="AO2433" s="418"/>
      <c r="AP2433" s="418"/>
      <c r="AQ2433" s="418"/>
      <c r="AR2433" s="418"/>
      <c r="AS2433" s="418"/>
      <c r="AT2433" s="418"/>
      <c r="AU2433" s="418"/>
      <c r="AV2433" s="418"/>
      <c r="AW2433" s="418"/>
      <c r="AX2433" s="418"/>
      <c r="AY2433" s="418"/>
      <c r="BF2433" s="1119"/>
      <c r="BG2433" s="1119"/>
      <c r="BH2433" s="1119"/>
    </row>
    <row r="2434" spans="1:60" ht="15.75" customHeight="1">
      <c r="A2434" s="1076"/>
      <c r="B2434" s="416"/>
      <c r="C2434" s="424"/>
      <c r="E2434" s="418"/>
      <c r="F2434" s="493"/>
      <c r="G2434" s="418"/>
      <c r="H2434" s="421"/>
      <c r="I2434" s="421"/>
      <c r="J2434" s="492"/>
      <c r="K2434" s="418"/>
      <c r="L2434" s="418"/>
      <c r="M2434" s="418"/>
      <c r="N2434" s="421"/>
      <c r="O2434" s="421"/>
      <c r="P2434" s="421"/>
      <c r="Q2434" s="418"/>
      <c r="R2434" s="418"/>
      <c r="S2434" s="418"/>
      <c r="T2434" s="418"/>
      <c r="U2434" s="418"/>
      <c r="V2434" s="418"/>
      <c r="W2434" s="418"/>
      <c r="X2434" s="418"/>
      <c r="Y2434" s="418"/>
      <c r="Z2434" s="418"/>
      <c r="AA2434" s="418"/>
      <c r="AB2434" s="418"/>
      <c r="AC2434" s="418"/>
      <c r="AD2434" s="418"/>
      <c r="AE2434" s="418"/>
      <c r="AF2434" s="418"/>
      <c r="AG2434" s="418"/>
      <c r="AH2434" s="418"/>
      <c r="AI2434" s="418"/>
      <c r="AJ2434" s="418"/>
      <c r="AK2434" s="418"/>
      <c r="AL2434" s="418"/>
      <c r="AM2434" s="418"/>
      <c r="AN2434" s="418"/>
      <c r="AO2434" s="418"/>
      <c r="AP2434" s="418"/>
      <c r="AQ2434" s="418"/>
      <c r="AR2434" s="418"/>
      <c r="AS2434" s="418"/>
      <c r="AT2434" s="418"/>
      <c r="AU2434" s="418"/>
      <c r="AV2434" s="418"/>
      <c r="AW2434" s="418"/>
      <c r="AX2434" s="418"/>
      <c r="AY2434" s="418"/>
      <c r="BF2434" s="1119"/>
      <c r="BG2434" s="1119"/>
      <c r="BH2434" s="1119"/>
    </row>
    <row r="2435" spans="1:60" ht="15.75" customHeight="1">
      <c r="A2435" s="1076"/>
      <c r="B2435" s="416"/>
      <c r="C2435" s="424"/>
      <c r="E2435" s="418"/>
      <c r="F2435" s="493"/>
      <c r="G2435" s="418"/>
      <c r="H2435" s="421"/>
      <c r="I2435" s="421"/>
      <c r="J2435" s="492"/>
      <c r="K2435" s="418"/>
      <c r="L2435" s="418"/>
      <c r="M2435" s="418"/>
      <c r="N2435" s="421"/>
      <c r="O2435" s="421"/>
      <c r="P2435" s="421"/>
      <c r="Q2435" s="418"/>
      <c r="R2435" s="418"/>
      <c r="S2435" s="418"/>
      <c r="T2435" s="418"/>
      <c r="U2435" s="418"/>
      <c r="V2435" s="418"/>
      <c r="W2435" s="418"/>
      <c r="X2435" s="418"/>
      <c r="Y2435" s="418"/>
      <c r="Z2435" s="418"/>
      <c r="AA2435" s="418"/>
      <c r="AB2435" s="418"/>
      <c r="AC2435" s="418"/>
      <c r="AD2435" s="418"/>
      <c r="AE2435" s="418"/>
      <c r="AF2435" s="418"/>
      <c r="AG2435" s="418"/>
      <c r="AH2435" s="418"/>
      <c r="AI2435" s="418"/>
      <c r="AJ2435" s="418"/>
      <c r="AK2435" s="418"/>
      <c r="AL2435" s="418"/>
      <c r="AM2435" s="418"/>
      <c r="AN2435" s="418"/>
      <c r="AO2435" s="418"/>
      <c r="AP2435" s="418"/>
      <c r="AQ2435" s="418"/>
      <c r="AR2435" s="418"/>
      <c r="AS2435" s="418"/>
      <c r="AT2435" s="418"/>
      <c r="AU2435" s="418"/>
      <c r="AV2435" s="418"/>
      <c r="AW2435" s="418"/>
      <c r="AX2435" s="418"/>
      <c r="AY2435" s="418"/>
      <c r="BF2435" s="1119"/>
      <c r="BG2435" s="1119"/>
      <c r="BH2435" s="1119"/>
    </row>
    <row r="2436" spans="1:60" ht="15.75" customHeight="1">
      <c r="A2436" s="1076"/>
      <c r="B2436" s="416"/>
      <c r="C2436" s="424"/>
      <c r="E2436" s="418"/>
      <c r="F2436" s="493"/>
      <c r="G2436" s="418"/>
      <c r="H2436" s="421"/>
      <c r="I2436" s="421"/>
      <c r="J2436" s="492"/>
      <c r="K2436" s="418"/>
      <c r="L2436" s="418"/>
      <c r="M2436" s="418"/>
      <c r="N2436" s="421"/>
      <c r="O2436" s="421"/>
      <c r="P2436" s="421"/>
      <c r="Q2436" s="418"/>
      <c r="R2436" s="418"/>
      <c r="S2436" s="418"/>
      <c r="T2436" s="418"/>
      <c r="U2436" s="418"/>
      <c r="V2436" s="418"/>
      <c r="W2436" s="418"/>
      <c r="X2436" s="418"/>
      <c r="Y2436" s="418"/>
      <c r="Z2436" s="418"/>
      <c r="AA2436" s="418"/>
      <c r="AB2436" s="418"/>
      <c r="AC2436" s="418"/>
      <c r="AD2436" s="418"/>
      <c r="AE2436" s="418"/>
      <c r="AF2436" s="418"/>
      <c r="AG2436" s="418"/>
      <c r="AH2436" s="418"/>
      <c r="AI2436" s="418"/>
      <c r="AJ2436" s="418"/>
      <c r="AK2436" s="418"/>
      <c r="AL2436" s="418"/>
      <c r="AM2436" s="418"/>
      <c r="AN2436" s="418"/>
      <c r="AO2436" s="418"/>
      <c r="AP2436" s="418"/>
      <c r="AQ2436" s="418"/>
      <c r="AR2436" s="418"/>
      <c r="AS2436" s="418"/>
      <c r="AT2436" s="418"/>
      <c r="AU2436" s="418"/>
      <c r="AV2436" s="418"/>
      <c r="AW2436" s="418"/>
      <c r="AX2436" s="418"/>
      <c r="AY2436" s="418"/>
      <c r="BF2436" s="1119"/>
      <c r="BG2436" s="1119"/>
      <c r="BH2436" s="1119"/>
    </row>
    <row r="2437" spans="1:60" ht="15.75" customHeight="1">
      <c r="A2437" s="1076"/>
      <c r="B2437" s="416"/>
      <c r="C2437" s="424"/>
      <c r="E2437" s="418"/>
      <c r="F2437" s="493"/>
      <c r="G2437" s="418"/>
      <c r="H2437" s="421"/>
      <c r="I2437" s="421"/>
      <c r="J2437" s="492"/>
      <c r="K2437" s="418"/>
      <c r="L2437" s="418"/>
      <c r="M2437" s="418"/>
      <c r="N2437" s="421"/>
      <c r="O2437" s="421"/>
      <c r="P2437" s="421"/>
      <c r="Q2437" s="418"/>
      <c r="R2437" s="418"/>
      <c r="S2437" s="418"/>
      <c r="T2437" s="418"/>
      <c r="U2437" s="418"/>
      <c r="V2437" s="418"/>
      <c r="W2437" s="418"/>
      <c r="X2437" s="418"/>
      <c r="Y2437" s="418"/>
      <c r="Z2437" s="418"/>
      <c r="AA2437" s="418"/>
      <c r="AB2437" s="418"/>
      <c r="AC2437" s="418"/>
      <c r="AD2437" s="418"/>
      <c r="AE2437" s="418"/>
      <c r="AF2437" s="418"/>
      <c r="AG2437" s="418"/>
      <c r="AH2437" s="418"/>
      <c r="AI2437" s="418"/>
      <c r="AJ2437" s="418"/>
      <c r="AK2437" s="418"/>
      <c r="AL2437" s="418"/>
      <c r="AM2437" s="418"/>
      <c r="AN2437" s="418"/>
      <c r="AO2437" s="418"/>
      <c r="AP2437" s="418"/>
      <c r="AQ2437" s="418"/>
      <c r="AR2437" s="418"/>
      <c r="AS2437" s="418"/>
      <c r="AT2437" s="418"/>
      <c r="AU2437" s="418"/>
      <c r="AV2437" s="418"/>
      <c r="AW2437" s="418"/>
      <c r="AX2437" s="418"/>
      <c r="AY2437" s="418"/>
      <c r="BF2437" s="1119"/>
      <c r="BG2437" s="1119"/>
      <c r="BH2437" s="1119"/>
    </row>
    <row r="2438" spans="1:60" ht="15.75" customHeight="1">
      <c r="A2438" s="1076"/>
      <c r="B2438" s="416"/>
      <c r="C2438" s="424"/>
      <c r="E2438" s="418"/>
      <c r="F2438" s="493"/>
      <c r="G2438" s="418"/>
      <c r="H2438" s="421"/>
      <c r="I2438" s="421"/>
      <c r="J2438" s="492"/>
      <c r="K2438" s="418"/>
      <c r="L2438" s="418"/>
      <c r="M2438" s="418"/>
      <c r="N2438" s="421"/>
      <c r="O2438" s="421"/>
      <c r="P2438" s="421"/>
      <c r="Q2438" s="418"/>
      <c r="R2438" s="418"/>
      <c r="S2438" s="418"/>
      <c r="T2438" s="418"/>
      <c r="U2438" s="418"/>
      <c r="V2438" s="418"/>
      <c r="W2438" s="418"/>
      <c r="X2438" s="418"/>
      <c r="Y2438" s="418"/>
      <c r="Z2438" s="418"/>
      <c r="AA2438" s="418"/>
      <c r="AB2438" s="418"/>
      <c r="AC2438" s="418"/>
      <c r="AD2438" s="418"/>
      <c r="AE2438" s="418"/>
      <c r="AF2438" s="418"/>
      <c r="AG2438" s="418"/>
      <c r="AH2438" s="418"/>
      <c r="AI2438" s="418"/>
      <c r="AJ2438" s="418"/>
      <c r="AK2438" s="418"/>
      <c r="AL2438" s="418"/>
      <c r="AM2438" s="418"/>
      <c r="AN2438" s="418"/>
      <c r="AO2438" s="418"/>
      <c r="AP2438" s="418"/>
      <c r="AQ2438" s="418"/>
      <c r="AR2438" s="418"/>
      <c r="AS2438" s="418"/>
      <c r="AT2438" s="418"/>
      <c r="AU2438" s="418"/>
      <c r="AV2438" s="418"/>
      <c r="AW2438" s="418"/>
      <c r="AX2438" s="418"/>
      <c r="AY2438" s="418"/>
      <c r="BF2438" s="1119"/>
      <c r="BG2438" s="1119"/>
      <c r="BH2438" s="1119"/>
    </row>
    <row r="2439" spans="1:60" ht="15.75" customHeight="1">
      <c r="A2439" s="1076"/>
      <c r="B2439" s="416"/>
      <c r="C2439" s="424"/>
      <c r="E2439" s="418"/>
      <c r="F2439" s="493"/>
      <c r="G2439" s="418"/>
      <c r="H2439" s="421"/>
      <c r="I2439" s="421"/>
      <c r="J2439" s="492"/>
      <c r="K2439" s="418"/>
      <c r="L2439" s="418"/>
      <c r="M2439" s="418"/>
      <c r="N2439" s="421"/>
      <c r="O2439" s="421"/>
      <c r="P2439" s="421"/>
      <c r="Q2439" s="418"/>
      <c r="R2439" s="418"/>
      <c r="S2439" s="418"/>
      <c r="T2439" s="418"/>
      <c r="U2439" s="418"/>
      <c r="V2439" s="418"/>
      <c r="W2439" s="418"/>
      <c r="X2439" s="418"/>
      <c r="Y2439" s="418"/>
      <c r="Z2439" s="418"/>
      <c r="AA2439" s="418"/>
      <c r="AB2439" s="418"/>
      <c r="AC2439" s="418"/>
      <c r="AD2439" s="418"/>
      <c r="AE2439" s="418"/>
      <c r="AF2439" s="418"/>
      <c r="AG2439" s="418"/>
      <c r="AH2439" s="418"/>
      <c r="AI2439" s="418"/>
      <c r="AJ2439" s="418"/>
      <c r="AK2439" s="418"/>
      <c r="AL2439" s="418"/>
      <c r="AM2439" s="418"/>
      <c r="AN2439" s="418"/>
      <c r="AO2439" s="418"/>
      <c r="AP2439" s="418"/>
      <c r="AQ2439" s="418"/>
      <c r="AR2439" s="418"/>
      <c r="AS2439" s="418"/>
      <c r="AT2439" s="418"/>
      <c r="AU2439" s="418"/>
      <c r="AV2439" s="418"/>
      <c r="AW2439" s="418"/>
      <c r="AX2439" s="418"/>
      <c r="AY2439" s="418"/>
      <c r="BF2439" s="1119"/>
      <c r="BG2439" s="1119"/>
      <c r="BH2439" s="1119"/>
    </row>
    <row r="2440" spans="1:60" ht="15.75" customHeight="1">
      <c r="A2440" s="1076"/>
      <c r="B2440" s="416"/>
      <c r="C2440" s="424"/>
      <c r="E2440" s="418"/>
      <c r="F2440" s="493"/>
      <c r="G2440" s="418"/>
      <c r="H2440" s="421"/>
      <c r="I2440" s="421"/>
      <c r="J2440" s="492"/>
      <c r="K2440" s="418"/>
      <c r="L2440" s="418"/>
      <c r="M2440" s="418"/>
      <c r="N2440" s="421"/>
      <c r="O2440" s="421"/>
      <c r="P2440" s="421"/>
      <c r="Q2440" s="418"/>
      <c r="R2440" s="418"/>
      <c r="S2440" s="418"/>
      <c r="T2440" s="418"/>
      <c r="U2440" s="418"/>
      <c r="V2440" s="418"/>
      <c r="W2440" s="418"/>
      <c r="X2440" s="418"/>
      <c r="Y2440" s="418"/>
      <c r="Z2440" s="418"/>
      <c r="AA2440" s="418"/>
      <c r="AB2440" s="418"/>
      <c r="AC2440" s="418"/>
      <c r="AD2440" s="418"/>
      <c r="AE2440" s="418"/>
      <c r="AF2440" s="418"/>
      <c r="AG2440" s="418"/>
      <c r="AH2440" s="418"/>
      <c r="AI2440" s="418"/>
      <c r="AJ2440" s="418"/>
      <c r="AK2440" s="418"/>
      <c r="AL2440" s="418"/>
      <c r="AM2440" s="418"/>
      <c r="AN2440" s="418"/>
      <c r="AO2440" s="418"/>
      <c r="AP2440" s="418"/>
      <c r="AQ2440" s="418"/>
      <c r="AR2440" s="418"/>
      <c r="AS2440" s="418"/>
      <c r="AT2440" s="418"/>
      <c r="AU2440" s="418"/>
      <c r="AV2440" s="418"/>
      <c r="AW2440" s="418"/>
      <c r="AX2440" s="418"/>
      <c r="AY2440" s="418"/>
      <c r="BF2440" s="1119"/>
      <c r="BG2440" s="1119"/>
      <c r="BH2440" s="1119"/>
    </row>
    <row r="2441" spans="1:60" ht="15.75" customHeight="1">
      <c r="A2441" s="1076"/>
      <c r="B2441" s="416"/>
      <c r="C2441" s="424"/>
      <c r="E2441" s="418"/>
      <c r="F2441" s="493"/>
      <c r="G2441" s="418"/>
      <c r="H2441" s="421"/>
      <c r="I2441" s="421"/>
      <c r="J2441" s="492"/>
      <c r="K2441" s="418"/>
      <c r="L2441" s="418"/>
      <c r="M2441" s="418"/>
      <c r="N2441" s="421"/>
      <c r="O2441" s="421"/>
      <c r="P2441" s="421"/>
      <c r="Q2441" s="418"/>
      <c r="R2441" s="418"/>
      <c r="S2441" s="418"/>
      <c r="T2441" s="418"/>
      <c r="U2441" s="418"/>
      <c r="V2441" s="418"/>
      <c r="W2441" s="418"/>
      <c r="X2441" s="418"/>
      <c r="Y2441" s="418"/>
      <c r="Z2441" s="418"/>
      <c r="AA2441" s="418"/>
      <c r="AB2441" s="418"/>
      <c r="AC2441" s="418"/>
      <c r="AD2441" s="418"/>
      <c r="AE2441" s="418"/>
      <c r="AF2441" s="418"/>
      <c r="AG2441" s="418"/>
      <c r="AH2441" s="418"/>
      <c r="AI2441" s="418"/>
      <c r="AJ2441" s="418"/>
      <c r="AK2441" s="418"/>
      <c r="AL2441" s="418"/>
      <c r="AM2441" s="418"/>
      <c r="AN2441" s="418"/>
      <c r="AO2441" s="418"/>
      <c r="AP2441" s="418"/>
      <c r="AQ2441" s="418"/>
      <c r="AR2441" s="418"/>
      <c r="AS2441" s="418"/>
      <c r="AT2441" s="418"/>
      <c r="AU2441" s="418"/>
      <c r="AV2441" s="418"/>
      <c r="AW2441" s="418"/>
      <c r="AX2441" s="418"/>
      <c r="AY2441" s="418"/>
      <c r="BF2441" s="1119"/>
      <c r="BG2441" s="1119"/>
      <c r="BH2441" s="1119"/>
    </row>
    <row r="2442" spans="1:60" ht="15.75" customHeight="1">
      <c r="A2442" s="1076"/>
      <c r="B2442" s="416"/>
      <c r="C2442" s="424"/>
      <c r="E2442" s="418"/>
      <c r="F2442" s="493"/>
      <c r="G2442" s="418"/>
      <c r="H2442" s="421"/>
      <c r="I2442" s="421"/>
      <c r="J2442" s="492"/>
      <c r="K2442" s="418"/>
      <c r="L2442" s="418"/>
      <c r="M2442" s="418"/>
      <c r="N2442" s="421"/>
      <c r="O2442" s="421"/>
      <c r="P2442" s="421"/>
      <c r="Q2442" s="418"/>
      <c r="R2442" s="418"/>
      <c r="S2442" s="418"/>
      <c r="T2442" s="418"/>
      <c r="U2442" s="418"/>
      <c r="V2442" s="418"/>
      <c r="W2442" s="418"/>
      <c r="X2442" s="418"/>
      <c r="Y2442" s="418"/>
      <c r="Z2442" s="418"/>
      <c r="AA2442" s="418"/>
      <c r="AB2442" s="418"/>
      <c r="AC2442" s="418"/>
      <c r="AD2442" s="418"/>
      <c r="AE2442" s="418"/>
      <c r="AF2442" s="418"/>
      <c r="AG2442" s="418"/>
      <c r="AH2442" s="418"/>
      <c r="AI2442" s="418"/>
      <c r="AJ2442" s="418"/>
      <c r="AK2442" s="418"/>
      <c r="AL2442" s="418"/>
      <c r="AM2442" s="418"/>
      <c r="AN2442" s="418"/>
      <c r="AO2442" s="418"/>
      <c r="AP2442" s="418"/>
      <c r="AQ2442" s="418"/>
      <c r="AR2442" s="418"/>
      <c r="AS2442" s="418"/>
      <c r="AT2442" s="418"/>
      <c r="AU2442" s="418"/>
      <c r="AV2442" s="418"/>
      <c r="AW2442" s="418"/>
      <c r="AX2442" s="418"/>
      <c r="AY2442" s="418"/>
      <c r="BF2442" s="1119"/>
      <c r="BG2442" s="1119"/>
      <c r="BH2442" s="1119"/>
    </row>
    <row r="2443" spans="1:60" ht="15.75" customHeight="1">
      <c r="A2443" s="1076"/>
      <c r="B2443" s="416"/>
      <c r="C2443" s="424"/>
      <c r="E2443" s="418"/>
      <c r="F2443" s="493"/>
      <c r="G2443" s="418"/>
      <c r="H2443" s="421"/>
      <c r="I2443" s="421"/>
      <c r="J2443" s="492"/>
      <c r="K2443" s="418"/>
      <c r="L2443" s="418"/>
      <c r="M2443" s="418"/>
      <c r="N2443" s="421"/>
      <c r="O2443" s="421"/>
      <c r="P2443" s="421"/>
      <c r="Q2443" s="418"/>
      <c r="R2443" s="418"/>
      <c r="S2443" s="418"/>
      <c r="T2443" s="418"/>
      <c r="U2443" s="418"/>
      <c r="V2443" s="418"/>
      <c r="W2443" s="418"/>
      <c r="X2443" s="418"/>
      <c r="Y2443" s="418"/>
      <c r="Z2443" s="418"/>
      <c r="AA2443" s="418"/>
      <c r="AB2443" s="418"/>
      <c r="AC2443" s="418"/>
      <c r="AD2443" s="418"/>
      <c r="AE2443" s="418"/>
      <c r="AF2443" s="418"/>
      <c r="AG2443" s="418"/>
      <c r="AH2443" s="418"/>
      <c r="AI2443" s="418"/>
      <c r="AJ2443" s="418"/>
      <c r="AK2443" s="418"/>
      <c r="AL2443" s="418"/>
      <c r="AM2443" s="418"/>
      <c r="AN2443" s="418"/>
      <c r="AO2443" s="418"/>
      <c r="AP2443" s="418"/>
      <c r="AQ2443" s="418"/>
      <c r="AR2443" s="418"/>
      <c r="AS2443" s="418"/>
      <c r="AT2443" s="418"/>
      <c r="AU2443" s="418"/>
      <c r="AV2443" s="418"/>
      <c r="AW2443" s="418"/>
      <c r="AX2443" s="418"/>
      <c r="AY2443" s="418"/>
      <c r="BF2443" s="1119"/>
      <c r="BG2443" s="1119"/>
      <c r="BH2443" s="1119"/>
    </row>
    <row r="2444" spans="1:60" ht="15.75" customHeight="1">
      <c r="A2444" s="1076"/>
      <c r="B2444" s="416"/>
      <c r="C2444" s="424"/>
      <c r="E2444" s="418"/>
      <c r="F2444" s="493"/>
      <c r="G2444" s="418"/>
      <c r="H2444" s="421"/>
      <c r="I2444" s="421"/>
      <c r="J2444" s="492"/>
      <c r="K2444" s="418"/>
      <c r="L2444" s="418"/>
      <c r="M2444" s="418"/>
      <c r="N2444" s="421"/>
      <c r="O2444" s="421"/>
      <c r="P2444" s="421"/>
      <c r="Q2444" s="418"/>
      <c r="R2444" s="418"/>
      <c r="S2444" s="418"/>
      <c r="T2444" s="418"/>
      <c r="U2444" s="418"/>
      <c r="V2444" s="418"/>
      <c r="W2444" s="418"/>
      <c r="X2444" s="418"/>
      <c r="Y2444" s="418"/>
      <c r="Z2444" s="418"/>
      <c r="AA2444" s="418"/>
      <c r="AB2444" s="418"/>
      <c r="AC2444" s="418"/>
      <c r="AD2444" s="418"/>
      <c r="AE2444" s="418"/>
      <c r="AF2444" s="418"/>
      <c r="AG2444" s="418"/>
      <c r="AH2444" s="418"/>
      <c r="AI2444" s="418"/>
      <c r="AJ2444" s="418"/>
      <c r="AK2444" s="418"/>
      <c r="AL2444" s="418"/>
      <c r="AM2444" s="418"/>
      <c r="AN2444" s="418"/>
      <c r="AO2444" s="418"/>
      <c r="AP2444" s="418"/>
      <c r="AQ2444" s="418"/>
      <c r="AR2444" s="418"/>
      <c r="AS2444" s="418"/>
      <c r="AT2444" s="418"/>
      <c r="AU2444" s="418"/>
      <c r="AV2444" s="418"/>
      <c r="AW2444" s="418"/>
      <c r="AX2444" s="418"/>
      <c r="AY2444" s="418"/>
      <c r="BF2444" s="1119"/>
      <c r="BG2444" s="1119"/>
      <c r="BH2444" s="1119"/>
    </row>
    <row r="2445" spans="1:60" ht="15.75" customHeight="1">
      <c r="A2445" s="1076"/>
      <c r="B2445" s="416"/>
      <c r="C2445" s="424"/>
      <c r="E2445" s="418"/>
      <c r="F2445" s="493"/>
      <c r="G2445" s="418"/>
      <c r="H2445" s="421"/>
      <c r="I2445" s="421"/>
      <c r="J2445" s="492"/>
      <c r="K2445" s="418"/>
      <c r="L2445" s="418"/>
      <c r="M2445" s="418"/>
      <c r="N2445" s="421"/>
      <c r="O2445" s="421"/>
      <c r="P2445" s="421"/>
      <c r="Q2445" s="418"/>
      <c r="R2445" s="418"/>
      <c r="S2445" s="418"/>
      <c r="T2445" s="418"/>
      <c r="U2445" s="418"/>
      <c r="V2445" s="418"/>
      <c r="W2445" s="418"/>
      <c r="X2445" s="418"/>
      <c r="Y2445" s="418"/>
      <c r="Z2445" s="418"/>
      <c r="AA2445" s="418"/>
      <c r="AB2445" s="418"/>
      <c r="AC2445" s="418"/>
      <c r="AD2445" s="418"/>
      <c r="AE2445" s="418"/>
      <c r="AF2445" s="418"/>
      <c r="AG2445" s="418"/>
      <c r="AH2445" s="418"/>
      <c r="AI2445" s="418"/>
      <c r="AJ2445" s="418"/>
      <c r="AK2445" s="418"/>
      <c r="AL2445" s="418"/>
      <c r="AM2445" s="418"/>
      <c r="AN2445" s="418"/>
      <c r="AO2445" s="418"/>
      <c r="AP2445" s="418"/>
      <c r="AQ2445" s="418"/>
      <c r="AR2445" s="418"/>
      <c r="AS2445" s="418"/>
      <c r="AT2445" s="418"/>
      <c r="AU2445" s="418"/>
      <c r="AV2445" s="418"/>
      <c r="AW2445" s="418"/>
      <c r="AX2445" s="418"/>
      <c r="AY2445" s="418"/>
      <c r="BF2445" s="1119"/>
      <c r="BG2445" s="1119"/>
      <c r="BH2445" s="1119"/>
    </row>
    <row r="2446" spans="1:60" ht="15.75" customHeight="1">
      <c r="A2446" s="1076"/>
      <c r="B2446" s="416"/>
      <c r="C2446" s="424"/>
      <c r="E2446" s="418"/>
      <c r="F2446" s="493"/>
      <c r="G2446" s="418"/>
      <c r="H2446" s="421"/>
      <c r="I2446" s="421"/>
      <c r="J2446" s="492"/>
      <c r="K2446" s="418"/>
      <c r="L2446" s="418"/>
      <c r="M2446" s="418"/>
      <c r="N2446" s="421"/>
      <c r="O2446" s="421"/>
      <c r="P2446" s="421"/>
      <c r="Q2446" s="418"/>
      <c r="R2446" s="418"/>
      <c r="S2446" s="418"/>
      <c r="T2446" s="418"/>
      <c r="U2446" s="418"/>
      <c r="V2446" s="418"/>
      <c r="W2446" s="418"/>
      <c r="X2446" s="418"/>
      <c r="Y2446" s="418"/>
      <c r="Z2446" s="418"/>
      <c r="AA2446" s="418"/>
      <c r="AB2446" s="418"/>
      <c r="AC2446" s="418"/>
      <c r="AD2446" s="418"/>
      <c r="AE2446" s="418"/>
      <c r="AF2446" s="418"/>
      <c r="AG2446" s="418"/>
      <c r="AH2446" s="418"/>
      <c r="AI2446" s="418"/>
      <c r="AJ2446" s="418"/>
      <c r="AK2446" s="418"/>
      <c r="AL2446" s="418"/>
      <c r="AM2446" s="418"/>
      <c r="AN2446" s="418"/>
      <c r="AO2446" s="418"/>
      <c r="AP2446" s="418"/>
      <c r="AQ2446" s="418"/>
      <c r="AR2446" s="418"/>
      <c r="AS2446" s="418"/>
      <c r="AT2446" s="418"/>
      <c r="AU2446" s="418"/>
      <c r="AV2446" s="418"/>
      <c r="AW2446" s="418"/>
      <c r="AX2446" s="418"/>
      <c r="AY2446" s="418"/>
      <c r="BF2446" s="1119"/>
      <c r="BG2446" s="1119"/>
      <c r="BH2446" s="1119"/>
    </row>
    <row r="2447" spans="1:60" ht="15.75" customHeight="1">
      <c r="A2447" s="1076"/>
      <c r="B2447" s="416"/>
      <c r="C2447" s="424"/>
      <c r="E2447" s="418"/>
      <c r="F2447" s="493"/>
      <c r="G2447" s="418"/>
      <c r="H2447" s="421"/>
      <c r="I2447" s="421"/>
      <c r="J2447" s="492"/>
      <c r="K2447" s="418"/>
      <c r="L2447" s="418"/>
      <c r="M2447" s="418"/>
      <c r="N2447" s="421"/>
      <c r="O2447" s="421"/>
      <c r="P2447" s="421"/>
      <c r="Q2447" s="418"/>
      <c r="R2447" s="418"/>
      <c r="S2447" s="418"/>
      <c r="T2447" s="418"/>
      <c r="U2447" s="418"/>
      <c r="V2447" s="418"/>
      <c r="W2447" s="418"/>
      <c r="X2447" s="418"/>
      <c r="Y2447" s="418"/>
      <c r="Z2447" s="418"/>
      <c r="AA2447" s="418"/>
      <c r="AB2447" s="418"/>
      <c r="AC2447" s="418"/>
      <c r="AD2447" s="418"/>
      <c r="AE2447" s="418"/>
      <c r="AF2447" s="418"/>
      <c r="AG2447" s="418"/>
      <c r="AH2447" s="418"/>
      <c r="AI2447" s="418"/>
      <c r="AJ2447" s="418"/>
      <c r="AK2447" s="418"/>
      <c r="AL2447" s="418"/>
      <c r="AM2447" s="418"/>
      <c r="AN2447" s="418"/>
      <c r="AO2447" s="418"/>
      <c r="AP2447" s="418"/>
      <c r="AQ2447" s="418"/>
      <c r="AR2447" s="418"/>
      <c r="AS2447" s="418"/>
      <c r="AT2447" s="418"/>
      <c r="AU2447" s="418"/>
      <c r="AV2447" s="418"/>
      <c r="AW2447" s="418"/>
      <c r="AX2447" s="418"/>
      <c r="AY2447" s="418"/>
      <c r="BF2447" s="1119"/>
      <c r="BG2447" s="1119"/>
      <c r="BH2447" s="1119"/>
    </row>
    <row r="2448" spans="1:60" ht="15.75" customHeight="1">
      <c r="A2448" s="1076"/>
      <c r="B2448" s="416"/>
      <c r="C2448" s="424"/>
      <c r="E2448" s="418"/>
      <c r="F2448" s="493"/>
      <c r="G2448" s="418"/>
      <c r="H2448" s="421"/>
      <c r="I2448" s="421"/>
      <c r="J2448" s="492"/>
      <c r="K2448" s="418"/>
      <c r="L2448" s="418"/>
      <c r="M2448" s="418"/>
      <c r="N2448" s="421"/>
      <c r="O2448" s="421"/>
      <c r="P2448" s="421"/>
      <c r="Q2448" s="418"/>
      <c r="R2448" s="418"/>
      <c r="S2448" s="418"/>
      <c r="T2448" s="418"/>
      <c r="U2448" s="418"/>
      <c r="V2448" s="418"/>
      <c r="W2448" s="418"/>
      <c r="X2448" s="418"/>
      <c r="Y2448" s="418"/>
      <c r="Z2448" s="418"/>
      <c r="AA2448" s="418"/>
      <c r="AB2448" s="418"/>
      <c r="AC2448" s="418"/>
      <c r="AD2448" s="418"/>
      <c r="AE2448" s="418"/>
      <c r="AF2448" s="418"/>
      <c r="AG2448" s="418"/>
      <c r="AH2448" s="418"/>
      <c r="AI2448" s="418"/>
      <c r="AJ2448" s="418"/>
      <c r="AK2448" s="418"/>
      <c r="AL2448" s="418"/>
      <c r="AM2448" s="418"/>
      <c r="AN2448" s="418"/>
      <c r="AO2448" s="418"/>
      <c r="AP2448" s="418"/>
      <c r="AQ2448" s="418"/>
      <c r="AR2448" s="418"/>
      <c r="AS2448" s="418"/>
      <c r="AT2448" s="418"/>
      <c r="AU2448" s="418"/>
      <c r="AV2448" s="418"/>
      <c r="AW2448" s="418"/>
      <c r="AX2448" s="418"/>
      <c r="AY2448" s="418"/>
      <c r="BF2448" s="1119"/>
      <c r="BG2448" s="1119"/>
      <c r="BH2448" s="1119"/>
    </row>
    <row r="2449" spans="1:60" ht="15.75" customHeight="1">
      <c r="A2449" s="1076"/>
      <c r="B2449" s="416"/>
      <c r="C2449" s="424"/>
      <c r="E2449" s="418"/>
      <c r="F2449" s="493"/>
      <c r="G2449" s="418"/>
      <c r="H2449" s="421"/>
      <c r="I2449" s="421"/>
      <c r="J2449" s="492"/>
      <c r="K2449" s="418"/>
      <c r="L2449" s="418"/>
      <c r="M2449" s="418"/>
      <c r="N2449" s="421"/>
      <c r="O2449" s="421"/>
      <c r="P2449" s="421"/>
      <c r="Q2449" s="418"/>
      <c r="R2449" s="418"/>
      <c r="S2449" s="418"/>
      <c r="T2449" s="418"/>
      <c r="U2449" s="418"/>
      <c r="V2449" s="418"/>
      <c r="W2449" s="418"/>
      <c r="X2449" s="418"/>
      <c r="Y2449" s="418"/>
      <c r="Z2449" s="418"/>
      <c r="AA2449" s="418"/>
      <c r="AB2449" s="418"/>
      <c r="AC2449" s="418"/>
      <c r="AD2449" s="418"/>
      <c r="AE2449" s="418"/>
      <c r="AF2449" s="418"/>
      <c r="AG2449" s="418"/>
      <c r="AH2449" s="418"/>
      <c r="AI2449" s="418"/>
      <c r="AJ2449" s="418"/>
      <c r="AK2449" s="418"/>
      <c r="AL2449" s="418"/>
      <c r="AM2449" s="418"/>
      <c r="AN2449" s="418"/>
      <c r="AO2449" s="418"/>
      <c r="AP2449" s="418"/>
      <c r="AQ2449" s="418"/>
      <c r="AR2449" s="418"/>
      <c r="AS2449" s="418"/>
      <c r="AT2449" s="418"/>
      <c r="AU2449" s="418"/>
      <c r="AV2449" s="418"/>
      <c r="AW2449" s="418"/>
      <c r="AX2449" s="418"/>
      <c r="AY2449" s="418"/>
      <c r="BF2449" s="1119"/>
      <c r="BG2449" s="1119"/>
      <c r="BH2449" s="1119"/>
    </row>
    <row r="2450" spans="1:60" ht="15.75" customHeight="1">
      <c r="A2450" s="1076"/>
      <c r="B2450" s="416"/>
      <c r="C2450" s="424"/>
      <c r="E2450" s="418"/>
      <c r="F2450" s="493"/>
      <c r="G2450" s="418"/>
      <c r="H2450" s="421"/>
      <c r="I2450" s="421"/>
      <c r="J2450" s="492"/>
      <c r="K2450" s="418"/>
      <c r="L2450" s="418"/>
      <c r="M2450" s="418"/>
      <c r="N2450" s="421"/>
      <c r="O2450" s="421"/>
      <c r="P2450" s="421"/>
      <c r="Q2450" s="418"/>
      <c r="R2450" s="418"/>
      <c r="S2450" s="418"/>
      <c r="T2450" s="418"/>
      <c r="U2450" s="418"/>
      <c r="V2450" s="418"/>
      <c r="W2450" s="418"/>
      <c r="X2450" s="418"/>
      <c r="Y2450" s="418"/>
      <c r="Z2450" s="418"/>
      <c r="AA2450" s="418"/>
      <c r="AB2450" s="418"/>
      <c r="AC2450" s="418"/>
      <c r="AD2450" s="418"/>
      <c r="AE2450" s="418"/>
      <c r="AF2450" s="418"/>
      <c r="AG2450" s="418"/>
      <c r="AH2450" s="418"/>
      <c r="AI2450" s="418"/>
      <c r="AJ2450" s="418"/>
      <c r="AK2450" s="418"/>
      <c r="AL2450" s="418"/>
      <c r="AM2450" s="418"/>
      <c r="AN2450" s="418"/>
      <c r="AO2450" s="418"/>
      <c r="AP2450" s="418"/>
      <c r="AQ2450" s="418"/>
      <c r="AR2450" s="418"/>
      <c r="AS2450" s="418"/>
      <c r="AT2450" s="418"/>
      <c r="AU2450" s="418"/>
      <c r="AV2450" s="418"/>
      <c r="AW2450" s="418"/>
      <c r="AX2450" s="418"/>
      <c r="AY2450" s="418"/>
      <c r="BF2450" s="1119"/>
      <c r="BG2450" s="1119"/>
      <c r="BH2450" s="1119"/>
    </row>
    <row r="2451" spans="1:60" ht="15.75" customHeight="1">
      <c r="A2451" s="1076"/>
      <c r="B2451" s="416"/>
      <c r="C2451" s="424"/>
      <c r="E2451" s="418"/>
      <c r="F2451" s="493"/>
      <c r="G2451" s="418"/>
      <c r="H2451" s="421"/>
      <c r="I2451" s="421"/>
      <c r="J2451" s="492"/>
      <c r="K2451" s="418"/>
      <c r="L2451" s="418"/>
      <c r="M2451" s="418"/>
      <c r="N2451" s="421"/>
      <c r="O2451" s="421"/>
      <c r="P2451" s="421"/>
      <c r="Q2451" s="418"/>
      <c r="R2451" s="418"/>
      <c r="S2451" s="418"/>
      <c r="T2451" s="418"/>
      <c r="U2451" s="418"/>
      <c r="V2451" s="418"/>
      <c r="W2451" s="418"/>
      <c r="X2451" s="418"/>
      <c r="Y2451" s="418"/>
      <c r="Z2451" s="418"/>
      <c r="AA2451" s="418"/>
      <c r="AB2451" s="418"/>
      <c r="AC2451" s="418"/>
      <c r="AD2451" s="418"/>
      <c r="AE2451" s="418"/>
      <c r="AF2451" s="418"/>
      <c r="AG2451" s="418"/>
      <c r="AH2451" s="418"/>
      <c r="AI2451" s="418"/>
      <c r="AJ2451" s="418"/>
      <c r="AK2451" s="418"/>
      <c r="AL2451" s="418"/>
      <c r="AM2451" s="418"/>
      <c r="AN2451" s="418"/>
      <c r="AO2451" s="418"/>
      <c r="AP2451" s="418"/>
      <c r="AQ2451" s="418"/>
      <c r="AR2451" s="418"/>
      <c r="AS2451" s="418"/>
      <c r="AT2451" s="418"/>
      <c r="AU2451" s="418"/>
      <c r="AV2451" s="418"/>
      <c r="AW2451" s="418"/>
      <c r="AX2451" s="418"/>
      <c r="AY2451" s="418"/>
      <c r="BF2451" s="1119"/>
      <c r="BG2451" s="1119"/>
      <c r="BH2451" s="1119"/>
    </row>
    <row r="2452" spans="1:60" ht="15.75" customHeight="1">
      <c r="A2452" s="1076"/>
      <c r="B2452" s="416"/>
      <c r="C2452" s="424"/>
      <c r="E2452" s="418"/>
      <c r="F2452" s="493"/>
      <c r="G2452" s="418"/>
      <c r="H2452" s="418"/>
      <c r="I2452" s="418"/>
      <c r="J2452" s="424"/>
      <c r="K2452" s="418"/>
      <c r="L2452" s="418"/>
      <c r="M2452" s="418"/>
      <c r="N2452" s="421"/>
      <c r="O2452" s="421"/>
      <c r="P2452" s="421"/>
      <c r="Q2452" s="418"/>
      <c r="R2452" s="418"/>
      <c r="S2452" s="418"/>
      <c r="T2452" s="418"/>
      <c r="U2452" s="418"/>
      <c r="V2452" s="418"/>
      <c r="W2452" s="418"/>
      <c r="X2452" s="418"/>
      <c r="Y2452" s="418"/>
      <c r="Z2452" s="418"/>
      <c r="AA2452" s="418"/>
      <c r="AB2452" s="418"/>
      <c r="AC2452" s="418"/>
      <c r="AD2452" s="418"/>
      <c r="AE2452" s="418"/>
      <c r="AF2452" s="418"/>
      <c r="AG2452" s="418"/>
      <c r="AH2452" s="418"/>
      <c r="AI2452" s="418"/>
      <c r="AJ2452" s="418"/>
      <c r="AK2452" s="418"/>
      <c r="AL2452" s="418"/>
      <c r="AM2452" s="418"/>
      <c r="AN2452" s="418"/>
      <c r="AO2452" s="418"/>
      <c r="AP2452" s="418"/>
      <c r="AQ2452" s="418"/>
      <c r="AR2452" s="418"/>
      <c r="AS2452" s="418"/>
      <c r="AT2452" s="418"/>
      <c r="AU2452" s="418"/>
      <c r="AV2452" s="418"/>
      <c r="AW2452" s="418"/>
      <c r="AX2452" s="418"/>
      <c r="AY2452" s="418"/>
      <c r="BF2452" s="1119"/>
      <c r="BG2452" s="1119"/>
      <c r="BH2452" s="1119"/>
    </row>
    <row r="2453" spans="1:60" ht="15.75" customHeight="1">
      <c r="A2453" s="1076"/>
      <c r="B2453" s="416"/>
      <c r="C2453" s="424"/>
      <c r="E2453" s="418"/>
      <c r="F2453" s="493"/>
      <c r="G2453" s="418"/>
      <c r="H2453" s="418"/>
      <c r="I2453" s="418"/>
      <c r="J2453" s="424"/>
      <c r="K2453" s="418"/>
      <c r="L2453" s="418"/>
      <c r="M2453" s="418"/>
      <c r="N2453" s="421"/>
      <c r="O2453" s="421"/>
      <c r="P2453" s="421"/>
      <c r="Q2453" s="418"/>
      <c r="R2453" s="418"/>
      <c r="S2453" s="418"/>
      <c r="T2453" s="418"/>
      <c r="U2453" s="418"/>
      <c r="V2453" s="418"/>
      <c r="W2453" s="418"/>
      <c r="X2453" s="418"/>
      <c r="Y2453" s="418"/>
      <c r="Z2453" s="418"/>
      <c r="AA2453" s="418"/>
      <c r="AB2453" s="418"/>
      <c r="AC2453" s="418"/>
      <c r="AD2453" s="418"/>
      <c r="AE2453" s="418"/>
      <c r="AF2453" s="418"/>
      <c r="AG2453" s="418"/>
      <c r="AH2453" s="418"/>
      <c r="AI2453" s="418"/>
      <c r="AJ2453" s="418"/>
      <c r="AK2453" s="418"/>
      <c r="AL2453" s="418"/>
      <c r="AM2453" s="418"/>
      <c r="AN2453" s="418"/>
      <c r="AO2453" s="418"/>
      <c r="AP2453" s="418"/>
      <c r="AQ2453" s="418"/>
      <c r="AR2453" s="418"/>
      <c r="AS2453" s="418"/>
      <c r="AT2453" s="418"/>
      <c r="AU2453" s="418"/>
      <c r="AV2453" s="418"/>
      <c r="AW2453" s="418"/>
      <c r="AX2453" s="418"/>
      <c r="AY2453" s="418"/>
      <c r="BF2453" s="1119"/>
      <c r="BG2453" s="1119"/>
      <c r="BH2453" s="1119"/>
    </row>
    <row r="2454" spans="1:60" ht="15.75" customHeight="1">
      <c r="A2454" s="1076"/>
      <c r="B2454" s="416"/>
      <c r="C2454" s="424"/>
      <c r="E2454" s="418"/>
      <c r="F2454" s="493"/>
      <c r="G2454" s="418"/>
      <c r="H2454" s="418"/>
      <c r="I2454" s="418"/>
      <c r="J2454" s="424"/>
      <c r="K2454" s="418"/>
      <c r="L2454" s="418"/>
      <c r="M2454" s="418"/>
      <c r="N2454" s="421"/>
      <c r="O2454" s="421"/>
      <c r="P2454" s="421"/>
      <c r="Q2454" s="418"/>
      <c r="R2454" s="418"/>
      <c r="S2454" s="418"/>
      <c r="T2454" s="418"/>
      <c r="U2454" s="418"/>
      <c r="V2454" s="418"/>
      <c r="W2454" s="418"/>
      <c r="X2454" s="418"/>
      <c r="Y2454" s="418"/>
      <c r="Z2454" s="418"/>
      <c r="AA2454" s="418"/>
      <c r="AB2454" s="418"/>
      <c r="AC2454" s="418"/>
      <c r="AD2454" s="418"/>
      <c r="AE2454" s="418"/>
      <c r="AF2454" s="418"/>
      <c r="AG2454" s="418"/>
      <c r="AH2454" s="418"/>
      <c r="AI2454" s="418"/>
      <c r="AJ2454" s="418"/>
      <c r="AK2454" s="418"/>
      <c r="AL2454" s="418"/>
      <c r="AM2454" s="418"/>
      <c r="AN2454" s="418"/>
      <c r="AO2454" s="418"/>
      <c r="AP2454" s="418"/>
      <c r="AQ2454" s="418"/>
      <c r="AR2454" s="418"/>
      <c r="AS2454" s="418"/>
      <c r="AT2454" s="418"/>
      <c r="AU2454" s="418"/>
      <c r="AV2454" s="418"/>
      <c r="AW2454" s="418"/>
      <c r="AX2454" s="418"/>
      <c r="AY2454" s="418"/>
      <c r="BF2454" s="1119"/>
      <c r="BG2454" s="1119"/>
      <c r="BH2454" s="1119"/>
    </row>
    <row r="2455" spans="1:60" ht="15.75" customHeight="1">
      <c r="A2455" s="1076"/>
      <c r="B2455" s="416"/>
      <c r="C2455" s="424"/>
      <c r="E2455" s="418"/>
      <c r="F2455" s="493"/>
      <c r="G2455" s="418"/>
      <c r="H2455" s="418"/>
      <c r="I2455" s="418"/>
      <c r="J2455" s="424"/>
      <c r="K2455" s="418"/>
      <c r="L2455" s="418"/>
      <c r="M2455" s="418"/>
      <c r="N2455" s="421"/>
      <c r="O2455" s="421"/>
      <c r="P2455" s="421"/>
      <c r="Q2455" s="418"/>
      <c r="R2455" s="418"/>
      <c r="S2455" s="418"/>
      <c r="T2455" s="418"/>
      <c r="U2455" s="418"/>
      <c r="V2455" s="418"/>
      <c r="W2455" s="418"/>
      <c r="X2455" s="418"/>
      <c r="Y2455" s="418"/>
      <c r="Z2455" s="418"/>
      <c r="AA2455" s="418"/>
      <c r="AB2455" s="418"/>
      <c r="AC2455" s="418"/>
      <c r="AD2455" s="418"/>
      <c r="AE2455" s="418"/>
      <c r="AF2455" s="418"/>
      <c r="AG2455" s="418"/>
      <c r="AH2455" s="418"/>
      <c r="AI2455" s="418"/>
      <c r="AJ2455" s="418"/>
      <c r="AK2455" s="418"/>
      <c r="AL2455" s="418"/>
      <c r="AM2455" s="418"/>
      <c r="AN2455" s="418"/>
      <c r="AO2455" s="418"/>
      <c r="AP2455" s="418"/>
      <c r="AQ2455" s="418"/>
      <c r="AR2455" s="418"/>
      <c r="AS2455" s="418"/>
      <c r="AT2455" s="418"/>
      <c r="AU2455" s="418"/>
      <c r="AV2455" s="418"/>
      <c r="AW2455" s="418"/>
      <c r="AX2455" s="418"/>
      <c r="AY2455" s="418"/>
      <c r="BF2455" s="1119"/>
      <c r="BG2455" s="1119"/>
      <c r="BH2455" s="1119"/>
    </row>
    <row r="2456" spans="1:60" ht="15.75" customHeight="1">
      <c r="A2456" s="1076"/>
      <c r="B2456" s="416"/>
      <c r="C2456" s="424"/>
      <c r="E2456" s="418"/>
      <c r="F2456" s="493"/>
      <c r="G2456" s="418"/>
      <c r="H2456" s="421"/>
      <c r="I2456" s="421"/>
      <c r="J2456" s="492"/>
      <c r="K2456" s="418"/>
      <c r="L2456" s="418"/>
      <c r="M2456" s="418"/>
      <c r="N2456" s="421"/>
      <c r="O2456" s="421"/>
      <c r="P2456" s="421"/>
      <c r="Q2456" s="418"/>
      <c r="R2456" s="418"/>
      <c r="S2456" s="418"/>
      <c r="T2456" s="418"/>
      <c r="U2456" s="418"/>
      <c r="V2456" s="418"/>
      <c r="W2456" s="418"/>
      <c r="X2456" s="418"/>
      <c r="Y2456" s="418"/>
      <c r="Z2456" s="418"/>
      <c r="AA2456" s="418"/>
      <c r="AB2456" s="418"/>
      <c r="AC2456" s="418"/>
      <c r="AD2456" s="418"/>
      <c r="AE2456" s="418"/>
      <c r="AF2456" s="418"/>
      <c r="AG2456" s="418"/>
      <c r="AH2456" s="418"/>
      <c r="AI2456" s="418"/>
      <c r="AJ2456" s="418"/>
      <c r="AK2456" s="418"/>
      <c r="AL2456" s="418"/>
      <c r="AM2456" s="418"/>
      <c r="AN2456" s="418"/>
      <c r="AO2456" s="418"/>
      <c r="AP2456" s="418"/>
      <c r="AQ2456" s="418"/>
      <c r="AR2456" s="418"/>
      <c r="AS2456" s="418"/>
      <c r="AT2456" s="418"/>
      <c r="AU2456" s="418"/>
      <c r="AV2456" s="418"/>
      <c r="AW2456" s="418"/>
      <c r="AX2456" s="418"/>
      <c r="AY2456" s="418"/>
      <c r="BF2456" s="1119"/>
      <c r="BG2456" s="1119"/>
      <c r="BH2456" s="1119"/>
    </row>
    <row r="2457" spans="1:60" ht="15.75" customHeight="1">
      <c r="A2457" s="1076"/>
      <c r="B2457" s="416"/>
      <c r="C2457" s="424"/>
      <c r="E2457" s="418"/>
      <c r="F2457" s="493"/>
      <c r="G2457" s="418"/>
      <c r="H2457" s="421"/>
      <c r="I2457" s="421"/>
      <c r="J2457" s="492"/>
      <c r="K2457" s="418"/>
      <c r="L2457" s="418"/>
      <c r="M2457" s="418"/>
      <c r="N2457" s="421"/>
      <c r="O2457" s="421"/>
      <c r="P2457" s="421"/>
      <c r="Q2457" s="418"/>
      <c r="R2457" s="418"/>
      <c r="S2457" s="418"/>
      <c r="T2457" s="418"/>
      <c r="U2457" s="418"/>
      <c r="V2457" s="418"/>
      <c r="W2457" s="418"/>
      <c r="X2457" s="418"/>
      <c r="Y2457" s="418"/>
      <c r="Z2457" s="418"/>
      <c r="AA2457" s="418"/>
      <c r="AB2457" s="418"/>
      <c r="AC2457" s="418"/>
      <c r="AD2457" s="418"/>
      <c r="AE2457" s="418"/>
      <c r="AF2457" s="418"/>
      <c r="AG2457" s="418"/>
      <c r="AH2457" s="418"/>
      <c r="AI2457" s="418"/>
      <c r="AJ2457" s="418"/>
      <c r="AK2457" s="418"/>
      <c r="AL2457" s="418"/>
      <c r="AM2457" s="418"/>
      <c r="AN2457" s="418"/>
      <c r="AO2457" s="418"/>
      <c r="AP2457" s="418"/>
      <c r="AQ2457" s="418"/>
      <c r="AR2457" s="418"/>
      <c r="AS2457" s="418"/>
      <c r="AT2457" s="418"/>
      <c r="AU2457" s="418"/>
      <c r="AV2457" s="418"/>
      <c r="AW2457" s="418"/>
      <c r="AX2457" s="418"/>
      <c r="AY2457" s="418"/>
      <c r="BF2457" s="1119"/>
      <c r="BG2457" s="1119"/>
      <c r="BH2457" s="1119"/>
    </row>
    <row r="2458" spans="1:60" ht="15.75" customHeight="1">
      <c r="A2458" s="1076"/>
      <c r="B2458" s="416"/>
      <c r="C2458" s="424"/>
      <c r="E2458" s="418"/>
      <c r="F2458" s="493"/>
      <c r="G2458" s="418"/>
      <c r="H2458" s="421"/>
      <c r="I2458" s="421"/>
      <c r="J2458" s="492"/>
      <c r="K2458" s="418"/>
      <c r="L2458" s="418"/>
      <c r="M2458" s="418"/>
      <c r="N2458" s="421"/>
      <c r="O2458" s="421"/>
      <c r="P2458" s="421"/>
      <c r="Q2458" s="418"/>
      <c r="R2458" s="418"/>
      <c r="S2458" s="418"/>
      <c r="T2458" s="418"/>
      <c r="U2458" s="418"/>
      <c r="V2458" s="418"/>
      <c r="W2458" s="418"/>
      <c r="X2458" s="418"/>
      <c r="Y2458" s="418"/>
      <c r="Z2458" s="418"/>
      <c r="AA2458" s="418"/>
      <c r="AB2458" s="418"/>
      <c r="AC2458" s="418"/>
      <c r="AD2458" s="418"/>
      <c r="AE2458" s="418"/>
      <c r="AF2458" s="418"/>
      <c r="AG2458" s="418"/>
      <c r="AH2458" s="418"/>
      <c r="AI2458" s="418"/>
      <c r="AJ2458" s="418"/>
      <c r="AK2458" s="418"/>
      <c r="AL2458" s="418"/>
      <c r="AM2458" s="418"/>
      <c r="AN2458" s="418"/>
      <c r="AO2458" s="418"/>
      <c r="AP2458" s="418"/>
      <c r="AQ2458" s="418"/>
      <c r="AR2458" s="418"/>
      <c r="AS2458" s="418"/>
      <c r="AT2458" s="418"/>
      <c r="AU2458" s="418"/>
      <c r="AV2458" s="418"/>
      <c r="AW2458" s="418"/>
      <c r="AX2458" s="418"/>
      <c r="AY2458" s="418"/>
      <c r="BF2458" s="1119"/>
      <c r="BG2458" s="1119"/>
      <c r="BH2458" s="1119"/>
    </row>
    <row r="2459" spans="1:60" ht="15.75" customHeight="1">
      <c r="A2459" s="1076"/>
      <c r="B2459" s="416"/>
      <c r="C2459" s="424"/>
      <c r="E2459" s="418"/>
      <c r="F2459" s="493"/>
      <c r="G2459" s="418"/>
      <c r="H2459" s="421"/>
      <c r="I2459" s="421"/>
      <c r="J2459" s="492"/>
      <c r="K2459" s="418"/>
      <c r="L2459" s="418"/>
      <c r="M2459" s="418"/>
      <c r="N2459" s="421"/>
      <c r="O2459" s="421"/>
      <c r="P2459" s="421"/>
      <c r="Q2459" s="418"/>
      <c r="R2459" s="418"/>
      <c r="S2459" s="418"/>
      <c r="T2459" s="418"/>
      <c r="U2459" s="418"/>
      <c r="V2459" s="418"/>
      <c r="W2459" s="418"/>
      <c r="X2459" s="418"/>
      <c r="Y2459" s="418"/>
      <c r="Z2459" s="418"/>
      <c r="AA2459" s="418"/>
      <c r="AB2459" s="418"/>
      <c r="AC2459" s="418"/>
      <c r="AD2459" s="418"/>
      <c r="AE2459" s="418"/>
      <c r="AF2459" s="418"/>
      <c r="AG2459" s="418"/>
      <c r="AH2459" s="418"/>
      <c r="AI2459" s="418"/>
      <c r="AJ2459" s="418"/>
      <c r="AK2459" s="418"/>
      <c r="AL2459" s="418"/>
      <c r="AM2459" s="418"/>
      <c r="AN2459" s="418"/>
      <c r="AO2459" s="418"/>
      <c r="AP2459" s="418"/>
      <c r="AQ2459" s="418"/>
      <c r="AR2459" s="418"/>
      <c r="AS2459" s="418"/>
      <c r="AT2459" s="418"/>
      <c r="AU2459" s="418"/>
      <c r="AV2459" s="418"/>
      <c r="AW2459" s="418"/>
      <c r="AX2459" s="418"/>
      <c r="AY2459" s="418"/>
      <c r="BF2459" s="1119"/>
      <c r="BG2459" s="1119"/>
      <c r="BH2459" s="1119"/>
    </row>
    <row r="2460" spans="1:60" ht="15.75" customHeight="1">
      <c r="A2460" s="1076"/>
      <c r="B2460" s="416"/>
      <c r="C2460" s="424"/>
      <c r="E2460" s="418"/>
      <c r="F2460" s="493"/>
      <c r="G2460" s="418"/>
      <c r="H2460" s="421"/>
      <c r="I2460" s="421"/>
      <c r="J2460" s="492"/>
      <c r="K2460" s="418"/>
      <c r="L2460" s="418"/>
      <c r="M2460" s="418"/>
      <c r="N2460" s="421"/>
      <c r="O2460" s="421"/>
      <c r="P2460" s="421"/>
      <c r="Q2460" s="418"/>
      <c r="R2460" s="418"/>
      <c r="S2460" s="418"/>
      <c r="T2460" s="418"/>
      <c r="U2460" s="418"/>
      <c r="V2460" s="418"/>
      <c r="W2460" s="418"/>
      <c r="X2460" s="418"/>
      <c r="Y2460" s="418"/>
      <c r="Z2460" s="418"/>
      <c r="AA2460" s="418"/>
      <c r="AB2460" s="418"/>
      <c r="AC2460" s="418"/>
      <c r="AD2460" s="418"/>
      <c r="AE2460" s="418"/>
      <c r="AF2460" s="418"/>
      <c r="AG2460" s="418"/>
      <c r="AH2460" s="418"/>
      <c r="AI2460" s="418"/>
      <c r="AJ2460" s="418"/>
      <c r="AK2460" s="418"/>
      <c r="AL2460" s="418"/>
      <c r="AM2460" s="418"/>
      <c r="AN2460" s="418"/>
      <c r="AO2460" s="418"/>
      <c r="AP2460" s="418"/>
      <c r="AQ2460" s="418"/>
      <c r="AR2460" s="418"/>
      <c r="AS2460" s="418"/>
      <c r="AT2460" s="418"/>
      <c r="AU2460" s="418"/>
      <c r="AV2460" s="418"/>
      <c r="AW2460" s="418"/>
      <c r="AX2460" s="418"/>
      <c r="AY2460" s="418"/>
      <c r="BF2460" s="1119"/>
      <c r="BG2460" s="1119"/>
      <c r="BH2460" s="1119"/>
    </row>
    <row r="2461" spans="1:60" ht="15.75" customHeight="1">
      <c r="A2461" s="1076"/>
      <c r="B2461" s="416"/>
      <c r="C2461" s="424"/>
      <c r="E2461" s="418"/>
      <c r="F2461" s="493"/>
      <c r="G2461" s="418"/>
      <c r="H2461" s="421"/>
      <c r="I2461" s="421"/>
      <c r="J2461" s="492"/>
      <c r="K2461" s="418"/>
      <c r="L2461" s="418"/>
      <c r="M2461" s="418"/>
      <c r="N2461" s="421"/>
      <c r="O2461" s="421"/>
      <c r="P2461" s="421"/>
      <c r="Q2461" s="418"/>
      <c r="R2461" s="418"/>
      <c r="S2461" s="418"/>
      <c r="T2461" s="418"/>
      <c r="U2461" s="418"/>
      <c r="V2461" s="418"/>
      <c r="W2461" s="418"/>
      <c r="X2461" s="418"/>
      <c r="Y2461" s="418"/>
      <c r="Z2461" s="418"/>
      <c r="AA2461" s="418"/>
      <c r="AB2461" s="418"/>
      <c r="AC2461" s="418"/>
      <c r="AD2461" s="418"/>
      <c r="AE2461" s="418"/>
      <c r="AF2461" s="418"/>
      <c r="AG2461" s="418"/>
      <c r="AH2461" s="418"/>
      <c r="AI2461" s="418"/>
      <c r="AJ2461" s="418"/>
      <c r="AK2461" s="418"/>
      <c r="AL2461" s="418"/>
      <c r="AM2461" s="418"/>
      <c r="AN2461" s="418"/>
      <c r="AO2461" s="418"/>
      <c r="AP2461" s="418"/>
      <c r="AQ2461" s="418"/>
      <c r="AR2461" s="418"/>
      <c r="AS2461" s="418"/>
      <c r="AT2461" s="418"/>
      <c r="AU2461" s="418"/>
      <c r="AV2461" s="418"/>
      <c r="AW2461" s="418"/>
      <c r="AX2461" s="418"/>
      <c r="AY2461" s="418"/>
      <c r="BF2461" s="1119"/>
      <c r="BG2461" s="1119"/>
      <c r="BH2461" s="1119"/>
    </row>
    <row r="2462" spans="1:60" ht="15.75" customHeight="1">
      <c r="A2462" s="1076"/>
      <c r="B2462" s="416"/>
      <c r="C2462" s="424"/>
      <c r="E2462" s="418"/>
      <c r="F2462" s="493"/>
      <c r="G2462" s="418"/>
      <c r="H2462" s="421"/>
      <c r="I2462" s="421"/>
      <c r="J2462" s="492"/>
      <c r="K2462" s="418"/>
      <c r="L2462" s="418"/>
      <c r="M2462" s="418"/>
      <c r="N2462" s="421"/>
      <c r="O2462" s="421"/>
      <c r="P2462" s="421"/>
      <c r="Q2462" s="418"/>
      <c r="R2462" s="418"/>
      <c r="S2462" s="418"/>
      <c r="T2462" s="418"/>
      <c r="U2462" s="418"/>
      <c r="V2462" s="418"/>
      <c r="W2462" s="418"/>
      <c r="X2462" s="418"/>
      <c r="Y2462" s="418"/>
      <c r="Z2462" s="418"/>
      <c r="AA2462" s="418"/>
      <c r="AB2462" s="418"/>
      <c r="AC2462" s="418"/>
      <c r="AD2462" s="418"/>
      <c r="AE2462" s="418"/>
      <c r="AF2462" s="418"/>
      <c r="AG2462" s="418"/>
      <c r="AH2462" s="418"/>
      <c r="AI2462" s="418"/>
      <c r="AJ2462" s="418"/>
      <c r="AK2462" s="418"/>
      <c r="AL2462" s="418"/>
      <c r="AM2462" s="418"/>
      <c r="AN2462" s="418"/>
      <c r="AO2462" s="418"/>
      <c r="AP2462" s="418"/>
      <c r="AQ2462" s="418"/>
      <c r="AR2462" s="418"/>
      <c r="AS2462" s="418"/>
      <c r="AT2462" s="418"/>
      <c r="AU2462" s="418"/>
      <c r="AV2462" s="418"/>
      <c r="AW2462" s="418"/>
      <c r="AX2462" s="418"/>
      <c r="AY2462" s="418"/>
      <c r="BF2462" s="1119"/>
      <c r="BG2462" s="1119"/>
      <c r="BH2462" s="1119"/>
    </row>
    <row r="2463" spans="1:60" ht="15.75" customHeight="1">
      <c r="A2463" s="1076"/>
      <c r="B2463" s="416"/>
      <c r="C2463" s="424"/>
      <c r="E2463" s="418"/>
      <c r="F2463" s="493"/>
      <c r="G2463" s="418"/>
      <c r="H2463" s="421"/>
      <c r="I2463" s="421"/>
      <c r="J2463" s="492"/>
      <c r="K2463" s="418"/>
      <c r="L2463" s="418"/>
      <c r="M2463" s="418"/>
      <c r="N2463" s="421"/>
      <c r="O2463" s="421"/>
      <c r="P2463" s="421"/>
      <c r="Q2463" s="418"/>
      <c r="R2463" s="418"/>
      <c r="S2463" s="418"/>
      <c r="T2463" s="418"/>
      <c r="U2463" s="418"/>
      <c r="V2463" s="418"/>
      <c r="W2463" s="418"/>
      <c r="X2463" s="418"/>
      <c r="Y2463" s="418"/>
      <c r="Z2463" s="418"/>
      <c r="AA2463" s="418"/>
      <c r="AB2463" s="418"/>
      <c r="AC2463" s="418"/>
      <c r="AD2463" s="418"/>
      <c r="AE2463" s="418"/>
      <c r="AF2463" s="418"/>
      <c r="AG2463" s="418"/>
      <c r="AH2463" s="418"/>
      <c r="AI2463" s="418"/>
      <c r="AJ2463" s="418"/>
      <c r="AK2463" s="418"/>
      <c r="AL2463" s="418"/>
      <c r="AM2463" s="418"/>
      <c r="AN2463" s="418"/>
      <c r="AO2463" s="418"/>
      <c r="AP2463" s="418"/>
      <c r="AQ2463" s="418"/>
      <c r="AR2463" s="418"/>
      <c r="AS2463" s="418"/>
      <c r="AT2463" s="418"/>
      <c r="AU2463" s="418"/>
      <c r="AV2463" s="418"/>
      <c r="AW2463" s="418"/>
      <c r="AX2463" s="418"/>
      <c r="AY2463" s="418"/>
      <c r="BF2463" s="1119"/>
      <c r="BG2463" s="1119"/>
      <c r="BH2463" s="1119"/>
    </row>
    <row r="2464" spans="1:60" ht="15.75" customHeight="1">
      <c r="A2464" s="1076"/>
      <c r="B2464" s="416"/>
      <c r="C2464" s="424"/>
      <c r="E2464" s="418"/>
      <c r="F2464" s="493"/>
      <c r="G2464" s="418"/>
      <c r="H2464" s="421"/>
      <c r="I2464" s="421"/>
      <c r="J2464" s="492"/>
      <c r="K2464" s="418"/>
      <c r="L2464" s="418"/>
      <c r="M2464" s="418"/>
      <c r="N2464" s="421"/>
      <c r="O2464" s="421"/>
      <c r="P2464" s="421"/>
      <c r="Q2464" s="418"/>
      <c r="R2464" s="418"/>
      <c r="S2464" s="418"/>
      <c r="T2464" s="418"/>
      <c r="U2464" s="418"/>
      <c r="V2464" s="418"/>
      <c r="W2464" s="418"/>
      <c r="X2464" s="418"/>
      <c r="Y2464" s="418"/>
      <c r="Z2464" s="418"/>
      <c r="AA2464" s="418"/>
      <c r="AB2464" s="418"/>
      <c r="AC2464" s="418"/>
      <c r="AD2464" s="418"/>
      <c r="AE2464" s="418"/>
      <c r="AF2464" s="418"/>
      <c r="AG2464" s="418"/>
      <c r="AH2464" s="418"/>
      <c r="AI2464" s="418"/>
      <c r="AJ2464" s="418"/>
      <c r="AK2464" s="418"/>
      <c r="AL2464" s="418"/>
      <c r="AM2464" s="418"/>
      <c r="AN2464" s="418"/>
      <c r="AO2464" s="418"/>
      <c r="AP2464" s="418"/>
      <c r="AQ2464" s="418"/>
      <c r="AR2464" s="418"/>
      <c r="AS2464" s="418"/>
      <c r="AT2464" s="418"/>
      <c r="AU2464" s="418"/>
      <c r="AV2464" s="418"/>
      <c r="AW2464" s="418"/>
      <c r="AX2464" s="418"/>
      <c r="AY2464" s="418"/>
      <c r="BF2464" s="1119"/>
      <c r="BG2464" s="1119"/>
      <c r="BH2464" s="1119"/>
    </row>
    <row r="2465" spans="1:60" ht="15.75" customHeight="1">
      <c r="A2465" s="1076"/>
      <c r="B2465" s="416"/>
      <c r="C2465" s="424"/>
      <c r="E2465" s="418"/>
      <c r="F2465" s="493"/>
      <c r="G2465" s="418"/>
      <c r="H2465" s="421"/>
      <c r="I2465" s="421"/>
      <c r="J2465" s="492"/>
      <c r="K2465" s="418"/>
      <c r="L2465" s="418"/>
      <c r="M2465" s="418"/>
      <c r="N2465" s="421"/>
      <c r="O2465" s="421"/>
      <c r="P2465" s="421"/>
      <c r="Q2465" s="418"/>
      <c r="R2465" s="418"/>
      <c r="S2465" s="418"/>
      <c r="T2465" s="418"/>
      <c r="U2465" s="418"/>
      <c r="V2465" s="418"/>
      <c r="W2465" s="418"/>
      <c r="X2465" s="418"/>
      <c r="Y2465" s="418"/>
      <c r="Z2465" s="418"/>
      <c r="AA2465" s="418"/>
      <c r="AB2465" s="418"/>
      <c r="AC2465" s="418"/>
      <c r="AD2465" s="418"/>
      <c r="AE2465" s="418"/>
      <c r="AF2465" s="418"/>
      <c r="AG2465" s="418"/>
      <c r="AH2465" s="418"/>
      <c r="AI2465" s="418"/>
      <c r="AJ2465" s="418"/>
      <c r="AK2465" s="418"/>
      <c r="AL2465" s="418"/>
      <c r="AM2465" s="418"/>
      <c r="AN2465" s="418"/>
      <c r="AO2465" s="418"/>
      <c r="AP2465" s="418"/>
      <c r="AQ2465" s="418"/>
      <c r="AR2465" s="418"/>
      <c r="AS2465" s="418"/>
      <c r="AT2465" s="418"/>
      <c r="AU2465" s="418"/>
      <c r="AV2465" s="418"/>
      <c r="AW2465" s="418"/>
      <c r="AX2465" s="418"/>
      <c r="AY2465" s="418"/>
      <c r="BF2465" s="1119"/>
      <c r="BG2465" s="1119"/>
      <c r="BH2465" s="1119"/>
    </row>
    <row r="2466" spans="1:60" ht="15.75" customHeight="1">
      <c r="A2466" s="1076"/>
      <c r="B2466" s="416"/>
      <c r="C2466" s="424"/>
      <c r="E2466" s="418"/>
      <c r="F2466" s="493"/>
      <c r="G2466" s="418"/>
      <c r="H2466" s="421"/>
      <c r="I2466" s="421"/>
      <c r="J2466" s="492"/>
      <c r="K2466" s="418"/>
      <c r="L2466" s="418"/>
      <c r="M2466" s="418"/>
      <c r="N2466" s="421"/>
      <c r="O2466" s="421"/>
      <c r="P2466" s="421"/>
      <c r="Q2466" s="418"/>
      <c r="R2466" s="418"/>
      <c r="S2466" s="418"/>
      <c r="T2466" s="418"/>
      <c r="U2466" s="418"/>
      <c r="V2466" s="418"/>
      <c r="W2466" s="418"/>
      <c r="X2466" s="418"/>
      <c r="Y2466" s="418"/>
      <c r="Z2466" s="418"/>
      <c r="AA2466" s="418"/>
      <c r="AB2466" s="418"/>
      <c r="AC2466" s="418"/>
      <c r="AD2466" s="418"/>
      <c r="AE2466" s="418"/>
      <c r="AF2466" s="418"/>
      <c r="AG2466" s="418"/>
      <c r="AH2466" s="418"/>
      <c r="AI2466" s="418"/>
      <c r="AJ2466" s="418"/>
      <c r="AK2466" s="418"/>
      <c r="AL2466" s="418"/>
      <c r="AM2466" s="418"/>
      <c r="AN2466" s="418"/>
      <c r="AO2466" s="418"/>
      <c r="AP2466" s="418"/>
      <c r="AQ2466" s="418"/>
      <c r="AR2466" s="418"/>
      <c r="AS2466" s="418"/>
      <c r="AT2466" s="418"/>
      <c r="AU2466" s="418"/>
      <c r="AV2466" s="418"/>
      <c r="AW2466" s="418"/>
      <c r="AX2466" s="418"/>
      <c r="AY2466" s="418"/>
      <c r="BF2466" s="1119"/>
      <c r="BG2466" s="1119"/>
      <c r="BH2466" s="1119"/>
    </row>
    <row r="2467" spans="1:60" ht="15.75" customHeight="1">
      <c r="A2467" s="1076"/>
      <c r="B2467" s="416"/>
      <c r="C2467" s="424"/>
      <c r="E2467" s="418"/>
      <c r="F2467" s="493"/>
      <c r="G2467" s="418"/>
      <c r="H2467" s="421"/>
      <c r="I2467" s="421"/>
      <c r="J2467" s="492"/>
      <c r="K2467" s="418"/>
      <c r="L2467" s="418"/>
      <c r="M2467" s="418"/>
      <c r="N2467" s="421"/>
      <c r="O2467" s="421"/>
      <c r="P2467" s="421"/>
      <c r="Q2467" s="418"/>
      <c r="R2467" s="418"/>
      <c r="S2467" s="418"/>
      <c r="T2467" s="418"/>
      <c r="U2467" s="418"/>
      <c r="V2467" s="418"/>
      <c r="W2467" s="418"/>
      <c r="X2467" s="418"/>
      <c r="Y2467" s="418"/>
      <c r="Z2467" s="418"/>
      <c r="AA2467" s="418"/>
      <c r="AB2467" s="418"/>
      <c r="AC2467" s="418"/>
      <c r="AD2467" s="418"/>
      <c r="AE2467" s="418"/>
      <c r="AF2467" s="418"/>
      <c r="AG2467" s="418"/>
      <c r="AH2467" s="418"/>
      <c r="AI2467" s="418"/>
      <c r="AJ2467" s="418"/>
      <c r="AK2467" s="418"/>
      <c r="AL2467" s="418"/>
      <c r="AM2467" s="418"/>
      <c r="AN2467" s="418"/>
      <c r="AO2467" s="418"/>
      <c r="AP2467" s="418"/>
      <c r="AQ2467" s="418"/>
      <c r="AR2467" s="418"/>
      <c r="AS2467" s="418"/>
      <c r="AT2467" s="418"/>
      <c r="AU2467" s="418"/>
      <c r="AV2467" s="418"/>
      <c r="AW2467" s="418"/>
      <c r="AX2467" s="418"/>
      <c r="AY2467" s="418"/>
      <c r="BF2467" s="1119"/>
      <c r="BG2467" s="1119"/>
      <c r="BH2467" s="1119"/>
    </row>
    <row r="2468" spans="1:60" ht="15.75" customHeight="1">
      <c r="A2468" s="1076"/>
      <c r="B2468" s="416"/>
      <c r="C2468" s="424"/>
      <c r="E2468" s="418"/>
      <c r="F2468" s="493"/>
      <c r="G2468" s="418"/>
      <c r="H2468" s="421"/>
      <c r="I2468" s="421"/>
      <c r="J2468" s="492"/>
      <c r="K2468" s="418"/>
      <c r="L2468" s="418"/>
      <c r="M2468" s="418"/>
      <c r="N2468" s="421"/>
      <c r="O2468" s="421"/>
      <c r="P2468" s="421"/>
      <c r="Q2468" s="418"/>
      <c r="R2468" s="418"/>
      <c r="S2468" s="418"/>
      <c r="T2468" s="418"/>
      <c r="U2468" s="418"/>
      <c r="V2468" s="418"/>
      <c r="W2468" s="418"/>
      <c r="X2468" s="418"/>
      <c r="Y2468" s="418"/>
      <c r="Z2468" s="418"/>
      <c r="AA2468" s="418"/>
      <c r="AB2468" s="418"/>
      <c r="AC2468" s="418"/>
      <c r="AD2468" s="418"/>
      <c r="AE2468" s="418"/>
      <c r="AF2468" s="418"/>
      <c r="AG2468" s="418"/>
      <c r="AH2468" s="418"/>
      <c r="AI2468" s="418"/>
      <c r="AJ2468" s="418"/>
      <c r="AK2468" s="418"/>
      <c r="AL2468" s="418"/>
      <c r="AM2468" s="418"/>
      <c r="AN2468" s="418"/>
      <c r="AO2468" s="418"/>
      <c r="AP2468" s="418"/>
      <c r="AQ2468" s="418"/>
      <c r="AR2468" s="418"/>
      <c r="AS2468" s="418"/>
      <c r="AT2468" s="418"/>
      <c r="AU2468" s="418"/>
      <c r="AV2468" s="418"/>
      <c r="AW2468" s="418"/>
      <c r="AX2468" s="418"/>
      <c r="AY2468" s="418"/>
      <c r="BF2468" s="1119"/>
      <c r="BG2468" s="1119"/>
      <c r="BH2468" s="1119"/>
    </row>
    <row r="2469" spans="1:60" ht="15.75" customHeight="1">
      <c r="A2469" s="1076"/>
      <c r="B2469" s="416"/>
      <c r="C2469" s="424"/>
      <c r="E2469" s="418"/>
      <c r="F2469" s="493"/>
      <c r="G2469" s="418"/>
      <c r="H2469" s="418"/>
      <c r="I2469" s="418"/>
      <c r="J2469" s="424"/>
      <c r="K2469" s="418"/>
      <c r="L2469" s="418"/>
      <c r="M2469" s="418"/>
      <c r="N2469" s="421"/>
      <c r="O2469" s="421"/>
      <c r="P2469" s="421"/>
      <c r="Q2469" s="418"/>
      <c r="R2469" s="418"/>
      <c r="S2469" s="418"/>
      <c r="T2469" s="418"/>
      <c r="U2469" s="418"/>
      <c r="V2469" s="418"/>
      <c r="W2469" s="418"/>
      <c r="X2469" s="418"/>
      <c r="Y2469" s="418"/>
      <c r="Z2469" s="418"/>
      <c r="AA2469" s="418"/>
      <c r="AB2469" s="418"/>
      <c r="AC2469" s="418"/>
      <c r="AD2469" s="418"/>
      <c r="AE2469" s="418"/>
      <c r="AF2469" s="418"/>
      <c r="AG2469" s="418"/>
      <c r="AH2469" s="418"/>
      <c r="AI2469" s="418"/>
      <c r="AJ2469" s="418"/>
      <c r="AK2469" s="418"/>
      <c r="AL2469" s="418"/>
      <c r="AM2469" s="418"/>
      <c r="AN2469" s="418"/>
      <c r="AO2469" s="418"/>
      <c r="AP2469" s="418"/>
      <c r="AQ2469" s="418"/>
      <c r="AR2469" s="418"/>
      <c r="AS2469" s="418"/>
      <c r="AT2469" s="418"/>
      <c r="AU2469" s="418"/>
      <c r="AV2469" s="418"/>
      <c r="AW2469" s="418"/>
      <c r="AX2469" s="418"/>
      <c r="AY2469" s="418"/>
      <c r="BF2469" s="1119"/>
      <c r="BG2469" s="1119"/>
      <c r="BH2469" s="1119"/>
    </row>
    <row r="2470" spans="1:60" ht="15.75" customHeight="1">
      <c r="A2470" s="1076"/>
      <c r="B2470" s="416"/>
      <c r="C2470" s="424"/>
      <c r="E2470" s="418"/>
      <c r="F2470" s="493"/>
      <c r="G2470" s="418"/>
      <c r="H2470" s="418"/>
      <c r="I2470" s="418"/>
      <c r="J2470" s="424"/>
      <c r="K2470" s="418"/>
      <c r="L2470" s="418"/>
      <c r="M2470" s="418"/>
      <c r="N2470" s="421"/>
      <c r="O2470" s="418"/>
      <c r="P2470" s="421"/>
      <c r="Q2470" s="418"/>
      <c r="R2470" s="418"/>
      <c r="S2470" s="418"/>
      <c r="T2470" s="418"/>
      <c r="U2470" s="418"/>
      <c r="V2470" s="418"/>
      <c r="W2470" s="418"/>
      <c r="X2470" s="418"/>
      <c r="Y2470" s="418"/>
      <c r="Z2470" s="418"/>
      <c r="AA2470" s="418"/>
      <c r="AB2470" s="418"/>
      <c r="AC2470" s="418"/>
      <c r="AD2470" s="418"/>
      <c r="AE2470" s="418"/>
      <c r="AF2470" s="418"/>
      <c r="AG2470" s="418"/>
      <c r="AH2470" s="418"/>
      <c r="AI2470" s="418"/>
      <c r="AJ2470" s="418"/>
      <c r="AK2470" s="418"/>
      <c r="AL2470" s="418"/>
      <c r="AM2470" s="418"/>
      <c r="AN2470" s="418"/>
      <c r="AO2470" s="418"/>
      <c r="AP2470" s="418"/>
      <c r="AQ2470" s="418"/>
      <c r="AR2470" s="418"/>
      <c r="AS2470" s="418"/>
      <c r="AT2470" s="418"/>
      <c r="AU2470" s="418"/>
      <c r="AV2470" s="418"/>
      <c r="AW2470" s="418"/>
      <c r="AX2470" s="418"/>
      <c r="AY2470" s="418"/>
      <c r="BF2470" s="1119"/>
      <c r="BG2470" s="1119"/>
      <c r="BH2470" s="1119"/>
    </row>
    <row r="2471" spans="1:60" ht="15.75" customHeight="1">
      <c r="A2471" s="1076"/>
      <c r="B2471" s="416"/>
      <c r="C2471" s="424"/>
      <c r="E2471" s="418"/>
      <c r="F2471" s="493"/>
      <c r="G2471" s="418"/>
      <c r="H2471" s="418"/>
      <c r="I2471" s="418"/>
      <c r="J2471" s="424"/>
      <c r="K2471" s="418"/>
      <c r="L2471" s="418"/>
      <c r="M2471" s="418"/>
      <c r="N2471" s="421"/>
      <c r="O2471" s="418"/>
      <c r="P2471" s="421"/>
      <c r="Q2471" s="418"/>
      <c r="R2471" s="418"/>
      <c r="S2471" s="418"/>
      <c r="T2471" s="418"/>
      <c r="U2471" s="418"/>
      <c r="V2471" s="418"/>
      <c r="W2471" s="418"/>
      <c r="X2471" s="418"/>
      <c r="Y2471" s="418"/>
      <c r="Z2471" s="418"/>
      <c r="AA2471" s="418"/>
      <c r="AB2471" s="418"/>
      <c r="AC2471" s="418"/>
      <c r="AD2471" s="418"/>
      <c r="AE2471" s="418"/>
      <c r="AF2471" s="418"/>
      <c r="AG2471" s="418"/>
      <c r="AH2471" s="418"/>
      <c r="AI2471" s="418"/>
      <c r="AJ2471" s="418"/>
      <c r="AK2471" s="418"/>
      <c r="AL2471" s="418"/>
      <c r="AM2471" s="418"/>
      <c r="AN2471" s="418"/>
      <c r="AO2471" s="418"/>
      <c r="AP2471" s="418"/>
      <c r="AQ2471" s="418"/>
      <c r="AR2471" s="418"/>
      <c r="AS2471" s="418"/>
      <c r="AT2471" s="418"/>
      <c r="AU2471" s="418"/>
      <c r="AV2471" s="418"/>
      <c r="AW2471" s="418"/>
      <c r="AX2471" s="418"/>
      <c r="AY2471" s="418"/>
      <c r="BF2471" s="1119"/>
      <c r="BG2471" s="1119"/>
      <c r="BH2471" s="1119"/>
    </row>
    <row r="2472" spans="1:60" ht="15.75" customHeight="1">
      <c r="A2472" s="1076"/>
      <c r="B2472" s="416"/>
      <c r="C2472" s="424"/>
      <c r="E2472" s="418"/>
      <c r="F2472" s="493"/>
      <c r="G2472" s="418"/>
      <c r="H2472" s="418"/>
      <c r="I2472" s="418"/>
      <c r="J2472" s="424"/>
      <c r="K2472" s="418"/>
      <c r="L2472" s="418"/>
      <c r="M2472" s="418"/>
      <c r="N2472" s="421"/>
      <c r="O2472" s="418"/>
      <c r="P2472" s="421"/>
      <c r="Q2472" s="418"/>
      <c r="R2472" s="418"/>
      <c r="S2472" s="418"/>
      <c r="T2472" s="418"/>
      <c r="U2472" s="418"/>
      <c r="V2472" s="418"/>
      <c r="W2472" s="418"/>
      <c r="X2472" s="418"/>
      <c r="Y2472" s="418"/>
      <c r="Z2472" s="418"/>
      <c r="AA2472" s="418"/>
      <c r="AB2472" s="418"/>
      <c r="AC2472" s="418"/>
      <c r="AD2472" s="418"/>
      <c r="AE2472" s="418"/>
      <c r="AF2472" s="418"/>
      <c r="AG2472" s="418"/>
      <c r="AH2472" s="418"/>
      <c r="AI2472" s="418"/>
      <c r="AJ2472" s="418"/>
      <c r="AK2472" s="418"/>
      <c r="AL2472" s="418"/>
      <c r="AM2472" s="418"/>
      <c r="AN2472" s="418"/>
      <c r="AO2472" s="418"/>
      <c r="AP2472" s="418"/>
      <c r="AQ2472" s="418"/>
      <c r="AR2472" s="418"/>
      <c r="AS2472" s="418"/>
      <c r="AT2472" s="418"/>
      <c r="AU2472" s="418"/>
      <c r="AV2472" s="418"/>
      <c r="AW2472" s="418"/>
      <c r="AX2472" s="418"/>
      <c r="AY2472" s="418"/>
      <c r="BF2472" s="1119"/>
      <c r="BG2472" s="1119"/>
      <c r="BH2472" s="1119"/>
    </row>
    <row r="2473" spans="1:60" ht="15.75" customHeight="1">
      <c r="A2473" s="1076"/>
      <c r="B2473" s="416"/>
      <c r="C2473" s="424"/>
      <c r="E2473" s="418"/>
      <c r="F2473" s="493"/>
      <c r="G2473" s="418"/>
      <c r="H2473" s="418"/>
      <c r="I2473" s="418"/>
      <c r="J2473" s="424"/>
      <c r="K2473" s="418"/>
      <c r="L2473" s="418"/>
      <c r="M2473" s="418"/>
      <c r="N2473" s="421"/>
      <c r="O2473" s="421"/>
      <c r="P2473" s="421"/>
      <c r="Q2473" s="418"/>
      <c r="R2473" s="418"/>
      <c r="S2473" s="418"/>
      <c r="T2473" s="418"/>
      <c r="U2473" s="418"/>
      <c r="V2473" s="418"/>
      <c r="W2473" s="418"/>
      <c r="X2473" s="418"/>
      <c r="Y2473" s="418"/>
      <c r="Z2473" s="418"/>
      <c r="AA2473" s="418"/>
      <c r="AB2473" s="418"/>
      <c r="AC2473" s="418"/>
      <c r="AD2473" s="418"/>
      <c r="AE2473" s="418"/>
      <c r="AF2473" s="418"/>
      <c r="AG2473" s="418"/>
      <c r="AH2473" s="418"/>
      <c r="AI2473" s="418"/>
      <c r="AJ2473" s="418"/>
      <c r="AK2473" s="418"/>
      <c r="AL2473" s="418"/>
      <c r="AM2473" s="418"/>
      <c r="AN2473" s="418"/>
      <c r="AO2473" s="418"/>
      <c r="AP2473" s="418"/>
      <c r="AQ2473" s="418"/>
      <c r="AR2473" s="418"/>
      <c r="AS2473" s="418"/>
      <c r="AT2473" s="418"/>
      <c r="AU2473" s="418"/>
      <c r="AV2473" s="418"/>
      <c r="AW2473" s="418"/>
      <c r="AX2473" s="418"/>
      <c r="AY2473" s="418"/>
      <c r="BF2473" s="1119"/>
      <c r="BG2473" s="1119"/>
      <c r="BH2473" s="1119"/>
    </row>
    <row r="2474" spans="1:60" ht="15.75" customHeight="1">
      <c r="A2474" s="1076"/>
      <c r="B2474" s="416"/>
      <c r="C2474" s="424"/>
      <c r="E2474" s="418"/>
      <c r="F2474" s="493"/>
      <c r="G2474" s="418"/>
      <c r="H2474" s="418"/>
      <c r="I2474" s="418"/>
      <c r="J2474" s="424"/>
      <c r="K2474" s="418"/>
      <c r="L2474" s="418"/>
      <c r="M2474" s="418"/>
      <c r="N2474" s="421"/>
      <c r="O2474" s="421"/>
      <c r="P2474" s="421"/>
      <c r="Q2474" s="418"/>
      <c r="R2474" s="418"/>
      <c r="S2474" s="418"/>
      <c r="T2474" s="418"/>
      <c r="U2474" s="418"/>
      <c r="V2474" s="418"/>
      <c r="W2474" s="418"/>
      <c r="X2474" s="418"/>
      <c r="Y2474" s="418"/>
      <c r="Z2474" s="418"/>
      <c r="AA2474" s="418"/>
      <c r="AB2474" s="418"/>
      <c r="AC2474" s="418"/>
      <c r="AD2474" s="418"/>
      <c r="AE2474" s="418"/>
      <c r="AF2474" s="418"/>
      <c r="AG2474" s="418"/>
      <c r="AH2474" s="418"/>
      <c r="AI2474" s="418"/>
      <c r="AJ2474" s="418"/>
      <c r="AK2474" s="418"/>
      <c r="AL2474" s="418"/>
      <c r="AM2474" s="418"/>
      <c r="AN2474" s="418"/>
      <c r="AO2474" s="418"/>
      <c r="AP2474" s="418"/>
      <c r="AQ2474" s="418"/>
      <c r="AR2474" s="418"/>
      <c r="AS2474" s="418"/>
      <c r="AT2474" s="418"/>
      <c r="AU2474" s="418"/>
      <c r="AV2474" s="418"/>
      <c r="AW2474" s="418"/>
      <c r="AX2474" s="418"/>
      <c r="AY2474" s="418"/>
      <c r="BF2474" s="1119"/>
      <c r="BG2474" s="1119"/>
      <c r="BH2474" s="1119"/>
    </row>
    <row r="2475" spans="1:60" ht="15.75" customHeight="1">
      <c r="A2475" s="1076"/>
      <c r="B2475" s="416"/>
      <c r="C2475" s="424"/>
      <c r="E2475" s="418"/>
      <c r="F2475" s="493"/>
      <c r="G2475" s="418"/>
      <c r="H2475" s="418"/>
      <c r="I2475" s="418"/>
      <c r="J2475" s="424"/>
      <c r="K2475" s="418"/>
      <c r="L2475" s="418"/>
      <c r="M2475" s="418"/>
      <c r="N2475" s="421"/>
      <c r="O2475" s="421"/>
      <c r="P2475" s="421"/>
      <c r="Q2475" s="418"/>
      <c r="R2475" s="418"/>
      <c r="S2475" s="418"/>
      <c r="T2475" s="418"/>
      <c r="U2475" s="418"/>
      <c r="V2475" s="418"/>
      <c r="W2475" s="418"/>
      <c r="X2475" s="418"/>
      <c r="Y2475" s="418"/>
      <c r="Z2475" s="418"/>
      <c r="AA2475" s="418"/>
      <c r="AB2475" s="418"/>
      <c r="AC2475" s="418"/>
      <c r="AD2475" s="418"/>
      <c r="AE2475" s="418"/>
      <c r="AF2475" s="418"/>
      <c r="AG2475" s="418"/>
      <c r="AH2475" s="418"/>
      <c r="AI2475" s="418"/>
      <c r="AJ2475" s="418"/>
      <c r="AK2475" s="418"/>
      <c r="AL2475" s="418"/>
      <c r="AM2475" s="418"/>
      <c r="AN2475" s="418"/>
      <c r="AO2475" s="418"/>
      <c r="AP2475" s="418"/>
      <c r="AQ2475" s="418"/>
      <c r="AR2475" s="418"/>
      <c r="AS2475" s="418"/>
      <c r="AT2475" s="418"/>
      <c r="AU2475" s="418"/>
      <c r="AV2475" s="418"/>
      <c r="AW2475" s="418"/>
      <c r="AX2475" s="418"/>
      <c r="AY2475" s="418"/>
      <c r="BF2475" s="1119"/>
      <c r="BG2475" s="1119"/>
      <c r="BH2475" s="1119"/>
    </row>
    <row r="2476" spans="1:60" ht="15.75" customHeight="1">
      <c r="A2476" s="1076"/>
      <c r="B2476" s="416"/>
      <c r="C2476" s="424"/>
      <c r="E2476" s="418"/>
      <c r="F2476" s="493"/>
      <c r="G2476" s="418"/>
      <c r="H2476" s="418"/>
      <c r="I2476" s="418"/>
      <c r="J2476" s="424"/>
      <c r="K2476" s="418"/>
      <c r="L2476" s="418"/>
      <c r="M2476" s="418"/>
      <c r="N2476" s="421"/>
      <c r="O2476" s="421"/>
      <c r="P2476" s="421"/>
      <c r="Q2476" s="418"/>
      <c r="R2476" s="418"/>
      <c r="S2476" s="418"/>
      <c r="T2476" s="418"/>
      <c r="U2476" s="418"/>
      <c r="V2476" s="418"/>
      <c r="W2476" s="418"/>
      <c r="X2476" s="418"/>
      <c r="Y2476" s="418"/>
      <c r="Z2476" s="418"/>
      <c r="AA2476" s="418"/>
      <c r="AB2476" s="418"/>
      <c r="AC2476" s="418"/>
      <c r="AD2476" s="418"/>
      <c r="AE2476" s="418"/>
      <c r="AF2476" s="418"/>
      <c r="AG2476" s="418"/>
      <c r="AH2476" s="418"/>
      <c r="AI2476" s="418"/>
      <c r="AJ2476" s="418"/>
      <c r="AK2476" s="418"/>
      <c r="AL2476" s="418"/>
      <c r="AM2476" s="418"/>
      <c r="AN2476" s="418"/>
      <c r="AO2476" s="418"/>
      <c r="AP2476" s="418"/>
      <c r="AQ2476" s="418"/>
      <c r="AR2476" s="418"/>
      <c r="AS2476" s="418"/>
      <c r="AT2476" s="418"/>
      <c r="AU2476" s="418"/>
      <c r="AV2476" s="418"/>
      <c r="AW2476" s="418"/>
      <c r="AX2476" s="418"/>
      <c r="AY2476" s="418"/>
      <c r="BF2476" s="1119"/>
      <c r="BG2476" s="1119"/>
      <c r="BH2476" s="1119"/>
    </row>
    <row r="2477" spans="1:60" ht="15.75" customHeight="1">
      <c r="A2477" s="1076"/>
      <c r="B2477" s="416"/>
      <c r="C2477" s="424"/>
      <c r="E2477" s="418"/>
      <c r="F2477" s="493"/>
      <c r="G2477" s="418"/>
      <c r="H2477" s="418"/>
      <c r="I2477" s="418"/>
      <c r="J2477" s="424"/>
      <c r="K2477" s="418"/>
      <c r="L2477" s="418"/>
      <c r="M2477" s="418"/>
      <c r="N2477" s="421"/>
      <c r="O2477" s="421"/>
      <c r="P2477" s="421"/>
      <c r="Q2477" s="418"/>
      <c r="R2477" s="418"/>
      <c r="S2477" s="418"/>
      <c r="T2477" s="418"/>
      <c r="U2477" s="418"/>
      <c r="V2477" s="418"/>
      <c r="W2477" s="418"/>
      <c r="X2477" s="418"/>
      <c r="Y2477" s="418"/>
      <c r="Z2477" s="418"/>
      <c r="AA2477" s="418"/>
      <c r="AB2477" s="418"/>
      <c r="AC2477" s="418"/>
      <c r="AD2477" s="418"/>
      <c r="AE2477" s="418"/>
      <c r="AF2477" s="418"/>
      <c r="AG2477" s="418"/>
      <c r="AH2477" s="418"/>
      <c r="AI2477" s="418"/>
      <c r="AJ2477" s="418"/>
      <c r="AK2477" s="418"/>
      <c r="AL2477" s="418"/>
      <c r="AM2477" s="418"/>
      <c r="AN2477" s="418"/>
      <c r="AO2477" s="418"/>
      <c r="AP2477" s="418"/>
      <c r="AQ2477" s="418"/>
      <c r="AR2477" s="418"/>
      <c r="AS2477" s="418"/>
      <c r="AT2477" s="418"/>
      <c r="AU2477" s="418"/>
      <c r="AV2477" s="418"/>
      <c r="AW2477" s="418"/>
      <c r="AX2477" s="418"/>
      <c r="AY2477" s="418"/>
      <c r="BF2477" s="1119"/>
      <c r="BG2477" s="1119"/>
      <c r="BH2477" s="1119"/>
    </row>
    <row r="2478" spans="1:60" ht="15.75" customHeight="1">
      <c r="A2478" s="1076"/>
      <c r="B2478" s="416"/>
      <c r="C2478" s="424"/>
      <c r="E2478" s="418"/>
      <c r="F2478" s="493"/>
      <c r="G2478" s="418"/>
      <c r="H2478" s="418"/>
      <c r="I2478" s="418"/>
      <c r="J2478" s="424"/>
      <c r="K2478" s="418"/>
      <c r="L2478" s="418"/>
      <c r="M2478" s="418"/>
      <c r="N2478" s="421"/>
      <c r="O2478" s="421"/>
      <c r="P2478" s="421"/>
      <c r="Q2478" s="418"/>
      <c r="R2478" s="418"/>
      <c r="S2478" s="418"/>
      <c r="T2478" s="418"/>
      <c r="U2478" s="418"/>
      <c r="V2478" s="418"/>
      <c r="W2478" s="418"/>
      <c r="X2478" s="418"/>
      <c r="Y2478" s="418"/>
      <c r="Z2478" s="418"/>
      <c r="AA2478" s="418"/>
      <c r="AB2478" s="418"/>
      <c r="AC2478" s="418"/>
      <c r="AD2478" s="418"/>
      <c r="AE2478" s="418"/>
      <c r="AF2478" s="418"/>
      <c r="AG2478" s="418"/>
      <c r="AH2478" s="418"/>
      <c r="AI2478" s="418"/>
      <c r="AJ2478" s="418"/>
      <c r="AK2478" s="418"/>
      <c r="AL2478" s="418"/>
      <c r="AM2478" s="418"/>
      <c r="AN2478" s="418"/>
      <c r="AO2478" s="418"/>
      <c r="AP2478" s="418"/>
      <c r="AQ2478" s="418"/>
      <c r="AR2478" s="418"/>
      <c r="AS2478" s="418"/>
      <c r="AT2478" s="418"/>
      <c r="AU2478" s="418"/>
      <c r="AV2478" s="418"/>
      <c r="AW2478" s="418"/>
      <c r="AX2478" s="418"/>
      <c r="AY2478" s="418"/>
      <c r="BF2478" s="1119"/>
      <c r="BG2478" s="1119"/>
      <c r="BH2478" s="1119"/>
    </row>
    <row r="2479" spans="1:60" ht="15.75" customHeight="1">
      <c r="A2479" s="1076"/>
      <c r="B2479" s="416"/>
      <c r="C2479" s="424"/>
      <c r="E2479" s="418"/>
      <c r="F2479" s="493"/>
      <c r="G2479" s="418"/>
      <c r="H2479" s="421"/>
      <c r="I2479" s="421"/>
      <c r="J2479" s="492"/>
      <c r="K2479" s="418"/>
      <c r="L2479" s="418"/>
      <c r="M2479" s="418"/>
      <c r="N2479" s="421"/>
      <c r="O2479" s="421"/>
      <c r="P2479" s="421"/>
      <c r="Q2479" s="418"/>
      <c r="R2479" s="418"/>
      <c r="S2479" s="418"/>
      <c r="T2479" s="418"/>
      <c r="U2479" s="418"/>
      <c r="V2479" s="418"/>
      <c r="W2479" s="418"/>
      <c r="X2479" s="418"/>
      <c r="Y2479" s="418"/>
      <c r="Z2479" s="418"/>
      <c r="AA2479" s="418"/>
      <c r="AB2479" s="418"/>
      <c r="AC2479" s="418"/>
      <c r="AD2479" s="418"/>
      <c r="AE2479" s="418"/>
      <c r="AF2479" s="418"/>
      <c r="AG2479" s="418"/>
      <c r="AH2479" s="418"/>
      <c r="AI2479" s="418"/>
      <c r="AJ2479" s="418"/>
      <c r="AK2479" s="418"/>
      <c r="AL2479" s="418"/>
      <c r="AM2479" s="418"/>
      <c r="AN2479" s="418"/>
      <c r="AO2479" s="418"/>
      <c r="AP2479" s="418"/>
      <c r="AQ2479" s="418"/>
      <c r="AR2479" s="418"/>
      <c r="AS2479" s="418"/>
      <c r="AT2479" s="418"/>
      <c r="AU2479" s="418"/>
      <c r="AV2479" s="418"/>
      <c r="AW2479" s="418"/>
      <c r="AX2479" s="418"/>
      <c r="AY2479" s="418"/>
      <c r="BF2479" s="1119"/>
      <c r="BG2479" s="1119"/>
      <c r="BH2479" s="1119"/>
    </row>
    <row r="2480" spans="1:60" ht="15.75" customHeight="1">
      <c r="A2480" s="1076"/>
      <c r="B2480" s="416"/>
      <c r="C2480" s="424"/>
      <c r="E2480" s="418"/>
      <c r="F2480" s="493"/>
      <c r="G2480" s="418"/>
      <c r="H2480" s="421"/>
      <c r="I2480" s="421"/>
      <c r="J2480" s="492"/>
      <c r="K2480" s="418"/>
      <c r="L2480" s="418"/>
      <c r="M2480" s="418"/>
      <c r="N2480" s="421"/>
      <c r="O2480" s="421"/>
      <c r="P2480" s="421"/>
      <c r="Q2480" s="418"/>
      <c r="R2480" s="418"/>
      <c r="S2480" s="418"/>
      <c r="T2480" s="418"/>
      <c r="U2480" s="418"/>
      <c r="V2480" s="418"/>
      <c r="W2480" s="418"/>
      <c r="X2480" s="418"/>
      <c r="Y2480" s="418"/>
      <c r="Z2480" s="418"/>
      <c r="AA2480" s="418"/>
      <c r="AB2480" s="418"/>
      <c r="AC2480" s="418"/>
      <c r="AD2480" s="418"/>
      <c r="AE2480" s="418"/>
      <c r="AF2480" s="418"/>
      <c r="AG2480" s="418"/>
      <c r="AH2480" s="418"/>
      <c r="AI2480" s="418"/>
      <c r="AJ2480" s="418"/>
      <c r="AK2480" s="418"/>
      <c r="AL2480" s="418"/>
      <c r="AM2480" s="418"/>
      <c r="AN2480" s="418"/>
      <c r="AO2480" s="418"/>
      <c r="AP2480" s="418"/>
      <c r="AQ2480" s="418"/>
      <c r="AR2480" s="418"/>
      <c r="AS2480" s="418"/>
      <c r="AT2480" s="418"/>
      <c r="AU2480" s="418"/>
      <c r="AV2480" s="418"/>
      <c r="AW2480" s="418"/>
      <c r="AX2480" s="418"/>
      <c r="AY2480" s="418"/>
      <c r="BF2480" s="1119"/>
      <c r="BG2480" s="1119"/>
      <c r="BH2480" s="1119"/>
    </row>
    <row r="2481" spans="1:60" ht="15.75" customHeight="1">
      <c r="A2481" s="1076"/>
      <c r="B2481" s="416"/>
      <c r="C2481" s="424"/>
      <c r="E2481" s="418"/>
      <c r="F2481" s="493"/>
      <c r="G2481" s="418"/>
      <c r="H2481" s="421"/>
      <c r="I2481" s="421"/>
      <c r="J2481" s="492"/>
      <c r="K2481" s="418"/>
      <c r="L2481" s="418"/>
      <c r="M2481" s="418"/>
      <c r="N2481" s="421"/>
      <c r="O2481" s="421"/>
      <c r="P2481" s="421"/>
      <c r="Q2481" s="418"/>
      <c r="R2481" s="418"/>
      <c r="S2481" s="418"/>
      <c r="T2481" s="418"/>
      <c r="U2481" s="418"/>
      <c r="V2481" s="418"/>
      <c r="W2481" s="418"/>
      <c r="X2481" s="418"/>
      <c r="Y2481" s="418"/>
      <c r="Z2481" s="418"/>
      <c r="AA2481" s="418"/>
      <c r="AB2481" s="418"/>
      <c r="AC2481" s="418"/>
      <c r="AD2481" s="418"/>
      <c r="AE2481" s="418"/>
      <c r="AF2481" s="418"/>
      <c r="AG2481" s="418"/>
      <c r="AH2481" s="418"/>
      <c r="AI2481" s="418"/>
      <c r="AJ2481" s="418"/>
      <c r="AK2481" s="418"/>
      <c r="AL2481" s="418"/>
      <c r="AM2481" s="418"/>
      <c r="BF2481" s="1119"/>
      <c r="BG2481" s="1119"/>
      <c r="BH2481" s="1119"/>
    </row>
    <row r="2482" spans="1:60" ht="15.75" customHeight="1">
      <c r="A2482" s="1076"/>
      <c r="B2482" s="416"/>
      <c r="C2482" s="424"/>
      <c r="E2482" s="418"/>
      <c r="F2482" s="493"/>
      <c r="G2482" s="418"/>
      <c r="H2482" s="421"/>
      <c r="I2482" s="421"/>
      <c r="J2482" s="492"/>
      <c r="K2482" s="418"/>
      <c r="L2482" s="418"/>
      <c r="M2482" s="418"/>
      <c r="N2482" s="421"/>
      <c r="O2482" s="421"/>
      <c r="P2482" s="421"/>
      <c r="Q2482" s="418"/>
      <c r="R2482" s="418"/>
      <c r="S2482" s="418"/>
      <c r="T2482" s="418"/>
      <c r="U2482" s="418"/>
      <c r="V2482" s="418"/>
      <c r="W2482" s="418"/>
      <c r="X2482" s="418"/>
      <c r="Y2482" s="418"/>
      <c r="Z2482" s="418"/>
      <c r="AA2482" s="418"/>
      <c r="AB2482" s="418"/>
      <c r="AC2482" s="418"/>
      <c r="AD2482" s="418"/>
      <c r="AE2482" s="418"/>
      <c r="AF2482" s="418"/>
      <c r="AG2482" s="418"/>
      <c r="AH2482" s="418"/>
      <c r="AI2482" s="418"/>
      <c r="AJ2482" s="418"/>
      <c r="AK2482" s="418"/>
      <c r="AL2482" s="418"/>
      <c r="AM2482" s="418"/>
      <c r="BF2482" s="1119"/>
      <c r="BG2482" s="1119"/>
      <c r="BH2482" s="1119"/>
    </row>
    <row r="2483" spans="1:60" ht="15.75" customHeight="1">
      <c r="A2483" s="1076"/>
      <c r="B2483" s="416"/>
      <c r="C2483" s="424"/>
      <c r="E2483" s="418"/>
      <c r="F2483" s="493"/>
      <c r="G2483" s="418"/>
      <c r="H2483" s="421"/>
      <c r="I2483" s="421"/>
      <c r="J2483" s="492"/>
      <c r="K2483" s="418"/>
      <c r="L2483" s="418"/>
      <c r="M2483" s="418"/>
      <c r="N2483" s="421"/>
      <c r="O2483" s="421"/>
      <c r="P2483" s="421"/>
      <c r="Q2483" s="418"/>
      <c r="R2483" s="418"/>
      <c r="S2483" s="418"/>
      <c r="T2483" s="418"/>
      <c r="U2483" s="418"/>
      <c r="V2483" s="418"/>
      <c r="W2483" s="418"/>
      <c r="X2483" s="418"/>
      <c r="Y2483" s="418"/>
      <c r="Z2483" s="418"/>
      <c r="AA2483" s="418"/>
      <c r="AB2483" s="418"/>
      <c r="AC2483" s="418"/>
      <c r="AD2483" s="418"/>
      <c r="AE2483" s="418"/>
      <c r="AF2483" s="418"/>
      <c r="AG2483" s="418"/>
      <c r="AH2483" s="418"/>
      <c r="AI2483" s="418"/>
      <c r="AJ2483" s="418"/>
      <c r="AK2483" s="418"/>
      <c r="AL2483" s="418"/>
      <c r="AM2483" s="418"/>
      <c r="BF2483" s="1119"/>
      <c r="BG2483" s="1119"/>
      <c r="BH2483" s="1119"/>
    </row>
    <row r="2484" spans="1:60" ht="15.75" customHeight="1">
      <c r="A2484" s="1076"/>
      <c r="B2484" s="416"/>
      <c r="C2484" s="424"/>
      <c r="E2484" s="418"/>
      <c r="F2484" s="493"/>
      <c r="G2484" s="418"/>
      <c r="H2484" s="421"/>
      <c r="I2484" s="421"/>
      <c r="J2484" s="492"/>
      <c r="K2484" s="418"/>
      <c r="L2484" s="418"/>
      <c r="M2484" s="418"/>
      <c r="N2484" s="421"/>
      <c r="O2484" s="421"/>
      <c r="P2484" s="421"/>
      <c r="Q2484" s="418"/>
      <c r="R2484" s="418"/>
      <c r="S2484" s="418"/>
      <c r="T2484" s="418"/>
      <c r="U2484" s="418"/>
      <c r="V2484" s="418"/>
      <c r="W2484" s="418"/>
      <c r="X2484" s="418"/>
      <c r="Y2484" s="418"/>
      <c r="Z2484" s="418"/>
      <c r="AA2484" s="418"/>
      <c r="AB2484" s="418"/>
      <c r="AC2484" s="418"/>
      <c r="AD2484" s="418"/>
      <c r="AE2484" s="418"/>
      <c r="AF2484" s="418"/>
      <c r="AG2484" s="418"/>
      <c r="AH2484" s="418"/>
      <c r="AI2484" s="418"/>
      <c r="AJ2484" s="418"/>
      <c r="AK2484" s="418"/>
      <c r="AL2484" s="418"/>
      <c r="AM2484" s="418"/>
      <c r="BF2484" s="1119"/>
      <c r="BG2484" s="1119"/>
      <c r="BH2484" s="1119"/>
    </row>
    <row r="2485" spans="1:60" ht="15.75" customHeight="1">
      <c r="A2485" s="1076"/>
      <c r="B2485" s="416"/>
      <c r="C2485" s="424"/>
      <c r="E2485" s="418"/>
      <c r="F2485" s="493"/>
      <c r="G2485" s="418"/>
      <c r="H2485" s="421"/>
      <c r="I2485" s="421"/>
      <c r="J2485" s="492"/>
      <c r="K2485" s="418"/>
      <c r="L2485" s="418"/>
      <c r="M2485" s="418"/>
      <c r="N2485" s="421"/>
      <c r="O2485" s="421"/>
      <c r="P2485" s="421"/>
      <c r="Q2485" s="418"/>
      <c r="R2485" s="418"/>
      <c r="S2485" s="418"/>
      <c r="T2485" s="418"/>
      <c r="U2485" s="418"/>
      <c r="V2485" s="418"/>
      <c r="W2485" s="418"/>
      <c r="X2485" s="418"/>
      <c r="Y2485" s="418"/>
      <c r="Z2485" s="418"/>
      <c r="AA2485" s="418"/>
      <c r="AB2485" s="418"/>
      <c r="AC2485" s="418"/>
      <c r="AD2485" s="418"/>
      <c r="AE2485" s="418"/>
      <c r="AF2485" s="418"/>
      <c r="AG2485" s="418"/>
      <c r="AH2485" s="418"/>
      <c r="AI2485" s="418"/>
      <c r="AJ2485" s="418"/>
      <c r="AK2485" s="418"/>
      <c r="AL2485" s="418"/>
      <c r="AM2485" s="418"/>
      <c r="BF2485" s="1119"/>
      <c r="BG2485" s="1119"/>
      <c r="BH2485" s="1119"/>
    </row>
    <row r="2486" spans="1:60" ht="15.75" customHeight="1">
      <c r="A2486" s="1076"/>
      <c r="B2486" s="416"/>
      <c r="C2486" s="424"/>
      <c r="E2486" s="418"/>
      <c r="F2486" s="493"/>
      <c r="G2486" s="418"/>
      <c r="H2486" s="421"/>
      <c r="I2486" s="421"/>
      <c r="J2486" s="492"/>
      <c r="K2486" s="418"/>
      <c r="L2486" s="418"/>
      <c r="M2486" s="418"/>
      <c r="N2486" s="421"/>
      <c r="O2486" s="421"/>
      <c r="P2486" s="421"/>
      <c r="Q2486" s="418"/>
      <c r="R2486" s="418"/>
      <c r="S2486" s="418"/>
      <c r="T2486" s="418"/>
      <c r="U2486" s="418"/>
      <c r="V2486" s="418"/>
      <c r="W2486" s="418"/>
      <c r="X2486" s="418"/>
      <c r="Y2486" s="418"/>
      <c r="Z2486" s="418"/>
      <c r="AA2486" s="418"/>
      <c r="AB2486" s="418"/>
      <c r="AC2486" s="418"/>
      <c r="AD2486" s="418"/>
      <c r="AE2486" s="418"/>
      <c r="AF2486" s="418"/>
      <c r="AG2486" s="418"/>
      <c r="AH2486" s="418"/>
      <c r="AI2486" s="418"/>
      <c r="AJ2486" s="418"/>
      <c r="AK2486" s="418"/>
      <c r="AL2486" s="418"/>
      <c r="AM2486" s="418"/>
      <c r="BF2486" s="1119"/>
      <c r="BG2486" s="1119"/>
      <c r="BH2486" s="1119"/>
    </row>
    <row r="2487" spans="1:60" ht="15.75" customHeight="1">
      <c r="A2487" s="1076"/>
      <c r="B2487" s="416"/>
      <c r="C2487" s="424"/>
      <c r="E2487" s="418"/>
      <c r="F2487" s="493"/>
      <c r="G2487" s="418"/>
      <c r="H2487" s="421"/>
      <c r="I2487" s="421"/>
      <c r="J2487" s="492"/>
      <c r="K2487" s="418"/>
      <c r="L2487" s="418"/>
      <c r="M2487" s="418"/>
      <c r="N2487" s="421"/>
      <c r="O2487" s="421"/>
      <c r="P2487" s="421"/>
      <c r="Q2487" s="418"/>
      <c r="R2487" s="418"/>
      <c r="S2487" s="418"/>
      <c r="T2487" s="418"/>
      <c r="U2487" s="418"/>
      <c r="V2487" s="418"/>
      <c r="W2487" s="418"/>
      <c r="X2487" s="418"/>
      <c r="Y2487" s="418"/>
      <c r="Z2487" s="418"/>
      <c r="AA2487" s="418"/>
      <c r="AB2487" s="418"/>
      <c r="AC2487" s="418"/>
      <c r="AD2487" s="418"/>
      <c r="AE2487" s="418"/>
      <c r="AF2487" s="418"/>
      <c r="AG2487" s="418"/>
      <c r="AH2487" s="418"/>
      <c r="AI2487" s="418"/>
      <c r="AJ2487" s="418"/>
      <c r="AK2487" s="418"/>
      <c r="AL2487" s="418"/>
      <c r="AM2487" s="418"/>
      <c r="BF2487" s="1119"/>
      <c r="BG2487" s="1119"/>
      <c r="BH2487" s="1119"/>
    </row>
    <row r="2488" spans="1:60" ht="15.75" customHeight="1">
      <c r="A2488" s="1076"/>
      <c r="B2488" s="416"/>
      <c r="C2488" s="424"/>
      <c r="E2488" s="418"/>
      <c r="F2488" s="493"/>
      <c r="G2488" s="418"/>
      <c r="H2488" s="421"/>
      <c r="I2488" s="421"/>
      <c r="J2488" s="492"/>
      <c r="K2488" s="418"/>
      <c r="L2488" s="418"/>
      <c r="M2488" s="418"/>
      <c r="N2488" s="421"/>
      <c r="O2488" s="421"/>
      <c r="P2488" s="421"/>
      <c r="Q2488" s="418"/>
      <c r="R2488" s="418"/>
      <c r="S2488" s="418"/>
      <c r="T2488" s="418"/>
      <c r="U2488" s="418"/>
      <c r="V2488" s="418"/>
      <c r="W2488" s="418"/>
      <c r="X2488" s="418"/>
      <c r="Y2488" s="418"/>
      <c r="Z2488" s="418"/>
      <c r="AA2488" s="418"/>
      <c r="AB2488" s="418"/>
      <c r="AC2488" s="418"/>
      <c r="AD2488" s="418"/>
      <c r="AE2488" s="418"/>
      <c r="AF2488" s="418"/>
      <c r="AG2488" s="418"/>
      <c r="AH2488" s="418"/>
      <c r="AI2488" s="418"/>
      <c r="AJ2488" s="418"/>
      <c r="AK2488" s="418"/>
      <c r="AL2488" s="418"/>
      <c r="AM2488" s="418"/>
      <c r="BF2488" s="1119"/>
      <c r="BG2488" s="1119"/>
      <c r="BH2488" s="1119"/>
    </row>
    <row r="2489" spans="1:60" ht="15.75" customHeight="1">
      <c r="A2489" s="1076"/>
      <c r="B2489" s="416"/>
      <c r="C2489" s="424"/>
      <c r="E2489" s="418"/>
      <c r="F2489" s="493"/>
      <c r="G2489" s="418"/>
      <c r="H2489" s="421"/>
      <c r="I2489" s="421"/>
      <c r="J2489" s="492"/>
      <c r="K2489" s="418"/>
      <c r="L2489" s="418"/>
      <c r="M2489" s="418"/>
      <c r="N2489" s="421"/>
      <c r="O2489" s="421"/>
      <c r="P2489" s="421"/>
      <c r="Q2489" s="418"/>
      <c r="R2489" s="418"/>
      <c r="S2489" s="418"/>
      <c r="T2489" s="418"/>
      <c r="U2489" s="418"/>
      <c r="V2489" s="418"/>
      <c r="W2489" s="418"/>
      <c r="X2489" s="418"/>
      <c r="Y2489" s="418"/>
      <c r="Z2489" s="418"/>
      <c r="AA2489" s="418"/>
      <c r="AB2489" s="418"/>
      <c r="AC2489" s="418"/>
      <c r="AD2489" s="418"/>
      <c r="AE2489" s="418"/>
      <c r="AF2489" s="418"/>
      <c r="AG2489" s="418"/>
      <c r="AH2489" s="418"/>
      <c r="AI2489" s="418"/>
      <c r="AJ2489" s="418"/>
      <c r="AK2489" s="418"/>
      <c r="AL2489" s="418"/>
      <c r="AM2489" s="418"/>
      <c r="BF2489" s="1119"/>
      <c r="BG2489" s="1119"/>
      <c r="BH2489" s="1119"/>
    </row>
    <row r="2490" spans="1:60" ht="15.75" customHeight="1">
      <c r="A2490" s="1076"/>
      <c r="B2490" s="416"/>
      <c r="C2490" s="424"/>
      <c r="E2490" s="418"/>
      <c r="F2490" s="493"/>
      <c r="G2490" s="418"/>
      <c r="H2490" s="421"/>
      <c r="I2490" s="421"/>
      <c r="J2490" s="492"/>
      <c r="K2490" s="418"/>
      <c r="L2490" s="418"/>
      <c r="M2490" s="418"/>
      <c r="N2490" s="421"/>
      <c r="O2490" s="421"/>
      <c r="P2490" s="421"/>
      <c r="Q2490" s="418"/>
      <c r="R2490" s="418"/>
      <c r="S2490" s="418"/>
      <c r="T2490" s="418"/>
      <c r="U2490" s="418"/>
      <c r="V2490" s="418"/>
      <c r="W2490" s="418"/>
      <c r="X2490" s="418"/>
      <c r="Y2490" s="418"/>
      <c r="Z2490" s="418"/>
      <c r="AA2490" s="418"/>
      <c r="AB2490" s="418"/>
      <c r="AC2490" s="418"/>
      <c r="AD2490" s="418"/>
      <c r="AE2490" s="418"/>
      <c r="AF2490" s="418"/>
      <c r="AG2490" s="418"/>
      <c r="AH2490" s="418"/>
      <c r="AI2490" s="418"/>
      <c r="AJ2490" s="418"/>
      <c r="AK2490" s="418"/>
      <c r="AL2490" s="418"/>
      <c r="AM2490" s="418"/>
      <c r="BF2490" s="1119"/>
      <c r="BG2490" s="1119"/>
      <c r="BH2490" s="1119"/>
    </row>
    <row r="2491" spans="1:60" ht="15.75" customHeight="1">
      <c r="A2491" s="1076"/>
      <c r="B2491" s="416"/>
      <c r="C2491" s="424"/>
      <c r="E2491" s="418"/>
      <c r="F2491" s="493"/>
      <c r="G2491" s="418"/>
      <c r="H2491" s="421"/>
      <c r="I2491" s="421"/>
      <c r="J2491" s="492"/>
      <c r="K2491" s="418"/>
      <c r="L2491" s="418"/>
      <c r="M2491" s="418"/>
      <c r="N2491" s="421"/>
      <c r="O2491" s="421"/>
      <c r="P2491" s="421"/>
      <c r="Q2491" s="418"/>
      <c r="R2491" s="418"/>
      <c r="S2491" s="418"/>
      <c r="T2491" s="418"/>
      <c r="U2491" s="418"/>
      <c r="V2491" s="418"/>
      <c r="W2491" s="418"/>
      <c r="X2491" s="418"/>
      <c r="Y2491" s="418"/>
      <c r="Z2491" s="418"/>
      <c r="AA2491" s="418"/>
      <c r="AB2491" s="418"/>
      <c r="AC2491" s="418"/>
      <c r="AD2491" s="418"/>
      <c r="AE2491" s="418"/>
      <c r="AF2491" s="418"/>
      <c r="AG2491" s="418"/>
      <c r="AH2491" s="418"/>
      <c r="AI2491" s="418"/>
      <c r="AJ2491" s="418"/>
      <c r="AK2491" s="418"/>
      <c r="AL2491" s="418"/>
      <c r="AM2491" s="418"/>
      <c r="BF2491" s="1119"/>
      <c r="BG2491" s="1119"/>
      <c r="BH2491" s="1119"/>
    </row>
    <row r="2492" spans="1:60" ht="15.75" customHeight="1">
      <c r="A2492" s="1076"/>
      <c r="B2492" s="416"/>
      <c r="C2492" s="424"/>
      <c r="E2492" s="418"/>
      <c r="F2492" s="493"/>
      <c r="G2492" s="418"/>
      <c r="H2492" s="421"/>
      <c r="I2492" s="421"/>
      <c r="J2492" s="492"/>
      <c r="K2492" s="418"/>
      <c r="L2492" s="418"/>
      <c r="M2492" s="418"/>
      <c r="N2492" s="421"/>
      <c r="O2492" s="421"/>
      <c r="P2492" s="421"/>
      <c r="Q2492" s="418"/>
      <c r="R2492" s="418"/>
      <c r="S2492" s="418"/>
      <c r="T2492" s="418"/>
      <c r="U2492" s="418"/>
      <c r="V2492" s="418"/>
      <c r="W2492" s="418"/>
      <c r="X2492" s="418"/>
      <c r="Y2492" s="418"/>
      <c r="Z2492" s="418"/>
      <c r="AA2492" s="418"/>
      <c r="AB2492" s="418"/>
      <c r="AC2492" s="418"/>
      <c r="AD2492" s="418"/>
      <c r="AE2492" s="418"/>
      <c r="AF2492" s="418"/>
      <c r="AG2492" s="418"/>
      <c r="AH2492" s="418"/>
      <c r="AI2492" s="418"/>
      <c r="AJ2492" s="418"/>
      <c r="AK2492" s="418"/>
      <c r="AL2492" s="418"/>
      <c r="AM2492" s="418"/>
      <c r="BF2492" s="1119"/>
      <c r="BG2492" s="1119"/>
      <c r="BH2492" s="1119"/>
    </row>
    <row r="2493" spans="1:60" ht="15.75" customHeight="1">
      <c r="A2493" s="1076"/>
      <c r="B2493" s="416"/>
      <c r="C2493" s="424"/>
      <c r="E2493" s="418"/>
      <c r="F2493" s="493"/>
      <c r="G2493" s="418"/>
      <c r="H2493" s="421"/>
      <c r="I2493" s="421"/>
      <c r="J2493" s="492"/>
      <c r="K2493" s="418"/>
      <c r="L2493" s="418"/>
      <c r="M2493" s="418"/>
      <c r="N2493" s="421"/>
      <c r="O2493" s="421"/>
      <c r="P2493" s="421"/>
      <c r="Q2493" s="418"/>
      <c r="R2493" s="418"/>
      <c r="S2493" s="418"/>
      <c r="T2493" s="418"/>
      <c r="U2493" s="418"/>
      <c r="V2493" s="418"/>
      <c r="W2493" s="418"/>
      <c r="X2493" s="418"/>
      <c r="Y2493" s="418"/>
      <c r="Z2493" s="418"/>
      <c r="AA2493" s="418"/>
      <c r="AB2493" s="418"/>
      <c r="AC2493" s="418"/>
      <c r="AD2493" s="418"/>
      <c r="AE2493" s="418"/>
      <c r="AF2493" s="418"/>
      <c r="AG2493" s="418"/>
      <c r="AH2493" s="418"/>
      <c r="AI2493" s="418"/>
      <c r="AJ2493" s="418"/>
      <c r="AK2493" s="418"/>
      <c r="AL2493" s="418"/>
      <c r="AM2493" s="418"/>
      <c r="BF2493" s="1119"/>
      <c r="BG2493" s="1119"/>
      <c r="BH2493" s="1119"/>
    </row>
    <row r="2494" spans="1:60" ht="15.75" customHeight="1">
      <c r="A2494" s="1076"/>
      <c r="B2494" s="416"/>
      <c r="C2494" s="424"/>
      <c r="E2494" s="418"/>
      <c r="F2494" s="493"/>
      <c r="G2494" s="418"/>
      <c r="H2494" s="421"/>
      <c r="I2494" s="421"/>
      <c r="J2494" s="492"/>
      <c r="K2494" s="418"/>
      <c r="L2494" s="418"/>
      <c r="M2494" s="418"/>
      <c r="N2494" s="421"/>
      <c r="O2494" s="421"/>
      <c r="P2494" s="421"/>
      <c r="Q2494" s="418"/>
      <c r="R2494" s="418"/>
      <c r="S2494" s="418"/>
      <c r="T2494" s="418"/>
      <c r="U2494" s="418"/>
      <c r="V2494" s="418"/>
      <c r="W2494" s="418"/>
      <c r="X2494" s="418"/>
      <c r="Y2494" s="418"/>
      <c r="Z2494" s="418"/>
      <c r="AA2494" s="418"/>
      <c r="AB2494" s="418"/>
      <c r="AC2494" s="418"/>
      <c r="AD2494" s="418"/>
      <c r="AE2494" s="418"/>
      <c r="AF2494" s="418"/>
      <c r="AG2494" s="418"/>
      <c r="AH2494" s="418"/>
      <c r="AI2494" s="418"/>
      <c r="AJ2494" s="418"/>
      <c r="AK2494" s="418"/>
      <c r="AL2494" s="418"/>
      <c r="AM2494" s="418"/>
      <c r="BF2494" s="1119"/>
      <c r="BG2494" s="1119"/>
      <c r="BH2494" s="1119"/>
    </row>
    <row r="2495" spans="1:60" ht="15.75" customHeight="1">
      <c r="A2495" s="1076"/>
      <c r="B2495" s="416"/>
      <c r="C2495" s="424"/>
      <c r="E2495" s="418"/>
      <c r="F2495" s="493"/>
      <c r="G2495" s="418"/>
      <c r="H2495" s="421"/>
      <c r="I2495" s="421"/>
      <c r="J2495" s="492"/>
      <c r="K2495" s="418"/>
      <c r="L2495" s="418"/>
      <c r="M2495" s="418"/>
      <c r="N2495" s="421"/>
      <c r="O2495" s="421"/>
      <c r="P2495" s="421"/>
      <c r="Q2495" s="418"/>
      <c r="R2495" s="418"/>
      <c r="S2495" s="418"/>
      <c r="T2495" s="418"/>
      <c r="U2495" s="418"/>
      <c r="V2495" s="418"/>
      <c r="W2495" s="418"/>
      <c r="X2495" s="418"/>
      <c r="Y2495" s="418"/>
      <c r="Z2495" s="418"/>
      <c r="AA2495" s="418"/>
      <c r="AB2495" s="418"/>
      <c r="AC2495" s="418"/>
      <c r="AD2495" s="418"/>
      <c r="AE2495" s="418"/>
      <c r="AF2495" s="418"/>
      <c r="AG2495" s="418"/>
      <c r="AH2495" s="418"/>
      <c r="AI2495" s="418"/>
      <c r="AJ2495" s="418"/>
      <c r="AK2495" s="418"/>
      <c r="AL2495" s="418"/>
      <c r="AM2495" s="418"/>
      <c r="BF2495" s="1119"/>
      <c r="BG2495" s="1119"/>
      <c r="BH2495" s="1119"/>
    </row>
    <row r="2496" spans="1:60" ht="15.75" customHeight="1">
      <c r="A2496" s="1076"/>
      <c r="B2496" s="416"/>
      <c r="C2496" s="424"/>
      <c r="E2496" s="418"/>
      <c r="F2496" s="493"/>
      <c r="G2496" s="418"/>
      <c r="H2496" s="421"/>
      <c r="I2496" s="421"/>
      <c r="J2496" s="492"/>
      <c r="K2496" s="418"/>
      <c r="L2496" s="418"/>
      <c r="M2496" s="418"/>
      <c r="N2496" s="421"/>
      <c r="O2496" s="421"/>
      <c r="P2496" s="421"/>
      <c r="Q2496" s="418"/>
      <c r="R2496" s="418"/>
      <c r="S2496" s="418"/>
      <c r="T2496" s="418"/>
      <c r="U2496" s="418"/>
      <c r="V2496" s="418"/>
      <c r="W2496" s="418"/>
      <c r="X2496" s="418"/>
      <c r="Y2496" s="418"/>
      <c r="Z2496" s="418"/>
      <c r="AA2496" s="418"/>
      <c r="AB2496" s="418"/>
      <c r="AC2496" s="418"/>
      <c r="AD2496" s="418"/>
      <c r="AE2496" s="418"/>
      <c r="AF2496" s="418"/>
      <c r="AG2496" s="418"/>
      <c r="AH2496" s="418"/>
      <c r="AI2496" s="418"/>
      <c r="AJ2496" s="418"/>
      <c r="AK2496" s="418"/>
      <c r="AL2496" s="418"/>
      <c r="AM2496" s="418"/>
      <c r="BF2496" s="1119"/>
      <c r="BG2496" s="1119"/>
      <c r="BH2496" s="1119"/>
    </row>
    <row r="2497" spans="1:60" ht="15.75" customHeight="1">
      <c r="A2497" s="1076"/>
      <c r="B2497" s="416"/>
      <c r="C2497" s="424"/>
      <c r="E2497" s="418"/>
      <c r="F2497" s="493"/>
      <c r="G2497" s="418"/>
      <c r="H2497" s="421"/>
      <c r="I2497" s="421"/>
      <c r="J2497" s="492"/>
      <c r="K2497" s="418"/>
      <c r="L2497" s="418"/>
      <c r="M2497" s="418"/>
      <c r="N2497" s="421"/>
      <c r="O2497" s="421"/>
      <c r="P2497" s="421"/>
      <c r="Q2497" s="418"/>
      <c r="R2497" s="418"/>
      <c r="S2497" s="418"/>
      <c r="T2497" s="418"/>
      <c r="U2497" s="418"/>
      <c r="V2497" s="418"/>
      <c r="W2497" s="418"/>
      <c r="X2497" s="418"/>
      <c r="Y2497" s="418"/>
      <c r="Z2497" s="418"/>
      <c r="AA2497" s="418"/>
      <c r="AB2497" s="418"/>
      <c r="AC2497" s="418"/>
      <c r="AD2497" s="418"/>
      <c r="AE2497" s="418"/>
      <c r="AF2497" s="418"/>
      <c r="AG2497" s="418"/>
      <c r="AH2497" s="418"/>
      <c r="AI2497" s="418"/>
      <c r="AJ2497" s="418"/>
      <c r="AK2497" s="418"/>
      <c r="AL2497" s="418"/>
      <c r="AM2497" s="418"/>
      <c r="BF2497" s="1119"/>
      <c r="BG2497" s="1119"/>
      <c r="BH2497" s="1119"/>
    </row>
    <row r="2498" spans="1:60" ht="15.75" customHeight="1">
      <c r="A2498" s="1076"/>
      <c r="B2498" s="416"/>
      <c r="C2498" s="424"/>
      <c r="E2498" s="418"/>
      <c r="F2498" s="493"/>
      <c r="G2498" s="418"/>
      <c r="H2498" s="421"/>
      <c r="I2498" s="421"/>
      <c r="J2498" s="492"/>
      <c r="K2498" s="418"/>
      <c r="L2498" s="418"/>
      <c r="M2498" s="418"/>
      <c r="N2498" s="421"/>
      <c r="O2498" s="421"/>
      <c r="P2498" s="421"/>
      <c r="Q2498" s="418"/>
      <c r="R2498" s="418"/>
      <c r="S2498" s="418"/>
      <c r="T2498" s="418"/>
      <c r="U2498" s="418"/>
      <c r="V2498" s="418"/>
      <c r="W2498" s="418"/>
      <c r="X2498" s="418"/>
      <c r="Y2498" s="418"/>
      <c r="Z2498" s="418"/>
      <c r="AA2498" s="418"/>
      <c r="AB2498" s="418"/>
      <c r="AC2498" s="418"/>
      <c r="AD2498" s="418"/>
      <c r="AE2498" s="418"/>
      <c r="AF2498" s="418"/>
      <c r="AG2498" s="418"/>
      <c r="AH2498" s="418"/>
      <c r="AI2498" s="418"/>
      <c r="AJ2498" s="418"/>
      <c r="AK2498" s="418"/>
      <c r="AL2498" s="418"/>
      <c r="AM2498" s="418"/>
      <c r="BF2498" s="1119"/>
      <c r="BG2498" s="1119"/>
      <c r="BH2498" s="1119"/>
    </row>
    <row r="2499" spans="1:60" ht="15.75" customHeight="1">
      <c r="A2499" s="1076"/>
      <c r="B2499" s="416"/>
      <c r="C2499" s="424"/>
      <c r="E2499" s="418"/>
      <c r="F2499" s="493"/>
      <c r="G2499" s="418"/>
      <c r="H2499" s="418"/>
      <c r="I2499" s="418"/>
      <c r="J2499" s="424"/>
      <c r="K2499" s="418"/>
      <c r="L2499" s="418"/>
      <c r="M2499" s="418"/>
      <c r="N2499" s="421"/>
      <c r="O2499" s="418"/>
      <c r="P2499" s="418"/>
      <c r="Q2499" s="418"/>
      <c r="R2499" s="418"/>
      <c r="S2499" s="418"/>
      <c r="T2499" s="418"/>
      <c r="U2499" s="418"/>
      <c r="V2499" s="418"/>
      <c r="W2499" s="418"/>
      <c r="X2499" s="418"/>
      <c r="Y2499" s="418"/>
      <c r="Z2499" s="418"/>
      <c r="AA2499" s="418"/>
      <c r="AB2499" s="418"/>
      <c r="AC2499" s="418"/>
      <c r="AD2499" s="418"/>
      <c r="AE2499" s="418"/>
      <c r="AF2499" s="418"/>
      <c r="AG2499" s="418"/>
      <c r="AH2499" s="418"/>
      <c r="AI2499" s="418"/>
      <c r="AJ2499" s="418"/>
      <c r="AK2499" s="418"/>
      <c r="AL2499" s="418"/>
      <c r="AM2499" s="418"/>
      <c r="BF2499" s="1119"/>
      <c r="BG2499" s="1119"/>
      <c r="BH2499" s="1119"/>
    </row>
    <row r="2500" spans="1:60" ht="15.75" customHeight="1">
      <c r="A2500" s="1076"/>
      <c r="B2500" s="416"/>
      <c r="C2500" s="424"/>
      <c r="E2500" s="418"/>
      <c r="F2500" s="493"/>
      <c r="G2500" s="418"/>
      <c r="H2500" s="421"/>
      <c r="I2500" s="421"/>
      <c r="J2500" s="492"/>
      <c r="K2500" s="418"/>
      <c r="L2500" s="418"/>
      <c r="M2500" s="418"/>
      <c r="N2500" s="421"/>
      <c r="O2500" s="421"/>
      <c r="P2500" s="421"/>
      <c r="Q2500" s="418"/>
      <c r="R2500" s="418"/>
      <c r="S2500" s="418"/>
      <c r="T2500" s="418"/>
      <c r="U2500" s="418"/>
      <c r="V2500" s="418"/>
      <c r="W2500" s="418"/>
      <c r="X2500" s="418"/>
      <c r="Y2500" s="418"/>
      <c r="Z2500" s="418"/>
      <c r="AA2500" s="418"/>
      <c r="AB2500" s="418"/>
      <c r="AC2500" s="418"/>
      <c r="AD2500" s="418"/>
      <c r="AE2500" s="418"/>
      <c r="AF2500" s="418"/>
      <c r="AG2500" s="418"/>
      <c r="AH2500" s="418"/>
      <c r="AI2500" s="418"/>
      <c r="AJ2500" s="418"/>
      <c r="AK2500" s="418"/>
      <c r="AL2500" s="418"/>
      <c r="AM2500" s="418"/>
      <c r="BF2500" s="1119"/>
      <c r="BG2500" s="1119"/>
      <c r="BH2500" s="1119"/>
    </row>
    <row r="2501" spans="1:60" ht="15.75" customHeight="1">
      <c r="A2501" s="1076"/>
      <c r="B2501" s="416"/>
      <c r="C2501" s="424"/>
      <c r="E2501" s="418"/>
      <c r="F2501" s="493"/>
      <c r="G2501" s="418"/>
      <c r="H2501" s="421"/>
      <c r="I2501" s="421"/>
      <c r="J2501" s="492"/>
      <c r="K2501" s="418"/>
      <c r="L2501" s="418"/>
      <c r="M2501" s="418"/>
      <c r="N2501" s="421"/>
      <c r="O2501" s="421"/>
      <c r="P2501" s="421"/>
      <c r="Q2501" s="418"/>
      <c r="R2501" s="418"/>
      <c r="S2501" s="418"/>
      <c r="T2501" s="418"/>
      <c r="U2501" s="418"/>
      <c r="V2501" s="418"/>
      <c r="W2501" s="418"/>
      <c r="X2501" s="418"/>
      <c r="Y2501" s="418"/>
      <c r="Z2501" s="418"/>
      <c r="AA2501" s="418"/>
      <c r="AB2501" s="418"/>
      <c r="AC2501" s="418"/>
      <c r="AD2501" s="418"/>
      <c r="AE2501" s="418"/>
      <c r="AF2501" s="418"/>
      <c r="AG2501" s="418"/>
      <c r="AH2501" s="418"/>
      <c r="AI2501" s="418"/>
      <c r="AJ2501" s="418"/>
      <c r="AK2501" s="418"/>
      <c r="AL2501" s="418"/>
      <c r="AM2501" s="418"/>
      <c r="BF2501" s="1119"/>
      <c r="BG2501" s="1119"/>
      <c r="BH2501" s="1119"/>
    </row>
    <row r="2502" spans="1:60" ht="15.75" customHeight="1">
      <c r="A2502" s="1076"/>
      <c r="B2502" s="416"/>
      <c r="C2502" s="424"/>
      <c r="E2502" s="418"/>
      <c r="F2502" s="493"/>
      <c r="G2502" s="418"/>
      <c r="H2502" s="421"/>
      <c r="I2502" s="421"/>
      <c r="J2502" s="492"/>
      <c r="K2502" s="418"/>
      <c r="L2502" s="418"/>
      <c r="M2502" s="418"/>
      <c r="N2502" s="421"/>
      <c r="O2502" s="421"/>
      <c r="P2502" s="421"/>
      <c r="Q2502" s="418"/>
      <c r="R2502" s="418"/>
      <c r="S2502" s="418"/>
      <c r="T2502" s="418"/>
      <c r="U2502" s="418"/>
      <c r="V2502" s="418"/>
      <c r="W2502" s="418"/>
      <c r="X2502" s="418"/>
      <c r="Y2502" s="418"/>
      <c r="Z2502" s="418"/>
      <c r="AA2502" s="418"/>
      <c r="AB2502" s="418"/>
      <c r="AC2502" s="418"/>
      <c r="AD2502" s="418"/>
      <c r="AE2502" s="418"/>
      <c r="AF2502" s="418"/>
      <c r="AG2502" s="418"/>
      <c r="AH2502" s="418"/>
      <c r="AI2502" s="418"/>
      <c r="AJ2502" s="418"/>
      <c r="AK2502" s="418"/>
      <c r="AL2502" s="418"/>
      <c r="AM2502" s="418"/>
      <c r="BF2502" s="1119"/>
      <c r="BG2502" s="1119"/>
      <c r="BH2502" s="1119"/>
    </row>
    <row r="2503" spans="1:60" ht="15.75" customHeight="1">
      <c r="A2503" s="1076"/>
      <c r="B2503" s="416"/>
      <c r="C2503" s="424"/>
      <c r="E2503" s="418"/>
      <c r="F2503" s="493"/>
      <c r="G2503" s="418"/>
      <c r="H2503" s="421"/>
      <c r="I2503" s="421"/>
      <c r="J2503" s="492"/>
      <c r="K2503" s="418"/>
      <c r="L2503" s="418"/>
      <c r="M2503" s="418"/>
      <c r="N2503" s="421"/>
      <c r="O2503" s="421"/>
      <c r="P2503" s="421"/>
      <c r="Q2503" s="418"/>
      <c r="R2503" s="418"/>
      <c r="S2503" s="418"/>
      <c r="T2503" s="418"/>
      <c r="U2503" s="418"/>
      <c r="V2503" s="418"/>
      <c r="W2503" s="418"/>
      <c r="X2503" s="418"/>
      <c r="Y2503" s="418"/>
      <c r="Z2503" s="418"/>
      <c r="AA2503" s="418"/>
      <c r="AB2503" s="418"/>
      <c r="AC2503" s="418"/>
      <c r="AD2503" s="418"/>
      <c r="AE2503" s="418"/>
      <c r="AF2503" s="418"/>
      <c r="AG2503" s="418"/>
      <c r="AH2503" s="418"/>
      <c r="AI2503" s="418"/>
      <c r="AJ2503" s="418"/>
      <c r="AK2503" s="418"/>
      <c r="AL2503" s="418"/>
      <c r="AM2503" s="418"/>
      <c r="BF2503" s="1119"/>
      <c r="BG2503" s="1119"/>
      <c r="BH2503" s="1119"/>
    </row>
    <row r="2504" spans="1:60" ht="15.75" customHeight="1">
      <c r="A2504" s="1076"/>
      <c r="B2504" s="416"/>
      <c r="C2504" s="424"/>
      <c r="E2504" s="418"/>
      <c r="F2504" s="493"/>
      <c r="G2504" s="418"/>
      <c r="H2504" s="421"/>
      <c r="I2504" s="421"/>
      <c r="J2504" s="492"/>
      <c r="K2504" s="418"/>
      <c r="L2504" s="418"/>
      <c r="M2504" s="418"/>
      <c r="N2504" s="421"/>
      <c r="O2504" s="421"/>
      <c r="P2504" s="421"/>
      <c r="Q2504" s="418"/>
      <c r="R2504" s="418"/>
      <c r="S2504" s="418"/>
      <c r="T2504" s="418"/>
      <c r="U2504" s="418"/>
      <c r="V2504" s="418"/>
      <c r="W2504" s="418"/>
      <c r="X2504" s="418"/>
      <c r="Y2504" s="418"/>
      <c r="Z2504" s="418"/>
      <c r="AA2504" s="418"/>
      <c r="AB2504" s="418"/>
      <c r="AC2504" s="418"/>
      <c r="AD2504" s="418"/>
      <c r="AE2504" s="418"/>
      <c r="AF2504" s="418"/>
      <c r="AG2504" s="418"/>
      <c r="AH2504" s="418"/>
      <c r="AI2504" s="418"/>
      <c r="AJ2504" s="418"/>
      <c r="AK2504" s="418"/>
      <c r="AL2504" s="418"/>
      <c r="AM2504" s="418"/>
      <c r="BF2504" s="1119"/>
      <c r="BG2504" s="1119"/>
      <c r="BH2504" s="1119"/>
    </row>
    <row r="2505" spans="1:60" ht="15.75" customHeight="1">
      <c r="A2505" s="1076"/>
      <c r="B2505" s="416"/>
      <c r="C2505" s="424"/>
      <c r="E2505" s="418"/>
      <c r="F2505" s="493"/>
      <c r="G2505" s="418"/>
      <c r="H2505" s="421"/>
      <c r="I2505" s="421"/>
      <c r="J2505" s="492"/>
      <c r="K2505" s="418"/>
      <c r="L2505" s="418"/>
      <c r="M2505" s="418"/>
      <c r="N2505" s="421"/>
      <c r="O2505" s="421"/>
      <c r="P2505" s="421"/>
      <c r="Q2505" s="418"/>
      <c r="R2505" s="418"/>
      <c r="S2505" s="418"/>
      <c r="T2505" s="418"/>
      <c r="U2505" s="418"/>
      <c r="V2505" s="418"/>
      <c r="W2505" s="418"/>
      <c r="X2505" s="418"/>
      <c r="Y2505" s="418"/>
      <c r="Z2505" s="418"/>
      <c r="AA2505" s="418"/>
      <c r="AB2505" s="418"/>
      <c r="AC2505" s="418"/>
      <c r="AD2505" s="418"/>
      <c r="AE2505" s="418"/>
      <c r="AF2505" s="418"/>
      <c r="AG2505" s="418"/>
      <c r="AH2505" s="418"/>
      <c r="AI2505" s="418"/>
      <c r="AJ2505" s="418"/>
      <c r="AK2505" s="418"/>
      <c r="AL2505" s="418"/>
      <c r="AM2505" s="418"/>
      <c r="BF2505" s="1119"/>
      <c r="BG2505" s="1119"/>
      <c r="BH2505" s="1119"/>
    </row>
    <row r="2506" spans="1:60" ht="15.75" customHeight="1">
      <c r="A2506" s="1076"/>
      <c r="B2506" s="416"/>
      <c r="C2506" s="424"/>
      <c r="E2506" s="418"/>
      <c r="F2506" s="493"/>
      <c r="G2506" s="418"/>
      <c r="H2506" s="421"/>
      <c r="I2506" s="421"/>
      <c r="J2506" s="492"/>
      <c r="K2506" s="418"/>
      <c r="L2506" s="418"/>
      <c r="M2506" s="418"/>
      <c r="N2506" s="421"/>
      <c r="O2506" s="421"/>
      <c r="P2506" s="421"/>
      <c r="Q2506" s="418"/>
      <c r="R2506" s="418"/>
      <c r="S2506" s="418"/>
      <c r="T2506" s="418"/>
      <c r="U2506" s="418"/>
      <c r="V2506" s="418"/>
      <c r="W2506" s="418"/>
      <c r="X2506" s="418"/>
      <c r="Y2506" s="418"/>
      <c r="Z2506" s="418"/>
      <c r="AA2506" s="418"/>
      <c r="AB2506" s="418"/>
      <c r="AC2506" s="418"/>
      <c r="AD2506" s="418"/>
      <c r="AE2506" s="418"/>
      <c r="AF2506" s="418"/>
      <c r="AG2506" s="418"/>
      <c r="AH2506" s="418"/>
      <c r="AI2506" s="418"/>
      <c r="AJ2506" s="418"/>
      <c r="AK2506" s="418"/>
      <c r="AL2506" s="418"/>
      <c r="AM2506" s="418"/>
      <c r="BF2506" s="1119"/>
      <c r="BG2506" s="1119"/>
      <c r="BH2506" s="1119"/>
    </row>
    <row r="2507" spans="1:60" ht="15.75" customHeight="1">
      <c r="A2507" s="1076"/>
      <c r="B2507" s="416"/>
      <c r="C2507" s="424"/>
      <c r="E2507" s="418"/>
      <c r="F2507" s="493"/>
      <c r="G2507" s="418"/>
      <c r="H2507" s="421"/>
      <c r="I2507" s="421"/>
      <c r="J2507" s="492"/>
      <c r="K2507" s="418"/>
      <c r="L2507" s="418"/>
      <c r="M2507" s="418"/>
      <c r="N2507" s="421"/>
      <c r="O2507" s="421"/>
      <c r="P2507" s="421"/>
      <c r="Q2507" s="418"/>
      <c r="R2507" s="418"/>
      <c r="S2507" s="418"/>
      <c r="T2507" s="418"/>
      <c r="U2507" s="418"/>
      <c r="V2507" s="418"/>
      <c r="W2507" s="418"/>
      <c r="X2507" s="418"/>
      <c r="Y2507" s="418"/>
      <c r="Z2507" s="418"/>
      <c r="AA2507" s="418"/>
      <c r="AB2507" s="418"/>
      <c r="AC2507" s="418"/>
      <c r="AD2507" s="418"/>
      <c r="AE2507" s="418"/>
      <c r="AF2507" s="418"/>
      <c r="AG2507" s="418"/>
      <c r="AH2507" s="418"/>
      <c r="AI2507" s="418"/>
      <c r="AJ2507" s="418"/>
      <c r="AK2507" s="418"/>
      <c r="AL2507" s="418"/>
      <c r="AM2507" s="418"/>
      <c r="BF2507" s="1119"/>
      <c r="BG2507" s="1119"/>
      <c r="BH2507" s="1119"/>
    </row>
    <row r="2508" spans="1:60" ht="15.75" customHeight="1">
      <c r="A2508" s="1076"/>
      <c r="B2508" s="416"/>
      <c r="C2508" s="424"/>
      <c r="E2508" s="418"/>
      <c r="F2508" s="493"/>
      <c r="G2508" s="418"/>
      <c r="H2508" s="421"/>
      <c r="I2508" s="421"/>
      <c r="J2508" s="492"/>
      <c r="K2508" s="418"/>
      <c r="L2508" s="418"/>
      <c r="M2508" s="418"/>
      <c r="N2508" s="421"/>
      <c r="O2508" s="421"/>
      <c r="P2508" s="421"/>
      <c r="Q2508" s="418"/>
      <c r="R2508" s="418"/>
      <c r="S2508" s="418"/>
      <c r="T2508" s="418"/>
      <c r="U2508" s="418"/>
      <c r="V2508" s="418"/>
      <c r="W2508" s="418"/>
      <c r="X2508" s="418"/>
      <c r="Y2508" s="418"/>
      <c r="Z2508" s="418"/>
      <c r="AA2508" s="418"/>
      <c r="AB2508" s="418"/>
      <c r="AC2508" s="418"/>
      <c r="AD2508" s="418"/>
      <c r="AE2508" s="418"/>
      <c r="AF2508" s="418"/>
      <c r="AG2508" s="418"/>
      <c r="AH2508" s="418"/>
      <c r="AI2508" s="418"/>
      <c r="AJ2508" s="418"/>
      <c r="AK2508" s="418"/>
      <c r="AL2508" s="418"/>
      <c r="AM2508" s="418"/>
      <c r="BF2508" s="1119"/>
      <c r="BG2508" s="1119"/>
      <c r="BH2508" s="1119"/>
    </row>
    <row r="2509" spans="1:60" ht="15.75" customHeight="1">
      <c r="A2509" s="1076"/>
      <c r="B2509" s="416"/>
      <c r="C2509" s="424"/>
      <c r="E2509" s="418"/>
      <c r="F2509" s="493"/>
      <c r="G2509" s="418"/>
      <c r="H2509" s="421"/>
      <c r="I2509" s="421"/>
      <c r="J2509" s="492"/>
      <c r="K2509" s="418"/>
      <c r="L2509" s="418"/>
      <c r="M2509" s="418"/>
      <c r="N2509" s="421"/>
      <c r="O2509" s="421"/>
      <c r="P2509" s="421"/>
      <c r="Q2509" s="418"/>
      <c r="R2509" s="418"/>
      <c r="S2509" s="418"/>
      <c r="T2509" s="418"/>
      <c r="U2509" s="418"/>
      <c r="V2509" s="418"/>
      <c r="W2509" s="418"/>
      <c r="X2509" s="418"/>
      <c r="Y2509" s="418"/>
      <c r="Z2509" s="418"/>
      <c r="AA2509" s="418"/>
      <c r="AB2509" s="418"/>
      <c r="AC2509" s="418"/>
      <c r="AD2509" s="418"/>
      <c r="AE2509" s="418"/>
      <c r="AF2509" s="418"/>
      <c r="AG2509" s="418"/>
      <c r="AH2509" s="418"/>
      <c r="AI2509" s="418"/>
      <c r="AJ2509" s="418"/>
      <c r="AK2509" s="418"/>
      <c r="AL2509" s="418"/>
      <c r="AM2509" s="418"/>
      <c r="BF2509" s="1119"/>
      <c r="BG2509" s="1119"/>
      <c r="BH2509" s="1119"/>
    </row>
    <row r="2510" spans="1:60" ht="15.75" customHeight="1">
      <c r="A2510" s="1076"/>
      <c r="B2510" s="416"/>
      <c r="C2510" s="424"/>
      <c r="E2510" s="418"/>
      <c r="F2510" s="493"/>
      <c r="G2510" s="418"/>
      <c r="H2510" s="421"/>
      <c r="I2510" s="421"/>
      <c r="J2510" s="492"/>
      <c r="K2510" s="418"/>
      <c r="L2510" s="418"/>
      <c r="M2510" s="418"/>
      <c r="N2510" s="421"/>
      <c r="O2510" s="421"/>
      <c r="P2510" s="421"/>
      <c r="Q2510" s="418"/>
      <c r="R2510" s="418"/>
      <c r="S2510" s="418"/>
      <c r="T2510" s="418"/>
      <c r="U2510" s="418"/>
      <c r="V2510" s="418"/>
      <c r="W2510" s="418"/>
      <c r="X2510" s="418"/>
      <c r="Y2510" s="418"/>
      <c r="Z2510" s="418"/>
      <c r="AA2510" s="418"/>
      <c r="AB2510" s="418"/>
      <c r="AC2510" s="418"/>
      <c r="AD2510" s="418"/>
      <c r="AE2510" s="418"/>
      <c r="AF2510" s="418"/>
      <c r="AG2510" s="418"/>
      <c r="AH2510" s="418"/>
      <c r="AI2510" s="418"/>
      <c r="AJ2510" s="418"/>
      <c r="AK2510" s="418"/>
      <c r="AL2510" s="418"/>
      <c r="AM2510" s="418"/>
      <c r="BF2510" s="1119"/>
      <c r="BG2510" s="1119"/>
      <c r="BH2510" s="1119"/>
    </row>
    <row r="2511" spans="1:60" ht="15.75" customHeight="1">
      <c r="A2511" s="1076"/>
      <c r="B2511" s="416"/>
      <c r="C2511" s="424"/>
      <c r="E2511" s="418"/>
      <c r="F2511" s="493"/>
      <c r="G2511" s="418"/>
      <c r="H2511" s="421"/>
      <c r="I2511" s="421"/>
      <c r="J2511" s="492"/>
      <c r="K2511" s="418"/>
      <c r="L2511" s="418"/>
      <c r="M2511" s="418"/>
      <c r="N2511" s="421"/>
      <c r="O2511" s="421"/>
      <c r="P2511" s="421"/>
      <c r="Q2511" s="418"/>
      <c r="R2511" s="418"/>
      <c r="S2511" s="418"/>
      <c r="T2511" s="418"/>
      <c r="U2511" s="418"/>
      <c r="V2511" s="418"/>
      <c r="W2511" s="418"/>
      <c r="X2511" s="418"/>
      <c r="Y2511" s="418"/>
      <c r="Z2511" s="418"/>
      <c r="AA2511" s="418"/>
      <c r="AB2511" s="418"/>
      <c r="AC2511" s="418"/>
      <c r="AD2511" s="418"/>
      <c r="AE2511" s="418"/>
      <c r="AF2511" s="418"/>
      <c r="AG2511" s="418"/>
      <c r="AI2511" s="418"/>
      <c r="AJ2511" s="418"/>
      <c r="AK2511" s="418"/>
      <c r="AL2511" s="418"/>
      <c r="AM2511" s="418"/>
      <c r="BF2511" s="1119"/>
      <c r="BG2511" s="1119"/>
      <c r="BH2511" s="1119"/>
    </row>
    <row r="2512" spans="1:60" ht="15.75" customHeight="1">
      <c r="A2512" s="1076"/>
      <c r="B2512" s="416"/>
      <c r="C2512" s="424"/>
      <c r="E2512" s="418"/>
      <c r="F2512" s="493"/>
      <c r="G2512" s="418"/>
      <c r="H2512" s="418"/>
      <c r="I2512" s="418"/>
      <c r="J2512" s="424"/>
      <c r="K2512" s="418"/>
      <c r="L2512" s="418"/>
      <c r="M2512" s="418"/>
      <c r="N2512" s="421"/>
      <c r="O2512" s="421"/>
      <c r="P2512" s="421"/>
      <c r="Q2512" s="418"/>
      <c r="R2512" s="418"/>
      <c r="S2512" s="418"/>
      <c r="T2512" s="418"/>
      <c r="U2512" s="418"/>
      <c r="V2512" s="418"/>
      <c r="W2512" s="418"/>
      <c r="X2512" s="418"/>
      <c r="Y2512" s="418"/>
      <c r="Z2512" s="418"/>
      <c r="AA2512" s="418"/>
      <c r="AB2512" s="418"/>
      <c r="AC2512" s="418"/>
      <c r="AD2512" s="418"/>
      <c r="AE2512" s="418"/>
      <c r="AF2512" s="418"/>
      <c r="AG2512" s="418"/>
      <c r="AI2512" s="418"/>
      <c r="AJ2512" s="418"/>
      <c r="AK2512" s="418"/>
      <c r="AL2512" s="418"/>
      <c r="AM2512" s="418"/>
      <c r="BF2512" s="1119"/>
      <c r="BG2512" s="1119"/>
      <c r="BH2512" s="1119"/>
    </row>
    <row r="2513" spans="1:60" ht="15.75" customHeight="1">
      <c r="A2513" s="1076"/>
      <c r="B2513" s="416"/>
      <c r="C2513" s="424"/>
      <c r="E2513" s="418"/>
      <c r="F2513" s="493"/>
      <c r="G2513" s="418"/>
      <c r="H2513" s="421"/>
      <c r="I2513" s="421"/>
      <c r="J2513" s="492"/>
      <c r="K2513" s="418"/>
      <c r="L2513" s="418"/>
      <c r="M2513" s="418"/>
      <c r="N2513" s="421"/>
      <c r="O2513" s="421"/>
      <c r="P2513" s="421"/>
      <c r="Q2513" s="418"/>
      <c r="R2513" s="418"/>
      <c r="S2513" s="418"/>
      <c r="T2513" s="418"/>
      <c r="U2513" s="418"/>
      <c r="V2513" s="418"/>
      <c r="W2513" s="418"/>
      <c r="X2513" s="418"/>
      <c r="Y2513" s="418"/>
      <c r="Z2513" s="418"/>
      <c r="AA2513" s="418"/>
      <c r="AB2513" s="418"/>
      <c r="AC2513" s="418"/>
      <c r="AD2513" s="418"/>
      <c r="AE2513" s="418"/>
      <c r="AF2513" s="418"/>
      <c r="AG2513" s="418"/>
      <c r="AJ2513" s="418"/>
      <c r="AK2513" s="418"/>
      <c r="AL2513" s="418"/>
      <c r="AM2513" s="418"/>
      <c r="BF2513" s="1119"/>
      <c r="BG2513" s="1119"/>
      <c r="BH2513" s="1119"/>
    </row>
    <row r="2514" spans="1:60" ht="15.75" customHeight="1">
      <c r="A2514" s="1076"/>
      <c r="B2514" s="416"/>
      <c r="C2514" s="424"/>
      <c r="E2514" s="418"/>
      <c r="F2514" s="493"/>
      <c r="G2514" s="418"/>
      <c r="H2514" s="421"/>
      <c r="I2514" s="421"/>
      <c r="J2514" s="492"/>
      <c r="K2514" s="418"/>
      <c r="L2514" s="418"/>
      <c r="M2514" s="418"/>
      <c r="N2514" s="421"/>
      <c r="O2514" s="421"/>
      <c r="P2514" s="421"/>
      <c r="Q2514" s="418"/>
      <c r="R2514" s="418"/>
      <c r="S2514" s="418"/>
      <c r="T2514" s="418"/>
      <c r="U2514" s="418"/>
      <c r="V2514" s="418"/>
      <c r="W2514" s="418"/>
      <c r="X2514" s="418"/>
      <c r="Y2514" s="418"/>
      <c r="Z2514" s="418"/>
      <c r="AA2514" s="418"/>
      <c r="AB2514" s="418"/>
      <c r="AC2514" s="418"/>
      <c r="AD2514" s="418"/>
      <c r="AE2514" s="418"/>
      <c r="AF2514" s="418"/>
      <c r="AG2514" s="418"/>
      <c r="AJ2514" s="418"/>
      <c r="AK2514" s="418"/>
      <c r="AL2514" s="418"/>
      <c r="AM2514" s="418"/>
      <c r="BF2514" s="1119"/>
      <c r="BG2514" s="1119"/>
      <c r="BH2514" s="1119"/>
    </row>
    <row r="2515" spans="1:60" ht="15.75" customHeight="1">
      <c r="A2515" s="1076"/>
      <c r="B2515" s="416"/>
      <c r="C2515" s="424"/>
      <c r="E2515" s="418"/>
      <c r="F2515" s="493"/>
      <c r="G2515" s="418"/>
      <c r="H2515" s="421"/>
      <c r="I2515" s="421"/>
      <c r="J2515" s="492"/>
      <c r="K2515" s="418"/>
      <c r="L2515" s="418"/>
      <c r="M2515" s="418"/>
      <c r="N2515" s="421"/>
      <c r="O2515" s="421"/>
      <c r="P2515" s="421"/>
      <c r="Q2515" s="418"/>
      <c r="R2515" s="418"/>
      <c r="S2515" s="418"/>
      <c r="T2515" s="418"/>
      <c r="U2515" s="418"/>
      <c r="V2515" s="418"/>
      <c r="W2515" s="418"/>
      <c r="X2515" s="418"/>
      <c r="Y2515" s="418"/>
      <c r="Z2515" s="418"/>
      <c r="AA2515" s="418"/>
      <c r="AB2515" s="418"/>
      <c r="AC2515" s="418"/>
      <c r="AD2515" s="418"/>
      <c r="AE2515" s="418"/>
      <c r="AF2515" s="418"/>
      <c r="AG2515" s="418"/>
      <c r="AJ2515" s="418"/>
      <c r="AK2515" s="418"/>
      <c r="AL2515" s="418"/>
      <c r="AM2515" s="418"/>
      <c r="BF2515" s="1119"/>
      <c r="BG2515" s="1119"/>
      <c r="BH2515" s="1119"/>
    </row>
    <row r="2516" spans="1:60" ht="15.75" customHeight="1">
      <c r="A2516" s="1076"/>
      <c r="B2516" s="416"/>
      <c r="C2516" s="424"/>
      <c r="E2516" s="418"/>
      <c r="F2516" s="493"/>
      <c r="G2516" s="418"/>
      <c r="H2516" s="421"/>
      <c r="I2516" s="421"/>
      <c r="J2516" s="492"/>
      <c r="K2516" s="418"/>
      <c r="L2516" s="418"/>
      <c r="M2516" s="418"/>
      <c r="N2516" s="421"/>
      <c r="O2516" s="421"/>
      <c r="P2516" s="421"/>
      <c r="Q2516" s="418"/>
      <c r="R2516" s="418"/>
      <c r="S2516" s="418"/>
      <c r="T2516" s="418"/>
      <c r="U2516" s="418"/>
      <c r="V2516" s="418"/>
      <c r="W2516" s="418"/>
      <c r="X2516" s="418"/>
      <c r="Y2516" s="418"/>
      <c r="Z2516" s="418"/>
      <c r="AA2516" s="418"/>
      <c r="AB2516" s="418"/>
      <c r="AC2516" s="418"/>
      <c r="AD2516" s="418"/>
      <c r="AE2516" s="418"/>
      <c r="AF2516" s="418"/>
      <c r="AG2516" s="418"/>
      <c r="AJ2516" s="418"/>
      <c r="AK2516" s="418"/>
      <c r="AL2516" s="418"/>
      <c r="AM2516" s="418"/>
      <c r="BF2516" s="1119"/>
      <c r="BG2516" s="1119"/>
      <c r="BH2516" s="1119"/>
    </row>
    <row r="2517" spans="1:60" ht="15.75" customHeight="1">
      <c r="A2517" s="1076"/>
      <c r="B2517" s="416"/>
      <c r="C2517" s="424"/>
      <c r="E2517" s="418"/>
      <c r="F2517" s="493"/>
      <c r="G2517" s="418"/>
      <c r="H2517" s="421"/>
      <c r="I2517" s="421"/>
      <c r="J2517" s="492"/>
      <c r="K2517" s="418"/>
      <c r="L2517" s="418"/>
      <c r="M2517" s="418"/>
      <c r="N2517" s="421"/>
      <c r="O2517" s="421"/>
      <c r="P2517" s="421"/>
      <c r="Q2517" s="418"/>
      <c r="R2517" s="418"/>
      <c r="S2517" s="418"/>
      <c r="T2517" s="418"/>
      <c r="U2517" s="418"/>
      <c r="V2517" s="418"/>
      <c r="W2517" s="418"/>
      <c r="X2517" s="418"/>
      <c r="Y2517" s="418"/>
      <c r="Z2517" s="418"/>
      <c r="AA2517" s="418"/>
      <c r="AB2517" s="418"/>
      <c r="AC2517" s="418"/>
      <c r="AD2517" s="418"/>
      <c r="AE2517" s="418"/>
      <c r="AF2517" s="418"/>
      <c r="AG2517" s="418"/>
      <c r="AJ2517" s="418"/>
      <c r="AK2517" s="418"/>
      <c r="AL2517" s="418"/>
      <c r="AM2517" s="418"/>
      <c r="BF2517" s="1119"/>
      <c r="BG2517" s="1119"/>
      <c r="BH2517" s="1119"/>
    </row>
    <row r="2518" spans="1:60" ht="15.75" customHeight="1">
      <c r="A2518" s="1076"/>
      <c r="B2518" s="416"/>
      <c r="C2518" s="424"/>
      <c r="E2518" s="418"/>
      <c r="F2518" s="493"/>
      <c r="G2518" s="418"/>
      <c r="H2518" s="421"/>
      <c r="I2518" s="421"/>
      <c r="J2518" s="492"/>
      <c r="K2518" s="418"/>
      <c r="L2518" s="418"/>
      <c r="M2518" s="418"/>
      <c r="N2518" s="421"/>
      <c r="O2518" s="421"/>
      <c r="P2518" s="421"/>
      <c r="Q2518" s="418"/>
      <c r="R2518" s="418"/>
      <c r="S2518" s="418"/>
      <c r="T2518" s="418"/>
      <c r="U2518" s="418"/>
      <c r="V2518" s="418"/>
      <c r="W2518" s="418"/>
      <c r="X2518" s="418"/>
      <c r="Y2518" s="418"/>
      <c r="Z2518" s="418"/>
      <c r="AA2518" s="418"/>
      <c r="AB2518" s="418"/>
      <c r="AC2518" s="418"/>
      <c r="AD2518" s="418"/>
      <c r="AE2518" s="418"/>
      <c r="AF2518" s="418"/>
      <c r="AG2518" s="418"/>
      <c r="AJ2518" s="418"/>
      <c r="AK2518" s="418"/>
      <c r="AL2518" s="418"/>
      <c r="AM2518" s="418"/>
      <c r="BF2518" s="1119"/>
      <c r="BG2518" s="1119"/>
      <c r="BH2518" s="1119"/>
    </row>
    <row r="2519" spans="1:60" ht="15.75" customHeight="1">
      <c r="A2519" s="1076"/>
      <c r="B2519" s="416"/>
      <c r="C2519" s="424"/>
      <c r="E2519" s="418"/>
      <c r="F2519" s="493"/>
      <c r="G2519" s="418"/>
      <c r="H2519" s="421"/>
      <c r="I2519" s="421"/>
      <c r="J2519" s="492"/>
      <c r="K2519" s="418"/>
      <c r="L2519" s="418"/>
      <c r="M2519" s="418"/>
      <c r="N2519" s="421"/>
      <c r="O2519" s="421"/>
      <c r="P2519" s="421"/>
      <c r="Q2519" s="418"/>
      <c r="R2519" s="418"/>
      <c r="S2519" s="418"/>
      <c r="T2519" s="418"/>
      <c r="U2519" s="418"/>
      <c r="V2519" s="418"/>
      <c r="W2519" s="418"/>
      <c r="X2519" s="418"/>
      <c r="Y2519" s="418"/>
      <c r="Z2519" s="418"/>
      <c r="AA2519" s="418"/>
      <c r="AB2519" s="418"/>
      <c r="AC2519" s="418"/>
      <c r="AD2519" s="418"/>
      <c r="AE2519" s="418"/>
      <c r="AF2519" s="418"/>
      <c r="AG2519" s="418"/>
      <c r="AJ2519" s="418"/>
      <c r="AK2519" s="418"/>
      <c r="AL2519" s="418"/>
      <c r="AM2519" s="418"/>
      <c r="BF2519" s="1119"/>
      <c r="BG2519" s="1119"/>
      <c r="BH2519" s="1119"/>
    </row>
    <row r="2520" spans="1:60" ht="15.75" customHeight="1">
      <c r="A2520" s="1076"/>
      <c r="B2520" s="416"/>
      <c r="C2520" s="424"/>
      <c r="E2520" s="418"/>
      <c r="F2520" s="493"/>
      <c r="G2520" s="418"/>
      <c r="H2520" s="421"/>
      <c r="I2520" s="421"/>
      <c r="J2520" s="492"/>
      <c r="K2520" s="418"/>
      <c r="L2520" s="418"/>
      <c r="M2520" s="418"/>
      <c r="N2520" s="421"/>
      <c r="O2520" s="421"/>
      <c r="P2520" s="421"/>
      <c r="Q2520" s="418"/>
      <c r="R2520" s="418"/>
      <c r="T2520" s="418"/>
      <c r="U2520" s="418"/>
      <c r="V2520" s="418"/>
      <c r="W2520" s="418"/>
      <c r="X2520" s="418"/>
      <c r="Y2520" s="418"/>
      <c r="Z2520" s="418"/>
      <c r="AA2520" s="418"/>
      <c r="AB2520" s="418"/>
      <c r="AC2520" s="418"/>
      <c r="AD2520" s="418"/>
      <c r="AE2520" s="418"/>
      <c r="AF2520" s="418"/>
      <c r="AG2520" s="418"/>
      <c r="AJ2520" s="418"/>
      <c r="AK2520" s="418"/>
      <c r="AL2520" s="418"/>
      <c r="AM2520" s="418"/>
      <c r="BF2520" s="1119"/>
      <c r="BG2520" s="1119"/>
      <c r="BH2520" s="1119"/>
    </row>
    <row r="2521" spans="1:60" ht="15.75" customHeight="1">
      <c r="A2521" s="1076"/>
      <c r="B2521" s="514"/>
      <c r="C2521" s="424"/>
      <c r="G2521" s="418"/>
      <c r="H2521" s="467"/>
      <c r="I2521" s="467"/>
      <c r="J2521" s="469"/>
      <c r="K2521" s="312"/>
      <c r="L2521" s="312"/>
      <c r="M2521" s="312"/>
      <c r="N2521" s="467"/>
      <c r="O2521" s="467"/>
      <c r="P2521" s="467"/>
      <c r="AG2521" s="418"/>
      <c r="BF2521" s="1119"/>
      <c r="BG2521" s="1119"/>
      <c r="BH2521" s="1119"/>
    </row>
    <row r="2522" spans="1:60" ht="15.75" customHeight="1">
      <c r="A2522" s="1076"/>
      <c r="B2522" s="514"/>
      <c r="C2522" s="424"/>
      <c r="G2522" s="418"/>
      <c r="H2522" s="421"/>
      <c r="I2522" s="421"/>
      <c r="J2522" s="469"/>
      <c r="K2522" s="312"/>
      <c r="L2522" s="312"/>
      <c r="M2522" s="312"/>
      <c r="N2522" s="467"/>
      <c r="O2522" s="421"/>
      <c r="P2522" s="467"/>
      <c r="AG2522" s="418"/>
      <c r="BF2522" s="1119"/>
      <c r="BG2522" s="1119"/>
      <c r="BH2522" s="1119"/>
    </row>
    <row r="2523" spans="1:60" ht="15.75" customHeight="1">
      <c r="A2523" s="1076"/>
      <c r="B2523" s="514"/>
      <c r="C2523" s="424"/>
      <c r="G2523" s="418"/>
      <c r="H2523" s="467"/>
      <c r="I2523" s="467"/>
      <c r="J2523" s="469"/>
      <c r="K2523" s="312"/>
      <c r="L2523" s="312"/>
      <c r="M2523" s="312"/>
      <c r="N2523" s="467"/>
      <c r="O2523" s="467"/>
      <c r="P2523" s="467"/>
      <c r="AG2523" s="418"/>
      <c r="BF2523" s="1119"/>
      <c r="BG2523" s="1119"/>
      <c r="BH2523" s="1119"/>
    </row>
    <row r="2524" spans="1:60" ht="15.75" customHeight="1">
      <c r="A2524" s="1076"/>
      <c r="B2524" s="514"/>
      <c r="C2524" s="424"/>
      <c r="G2524" s="418"/>
      <c r="H2524" s="467"/>
      <c r="I2524" s="467"/>
      <c r="J2524" s="469"/>
      <c r="K2524" s="312"/>
      <c r="L2524" s="312"/>
      <c r="M2524" s="312"/>
      <c r="N2524" s="467"/>
      <c r="O2524" s="467"/>
      <c r="P2524" s="467"/>
      <c r="AG2524" s="418"/>
      <c r="BF2524" s="1119"/>
      <c r="BG2524" s="1119"/>
      <c r="BH2524" s="1119"/>
    </row>
    <row r="2525" spans="1:60" ht="15.75" customHeight="1">
      <c r="A2525" s="1076"/>
      <c r="B2525" s="514"/>
      <c r="C2525" s="424"/>
      <c r="G2525" s="418"/>
      <c r="H2525" s="467"/>
      <c r="I2525" s="467"/>
      <c r="J2525" s="469"/>
      <c r="K2525" s="312"/>
      <c r="L2525" s="312"/>
      <c r="M2525" s="312"/>
      <c r="N2525" s="467"/>
      <c r="O2525" s="467"/>
      <c r="P2525" s="467"/>
      <c r="AG2525" s="418"/>
      <c r="BF2525" s="1119"/>
      <c r="BG2525" s="1119"/>
      <c r="BH2525" s="1119"/>
    </row>
    <row r="2526" spans="1:60" ht="15.75" customHeight="1">
      <c r="A2526" s="1076"/>
      <c r="B2526" s="514"/>
      <c r="C2526" s="424"/>
      <c r="G2526" s="418"/>
      <c r="H2526" s="467"/>
      <c r="I2526" s="467"/>
      <c r="J2526" s="469"/>
      <c r="K2526" s="312"/>
      <c r="L2526" s="312"/>
      <c r="M2526" s="312"/>
      <c r="N2526" s="467"/>
      <c r="O2526" s="467"/>
      <c r="P2526" s="467"/>
      <c r="AG2526" s="418"/>
      <c r="BF2526" s="1119"/>
      <c r="BG2526" s="1119"/>
      <c r="BH2526" s="1119"/>
    </row>
    <row r="2527" spans="1:60" ht="15.75" customHeight="1">
      <c r="A2527" s="1076"/>
      <c r="BF2527" s="1119"/>
      <c r="BG2527" s="1119"/>
      <c r="BH2527" s="1119"/>
    </row>
    <row r="2528" spans="1:60" ht="15.75" customHeight="1">
      <c r="A2528" s="1076"/>
      <c r="B2528" s="514"/>
      <c r="C2528" s="424"/>
      <c r="G2528" s="418"/>
      <c r="H2528" s="467"/>
      <c r="I2528" s="467"/>
      <c r="J2528" s="469"/>
      <c r="K2528" s="312"/>
      <c r="L2528" s="312"/>
      <c r="M2528" s="312"/>
      <c r="N2528" s="467"/>
      <c r="O2528" s="467"/>
      <c r="P2528" s="467"/>
      <c r="AG2528" s="418"/>
      <c r="BF2528" s="1119"/>
      <c r="BG2528" s="1119"/>
      <c r="BH2528" s="1119"/>
    </row>
    <row r="2529" spans="1:60" ht="15.75" customHeight="1">
      <c r="A2529" s="1076"/>
      <c r="B2529" s="514"/>
      <c r="C2529" s="424"/>
      <c r="G2529" s="418"/>
      <c r="H2529" s="467"/>
      <c r="I2529" s="467"/>
      <c r="J2529" s="469"/>
      <c r="K2529" s="312"/>
      <c r="L2529" s="312"/>
      <c r="M2529" s="312"/>
      <c r="N2529" s="467"/>
      <c r="O2529" s="467"/>
      <c r="P2529" s="467"/>
      <c r="AG2529" s="418"/>
      <c r="BF2529" s="1119"/>
      <c r="BG2529" s="1119"/>
      <c r="BH2529" s="1119"/>
    </row>
    <row r="2530" spans="1:60" ht="15.75" customHeight="1">
      <c r="A2530" s="1076"/>
      <c r="B2530" s="514"/>
      <c r="C2530" s="424"/>
      <c r="G2530" s="418"/>
      <c r="H2530" s="467"/>
      <c r="I2530" s="467"/>
      <c r="J2530" s="469"/>
      <c r="K2530" s="312"/>
      <c r="L2530" s="312"/>
      <c r="M2530" s="312"/>
      <c r="N2530" s="467"/>
      <c r="O2530" s="467"/>
      <c r="P2530" s="467"/>
      <c r="AG2530" s="418"/>
      <c r="BF2530" s="1119"/>
      <c r="BG2530" s="1119"/>
      <c r="BH2530" s="1119"/>
    </row>
    <row r="2531" spans="1:60" ht="15.75" customHeight="1">
      <c r="A2531" s="1076"/>
      <c r="B2531" s="514"/>
      <c r="C2531" s="424"/>
      <c r="G2531" s="418"/>
      <c r="H2531" s="467"/>
      <c r="I2531" s="467"/>
      <c r="J2531" s="469"/>
      <c r="K2531" s="312"/>
      <c r="L2531" s="312"/>
      <c r="M2531" s="312"/>
      <c r="N2531" s="467"/>
      <c r="O2531" s="467"/>
      <c r="P2531" s="467"/>
      <c r="AG2531" s="418"/>
      <c r="BF2531" s="1119"/>
      <c r="BG2531" s="1119"/>
      <c r="BH2531" s="1119"/>
    </row>
    <row r="2532" spans="1:60" ht="15.75" customHeight="1">
      <c r="A2532" s="1076"/>
      <c r="B2532" s="514"/>
      <c r="C2532" s="424"/>
      <c r="G2532" s="418"/>
      <c r="H2532" s="467"/>
      <c r="I2532" s="467"/>
      <c r="J2532" s="469"/>
      <c r="K2532" s="312"/>
      <c r="L2532" s="312"/>
      <c r="M2532" s="312"/>
      <c r="N2532" s="467"/>
      <c r="O2532" s="467"/>
      <c r="P2532" s="467"/>
      <c r="AG2532" s="418"/>
      <c r="BF2532" s="1119"/>
      <c r="BG2532" s="1119"/>
      <c r="BH2532" s="1119"/>
    </row>
    <row r="2533" spans="1:60" ht="15.75" customHeight="1">
      <c r="A2533" s="1076"/>
      <c r="B2533" s="514"/>
      <c r="C2533" s="424"/>
      <c r="G2533" s="418"/>
      <c r="H2533" s="467"/>
      <c r="I2533" s="467"/>
      <c r="J2533" s="469"/>
      <c r="K2533" s="312"/>
      <c r="L2533" s="312"/>
      <c r="M2533" s="312"/>
      <c r="N2533" s="467"/>
      <c r="O2533" s="467"/>
      <c r="P2533" s="467"/>
      <c r="AG2533" s="418"/>
      <c r="BF2533" s="1119"/>
      <c r="BG2533" s="1119"/>
      <c r="BH2533" s="1119"/>
    </row>
    <row r="2534" spans="1:60" ht="15.75" customHeight="1">
      <c r="A2534" s="1076"/>
      <c r="B2534" s="514"/>
      <c r="C2534" s="424"/>
      <c r="G2534" s="418"/>
      <c r="H2534" s="467"/>
      <c r="I2534" s="467"/>
      <c r="J2534" s="469"/>
      <c r="K2534" s="312"/>
      <c r="L2534" s="312"/>
      <c r="M2534" s="312"/>
      <c r="N2534" s="467"/>
      <c r="O2534" s="467"/>
      <c r="P2534" s="467"/>
      <c r="AG2534" s="418"/>
      <c r="BF2534" s="1119"/>
      <c r="BG2534" s="1119"/>
      <c r="BH2534" s="1119"/>
    </row>
    <row r="2535" spans="1:60" ht="15.75" customHeight="1">
      <c r="A2535" s="1076"/>
      <c r="B2535" s="514"/>
      <c r="C2535" s="424"/>
      <c r="G2535" s="418"/>
      <c r="H2535" s="467"/>
      <c r="I2535" s="467"/>
      <c r="J2535" s="469"/>
      <c r="K2535" s="312"/>
      <c r="L2535" s="312"/>
      <c r="M2535" s="312"/>
      <c r="N2535" s="467"/>
      <c r="O2535" s="467"/>
      <c r="P2535" s="421"/>
      <c r="AG2535" s="418"/>
      <c r="BF2535" s="1119"/>
      <c r="BG2535" s="1119"/>
      <c r="BH2535" s="1119"/>
    </row>
    <row r="2536" spans="1:60" ht="15.75" customHeight="1">
      <c r="A2536" s="1076"/>
      <c r="B2536" s="514"/>
      <c r="C2536" s="424"/>
      <c r="G2536" s="418"/>
      <c r="H2536" s="467"/>
      <c r="I2536" s="467"/>
      <c r="J2536" s="469"/>
      <c r="K2536" s="312"/>
      <c r="L2536" s="312"/>
      <c r="M2536" s="312"/>
      <c r="N2536" s="467"/>
      <c r="O2536" s="467"/>
      <c r="P2536" s="467"/>
      <c r="AG2536" s="418"/>
      <c r="BF2536" s="1119"/>
      <c r="BG2536" s="1119"/>
      <c r="BH2536" s="1119"/>
    </row>
    <row r="2537" spans="1:60" ht="15.75" customHeight="1">
      <c r="A2537" s="1076"/>
      <c r="B2537" s="514"/>
      <c r="C2537" s="424"/>
      <c r="G2537" s="418"/>
      <c r="H2537" s="467"/>
      <c r="I2537" s="467"/>
      <c r="J2537" s="469"/>
      <c r="K2537" s="312"/>
      <c r="L2537" s="312"/>
      <c r="M2537" s="312"/>
      <c r="N2537" s="467"/>
      <c r="O2537" s="467"/>
      <c r="P2537" s="467"/>
      <c r="AG2537" s="418"/>
      <c r="BF2537" s="1119"/>
      <c r="BG2537" s="1119"/>
      <c r="BH2537" s="1119"/>
    </row>
    <row r="2538" spans="1:60" ht="15.75" customHeight="1">
      <c r="A2538" s="1076"/>
      <c r="B2538" s="514"/>
      <c r="C2538" s="424"/>
      <c r="G2538" s="418"/>
      <c r="H2538" s="467"/>
      <c r="I2538" s="467"/>
      <c r="J2538" s="469"/>
      <c r="K2538" s="312"/>
      <c r="L2538" s="312"/>
      <c r="M2538" s="312"/>
      <c r="N2538" s="467"/>
      <c r="O2538" s="467"/>
      <c r="P2538" s="467"/>
      <c r="AG2538" s="418"/>
      <c r="BF2538" s="1119"/>
      <c r="BG2538" s="1119"/>
      <c r="BH2538" s="1119"/>
    </row>
    <row r="2539" spans="1:60" ht="15.75" customHeight="1">
      <c r="A2539" s="1076"/>
      <c r="B2539" s="514"/>
      <c r="C2539" s="424"/>
      <c r="G2539" s="418"/>
      <c r="H2539" s="467"/>
      <c r="I2539" s="467"/>
      <c r="J2539" s="469"/>
      <c r="K2539" s="312"/>
      <c r="L2539" s="312"/>
      <c r="M2539" s="312"/>
      <c r="N2539" s="467"/>
      <c r="O2539" s="467"/>
      <c r="P2539" s="467"/>
      <c r="AG2539" s="418"/>
      <c r="BF2539" s="1119"/>
      <c r="BG2539" s="1119"/>
      <c r="BH2539" s="1119"/>
    </row>
    <row r="2540" spans="1:60" ht="15.75" customHeight="1">
      <c r="A2540" s="1076"/>
      <c r="B2540" s="514"/>
      <c r="C2540" s="424"/>
      <c r="G2540" s="418"/>
      <c r="H2540" s="421"/>
      <c r="I2540" s="421"/>
      <c r="J2540" s="469"/>
      <c r="K2540" s="312"/>
      <c r="L2540" s="312"/>
      <c r="M2540" s="312"/>
      <c r="N2540" s="467"/>
      <c r="O2540" s="421"/>
      <c r="P2540" s="467"/>
      <c r="AG2540" s="418"/>
      <c r="BF2540" s="1119"/>
      <c r="BG2540" s="1119"/>
      <c r="BH2540" s="1119"/>
    </row>
    <row r="2541" spans="1:60" ht="15.75" customHeight="1">
      <c r="A2541" s="1076"/>
      <c r="B2541" s="514"/>
      <c r="C2541" s="424"/>
      <c r="G2541" s="418"/>
      <c r="H2541" s="467"/>
      <c r="I2541" s="467"/>
      <c r="J2541" s="469"/>
      <c r="K2541" s="312"/>
      <c r="L2541" s="312"/>
      <c r="M2541" s="312"/>
      <c r="N2541" s="467"/>
      <c r="O2541" s="467"/>
      <c r="P2541" s="467"/>
      <c r="AG2541" s="418"/>
      <c r="BF2541" s="1119"/>
      <c r="BG2541" s="1119"/>
      <c r="BH2541" s="1119"/>
    </row>
    <row r="2542" spans="1:60" ht="15.75" customHeight="1">
      <c r="A2542" s="1076"/>
      <c r="B2542" s="514"/>
      <c r="C2542" s="424"/>
      <c r="G2542" s="418"/>
      <c r="H2542" s="421"/>
      <c r="I2542" s="421"/>
      <c r="J2542" s="469"/>
      <c r="K2542" s="312"/>
      <c r="L2542" s="312"/>
      <c r="M2542" s="312"/>
      <c r="N2542" s="467"/>
      <c r="O2542" s="421"/>
      <c r="P2542" s="467"/>
      <c r="AG2542" s="418"/>
      <c r="BF2542" s="1119"/>
      <c r="BG2542" s="1119"/>
      <c r="BH2542" s="1119"/>
    </row>
    <row r="2543" spans="1:60" ht="15.75" customHeight="1">
      <c r="A2543" s="1076"/>
      <c r="B2543" s="514"/>
      <c r="C2543" s="424"/>
      <c r="G2543" s="418"/>
      <c r="H2543" s="467"/>
      <c r="I2543" s="467"/>
      <c r="J2543" s="469"/>
      <c r="K2543" s="312"/>
      <c r="L2543" s="312"/>
      <c r="M2543" s="312"/>
      <c r="N2543" s="467"/>
      <c r="O2543" s="467"/>
      <c r="P2543" s="467"/>
      <c r="AG2543" s="418"/>
      <c r="BF2543" s="1119"/>
      <c r="BG2543" s="1119"/>
      <c r="BH2543" s="1119"/>
    </row>
    <row r="2544" spans="1:60" ht="15.75" customHeight="1">
      <c r="A2544" s="1076"/>
      <c r="B2544" s="514"/>
      <c r="C2544" s="424"/>
      <c r="G2544" s="418"/>
      <c r="H2544" s="421"/>
      <c r="I2544" s="421"/>
      <c r="J2544" s="469"/>
      <c r="K2544" s="312"/>
      <c r="L2544" s="312"/>
      <c r="M2544" s="312"/>
      <c r="N2544" s="467"/>
      <c r="O2544" s="421"/>
      <c r="P2544" s="467"/>
      <c r="AG2544" s="418"/>
      <c r="BF2544" s="1119"/>
      <c r="BG2544" s="1119"/>
      <c r="BH2544" s="1119"/>
    </row>
    <row r="2545" spans="1:60" ht="15.75" customHeight="1">
      <c r="A2545" s="1076"/>
      <c r="B2545" s="514"/>
      <c r="C2545" s="424"/>
      <c r="G2545" s="418"/>
      <c r="H2545" s="421"/>
      <c r="I2545" s="421"/>
      <c r="J2545" s="469"/>
      <c r="K2545" s="312"/>
      <c r="L2545" s="312"/>
      <c r="M2545" s="312"/>
      <c r="N2545" s="467"/>
      <c r="O2545" s="421"/>
      <c r="P2545" s="467"/>
      <c r="AG2545" s="418"/>
      <c r="BF2545" s="1119"/>
      <c r="BG2545" s="1119"/>
      <c r="BH2545" s="1119"/>
    </row>
    <row r="2546" spans="1:60" ht="15.75" customHeight="1">
      <c r="A2546" s="1076"/>
      <c r="B2546" s="514"/>
      <c r="C2546" s="424"/>
      <c r="G2546" s="418"/>
      <c r="H2546" s="467"/>
      <c r="I2546" s="467"/>
      <c r="J2546" s="469"/>
      <c r="K2546" s="312"/>
      <c r="L2546" s="312"/>
      <c r="M2546" s="312"/>
      <c r="N2546" s="467"/>
      <c r="O2546" s="467"/>
      <c r="P2546" s="467"/>
      <c r="AG2546" s="418"/>
      <c r="BF2546" s="1119"/>
      <c r="BG2546" s="1119"/>
      <c r="BH2546" s="1119"/>
    </row>
    <row r="2547" spans="1:60" ht="15.75" customHeight="1">
      <c r="A2547" s="1076"/>
      <c r="B2547" s="514"/>
      <c r="C2547" s="424"/>
      <c r="G2547" s="418"/>
      <c r="H2547" s="467"/>
      <c r="I2547" s="467"/>
      <c r="J2547" s="469"/>
      <c r="K2547" s="312"/>
      <c r="L2547" s="312"/>
      <c r="M2547" s="312"/>
      <c r="N2547" s="467"/>
      <c r="O2547" s="467"/>
      <c r="P2547" s="467"/>
      <c r="AG2547" s="418"/>
      <c r="BF2547" s="1119"/>
      <c r="BG2547" s="1119"/>
      <c r="BH2547" s="1119"/>
    </row>
    <row r="2548" spans="1:60" ht="15.75" customHeight="1">
      <c r="A2548" s="1076"/>
      <c r="B2548" s="514"/>
      <c r="C2548" s="424"/>
      <c r="G2548" s="418"/>
      <c r="H2548" s="467"/>
      <c r="I2548" s="467"/>
      <c r="J2548" s="469"/>
      <c r="K2548" s="312"/>
      <c r="L2548" s="312"/>
      <c r="M2548" s="312"/>
      <c r="N2548" s="467"/>
      <c r="O2548" s="467"/>
      <c r="P2548" s="467"/>
      <c r="AG2548" s="418"/>
      <c r="BF2548" s="1119"/>
      <c r="BG2548" s="1119"/>
      <c r="BH2548" s="1119"/>
    </row>
    <row r="2549" spans="1:60" ht="15.75" customHeight="1">
      <c r="A2549" s="1076"/>
      <c r="B2549" s="514"/>
      <c r="C2549" s="424"/>
      <c r="G2549" s="418"/>
      <c r="H2549" s="467"/>
      <c r="I2549" s="467"/>
      <c r="J2549" s="469"/>
      <c r="K2549" s="312"/>
      <c r="L2549" s="312"/>
      <c r="M2549" s="312"/>
      <c r="N2549" s="467"/>
      <c r="O2549" s="467"/>
      <c r="P2549" s="467"/>
      <c r="AG2549" s="418"/>
      <c r="BF2549" s="1119"/>
      <c r="BG2549" s="1119"/>
      <c r="BH2549" s="1119"/>
    </row>
    <row r="2550" spans="1:60" ht="15.75" customHeight="1">
      <c r="A2550" s="1076"/>
      <c r="B2550" s="514"/>
      <c r="C2550" s="424"/>
      <c r="G2550" s="418"/>
      <c r="H2550" s="467"/>
      <c r="I2550" s="467"/>
      <c r="J2550" s="469"/>
      <c r="K2550" s="312"/>
      <c r="L2550" s="312"/>
      <c r="M2550" s="312"/>
      <c r="N2550" s="467"/>
      <c r="O2550" s="467"/>
      <c r="P2550" s="467"/>
      <c r="AG2550" s="418"/>
      <c r="BF2550" s="1119"/>
      <c r="BG2550" s="1119"/>
      <c r="BH2550" s="1119"/>
    </row>
    <row r="2551" spans="1:60" ht="15.75" customHeight="1">
      <c r="A2551" s="1076"/>
      <c r="B2551" s="514"/>
      <c r="C2551" s="424"/>
      <c r="G2551" s="418"/>
      <c r="H2551" s="467"/>
      <c r="I2551" s="467"/>
      <c r="J2551" s="469"/>
      <c r="K2551" s="312"/>
      <c r="L2551" s="312"/>
      <c r="M2551" s="312"/>
      <c r="N2551" s="467"/>
      <c r="O2551" s="467"/>
      <c r="P2551" s="467"/>
      <c r="AG2551" s="418"/>
      <c r="BF2551" s="1119"/>
      <c r="BG2551" s="1119"/>
      <c r="BH2551" s="1119"/>
    </row>
    <row r="2552" spans="1:60" ht="15.75" customHeight="1">
      <c r="A2552" s="1076"/>
      <c r="B2552" s="514"/>
      <c r="C2552" s="424"/>
      <c r="G2552" s="418"/>
      <c r="H2552" s="467"/>
      <c r="I2552" s="467"/>
      <c r="J2552" s="469"/>
      <c r="K2552" s="312"/>
      <c r="L2552" s="312"/>
      <c r="M2552" s="312"/>
      <c r="N2552" s="467"/>
      <c r="O2552" s="467"/>
      <c r="P2552" s="467"/>
      <c r="AG2552" s="418"/>
      <c r="BF2552" s="1119"/>
      <c r="BG2552" s="1119"/>
      <c r="BH2552" s="1119"/>
    </row>
    <row r="2553" spans="1:60" ht="15.75" customHeight="1">
      <c r="A2553" s="1076"/>
      <c r="B2553" s="514"/>
      <c r="C2553" s="424"/>
      <c r="G2553" s="418"/>
      <c r="H2553" s="467"/>
      <c r="I2553" s="467"/>
      <c r="J2553" s="469"/>
      <c r="K2553" s="312"/>
      <c r="L2553" s="312"/>
      <c r="M2553" s="312"/>
      <c r="N2553" s="467"/>
      <c r="O2553" s="467"/>
      <c r="P2553" s="421"/>
      <c r="AG2553" s="418"/>
      <c r="BF2553" s="1119"/>
      <c r="BG2553" s="1119"/>
      <c r="BH2553" s="1119"/>
    </row>
    <row r="2554" spans="1:60" ht="15.75" customHeight="1">
      <c r="A2554" s="1076"/>
      <c r="B2554" s="514"/>
      <c r="C2554" s="424"/>
      <c r="G2554" s="418"/>
      <c r="H2554" s="467"/>
      <c r="I2554" s="467"/>
      <c r="J2554" s="469"/>
      <c r="K2554" s="312"/>
      <c r="L2554" s="312"/>
      <c r="M2554" s="312"/>
      <c r="N2554" s="467"/>
      <c r="O2554" s="467"/>
      <c r="P2554" s="467"/>
      <c r="AG2554" s="418"/>
      <c r="BF2554" s="1119"/>
      <c r="BG2554" s="1119"/>
      <c r="BH2554" s="1119"/>
    </row>
    <row r="2555" spans="1:60" ht="15.75" customHeight="1">
      <c r="A2555" s="1076"/>
      <c r="B2555" s="514"/>
      <c r="C2555" s="424"/>
      <c r="G2555" s="418"/>
      <c r="H2555" s="467"/>
      <c r="I2555" s="467"/>
      <c r="J2555" s="469"/>
      <c r="K2555" s="312"/>
      <c r="L2555" s="312"/>
      <c r="M2555" s="312"/>
      <c r="N2555" s="467"/>
      <c r="O2555" s="467"/>
      <c r="P2555" s="421"/>
      <c r="AG2555" s="418"/>
      <c r="BF2555" s="1119"/>
      <c r="BG2555" s="1119"/>
      <c r="BH2555" s="1119"/>
    </row>
    <row r="2556" spans="1:60" ht="15.75" customHeight="1">
      <c r="A2556" s="1076"/>
      <c r="B2556" s="514"/>
      <c r="C2556" s="424"/>
      <c r="G2556" s="418"/>
      <c r="H2556" s="467"/>
      <c r="I2556" s="467"/>
      <c r="J2556" s="469"/>
      <c r="K2556" s="312"/>
      <c r="L2556" s="312"/>
      <c r="M2556" s="312"/>
      <c r="N2556" s="467"/>
      <c r="O2556" s="467"/>
      <c r="P2556" s="467"/>
      <c r="AG2556" s="418"/>
      <c r="BF2556" s="1119"/>
      <c r="BG2556" s="1119"/>
      <c r="BH2556" s="1119"/>
    </row>
    <row r="2557" spans="1:60" ht="15.75" customHeight="1">
      <c r="A2557" s="1076"/>
      <c r="B2557" s="514"/>
      <c r="C2557" s="424"/>
      <c r="G2557" s="418"/>
      <c r="H2557" s="467"/>
      <c r="I2557" s="467"/>
      <c r="J2557" s="469"/>
      <c r="K2557" s="312"/>
      <c r="L2557" s="312"/>
      <c r="M2557" s="312"/>
      <c r="N2557" s="467"/>
      <c r="O2557" s="467"/>
      <c r="P2557" s="421"/>
      <c r="AG2557" s="418"/>
      <c r="BF2557" s="1119"/>
      <c r="BG2557" s="1119"/>
      <c r="BH2557" s="1119"/>
    </row>
    <row r="2558" spans="1:60" ht="15.75" customHeight="1">
      <c r="A2558" s="1076"/>
      <c r="B2558" s="514"/>
      <c r="C2558" s="424"/>
      <c r="G2558" s="418"/>
      <c r="H2558" s="421"/>
      <c r="I2558" s="467"/>
      <c r="J2558" s="469"/>
      <c r="K2558" s="312"/>
      <c r="L2558" s="312"/>
      <c r="M2558" s="312"/>
      <c r="N2558" s="467"/>
      <c r="O2558" s="421"/>
      <c r="P2558" s="421"/>
      <c r="AG2558" s="418"/>
      <c r="BF2558" s="1119"/>
      <c r="BG2558" s="1119"/>
      <c r="BH2558" s="1119"/>
    </row>
    <row r="2559" spans="1:60" ht="15.75" customHeight="1">
      <c r="A2559" s="1076"/>
      <c r="B2559" s="514"/>
      <c r="C2559" s="424"/>
      <c r="G2559" s="418"/>
      <c r="H2559" s="467"/>
      <c r="I2559" s="467"/>
      <c r="J2559" s="469"/>
      <c r="K2559" s="312"/>
      <c r="L2559" s="312"/>
      <c r="M2559" s="312"/>
      <c r="N2559" s="467"/>
      <c r="O2559" s="467"/>
      <c r="P2559" s="467"/>
      <c r="AG2559" s="418"/>
      <c r="BF2559" s="1119"/>
      <c r="BG2559" s="1119"/>
      <c r="BH2559" s="1119"/>
    </row>
    <row r="2560" spans="1:60" ht="15.75" customHeight="1">
      <c r="A2560" s="1076"/>
      <c r="B2560" s="514"/>
      <c r="C2560" s="424"/>
      <c r="G2560" s="418"/>
      <c r="H2560" s="467"/>
      <c r="I2560" s="467"/>
      <c r="J2560" s="469"/>
      <c r="K2560" s="312"/>
      <c r="L2560" s="312"/>
      <c r="M2560" s="312"/>
      <c r="N2560" s="467"/>
      <c r="O2560" s="467"/>
      <c r="P2560" s="467"/>
      <c r="AG2560" s="418"/>
      <c r="BF2560" s="1119"/>
      <c r="BG2560" s="1119"/>
      <c r="BH2560" s="1119"/>
    </row>
    <row r="2561" spans="1:60" ht="15.75" customHeight="1">
      <c r="A2561" s="1076"/>
      <c r="B2561" s="514"/>
      <c r="C2561" s="424"/>
      <c r="G2561" s="418"/>
      <c r="H2561" s="467"/>
      <c r="I2561" s="467"/>
      <c r="J2561" s="469"/>
      <c r="K2561" s="312"/>
      <c r="L2561" s="312"/>
      <c r="M2561" s="312"/>
      <c r="N2561" s="467"/>
      <c r="O2561" s="467"/>
      <c r="P2561" s="467"/>
      <c r="AG2561" s="418"/>
      <c r="BF2561" s="1119"/>
      <c r="BG2561" s="1119"/>
      <c r="BH2561" s="1119"/>
    </row>
    <row r="2562" spans="1:60" ht="15.75" customHeight="1">
      <c r="A2562" s="1076"/>
      <c r="B2562" s="514"/>
      <c r="C2562" s="424"/>
      <c r="G2562" s="418"/>
      <c r="H2562" s="421"/>
      <c r="I2562" s="421"/>
      <c r="J2562" s="469"/>
      <c r="K2562" s="312"/>
      <c r="L2562" s="312"/>
      <c r="M2562" s="312"/>
      <c r="N2562" s="467"/>
      <c r="O2562" s="421"/>
      <c r="P2562" s="467"/>
      <c r="AG2562" s="418"/>
      <c r="BF2562" s="1119"/>
      <c r="BG2562" s="1119"/>
      <c r="BH2562" s="1119"/>
    </row>
    <row r="2563" spans="1:60" ht="15.75" customHeight="1">
      <c r="A2563" s="1076"/>
      <c r="B2563" s="514"/>
      <c r="C2563" s="424"/>
      <c r="G2563" s="418"/>
      <c r="H2563" s="467"/>
      <c r="I2563" s="467"/>
      <c r="J2563" s="469"/>
      <c r="K2563" s="312"/>
      <c r="L2563" s="312"/>
      <c r="M2563" s="312"/>
      <c r="N2563" s="467"/>
      <c r="O2563" s="467"/>
      <c r="P2563" s="467"/>
      <c r="AG2563" s="418"/>
      <c r="BF2563" s="1119"/>
      <c r="BG2563" s="1119"/>
      <c r="BH2563" s="1119"/>
    </row>
    <row r="2564" spans="1:60" ht="15.75" customHeight="1">
      <c r="A2564" s="1076"/>
      <c r="B2564" s="514"/>
      <c r="C2564" s="424"/>
      <c r="G2564" s="418"/>
      <c r="H2564" s="467"/>
      <c r="I2564" s="467"/>
      <c r="J2564" s="469"/>
      <c r="K2564" s="312"/>
      <c r="L2564" s="312"/>
      <c r="M2564" s="312"/>
      <c r="N2564" s="467"/>
      <c r="O2564" s="467"/>
      <c r="P2564" s="467"/>
      <c r="AG2564" s="418"/>
      <c r="BF2564" s="1119"/>
      <c r="BG2564" s="1119"/>
      <c r="BH2564" s="1119"/>
    </row>
    <row r="2565" spans="1:60" ht="15.75" customHeight="1">
      <c r="A2565" s="1076"/>
      <c r="B2565" s="514"/>
      <c r="C2565" s="424"/>
      <c r="G2565" s="418"/>
      <c r="H2565" s="467"/>
      <c r="I2565" s="467"/>
      <c r="J2565" s="469"/>
      <c r="K2565" s="312"/>
      <c r="L2565" s="312"/>
      <c r="M2565" s="312"/>
      <c r="N2565" s="467"/>
      <c r="O2565" s="467"/>
      <c r="P2565" s="467"/>
      <c r="AG2565" s="418"/>
      <c r="BF2565" s="1119"/>
      <c r="BG2565" s="1119"/>
      <c r="BH2565" s="1119"/>
    </row>
    <row r="2566" spans="1:60" ht="15.75" customHeight="1">
      <c r="A2566" s="1076"/>
      <c r="B2566" s="514"/>
      <c r="C2566" s="424"/>
      <c r="G2566" s="418"/>
      <c r="H2566" s="467"/>
      <c r="I2566" s="467"/>
      <c r="J2566" s="469"/>
      <c r="K2566" s="312"/>
      <c r="L2566" s="312"/>
      <c r="M2566" s="312"/>
      <c r="N2566" s="467"/>
      <c r="O2566" s="467"/>
      <c r="P2566" s="467"/>
      <c r="AG2566" s="418"/>
      <c r="BF2566" s="1119"/>
      <c r="BG2566" s="1119"/>
      <c r="BH2566" s="1119"/>
    </row>
    <row r="2567" spans="1:60" ht="15.75" customHeight="1">
      <c r="A2567" s="1076"/>
      <c r="B2567" s="514"/>
      <c r="C2567" s="424"/>
      <c r="G2567" s="418"/>
      <c r="H2567" s="467"/>
      <c r="I2567" s="467"/>
      <c r="J2567" s="469"/>
      <c r="K2567" s="312"/>
      <c r="L2567" s="312"/>
      <c r="M2567" s="312"/>
      <c r="N2567" s="467"/>
      <c r="O2567" s="467"/>
      <c r="P2567" s="467"/>
      <c r="AG2567" s="418"/>
      <c r="BF2567" s="1119"/>
      <c r="BG2567" s="1119"/>
      <c r="BH2567" s="1119"/>
    </row>
    <row r="2568" spans="1:60" ht="15.75" customHeight="1">
      <c r="A2568" s="1076"/>
      <c r="B2568" s="514"/>
      <c r="C2568" s="424"/>
      <c r="G2568" s="418"/>
      <c r="H2568" s="467"/>
      <c r="I2568" s="467"/>
      <c r="J2568" s="469"/>
      <c r="K2568" s="312"/>
      <c r="L2568" s="312"/>
      <c r="M2568" s="312"/>
      <c r="N2568" s="467"/>
      <c r="O2568" s="467"/>
      <c r="P2568" s="467"/>
      <c r="AG2568" s="418"/>
      <c r="BF2568" s="1119"/>
      <c r="BG2568" s="1119"/>
      <c r="BH2568" s="1119"/>
    </row>
    <row r="2569" spans="1:60" ht="15.75" customHeight="1">
      <c r="A2569" s="1076"/>
      <c r="B2569" s="514"/>
      <c r="C2569" s="424"/>
      <c r="G2569" s="418"/>
      <c r="H2569" s="467"/>
      <c r="I2569" s="467"/>
      <c r="J2569" s="469"/>
      <c r="K2569" s="312"/>
      <c r="L2569" s="312"/>
      <c r="M2569" s="312"/>
      <c r="N2569" s="467"/>
      <c r="O2569" s="467"/>
      <c r="P2569" s="467"/>
      <c r="AG2569" s="418"/>
      <c r="BF2569" s="1119"/>
      <c r="BG2569" s="1119"/>
      <c r="BH2569" s="1119"/>
    </row>
    <row r="2570" spans="1:60" ht="15.75" customHeight="1">
      <c r="A2570" s="1076"/>
      <c r="B2570" s="514"/>
      <c r="C2570" s="424"/>
      <c r="G2570" s="418"/>
      <c r="H2570" s="467"/>
      <c r="I2570" s="467"/>
      <c r="J2570" s="469"/>
      <c r="K2570" s="312"/>
      <c r="L2570" s="312"/>
      <c r="M2570" s="312"/>
      <c r="N2570" s="467"/>
      <c r="O2570" s="467"/>
      <c r="P2570" s="467"/>
      <c r="AG2570" s="418"/>
      <c r="BF2570" s="1119"/>
      <c r="BG2570" s="1119"/>
      <c r="BH2570" s="1119"/>
    </row>
    <row r="2571" spans="1:60" ht="15.75" customHeight="1">
      <c r="A2571" s="1076"/>
      <c r="B2571" s="514"/>
      <c r="C2571" s="424"/>
      <c r="G2571" s="418"/>
      <c r="H2571" s="467"/>
      <c r="I2571" s="467"/>
      <c r="J2571" s="469"/>
      <c r="K2571" s="312"/>
      <c r="L2571" s="312"/>
      <c r="M2571" s="312"/>
      <c r="N2571" s="467"/>
      <c r="O2571" s="467"/>
      <c r="P2571" s="421"/>
      <c r="AG2571" s="418"/>
      <c r="BF2571" s="1119"/>
      <c r="BG2571" s="1119"/>
      <c r="BH2571" s="1119"/>
    </row>
    <row r="2572" spans="1:60" ht="15.75" customHeight="1">
      <c r="A2572" s="1076"/>
      <c r="B2572" s="514"/>
      <c r="C2572" s="424"/>
      <c r="G2572" s="418"/>
      <c r="H2572" s="467"/>
      <c r="I2572" s="467"/>
      <c r="J2572" s="469"/>
      <c r="K2572" s="312"/>
      <c r="L2572" s="312"/>
      <c r="M2572" s="312"/>
      <c r="N2572" s="467"/>
      <c r="O2572" s="467"/>
      <c r="P2572" s="467"/>
      <c r="AG2572" s="418"/>
      <c r="BF2572" s="1119"/>
      <c r="BG2572" s="1119"/>
      <c r="BH2572" s="1119"/>
    </row>
    <row r="2573" spans="1:60" ht="15.75" customHeight="1">
      <c r="A2573" s="1076"/>
      <c r="B2573" s="514"/>
      <c r="C2573" s="424"/>
      <c r="G2573" s="418"/>
      <c r="H2573" s="467"/>
      <c r="I2573" s="467"/>
      <c r="J2573" s="469"/>
      <c r="K2573" s="312"/>
      <c r="L2573" s="312"/>
      <c r="M2573" s="312"/>
      <c r="N2573" s="467"/>
      <c r="O2573" s="467"/>
      <c r="P2573" s="467"/>
      <c r="AG2573" s="418"/>
      <c r="BF2573" s="1119"/>
      <c r="BG2573" s="1119"/>
      <c r="BH2573" s="1119"/>
    </row>
    <row r="2574" spans="1:60" ht="15.75" customHeight="1">
      <c r="A2574" s="1076"/>
      <c r="B2574" s="514"/>
      <c r="C2574" s="424"/>
      <c r="G2574" s="418"/>
      <c r="H2574" s="467"/>
      <c r="I2574" s="467"/>
      <c r="J2574" s="469"/>
      <c r="K2574" s="312"/>
      <c r="L2574" s="312"/>
      <c r="M2574" s="312"/>
      <c r="N2574" s="467"/>
      <c r="O2574" s="467"/>
      <c r="P2574" s="467"/>
      <c r="AG2574" s="418"/>
      <c r="BF2574" s="1119"/>
      <c r="BG2574" s="1119"/>
      <c r="BH2574" s="1119"/>
    </row>
    <row r="2575" spans="1:60" ht="15.75" customHeight="1">
      <c r="A2575" s="1076"/>
      <c r="B2575" s="514"/>
      <c r="C2575" s="424"/>
      <c r="G2575" s="418"/>
      <c r="H2575" s="467"/>
      <c r="I2575" s="467"/>
      <c r="J2575" s="469"/>
      <c r="K2575" s="312"/>
      <c r="L2575" s="312"/>
      <c r="M2575" s="312"/>
      <c r="N2575" s="467"/>
      <c r="O2575" s="467"/>
      <c r="P2575" s="421"/>
      <c r="AG2575" s="418"/>
      <c r="BF2575" s="1119"/>
      <c r="BG2575" s="1119"/>
      <c r="BH2575" s="1119"/>
    </row>
    <row r="2576" spans="1:60" ht="15.75" customHeight="1">
      <c r="A2576" s="1076"/>
      <c r="B2576" s="514"/>
      <c r="C2576" s="424"/>
      <c r="G2576" s="418"/>
      <c r="H2576" s="467"/>
      <c r="I2576" s="467"/>
      <c r="J2576" s="469"/>
      <c r="K2576" s="312"/>
      <c r="L2576" s="312"/>
      <c r="M2576" s="312"/>
      <c r="N2576" s="467"/>
      <c r="O2576" s="467"/>
      <c r="P2576" s="467"/>
      <c r="AG2576" s="418"/>
      <c r="BF2576" s="1119"/>
      <c r="BG2576" s="1119"/>
      <c r="BH2576" s="1119"/>
    </row>
    <row r="2577" spans="1:60" ht="15.75" customHeight="1">
      <c r="A2577" s="1076"/>
      <c r="B2577" s="514"/>
      <c r="C2577" s="424"/>
      <c r="G2577" s="418"/>
      <c r="H2577" s="467"/>
      <c r="I2577" s="467"/>
      <c r="J2577" s="469"/>
      <c r="K2577" s="312"/>
      <c r="L2577" s="312"/>
      <c r="M2577" s="312"/>
      <c r="N2577" s="467"/>
      <c r="O2577" s="467"/>
      <c r="P2577" s="467"/>
      <c r="AG2577" s="418"/>
      <c r="BF2577" s="1119"/>
      <c r="BG2577" s="1119"/>
      <c r="BH2577" s="1119"/>
    </row>
    <row r="2578" spans="1:60" ht="15.75" customHeight="1">
      <c r="A2578" s="1076"/>
      <c r="B2578" s="514"/>
      <c r="C2578" s="424"/>
      <c r="G2578" s="418"/>
      <c r="H2578" s="421"/>
      <c r="I2578" s="421"/>
      <c r="J2578" s="469"/>
      <c r="K2578" s="312"/>
      <c r="L2578" s="312"/>
      <c r="M2578" s="312"/>
      <c r="N2578" s="467"/>
      <c r="O2578" s="421"/>
      <c r="P2578" s="467"/>
      <c r="AG2578" s="418"/>
      <c r="BF2578" s="1119"/>
      <c r="BG2578" s="1119"/>
      <c r="BH2578" s="1119"/>
    </row>
    <row r="2579" spans="1:60" ht="15.75" customHeight="1">
      <c r="A2579" s="1076"/>
      <c r="B2579" s="514"/>
      <c r="C2579" s="424"/>
      <c r="G2579" s="418"/>
      <c r="H2579" s="467"/>
      <c r="I2579" s="467"/>
      <c r="J2579" s="469"/>
      <c r="K2579" s="312"/>
      <c r="L2579" s="312"/>
      <c r="M2579" s="312"/>
      <c r="N2579" s="467"/>
      <c r="O2579" s="467"/>
      <c r="P2579" s="467"/>
      <c r="AG2579" s="418"/>
      <c r="BF2579" s="1119"/>
      <c r="BG2579" s="1119"/>
      <c r="BH2579" s="1119"/>
    </row>
    <row r="2580" spans="1:60" ht="15.75" customHeight="1">
      <c r="A2580" s="1076"/>
      <c r="B2580" s="514"/>
      <c r="C2580" s="424"/>
      <c r="G2580" s="418"/>
      <c r="H2580" s="421"/>
      <c r="I2580" s="421"/>
      <c r="J2580" s="469"/>
      <c r="K2580" s="312"/>
      <c r="L2580" s="312"/>
      <c r="M2580" s="312"/>
      <c r="N2580" s="467"/>
      <c r="O2580" s="421"/>
      <c r="P2580" s="467"/>
      <c r="AG2580" s="418"/>
      <c r="BF2580" s="1119"/>
      <c r="BG2580" s="1119"/>
      <c r="BH2580" s="1119"/>
    </row>
    <row r="2581" spans="1:60" ht="15.75" customHeight="1">
      <c r="A2581" s="1076"/>
      <c r="B2581" s="514"/>
      <c r="C2581" s="424"/>
      <c r="G2581" s="418"/>
      <c r="H2581" s="421"/>
      <c r="I2581" s="421"/>
      <c r="J2581" s="469"/>
      <c r="K2581" s="312"/>
      <c r="L2581" s="312"/>
      <c r="M2581" s="312"/>
      <c r="N2581" s="467"/>
      <c r="O2581" s="421"/>
      <c r="P2581" s="467"/>
      <c r="AG2581" s="418"/>
      <c r="BF2581" s="1119"/>
      <c r="BG2581" s="1119"/>
      <c r="BH2581" s="1119"/>
    </row>
    <row r="2582" spans="1:60" ht="15.75" customHeight="1">
      <c r="A2582" s="1076"/>
      <c r="B2582" s="514"/>
      <c r="C2582" s="424"/>
      <c r="G2582" s="418"/>
      <c r="H2582" s="467"/>
      <c r="I2582" s="467"/>
      <c r="J2582" s="469"/>
      <c r="K2582" s="312"/>
      <c r="L2582" s="312"/>
      <c r="M2582" s="312"/>
      <c r="N2582" s="467"/>
      <c r="O2582" s="467"/>
      <c r="P2582" s="467"/>
      <c r="AG2582" s="418"/>
      <c r="BF2582" s="1119"/>
      <c r="BG2582" s="1119"/>
      <c r="BH2582" s="1119"/>
    </row>
    <row r="2583" spans="1:60" ht="15.75" customHeight="1">
      <c r="A2583" s="1076"/>
      <c r="B2583" s="514"/>
      <c r="C2583" s="424"/>
      <c r="G2583" s="418"/>
      <c r="H2583" s="467"/>
      <c r="I2583" s="467"/>
      <c r="J2583" s="469"/>
      <c r="K2583" s="312"/>
      <c r="L2583" s="312"/>
      <c r="M2583" s="312"/>
      <c r="N2583" s="467"/>
      <c r="O2583" s="467"/>
      <c r="P2583" s="467"/>
      <c r="AG2583" s="418"/>
      <c r="BF2583" s="1119"/>
      <c r="BG2583" s="1119"/>
      <c r="BH2583" s="1119"/>
    </row>
    <row r="2584" spans="1:60" ht="15.75" customHeight="1">
      <c r="A2584" s="1076"/>
      <c r="B2584" s="514"/>
      <c r="C2584" s="424"/>
      <c r="G2584" s="418"/>
      <c r="H2584" s="467"/>
      <c r="I2584" s="467"/>
      <c r="J2584" s="469"/>
      <c r="K2584" s="312"/>
      <c r="L2584" s="312"/>
      <c r="M2584" s="312"/>
      <c r="N2584" s="467"/>
      <c r="O2584" s="467"/>
      <c r="P2584" s="467"/>
      <c r="AG2584" s="418"/>
      <c r="BF2584" s="1119"/>
      <c r="BG2584" s="1119"/>
      <c r="BH2584" s="1119"/>
    </row>
    <row r="2585" spans="1:60" ht="15.75" customHeight="1">
      <c r="A2585" s="1076"/>
      <c r="B2585" s="514"/>
      <c r="C2585" s="424"/>
      <c r="G2585" s="418"/>
      <c r="H2585" s="467"/>
      <c r="I2585" s="467"/>
      <c r="J2585" s="469"/>
      <c r="K2585" s="312"/>
      <c r="L2585" s="312"/>
      <c r="M2585" s="312"/>
      <c r="N2585" s="467"/>
      <c r="O2585" s="467"/>
      <c r="P2585" s="467"/>
      <c r="AG2585" s="418"/>
      <c r="BF2585" s="1119"/>
      <c r="BG2585" s="1119"/>
      <c r="BH2585" s="1119"/>
    </row>
    <row r="2586" spans="1:60" ht="15.75" customHeight="1">
      <c r="A2586" s="1076"/>
      <c r="B2586" s="514"/>
      <c r="C2586" s="424"/>
      <c r="G2586" s="418"/>
      <c r="H2586" s="467"/>
      <c r="I2586" s="467"/>
      <c r="J2586" s="469"/>
      <c r="K2586" s="312"/>
      <c r="L2586" s="312"/>
      <c r="M2586" s="312"/>
      <c r="N2586" s="467"/>
      <c r="O2586" s="467"/>
      <c r="P2586" s="467"/>
      <c r="AG2586" s="418"/>
      <c r="BF2586" s="1119"/>
      <c r="BG2586" s="1119"/>
      <c r="BH2586" s="1119"/>
    </row>
    <row r="2587" spans="1:60" ht="15.75" customHeight="1">
      <c r="A2587" s="1076"/>
      <c r="B2587" s="514"/>
      <c r="C2587" s="424"/>
      <c r="G2587" s="418"/>
      <c r="H2587" s="421"/>
      <c r="I2587" s="421"/>
      <c r="J2587" s="469"/>
      <c r="K2587" s="312"/>
      <c r="L2587" s="312"/>
      <c r="M2587" s="312"/>
      <c r="N2587" s="467"/>
      <c r="O2587" s="421"/>
      <c r="P2587" s="467"/>
      <c r="AG2587" s="418"/>
      <c r="BF2587" s="1119"/>
      <c r="BG2587" s="1119"/>
      <c r="BH2587" s="1119"/>
    </row>
    <row r="2588" spans="1:60" ht="15.75" customHeight="1">
      <c r="A2588" s="1076"/>
      <c r="B2588" s="514"/>
      <c r="C2588" s="424"/>
      <c r="G2588" s="418"/>
      <c r="H2588" s="467"/>
      <c r="I2588" s="467"/>
      <c r="J2588" s="469"/>
      <c r="K2588" s="312"/>
      <c r="L2588" s="312"/>
      <c r="M2588" s="312"/>
      <c r="N2588" s="467"/>
      <c r="O2588" s="467"/>
      <c r="P2588" s="467"/>
      <c r="AG2588" s="418"/>
      <c r="BF2588" s="1119"/>
      <c r="BG2588" s="1119"/>
      <c r="BH2588" s="1119"/>
    </row>
    <row r="2589" spans="1:60" ht="15.75" customHeight="1">
      <c r="A2589" s="1076"/>
      <c r="B2589" s="514"/>
      <c r="C2589" s="424"/>
      <c r="G2589" s="418"/>
      <c r="H2589" s="467"/>
      <c r="I2589" s="467"/>
      <c r="J2589" s="469"/>
      <c r="K2589" s="312"/>
      <c r="L2589" s="312"/>
      <c r="M2589" s="312"/>
      <c r="N2589" s="467"/>
      <c r="O2589" s="467"/>
      <c r="P2589" s="467"/>
      <c r="AG2589" s="418"/>
      <c r="BF2589" s="1119"/>
      <c r="BG2589" s="1119"/>
      <c r="BH2589" s="1119"/>
    </row>
    <row r="2590" spans="1:60" ht="15.75" customHeight="1">
      <c r="A2590" s="1076"/>
      <c r="B2590" s="514"/>
      <c r="C2590" s="424"/>
      <c r="G2590" s="418"/>
      <c r="H2590" s="467"/>
      <c r="I2590" s="467"/>
      <c r="J2590" s="469"/>
      <c r="K2590" s="312"/>
      <c r="L2590" s="312"/>
      <c r="M2590" s="312"/>
      <c r="N2590" s="467"/>
      <c r="O2590" s="467"/>
      <c r="P2590" s="467"/>
      <c r="AG2590" s="418"/>
      <c r="BF2590" s="1119"/>
      <c r="BG2590" s="1119"/>
      <c r="BH2590" s="1119"/>
    </row>
    <row r="2591" spans="1:60" ht="15.75" customHeight="1">
      <c r="A2591" s="1076"/>
      <c r="B2591" s="514"/>
      <c r="C2591" s="424"/>
      <c r="G2591" s="418"/>
      <c r="H2591" s="467"/>
      <c r="I2591" s="467"/>
      <c r="J2591" s="469"/>
      <c r="K2591" s="312"/>
      <c r="L2591" s="312"/>
      <c r="M2591" s="312"/>
      <c r="N2591" s="467"/>
      <c r="O2591" s="467"/>
      <c r="P2591" s="421"/>
      <c r="AG2591" s="418"/>
      <c r="BF2591" s="1119"/>
      <c r="BG2591" s="1119"/>
      <c r="BH2591" s="1119"/>
    </row>
    <row r="2592" spans="1:60" ht="15.75" customHeight="1">
      <c r="A2592" s="1076"/>
      <c r="B2592" s="514"/>
      <c r="C2592" s="424"/>
      <c r="G2592" s="418"/>
      <c r="H2592" s="467"/>
      <c r="I2592" s="467"/>
      <c r="J2592" s="469"/>
      <c r="K2592" s="312"/>
      <c r="L2592" s="312"/>
      <c r="M2592" s="312"/>
      <c r="N2592" s="467"/>
      <c r="O2592" s="467"/>
      <c r="P2592" s="467"/>
      <c r="AG2592" s="418"/>
      <c r="BF2592" s="1119"/>
      <c r="BG2592" s="1119"/>
      <c r="BH2592" s="1119"/>
    </row>
    <row r="2593" spans="1:60" ht="15.75" customHeight="1">
      <c r="A2593" s="1076"/>
      <c r="B2593" s="514"/>
      <c r="C2593" s="424"/>
      <c r="G2593" s="418"/>
      <c r="H2593" s="467"/>
      <c r="I2593" s="467"/>
      <c r="J2593" s="469"/>
      <c r="K2593" s="312"/>
      <c r="L2593" s="312"/>
      <c r="M2593" s="312"/>
      <c r="N2593" s="467"/>
      <c r="O2593" s="467"/>
      <c r="P2593" s="421"/>
      <c r="AG2593" s="418"/>
      <c r="BF2593" s="1119"/>
      <c r="BG2593" s="1119"/>
      <c r="BH2593" s="1119"/>
    </row>
    <row r="2594" spans="1:60" ht="15.75" customHeight="1">
      <c r="A2594" s="1076"/>
      <c r="B2594" s="514"/>
      <c r="C2594" s="424"/>
      <c r="G2594" s="418"/>
      <c r="H2594" s="467"/>
      <c r="I2594" s="467"/>
      <c r="J2594" s="469"/>
      <c r="K2594" s="312"/>
      <c r="L2594" s="312"/>
      <c r="M2594" s="312"/>
      <c r="N2594" s="467"/>
      <c r="O2594" s="467"/>
      <c r="P2594" s="421"/>
      <c r="AG2594" s="418"/>
      <c r="BF2594" s="1119"/>
      <c r="BG2594" s="1119"/>
      <c r="BH2594" s="1119"/>
    </row>
    <row r="2595" spans="1:60" ht="15.75" customHeight="1">
      <c r="A2595" s="1076"/>
      <c r="B2595" s="514"/>
      <c r="C2595" s="424"/>
      <c r="G2595" s="418"/>
      <c r="H2595" s="467"/>
      <c r="I2595" s="467"/>
      <c r="J2595" s="469"/>
      <c r="K2595" s="312"/>
      <c r="L2595" s="312"/>
      <c r="M2595" s="312"/>
      <c r="N2595" s="467"/>
      <c r="O2595" s="467"/>
      <c r="P2595" s="467"/>
      <c r="AG2595" s="418"/>
      <c r="BF2595" s="1119"/>
      <c r="BG2595" s="1119"/>
      <c r="BH2595" s="1119"/>
    </row>
    <row r="2596" spans="1:60" ht="15.75" customHeight="1">
      <c r="A2596" s="1076"/>
      <c r="B2596" s="514"/>
      <c r="C2596" s="424"/>
      <c r="G2596" s="418"/>
      <c r="H2596" s="467"/>
      <c r="I2596" s="467"/>
      <c r="J2596" s="469"/>
      <c r="K2596" s="312"/>
      <c r="L2596" s="312"/>
      <c r="M2596" s="312"/>
      <c r="N2596" s="467"/>
      <c r="O2596" s="467"/>
      <c r="P2596" s="467"/>
      <c r="AG2596" s="418"/>
      <c r="BF2596" s="1119"/>
      <c r="BG2596" s="1119"/>
      <c r="BH2596" s="1119"/>
    </row>
    <row r="2597" spans="1:60" ht="15.75" customHeight="1">
      <c r="A2597" s="1076"/>
      <c r="B2597" s="514"/>
      <c r="C2597" s="424"/>
      <c r="G2597" s="418"/>
      <c r="H2597" s="467"/>
      <c r="I2597" s="467"/>
      <c r="J2597" s="469"/>
      <c r="K2597" s="312"/>
      <c r="L2597" s="312"/>
      <c r="M2597" s="312"/>
      <c r="N2597" s="467"/>
      <c r="O2597" s="467"/>
      <c r="P2597" s="467"/>
      <c r="AG2597" s="418"/>
      <c r="BF2597" s="1119"/>
      <c r="BG2597" s="1119"/>
      <c r="BH2597" s="1119"/>
    </row>
    <row r="2598" spans="1:60" ht="15.75" customHeight="1">
      <c r="A2598" s="1076"/>
      <c r="B2598" s="514"/>
      <c r="C2598" s="424"/>
      <c r="G2598" s="418"/>
      <c r="H2598" s="467"/>
      <c r="I2598" s="467"/>
      <c r="J2598" s="469"/>
      <c r="K2598" s="312"/>
      <c r="L2598" s="312"/>
      <c r="M2598" s="312"/>
      <c r="N2598" s="467"/>
      <c r="O2598" s="467"/>
      <c r="P2598" s="467"/>
      <c r="AG2598" s="418"/>
      <c r="BF2598" s="1119"/>
      <c r="BG2598" s="1119"/>
      <c r="BH2598" s="1119"/>
    </row>
    <row r="2599" spans="1:60" ht="15.75" customHeight="1">
      <c r="A2599" s="1076"/>
      <c r="B2599" s="514"/>
      <c r="C2599" s="424"/>
      <c r="G2599" s="418"/>
      <c r="H2599" s="467"/>
      <c r="I2599" s="467"/>
      <c r="J2599" s="469"/>
      <c r="K2599" s="312"/>
      <c r="L2599" s="312"/>
      <c r="M2599" s="312"/>
      <c r="N2599" s="467"/>
      <c r="O2599" s="467"/>
      <c r="P2599" s="467"/>
      <c r="AG2599" s="418"/>
      <c r="BF2599" s="1119"/>
      <c r="BG2599" s="1119"/>
      <c r="BH2599" s="1119"/>
    </row>
    <row r="2600" spans="1:60" ht="15.75" customHeight="1">
      <c r="A2600" s="1076"/>
      <c r="B2600" s="514"/>
      <c r="C2600" s="424"/>
      <c r="G2600" s="418"/>
      <c r="H2600" s="467"/>
      <c r="I2600" s="467"/>
      <c r="J2600" s="469"/>
      <c r="K2600" s="312"/>
      <c r="L2600" s="312"/>
      <c r="M2600" s="312"/>
      <c r="N2600" s="467"/>
      <c r="O2600" s="467"/>
      <c r="P2600" s="421"/>
      <c r="AG2600" s="418"/>
      <c r="BF2600" s="1119"/>
      <c r="BG2600" s="1119"/>
      <c r="BH2600" s="1119"/>
    </row>
    <row r="2601" spans="1:60" ht="15.75" customHeight="1">
      <c r="A2601" s="1076"/>
      <c r="B2601" s="514"/>
      <c r="C2601" s="424"/>
      <c r="G2601" s="418"/>
      <c r="H2601" s="421"/>
      <c r="I2601" s="421"/>
      <c r="J2601" s="469"/>
      <c r="K2601" s="312"/>
      <c r="L2601" s="312"/>
      <c r="M2601" s="312"/>
      <c r="N2601" s="467"/>
      <c r="O2601" s="421"/>
      <c r="P2601" s="467"/>
      <c r="AG2601" s="418"/>
      <c r="BF2601" s="1119"/>
      <c r="BG2601" s="1119"/>
      <c r="BH2601" s="1119"/>
    </row>
    <row r="2602" spans="1:60" ht="15.75" customHeight="1">
      <c r="A2602" s="1076"/>
      <c r="B2602" s="514"/>
      <c r="C2602" s="424"/>
      <c r="G2602" s="418"/>
      <c r="H2602" s="467"/>
      <c r="I2602" s="467"/>
      <c r="J2602" s="469"/>
      <c r="K2602" s="312"/>
      <c r="L2602" s="312"/>
      <c r="M2602" s="312"/>
      <c r="N2602" s="467"/>
      <c r="O2602" s="467"/>
      <c r="P2602" s="467"/>
      <c r="AG2602" s="418"/>
      <c r="BF2602" s="1119"/>
      <c r="BG2602" s="1119"/>
      <c r="BH2602" s="1119"/>
    </row>
    <row r="2603" spans="1:60" ht="15.75" customHeight="1">
      <c r="A2603" s="1076"/>
      <c r="B2603" s="514"/>
      <c r="C2603" s="424"/>
      <c r="G2603" s="418"/>
      <c r="H2603" s="421"/>
      <c r="I2603" s="421"/>
      <c r="J2603" s="469"/>
      <c r="K2603" s="312"/>
      <c r="L2603" s="312"/>
      <c r="M2603" s="312"/>
      <c r="N2603" s="467"/>
      <c r="O2603" s="421"/>
      <c r="P2603" s="467"/>
      <c r="AG2603" s="418"/>
      <c r="BF2603" s="1119"/>
      <c r="BG2603" s="1119"/>
      <c r="BH2603" s="1119"/>
    </row>
    <row r="2604" spans="1:60" ht="15.75" customHeight="1">
      <c r="A2604" s="1076"/>
      <c r="B2604" s="514"/>
      <c r="C2604" s="424"/>
      <c r="G2604" s="418"/>
      <c r="H2604" s="421"/>
      <c r="I2604" s="421"/>
      <c r="J2604" s="469"/>
      <c r="K2604" s="312"/>
      <c r="L2604" s="312"/>
      <c r="M2604" s="312"/>
      <c r="N2604" s="467"/>
      <c r="O2604" s="421"/>
      <c r="P2604" s="467"/>
      <c r="AG2604" s="418"/>
      <c r="BF2604" s="1119"/>
      <c r="BG2604" s="1119"/>
      <c r="BH2604" s="1119"/>
    </row>
    <row r="2605" spans="1:60" ht="15.75" customHeight="1">
      <c r="A2605" s="1076"/>
      <c r="B2605" s="514"/>
      <c r="C2605" s="424"/>
      <c r="G2605" s="418"/>
      <c r="H2605" s="421"/>
      <c r="I2605" s="421"/>
      <c r="J2605" s="492"/>
      <c r="K2605" s="312"/>
      <c r="L2605" s="312"/>
      <c r="M2605" s="312"/>
      <c r="N2605" s="467"/>
      <c r="O2605" s="421"/>
      <c r="P2605" s="467"/>
      <c r="AG2605" s="418"/>
      <c r="BF2605" s="1119"/>
      <c r="BG2605" s="1119"/>
      <c r="BH2605" s="1119"/>
    </row>
    <row r="2606" spans="1:60" ht="15.75" customHeight="1">
      <c r="A2606" s="1076"/>
      <c r="B2606" s="514"/>
      <c r="C2606" s="424"/>
      <c r="G2606" s="418"/>
      <c r="H2606" s="421"/>
      <c r="I2606" s="421"/>
      <c r="J2606" s="492"/>
      <c r="K2606" s="312"/>
      <c r="L2606" s="312"/>
      <c r="M2606" s="312"/>
      <c r="N2606" s="467"/>
      <c r="O2606" s="421"/>
      <c r="P2606" s="467"/>
      <c r="AG2606" s="418"/>
      <c r="BF2606" s="1119"/>
      <c r="BG2606" s="1119"/>
      <c r="BH2606" s="1119"/>
    </row>
    <row r="2607" spans="1:60" ht="15.75" customHeight="1">
      <c r="A2607" s="1076"/>
      <c r="B2607" s="514"/>
      <c r="C2607" s="424"/>
      <c r="G2607" s="418"/>
      <c r="H2607" s="421"/>
      <c r="I2607" s="421"/>
      <c r="J2607" s="492"/>
      <c r="K2607" s="312"/>
      <c r="L2607" s="312"/>
      <c r="M2607" s="312"/>
      <c r="N2607" s="467"/>
      <c r="O2607" s="421"/>
      <c r="P2607" s="467"/>
      <c r="AG2607" s="418"/>
      <c r="BF2607" s="1119"/>
      <c r="BG2607" s="1119"/>
      <c r="BH2607" s="1119"/>
    </row>
    <row r="2608" spans="1:60" ht="15.75" customHeight="1">
      <c r="A2608" s="1076"/>
      <c r="B2608" s="514"/>
      <c r="C2608" s="424"/>
      <c r="G2608" s="418"/>
      <c r="H2608" s="421"/>
      <c r="I2608" s="421"/>
      <c r="J2608" s="469"/>
      <c r="K2608" s="312"/>
      <c r="L2608" s="312"/>
      <c r="M2608" s="312"/>
      <c r="N2608" s="467"/>
      <c r="O2608" s="421"/>
      <c r="P2608" s="467"/>
      <c r="AG2608" s="418"/>
      <c r="BF2608" s="1119"/>
      <c r="BG2608" s="1119"/>
      <c r="BH2608" s="1119"/>
    </row>
    <row r="2609" spans="1:60" ht="15.75" customHeight="1">
      <c r="A2609" s="1076"/>
      <c r="B2609" s="514"/>
      <c r="C2609" s="424"/>
      <c r="G2609" s="418"/>
      <c r="H2609" s="421"/>
      <c r="I2609" s="421"/>
      <c r="J2609" s="469"/>
      <c r="K2609" s="312"/>
      <c r="L2609" s="312"/>
      <c r="M2609" s="312"/>
      <c r="N2609" s="467"/>
      <c r="O2609" s="421"/>
      <c r="P2609" s="467"/>
      <c r="AG2609" s="418"/>
      <c r="BF2609" s="1119"/>
      <c r="BG2609" s="1119"/>
      <c r="BH2609" s="1119"/>
    </row>
    <row r="2610" spans="1:60" ht="15.75" customHeight="1">
      <c r="A2610" s="1076"/>
      <c r="B2610" s="514"/>
      <c r="C2610" s="424"/>
      <c r="G2610" s="418"/>
      <c r="H2610" s="421"/>
      <c r="I2610" s="421"/>
      <c r="J2610" s="469"/>
      <c r="K2610" s="312"/>
      <c r="L2610" s="312"/>
      <c r="M2610" s="312"/>
      <c r="N2610" s="467"/>
      <c r="O2610" s="421"/>
      <c r="P2610" s="467"/>
      <c r="AG2610" s="418"/>
      <c r="BF2610" s="1119"/>
      <c r="BG2610" s="1119"/>
      <c r="BH2610" s="1119"/>
    </row>
    <row r="2611" spans="1:60" ht="15.75" customHeight="1">
      <c r="A2611" s="1076"/>
      <c r="B2611" s="514"/>
      <c r="C2611" s="424"/>
      <c r="G2611" s="418"/>
      <c r="H2611" s="421"/>
      <c r="I2611" s="421"/>
      <c r="J2611" s="469"/>
      <c r="K2611" s="312"/>
      <c r="L2611" s="312"/>
      <c r="M2611" s="312"/>
      <c r="N2611" s="467"/>
      <c r="O2611" s="421"/>
      <c r="P2611" s="467"/>
      <c r="AG2611" s="418"/>
      <c r="BF2611" s="1119"/>
      <c r="BG2611" s="1119"/>
      <c r="BH2611" s="1119"/>
    </row>
    <row r="2612" spans="1:60" ht="15.75" customHeight="1">
      <c r="A2612" s="1076"/>
      <c r="B2612" s="514"/>
      <c r="C2612" s="424"/>
      <c r="G2612" s="418"/>
      <c r="H2612" s="421"/>
      <c r="I2612" s="421"/>
      <c r="J2612" s="469"/>
      <c r="K2612" s="312"/>
      <c r="L2612" s="312"/>
      <c r="M2612" s="312"/>
      <c r="N2612" s="467"/>
      <c r="O2612" s="421"/>
      <c r="P2612" s="467"/>
      <c r="AG2612" s="418"/>
      <c r="BF2612" s="1119"/>
      <c r="BG2612" s="1119"/>
      <c r="BH2612" s="1119"/>
    </row>
    <row r="2613" spans="1:60" ht="15.75" customHeight="1">
      <c r="A2613" s="1076"/>
      <c r="B2613" s="514"/>
      <c r="C2613" s="424"/>
      <c r="G2613" s="418"/>
      <c r="H2613" s="421"/>
      <c r="I2613" s="421"/>
      <c r="J2613" s="469"/>
      <c r="K2613" s="312"/>
      <c r="L2613" s="312"/>
      <c r="M2613" s="312"/>
      <c r="N2613" s="467"/>
      <c r="O2613" s="421"/>
      <c r="P2613" s="467"/>
      <c r="AG2613" s="418"/>
      <c r="BF2613" s="1119"/>
      <c r="BG2613" s="1119"/>
      <c r="BH2613" s="1119"/>
    </row>
    <row r="2614" spans="1:60" ht="15.75" customHeight="1">
      <c r="A2614" s="1076"/>
      <c r="B2614" s="514"/>
      <c r="C2614" s="424"/>
      <c r="G2614" s="418"/>
      <c r="H2614" s="467"/>
      <c r="I2614" s="467"/>
      <c r="J2614" s="469"/>
      <c r="K2614" s="312"/>
      <c r="L2614" s="312"/>
      <c r="M2614" s="312"/>
      <c r="N2614" s="467"/>
      <c r="O2614" s="467"/>
      <c r="P2614" s="421"/>
      <c r="AG2614" s="418"/>
      <c r="BF2614" s="1119"/>
      <c r="BG2614" s="1119"/>
      <c r="BH2614" s="1119"/>
    </row>
    <row r="2615" spans="1:60" ht="15.75" customHeight="1">
      <c r="A2615" s="1076"/>
      <c r="B2615" s="514"/>
      <c r="C2615" s="424"/>
      <c r="G2615" s="418"/>
      <c r="H2615" s="467"/>
      <c r="I2615" s="467"/>
      <c r="J2615" s="469"/>
      <c r="K2615" s="312"/>
      <c r="L2615" s="312"/>
      <c r="M2615" s="312"/>
      <c r="N2615" s="467"/>
      <c r="O2615" s="467"/>
      <c r="P2615" s="467"/>
      <c r="AG2615" s="418"/>
      <c r="BF2615" s="1119"/>
      <c r="BG2615" s="1119"/>
      <c r="BH2615" s="1119"/>
    </row>
    <row r="2616" spans="1:60" ht="15.75" customHeight="1">
      <c r="A2616" s="1076"/>
      <c r="B2616" s="514"/>
      <c r="C2616" s="424"/>
      <c r="G2616" s="418"/>
      <c r="H2616" s="467"/>
      <c r="I2616" s="467"/>
      <c r="J2616" s="469"/>
      <c r="K2616" s="312"/>
      <c r="L2616" s="312"/>
      <c r="M2616" s="312"/>
      <c r="N2616" s="467"/>
      <c r="O2616" s="467"/>
      <c r="P2616" s="421"/>
      <c r="AG2616" s="418"/>
      <c r="BF2616" s="1119"/>
      <c r="BG2616" s="1119"/>
      <c r="BH2616" s="1119"/>
    </row>
    <row r="2617" spans="1:60" ht="15.75" customHeight="1">
      <c r="A2617" s="1076"/>
      <c r="B2617" s="514"/>
      <c r="C2617" s="424"/>
      <c r="G2617" s="418"/>
      <c r="H2617" s="421"/>
      <c r="I2617" s="421"/>
      <c r="J2617" s="469"/>
      <c r="K2617" s="312"/>
      <c r="L2617" s="312"/>
      <c r="M2617" s="312"/>
      <c r="N2617" s="467"/>
      <c r="O2617" s="421"/>
      <c r="P2617" s="421"/>
      <c r="AG2617" s="418"/>
      <c r="BF2617" s="1119"/>
      <c r="BG2617" s="1119"/>
      <c r="BH2617" s="1119"/>
    </row>
    <row r="2618" spans="1:60" ht="15.75" customHeight="1">
      <c r="A2618" s="1076"/>
      <c r="B2618" s="514"/>
      <c r="C2618" s="424"/>
      <c r="G2618" s="418"/>
      <c r="H2618" s="467"/>
      <c r="I2618" s="467"/>
      <c r="J2618" s="469"/>
      <c r="K2618" s="312"/>
      <c r="L2618" s="312"/>
      <c r="M2618" s="312"/>
      <c r="N2618" s="467"/>
      <c r="O2618" s="467"/>
      <c r="P2618" s="421"/>
      <c r="AG2618" s="418"/>
      <c r="BF2618" s="1119"/>
      <c r="BG2618" s="1119"/>
      <c r="BH2618" s="1119"/>
    </row>
    <row r="2619" spans="1:60" ht="15.75" customHeight="1">
      <c r="A2619" s="1076"/>
      <c r="B2619" s="514"/>
      <c r="C2619" s="424"/>
      <c r="G2619" s="418"/>
      <c r="H2619" s="421"/>
      <c r="I2619" s="421"/>
      <c r="J2619" s="469"/>
      <c r="K2619" s="312"/>
      <c r="L2619" s="312"/>
      <c r="M2619" s="312"/>
      <c r="N2619" s="467"/>
      <c r="O2619" s="421"/>
      <c r="P2619" s="421"/>
      <c r="AG2619" s="418"/>
      <c r="BF2619" s="1119"/>
      <c r="BG2619" s="1119"/>
      <c r="BH2619" s="1119"/>
    </row>
    <row r="2620" spans="1:60" ht="15.75" customHeight="1">
      <c r="A2620" s="1076"/>
      <c r="B2620" s="514"/>
      <c r="C2620" s="424"/>
      <c r="G2620" s="418"/>
      <c r="H2620" s="421"/>
      <c r="I2620" s="421"/>
      <c r="J2620" s="469"/>
      <c r="K2620" s="312"/>
      <c r="L2620" s="312"/>
      <c r="M2620" s="312"/>
      <c r="N2620" s="467"/>
      <c r="O2620" s="421"/>
      <c r="P2620" s="421"/>
      <c r="AG2620" s="418"/>
      <c r="BF2620" s="1119"/>
      <c r="BG2620" s="1119"/>
      <c r="BH2620" s="1119"/>
    </row>
    <row r="2621" spans="1:60" ht="15.75" customHeight="1">
      <c r="A2621" s="1076"/>
      <c r="B2621" s="514"/>
      <c r="C2621" s="424"/>
      <c r="G2621" s="418"/>
      <c r="H2621" s="421"/>
      <c r="I2621" s="421"/>
      <c r="J2621" s="469"/>
      <c r="K2621" s="312"/>
      <c r="L2621" s="312"/>
      <c r="M2621" s="312"/>
      <c r="N2621" s="467"/>
      <c r="O2621" s="421"/>
      <c r="P2621" s="421"/>
      <c r="AG2621" s="418"/>
      <c r="BF2621" s="1119"/>
      <c r="BG2621" s="1119"/>
      <c r="BH2621" s="1119"/>
    </row>
    <row r="2622" spans="1:60" ht="15.75" customHeight="1">
      <c r="A2622" s="1076"/>
      <c r="B2622" s="514"/>
      <c r="C2622" s="424"/>
      <c r="G2622" s="418"/>
      <c r="H2622" s="421"/>
      <c r="I2622" s="421"/>
      <c r="J2622" s="469"/>
      <c r="K2622" s="312"/>
      <c r="L2622" s="312"/>
      <c r="M2622" s="312"/>
      <c r="N2622" s="467"/>
      <c r="O2622" s="421"/>
      <c r="P2622" s="421"/>
      <c r="AG2622" s="418"/>
      <c r="BF2622" s="1119"/>
      <c r="BG2622" s="1119"/>
      <c r="BH2622" s="1119"/>
    </row>
    <row r="2623" spans="1:60" ht="15.75" customHeight="1">
      <c r="A2623" s="1076"/>
      <c r="B2623" s="514"/>
      <c r="C2623" s="424"/>
      <c r="G2623" s="418"/>
      <c r="H2623" s="421"/>
      <c r="I2623" s="421"/>
      <c r="J2623" s="469"/>
      <c r="K2623" s="312"/>
      <c r="L2623" s="312"/>
      <c r="M2623" s="312"/>
      <c r="N2623" s="467"/>
      <c r="O2623" s="421"/>
      <c r="P2623" s="421"/>
      <c r="AG2623" s="418"/>
      <c r="BF2623" s="1119"/>
      <c r="BG2623" s="1119"/>
      <c r="BH2623" s="1119"/>
    </row>
    <row r="2624" spans="1:60" ht="15.75" customHeight="1">
      <c r="A2624" s="1076"/>
      <c r="B2624" s="514"/>
      <c r="C2624" s="424"/>
      <c r="G2624" s="418"/>
      <c r="H2624" s="421"/>
      <c r="I2624" s="421"/>
      <c r="J2624" s="469"/>
      <c r="K2624" s="312"/>
      <c r="L2624" s="312"/>
      <c r="M2624" s="312"/>
      <c r="N2624" s="467"/>
      <c r="O2624" s="421"/>
      <c r="P2624" s="421"/>
      <c r="AG2624" s="418"/>
      <c r="BF2624" s="1119"/>
      <c r="BG2624" s="1119"/>
      <c r="BH2624" s="1119"/>
    </row>
    <row r="2625" spans="1:60" ht="15.75" customHeight="1">
      <c r="A2625" s="1076"/>
      <c r="B2625" s="514"/>
      <c r="C2625" s="424"/>
      <c r="G2625" s="418"/>
      <c r="H2625" s="421"/>
      <c r="I2625" s="421"/>
      <c r="J2625" s="469"/>
      <c r="K2625" s="312"/>
      <c r="L2625" s="312"/>
      <c r="M2625" s="312"/>
      <c r="N2625" s="467"/>
      <c r="O2625" s="421"/>
      <c r="P2625" s="421"/>
      <c r="AG2625" s="418"/>
      <c r="BF2625" s="1119"/>
      <c r="BG2625" s="1119"/>
      <c r="BH2625" s="1119"/>
    </row>
    <row r="2626" spans="1:60" ht="15.75" customHeight="1">
      <c r="A2626" s="1076"/>
      <c r="B2626" s="514"/>
      <c r="C2626" s="424"/>
      <c r="G2626" s="418"/>
      <c r="H2626" s="421"/>
      <c r="I2626" s="421"/>
      <c r="J2626" s="469"/>
      <c r="K2626" s="312"/>
      <c r="L2626" s="312"/>
      <c r="M2626" s="312"/>
      <c r="N2626" s="467"/>
      <c r="O2626" s="421"/>
      <c r="P2626" s="421"/>
      <c r="AG2626" s="418"/>
      <c r="BF2626" s="1119"/>
      <c r="BG2626" s="1119"/>
      <c r="BH2626" s="1119"/>
    </row>
    <row r="2627" spans="1:60" ht="15.75" customHeight="1">
      <c r="A2627" s="1076"/>
      <c r="B2627" s="514"/>
      <c r="C2627" s="424"/>
      <c r="G2627" s="418"/>
      <c r="H2627" s="421"/>
      <c r="I2627" s="421"/>
      <c r="J2627" s="469"/>
      <c r="K2627" s="312"/>
      <c r="L2627" s="312"/>
      <c r="M2627" s="312"/>
      <c r="N2627" s="467"/>
      <c r="O2627" s="421"/>
      <c r="P2627" s="467"/>
      <c r="AG2627" s="418"/>
      <c r="BF2627" s="1119"/>
      <c r="BG2627" s="1119"/>
      <c r="BH2627" s="1119"/>
    </row>
    <row r="2628" spans="1:60" ht="15.75" customHeight="1">
      <c r="A2628" s="1076"/>
      <c r="B2628" s="514"/>
      <c r="C2628" s="424"/>
      <c r="G2628" s="418"/>
      <c r="H2628" s="467"/>
      <c r="I2628" s="467"/>
      <c r="J2628" s="469"/>
      <c r="K2628" s="312"/>
      <c r="L2628" s="312"/>
      <c r="M2628" s="312"/>
      <c r="N2628" s="467"/>
      <c r="O2628" s="467"/>
      <c r="P2628" s="467"/>
      <c r="AG2628" s="418"/>
      <c r="BF2628" s="1119"/>
      <c r="BG2628" s="1119"/>
      <c r="BH2628" s="1119"/>
    </row>
    <row r="2629" spans="1:60" ht="15.75" customHeight="1">
      <c r="A2629" s="1076"/>
      <c r="B2629" s="514"/>
      <c r="C2629" s="424"/>
      <c r="G2629" s="418"/>
      <c r="H2629" s="467"/>
      <c r="I2629" s="467"/>
      <c r="J2629" s="469"/>
      <c r="K2629" s="312"/>
      <c r="L2629" s="312"/>
      <c r="M2629" s="312"/>
      <c r="N2629" s="467"/>
      <c r="O2629" s="467"/>
      <c r="P2629" s="467"/>
      <c r="AG2629" s="418"/>
      <c r="BF2629" s="1119"/>
      <c r="BG2629" s="1119"/>
      <c r="BH2629" s="1119"/>
    </row>
    <row r="2630" spans="1:60" ht="15.75" customHeight="1">
      <c r="A2630" s="1076"/>
      <c r="B2630" s="514"/>
      <c r="C2630" s="424"/>
      <c r="G2630" s="418"/>
      <c r="H2630" s="467"/>
      <c r="I2630" s="467"/>
      <c r="J2630" s="469"/>
      <c r="K2630" s="312"/>
      <c r="L2630" s="312"/>
      <c r="M2630" s="312"/>
      <c r="N2630" s="467"/>
      <c r="O2630" s="467"/>
      <c r="P2630" s="421"/>
      <c r="AG2630" s="418"/>
      <c r="BF2630" s="1119"/>
      <c r="BG2630" s="1119"/>
      <c r="BH2630" s="1119"/>
    </row>
    <row r="2631" spans="1:60" ht="15.75" customHeight="1">
      <c r="A2631" s="1076"/>
      <c r="B2631" s="514"/>
      <c r="C2631" s="424"/>
      <c r="G2631" s="418"/>
      <c r="H2631" s="467"/>
      <c r="I2631" s="467"/>
      <c r="J2631" s="469"/>
      <c r="K2631" s="312"/>
      <c r="L2631" s="312"/>
      <c r="M2631" s="312"/>
      <c r="N2631" s="467"/>
      <c r="O2631" s="467"/>
      <c r="P2631" s="467"/>
      <c r="AG2631" s="418"/>
      <c r="BF2631" s="1119"/>
      <c r="BG2631" s="1119"/>
      <c r="BH2631" s="1119"/>
    </row>
    <row r="2632" spans="1:60" ht="15.75" customHeight="1">
      <c r="A2632" s="1076"/>
      <c r="B2632" s="514"/>
      <c r="C2632" s="424"/>
      <c r="G2632" s="418"/>
      <c r="H2632" s="467"/>
      <c r="I2632" s="467"/>
      <c r="J2632" s="469"/>
      <c r="K2632" s="312"/>
      <c r="L2632" s="312"/>
      <c r="M2632" s="312"/>
      <c r="N2632" s="467"/>
      <c r="O2632" s="467"/>
      <c r="P2632" s="421"/>
      <c r="AG2632" s="418"/>
      <c r="BF2632" s="1119"/>
      <c r="BG2632" s="1119"/>
      <c r="BH2632" s="1119"/>
    </row>
    <row r="2633" spans="1:60" ht="15.75" customHeight="1">
      <c r="A2633" s="1076"/>
      <c r="B2633" s="514"/>
      <c r="C2633" s="424"/>
      <c r="G2633" s="418"/>
      <c r="H2633" s="421"/>
      <c r="I2633" s="421"/>
      <c r="J2633" s="469"/>
      <c r="K2633" s="312"/>
      <c r="L2633" s="312"/>
      <c r="M2633" s="312"/>
      <c r="N2633" s="467"/>
      <c r="O2633" s="421"/>
      <c r="P2633" s="421"/>
      <c r="AG2633" s="418"/>
      <c r="BF2633" s="1119"/>
      <c r="BG2633" s="1119"/>
      <c r="BH2633" s="1119"/>
    </row>
    <row r="2634" spans="1:60" ht="15.75" customHeight="1">
      <c r="A2634" s="1076"/>
      <c r="B2634" s="514"/>
      <c r="C2634" s="424"/>
      <c r="G2634" s="418"/>
      <c r="H2634" s="421"/>
      <c r="I2634" s="421"/>
      <c r="J2634" s="492"/>
      <c r="K2634" s="312"/>
      <c r="L2634" s="312"/>
      <c r="M2634" s="312"/>
      <c r="N2634" s="467"/>
      <c r="O2634" s="421"/>
      <c r="P2634" s="421"/>
      <c r="AG2634" s="418"/>
      <c r="BF2634" s="1119"/>
      <c r="BG2634" s="1119"/>
      <c r="BH2634" s="1119"/>
    </row>
    <row r="2635" spans="1:60" ht="15.75" customHeight="1">
      <c r="A2635" s="1076"/>
      <c r="B2635" s="514"/>
      <c r="C2635" s="424"/>
      <c r="G2635" s="418"/>
      <c r="H2635" s="421"/>
      <c r="I2635" s="421"/>
      <c r="J2635" s="492"/>
      <c r="K2635" s="312"/>
      <c r="L2635" s="312"/>
      <c r="M2635" s="312"/>
      <c r="N2635" s="467"/>
      <c r="O2635" s="421"/>
      <c r="P2635" s="421"/>
      <c r="AG2635" s="418"/>
      <c r="BF2635" s="1119"/>
      <c r="BG2635" s="1119"/>
      <c r="BH2635" s="1119"/>
    </row>
    <row r="2636" spans="1:60" ht="15.75" customHeight="1">
      <c r="A2636" s="1076"/>
      <c r="B2636" s="514"/>
      <c r="C2636" s="424"/>
      <c r="G2636" s="418"/>
      <c r="H2636" s="421"/>
      <c r="I2636" s="421"/>
      <c r="J2636" s="492"/>
      <c r="K2636" s="312"/>
      <c r="L2636" s="312"/>
      <c r="M2636" s="312"/>
      <c r="N2636" s="467"/>
      <c r="O2636" s="421"/>
      <c r="P2636" s="421"/>
      <c r="AG2636" s="418"/>
      <c r="BF2636" s="1119"/>
      <c r="BG2636" s="1119"/>
      <c r="BH2636" s="1119"/>
    </row>
    <row r="2637" spans="1:60" ht="15.75" customHeight="1">
      <c r="A2637" s="1076"/>
      <c r="B2637" s="514"/>
      <c r="C2637" s="424"/>
      <c r="G2637" s="418"/>
      <c r="H2637" s="421"/>
      <c r="I2637" s="421"/>
      <c r="J2637" s="492"/>
      <c r="K2637" s="312"/>
      <c r="L2637" s="312"/>
      <c r="M2637" s="312"/>
      <c r="N2637" s="467"/>
      <c r="O2637" s="421"/>
      <c r="P2637" s="421"/>
      <c r="AG2637" s="418"/>
      <c r="BF2637" s="1119"/>
      <c r="BG2637" s="1119"/>
      <c r="BH2637" s="1119"/>
    </row>
    <row r="2638" spans="1:60" ht="15.75" customHeight="1">
      <c r="A2638" s="1076"/>
      <c r="B2638" s="514"/>
      <c r="C2638" s="424"/>
      <c r="G2638" s="418"/>
      <c r="H2638" s="421"/>
      <c r="I2638" s="421"/>
      <c r="J2638" s="492"/>
      <c r="K2638" s="312"/>
      <c r="L2638" s="312"/>
      <c r="M2638" s="312"/>
      <c r="N2638" s="467"/>
      <c r="O2638" s="421"/>
      <c r="P2638" s="421"/>
      <c r="AG2638" s="418"/>
      <c r="BF2638" s="1119"/>
      <c r="BG2638" s="1119"/>
      <c r="BH2638" s="1119"/>
    </row>
    <row r="2639" spans="1:60" ht="15.75" customHeight="1">
      <c r="A2639" s="1076"/>
      <c r="B2639" s="514"/>
      <c r="C2639" s="424"/>
      <c r="G2639" s="418"/>
      <c r="H2639" s="421"/>
      <c r="I2639" s="421"/>
      <c r="J2639" s="492"/>
      <c r="K2639" s="312"/>
      <c r="L2639" s="312"/>
      <c r="M2639" s="312"/>
      <c r="N2639" s="467"/>
      <c r="O2639" s="421"/>
      <c r="P2639" s="421"/>
      <c r="AG2639" s="418"/>
      <c r="BF2639" s="1119"/>
      <c r="BG2639" s="1119"/>
      <c r="BH2639" s="1119"/>
    </row>
    <row r="2640" spans="1:60" ht="15.75" customHeight="1">
      <c r="A2640" s="1076"/>
      <c r="B2640" s="514"/>
      <c r="C2640" s="424"/>
      <c r="G2640" s="418"/>
      <c r="H2640" s="421"/>
      <c r="I2640" s="421"/>
      <c r="J2640" s="469"/>
      <c r="K2640" s="312"/>
      <c r="L2640" s="312"/>
      <c r="M2640" s="312"/>
      <c r="N2640" s="467"/>
      <c r="O2640" s="421"/>
      <c r="P2640" s="421"/>
      <c r="AG2640" s="418"/>
      <c r="BF2640" s="1119"/>
      <c r="BG2640" s="1119"/>
      <c r="BH2640" s="1119"/>
    </row>
    <row r="2641" spans="1:60" ht="15.75" customHeight="1">
      <c r="A2641" s="1076"/>
      <c r="B2641" s="514"/>
      <c r="C2641" s="424"/>
      <c r="G2641" s="418"/>
      <c r="H2641" s="421"/>
      <c r="I2641" s="421"/>
      <c r="J2641" s="469"/>
      <c r="K2641" s="312"/>
      <c r="L2641" s="312"/>
      <c r="M2641" s="312"/>
      <c r="N2641" s="467"/>
      <c r="O2641" s="421"/>
      <c r="P2641" s="467"/>
      <c r="AG2641" s="418"/>
      <c r="BF2641" s="1119"/>
      <c r="BG2641" s="1119"/>
      <c r="BH2641" s="1119"/>
    </row>
    <row r="2642" spans="1:60" ht="15.75" customHeight="1">
      <c r="A2642" s="1076"/>
      <c r="B2642" s="514"/>
      <c r="C2642" s="424"/>
      <c r="G2642" s="418"/>
      <c r="H2642" s="421"/>
      <c r="I2642" s="421"/>
      <c r="J2642" s="469"/>
      <c r="K2642" s="312"/>
      <c r="L2642" s="312"/>
      <c r="M2642" s="312"/>
      <c r="N2642" s="467"/>
      <c r="O2642" s="421"/>
      <c r="P2642" s="467"/>
      <c r="AG2642" s="418"/>
      <c r="BF2642" s="1119"/>
      <c r="BG2642" s="1119"/>
      <c r="BH2642" s="1119"/>
    </row>
    <row r="2643" spans="1:60" ht="15.75" customHeight="1">
      <c r="A2643" s="1076"/>
      <c r="B2643" s="514"/>
      <c r="C2643" s="424"/>
      <c r="G2643" s="418"/>
      <c r="H2643" s="467"/>
      <c r="I2643" s="467"/>
      <c r="J2643" s="492"/>
      <c r="K2643" s="312"/>
      <c r="L2643" s="312"/>
      <c r="M2643" s="312"/>
      <c r="N2643" s="467"/>
      <c r="O2643" s="467"/>
      <c r="P2643" s="467"/>
      <c r="AG2643" s="418"/>
      <c r="AL2643" s="436"/>
      <c r="AM2643" s="436"/>
      <c r="AQ2643" s="436"/>
      <c r="AR2643" s="436"/>
      <c r="AS2643" s="436"/>
      <c r="AT2643" s="436"/>
      <c r="AU2643" s="436"/>
      <c r="AV2643" s="436"/>
      <c r="AW2643" s="436"/>
      <c r="AX2643" s="436"/>
      <c r="AY2643" s="436"/>
      <c r="AZ2643" s="475"/>
      <c r="BA2643" s="475"/>
      <c r="BF2643" s="1119"/>
      <c r="BG2643" s="1119"/>
      <c r="BH2643" s="1119"/>
    </row>
    <row r="2644" spans="1:60" ht="15.75" customHeight="1">
      <c r="A2644" s="1076"/>
      <c r="B2644" s="1080"/>
      <c r="C2644" s="424"/>
      <c r="G2644" s="418"/>
      <c r="H2644" s="467"/>
      <c r="I2644" s="467"/>
      <c r="J2644" s="492"/>
      <c r="K2644" s="312"/>
      <c r="L2644" s="312"/>
      <c r="M2644" s="312"/>
      <c r="N2644" s="467"/>
      <c r="O2644" s="467"/>
      <c r="P2644" s="467"/>
      <c r="AG2644" s="418"/>
      <c r="AL2644" s="436"/>
      <c r="AM2644" s="436"/>
      <c r="AQ2644" s="436"/>
      <c r="AR2644" s="436"/>
      <c r="AS2644" s="436"/>
      <c r="AT2644" s="436"/>
      <c r="AU2644" s="436"/>
      <c r="AV2644" s="436"/>
      <c r="AW2644" s="436"/>
      <c r="AX2644" s="436"/>
      <c r="AY2644" s="436"/>
      <c r="AZ2644" s="475"/>
      <c r="BA2644" s="475"/>
      <c r="BF2644" s="1119"/>
      <c r="BG2644" s="1119"/>
      <c r="BH2644" s="1119"/>
    </row>
    <row r="2645" spans="1:60" ht="15.75" customHeight="1">
      <c r="A2645" s="1076"/>
      <c r="B2645" s="1080"/>
      <c r="C2645" s="424"/>
      <c r="G2645" s="418"/>
      <c r="H2645" s="467"/>
      <c r="I2645" s="467"/>
      <c r="J2645" s="492"/>
      <c r="K2645" s="312"/>
      <c r="L2645" s="312"/>
      <c r="M2645" s="312"/>
      <c r="N2645" s="467"/>
      <c r="O2645" s="467"/>
      <c r="P2645" s="467"/>
      <c r="AG2645" s="418"/>
      <c r="AL2645" s="436"/>
      <c r="AM2645" s="436"/>
      <c r="AQ2645" s="436"/>
      <c r="AR2645" s="436"/>
      <c r="AS2645" s="436"/>
      <c r="AT2645" s="436"/>
      <c r="AU2645" s="436"/>
      <c r="AV2645" s="436"/>
      <c r="AW2645" s="436"/>
      <c r="AX2645" s="436"/>
      <c r="AY2645" s="436"/>
      <c r="AZ2645" s="475"/>
      <c r="BA2645" s="475"/>
      <c r="BF2645" s="1119"/>
      <c r="BG2645" s="1119"/>
      <c r="BH2645" s="1119"/>
    </row>
    <row r="2646" spans="1:60" ht="15.75" customHeight="1">
      <c r="A2646" s="1076"/>
      <c r="B2646" s="1080"/>
      <c r="C2646" s="424"/>
      <c r="G2646" s="418"/>
      <c r="H2646" s="467"/>
      <c r="I2646" s="467"/>
      <c r="J2646" s="492"/>
      <c r="K2646" s="312"/>
      <c r="L2646" s="312"/>
      <c r="M2646" s="312"/>
      <c r="N2646" s="467"/>
      <c r="O2646" s="467"/>
      <c r="P2646" s="421"/>
      <c r="AG2646" s="418"/>
      <c r="AL2646" s="436"/>
      <c r="AM2646" s="436"/>
      <c r="AQ2646" s="436"/>
      <c r="AR2646" s="436"/>
      <c r="AS2646" s="436"/>
      <c r="AT2646" s="436"/>
      <c r="AU2646" s="436"/>
      <c r="AV2646" s="436"/>
      <c r="AW2646" s="436"/>
      <c r="AX2646" s="436"/>
      <c r="AY2646" s="436"/>
      <c r="AZ2646" s="475"/>
      <c r="BA2646" s="475"/>
      <c r="BF2646" s="1119"/>
      <c r="BG2646" s="1119"/>
      <c r="BH2646" s="1119"/>
    </row>
    <row r="2647" spans="1:60" ht="15.75" customHeight="1">
      <c r="A2647" s="1076"/>
      <c r="B2647" s="1080"/>
      <c r="C2647" s="424"/>
      <c r="G2647" s="418"/>
      <c r="H2647" s="467"/>
      <c r="I2647" s="467"/>
      <c r="J2647" s="492"/>
      <c r="K2647" s="312"/>
      <c r="L2647" s="312"/>
      <c r="M2647" s="312"/>
      <c r="N2647" s="467"/>
      <c r="O2647" s="467"/>
      <c r="P2647" s="421"/>
      <c r="AG2647" s="418"/>
      <c r="AL2647" s="436"/>
      <c r="AM2647" s="436"/>
      <c r="AQ2647" s="436"/>
      <c r="AR2647" s="436"/>
      <c r="AS2647" s="436"/>
      <c r="AT2647" s="436"/>
      <c r="AU2647" s="436"/>
      <c r="AV2647" s="436"/>
      <c r="AW2647" s="436"/>
      <c r="AX2647" s="436"/>
      <c r="AY2647" s="436"/>
      <c r="AZ2647" s="475"/>
      <c r="BA2647" s="475"/>
      <c r="BF2647" s="1119"/>
      <c r="BG2647" s="1119"/>
      <c r="BH2647" s="1119"/>
    </row>
    <row r="2648" spans="1:60" ht="15.75" customHeight="1">
      <c r="A2648" s="1076"/>
      <c r="B2648" s="1080"/>
      <c r="C2648" s="424"/>
      <c r="G2648" s="418"/>
      <c r="H2648" s="467"/>
      <c r="I2648" s="467"/>
      <c r="J2648" s="492"/>
      <c r="K2648" s="312"/>
      <c r="L2648" s="312"/>
      <c r="M2648" s="312"/>
      <c r="N2648" s="467"/>
      <c r="O2648" s="467"/>
      <c r="P2648" s="421"/>
      <c r="AG2648" s="418"/>
      <c r="AL2648" s="436"/>
      <c r="AM2648" s="436"/>
      <c r="AQ2648" s="436"/>
      <c r="AR2648" s="436"/>
      <c r="AS2648" s="436"/>
      <c r="AT2648" s="436"/>
      <c r="AU2648" s="436"/>
      <c r="AV2648" s="436"/>
      <c r="AW2648" s="436"/>
      <c r="AX2648" s="436"/>
      <c r="AY2648" s="436"/>
      <c r="AZ2648" s="475"/>
      <c r="BA2648" s="475"/>
      <c r="BF2648" s="1119"/>
      <c r="BG2648" s="1119"/>
      <c r="BH2648" s="1119"/>
    </row>
    <row r="2649" spans="1:60" ht="15.75" customHeight="1">
      <c r="A2649" s="1076"/>
      <c r="B2649" s="1080"/>
      <c r="C2649" s="424"/>
      <c r="G2649" s="418"/>
      <c r="H2649" s="467"/>
      <c r="I2649" s="467"/>
      <c r="J2649" s="492"/>
      <c r="K2649" s="312"/>
      <c r="L2649" s="312"/>
      <c r="M2649" s="312"/>
      <c r="N2649" s="467"/>
      <c r="O2649" s="467"/>
      <c r="P2649" s="421"/>
      <c r="AG2649" s="418"/>
      <c r="AL2649" s="436"/>
      <c r="AM2649" s="436"/>
      <c r="AQ2649" s="436"/>
      <c r="AR2649" s="436"/>
      <c r="AS2649" s="436"/>
      <c r="AT2649" s="436"/>
      <c r="AU2649" s="436"/>
      <c r="AV2649" s="436"/>
      <c r="AW2649" s="436"/>
      <c r="AX2649" s="436"/>
      <c r="AY2649" s="436"/>
      <c r="AZ2649" s="475"/>
      <c r="BA2649" s="475"/>
      <c r="BF2649" s="1119"/>
      <c r="BG2649" s="1119"/>
      <c r="BH2649" s="1119"/>
    </row>
    <row r="2650" spans="1:60" ht="15.75" customHeight="1">
      <c r="A2650" s="1076"/>
      <c r="B2650" s="1080"/>
      <c r="C2650" s="424"/>
      <c r="G2650" s="418"/>
      <c r="H2650" s="467"/>
      <c r="I2650" s="467"/>
      <c r="J2650" s="492"/>
      <c r="K2650" s="312"/>
      <c r="L2650" s="312"/>
      <c r="M2650" s="312"/>
      <c r="N2650" s="467"/>
      <c r="O2650" s="467"/>
      <c r="P2650" s="421"/>
      <c r="AG2650" s="418"/>
      <c r="AL2650" s="436"/>
      <c r="AM2650" s="436"/>
      <c r="AQ2650" s="436"/>
      <c r="AR2650" s="436"/>
      <c r="AS2650" s="436"/>
      <c r="AT2650" s="436"/>
      <c r="AU2650" s="436"/>
      <c r="AV2650" s="436"/>
      <c r="AW2650" s="436"/>
      <c r="AX2650" s="436"/>
      <c r="AY2650" s="436"/>
      <c r="AZ2650" s="475"/>
      <c r="BA2650" s="475"/>
      <c r="BF2650" s="1119"/>
      <c r="BG2650" s="1119"/>
      <c r="BH2650" s="1119"/>
    </row>
    <row r="2651" spans="1:60" ht="15.75" customHeight="1">
      <c r="A2651" s="1076"/>
      <c r="B2651" s="1080"/>
      <c r="C2651" s="424"/>
      <c r="G2651" s="418"/>
      <c r="H2651" s="467"/>
      <c r="I2651" s="467"/>
      <c r="J2651" s="492"/>
      <c r="K2651" s="312"/>
      <c r="L2651" s="312"/>
      <c r="M2651" s="312"/>
      <c r="N2651" s="467"/>
      <c r="O2651" s="467"/>
      <c r="P2651" s="421"/>
      <c r="AG2651" s="418"/>
      <c r="AL2651" s="436"/>
      <c r="AM2651" s="436"/>
      <c r="AQ2651" s="436"/>
      <c r="AR2651" s="436"/>
      <c r="AS2651" s="436"/>
      <c r="AT2651" s="436"/>
      <c r="AU2651" s="436"/>
      <c r="AV2651" s="436"/>
      <c r="AW2651" s="436"/>
      <c r="AX2651" s="436"/>
      <c r="AY2651" s="436"/>
      <c r="AZ2651" s="475"/>
      <c r="BA2651" s="475"/>
      <c r="BF2651" s="1119"/>
      <c r="BG2651" s="1119"/>
      <c r="BH2651" s="1119"/>
    </row>
    <row r="2652" spans="1:60" ht="15.75" customHeight="1">
      <c r="A2652" s="1076"/>
      <c r="B2652" s="1080"/>
      <c r="C2652" s="424"/>
      <c r="G2652" s="418"/>
      <c r="H2652" s="467"/>
      <c r="I2652" s="467"/>
      <c r="J2652" s="492"/>
      <c r="K2652" s="312"/>
      <c r="L2652" s="312"/>
      <c r="M2652" s="312"/>
      <c r="N2652" s="467"/>
      <c r="O2652" s="467"/>
      <c r="P2652" s="421"/>
      <c r="AG2652" s="418"/>
      <c r="AL2652" s="436"/>
      <c r="AM2652" s="436"/>
      <c r="AQ2652" s="436"/>
      <c r="AR2652" s="436"/>
      <c r="AS2652" s="436"/>
      <c r="AT2652" s="436"/>
      <c r="AU2652" s="436"/>
      <c r="AV2652" s="436"/>
      <c r="AW2652" s="436"/>
      <c r="AX2652" s="436"/>
      <c r="AY2652" s="436"/>
      <c r="AZ2652" s="475"/>
      <c r="BA2652" s="475"/>
      <c r="BF2652" s="1119"/>
      <c r="BG2652" s="1119"/>
      <c r="BH2652" s="1119"/>
    </row>
    <row r="2653" spans="1:60" ht="15.75" customHeight="1">
      <c r="A2653" s="1076"/>
      <c r="B2653" s="1080"/>
      <c r="C2653" s="424"/>
      <c r="G2653" s="418"/>
      <c r="H2653" s="467"/>
      <c r="I2653" s="467"/>
      <c r="J2653" s="492"/>
      <c r="K2653" s="312"/>
      <c r="L2653" s="312"/>
      <c r="M2653" s="312"/>
      <c r="N2653" s="467"/>
      <c r="O2653" s="467"/>
      <c r="P2653" s="421"/>
      <c r="AG2653" s="418"/>
      <c r="AL2653" s="436"/>
      <c r="AM2653" s="436"/>
      <c r="AQ2653" s="436"/>
      <c r="AR2653" s="436"/>
      <c r="AS2653" s="436"/>
      <c r="AT2653" s="436"/>
      <c r="AU2653" s="436"/>
      <c r="AV2653" s="436"/>
      <c r="AW2653" s="436"/>
      <c r="AX2653" s="436"/>
      <c r="AY2653" s="436"/>
      <c r="AZ2653" s="475"/>
      <c r="BA2653" s="475"/>
      <c r="BF2653" s="1119"/>
      <c r="BG2653" s="1119"/>
      <c r="BH2653" s="1119"/>
    </row>
    <row r="2654" spans="1:60" ht="15.75" customHeight="1">
      <c r="A2654" s="1076"/>
      <c r="B2654" s="1080"/>
      <c r="C2654" s="424"/>
      <c r="G2654" s="418"/>
      <c r="H2654" s="467"/>
      <c r="I2654" s="467"/>
      <c r="J2654" s="492"/>
      <c r="K2654" s="312"/>
      <c r="L2654" s="312"/>
      <c r="M2654" s="312"/>
      <c r="N2654" s="467"/>
      <c r="O2654" s="467"/>
      <c r="P2654" s="421"/>
      <c r="AG2654" s="418"/>
      <c r="AL2654" s="436"/>
      <c r="AM2654" s="436"/>
      <c r="AQ2654" s="436"/>
      <c r="AR2654" s="436"/>
      <c r="AS2654" s="436"/>
      <c r="AT2654" s="436"/>
      <c r="AU2654" s="436"/>
      <c r="AV2654" s="436"/>
      <c r="AW2654" s="436"/>
      <c r="AX2654" s="436"/>
      <c r="AY2654" s="436"/>
      <c r="AZ2654" s="475"/>
      <c r="BA2654" s="475"/>
      <c r="BF2654" s="1119"/>
      <c r="BG2654" s="1119"/>
      <c r="BH2654" s="1119"/>
    </row>
    <row r="2655" spans="1:60" ht="15.75" customHeight="1">
      <c r="A2655" s="1076"/>
      <c r="B2655" s="1080"/>
      <c r="C2655" s="424"/>
      <c r="G2655" s="418"/>
      <c r="H2655" s="467"/>
      <c r="I2655" s="467"/>
      <c r="J2655" s="492"/>
      <c r="K2655" s="312"/>
      <c r="L2655" s="312"/>
      <c r="M2655" s="312"/>
      <c r="N2655" s="467"/>
      <c r="O2655" s="467"/>
      <c r="P2655" s="421"/>
      <c r="AG2655" s="418"/>
      <c r="AL2655" s="436"/>
      <c r="AM2655" s="436"/>
      <c r="AQ2655" s="436"/>
      <c r="AR2655" s="436"/>
      <c r="AS2655" s="436"/>
      <c r="AT2655" s="436"/>
      <c r="AU2655" s="436"/>
      <c r="AV2655" s="436"/>
      <c r="AW2655" s="436"/>
      <c r="AX2655" s="436"/>
      <c r="AY2655" s="436"/>
      <c r="AZ2655" s="475"/>
      <c r="BA2655" s="475"/>
      <c r="BF2655" s="1119"/>
      <c r="BG2655" s="1119"/>
      <c r="BH2655" s="1119"/>
    </row>
    <row r="2656" spans="1:60" ht="15.75" customHeight="1">
      <c r="A2656" s="1076"/>
      <c r="B2656" s="1080"/>
      <c r="C2656" s="424"/>
      <c r="G2656" s="418"/>
      <c r="H2656" s="467"/>
      <c r="I2656" s="467"/>
      <c r="J2656" s="492"/>
      <c r="K2656" s="312"/>
      <c r="L2656" s="312"/>
      <c r="M2656" s="312"/>
      <c r="N2656" s="467"/>
      <c r="O2656" s="467"/>
      <c r="P2656" s="467"/>
      <c r="AG2656" s="418"/>
      <c r="AL2656" s="436"/>
      <c r="AM2656" s="436"/>
      <c r="AQ2656" s="436"/>
      <c r="AR2656" s="436"/>
      <c r="AS2656" s="436"/>
      <c r="AT2656" s="436"/>
      <c r="AU2656" s="436"/>
      <c r="AV2656" s="436"/>
      <c r="AW2656" s="436"/>
      <c r="AX2656" s="436"/>
      <c r="AY2656" s="436"/>
      <c r="AZ2656" s="475"/>
      <c r="BA2656" s="475"/>
      <c r="BF2656" s="1119"/>
      <c r="BG2656" s="1119"/>
      <c r="BH2656" s="1119"/>
    </row>
    <row r="2657" spans="1:60" ht="15.75" customHeight="1">
      <c r="A2657" s="1076"/>
      <c r="B2657" s="1080"/>
      <c r="C2657" s="424"/>
      <c r="G2657" s="418"/>
      <c r="H2657" s="467"/>
      <c r="I2657" s="467"/>
      <c r="J2657" s="492"/>
      <c r="K2657" s="312"/>
      <c r="L2657" s="312"/>
      <c r="M2657" s="312"/>
      <c r="N2657" s="467"/>
      <c r="O2657" s="467"/>
      <c r="P2657" s="467"/>
      <c r="AG2657" s="418"/>
      <c r="AL2657" s="436"/>
      <c r="AM2657" s="436"/>
      <c r="AQ2657" s="436"/>
      <c r="AR2657" s="436"/>
      <c r="AS2657" s="436"/>
      <c r="AT2657" s="436"/>
      <c r="AU2657" s="436"/>
      <c r="AV2657" s="436"/>
      <c r="AW2657" s="436"/>
      <c r="AX2657" s="436"/>
      <c r="AY2657" s="436"/>
      <c r="AZ2657" s="475"/>
      <c r="BA2657" s="475"/>
      <c r="BF2657" s="1119"/>
      <c r="BG2657" s="1119"/>
      <c r="BH2657" s="1119"/>
    </row>
    <row r="2658" spans="1:60" ht="15.75" customHeight="1">
      <c r="A2658" s="1076"/>
      <c r="B2658" s="1080"/>
      <c r="C2658" s="424"/>
      <c r="G2658" s="418"/>
      <c r="H2658" s="467"/>
      <c r="I2658" s="467"/>
      <c r="J2658" s="492"/>
      <c r="K2658" s="312"/>
      <c r="L2658" s="312"/>
      <c r="M2658" s="312"/>
      <c r="N2658" s="467"/>
      <c r="O2658" s="467"/>
      <c r="P2658" s="467"/>
      <c r="AG2658" s="418"/>
      <c r="AL2658" s="436"/>
      <c r="AM2658" s="436"/>
      <c r="AQ2658" s="436"/>
      <c r="AR2658" s="436"/>
      <c r="AS2658" s="436"/>
      <c r="AT2658" s="436"/>
      <c r="AU2658" s="436"/>
      <c r="AV2658" s="436"/>
      <c r="AW2658" s="436"/>
      <c r="AX2658" s="436"/>
      <c r="AY2658" s="436"/>
      <c r="AZ2658" s="475"/>
      <c r="BA2658" s="475"/>
      <c r="BF2658" s="1119"/>
      <c r="BG2658" s="1119"/>
      <c r="BH2658" s="1119"/>
    </row>
    <row r="2659" spans="1:60" ht="15.75" customHeight="1">
      <c r="A2659" s="1076"/>
      <c r="B2659" s="1080"/>
      <c r="C2659" s="424"/>
      <c r="G2659" s="418"/>
      <c r="H2659" s="467"/>
      <c r="I2659" s="467"/>
      <c r="J2659" s="492"/>
      <c r="K2659" s="312"/>
      <c r="L2659" s="312"/>
      <c r="M2659" s="312"/>
      <c r="N2659" s="467"/>
      <c r="O2659" s="467"/>
      <c r="P2659" s="467"/>
      <c r="AG2659" s="418"/>
      <c r="AL2659" s="436"/>
      <c r="AM2659" s="436"/>
      <c r="AQ2659" s="436"/>
      <c r="AR2659" s="436"/>
      <c r="AS2659" s="436"/>
      <c r="AT2659" s="436"/>
      <c r="AU2659" s="436"/>
      <c r="AV2659" s="436"/>
      <c r="AW2659" s="436"/>
      <c r="AX2659" s="436"/>
      <c r="AY2659" s="436"/>
      <c r="AZ2659" s="475"/>
      <c r="BA2659" s="475"/>
      <c r="BF2659" s="1119"/>
      <c r="BG2659" s="1119"/>
      <c r="BH2659" s="1119"/>
    </row>
    <row r="2660" spans="1:60" ht="15.75" customHeight="1">
      <c r="A2660" s="1076"/>
      <c r="B2660" s="1080"/>
      <c r="C2660" s="424"/>
      <c r="G2660" s="418"/>
      <c r="H2660" s="467"/>
      <c r="I2660" s="467"/>
      <c r="J2660" s="492"/>
      <c r="K2660" s="312"/>
      <c r="L2660" s="312"/>
      <c r="M2660" s="312"/>
      <c r="N2660" s="467"/>
      <c r="O2660" s="467"/>
      <c r="P2660" s="467"/>
      <c r="AG2660" s="418"/>
      <c r="AL2660" s="436"/>
      <c r="AM2660" s="436"/>
      <c r="AQ2660" s="436"/>
      <c r="AR2660" s="436"/>
      <c r="AS2660" s="436"/>
      <c r="AT2660" s="436"/>
      <c r="AU2660" s="436"/>
      <c r="AV2660" s="436"/>
      <c r="AW2660" s="436"/>
      <c r="AX2660" s="436"/>
      <c r="AY2660" s="436"/>
      <c r="AZ2660" s="475"/>
      <c r="BA2660" s="475"/>
      <c r="BF2660" s="1119"/>
      <c r="BG2660" s="1119"/>
      <c r="BH2660" s="1119"/>
    </row>
    <row r="2661" spans="1:60" ht="15.75" customHeight="1">
      <c r="A2661" s="1076"/>
      <c r="B2661" s="1080"/>
      <c r="C2661" s="424"/>
      <c r="G2661" s="418"/>
      <c r="H2661" s="467"/>
      <c r="I2661" s="467"/>
      <c r="J2661" s="492"/>
      <c r="K2661" s="312"/>
      <c r="L2661" s="312"/>
      <c r="M2661" s="312"/>
      <c r="N2661" s="467"/>
      <c r="O2661" s="467"/>
      <c r="P2661" s="467"/>
      <c r="AG2661" s="418"/>
      <c r="AL2661" s="436"/>
      <c r="AM2661" s="436"/>
      <c r="AQ2661" s="436"/>
      <c r="AR2661" s="436"/>
      <c r="AS2661" s="436"/>
      <c r="AT2661" s="436"/>
      <c r="AU2661" s="436"/>
      <c r="AV2661" s="436"/>
      <c r="AW2661" s="436"/>
      <c r="AX2661" s="436"/>
      <c r="AY2661" s="436"/>
      <c r="AZ2661" s="475"/>
      <c r="BA2661" s="475"/>
      <c r="BF2661" s="1119"/>
      <c r="BG2661" s="1119"/>
      <c r="BH2661" s="1119"/>
    </row>
    <row r="2662" spans="1:60" ht="15.75" customHeight="1">
      <c r="A2662" s="1076"/>
      <c r="B2662" s="1080"/>
      <c r="C2662" s="424"/>
      <c r="G2662" s="418"/>
      <c r="H2662" s="467"/>
      <c r="I2662" s="467"/>
      <c r="J2662" s="492"/>
      <c r="K2662" s="312"/>
      <c r="L2662" s="312"/>
      <c r="M2662" s="312"/>
      <c r="N2662" s="467"/>
      <c r="O2662" s="467"/>
      <c r="P2662" s="467"/>
      <c r="AG2662" s="418"/>
      <c r="AL2662" s="436"/>
      <c r="AM2662" s="436"/>
      <c r="AQ2662" s="436"/>
      <c r="AR2662" s="436"/>
      <c r="AS2662" s="436"/>
      <c r="AT2662" s="436"/>
      <c r="AU2662" s="436"/>
      <c r="AV2662" s="436"/>
      <c r="AW2662" s="436"/>
      <c r="AX2662" s="436"/>
      <c r="AY2662" s="436"/>
      <c r="AZ2662" s="475"/>
      <c r="BA2662" s="475"/>
      <c r="BF2662" s="1119"/>
      <c r="BG2662" s="1119"/>
      <c r="BH2662" s="1119"/>
    </row>
    <row r="2663" spans="1:60" ht="15.75" customHeight="1">
      <c r="A2663" s="1076"/>
      <c r="B2663" s="1080"/>
      <c r="C2663" s="424"/>
      <c r="G2663" s="418"/>
      <c r="H2663" s="467"/>
      <c r="I2663" s="467"/>
      <c r="J2663" s="492"/>
      <c r="K2663" s="312"/>
      <c r="L2663" s="312"/>
      <c r="M2663" s="312"/>
      <c r="N2663" s="467"/>
      <c r="O2663" s="467"/>
      <c r="P2663" s="467"/>
      <c r="AG2663" s="418"/>
      <c r="AL2663" s="436"/>
      <c r="AM2663" s="436"/>
      <c r="AQ2663" s="436"/>
      <c r="AR2663" s="436"/>
      <c r="AS2663" s="436"/>
      <c r="AT2663" s="436"/>
      <c r="AU2663" s="436"/>
      <c r="AV2663" s="436"/>
      <c r="AW2663" s="436"/>
      <c r="AX2663" s="436"/>
      <c r="AY2663" s="436"/>
      <c r="AZ2663" s="475"/>
      <c r="BA2663" s="475"/>
      <c r="BF2663" s="1119"/>
      <c r="BG2663" s="1119"/>
      <c r="BH2663" s="1119"/>
    </row>
    <row r="2664" spans="1:60" ht="15.75" customHeight="1">
      <c r="A2664" s="1076"/>
      <c r="B2664" s="1080"/>
      <c r="C2664" s="424"/>
      <c r="G2664" s="418"/>
      <c r="H2664" s="467"/>
      <c r="I2664" s="467"/>
      <c r="J2664" s="492"/>
      <c r="K2664" s="312"/>
      <c r="L2664" s="312"/>
      <c r="M2664" s="312"/>
      <c r="N2664" s="467"/>
      <c r="O2664" s="467"/>
      <c r="P2664" s="467"/>
      <c r="AG2664" s="418"/>
      <c r="AL2664" s="436"/>
      <c r="AM2664" s="436"/>
      <c r="AQ2664" s="436"/>
      <c r="AR2664" s="436"/>
      <c r="AS2664" s="436"/>
      <c r="AT2664" s="436"/>
      <c r="AU2664" s="436"/>
      <c r="AV2664" s="436"/>
      <c r="AW2664" s="436"/>
      <c r="AX2664" s="436"/>
      <c r="AY2664" s="436"/>
      <c r="AZ2664" s="475"/>
      <c r="BA2664" s="475"/>
      <c r="BF2664" s="1119"/>
      <c r="BG2664" s="1119"/>
      <c r="BH2664" s="1119"/>
    </row>
    <row r="2665" spans="1:60" ht="15.75" customHeight="1">
      <c r="A2665" s="1076"/>
      <c r="B2665" s="1080"/>
      <c r="C2665" s="424"/>
      <c r="G2665" s="418"/>
      <c r="H2665" s="467"/>
      <c r="I2665" s="467"/>
      <c r="J2665" s="492"/>
      <c r="K2665" s="312"/>
      <c r="L2665" s="312"/>
      <c r="M2665" s="312"/>
      <c r="N2665" s="467"/>
      <c r="O2665" s="467"/>
      <c r="P2665" s="467"/>
      <c r="AG2665" s="418"/>
      <c r="AL2665" s="436"/>
      <c r="AM2665" s="436"/>
      <c r="AQ2665" s="436"/>
      <c r="AR2665" s="436"/>
      <c r="AS2665" s="436"/>
      <c r="AT2665" s="436"/>
      <c r="AU2665" s="436"/>
      <c r="AV2665" s="436"/>
      <c r="AW2665" s="436"/>
      <c r="AX2665" s="436"/>
      <c r="AY2665" s="436"/>
      <c r="AZ2665" s="475"/>
      <c r="BA2665" s="475"/>
      <c r="BF2665" s="1119"/>
      <c r="BG2665" s="1119"/>
      <c r="BH2665" s="1119"/>
    </row>
    <row r="2666" spans="1:60" ht="15.75" customHeight="1">
      <c r="A2666" s="1076"/>
      <c r="B2666" s="1080"/>
      <c r="C2666" s="424"/>
      <c r="G2666" s="418"/>
      <c r="H2666" s="467"/>
      <c r="I2666" s="467"/>
      <c r="J2666" s="492"/>
      <c r="K2666" s="312"/>
      <c r="L2666" s="312"/>
      <c r="M2666" s="312"/>
      <c r="N2666" s="467"/>
      <c r="O2666" s="467"/>
      <c r="P2666" s="467"/>
      <c r="AG2666" s="418"/>
      <c r="AL2666" s="436"/>
      <c r="AM2666" s="436"/>
      <c r="AQ2666" s="436"/>
      <c r="AR2666" s="436"/>
      <c r="AS2666" s="436"/>
      <c r="AT2666" s="436"/>
      <c r="AU2666" s="436"/>
      <c r="AV2666" s="436"/>
      <c r="AW2666" s="436"/>
      <c r="AX2666" s="436"/>
      <c r="AY2666" s="436"/>
      <c r="AZ2666" s="475"/>
      <c r="BA2666" s="475"/>
      <c r="BF2666" s="1119"/>
      <c r="BG2666" s="1119"/>
      <c r="BH2666" s="1119"/>
    </row>
    <row r="2667" spans="1:60" ht="15.75" customHeight="1">
      <c r="A2667" s="1076"/>
      <c r="B2667" s="1080"/>
      <c r="C2667" s="424"/>
      <c r="G2667" s="418"/>
      <c r="H2667" s="467"/>
      <c r="I2667" s="467"/>
      <c r="J2667" s="492"/>
      <c r="K2667" s="312"/>
      <c r="L2667" s="312"/>
      <c r="M2667" s="312"/>
      <c r="N2667" s="467"/>
      <c r="O2667" s="467"/>
      <c r="P2667" s="467"/>
      <c r="AG2667" s="418"/>
      <c r="AL2667" s="436"/>
      <c r="AM2667" s="436"/>
      <c r="AQ2667" s="436"/>
      <c r="AR2667" s="436"/>
      <c r="AS2667" s="436"/>
      <c r="AT2667" s="436"/>
      <c r="AU2667" s="436"/>
      <c r="AV2667" s="436"/>
      <c r="AW2667" s="436"/>
      <c r="AX2667" s="436"/>
      <c r="AY2667" s="436"/>
      <c r="AZ2667" s="475"/>
      <c r="BA2667" s="475"/>
      <c r="BF2667" s="1119"/>
      <c r="BG2667" s="1119"/>
      <c r="BH2667" s="1119"/>
    </row>
    <row r="2668" spans="1:60" ht="15.75" customHeight="1">
      <c r="A2668" s="1076"/>
      <c r="B2668" s="1080"/>
      <c r="C2668" s="424"/>
      <c r="G2668" s="418"/>
      <c r="H2668" s="467"/>
      <c r="I2668" s="467"/>
      <c r="J2668" s="492"/>
      <c r="K2668" s="312"/>
      <c r="L2668" s="312"/>
      <c r="M2668" s="312"/>
      <c r="N2668" s="467"/>
      <c r="O2668" s="467"/>
      <c r="P2668" s="467"/>
      <c r="AG2668" s="418"/>
      <c r="AL2668" s="436"/>
      <c r="AM2668" s="436"/>
      <c r="AQ2668" s="436"/>
      <c r="AR2668" s="436"/>
      <c r="AS2668" s="436"/>
      <c r="AT2668" s="436"/>
      <c r="AU2668" s="436"/>
      <c r="AV2668" s="436"/>
      <c r="AW2668" s="436"/>
      <c r="AX2668" s="436"/>
      <c r="AY2668" s="436"/>
      <c r="AZ2668" s="475"/>
      <c r="BA2668" s="475"/>
      <c r="BF2668" s="1119"/>
      <c r="BG2668" s="1119"/>
      <c r="BH2668" s="1119"/>
    </row>
    <row r="2669" spans="1:60" ht="15.75" customHeight="1">
      <c r="A2669" s="1076"/>
      <c r="B2669" s="1080"/>
      <c r="C2669" s="424"/>
      <c r="G2669" s="418"/>
      <c r="H2669" s="467"/>
      <c r="I2669" s="467"/>
      <c r="J2669" s="492"/>
      <c r="K2669" s="312"/>
      <c r="L2669" s="312"/>
      <c r="M2669" s="312"/>
      <c r="N2669" s="467"/>
      <c r="O2669" s="467"/>
      <c r="P2669" s="467"/>
      <c r="AG2669" s="418"/>
      <c r="AL2669" s="436"/>
      <c r="AM2669" s="436"/>
      <c r="AQ2669" s="436"/>
      <c r="AR2669" s="436"/>
      <c r="AS2669" s="436"/>
      <c r="AT2669" s="436"/>
      <c r="AU2669" s="436"/>
      <c r="AV2669" s="436"/>
      <c r="AW2669" s="436"/>
      <c r="AX2669" s="436"/>
      <c r="AY2669" s="436"/>
      <c r="AZ2669" s="475"/>
      <c r="BA2669" s="475"/>
      <c r="BF2669" s="1119"/>
      <c r="BG2669" s="1119"/>
      <c r="BH2669" s="1119"/>
    </row>
    <row r="2670" spans="1:60" ht="15.75" customHeight="1">
      <c r="A2670" s="1076"/>
      <c r="B2670" s="1080"/>
      <c r="C2670" s="424"/>
      <c r="G2670" s="418"/>
      <c r="H2670" s="467"/>
      <c r="I2670" s="467"/>
      <c r="J2670" s="492"/>
      <c r="K2670" s="312"/>
      <c r="L2670" s="312"/>
      <c r="M2670" s="312"/>
      <c r="N2670" s="467"/>
      <c r="O2670" s="467"/>
      <c r="P2670" s="467"/>
      <c r="AG2670" s="418"/>
      <c r="AL2670" s="436"/>
      <c r="AM2670" s="436"/>
      <c r="AQ2670" s="436"/>
      <c r="AR2670" s="436"/>
      <c r="AS2670" s="436"/>
      <c r="AT2670" s="436"/>
      <c r="AU2670" s="436"/>
      <c r="AV2670" s="436"/>
      <c r="AW2670" s="436"/>
      <c r="AX2670" s="436"/>
      <c r="AY2670" s="436"/>
      <c r="AZ2670" s="475"/>
      <c r="BA2670" s="475"/>
      <c r="BF2670" s="1119"/>
      <c r="BG2670" s="1119"/>
      <c r="BH2670" s="1119"/>
    </row>
    <row r="2671" spans="1:60" ht="15.75" customHeight="1">
      <c r="A2671" s="1076"/>
      <c r="B2671" s="1080"/>
      <c r="C2671" s="424"/>
      <c r="G2671" s="418"/>
      <c r="H2671" s="467"/>
      <c r="I2671" s="467"/>
      <c r="J2671" s="492"/>
      <c r="K2671" s="312"/>
      <c r="L2671" s="312"/>
      <c r="M2671" s="312"/>
      <c r="N2671" s="467"/>
      <c r="O2671" s="467"/>
      <c r="P2671" s="467"/>
      <c r="AG2671" s="418"/>
      <c r="AL2671" s="436"/>
      <c r="AM2671" s="436"/>
      <c r="AQ2671" s="436"/>
      <c r="AR2671" s="436"/>
      <c r="AS2671" s="436"/>
      <c r="AT2671" s="436"/>
      <c r="AU2671" s="436"/>
      <c r="AV2671" s="436"/>
      <c r="AW2671" s="436"/>
      <c r="AX2671" s="436"/>
      <c r="AY2671" s="436"/>
      <c r="AZ2671" s="475"/>
      <c r="BA2671" s="475"/>
      <c r="BF2671" s="1119"/>
      <c r="BG2671" s="1119"/>
      <c r="BH2671" s="1119"/>
    </row>
    <row r="2672" spans="1:60" ht="15.75" customHeight="1">
      <c r="A2672" s="1076"/>
      <c r="B2672" s="1080"/>
      <c r="C2672" s="424"/>
      <c r="G2672" s="418"/>
      <c r="H2672" s="467"/>
      <c r="I2672" s="467"/>
      <c r="J2672" s="492"/>
      <c r="K2672" s="312"/>
      <c r="L2672" s="312"/>
      <c r="M2672" s="312"/>
      <c r="N2672" s="467"/>
      <c r="O2672" s="467"/>
      <c r="P2672" s="467"/>
      <c r="AG2672" s="418"/>
      <c r="AL2672" s="436"/>
      <c r="AM2672" s="436"/>
      <c r="AQ2672" s="436"/>
      <c r="AR2672" s="436"/>
      <c r="AS2672" s="436"/>
      <c r="AT2672" s="436"/>
      <c r="AU2672" s="436"/>
      <c r="AV2672" s="436"/>
      <c r="AW2672" s="436"/>
      <c r="AX2672" s="436"/>
      <c r="AY2672" s="436"/>
      <c r="AZ2672" s="475"/>
      <c r="BA2672" s="475"/>
      <c r="BF2672" s="1119"/>
      <c r="BG2672" s="1119"/>
      <c r="BH2672" s="1119"/>
    </row>
    <row r="2673" spans="1:60" ht="15.75" customHeight="1">
      <c r="A2673" s="1076"/>
      <c r="B2673" s="1080"/>
      <c r="C2673" s="424"/>
      <c r="G2673" s="418"/>
      <c r="H2673" s="467"/>
      <c r="I2673" s="467"/>
      <c r="J2673" s="492"/>
      <c r="K2673" s="312"/>
      <c r="L2673" s="312"/>
      <c r="M2673" s="312"/>
      <c r="N2673" s="467"/>
      <c r="O2673" s="467"/>
      <c r="P2673" s="467"/>
      <c r="AG2673" s="418"/>
      <c r="AL2673" s="436"/>
      <c r="AM2673" s="436"/>
      <c r="AQ2673" s="436"/>
      <c r="AR2673" s="436"/>
      <c r="AS2673" s="436"/>
      <c r="AT2673" s="436"/>
      <c r="AU2673" s="436"/>
      <c r="AV2673" s="436"/>
      <c r="AW2673" s="436"/>
      <c r="AX2673" s="436"/>
      <c r="AY2673" s="436"/>
      <c r="AZ2673" s="475"/>
      <c r="BA2673" s="475"/>
      <c r="BF2673" s="1119"/>
      <c r="BG2673" s="1119"/>
      <c r="BH2673" s="1119"/>
    </row>
    <row r="2674" spans="1:60" ht="15.75" customHeight="1">
      <c r="A2674" s="1076"/>
      <c r="B2674" s="1080"/>
      <c r="C2674" s="424"/>
      <c r="G2674" s="418"/>
      <c r="H2674" s="467"/>
      <c r="I2674" s="467"/>
      <c r="J2674" s="492"/>
      <c r="K2674" s="312"/>
      <c r="L2674" s="312"/>
      <c r="M2674" s="312"/>
      <c r="N2674" s="467"/>
      <c r="O2674" s="467"/>
      <c r="P2674" s="467"/>
      <c r="AG2674" s="418"/>
      <c r="AL2674" s="436"/>
      <c r="AM2674" s="436"/>
      <c r="AQ2674" s="436"/>
      <c r="AR2674" s="436"/>
      <c r="AS2674" s="436"/>
      <c r="AT2674" s="436"/>
      <c r="AU2674" s="436"/>
      <c r="AV2674" s="436"/>
      <c r="AW2674" s="436"/>
      <c r="AX2674" s="436"/>
      <c r="AY2674" s="436"/>
      <c r="AZ2674" s="475"/>
      <c r="BA2674" s="475"/>
      <c r="BF2674" s="1119"/>
      <c r="BG2674" s="1119"/>
      <c r="BH2674" s="1119"/>
    </row>
    <row r="2675" spans="1:60" ht="15.75" customHeight="1">
      <c r="A2675" s="1076"/>
      <c r="B2675" s="1080"/>
      <c r="C2675" s="424"/>
      <c r="G2675" s="418"/>
      <c r="H2675" s="467"/>
      <c r="I2675" s="467"/>
      <c r="J2675" s="492"/>
      <c r="K2675" s="312"/>
      <c r="L2675" s="312"/>
      <c r="M2675" s="312"/>
      <c r="N2675" s="467"/>
      <c r="O2675" s="467"/>
      <c r="P2675" s="467"/>
      <c r="AG2675" s="418"/>
      <c r="AL2675" s="436"/>
      <c r="AM2675" s="436"/>
      <c r="AQ2675" s="436"/>
      <c r="AR2675" s="436"/>
      <c r="AS2675" s="436"/>
      <c r="AT2675" s="436"/>
      <c r="AU2675" s="436"/>
      <c r="AV2675" s="436"/>
      <c r="AW2675" s="436"/>
      <c r="AX2675" s="436"/>
      <c r="AY2675" s="436"/>
      <c r="AZ2675" s="475"/>
      <c r="BA2675" s="475"/>
      <c r="BF2675" s="1119"/>
      <c r="BG2675" s="1119"/>
      <c r="BH2675" s="1119"/>
    </row>
    <row r="2676" spans="1:60" ht="15.75" customHeight="1">
      <c r="A2676" s="1076"/>
      <c r="B2676" s="1080"/>
      <c r="C2676" s="424"/>
      <c r="G2676" s="418"/>
      <c r="H2676" s="467"/>
      <c r="I2676" s="467"/>
      <c r="J2676" s="492"/>
      <c r="K2676" s="312"/>
      <c r="L2676" s="312"/>
      <c r="M2676" s="312"/>
      <c r="N2676" s="467"/>
      <c r="O2676" s="467"/>
      <c r="P2676" s="467"/>
      <c r="AG2676" s="418"/>
      <c r="AL2676" s="436"/>
      <c r="AM2676" s="436"/>
      <c r="AQ2676" s="436"/>
      <c r="AR2676" s="436"/>
      <c r="AS2676" s="436"/>
      <c r="AT2676" s="436"/>
      <c r="AU2676" s="436"/>
      <c r="AV2676" s="436"/>
      <c r="AW2676" s="436"/>
      <c r="AX2676" s="436"/>
      <c r="AY2676" s="436"/>
      <c r="AZ2676" s="475"/>
      <c r="BA2676" s="475"/>
      <c r="BF2676" s="1119"/>
      <c r="BG2676" s="1119"/>
      <c r="BH2676" s="1119"/>
    </row>
    <row r="2677" spans="1:60" ht="15.75" customHeight="1">
      <c r="A2677" s="1076"/>
      <c r="B2677" s="1080"/>
      <c r="C2677" s="424"/>
      <c r="G2677" s="418"/>
      <c r="H2677" s="467"/>
      <c r="I2677" s="467"/>
      <c r="J2677" s="492"/>
      <c r="K2677" s="312"/>
      <c r="L2677" s="312"/>
      <c r="M2677" s="312"/>
      <c r="N2677" s="467"/>
      <c r="O2677" s="467"/>
      <c r="P2677" s="467"/>
      <c r="AG2677" s="418"/>
      <c r="AL2677" s="436"/>
      <c r="AM2677" s="436"/>
      <c r="AQ2677" s="436"/>
      <c r="AR2677" s="436"/>
      <c r="AS2677" s="436"/>
      <c r="AT2677" s="436"/>
      <c r="AU2677" s="436"/>
      <c r="AV2677" s="436"/>
      <c r="AW2677" s="436"/>
      <c r="AX2677" s="436"/>
      <c r="AY2677" s="436"/>
      <c r="AZ2677" s="475"/>
      <c r="BA2677" s="475"/>
      <c r="BF2677" s="1119"/>
      <c r="BG2677" s="1119"/>
      <c r="BH2677" s="1119"/>
    </row>
    <row r="2678" spans="1:60" ht="15.75" customHeight="1">
      <c r="A2678" s="1076"/>
      <c r="B2678" s="1080"/>
      <c r="C2678" s="424"/>
      <c r="G2678" s="418"/>
      <c r="H2678" s="467"/>
      <c r="I2678" s="467"/>
      <c r="J2678" s="492"/>
      <c r="K2678" s="312"/>
      <c r="L2678" s="312"/>
      <c r="M2678" s="312"/>
      <c r="N2678" s="467"/>
      <c r="O2678" s="467"/>
      <c r="P2678" s="467"/>
      <c r="AG2678" s="418"/>
      <c r="AL2678" s="436"/>
      <c r="AM2678" s="436"/>
      <c r="AQ2678" s="436"/>
      <c r="AR2678" s="436"/>
      <c r="AS2678" s="436"/>
      <c r="AT2678" s="436"/>
      <c r="AU2678" s="436"/>
      <c r="AV2678" s="436"/>
      <c r="AW2678" s="436"/>
      <c r="AX2678" s="436"/>
      <c r="AY2678" s="436"/>
      <c r="AZ2678" s="475"/>
      <c r="BA2678" s="475"/>
      <c r="BF2678" s="1119"/>
      <c r="BG2678" s="1119"/>
      <c r="BH2678" s="1119"/>
    </row>
    <row r="2679" spans="1:60" ht="15.75" customHeight="1">
      <c r="A2679" s="1076"/>
      <c r="B2679" s="1080"/>
      <c r="C2679" s="424"/>
      <c r="G2679" s="418"/>
      <c r="H2679" s="467"/>
      <c r="I2679" s="467"/>
      <c r="J2679" s="492"/>
      <c r="K2679" s="312"/>
      <c r="L2679" s="312"/>
      <c r="M2679" s="312"/>
      <c r="N2679" s="467"/>
      <c r="O2679" s="467"/>
      <c r="P2679" s="467"/>
      <c r="AG2679" s="418"/>
      <c r="AL2679" s="436"/>
      <c r="AM2679" s="436"/>
      <c r="AQ2679" s="436"/>
      <c r="AR2679" s="436"/>
      <c r="AS2679" s="436"/>
      <c r="AT2679" s="436"/>
      <c r="AU2679" s="436"/>
      <c r="AV2679" s="436"/>
      <c r="AW2679" s="436"/>
      <c r="AX2679" s="436"/>
      <c r="AY2679" s="436"/>
      <c r="AZ2679" s="475"/>
      <c r="BA2679" s="475"/>
      <c r="BF2679" s="1119"/>
      <c r="BG2679" s="1119"/>
      <c r="BH2679" s="1119"/>
    </row>
    <row r="2680" spans="1:60" ht="15.75" customHeight="1">
      <c r="A2680" s="1076"/>
      <c r="B2680" s="1080"/>
      <c r="C2680" s="424"/>
      <c r="G2680" s="418"/>
      <c r="H2680" s="467"/>
      <c r="I2680" s="467"/>
      <c r="J2680" s="492"/>
      <c r="K2680" s="312"/>
      <c r="L2680" s="312"/>
      <c r="M2680" s="312"/>
      <c r="N2680" s="467"/>
      <c r="O2680" s="467"/>
      <c r="P2680" s="467"/>
      <c r="AG2680" s="418"/>
      <c r="AL2680" s="436"/>
      <c r="AM2680" s="436"/>
      <c r="AQ2680" s="436"/>
      <c r="AR2680" s="436"/>
      <c r="AS2680" s="436"/>
      <c r="AT2680" s="436"/>
      <c r="AU2680" s="436"/>
      <c r="AV2680" s="436"/>
      <c r="AW2680" s="436"/>
      <c r="AX2680" s="436"/>
      <c r="AY2680" s="436"/>
      <c r="AZ2680" s="475"/>
      <c r="BA2680" s="475"/>
      <c r="BF2680" s="1119"/>
      <c r="BG2680" s="1119"/>
      <c r="BH2680" s="1119"/>
    </row>
    <row r="2681" spans="1:60" ht="15.75" customHeight="1">
      <c r="A2681" s="1076"/>
      <c r="B2681" s="1080"/>
      <c r="C2681" s="424"/>
      <c r="G2681" s="418"/>
      <c r="H2681" s="467"/>
      <c r="I2681" s="467"/>
      <c r="J2681" s="492"/>
      <c r="K2681" s="312"/>
      <c r="L2681" s="312"/>
      <c r="M2681" s="312"/>
      <c r="N2681" s="467"/>
      <c r="O2681" s="467"/>
      <c r="P2681" s="467"/>
      <c r="AG2681" s="418"/>
      <c r="AL2681" s="436"/>
      <c r="AM2681" s="436"/>
      <c r="AQ2681" s="436"/>
      <c r="AR2681" s="436"/>
      <c r="AS2681" s="436"/>
      <c r="AT2681" s="436"/>
      <c r="AU2681" s="436"/>
      <c r="AV2681" s="436"/>
      <c r="AW2681" s="436"/>
      <c r="AX2681" s="436"/>
      <c r="AY2681" s="436"/>
      <c r="AZ2681" s="475"/>
      <c r="BA2681" s="475"/>
      <c r="BF2681" s="1119"/>
      <c r="BG2681" s="1119"/>
      <c r="BH2681" s="1119"/>
    </row>
    <row r="2682" spans="1:60" ht="15.75" customHeight="1">
      <c r="A2682" s="1076"/>
      <c r="B2682" s="1080"/>
      <c r="C2682" s="424"/>
      <c r="G2682" s="418"/>
      <c r="H2682" s="467"/>
      <c r="I2682" s="467"/>
      <c r="J2682" s="492"/>
      <c r="K2682" s="312"/>
      <c r="L2682" s="312"/>
      <c r="M2682" s="312"/>
      <c r="N2682" s="467"/>
      <c r="O2682" s="467"/>
      <c r="P2682" s="467"/>
      <c r="AG2682" s="418"/>
      <c r="AL2682" s="436"/>
      <c r="AM2682" s="436"/>
      <c r="AQ2682" s="436"/>
      <c r="AR2682" s="436"/>
      <c r="AS2682" s="436"/>
      <c r="AT2682" s="436"/>
      <c r="AU2682" s="436"/>
      <c r="AV2682" s="436"/>
      <c r="AW2682" s="436"/>
      <c r="AX2682" s="436"/>
      <c r="AY2682" s="436"/>
      <c r="AZ2682" s="475"/>
      <c r="BA2682" s="475"/>
      <c r="BF2682" s="1119"/>
      <c r="BG2682" s="1119"/>
      <c r="BH2682" s="1119"/>
    </row>
    <row r="2683" spans="1:60" ht="15.75" customHeight="1">
      <c r="A2683" s="1076"/>
      <c r="B2683" s="1080"/>
      <c r="C2683" s="424"/>
      <c r="G2683" s="418"/>
      <c r="H2683" s="467"/>
      <c r="I2683" s="467"/>
      <c r="J2683" s="492"/>
      <c r="K2683" s="312"/>
      <c r="L2683" s="312"/>
      <c r="M2683" s="312"/>
      <c r="N2683" s="467"/>
      <c r="O2683" s="467"/>
      <c r="P2683" s="467"/>
      <c r="AG2683" s="418"/>
      <c r="AL2683" s="436"/>
      <c r="AM2683" s="436"/>
      <c r="AQ2683" s="436"/>
      <c r="AR2683" s="436"/>
      <c r="AS2683" s="436"/>
      <c r="AT2683" s="436"/>
      <c r="AU2683" s="436"/>
      <c r="AV2683" s="436"/>
      <c r="AW2683" s="436"/>
      <c r="AX2683" s="436"/>
      <c r="AY2683" s="436"/>
      <c r="AZ2683" s="475"/>
      <c r="BA2683" s="475"/>
      <c r="BF2683" s="1119"/>
      <c r="BG2683" s="1119"/>
      <c r="BH2683" s="1119"/>
    </row>
    <row r="2684" spans="1:60" ht="15.75" customHeight="1">
      <c r="A2684" s="1076"/>
      <c r="B2684" s="1080"/>
      <c r="C2684" s="424"/>
      <c r="G2684" s="418"/>
      <c r="H2684" s="467"/>
      <c r="I2684" s="467"/>
      <c r="J2684" s="492"/>
      <c r="K2684" s="312"/>
      <c r="L2684" s="312"/>
      <c r="M2684" s="312"/>
      <c r="N2684" s="467"/>
      <c r="O2684" s="467"/>
      <c r="P2684" s="467"/>
      <c r="AG2684" s="418"/>
      <c r="AL2684" s="436"/>
      <c r="AM2684" s="436"/>
      <c r="AQ2684" s="436"/>
      <c r="AR2684" s="436"/>
      <c r="AS2684" s="436"/>
      <c r="AT2684" s="436"/>
      <c r="AU2684" s="436"/>
      <c r="AV2684" s="436"/>
      <c r="AW2684" s="436"/>
      <c r="AX2684" s="436"/>
      <c r="AY2684" s="436"/>
      <c r="AZ2684" s="475"/>
      <c r="BA2684" s="475"/>
      <c r="BF2684" s="1119"/>
      <c r="BG2684" s="1119"/>
      <c r="BH2684" s="1119"/>
    </row>
    <row r="2685" spans="1:60" ht="15.75" customHeight="1">
      <c r="A2685" s="1076"/>
      <c r="B2685" s="1080"/>
      <c r="C2685" s="424"/>
      <c r="G2685" s="418"/>
      <c r="H2685" s="467"/>
      <c r="I2685" s="467"/>
      <c r="J2685" s="492"/>
      <c r="K2685" s="312"/>
      <c r="L2685" s="312"/>
      <c r="M2685" s="312"/>
      <c r="N2685" s="467"/>
      <c r="O2685" s="467"/>
      <c r="P2685" s="467"/>
      <c r="AG2685" s="418"/>
      <c r="AL2685" s="436"/>
      <c r="AM2685" s="436"/>
      <c r="AQ2685" s="436"/>
      <c r="AR2685" s="436"/>
      <c r="AS2685" s="436"/>
      <c r="AT2685" s="436"/>
      <c r="AU2685" s="436"/>
      <c r="AV2685" s="436"/>
      <c r="AW2685" s="436"/>
      <c r="AX2685" s="436"/>
      <c r="AY2685" s="436"/>
      <c r="AZ2685" s="475"/>
      <c r="BA2685" s="475"/>
      <c r="BF2685" s="1119"/>
      <c r="BG2685" s="1119"/>
      <c r="BH2685" s="1119"/>
    </row>
    <row r="2686" spans="1:60" ht="15.75" customHeight="1">
      <c r="A2686" s="1076"/>
      <c r="B2686" s="1080"/>
      <c r="C2686" s="424"/>
      <c r="G2686" s="418"/>
      <c r="H2686" s="467"/>
      <c r="I2686" s="467"/>
      <c r="J2686" s="492"/>
      <c r="K2686" s="312"/>
      <c r="L2686" s="312"/>
      <c r="M2686" s="312"/>
      <c r="N2686" s="467"/>
      <c r="O2686" s="467"/>
      <c r="P2686" s="467"/>
      <c r="AG2686" s="418"/>
      <c r="AL2686" s="436"/>
      <c r="AM2686" s="436"/>
      <c r="AQ2686" s="436"/>
      <c r="AR2686" s="436"/>
      <c r="AS2686" s="436"/>
      <c r="AT2686" s="436"/>
      <c r="AU2686" s="436"/>
      <c r="AV2686" s="436"/>
      <c r="AW2686" s="436"/>
      <c r="AX2686" s="436"/>
      <c r="AY2686" s="436"/>
      <c r="AZ2686" s="475"/>
      <c r="BA2686" s="475"/>
      <c r="BF2686" s="1119"/>
      <c r="BG2686" s="1119"/>
      <c r="BH2686" s="1119"/>
    </row>
    <row r="2687" spans="1:60" ht="15.75" customHeight="1">
      <c r="A2687" s="1076"/>
      <c r="B2687" s="1080"/>
      <c r="C2687" s="424"/>
      <c r="G2687" s="418"/>
      <c r="H2687" s="467"/>
      <c r="I2687" s="467"/>
      <c r="J2687" s="492"/>
      <c r="K2687" s="312"/>
      <c r="L2687" s="312"/>
      <c r="M2687" s="312"/>
      <c r="N2687" s="467"/>
      <c r="O2687" s="467"/>
      <c r="P2687" s="467"/>
      <c r="AG2687" s="418"/>
      <c r="AL2687" s="436"/>
      <c r="AM2687" s="436"/>
      <c r="AQ2687" s="436"/>
      <c r="AR2687" s="436"/>
      <c r="AS2687" s="436"/>
      <c r="AT2687" s="436"/>
      <c r="AU2687" s="436"/>
      <c r="AV2687" s="436"/>
      <c r="AW2687" s="436"/>
      <c r="AX2687" s="436"/>
      <c r="AY2687" s="436"/>
      <c r="AZ2687" s="475"/>
      <c r="BA2687" s="475"/>
      <c r="BF2687" s="1119"/>
      <c r="BG2687" s="1119"/>
      <c r="BH2687" s="1119"/>
    </row>
    <row r="2688" spans="1:60" ht="15.75" customHeight="1">
      <c r="A2688" s="1076"/>
      <c r="B2688" s="1080"/>
      <c r="C2688" s="424"/>
      <c r="G2688" s="418"/>
      <c r="H2688" s="467"/>
      <c r="I2688" s="467"/>
      <c r="J2688" s="492"/>
      <c r="K2688" s="312"/>
      <c r="L2688" s="312"/>
      <c r="M2688" s="312"/>
      <c r="N2688" s="467"/>
      <c r="O2688" s="467"/>
      <c r="P2688" s="467"/>
      <c r="AG2688" s="418"/>
      <c r="AL2688" s="436"/>
      <c r="AM2688" s="436"/>
      <c r="AQ2688" s="436"/>
      <c r="AR2688" s="436"/>
      <c r="AS2688" s="436"/>
      <c r="AT2688" s="436"/>
      <c r="AU2688" s="436"/>
      <c r="AV2688" s="436"/>
      <c r="AW2688" s="436"/>
      <c r="AX2688" s="436"/>
      <c r="AY2688" s="436"/>
      <c r="AZ2688" s="475"/>
      <c r="BA2688" s="475"/>
      <c r="BF2688" s="1119"/>
      <c r="BG2688" s="1119"/>
      <c r="BH2688" s="1119"/>
    </row>
    <row r="2689" spans="1:60" ht="15.75" customHeight="1">
      <c r="A2689" s="1076"/>
      <c r="B2689" s="1080"/>
      <c r="C2689" s="424"/>
      <c r="G2689" s="418"/>
      <c r="H2689" s="467"/>
      <c r="I2689" s="467"/>
      <c r="J2689" s="492"/>
      <c r="K2689" s="312"/>
      <c r="L2689" s="312"/>
      <c r="M2689" s="312"/>
      <c r="N2689" s="467"/>
      <c r="O2689" s="467"/>
      <c r="P2689" s="467"/>
      <c r="AG2689" s="418"/>
      <c r="AL2689" s="436"/>
      <c r="AM2689" s="436"/>
      <c r="AQ2689" s="436"/>
      <c r="AR2689" s="436"/>
      <c r="AS2689" s="436"/>
      <c r="AT2689" s="436"/>
      <c r="AU2689" s="436"/>
      <c r="AV2689" s="436"/>
      <c r="AW2689" s="436"/>
      <c r="AX2689" s="436"/>
      <c r="AY2689" s="436"/>
      <c r="AZ2689" s="475"/>
      <c r="BA2689" s="475"/>
      <c r="BF2689" s="1119"/>
      <c r="BG2689" s="1119"/>
      <c r="BH2689" s="1119"/>
    </row>
    <row r="2690" spans="1:60" ht="15.75" customHeight="1">
      <c r="A2690" s="1076"/>
      <c r="B2690" s="1080"/>
      <c r="C2690" s="424"/>
      <c r="G2690" s="418"/>
      <c r="H2690" s="467"/>
      <c r="I2690" s="467"/>
      <c r="J2690" s="492"/>
      <c r="K2690" s="312"/>
      <c r="L2690" s="312"/>
      <c r="M2690" s="312"/>
      <c r="N2690" s="467"/>
      <c r="O2690" s="467"/>
      <c r="P2690" s="467"/>
      <c r="AG2690" s="418"/>
      <c r="AL2690" s="436"/>
      <c r="AM2690" s="436"/>
      <c r="AQ2690" s="436"/>
      <c r="AR2690" s="436"/>
      <c r="AS2690" s="436"/>
      <c r="AT2690" s="436"/>
      <c r="AU2690" s="436"/>
      <c r="AV2690" s="436"/>
      <c r="AW2690" s="436"/>
      <c r="AX2690" s="436"/>
      <c r="AY2690" s="436"/>
      <c r="AZ2690" s="475"/>
      <c r="BA2690" s="475"/>
      <c r="BF2690" s="1119"/>
      <c r="BG2690" s="1119"/>
      <c r="BH2690" s="1119"/>
    </row>
    <row r="2691" spans="1:60" ht="15.75" customHeight="1">
      <c r="A2691" s="1076"/>
      <c r="B2691" s="1080"/>
      <c r="C2691" s="424"/>
      <c r="G2691" s="418"/>
      <c r="H2691" s="467"/>
      <c r="I2691" s="467"/>
      <c r="J2691" s="492"/>
      <c r="K2691" s="312"/>
      <c r="L2691" s="312"/>
      <c r="M2691" s="312"/>
      <c r="N2691" s="467"/>
      <c r="O2691" s="467"/>
      <c r="P2691" s="467"/>
      <c r="AG2691" s="418"/>
      <c r="AL2691" s="436"/>
      <c r="AM2691" s="436"/>
      <c r="AQ2691" s="436"/>
      <c r="AR2691" s="436"/>
      <c r="AS2691" s="436"/>
      <c r="AT2691" s="436"/>
      <c r="AU2691" s="436"/>
      <c r="AV2691" s="436"/>
      <c r="AW2691" s="436"/>
      <c r="AX2691" s="436"/>
      <c r="AY2691" s="436"/>
      <c r="AZ2691" s="475"/>
      <c r="BA2691" s="475"/>
      <c r="BF2691" s="1119"/>
      <c r="BG2691" s="1119"/>
      <c r="BH2691" s="1119"/>
    </row>
    <row r="2692" spans="1:60" ht="15.75" customHeight="1">
      <c r="A2692" s="1076"/>
      <c r="B2692" s="1080"/>
      <c r="C2692" s="424"/>
      <c r="G2692" s="418"/>
      <c r="H2692" s="467"/>
      <c r="I2692" s="467"/>
      <c r="J2692" s="492"/>
      <c r="K2692" s="312"/>
      <c r="L2692" s="312"/>
      <c r="M2692" s="312"/>
      <c r="N2692" s="467"/>
      <c r="O2692" s="467"/>
      <c r="P2692" s="467"/>
      <c r="AG2692" s="418"/>
      <c r="AL2692" s="436"/>
      <c r="AM2692" s="436"/>
      <c r="AQ2692" s="436"/>
      <c r="AR2692" s="436"/>
      <c r="AS2692" s="436"/>
      <c r="AT2692" s="436"/>
      <c r="AU2692" s="436"/>
      <c r="AV2692" s="436"/>
      <c r="AW2692" s="436"/>
      <c r="AX2692" s="436"/>
      <c r="AY2692" s="436"/>
      <c r="AZ2692" s="475"/>
      <c r="BA2692" s="475"/>
      <c r="BF2692" s="1119"/>
      <c r="BG2692" s="1119"/>
      <c r="BH2692" s="1119"/>
    </row>
    <row r="2693" spans="1:60" ht="15.75" customHeight="1">
      <c r="A2693" s="1076"/>
      <c r="B2693" s="1080"/>
      <c r="C2693" s="424"/>
      <c r="G2693" s="418"/>
      <c r="H2693" s="467"/>
      <c r="I2693" s="467"/>
      <c r="J2693" s="492"/>
      <c r="K2693" s="312"/>
      <c r="L2693" s="312"/>
      <c r="M2693" s="312"/>
      <c r="N2693" s="467"/>
      <c r="O2693" s="467"/>
      <c r="P2693" s="467"/>
      <c r="AG2693" s="418"/>
      <c r="AL2693" s="436"/>
      <c r="AM2693" s="436"/>
      <c r="AQ2693" s="436"/>
      <c r="AR2693" s="436"/>
      <c r="AS2693" s="436"/>
      <c r="AT2693" s="436"/>
      <c r="AU2693" s="436"/>
      <c r="AV2693" s="436"/>
      <c r="AW2693" s="436"/>
      <c r="AX2693" s="436"/>
      <c r="AY2693" s="436"/>
      <c r="AZ2693" s="475"/>
      <c r="BA2693" s="475"/>
      <c r="BF2693" s="1119"/>
      <c r="BG2693" s="1119"/>
      <c r="BH2693" s="1119"/>
    </row>
    <row r="2694" spans="1:60" ht="15.75" customHeight="1">
      <c r="A2694" s="1076"/>
      <c r="B2694" s="1080"/>
      <c r="C2694" s="424"/>
      <c r="G2694" s="418"/>
      <c r="H2694" s="467"/>
      <c r="I2694" s="467"/>
      <c r="J2694" s="492"/>
      <c r="K2694" s="312"/>
      <c r="L2694" s="312"/>
      <c r="M2694" s="312"/>
      <c r="N2694" s="467"/>
      <c r="O2694" s="467"/>
      <c r="P2694" s="467"/>
      <c r="AG2694" s="418"/>
      <c r="AL2694" s="436"/>
      <c r="AM2694" s="436"/>
      <c r="AQ2694" s="436"/>
      <c r="AR2694" s="436"/>
      <c r="AS2694" s="436"/>
      <c r="AT2694" s="436"/>
      <c r="AU2694" s="436"/>
      <c r="AV2694" s="436"/>
      <c r="AW2694" s="436"/>
      <c r="AX2694" s="436"/>
      <c r="AY2694" s="436"/>
      <c r="AZ2694" s="475"/>
      <c r="BA2694" s="475"/>
      <c r="BF2694" s="1119"/>
      <c r="BG2694" s="1119"/>
      <c r="BH2694" s="1119"/>
    </row>
    <row r="2695" spans="1:60" ht="15.75" customHeight="1">
      <c r="A2695" s="1076"/>
      <c r="B2695" s="1080"/>
      <c r="C2695" s="424"/>
      <c r="G2695" s="418"/>
      <c r="H2695" s="467"/>
      <c r="I2695" s="467"/>
      <c r="J2695" s="492"/>
      <c r="K2695" s="312"/>
      <c r="L2695" s="312"/>
      <c r="M2695" s="312"/>
      <c r="N2695" s="467"/>
      <c r="O2695" s="467"/>
      <c r="P2695" s="467"/>
      <c r="AG2695" s="418"/>
      <c r="AL2695" s="436"/>
      <c r="AM2695" s="436"/>
      <c r="AQ2695" s="436"/>
      <c r="AR2695" s="436"/>
      <c r="AS2695" s="436"/>
      <c r="AT2695" s="436"/>
      <c r="AU2695" s="436"/>
      <c r="AV2695" s="436"/>
      <c r="AW2695" s="436"/>
      <c r="AX2695" s="436"/>
      <c r="AY2695" s="436"/>
      <c r="AZ2695" s="475"/>
      <c r="BA2695" s="475"/>
      <c r="BF2695" s="1119"/>
      <c r="BG2695" s="1119"/>
      <c r="BH2695" s="1119"/>
    </row>
    <row r="2696" spans="1:60" ht="15.75" customHeight="1">
      <c r="A2696" s="1076"/>
      <c r="B2696" s="1080"/>
      <c r="C2696" s="424"/>
      <c r="G2696" s="418"/>
      <c r="H2696" s="467"/>
      <c r="I2696" s="467"/>
      <c r="J2696" s="492"/>
      <c r="K2696" s="312"/>
      <c r="L2696" s="312"/>
      <c r="M2696" s="312"/>
      <c r="N2696" s="467"/>
      <c r="O2696" s="467"/>
      <c r="P2696" s="467"/>
      <c r="AG2696" s="418"/>
      <c r="AL2696" s="436"/>
      <c r="AM2696" s="436"/>
      <c r="AQ2696" s="436"/>
      <c r="AR2696" s="436"/>
      <c r="AS2696" s="436"/>
      <c r="AT2696" s="436"/>
      <c r="AU2696" s="436"/>
      <c r="AV2696" s="436"/>
      <c r="AW2696" s="436"/>
      <c r="AX2696" s="436"/>
      <c r="AY2696" s="436"/>
      <c r="AZ2696" s="475"/>
      <c r="BA2696" s="475"/>
      <c r="BF2696" s="1119"/>
      <c r="BG2696" s="1119"/>
      <c r="BH2696" s="1119"/>
    </row>
    <row r="2697" spans="1:60" ht="15.75" customHeight="1">
      <c r="A2697" s="1076"/>
      <c r="B2697" s="1080"/>
      <c r="C2697" s="424"/>
      <c r="G2697" s="418"/>
      <c r="H2697" s="467"/>
      <c r="I2697" s="467"/>
      <c r="J2697" s="492"/>
      <c r="K2697" s="312"/>
      <c r="L2697" s="312"/>
      <c r="M2697" s="312"/>
      <c r="N2697" s="467"/>
      <c r="O2697" s="467"/>
      <c r="P2697" s="467"/>
      <c r="AG2697" s="418"/>
      <c r="AL2697" s="436"/>
      <c r="AM2697" s="436"/>
      <c r="AQ2697" s="436"/>
      <c r="AR2697" s="436"/>
      <c r="AS2697" s="436"/>
      <c r="AT2697" s="436"/>
      <c r="AU2697" s="436"/>
      <c r="AV2697" s="436"/>
      <c r="AW2697" s="436"/>
      <c r="AX2697" s="436"/>
      <c r="AY2697" s="436"/>
      <c r="AZ2697" s="475"/>
      <c r="BA2697" s="475"/>
      <c r="BF2697" s="1119"/>
      <c r="BG2697" s="1119"/>
      <c r="BH2697" s="1119"/>
    </row>
    <row r="2698" spans="1:60" ht="15.75" customHeight="1">
      <c r="A2698" s="1076"/>
      <c r="B2698" s="1080"/>
      <c r="C2698" s="424"/>
      <c r="G2698" s="418"/>
      <c r="H2698" s="467"/>
      <c r="I2698" s="467"/>
      <c r="J2698" s="492"/>
      <c r="K2698" s="312"/>
      <c r="L2698" s="312"/>
      <c r="M2698" s="312"/>
      <c r="N2698" s="467"/>
      <c r="O2698" s="467"/>
      <c r="P2698" s="467"/>
      <c r="AG2698" s="418"/>
      <c r="AL2698" s="436"/>
      <c r="AM2698" s="436"/>
      <c r="AQ2698" s="436"/>
      <c r="AR2698" s="436"/>
      <c r="AS2698" s="436"/>
      <c r="AT2698" s="436"/>
      <c r="AU2698" s="436"/>
      <c r="AV2698" s="436"/>
      <c r="AW2698" s="436"/>
      <c r="AX2698" s="436"/>
      <c r="AY2698" s="436"/>
      <c r="AZ2698" s="475"/>
      <c r="BA2698" s="475"/>
      <c r="BF2698" s="1119"/>
      <c r="BG2698" s="1119"/>
      <c r="BH2698" s="1119"/>
    </row>
    <row r="2699" spans="1:60" ht="15.75" customHeight="1">
      <c r="A2699" s="1076"/>
      <c r="B2699" s="1080"/>
      <c r="C2699" s="424"/>
      <c r="G2699" s="418"/>
      <c r="H2699" s="467"/>
      <c r="I2699" s="467"/>
      <c r="J2699" s="492"/>
      <c r="K2699" s="312"/>
      <c r="L2699" s="312"/>
      <c r="M2699" s="312"/>
      <c r="N2699" s="467"/>
      <c r="O2699" s="467"/>
      <c r="P2699" s="467"/>
      <c r="AG2699" s="418"/>
      <c r="AL2699" s="436"/>
      <c r="AM2699" s="436"/>
      <c r="AQ2699" s="436"/>
      <c r="AR2699" s="436"/>
      <c r="AS2699" s="436"/>
      <c r="AT2699" s="436"/>
      <c r="AU2699" s="436"/>
      <c r="AV2699" s="436"/>
      <c r="AW2699" s="436"/>
      <c r="AX2699" s="436"/>
      <c r="AY2699" s="436"/>
      <c r="AZ2699" s="475"/>
      <c r="BA2699" s="475"/>
      <c r="BF2699" s="1119"/>
      <c r="BG2699" s="1119"/>
      <c r="BH2699" s="1119"/>
    </row>
    <row r="2700" spans="1:60" ht="15.75" customHeight="1">
      <c r="A2700" s="1076"/>
      <c r="B2700" s="1080"/>
      <c r="C2700" s="424"/>
      <c r="G2700" s="418"/>
      <c r="H2700" s="467"/>
      <c r="I2700" s="467"/>
      <c r="J2700" s="492"/>
      <c r="K2700" s="312"/>
      <c r="L2700" s="312"/>
      <c r="M2700" s="312"/>
      <c r="N2700" s="467"/>
      <c r="O2700" s="467"/>
      <c r="P2700" s="467"/>
      <c r="AG2700" s="418"/>
      <c r="AL2700" s="436"/>
      <c r="AM2700" s="436"/>
      <c r="AQ2700" s="436"/>
      <c r="AR2700" s="436"/>
      <c r="AS2700" s="436"/>
      <c r="AT2700" s="436"/>
      <c r="AU2700" s="436"/>
      <c r="AV2700" s="436"/>
      <c r="AW2700" s="436"/>
      <c r="AX2700" s="436"/>
      <c r="AY2700" s="436"/>
      <c r="AZ2700" s="475"/>
      <c r="BA2700" s="475"/>
      <c r="BF2700" s="1119"/>
      <c r="BG2700" s="1119"/>
      <c r="BH2700" s="1119"/>
    </row>
    <row r="2701" spans="1:60" ht="15.75" customHeight="1">
      <c r="A2701" s="1076"/>
      <c r="B2701" s="1080"/>
      <c r="C2701" s="424"/>
      <c r="G2701" s="418"/>
      <c r="H2701" s="467"/>
      <c r="I2701" s="467"/>
      <c r="J2701" s="492"/>
      <c r="K2701" s="312"/>
      <c r="L2701" s="312"/>
      <c r="M2701" s="312"/>
      <c r="N2701" s="467"/>
      <c r="O2701" s="467"/>
      <c r="P2701" s="467"/>
      <c r="AG2701" s="418"/>
      <c r="AL2701" s="436"/>
      <c r="AM2701" s="436"/>
      <c r="AQ2701" s="436"/>
      <c r="AR2701" s="436"/>
      <c r="AS2701" s="436"/>
      <c r="AT2701" s="436"/>
      <c r="AU2701" s="436"/>
      <c r="AV2701" s="436"/>
      <c r="AW2701" s="436"/>
      <c r="AX2701" s="436"/>
      <c r="AY2701" s="436"/>
      <c r="AZ2701" s="475"/>
      <c r="BA2701" s="475"/>
      <c r="BF2701" s="1119"/>
      <c r="BG2701" s="1119"/>
      <c r="BH2701" s="1119"/>
    </row>
    <row r="2702" spans="1:60" ht="15.75" customHeight="1">
      <c r="A2702" s="1076"/>
      <c r="B2702" s="1080"/>
      <c r="C2702" s="424"/>
      <c r="G2702" s="418"/>
      <c r="H2702" s="467"/>
      <c r="I2702" s="467"/>
      <c r="J2702" s="492"/>
      <c r="K2702" s="312"/>
      <c r="L2702" s="312"/>
      <c r="M2702" s="312"/>
      <c r="N2702" s="467"/>
      <c r="O2702" s="467"/>
      <c r="P2702" s="467"/>
      <c r="AG2702" s="418"/>
      <c r="AL2702" s="436"/>
      <c r="AM2702" s="436"/>
      <c r="AQ2702" s="436"/>
      <c r="AR2702" s="436"/>
      <c r="AS2702" s="436"/>
      <c r="AT2702" s="436"/>
      <c r="AU2702" s="436"/>
      <c r="AV2702" s="436"/>
      <c r="AW2702" s="436"/>
      <c r="AX2702" s="436"/>
      <c r="AY2702" s="436"/>
      <c r="AZ2702" s="475"/>
      <c r="BA2702" s="475"/>
      <c r="BF2702" s="1119"/>
      <c r="BG2702" s="1119"/>
      <c r="BH2702" s="1119"/>
    </row>
    <row r="2703" spans="1:60" ht="15.75" customHeight="1">
      <c r="A2703" s="1076"/>
      <c r="B2703" s="1080"/>
      <c r="C2703" s="424"/>
      <c r="G2703" s="418"/>
      <c r="H2703" s="467"/>
      <c r="I2703" s="467"/>
      <c r="J2703" s="492"/>
      <c r="K2703" s="312"/>
      <c r="L2703" s="312"/>
      <c r="M2703" s="312"/>
      <c r="N2703" s="467"/>
      <c r="O2703" s="467"/>
      <c r="P2703" s="467"/>
      <c r="AG2703" s="418"/>
      <c r="AL2703" s="436"/>
      <c r="AM2703" s="436"/>
      <c r="AQ2703" s="436"/>
      <c r="AR2703" s="436"/>
      <c r="AS2703" s="436"/>
      <c r="AT2703" s="436"/>
      <c r="AU2703" s="436"/>
      <c r="AV2703" s="436"/>
      <c r="AW2703" s="436"/>
      <c r="AX2703" s="436"/>
      <c r="AY2703" s="436"/>
      <c r="AZ2703" s="475"/>
      <c r="BA2703" s="475"/>
      <c r="BF2703" s="1119"/>
      <c r="BG2703" s="1119"/>
      <c r="BH2703" s="1119"/>
    </row>
    <row r="2704" spans="1:60" ht="15.75" customHeight="1">
      <c r="A2704" s="1076"/>
      <c r="B2704" s="1080"/>
      <c r="C2704" s="424"/>
      <c r="G2704" s="418"/>
      <c r="H2704" s="467"/>
      <c r="I2704" s="467"/>
      <c r="J2704" s="492"/>
      <c r="K2704" s="312"/>
      <c r="L2704" s="312"/>
      <c r="M2704" s="312"/>
      <c r="N2704" s="467"/>
      <c r="O2704" s="467"/>
      <c r="P2704" s="467"/>
      <c r="AG2704" s="418"/>
      <c r="AL2704" s="436"/>
      <c r="AM2704" s="436"/>
      <c r="AQ2704" s="436"/>
      <c r="AR2704" s="436"/>
      <c r="AS2704" s="436"/>
      <c r="AT2704" s="436"/>
      <c r="AU2704" s="436"/>
      <c r="AV2704" s="436"/>
      <c r="AW2704" s="436"/>
      <c r="AX2704" s="436"/>
      <c r="AY2704" s="436"/>
      <c r="AZ2704" s="475"/>
      <c r="BA2704" s="475"/>
      <c r="BF2704" s="1119"/>
      <c r="BG2704" s="1119"/>
      <c r="BH2704" s="1119"/>
    </row>
    <row r="2705" spans="1:60" ht="15.75" customHeight="1">
      <c r="A2705" s="1076"/>
      <c r="B2705" s="1080"/>
      <c r="C2705" s="424"/>
      <c r="G2705" s="418"/>
      <c r="H2705" s="467"/>
      <c r="I2705" s="467"/>
      <c r="J2705" s="492"/>
      <c r="K2705" s="312"/>
      <c r="L2705" s="312"/>
      <c r="M2705" s="312"/>
      <c r="N2705" s="467"/>
      <c r="O2705" s="467"/>
      <c r="P2705" s="467"/>
      <c r="AG2705" s="418"/>
      <c r="AL2705" s="436"/>
      <c r="AM2705" s="436"/>
      <c r="AQ2705" s="436"/>
      <c r="AR2705" s="436"/>
      <c r="AS2705" s="436"/>
      <c r="AT2705" s="436"/>
      <c r="AU2705" s="436"/>
      <c r="AV2705" s="436"/>
      <c r="AW2705" s="436"/>
      <c r="AX2705" s="436"/>
      <c r="AY2705" s="436"/>
      <c r="AZ2705" s="475"/>
      <c r="BA2705" s="475"/>
      <c r="BF2705" s="1119"/>
      <c r="BG2705" s="1119"/>
      <c r="BH2705" s="1119"/>
    </row>
    <row r="2706" spans="1:60" ht="15.75" customHeight="1">
      <c r="A2706" s="1076"/>
      <c r="B2706" s="1080"/>
      <c r="C2706" s="424"/>
      <c r="G2706" s="418"/>
      <c r="H2706" s="467"/>
      <c r="I2706" s="467"/>
      <c r="J2706" s="492"/>
      <c r="K2706" s="312"/>
      <c r="L2706" s="312"/>
      <c r="M2706" s="312"/>
      <c r="N2706" s="467"/>
      <c r="O2706" s="467"/>
      <c r="P2706" s="467"/>
      <c r="AG2706" s="418"/>
      <c r="AL2706" s="436"/>
      <c r="AM2706" s="436"/>
      <c r="AQ2706" s="436"/>
      <c r="AR2706" s="436"/>
      <c r="AS2706" s="436"/>
      <c r="AT2706" s="436"/>
      <c r="AU2706" s="436"/>
      <c r="AV2706" s="436"/>
      <c r="AW2706" s="436"/>
      <c r="AX2706" s="436"/>
      <c r="AY2706" s="436"/>
      <c r="AZ2706" s="475"/>
      <c r="BA2706" s="475"/>
      <c r="BF2706" s="1119"/>
      <c r="BG2706" s="1119"/>
      <c r="BH2706" s="1119"/>
    </row>
    <row r="2707" spans="1:60" ht="15.75" customHeight="1">
      <c r="A2707" s="1076"/>
      <c r="B2707" s="1080"/>
      <c r="C2707" s="424"/>
      <c r="G2707" s="418"/>
      <c r="H2707" s="467"/>
      <c r="I2707" s="467"/>
      <c r="J2707" s="492"/>
      <c r="K2707" s="312"/>
      <c r="L2707" s="312"/>
      <c r="M2707" s="312"/>
      <c r="N2707" s="467"/>
      <c r="O2707" s="467"/>
      <c r="P2707" s="467"/>
      <c r="AG2707" s="418"/>
      <c r="AL2707" s="436"/>
      <c r="AM2707" s="436"/>
      <c r="AQ2707" s="436"/>
      <c r="AR2707" s="436"/>
      <c r="AS2707" s="436"/>
      <c r="AT2707" s="436"/>
      <c r="AU2707" s="436"/>
      <c r="AV2707" s="436"/>
      <c r="AW2707" s="436"/>
      <c r="AX2707" s="436"/>
      <c r="AY2707" s="436"/>
      <c r="AZ2707" s="475"/>
      <c r="BA2707" s="475"/>
      <c r="BF2707" s="1119"/>
      <c r="BG2707" s="1119"/>
      <c r="BH2707" s="1119"/>
    </row>
    <row r="2708" spans="1:60" ht="15.75" customHeight="1">
      <c r="A2708" s="1076"/>
      <c r="B2708" s="1080"/>
      <c r="C2708" s="424"/>
      <c r="G2708" s="418"/>
      <c r="H2708" s="467"/>
      <c r="I2708" s="467"/>
      <c r="J2708" s="492"/>
      <c r="K2708" s="312"/>
      <c r="L2708" s="312"/>
      <c r="M2708" s="312"/>
      <c r="N2708" s="467"/>
      <c r="O2708" s="467"/>
      <c r="P2708" s="467"/>
      <c r="AG2708" s="418"/>
      <c r="AL2708" s="436"/>
      <c r="AM2708" s="436"/>
      <c r="AQ2708" s="436"/>
      <c r="AR2708" s="436"/>
      <c r="AS2708" s="436"/>
      <c r="AT2708" s="436"/>
      <c r="AU2708" s="436"/>
      <c r="AV2708" s="436"/>
      <c r="AW2708" s="436"/>
      <c r="AX2708" s="436"/>
      <c r="AY2708" s="436"/>
      <c r="AZ2708" s="475"/>
      <c r="BA2708" s="475"/>
      <c r="BF2708" s="1119"/>
      <c r="BG2708" s="1119"/>
      <c r="BH2708" s="1119"/>
    </row>
    <row r="2709" spans="1:60" ht="15.75" customHeight="1">
      <c r="A2709" s="1076"/>
      <c r="B2709" s="1080"/>
      <c r="C2709" s="424"/>
      <c r="G2709" s="418"/>
      <c r="H2709" s="467"/>
      <c r="I2709" s="467"/>
      <c r="J2709" s="492"/>
      <c r="K2709" s="312"/>
      <c r="L2709" s="312"/>
      <c r="M2709" s="312"/>
      <c r="N2709" s="467"/>
      <c r="O2709" s="467"/>
      <c r="P2709" s="467"/>
      <c r="AG2709" s="418"/>
      <c r="AL2709" s="436"/>
      <c r="AM2709" s="436"/>
      <c r="AQ2709" s="436"/>
      <c r="AR2709" s="436"/>
      <c r="AS2709" s="436"/>
      <c r="AT2709" s="436"/>
      <c r="AU2709" s="436"/>
      <c r="AV2709" s="436"/>
      <c r="AW2709" s="436"/>
      <c r="AX2709" s="436"/>
      <c r="AY2709" s="436"/>
      <c r="AZ2709" s="475"/>
      <c r="BA2709" s="475"/>
      <c r="BF2709" s="1119"/>
      <c r="BG2709" s="1119"/>
      <c r="BH2709" s="1119"/>
    </row>
    <row r="2710" spans="1:60" ht="15.75" customHeight="1">
      <c r="A2710" s="1076"/>
      <c r="B2710" s="1080"/>
      <c r="C2710" s="424"/>
      <c r="G2710" s="418"/>
      <c r="H2710" s="467"/>
      <c r="I2710" s="467"/>
      <c r="J2710" s="492"/>
      <c r="K2710" s="312"/>
      <c r="L2710" s="312"/>
      <c r="M2710" s="312"/>
      <c r="N2710" s="467"/>
      <c r="O2710" s="467"/>
      <c r="P2710" s="467"/>
      <c r="AG2710" s="418"/>
      <c r="AL2710" s="436"/>
      <c r="AM2710" s="436"/>
      <c r="AQ2710" s="436"/>
      <c r="AR2710" s="436"/>
      <c r="AS2710" s="436"/>
      <c r="AT2710" s="436"/>
      <c r="AU2710" s="436"/>
      <c r="AV2710" s="436"/>
      <c r="AW2710" s="436"/>
      <c r="AX2710" s="436"/>
      <c r="AY2710" s="436"/>
      <c r="AZ2710" s="475"/>
      <c r="BA2710" s="475"/>
      <c r="BF2710" s="1119"/>
      <c r="BG2710" s="1119"/>
      <c r="BH2710" s="1119"/>
    </row>
    <row r="2711" spans="1:60" ht="15.75" customHeight="1">
      <c r="A2711" s="1076"/>
      <c r="B2711" s="1080"/>
      <c r="C2711" s="424"/>
      <c r="G2711" s="418"/>
      <c r="H2711" s="467"/>
      <c r="I2711" s="467"/>
      <c r="J2711" s="492"/>
      <c r="K2711" s="312"/>
      <c r="L2711" s="312"/>
      <c r="M2711" s="312"/>
      <c r="N2711" s="467"/>
      <c r="O2711" s="467"/>
      <c r="P2711" s="467"/>
      <c r="AG2711" s="418"/>
      <c r="AL2711" s="436"/>
      <c r="AM2711" s="436"/>
      <c r="AQ2711" s="436"/>
      <c r="AR2711" s="436"/>
      <c r="AS2711" s="436"/>
      <c r="AT2711" s="436"/>
      <c r="AU2711" s="436"/>
      <c r="AV2711" s="436"/>
      <c r="AW2711" s="436"/>
      <c r="AX2711" s="436"/>
      <c r="AY2711" s="436"/>
      <c r="AZ2711" s="475"/>
      <c r="BA2711" s="475"/>
      <c r="BF2711" s="1119"/>
      <c r="BG2711" s="1119"/>
      <c r="BH2711" s="1119"/>
    </row>
    <row r="2712" spans="1:60" ht="15.75" customHeight="1">
      <c r="A2712" s="1076"/>
      <c r="B2712" s="1080"/>
      <c r="C2712" s="424"/>
      <c r="G2712" s="418"/>
      <c r="H2712" s="467"/>
      <c r="I2712" s="467"/>
      <c r="J2712" s="492"/>
      <c r="K2712" s="312"/>
      <c r="L2712" s="312"/>
      <c r="M2712" s="312"/>
      <c r="N2712" s="467"/>
      <c r="O2712" s="467"/>
      <c r="P2712" s="467"/>
      <c r="AG2712" s="418"/>
      <c r="AL2712" s="436"/>
      <c r="AM2712" s="436"/>
      <c r="AQ2712" s="436"/>
      <c r="AR2712" s="436"/>
      <c r="AS2712" s="436"/>
      <c r="AT2712" s="436"/>
      <c r="AU2712" s="436"/>
      <c r="AV2712" s="436"/>
      <c r="AW2712" s="436"/>
      <c r="AX2712" s="436"/>
      <c r="AY2712" s="436"/>
      <c r="AZ2712" s="475"/>
      <c r="BA2712" s="475"/>
      <c r="BF2712" s="1119"/>
      <c r="BG2712" s="1119"/>
      <c r="BH2712" s="1119"/>
    </row>
    <row r="2713" spans="1:60" ht="15.75" customHeight="1">
      <c r="A2713" s="1076"/>
      <c r="B2713" s="1080"/>
      <c r="C2713" s="424"/>
      <c r="G2713" s="496"/>
      <c r="H2713" s="467"/>
      <c r="I2713" s="467"/>
      <c r="J2713" s="492"/>
      <c r="K2713" s="312"/>
      <c r="L2713" s="312"/>
      <c r="M2713" s="312"/>
      <c r="N2713" s="467"/>
      <c r="O2713" s="467"/>
      <c r="P2713" s="467"/>
      <c r="AG2713" s="418"/>
      <c r="AL2713" s="436"/>
      <c r="AM2713" s="436"/>
      <c r="AQ2713" s="436"/>
      <c r="AR2713" s="436"/>
      <c r="AS2713" s="436"/>
      <c r="AT2713" s="436"/>
      <c r="AU2713" s="436"/>
      <c r="AV2713" s="436"/>
      <c r="AW2713" s="436"/>
      <c r="AX2713" s="436"/>
      <c r="AY2713" s="436"/>
      <c r="AZ2713" s="475"/>
      <c r="BA2713" s="475"/>
      <c r="BF2713" s="1119"/>
      <c r="BG2713" s="1119"/>
      <c r="BH2713" s="1119"/>
    </row>
    <row r="2714" spans="1:60" ht="15.75" customHeight="1">
      <c r="A2714" s="1076"/>
      <c r="B2714" s="1080"/>
      <c r="C2714" s="424"/>
      <c r="G2714" s="312"/>
      <c r="H2714" s="467"/>
      <c r="I2714" s="467"/>
      <c r="J2714" s="492"/>
      <c r="K2714" s="312"/>
      <c r="L2714" s="312"/>
      <c r="M2714" s="312"/>
      <c r="N2714" s="467"/>
      <c r="O2714" s="467"/>
      <c r="P2714" s="467"/>
      <c r="AG2714" s="418"/>
      <c r="AL2714" s="436"/>
      <c r="AM2714" s="436"/>
      <c r="AQ2714" s="436"/>
      <c r="AR2714" s="436"/>
      <c r="AS2714" s="436"/>
      <c r="AT2714" s="436"/>
      <c r="AU2714" s="436"/>
      <c r="AV2714" s="436"/>
      <c r="AW2714" s="436"/>
      <c r="AX2714" s="436"/>
      <c r="AY2714" s="436"/>
      <c r="AZ2714" s="475"/>
      <c r="BA2714" s="475"/>
      <c r="BF2714" s="1119"/>
      <c r="BG2714" s="1119"/>
      <c r="BH2714" s="1119"/>
    </row>
    <row r="2715" spans="1:60" ht="15.75" customHeight="1">
      <c r="A2715" s="1076"/>
      <c r="B2715" s="1080"/>
      <c r="C2715" s="424"/>
      <c r="G2715" s="312"/>
      <c r="H2715" s="467"/>
      <c r="I2715" s="467"/>
      <c r="J2715" s="492"/>
      <c r="K2715" s="312"/>
      <c r="L2715" s="312"/>
      <c r="M2715" s="312"/>
      <c r="N2715" s="467"/>
      <c r="O2715" s="467"/>
      <c r="P2715" s="467"/>
      <c r="AG2715" s="418"/>
      <c r="AL2715" s="436"/>
      <c r="AM2715" s="436"/>
      <c r="AQ2715" s="436"/>
      <c r="AR2715" s="436"/>
      <c r="AS2715" s="436"/>
      <c r="AT2715" s="436"/>
      <c r="AU2715" s="436"/>
      <c r="AV2715" s="436"/>
      <c r="AW2715" s="436"/>
      <c r="AX2715" s="436"/>
      <c r="AY2715" s="436"/>
      <c r="AZ2715" s="475"/>
      <c r="BA2715" s="475"/>
      <c r="BF2715" s="1119"/>
      <c r="BG2715" s="1119"/>
      <c r="BH2715" s="1119"/>
    </row>
    <row r="2716" spans="1:60" ht="15.75" customHeight="1">
      <c r="A2716" s="1076"/>
      <c r="B2716" s="1080"/>
      <c r="C2716" s="424"/>
      <c r="G2716" s="312"/>
      <c r="H2716" s="467"/>
      <c r="I2716" s="467"/>
      <c r="J2716" s="492"/>
      <c r="K2716" s="312"/>
      <c r="L2716" s="312"/>
      <c r="M2716" s="312"/>
      <c r="N2716" s="467"/>
      <c r="O2716" s="467"/>
      <c r="P2716" s="467"/>
      <c r="AG2716" s="418"/>
      <c r="AL2716" s="436"/>
      <c r="AM2716" s="436"/>
      <c r="AQ2716" s="436"/>
      <c r="AR2716" s="436"/>
      <c r="AS2716" s="436"/>
      <c r="AT2716" s="436"/>
      <c r="AU2716" s="436"/>
      <c r="AV2716" s="436"/>
      <c r="AW2716" s="436"/>
      <c r="AX2716" s="436"/>
      <c r="AY2716" s="436"/>
      <c r="AZ2716" s="475"/>
      <c r="BA2716" s="475"/>
      <c r="BF2716" s="1119"/>
      <c r="BG2716" s="1119"/>
      <c r="BH2716" s="1119"/>
    </row>
    <row r="2717" spans="1:60" ht="15.75" customHeight="1">
      <c r="A2717" s="1076"/>
      <c r="B2717" s="1080"/>
      <c r="C2717" s="424"/>
      <c r="G2717" s="312"/>
      <c r="H2717" s="467"/>
      <c r="I2717" s="467"/>
      <c r="J2717" s="492"/>
      <c r="K2717" s="312"/>
      <c r="L2717" s="312"/>
      <c r="M2717" s="312"/>
      <c r="N2717" s="467"/>
      <c r="O2717" s="467"/>
      <c r="P2717" s="467"/>
      <c r="AG2717" s="418"/>
      <c r="AL2717" s="436"/>
      <c r="AM2717" s="436"/>
      <c r="AQ2717" s="436"/>
      <c r="AR2717" s="436"/>
      <c r="AS2717" s="436"/>
      <c r="AT2717" s="436"/>
      <c r="AU2717" s="436"/>
      <c r="AV2717" s="436"/>
      <c r="AW2717" s="436"/>
      <c r="AX2717" s="436"/>
      <c r="AY2717" s="436"/>
      <c r="AZ2717" s="475"/>
      <c r="BA2717" s="475"/>
      <c r="BF2717" s="1119"/>
      <c r="BG2717" s="1119"/>
      <c r="BH2717" s="1119"/>
    </row>
    <row r="2718" spans="1:60" ht="15.75" customHeight="1">
      <c r="A2718" s="1076"/>
      <c r="B2718" s="1080"/>
      <c r="C2718" s="424"/>
      <c r="G2718" s="312"/>
      <c r="H2718" s="467"/>
      <c r="I2718" s="467"/>
      <c r="J2718" s="492"/>
      <c r="K2718" s="312"/>
      <c r="L2718" s="312"/>
      <c r="M2718" s="312"/>
      <c r="N2718" s="467"/>
      <c r="O2718" s="467"/>
      <c r="P2718" s="467"/>
      <c r="AG2718" s="418"/>
      <c r="AL2718" s="436"/>
      <c r="AM2718" s="436"/>
      <c r="AQ2718" s="436"/>
      <c r="AR2718" s="436"/>
      <c r="AS2718" s="436"/>
      <c r="AT2718" s="436"/>
      <c r="AU2718" s="436"/>
      <c r="AV2718" s="436"/>
      <c r="AW2718" s="436"/>
      <c r="AX2718" s="436"/>
      <c r="AY2718" s="436"/>
      <c r="AZ2718" s="475"/>
      <c r="BA2718" s="475"/>
      <c r="BF2718" s="1119"/>
      <c r="BG2718" s="1119"/>
      <c r="BH2718" s="1119"/>
    </row>
    <row r="2719" spans="1:60" ht="15.75" customHeight="1">
      <c r="A2719" s="1076"/>
      <c r="B2719" s="1080"/>
      <c r="C2719" s="424"/>
      <c r="G2719" s="312"/>
      <c r="H2719" s="467"/>
      <c r="I2719" s="467"/>
      <c r="J2719" s="492"/>
      <c r="K2719" s="312"/>
      <c r="L2719" s="312"/>
      <c r="M2719" s="312"/>
      <c r="N2719" s="467"/>
      <c r="O2719" s="467"/>
      <c r="P2719" s="467"/>
      <c r="AG2719" s="418"/>
      <c r="AL2719" s="436"/>
      <c r="AM2719" s="436"/>
      <c r="AQ2719" s="436"/>
      <c r="AR2719" s="436"/>
      <c r="AS2719" s="436"/>
      <c r="AT2719" s="436"/>
      <c r="AU2719" s="436"/>
      <c r="AV2719" s="436"/>
      <c r="AW2719" s="436"/>
      <c r="AX2719" s="436"/>
      <c r="AY2719" s="436"/>
      <c r="AZ2719" s="475"/>
      <c r="BA2719" s="475"/>
      <c r="BF2719" s="1119"/>
      <c r="BG2719" s="1119"/>
      <c r="BH2719" s="1119"/>
    </row>
    <row r="2720" spans="1:60" ht="15.75" customHeight="1">
      <c r="A2720" s="1076"/>
      <c r="B2720" s="1080"/>
      <c r="C2720" s="424"/>
      <c r="G2720" s="312"/>
      <c r="H2720" s="467"/>
      <c r="I2720" s="467"/>
      <c r="J2720" s="492"/>
      <c r="K2720" s="312"/>
      <c r="L2720" s="312"/>
      <c r="M2720" s="312"/>
      <c r="N2720" s="467"/>
      <c r="O2720" s="467"/>
      <c r="P2720" s="467"/>
      <c r="AG2720" s="418"/>
      <c r="AL2720" s="436"/>
      <c r="AM2720" s="436"/>
      <c r="AQ2720" s="436"/>
      <c r="AR2720" s="436"/>
      <c r="AS2720" s="436"/>
      <c r="AT2720" s="436"/>
      <c r="AU2720" s="436"/>
      <c r="AV2720" s="436"/>
      <c r="AW2720" s="436"/>
      <c r="AX2720" s="436"/>
      <c r="AY2720" s="436"/>
      <c r="AZ2720" s="475"/>
      <c r="BA2720" s="475"/>
      <c r="BF2720" s="1119"/>
      <c r="BG2720" s="1119"/>
      <c r="BH2720" s="1119"/>
    </row>
    <row r="2721" spans="1:60" ht="15.75" customHeight="1">
      <c r="A2721" s="1076"/>
      <c r="B2721" s="1080"/>
      <c r="C2721" s="424"/>
      <c r="G2721" s="312"/>
      <c r="H2721" s="467"/>
      <c r="I2721" s="467"/>
      <c r="J2721" s="492"/>
      <c r="K2721" s="312"/>
      <c r="L2721" s="312"/>
      <c r="M2721" s="312"/>
      <c r="N2721" s="467"/>
      <c r="O2721" s="467"/>
      <c r="P2721" s="467"/>
      <c r="AG2721" s="418"/>
      <c r="AL2721" s="436"/>
      <c r="AM2721" s="436"/>
      <c r="AQ2721" s="436"/>
      <c r="AR2721" s="436"/>
      <c r="AS2721" s="436"/>
      <c r="AT2721" s="436"/>
      <c r="AU2721" s="436"/>
      <c r="AV2721" s="436"/>
      <c r="AW2721" s="436"/>
      <c r="AX2721" s="436"/>
      <c r="AY2721" s="436"/>
      <c r="AZ2721" s="475"/>
      <c r="BA2721" s="475"/>
      <c r="BF2721" s="1119"/>
      <c r="BG2721" s="1119"/>
      <c r="BH2721" s="1119"/>
    </row>
    <row r="2722" spans="1:60" ht="15.75" customHeight="1">
      <c r="A2722" s="1076"/>
      <c r="B2722" s="1080"/>
      <c r="C2722" s="424"/>
      <c r="G2722" s="312"/>
      <c r="H2722" s="467"/>
      <c r="I2722" s="467"/>
      <c r="J2722" s="492"/>
      <c r="K2722" s="312"/>
      <c r="L2722" s="312"/>
      <c r="M2722" s="312"/>
      <c r="N2722" s="467"/>
      <c r="O2722" s="467"/>
      <c r="P2722" s="467"/>
      <c r="AG2722" s="496"/>
      <c r="AL2722" s="436"/>
      <c r="AM2722" s="436"/>
      <c r="AQ2722" s="436"/>
      <c r="AR2722" s="436"/>
      <c r="AS2722" s="436"/>
      <c r="AT2722" s="436"/>
      <c r="AU2722" s="436"/>
      <c r="AV2722" s="436"/>
      <c r="AW2722" s="436"/>
      <c r="AX2722" s="436"/>
      <c r="AY2722" s="436"/>
      <c r="AZ2722" s="475"/>
      <c r="BA2722" s="475"/>
      <c r="BF2722" s="1119"/>
      <c r="BG2722" s="1119"/>
      <c r="BH2722" s="1119"/>
    </row>
    <row r="2723" spans="1:60" ht="15.75" customHeight="1">
      <c r="A2723" s="1076"/>
      <c r="B2723" s="1080"/>
      <c r="C2723" s="424"/>
      <c r="G2723" s="312"/>
      <c r="H2723" s="467"/>
      <c r="I2723" s="467"/>
      <c r="J2723" s="492"/>
      <c r="K2723" s="312"/>
      <c r="L2723" s="312"/>
      <c r="M2723" s="312"/>
      <c r="N2723" s="467"/>
      <c r="O2723" s="467"/>
      <c r="P2723" s="467"/>
      <c r="AL2723" s="436"/>
      <c r="AM2723" s="436"/>
      <c r="AQ2723" s="436"/>
      <c r="AR2723" s="436"/>
      <c r="AS2723" s="436"/>
      <c r="AT2723" s="436"/>
      <c r="AU2723" s="436"/>
      <c r="AV2723" s="436"/>
      <c r="AW2723" s="436"/>
      <c r="AX2723" s="436"/>
      <c r="AY2723" s="436"/>
      <c r="AZ2723" s="475"/>
      <c r="BA2723" s="475"/>
      <c r="BF2723" s="1119"/>
      <c r="BG2723" s="1119"/>
      <c r="BH2723" s="1119"/>
    </row>
    <row r="2724" spans="1:60" ht="15.75" customHeight="1">
      <c r="A2724" s="1076"/>
      <c r="B2724" s="1080"/>
      <c r="C2724" s="424"/>
      <c r="G2724" s="312"/>
      <c r="H2724" s="467"/>
      <c r="I2724" s="467"/>
      <c r="J2724" s="492"/>
      <c r="K2724" s="312"/>
      <c r="L2724" s="312"/>
      <c r="M2724" s="312"/>
      <c r="N2724" s="467"/>
      <c r="O2724" s="467"/>
      <c r="P2724" s="467"/>
      <c r="AL2724" s="436"/>
      <c r="AM2724" s="436"/>
      <c r="AQ2724" s="436"/>
      <c r="AR2724" s="436"/>
      <c r="AS2724" s="436"/>
      <c r="AT2724" s="436"/>
      <c r="AU2724" s="436"/>
      <c r="AV2724" s="436"/>
      <c r="AW2724" s="436"/>
      <c r="AX2724" s="436"/>
      <c r="AY2724" s="436"/>
      <c r="AZ2724" s="475"/>
      <c r="BA2724" s="475"/>
      <c r="BF2724" s="1119"/>
      <c r="BG2724" s="1119"/>
      <c r="BH2724" s="1119"/>
    </row>
    <row r="2725" spans="1:60" ht="15.75" customHeight="1">
      <c r="A2725" s="1076"/>
      <c r="B2725" s="1080"/>
      <c r="C2725" s="424"/>
      <c r="G2725" s="312"/>
      <c r="H2725" s="467"/>
      <c r="I2725" s="467"/>
      <c r="J2725" s="492"/>
      <c r="K2725" s="312"/>
      <c r="L2725" s="312"/>
      <c r="M2725" s="312"/>
      <c r="N2725" s="467"/>
      <c r="O2725" s="467"/>
      <c r="P2725" s="467"/>
      <c r="AL2725" s="436"/>
      <c r="AM2725" s="436"/>
      <c r="AQ2725" s="436"/>
      <c r="AR2725" s="436"/>
      <c r="AS2725" s="436"/>
      <c r="AT2725" s="436"/>
      <c r="AU2725" s="436"/>
      <c r="AV2725" s="436"/>
      <c r="AW2725" s="436"/>
      <c r="AX2725" s="436"/>
      <c r="AY2725" s="436"/>
      <c r="AZ2725" s="475"/>
      <c r="BA2725" s="475"/>
      <c r="BF2725" s="1119"/>
      <c r="BG2725" s="1119"/>
      <c r="BH2725" s="1119"/>
    </row>
    <row r="2726" spans="1:60" ht="15.75" customHeight="1">
      <c r="A2726" s="1076"/>
      <c r="B2726" s="1080"/>
      <c r="C2726" s="424"/>
      <c r="G2726" s="312"/>
      <c r="H2726" s="467"/>
      <c r="I2726" s="467"/>
      <c r="J2726" s="492"/>
      <c r="K2726" s="312"/>
      <c r="L2726" s="312"/>
      <c r="M2726" s="312"/>
      <c r="N2726" s="467"/>
      <c r="O2726" s="467"/>
      <c r="P2726" s="467"/>
      <c r="AL2726" s="436"/>
      <c r="AM2726" s="436"/>
      <c r="AQ2726" s="436"/>
      <c r="AR2726" s="436"/>
      <c r="AS2726" s="436"/>
      <c r="AT2726" s="436"/>
      <c r="AU2726" s="436"/>
      <c r="AV2726" s="436"/>
      <c r="AW2726" s="436"/>
      <c r="AX2726" s="436"/>
      <c r="AY2726" s="436"/>
      <c r="AZ2726" s="475"/>
      <c r="BA2726" s="475"/>
      <c r="BF2726" s="1119"/>
      <c r="BG2726" s="1119"/>
      <c r="BH2726" s="1119"/>
    </row>
    <row r="2727" spans="1:60" ht="15.75" customHeight="1">
      <c r="A2727" s="1076"/>
      <c r="B2727" s="1080"/>
      <c r="C2727" s="424"/>
      <c r="G2727" s="312"/>
      <c r="H2727" s="467"/>
      <c r="I2727" s="467"/>
      <c r="J2727" s="492"/>
      <c r="K2727" s="312"/>
      <c r="L2727" s="312"/>
      <c r="M2727" s="312"/>
      <c r="N2727" s="467"/>
      <c r="O2727" s="467"/>
      <c r="P2727" s="467"/>
      <c r="AL2727" s="436"/>
      <c r="AM2727" s="436"/>
      <c r="AQ2727" s="436"/>
      <c r="AR2727" s="436"/>
      <c r="AS2727" s="436"/>
      <c r="AT2727" s="436"/>
      <c r="AU2727" s="436"/>
      <c r="AV2727" s="436"/>
      <c r="AW2727" s="436"/>
      <c r="AX2727" s="436"/>
      <c r="AY2727" s="436"/>
      <c r="AZ2727" s="475"/>
      <c r="BA2727" s="475"/>
      <c r="BF2727" s="1119"/>
      <c r="BG2727" s="1119"/>
      <c r="BH2727" s="1119"/>
    </row>
    <row r="2728" spans="1:60" ht="15.75" customHeight="1">
      <c r="A2728" s="1076"/>
      <c r="B2728" s="1080"/>
      <c r="C2728" s="424"/>
      <c r="G2728" s="312"/>
      <c r="H2728" s="467"/>
      <c r="I2728" s="467"/>
      <c r="J2728" s="1081"/>
      <c r="K2728" s="312"/>
      <c r="L2728" s="312"/>
      <c r="M2728" s="312"/>
      <c r="N2728" s="467"/>
      <c r="O2728" s="467"/>
      <c r="P2728" s="467"/>
      <c r="AL2728" s="436"/>
      <c r="AM2728" s="436"/>
      <c r="AQ2728" s="436"/>
      <c r="AR2728" s="436"/>
      <c r="AS2728" s="436"/>
      <c r="AT2728" s="436"/>
      <c r="AU2728" s="436"/>
      <c r="AV2728" s="436"/>
      <c r="AW2728" s="436"/>
      <c r="AX2728" s="436"/>
      <c r="AY2728" s="436"/>
      <c r="AZ2728" s="475"/>
      <c r="BA2728" s="475"/>
      <c r="BF2728" s="1119"/>
      <c r="BG2728" s="1119"/>
      <c r="BH2728" s="1119"/>
    </row>
    <row r="2729" spans="1:60" ht="15.75" customHeight="1">
      <c r="A2729" s="1076"/>
      <c r="B2729" s="1080"/>
      <c r="C2729" s="424"/>
      <c r="G2729" s="312"/>
      <c r="H2729" s="467"/>
      <c r="I2729" s="467"/>
      <c r="J2729" s="469"/>
      <c r="K2729" s="312"/>
      <c r="L2729" s="312"/>
      <c r="M2729" s="312"/>
      <c r="N2729" s="467"/>
      <c r="O2729" s="467"/>
      <c r="P2729" s="467"/>
      <c r="AL2729" s="436"/>
      <c r="AM2729" s="436"/>
      <c r="AQ2729" s="436"/>
      <c r="AR2729" s="436"/>
      <c r="AS2729" s="436"/>
      <c r="AT2729" s="436"/>
      <c r="AU2729" s="436"/>
      <c r="AV2729" s="436"/>
      <c r="AW2729" s="436"/>
      <c r="AX2729" s="436"/>
      <c r="AY2729" s="436"/>
      <c r="AZ2729" s="475"/>
      <c r="BA2729" s="475"/>
      <c r="BF2729" s="1119"/>
      <c r="BG2729" s="1119"/>
      <c r="BH2729" s="1119"/>
    </row>
    <row r="2730" spans="1:60" ht="15.75" customHeight="1">
      <c r="A2730" s="1076"/>
      <c r="B2730" s="1080"/>
      <c r="C2730" s="424"/>
      <c r="G2730" s="312"/>
      <c r="H2730" s="467"/>
      <c r="I2730" s="467"/>
      <c r="J2730" s="469"/>
      <c r="K2730" s="312"/>
      <c r="L2730" s="312"/>
      <c r="M2730" s="312"/>
      <c r="N2730" s="467"/>
      <c r="O2730" s="467"/>
      <c r="P2730" s="467"/>
      <c r="AL2730" s="436"/>
      <c r="AM2730" s="436"/>
      <c r="AQ2730" s="436"/>
      <c r="AR2730" s="436"/>
      <c r="AS2730" s="436"/>
      <c r="AT2730" s="436"/>
      <c r="AU2730" s="436"/>
      <c r="AV2730" s="436"/>
      <c r="AW2730" s="436"/>
      <c r="AX2730" s="436"/>
      <c r="AY2730" s="436"/>
      <c r="AZ2730" s="475"/>
      <c r="BA2730" s="475"/>
      <c r="BF2730" s="1119"/>
      <c r="BG2730" s="1119"/>
      <c r="BH2730" s="1119"/>
    </row>
    <row r="2731" spans="1:60" ht="15.75" customHeight="1">
      <c r="A2731" s="1076"/>
      <c r="B2731" s="1080"/>
      <c r="C2731" s="424"/>
      <c r="G2731" s="312"/>
      <c r="H2731" s="467"/>
      <c r="I2731" s="467"/>
      <c r="J2731" s="469"/>
      <c r="K2731" s="312"/>
      <c r="L2731" s="312"/>
      <c r="M2731" s="312"/>
      <c r="N2731" s="467"/>
      <c r="O2731" s="467"/>
      <c r="P2731" s="467"/>
      <c r="AL2731" s="436"/>
      <c r="AM2731" s="436"/>
      <c r="AQ2731" s="436"/>
      <c r="AR2731" s="436"/>
      <c r="AS2731" s="436"/>
      <c r="AT2731" s="436"/>
      <c r="AU2731" s="436"/>
      <c r="AV2731" s="436"/>
      <c r="AW2731" s="436"/>
      <c r="AX2731" s="436"/>
      <c r="AY2731" s="436"/>
      <c r="AZ2731" s="475"/>
      <c r="BA2731" s="475"/>
      <c r="BF2731" s="1119"/>
      <c r="BG2731" s="1119"/>
      <c r="BH2731" s="1119"/>
    </row>
    <row r="2732" spans="1:60" ht="15.75" customHeight="1">
      <c r="A2732" s="1076"/>
      <c r="B2732" s="1080"/>
      <c r="C2732" s="424"/>
      <c r="G2732" s="312"/>
      <c r="H2732" s="467"/>
      <c r="I2732" s="467"/>
      <c r="J2732" s="469"/>
      <c r="K2732" s="312"/>
      <c r="L2732" s="312"/>
      <c r="M2732" s="312"/>
      <c r="N2732" s="467"/>
      <c r="O2732" s="467"/>
      <c r="P2732" s="467"/>
      <c r="AL2732" s="436"/>
      <c r="AM2732" s="436"/>
      <c r="AQ2732" s="436"/>
      <c r="AR2732" s="436"/>
      <c r="AS2732" s="436"/>
      <c r="AT2732" s="436"/>
      <c r="AU2732" s="436"/>
      <c r="AV2732" s="436"/>
      <c r="AW2732" s="436"/>
      <c r="AX2732" s="436"/>
      <c r="AY2732" s="436"/>
      <c r="AZ2732" s="475"/>
      <c r="BA2732" s="475"/>
      <c r="BF2732" s="1119"/>
      <c r="BG2732" s="1119"/>
      <c r="BH2732" s="1119"/>
    </row>
    <row r="2733" spans="1:60" ht="15.75" customHeight="1">
      <c r="A2733" s="1076"/>
      <c r="B2733" s="1080"/>
      <c r="C2733" s="424"/>
      <c r="G2733" s="312"/>
      <c r="H2733" s="467"/>
      <c r="I2733" s="467"/>
      <c r="J2733" s="469"/>
      <c r="K2733" s="312"/>
      <c r="L2733" s="312"/>
      <c r="M2733" s="312"/>
      <c r="N2733" s="467"/>
      <c r="O2733" s="467"/>
      <c r="P2733" s="467"/>
      <c r="AL2733" s="436"/>
      <c r="AM2733" s="436"/>
      <c r="AQ2733" s="436"/>
      <c r="AR2733" s="436"/>
      <c r="AS2733" s="436"/>
      <c r="AT2733" s="436"/>
      <c r="AU2733" s="436"/>
      <c r="AV2733" s="436"/>
      <c r="AW2733" s="436"/>
      <c r="AX2733" s="436"/>
      <c r="AY2733" s="436"/>
      <c r="AZ2733" s="475"/>
      <c r="BA2733" s="475"/>
      <c r="BF2733" s="1119"/>
      <c r="BG2733" s="1119"/>
      <c r="BH2733" s="1119"/>
    </row>
    <row r="2734" spans="1:60" ht="15.75" customHeight="1">
      <c r="A2734" s="1076"/>
      <c r="B2734" s="1080"/>
      <c r="C2734" s="424"/>
      <c r="G2734" s="312"/>
      <c r="H2734" s="467"/>
      <c r="I2734" s="467"/>
      <c r="J2734" s="469"/>
      <c r="K2734" s="312"/>
      <c r="L2734" s="312"/>
      <c r="M2734" s="312"/>
      <c r="N2734" s="467"/>
      <c r="O2734" s="467"/>
      <c r="P2734" s="467"/>
      <c r="AL2734" s="436"/>
      <c r="AM2734" s="436"/>
      <c r="AQ2734" s="436"/>
      <c r="AR2734" s="436"/>
      <c r="AS2734" s="436"/>
      <c r="AT2734" s="436"/>
      <c r="AU2734" s="436"/>
      <c r="AV2734" s="436"/>
      <c r="AW2734" s="436"/>
      <c r="AX2734" s="436"/>
      <c r="AY2734" s="436"/>
      <c r="AZ2734" s="475"/>
      <c r="BA2734" s="475"/>
      <c r="BF2734" s="1119"/>
      <c r="BG2734" s="1119"/>
      <c r="BH2734" s="1119"/>
    </row>
    <row r="2735" spans="1:60" ht="15.75" customHeight="1">
      <c r="A2735" s="1076"/>
      <c r="B2735" s="1080"/>
      <c r="C2735" s="424"/>
      <c r="G2735" s="312"/>
      <c r="H2735" s="467"/>
      <c r="I2735" s="467"/>
      <c r="J2735" s="469"/>
      <c r="K2735" s="312"/>
      <c r="L2735" s="312"/>
      <c r="M2735" s="312"/>
      <c r="N2735" s="467"/>
      <c r="O2735" s="467"/>
      <c r="P2735" s="467"/>
      <c r="AL2735" s="436"/>
      <c r="AM2735" s="436"/>
      <c r="AQ2735" s="436"/>
      <c r="AR2735" s="436"/>
      <c r="AS2735" s="436"/>
      <c r="AT2735" s="436"/>
      <c r="AU2735" s="436"/>
      <c r="AV2735" s="436"/>
      <c r="AW2735" s="436"/>
      <c r="AX2735" s="436"/>
      <c r="AY2735" s="436"/>
      <c r="AZ2735" s="475"/>
      <c r="BA2735" s="475"/>
      <c r="BF2735" s="1119"/>
      <c r="BG2735" s="1119"/>
      <c r="BH2735" s="1119"/>
    </row>
    <row r="2736" spans="1:60" ht="15.75" customHeight="1">
      <c r="A2736" s="1076"/>
      <c r="B2736" s="1080"/>
      <c r="C2736" s="424"/>
      <c r="G2736" s="312"/>
      <c r="H2736" s="467"/>
      <c r="I2736" s="467"/>
      <c r="J2736" s="469"/>
      <c r="K2736" s="312"/>
      <c r="L2736" s="312"/>
      <c r="M2736" s="312"/>
      <c r="N2736" s="467"/>
      <c r="O2736" s="467"/>
      <c r="P2736" s="467"/>
      <c r="AL2736" s="436"/>
      <c r="AM2736" s="436"/>
      <c r="AQ2736" s="436"/>
      <c r="AR2736" s="436"/>
      <c r="AS2736" s="436"/>
      <c r="AT2736" s="436"/>
      <c r="AU2736" s="436"/>
      <c r="AV2736" s="436"/>
      <c r="AW2736" s="436"/>
      <c r="AX2736" s="436"/>
      <c r="AY2736" s="436"/>
      <c r="AZ2736" s="475"/>
      <c r="BA2736" s="475"/>
      <c r="BF2736" s="1119"/>
      <c r="BG2736" s="1119"/>
      <c r="BH2736" s="1119"/>
    </row>
    <row r="2737" spans="1:60" ht="15.75" customHeight="1">
      <c r="A2737" s="1076"/>
      <c r="B2737" s="1080"/>
      <c r="C2737" s="424"/>
      <c r="G2737" s="312"/>
      <c r="H2737" s="467"/>
      <c r="I2737" s="467"/>
      <c r="J2737" s="469"/>
      <c r="K2737" s="312"/>
      <c r="L2737" s="312"/>
      <c r="M2737" s="312"/>
      <c r="N2737" s="467"/>
      <c r="O2737" s="467"/>
      <c r="P2737" s="467"/>
      <c r="AL2737" s="436"/>
      <c r="AM2737" s="436"/>
      <c r="AQ2737" s="436"/>
      <c r="AR2737" s="436"/>
      <c r="AS2737" s="436"/>
      <c r="AT2737" s="436"/>
      <c r="AU2737" s="436"/>
      <c r="AV2737" s="436"/>
      <c r="AW2737" s="436"/>
      <c r="AX2737" s="436"/>
      <c r="AY2737" s="436"/>
      <c r="AZ2737" s="475"/>
      <c r="BA2737" s="475"/>
      <c r="BF2737" s="1119"/>
      <c r="BG2737" s="1119"/>
      <c r="BH2737" s="1119"/>
    </row>
    <row r="2738" spans="1:60" ht="15.75" customHeight="1">
      <c r="A2738" s="1076"/>
      <c r="B2738" s="1080"/>
      <c r="C2738" s="424"/>
      <c r="G2738" s="312"/>
      <c r="H2738" s="467"/>
      <c r="I2738" s="467"/>
      <c r="J2738" s="469"/>
      <c r="K2738" s="312"/>
      <c r="L2738" s="312"/>
      <c r="M2738" s="312"/>
      <c r="N2738" s="467"/>
      <c r="O2738" s="467"/>
      <c r="P2738" s="467"/>
      <c r="AL2738" s="436"/>
      <c r="AM2738" s="436"/>
      <c r="AQ2738" s="436"/>
      <c r="AR2738" s="436"/>
      <c r="AS2738" s="436"/>
      <c r="AT2738" s="436"/>
      <c r="AU2738" s="436"/>
      <c r="AV2738" s="436"/>
      <c r="AW2738" s="436"/>
      <c r="AX2738" s="436"/>
      <c r="AY2738" s="436"/>
      <c r="AZ2738" s="475"/>
      <c r="BA2738" s="475"/>
      <c r="BF2738" s="1119"/>
      <c r="BG2738" s="1119"/>
      <c r="BH2738" s="1119"/>
    </row>
    <row r="2739" spans="1:60" ht="15.75" customHeight="1">
      <c r="A2739" s="1076"/>
      <c r="B2739" s="1080"/>
      <c r="C2739" s="424"/>
      <c r="G2739" s="312"/>
      <c r="H2739" s="467"/>
      <c r="I2739" s="467"/>
      <c r="J2739" s="469"/>
      <c r="K2739" s="312"/>
      <c r="L2739" s="312"/>
      <c r="M2739" s="312"/>
      <c r="N2739" s="467"/>
      <c r="O2739" s="467"/>
      <c r="P2739" s="467"/>
      <c r="AL2739" s="436"/>
      <c r="AM2739" s="436"/>
      <c r="AQ2739" s="436"/>
      <c r="AR2739" s="436"/>
      <c r="AS2739" s="436"/>
      <c r="AT2739" s="436"/>
      <c r="AU2739" s="436"/>
      <c r="AV2739" s="436"/>
      <c r="AW2739" s="436"/>
      <c r="AX2739" s="436"/>
      <c r="AY2739" s="436"/>
      <c r="AZ2739" s="475"/>
      <c r="BA2739" s="475"/>
      <c r="BF2739" s="1119"/>
      <c r="BG2739" s="1119"/>
      <c r="BH2739" s="1119"/>
    </row>
    <row r="2740" spans="1:60" ht="15.75" customHeight="1">
      <c r="A2740" s="1076"/>
      <c r="B2740" s="1080"/>
      <c r="C2740" s="424"/>
      <c r="G2740" s="312"/>
      <c r="H2740" s="467"/>
      <c r="I2740" s="467"/>
      <c r="J2740" s="469"/>
      <c r="K2740" s="312"/>
      <c r="L2740" s="312"/>
      <c r="M2740" s="312"/>
      <c r="N2740" s="467"/>
      <c r="O2740" s="467"/>
      <c r="P2740" s="467"/>
      <c r="AL2740" s="436"/>
      <c r="AM2740" s="436"/>
      <c r="AQ2740" s="436"/>
      <c r="AR2740" s="436"/>
      <c r="AS2740" s="436"/>
      <c r="AT2740" s="436"/>
      <c r="AU2740" s="436"/>
      <c r="AV2740" s="436"/>
      <c r="AW2740" s="436"/>
      <c r="AX2740" s="436"/>
      <c r="AY2740" s="436"/>
      <c r="AZ2740" s="475"/>
      <c r="BA2740" s="475"/>
      <c r="BF2740" s="1119"/>
      <c r="BG2740" s="1119"/>
      <c r="BH2740" s="1119"/>
    </row>
    <row r="2741" spans="1:60" ht="15.75" customHeight="1">
      <c r="A2741" s="1076"/>
      <c r="B2741" s="1080"/>
      <c r="C2741" s="424"/>
      <c r="G2741" s="312"/>
      <c r="H2741" s="467"/>
      <c r="I2741" s="467"/>
      <c r="J2741" s="469"/>
      <c r="K2741" s="312"/>
      <c r="L2741" s="312"/>
      <c r="M2741" s="312"/>
      <c r="N2741" s="467"/>
      <c r="O2741" s="467"/>
      <c r="P2741" s="467"/>
      <c r="AL2741" s="436"/>
      <c r="AM2741" s="436"/>
      <c r="AQ2741" s="436"/>
      <c r="AR2741" s="436"/>
      <c r="AS2741" s="436"/>
      <c r="AT2741" s="436"/>
      <c r="AU2741" s="436"/>
      <c r="AV2741" s="436"/>
      <c r="AW2741" s="436"/>
      <c r="AX2741" s="436"/>
      <c r="AY2741" s="436"/>
      <c r="AZ2741" s="475"/>
      <c r="BA2741" s="475"/>
      <c r="BF2741" s="1119"/>
      <c r="BG2741" s="1119"/>
      <c r="BH2741" s="1119"/>
    </row>
    <row r="2742" spans="1:60" ht="15.75" customHeight="1">
      <c r="A2742" s="1076"/>
      <c r="B2742" s="1080"/>
      <c r="C2742" s="424"/>
      <c r="G2742" s="312"/>
      <c r="H2742" s="467"/>
      <c r="I2742" s="467"/>
      <c r="J2742" s="469"/>
      <c r="K2742" s="312"/>
      <c r="L2742" s="312"/>
      <c r="M2742" s="312"/>
      <c r="N2742" s="467"/>
      <c r="O2742" s="467"/>
      <c r="P2742" s="467"/>
      <c r="AL2742" s="436"/>
      <c r="AM2742" s="436"/>
      <c r="AQ2742" s="436"/>
      <c r="AR2742" s="436"/>
      <c r="AS2742" s="436"/>
      <c r="AT2742" s="436"/>
      <c r="AU2742" s="436"/>
      <c r="AV2742" s="436"/>
      <c r="AW2742" s="436"/>
      <c r="AX2742" s="436"/>
      <c r="AY2742" s="436"/>
      <c r="AZ2742" s="475"/>
      <c r="BA2742" s="475"/>
      <c r="BF2742" s="1119"/>
      <c r="BG2742" s="1119"/>
      <c r="BH2742" s="1119"/>
    </row>
    <row r="2743" spans="1:60" ht="15.75" customHeight="1">
      <c r="A2743" s="1076"/>
      <c r="B2743" s="1080"/>
      <c r="C2743" s="424"/>
      <c r="G2743" s="312"/>
      <c r="H2743" s="467"/>
      <c r="I2743" s="467"/>
      <c r="J2743" s="469"/>
      <c r="K2743" s="312"/>
      <c r="L2743" s="312"/>
      <c r="M2743" s="312"/>
      <c r="N2743" s="467"/>
      <c r="O2743" s="467"/>
      <c r="P2743" s="467"/>
      <c r="AL2743" s="436"/>
      <c r="AM2743" s="436"/>
      <c r="AQ2743" s="436"/>
      <c r="AR2743" s="436"/>
      <c r="AS2743" s="436"/>
      <c r="AT2743" s="436"/>
      <c r="AU2743" s="436"/>
      <c r="AV2743" s="436"/>
      <c r="AW2743" s="436"/>
      <c r="AX2743" s="436"/>
      <c r="AY2743" s="436"/>
      <c r="AZ2743" s="475"/>
      <c r="BA2743" s="475"/>
      <c r="BF2743" s="1119"/>
      <c r="BG2743" s="1119"/>
      <c r="BH2743" s="1119"/>
    </row>
    <row r="2744" spans="1:60" ht="15.75" customHeight="1">
      <c r="A2744" s="1076"/>
      <c r="B2744" s="1080"/>
      <c r="C2744" s="424"/>
      <c r="G2744" s="312"/>
      <c r="H2744" s="467"/>
      <c r="I2744" s="467"/>
      <c r="J2744" s="469"/>
      <c r="K2744" s="312"/>
      <c r="L2744" s="312"/>
      <c r="M2744" s="312"/>
      <c r="N2744" s="467"/>
      <c r="O2744" s="467"/>
      <c r="P2744" s="467"/>
      <c r="AL2744" s="436"/>
      <c r="AM2744" s="436"/>
      <c r="AQ2744" s="436"/>
      <c r="AR2744" s="436"/>
      <c r="AS2744" s="436"/>
      <c r="AT2744" s="436"/>
      <c r="AU2744" s="436"/>
      <c r="AV2744" s="436"/>
      <c r="AW2744" s="436"/>
      <c r="AX2744" s="436"/>
      <c r="AY2744" s="436"/>
      <c r="AZ2744" s="475"/>
      <c r="BA2744" s="475"/>
      <c r="BF2744" s="1119"/>
      <c r="BG2744" s="1119"/>
      <c r="BH2744" s="1119"/>
    </row>
    <row r="2745" spans="1:60" ht="15.75" customHeight="1">
      <c r="A2745" s="1076"/>
      <c r="B2745" s="1080"/>
      <c r="C2745" s="424"/>
      <c r="G2745" s="312"/>
      <c r="H2745" s="467"/>
      <c r="I2745" s="467"/>
      <c r="J2745" s="469"/>
      <c r="K2745" s="312"/>
      <c r="L2745" s="312"/>
      <c r="M2745" s="312"/>
      <c r="N2745" s="467"/>
      <c r="O2745" s="467"/>
      <c r="P2745" s="467"/>
      <c r="AL2745" s="436"/>
      <c r="AM2745" s="436"/>
      <c r="AQ2745" s="436"/>
      <c r="AR2745" s="436"/>
      <c r="AS2745" s="436"/>
      <c r="AT2745" s="436"/>
      <c r="AU2745" s="436"/>
      <c r="AV2745" s="436"/>
      <c r="AW2745" s="436"/>
      <c r="AX2745" s="436"/>
      <c r="AY2745" s="436"/>
      <c r="AZ2745" s="475"/>
      <c r="BA2745" s="475"/>
      <c r="BF2745" s="1119"/>
      <c r="BG2745" s="1119"/>
      <c r="BH2745" s="1119"/>
    </row>
    <row r="2746" spans="1:60" ht="15.75" customHeight="1">
      <c r="A2746" s="1076"/>
      <c r="B2746" s="1080"/>
      <c r="C2746" s="424"/>
      <c r="G2746" s="312"/>
      <c r="H2746" s="467"/>
      <c r="I2746" s="467"/>
      <c r="J2746" s="469"/>
      <c r="K2746" s="312"/>
      <c r="L2746" s="312"/>
      <c r="M2746" s="312"/>
      <c r="N2746" s="467"/>
      <c r="O2746" s="467"/>
      <c r="P2746" s="467"/>
      <c r="AL2746" s="436"/>
      <c r="AM2746" s="436"/>
      <c r="AQ2746" s="436"/>
      <c r="AR2746" s="436"/>
      <c r="AS2746" s="436"/>
      <c r="AT2746" s="436"/>
      <c r="AU2746" s="436"/>
      <c r="AV2746" s="436"/>
      <c r="AW2746" s="436"/>
      <c r="AX2746" s="436"/>
      <c r="AY2746" s="436"/>
      <c r="AZ2746" s="475"/>
      <c r="BA2746" s="475"/>
      <c r="BF2746" s="1119"/>
      <c r="BG2746" s="1119"/>
      <c r="BH2746" s="1119"/>
    </row>
    <row r="2747" spans="1:60" ht="15.75" customHeight="1">
      <c r="A2747" s="1076"/>
      <c r="B2747" s="1080"/>
      <c r="C2747" s="424"/>
      <c r="G2747" s="312"/>
      <c r="H2747" s="467"/>
      <c r="I2747" s="467"/>
      <c r="J2747" s="469"/>
      <c r="K2747" s="312"/>
      <c r="L2747" s="312"/>
      <c r="M2747" s="312"/>
      <c r="N2747" s="467"/>
      <c r="O2747" s="467"/>
      <c r="P2747" s="467"/>
      <c r="AL2747" s="436"/>
      <c r="AM2747" s="436"/>
      <c r="AQ2747" s="436"/>
      <c r="AR2747" s="436"/>
      <c r="AS2747" s="436"/>
      <c r="AT2747" s="436"/>
      <c r="AU2747" s="436"/>
      <c r="AV2747" s="436"/>
      <c r="AW2747" s="436"/>
      <c r="AX2747" s="436"/>
      <c r="AY2747" s="436"/>
      <c r="AZ2747" s="475"/>
      <c r="BA2747" s="475"/>
      <c r="BF2747" s="1119"/>
      <c r="BG2747" s="1119"/>
      <c r="BH2747" s="1119"/>
    </row>
    <row r="2748" spans="1:60" ht="15.75" customHeight="1">
      <c r="A2748" s="1076"/>
      <c r="B2748" s="1080"/>
      <c r="C2748" s="424"/>
      <c r="G2748" s="312"/>
      <c r="H2748" s="467"/>
      <c r="I2748" s="467"/>
      <c r="J2748" s="469"/>
      <c r="K2748" s="312"/>
      <c r="L2748" s="312"/>
      <c r="M2748" s="312"/>
      <c r="N2748" s="467"/>
      <c r="O2748" s="467"/>
      <c r="P2748" s="467"/>
      <c r="AL2748" s="436"/>
      <c r="AM2748" s="436"/>
      <c r="AQ2748" s="436"/>
      <c r="AR2748" s="436"/>
      <c r="AS2748" s="436"/>
      <c r="AT2748" s="436"/>
      <c r="AU2748" s="436"/>
      <c r="AV2748" s="436"/>
      <c r="AW2748" s="436"/>
      <c r="AX2748" s="436"/>
      <c r="AY2748" s="436"/>
      <c r="AZ2748" s="475"/>
      <c r="BA2748" s="475"/>
      <c r="BF2748" s="1119"/>
      <c r="BG2748" s="1119"/>
      <c r="BH2748" s="1119"/>
    </row>
    <row r="2749" spans="1:60" ht="15.75" customHeight="1">
      <c r="A2749" s="1076"/>
      <c r="B2749" s="1080"/>
      <c r="C2749" s="424"/>
      <c r="G2749" s="312"/>
      <c r="H2749" s="467"/>
      <c r="I2749" s="467"/>
      <c r="J2749" s="469"/>
      <c r="K2749" s="312"/>
      <c r="L2749" s="312"/>
      <c r="M2749" s="312"/>
      <c r="N2749" s="467"/>
      <c r="O2749" s="467"/>
      <c r="P2749" s="467"/>
      <c r="AL2749" s="436"/>
      <c r="AM2749" s="436"/>
      <c r="AQ2749" s="436"/>
      <c r="AR2749" s="436"/>
      <c r="AS2749" s="436"/>
      <c r="AT2749" s="436"/>
      <c r="AU2749" s="436"/>
      <c r="AV2749" s="436"/>
      <c r="AW2749" s="436"/>
      <c r="AX2749" s="436"/>
      <c r="AY2749" s="436"/>
      <c r="AZ2749" s="475"/>
      <c r="BA2749" s="475"/>
      <c r="BF2749" s="1119"/>
      <c r="BG2749" s="1119"/>
      <c r="BH2749" s="1119"/>
    </row>
    <row r="2750" spans="1:60" ht="15.75" customHeight="1">
      <c r="A2750" s="1076"/>
      <c r="B2750" s="1080"/>
      <c r="C2750" s="424"/>
      <c r="G2750" s="312"/>
      <c r="H2750" s="467"/>
      <c r="I2750" s="467"/>
      <c r="J2750" s="469"/>
      <c r="K2750" s="312"/>
      <c r="L2750" s="312"/>
      <c r="M2750" s="312"/>
      <c r="N2750" s="467"/>
      <c r="O2750" s="467"/>
      <c r="P2750" s="467"/>
      <c r="AL2750" s="436"/>
      <c r="AM2750" s="436"/>
      <c r="AQ2750" s="436"/>
      <c r="AR2750" s="436"/>
      <c r="AS2750" s="436"/>
      <c r="AT2750" s="436"/>
      <c r="AU2750" s="436"/>
      <c r="AV2750" s="436"/>
      <c r="AW2750" s="436"/>
      <c r="AX2750" s="436"/>
      <c r="AY2750" s="436"/>
      <c r="AZ2750" s="475"/>
      <c r="BA2750" s="475"/>
      <c r="BF2750" s="1119"/>
      <c r="BG2750" s="1119"/>
      <c r="BH2750" s="1119"/>
    </row>
    <row r="2751" spans="1:60" ht="15.75" customHeight="1">
      <c r="A2751" s="1076"/>
      <c r="B2751" s="1080"/>
      <c r="C2751" s="424"/>
      <c r="G2751" s="312"/>
      <c r="H2751" s="467"/>
      <c r="I2751" s="467"/>
      <c r="J2751" s="469"/>
      <c r="K2751" s="312"/>
      <c r="L2751" s="312"/>
      <c r="M2751" s="312"/>
      <c r="N2751" s="467"/>
      <c r="O2751" s="467"/>
      <c r="P2751" s="467"/>
      <c r="AL2751" s="436"/>
      <c r="AM2751" s="436"/>
      <c r="AQ2751" s="436"/>
      <c r="AR2751" s="436"/>
      <c r="AS2751" s="436"/>
      <c r="AT2751" s="436"/>
      <c r="AU2751" s="436"/>
      <c r="AV2751" s="436"/>
      <c r="AW2751" s="436"/>
      <c r="AX2751" s="436"/>
      <c r="AY2751" s="436"/>
      <c r="AZ2751" s="475"/>
      <c r="BA2751" s="475"/>
      <c r="BF2751" s="1119"/>
      <c r="BG2751" s="1119"/>
      <c r="BH2751" s="1119"/>
    </row>
    <row r="2752" spans="1:60" ht="15.75" customHeight="1">
      <c r="A2752" s="1076"/>
      <c r="B2752" s="1080"/>
      <c r="C2752" s="424"/>
      <c r="G2752" s="312"/>
      <c r="H2752" s="467"/>
      <c r="I2752" s="467"/>
      <c r="J2752" s="469"/>
      <c r="K2752" s="312"/>
      <c r="L2752" s="312"/>
      <c r="M2752" s="312"/>
      <c r="N2752" s="467"/>
      <c r="O2752" s="467"/>
      <c r="P2752" s="467"/>
      <c r="AL2752" s="436"/>
      <c r="AM2752" s="436"/>
      <c r="AQ2752" s="436"/>
      <c r="AR2752" s="436"/>
      <c r="AS2752" s="436"/>
      <c r="AT2752" s="436"/>
      <c r="AU2752" s="436"/>
      <c r="AV2752" s="436"/>
      <c r="AW2752" s="436"/>
      <c r="AX2752" s="436"/>
      <c r="AY2752" s="436"/>
      <c r="AZ2752" s="475"/>
      <c r="BA2752" s="475"/>
      <c r="BF2752" s="1119"/>
      <c r="BG2752" s="1119"/>
      <c r="BH2752" s="1119"/>
    </row>
    <row r="2753" spans="1:60" ht="15.75" customHeight="1">
      <c r="A2753" s="1076"/>
      <c r="B2753" s="1080"/>
      <c r="C2753" s="424"/>
      <c r="G2753" s="312"/>
      <c r="H2753" s="467"/>
      <c r="I2753" s="467"/>
      <c r="J2753" s="469"/>
      <c r="K2753" s="312"/>
      <c r="L2753" s="312"/>
      <c r="M2753" s="312"/>
      <c r="N2753" s="467"/>
      <c r="O2753" s="467"/>
      <c r="P2753" s="467"/>
      <c r="AL2753" s="436"/>
      <c r="AM2753" s="436"/>
      <c r="AQ2753" s="436"/>
      <c r="AR2753" s="436"/>
      <c r="AS2753" s="436"/>
      <c r="AT2753" s="436"/>
      <c r="AU2753" s="436"/>
      <c r="AV2753" s="436"/>
      <c r="AW2753" s="436"/>
      <c r="AX2753" s="436"/>
      <c r="AY2753" s="436"/>
      <c r="AZ2753" s="475"/>
      <c r="BA2753" s="475"/>
      <c r="BF2753" s="1119"/>
      <c r="BG2753" s="1119"/>
      <c r="BH2753" s="1119"/>
    </row>
    <row r="2754" spans="1:60" ht="15.75" customHeight="1">
      <c r="A2754" s="1076"/>
      <c r="B2754" s="1080"/>
      <c r="C2754" s="424"/>
      <c r="G2754" s="312"/>
      <c r="H2754" s="467"/>
      <c r="I2754" s="467"/>
      <c r="J2754" s="469"/>
      <c r="K2754" s="312"/>
      <c r="L2754" s="312"/>
      <c r="M2754" s="312"/>
      <c r="N2754" s="467"/>
      <c r="O2754" s="467"/>
      <c r="P2754" s="467"/>
      <c r="AL2754" s="436"/>
      <c r="AM2754" s="436"/>
      <c r="AQ2754" s="436"/>
      <c r="AR2754" s="436"/>
      <c r="AS2754" s="436"/>
      <c r="AT2754" s="436"/>
      <c r="AU2754" s="436"/>
      <c r="AV2754" s="436"/>
      <c r="AW2754" s="436"/>
      <c r="AX2754" s="436"/>
      <c r="AY2754" s="436"/>
      <c r="AZ2754" s="475"/>
      <c r="BA2754" s="475"/>
      <c r="BF2754" s="1119"/>
      <c r="BG2754" s="1119"/>
      <c r="BH2754" s="1119"/>
    </row>
    <row r="2755" spans="1:60" ht="15.75" customHeight="1">
      <c r="A2755" s="1076"/>
      <c r="B2755" s="1080"/>
      <c r="C2755" s="424"/>
      <c r="G2755" s="312"/>
      <c r="H2755" s="467"/>
      <c r="I2755" s="467"/>
      <c r="J2755" s="469"/>
      <c r="K2755" s="312"/>
      <c r="L2755" s="312"/>
      <c r="M2755" s="312"/>
      <c r="N2755" s="467"/>
      <c r="O2755" s="467"/>
      <c r="P2755" s="467"/>
      <c r="AL2755" s="436"/>
      <c r="AM2755" s="436"/>
      <c r="AQ2755" s="436"/>
      <c r="AR2755" s="436"/>
      <c r="AS2755" s="436"/>
      <c r="AT2755" s="436"/>
      <c r="AU2755" s="436"/>
      <c r="AV2755" s="436"/>
      <c r="AW2755" s="436"/>
      <c r="AX2755" s="436"/>
      <c r="AY2755" s="436"/>
      <c r="AZ2755" s="475"/>
      <c r="BA2755" s="475"/>
      <c r="BF2755" s="1119"/>
      <c r="BG2755" s="1119"/>
      <c r="BH2755" s="1119"/>
    </row>
    <row r="2756" spans="1:60" ht="15.75" customHeight="1">
      <c r="A2756" s="1076"/>
      <c r="B2756" s="1080"/>
      <c r="C2756" s="424"/>
      <c r="G2756" s="312"/>
      <c r="H2756" s="467"/>
      <c r="I2756" s="467"/>
      <c r="J2756" s="469"/>
      <c r="K2756" s="312"/>
      <c r="L2756" s="312"/>
      <c r="M2756" s="312"/>
      <c r="N2756" s="467"/>
      <c r="O2756" s="467"/>
      <c r="P2756" s="467"/>
      <c r="AL2756" s="436"/>
      <c r="AM2756" s="436"/>
      <c r="AQ2756" s="436"/>
      <c r="AR2756" s="436"/>
      <c r="AS2756" s="436"/>
      <c r="AT2756" s="436"/>
      <c r="AU2756" s="436"/>
      <c r="AV2756" s="436"/>
      <c r="AW2756" s="436"/>
      <c r="AX2756" s="436"/>
      <c r="AY2756" s="436"/>
      <c r="AZ2756" s="475"/>
      <c r="BA2756" s="475"/>
      <c r="BF2756" s="1119"/>
      <c r="BG2756" s="1119"/>
      <c r="BH2756" s="1119"/>
    </row>
    <row r="2757" spans="1:60" ht="15.75" customHeight="1">
      <c r="A2757" s="1076"/>
      <c r="B2757" s="1080"/>
      <c r="C2757" s="424"/>
      <c r="G2757" s="312"/>
      <c r="H2757" s="467"/>
      <c r="I2757" s="467"/>
      <c r="J2757" s="469"/>
      <c r="K2757" s="312"/>
      <c r="L2757" s="312"/>
      <c r="M2757" s="312"/>
      <c r="N2757" s="467"/>
      <c r="O2757" s="467"/>
      <c r="P2757" s="467"/>
      <c r="AL2757" s="436"/>
      <c r="AM2757" s="436"/>
      <c r="AQ2757" s="436"/>
      <c r="AR2757" s="436"/>
      <c r="AS2757" s="436"/>
      <c r="AT2757" s="436"/>
      <c r="AU2757" s="436"/>
      <c r="AV2757" s="436"/>
      <c r="AW2757" s="436"/>
      <c r="AX2757" s="436"/>
      <c r="AY2757" s="436"/>
      <c r="AZ2757" s="475"/>
      <c r="BA2757" s="475"/>
      <c r="BF2757" s="1119"/>
      <c r="BG2757" s="1119"/>
      <c r="BH2757" s="1119"/>
    </row>
    <row r="2758" spans="1:60" ht="15.75" customHeight="1">
      <c r="A2758" s="1076"/>
      <c r="B2758" s="1080"/>
      <c r="C2758" s="424"/>
      <c r="G2758" s="312"/>
      <c r="H2758" s="467"/>
      <c r="I2758" s="467"/>
      <c r="J2758" s="469"/>
      <c r="K2758" s="312"/>
      <c r="L2758" s="312"/>
      <c r="M2758" s="312"/>
      <c r="N2758" s="467"/>
      <c r="O2758" s="467"/>
      <c r="P2758" s="467"/>
      <c r="AL2758" s="436"/>
      <c r="AM2758" s="436"/>
      <c r="AQ2758" s="436"/>
      <c r="AR2758" s="436"/>
      <c r="AS2758" s="436"/>
      <c r="AT2758" s="436"/>
      <c r="AU2758" s="436"/>
      <c r="AV2758" s="436"/>
      <c r="AW2758" s="436"/>
      <c r="AX2758" s="436"/>
      <c r="AY2758" s="436"/>
      <c r="AZ2758" s="475"/>
      <c r="BA2758" s="475"/>
      <c r="BF2758" s="1119"/>
      <c r="BG2758" s="1119"/>
      <c r="BH2758" s="1119"/>
    </row>
    <row r="2759" spans="1:60" ht="15.75" customHeight="1">
      <c r="A2759" s="1076"/>
      <c r="B2759" s="1080"/>
      <c r="C2759" s="424"/>
      <c r="G2759" s="312"/>
      <c r="H2759" s="467"/>
      <c r="I2759" s="467"/>
      <c r="J2759" s="469"/>
      <c r="K2759" s="312"/>
      <c r="L2759" s="312"/>
      <c r="M2759" s="312"/>
      <c r="N2759" s="467"/>
      <c r="O2759" s="467"/>
      <c r="P2759" s="467"/>
      <c r="AL2759" s="436"/>
      <c r="AM2759" s="436"/>
      <c r="AQ2759" s="436"/>
      <c r="AR2759" s="436"/>
      <c r="AS2759" s="436"/>
      <c r="AT2759" s="436"/>
      <c r="AU2759" s="436"/>
      <c r="AV2759" s="436"/>
      <c r="AW2759" s="436"/>
      <c r="AX2759" s="436"/>
      <c r="AY2759" s="436"/>
      <c r="AZ2759" s="475"/>
      <c r="BA2759" s="475"/>
      <c r="BF2759" s="1119"/>
      <c r="BG2759" s="1119"/>
      <c r="BH2759" s="1119"/>
    </row>
    <row r="2760" spans="1:60" ht="15.75" customHeight="1">
      <c r="A2760" s="1076"/>
      <c r="B2760" s="1080"/>
      <c r="C2760" s="424"/>
      <c r="G2760" s="312"/>
      <c r="H2760" s="467"/>
      <c r="I2760" s="467"/>
      <c r="J2760" s="469"/>
      <c r="K2760" s="312"/>
      <c r="L2760" s="312"/>
      <c r="M2760" s="312"/>
      <c r="N2760" s="467"/>
      <c r="O2760" s="467"/>
      <c r="P2760" s="467"/>
      <c r="AL2760" s="436"/>
      <c r="AM2760" s="436"/>
      <c r="AQ2760" s="436"/>
      <c r="AR2760" s="436"/>
      <c r="AS2760" s="436"/>
      <c r="AT2760" s="436"/>
      <c r="AU2760" s="436"/>
      <c r="AV2760" s="436"/>
      <c r="AW2760" s="436"/>
      <c r="AX2760" s="436"/>
      <c r="AY2760" s="436"/>
      <c r="AZ2760" s="475"/>
      <c r="BA2760" s="475"/>
      <c r="BF2760" s="1119"/>
      <c r="BG2760" s="1119"/>
      <c r="BH2760" s="1119"/>
    </row>
    <row r="2761" spans="1:60" ht="15.75" customHeight="1">
      <c r="A2761" s="1076"/>
      <c r="B2761" s="1080"/>
      <c r="C2761" s="424"/>
      <c r="G2761" s="312"/>
      <c r="H2761" s="467"/>
      <c r="I2761" s="467"/>
      <c r="J2761" s="469"/>
      <c r="K2761" s="312"/>
      <c r="L2761" s="312"/>
      <c r="M2761" s="312"/>
      <c r="N2761" s="467"/>
      <c r="O2761" s="467"/>
      <c r="P2761" s="467"/>
      <c r="AL2761" s="436"/>
      <c r="AM2761" s="436"/>
      <c r="AQ2761" s="436"/>
      <c r="AR2761" s="436"/>
      <c r="AS2761" s="436"/>
      <c r="AT2761" s="436"/>
      <c r="AU2761" s="436"/>
      <c r="AV2761" s="436"/>
      <c r="AW2761" s="436"/>
      <c r="AX2761" s="436"/>
      <c r="AY2761" s="436"/>
      <c r="AZ2761" s="475"/>
      <c r="BA2761" s="475"/>
      <c r="BF2761" s="1119"/>
      <c r="BG2761" s="1119"/>
      <c r="BH2761" s="1119"/>
    </row>
    <row r="2762" spans="1:60" ht="15.75" customHeight="1">
      <c r="A2762" s="1076"/>
      <c r="B2762" s="1080"/>
      <c r="C2762" s="424"/>
      <c r="G2762" s="312"/>
      <c r="H2762" s="467"/>
      <c r="I2762" s="467"/>
      <c r="J2762" s="469"/>
      <c r="K2762" s="312"/>
      <c r="L2762" s="312"/>
      <c r="M2762" s="312"/>
      <c r="N2762" s="467"/>
      <c r="O2762" s="467"/>
      <c r="P2762" s="467"/>
      <c r="AL2762" s="436"/>
      <c r="AM2762" s="436"/>
      <c r="AQ2762" s="436"/>
      <c r="AR2762" s="436"/>
      <c r="AS2762" s="436"/>
      <c r="AT2762" s="436"/>
      <c r="AU2762" s="436"/>
      <c r="AV2762" s="436"/>
      <c r="AW2762" s="436"/>
      <c r="AX2762" s="436"/>
      <c r="AY2762" s="436"/>
      <c r="AZ2762" s="475"/>
      <c r="BA2762" s="475"/>
      <c r="BF2762" s="1119"/>
      <c r="BG2762" s="1119"/>
      <c r="BH2762" s="1119"/>
    </row>
    <row r="2763" spans="1:60" ht="15.75" customHeight="1">
      <c r="A2763" s="1076"/>
      <c r="B2763" s="1080"/>
      <c r="C2763" s="424"/>
      <c r="G2763" s="312"/>
      <c r="H2763" s="467"/>
      <c r="I2763" s="467"/>
      <c r="J2763" s="469"/>
      <c r="K2763" s="312"/>
      <c r="L2763" s="312"/>
      <c r="M2763" s="312"/>
      <c r="N2763" s="467"/>
      <c r="O2763" s="467"/>
      <c r="P2763" s="467"/>
      <c r="AL2763" s="436"/>
      <c r="AM2763" s="436"/>
      <c r="AQ2763" s="436"/>
      <c r="AR2763" s="436"/>
      <c r="AS2763" s="436"/>
      <c r="AT2763" s="436"/>
      <c r="AU2763" s="436"/>
      <c r="AV2763" s="436"/>
      <c r="AW2763" s="436"/>
      <c r="AX2763" s="436"/>
      <c r="AY2763" s="436"/>
      <c r="AZ2763" s="475"/>
      <c r="BA2763" s="475"/>
      <c r="BF2763" s="1119"/>
      <c r="BG2763" s="1119"/>
      <c r="BH2763" s="1119"/>
    </row>
    <row r="2764" spans="1:60" ht="15.75" customHeight="1">
      <c r="A2764" s="1076"/>
      <c r="B2764" s="1080"/>
      <c r="C2764" s="424"/>
      <c r="G2764" s="312"/>
      <c r="H2764" s="467"/>
      <c r="I2764" s="467"/>
      <c r="J2764" s="469"/>
      <c r="K2764" s="312"/>
      <c r="L2764" s="312"/>
      <c r="M2764" s="312"/>
      <c r="N2764" s="467"/>
      <c r="O2764" s="467"/>
      <c r="P2764" s="467"/>
      <c r="AL2764" s="436"/>
      <c r="AM2764" s="436"/>
      <c r="AQ2764" s="436"/>
      <c r="AR2764" s="436"/>
      <c r="AS2764" s="436"/>
      <c r="AT2764" s="436"/>
      <c r="AU2764" s="436"/>
      <c r="AV2764" s="436"/>
      <c r="AW2764" s="436"/>
      <c r="AX2764" s="436"/>
      <c r="AY2764" s="436"/>
      <c r="AZ2764" s="475"/>
      <c r="BA2764" s="475"/>
      <c r="BF2764" s="1119"/>
      <c r="BG2764" s="1119"/>
      <c r="BH2764" s="1119"/>
    </row>
    <row r="2765" spans="1:60" ht="15.75" customHeight="1">
      <c r="A2765" s="1076"/>
      <c r="B2765" s="1080"/>
      <c r="C2765" s="424"/>
      <c r="G2765" s="312"/>
      <c r="H2765" s="467"/>
      <c r="I2765" s="467"/>
      <c r="J2765" s="469"/>
      <c r="K2765" s="312"/>
      <c r="L2765" s="312"/>
      <c r="M2765" s="312"/>
      <c r="N2765" s="467"/>
      <c r="O2765" s="467"/>
      <c r="P2765" s="467"/>
      <c r="AL2765" s="436"/>
      <c r="AM2765" s="436"/>
      <c r="AQ2765" s="436"/>
      <c r="AR2765" s="436"/>
      <c r="AS2765" s="436"/>
      <c r="AT2765" s="436"/>
      <c r="AU2765" s="436"/>
      <c r="AV2765" s="436"/>
      <c r="AW2765" s="436"/>
      <c r="AX2765" s="436"/>
      <c r="AY2765" s="436"/>
      <c r="AZ2765" s="475"/>
      <c r="BA2765" s="475"/>
      <c r="BF2765" s="1119"/>
      <c r="BG2765" s="1119"/>
      <c r="BH2765" s="1119"/>
    </row>
    <row r="2766" spans="1:60" ht="15.75" customHeight="1">
      <c r="A2766" s="1076"/>
      <c r="B2766" s="1080"/>
      <c r="C2766" s="424"/>
      <c r="G2766" s="312"/>
      <c r="H2766" s="467"/>
      <c r="I2766" s="467"/>
      <c r="J2766" s="469"/>
      <c r="K2766" s="312"/>
      <c r="L2766" s="312"/>
      <c r="M2766" s="312"/>
      <c r="N2766" s="467"/>
      <c r="O2766" s="467"/>
      <c r="P2766" s="467"/>
      <c r="AL2766" s="436"/>
      <c r="AM2766" s="436"/>
      <c r="AQ2766" s="436"/>
      <c r="AR2766" s="436"/>
      <c r="AS2766" s="436"/>
      <c r="AT2766" s="436"/>
      <c r="AU2766" s="436"/>
      <c r="AV2766" s="436"/>
      <c r="AW2766" s="436"/>
      <c r="AX2766" s="436"/>
      <c r="AY2766" s="436"/>
      <c r="AZ2766" s="475"/>
      <c r="BA2766" s="475"/>
      <c r="BF2766" s="1119"/>
      <c r="BG2766" s="1119"/>
      <c r="BH2766" s="1119"/>
    </row>
    <row r="2767" spans="1:60" ht="15.75" customHeight="1">
      <c r="A2767" s="1076"/>
      <c r="B2767" s="1080"/>
      <c r="C2767" s="424"/>
      <c r="G2767" s="312"/>
      <c r="H2767" s="467"/>
      <c r="I2767" s="467"/>
      <c r="J2767" s="469"/>
      <c r="K2767" s="312"/>
      <c r="L2767" s="312"/>
      <c r="M2767" s="312"/>
      <c r="N2767" s="467"/>
      <c r="O2767" s="467"/>
      <c r="P2767" s="467"/>
      <c r="AL2767" s="436"/>
      <c r="AM2767" s="436"/>
      <c r="AQ2767" s="436"/>
      <c r="AR2767" s="436"/>
      <c r="AS2767" s="436"/>
      <c r="AT2767" s="436"/>
      <c r="AU2767" s="436"/>
      <c r="AV2767" s="436"/>
      <c r="AW2767" s="436"/>
      <c r="AX2767" s="436"/>
      <c r="AY2767" s="436"/>
      <c r="AZ2767" s="475"/>
      <c r="BA2767" s="475"/>
      <c r="BF2767" s="1119"/>
      <c r="BG2767" s="1119"/>
      <c r="BH2767" s="1119"/>
    </row>
    <row r="2768" spans="1:60" ht="15.75" customHeight="1">
      <c r="A2768" s="1076"/>
      <c r="B2768" s="1080"/>
      <c r="C2768" s="424"/>
      <c r="G2768" s="312"/>
      <c r="H2768" s="467"/>
      <c r="I2768" s="467"/>
      <c r="J2768" s="469"/>
      <c r="K2768" s="312"/>
      <c r="L2768" s="312"/>
      <c r="M2768" s="312"/>
      <c r="N2768" s="467"/>
      <c r="O2768" s="467"/>
      <c r="P2768" s="467"/>
      <c r="AL2768" s="436"/>
      <c r="AM2768" s="436"/>
      <c r="AQ2768" s="436"/>
      <c r="AR2768" s="436"/>
      <c r="AS2768" s="436"/>
      <c r="AT2768" s="436"/>
      <c r="AU2768" s="436"/>
      <c r="AV2768" s="436"/>
      <c r="AW2768" s="436"/>
      <c r="AX2768" s="436"/>
      <c r="AY2768" s="436"/>
      <c r="AZ2768" s="475"/>
      <c r="BA2768" s="475"/>
      <c r="BF2768" s="1119"/>
      <c r="BG2768" s="1119"/>
      <c r="BH2768" s="1119"/>
    </row>
    <row r="2769" spans="1:60" ht="15.75" customHeight="1">
      <c r="A2769" s="1076"/>
      <c r="B2769" s="1080"/>
      <c r="C2769" s="424"/>
      <c r="G2769" s="312"/>
      <c r="H2769" s="467"/>
      <c r="I2769" s="467"/>
      <c r="J2769" s="469"/>
      <c r="K2769" s="312"/>
      <c r="L2769" s="312"/>
      <c r="M2769" s="312"/>
      <c r="N2769" s="467"/>
      <c r="O2769" s="467"/>
      <c r="P2769" s="467"/>
      <c r="AL2769" s="436"/>
      <c r="AM2769" s="436"/>
      <c r="AQ2769" s="436"/>
      <c r="AR2769" s="436"/>
      <c r="AS2769" s="436"/>
      <c r="AT2769" s="436"/>
      <c r="AU2769" s="436"/>
      <c r="AV2769" s="436"/>
      <c r="AW2769" s="436"/>
      <c r="AX2769" s="436"/>
      <c r="AY2769" s="436"/>
      <c r="AZ2769" s="475"/>
      <c r="BA2769" s="475"/>
      <c r="BF2769" s="1119"/>
      <c r="BG2769" s="1119"/>
      <c r="BH2769" s="1119"/>
    </row>
    <row r="2770" spans="1:60" ht="15.75" customHeight="1">
      <c r="A2770" s="1076"/>
      <c r="B2770" s="1080"/>
      <c r="C2770" s="424"/>
      <c r="G2770" s="312"/>
      <c r="H2770" s="467"/>
      <c r="I2770" s="467"/>
      <c r="J2770" s="469"/>
      <c r="K2770" s="312"/>
      <c r="L2770" s="312"/>
      <c r="M2770" s="312"/>
      <c r="N2770" s="467"/>
      <c r="O2770" s="467"/>
      <c r="P2770" s="467"/>
      <c r="AL2770" s="436"/>
      <c r="AM2770" s="436"/>
      <c r="AQ2770" s="436"/>
      <c r="AR2770" s="436"/>
      <c r="AS2770" s="436"/>
      <c r="AT2770" s="436"/>
      <c r="AU2770" s="436"/>
      <c r="AV2770" s="436"/>
      <c r="AW2770" s="436"/>
      <c r="AX2770" s="436"/>
      <c r="AY2770" s="436"/>
      <c r="AZ2770" s="475"/>
      <c r="BA2770" s="475"/>
      <c r="BF2770" s="1119"/>
      <c r="BG2770" s="1119"/>
      <c r="BH2770" s="1119"/>
    </row>
    <row r="2771" spans="1:60" ht="15.75" customHeight="1">
      <c r="A2771" s="1076"/>
      <c r="B2771" s="1080"/>
      <c r="C2771" s="424"/>
      <c r="G2771" s="312"/>
      <c r="H2771" s="467"/>
      <c r="I2771" s="467"/>
      <c r="J2771" s="469"/>
      <c r="K2771" s="312"/>
      <c r="L2771" s="312"/>
      <c r="M2771" s="312"/>
      <c r="N2771" s="467"/>
      <c r="O2771" s="467"/>
      <c r="P2771" s="467"/>
      <c r="AL2771" s="436"/>
      <c r="AM2771" s="436"/>
      <c r="AQ2771" s="436"/>
      <c r="AR2771" s="436"/>
      <c r="AS2771" s="436"/>
      <c r="AT2771" s="436"/>
      <c r="AU2771" s="436"/>
      <c r="AV2771" s="436"/>
      <c r="AW2771" s="436"/>
      <c r="AX2771" s="436"/>
      <c r="AY2771" s="436"/>
      <c r="AZ2771" s="475"/>
      <c r="BA2771" s="475"/>
      <c r="BF2771" s="1119"/>
      <c r="BG2771" s="1119"/>
      <c r="BH2771" s="1119"/>
    </row>
    <row r="2772" spans="1:60" ht="15.75" customHeight="1">
      <c r="A2772" s="1076"/>
      <c r="B2772" s="1080"/>
      <c r="C2772" s="424"/>
      <c r="G2772" s="312"/>
      <c r="H2772" s="467"/>
      <c r="I2772" s="467"/>
      <c r="J2772" s="469"/>
      <c r="K2772" s="312"/>
      <c r="L2772" s="312"/>
      <c r="M2772" s="312"/>
      <c r="N2772" s="467"/>
      <c r="O2772" s="467"/>
      <c r="P2772" s="467"/>
      <c r="AL2772" s="436"/>
      <c r="AM2772" s="436"/>
      <c r="AQ2772" s="436"/>
      <c r="AR2772" s="436"/>
      <c r="AS2772" s="436"/>
      <c r="AT2772" s="436"/>
      <c r="AU2772" s="436"/>
      <c r="AV2772" s="436"/>
      <c r="AW2772" s="436"/>
      <c r="AX2772" s="436"/>
      <c r="AY2772" s="436"/>
      <c r="AZ2772" s="475"/>
      <c r="BA2772" s="475"/>
      <c r="BF2772" s="1119"/>
      <c r="BG2772" s="1119"/>
      <c r="BH2772" s="1119"/>
    </row>
    <row r="2773" spans="1:60" ht="15.75" customHeight="1">
      <c r="A2773" s="1076"/>
      <c r="B2773" s="1080"/>
      <c r="C2773" s="424"/>
      <c r="G2773" s="312"/>
      <c r="H2773" s="467"/>
      <c r="I2773" s="467"/>
      <c r="J2773" s="469"/>
      <c r="K2773" s="312"/>
      <c r="L2773" s="312"/>
      <c r="M2773" s="312"/>
      <c r="N2773" s="467"/>
      <c r="O2773" s="467"/>
      <c r="P2773" s="467"/>
      <c r="AL2773" s="436"/>
      <c r="AM2773" s="436"/>
      <c r="AQ2773" s="436"/>
      <c r="AR2773" s="436"/>
      <c r="AS2773" s="436"/>
      <c r="AT2773" s="436"/>
      <c r="AU2773" s="436"/>
      <c r="AV2773" s="436"/>
      <c r="AW2773" s="436"/>
      <c r="AX2773" s="436"/>
      <c r="AY2773" s="436"/>
      <c r="AZ2773" s="475"/>
      <c r="BA2773" s="475"/>
      <c r="BF2773" s="1119"/>
      <c r="BG2773" s="1119"/>
      <c r="BH2773" s="1119"/>
    </row>
    <row r="2774" spans="1:60" ht="15.75" customHeight="1">
      <c r="A2774" s="1076"/>
      <c r="B2774" s="1080"/>
      <c r="C2774" s="424"/>
      <c r="G2774" s="312"/>
      <c r="H2774" s="467"/>
      <c r="I2774" s="467"/>
      <c r="J2774" s="469"/>
      <c r="K2774" s="312"/>
      <c r="L2774" s="312"/>
      <c r="M2774" s="312"/>
      <c r="N2774" s="467"/>
      <c r="O2774" s="467"/>
      <c r="P2774" s="467"/>
      <c r="AL2774" s="436"/>
      <c r="AM2774" s="436"/>
      <c r="AQ2774" s="436"/>
      <c r="AR2774" s="436"/>
      <c r="AS2774" s="436"/>
      <c r="AT2774" s="436"/>
      <c r="AU2774" s="436"/>
      <c r="AV2774" s="436"/>
      <c r="AW2774" s="436"/>
      <c r="AX2774" s="436"/>
      <c r="AY2774" s="436"/>
      <c r="AZ2774" s="475"/>
      <c r="BA2774" s="475"/>
      <c r="BF2774" s="1119"/>
      <c r="BG2774" s="1119"/>
      <c r="BH2774" s="1119"/>
    </row>
    <row r="2775" spans="1:60" ht="15.75" customHeight="1">
      <c r="A2775" s="1076"/>
      <c r="B2775" s="1080"/>
      <c r="C2775" s="424"/>
      <c r="G2775" s="312"/>
      <c r="H2775" s="467"/>
      <c r="I2775" s="467"/>
      <c r="J2775" s="469"/>
      <c r="K2775" s="312"/>
      <c r="L2775" s="312"/>
      <c r="M2775" s="312"/>
      <c r="N2775" s="467"/>
      <c r="O2775" s="467"/>
      <c r="P2775" s="467"/>
      <c r="AL2775" s="436"/>
      <c r="AM2775" s="436"/>
      <c r="AQ2775" s="436"/>
      <c r="AR2775" s="436"/>
      <c r="AS2775" s="436"/>
      <c r="AT2775" s="436"/>
      <c r="AU2775" s="436"/>
      <c r="AV2775" s="436"/>
      <c r="AW2775" s="436"/>
      <c r="AX2775" s="436"/>
      <c r="AY2775" s="436"/>
      <c r="AZ2775" s="475"/>
      <c r="BA2775" s="475"/>
      <c r="BF2775" s="1119"/>
      <c r="BG2775" s="1119"/>
      <c r="BH2775" s="1119"/>
    </row>
    <row r="2776" spans="1:60" ht="15.75" customHeight="1">
      <c r="A2776" s="1076"/>
      <c r="B2776" s="1080"/>
      <c r="C2776" s="424"/>
      <c r="G2776" s="312"/>
      <c r="H2776" s="467"/>
      <c r="I2776" s="467"/>
      <c r="J2776" s="469"/>
      <c r="K2776" s="312"/>
      <c r="L2776" s="312"/>
      <c r="M2776" s="312"/>
      <c r="N2776" s="467"/>
      <c r="O2776" s="467"/>
      <c r="P2776" s="467"/>
      <c r="AL2776" s="436"/>
      <c r="AM2776" s="436"/>
      <c r="AQ2776" s="436"/>
      <c r="AR2776" s="436"/>
      <c r="AS2776" s="436"/>
      <c r="AT2776" s="436"/>
      <c r="AU2776" s="436"/>
      <c r="AV2776" s="436"/>
      <c r="AW2776" s="436"/>
      <c r="AX2776" s="436"/>
      <c r="AY2776" s="436"/>
      <c r="AZ2776" s="475"/>
      <c r="BA2776" s="475"/>
      <c r="BF2776" s="1119"/>
      <c r="BG2776" s="1119"/>
      <c r="BH2776" s="1119"/>
    </row>
    <row r="2777" spans="1:60" ht="15.75" customHeight="1">
      <c r="A2777" s="1076"/>
      <c r="B2777" s="1080"/>
      <c r="C2777" s="424"/>
      <c r="G2777" s="312"/>
      <c r="H2777" s="467"/>
      <c r="I2777" s="467"/>
      <c r="J2777" s="469"/>
      <c r="K2777" s="312"/>
      <c r="L2777" s="312"/>
      <c r="M2777" s="312"/>
      <c r="N2777" s="467"/>
      <c r="O2777" s="467"/>
      <c r="P2777" s="467"/>
      <c r="AL2777" s="436"/>
      <c r="AM2777" s="436"/>
      <c r="AQ2777" s="436"/>
      <c r="AR2777" s="436"/>
      <c r="AS2777" s="436"/>
      <c r="AT2777" s="436"/>
      <c r="AU2777" s="436"/>
      <c r="AV2777" s="436"/>
      <c r="AW2777" s="436"/>
      <c r="AX2777" s="436"/>
      <c r="AY2777" s="436"/>
      <c r="AZ2777" s="475"/>
      <c r="BA2777" s="475"/>
      <c r="BF2777" s="1119"/>
      <c r="BG2777" s="1119"/>
      <c r="BH2777" s="1119"/>
    </row>
    <row r="2778" spans="1:60" ht="15.75" customHeight="1">
      <c r="A2778" s="1076"/>
      <c r="B2778" s="1080"/>
      <c r="C2778" s="424"/>
      <c r="G2778" s="312"/>
      <c r="H2778" s="467"/>
      <c r="I2778" s="467"/>
      <c r="J2778" s="469"/>
      <c r="K2778" s="312"/>
      <c r="L2778" s="312"/>
      <c r="M2778" s="312"/>
      <c r="N2778" s="467"/>
      <c r="O2778" s="467"/>
      <c r="P2778" s="467"/>
      <c r="AL2778" s="436"/>
      <c r="AM2778" s="436"/>
      <c r="AQ2778" s="436"/>
      <c r="AR2778" s="436"/>
      <c r="AS2778" s="436"/>
      <c r="AT2778" s="436"/>
      <c r="AU2778" s="436"/>
      <c r="AV2778" s="436"/>
      <c r="AW2778" s="436"/>
      <c r="AX2778" s="436"/>
      <c r="AY2778" s="436"/>
      <c r="AZ2778" s="475"/>
      <c r="BA2778" s="475"/>
      <c r="BF2778" s="1119"/>
      <c r="BG2778" s="1119"/>
      <c r="BH2778" s="1119"/>
    </row>
    <row r="2779" spans="1:60" ht="15.75" customHeight="1">
      <c r="A2779" s="1076"/>
      <c r="B2779" s="1080"/>
      <c r="C2779" s="424"/>
      <c r="G2779" s="312"/>
      <c r="H2779" s="467"/>
      <c r="I2779" s="467"/>
      <c r="J2779" s="469"/>
      <c r="K2779" s="312"/>
      <c r="L2779" s="312"/>
      <c r="M2779" s="312"/>
      <c r="N2779" s="467"/>
      <c r="O2779" s="467"/>
      <c r="P2779" s="467"/>
      <c r="AL2779" s="436"/>
      <c r="AM2779" s="436"/>
      <c r="AQ2779" s="436"/>
      <c r="AR2779" s="436"/>
      <c r="AS2779" s="436"/>
      <c r="AT2779" s="436"/>
      <c r="AU2779" s="436"/>
      <c r="AV2779" s="436"/>
      <c r="AW2779" s="436"/>
      <c r="AX2779" s="436"/>
      <c r="AY2779" s="436"/>
      <c r="AZ2779" s="475"/>
      <c r="BA2779" s="475"/>
      <c r="BF2779" s="1119"/>
      <c r="BG2779" s="1119"/>
      <c r="BH2779" s="1119"/>
    </row>
    <row r="2780" spans="1:60" ht="15.75" customHeight="1">
      <c r="A2780" s="1076"/>
      <c r="B2780" s="1080"/>
      <c r="C2780" s="424"/>
      <c r="G2780" s="312"/>
      <c r="H2780" s="467"/>
      <c r="I2780" s="467"/>
      <c r="J2780" s="469"/>
      <c r="K2780" s="312"/>
      <c r="L2780" s="312"/>
      <c r="M2780" s="312"/>
      <c r="N2780" s="467"/>
      <c r="O2780" s="467"/>
      <c r="P2780" s="467"/>
      <c r="AL2780" s="436"/>
      <c r="AM2780" s="436"/>
      <c r="AQ2780" s="436"/>
      <c r="AR2780" s="436"/>
      <c r="AS2780" s="436"/>
      <c r="AT2780" s="436"/>
      <c r="AU2780" s="436"/>
      <c r="AV2780" s="436"/>
      <c r="AW2780" s="436"/>
      <c r="AX2780" s="436"/>
      <c r="AY2780" s="436"/>
      <c r="AZ2780" s="475"/>
      <c r="BA2780" s="475"/>
      <c r="BF2780" s="1119"/>
      <c r="BG2780" s="1119"/>
      <c r="BH2780" s="1119"/>
    </row>
    <row r="2781" spans="1:60" ht="15.75" customHeight="1">
      <c r="A2781" s="1076"/>
      <c r="B2781" s="1080"/>
      <c r="C2781" s="424"/>
      <c r="G2781" s="312"/>
      <c r="H2781" s="467"/>
      <c r="I2781" s="467"/>
      <c r="J2781" s="469"/>
      <c r="K2781" s="312"/>
      <c r="L2781" s="312"/>
      <c r="M2781" s="312"/>
      <c r="N2781" s="467"/>
      <c r="O2781" s="467"/>
      <c r="P2781" s="467"/>
      <c r="AL2781" s="436"/>
      <c r="AM2781" s="436"/>
      <c r="AQ2781" s="436"/>
      <c r="AR2781" s="436"/>
      <c r="AS2781" s="436"/>
      <c r="AT2781" s="436"/>
      <c r="AU2781" s="436"/>
      <c r="AV2781" s="436"/>
      <c r="AW2781" s="436"/>
      <c r="AX2781" s="436"/>
      <c r="AY2781" s="436"/>
      <c r="AZ2781" s="475"/>
      <c r="BA2781" s="475"/>
      <c r="BF2781" s="1119"/>
      <c r="BG2781" s="1119"/>
      <c r="BH2781" s="1119"/>
    </row>
    <row r="2782" spans="1:60" ht="15.75" customHeight="1">
      <c r="A2782" s="1076"/>
      <c r="B2782" s="1080"/>
      <c r="C2782" s="424"/>
      <c r="G2782" s="312"/>
      <c r="H2782" s="467"/>
      <c r="I2782" s="467"/>
      <c r="J2782" s="469"/>
      <c r="K2782" s="312"/>
      <c r="L2782" s="312"/>
      <c r="M2782" s="312"/>
      <c r="N2782" s="467"/>
      <c r="O2782" s="467"/>
      <c r="P2782" s="467"/>
      <c r="AL2782" s="436"/>
      <c r="AM2782" s="436"/>
      <c r="AQ2782" s="436"/>
      <c r="AR2782" s="436"/>
      <c r="AS2782" s="436"/>
      <c r="AT2782" s="436"/>
      <c r="AU2782" s="436"/>
      <c r="AV2782" s="436"/>
      <c r="AW2782" s="436"/>
      <c r="AX2782" s="436"/>
      <c r="AY2782" s="436"/>
      <c r="AZ2782" s="475"/>
      <c r="BA2782" s="475"/>
      <c r="BF2782" s="1119"/>
      <c r="BG2782" s="1119"/>
      <c r="BH2782" s="1119"/>
    </row>
    <row r="2783" spans="1:60" ht="15.75" customHeight="1">
      <c r="A2783" s="1076"/>
      <c r="B2783" s="1080"/>
      <c r="C2783" s="424"/>
      <c r="G2783" s="312"/>
      <c r="H2783" s="467"/>
      <c r="I2783" s="467"/>
      <c r="J2783" s="469"/>
      <c r="K2783" s="312"/>
      <c r="L2783" s="312"/>
      <c r="M2783" s="312"/>
      <c r="N2783" s="467"/>
      <c r="O2783" s="467"/>
      <c r="P2783" s="467"/>
      <c r="AL2783" s="436"/>
      <c r="AM2783" s="436"/>
      <c r="AQ2783" s="436"/>
      <c r="AR2783" s="436"/>
      <c r="AS2783" s="436"/>
      <c r="AT2783" s="436"/>
      <c r="AU2783" s="436"/>
      <c r="AV2783" s="436"/>
      <c r="AW2783" s="436"/>
      <c r="AX2783" s="436"/>
      <c r="AY2783" s="436"/>
      <c r="AZ2783" s="475"/>
      <c r="BA2783" s="475"/>
      <c r="BF2783" s="1119"/>
      <c r="BG2783" s="1119"/>
      <c r="BH2783" s="1119"/>
    </row>
    <row r="2784" spans="1:60" ht="15.75" customHeight="1">
      <c r="A2784" s="1076"/>
      <c r="B2784" s="1080"/>
      <c r="C2784" s="424"/>
      <c r="G2784" s="312"/>
      <c r="H2784" s="467"/>
      <c r="I2784" s="467"/>
      <c r="J2784" s="469"/>
      <c r="K2784" s="312"/>
      <c r="L2784" s="312"/>
      <c r="M2784" s="312"/>
      <c r="N2784" s="467"/>
      <c r="O2784" s="467"/>
      <c r="P2784" s="467"/>
      <c r="AL2784" s="436"/>
      <c r="AM2784" s="436"/>
      <c r="AQ2784" s="436"/>
      <c r="AR2784" s="436"/>
      <c r="AS2784" s="436"/>
      <c r="AT2784" s="436"/>
      <c r="AU2784" s="436"/>
      <c r="AV2784" s="436"/>
      <c r="AW2784" s="436"/>
      <c r="AX2784" s="436"/>
      <c r="AY2784" s="436"/>
      <c r="AZ2784" s="475"/>
      <c r="BA2784" s="475"/>
      <c r="BF2784" s="1119"/>
      <c r="BG2784" s="1119"/>
      <c r="BH2784" s="1119"/>
    </row>
    <row r="2785" spans="1:60" ht="15.75" customHeight="1">
      <c r="A2785" s="1076"/>
      <c r="B2785" s="1080"/>
      <c r="C2785" s="424"/>
      <c r="G2785" s="312"/>
      <c r="H2785" s="467"/>
      <c r="I2785" s="467"/>
      <c r="J2785" s="469"/>
      <c r="K2785" s="312"/>
      <c r="L2785" s="312"/>
      <c r="M2785" s="312"/>
      <c r="N2785" s="467"/>
      <c r="O2785" s="467"/>
      <c r="P2785" s="467"/>
      <c r="AL2785" s="436"/>
      <c r="AM2785" s="436"/>
      <c r="AQ2785" s="436"/>
      <c r="AR2785" s="436"/>
      <c r="AS2785" s="436"/>
      <c r="AT2785" s="436"/>
      <c r="AU2785" s="436"/>
      <c r="AV2785" s="436"/>
      <c r="AW2785" s="436"/>
      <c r="AX2785" s="436"/>
      <c r="AY2785" s="436"/>
      <c r="AZ2785" s="475"/>
      <c r="BA2785" s="475"/>
      <c r="BF2785" s="1119"/>
      <c r="BG2785" s="1119"/>
      <c r="BH2785" s="1119"/>
    </row>
    <row r="2786" spans="1:60" ht="15.75" customHeight="1">
      <c r="A2786" s="1076"/>
      <c r="B2786" s="1080"/>
      <c r="C2786" s="424"/>
      <c r="G2786" s="312"/>
      <c r="H2786" s="467"/>
      <c r="I2786" s="467"/>
      <c r="J2786" s="469"/>
      <c r="K2786" s="312"/>
      <c r="L2786" s="312"/>
      <c r="M2786" s="312"/>
      <c r="N2786" s="467"/>
      <c r="O2786" s="467"/>
      <c r="P2786" s="467"/>
      <c r="AL2786" s="436"/>
      <c r="AM2786" s="436"/>
      <c r="AQ2786" s="436"/>
      <c r="AR2786" s="436"/>
      <c r="AS2786" s="436"/>
      <c r="AT2786" s="436"/>
      <c r="AU2786" s="436"/>
      <c r="AV2786" s="436"/>
      <c r="AW2786" s="436"/>
      <c r="AX2786" s="436"/>
      <c r="AY2786" s="436"/>
      <c r="AZ2786" s="475"/>
      <c r="BA2786" s="475"/>
      <c r="BF2786" s="1119"/>
      <c r="BG2786" s="1119"/>
      <c r="BH2786" s="1119"/>
    </row>
    <row r="2787" spans="1:60" ht="15.75" customHeight="1">
      <c r="A2787" s="1076"/>
      <c r="B2787" s="1080"/>
      <c r="C2787" s="424"/>
      <c r="G2787" s="312"/>
      <c r="H2787" s="467"/>
      <c r="I2787" s="467"/>
      <c r="J2787" s="469"/>
      <c r="K2787" s="312"/>
      <c r="L2787" s="312"/>
      <c r="M2787" s="312"/>
      <c r="N2787" s="467"/>
      <c r="O2787" s="467"/>
      <c r="P2787" s="467"/>
      <c r="AL2787" s="436"/>
      <c r="AM2787" s="436"/>
      <c r="AQ2787" s="436"/>
      <c r="AR2787" s="436"/>
      <c r="AS2787" s="436"/>
      <c r="AT2787" s="436"/>
      <c r="AU2787" s="436"/>
      <c r="AV2787" s="436"/>
      <c r="AW2787" s="436"/>
      <c r="AX2787" s="436"/>
      <c r="AY2787" s="436"/>
      <c r="AZ2787" s="475"/>
      <c r="BA2787" s="475"/>
      <c r="BF2787" s="1119"/>
      <c r="BG2787" s="1119"/>
      <c r="BH2787" s="1119"/>
    </row>
    <row r="2788" spans="1:60" ht="15.75" customHeight="1">
      <c r="A2788" s="1076"/>
      <c r="B2788" s="1080"/>
      <c r="C2788" s="424"/>
      <c r="G2788" s="312"/>
      <c r="H2788" s="467"/>
      <c r="I2788" s="467"/>
      <c r="J2788" s="469"/>
      <c r="K2788" s="312"/>
      <c r="L2788" s="312"/>
      <c r="M2788" s="312"/>
      <c r="N2788" s="467"/>
      <c r="O2788" s="467"/>
      <c r="P2788" s="467"/>
      <c r="AL2788" s="436"/>
      <c r="AM2788" s="436"/>
      <c r="AQ2788" s="436"/>
      <c r="AR2788" s="436"/>
      <c r="AS2788" s="436"/>
      <c r="AT2788" s="436"/>
      <c r="AU2788" s="436"/>
      <c r="AV2788" s="436"/>
      <c r="AW2788" s="436"/>
      <c r="AX2788" s="436"/>
      <c r="AY2788" s="436"/>
      <c r="AZ2788" s="475"/>
      <c r="BA2788" s="475"/>
      <c r="BF2788" s="1119"/>
      <c r="BG2788" s="1119"/>
      <c r="BH2788" s="1119"/>
    </row>
    <row r="2789" spans="1:60" ht="15.75" customHeight="1">
      <c r="A2789" s="1076"/>
      <c r="B2789" s="1080"/>
      <c r="C2789" s="424"/>
      <c r="G2789" s="312"/>
      <c r="H2789" s="467"/>
      <c r="I2789" s="467"/>
      <c r="J2789" s="469"/>
      <c r="K2789" s="312"/>
      <c r="L2789" s="312"/>
      <c r="M2789" s="312"/>
      <c r="N2789" s="467"/>
      <c r="O2789" s="467"/>
      <c r="P2789" s="467"/>
      <c r="AL2789" s="436"/>
      <c r="AM2789" s="436"/>
      <c r="AQ2789" s="436"/>
      <c r="AR2789" s="436"/>
      <c r="AS2789" s="436"/>
      <c r="AT2789" s="436"/>
      <c r="AU2789" s="436"/>
      <c r="AV2789" s="436"/>
      <c r="AW2789" s="436"/>
      <c r="AX2789" s="436"/>
      <c r="AY2789" s="436"/>
      <c r="AZ2789" s="475"/>
      <c r="BA2789" s="475"/>
      <c r="BF2789" s="1119"/>
      <c r="BG2789" s="1119"/>
      <c r="BH2789" s="1119"/>
    </row>
    <row r="2790" spans="1:60" ht="15.75" customHeight="1">
      <c r="A2790" s="1076"/>
      <c r="B2790" s="1080"/>
      <c r="C2790" s="424"/>
      <c r="G2790" s="312"/>
      <c r="H2790" s="467"/>
      <c r="I2790" s="467"/>
      <c r="J2790" s="469"/>
      <c r="K2790" s="312"/>
      <c r="L2790" s="312"/>
      <c r="M2790" s="312"/>
      <c r="N2790" s="467"/>
      <c r="O2790" s="467"/>
      <c r="P2790" s="467"/>
      <c r="AL2790" s="436"/>
      <c r="AM2790" s="436"/>
      <c r="AQ2790" s="436"/>
      <c r="AR2790" s="436"/>
      <c r="AS2790" s="436"/>
      <c r="AT2790" s="436"/>
      <c r="AU2790" s="436"/>
      <c r="AV2790" s="436"/>
      <c r="AW2790" s="436"/>
      <c r="AX2790" s="436"/>
      <c r="AY2790" s="436"/>
      <c r="AZ2790" s="475"/>
      <c r="BA2790" s="475"/>
      <c r="BF2790" s="1119"/>
      <c r="BG2790" s="1119"/>
      <c r="BH2790" s="1119"/>
    </row>
    <row r="2791" spans="1:60" ht="15.75" customHeight="1">
      <c r="A2791" s="1076"/>
      <c r="B2791" s="1080"/>
      <c r="C2791" s="424"/>
      <c r="G2791" s="312"/>
      <c r="H2791" s="467"/>
      <c r="I2791" s="467"/>
      <c r="J2791" s="469"/>
      <c r="K2791" s="312"/>
      <c r="L2791" s="312"/>
      <c r="M2791" s="312"/>
      <c r="N2791" s="467"/>
      <c r="O2791" s="467"/>
      <c r="P2791" s="467"/>
      <c r="AL2791" s="436"/>
      <c r="AM2791" s="436"/>
      <c r="AQ2791" s="436"/>
      <c r="AR2791" s="436"/>
      <c r="AS2791" s="436"/>
      <c r="AT2791" s="436"/>
      <c r="AU2791" s="436"/>
      <c r="AV2791" s="436"/>
      <c r="AW2791" s="436"/>
      <c r="AX2791" s="436"/>
      <c r="AY2791" s="436"/>
      <c r="AZ2791" s="475"/>
      <c r="BA2791" s="475"/>
      <c r="BF2791" s="1119"/>
      <c r="BG2791" s="1119"/>
      <c r="BH2791" s="1119"/>
    </row>
    <row r="2792" spans="1:60" ht="15.75" customHeight="1">
      <c r="A2792" s="1076"/>
      <c r="B2792" s="1080"/>
      <c r="C2792" s="424"/>
      <c r="G2792" s="312"/>
      <c r="H2792" s="467"/>
      <c r="I2792" s="467"/>
      <c r="J2792" s="469"/>
      <c r="K2792" s="312"/>
      <c r="L2792" s="312"/>
      <c r="M2792" s="312"/>
      <c r="N2792" s="467"/>
      <c r="O2792" s="467"/>
      <c r="P2792" s="467"/>
      <c r="AL2792" s="436"/>
      <c r="AM2792" s="436"/>
      <c r="AQ2792" s="436"/>
      <c r="AR2792" s="436"/>
      <c r="AS2792" s="436"/>
      <c r="AT2792" s="436"/>
      <c r="AU2792" s="436"/>
      <c r="AV2792" s="436"/>
      <c r="AW2792" s="436"/>
      <c r="AX2792" s="436"/>
      <c r="AY2792" s="436"/>
      <c r="AZ2792" s="475"/>
      <c r="BA2792" s="475"/>
      <c r="BF2792" s="1119"/>
      <c r="BG2792" s="1119"/>
      <c r="BH2792" s="1119"/>
    </row>
    <row r="2793" spans="1:60" ht="15.75" customHeight="1">
      <c r="A2793" s="1076"/>
      <c r="B2793" s="1080"/>
      <c r="C2793" s="424"/>
      <c r="G2793" s="312"/>
      <c r="H2793" s="467"/>
      <c r="I2793" s="467"/>
      <c r="J2793" s="469"/>
      <c r="K2793" s="312"/>
      <c r="L2793" s="312"/>
      <c r="M2793" s="312"/>
      <c r="N2793" s="467"/>
      <c r="O2793" s="467"/>
      <c r="P2793" s="467"/>
      <c r="AL2793" s="436"/>
      <c r="AM2793" s="436"/>
      <c r="AQ2793" s="436"/>
      <c r="AR2793" s="436"/>
      <c r="AS2793" s="436"/>
      <c r="AT2793" s="436"/>
      <c r="AU2793" s="436"/>
      <c r="AV2793" s="436"/>
      <c r="AW2793" s="436"/>
      <c r="AX2793" s="436"/>
      <c r="AY2793" s="436"/>
      <c r="AZ2793" s="475"/>
      <c r="BA2793" s="475"/>
      <c r="BF2793" s="1119"/>
      <c r="BG2793" s="1119"/>
      <c r="BH2793" s="1119"/>
    </row>
    <row r="2794" spans="1:60" ht="15.75" customHeight="1">
      <c r="A2794" s="1076"/>
      <c r="B2794" s="1080"/>
      <c r="C2794" s="424"/>
      <c r="G2794" s="312"/>
      <c r="H2794" s="467"/>
      <c r="I2794" s="467"/>
      <c r="J2794" s="469"/>
      <c r="K2794" s="312"/>
      <c r="L2794" s="312"/>
      <c r="M2794" s="312"/>
      <c r="N2794" s="467"/>
      <c r="O2794" s="467"/>
      <c r="P2794" s="467"/>
      <c r="AL2794" s="436"/>
      <c r="AM2794" s="436"/>
      <c r="AQ2794" s="436"/>
      <c r="AR2794" s="436"/>
      <c r="AS2794" s="436"/>
      <c r="AT2794" s="436"/>
      <c r="AU2794" s="436"/>
      <c r="AV2794" s="436"/>
      <c r="AW2794" s="436"/>
      <c r="AX2794" s="436"/>
      <c r="AY2794" s="436"/>
      <c r="AZ2794" s="475"/>
      <c r="BA2794" s="475"/>
      <c r="BF2794" s="1119"/>
      <c r="BG2794" s="1119"/>
      <c r="BH2794" s="1119"/>
    </row>
    <row r="2795" spans="1:60" ht="15.75" customHeight="1">
      <c r="A2795" s="1076"/>
      <c r="B2795" s="1080"/>
      <c r="C2795" s="424"/>
      <c r="G2795" s="312"/>
      <c r="H2795" s="467"/>
      <c r="I2795" s="467"/>
      <c r="J2795" s="469"/>
      <c r="K2795" s="312"/>
      <c r="L2795" s="312"/>
      <c r="M2795" s="312"/>
      <c r="N2795" s="467"/>
      <c r="O2795" s="467"/>
      <c r="P2795" s="467"/>
      <c r="AL2795" s="436"/>
      <c r="AM2795" s="436"/>
      <c r="AQ2795" s="436"/>
      <c r="AR2795" s="436"/>
      <c r="AS2795" s="436"/>
      <c r="AT2795" s="436"/>
      <c r="AU2795" s="436"/>
      <c r="AV2795" s="436"/>
      <c r="AW2795" s="436"/>
      <c r="AX2795" s="436"/>
      <c r="AY2795" s="436"/>
      <c r="AZ2795" s="475"/>
      <c r="BA2795" s="475"/>
      <c r="BF2795" s="1119"/>
      <c r="BG2795" s="1119"/>
      <c r="BH2795" s="1119"/>
    </row>
    <row r="2796" spans="1:60" ht="15.75" customHeight="1">
      <c r="A2796" s="1076"/>
      <c r="B2796" s="1080"/>
      <c r="C2796" s="424"/>
      <c r="G2796" s="312"/>
      <c r="H2796" s="467"/>
      <c r="I2796" s="467"/>
      <c r="J2796" s="469"/>
      <c r="K2796" s="312"/>
      <c r="L2796" s="312"/>
      <c r="M2796" s="312"/>
      <c r="N2796" s="467"/>
      <c r="O2796" s="467"/>
      <c r="P2796" s="467"/>
      <c r="AL2796" s="436"/>
      <c r="AM2796" s="436"/>
      <c r="AQ2796" s="436"/>
      <c r="AR2796" s="436"/>
      <c r="AS2796" s="436"/>
      <c r="AT2796" s="436"/>
      <c r="AU2796" s="436"/>
      <c r="AV2796" s="436"/>
      <c r="AW2796" s="436"/>
      <c r="AX2796" s="436"/>
      <c r="AY2796" s="436"/>
      <c r="AZ2796" s="475"/>
      <c r="BA2796" s="475"/>
      <c r="BF2796" s="1119"/>
      <c r="BG2796" s="1119"/>
      <c r="BH2796" s="1119"/>
    </row>
    <row r="2797" spans="1:60" ht="15.75" customHeight="1">
      <c r="A2797" s="1076"/>
      <c r="B2797" s="1080"/>
      <c r="C2797" s="424"/>
      <c r="G2797" s="312"/>
      <c r="H2797" s="467"/>
      <c r="I2797" s="467"/>
      <c r="J2797" s="469"/>
      <c r="K2797" s="312"/>
      <c r="L2797" s="312"/>
      <c r="M2797" s="312"/>
      <c r="N2797" s="467"/>
      <c r="O2797" s="467"/>
      <c r="P2797" s="467"/>
      <c r="AL2797" s="436"/>
      <c r="AM2797" s="436"/>
      <c r="AQ2797" s="436"/>
      <c r="AR2797" s="436"/>
      <c r="AS2797" s="436"/>
      <c r="AT2797" s="436"/>
      <c r="AU2797" s="436"/>
      <c r="AV2797" s="436"/>
      <c r="AW2797" s="436"/>
      <c r="AX2797" s="436"/>
      <c r="AY2797" s="436"/>
      <c r="AZ2797" s="475"/>
      <c r="BA2797" s="475"/>
      <c r="BF2797" s="1119"/>
      <c r="BG2797" s="1119"/>
      <c r="BH2797" s="1119"/>
    </row>
    <row r="2798" spans="1:60" ht="15.75" customHeight="1">
      <c r="A2798" s="1076"/>
      <c r="B2798" s="1080"/>
      <c r="C2798" s="424"/>
      <c r="G2798" s="312"/>
      <c r="H2798" s="467"/>
      <c r="I2798" s="467"/>
      <c r="J2798" s="469"/>
      <c r="K2798" s="312"/>
      <c r="L2798" s="312"/>
      <c r="M2798" s="312"/>
      <c r="N2798" s="467"/>
      <c r="O2798" s="467"/>
      <c r="P2798" s="467"/>
      <c r="AL2798" s="436"/>
      <c r="AM2798" s="436"/>
      <c r="AQ2798" s="436"/>
      <c r="AR2798" s="436"/>
      <c r="AS2798" s="436"/>
      <c r="AT2798" s="436"/>
      <c r="AU2798" s="436"/>
      <c r="AV2798" s="436"/>
      <c r="AW2798" s="436"/>
      <c r="AX2798" s="436"/>
      <c r="AY2798" s="436"/>
      <c r="AZ2798" s="475"/>
      <c r="BA2798" s="475"/>
      <c r="BF2798" s="1119"/>
      <c r="BG2798" s="1119"/>
      <c r="BH2798" s="1119"/>
    </row>
    <row r="2799" spans="1:60" ht="15.75" customHeight="1">
      <c r="A2799" s="1076"/>
      <c r="B2799" s="1080"/>
      <c r="C2799" s="424"/>
      <c r="G2799" s="312"/>
      <c r="H2799" s="467"/>
      <c r="I2799" s="467"/>
      <c r="J2799" s="469"/>
      <c r="K2799" s="312"/>
      <c r="L2799" s="312"/>
      <c r="M2799" s="312"/>
      <c r="N2799" s="467"/>
      <c r="O2799" s="467"/>
      <c r="P2799" s="467"/>
      <c r="AL2799" s="436"/>
      <c r="AM2799" s="436"/>
      <c r="AQ2799" s="436"/>
      <c r="AR2799" s="436"/>
      <c r="AS2799" s="436"/>
      <c r="AT2799" s="436"/>
      <c r="AU2799" s="436"/>
      <c r="AV2799" s="436"/>
      <c r="AW2799" s="436"/>
      <c r="AX2799" s="436"/>
      <c r="AY2799" s="436"/>
      <c r="AZ2799" s="475"/>
      <c r="BA2799" s="475"/>
      <c r="BF2799" s="1119"/>
      <c r="BG2799" s="1119"/>
      <c r="BH2799" s="1119"/>
    </row>
    <row r="2800" spans="1:60" ht="15.75" customHeight="1">
      <c r="A2800" s="1076"/>
      <c r="B2800" s="1080"/>
      <c r="C2800" s="424"/>
      <c r="G2800" s="312"/>
      <c r="H2800" s="467"/>
      <c r="I2800" s="467"/>
      <c r="J2800" s="469"/>
      <c r="K2800" s="312"/>
      <c r="L2800" s="312"/>
      <c r="M2800" s="312"/>
      <c r="N2800" s="467"/>
      <c r="O2800" s="467"/>
      <c r="P2800" s="467"/>
      <c r="AL2800" s="436"/>
      <c r="AM2800" s="436"/>
      <c r="AQ2800" s="436"/>
      <c r="AR2800" s="436"/>
      <c r="AS2800" s="436"/>
      <c r="AT2800" s="436"/>
      <c r="AU2800" s="436"/>
      <c r="AV2800" s="436"/>
      <c r="AW2800" s="436"/>
      <c r="AX2800" s="436"/>
      <c r="AY2800" s="436"/>
      <c r="AZ2800" s="475"/>
      <c r="BA2800" s="475"/>
      <c r="BF2800" s="1119"/>
      <c r="BG2800" s="1119"/>
      <c r="BH2800" s="1119"/>
    </row>
    <row r="2801" spans="1:60" ht="15.75" customHeight="1">
      <c r="A2801" s="1076"/>
      <c r="B2801" s="1080"/>
      <c r="C2801" s="424"/>
      <c r="G2801" s="312"/>
      <c r="H2801" s="467"/>
      <c r="I2801" s="467"/>
      <c r="J2801" s="469"/>
      <c r="K2801" s="312"/>
      <c r="L2801" s="312"/>
      <c r="M2801" s="312"/>
      <c r="N2801" s="467"/>
      <c r="O2801" s="467"/>
      <c r="P2801" s="467"/>
      <c r="AL2801" s="436"/>
      <c r="AM2801" s="436"/>
      <c r="AQ2801" s="436"/>
      <c r="AR2801" s="436"/>
      <c r="AS2801" s="436"/>
      <c r="AT2801" s="436"/>
      <c r="AU2801" s="436"/>
      <c r="AV2801" s="436"/>
      <c r="AW2801" s="436"/>
      <c r="AX2801" s="436"/>
      <c r="AY2801" s="436"/>
      <c r="AZ2801" s="475"/>
      <c r="BA2801" s="475"/>
      <c r="BF2801" s="1119"/>
      <c r="BG2801" s="1119"/>
      <c r="BH2801" s="1119"/>
    </row>
    <row r="2802" spans="1:60" ht="15.75" customHeight="1">
      <c r="A2802" s="1076"/>
      <c r="B2802" s="1080"/>
      <c r="C2802" s="424"/>
      <c r="G2802" s="312"/>
      <c r="H2802" s="467"/>
      <c r="I2802" s="467"/>
      <c r="J2802" s="469"/>
      <c r="K2802" s="312"/>
      <c r="L2802" s="312"/>
      <c r="M2802" s="312"/>
      <c r="N2802" s="467"/>
      <c r="O2802" s="467"/>
      <c r="P2802" s="467"/>
      <c r="AL2802" s="436"/>
      <c r="AM2802" s="436"/>
      <c r="AQ2802" s="436"/>
      <c r="AR2802" s="436"/>
      <c r="AS2802" s="436"/>
      <c r="AT2802" s="436"/>
      <c r="AU2802" s="436"/>
      <c r="AV2802" s="436"/>
      <c r="AW2802" s="436"/>
      <c r="AX2802" s="436"/>
      <c r="AY2802" s="436"/>
      <c r="AZ2802" s="475"/>
      <c r="BA2802" s="475"/>
      <c r="BF2802" s="1119"/>
      <c r="BG2802" s="1119"/>
      <c r="BH2802" s="1119"/>
    </row>
    <row r="2803" spans="1:60" ht="15.75" customHeight="1">
      <c r="A2803" s="1076"/>
      <c r="B2803" s="1080"/>
      <c r="C2803" s="424"/>
      <c r="G2803" s="312"/>
      <c r="H2803" s="467"/>
      <c r="I2803" s="467"/>
      <c r="J2803" s="469"/>
      <c r="K2803" s="312"/>
      <c r="L2803" s="312"/>
      <c r="M2803" s="312"/>
      <c r="N2803" s="467"/>
      <c r="O2803" s="467"/>
      <c r="P2803" s="467"/>
      <c r="AL2803" s="436"/>
      <c r="AM2803" s="436"/>
      <c r="AQ2803" s="436"/>
      <c r="AR2803" s="436"/>
      <c r="AS2803" s="436"/>
      <c r="AT2803" s="436"/>
      <c r="AU2803" s="436"/>
      <c r="AV2803" s="436"/>
      <c r="AW2803" s="436"/>
      <c r="AX2803" s="436"/>
      <c r="AY2803" s="436"/>
      <c r="AZ2803" s="475"/>
      <c r="BA2803" s="475"/>
      <c r="BF2803" s="1119"/>
      <c r="BG2803" s="1119"/>
      <c r="BH2803" s="1119"/>
    </row>
    <row r="2804" spans="1:60" ht="15.75" customHeight="1">
      <c r="A2804" s="1076"/>
      <c r="B2804" s="1080"/>
      <c r="C2804" s="424"/>
      <c r="G2804" s="312"/>
      <c r="H2804" s="467"/>
      <c r="I2804" s="467"/>
      <c r="J2804" s="469"/>
      <c r="K2804" s="312"/>
      <c r="L2804" s="312"/>
      <c r="M2804" s="312"/>
      <c r="N2804" s="467"/>
      <c r="O2804" s="467"/>
      <c r="P2804" s="467"/>
      <c r="AL2804" s="436"/>
      <c r="AM2804" s="436"/>
      <c r="AQ2804" s="436"/>
      <c r="AR2804" s="436"/>
      <c r="AS2804" s="436"/>
      <c r="AT2804" s="436"/>
      <c r="AU2804" s="436"/>
      <c r="AV2804" s="436"/>
      <c r="AW2804" s="436"/>
      <c r="AX2804" s="436"/>
      <c r="AY2804" s="436"/>
      <c r="AZ2804" s="475"/>
      <c r="BA2804" s="475"/>
      <c r="BF2804" s="1119"/>
      <c r="BG2804" s="1119"/>
      <c r="BH2804" s="1119"/>
    </row>
    <row r="2805" spans="1:60" ht="15.75" customHeight="1">
      <c r="A2805" s="1076"/>
      <c r="B2805" s="1080"/>
      <c r="C2805" s="424"/>
      <c r="G2805" s="312"/>
      <c r="H2805" s="467"/>
      <c r="I2805" s="467"/>
      <c r="J2805" s="469"/>
      <c r="K2805" s="312"/>
      <c r="L2805" s="312"/>
      <c r="M2805" s="312"/>
      <c r="N2805" s="467"/>
      <c r="O2805" s="467"/>
      <c r="P2805" s="467"/>
      <c r="AL2805" s="436"/>
      <c r="AM2805" s="436"/>
      <c r="AQ2805" s="436"/>
      <c r="AR2805" s="436"/>
      <c r="AS2805" s="436"/>
      <c r="AT2805" s="436"/>
      <c r="AU2805" s="436"/>
      <c r="AV2805" s="436"/>
      <c r="AW2805" s="436"/>
      <c r="AX2805" s="436"/>
      <c r="AY2805" s="436"/>
      <c r="AZ2805" s="475"/>
      <c r="BA2805" s="475"/>
      <c r="BF2805" s="1119"/>
      <c r="BG2805" s="1119"/>
      <c r="BH2805" s="1119"/>
    </row>
    <row r="2806" spans="1:60" ht="15.75" customHeight="1">
      <c r="A2806" s="1076"/>
      <c r="B2806" s="1080"/>
      <c r="C2806" s="424"/>
      <c r="G2806" s="312"/>
      <c r="H2806" s="467"/>
      <c r="I2806" s="467"/>
      <c r="J2806" s="469"/>
      <c r="K2806" s="312"/>
      <c r="L2806" s="312"/>
      <c r="M2806" s="312"/>
      <c r="N2806" s="467"/>
      <c r="O2806" s="467"/>
      <c r="P2806" s="467"/>
      <c r="AL2806" s="436"/>
      <c r="AM2806" s="436"/>
      <c r="AQ2806" s="436"/>
      <c r="AR2806" s="436"/>
      <c r="AS2806" s="436"/>
      <c r="AT2806" s="436"/>
      <c r="AU2806" s="436"/>
      <c r="AV2806" s="436"/>
      <c r="AW2806" s="436"/>
      <c r="AX2806" s="436"/>
      <c r="AY2806" s="436"/>
      <c r="AZ2806" s="475"/>
      <c r="BA2806" s="475"/>
      <c r="BF2806" s="1119"/>
      <c r="BG2806" s="1119"/>
      <c r="BH2806" s="1119"/>
    </row>
    <row r="2807" spans="1:60" ht="15.75" customHeight="1">
      <c r="A2807" s="1076"/>
      <c r="B2807" s="1080"/>
      <c r="C2807" s="424"/>
      <c r="G2807" s="312"/>
      <c r="H2807" s="467"/>
      <c r="I2807" s="467"/>
      <c r="J2807" s="469"/>
      <c r="K2807" s="312"/>
      <c r="L2807" s="312"/>
      <c r="M2807" s="312"/>
      <c r="N2807" s="467"/>
      <c r="O2807" s="467"/>
      <c r="P2807" s="467"/>
      <c r="AL2807" s="436"/>
      <c r="AM2807" s="436"/>
      <c r="AQ2807" s="436"/>
      <c r="AR2807" s="436"/>
      <c r="AS2807" s="436"/>
      <c r="AT2807" s="436"/>
      <c r="AU2807" s="436"/>
      <c r="AV2807" s="436"/>
      <c r="AW2807" s="436"/>
      <c r="AX2807" s="436"/>
      <c r="AY2807" s="436"/>
      <c r="AZ2807" s="475"/>
      <c r="BA2807" s="475"/>
      <c r="BF2807" s="1119"/>
      <c r="BG2807" s="1119"/>
      <c r="BH2807" s="1119"/>
    </row>
    <row r="2808" spans="1:60" ht="15.75" customHeight="1">
      <c r="A2808" s="1076"/>
      <c r="B2808" s="1080"/>
      <c r="C2808" s="424"/>
      <c r="G2808" s="312"/>
      <c r="H2808" s="467"/>
      <c r="I2808" s="467"/>
      <c r="J2808" s="469"/>
      <c r="K2808" s="312"/>
      <c r="L2808" s="312"/>
      <c r="M2808" s="312"/>
      <c r="N2808" s="467"/>
      <c r="O2808" s="467"/>
      <c r="P2808" s="467"/>
      <c r="AL2808" s="436"/>
      <c r="AM2808" s="436"/>
      <c r="AQ2808" s="436"/>
      <c r="AR2808" s="436"/>
      <c r="AS2808" s="436"/>
      <c r="AT2808" s="436"/>
      <c r="AU2808" s="436"/>
      <c r="AV2808" s="436"/>
      <c r="AW2808" s="436"/>
      <c r="AX2808" s="436"/>
      <c r="AY2808" s="436"/>
      <c r="AZ2808" s="475"/>
      <c r="BA2808" s="475"/>
      <c r="BF2808" s="1119"/>
      <c r="BG2808" s="1119"/>
      <c r="BH2808" s="1119"/>
    </row>
    <row r="2809" spans="1:60" ht="15.75" customHeight="1">
      <c r="A2809" s="1076"/>
      <c r="B2809" s="1080"/>
      <c r="C2809" s="424"/>
      <c r="G2809" s="312"/>
      <c r="H2809" s="467"/>
      <c r="I2809" s="467"/>
      <c r="J2809" s="469"/>
      <c r="K2809" s="312"/>
      <c r="L2809" s="312"/>
      <c r="M2809" s="312"/>
      <c r="N2809" s="467"/>
      <c r="O2809" s="467"/>
      <c r="P2809" s="467"/>
      <c r="AL2809" s="436"/>
      <c r="AM2809" s="436"/>
      <c r="AQ2809" s="436"/>
      <c r="AR2809" s="436"/>
      <c r="AS2809" s="436"/>
      <c r="AT2809" s="436"/>
      <c r="AU2809" s="436"/>
      <c r="AV2809" s="436"/>
      <c r="AW2809" s="436"/>
      <c r="AX2809" s="436"/>
      <c r="AY2809" s="436"/>
      <c r="AZ2809" s="475"/>
      <c r="BA2809" s="475"/>
      <c r="BF2809" s="1119"/>
      <c r="BG2809" s="1119"/>
      <c r="BH2809" s="1119"/>
    </row>
    <row r="2810" spans="1:60" ht="15.75" customHeight="1">
      <c r="A2810" s="1076"/>
      <c r="B2810" s="1080"/>
      <c r="C2810" s="424"/>
      <c r="G2810" s="312"/>
      <c r="H2810" s="467"/>
      <c r="I2810" s="467"/>
      <c r="J2810" s="469"/>
      <c r="K2810" s="312"/>
      <c r="L2810" s="312"/>
      <c r="M2810" s="312"/>
      <c r="N2810" s="467"/>
      <c r="O2810" s="467"/>
      <c r="P2810" s="467"/>
      <c r="AL2810" s="436"/>
      <c r="AM2810" s="436"/>
      <c r="AQ2810" s="436"/>
      <c r="AR2810" s="436"/>
      <c r="AS2810" s="436"/>
      <c r="AT2810" s="436"/>
      <c r="AU2810" s="436"/>
      <c r="AV2810" s="436"/>
      <c r="AW2810" s="436"/>
      <c r="AX2810" s="436"/>
      <c r="AY2810" s="436"/>
      <c r="AZ2810" s="475"/>
      <c r="BA2810" s="475"/>
      <c r="BF2810" s="1119"/>
      <c r="BG2810" s="1119"/>
      <c r="BH2810" s="1119"/>
    </row>
    <row r="2811" spans="1:60" ht="15.75" customHeight="1">
      <c r="A2811" s="1076"/>
      <c r="B2811" s="1080"/>
      <c r="C2811" s="424"/>
      <c r="G2811" s="312"/>
      <c r="H2811" s="467"/>
      <c r="I2811" s="467"/>
      <c r="J2811" s="469"/>
      <c r="K2811" s="312"/>
      <c r="L2811" s="312"/>
      <c r="M2811" s="312"/>
      <c r="N2811" s="467"/>
      <c r="O2811" s="467"/>
      <c r="P2811" s="467"/>
      <c r="AL2811" s="436"/>
      <c r="AM2811" s="436"/>
      <c r="AQ2811" s="436"/>
      <c r="AR2811" s="436"/>
      <c r="AS2811" s="436"/>
      <c r="AT2811" s="436"/>
      <c r="AU2811" s="436"/>
      <c r="AV2811" s="436"/>
      <c r="AW2811" s="436"/>
      <c r="AX2811" s="436"/>
      <c r="AY2811" s="436"/>
      <c r="AZ2811" s="475"/>
      <c r="BA2811" s="475"/>
      <c r="BF2811" s="1119"/>
      <c r="BG2811" s="1119"/>
      <c r="BH2811" s="1119"/>
    </row>
    <row r="2812" spans="1:60" ht="15.75" customHeight="1">
      <c r="A2812" s="1076"/>
      <c r="B2812" s="1080"/>
      <c r="C2812" s="424"/>
      <c r="G2812" s="312"/>
      <c r="H2812" s="467"/>
      <c r="I2812" s="467"/>
      <c r="J2812" s="469"/>
      <c r="K2812" s="312"/>
      <c r="L2812" s="312"/>
      <c r="M2812" s="312"/>
      <c r="N2812" s="467"/>
      <c r="O2812" s="467"/>
      <c r="P2812" s="467"/>
      <c r="AL2812" s="436"/>
      <c r="AM2812" s="436"/>
      <c r="AQ2812" s="436"/>
      <c r="AR2812" s="436"/>
      <c r="AS2812" s="436"/>
      <c r="AT2812" s="436"/>
      <c r="AU2812" s="436"/>
      <c r="AV2812" s="436"/>
      <c r="AW2812" s="436"/>
      <c r="AX2812" s="436"/>
      <c r="AY2812" s="436"/>
      <c r="AZ2812" s="475"/>
      <c r="BA2812" s="475"/>
      <c r="BF2812" s="1119"/>
      <c r="BG2812" s="1119"/>
      <c r="BH2812" s="1119"/>
    </row>
    <row r="2813" spans="1:60" ht="15.75" customHeight="1">
      <c r="A2813" s="1076"/>
      <c r="B2813" s="1080"/>
      <c r="C2813" s="424"/>
      <c r="G2813" s="312"/>
      <c r="H2813" s="467"/>
      <c r="I2813" s="467"/>
      <c r="J2813" s="469"/>
      <c r="K2813" s="312"/>
      <c r="L2813" s="312"/>
      <c r="M2813" s="312"/>
      <c r="N2813" s="467"/>
      <c r="O2813" s="467"/>
      <c r="P2813" s="467"/>
      <c r="AL2813" s="436"/>
      <c r="AM2813" s="436"/>
      <c r="AQ2813" s="436"/>
      <c r="AR2813" s="436"/>
      <c r="AS2813" s="436"/>
      <c r="AT2813" s="436"/>
      <c r="AU2813" s="436"/>
      <c r="AV2813" s="436"/>
      <c r="AW2813" s="436"/>
      <c r="AX2813" s="436"/>
      <c r="AY2813" s="436"/>
      <c r="AZ2813" s="475"/>
      <c r="BA2813" s="475"/>
      <c r="BF2813" s="1119"/>
      <c r="BG2813" s="1119"/>
      <c r="BH2813" s="1119"/>
    </row>
    <row r="2814" spans="1:60" ht="15.75" customHeight="1">
      <c r="A2814" s="1076"/>
      <c r="B2814" s="1080"/>
      <c r="C2814" s="424"/>
      <c r="G2814" s="312"/>
      <c r="H2814" s="467"/>
      <c r="I2814" s="467"/>
      <c r="J2814" s="469"/>
      <c r="K2814" s="312"/>
      <c r="L2814" s="312"/>
      <c r="M2814" s="312"/>
      <c r="N2814" s="467"/>
      <c r="O2814" s="467"/>
      <c r="P2814" s="467"/>
      <c r="AL2814" s="436"/>
      <c r="AM2814" s="436"/>
      <c r="AQ2814" s="436"/>
      <c r="AR2814" s="436"/>
      <c r="AS2814" s="436"/>
      <c r="AT2814" s="436"/>
      <c r="AU2814" s="436"/>
      <c r="AV2814" s="436"/>
      <c r="AW2814" s="436"/>
      <c r="AX2814" s="436"/>
      <c r="AY2814" s="436"/>
      <c r="AZ2814" s="475"/>
      <c r="BA2814" s="475"/>
      <c r="BF2814" s="1119"/>
      <c r="BG2814" s="1119"/>
      <c r="BH2814" s="1119"/>
    </row>
    <row r="2815" spans="1:60" ht="15.75" customHeight="1">
      <c r="A2815" s="1076"/>
      <c r="B2815" s="1080"/>
      <c r="C2815" s="424"/>
      <c r="G2815" s="312"/>
      <c r="H2815" s="467"/>
      <c r="I2815" s="467"/>
      <c r="J2815" s="469"/>
      <c r="K2815" s="312"/>
      <c r="L2815" s="312"/>
      <c r="M2815" s="312"/>
      <c r="N2815" s="467"/>
      <c r="O2815" s="467"/>
      <c r="P2815" s="467"/>
      <c r="AL2815" s="436"/>
      <c r="AM2815" s="436"/>
      <c r="AQ2815" s="436"/>
      <c r="AR2815" s="436"/>
      <c r="AS2815" s="436"/>
      <c r="AT2815" s="436"/>
      <c r="AU2815" s="436"/>
      <c r="AV2815" s="436"/>
      <c r="AW2815" s="436"/>
      <c r="AX2815" s="436"/>
      <c r="AY2815" s="436"/>
      <c r="AZ2815" s="475"/>
      <c r="BA2815" s="475"/>
      <c r="BF2815" s="1119"/>
      <c r="BG2815" s="1119"/>
      <c r="BH2815" s="1119"/>
    </row>
    <row r="2816" spans="1:60" ht="15.75" customHeight="1">
      <c r="A2816" s="1076"/>
      <c r="B2816" s="1080"/>
      <c r="C2816" s="424"/>
      <c r="G2816" s="312"/>
      <c r="H2816" s="467"/>
      <c r="I2816" s="467"/>
      <c r="J2816" s="469"/>
      <c r="K2816" s="312"/>
      <c r="L2816" s="312"/>
      <c r="M2816" s="312"/>
      <c r="N2816" s="467"/>
      <c r="O2816" s="467"/>
      <c r="P2816" s="467"/>
      <c r="AL2816" s="436"/>
      <c r="AM2816" s="436"/>
      <c r="AQ2816" s="436"/>
      <c r="AR2816" s="436"/>
      <c r="AS2816" s="436"/>
      <c r="AT2816" s="436"/>
      <c r="AU2816" s="436"/>
      <c r="AV2816" s="436"/>
      <c r="AW2816" s="436"/>
      <c r="AX2816" s="436"/>
      <c r="AY2816" s="436"/>
      <c r="AZ2816" s="475"/>
      <c r="BA2816" s="475"/>
      <c r="BF2816" s="1119"/>
      <c r="BG2816" s="1119"/>
      <c r="BH2816" s="1119"/>
    </row>
    <row r="2817" spans="1:60" ht="15.75" customHeight="1">
      <c r="A2817" s="1076"/>
      <c r="B2817" s="1080"/>
      <c r="C2817" s="424"/>
      <c r="G2817" s="312"/>
      <c r="H2817" s="467"/>
      <c r="I2817" s="467"/>
      <c r="J2817" s="469"/>
      <c r="K2817" s="312"/>
      <c r="L2817" s="312"/>
      <c r="M2817" s="312"/>
      <c r="N2817" s="467"/>
      <c r="O2817" s="467"/>
      <c r="P2817" s="467"/>
      <c r="AL2817" s="436"/>
      <c r="AM2817" s="436"/>
      <c r="AQ2817" s="436"/>
      <c r="AR2817" s="436"/>
      <c r="AS2817" s="436"/>
      <c r="AT2817" s="436"/>
      <c r="AU2817" s="436"/>
      <c r="AV2817" s="436"/>
      <c r="AW2817" s="436"/>
      <c r="AX2817" s="436"/>
      <c r="AY2817" s="436"/>
      <c r="AZ2817" s="475"/>
      <c r="BA2817" s="475"/>
      <c r="BF2817" s="1119"/>
      <c r="BG2817" s="1119"/>
      <c r="BH2817" s="1119"/>
    </row>
    <row r="2818" spans="1:60" ht="15.75" customHeight="1">
      <c r="A2818" s="1076"/>
      <c r="B2818" s="1080"/>
      <c r="C2818" s="424"/>
      <c r="G2818" s="312"/>
      <c r="H2818" s="467"/>
      <c r="I2818" s="467"/>
      <c r="J2818" s="469"/>
      <c r="K2818" s="312"/>
      <c r="L2818" s="312"/>
      <c r="M2818" s="312"/>
      <c r="N2818" s="467"/>
      <c r="O2818" s="467"/>
      <c r="P2818" s="467"/>
      <c r="AL2818" s="436"/>
      <c r="AM2818" s="436"/>
      <c r="AQ2818" s="436"/>
      <c r="AR2818" s="436"/>
      <c r="AS2818" s="436"/>
      <c r="AT2818" s="436"/>
      <c r="AU2818" s="436"/>
      <c r="AV2818" s="436"/>
      <c r="AW2818" s="436"/>
      <c r="AX2818" s="436"/>
      <c r="AY2818" s="436"/>
      <c r="AZ2818" s="475"/>
      <c r="BA2818" s="475"/>
      <c r="BF2818" s="1119"/>
      <c r="BG2818" s="1119"/>
      <c r="BH2818" s="1119"/>
    </row>
    <row r="2819" spans="1:60" ht="15.75" customHeight="1">
      <c r="A2819" s="1076"/>
      <c r="B2819" s="1080"/>
      <c r="C2819" s="424"/>
      <c r="G2819" s="312"/>
      <c r="H2819" s="467"/>
      <c r="I2819" s="467"/>
      <c r="J2819" s="469"/>
      <c r="K2819" s="312"/>
      <c r="L2819" s="312"/>
      <c r="M2819" s="312"/>
      <c r="N2819" s="467"/>
      <c r="O2819" s="467"/>
      <c r="P2819" s="467"/>
      <c r="AL2819" s="436"/>
      <c r="AM2819" s="436"/>
      <c r="AQ2819" s="436"/>
      <c r="AR2819" s="436"/>
      <c r="AS2819" s="436"/>
      <c r="AT2819" s="436"/>
      <c r="AU2819" s="436"/>
      <c r="AV2819" s="436"/>
      <c r="AW2819" s="436"/>
      <c r="AX2819" s="436"/>
      <c r="AY2819" s="436"/>
      <c r="AZ2819" s="475"/>
      <c r="BA2819" s="475"/>
      <c r="BF2819" s="1119"/>
      <c r="BG2819" s="1119"/>
      <c r="BH2819" s="1119"/>
    </row>
    <row r="2820" spans="1:60" ht="15.75" customHeight="1">
      <c r="A2820" s="1076"/>
      <c r="B2820" s="1080"/>
      <c r="C2820" s="424"/>
      <c r="G2820" s="312"/>
      <c r="H2820" s="467"/>
      <c r="I2820" s="467"/>
      <c r="J2820" s="469"/>
      <c r="K2820" s="312"/>
      <c r="L2820" s="312"/>
      <c r="M2820" s="312"/>
      <c r="N2820" s="467"/>
      <c r="O2820" s="467"/>
      <c r="P2820" s="467"/>
      <c r="AL2820" s="436"/>
      <c r="AM2820" s="436"/>
      <c r="AQ2820" s="436"/>
      <c r="AR2820" s="436"/>
      <c r="AS2820" s="436"/>
      <c r="AT2820" s="436"/>
      <c r="AU2820" s="436"/>
      <c r="AV2820" s="436"/>
      <c r="AW2820" s="436"/>
      <c r="AX2820" s="436"/>
      <c r="AY2820" s="436"/>
      <c r="AZ2820" s="475"/>
      <c r="BA2820" s="475"/>
      <c r="BF2820" s="1119"/>
      <c r="BG2820" s="1119"/>
      <c r="BH2820" s="1119"/>
    </row>
    <row r="2821" spans="1:60" ht="15.75" customHeight="1">
      <c r="A2821" s="1076"/>
      <c r="B2821" s="1080"/>
      <c r="C2821" s="424"/>
      <c r="G2821" s="312"/>
      <c r="H2821" s="467"/>
      <c r="I2821" s="467"/>
      <c r="J2821" s="469"/>
      <c r="K2821" s="312"/>
      <c r="L2821" s="312"/>
      <c r="M2821" s="312"/>
      <c r="N2821" s="467"/>
      <c r="O2821" s="467"/>
      <c r="P2821" s="467"/>
      <c r="AL2821" s="436"/>
      <c r="AM2821" s="436"/>
      <c r="AQ2821" s="436"/>
      <c r="AR2821" s="436"/>
      <c r="AS2821" s="436"/>
      <c r="AT2821" s="436"/>
      <c r="AU2821" s="436"/>
      <c r="AV2821" s="436"/>
      <c r="AW2821" s="436"/>
      <c r="AX2821" s="436"/>
      <c r="AY2821" s="436"/>
      <c r="AZ2821" s="475"/>
      <c r="BA2821" s="475"/>
      <c r="BF2821" s="1119"/>
      <c r="BG2821" s="1119"/>
      <c r="BH2821" s="1119"/>
    </row>
    <row r="2822" spans="1:60" ht="15.75" customHeight="1">
      <c r="A2822" s="1076"/>
      <c r="B2822" s="1080"/>
      <c r="C2822" s="424"/>
      <c r="G2822" s="312"/>
      <c r="H2822" s="467"/>
      <c r="I2822" s="467"/>
      <c r="J2822" s="469"/>
      <c r="K2822" s="312"/>
      <c r="L2822" s="312"/>
      <c r="M2822" s="312"/>
      <c r="N2822" s="467"/>
      <c r="O2822" s="467"/>
      <c r="P2822" s="467"/>
      <c r="AL2822" s="436"/>
      <c r="AM2822" s="436"/>
      <c r="AQ2822" s="436"/>
      <c r="AR2822" s="436"/>
      <c r="AS2822" s="436"/>
      <c r="AT2822" s="436"/>
      <c r="AU2822" s="436"/>
      <c r="AV2822" s="436"/>
      <c r="AW2822" s="436"/>
      <c r="AX2822" s="436"/>
      <c r="AY2822" s="436"/>
      <c r="AZ2822" s="475"/>
      <c r="BA2822" s="475"/>
      <c r="BF2822" s="1119"/>
      <c r="BG2822" s="1119"/>
      <c r="BH2822" s="1119"/>
    </row>
    <row r="2823" spans="1:60" ht="15.75" customHeight="1">
      <c r="A2823" s="1076"/>
      <c r="B2823" s="1080"/>
      <c r="C2823" s="424"/>
      <c r="G2823" s="312"/>
      <c r="H2823" s="467"/>
      <c r="I2823" s="467"/>
      <c r="J2823" s="469"/>
      <c r="K2823" s="312"/>
      <c r="L2823" s="312"/>
      <c r="M2823" s="312"/>
      <c r="N2823" s="467"/>
      <c r="O2823" s="467"/>
      <c r="P2823" s="467"/>
      <c r="AL2823" s="436"/>
      <c r="AM2823" s="436"/>
      <c r="AQ2823" s="436"/>
      <c r="AR2823" s="436"/>
      <c r="AS2823" s="436"/>
      <c r="AT2823" s="436"/>
      <c r="AU2823" s="436"/>
      <c r="AV2823" s="436"/>
      <c r="AW2823" s="436"/>
      <c r="AX2823" s="436"/>
      <c r="AY2823" s="436"/>
      <c r="AZ2823" s="475"/>
      <c r="BA2823" s="475"/>
      <c r="BF2823" s="1119"/>
      <c r="BG2823" s="1119"/>
      <c r="BH2823" s="1119"/>
    </row>
    <row r="2824" spans="1:60" ht="15.75" customHeight="1">
      <c r="A2824" s="1076"/>
      <c r="B2824" s="1080"/>
      <c r="C2824" s="424"/>
      <c r="G2824" s="312"/>
      <c r="H2824" s="467"/>
      <c r="I2824" s="467"/>
      <c r="J2824" s="469"/>
      <c r="K2824" s="312"/>
      <c r="L2824" s="312"/>
      <c r="M2824" s="312"/>
      <c r="N2824" s="467"/>
      <c r="O2824" s="467"/>
      <c r="P2824" s="467"/>
      <c r="AL2824" s="436"/>
      <c r="AM2824" s="436"/>
      <c r="AQ2824" s="436"/>
      <c r="AR2824" s="436"/>
      <c r="AS2824" s="436"/>
      <c r="AT2824" s="436"/>
      <c r="AU2824" s="436"/>
      <c r="AV2824" s="436"/>
      <c r="AW2824" s="436"/>
      <c r="AX2824" s="436"/>
      <c r="AY2824" s="436"/>
      <c r="AZ2824" s="475"/>
      <c r="BA2824" s="475"/>
      <c r="BF2824" s="1119"/>
      <c r="BG2824" s="1119"/>
      <c r="BH2824" s="1119"/>
    </row>
    <row r="2825" spans="1:60" ht="15.75" customHeight="1">
      <c r="A2825" s="1076"/>
      <c r="B2825" s="1080"/>
      <c r="C2825" s="424"/>
      <c r="G2825" s="312"/>
      <c r="H2825" s="467"/>
      <c r="I2825" s="467"/>
      <c r="J2825" s="469"/>
      <c r="K2825" s="312"/>
      <c r="L2825" s="312"/>
      <c r="M2825" s="312"/>
      <c r="N2825" s="467"/>
      <c r="O2825" s="467"/>
      <c r="P2825" s="467"/>
      <c r="AL2825" s="436"/>
      <c r="AM2825" s="436"/>
      <c r="AQ2825" s="436"/>
      <c r="AR2825" s="436"/>
      <c r="AS2825" s="436"/>
      <c r="AT2825" s="436"/>
      <c r="AU2825" s="436"/>
      <c r="AV2825" s="436"/>
      <c r="AW2825" s="436"/>
      <c r="AX2825" s="436"/>
      <c r="AY2825" s="436"/>
      <c r="AZ2825" s="475"/>
      <c r="BA2825" s="475"/>
      <c r="BF2825" s="1119"/>
      <c r="BG2825" s="1119"/>
      <c r="BH2825" s="1119"/>
    </row>
    <row r="2826" spans="1:60" ht="15.75" customHeight="1">
      <c r="A2826" s="1076"/>
      <c r="B2826" s="1080"/>
      <c r="C2826" s="424"/>
      <c r="G2826" s="312"/>
      <c r="H2826" s="467"/>
      <c r="I2826" s="467"/>
      <c r="J2826" s="469"/>
      <c r="K2826" s="312"/>
      <c r="L2826" s="312"/>
      <c r="M2826" s="312"/>
      <c r="N2826" s="467"/>
      <c r="O2826" s="467"/>
      <c r="P2826" s="467"/>
      <c r="AL2826" s="436"/>
      <c r="AM2826" s="436"/>
      <c r="AQ2826" s="436"/>
      <c r="AR2826" s="436"/>
      <c r="AS2826" s="436"/>
      <c r="AT2826" s="436"/>
      <c r="AU2826" s="436"/>
      <c r="AV2826" s="436"/>
      <c r="AW2826" s="436"/>
      <c r="AX2826" s="436"/>
      <c r="AY2826" s="436"/>
      <c r="AZ2826" s="475"/>
      <c r="BA2826" s="475"/>
      <c r="BF2826" s="1119"/>
      <c r="BG2826" s="1119"/>
      <c r="BH2826" s="1119"/>
    </row>
    <row r="2827" spans="1:60" ht="15.75" customHeight="1">
      <c r="A2827" s="1076"/>
      <c r="B2827" s="1080"/>
      <c r="C2827" s="424"/>
      <c r="G2827" s="312"/>
      <c r="H2827" s="467"/>
      <c r="I2827" s="467"/>
      <c r="J2827" s="469"/>
      <c r="K2827" s="312"/>
      <c r="L2827" s="312"/>
      <c r="M2827" s="312"/>
      <c r="N2827" s="467"/>
      <c r="O2827" s="467"/>
      <c r="P2827" s="467"/>
      <c r="AL2827" s="436"/>
      <c r="AM2827" s="436"/>
      <c r="AQ2827" s="436"/>
      <c r="AR2827" s="436"/>
      <c r="AS2827" s="436"/>
      <c r="AT2827" s="436"/>
      <c r="AU2827" s="436"/>
      <c r="AV2827" s="436"/>
      <c r="AW2827" s="436"/>
      <c r="AX2827" s="436"/>
      <c r="AY2827" s="436"/>
      <c r="AZ2827" s="475"/>
      <c r="BA2827" s="475"/>
      <c r="BF2827" s="1119"/>
      <c r="BG2827" s="1119"/>
      <c r="BH2827" s="1119"/>
    </row>
    <row r="2828" spans="1:60" ht="15.75" customHeight="1">
      <c r="A2828" s="1076"/>
      <c r="B2828" s="1080"/>
      <c r="C2828" s="424"/>
      <c r="G2828" s="312"/>
      <c r="H2828" s="467"/>
      <c r="I2828" s="467"/>
      <c r="J2828" s="469"/>
      <c r="K2828" s="312"/>
      <c r="L2828" s="312"/>
      <c r="M2828" s="312"/>
      <c r="N2828" s="467"/>
      <c r="O2828" s="467"/>
      <c r="P2828" s="467"/>
      <c r="AL2828" s="436"/>
      <c r="AM2828" s="436"/>
      <c r="AQ2828" s="436"/>
      <c r="AR2828" s="436"/>
      <c r="AS2828" s="436"/>
      <c r="AT2828" s="436"/>
      <c r="AU2828" s="436"/>
      <c r="AV2828" s="436"/>
      <c r="AW2828" s="436"/>
      <c r="AX2828" s="436"/>
      <c r="AY2828" s="436"/>
      <c r="AZ2828" s="475"/>
      <c r="BA2828" s="475"/>
      <c r="BF2828" s="1119"/>
      <c r="BG2828" s="1119"/>
      <c r="BH2828" s="1119"/>
    </row>
    <row r="2829" spans="1:60" ht="15.75" customHeight="1">
      <c r="A2829" s="1076"/>
      <c r="B2829" s="1080"/>
      <c r="C2829" s="424"/>
      <c r="G2829" s="312"/>
      <c r="H2829" s="467"/>
      <c r="I2829" s="467"/>
      <c r="J2829" s="469"/>
      <c r="K2829" s="312"/>
      <c r="L2829" s="312"/>
      <c r="M2829" s="312"/>
      <c r="N2829" s="467"/>
      <c r="O2829" s="467"/>
      <c r="P2829" s="467"/>
      <c r="AL2829" s="436"/>
      <c r="AM2829" s="436"/>
      <c r="AQ2829" s="436"/>
      <c r="AR2829" s="436"/>
      <c r="AS2829" s="436"/>
      <c r="AT2829" s="436"/>
      <c r="AU2829" s="436"/>
      <c r="AV2829" s="436"/>
      <c r="AW2829" s="436"/>
      <c r="AX2829" s="436"/>
      <c r="AY2829" s="436"/>
      <c r="AZ2829" s="475"/>
      <c r="BA2829" s="475"/>
      <c r="BF2829" s="1119"/>
      <c r="BG2829" s="1119"/>
      <c r="BH2829" s="1119"/>
    </row>
    <row r="2830" spans="1:60" ht="15.75" customHeight="1">
      <c r="A2830" s="1076"/>
      <c r="B2830" s="1080"/>
      <c r="C2830" s="424"/>
      <c r="G2830" s="312"/>
      <c r="H2830" s="467"/>
      <c r="I2830" s="467"/>
      <c r="J2830" s="469"/>
      <c r="K2830" s="312"/>
      <c r="L2830" s="312"/>
      <c r="M2830" s="312"/>
      <c r="N2830" s="467"/>
      <c r="O2830" s="467"/>
      <c r="P2830" s="467"/>
      <c r="AL2830" s="436"/>
      <c r="AM2830" s="436"/>
      <c r="AQ2830" s="436"/>
      <c r="AR2830" s="436"/>
      <c r="AS2830" s="436"/>
      <c r="AT2830" s="436"/>
      <c r="AU2830" s="436"/>
      <c r="AV2830" s="436"/>
      <c r="AW2830" s="436"/>
      <c r="AX2830" s="436"/>
      <c r="AY2830" s="436"/>
      <c r="AZ2830" s="475"/>
      <c r="BA2830" s="475"/>
      <c r="BF2830" s="1119"/>
      <c r="BG2830" s="1119"/>
      <c r="BH2830" s="1119"/>
    </row>
    <row r="2831" spans="1:60" ht="15.75" customHeight="1">
      <c r="A2831" s="1076"/>
      <c r="B2831" s="1080"/>
      <c r="C2831" s="424"/>
      <c r="G2831" s="312"/>
      <c r="H2831" s="467"/>
      <c r="I2831" s="467"/>
      <c r="J2831" s="469"/>
      <c r="K2831" s="312"/>
      <c r="L2831" s="312"/>
      <c r="M2831" s="312"/>
      <c r="N2831" s="467"/>
      <c r="O2831" s="467"/>
      <c r="P2831" s="467"/>
      <c r="AL2831" s="436"/>
      <c r="AM2831" s="436"/>
      <c r="AQ2831" s="436"/>
      <c r="AR2831" s="436"/>
      <c r="AS2831" s="436"/>
      <c r="AT2831" s="436"/>
      <c r="AU2831" s="436"/>
      <c r="AV2831" s="436"/>
      <c r="AW2831" s="436"/>
      <c r="AX2831" s="436"/>
      <c r="AY2831" s="436"/>
      <c r="AZ2831" s="475"/>
      <c r="BA2831" s="475"/>
      <c r="BF2831" s="1119"/>
      <c r="BG2831" s="1119"/>
      <c r="BH2831" s="1119"/>
    </row>
    <row r="2832" spans="1:60" ht="15.75" customHeight="1">
      <c r="A2832" s="1076"/>
      <c r="B2832" s="1080"/>
      <c r="C2832" s="424"/>
      <c r="G2832" s="312"/>
      <c r="H2832" s="467"/>
      <c r="I2832" s="467"/>
      <c r="J2832" s="469"/>
      <c r="K2832" s="312"/>
      <c r="L2832" s="312"/>
      <c r="M2832" s="312"/>
      <c r="N2832" s="467"/>
      <c r="O2832" s="467"/>
      <c r="P2832" s="467"/>
      <c r="AL2832" s="436"/>
      <c r="AM2832" s="436"/>
      <c r="AQ2832" s="436"/>
      <c r="AR2832" s="436"/>
      <c r="AS2832" s="436"/>
      <c r="AT2832" s="436"/>
      <c r="AU2832" s="436"/>
      <c r="AV2832" s="436"/>
      <c r="AW2832" s="436"/>
      <c r="AX2832" s="436"/>
      <c r="AY2832" s="436"/>
      <c r="AZ2832" s="475"/>
      <c r="BA2832" s="475"/>
      <c r="BF2832" s="1119"/>
      <c r="BG2832" s="1119"/>
      <c r="BH2832" s="1119"/>
    </row>
    <row r="2833" spans="1:60" ht="15.75" customHeight="1">
      <c r="A2833" s="1076"/>
      <c r="B2833" s="1080"/>
      <c r="C2833" s="424"/>
      <c r="G2833" s="312"/>
      <c r="H2833" s="467"/>
      <c r="I2833" s="467"/>
      <c r="J2833" s="469"/>
      <c r="K2833" s="312"/>
      <c r="L2833" s="312"/>
      <c r="M2833" s="312"/>
      <c r="N2833" s="467"/>
      <c r="O2833" s="467"/>
      <c r="P2833" s="467"/>
      <c r="AL2833" s="436"/>
      <c r="AM2833" s="436"/>
      <c r="AQ2833" s="436"/>
      <c r="AR2833" s="436"/>
      <c r="AS2833" s="436"/>
      <c r="AT2833" s="436"/>
      <c r="AU2833" s="436"/>
      <c r="AV2833" s="436"/>
      <c r="AW2833" s="436"/>
      <c r="AX2833" s="436"/>
      <c r="AY2833" s="436"/>
      <c r="AZ2833" s="475"/>
      <c r="BA2833" s="475"/>
      <c r="BF2833" s="1119"/>
      <c r="BG2833" s="1119"/>
      <c r="BH2833" s="1119"/>
    </row>
    <row r="2834" spans="1:60" ht="15.75" customHeight="1">
      <c r="A2834" s="1076"/>
      <c r="B2834" s="1080"/>
      <c r="C2834" s="424"/>
      <c r="G2834" s="312"/>
      <c r="H2834" s="467"/>
      <c r="I2834" s="467"/>
      <c r="J2834" s="469"/>
      <c r="K2834" s="312"/>
      <c r="L2834" s="312"/>
      <c r="M2834" s="312"/>
      <c r="N2834" s="467"/>
      <c r="O2834" s="467"/>
      <c r="P2834" s="467"/>
      <c r="AL2834" s="436"/>
      <c r="AM2834" s="436"/>
      <c r="AQ2834" s="436"/>
      <c r="AR2834" s="436"/>
      <c r="AS2834" s="436"/>
      <c r="AT2834" s="436"/>
      <c r="AU2834" s="436"/>
      <c r="AV2834" s="436"/>
      <c r="AW2834" s="436"/>
      <c r="AX2834" s="436"/>
      <c r="AY2834" s="436"/>
      <c r="AZ2834" s="475"/>
      <c r="BA2834" s="475"/>
      <c r="BF2834" s="1119"/>
      <c r="BG2834" s="1119"/>
      <c r="BH2834" s="1119"/>
    </row>
    <row r="2835" spans="1:60" ht="15.75" customHeight="1">
      <c r="A2835" s="1076"/>
      <c r="B2835" s="1080"/>
      <c r="C2835" s="424"/>
      <c r="G2835" s="312"/>
      <c r="H2835" s="467"/>
      <c r="I2835" s="467"/>
      <c r="J2835" s="469"/>
      <c r="K2835" s="312"/>
      <c r="L2835" s="312"/>
      <c r="M2835" s="312"/>
      <c r="N2835" s="467"/>
      <c r="O2835" s="467"/>
      <c r="P2835" s="467"/>
      <c r="AL2835" s="436"/>
      <c r="AM2835" s="436"/>
      <c r="AQ2835" s="436"/>
      <c r="AR2835" s="436"/>
      <c r="AS2835" s="436"/>
      <c r="AT2835" s="436"/>
      <c r="AU2835" s="436"/>
      <c r="AV2835" s="436"/>
      <c r="AW2835" s="436"/>
      <c r="AX2835" s="436"/>
      <c r="AY2835" s="436"/>
      <c r="AZ2835" s="475"/>
      <c r="BA2835" s="475"/>
      <c r="BF2835" s="1119"/>
      <c r="BG2835" s="1119"/>
      <c r="BH2835" s="1119"/>
    </row>
    <row r="2836" spans="1:60" ht="15.75" customHeight="1">
      <c r="A2836" s="1076"/>
      <c r="B2836" s="1080"/>
      <c r="C2836" s="424"/>
      <c r="G2836" s="312"/>
      <c r="H2836" s="467"/>
      <c r="I2836" s="467"/>
      <c r="J2836" s="469"/>
      <c r="K2836" s="312"/>
      <c r="L2836" s="312"/>
      <c r="M2836" s="312"/>
      <c r="N2836" s="467"/>
      <c r="O2836" s="467"/>
      <c r="P2836" s="467"/>
      <c r="AL2836" s="436"/>
      <c r="AM2836" s="436"/>
      <c r="AQ2836" s="436"/>
      <c r="AR2836" s="436"/>
      <c r="AS2836" s="436"/>
      <c r="AT2836" s="436"/>
      <c r="AU2836" s="436"/>
      <c r="AV2836" s="436"/>
      <c r="AW2836" s="436"/>
      <c r="AX2836" s="436"/>
      <c r="AY2836" s="436"/>
      <c r="AZ2836" s="475"/>
      <c r="BA2836" s="475"/>
      <c r="BF2836" s="1119"/>
      <c r="BG2836" s="1119"/>
      <c r="BH2836" s="1119"/>
    </row>
    <row r="2837" spans="1:60" ht="15.75" customHeight="1">
      <c r="A2837" s="1076"/>
      <c r="B2837" s="1080"/>
      <c r="C2837" s="424"/>
      <c r="G2837" s="312"/>
      <c r="H2837" s="467"/>
      <c r="I2837" s="467"/>
      <c r="J2837" s="469"/>
      <c r="K2837" s="312"/>
      <c r="L2837" s="312"/>
      <c r="M2837" s="312"/>
      <c r="N2837" s="467"/>
      <c r="O2837" s="467"/>
      <c r="P2837" s="467"/>
      <c r="AL2837" s="436"/>
      <c r="AM2837" s="436"/>
      <c r="AQ2837" s="436"/>
      <c r="AR2837" s="436"/>
      <c r="AS2837" s="436"/>
      <c r="AT2837" s="436"/>
      <c r="AU2837" s="436"/>
      <c r="AV2837" s="436"/>
      <c r="AW2837" s="436"/>
      <c r="AX2837" s="436"/>
      <c r="AY2837" s="436"/>
      <c r="AZ2837" s="475"/>
      <c r="BA2837" s="475"/>
      <c r="BF2837" s="1119"/>
      <c r="BG2837" s="1119"/>
      <c r="BH2837" s="1119"/>
    </row>
    <row r="2838" spans="1:60" ht="15.75" customHeight="1">
      <c r="A2838" s="1076"/>
      <c r="B2838" s="1080"/>
      <c r="C2838" s="424"/>
      <c r="G2838" s="312"/>
      <c r="H2838" s="467"/>
      <c r="I2838" s="467"/>
      <c r="J2838" s="469"/>
      <c r="K2838" s="312"/>
      <c r="L2838" s="312"/>
      <c r="M2838" s="312"/>
      <c r="N2838" s="467"/>
      <c r="O2838" s="467"/>
      <c r="P2838" s="467"/>
      <c r="AL2838" s="436"/>
      <c r="AM2838" s="436"/>
      <c r="AQ2838" s="436"/>
      <c r="AR2838" s="436"/>
      <c r="AS2838" s="436"/>
      <c r="AT2838" s="436"/>
      <c r="AU2838" s="436"/>
      <c r="AV2838" s="436"/>
      <c r="AW2838" s="436"/>
      <c r="AX2838" s="436"/>
      <c r="AY2838" s="436"/>
      <c r="AZ2838" s="475"/>
      <c r="BA2838" s="475"/>
      <c r="BF2838" s="1119"/>
      <c r="BG2838" s="1119"/>
      <c r="BH2838" s="1119"/>
    </row>
    <row r="2839" spans="1:60" ht="15.75" customHeight="1">
      <c r="A2839" s="1076"/>
      <c r="B2839" s="1080"/>
      <c r="C2839" s="424"/>
      <c r="G2839" s="312"/>
      <c r="H2839" s="467"/>
      <c r="I2839" s="467"/>
      <c r="J2839" s="469"/>
      <c r="K2839" s="312"/>
      <c r="L2839" s="312"/>
      <c r="M2839" s="312"/>
      <c r="N2839" s="467"/>
      <c r="O2839" s="467"/>
      <c r="P2839" s="467"/>
      <c r="AL2839" s="436"/>
      <c r="AM2839" s="436"/>
      <c r="AQ2839" s="436"/>
      <c r="AR2839" s="436"/>
      <c r="AS2839" s="436"/>
      <c r="AT2839" s="436"/>
      <c r="AU2839" s="436"/>
      <c r="AV2839" s="436"/>
      <c r="AW2839" s="436"/>
      <c r="AX2839" s="436"/>
      <c r="AY2839" s="436"/>
      <c r="AZ2839" s="475"/>
      <c r="BA2839" s="475"/>
      <c r="BF2839" s="1119"/>
      <c r="BG2839" s="1119"/>
      <c r="BH2839" s="1119"/>
    </row>
    <row r="2840" spans="1:60" ht="15.75" customHeight="1">
      <c r="A2840" s="1076"/>
      <c r="B2840" s="1080"/>
      <c r="C2840" s="424"/>
      <c r="G2840" s="312"/>
      <c r="H2840" s="467"/>
      <c r="I2840" s="467"/>
      <c r="J2840" s="469"/>
      <c r="K2840" s="312"/>
      <c r="L2840" s="312"/>
      <c r="M2840" s="312"/>
      <c r="N2840" s="467"/>
      <c r="O2840" s="467"/>
      <c r="P2840" s="467"/>
      <c r="AL2840" s="436"/>
      <c r="AM2840" s="436"/>
      <c r="AQ2840" s="436"/>
      <c r="AR2840" s="436"/>
      <c r="AS2840" s="436"/>
      <c r="AT2840" s="436"/>
      <c r="AU2840" s="436"/>
      <c r="AV2840" s="436"/>
      <c r="AW2840" s="436"/>
      <c r="AX2840" s="436"/>
      <c r="AY2840" s="436"/>
      <c r="AZ2840" s="475"/>
      <c r="BA2840" s="475"/>
      <c r="BF2840" s="1119"/>
      <c r="BG2840" s="1119"/>
      <c r="BH2840" s="1119"/>
    </row>
    <row r="2841" spans="1:60" ht="15.75" customHeight="1">
      <c r="A2841" s="1076"/>
      <c r="B2841" s="1080"/>
      <c r="C2841" s="424"/>
      <c r="G2841" s="312"/>
      <c r="H2841" s="467"/>
      <c r="I2841" s="467"/>
      <c r="J2841" s="469"/>
      <c r="K2841" s="312"/>
      <c r="L2841" s="312"/>
      <c r="M2841" s="312"/>
      <c r="N2841" s="467"/>
      <c r="O2841" s="467"/>
      <c r="P2841" s="467"/>
      <c r="AL2841" s="436"/>
      <c r="AM2841" s="436"/>
      <c r="AQ2841" s="436"/>
      <c r="AR2841" s="436"/>
      <c r="AS2841" s="436"/>
      <c r="AT2841" s="436"/>
      <c r="AU2841" s="436"/>
      <c r="AV2841" s="436"/>
      <c r="AW2841" s="436"/>
      <c r="AX2841" s="436"/>
      <c r="AY2841" s="436"/>
      <c r="AZ2841" s="475"/>
      <c r="BA2841" s="475"/>
      <c r="BF2841" s="1119"/>
      <c r="BG2841" s="1119"/>
      <c r="BH2841" s="1119"/>
    </row>
    <row r="2842" spans="1:60" ht="15.75" customHeight="1">
      <c r="A2842" s="1076"/>
      <c r="B2842" s="1080"/>
      <c r="C2842" s="424"/>
      <c r="G2842" s="312"/>
      <c r="H2842" s="467"/>
      <c r="I2842" s="467"/>
      <c r="J2842" s="469"/>
      <c r="K2842" s="312"/>
      <c r="L2842" s="312"/>
      <c r="M2842" s="312"/>
      <c r="N2842" s="467"/>
      <c r="O2842" s="467"/>
      <c r="P2842" s="467"/>
      <c r="AL2842" s="436"/>
      <c r="AM2842" s="436"/>
      <c r="AQ2842" s="436"/>
      <c r="AR2842" s="436"/>
      <c r="AS2842" s="436"/>
      <c r="AT2842" s="436"/>
      <c r="AU2842" s="436"/>
      <c r="AV2842" s="436"/>
      <c r="AW2842" s="436"/>
      <c r="AX2842" s="436"/>
      <c r="AY2842" s="436"/>
      <c r="AZ2842" s="475"/>
      <c r="BA2842" s="475"/>
      <c r="BF2842" s="1119"/>
      <c r="BG2842" s="1119"/>
      <c r="BH2842" s="1119"/>
    </row>
    <row r="2843" spans="1:60" ht="15.75" customHeight="1">
      <c r="A2843" s="1076"/>
      <c r="B2843" s="1080"/>
      <c r="C2843" s="424"/>
      <c r="G2843" s="312"/>
      <c r="H2843" s="467"/>
      <c r="I2843" s="467"/>
      <c r="J2843" s="469"/>
      <c r="K2843" s="312"/>
      <c r="L2843" s="312"/>
      <c r="M2843" s="312"/>
      <c r="N2843" s="467"/>
      <c r="O2843" s="467"/>
      <c r="P2843" s="467"/>
      <c r="AL2843" s="436"/>
      <c r="AM2843" s="436"/>
      <c r="AQ2843" s="436"/>
      <c r="AR2843" s="436"/>
      <c r="AS2843" s="436"/>
      <c r="AT2843" s="436"/>
      <c r="AU2843" s="436"/>
      <c r="AV2843" s="436"/>
      <c r="AW2843" s="436"/>
      <c r="AX2843" s="436"/>
      <c r="AY2843" s="436"/>
      <c r="AZ2843" s="475"/>
      <c r="BA2843" s="475"/>
      <c r="BF2843" s="1119"/>
      <c r="BG2843" s="1119"/>
      <c r="BH2843" s="1119"/>
    </row>
    <row r="2844" spans="1:60" ht="15.75" customHeight="1">
      <c r="A2844" s="1076"/>
      <c r="B2844" s="1080"/>
      <c r="C2844" s="424"/>
      <c r="G2844" s="312"/>
      <c r="H2844" s="467"/>
      <c r="I2844" s="467"/>
      <c r="J2844" s="469"/>
      <c r="K2844" s="312"/>
      <c r="L2844" s="312"/>
      <c r="M2844" s="312"/>
      <c r="N2844" s="467"/>
      <c r="O2844" s="467"/>
      <c r="P2844" s="467"/>
      <c r="AL2844" s="436"/>
      <c r="AM2844" s="436"/>
      <c r="AQ2844" s="436"/>
      <c r="AR2844" s="436"/>
      <c r="AS2844" s="436"/>
      <c r="AT2844" s="436"/>
      <c r="AU2844" s="436"/>
      <c r="AV2844" s="436"/>
      <c r="AW2844" s="436"/>
      <c r="AX2844" s="436"/>
      <c r="AY2844" s="436"/>
      <c r="AZ2844" s="475"/>
      <c r="BA2844" s="475"/>
      <c r="BF2844" s="1119"/>
      <c r="BG2844" s="1119"/>
      <c r="BH2844" s="1119"/>
    </row>
    <row r="2845" spans="1:60" ht="15.75" customHeight="1">
      <c r="A2845" s="1076"/>
      <c r="B2845" s="1080"/>
      <c r="C2845" s="424"/>
      <c r="G2845" s="312"/>
      <c r="H2845" s="467"/>
      <c r="I2845" s="467"/>
      <c r="J2845" s="469"/>
      <c r="K2845" s="312"/>
      <c r="L2845" s="312"/>
      <c r="M2845" s="312"/>
      <c r="N2845" s="467"/>
      <c r="O2845" s="467"/>
      <c r="P2845" s="467"/>
      <c r="AL2845" s="436"/>
      <c r="AM2845" s="436"/>
      <c r="AQ2845" s="436"/>
      <c r="AR2845" s="436"/>
      <c r="AS2845" s="436"/>
      <c r="AT2845" s="436"/>
      <c r="AU2845" s="436"/>
      <c r="AV2845" s="436"/>
      <c r="AW2845" s="436"/>
      <c r="AX2845" s="436"/>
      <c r="AY2845" s="436"/>
      <c r="AZ2845" s="475"/>
      <c r="BA2845" s="475"/>
      <c r="BF2845" s="1119"/>
      <c r="BG2845" s="1119"/>
      <c r="BH2845" s="1119"/>
    </row>
    <row r="2846" spans="1:60" ht="15.75" customHeight="1">
      <c r="A2846" s="1076"/>
      <c r="B2846" s="1080"/>
      <c r="C2846" s="424"/>
      <c r="G2846" s="312"/>
      <c r="H2846" s="467"/>
      <c r="I2846" s="467"/>
      <c r="J2846" s="469"/>
      <c r="K2846" s="312"/>
      <c r="L2846" s="312"/>
      <c r="M2846" s="312"/>
      <c r="N2846" s="467"/>
      <c r="O2846" s="467"/>
      <c r="P2846" s="467"/>
      <c r="AL2846" s="436"/>
      <c r="AM2846" s="436"/>
      <c r="AQ2846" s="436"/>
      <c r="AR2846" s="436"/>
      <c r="AS2846" s="436"/>
      <c r="AT2846" s="436"/>
      <c r="AU2846" s="436"/>
      <c r="AV2846" s="436"/>
      <c r="AW2846" s="436"/>
      <c r="AX2846" s="436"/>
      <c r="AY2846" s="436"/>
      <c r="AZ2846" s="475"/>
      <c r="BA2846" s="475"/>
      <c r="BF2846" s="1119"/>
      <c r="BG2846" s="1119"/>
      <c r="BH2846" s="1119"/>
    </row>
    <row r="2847" spans="1:60" ht="15.75" customHeight="1">
      <c r="A2847" s="1076"/>
      <c r="B2847" s="1080"/>
      <c r="C2847" s="424"/>
      <c r="G2847" s="312"/>
      <c r="H2847" s="467"/>
      <c r="I2847" s="467"/>
      <c r="J2847" s="469"/>
      <c r="K2847" s="312"/>
      <c r="L2847" s="312"/>
      <c r="M2847" s="312"/>
      <c r="N2847" s="467"/>
      <c r="O2847" s="467"/>
      <c r="P2847" s="467"/>
      <c r="AL2847" s="436"/>
      <c r="AM2847" s="436"/>
      <c r="AQ2847" s="436"/>
      <c r="AR2847" s="436"/>
      <c r="AS2847" s="436"/>
      <c r="AT2847" s="436"/>
      <c r="AU2847" s="436"/>
      <c r="AV2847" s="436"/>
      <c r="AW2847" s="436"/>
      <c r="AX2847" s="436"/>
      <c r="AY2847" s="436"/>
      <c r="AZ2847" s="475"/>
      <c r="BA2847" s="475"/>
      <c r="BF2847" s="1119"/>
      <c r="BG2847" s="1119"/>
      <c r="BH2847" s="1119"/>
    </row>
    <row r="2848" spans="1:60" ht="15.75" customHeight="1">
      <c r="A2848" s="1076"/>
      <c r="B2848" s="1080"/>
      <c r="C2848" s="424"/>
      <c r="G2848" s="312"/>
      <c r="H2848" s="467"/>
      <c r="I2848" s="467"/>
      <c r="J2848" s="469"/>
      <c r="K2848" s="312"/>
      <c r="L2848" s="312"/>
      <c r="M2848" s="312"/>
      <c r="N2848" s="467"/>
      <c r="O2848" s="467"/>
      <c r="P2848" s="467"/>
      <c r="AL2848" s="436"/>
      <c r="AM2848" s="436"/>
      <c r="AQ2848" s="436"/>
      <c r="AR2848" s="436"/>
      <c r="AS2848" s="436"/>
      <c r="AT2848" s="436"/>
      <c r="AU2848" s="436"/>
      <c r="AV2848" s="436"/>
      <c r="AW2848" s="436"/>
      <c r="AX2848" s="436"/>
      <c r="AY2848" s="436"/>
      <c r="AZ2848" s="475"/>
      <c r="BA2848" s="475"/>
      <c r="BF2848" s="1119"/>
      <c r="BG2848" s="1119"/>
      <c r="BH2848" s="1119"/>
    </row>
    <row r="2849" spans="1:60" ht="15.75" customHeight="1">
      <c r="A2849" s="1076"/>
      <c r="B2849" s="1080"/>
      <c r="C2849" s="424"/>
      <c r="G2849" s="312"/>
      <c r="H2849" s="467"/>
      <c r="I2849" s="467"/>
      <c r="J2849" s="469"/>
      <c r="K2849" s="312"/>
      <c r="L2849" s="312"/>
      <c r="M2849" s="312"/>
      <c r="N2849" s="467"/>
      <c r="O2849" s="467"/>
      <c r="P2849" s="467"/>
      <c r="AL2849" s="436"/>
      <c r="AM2849" s="436"/>
      <c r="AQ2849" s="436"/>
      <c r="AR2849" s="436"/>
      <c r="AS2849" s="436"/>
      <c r="AT2849" s="436"/>
      <c r="AU2849" s="436"/>
      <c r="AV2849" s="436"/>
      <c r="AW2849" s="436"/>
      <c r="AX2849" s="436"/>
      <c r="AY2849" s="436"/>
      <c r="AZ2849" s="475"/>
      <c r="BA2849" s="475"/>
      <c r="BF2849" s="1119"/>
      <c r="BG2849" s="1119"/>
      <c r="BH2849" s="1119"/>
    </row>
    <row r="2850" spans="1:60" ht="15.75" customHeight="1">
      <c r="A2850" s="1076"/>
      <c r="B2850" s="1080"/>
      <c r="C2850" s="424"/>
      <c r="G2850" s="312"/>
      <c r="H2850" s="467"/>
      <c r="I2850" s="467"/>
      <c r="J2850" s="469"/>
      <c r="K2850" s="312"/>
      <c r="L2850" s="312"/>
      <c r="M2850" s="312"/>
      <c r="N2850" s="467"/>
      <c r="O2850" s="467"/>
      <c r="P2850" s="467"/>
      <c r="AL2850" s="436"/>
      <c r="AM2850" s="436"/>
      <c r="AQ2850" s="436"/>
      <c r="AR2850" s="436"/>
      <c r="AS2850" s="436"/>
      <c r="AT2850" s="436"/>
      <c r="AU2850" s="436"/>
      <c r="AV2850" s="436"/>
      <c r="AW2850" s="436"/>
      <c r="AX2850" s="436"/>
      <c r="AY2850" s="436"/>
      <c r="AZ2850" s="475"/>
      <c r="BA2850" s="475"/>
      <c r="BF2850" s="1119"/>
      <c r="BG2850" s="1119"/>
      <c r="BH2850" s="1119"/>
    </row>
    <row r="2851" spans="1:60" ht="15.75" customHeight="1">
      <c r="A2851" s="1076"/>
      <c r="B2851" s="1080"/>
      <c r="C2851" s="424"/>
      <c r="G2851" s="312"/>
      <c r="H2851" s="467"/>
      <c r="I2851" s="467"/>
      <c r="J2851" s="469"/>
      <c r="K2851" s="312"/>
      <c r="L2851" s="312"/>
      <c r="M2851" s="312"/>
      <c r="N2851" s="467"/>
      <c r="O2851" s="467"/>
      <c r="P2851" s="467"/>
      <c r="AL2851" s="436"/>
      <c r="AM2851" s="436"/>
      <c r="AQ2851" s="436"/>
      <c r="AR2851" s="436"/>
      <c r="AS2851" s="436"/>
      <c r="AT2851" s="436"/>
      <c r="AU2851" s="436"/>
      <c r="AV2851" s="436"/>
      <c r="AW2851" s="436"/>
      <c r="AX2851" s="436"/>
      <c r="AY2851" s="436"/>
      <c r="AZ2851" s="475"/>
      <c r="BA2851" s="475"/>
      <c r="BF2851" s="1119"/>
      <c r="BG2851" s="1119"/>
      <c r="BH2851" s="1119"/>
    </row>
    <row r="2852" spans="1:60" ht="15.75" customHeight="1">
      <c r="A2852" s="1076"/>
      <c r="B2852" s="1080"/>
      <c r="C2852" s="424"/>
      <c r="G2852" s="312"/>
      <c r="H2852" s="467"/>
      <c r="I2852" s="467"/>
      <c r="J2852" s="469"/>
      <c r="K2852" s="312"/>
      <c r="L2852" s="312"/>
      <c r="M2852" s="312"/>
      <c r="N2852" s="467"/>
      <c r="O2852" s="467"/>
      <c r="P2852" s="467"/>
      <c r="AL2852" s="436"/>
      <c r="AM2852" s="436"/>
      <c r="AQ2852" s="436"/>
      <c r="AR2852" s="436"/>
      <c r="AS2852" s="436"/>
      <c r="AT2852" s="436"/>
      <c r="AU2852" s="436"/>
      <c r="AV2852" s="436"/>
      <c r="AW2852" s="436"/>
      <c r="AX2852" s="436"/>
      <c r="AY2852" s="436"/>
      <c r="AZ2852" s="475"/>
      <c r="BA2852" s="475"/>
      <c r="BF2852" s="1119"/>
      <c r="BG2852" s="1119"/>
      <c r="BH2852" s="1119"/>
    </row>
    <row r="2853" spans="1:60" ht="15.75" customHeight="1">
      <c r="A2853" s="1076"/>
      <c r="B2853" s="1080"/>
      <c r="C2853" s="424"/>
      <c r="G2853" s="312"/>
      <c r="H2853" s="467"/>
      <c r="I2853" s="467"/>
      <c r="J2853" s="469"/>
      <c r="K2853" s="312"/>
      <c r="L2853" s="312"/>
      <c r="M2853" s="312"/>
      <c r="N2853" s="467"/>
      <c r="O2853" s="467"/>
      <c r="P2853" s="467"/>
      <c r="AL2853" s="436"/>
      <c r="AM2853" s="436"/>
      <c r="AQ2853" s="436"/>
      <c r="AR2853" s="436"/>
      <c r="AS2853" s="436"/>
      <c r="AT2853" s="436"/>
      <c r="AU2853" s="436"/>
      <c r="AV2853" s="436"/>
      <c r="AW2853" s="436"/>
      <c r="AX2853" s="436"/>
      <c r="AY2853" s="436"/>
      <c r="AZ2853" s="475"/>
      <c r="BA2853" s="475"/>
      <c r="BF2853" s="1119"/>
      <c r="BG2853" s="1119"/>
      <c r="BH2853" s="1119"/>
    </row>
    <row r="2854" spans="1:60" ht="15.75" customHeight="1">
      <c r="A2854" s="1076"/>
      <c r="B2854" s="1080"/>
      <c r="C2854" s="424"/>
      <c r="G2854" s="312"/>
      <c r="H2854" s="467"/>
      <c r="I2854" s="467"/>
      <c r="J2854" s="469"/>
      <c r="K2854" s="312"/>
      <c r="L2854" s="312"/>
      <c r="M2854" s="312"/>
      <c r="N2854" s="467"/>
      <c r="O2854" s="467"/>
      <c r="P2854" s="467"/>
      <c r="AL2854" s="436"/>
      <c r="AM2854" s="436"/>
      <c r="AQ2854" s="436"/>
      <c r="AR2854" s="436"/>
      <c r="AS2854" s="436"/>
      <c r="AT2854" s="436"/>
      <c r="AU2854" s="436"/>
      <c r="AV2854" s="436"/>
      <c r="AW2854" s="436"/>
      <c r="AX2854" s="436"/>
      <c r="AY2854" s="436"/>
      <c r="AZ2854" s="475"/>
      <c r="BA2854" s="475"/>
      <c r="BF2854" s="1119"/>
      <c r="BG2854" s="1119"/>
      <c r="BH2854" s="1119"/>
    </row>
    <row r="2855" spans="1:60" ht="15.75" customHeight="1">
      <c r="A2855" s="1076"/>
      <c r="B2855" s="1080"/>
      <c r="C2855" s="424"/>
      <c r="G2855" s="312"/>
      <c r="H2855" s="467"/>
      <c r="I2855" s="467"/>
      <c r="J2855" s="469"/>
      <c r="K2855" s="312"/>
      <c r="L2855" s="312"/>
      <c r="M2855" s="312"/>
      <c r="N2855" s="467"/>
      <c r="O2855" s="467"/>
      <c r="P2855" s="467"/>
      <c r="AL2855" s="436"/>
      <c r="AM2855" s="436"/>
      <c r="AQ2855" s="436"/>
      <c r="AR2855" s="436"/>
      <c r="AS2855" s="436"/>
      <c r="AT2855" s="436"/>
      <c r="AU2855" s="436"/>
      <c r="AV2855" s="436"/>
      <c r="AW2855" s="436"/>
      <c r="AX2855" s="436"/>
      <c r="AY2855" s="436"/>
      <c r="AZ2855" s="475"/>
      <c r="BA2855" s="475"/>
      <c r="BF2855" s="1119"/>
      <c r="BG2855" s="1119"/>
      <c r="BH2855" s="1119"/>
    </row>
    <row r="2856" spans="1:60" ht="15.75" customHeight="1">
      <c r="A2856" s="1076"/>
      <c r="B2856" s="1080"/>
      <c r="C2856" s="424"/>
      <c r="G2856" s="312"/>
      <c r="H2856" s="467"/>
      <c r="I2856" s="467"/>
      <c r="J2856" s="469"/>
      <c r="K2856" s="312"/>
      <c r="L2856" s="312"/>
      <c r="M2856" s="312"/>
      <c r="N2856" s="467"/>
      <c r="O2856" s="467"/>
      <c r="P2856" s="467"/>
      <c r="AL2856" s="436"/>
      <c r="AM2856" s="436"/>
      <c r="AQ2856" s="436"/>
      <c r="AR2856" s="436"/>
      <c r="AS2856" s="436"/>
      <c r="AT2856" s="436"/>
      <c r="AU2856" s="436"/>
      <c r="AV2856" s="436"/>
      <c r="AW2856" s="436"/>
      <c r="AX2856" s="436"/>
      <c r="AY2856" s="436"/>
      <c r="AZ2856" s="475"/>
      <c r="BA2856" s="475"/>
      <c r="BF2856" s="1119"/>
      <c r="BG2856" s="1119"/>
      <c r="BH2856" s="1119"/>
    </row>
    <row r="2857" spans="1:60" ht="15.75" customHeight="1">
      <c r="A2857" s="1076"/>
      <c r="B2857" s="1080"/>
      <c r="C2857" s="424"/>
      <c r="G2857" s="312"/>
      <c r="H2857" s="467"/>
      <c r="I2857" s="467"/>
      <c r="J2857" s="469"/>
      <c r="K2857" s="312"/>
      <c r="L2857" s="312"/>
      <c r="M2857" s="312"/>
      <c r="N2857" s="467"/>
      <c r="O2857" s="467"/>
      <c r="P2857" s="467"/>
      <c r="AL2857" s="436"/>
      <c r="AM2857" s="436"/>
      <c r="AQ2857" s="436"/>
      <c r="AR2857" s="436"/>
      <c r="AS2857" s="436"/>
      <c r="AT2857" s="436"/>
      <c r="AU2857" s="436"/>
      <c r="AV2857" s="436"/>
      <c r="AW2857" s="436"/>
      <c r="AX2857" s="436"/>
      <c r="AY2857" s="436"/>
      <c r="AZ2857" s="475"/>
      <c r="BA2857" s="475"/>
      <c r="BF2857" s="1119"/>
      <c r="BG2857" s="1119"/>
      <c r="BH2857" s="1119"/>
    </row>
    <row r="2858" spans="1:60" ht="15.75" customHeight="1">
      <c r="A2858" s="1076"/>
      <c r="B2858" s="1080"/>
      <c r="C2858" s="424"/>
      <c r="G2858" s="312"/>
      <c r="H2858" s="467"/>
      <c r="I2858" s="467"/>
      <c r="J2858" s="469"/>
      <c r="K2858" s="312"/>
      <c r="L2858" s="312"/>
      <c r="M2858" s="312"/>
      <c r="N2858" s="467"/>
      <c r="O2858" s="467"/>
      <c r="P2858" s="467"/>
      <c r="AL2858" s="436"/>
      <c r="AM2858" s="436"/>
      <c r="AQ2858" s="436"/>
      <c r="AR2858" s="436"/>
      <c r="AS2858" s="436"/>
      <c r="AT2858" s="436"/>
      <c r="AU2858" s="436"/>
      <c r="AV2858" s="436"/>
      <c r="AW2858" s="436"/>
      <c r="AX2858" s="436"/>
      <c r="AY2858" s="436"/>
      <c r="AZ2858" s="475"/>
      <c r="BA2858" s="475"/>
      <c r="BF2858" s="1119"/>
      <c r="BG2858" s="1119"/>
      <c r="BH2858" s="1119"/>
    </row>
    <row r="2859" spans="1:60" ht="15.75" customHeight="1">
      <c r="A2859" s="1076"/>
      <c r="B2859" s="1080"/>
      <c r="C2859" s="424"/>
      <c r="G2859" s="312"/>
      <c r="H2859" s="467"/>
      <c r="I2859" s="467"/>
      <c r="J2859" s="469"/>
      <c r="K2859" s="312"/>
      <c r="L2859" s="312"/>
      <c r="M2859" s="312"/>
      <c r="N2859" s="467"/>
      <c r="O2859" s="467"/>
      <c r="P2859" s="467"/>
      <c r="AL2859" s="436"/>
      <c r="AM2859" s="436"/>
      <c r="AQ2859" s="436"/>
      <c r="AR2859" s="436"/>
      <c r="AS2859" s="436"/>
      <c r="AT2859" s="436"/>
      <c r="AU2859" s="436"/>
      <c r="AV2859" s="436"/>
      <c r="AW2859" s="436"/>
      <c r="AX2859" s="436"/>
      <c r="AY2859" s="436"/>
      <c r="AZ2859" s="475"/>
      <c r="BA2859" s="475"/>
      <c r="BF2859" s="1119"/>
      <c r="BG2859" s="1119"/>
      <c r="BH2859" s="1119"/>
    </row>
    <row r="2860" spans="1:60" ht="15.75" customHeight="1">
      <c r="A2860" s="1076"/>
      <c r="B2860" s="1080"/>
      <c r="C2860" s="424"/>
      <c r="G2860" s="312"/>
      <c r="H2860" s="467"/>
      <c r="I2860" s="467"/>
      <c r="J2860" s="469"/>
      <c r="K2860" s="312"/>
      <c r="L2860" s="312"/>
      <c r="M2860" s="312"/>
      <c r="N2860" s="467"/>
      <c r="O2860" s="467"/>
      <c r="P2860" s="467"/>
      <c r="AL2860" s="436"/>
      <c r="AM2860" s="436"/>
      <c r="AQ2860" s="436"/>
      <c r="AR2860" s="436"/>
      <c r="AS2860" s="436"/>
      <c r="AT2860" s="436"/>
      <c r="AU2860" s="436"/>
      <c r="AV2860" s="436"/>
      <c r="AW2860" s="436"/>
      <c r="AX2860" s="436"/>
      <c r="AY2860" s="436"/>
      <c r="AZ2860" s="475"/>
      <c r="BA2860" s="475"/>
      <c r="BF2860" s="1119"/>
      <c r="BG2860" s="1119"/>
      <c r="BH2860" s="1119"/>
    </row>
    <row r="2861" spans="1:60" ht="15.75" customHeight="1">
      <c r="A2861" s="1076"/>
      <c r="B2861" s="1080"/>
      <c r="C2861" s="424"/>
      <c r="G2861" s="312"/>
      <c r="H2861" s="467"/>
      <c r="I2861" s="467"/>
      <c r="J2861" s="469"/>
      <c r="K2861" s="312"/>
      <c r="L2861" s="312"/>
      <c r="M2861" s="312"/>
      <c r="N2861" s="467"/>
      <c r="O2861" s="467"/>
      <c r="P2861" s="467"/>
      <c r="AL2861" s="436"/>
      <c r="AM2861" s="436"/>
      <c r="AQ2861" s="436"/>
      <c r="AR2861" s="436"/>
      <c r="AS2861" s="436"/>
      <c r="AT2861" s="436"/>
      <c r="AU2861" s="436"/>
      <c r="AV2861" s="436"/>
      <c r="AW2861" s="436"/>
      <c r="AX2861" s="436"/>
      <c r="AY2861" s="436"/>
      <c r="AZ2861" s="475"/>
      <c r="BA2861" s="475"/>
      <c r="BF2861" s="1119"/>
      <c r="BG2861" s="1119"/>
      <c r="BH2861" s="1119"/>
    </row>
    <row r="2862" spans="1:60" ht="15.75" customHeight="1">
      <c r="A2862" s="1076"/>
      <c r="B2862" s="1080"/>
      <c r="C2862" s="424"/>
      <c r="G2862" s="312"/>
      <c r="H2862" s="467"/>
      <c r="I2862" s="467"/>
      <c r="J2862" s="469"/>
      <c r="K2862" s="312"/>
      <c r="L2862" s="312"/>
      <c r="M2862" s="312"/>
      <c r="N2862" s="467"/>
      <c r="O2862" s="467"/>
      <c r="P2862" s="467"/>
      <c r="AL2862" s="436"/>
      <c r="AM2862" s="436"/>
      <c r="AQ2862" s="436"/>
      <c r="AR2862" s="436"/>
      <c r="AS2862" s="436"/>
      <c r="AT2862" s="436"/>
      <c r="AU2862" s="436"/>
      <c r="AV2862" s="436"/>
      <c r="AW2862" s="436"/>
      <c r="AX2862" s="436"/>
      <c r="AY2862" s="436"/>
      <c r="AZ2862" s="475"/>
      <c r="BA2862" s="475"/>
      <c r="BF2862" s="1119"/>
      <c r="BG2862" s="1119"/>
      <c r="BH2862" s="1119"/>
    </row>
    <row r="2863" spans="1:60" ht="15.75" customHeight="1">
      <c r="A2863" s="1076"/>
      <c r="B2863" s="1080"/>
      <c r="C2863" s="424"/>
      <c r="G2863" s="312"/>
      <c r="H2863" s="467"/>
      <c r="I2863" s="467"/>
      <c r="J2863" s="469"/>
      <c r="K2863" s="312"/>
      <c r="L2863" s="312"/>
      <c r="M2863" s="312"/>
      <c r="N2863" s="467"/>
      <c r="O2863" s="467"/>
      <c r="P2863" s="467"/>
      <c r="AL2863" s="436"/>
      <c r="AM2863" s="436"/>
      <c r="AQ2863" s="436"/>
      <c r="AR2863" s="436"/>
      <c r="AS2863" s="436"/>
      <c r="AT2863" s="436"/>
      <c r="AU2863" s="436"/>
      <c r="AV2863" s="436"/>
      <c r="AW2863" s="436"/>
      <c r="AX2863" s="436"/>
      <c r="AY2863" s="436"/>
      <c r="AZ2863" s="475"/>
      <c r="BA2863" s="475"/>
      <c r="BF2863" s="1119"/>
      <c r="BG2863" s="1119"/>
      <c r="BH2863" s="1119"/>
    </row>
    <row r="2864" spans="1:60" ht="15.75" customHeight="1">
      <c r="A2864" s="1076"/>
      <c r="B2864" s="1080"/>
      <c r="C2864" s="424"/>
      <c r="G2864" s="312"/>
      <c r="H2864" s="467"/>
      <c r="I2864" s="467"/>
      <c r="J2864" s="469"/>
      <c r="K2864" s="312"/>
      <c r="L2864" s="312"/>
      <c r="M2864" s="312"/>
      <c r="N2864" s="467"/>
      <c r="O2864" s="467"/>
      <c r="P2864" s="467"/>
      <c r="AL2864" s="436"/>
      <c r="AM2864" s="436"/>
      <c r="AQ2864" s="436"/>
      <c r="AR2864" s="436"/>
      <c r="AS2864" s="436"/>
      <c r="AT2864" s="436"/>
      <c r="AU2864" s="436"/>
      <c r="AV2864" s="436"/>
      <c r="AW2864" s="436"/>
      <c r="AX2864" s="436"/>
      <c r="AY2864" s="436"/>
      <c r="AZ2864" s="475"/>
      <c r="BA2864" s="475"/>
      <c r="BF2864" s="1119"/>
      <c r="BG2864" s="1119"/>
      <c r="BH2864" s="1119"/>
    </row>
    <row r="2865" spans="1:60" ht="15.75" customHeight="1">
      <c r="A2865" s="1076"/>
      <c r="B2865" s="1080"/>
      <c r="C2865" s="424"/>
      <c r="G2865" s="312"/>
      <c r="H2865" s="467"/>
      <c r="I2865" s="467"/>
      <c r="J2865" s="469"/>
      <c r="K2865" s="312"/>
      <c r="L2865" s="312"/>
      <c r="M2865" s="312"/>
      <c r="N2865" s="467"/>
      <c r="O2865" s="467"/>
      <c r="P2865" s="467"/>
      <c r="AL2865" s="436"/>
      <c r="AM2865" s="436"/>
      <c r="AQ2865" s="436"/>
      <c r="AR2865" s="436"/>
      <c r="AS2865" s="436"/>
      <c r="AT2865" s="436"/>
      <c r="AU2865" s="436"/>
      <c r="AV2865" s="436"/>
      <c r="AW2865" s="436"/>
      <c r="AX2865" s="436"/>
      <c r="AY2865" s="436"/>
      <c r="AZ2865" s="475"/>
      <c r="BA2865" s="475"/>
      <c r="BF2865" s="1119"/>
      <c r="BG2865" s="1119"/>
      <c r="BH2865" s="1119"/>
    </row>
    <row r="2866" spans="1:60" ht="15.75" customHeight="1">
      <c r="A2866" s="1076"/>
      <c r="B2866" s="1080"/>
      <c r="C2866" s="424"/>
      <c r="G2866" s="312"/>
      <c r="H2866" s="467"/>
      <c r="I2866" s="467"/>
      <c r="J2866" s="469"/>
      <c r="K2866" s="312"/>
      <c r="L2866" s="312"/>
      <c r="M2866" s="312"/>
      <c r="N2866" s="467"/>
      <c r="O2866" s="467"/>
      <c r="P2866" s="467"/>
      <c r="AL2866" s="436"/>
      <c r="AM2866" s="436"/>
      <c r="AQ2866" s="436"/>
      <c r="AR2866" s="436"/>
      <c r="AS2866" s="436"/>
      <c r="AT2866" s="436"/>
      <c r="AU2866" s="436"/>
      <c r="AV2866" s="436"/>
      <c r="AW2866" s="436"/>
      <c r="AX2866" s="436"/>
      <c r="AY2866" s="436"/>
      <c r="AZ2866" s="475"/>
      <c r="BA2866" s="475"/>
      <c r="BF2866" s="1119"/>
      <c r="BG2866" s="1119"/>
      <c r="BH2866" s="1119"/>
    </row>
    <row r="2867" spans="1:60" ht="15.75" customHeight="1">
      <c r="A2867" s="1076"/>
      <c r="B2867" s="1080"/>
      <c r="C2867" s="424"/>
      <c r="G2867" s="312"/>
      <c r="H2867" s="467"/>
      <c r="I2867" s="467"/>
      <c r="J2867" s="469"/>
      <c r="K2867" s="312"/>
      <c r="L2867" s="312"/>
      <c r="M2867" s="312"/>
      <c r="N2867" s="467"/>
      <c r="O2867" s="467"/>
      <c r="P2867" s="467"/>
      <c r="AL2867" s="436"/>
      <c r="AM2867" s="436"/>
      <c r="AQ2867" s="436"/>
      <c r="AR2867" s="436"/>
      <c r="AS2867" s="436"/>
      <c r="AT2867" s="436"/>
      <c r="AU2867" s="436"/>
      <c r="AV2867" s="436"/>
      <c r="AW2867" s="436"/>
      <c r="AX2867" s="436"/>
      <c r="AY2867" s="436"/>
      <c r="AZ2867" s="475"/>
      <c r="BA2867" s="475"/>
      <c r="BF2867" s="1119"/>
      <c r="BG2867" s="1119"/>
      <c r="BH2867" s="1119"/>
    </row>
    <row r="2868" spans="1:60" ht="15.75" customHeight="1">
      <c r="A2868" s="1076"/>
      <c r="B2868" s="1080"/>
      <c r="C2868" s="424"/>
      <c r="G2868" s="312"/>
      <c r="H2868" s="467"/>
      <c r="I2868" s="467"/>
      <c r="J2868" s="469"/>
      <c r="K2868" s="312"/>
      <c r="L2868" s="312"/>
      <c r="M2868" s="312"/>
      <c r="N2868" s="467"/>
      <c r="O2868" s="467"/>
      <c r="P2868" s="467"/>
      <c r="AL2868" s="436"/>
      <c r="AM2868" s="436"/>
      <c r="AQ2868" s="436"/>
      <c r="AR2868" s="436"/>
      <c r="AS2868" s="436"/>
      <c r="AT2868" s="436"/>
      <c r="AU2868" s="436"/>
      <c r="AV2868" s="436"/>
      <c r="AW2868" s="436"/>
      <c r="AX2868" s="436"/>
      <c r="AY2868" s="436"/>
      <c r="AZ2868" s="475"/>
      <c r="BA2868" s="475"/>
      <c r="BF2868" s="1119"/>
      <c r="BG2868" s="1119"/>
      <c r="BH2868" s="1119"/>
    </row>
    <row r="2869" spans="1:60" ht="15.75" customHeight="1">
      <c r="A2869" s="1076"/>
      <c r="B2869" s="1080"/>
      <c r="C2869" s="424"/>
      <c r="G2869" s="312"/>
      <c r="H2869" s="467"/>
      <c r="I2869" s="467"/>
      <c r="J2869" s="469"/>
      <c r="K2869" s="312"/>
      <c r="L2869" s="312"/>
      <c r="M2869" s="312"/>
      <c r="N2869" s="467"/>
      <c r="O2869" s="467"/>
      <c r="P2869" s="467"/>
      <c r="AL2869" s="436"/>
      <c r="AM2869" s="436"/>
      <c r="AQ2869" s="436"/>
      <c r="AR2869" s="436"/>
      <c r="AS2869" s="436"/>
      <c r="AT2869" s="436"/>
      <c r="AU2869" s="436"/>
      <c r="AV2869" s="436"/>
      <c r="AW2869" s="436"/>
      <c r="AX2869" s="436"/>
      <c r="AY2869" s="436"/>
      <c r="AZ2869" s="475"/>
      <c r="BA2869" s="475"/>
      <c r="BF2869" s="1119"/>
      <c r="BG2869" s="1119"/>
      <c r="BH2869" s="1119"/>
    </row>
    <row r="2870" spans="1:60" ht="15.75" customHeight="1">
      <c r="A2870" s="1076"/>
      <c r="B2870" s="1080"/>
      <c r="C2870" s="424"/>
      <c r="G2870" s="312"/>
      <c r="H2870" s="467"/>
      <c r="I2870" s="467"/>
      <c r="J2870" s="469"/>
      <c r="K2870" s="312"/>
      <c r="L2870" s="312"/>
      <c r="M2870" s="312"/>
      <c r="N2870" s="467"/>
      <c r="O2870" s="467"/>
      <c r="P2870" s="467"/>
      <c r="AL2870" s="436"/>
      <c r="AM2870" s="436"/>
      <c r="AQ2870" s="436"/>
      <c r="AR2870" s="436"/>
      <c r="AS2870" s="436"/>
      <c r="AT2870" s="436"/>
      <c r="AU2870" s="436"/>
      <c r="AV2870" s="436"/>
      <c r="AW2870" s="436"/>
      <c r="AX2870" s="436"/>
      <c r="AY2870" s="436"/>
      <c r="AZ2870" s="475"/>
      <c r="BA2870" s="475"/>
      <c r="BF2870" s="1119"/>
      <c r="BG2870" s="1119"/>
      <c r="BH2870" s="1119"/>
    </row>
    <row r="2871" spans="1:60" ht="15.75" customHeight="1">
      <c r="A2871" s="1076"/>
      <c r="B2871" s="1080"/>
      <c r="C2871" s="424"/>
      <c r="G2871" s="312"/>
      <c r="H2871" s="467"/>
      <c r="I2871" s="467"/>
      <c r="J2871" s="469"/>
      <c r="K2871" s="312"/>
      <c r="L2871" s="312"/>
      <c r="M2871" s="312"/>
      <c r="N2871" s="467"/>
      <c r="O2871" s="467"/>
      <c r="P2871" s="467"/>
      <c r="AL2871" s="436"/>
      <c r="AM2871" s="436"/>
      <c r="AQ2871" s="436"/>
      <c r="AR2871" s="436"/>
      <c r="AS2871" s="436"/>
      <c r="AT2871" s="436"/>
      <c r="AU2871" s="436"/>
      <c r="AV2871" s="436"/>
      <c r="AW2871" s="436"/>
      <c r="AX2871" s="436"/>
      <c r="AY2871" s="436"/>
      <c r="AZ2871" s="475"/>
      <c r="BA2871" s="475"/>
      <c r="BF2871" s="1119"/>
      <c r="BG2871" s="1119"/>
      <c r="BH2871" s="1119"/>
    </row>
    <row r="2872" spans="1:60" ht="15.75" customHeight="1">
      <c r="A2872" s="1076"/>
      <c r="B2872" s="1080"/>
      <c r="C2872" s="424"/>
      <c r="G2872" s="312"/>
      <c r="H2872" s="467"/>
      <c r="I2872" s="467"/>
      <c r="J2872" s="469"/>
      <c r="K2872" s="312"/>
      <c r="L2872" s="312"/>
      <c r="M2872" s="312"/>
      <c r="N2872" s="467"/>
      <c r="O2872" s="467"/>
      <c r="P2872" s="467"/>
      <c r="AL2872" s="436"/>
      <c r="AM2872" s="436"/>
      <c r="AQ2872" s="436"/>
      <c r="AR2872" s="436"/>
      <c r="AS2872" s="436"/>
      <c r="AT2872" s="436"/>
      <c r="AU2872" s="436"/>
      <c r="AV2872" s="436"/>
      <c r="AW2872" s="436"/>
      <c r="AX2872" s="436"/>
      <c r="AY2872" s="436"/>
      <c r="AZ2872" s="475"/>
      <c r="BA2872" s="475"/>
      <c r="BF2872" s="1119"/>
      <c r="BG2872" s="1119"/>
      <c r="BH2872" s="1119"/>
    </row>
    <row r="2873" spans="1:60" ht="15.75" customHeight="1">
      <c r="A2873" s="1076"/>
      <c r="B2873" s="1080"/>
      <c r="C2873" s="424"/>
      <c r="G2873" s="312"/>
      <c r="H2873" s="467"/>
      <c r="I2873" s="467"/>
      <c r="J2873" s="469"/>
      <c r="K2873" s="312"/>
      <c r="L2873" s="312"/>
      <c r="M2873" s="312"/>
      <c r="N2873" s="467"/>
      <c r="O2873" s="467"/>
      <c r="P2873" s="467"/>
      <c r="AL2873" s="436"/>
      <c r="AM2873" s="436"/>
      <c r="AQ2873" s="436"/>
      <c r="AR2873" s="436"/>
      <c r="AS2873" s="436"/>
      <c r="AT2873" s="436"/>
      <c r="AU2873" s="436"/>
      <c r="AV2873" s="436"/>
      <c r="AW2873" s="436"/>
      <c r="AX2873" s="436"/>
      <c r="AY2873" s="436"/>
      <c r="AZ2873" s="475"/>
      <c r="BA2873" s="475"/>
      <c r="BF2873" s="1119"/>
      <c r="BG2873" s="1119"/>
      <c r="BH2873" s="1119"/>
    </row>
    <row r="2874" spans="1:60" ht="15.75" customHeight="1">
      <c r="A2874" s="1076"/>
      <c r="B2874" s="1080"/>
      <c r="C2874" s="424"/>
      <c r="G2874" s="312"/>
      <c r="H2874" s="467"/>
      <c r="I2874" s="467"/>
      <c r="J2874" s="469"/>
      <c r="K2874" s="312"/>
      <c r="L2874" s="312"/>
      <c r="M2874" s="312"/>
      <c r="N2874" s="467"/>
      <c r="O2874" s="467"/>
      <c r="P2874" s="467"/>
      <c r="AL2874" s="436"/>
      <c r="AM2874" s="436"/>
      <c r="AQ2874" s="436"/>
      <c r="AR2874" s="436"/>
      <c r="AS2874" s="436"/>
      <c r="AT2874" s="436"/>
      <c r="AU2874" s="436"/>
      <c r="AV2874" s="436"/>
      <c r="AW2874" s="436"/>
      <c r="AX2874" s="436"/>
      <c r="AY2874" s="436"/>
      <c r="AZ2874" s="475"/>
      <c r="BA2874" s="475"/>
      <c r="BF2874" s="1119"/>
      <c r="BG2874" s="1119"/>
      <c r="BH2874" s="1119"/>
    </row>
    <row r="2875" spans="1:60" ht="15.75" customHeight="1">
      <c r="A2875" s="1076"/>
      <c r="B2875" s="1080"/>
      <c r="C2875" s="424"/>
      <c r="G2875" s="312"/>
      <c r="H2875" s="467"/>
      <c r="I2875" s="467"/>
      <c r="J2875" s="469"/>
      <c r="K2875" s="312"/>
      <c r="L2875" s="312"/>
      <c r="M2875" s="312"/>
      <c r="N2875" s="467"/>
      <c r="O2875" s="467"/>
      <c r="P2875" s="467"/>
      <c r="AL2875" s="436"/>
      <c r="AM2875" s="436"/>
      <c r="AQ2875" s="436"/>
      <c r="AR2875" s="436"/>
      <c r="AS2875" s="436"/>
      <c r="AT2875" s="436"/>
      <c r="AU2875" s="436"/>
      <c r="AV2875" s="436"/>
      <c r="AW2875" s="436"/>
      <c r="AX2875" s="436"/>
      <c r="AY2875" s="436"/>
      <c r="AZ2875" s="475"/>
      <c r="BA2875" s="475"/>
      <c r="BF2875" s="1119"/>
      <c r="BG2875" s="1119"/>
      <c r="BH2875" s="1119"/>
    </row>
    <row r="2876" spans="1:60" ht="15.75" customHeight="1">
      <c r="A2876" s="1076"/>
      <c r="B2876" s="1080"/>
      <c r="C2876" s="424"/>
      <c r="G2876" s="312"/>
      <c r="H2876" s="467"/>
      <c r="I2876" s="467"/>
      <c r="J2876" s="469"/>
      <c r="K2876" s="312"/>
      <c r="L2876" s="312"/>
      <c r="M2876" s="312"/>
      <c r="N2876" s="467"/>
      <c r="O2876" s="467"/>
      <c r="P2876" s="467"/>
      <c r="AL2876" s="436"/>
      <c r="AM2876" s="436"/>
      <c r="AQ2876" s="436"/>
      <c r="AR2876" s="436"/>
      <c r="AS2876" s="436"/>
      <c r="AT2876" s="436"/>
      <c r="AU2876" s="436"/>
      <c r="AV2876" s="436"/>
      <c r="AW2876" s="436"/>
      <c r="AX2876" s="436"/>
      <c r="AY2876" s="436"/>
      <c r="AZ2876" s="475"/>
      <c r="BA2876" s="475"/>
      <c r="BF2876" s="1119"/>
      <c r="BG2876" s="1119"/>
      <c r="BH2876" s="1119"/>
    </row>
    <row r="2877" spans="1:60" ht="15.75" customHeight="1">
      <c r="A2877" s="1076"/>
      <c r="B2877" s="1080"/>
      <c r="C2877" s="424"/>
      <c r="G2877" s="312"/>
      <c r="H2877" s="467"/>
      <c r="I2877" s="467"/>
      <c r="J2877" s="469"/>
      <c r="K2877" s="312"/>
      <c r="L2877" s="312"/>
      <c r="M2877" s="312"/>
      <c r="N2877" s="467"/>
      <c r="O2877" s="467"/>
      <c r="P2877" s="467"/>
      <c r="AL2877" s="436"/>
      <c r="AM2877" s="436"/>
      <c r="AQ2877" s="436"/>
      <c r="AR2877" s="436"/>
      <c r="AS2877" s="436"/>
      <c r="AT2877" s="436"/>
      <c r="AU2877" s="436"/>
      <c r="AV2877" s="436"/>
      <c r="AW2877" s="436"/>
      <c r="AX2877" s="436"/>
      <c r="AY2877" s="436"/>
      <c r="AZ2877" s="475"/>
      <c r="BA2877" s="475"/>
      <c r="BF2877" s="1119"/>
      <c r="BG2877" s="1119"/>
      <c r="BH2877" s="1119"/>
    </row>
    <row r="2878" spans="1:60" ht="15.75" customHeight="1">
      <c r="A2878" s="1076"/>
      <c r="B2878" s="1080"/>
      <c r="C2878" s="424"/>
      <c r="G2878" s="312"/>
      <c r="H2878" s="467"/>
      <c r="I2878" s="467"/>
      <c r="J2878" s="469"/>
      <c r="K2878" s="312"/>
      <c r="L2878" s="312"/>
      <c r="M2878" s="312"/>
      <c r="N2878" s="467"/>
      <c r="O2878" s="467"/>
      <c r="P2878" s="467"/>
      <c r="AL2878" s="436"/>
      <c r="AM2878" s="436"/>
      <c r="AQ2878" s="436"/>
      <c r="AR2878" s="436"/>
      <c r="AS2878" s="436"/>
      <c r="AT2878" s="436"/>
      <c r="AU2878" s="436"/>
      <c r="AV2878" s="436"/>
      <c r="AW2878" s="436"/>
      <c r="AX2878" s="436"/>
      <c r="AY2878" s="436"/>
      <c r="AZ2878" s="475"/>
      <c r="BA2878" s="475"/>
      <c r="BF2878" s="1119"/>
      <c r="BG2878" s="1119"/>
      <c r="BH2878" s="1119"/>
    </row>
    <row r="2879" spans="1:60" ht="15.75" customHeight="1">
      <c r="A2879" s="1076"/>
      <c r="B2879" s="1080"/>
      <c r="C2879" s="424"/>
      <c r="G2879" s="312"/>
      <c r="H2879" s="467"/>
      <c r="I2879" s="467"/>
      <c r="J2879" s="469"/>
      <c r="K2879" s="312"/>
      <c r="L2879" s="312"/>
      <c r="M2879" s="312"/>
      <c r="N2879" s="467"/>
      <c r="O2879" s="467"/>
      <c r="P2879" s="467"/>
      <c r="AL2879" s="436"/>
      <c r="AM2879" s="436"/>
      <c r="AQ2879" s="436"/>
      <c r="AR2879" s="436"/>
      <c r="AS2879" s="436"/>
      <c r="AT2879" s="436"/>
      <c r="AU2879" s="436"/>
      <c r="AV2879" s="436"/>
      <c r="AW2879" s="436"/>
      <c r="AX2879" s="436"/>
      <c r="AY2879" s="436"/>
      <c r="AZ2879" s="475"/>
      <c r="BA2879" s="475"/>
      <c r="BF2879" s="1119"/>
      <c r="BG2879" s="1119"/>
      <c r="BH2879" s="1119"/>
    </row>
    <row r="2880" spans="1:60" ht="15.75" customHeight="1">
      <c r="A2880" s="1076"/>
      <c r="B2880" s="1080"/>
      <c r="C2880" s="424"/>
      <c r="G2880" s="312"/>
      <c r="H2880" s="467"/>
      <c r="I2880" s="467"/>
      <c r="J2880" s="469"/>
      <c r="K2880" s="312"/>
      <c r="L2880" s="312"/>
      <c r="M2880" s="312"/>
      <c r="N2880" s="467"/>
      <c r="O2880" s="467"/>
      <c r="P2880" s="467"/>
      <c r="AL2880" s="436"/>
      <c r="AM2880" s="436"/>
      <c r="AQ2880" s="436"/>
      <c r="AR2880" s="436"/>
      <c r="AS2880" s="436"/>
      <c r="AT2880" s="436"/>
      <c r="AU2880" s="436"/>
      <c r="AV2880" s="436"/>
      <c r="AW2880" s="436"/>
      <c r="AX2880" s="436"/>
      <c r="AY2880" s="436"/>
      <c r="AZ2880" s="475"/>
      <c r="BA2880" s="475"/>
      <c r="BF2880" s="1119"/>
      <c r="BG2880" s="1119"/>
      <c r="BH2880" s="1119"/>
    </row>
    <row r="2881" spans="1:60" ht="15.75" customHeight="1">
      <c r="A2881" s="1076"/>
      <c r="B2881" s="1080"/>
      <c r="C2881" s="424"/>
      <c r="G2881" s="312"/>
      <c r="H2881" s="467"/>
      <c r="I2881" s="467"/>
      <c r="J2881" s="469"/>
      <c r="K2881" s="312"/>
      <c r="L2881" s="312"/>
      <c r="M2881" s="312"/>
      <c r="N2881" s="467"/>
      <c r="O2881" s="467"/>
      <c r="P2881" s="467"/>
      <c r="AL2881" s="436"/>
      <c r="AM2881" s="436"/>
      <c r="AQ2881" s="436"/>
      <c r="AR2881" s="436"/>
      <c r="AS2881" s="436"/>
      <c r="AT2881" s="436"/>
      <c r="AU2881" s="436"/>
      <c r="AV2881" s="436"/>
      <c r="AW2881" s="436"/>
      <c r="AX2881" s="436"/>
      <c r="AY2881" s="436"/>
      <c r="AZ2881" s="475"/>
      <c r="BA2881" s="475"/>
      <c r="BF2881" s="1119"/>
      <c r="BG2881" s="1119"/>
      <c r="BH2881" s="1119"/>
    </row>
    <row r="2882" spans="1:60" ht="15.75" customHeight="1">
      <c r="A2882" s="1076"/>
      <c r="B2882" s="1080"/>
      <c r="C2882" s="424"/>
      <c r="G2882" s="312"/>
      <c r="H2882" s="467"/>
      <c r="I2882" s="467"/>
      <c r="J2882" s="469"/>
      <c r="K2882" s="312"/>
      <c r="L2882" s="312"/>
      <c r="M2882" s="312"/>
      <c r="N2882" s="467"/>
      <c r="O2882" s="467"/>
      <c r="P2882" s="467"/>
      <c r="AL2882" s="436"/>
      <c r="AM2882" s="436"/>
      <c r="AQ2882" s="436"/>
      <c r="AR2882" s="436"/>
      <c r="AS2882" s="436"/>
      <c r="AT2882" s="436"/>
      <c r="AU2882" s="436"/>
      <c r="AV2882" s="436"/>
      <c r="AW2882" s="436"/>
      <c r="AX2882" s="436"/>
      <c r="AY2882" s="436"/>
      <c r="AZ2882" s="475"/>
      <c r="BA2882" s="475"/>
      <c r="BF2882" s="1119"/>
      <c r="BG2882" s="1119"/>
      <c r="BH2882" s="1119"/>
    </row>
    <row r="2883" spans="1:60" ht="15.75" customHeight="1">
      <c r="A2883" s="1076"/>
      <c r="B2883" s="1080"/>
      <c r="C2883" s="424"/>
      <c r="G2883" s="312"/>
      <c r="H2883" s="467"/>
      <c r="I2883" s="467"/>
      <c r="J2883" s="469"/>
      <c r="K2883" s="312"/>
      <c r="L2883" s="312"/>
      <c r="M2883" s="312"/>
      <c r="N2883" s="467"/>
      <c r="O2883" s="467"/>
      <c r="P2883" s="467"/>
      <c r="AL2883" s="436"/>
      <c r="AM2883" s="436"/>
      <c r="AQ2883" s="436"/>
      <c r="AR2883" s="436"/>
      <c r="AS2883" s="436"/>
      <c r="AT2883" s="436"/>
      <c r="AU2883" s="436"/>
      <c r="AV2883" s="436"/>
      <c r="AW2883" s="436"/>
      <c r="AX2883" s="436"/>
      <c r="AY2883" s="436"/>
      <c r="AZ2883" s="475"/>
      <c r="BA2883" s="475"/>
      <c r="BF2883" s="1119"/>
      <c r="BG2883" s="1119"/>
      <c r="BH2883" s="1119"/>
    </row>
    <row r="2884" spans="1:60" ht="15.75" customHeight="1">
      <c r="A2884" s="1076"/>
      <c r="B2884" s="1080"/>
      <c r="C2884" s="424"/>
      <c r="G2884" s="312"/>
      <c r="H2884" s="467"/>
      <c r="I2884" s="467"/>
      <c r="J2884" s="469"/>
      <c r="K2884" s="312"/>
      <c r="L2884" s="312"/>
      <c r="M2884" s="312"/>
      <c r="N2884" s="467"/>
      <c r="O2884" s="467"/>
      <c r="P2884" s="467"/>
      <c r="AL2884" s="436"/>
      <c r="AM2884" s="436"/>
      <c r="AQ2884" s="436"/>
      <c r="AR2884" s="436"/>
      <c r="AS2884" s="436"/>
      <c r="AT2884" s="436"/>
      <c r="AU2884" s="436"/>
      <c r="AV2884" s="436"/>
      <c r="AW2884" s="436"/>
      <c r="AX2884" s="436"/>
      <c r="AY2884" s="436"/>
      <c r="AZ2884" s="475"/>
      <c r="BA2884" s="475"/>
      <c r="BF2884" s="1119"/>
      <c r="BG2884" s="1119"/>
      <c r="BH2884" s="1119"/>
    </row>
    <row r="2885" spans="1:60" ht="15.75" customHeight="1">
      <c r="A2885" s="1076"/>
      <c r="B2885" s="1080"/>
      <c r="C2885" s="424"/>
      <c r="G2885" s="312"/>
      <c r="H2885" s="467"/>
      <c r="I2885" s="467"/>
      <c r="J2885" s="469"/>
      <c r="K2885" s="312"/>
      <c r="L2885" s="312"/>
      <c r="M2885" s="312"/>
      <c r="N2885" s="467"/>
      <c r="O2885" s="467"/>
      <c r="P2885" s="467"/>
      <c r="AL2885" s="436"/>
      <c r="AM2885" s="436"/>
      <c r="AQ2885" s="436"/>
      <c r="AR2885" s="436"/>
      <c r="AS2885" s="436"/>
      <c r="AT2885" s="436"/>
      <c r="AU2885" s="436"/>
      <c r="AV2885" s="436"/>
      <c r="AW2885" s="436"/>
      <c r="AX2885" s="436"/>
      <c r="AY2885" s="436"/>
      <c r="AZ2885" s="475"/>
      <c r="BA2885" s="475"/>
      <c r="BF2885" s="1119"/>
      <c r="BG2885" s="1119"/>
      <c r="BH2885" s="1119"/>
    </row>
    <row r="2886" spans="1:60" ht="15.75" customHeight="1">
      <c r="A2886" s="1076"/>
      <c r="B2886" s="1080"/>
      <c r="C2886" s="424"/>
      <c r="G2886" s="312"/>
      <c r="H2886" s="467"/>
      <c r="I2886" s="467"/>
      <c r="J2886" s="469"/>
      <c r="K2886" s="312"/>
      <c r="L2886" s="312"/>
      <c r="M2886" s="312"/>
      <c r="N2886" s="467"/>
      <c r="O2886" s="467"/>
      <c r="P2886" s="467"/>
      <c r="AL2886" s="436"/>
      <c r="AM2886" s="436"/>
      <c r="AQ2886" s="436"/>
      <c r="AR2886" s="436"/>
      <c r="AS2886" s="436"/>
      <c r="AT2886" s="436"/>
      <c r="AU2886" s="436"/>
      <c r="AV2886" s="436"/>
      <c r="AW2886" s="436"/>
      <c r="AX2886" s="436"/>
      <c r="AY2886" s="436"/>
      <c r="AZ2886" s="475"/>
      <c r="BA2886" s="475"/>
      <c r="BF2886" s="1119"/>
      <c r="BG2886" s="1119"/>
      <c r="BH2886" s="1119"/>
    </row>
    <row r="2887" spans="1:60" ht="15.75" customHeight="1">
      <c r="A2887" s="1076"/>
      <c r="B2887" s="1080"/>
      <c r="C2887" s="424"/>
      <c r="G2887" s="312"/>
      <c r="H2887" s="467"/>
      <c r="I2887" s="467"/>
      <c r="J2887" s="469"/>
      <c r="K2887" s="312"/>
      <c r="L2887" s="312"/>
      <c r="M2887" s="312"/>
      <c r="N2887" s="467"/>
      <c r="O2887" s="467"/>
      <c r="P2887" s="467"/>
      <c r="AL2887" s="436"/>
      <c r="AM2887" s="436"/>
      <c r="AQ2887" s="436"/>
      <c r="AR2887" s="436"/>
      <c r="AS2887" s="436"/>
      <c r="AT2887" s="436"/>
      <c r="AU2887" s="436"/>
      <c r="AV2887" s="436"/>
      <c r="AW2887" s="436"/>
      <c r="AX2887" s="436"/>
      <c r="AY2887" s="436"/>
      <c r="AZ2887" s="475"/>
      <c r="BA2887" s="475"/>
      <c r="BF2887" s="1119"/>
      <c r="BG2887" s="1119"/>
      <c r="BH2887" s="1119"/>
    </row>
    <row r="2888" spans="1:60" ht="15.75" customHeight="1">
      <c r="A2888" s="1076"/>
      <c r="B2888" s="1080"/>
      <c r="C2888" s="424"/>
      <c r="G2888" s="312"/>
      <c r="H2888" s="467"/>
      <c r="I2888" s="467"/>
      <c r="J2888" s="469"/>
      <c r="K2888" s="312"/>
      <c r="L2888" s="312"/>
      <c r="M2888" s="312"/>
      <c r="N2888" s="467"/>
      <c r="O2888" s="467"/>
      <c r="P2888" s="467"/>
      <c r="AL2888" s="436"/>
      <c r="AM2888" s="436"/>
      <c r="AQ2888" s="436"/>
      <c r="AR2888" s="436"/>
      <c r="AS2888" s="436"/>
      <c r="AT2888" s="436"/>
      <c r="AU2888" s="436"/>
      <c r="AV2888" s="436"/>
      <c r="AW2888" s="436"/>
      <c r="AX2888" s="436"/>
      <c r="AY2888" s="436"/>
      <c r="AZ2888" s="475"/>
      <c r="BA2888" s="475"/>
      <c r="BF2888" s="1119"/>
      <c r="BG2888" s="1119"/>
      <c r="BH2888" s="1119"/>
    </row>
    <row r="2889" spans="1:60" ht="15.75" customHeight="1">
      <c r="A2889" s="1076"/>
      <c r="B2889" s="1080"/>
      <c r="C2889" s="424"/>
      <c r="G2889" s="312"/>
      <c r="H2889" s="467"/>
      <c r="I2889" s="467"/>
      <c r="J2889" s="469"/>
      <c r="K2889" s="312"/>
      <c r="L2889" s="312"/>
      <c r="M2889" s="312"/>
      <c r="N2889" s="467"/>
      <c r="O2889" s="467"/>
      <c r="P2889" s="467"/>
      <c r="AL2889" s="436"/>
      <c r="AM2889" s="436"/>
      <c r="AQ2889" s="436"/>
      <c r="AR2889" s="436"/>
      <c r="AS2889" s="436"/>
      <c r="AT2889" s="436"/>
      <c r="AU2889" s="436"/>
      <c r="AV2889" s="436"/>
      <c r="AW2889" s="436"/>
      <c r="AX2889" s="436"/>
      <c r="AY2889" s="436"/>
      <c r="AZ2889" s="475"/>
      <c r="BA2889" s="475"/>
      <c r="BF2889" s="1119"/>
      <c r="BG2889" s="1119"/>
      <c r="BH2889" s="1119"/>
    </row>
    <row r="2890" spans="1:60" ht="15.75" customHeight="1">
      <c r="A2890" s="1076"/>
      <c r="B2890" s="1080"/>
      <c r="C2890" s="424"/>
      <c r="G2890" s="312"/>
      <c r="H2890" s="467"/>
      <c r="I2890" s="467"/>
      <c r="J2890" s="469"/>
      <c r="K2890" s="312"/>
      <c r="L2890" s="312"/>
      <c r="M2890" s="312"/>
      <c r="N2890" s="467"/>
      <c r="O2890" s="467"/>
      <c r="P2890" s="467"/>
      <c r="AL2890" s="436"/>
      <c r="AM2890" s="436"/>
      <c r="AQ2890" s="436"/>
      <c r="AR2890" s="436"/>
      <c r="AS2890" s="436"/>
      <c r="AT2890" s="436"/>
      <c r="AU2890" s="436"/>
      <c r="AV2890" s="436"/>
      <c r="AW2890" s="436"/>
      <c r="AX2890" s="436"/>
      <c r="AY2890" s="436"/>
      <c r="AZ2890" s="475"/>
      <c r="BA2890" s="475"/>
      <c r="BF2890" s="1119"/>
      <c r="BG2890" s="1119"/>
      <c r="BH2890" s="1119"/>
    </row>
    <row r="2891" spans="1:60" ht="15.75" customHeight="1">
      <c r="A2891" s="1076"/>
      <c r="B2891" s="1080"/>
      <c r="C2891" s="424"/>
      <c r="G2891" s="312"/>
      <c r="H2891" s="467"/>
      <c r="I2891" s="467"/>
      <c r="J2891" s="469"/>
      <c r="K2891" s="312"/>
      <c r="L2891" s="312"/>
      <c r="M2891" s="312"/>
      <c r="N2891" s="467"/>
      <c r="O2891" s="467"/>
      <c r="P2891" s="467"/>
      <c r="AL2891" s="436"/>
      <c r="AM2891" s="436"/>
      <c r="AQ2891" s="436"/>
      <c r="AR2891" s="436"/>
      <c r="AS2891" s="436"/>
      <c r="AT2891" s="436"/>
      <c r="AU2891" s="436"/>
      <c r="AV2891" s="436"/>
      <c r="AW2891" s="436"/>
      <c r="AX2891" s="436"/>
      <c r="AY2891" s="436"/>
      <c r="AZ2891" s="475"/>
      <c r="BA2891" s="475"/>
      <c r="BF2891" s="1119"/>
      <c r="BG2891" s="1119"/>
      <c r="BH2891" s="1119"/>
    </row>
    <row r="2892" spans="1:60" ht="15.75" customHeight="1">
      <c r="A2892" s="1076"/>
      <c r="B2892" s="1080"/>
      <c r="C2892" s="424"/>
      <c r="G2892" s="312"/>
      <c r="H2892" s="467"/>
      <c r="I2892" s="467"/>
      <c r="J2892" s="469"/>
      <c r="K2892" s="312"/>
      <c r="L2892" s="312"/>
      <c r="M2892" s="312"/>
      <c r="N2892" s="467"/>
      <c r="O2892" s="467"/>
      <c r="P2892" s="467"/>
      <c r="AL2892" s="436"/>
      <c r="AM2892" s="436"/>
      <c r="AQ2892" s="436"/>
      <c r="AR2892" s="436"/>
      <c r="AS2892" s="436"/>
      <c r="AT2892" s="436"/>
      <c r="AU2892" s="436"/>
      <c r="AV2892" s="436"/>
      <c r="AW2892" s="436"/>
      <c r="AX2892" s="436"/>
      <c r="AY2892" s="436"/>
      <c r="AZ2892" s="475"/>
      <c r="BA2892" s="475"/>
      <c r="BF2892" s="1119"/>
      <c r="BG2892" s="1119"/>
      <c r="BH2892" s="1119"/>
    </row>
    <row r="2893" spans="1:60" ht="15.75" customHeight="1">
      <c r="A2893" s="1076"/>
      <c r="B2893" s="1080"/>
      <c r="C2893" s="424"/>
      <c r="G2893" s="312"/>
      <c r="H2893" s="467"/>
      <c r="I2893" s="467"/>
      <c r="J2893" s="469"/>
      <c r="K2893" s="312"/>
      <c r="L2893" s="312"/>
      <c r="M2893" s="312"/>
      <c r="N2893" s="467"/>
      <c r="O2893" s="467"/>
      <c r="P2893" s="467"/>
      <c r="AL2893" s="436"/>
      <c r="AM2893" s="436"/>
      <c r="AQ2893" s="436"/>
      <c r="AR2893" s="436"/>
      <c r="AS2893" s="436"/>
      <c r="AT2893" s="436"/>
      <c r="AU2893" s="436"/>
      <c r="AV2893" s="436"/>
      <c r="AW2893" s="436"/>
      <c r="AX2893" s="436"/>
      <c r="AY2893" s="436"/>
      <c r="AZ2893" s="475"/>
      <c r="BA2893" s="475"/>
      <c r="BF2893" s="1119"/>
      <c r="BG2893" s="1119"/>
      <c r="BH2893" s="1119"/>
    </row>
    <row r="2894" spans="1:60" ht="15.75" customHeight="1">
      <c r="A2894" s="1076"/>
      <c r="B2894" s="1080"/>
      <c r="C2894" s="424"/>
      <c r="G2894" s="312"/>
      <c r="H2894" s="467"/>
      <c r="I2894" s="467"/>
      <c r="J2894" s="469"/>
      <c r="K2894" s="312"/>
      <c r="L2894" s="312"/>
      <c r="M2894" s="312"/>
      <c r="N2894" s="467"/>
      <c r="O2894" s="467"/>
      <c r="P2894" s="467"/>
      <c r="AL2894" s="436"/>
      <c r="AM2894" s="436"/>
      <c r="AQ2894" s="436"/>
      <c r="AR2894" s="436"/>
      <c r="AS2894" s="436"/>
      <c r="AT2894" s="436"/>
      <c r="AU2894" s="436"/>
      <c r="AV2894" s="436"/>
      <c r="AW2894" s="436"/>
      <c r="AX2894" s="436"/>
      <c r="AY2894" s="436"/>
      <c r="AZ2894" s="475"/>
      <c r="BA2894" s="475"/>
      <c r="BF2894" s="1119"/>
      <c r="BG2894" s="1119"/>
      <c r="BH2894" s="1119"/>
    </row>
    <row r="2895" spans="1:60" ht="15.75" customHeight="1">
      <c r="A2895" s="1076"/>
      <c r="B2895" s="1080"/>
      <c r="C2895" s="424"/>
      <c r="G2895" s="312"/>
      <c r="H2895" s="467"/>
      <c r="I2895" s="467"/>
      <c r="J2895" s="469"/>
      <c r="K2895" s="312"/>
      <c r="L2895" s="312"/>
      <c r="M2895" s="312"/>
      <c r="N2895" s="467"/>
      <c r="O2895" s="467"/>
      <c r="P2895" s="467"/>
      <c r="AL2895" s="436"/>
      <c r="AM2895" s="436"/>
      <c r="AQ2895" s="436"/>
      <c r="AR2895" s="436"/>
      <c r="AS2895" s="436"/>
      <c r="AT2895" s="436"/>
      <c r="AU2895" s="436"/>
      <c r="AV2895" s="436"/>
      <c r="AW2895" s="436"/>
      <c r="AX2895" s="436"/>
      <c r="AY2895" s="436"/>
      <c r="AZ2895" s="475"/>
      <c r="BA2895" s="475"/>
      <c r="BF2895" s="1119"/>
      <c r="BG2895" s="1119"/>
      <c r="BH2895" s="1119"/>
    </row>
    <row r="2896" spans="1:60" ht="15.75" customHeight="1">
      <c r="A2896" s="1076"/>
      <c r="B2896" s="1080"/>
      <c r="C2896" s="424"/>
      <c r="G2896" s="312"/>
      <c r="H2896" s="467"/>
      <c r="I2896" s="467"/>
      <c r="J2896" s="469"/>
      <c r="K2896" s="312"/>
      <c r="L2896" s="312"/>
      <c r="M2896" s="312"/>
      <c r="N2896" s="467"/>
      <c r="O2896" s="467"/>
      <c r="P2896" s="467"/>
      <c r="AL2896" s="436"/>
      <c r="AM2896" s="436"/>
      <c r="AQ2896" s="436"/>
      <c r="AR2896" s="436"/>
      <c r="AS2896" s="436"/>
      <c r="AT2896" s="436"/>
      <c r="AU2896" s="436"/>
      <c r="AV2896" s="436"/>
      <c r="AW2896" s="436"/>
      <c r="AX2896" s="436"/>
      <c r="AY2896" s="436"/>
      <c r="AZ2896" s="475"/>
      <c r="BA2896" s="475"/>
      <c r="BF2896" s="1119"/>
      <c r="BG2896" s="1119"/>
      <c r="BH2896" s="1119"/>
    </row>
    <row r="2897" spans="1:60" ht="15.75" customHeight="1">
      <c r="A2897" s="1076"/>
      <c r="B2897" s="1080"/>
      <c r="C2897" s="424"/>
      <c r="G2897" s="312"/>
      <c r="H2897" s="467"/>
      <c r="I2897" s="467"/>
      <c r="J2897" s="469"/>
      <c r="K2897" s="312"/>
      <c r="L2897" s="312"/>
      <c r="M2897" s="312"/>
      <c r="N2897" s="467"/>
      <c r="O2897" s="467"/>
      <c r="P2897" s="467"/>
      <c r="AL2897" s="436"/>
      <c r="AM2897" s="436"/>
      <c r="AQ2897" s="436"/>
      <c r="AR2897" s="436"/>
      <c r="AS2897" s="436"/>
      <c r="AT2897" s="436"/>
      <c r="AU2897" s="436"/>
      <c r="AV2897" s="436"/>
      <c r="AW2897" s="436"/>
      <c r="AX2897" s="436"/>
      <c r="AY2897" s="436"/>
      <c r="AZ2897" s="475"/>
      <c r="BA2897" s="475"/>
      <c r="BF2897" s="1119"/>
      <c r="BG2897" s="1119"/>
      <c r="BH2897" s="1119"/>
    </row>
    <row r="2898" spans="1:60" ht="15.75" customHeight="1">
      <c r="A2898" s="1076"/>
      <c r="B2898" s="1080"/>
      <c r="C2898" s="424"/>
      <c r="G2898" s="312"/>
      <c r="H2898" s="467"/>
      <c r="I2898" s="467"/>
      <c r="J2898" s="469"/>
      <c r="K2898" s="312"/>
      <c r="L2898" s="312"/>
      <c r="M2898" s="312"/>
      <c r="N2898" s="467"/>
      <c r="O2898" s="467"/>
      <c r="P2898" s="467"/>
      <c r="AL2898" s="436"/>
      <c r="AM2898" s="436"/>
      <c r="AQ2898" s="436"/>
      <c r="AR2898" s="436"/>
      <c r="AS2898" s="436"/>
      <c r="AT2898" s="436"/>
      <c r="AU2898" s="436"/>
      <c r="AV2898" s="436"/>
      <c r="AW2898" s="436"/>
      <c r="AX2898" s="436"/>
      <c r="AY2898" s="436"/>
      <c r="AZ2898" s="475"/>
      <c r="BA2898" s="475"/>
      <c r="BF2898" s="1119"/>
      <c r="BG2898" s="1119"/>
      <c r="BH2898" s="1119"/>
    </row>
    <row r="2899" spans="1:60" ht="15.75" customHeight="1">
      <c r="A2899" s="1076"/>
      <c r="B2899" s="1080"/>
      <c r="C2899" s="424"/>
      <c r="G2899" s="312"/>
      <c r="H2899" s="467"/>
      <c r="I2899" s="467"/>
      <c r="J2899" s="469"/>
      <c r="K2899" s="312"/>
      <c r="L2899" s="312"/>
      <c r="M2899" s="312"/>
      <c r="N2899" s="467"/>
      <c r="O2899" s="467"/>
      <c r="P2899" s="467"/>
      <c r="AL2899" s="436"/>
      <c r="AM2899" s="436"/>
      <c r="AQ2899" s="436"/>
      <c r="AR2899" s="436"/>
      <c r="AS2899" s="436"/>
      <c r="AT2899" s="436"/>
      <c r="AU2899" s="436"/>
      <c r="AV2899" s="436"/>
      <c r="AW2899" s="436"/>
      <c r="AX2899" s="436"/>
      <c r="AY2899" s="436"/>
      <c r="AZ2899" s="475"/>
      <c r="BA2899" s="475"/>
      <c r="BF2899" s="1119"/>
      <c r="BG2899" s="1119"/>
      <c r="BH2899" s="1119"/>
    </row>
    <row r="2900" spans="1:60" ht="15.75" customHeight="1">
      <c r="A2900" s="1076"/>
      <c r="B2900" s="1080"/>
      <c r="C2900" s="424"/>
      <c r="G2900" s="312"/>
      <c r="H2900" s="467"/>
      <c r="I2900" s="467"/>
      <c r="J2900" s="469"/>
      <c r="K2900" s="312"/>
      <c r="L2900" s="312"/>
      <c r="M2900" s="312"/>
      <c r="N2900" s="467"/>
      <c r="O2900" s="467"/>
      <c r="P2900" s="467"/>
      <c r="AL2900" s="436"/>
      <c r="AM2900" s="436"/>
      <c r="AQ2900" s="436"/>
      <c r="AR2900" s="436"/>
      <c r="AS2900" s="436"/>
      <c r="AT2900" s="436"/>
      <c r="AU2900" s="436"/>
      <c r="AV2900" s="436"/>
      <c r="AW2900" s="436"/>
      <c r="AX2900" s="436"/>
      <c r="AY2900" s="436"/>
      <c r="AZ2900" s="475"/>
      <c r="BA2900" s="475"/>
      <c r="BF2900" s="1119"/>
      <c r="BG2900" s="1119"/>
      <c r="BH2900" s="1119"/>
    </row>
    <row r="2901" spans="1:60" ht="15.75" customHeight="1">
      <c r="A2901" s="1076"/>
      <c r="B2901" s="1080"/>
      <c r="C2901" s="424"/>
      <c r="G2901" s="312"/>
      <c r="H2901" s="467"/>
      <c r="I2901" s="467"/>
      <c r="J2901" s="469"/>
      <c r="K2901" s="312"/>
      <c r="L2901" s="312"/>
      <c r="M2901" s="312"/>
      <c r="N2901" s="467"/>
      <c r="O2901" s="467"/>
      <c r="P2901" s="467"/>
      <c r="AL2901" s="436"/>
      <c r="AM2901" s="436"/>
      <c r="AQ2901" s="436"/>
      <c r="AR2901" s="436"/>
      <c r="AS2901" s="436"/>
      <c r="AT2901" s="436"/>
      <c r="AU2901" s="436"/>
      <c r="AV2901" s="436"/>
      <c r="AW2901" s="436"/>
      <c r="AX2901" s="436"/>
      <c r="AY2901" s="436"/>
      <c r="AZ2901" s="475"/>
      <c r="BA2901" s="475"/>
      <c r="BF2901" s="1119"/>
      <c r="BG2901" s="1119"/>
      <c r="BH2901" s="1119"/>
    </row>
    <row r="2902" spans="1:60" ht="15.75" customHeight="1">
      <c r="A2902" s="1076"/>
      <c r="B2902" s="1080"/>
      <c r="C2902" s="424"/>
      <c r="G2902" s="312"/>
      <c r="H2902" s="467"/>
      <c r="I2902" s="467"/>
      <c r="J2902" s="469"/>
      <c r="K2902" s="312"/>
      <c r="L2902" s="312"/>
      <c r="M2902" s="312"/>
      <c r="N2902" s="467"/>
      <c r="O2902" s="467"/>
      <c r="P2902" s="467"/>
      <c r="AL2902" s="436"/>
      <c r="AM2902" s="436"/>
      <c r="AQ2902" s="436"/>
      <c r="AR2902" s="436"/>
      <c r="AS2902" s="436"/>
      <c r="AT2902" s="436"/>
      <c r="AU2902" s="436"/>
      <c r="AV2902" s="436"/>
      <c r="AW2902" s="436"/>
      <c r="AX2902" s="436"/>
      <c r="AY2902" s="436"/>
      <c r="AZ2902" s="475"/>
      <c r="BA2902" s="475"/>
      <c r="BF2902" s="1119"/>
      <c r="BG2902" s="1119"/>
      <c r="BH2902" s="1119"/>
    </row>
    <row r="2903" spans="1:60" ht="15.75" customHeight="1">
      <c r="A2903" s="1076"/>
      <c r="B2903" s="1080"/>
      <c r="C2903" s="424"/>
      <c r="G2903" s="312"/>
      <c r="H2903" s="467"/>
      <c r="I2903" s="467"/>
      <c r="J2903" s="469"/>
      <c r="K2903" s="312"/>
      <c r="L2903" s="312"/>
      <c r="M2903" s="312"/>
      <c r="N2903" s="467"/>
      <c r="O2903" s="467"/>
      <c r="P2903" s="467"/>
      <c r="AL2903" s="436"/>
      <c r="AM2903" s="436"/>
      <c r="AQ2903" s="436"/>
      <c r="AR2903" s="436"/>
      <c r="AS2903" s="436"/>
      <c r="AT2903" s="436"/>
      <c r="AU2903" s="436"/>
      <c r="AV2903" s="436"/>
      <c r="AW2903" s="436"/>
      <c r="AX2903" s="436"/>
      <c r="AY2903" s="436"/>
      <c r="AZ2903" s="475"/>
      <c r="BA2903" s="475"/>
      <c r="BF2903" s="1119"/>
      <c r="BG2903" s="1119"/>
      <c r="BH2903" s="1119"/>
    </row>
    <row r="2904" spans="1:60" ht="15.75" customHeight="1">
      <c r="A2904" s="1076"/>
      <c r="B2904" s="1080"/>
      <c r="C2904" s="424"/>
      <c r="G2904" s="312"/>
      <c r="H2904" s="467"/>
      <c r="I2904" s="467"/>
      <c r="J2904" s="469"/>
      <c r="K2904" s="312"/>
      <c r="L2904" s="312"/>
      <c r="M2904" s="312"/>
      <c r="N2904" s="467"/>
      <c r="O2904" s="467"/>
      <c r="P2904" s="467"/>
      <c r="AL2904" s="436"/>
      <c r="AM2904" s="436"/>
      <c r="AQ2904" s="436"/>
      <c r="AR2904" s="436"/>
      <c r="AS2904" s="436"/>
      <c r="AT2904" s="436"/>
      <c r="AU2904" s="436"/>
      <c r="AV2904" s="436"/>
      <c r="AW2904" s="436"/>
      <c r="AX2904" s="436"/>
      <c r="AY2904" s="436"/>
      <c r="AZ2904" s="475"/>
      <c r="BA2904" s="475"/>
      <c r="BF2904" s="1119"/>
      <c r="BG2904" s="1119"/>
      <c r="BH2904" s="1119"/>
    </row>
    <row r="2905" spans="1:60" ht="15.75" customHeight="1">
      <c r="A2905" s="1076"/>
      <c r="B2905" s="1080"/>
      <c r="C2905" s="424"/>
      <c r="G2905" s="312"/>
      <c r="H2905" s="467"/>
      <c r="I2905" s="467"/>
      <c r="J2905" s="469"/>
      <c r="K2905" s="312"/>
      <c r="L2905" s="312"/>
      <c r="M2905" s="312"/>
      <c r="N2905" s="467"/>
      <c r="O2905" s="467"/>
      <c r="P2905" s="467"/>
      <c r="AL2905" s="436"/>
      <c r="AM2905" s="436"/>
      <c r="AQ2905" s="436"/>
      <c r="AR2905" s="436"/>
      <c r="AS2905" s="436"/>
      <c r="AT2905" s="436"/>
      <c r="AU2905" s="436"/>
      <c r="AV2905" s="436"/>
      <c r="AW2905" s="436"/>
      <c r="AX2905" s="436"/>
      <c r="AY2905" s="436"/>
      <c r="AZ2905" s="475"/>
      <c r="BA2905" s="475"/>
      <c r="BF2905" s="1119"/>
      <c r="BG2905" s="1119"/>
      <c r="BH2905" s="1119"/>
    </row>
    <row r="2906" spans="1:60" ht="15.75" customHeight="1">
      <c r="A2906" s="1076"/>
      <c r="B2906" s="1080"/>
      <c r="C2906" s="424"/>
      <c r="G2906" s="312"/>
      <c r="H2906" s="467"/>
      <c r="I2906" s="467"/>
      <c r="J2906" s="469"/>
      <c r="K2906" s="312"/>
      <c r="L2906" s="312"/>
      <c r="M2906" s="312"/>
      <c r="N2906" s="467"/>
      <c r="O2906" s="467"/>
      <c r="P2906" s="467"/>
      <c r="AL2906" s="436"/>
      <c r="AM2906" s="436"/>
      <c r="AQ2906" s="436"/>
      <c r="AR2906" s="436"/>
      <c r="AS2906" s="436"/>
      <c r="AT2906" s="436"/>
      <c r="AU2906" s="436"/>
      <c r="AV2906" s="436"/>
      <c r="AW2906" s="436"/>
      <c r="AX2906" s="436"/>
      <c r="AY2906" s="436"/>
      <c r="AZ2906" s="475"/>
      <c r="BA2906" s="475"/>
      <c r="BF2906" s="1119"/>
      <c r="BG2906" s="1119"/>
      <c r="BH2906" s="1119"/>
    </row>
    <row r="2907" spans="1:60" ht="15.75" customHeight="1">
      <c r="A2907" s="1076"/>
      <c r="B2907" s="1080"/>
      <c r="C2907" s="424"/>
      <c r="G2907" s="312"/>
      <c r="H2907" s="467"/>
      <c r="I2907" s="467"/>
      <c r="J2907" s="469"/>
      <c r="K2907" s="312"/>
      <c r="L2907" s="312"/>
      <c r="M2907" s="312"/>
      <c r="N2907" s="467"/>
      <c r="O2907" s="467"/>
      <c r="P2907" s="467"/>
      <c r="AL2907" s="436"/>
      <c r="AM2907" s="436"/>
      <c r="AQ2907" s="436"/>
      <c r="AR2907" s="436"/>
      <c r="AS2907" s="436"/>
      <c r="AT2907" s="436"/>
      <c r="AU2907" s="436"/>
      <c r="AV2907" s="436"/>
      <c r="AW2907" s="436"/>
      <c r="AX2907" s="436"/>
      <c r="AY2907" s="436"/>
      <c r="AZ2907" s="475"/>
      <c r="BA2907" s="475"/>
      <c r="BF2907" s="1119"/>
      <c r="BG2907" s="1119"/>
      <c r="BH2907" s="1119"/>
    </row>
    <row r="2908" spans="1:60" ht="15.75" customHeight="1">
      <c r="A2908" s="1076"/>
      <c r="B2908" s="1080"/>
      <c r="C2908" s="424"/>
      <c r="G2908" s="312"/>
      <c r="H2908" s="467"/>
      <c r="I2908" s="467"/>
      <c r="J2908" s="469"/>
      <c r="K2908" s="312"/>
      <c r="L2908" s="312"/>
      <c r="M2908" s="312"/>
      <c r="N2908" s="467"/>
      <c r="O2908" s="467"/>
      <c r="P2908" s="467"/>
      <c r="AL2908" s="436"/>
      <c r="AM2908" s="436"/>
      <c r="AQ2908" s="436"/>
      <c r="AR2908" s="436"/>
      <c r="AS2908" s="436"/>
      <c r="AT2908" s="436"/>
      <c r="AU2908" s="436"/>
      <c r="AV2908" s="436"/>
      <c r="AW2908" s="436"/>
      <c r="AX2908" s="436"/>
      <c r="AY2908" s="436"/>
      <c r="AZ2908" s="475"/>
      <c r="BA2908" s="475"/>
      <c r="BF2908" s="1119"/>
      <c r="BG2908" s="1119"/>
      <c r="BH2908" s="1119"/>
    </row>
    <row r="2909" spans="1:60" ht="15.75" customHeight="1">
      <c r="A2909" s="1076"/>
      <c r="B2909" s="1080"/>
      <c r="C2909" s="424"/>
      <c r="G2909" s="312"/>
      <c r="H2909" s="467"/>
      <c r="I2909" s="467"/>
      <c r="J2909" s="469"/>
      <c r="K2909" s="312"/>
      <c r="L2909" s="312"/>
      <c r="M2909" s="312"/>
      <c r="N2909" s="467"/>
      <c r="O2909" s="467"/>
      <c r="P2909" s="467"/>
      <c r="AL2909" s="436"/>
      <c r="AM2909" s="436"/>
      <c r="AQ2909" s="436"/>
      <c r="AR2909" s="436"/>
      <c r="AS2909" s="436"/>
      <c r="AT2909" s="436"/>
      <c r="AU2909" s="436"/>
      <c r="AV2909" s="436"/>
      <c r="AW2909" s="436"/>
      <c r="AX2909" s="436"/>
      <c r="AY2909" s="436"/>
      <c r="AZ2909" s="475"/>
      <c r="BA2909" s="475"/>
      <c r="BF2909" s="1119"/>
      <c r="BG2909" s="1119"/>
      <c r="BH2909" s="1119"/>
    </row>
    <row r="2910" spans="1:60" ht="15.75" customHeight="1">
      <c r="A2910" s="1076"/>
      <c r="B2910" s="1080"/>
      <c r="C2910" s="424"/>
      <c r="G2910" s="312"/>
      <c r="H2910" s="467"/>
      <c r="I2910" s="467"/>
      <c r="J2910" s="469"/>
      <c r="K2910" s="312"/>
      <c r="L2910" s="312"/>
      <c r="M2910" s="312"/>
      <c r="N2910" s="467"/>
      <c r="O2910" s="467"/>
      <c r="P2910" s="467"/>
      <c r="AL2910" s="436"/>
      <c r="AM2910" s="436"/>
      <c r="AQ2910" s="436"/>
      <c r="AR2910" s="436"/>
      <c r="AS2910" s="436"/>
      <c r="AT2910" s="436"/>
      <c r="AU2910" s="436"/>
      <c r="AV2910" s="436"/>
      <c r="AW2910" s="436"/>
      <c r="AX2910" s="436"/>
      <c r="AY2910" s="436"/>
      <c r="AZ2910" s="475"/>
      <c r="BA2910" s="475"/>
      <c r="BF2910" s="1119"/>
      <c r="BG2910" s="1119"/>
      <c r="BH2910" s="1119"/>
    </row>
    <row r="2911" spans="1:60" ht="15.75" customHeight="1">
      <c r="A2911" s="1076"/>
      <c r="B2911" s="1080"/>
      <c r="C2911" s="424"/>
      <c r="G2911" s="312"/>
      <c r="H2911" s="467"/>
      <c r="I2911" s="467"/>
      <c r="J2911" s="469"/>
      <c r="K2911" s="312"/>
      <c r="L2911" s="312"/>
      <c r="M2911" s="312"/>
      <c r="N2911" s="467"/>
      <c r="O2911" s="467"/>
      <c r="P2911" s="467"/>
      <c r="AL2911" s="436"/>
      <c r="AM2911" s="436"/>
      <c r="AQ2911" s="436"/>
      <c r="AR2911" s="436"/>
      <c r="AS2911" s="436"/>
      <c r="AT2911" s="436"/>
      <c r="AU2911" s="436"/>
      <c r="AV2911" s="436"/>
      <c r="AW2911" s="436"/>
      <c r="AX2911" s="436"/>
      <c r="AY2911" s="436"/>
      <c r="AZ2911" s="475"/>
      <c r="BA2911" s="475"/>
      <c r="BF2911" s="1119"/>
      <c r="BG2911" s="1119"/>
      <c r="BH2911" s="1119"/>
    </row>
    <row r="2912" spans="1:60" ht="15.75" customHeight="1">
      <c r="A2912" s="1076"/>
      <c r="B2912" s="1080"/>
      <c r="C2912" s="424"/>
      <c r="G2912" s="312"/>
      <c r="H2912" s="467"/>
      <c r="I2912" s="467"/>
      <c r="J2912" s="469"/>
      <c r="K2912" s="312"/>
      <c r="L2912" s="312"/>
      <c r="M2912" s="312"/>
      <c r="N2912" s="467"/>
      <c r="O2912" s="467"/>
      <c r="P2912" s="467"/>
      <c r="AL2912" s="436"/>
      <c r="AM2912" s="436"/>
      <c r="AQ2912" s="436"/>
      <c r="AR2912" s="436"/>
      <c r="AS2912" s="436"/>
      <c r="AT2912" s="436"/>
      <c r="AU2912" s="436"/>
      <c r="AV2912" s="436"/>
      <c r="AW2912" s="436"/>
      <c r="AX2912" s="436"/>
      <c r="AY2912" s="436"/>
      <c r="AZ2912" s="475"/>
      <c r="BA2912" s="475"/>
      <c r="BF2912" s="1119"/>
      <c r="BG2912" s="1119"/>
      <c r="BH2912" s="1119"/>
    </row>
    <row r="2913" spans="1:60" ht="15.75" customHeight="1">
      <c r="A2913" s="1076"/>
      <c r="B2913" s="1080"/>
      <c r="C2913" s="424"/>
      <c r="G2913" s="312"/>
      <c r="H2913" s="467"/>
      <c r="I2913" s="467"/>
      <c r="J2913" s="469"/>
      <c r="K2913" s="312"/>
      <c r="L2913" s="312"/>
      <c r="M2913" s="312"/>
      <c r="N2913" s="467"/>
      <c r="O2913" s="467"/>
      <c r="P2913" s="467"/>
      <c r="AL2913" s="436"/>
      <c r="AM2913" s="436"/>
      <c r="AQ2913" s="436"/>
      <c r="AR2913" s="436"/>
      <c r="AS2913" s="436"/>
      <c r="AT2913" s="436"/>
      <c r="AU2913" s="436"/>
      <c r="AV2913" s="436"/>
      <c r="AW2913" s="436"/>
      <c r="AX2913" s="436"/>
      <c r="AY2913" s="436"/>
      <c r="AZ2913" s="475"/>
      <c r="BA2913" s="475"/>
      <c r="BF2913" s="1119"/>
      <c r="BG2913" s="1119"/>
      <c r="BH2913" s="1119"/>
    </row>
    <row r="2914" spans="1:60" ht="15.75" customHeight="1">
      <c r="A2914" s="1076"/>
      <c r="B2914" s="1080"/>
      <c r="C2914" s="424"/>
      <c r="G2914" s="312"/>
      <c r="H2914" s="467"/>
      <c r="I2914" s="467"/>
      <c r="J2914" s="469"/>
      <c r="K2914" s="312"/>
      <c r="L2914" s="312"/>
      <c r="M2914" s="312"/>
      <c r="N2914" s="467"/>
      <c r="O2914" s="467"/>
      <c r="P2914" s="467"/>
      <c r="AL2914" s="436"/>
      <c r="AM2914" s="436"/>
      <c r="AQ2914" s="436"/>
      <c r="AR2914" s="436"/>
      <c r="AS2914" s="436"/>
      <c r="AT2914" s="436"/>
      <c r="AU2914" s="436"/>
      <c r="AV2914" s="436"/>
      <c r="AW2914" s="436"/>
      <c r="AX2914" s="436"/>
      <c r="AY2914" s="436"/>
      <c r="AZ2914" s="475"/>
      <c r="BA2914" s="475"/>
      <c r="BF2914" s="1119"/>
      <c r="BG2914" s="1119"/>
      <c r="BH2914" s="1119"/>
    </row>
    <row r="2915" spans="1:60" ht="15.75" customHeight="1">
      <c r="A2915" s="1076"/>
      <c r="B2915" s="1080"/>
      <c r="C2915" s="424"/>
      <c r="G2915" s="312"/>
      <c r="H2915" s="467"/>
      <c r="I2915" s="467"/>
      <c r="J2915" s="469"/>
      <c r="K2915" s="312"/>
      <c r="L2915" s="312"/>
      <c r="M2915" s="312"/>
      <c r="N2915" s="467"/>
      <c r="O2915" s="467"/>
      <c r="P2915" s="467"/>
      <c r="AL2915" s="436"/>
      <c r="AM2915" s="436"/>
      <c r="AQ2915" s="436"/>
      <c r="AR2915" s="436"/>
      <c r="AS2915" s="436"/>
      <c r="AT2915" s="436"/>
      <c r="AU2915" s="436"/>
      <c r="AV2915" s="436"/>
      <c r="AW2915" s="436"/>
      <c r="AX2915" s="436"/>
      <c r="AY2915" s="436"/>
      <c r="AZ2915" s="475"/>
      <c r="BA2915" s="475"/>
      <c r="BF2915" s="1119"/>
      <c r="BG2915" s="1119"/>
      <c r="BH2915" s="1119"/>
    </row>
    <row r="2916" spans="1:60" ht="15.75" customHeight="1">
      <c r="A2916" s="1076"/>
      <c r="B2916" s="1080"/>
      <c r="C2916" s="424"/>
      <c r="G2916" s="312"/>
      <c r="H2916" s="467"/>
      <c r="I2916" s="467"/>
      <c r="J2916" s="469"/>
      <c r="K2916" s="312"/>
      <c r="L2916" s="312"/>
      <c r="M2916" s="312"/>
      <c r="N2916" s="467"/>
      <c r="O2916" s="467"/>
      <c r="P2916" s="467"/>
      <c r="AL2916" s="436"/>
      <c r="AM2916" s="436"/>
      <c r="AQ2916" s="436"/>
      <c r="AR2916" s="436"/>
      <c r="AS2916" s="436"/>
      <c r="AT2916" s="436"/>
      <c r="AU2916" s="436"/>
      <c r="AV2916" s="436"/>
      <c r="AW2916" s="436"/>
      <c r="AX2916" s="436"/>
      <c r="AY2916" s="436"/>
      <c r="AZ2916" s="475"/>
      <c r="BA2916" s="475"/>
      <c r="BF2916" s="1119"/>
      <c r="BG2916" s="1119"/>
      <c r="BH2916" s="1119"/>
    </row>
    <row r="2917" spans="1:60" ht="15.75" customHeight="1">
      <c r="A2917" s="1076"/>
      <c r="B2917" s="1080"/>
      <c r="C2917" s="424"/>
      <c r="G2917" s="312"/>
      <c r="H2917" s="467"/>
      <c r="I2917" s="467"/>
      <c r="J2917" s="469"/>
      <c r="K2917" s="312"/>
      <c r="L2917" s="312"/>
      <c r="M2917" s="312"/>
      <c r="N2917" s="467"/>
      <c r="O2917" s="467"/>
      <c r="P2917" s="467"/>
      <c r="AL2917" s="436"/>
      <c r="AM2917" s="436"/>
      <c r="AQ2917" s="436"/>
      <c r="AR2917" s="436"/>
      <c r="AS2917" s="436"/>
      <c r="AT2917" s="436"/>
      <c r="AU2917" s="436"/>
      <c r="AV2917" s="436"/>
      <c r="AW2917" s="436"/>
      <c r="AX2917" s="436"/>
      <c r="AY2917" s="436"/>
      <c r="AZ2917" s="475"/>
      <c r="BA2917" s="475"/>
      <c r="BF2917" s="1119"/>
      <c r="BG2917" s="1119"/>
      <c r="BH2917" s="1119"/>
    </row>
    <row r="2918" spans="1:60" ht="15.75" customHeight="1">
      <c r="A2918" s="1076"/>
      <c r="B2918" s="1080"/>
      <c r="C2918" s="424"/>
      <c r="G2918" s="312"/>
      <c r="H2918" s="467"/>
      <c r="I2918" s="467"/>
      <c r="J2918" s="469"/>
      <c r="K2918" s="312"/>
      <c r="L2918" s="312"/>
      <c r="M2918" s="312"/>
      <c r="N2918" s="467"/>
      <c r="O2918" s="467"/>
      <c r="P2918" s="467"/>
      <c r="AL2918" s="436"/>
      <c r="AM2918" s="436"/>
      <c r="AQ2918" s="436"/>
      <c r="AR2918" s="436"/>
      <c r="AS2918" s="436"/>
      <c r="AT2918" s="436"/>
      <c r="AU2918" s="436"/>
      <c r="AV2918" s="436"/>
      <c r="AW2918" s="436"/>
      <c r="AX2918" s="436"/>
      <c r="AY2918" s="436"/>
      <c r="AZ2918" s="475"/>
      <c r="BA2918" s="475"/>
      <c r="BF2918" s="1119"/>
      <c r="BG2918" s="1119"/>
      <c r="BH2918" s="1119"/>
    </row>
    <row r="2919" spans="1:60" ht="15.75" customHeight="1">
      <c r="A2919" s="1076"/>
      <c r="B2919" s="1080"/>
      <c r="C2919" s="424"/>
      <c r="G2919" s="312"/>
      <c r="H2919" s="467"/>
      <c r="I2919" s="467"/>
      <c r="J2919" s="469"/>
      <c r="K2919" s="312"/>
      <c r="L2919" s="312"/>
      <c r="M2919" s="312"/>
      <c r="N2919" s="467"/>
      <c r="O2919" s="467"/>
      <c r="P2919" s="467"/>
      <c r="AL2919" s="436"/>
      <c r="AM2919" s="436"/>
      <c r="AQ2919" s="436"/>
      <c r="AR2919" s="436"/>
      <c r="AS2919" s="436"/>
      <c r="AT2919" s="436"/>
      <c r="AU2919" s="436"/>
      <c r="AV2919" s="436"/>
      <c r="AW2919" s="436"/>
      <c r="AX2919" s="436"/>
      <c r="AY2919" s="436"/>
      <c r="AZ2919" s="475"/>
      <c r="BA2919" s="475"/>
      <c r="BF2919" s="1119"/>
      <c r="BG2919" s="1119"/>
      <c r="BH2919" s="1119"/>
    </row>
    <row r="2920" spans="1:60" ht="15.75" customHeight="1">
      <c r="A2920" s="1076"/>
      <c r="B2920" s="1080"/>
      <c r="C2920" s="424"/>
      <c r="G2920" s="312"/>
      <c r="H2920" s="467"/>
      <c r="I2920" s="467"/>
      <c r="J2920" s="469"/>
      <c r="K2920" s="312"/>
      <c r="L2920" s="312"/>
      <c r="M2920" s="312"/>
      <c r="N2920" s="467"/>
      <c r="O2920" s="467"/>
      <c r="P2920" s="467"/>
      <c r="AL2920" s="436"/>
      <c r="AM2920" s="436"/>
      <c r="AQ2920" s="436"/>
      <c r="AR2920" s="436"/>
      <c r="AS2920" s="436"/>
      <c r="AT2920" s="436"/>
      <c r="AU2920" s="436"/>
      <c r="AV2920" s="436"/>
      <c r="AW2920" s="436"/>
      <c r="AX2920" s="436"/>
      <c r="AY2920" s="436"/>
      <c r="AZ2920" s="475"/>
      <c r="BA2920" s="475"/>
      <c r="BF2920" s="1119"/>
      <c r="BG2920" s="1119"/>
      <c r="BH2920" s="1119"/>
    </row>
    <row r="2921" spans="1:60" ht="15.75" customHeight="1">
      <c r="A2921" s="1076"/>
      <c r="B2921" s="1080"/>
      <c r="C2921" s="424"/>
      <c r="G2921" s="312"/>
      <c r="H2921" s="467"/>
      <c r="I2921" s="467"/>
      <c r="J2921" s="469"/>
      <c r="K2921" s="312"/>
      <c r="L2921" s="312"/>
      <c r="M2921" s="312"/>
      <c r="N2921" s="467"/>
      <c r="O2921" s="467"/>
      <c r="P2921" s="467"/>
      <c r="AL2921" s="436"/>
      <c r="AM2921" s="436"/>
      <c r="AQ2921" s="436"/>
      <c r="AR2921" s="436"/>
      <c r="AS2921" s="436"/>
      <c r="AT2921" s="436"/>
      <c r="AU2921" s="436"/>
      <c r="AV2921" s="436"/>
      <c r="AW2921" s="436"/>
      <c r="AX2921" s="436"/>
      <c r="AY2921" s="436"/>
      <c r="AZ2921" s="475"/>
      <c r="BA2921" s="475"/>
      <c r="BF2921" s="1119"/>
      <c r="BG2921" s="1119"/>
      <c r="BH2921" s="1119"/>
    </row>
    <row r="2922" spans="1:60" ht="15.75" customHeight="1">
      <c r="A2922" s="1076"/>
      <c r="B2922" s="1080"/>
      <c r="C2922" s="424"/>
      <c r="G2922" s="312"/>
      <c r="H2922" s="467"/>
      <c r="I2922" s="467"/>
      <c r="J2922" s="469"/>
      <c r="K2922" s="312"/>
      <c r="L2922" s="312"/>
      <c r="M2922" s="312"/>
      <c r="N2922" s="467"/>
      <c r="O2922" s="467"/>
      <c r="P2922" s="467"/>
      <c r="AL2922" s="436"/>
      <c r="AM2922" s="436"/>
      <c r="AQ2922" s="436"/>
      <c r="AR2922" s="436"/>
      <c r="AS2922" s="436"/>
      <c r="AT2922" s="436"/>
      <c r="AU2922" s="436"/>
      <c r="AV2922" s="436"/>
      <c r="AW2922" s="436"/>
      <c r="AX2922" s="436"/>
      <c r="AY2922" s="436"/>
      <c r="AZ2922" s="475"/>
      <c r="BA2922" s="475"/>
      <c r="BF2922" s="1119"/>
      <c r="BG2922" s="1119"/>
      <c r="BH2922" s="1119"/>
    </row>
    <row r="2923" spans="1:60" ht="15.75" customHeight="1">
      <c r="A2923" s="1076"/>
      <c r="B2923" s="1080"/>
      <c r="C2923" s="424"/>
      <c r="G2923" s="312"/>
      <c r="H2923" s="467"/>
      <c r="I2923" s="467"/>
      <c r="J2923" s="469"/>
      <c r="K2923" s="312"/>
      <c r="L2923" s="312"/>
      <c r="M2923" s="312"/>
      <c r="N2923" s="467"/>
      <c r="O2923" s="467"/>
      <c r="P2923" s="467"/>
      <c r="AL2923" s="436"/>
      <c r="AM2923" s="436"/>
      <c r="AQ2923" s="436"/>
      <c r="AR2923" s="436"/>
      <c r="AS2923" s="436"/>
      <c r="AT2923" s="436"/>
      <c r="AU2923" s="436"/>
      <c r="AV2923" s="436"/>
      <c r="AW2923" s="436"/>
      <c r="AX2923" s="436"/>
      <c r="AY2923" s="436"/>
      <c r="AZ2923" s="475"/>
      <c r="BA2923" s="475"/>
      <c r="BF2923" s="1119"/>
      <c r="BG2923" s="1119"/>
      <c r="BH2923" s="1119"/>
    </row>
    <row r="2924" spans="1:60" ht="15.75" customHeight="1">
      <c r="A2924" s="1076"/>
      <c r="B2924" s="1080"/>
      <c r="C2924" s="424"/>
      <c r="G2924" s="312"/>
      <c r="H2924" s="467"/>
      <c r="I2924" s="467"/>
      <c r="J2924" s="469"/>
      <c r="K2924" s="312"/>
      <c r="L2924" s="312"/>
      <c r="M2924" s="312"/>
      <c r="N2924" s="467"/>
      <c r="O2924" s="467"/>
      <c r="P2924" s="467"/>
      <c r="AL2924" s="436"/>
      <c r="AM2924" s="436"/>
      <c r="AQ2924" s="436"/>
      <c r="AR2924" s="436"/>
      <c r="AS2924" s="436"/>
      <c r="AT2924" s="436"/>
      <c r="AU2924" s="436"/>
      <c r="AV2924" s="436"/>
      <c r="AW2924" s="436"/>
      <c r="AX2924" s="436"/>
      <c r="AY2924" s="436"/>
      <c r="AZ2924" s="475"/>
      <c r="BA2924" s="475"/>
      <c r="BF2924" s="1119"/>
      <c r="BG2924" s="1119"/>
      <c r="BH2924" s="1119"/>
    </row>
    <row r="2925" spans="1:60" ht="15.75" customHeight="1">
      <c r="A2925" s="1076"/>
      <c r="B2925" s="1080"/>
      <c r="C2925" s="424"/>
      <c r="G2925" s="312"/>
      <c r="H2925" s="467"/>
      <c r="I2925" s="467"/>
      <c r="J2925" s="469"/>
      <c r="K2925" s="312"/>
      <c r="L2925" s="312"/>
      <c r="M2925" s="312"/>
      <c r="N2925" s="467"/>
      <c r="O2925" s="467"/>
      <c r="P2925" s="467"/>
      <c r="AL2925" s="436"/>
      <c r="AM2925" s="436"/>
      <c r="AQ2925" s="436"/>
      <c r="AR2925" s="436"/>
      <c r="AS2925" s="436"/>
      <c r="AT2925" s="436"/>
      <c r="AU2925" s="436"/>
      <c r="AV2925" s="436"/>
      <c r="AW2925" s="436"/>
      <c r="AX2925" s="436"/>
      <c r="AY2925" s="436"/>
      <c r="AZ2925" s="475"/>
      <c r="BA2925" s="475"/>
      <c r="BF2925" s="1119"/>
      <c r="BG2925" s="1119"/>
      <c r="BH2925" s="1119"/>
    </row>
    <row r="2926" spans="1:60" ht="15.75" customHeight="1">
      <c r="A2926" s="1076"/>
      <c r="B2926" s="1080"/>
      <c r="C2926" s="424"/>
      <c r="G2926" s="312"/>
      <c r="H2926" s="467"/>
      <c r="I2926" s="467"/>
      <c r="J2926" s="469"/>
      <c r="K2926" s="312"/>
      <c r="L2926" s="312"/>
      <c r="M2926" s="312"/>
      <c r="N2926" s="467"/>
      <c r="O2926" s="467"/>
      <c r="P2926" s="467"/>
      <c r="AL2926" s="436"/>
      <c r="AM2926" s="436"/>
      <c r="AQ2926" s="436"/>
      <c r="AR2926" s="436"/>
      <c r="AS2926" s="436"/>
      <c r="AT2926" s="436"/>
      <c r="AU2926" s="436"/>
      <c r="AV2926" s="436"/>
      <c r="AW2926" s="436"/>
      <c r="AX2926" s="436"/>
      <c r="AY2926" s="436"/>
      <c r="AZ2926" s="475"/>
      <c r="BA2926" s="475"/>
      <c r="BF2926" s="1119"/>
      <c r="BG2926" s="1119"/>
      <c r="BH2926" s="1119"/>
    </row>
    <row r="2927" spans="1:60" ht="15.75" customHeight="1">
      <c r="A2927" s="1076"/>
      <c r="B2927" s="1080"/>
      <c r="C2927" s="424"/>
      <c r="G2927" s="312"/>
      <c r="H2927" s="467"/>
      <c r="I2927" s="467"/>
      <c r="J2927" s="469"/>
      <c r="K2927" s="312"/>
      <c r="L2927" s="312"/>
      <c r="M2927" s="312"/>
      <c r="N2927" s="467"/>
      <c r="O2927" s="467"/>
      <c r="P2927" s="467"/>
      <c r="AL2927" s="436"/>
      <c r="AM2927" s="436"/>
      <c r="AQ2927" s="436"/>
      <c r="AR2927" s="436"/>
      <c r="AS2927" s="436"/>
      <c r="AT2927" s="436"/>
      <c r="AU2927" s="436"/>
      <c r="AV2927" s="436"/>
      <c r="AW2927" s="436"/>
      <c r="AX2927" s="436"/>
      <c r="AY2927" s="436"/>
      <c r="AZ2927" s="475"/>
      <c r="BA2927" s="475"/>
      <c r="BF2927" s="1119"/>
      <c r="BG2927" s="1119"/>
      <c r="BH2927" s="1119"/>
    </row>
    <row r="2928" spans="1:60" ht="15.75" customHeight="1">
      <c r="A2928" s="1076"/>
      <c r="B2928" s="1080"/>
      <c r="C2928" s="424"/>
      <c r="G2928" s="312"/>
      <c r="H2928" s="467"/>
      <c r="I2928" s="467"/>
      <c r="J2928" s="469"/>
      <c r="K2928" s="312"/>
      <c r="L2928" s="312"/>
      <c r="M2928" s="312"/>
      <c r="N2928" s="467"/>
      <c r="O2928" s="467"/>
      <c r="P2928" s="467"/>
      <c r="AL2928" s="436"/>
      <c r="AM2928" s="436"/>
      <c r="AQ2928" s="436"/>
      <c r="AR2928" s="436"/>
      <c r="AS2928" s="436"/>
      <c r="AT2928" s="436"/>
      <c r="AU2928" s="436"/>
      <c r="AV2928" s="436"/>
      <c r="AW2928" s="436"/>
      <c r="AX2928" s="436"/>
      <c r="AY2928" s="436"/>
      <c r="AZ2928" s="475"/>
      <c r="BA2928" s="475"/>
      <c r="BF2928" s="1119"/>
      <c r="BG2928" s="1119"/>
      <c r="BH2928" s="1119"/>
    </row>
    <row r="2929" spans="1:60" ht="15.75" customHeight="1">
      <c r="A2929" s="1076"/>
      <c r="B2929" s="1080"/>
      <c r="C2929" s="424"/>
      <c r="G2929" s="312"/>
      <c r="H2929" s="467"/>
      <c r="I2929" s="467"/>
      <c r="J2929" s="469"/>
      <c r="K2929" s="312"/>
      <c r="L2929" s="312"/>
      <c r="M2929" s="312"/>
      <c r="N2929" s="467"/>
      <c r="O2929" s="467"/>
      <c r="P2929" s="467"/>
      <c r="AL2929" s="436"/>
      <c r="AM2929" s="436"/>
      <c r="AQ2929" s="436"/>
      <c r="AR2929" s="436"/>
      <c r="AS2929" s="436"/>
      <c r="AT2929" s="436"/>
      <c r="AU2929" s="436"/>
      <c r="AV2929" s="436"/>
      <c r="AW2929" s="436"/>
      <c r="AX2929" s="436"/>
      <c r="AY2929" s="436"/>
      <c r="AZ2929" s="475"/>
      <c r="BA2929" s="475"/>
      <c r="BF2929" s="1119"/>
      <c r="BG2929" s="1119"/>
      <c r="BH2929" s="1119"/>
    </row>
    <row r="2930" spans="1:60" ht="15.75" customHeight="1">
      <c r="A2930" s="1076"/>
      <c r="B2930" s="1080"/>
      <c r="C2930" s="424"/>
      <c r="G2930" s="312"/>
      <c r="H2930" s="467"/>
      <c r="I2930" s="467"/>
      <c r="J2930" s="469"/>
      <c r="K2930" s="312"/>
      <c r="L2930" s="312"/>
      <c r="M2930" s="312"/>
      <c r="N2930" s="467"/>
      <c r="O2930" s="467"/>
      <c r="P2930" s="467"/>
      <c r="AL2930" s="436"/>
      <c r="AM2930" s="436"/>
      <c r="AQ2930" s="436"/>
      <c r="AR2930" s="436"/>
      <c r="AS2930" s="436"/>
      <c r="AT2930" s="436"/>
      <c r="AU2930" s="436"/>
      <c r="AV2930" s="436"/>
      <c r="AW2930" s="436"/>
      <c r="AX2930" s="436"/>
      <c r="AY2930" s="436"/>
      <c r="AZ2930" s="475"/>
      <c r="BA2930" s="475"/>
      <c r="BF2930" s="1119"/>
      <c r="BG2930" s="1119"/>
      <c r="BH2930" s="1119"/>
    </row>
    <row r="2931" spans="1:60" ht="15.75" customHeight="1">
      <c r="A2931" s="1076"/>
      <c r="B2931" s="1080"/>
      <c r="C2931" s="424"/>
      <c r="G2931" s="312"/>
      <c r="H2931" s="467"/>
      <c r="I2931" s="467"/>
      <c r="J2931" s="469"/>
      <c r="K2931" s="312"/>
      <c r="L2931" s="312"/>
      <c r="M2931" s="312"/>
      <c r="N2931" s="467"/>
      <c r="O2931" s="467"/>
      <c r="P2931" s="467"/>
      <c r="AL2931" s="436"/>
      <c r="AM2931" s="436"/>
      <c r="AQ2931" s="436"/>
      <c r="AR2931" s="436"/>
      <c r="AS2931" s="436"/>
      <c r="AT2931" s="436"/>
      <c r="AU2931" s="436"/>
      <c r="AV2931" s="436"/>
      <c r="AW2931" s="436"/>
      <c r="AX2931" s="436"/>
      <c r="AY2931" s="436"/>
      <c r="AZ2931" s="475"/>
      <c r="BA2931" s="475"/>
      <c r="BF2931" s="1119"/>
      <c r="BG2931" s="1119"/>
      <c r="BH2931" s="1119"/>
    </row>
    <row r="2932" spans="1:60" ht="15.75" customHeight="1">
      <c r="A2932" s="1076"/>
      <c r="B2932" s="1080"/>
      <c r="C2932" s="424"/>
      <c r="G2932" s="312"/>
      <c r="H2932" s="467"/>
      <c r="I2932" s="467"/>
      <c r="J2932" s="469"/>
      <c r="K2932" s="312"/>
      <c r="L2932" s="312"/>
      <c r="M2932" s="312"/>
      <c r="N2932" s="467"/>
      <c r="O2932" s="467"/>
      <c r="P2932" s="467"/>
      <c r="AL2932" s="436"/>
      <c r="AM2932" s="436"/>
      <c r="AQ2932" s="436"/>
      <c r="AR2932" s="436"/>
      <c r="AS2932" s="436"/>
      <c r="AT2932" s="436"/>
      <c r="AU2932" s="436"/>
      <c r="AV2932" s="436"/>
      <c r="AW2932" s="436"/>
      <c r="AX2932" s="436"/>
      <c r="AY2932" s="436"/>
      <c r="AZ2932" s="475"/>
      <c r="BA2932" s="475"/>
      <c r="BF2932" s="1119"/>
      <c r="BG2932" s="1119"/>
      <c r="BH2932" s="1119"/>
    </row>
    <row r="2933" spans="1:60" ht="15.75" customHeight="1">
      <c r="A2933" s="1076"/>
      <c r="B2933" s="1080"/>
      <c r="C2933" s="424"/>
      <c r="G2933" s="312"/>
      <c r="H2933" s="467"/>
      <c r="I2933" s="467"/>
      <c r="J2933" s="469"/>
      <c r="K2933" s="312"/>
      <c r="L2933" s="312"/>
      <c r="M2933" s="312"/>
      <c r="N2933" s="467"/>
      <c r="O2933" s="467"/>
      <c r="P2933" s="467"/>
      <c r="AL2933" s="436"/>
      <c r="AM2933" s="436"/>
      <c r="AQ2933" s="436"/>
      <c r="AR2933" s="436"/>
      <c r="AS2933" s="436"/>
      <c r="AT2933" s="436"/>
      <c r="AU2933" s="436"/>
      <c r="AV2933" s="436"/>
      <c r="AW2933" s="436"/>
      <c r="AX2933" s="436"/>
      <c r="AY2933" s="436"/>
      <c r="AZ2933" s="475"/>
      <c r="BA2933" s="475"/>
      <c r="BF2933" s="1119"/>
      <c r="BG2933" s="1119"/>
      <c r="BH2933" s="1119"/>
    </row>
    <row r="2934" spans="1:60" ht="15.75" customHeight="1">
      <c r="A2934" s="1076"/>
      <c r="B2934" s="1080"/>
      <c r="C2934" s="424"/>
      <c r="G2934" s="312"/>
      <c r="H2934" s="467"/>
      <c r="I2934" s="467"/>
      <c r="J2934" s="469"/>
      <c r="K2934" s="312"/>
      <c r="L2934" s="312"/>
      <c r="M2934" s="312"/>
      <c r="N2934" s="467"/>
      <c r="O2934" s="467"/>
      <c r="P2934" s="467"/>
      <c r="AL2934" s="436"/>
      <c r="AM2934" s="436"/>
      <c r="AQ2934" s="436"/>
      <c r="AR2934" s="436"/>
      <c r="AS2934" s="436"/>
      <c r="AT2934" s="436"/>
      <c r="AU2934" s="436"/>
      <c r="AV2934" s="436"/>
      <c r="AW2934" s="436"/>
      <c r="AX2934" s="436"/>
      <c r="AY2934" s="436"/>
      <c r="AZ2934" s="475"/>
      <c r="BA2934" s="475"/>
      <c r="BF2934" s="1119"/>
      <c r="BG2934" s="1119"/>
      <c r="BH2934" s="1119"/>
    </row>
    <row r="2935" spans="1:60" ht="15.75" customHeight="1">
      <c r="A2935" s="1076"/>
      <c r="B2935" s="1080"/>
      <c r="C2935" s="424"/>
      <c r="G2935" s="312"/>
      <c r="H2935" s="467"/>
      <c r="I2935" s="467"/>
      <c r="J2935" s="469"/>
      <c r="K2935" s="312"/>
      <c r="L2935" s="312"/>
      <c r="M2935" s="312"/>
      <c r="N2935" s="467"/>
      <c r="O2935" s="467"/>
      <c r="P2935" s="467"/>
      <c r="AL2935" s="436"/>
      <c r="AM2935" s="436"/>
      <c r="AQ2935" s="436"/>
      <c r="AR2935" s="436"/>
      <c r="AS2935" s="436"/>
      <c r="AT2935" s="436"/>
      <c r="AU2935" s="436"/>
      <c r="AV2935" s="436"/>
      <c r="AW2935" s="436"/>
      <c r="AX2935" s="436"/>
      <c r="AY2935" s="436"/>
      <c r="AZ2935" s="475"/>
      <c r="BA2935" s="475"/>
      <c r="BF2935" s="1119"/>
      <c r="BG2935" s="1119"/>
      <c r="BH2935" s="1119"/>
    </row>
    <row r="2936" spans="1:60" ht="15.75" customHeight="1">
      <c r="A2936" s="1076"/>
      <c r="B2936" s="1080"/>
      <c r="C2936" s="424"/>
      <c r="G2936" s="312"/>
      <c r="H2936" s="467"/>
      <c r="I2936" s="467"/>
      <c r="J2936" s="469"/>
      <c r="K2936" s="312"/>
      <c r="L2936" s="312"/>
      <c r="M2936" s="312"/>
      <c r="N2936" s="467"/>
      <c r="O2936" s="467"/>
      <c r="P2936" s="467"/>
      <c r="AL2936" s="436"/>
      <c r="AM2936" s="436"/>
      <c r="AQ2936" s="436"/>
      <c r="AR2936" s="436"/>
      <c r="AS2936" s="436"/>
      <c r="AT2936" s="436"/>
      <c r="AU2936" s="436"/>
      <c r="AV2936" s="436"/>
      <c r="AW2936" s="436"/>
      <c r="AX2936" s="436"/>
      <c r="AY2936" s="436"/>
      <c r="AZ2936" s="475"/>
      <c r="BA2936" s="475"/>
      <c r="BF2936" s="1119"/>
      <c r="BG2936" s="1119"/>
      <c r="BH2936" s="1119"/>
    </row>
    <row r="2937" spans="1:60" ht="15.75" customHeight="1">
      <c r="A2937" s="1076"/>
      <c r="B2937" s="1080"/>
      <c r="C2937" s="424"/>
      <c r="G2937" s="312"/>
      <c r="H2937" s="467"/>
      <c r="I2937" s="467"/>
      <c r="J2937" s="469"/>
      <c r="K2937" s="312"/>
      <c r="L2937" s="312"/>
      <c r="M2937" s="312"/>
      <c r="N2937" s="467"/>
      <c r="O2937" s="467"/>
      <c r="P2937" s="467"/>
      <c r="AL2937" s="436"/>
      <c r="AM2937" s="436"/>
      <c r="AQ2937" s="436"/>
      <c r="AR2937" s="436"/>
      <c r="AS2937" s="436"/>
      <c r="AT2937" s="436"/>
      <c r="AU2937" s="436"/>
      <c r="AV2937" s="436"/>
      <c r="AW2937" s="436"/>
      <c r="AX2937" s="436"/>
      <c r="AY2937" s="436"/>
      <c r="AZ2937" s="475"/>
      <c r="BA2937" s="475"/>
      <c r="BF2937" s="1119"/>
      <c r="BG2937" s="1119"/>
      <c r="BH2937" s="1119"/>
    </row>
    <row r="2938" spans="1:60" ht="15.75" customHeight="1">
      <c r="A2938" s="1076"/>
      <c r="B2938" s="1080"/>
      <c r="C2938" s="424"/>
      <c r="G2938" s="312"/>
      <c r="H2938" s="467"/>
      <c r="I2938" s="467"/>
      <c r="J2938" s="469"/>
      <c r="K2938" s="312"/>
      <c r="L2938" s="312"/>
      <c r="M2938" s="312"/>
      <c r="N2938" s="467"/>
      <c r="O2938" s="467"/>
      <c r="P2938" s="467"/>
      <c r="AL2938" s="436"/>
      <c r="AM2938" s="436"/>
      <c r="AQ2938" s="436"/>
      <c r="AR2938" s="436"/>
      <c r="AS2938" s="436"/>
      <c r="AT2938" s="436"/>
      <c r="AU2938" s="436"/>
      <c r="AV2938" s="436"/>
      <c r="AW2938" s="436"/>
      <c r="AX2938" s="436"/>
      <c r="AY2938" s="436"/>
      <c r="AZ2938" s="475"/>
      <c r="BA2938" s="475"/>
      <c r="BF2938" s="1119"/>
      <c r="BG2938" s="1119"/>
      <c r="BH2938" s="1119"/>
    </row>
    <row r="2939" spans="1:60" ht="15.75" customHeight="1">
      <c r="A2939" s="1076"/>
      <c r="B2939" s="1080"/>
      <c r="C2939" s="424"/>
      <c r="G2939" s="312"/>
      <c r="H2939" s="467"/>
      <c r="I2939" s="467"/>
      <c r="J2939" s="469"/>
      <c r="K2939" s="312"/>
      <c r="L2939" s="312"/>
      <c r="M2939" s="312"/>
      <c r="N2939" s="467"/>
      <c r="O2939" s="467"/>
      <c r="P2939" s="467"/>
      <c r="AL2939" s="436"/>
      <c r="AM2939" s="436"/>
      <c r="AQ2939" s="436"/>
      <c r="AR2939" s="436"/>
      <c r="AS2939" s="436"/>
      <c r="AT2939" s="436"/>
      <c r="AU2939" s="436"/>
      <c r="AV2939" s="436"/>
      <c r="AW2939" s="436"/>
      <c r="AX2939" s="436"/>
      <c r="AY2939" s="436"/>
      <c r="AZ2939" s="475"/>
      <c r="BA2939" s="475"/>
      <c r="BF2939" s="1119"/>
      <c r="BG2939" s="1119"/>
      <c r="BH2939" s="1119"/>
    </row>
    <row r="2940" spans="1:60" ht="15.75" customHeight="1">
      <c r="A2940" s="1076"/>
      <c r="B2940" s="1080"/>
      <c r="C2940" s="424"/>
      <c r="G2940" s="312"/>
      <c r="H2940" s="467"/>
      <c r="I2940" s="467"/>
      <c r="J2940" s="469"/>
      <c r="K2940" s="312"/>
      <c r="L2940" s="312"/>
      <c r="M2940" s="312"/>
      <c r="N2940" s="467"/>
      <c r="O2940" s="467"/>
      <c r="P2940" s="467"/>
      <c r="AL2940" s="436"/>
      <c r="AM2940" s="436"/>
      <c r="AQ2940" s="436"/>
      <c r="AR2940" s="436"/>
      <c r="AS2940" s="436"/>
      <c r="AT2940" s="436"/>
      <c r="AU2940" s="436"/>
      <c r="AV2940" s="436"/>
      <c r="AW2940" s="436"/>
      <c r="AX2940" s="436"/>
      <c r="AY2940" s="436"/>
      <c r="AZ2940" s="475"/>
      <c r="BA2940" s="475"/>
      <c r="BF2940" s="1119"/>
      <c r="BG2940" s="1119"/>
      <c r="BH2940" s="1119"/>
    </row>
    <row r="2941" spans="1:60" ht="15.75" customHeight="1">
      <c r="A2941" s="1076"/>
      <c r="B2941" s="1080"/>
      <c r="C2941" s="424"/>
      <c r="G2941" s="312"/>
      <c r="H2941" s="467"/>
      <c r="I2941" s="467"/>
      <c r="J2941" s="469"/>
      <c r="K2941" s="312"/>
      <c r="L2941" s="312"/>
      <c r="M2941" s="312"/>
      <c r="N2941" s="467"/>
      <c r="O2941" s="467"/>
      <c r="P2941" s="467"/>
      <c r="AL2941" s="436"/>
      <c r="AM2941" s="436"/>
      <c r="AQ2941" s="436"/>
      <c r="AR2941" s="436"/>
      <c r="AS2941" s="436"/>
      <c r="AT2941" s="436"/>
      <c r="AU2941" s="436"/>
      <c r="AV2941" s="436"/>
      <c r="AW2941" s="436"/>
      <c r="AX2941" s="436"/>
      <c r="AY2941" s="436"/>
      <c r="AZ2941" s="475"/>
      <c r="BA2941" s="475"/>
      <c r="BF2941" s="1119"/>
      <c r="BG2941" s="1119"/>
      <c r="BH2941" s="1119"/>
    </row>
    <row r="2942" spans="1:60" ht="15.75" customHeight="1">
      <c r="A2942" s="1076"/>
      <c r="B2942" s="1080"/>
      <c r="C2942" s="424"/>
      <c r="G2942" s="312"/>
      <c r="H2942" s="467"/>
      <c r="I2942" s="467"/>
      <c r="J2942" s="469"/>
      <c r="K2942" s="312"/>
      <c r="L2942" s="312"/>
      <c r="M2942" s="312"/>
      <c r="N2942" s="467"/>
      <c r="O2942" s="467"/>
      <c r="P2942" s="467"/>
      <c r="AL2942" s="436"/>
      <c r="AM2942" s="436"/>
      <c r="AQ2942" s="436"/>
      <c r="AR2942" s="436"/>
      <c r="AS2942" s="436"/>
      <c r="AT2942" s="436"/>
      <c r="AU2942" s="436"/>
      <c r="AV2942" s="436"/>
      <c r="AW2942" s="436"/>
      <c r="AX2942" s="436"/>
      <c r="AY2942" s="436"/>
      <c r="AZ2942" s="475"/>
      <c r="BA2942" s="475"/>
      <c r="BF2942" s="1119"/>
      <c r="BG2942" s="1119"/>
      <c r="BH2942" s="1119"/>
    </row>
    <row r="2943" spans="1:60" ht="15.75" customHeight="1">
      <c r="A2943" s="1076"/>
      <c r="B2943" s="1080"/>
      <c r="C2943" s="424"/>
      <c r="G2943" s="312"/>
      <c r="H2943" s="467"/>
      <c r="I2943" s="467"/>
      <c r="J2943" s="469"/>
      <c r="K2943" s="312"/>
      <c r="L2943" s="312"/>
      <c r="M2943" s="312"/>
      <c r="N2943" s="467"/>
      <c r="O2943" s="467"/>
      <c r="P2943" s="467"/>
      <c r="AL2943" s="436"/>
      <c r="AM2943" s="436"/>
      <c r="AQ2943" s="436"/>
      <c r="AR2943" s="436"/>
      <c r="AS2943" s="436"/>
      <c r="AT2943" s="436"/>
      <c r="AU2943" s="436"/>
      <c r="AV2943" s="436"/>
      <c r="AW2943" s="436"/>
      <c r="AX2943" s="436"/>
      <c r="AY2943" s="436"/>
      <c r="AZ2943" s="475"/>
      <c r="BA2943" s="475"/>
      <c r="BF2943" s="1119"/>
      <c r="BG2943" s="1119"/>
      <c r="BH2943" s="1119"/>
    </row>
    <row r="2944" spans="1:60" ht="15.75" customHeight="1">
      <c r="A2944" s="1076"/>
      <c r="B2944" s="1080"/>
      <c r="C2944" s="424"/>
      <c r="G2944" s="312"/>
      <c r="H2944" s="467"/>
      <c r="I2944" s="467"/>
      <c r="J2944" s="469"/>
      <c r="K2944" s="312"/>
      <c r="L2944" s="312"/>
      <c r="M2944" s="312"/>
      <c r="N2944" s="467"/>
      <c r="O2944" s="467"/>
      <c r="P2944" s="467"/>
      <c r="AL2944" s="436"/>
      <c r="AM2944" s="436"/>
      <c r="AQ2944" s="436"/>
      <c r="AR2944" s="436"/>
      <c r="AS2944" s="436"/>
      <c r="AT2944" s="436"/>
      <c r="AU2944" s="436"/>
      <c r="AV2944" s="436"/>
      <c r="AW2944" s="436"/>
      <c r="AX2944" s="436"/>
      <c r="AY2944" s="436"/>
      <c r="AZ2944" s="475"/>
      <c r="BA2944" s="475"/>
      <c r="BF2944" s="1119"/>
      <c r="BG2944" s="1119"/>
      <c r="BH2944" s="1119"/>
    </row>
    <row r="2945" spans="1:60" ht="15.75" customHeight="1">
      <c r="A2945" s="1076"/>
      <c r="B2945" s="1080"/>
      <c r="C2945" s="424"/>
      <c r="G2945" s="312"/>
      <c r="H2945" s="467"/>
      <c r="I2945" s="467"/>
      <c r="J2945" s="469"/>
      <c r="K2945" s="312"/>
      <c r="L2945" s="312"/>
      <c r="M2945" s="312"/>
      <c r="N2945" s="467"/>
      <c r="O2945" s="467"/>
      <c r="P2945" s="467"/>
      <c r="AL2945" s="436"/>
      <c r="AM2945" s="436"/>
      <c r="AQ2945" s="436"/>
      <c r="AR2945" s="436"/>
      <c r="AS2945" s="436"/>
      <c r="AT2945" s="436"/>
      <c r="AU2945" s="436"/>
      <c r="AV2945" s="436"/>
      <c r="AW2945" s="436"/>
      <c r="AX2945" s="436"/>
      <c r="AY2945" s="436"/>
      <c r="AZ2945" s="475"/>
      <c r="BA2945" s="475"/>
      <c r="BF2945" s="1119"/>
      <c r="BG2945" s="1119"/>
      <c r="BH2945" s="1119"/>
    </row>
    <row r="2946" spans="1:60" ht="15.75" customHeight="1">
      <c r="A2946" s="1076"/>
      <c r="B2946" s="1080"/>
      <c r="C2946" s="424"/>
      <c r="G2946" s="312"/>
      <c r="H2946" s="467"/>
      <c r="I2946" s="467"/>
      <c r="J2946" s="469"/>
      <c r="K2946" s="312"/>
      <c r="L2946" s="312"/>
      <c r="M2946" s="312"/>
      <c r="N2946" s="467"/>
      <c r="O2946" s="467"/>
      <c r="P2946" s="467"/>
      <c r="AL2946" s="436"/>
      <c r="AM2946" s="436"/>
      <c r="AQ2946" s="436"/>
      <c r="AR2946" s="436"/>
      <c r="AS2946" s="436"/>
      <c r="AT2946" s="436"/>
      <c r="AU2946" s="436"/>
      <c r="AV2946" s="436"/>
      <c r="AW2946" s="436"/>
      <c r="AX2946" s="436"/>
      <c r="AY2946" s="436"/>
      <c r="AZ2946" s="475"/>
      <c r="BA2946" s="475"/>
      <c r="BF2946" s="1119"/>
      <c r="BG2946" s="1119"/>
      <c r="BH2946" s="1119"/>
    </row>
    <row r="2947" spans="1:60" ht="15.75" customHeight="1">
      <c r="A2947" s="1076"/>
      <c r="B2947" s="1080"/>
      <c r="C2947" s="424"/>
      <c r="G2947" s="312"/>
      <c r="H2947" s="467"/>
      <c r="I2947" s="467"/>
      <c r="J2947" s="469"/>
      <c r="K2947" s="312"/>
      <c r="L2947" s="312"/>
      <c r="M2947" s="312"/>
      <c r="N2947" s="467"/>
      <c r="O2947" s="467"/>
      <c r="P2947" s="467"/>
      <c r="AL2947" s="436"/>
      <c r="AM2947" s="436"/>
      <c r="AQ2947" s="436"/>
      <c r="AR2947" s="436"/>
      <c r="AS2947" s="436"/>
      <c r="AT2947" s="436"/>
      <c r="AU2947" s="436"/>
      <c r="AV2947" s="436"/>
      <c r="AW2947" s="436"/>
      <c r="AX2947" s="436"/>
      <c r="AY2947" s="436"/>
      <c r="AZ2947" s="475"/>
      <c r="BA2947" s="475"/>
      <c r="BF2947" s="1119"/>
      <c r="BG2947" s="1119"/>
      <c r="BH2947" s="1119"/>
    </row>
    <row r="2948" spans="1:60" ht="15.75" customHeight="1">
      <c r="A2948" s="1076"/>
      <c r="B2948" s="1080"/>
      <c r="C2948" s="424"/>
      <c r="G2948" s="312"/>
      <c r="H2948" s="467"/>
      <c r="I2948" s="467"/>
      <c r="J2948" s="469"/>
      <c r="K2948" s="312"/>
      <c r="L2948" s="312"/>
      <c r="M2948" s="312"/>
      <c r="N2948" s="467"/>
      <c r="O2948" s="467"/>
      <c r="P2948" s="467"/>
      <c r="AL2948" s="436"/>
      <c r="AM2948" s="436"/>
      <c r="AQ2948" s="436"/>
      <c r="AR2948" s="436"/>
      <c r="AS2948" s="436"/>
      <c r="AT2948" s="436"/>
      <c r="AU2948" s="436"/>
      <c r="AV2948" s="436"/>
      <c r="AW2948" s="436"/>
      <c r="AX2948" s="436"/>
      <c r="AY2948" s="436"/>
      <c r="AZ2948" s="475"/>
      <c r="BA2948" s="475"/>
      <c r="BF2948" s="1119"/>
      <c r="BG2948" s="1119"/>
      <c r="BH2948" s="1119"/>
    </row>
    <row r="2949" spans="1:60" ht="15.75" customHeight="1">
      <c r="A2949" s="1076"/>
      <c r="B2949" s="1080"/>
      <c r="C2949" s="424"/>
      <c r="G2949" s="312"/>
      <c r="H2949" s="467"/>
      <c r="I2949" s="467"/>
      <c r="J2949" s="469"/>
      <c r="K2949" s="312"/>
      <c r="L2949" s="312"/>
      <c r="M2949" s="312"/>
      <c r="N2949" s="467"/>
      <c r="O2949" s="467"/>
      <c r="P2949" s="467"/>
      <c r="AL2949" s="436"/>
      <c r="AM2949" s="436"/>
      <c r="AQ2949" s="436"/>
      <c r="AR2949" s="436"/>
      <c r="AS2949" s="436"/>
      <c r="AT2949" s="436"/>
      <c r="AU2949" s="436"/>
      <c r="AV2949" s="436"/>
      <c r="AW2949" s="436"/>
      <c r="AX2949" s="436"/>
      <c r="AY2949" s="436"/>
      <c r="AZ2949" s="475"/>
      <c r="BA2949" s="475"/>
      <c r="BF2949" s="1119"/>
      <c r="BG2949" s="1119"/>
      <c r="BH2949" s="1119"/>
    </row>
    <row r="2950" spans="1:60" ht="15.75" customHeight="1">
      <c r="A2950" s="1076"/>
      <c r="B2950" s="1080"/>
      <c r="C2950" s="424"/>
      <c r="G2950" s="312"/>
      <c r="H2950" s="467"/>
      <c r="I2950" s="467"/>
      <c r="J2950" s="469"/>
      <c r="K2950" s="312"/>
      <c r="L2950" s="312"/>
      <c r="M2950" s="312"/>
      <c r="N2950" s="467"/>
      <c r="O2950" s="467"/>
      <c r="P2950" s="467"/>
      <c r="AL2950" s="436"/>
      <c r="AM2950" s="436"/>
      <c r="AQ2950" s="436"/>
      <c r="AR2950" s="436"/>
      <c r="AS2950" s="436"/>
      <c r="AT2950" s="436"/>
      <c r="AU2950" s="436"/>
      <c r="AV2950" s="436"/>
      <c r="AW2950" s="436"/>
      <c r="AX2950" s="436"/>
      <c r="AY2950" s="436"/>
      <c r="AZ2950" s="475"/>
      <c r="BA2950" s="475"/>
      <c r="BF2950" s="1119"/>
      <c r="BG2950" s="1119"/>
      <c r="BH2950" s="1119"/>
    </row>
    <row r="2951" spans="1:60" ht="15.75" customHeight="1">
      <c r="A2951" s="1076"/>
      <c r="B2951" s="1080"/>
      <c r="C2951" s="424"/>
      <c r="G2951" s="312"/>
      <c r="H2951" s="467"/>
      <c r="I2951" s="467"/>
      <c r="J2951" s="469"/>
      <c r="K2951" s="312"/>
      <c r="L2951" s="312"/>
      <c r="M2951" s="312"/>
      <c r="N2951" s="467"/>
      <c r="O2951" s="467"/>
      <c r="P2951" s="467"/>
      <c r="AL2951" s="436"/>
      <c r="AM2951" s="436"/>
      <c r="AQ2951" s="436"/>
      <c r="AR2951" s="436"/>
      <c r="AS2951" s="436"/>
      <c r="AT2951" s="436"/>
      <c r="AU2951" s="436"/>
      <c r="AV2951" s="436"/>
      <c r="AW2951" s="436"/>
      <c r="AX2951" s="436"/>
      <c r="AY2951" s="436"/>
      <c r="AZ2951" s="475"/>
      <c r="BA2951" s="475"/>
      <c r="BF2951" s="1119"/>
      <c r="BG2951" s="1119"/>
      <c r="BH2951" s="1119"/>
    </row>
    <row r="2952" spans="1:60" ht="15.75" customHeight="1">
      <c r="A2952" s="1076"/>
      <c r="B2952" s="1080"/>
      <c r="C2952" s="424"/>
      <c r="G2952" s="312"/>
      <c r="H2952" s="467"/>
      <c r="I2952" s="467"/>
      <c r="J2952" s="469"/>
      <c r="K2952" s="312"/>
      <c r="L2952" s="312"/>
      <c r="M2952" s="312"/>
      <c r="N2952" s="467"/>
      <c r="O2952" s="467"/>
      <c r="P2952" s="467"/>
      <c r="AL2952" s="436"/>
      <c r="AM2952" s="436"/>
      <c r="AQ2952" s="436"/>
      <c r="AR2952" s="436"/>
      <c r="AS2952" s="436"/>
      <c r="AT2952" s="436"/>
      <c r="AU2952" s="436"/>
      <c r="AV2952" s="436"/>
      <c r="AW2952" s="436"/>
      <c r="AX2952" s="436"/>
      <c r="AY2952" s="436"/>
      <c r="AZ2952" s="475"/>
      <c r="BA2952" s="475"/>
      <c r="BF2952" s="1119"/>
      <c r="BG2952" s="1119"/>
      <c r="BH2952" s="1119"/>
    </row>
    <row r="2953" spans="1:60" ht="15.75" customHeight="1">
      <c r="A2953" s="1076"/>
      <c r="B2953" s="1080"/>
      <c r="C2953" s="424"/>
      <c r="G2953" s="312"/>
      <c r="H2953" s="467"/>
      <c r="I2953" s="467"/>
      <c r="J2953" s="469"/>
      <c r="K2953" s="312"/>
      <c r="L2953" s="312"/>
      <c r="M2953" s="312"/>
      <c r="N2953" s="467"/>
      <c r="O2953" s="467"/>
      <c r="P2953" s="467"/>
      <c r="AL2953" s="436"/>
      <c r="AM2953" s="436"/>
      <c r="AQ2953" s="436"/>
      <c r="AR2953" s="436"/>
      <c r="AS2953" s="436"/>
      <c r="AT2953" s="436"/>
      <c r="AU2953" s="436"/>
      <c r="AV2953" s="436"/>
      <c r="AW2953" s="436"/>
      <c r="AX2953" s="436"/>
      <c r="AY2953" s="436"/>
      <c r="AZ2953" s="475"/>
      <c r="BA2953" s="475"/>
      <c r="BF2953" s="1119"/>
      <c r="BG2953" s="1119"/>
      <c r="BH2953" s="1119"/>
    </row>
    <row r="2954" spans="1:60" ht="15.75" customHeight="1">
      <c r="A2954" s="1076"/>
      <c r="B2954" s="1080"/>
      <c r="C2954" s="424"/>
      <c r="G2954" s="312"/>
      <c r="H2954" s="467"/>
      <c r="I2954" s="467"/>
      <c r="J2954" s="469"/>
      <c r="K2954" s="312"/>
      <c r="L2954" s="312"/>
      <c r="M2954" s="312"/>
      <c r="N2954" s="467"/>
      <c r="O2954" s="467"/>
      <c r="P2954" s="467"/>
      <c r="AL2954" s="436"/>
      <c r="AM2954" s="436"/>
      <c r="AQ2954" s="436"/>
      <c r="AR2954" s="436"/>
      <c r="AS2954" s="436"/>
      <c r="AT2954" s="436"/>
      <c r="AU2954" s="436"/>
      <c r="AV2954" s="436"/>
      <c r="AW2954" s="436"/>
      <c r="AX2954" s="436"/>
      <c r="AY2954" s="436"/>
      <c r="AZ2954" s="475"/>
      <c r="BA2954" s="475"/>
      <c r="BF2954" s="1119"/>
      <c r="BG2954" s="1119"/>
      <c r="BH2954" s="1119"/>
    </row>
    <row r="2955" spans="1:60" ht="15.75" customHeight="1">
      <c r="A2955" s="1076"/>
      <c r="B2955" s="1080"/>
      <c r="C2955" s="424"/>
      <c r="G2955" s="312"/>
      <c r="H2955" s="467"/>
      <c r="I2955" s="467"/>
      <c r="J2955" s="469"/>
      <c r="K2955" s="312"/>
      <c r="L2955" s="312"/>
      <c r="M2955" s="312"/>
      <c r="N2955" s="467"/>
      <c r="O2955" s="467"/>
      <c r="P2955" s="467"/>
      <c r="AL2955" s="436"/>
      <c r="AM2955" s="436"/>
      <c r="AQ2955" s="436"/>
      <c r="AR2955" s="436"/>
      <c r="AS2955" s="436"/>
      <c r="AT2955" s="436"/>
      <c r="AU2955" s="436"/>
      <c r="AV2955" s="436"/>
      <c r="AW2955" s="436"/>
      <c r="AX2955" s="436"/>
      <c r="AY2955" s="436"/>
      <c r="AZ2955" s="475"/>
      <c r="BA2955" s="475"/>
      <c r="BF2955" s="1119"/>
      <c r="BG2955" s="1119"/>
      <c r="BH2955" s="1119"/>
    </row>
    <row r="2956" spans="1:60" ht="15.75" customHeight="1">
      <c r="A2956" s="1076"/>
      <c r="B2956" s="1080"/>
      <c r="C2956" s="424"/>
      <c r="G2956" s="312"/>
      <c r="H2956" s="467"/>
      <c r="I2956" s="467"/>
      <c r="J2956" s="469"/>
      <c r="K2956" s="312"/>
      <c r="L2956" s="312"/>
      <c r="M2956" s="312"/>
      <c r="N2956" s="467"/>
      <c r="O2956" s="467"/>
      <c r="P2956" s="467"/>
      <c r="AL2956" s="436"/>
      <c r="AM2956" s="436"/>
      <c r="AQ2956" s="436"/>
      <c r="AR2956" s="436"/>
      <c r="AS2956" s="436"/>
      <c r="AT2956" s="436"/>
      <c r="AU2956" s="436"/>
      <c r="AV2956" s="436"/>
      <c r="AW2956" s="436"/>
      <c r="AX2956" s="436"/>
      <c r="AY2956" s="436"/>
      <c r="AZ2956" s="475"/>
      <c r="BA2956" s="475"/>
      <c r="BF2956" s="1119"/>
      <c r="BG2956" s="1119"/>
      <c r="BH2956" s="1119"/>
    </row>
    <row r="2957" spans="1:60" ht="15.75" customHeight="1">
      <c r="A2957" s="1076"/>
      <c r="B2957" s="1080"/>
      <c r="C2957" s="424"/>
      <c r="G2957" s="312"/>
      <c r="H2957" s="467"/>
      <c r="I2957" s="467"/>
      <c r="J2957" s="469"/>
      <c r="K2957" s="312"/>
      <c r="L2957" s="312"/>
      <c r="M2957" s="312"/>
      <c r="N2957" s="467"/>
      <c r="O2957" s="467"/>
      <c r="P2957" s="467"/>
      <c r="AL2957" s="436"/>
      <c r="AM2957" s="436"/>
      <c r="AQ2957" s="436"/>
      <c r="AR2957" s="436"/>
      <c r="AS2957" s="436"/>
      <c r="AT2957" s="436"/>
      <c r="AU2957" s="436"/>
      <c r="AV2957" s="436"/>
      <c r="AW2957" s="436"/>
      <c r="AX2957" s="436"/>
      <c r="AY2957" s="436"/>
      <c r="AZ2957" s="475"/>
      <c r="BA2957" s="475"/>
      <c r="BF2957" s="1119"/>
      <c r="BG2957" s="1119"/>
      <c r="BH2957" s="1119"/>
    </row>
    <row r="2958" spans="1:60" ht="15.75" customHeight="1">
      <c r="A2958" s="1076"/>
      <c r="B2958" s="1080"/>
      <c r="C2958" s="424"/>
      <c r="G2958" s="312"/>
      <c r="H2958" s="467"/>
      <c r="I2958" s="467"/>
      <c r="J2958" s="469"/>
      <c r="K2958" s="312"/>
      <c r="L2958" s="312"/>
      <c r="M2958" s="312"/>
      <c r="N2958" s="467"/>
      <c r="O2958" s="467"/>
      <c r="P2958" s="467"/>
      <c r="AL2958" s="436"/>
      <c r="AM2958" s="436"/>
      <c r="AQ2958" s="436"/>
      <c r="AR2958" s="436"/>
      <c r="AS2958" s="436"/>
      <c r="AT2958" s="436"/>
      <c r="AU2958" s="436"/>
      <c r="AV2958" s="436"/>
      <c r="AW2958" s="436"/>
      <c r="AX2958" s="436"/>
      <c r="AY2958" s="436"/>
      <c r="AZ2958" s="475"/>
      <c r="BA2958" s="475"/>
      <c r="BF2958" s="1119"/>
      <c r="BG2958" s="1119"/>
      <c r="BH2958" s="1119"/>
    </row>
    <row r="2959" spans="1:60" ht="15.75" customHeight="1">
      <c r="A2959" s="1076"/>
      <c r="B2959" s="1080"/>
      <c r="C2959" s="424"/>
      <c r="G2959" s="312"/>
      <c r="H2959" s="467"/>
      <c r="I2959" s="467"/>
      <c r="J2959" s="469"/>
      <c r="K2959" s="312"/>
      <c r="L2959" s="312"/>
      <c r="M2959" s="312"/>
      <c r="N2959" s="467"/>
      <c r="O2959" s="467"/>
      <c r="P2959" s="467"/>
      <c r="AL2959" s="436"/>
      <c r="AM2959" s="436"/>
      <c r="AQ2959" s="436"/>
      <c r="AR2959" s="436"/>
      <c r="AS2959" s="436"/>
      <c r="AT2959" s="436"/>
      <c r="AU2959" s="436"/>
      <c r="AV2959" s="436"/>
      <c r="AW2959" s="436"/>
      <c r="AX2959" s="436"/>
      <c r="AY2959" s="436"/>
      <c r="AZ2959" s="475"/>
      <c r="BA2959" s="475"/>
      <c r="BF2959" s="1119"/>
      <c r="BG2959" s="1119"/>
      <c r="BH2959" s="1119"/>
    </row>
    <row r="2960" spans="1:60" ht="15.75" customHeight="1">
      <c r="A2960" s="1076"/>
      <c r="B2960" s="1080"/>
      <c r="C2960" s="424"/>
      <c r="G2960" s="312"/>
      <c r="H2960" s="467"/>
      <c r="I2960" s="467"/>
      <c r="J2960" s="469"/>
      <c r="K2960" s="312"/>
      <c r="L2960" s="312"/>
      <c r="M2960" s="312"/>
      <c r="N2960" s="467"/>
      <c r="O2960" s="467"/>
      <c r="P2960" s="467"/>
      <c r="AL2960" s="436"/>
      <c r="AM2960" s="436"/>
      <c r="AQ2960" s="436"/>
      <c r="AR2960" s="436"/>
      <c r="AS2960" s="436"/>
      <c r="AT2960" s="436"/>
      <c r="AU2960" s="436"/>
      <c r="AV2960" s="436"/>
      <c r="AW2960" s="436"/>
      <c r="AX2960" s="436"/>
      <c r="AY2960" s="436"/>
      <c r="AZ2960" s="475"/>
      <c r="BA2960" s="475"/>
      <c r="BF2960" s="1119"/>
      <c r="BG2960" s="1119"/>
      <c r="BH2960" s="1119"/>
    </row>
    <row r="2961" spans="1:60" ht="15.75" customHeight="1">
      <c r="A2961" s="1076"/>
      <c r="B2961" s="1080"/>
      <c r="C2961" s="424"/>
      <c r="G2961" s="312"/>
      <c r="H2961" s="467"/>
      <c r="I2961" s="467"/>
      <c r="J2961" s="469"/>
      <c r="K2961" s="312"/>
      <c r="L2961" s="312"/>
      <c r="M2961" s="312"/>
      <c r="N2961" s="467"/>
      <c r="O2961" s="467"/>
      <c r="P2961" s="467"/>
      <c r="AL2961" s="436"/>
      <c r="AM2961" s="436"/>
      <c r="AQ2961" s="436"/>
      <c r="AR2961" s="436"/>
      <c r="AS2961" s="436"/>
      <c r="AT2961" s="436"/>
      <c r="AU2961" s="436"/>
      <c r="AV2961" s="436"/>
      <c r="AW2961" s="436"/>
      <c r="AX2961" s="436"/>
      <c r="AY2961" s="436"/>
      <c r="AZ2961" s="475"/>
      <c r="BA2961" s="475"/>
      <c r="BF2961" s="1119"/>
      <c r="BG2961" s="1119"/>
      <c r="BH2961" s="1119"/>
    </row>
    <row r="2962" spans="1:60" ht="15.75" customHeight="1">
      <c r="A2962" s="1076"/>
      <c r="B2962" s="1080"/>
      <c r="C2962" s="424"/>
      <c r="G2962" s="312"/>
      <c r="H2962" s="467"/>
      <c r="I2962" s="467"/>
      <c r="J2962" s="469"/>
      <c r="K2962" s="312"/>
      <c r="L2962" s="312"/>
      <c r="M2962" s="312"/>
      <c r="N2962" s="467"/>
      <c r="O2962" s="467"/>
      <c r="P2962" s="467"/>
      <c r="AL2962" s="436"/>
      <c r="AM2962" s="436"/>
      <c r="AQ2962" s="436"/>
      <c r="AR2962" s="436"/>
      <c r="AS2962" s="436"/>
      <c r="AT2962" s="436"/>
      <c r="AU2962" s="436"/>
      <c r="AV2962" s="436"/>
      <c r="AW2962" s="436"/>
      <c r="AX2962" s="436"/>
      <c r="AY2962" s="436"/>
      <c r="AZ2962" s="475"/>
      <c r="BA2962" s="475"/>
      <c r="BF2962" s="1119"/>
      <c r="BG2962" s="1119"/>
      <c r="BH2962" s="1119"/>
    </row>
    <row r="2963" spans="1:60" ht="15.75" customHeight="1">
      <c r="A2963" s="1076"/>
      <c r="B2963" s="1080"/>
      <c r="C2963" s="424"/>
      <c r="G2963" s="312"/>
      <c r="H2963" s="467"/>
      <c r="I2963" s="467"/>
      <c r="J2963" s="469"/>
      <c r="K2963" s="312"/>
      <c r="L2963" s="312"/>
      <c r="M2963" s="312"/>
      <c r="N2963" s="467"/>
      <c r="O2963" s="467"/>
      <c r="P2963" s="467"/>
      <c r="AL2963" s="436"/>
      <c r="AM2963" s="436"/>
      <c r="AQ2963" s="436"/>
      <c r="AR2963" s="436"/>
      <c r="AS2963" s="436"/>
      <c r="AT2963" s="436"/>
      <c r="AU2963" s="436"/>
      <c r="AV2963" s="436"/>
      <c r="AW2963" s="436"/>
      <c r="AX2963" s="436"/>
      <c r="AY2963" s="436"/>
      <c r="AZ2963" s="475"/>
      <c r="BA2963" s="475"/>
      <c r="BF2963" s="1119"/>
      <c r="BG2963" s="1119"/>
      <c r="BH2963" s="1119"/>
    </row>
    <row r="2964" spans="1:60" ht="15.75" customHeight="1">
      <c r="A2964" s="1076"/>
      <c r="B2964" s="1080"/>
      <c r="C2964" s="424"/>
      <c r="G2964" s="312"/>
      <c r="H2964" s="467"/>
      <c r="I2964" s="467"/>
      <c r="J2964" s="469"/>
      <c r="K2964" s="312"/>
      <c r="L2964" s="312"/>
      <c r="M2964" s="312"/>
      <c r="N2964" s="467"/>
      <c r="O2964" s="467"/>
      <c r="P2964" s="467"/>
      <c r="AL2964" s="436"/>
      <c r="AM2964" s="436"/>
      <c r="AQ2964" s="436"/>
      <c r="AR2964" s="436"/>
      <c r="AS2964" s="436"/>
      <c r="AT2964" s="436"/>
      <c r="AU2964" s="436"/>
      <c r="AV2964" s="436"/>
      <c r="AW2964" s="436"/>
      <c r="AX2964" s="436"/>
      <c r="AY2964" s="436"/>
      <c r="AZ2964" s="475"/>
      <c r="BA2964" s="475"/>
      <c r="BF2964" s="1119"/>
      <c r="BG2964" s="1119"/>
      <c r="BH2964" s="1119"/>
    </row>
    <row r="2965" spans="1:60" ht="15.75" customHeight="1">
      <c r="A2965" s="1076"/>
      <c r="B2965" s="1080"/>
      <c r="C2965" s="424"/>
      <c r="G2965" s="312"/>
      <c r="H2965" s="467"/>
      <c r="I2965" s="467"/>
      <c r="J2965" s="469"/>
      <c r="K2965" s="312"/>
      <c r="L2965" s="312"/>
      <c r="M2965" s="312"/>
      <c r="N2965" s="467"/>
      <c r="O2965" s="467"/>
      <c r="P2965" s="467"/>
      <c r="AL2965" s="436"/>
      <c r="AM2965" s="436"/>
      <c r="AQ2965" s="436"/>
      <c r="AR2965" s="436"/>
      <c r="AS2965" s="436"/>
      <c r="AT2965" s="436"/>
      <c r="AU2965" s="436"/>
      <c r="AV2965" s="436"/>
      <c r="AW2965" s="436"/>
      <c r="AX2965" s="436"/>
      <c r="AY2965" s="436"/>
      <c r="AZ2965" s="475"/>
      <c r="BA2965" s="475"/>
      <c r="BF2965" s="1119"/>
      <c r="BG2965" s="1119"/>
      <c r="BH2965" s="1119"/>
    </row>
    <row r="2966" spans="1:60" ht="15.75" customHeight="1">
      <c r="A2966" s="1076"/>
      <c r="B2966" s="1080"/>
      <c r="C2966" s="424"/>
      <c r="G2966" s="312"/>
      <c r="H2966" s="467"/>
      <c r="I2966" s="467"/>
      <c r="J2966" s="469"/>
      <c r="K2966" s="312"/>
      <c r="L2966" s="312"/>
      <c r="M2966" s="312"/>
      <c r="N2966" s="467"/>
      <c r="O2966" s="467"/>
      <c r="P2966" s="467"/>
      <c r="AL2966" s="436"/>
      <c r="AM2966" s="436"/>
      <c r="AQ2966" s="436"/>
      <c r="AR2966" s="436"/>
      <c r="AS2966" s="436"/>
      <c r="AT2966" s="436"/>
      <c r="AU2966" s="436"/>
      <c r="AV2966" s="436"/>
      <c r="AW2966" s="436"/>
      <c r="AX2966" s="436"/>
      <c r="AY2966" s="436"/>
      <c r="AZ2966" s="475"/>
      <c r="BA2966" s="475"/>
      <c r="BF2966" s="1119"/>
      <c r="BG2966" s="1119"/>
      <c r="BH2966" s="1119"/>
    </row>
    <row r="2967" spans="1:60" ht="15.75" customHeight="1">
      <c r="A2967" s="1076"/>
      <c r="B2967" s="1080"/>
      <c r="C2967" s="424"/>
      <c r="G2967" s="312"/>
      <c r="H2967" s="467"/>
      <c r="I2967" s="467"/>
      <c r="J2967" s="469"/>
      <c r="K2967" s="312"/>
      <c r="L2967" s="312"/>
      <c r="M2967" s="312"/>
      <c r="N2967" s="467"/>
      <c r="O2967" s="467"/>
      <c r="P2967" s="467"/>
      <c r="AL2967" s="436"/>
      <c r="AM2967" s="436"/>
      <c r="AQ2967" s="436"/>
      <c r="AR2967" s="436"/>
      <c r="AS2967" s="436"/>
      <c r="AT2967" s="436"/>
      <c r="AU2967" s="436"/>
      <c r="AV2967" s="436"/>
      <c r="AW2967" s="436"/>
      <c r="AX2967" s="436"/>
      <c r="AY2967" s="436"/>
      <c r="AZ2967" s="475"/>
      <c r="BA2967" s="475"/>
      <c r="BF2967" s="1119"/>
      <c r="BG2967" s="1119"/>
      <c r="BH2967" s="1119"/>
    </row>
    <row r="2968" spans="1:60" ht="15.75" customHeight="1">
      <c r="A2968" s="1076"/>
      <c r="B2968" s="1080"/>
      <c r="C2968" s="424"/>
      <c r="G2968" s="312"/>
      <c r="H2968" s="467"/>
      <c r="I2968" s="467"/>
      <c r="J2968" s="469"/>
      <c r="K2968" s="312"/>
      <c r="L2968" s="312"/>
      <c r="M2968" s="312"/>
      <c r="N2968" s="467"/>
      <c r="O2968" s="467"/>
      <c r="P2968" s="467"/>
      <c r="AL2968" s="436"/>
      <c r="AM2968" s="436"/>
      <c r="AQ2968" s="436"/>
      <c r="AR2968" s="436"/>
      <c r="AS2968" s="436"/>
      <c r="AT2968" s="436"/>
      <c r="AU2968" s="436"/>
      <c r="AV2968" s="436"/>
      <c r="AW2968" s="436"/>
      <c r="AX2968" s="436"/>
      <c r="AY2968" s="436"/>
      <c r="AZ2968" s="475"/>
      <c r="BA2968" s="475"/>
      <c r="BF2968" s="1119"/>
      <c r="BG2968" s="1119"/>
      <c r="BH2968" s="1119"/>
    </row>
    <row r="2969" spans="1:60" ht="15.75" customHeight="1">
      <c r="A2969" s="1076"/>
      <c r="B2969" s="1080"/>
      <c r="C2969" s="424"/>
      <c r="G2969" s="312"/>
      <c r="H2969" s="467"/>
      <c r="I2969" s="467"/>
      <c r="J2969" s="469"/>
      <c r="K2969" s="312"/>
      <c r="L2969" s="312"/>
      <c r="M2969" s="312"/>
      <c r="N2969" s="467"/>
      <c r="O2969" s="467"/>
      <c r="P2969" s="467"/>
      <c r="AL2969" s="436"/>
      <c r="AM2969" s="436"/>
      <c r="AQ2969" s="436"/>
      <c r="AR2969" s="436"/>
      <c r="AS2969" s="436"/>
      <c r="AT2969" s="436"/>
      <c r="AU2969" s="436"/>
      <c r="AV2969" s="436"/>
      <c r="AW2969" s="436"/>
      <c r="AX2969" s="436"/>
      <c r="AY2969" s="436"/>
      <c r="AZ2969" s="475"/>
      <c r="BA2969" s="475"/>
      <c r="BF2969" s="1119"/>
      <c r="BG2969" s="1119"/>
      <c r="BH2969" s="1119"/>
    </row>
    <row r="2970" spans="1:60" ht="15.75" customHeight="1">
      <c r="A2970" s="1076"/>
      <c r="B2970" s="1080"/>
      <c r="C2970" s="424"/>
      <c r="G2970" s="312"/>
      <c r="H2970" s="467"/>
      <c r="I2970" s="467"/>
      <c r="J2970" s="469"/>
      <c r="K2970" s="312"/>
      <c r="L2970" s="312"/>
      <c r="M2970" s="312"/>
      <c r="N2970" s="467"/>
      <c r="O2970" s="467"/>
      <c r="P2970" s="467"/>
      <c r="AL2970" s="436"/>
      <c r="AM2970" s="436"/>
      <c r="AQ2970" s="436"/>
      <c r="AR2970" s="436"/>
      <c r="AS2970" s="436"/>
      <c r="AT2970" s="436"/>
      <c r="AU2970" s="436"/>
      <c r="AV2970" s="436"/>
      <c r="AW2970" s="436"/>
      <c r="AX2970" s="436"/>
      <c r="AY2970" s="436"/>
      <c r="AZ2970" s="475"/>
      <c r="BA2970" s="475"/>
      <c r="BF2970" s="1119"/>
      <c r="BG2970" s="1119"/>
      <c r="BH2970" s="1119"/>
    </row>
    <row r="2971" spans="1:60" ht="15.75" customHeight="1">
      <c r="A2971" s="1076"/>
      <c r="B2971" s="1080"/>
      <c r="C2971" s="424"/>
      <c r="G2971" s="312"/>
      <c r="H2971" s="467"/>
      <c r="I2971" s="467"/>
      <c r="J2971" s="469"/>
      <c r="K2971" s="312"/>
      <c r="L2971" s="312"/>
      <c r="M2971" s="312"/>
      <c r="N2971" s="467"/>
      <c r="O2971" s="467"/>
      <c r="P2971" s="467"/>
      <c r="AL2971" s="436"/>
      <c r="AM2971" s="436"/>
      <c r="AQ2971" s="436"/>
      <c r="AR2971" s="436"/>
      <c r="AS2971" s="436"/>
      <c r="AT2971" s="436"/>
      <c r="AU2971" s="436"/>
      <c r="AV2971" s="436"/>
      <c r="AW2971" s="436"/>
      <c r="AX2971" s="436"/>
      <c r="AY2971" s="436"/>
      <c r="AZ2971" s="475"/>
      <c r="BA2971" s="475"/>
      <c r="BF2971" s="1119"/>
      <c r="BG2971" s="1119"/>
      <c r="BH2971" s="1119"/>
    </row>
    <row r="2972" spans="1:60" ht="15.75" customHeight="1">
      <c r="A2972" s="1076"/>
      <c r="B2972" s="1080"/>
      <c r="C2972" s="424"/>
      <c r="G2972" s="312"/>
      <c r="H2972" s="467"/>
      <c r="I2972" s="467"/>
      <c r="J2972" s="469"/>
      <c r="K2972" s="312"/>
      <c r="L2972" s="312"/>
      <c r="M2972" s="312"/>
      <c r="N2972" s="467"/>
      <c r="O2972" s="467"/>
      <c r="P2972" s="467"/>
      <c r="AL2972" s="436"/>
      <c r="AM2972" s="436"/>
      <c r="AQ2972" s="436"/>
      <c r="AR2972" s="436"/>
      <c r="AS2972" s="436"/>
      <c r="AT2972" s="436"/>
      <c r="AU2972" s="436"/>
      <c r="AV2972" s="436"/>
      <c r="AW2972" s="436"/>
      <c r="AX2972" s="436"/>
      <c r="AY2972" s="436"/>
      <c r="AZ2972" s="475"/>
      <c r="BA2972" s="475"/>
      <c r="BF2972" s="1119"/>
      <c r="BG2972" s="1119"/>
      <c r="BH2972" s="1119"/>
    </row>
    <row r="2973" spans="1:60" ht="15.75" customHeight="1">
      <c r="A2973" s="1076"/>
      <c r="B2973" s="1080"/>
      <c r="C2973" s="424"/>
      <c r="G2973" s="312"/>
      <c r="H2973" s="467"/>
      <c r="I2973" s="467"/>
      <c r="J2973" s="469"/>
      <c r="K2973" s="312"/>
      <c r="L2973" s="312"/>
      <c r="M2973" s="312"/>
      <c r="N2973" s="467"/>
      <c r="O2973" s="467"/>
      <c r="P2973" s="467"/>
      <c r="AL2973" s="436"/>
      <c r="AM2973" s="436"/>
      <c r="AQ2973" s="436"/>
      <c r="AR2973" s="436"/>
      <c r="AS2973" s="436"/>
      <c r="AT2973" s="436"/>
      <c r="AU2973" s="436"/>
      <c r="AV2973" s="436"/>
      <c r="AW2973" s="436"/>
      <c r="AX2973" s="436"/>
      <c r="AY2973" s="436"/>
      <c r="AZ2973" s="475"/>
      <c r="BA2973" s="475"/>
      <c r="BF2973" s="1119"/>
      <c r="BG2973" s="1119"/>
      <c r="BH2973" s="1119"/>
    </row>
    <row r="2974" spans="1:60" ht="15.75" customHeight="1">
      <c r="A2974" s="1076"/>
      <c r="B2974" s="1080"/>
      <c r="C2974" s="424"/>
      <c r="G2974" s="312"/>
      <c r="H2974" s="467"/>
      <c r="I2974" s="467"/>
      <c r="J2974" s="469"/>
      <c r="K2974" s="312"/>
      <c r="L2974" s="312"/>
      <c r="M2974" s="312"/>
      <c r="N2974" s="467"/>
      <c r="O2974" s="467"/>
      <c r="P2974" s="467"/>
      <c r="AL2974" s="436"/>
      <c r="AM2974" s="436"/>
      <c r="AQ2974" s="436"/>
      <c r="AR2974" s="436"/>
      <c r="AS2974" s="436"/>
      <c r="AT2974" s="436"/>
      <c r="AU2974" s="436"/>
      <c r="AV2974" s="436"/>
      <c r="AW2974" s="436"/>
      <c r="AX2974" s="436"/>
      <c r="AY2974" s="436"/>
      <c r="AZ2974" s="475"/>
      <c r="BA2974" s="475"/>
      <c r="BF2974" s="1119"/>
      <c r="BG2974" s="1119"/>
      <c r="BH2974" s="1119"/>
    </row>
    <row r="2975" spans="1:60" ht="15.75" customHeight="1">
      <c r="A2975" s="1076"/>
      <c r="B2975" s="1080"/>
      <c r="C2975" s="424"/>
      <c r="G2975" s="312"/>
      <c r="H2975" s="467"/>
      <c r="I2975" s="467"/>
      <c r="J2975" s="469"/>
      <c r="K2975" s="312"/>
      <c r="L2975" s="312"/>
      <c r="M2975" s="312"/>
      <c r="N2975" s="467"/>
      <c r="O2975" s="467"/>
      <c r="P2975" s="467"/>
      <c r="AL2975" s="436"/>
      <c r="AM2975" s="436"/>
      <c r="AQ2975" s="436"/>
      <c r="AR2975" s="436"/>
      <c r="AS2975" s="436"/>
      <c r="AT2975" s="436"/>
      <c r="AU2975" s="436"/>
      <c r="AV2975" s="436"/>
      <c r="AW2975" s="436"/>
      <c r="AX2975" s="436"/>
      <c r="AY2975" s="436"/>
      <c r="AZ2975" s="475"/>
      <c r="BA2975" s="475"/>
      <c r="BF2975" s="1119"/>
      <c r="BG2975" s="1119"/>
      <c r="BH2975" s="1119"/>
    </row>
    <row r="2976" spans="1:60" ht="15.75" customHeight="1">
      <c r="A2976" s="1076"/>
      <c r="B2976" s="1080"/>
      <c r="C2976" s="424"/>
      <c r="G2976" s="312"/>
      <c r="H2976" s="467"/>
      <c r="I2976" s="467"/>
      <c r="J2976" s="469"/>
      <c r="K2976" s="312"/>
      <c r="L2976" s="312"/>
      <c r="M2976" s="312"/>
      <c r="N2976" s="467"/>
      <c r="O2976" s="467"/>
      <c r="P2976" s="467"/>
      <c r="AL2976" s="436"/>
      <c r="AM2976" s="436"/>
      <c r="AQ2976" s="436"/>
      <c r="AR2976" s="436"/>
      <c r="AS2976" s="436"/>
      <c r="AT2976" s="436"/>
      <c r="AU2976" s="436"/>
      <c r="AV2976" s="436"/>
      <c r="AW2976" s="436"/>
      <c r="AX2976" s="436"/>
      <c r="AY2976" s="436"/>
      <c r="AZ2976" s="475"/>
      <c r="BA2976" s="475"/>
      <c r="BF2976" s="1119"/>
      <c r="BG2976" s="1119"/>
      <c r="BH2976" s="1119"/>
    </row>
    <row r="2977" spans="1:60" ht="15.75" customHeight="1">
      <c r="A2977" s="1076"/>
      <c r="B2977" s="1080"/>
      <c r="C2977" s="424"/>
      <c r="G2977" s="312"/>
      <c r="H2977" s="467"/>
      <c r="I2977" s="467"/>
      <c r="J2977" s="469"/>
      <c r="K2977" s="312"/>
      <c r="L2977" s="312"/>
      <c r="M2977" s="312"/>
      <c r="N2977" s="467"/>
      <c r="O2977" s="467"/>
      <c r="P2977" s="467"/>
      <c r="AL2977" s="436"/>
      <c r="AM2977" s="436"/>
      <c r="AQ2977" s="436"/>
      <c r="AR2977" s="436"/>
      <c r="AS2977" s="436"/>
      <c r="AT2977" s="436"/>
      <c r="AU2977" s="436"/>
      <c r="AV2977" s="436"/>
      <c r="AW2977" s="436"/>
      <c r="AX2977" s="436"/>
      <c r="AY2977" s="436"/>
      <c r="AZ2977" s="475"/>
      <c r="BA2977" s="475"/>
      <c r="BF2977" s="1119"/>
      <c r="BG2977" s="1119"/>
      <c r="BH2977" s="1119"/>
    </row>
    <row r="2978" spans="1:60" ht="15.75" customHeight="1">
      <c r="A2978" s="1076"/>
      <c r="B2978" s="1080"/>
      <c r="C2978" s="424"/>
      <c r="G2978" s="312"/>
      <c r="H2978" s="467"/>
      <c r="I2978" s="467"/>
      <c r="J2978" s="469"/>
      <c r="K2978" s="312"/>
      <c r="L2978" s="312"/>
      <c r="M2978" s="312"/>
      <c r="N2978" s="467"/>
      <c r="O2978" s="467"/>
      <c r="P2978" s="467"/>
      <c r="AL2978" s="436"/>
      <c r="AM2978" s="436"/>
      <c r="AQ2978" s="436"/>
      <c r="AR2978" s="436"/>
      <c r="AS2978" s="436"/>
      <c r="AT2978" s="436"/>
      <c r="AU2978" s="436"/>
      <c r="AV2978" s="436"/>
      <c r="AW2978" s="436"/>
      <c r="AX2978" s="436"/>
      <c r="AY2978" s="436"/>
      <c r="AZ2978" s="475"/>
      <c r="BA2978" s="475"/>
      <c r="BF2978" s="1119"/>
      <c r="BG2978" s="1119"/>
      <c r="BH2978" s="1119"/>
    </row>
    <row r="2979" spans="1:60" ht="15.75" customHeight="1">
      <c r="A2979" s="1076"/>
      <c r="B2979" s="1080"/>
      <c r="C2979" s="424"/>
      <c r="G2979" s="312"/>
      <c r="H2979" s="467"/>
      <c r="I2979" s="467"/>
      <c r="J2979" s="469"/>
      <c r="K2979" s="312"/>
      <c r="L2979" s="312"/>
      <c r="M2979" s="312"/>
      <c r="N2979" s="467"/>
      <c r="O2979" s="467"/>
      <c r="P2979" s="467"/>
      <c r="AL2979" s="436"/>
      <c r="AM2979" s="436"/>
      <c r="AQ2979" s="436"/>
      <c r="AR2979" s="436"/>
      <c r="AS2979" s="436"/>
      <c r="AT2979" s="436"/>
      <c r="AU2979" s="436"/>
      <c r="AV2979" s="436"/>
      <c r="AW2979" s="436"/>
      <c r="AX2979" s="436"/>
      <c r="AY2979" s="436"/>
      <c r="AZ2979" s="475"/>
      <c r="BA2979" s="475"/>
      <c r="BF2979" s="1119"/>
      <c r="BG2979" s="1119"/>
      <c r="BH2979" s="1119"/>
    </row>
    <row r="2980" spans="1:60" ht="15.75" customHeight="1">
      <c r="A2980" s="1076"/>
      <c r="B2980" s="1080"/>
      <c r="C2980" s="424"/>
      <c r="G2980" s="312"/>
      <c r="H2980" s="467"/>
      <c r="I2980" s="467"/>
      <c r="J2980" s="469"/>
      <c r="K2980" s="312"/>
      <c r="L2980" s="312"/>
      <c r="M2980" s="312"/>
      <c r="N2980" s="467"/>
      <c r="O2980" s="467"/>
      <c r="P2980" s="467"/>
      <c r="AL2980" s="436"/>
      <c r="AM2980" s="436"/>
      <c r="AQ2980" s="436"/>
      <c r="AR2980" s="436"/>
      <c r="AS2980" s="436"/>
      <c r="AT2980" s="436"/>
      <c r="AU2980" s="436"/>
      <c r="AV2980" s="436"/>
      <c r="AW2980" s="436"/>
      <c r="AX2980" s="436"/>
      <c r="AY2980" s="436"/>
      <c r="AZ2980" s="475"/>
      <c r="BA2980" s="475"/>
      <c r="BF2980" s="1119"/>
      <c r="BG2980" s="1119"/>
      <c r="BH2980" s="1119"/>
    </row>
    <row r="2981" spans="1:60" ht="15.75" customHeight="1">
      <c r="A2981" s="1076"/>
      <c r="B2981" s="1080"/>
      <c r="C2981" s="424"/>
      <c r="G2981" s="312"/>
      <c r="H2981" s="467"/>
      <c r="I2981" s="467"/>
      <c r="J2981" s="469"/>
      <c r="K2981" s="312"/>
      <c r="L2981" s="312"/>
      <c r="M2981" s="312"/>
      <c r="N2981" s="467"/>
      <c r="O2981" s="467"/>
      <c r="P2981" s="467"/>
      <c r="AL2981" s="436"/>
      <c r="AM2981" s="436"/>
      <c r="AQ2981" s="436"/>
      <c r="AR2981" s="436"/>
      <c r="AS2981" s="436"/>
      <c r="AT2981" s="436"/>
      <c r="AU2981" s="436"/>
      <c r="AV2981" s="436"/>
      <c r="AW2981" s="436"/>
      <c r="AX2981" s="436"/>
      <c r="AY2981" s="436"/>
      <c r="AZ2981" s="475"/>
      <c r="BA2981" s="475"/>
      <c r="BF2981" s="1119"/>
      <c r="BG2981" s="1119"/>
      <c r="BH2981" s="1119"/>
    </row>
    <row r="2982" spans="1:60" ht="15.75" customHeight="1">
      <c r="A2982" s="1076"/>
      <c r="B2982" s="1080"/>
      <c r="C2982" s="424"/>
      <c r="G2982" s="312"/>
      <c r="H2982" s="467"/>
      <c r="I2982" s="467"/>
      <c r="J2982" s="469"/>
      <c r="K2982" s="312"/>
      <c r="L2982" s="312"/>
      <c r="M2982" s="312"/>
      <c r="N2982" s="467"/>
      <c r="O2982" s="467"/>
      <c r="P2982" s="467"/>
      <c r="AL2982" s="436"/>
      <c r="AM2982" s="436"/>
      <c r="AQ2982" s="436"/>
      <c r="AR2982" s="436"/>
      <c r="AS2982" s="436"/>
      <c r="AT2982" s="436"/>
      <c r="AU2982" s="436"/>
      <c r="AV2982" s="436"/>
      <c r="AW2982" s="436"/>
      <c r="AX2982" s="436"/>
      <c r="AY2982" s="436"/>
      <c r="AZ2982" s="475"/>
      <c r="BA2982" s="475"/>
      <c r="BF2982" s="1119"/>
      <c r="BG2982" s="1119"/>
      <c r="BH2982" s="1119"/>
    </row>
    <row r="2983" spans="1:60" ht="15.75" customHeight="1">
      <c r="A2983" s="1076"/>
      <c r="B2983" s="1080"/>
      <c r="C2983" s="424"/>
      <c r="G2983" s="312"/>
      <c r="H2983" s="467"/>
      <c r="I2983" s="467"/>
      <c r="J2983" s="469"/>
      <c r="K2983" s="312"/>
      <c r="L2983" s="312"/>
      <c r="M2983" s="312"/>
      <c r="N2983" s="467"/>
      <c r="O2983" s="467"/>
      <c r="P2983" s="467"/>
      <c r="AL2983" s="436"/>
      <c r="AM2983" s="436"/>
      <c r="AQ2983" s="436"/>
      <c r="AR2983" s="436"/>
      <c r="AS2983" s="436"/>
      <c r="AT2983" s="436"/>
      <c r="AU2983" s="436"/>
      <c r="AV2983" s="436"/>
      <c r="AW2983" s="436"/>
      <c r="AX2983" s="436"/>
      <c r="AY2983" s="436"/>
      <c r="AZ2983" s="475"/>
      <c r="BA2983" s="475"/>
      <c r="BF2983" s="1119"/>
      <c r="BG2983" s="1119"/>
      <c r="BH2983" s="1119"/>
    </row>
    <row r="2984" spans="1:60" ht="15.75" customHeight="1">
      <c r="A2984" s="1076"/>
      <c r="B2984" s="1080"/>
      <c r="C2984" s="424"/>
      <c r="G2984" s="312"/>
      <c r="H2984" s="467"/>
      <c r="I2984" s="467"/>
      <c r="J2984" s="469"/>
      <c r="K2984" s="312"/>
      <c r="L2984" s="312"/>
      <c r="M2984" s="312"/>
      <c r="N2984" s="467"/>
      <c r="O2984" s="467"/>
      <c r="P2984" s="467"/>
      <c r="AL2984" s="436"/>
      <c r="AM2984" s="436"/>
      <c r="AQ2984" s="436"/>
      <c r="AR2984" s="436"/>
      <c r="AS2984" s="436"/>
      <c r="AT2984" s="436"/>
      <c r="AU2984" s="436"/>
      <c r="AV2984" s="436"/>
      <c r="AW2984" s="436"/>
      <c r="AX2984" s="436"/>
      <c r="AY2984" s="436"/>
      <c r="AZ2984" s="475"/>
      <c r="BA2984" s="475"/>
      <c r="BF2984" s="1119"/>
      <c r="BG2984" s="1119"/>
      <c r="BH2984" s="1119"/>
    </row>
    <row r="2985" spans="1:60" ht="15.75" customHeight="1">
      <c r="A2985" s="1076"/>
      <c r="B2985" s="1080"/>
      <c r="C2985" s="424"/>
      <c r="G2985" s="312"/>
      <c r="H2985" s="467"/>
      <c r="I2985" s="467"/>
      <c r="J2985" s="469"/>
      <c r="K2985" s="312"/>
      <c r="L2985" s="312"/>
      <c r="M2985" s="312"/>
      <c r="N2985" s="467"/>
      <c r="O2985" s="467"/>
      <c r="P2985" s="467"/>
      <c r="AL2985" s="436"/>
      <c r="AM2985" s="436"/>
      <c r="AQ2985" s="436"/>
      <c r="AR2985" s="436"/>
      <c r="AS2985" s="436"/>
      <c r="AT2985" s="436"/>
      <c r="AU2985" s="436"/>
      <c r="AV2985" s="436"/>
      <c r="AW2985" s="436"/>
      <c r="AX2985" s="436"/>
      <c r="AY2985" s="436"/>
      <c r="AZ2985" s="475"/>
      <c r="BA2985" s="475"/>
      <c r="BF2985" s="1119"/>
      <c r="BG2985" s="1119"/>
      <c r="BH2985" s="1119"/>
    </row>
    <row r="2986" spans="1:60" ht="15.75" customHeight="1">
      <c r="A2986" s="1076"/>
      <c r="B2986" s="1080"/>
      <c r="C2986" s="424"/>
      <c r="G2986" s="312"/>
      <c r="H2986" s="467"/>
      <c r="I2986" s="467"/>
      <c r="J2986" s="469"/>
      <c r="K2986" s="312"/>
      <c r="L2986" s="312"/>
      <c r="M2986" s="312"/>
      <c r="N2986" s="467"/>
      <c r="O2986" s="467"/>
      <c r="P2986" s="467"/>
      <c r="AL2986" s="436"/>
      <c r="AM2986" s="436"/>
      <c r="AQ2986" s="436"/>
      <c r="AR2986" s="436"/>
      <c r="AS2986" s="436"/>
      <c r="AT2986" s="436"/>
      <c r="AU2986" s="436"/>
      <c r="AV2986" s="436"/>
      <c r="AW2986" s="436"/>
      <c r="AX2986" s="436"/>
      <c r="AY2986" s="436"/>
      <c r="AZ2986" s="475"/>
      <c r="BA2986" s="475"/>
      <c r="BF2986" s="1119"/>
      <c r="BG2986" s="1119"/>
      <c r="BH2986" s="1119"/>
    </row>
    <row r="2987" spans="1:60" ht="15.75" customHeight="1">
      <c r="A2987" s="1076"/>
      <c r="B2987" s="1080"/>
      <c r="C2987" s="424"/>
      <c r="G2987" s="312"/>
      <c r="H2987" s="467"/>
      <c r="I2987" s="467"/>
      <c r="J2987" s="469"/>
      <c r="K2987" s="312"/>
      <c r="L2987" s="312"/>
      <c r="M2987" s="312"/>
      <c r="N2987" s="467"/>
      <c r="O2987" s="467"/>
      <c r="P2987" s="467"/>
      <c r="AL2987" s="436"/>
      <c r="AM2987" s="436"/>
      <c r="AQ2987" s="436"/>
      <c r="AR2987" s="436"/>
      <c r="AS2987" s="436"/>
      <c r="AT2987" s="436"/>
      <c r="AU2987" s="436"/>
      <c r="AV2987" s="436"/>
      <c r="AW2987" s="436"/>
      <c r="AX2987" s="436"/>
      <c r="AY2987" s="436"/>
      <c r="AZ2987" s="475"/>
      <c r="BA2987" s="475"/>
      <c r="BF2987" s="1119"/>
      <c r="BG2987" s="1119"/>
      <c r="BH2987" s="1119"/>
    </row>
    <row r="2988" spans="1:60" ht="15.75" customHeight="1">
      <c r="A2988" s="1076"/>
      <c r="B2988" s="1080"/>
      <c r="C2988" s="424"/>
      <c r="G2988" s="312"/>
      <c r="H2988" s="467"/>
      <c r="I2988" s="467"/>
      <c r="J2988" s="469"/>
      <c r="K2988" s="312"/>
      <c r="L2988" s="312"/>
      <c r="M2988" s="312"/>
      <c r="N2988" s="467"/>
      <c r="O2988" s="467"/>
      <c r="P2988" s="467"/>
      <c r="AL2988" s="436"/>
      <c r="AM2988" s="436"/>
      <c r="AQ2988" s="436"/>
      <c r="AR2988" s="436"/>
      <c r="AS2988" s="436"/>
      <c r="AT2988" s="436"/>
      <c r="AU2988" s="436"/>
      <c r="AV2988" s="436"/>
      <c r="AW2988" s="436"/>
      <c r="AX2988" s="436"/>
      <c r="AY2988" s="436"/>
      <c r="AZ2988" s="475"/>
      <c r="BA2988" s="475"/>
      <c r="BF2988" s="1119"/>
      <c r="BG2988" s="1119"/>
      <c r="BH2988" s="1119"/>
    </row>
    <row r="2989" spans="1:60" ht="15.75" customHeight="1">
      <c r="A2989" s="1076"/>
      <c r="B2989" s="1080"/>
      <c r="C2989" s="424"/>
      <c r="G2989" s="312"/>
      <c r="H2989" s="467"/>
      <c r="I2989" s="467"/>
      <c r="J2989" s="469"/>
      <c r="K2989" s="312"/>
      <c r="L2989" s="312"/>
      <c r="M2989" s="312"/>
      <c r="N2989" s="467"/>
      <c r="O2989" s="467"/>
      <c r="P2989" s="467"/>
      <c r="AL2989" s="436"/>
      <c r="AM2989" s="436"/>
      <c r="AQ2989" s="436"/>
      <c r="AR2989" s="436"/>
      <c r="AS2989" s="436"/>
      <c r="AT2989" s="436"/>
      <c r="AU2989" s="436"/>
      <c r="AV2989" s="436"/>
      <c r="AW2989" s="436"/>
      <c r="AX2989" s="436"/>
      <c r="AY2989" s="436"/>
      <c r="AZ2989" s="475"/>
      <c r="BA2989" s="475"/>
      <c r="BF2989" s="1119"/>
      <c r="BG2989" s="1119"/>
      <c r="BH2989" s="1119"/>
    </row>
    <row r="2990" spans="1:60" ht="15.75" customHeight="1">
      <c r="A2990" s="1076"/>
      <c r="B2990" s="1080"/>
      <c r="C2990" s="424"/>
      <c r="G2990" s="312"/>
      <c r="H2990" s="467"/>
      <c r="I2990" s="467"/>
      <c r="J2990" s="469"/>
      <c r="K2990" s="312"/>
      <c r="L2990" s="312"/>
      <c r="M2990" s="312"/>
      <c r="N2990" s="467"/>
      <c r="O2990" s="467"/>
      <c r="P2990" s="467"/>
      <c r="AL2990" s="436"/>
      <c r="AM2990" s="436"/>
      <c r="AQ2990" s="436"/>
      <c r="AR2990" s="436"/>
      <c r="AS2990" s="436"/>
      <c r="AT2990" s="436"/>
      <c r="AU2990" s="436"/>
      <c r="AV2990" s="436"/>
      <c r="AW2990" s="436"/>
      <c r="AX2990" s="436"/>
      <c r="AY2990" s="436"/>
      <c r="AZ2990" s="475"/>
      <c r="BA2990" s="475"/>
      <c r="BF2990" s="1119"/>
      <c r="BG2990" s="1119"/>
      <c r="BH2990" s="1119"/>
    </row>
    <row r="2991" spans="1:60" ht="15.75" customHeight="1">
      <c r="A2991" s="1076"/>
      <c r="B2991" s="1080"/>
      <c r="C2991" s="424"/>
      <c r="G2991" s="312"/>
      <c r="H2991" s="467"/>
      <c r="I2991" s="467"/>
      <c r="J2991" s="469"/>
      <c r="K2991" s="312"/>
      <c r="L2991" s="312"/>
      <c r="M2991" s="312"/>
      <c r="N2991" s="467"/>
      <c r="O2991" s="467"/>
      <c r="P2991" s="467"/>
      <c r="AL2991" s="436"/>
      <c r="AM2991" s="436"/>
      <c r="AQ2991" s="436"/>
      <c r="AR2991" s="436"/>
      <c r="AS2991" s="436"/>
      <c r="AT2991" s="436"/>
      <c r="AU2991" s="436"/>
      <c r="AV2991" s="436"/>
      <c r="AW2991" s="436"/>
      <c r="AX2991" s="436"/>
      <c r="AY2991" s="436"/>
      <c r="AZ2991" s="475"/>
      <c r="BA2991" s="475"/>
      <c r="BF2991" s="1119"/>
      <c r="BG2991" s="1119"/>
      <c r="BH2991" s="1119"/>
    </row>
    <row r="2992" spans="1:60" ht="15.75" customHeight="1">
      <c r="A2992" s="1076"/>
      <c r="B2992" s="1080"/>
      <c r="C2992" s="424"/>
      <c r="G2992" s="312"/>
      <c r="H2992" s="467"/>
      <c r="I2992" s="467"/>
      <c r="J2992" s="469"/>
      <c r="K2992" s="312"/>
      <c r="L2992" s="312"/>
      <c r="M2992" s="312"/>
      <c r="N2992" s="467"/>
      <c r="O2992" s="467"/>
      <c r="P2992" s="467"/>
      <c r="AL2992" s="436"/>
      <c r="AM2992" s="436"/>
      <c r="AQ2992" s="436"/>
      <c r="AR2992" s="436"/>
      <c r="AS2992" s="436"/>
      <c r="AT2992" s="436"/>
      <c r="AU2992" s="436"/>
      <c r="AV2992" s="436"/>
      <c r="AW2992" s="436"/>
      <c r="AX2992" s="436"/>
      <c r="AY2992" s="436"/>
      <c r="AZ2992" s="475"/>
      <c r="BA2992" s="475"/>
      <c r="BF2992" s="1119"/>
      <c r="BG2992" s="1119"/>
      <c r="BH2992" s="1119"/>
    </row>
    <row r="2993" spans="1:60" ht="15.75" customHeight="1">
      <c r="A2993" s="1076"/>
      <c r="B2993" s="1080"/>
      <c r="C2993" s="424"/>
      <c r="G2993" s="312"/>
      <c r="H2993" s="467"/>
      <c r="I2993" s="467"/>
      <c r="J2993" s="469"/>
      <c r="K2993" s="312"/>
      <c r="L2993" s="312"/>
      <c r="M2993" s="312"/>
      <c r="N2993" s="467"/>
      <c r="O2993" s="467"/>
      <c r="P2993" s="467"/>
      <c r="AL2993" s="436"/>
      <c r="AM2993" s="436"/>
      <c r="AQ2993" s="436"/>
      <c r="AR2993" s="436"/>
      <c r="AS2993" s="436"/>
      <c r="AT2993" s="436"/>
      <c r="AU2993" s="436"/>
      <c r="AV2993" s="436"/>
      <c r="AW2993" s="436"/>
      <c r="AX2993" s="436"/>
      <c r="AY2993" s="436"/>
      <c r="AZ2993" s="475"/>
      <c r="BA2993" s="475"/>
      <c r="BF2993" s="1119"/>
      <c r="BG2993" s="1119"/>
      <c r="BH2993" s="1119"/>
    </row>
    <row r="2994" spans="1:60" ht="15.75" customHeight="1">
      <c r="A2994" s="1076"/>
      <c r="B2994" s="1080"/>
      <c r="C2994" s="424"/>
      <c r="G2994" s="312"/>
      <c r="H2994" s="467"/>
      <c r="I2994" s="467"/>
      <c r="J2994" s="469"/>
      <c r="K2994" s="312"/>
      <c r="L2994" s="312"/>
      <c r="M2994" s="312"/>
      <c r="N2994" s="467"/>
      <c r="O2994" s="467"/>
      <c r="P2994" s="467"/>
      <c r="AL2994" s="436"/>
      <c r="AM2994" s="436"/>
      <c r="AQ2994" s="436"/>
      <c r="AR2994" s="436"/>
      <c r="AS2994" s="436"/>
      <c r="AT2994" s="436"/>
      <c r="AU2994" s="436"/>
      <c r="AV2994" s="436"/>
      <c r="AW2994" s="436"/>
      <c r="AX2994" s="436"/>
      <c r="AY2994" s="436"/>
      <c r="AZ2994" s="475"/>
      <c r="BA2994" s="475"/>
      <c r="BF2994" s="1119"/>
      <c r="BG2994" s="1119"/>
      <c r="BH2994" s="1119"/>
    </row>
    <row r="2995" spans="1:60" ht="15.75" customHeight="1">
      <c r="A2995" s="1076"/>
      <c r="B2995" s="1080"/>
      <c r="C2995" s="424"/>
      <c r="G2995" s="312"/>
      <c r="H2995" s="467"/>
      <c r="I2995" s="467"/>
      <c r="J2995" s="469"/>
      <c r="K2995" s="312"/>
      <c r="L2995" s="312"/>
      <c r="M2995" s="312"/>
      <c r="N2995" s="467"/>
      <c r="O2995" s="467"/>
      <c r="P2995" s="467"/>
      <c r="AL2995" s="436"/>
      <c r="AM2995" s="436"/>
      <c r="AQ2995" s="436"/>
      <c r="AR2995" s="436"/>
      <c r="AS2995" s="436"/>
      <c r="AT2995" s="436"/>
      <c r="AU2995" s="436"/>
      <c r="AV2995" s="436"/>
      <c r="AW2995" s="436"/>
      <c r="AX2995" s="436"/>
      <c r="AY2995" s="436"/>
      <c r="AZ2995" s="475"/>
      <c r="BA2995" s="475"/>
      <c r="BF2995" s="1119"/>
      <c r="BG2995" s="1119"/>
      <c r="BH2995" s="1119"/>
    </row>
    <row r="2996" spans="1:60" ht="15.75" customHeight="1">
      <c r="A2996" s="1076"/>
      <c r="B2996" s="1080"/>
      <c r="C2996" s="424"/>
      <c r="G2996" s="312"/>
      <c r="H2996" s="467"/>
      <c r="I2996" s="467"/>
      <c r="J2996" s="469"/>
      <c r="K2996" s="312"/>
      <c r="L2996" s="312"/>
      <c r="M2996" s="312"/>
      <c r="N2996" s="467"/>
      <c r="O2996" s="467"/>
      <c r="P2996" s="467"/>
      <c r="AL2996" s="436"/>
      <c r="AM2996" s="436"/>
      <c r="AQ2996" s="436"/>
      <c r="AR2996" s="436"/>
      <c r="AS2996" s="436"/>
      <c r="AT2996" s="436"/>
      <c r="AU2996" s="436"/>
      <c r="AV2996" s="436"/>
      <c r="AW2996" s="436"/>
      <c r="AX2996" s="436"/>
      <c r="AY2996" s="436"/>
      <c r="AZ2996" s="475"/>
      <c r="BA2996" s="475"/>
      <c r="BF2996" s="1119"/>
      <c r="BG2996" s="1119"/>
      <c r="BH2996" s="1119"/>
    </row>
    <row r="2997" spans="1:60" ht="15.75" customHeight="1">
      <c r="A2997" s="1076"/>
      <c r="B2997" s="1080"/>
      <c r="C2997" s="424"/>
      <c r="G2997" s="312"/>
      <c r="H2997" s="467"/>
      <c r="I2997" s="467"/>
      <c r="J2997" s="469"/>
      <c r="K2997" s="312"/>
      <c r="L2997" s="312"/>
      <c r="M2997" s="312"/>
      <c r="N2997" s="467"/>
      <c r="O2997" s="467"/>
      <c r="P2997" s="467"/>
      <c r="AL2997" s="436"/>
      <c r="AM2997" s="436"/>
      <c r="AQ2997" s="436"/>
      <c r="AR2997" s="436"/>
      <c r="AS2997" s="436"/>
      <c r="AT2997" s="436"/>
      <c r="AU2997" s="436"/>
      <c r="AV2997" s="436"/>
      <c r="AW2997" s="436"/>
      <c r="AX2997" s="436"/>
      <c r="AY2997" s="436"/>
      <c r="AZ2997" s="475"/>
      <c r="BA2997" s="475"/>
      <c r="BF2997" s="1119"/>
      <c r="BG2997" s="1119"/>
      <c r="BH2997" s="1119"/>
    </row>
    <row r="2998" spans="1:60" ht="15.75" customHeight="1">
      <c r="A2998" s="1076"/>
      <c r="B2998" s="1080"/>
      <c r="C2998" s="424"/>
      <c r="G2998" s="312"/>
      <c r="H2998" s="467"/>
      <c r="I2998" s="467"/>
      <c r="J2998" s="469"/>
      <c r="K2998" s="312"/>
      <c r="L2998" s="312"/>
      <c r="M2998" s="312"/>
      <c r="N2998" s="467"/>
      <c r="O2998" s="467"/>
      <c r="P2998" s="467"/>
      <c r="AL2998" s="436"/>
      <c r="AM2998" s="436"/>
      <c r="AQ2998" s="436"/>
      <c r="AR2998" s="436"/>
      <c r="AS2998" s="436"/>
      <c r="AT2998" s="436"/>
      <c r="AU2998" s="436"/>
      <c r="AV2998" s="436"/>
      <c r="AW2998" s="436"/>
      <c r="AX2998" s="436"/>
      <c r="AY2998" s="436"/>
      <c r="AZ2998" s="475"/>
      <c r="BA2998" s="475"/>
      <c r="BF2998" s="1119"/>
      <c r="BG2998" s="1119"/>
      <c r="BH2998" s="1119"/>
    </row>
    <row r="2999" spans="1:60" ht="15.75" customHeight="1">
      <c r="A2999" s="1076"/>
      <c r="B2999" s="1080"/>
      <c r="C2999" s="424"/>
      <c r="G2999" s="312"/>
      <c r="H2999" s="467"/>
      <c r="I2999" s="467"/>
      <c r="J2999" s="469"/>
      <c r="K2999" s="312"/>
      <c r="L2999" s="312"/>
      <c r="M2999" s="312"/>
      <c r="N2999" s="467"/>
      <c r="O2999" s="467"/>
      <c r="P2999" s="467"/>
      <c r="AL2999" s="436"/>
      <c r="AM2999" s="436"/>
      <c r="AQ2999" s="436"/>
      <c r="AR2999" s="436"/>
      <c r="AS2999" s="436"/>
      <c r="AT2999" s="436"/>
      <c r="AU2999" s="436"/>
      <c r="AV2999" s="436"/>
      <c r="AW2999" s="436"/>
      <c r="AX2999" s="436"/>
      <c r="AY2999" s="436"/>
      <c r="AZ2999" s="475"/>
      <c r="BA2999" s="475"/>
      <c r="BF2999" s="1119"/>
      <c r="BG2999" s="1119"/>
      <c r="BH2999" s="1119"/>
    </row>
    <row r="3000" spans="1:60" ht="15.75" customHeight="1">
      <c r="A3000" s="1076"/>
      <c r="B3000" s="1080"/>
      <c r="C3000" s="424"/>
      <c r="G3000" s="312"/>
      <c r="H3000" s="467"/>
      <c r="I3000" s="467"/>
      <c r="J3000" s="469"/>
      <c r="K3000" s="312"/>
      <c r="L3000" s="312"/>
      <c r="M3000" s="312"/>
      <c r="N3000" s="467"/>
      <c r="O3000" s="467"/>
      <c r="P3000" s="467"/>
      <c r="AL3000" s="436"/>
      <c r="AM3000" s="436"/>
      <c r="AQ3000" s="436"/>
      <c r="AR3000" s="436"/>
      <c r="AS3000" s="436"/>
      <c r="AT3000" s="436"/>
      <c r="AU3000" s="436"/>
      <c r="AV3000" s="436"/>
      <c r="AW3000" s="436"/>
      <c r="AX3000" s="436"/>
      <c r="AY3000" s="436"/>
      <c r="AZ3000" s="475"/>
      <c r="BA3000" s="475"/>
      <c r="BF3000" s="1119"/>
      <c r="BG3000" s="1119"/>
      <c r="BH3000" s="1119"/>
    </row>
    <row r="3001" spans="1:60" ht="15.75" customHeight="1">
      <c r="A3001" s="1076"/>
      <c r="B3001" s="1080"/>
      <c r="C3001" s="424"/>
      <c r="G3001" s="312"/>
      <c r="H3001" s="467"/>
      <c r="I3001" s="467"/>
      <c r="J3001" s="469"/>
      <c r="K3001" s="312"/>
      <c r="L3001" s="312"/>
      <c r="M3001" s="312"/>
      <c r="N3001" s="467"/>
      <c r="O3001" s="467"/>
      <c r="P3001" s="467"/>
      <c r="AL3001" s="436"/>
      <c r="AM3001" s="436"/>
      <c r="AQ3001" s="436"/>
      <c r="AR3001" s="436"/>
      <c r="AS3001" s="436"/>
      <c r="AT3001" s="436"/>
      <c r="AU3001" s="436"/>
      <c r="AV3001" s="436"/>
      <c r="AW3001" s="436"/>
      <c r="AX3001" s="436"/>
      <c r="AY3001" s="436"/>
      <c r="AZ3001" s="475"/>
      <c r="BA3001" s="475"/>
      <c r="BF3001" s="1119"/>
      <c r="BG3001" s="1119"/>
      <c r="BH3001" s="1119"/>
    </row>
    <row r="3002" spans="1:60" ht="15.75" customHeight="1">
      <c r="A3002" s="1076"/>
      <c r="B3002" s="1080"/>
      <c r="C3002" s="424"/>
      <c r="G3002" s="312"/>
      <c r="H3002" s="467"/>
      <c r="I3002" s="467"/>
      <c r="J3002" s="469"/>
      <c r="K3002" s="312"/>
      <c r="L3002" s="312"/>
      <c r="M3002" s="312"/>
      <c r="N3002" s="467"/>
      <c r="O3002" s="467"/>
      <c r="P3002" s="467"/>
      <c r="AL3002" s="436"/>
      <c r="AM3002" s="436"/>
      <c r="AQ3002" s="436"/>
      <c r="AR3002" s="436"/>
      <c r="AS3002" s="436"/>
      <c r="AT3002" s="436"/>
      <c r="AU3002" s="436"/>
      <c r="AV3002" s="436"/>
      <c r="AW3002" s="436"/>
      <c r="AX3002" s="436"/>
      <c r="AY3002" s="436"/>
      <c r="AZ3002" s="475"/>
      <c r="BA3002" s="475"/>
      <c r="BF3002" s="1119"/>
      <c r="BG3002" s="1119"/>
      <c r="BH3002" s="1119"/>
    </row>
    <row r="3003" spans="1:60" ht="15.75" customHeight="1">
      <c r="A3003" s="1076"/>
      <c r="B3003" s="1080"/>
      <c r="C3003" s="424"/>
      <c r="G3003" s="312"/>
      <c r="H3003" s="467"/>
      <c r="I3003" s="467"/>
      <c r="J3003" s="469"/>
      <c r="K3003" s="312"/>
      <c r="L3003" s="312"/>
      <c r="M3003" s="312"/>
      <c r="N3003" s="467"/>
      <c r="O3003" s="467"/>
      <c r="P3003" s="467"/>
      <c r="AL3003" s="436"/>
      <c r="AM3003" s="436"/>
      <c r="AQ3003" s="436"/>
      <c r="AR3003" s="436"/>
      <c r="AS3003" s="436"/>
      <c r="AT3003" s="436"/>
      <c r="AU3003" s="436"/>
      <c r="AV3003" s="436"/>
      <c r="AW3003" s="436"/>
      <c r="AX3003" s="436"/>
      <c r="AY3003" s="436"/>
      <c r="AZ3003" s="475"/>
      <c r="BA3003" s="475"/>
      <c r="BF3003" s="1119"/>
      <c r="BG3003" s="1119"/>
      <c r="BH3003" s="1119"/>
    </row>
    <row r="3004" spans="1:60" ht="15.75" customHeight="1">
      <c r="A3004" s="1076"/>
      <c r="B3004" s="1080"/>
      <c r="C3004" s="424"/>
      <c r="G3004" s="312"/>
      <c r="H3004" s="467"/>
      <c r="I3004" s="467"/>
      <c r="J3004" s="469"/>
      <c r="K3004" s="312"/>
      <c r="L3004" s="312"/>
      <c r="M3004" s="312"/>
      <c r="N3004" s="467"/>
      <c r="O3004" s="467"/>
      <c r="P3004" s="467"/>
      <c r="AL3004" s="436"/>
      <c r="AM3004" s="436"/>
      <c r="AQ3004" s="436"/>
      <c r="AR3004" s="436"/>
      <c r="AS3004" s="436"/>
      <c r="AT3004" s="436"/>
      <c r="AU3004" s="436"/>
      <c r="AV3004" s="436"/>
      <c r="AW3004" s="436"/>
      <c r="AX3004" s="436"/>
      <c r="AY3004" s="436"/>
      <c r="AZ3004" s="475"/>
      <c r="BA3004" s="475"/>
      <c r="BF3004" s="1119"/>
      <c r="BG3004" s="1119"/>
      <c r="BH3004" s="1119"/>
    </row>
    <row r="3005" spans="1:60" ht="15.75" customHeight="1">
      <c r="A3005" s="1076"/>
      <c r="B3005" s="1080"/>
      <c r="C3005" s="424"/>
      <c r="G3005" s="312"/>
      <c r="H3005" s="467"/>
      <c r="I3005" s="467"/>
      <c r="J3005" s="469"/>
      <c r="K3005" s="312"/>
      <c r="L3005" s="312"/>
      <c r="M3005" s="312"/>
      <c r="N3005" s="467"/>
      <c r="O3005" s="467"/>
      <c r="P3005" s="467"/>
      <c r="AL3005" s="436"/>
      <c r="AM3005" s="436"/>
      <c r="AQ3005" s="436"/>
      <c r="AR3005" s="436"/>
      <c r="AS3005" s="436"/>
      <c r="AT3005" s="436"/>
      <c r="AU3005" s="436"/>
      <c r="AV3005" s="436"/>
      <c r="AW3005" s="436"/>
      <c r="AX3005" s="436"/>
      <c r="AY3005" s="436"/>
      <c r="AZ3005" s="475"/>
      <c r="BA3005" s="475"/>
      <c r="BF3005" s="1119"/>
      <c r="BG3005" s="1119"/>
      <c r="BH3005" s="1119"/>
    </row>
    <row r="3006" spans="1:60" ht="15.75" customHeight="1">
      <c r="A3006" s="1076"/>
      <c r="B3006" s="1080"/>
      <c r="C3006" s="424"/>
      <c r="G3006" s="312"/>
      <c r="H3006" s="467"/>
      <c r="I3006" s="467"/>
      <c r="J3006" s="469"/>
      <c r="K3006" s="312"/>
      <c r="L3006" s="312"/>
      <c r="M3006" s="312"/>
      <c r="N3006" s="467"/>
      <c r="O3006" s="467"/>
      <c r="P3006" s="467"/>
      <c r="AL3006" s="436"/>
      <c r="AM3006" s="436"/>
      <c r="AQ3006" s="436"/>
      <c r="AR3006" s="436"/>
      <c r="AS3006" s="436"/>
      <c r="AT3006" s="436"/>
      <c r="AU3006" s="436"/>
      <c r="AV3006" s="436"/>
      <c r="AW3006" s="436"/>
      <c r="AX3006" s="436"/>
      <c r="AY3006" s="436"/>
      <c r="AZ3006" s="475"/>
      <c r="BA3006" s="475"/>
      <c r="BF3006" s="1119"/>
      <c r="BG3006" s="1119"/>
      <c r="BH3006" s="1119"/>
    </row>
    <row r="3007" spans="1:60" ht="15.75" customHeight="1">
      <c r="A3007" s="1076"/>
      <c r="B3007" s="1080"/>
      <c r="C3007" s="424"/>
      <c r="G3007" s="312"/>
      <c r="H3007" s="467"/>
      <c r="I3007" s="467"/>
      <c r="J3007" s="469"/>
      <c r="K3007" s="312"/>
      <c r="L3007" s="312"/>
      <c r="M3007" s="312"/>
      <c r="N3007" s="467"/>
      <c r="O3007" s="467"/>
      <c r="P3007" s="467"/>
      <c r="AL3007" s="436"/>
      <c r="AM3007" s="436"/>
      <c r="AQ3007" s="436"/>
      <c r="AR3007" s="436"/>
      <c r="AS3007" s="436"/>
      <c r="AT3007" s="436"/>
      <c r="AU3007" s="436"/>
      <c r="AV3007" s="436"/>
      <c r="AW3007" s="436"/>
      <c r="AX3007" s="436"/>
      <c r="AY3007" s="436"/>
      <c r="AZ3007" s="475"/>
      <c r="BA3007" s="475"/>
      <c r="BF3007" s="1119"/>
      <c r="BG3007" s="1119"/>
      <c r="BH3007" s="1119"/>
    </row>
    <row r="3008" spans="1:60" ht="15.75" customHeight="1">
      <c r="A3008" s="1076"/>
      <c r="B3008" s="1080"/>
      <c r="C3008" s="424"/>
      <c r="G3008" s="312"/>
      <c r="H3008" s="467"/>
      <c r="I3008" s="467"/>
      <c r="J3008" s="469"/>
      <c r="K3008" s="312"/>
      <c r="L3008" s="312"/>
      <c r="M3008" s="312"/>
      <c r="N3008" s="467"/>
      <c r="O3008" s="467"/>
      <c r="P3008" s="467"/>
      <c r="AL3008" s="436"/>
      <c r="AM3008" s="436"/>
      <c r="AQ3008" s="436"/>
      <c r="AR3008" s="436"/>
      <c r="AS3008" s="436"/>
      <c r="AT3008" s="436"/>
      <c r="AU3008" s="436"/>
      <c r="AV3008" s="436"/>
      <c r="AW3008" s="436"/>
      <c r="AX3008" s="436"/>
      <c r="AY3008" s="436"/>
      <c r="AZ3008" s="475"/>
      <c r="BA3008" s="475"/>
      <c r="BF3008" s="1119"/>
      <c r="BG3008" s="1119"/>
      <c r="BH3008" s="1119"/>
    </row>
    <row r="3009" spans="1:60" ht="15.75" customHeight="1">
      <c r="A3009" s="1076"/>
      <c r="B3009" s="1080"/>
      <c r="C3009" s="424"/>
      <c r="G3009" s="312"/>
      <c r="H3009" s="467"/>
      <c r="I3009" s="467"/>
      <c r="J3009" s="469"/>
      <c r="K3009" s="312"/>
      <c r="L3009" s="312"/>
      <c r="M3009" s="312"/>
      <c r="N3009" s="467"/>
      <c r="O3009" s="467"/>
      <c r="P3009" s="467"/>
      <c r="AL3009" s="436"/>
      <c r="AM3009" s="436"/>
      <c r="AQ3009" s="436"/>
      <c r="AR3009" s="436"/>
      <c r="AS3009" s="436"/>
      <c r="AT3009" s="436"/>
      <c r="AU3009" s="436"/>
      <c r="AV3009" s="436"/>
      <c r="AW3009" s="436"/>
      <c r="AX3009" s="436"/>
      <c r="AY3009" s="436"/>
      <c r="AZ3009" s="475"/>
      <c r="BA3009" s="475"/>
      <c r="BF3009" s="1119"/>
      <c r="BG3009" s="1119"/>
      <c r="BH3009" s="1119"/>
    </row>
    <row r="3010" spans="1:60" ht="15.75" customHeight="1">
      <c r="A3010" s="1076"/>
      <c r="B3010" s="1080"/>
      <c r="C3010" s="424"/>
      <c r="G3010" s="312"/>
      <c r="H3010" s="467"/>
      <c r="I3010" s="467"/>
      <c r="J3010" s="469"/>
      <c r="K3010" s="312"/>
      <c r="L3010" s="312"/>
      <c r="M3010" s="312"/>
      <c r="N3010" s="467"/>
      <c r="O3010" s="467"/>
      <c r="P3010" s="467"/>
      <c r="AL3010" s="436"/>
      <c r="AM3010" s="436"/>
      <c r="AQ3010" s="436"/>
      <c r="AR3010" s="436"/>
      <c r="AS3010" s="436"/>
      <c r="AT3010" s="436"/>
      <c r="AU3010" s="436"/>
      <c r="AV3010" s="436"/>
      <c r="AW3010" s="436"/>
      <c r="AX3010" s="436"/>
      <c r="AY3010" s="436"/>
      <c r="AZ3010" s="475"/>
      <c r="BA3010" s="475"/>
      <c r="BF3010" s="1119"/>
      <c r="BG3010" s="1119"/>
      <c r="BH3010" s="1119"/>
    </row>
    <row r="3011" spans="1:60" ht="15.75" customHeight="1">
      <c r="A3011" s="1076"/>
      <c r="B3011" s="1080"/>
      <c r="C3011" s="424"/>
      <c r="G3011" s="312"/>
      <c r="H3011" s="467"/>
      <c r="I3011" s="467"/>
      <c r="J3011" s="469"/>
      <c r="K3011" s="312"/>
      <c r="L3011" s="312"/>
      <c r="M3011" s="312"/>
      <c r="N3011" s="467"/>
      <c r="O3011" s="467"/>
      <c r="P3011" s="467"/>
      <c r="AL3011" s="436"/>
      <c r="AM3011" s="436"/>
      <c r="AQ3011" s="436"/>
      <c r="AR3011" s="436"/>
      <c r="AS3011" s="436"/>
      <c r="AT3011" s="436"/>
      <c r="AU3011" s="436"/>
      <c r="AV3011" s="436"/>
      <c r="AW3011" s="436"/>
      <c r="AX3011" s="436"/>
      <c r="AY3011" s="436"/>
      <c r="AZ3011" s="475"/>
      <c r="BA3011" s="475"/>
      <c r="BF3011" s="1119"/>
      <c r="BG3011" s="1119"/>
      <c r="BH3011" s="1119"/>
    </row>
    <row r="3012" spans="1:60" ht="15.75" customHeight="1">
      <c r="A3012" s="1076"/>
      <c r="B3012" s="1080"/>
      <c r="C3012" s="424"/>
      <c r="G3012" s="312"/>
      <c r="H3012" s="467"/>
      <c r="I3012" s="467"/>
      <c r="J3012" s="469"/>
      <c r="K3012" s="312"/>
      <c r="L3012" s="312"/>
      <c r="M3012" s="312"/>
      <c r="N3012" s="467"/>
      <c r="O3012" s="467"/>
      <c r="P3012" s="467"/>
      <c r="AL3012" s="436"/>
      <c r="AM3012" s="436"/>
      <c r="AQ3012" s="436"/>
      <c r="AR3012" s="436"/>
      <c r="AS3012" s="436"/>
      <c r="AT3012" s="436"/>
      <c r="AU3012" s="436"/>
      <c r="AV3012" s="436"/>
      <c r="AW3012" s="436"/>
      <c r="AX3012" s="436"/>
      <c r="AY3012" s="436"/>
      <c r="AZ3012" s="475"/>
      <c r="BA3012" s="475"/>
      <c r="BF3012" s="1119"/>
      <c r="BG3012" s="1119"/>
      <c r="BH3012" s="1119"/>
    </row>
    <row r="3013" spans="1:60" ht="15.75" customHeight="1">
      <c r="A3013" s="1076"/>
      <c r="B3013" s="1080"/>
      <c r="C3013" s="424"/>
      <c r="G3013" s="312"/>
      <c r="H3013" s="467"/>
      <c r="I3013" s="467"/>
      <c r="J3013" s="469"/>
      <c r="K3013" s="312"/>
      <c r="L3013" s="312"/>
      <c r="M3013" s="312"/>
      <c r="N3013" s="467"/>
      <c r="O3013" s="467"/>
      <c r="P3013" s="467"/>
      <c r="AL3013" s="436"/>
      <c r="AM3013" s="436"/>
      <c r="AQ3013" s="436"/>
      <c r="AR3013" s="436"/>
      <c r="AS3013" s="436"/>
      <c r="AT3013" s="436"/>
      <c r="AU3013" s="436"/>
      <c r="AV3013" s="436"/>
      <c r="AW3013" s="436"/>
      <c r="AX3013" s="436"/>
      <c r="AY3013" s="436"/>
      <c r="AZ3013" s="475"/>
      <c r="BA3013" s="475"/>
      <c r="BF3013" s="1119"/>
      <c r="BG3013" s="1119"/>
      <c r="BH3013" s="1119"/>
    </row>
    <row r="3014" spans="1:60" ht="15.75" customHeight="1">
      <c r="A3014" s="1076"/>
      <c r="B3014" s="1080"/>
      <c r="C3014" s="424"/>
      <c r="G3014" s="312"/>
      <c r="H3014" s="467"/>
      <c r="I3014" s="467"/>
      <c r="J3014" s="469"/>
      <c r="K3014" s="312"/>
      <c r="L3014" s="312"/>
      <c r="M3014" s="312"/>
      <c r="N3014" s="467"/>
      <c r="O3014" s="467"/>
      <c r="P3014" s="467"/>
      <c r="AL3014" s="436"/>
      <c r="AM3014" s="436"/>
      <c r="AQ3014" s="436"/>
      <c r="AR3014" s="436"/>
      <c r="AS3014" s="436"/>
      <c r="AT3014" s="436"/>
      <c r="AU3014" s="436"/>
      <c r="AV3014" s="436"/>
      <c r="AW3014" s="436"/>
      <c r="AX3014" s="436"/>
      <c r="AY3014" s="436"/>
      <c r="AZ3014" s="475"/>
      <c r="BA3014" s="475"/>
      <c r="BF3014" s="1119"/>
      <c r="BG3014" s="1119"/>
      <c r="BH3014" s="1119"/>
    </row>
    <row r="3015" spans="1:60" ht="15.75" customHeight="1">
      <c r="A3015" s="1076"/>
      <c r="B3015" s="1080"/>
      <c r="C3015" s="424"/>
      <c r="G3015" s="312"/>
      <c r="H3015" s="467"/>
      <c r="I3015" s="467"/>
      <c r="J3015" s="469"/>
      <c r="K3015" s="312"/>
      <c r="L3015" s="312"/>
      <c r="M3015" s="312"/>
      <c r="N3015" s="467"/>
      <c r="O3015" s="467"/>
      <c r="P3015" s="467"/>
      <c r="AL3015" s="436"/>
      <c r="AM3015" s="436"/>
      <c r="AQ3015" s="436"/>
      <c r="AR3015" s="436"/>
      <c r="AS3015" s="436"/>
      <c r="AT3015" s="436"/>
      <c r="AU3015" s="436"/>
      <c r="AV3015" s="436"/>
      <c r="AW3015" s="436"/>
      <c r="AX3015" s="436"/>
      <c r="AY3015" s="436"/>
      <c r="AZ3015" s="475"/>
      <c r="BA3015" s="475"/>
      <c r="BF3015" s="1119"/>
      <c r="BG3015" s="1119"/>
      <c r="BH3015" s="1119"/>
    </row>
    <row r="3016" spans="1:60" ht="15.75" customHeight="1">
      <c r="A3016" s="1076"/>
      <c r="B3016" s="1080"/>
      <c r="C3016" s="424"/>
      <c r="G3016" s="312"/>
      <c r="H3016" s="467"/>
      <c r="I3016" s="467"/>
      <c r="J3016" s="469"/>
      <c r="K3016" s="312"/>
      <c r="L3016" s="312"/>
      <c r="M3016" s="312"/>
      <c r="N3016" s="467"/>
      <c r="O3016" s="467"/>
      <c r="P3016" s="467"/>
      <c r="AL3016" s="436"/>
      <c r="AM3016" s="436"/>
      <c r="AQ3016" s="436"/>
      <c r="AR3016" s="436"/>
      <c r="AS3016" s="436"/>
      <c r="AT3016" s="436"/>
      <c r="AU3016" s="436"/>
      <c r="AV3016" s="436"/>
      <c r="AW3016" s="436"/>
      <c r="AX3016" s="436"/>
      <c r="AY3016" s="436"/>
      <c r="AZ3016" s="475"/>
      <c r="BA3016" s="475"/>
      <c r="BF3016" s="1119"/>
      <c r="BG3016" s="1119"/>
      <c r="BH3016" s="1119"/>
    </row>
    <row r="3017" spans="1:60" ht="15.75" customHeight="1">
      <c r="A3017" s="1076"/>
      <c r="B3017" s="1080"/>
      <c r="C3017" s="424"/>
      <c r="G3017" s="312"/>
      <c r="H3017" s="467"/>
      <c r="I3017" s="467"/>
      <c r="J3017" s="469"/>
      <c r="K3017" s="312"/>
      <c r="L3017" s="312"/>
      <c r="M3017" s="312"/>
      <c r="N3017" s="467"/>
      <c r="O3017" s="467"/>
      <c r="P3017" s="467"/>
      <c r="AL3017" s="436"/>
      <c r="AM3017" s="436"/>
      <c r="AQ3017" s="436"/>
      <c r="AR3017" s="436"/>
      <c r="AS3017" s="436"/>
      <c r="AT3017" s="436"/>
      <c r="AU3017" s="436"/>
      <c r="AV3017" s="436"/>
      <c r="AW3017" s="436"/>
      <c r="AX3017" s="436"/>
      <c r="AY3017" s="436"/>
      <c r="AZ3017" s="475"/>
      <c r="BA3017" s="475"/>
      <c r="BF3017" s="1119"/>
      <c r="BG3017" s="1119"/>
      <c r="BH3017" s="1119"/>
    </row>
    <row r="3018" spans="1:60" ht="15.75" customHeight="1">
      <c r="A3018" s="1076"/>
      <c r="B3018" s="1080"/>
      <c r="C3018" s="424"/>
      <c r="G3018" s="312"/>
      <c r="H3018" s="467"/>
      <c r="I3018" s="467"/>
      <c r="J3018" s="469"/>
      <c r="K3018" s="312"/>
      <c r="L3018" s="312"/>
      <c r="M3018" s="312"/>
      <c r="N3018" s="467"/>
      <c r="O3018" s="467"/>
      <c r="P3018" s="467"/>
      <c r="AL3018" s="436"/>
      <c r="AM3018" s="436"/>
      <c r="AQ3018" s="436"/>
      <c r="AR3018" s="436"/>
      <c r="AS3018" s="436"/>
      <c r="AT3018" s="436"/>
      <c r="AU3018" s="436"/>
      <c r="AV3018" s="436"/>
      <c r="AW3018" s="436"/>
      <c r="AX3018" s="436"/>
      <c r="AY3018" s="436"/>
      <c r="AZ3018" s="475"/>
      <c r="BA3018" s="475"/>
      <c r="BF3018" s="1119"/>
      <c r="BG3018" s="1119"/>
      <c r="BH3018" s="1119"/>
    </row>
    <row r="3019" spans="1:60" ht="15.75" customHeight="1">
      <c r="A3019" s="1076"/>
      <c r="B3019" s="1080"/>
      <c r="C3019" s="424"/>
      <c r="G3019" s="312"/>
      <c r="H3019" s="467"/>
      <c r="I3019" s="467"/>
      <c r="J3019" s="469"/>
      <c r="K3019" s="312"/>
      <c r="L3019" s="312"/>
      <c r="M3019" s="312"/>
      <c r="N3019" s="467"/>
      <c r="O3019" s="467"/>
      <c r="P3019" s="467"/>
      <c r="AL3019" s="436"/>
      <c r="AM3019" s="436"/>
      <c r="AQ3019" s="436"/>
      <c r="AR3019" s="436"/>
      <c r="AS3019" s="436"/>
      <c r="AT3019" s="436"/>
      <c r="AU3019" s="436"/>
      <c r="AV3019" s="436"/>
      <c r="AW3019" s="436"/>
      <c r="AX3019" s="436"/>
      <c r="AY3019" s="436"/>
      <c r="AZ3019" s="475"/>
      <c r="BA3019" s="475"/>
      <c r="BF3019" s="1119"/>
      <c r="BG3019" s="1119"/>
      <c r="BH3019" s="1119"/>
    </row>
    <row r="3020" spans="1:60" ht="15.75" customHeight="1">
      <c r="A3020" s="1076"/>
      <c r="B3020" s="1080"/>
      <c r="C3020" s="424"/>
      <c r="G3020" s="312"/>
      <c r="H3020" s="467"/>
      <c r="I3020" s="467"/>
      <c r="J3020" s="469"/>
      <c r="K3020" s="312"/>
      <c r="L3020" s="312"/>
      <c r="M3020" s="312"/>
      <c r="N3020" s="467"/>
      <c r="O3020" s="467"/>
      <c r="P3020" s="467"/>
      <c r="AL3020" s="436"/>
      <c r="AM3020" s="436"/>
      <c r="AQ3020" s="436"/>
      <c r="AR3020" s="436"/>
      <c r="AS3020" s="436"/>
      <c r="AT3020" s="436"/>
      <c r="AU3020" s="436"/>
      <c r="AV3020" s="436"/>
      <c r="AW3020" s="436"/>
      <c r="AX3020" s="436"/>
      <c r="AY3020" s="436"/>
      <c r="AZ3020" s="475"/>
      <c r="BA3020" s="475"/>
      <c r="BF3020" s="1119"/>
      <c r="BG3020" s="1119"/>
      <c r="BH3020" s="1119"/>
    </row>
    <row r="3021" spans="1:60" ht="15.75" customHeight="1">
      <c r="A3021" s="1076"/>
      <c r="B3021" s="1080"/>
      <c r="C3021" s="424"/>
      <c r="G3021" s="312"/>
      <c r="H3021" s="467"/>
      <c r="I3021" s="467"/>
      <c r="J3021" s="469"/>
      <c r="K3021" s="312"/>
      <c r="L3021" s="312"/>
      <c r="M3021" s="312"/>
      <c r="N3021" s="467"/>
      <c r="O3021" s="467"/>
      <c r="P3021" s="467"/>
      <c r="AL3021" s="436"/>
      <c r="AM3021" s="436"/>
      <c r="AQ3021" s="436"/>
      <c r="AR3021" s="436"/>
      <c r="AS3021" s="436"/>
      <c r="AT3021" s="436"/>
      <c r="AU3021" s="436"/>
      <c r="AV3021" s="436"/>
      <c r="AW3021" s="436"/>
      <c r="AX3021" s="436"/>
      <c r="AY3021" s="436"/>
      <c r="AZ3021" s="475"/>
      <c r="BA3021" s="475"/>
      <c r="BF3021" s="1119"/>
      <c r="BG3021" s="1119"/>
      <c r="BH3021" s="1119"/>
    </row>
    <row r="3022" spans="1:60" ht="15.75" customHeight="1">
      <c r="A3022" s="1076"/>
      <c r="B3022" s="1080"/>
      <c r="C3022" s="424"/>
      <c r="G3022" s="312"/>
      <c r="H3022" s="467"/>
      <c r="I3022" s="467"/>
      <c r="J3022" s="469"/>
      <c r="K3022" s="312"/>
      <c r="L3022" s="312"/>
      <c r="M3022" s="312"/>
      <c r="N3022" s="467"/>
      <c r="O3022" s="467"/>
      <c r="P3022" s="467"/>
      <c r="AL3022" s="436"/>
      <c r="AM3022" s="436"/>
      <c r="AQ3022" s="436"/>
      <c r="AR3022" s="436"/>
      <c r="AS3022" s="436"/>
      <c r="AT3022" s="436"/>
      <c r="AU3022" s="436"/>
      <c r="AV3022" s="436"/>
      <c r="AW3022" s="436"/>
      <c r="AX3022" s="436"/>
      <c r="AY3022" s="436"/>
      <c r="AZ3022" s="475"/>
      <c r="BA3022" s="475"/>
      <c r="BF3022" s="1119"/>
      <c r="BG3022" s="1119"/>
      <c r="BH3022" s="1119"/>
    </row>
    <row r="3023" spans="1:60" ht="15.75" customHeight="1">
      <c r="A3023" s="1076"/>
      <c r="B3023" s="1080"/>
      <c r="C3023" s="424"/>
      <c r="G3023" s="312"/>
      <c r="H3023" s="467"/>
      <c r="I3023" s="467"/>
      <c r="J3023" s="469"/>
      <c r="K3023" s="312"/>
      <c r="L3023" s="312"/>
      <c r="M3023" s="312"/>
      <c r="N3023" s="467"/>
      <c r="O3023" s="467"/>
      <c r="P3023" s="467"/>
      <c r="AL3023" s="436"/>
      <c r="AM3023" s="436"/>
      <c r="AQ3023" s="436"/>
      <c r="AR3023" s="436"/>
      <c r="AS3023" s="436"/>
      <c r="AT3023" s="436"/>
      <c r="AU3023" s="436"/>
      <c r="AV3023" s="436"/>
      <c r="AW3023" s="436"/>
      <c r="AX3023" s="436"/>
      <c r="AY3023" s="436"/>
      <c r="AZ3023" s="475"/>
      <c r="BA3023" s="475"/>
      <c r="BF3023" s="1119"/>
      <c r="BG3023" s="1119"/>
      <c r="BH3023" s="1119"/>
    </row>
    <row r="3024" spans="1:60" ht="15.75" customHeight="1">
      <c r="A3024" s="1076"/>
      <c r="B3024" s="1080"/>
      <c r="C3024" s="424"/>
      <c r="G3024" s="312"/>
      <c r="H3024" s="467"/>
      <c r="I3024" s="467"/>
      <c r="J3024" s="469"/>
      <c r="K3024" s="312"/>
      <c r="L3024" s="312"/>
      <c r="M3024" s="312"/>
      <c r="N3024" s="467"/>
      <c r="O3024" s="467"/>
      <c r="P3024" s="467"/>
      <c r="AL3024" s="436"/>
      <c r="AM3024" s="436"/>
      <c r="AQ3024" s="436"/>
      <c r="AR3024" s="436"/>
      <c r="AS3024" s="436"/>
      <c r="AT3024" s="436"/>
      <c r="AU3024" s="436"/>
      <c r="AV3024" s="436"/>
      <c r="AW3024" s="436"/>
      <c r="AX3024" s="436"/>
      <c r="AY3024" s="436"/>
      <c r="AZ3024" s="475"/>
      <c r="BA3024" s="475"/>
      <c r="BF3024" s="1119"/>
      <c r="BG3024" s="1119"/>
      <c r="BH3024" s="1119"/>
    </row>
    <row r="3025" spans="1:60" ht="15.75" customHeight="1">
      <c r="A3025" s="1076"/>
      <c r="B3025" s="1080"/>
      <c r="C3025" s="424"/>
      <c r="G3025" s="312"/>
      <c r="H3025" s="467"/>
      <c r="I3025" s="467"/>
      <c r="J3025" s="469"/>
      <c r="K3025" s="312"/>
      <c r="L3025" s="312"/>
      <c r="M3025" s="312"/>
      <c r="N3025" s="467"/>
      <c r="O3025" s="467"/>
      <c r="P3025" s="467"/>
      <c r="AL3025" s="436"/>
      <c r="AM3025" s="436"/>
      <c r="AQ3025" s="436"/>
      <c r="AR3025" s="436"/>
      <c r="AS3025" s="436"/>
      <c r="AT3025" s="436"/>
      <c r="AU3025" s="436"/>
      <c r="AV3025" s="436"/>
      <c r="AW3025" s="436"/>
      <c r="AX3025" s="436"/>
      <c r="AY3025" s="436"/>
      <c r="AZ3025" s="475"/>
      <c r="BA3025" s="475"/>
      <c r="BF3025" s="1119"/>
      <c r="BG3025" s="1119"/>
      <c r="BH3025" s="1119"/>
    </row>
    <row r="3026" spans="1:60" ht="15.75" customHeight="1">
      <c r="A3026" s="1076"/>
      <c r="B3026" s="1080"/>
      <c r="C3026" s="424"/>
      <c r="G3026" s="312"/>
      <c r="H3026" s="467"/>
      <c r="I3026" s="467"/>
      <c r="J3026" s="469"/>
      <c r="K3026" s="312"/>
      <c r="L3026" s="312"/>
      <c r="M3026" s="312"/>
      <c r="N3026" s="467"/>
      <c r="O3026" s="467"/>
      <c r="P3026" s="467"/>
      <c r="AL3026" s="436"/>
      <c r="AM3026" s="436"/>
      <c r="AQ3026" s="436"/>
      <c r="AR3026" s="436"/>
      <c r="AS3026" s="436"/>
      <c r="AT3026" s="436"/>
      <c r="AU3026" s="436"/>
      <c r="AV3026" s="436"/>
      <c r="AW3026" s="436"/>
      <c r="AX3026" s="436"/>
      <c r="AY3026" s="436"/>
      <c r="AZ3026" s="475"/>
      <c r="BA3026" s="475"/>
      <c r="BF3026" s="1119"/>
      <c r="BG3026" s="1119"/>
      <c r="BH3026" s="1119"/>
    </row>
    <row r="3027" spans="1:60" ht="15.75" customHeight="1">
      <c r="A3027" s="1076"/>
      <c r="B3027" s="1080"/>
      <c r="C3027" s="424"/>
      <c r="G3027" s="312"/>
      <c r="H3027" s="467"/>
      <c r="I3027" s="467"/>
      <c r="J3027" s="469"/>
      <c r="K3027" s="312"/>
      <c r="L3027" s="312"/>
      <c r="M3027" s="312"/>
      <c r="N3027" s="467"/>
      <c r="O3027" s="467"/>
      <c r="P3027" s="467"/>
      <c r="AL3027" s="436"/>
      <c r="AM3027" s="436"/>
      <c r="AQ3027" s="436"/>
      <c r="AR3027" s="436"/>
      <c r="AS3027" s="436"/>
      <c r="AT3027" s="436"/>
      <c r="AU3027" s="436"/>
      <c r="AV3027" s="436"/>
      <c r="AW3027" s="436"/>
      <c r="AX3027" s="436"/>
      <c r="AY3027" s="436"/>
      <c r="AZ3027" s="475"/>
      <c r="BA3027" s="475"/>
      <c r="BF3027" s="1119"/>
      <c r="BG3027" s="1119"/>
      <c r="BH3027" s="1119"/>
    </row>
    <row r="3028" spans="1:60" ht="15.75" customHeight="1">
      <c r="A3028" s="1076"/>
      <c r="B3028" s="1080"/>
      <c r="C3028" s="424"/>
      <c r="G3028" s="312"/>
      <c r="H3028" s="467"/>
      <c r="I3028" s="467"/>
      <c r="J3028" s="469"/>
      <c r="K3028" s="312"/>
      <c r="L3028" s="312"/>
      <c r="M3028" s="312"/>
      <c r="N3028" s="467"/>
      <c r="O3028" s="467"/>
      <c r="P3028" s="467"/>
      <c r="AL3028" s="436"/>
      <c r="AM3028" s="436"/>
      <c r="AQ3028" s="436"/>
      <c r="AR3028" s="436"/>
      <c r="AS3028" s="436"/>
      <c r="AT3028" s="436"/>
      <c r="AU3028" s="436"/>
      <c r="AV3028" s="436"/>
      <c r="AW3028" s="436"/>
      <c r="AX3028" s="436"/>
      <c r="AY3028" s="436"/>
      <c r="AZ3028" s="475"/>
      <c r="BA3028" s="475"/>
      <c r="BF3028" s="1119"/>
      <c r="BG3028" s="1119"/>
      <c r="BH3028" s="1119"/>
    </row>
    <row r="3029" spans="1:60" ht="15.75" customHeight="1">
      <c r="A3029" s="1076"/>
      <c r="B3029" s="1080"/>
      <c r="C3029" s="424"/>
      <c r="G3029" s="312"/>
      <c r="H3029" s="467"/>
      <c r="I3029" s="467"/>
      <c r="J3029" s="469"/>
      <c r="K3029" s="312"/>
      <c r="L3029" s="312"/>
      <c r="M3029" s="312"/>
      <c r="N3029" s="467"/>
      <c r="O3029" s="467"/>
      <c r="P3029" s="467"/>
      <c r="AL3029" s="436"/>
      <c r="AM3029" s="436"/>
      <c r="AQ3029" s="436"/>
      <c r="AR3029" s="436"/>
      <c r="AS3029" s="436"/>
      <c r="AT3029" s="436"/>
      <c r="AU3029" s="436"/>
      <c r="AV3029" s="436"/>
      <c r="AW3029" s="436"/>
      <c r="AX3029" s="436"/>
      <c r="AY3029" s="436"/>
      <c r="AZ3029" s="475"/>
      <c r="BA3029" s="475"/>
      <c r="BF3029" s="1119"/>
      <c r="BG3029" s="1119"/>
      <c r="BH3029" s="1119"/>
    </row>
    <row r="3030" spans="1:60" ht="15.75" customHeight="1">
      <c r="A3030" s="1076"/>
      <c r="B3030" s="1080"/>
      <c r="C3030" s="424"/>
      <c r="G3030" s="312"/>
      <c r="H3030" s="467"/>
      <c r="I3030" s="467"/>
      <c r="J3030" s="469"/>
      <c r="K3030" s="312"/>
      <c r="L3030" s="312"/>
      <c r="M3030" s="312"/>
      <c r="N3030" s="467"/>
      <c r="O3030" s="467"/>
      <c r="P3030" s="467"/>
      <c r="AL3030" s="436"/>
      <c r="AM3030" s="436"/>
      <c r="AQ3030" s="436"/>
      <c r="AR3030" s="436"/>
      <c r="AS3030" s="436"/>
      <c r="AT3030" s="436"/>
      <c r="AU3030" s="436"/>
      <c r="AV3030" s="436"/>
      <c r="AW3030" s="436"/>
      <c r="AX3030" s="436"/>
      <c r="AY3030" s="436"/>
      <c r="AZ3030" s="475"/>
      <c r="BA3030" s="475"/>
      <c r="BF3030" s="1119"/>
      <c r="BG3030" s="1119"/>
      <c r="BH3030" s="1119"/>
    </row>
    <row r="3031" spans="1:60" ht="15.75" customHeight="1">
      <c r="A3031" s="1076"/>
      <c r="B3031" s="1080"/>
      <c r="C3031" s="424"/>
      <c r="G3031" s="312"/>
      <c r="H3031" s="467"/>
      <c r="I3031" s="467"/>
      <c r="J3031" s="469"/>
      <c r="K3031" s="312"/>
      <c r="L3031" s="312"/>
      <c r="M3031" s="312"/>
      <c r="N3031" s="467"/>
      <c r="O3031" s="467"/>
      <c r="P3031" s="467"/>
      <c r="AL3031" s="436"/>
      <c r="AM3031" s="436"/>
      <c r="AQ3031" s="436"/>
      <c r="AR3031" s="436"/>
      <c r="AS3031" s="436"/>
      <c r="AT3031" s="436"/>
      <c r="AU3031" s="436"/>
      <c r="AV3031" s="436"/>
      <c r="AW3031" s="436"/>
      <c r="AX3031" s="436"/>
      <c r="AY3031" s="436"/>
      <c r="AZ3031" s="475"/>
      <c r="BA3031" s="475"/>
      <c r="BF3031" s="1119"/>
      <c r="BG3031" s="1119"/>
      <c r="BH3031" s="1119"/>
    </row>
    <row r="3032" spans="1:60" ht="15.75" customHeight="1">
      <c r="A3032" s="1076"/>
      <c r="B3032" s="1080"/>
      <c r="C3032" s="424"/>
      <c r="G3032" s="312"/>
      <c r="H3032" s="467"/>
      <c r="I3032" s="467"/>
      <c r="J3032" s="469"/>
      <c r="K3032" s="312"/>
      <c r="L3032" s="312"/>
      <c r="M3032" s="312"/>
      <c r="N3032" s="467"/>
      <c r="O3032" s="467"/>
      <c r="P3032" s="467"/>
      <c r="AL3032" s="436"/>
      <c r="AM3032" s="436"/>
      <c r="AQ3032" s="436"/>
      <c r="AR3032" s="436"/>
      <c r="AS3032" s="436"/>
      <c r="AT3032" s="436"/>
      <c r="AU3032" s="436"/>
      <c r="AV3032" s="436"/>
      <c r="AW3032" s="436"/>
      <c r="AX3032" s="436"/>
      <c r="AY3032" s="436"/>
      <c r="AZ3032" s="475"/>
      <c r="BA3032" s="475"/>
      <c r="BF3032" s="1119"/>
      <c r="BG3032" s="1119"/>
      <c r="BH3032" s="1119"/>
    </row>
    <row r="3033" spans="1:60" ht="15.75" customHeight="1">
      <c r="A3033" s="1076"/>
      <c r="B3033" s="1080"/>
      <c r="C3033" s="424"/>
      <c r="G3033" s="312"/>
      <c r="H3033" s="467"/>
      <c r="I3033" s="467"/>
      <c r="J3033" s="469"/>
      <c r="K3033" s="312"/>
      <c r="L3033" s="312"/>
      <c r="M3033" s="312"/>
      <c r="N3033" s="467"/>
      <c r="O3033" s="467"/>
      <c r="P3033" s="467"/>
      <c r="AL3033" s="436"/>
      <c r="AM3033" s="436"/>
      <c r="AQ3033" s="436"/>
      <c r="AR3033" s="436"/>
      <c r="AS3033" s="436"/>
      <c r="AT3033" s="436"/>
      <c r="AU3033" s="436"/>
      <c r="AV3033" s="436"/>
      <c r="AW3033" s="436"/>
      <c r="AX3033" s="436"/>
      <c r="AY3033" s="436"/>
      <c r="AZ3033" s="475"/>
      <c r="BA3033" s="475"/>
      <c r="BF3033" s="1119"/>
      <c r="BG3033" s="1119"/>
      <c r="BH3033" s="1119"/>
    </row>
    <row r="3034" spans="1:60" ht="15.75" customHeight="1">
      <c r="A3034" s="1076"/>
      <c r="B3034" s="1080"/>
      <c r="C3034" s="424"/>
      <c r="G3034" s="312"/>
      <c r="H3034" s="467"/>
      <c r="I3034" s="467"/>
      <c r="J3034" s="469"/>
      <c r="K3034" s="312"/>
      <c r="L3034" s="312"/>
      <c r="M3034" s="312"/>
      <c r="N3034" s="467"/>
      <c r="O3034" s="467"/>
      <c r="P3034" s="467"/>
      <c r="AL3034" s="436"/>
      <c r="AM3034" s="436"/>
      <c r="AQ3034" s="436"/>
      <c r="AR3034" s="436"/>
      <c r="AS3034" s="436"/>
      <c r="AT3034" s="436"/>
      <c r="AU3034" s="436"/>
      <c r="AV3034" s="436"/>
      <c r="AW3034" s="436"/>
      <c r="AX3034" s="436"/>
      <c r="AY3034" s="436"/>
      <c r="AZ3034" s="475"/>
      <c r="BA3034" s="475"/>
      <c r="BF3034" s="1119"/>
      <c r="BG3034" s="1119"/>
      <c r="BH3034" s="1119"/>
    </row>
    <row r="3035" spans="1:60" ht="15.75" customHeight="1">
      <c r="A3035" s="1076"/>
      <c r="B3035" s="1080"/>
      <c r="C3035" s="424"/>
      <c r="G3035" s="312"/>
      <c r="H3035" s="467"/>
      <c r="I3035" s="467"/>
      <c r="J3035" s="469"/>
      <c r="K3035" s="312"/>
      <c r="L3035" s="312"/>
      <c r="M3035" s="312"/>
      <c r="N3035" s="467"/>
      <c r="O3035" s="467"/>
      <c r="P3035" s="467"/>
      <c r="AL3035" s="436"/>
      <c r="AM3035" s="436"/>
      <c r="AQ3035" s="436"/>
      <c r="AR3035" s="436"/>
      <c r="AS3035" s="436"/>
      <c r="AT3035" s="436"/>
      <c r="AU3035" s="436"/>
      <c r="AV3035" s="436"/>
      <c r="AW3035" s="436"/>
      <c r="AX3035" s="436"/>
      <c r="AY3035" s="436"/>
      <c r="AZ3035" s="475"/>
      <c r="BA3035" s="475"/>
      <c r="BF3035" s="1119"/>
      <c r="BG3035" s="1119"/>
      <c r="BH3035" s="1119"/>
    </row>
    <row r="3036" spans="1:60" ht="15.75" customHeight="1">
      <c r="A3036" s="1076"/>
      <c r="B3036" s="1080"/>
      <c r="C3036" s="424"/>
      <c r="G3036" s="312"/>
      <c r="H3036" s="467"/>
      <c r="I3036" s="467"/>
      <c r="J3036" s="469"/>
      <c r="K3036" s="312"/>
      <c r="L3036" s="312"/>
      <c r="M3036" s="312"/>
      <c r="N3036" s="467"/>
      <c r="O3036" s="467"/>
      <c r="P3036" s="467"/>
      <c r="AL3036" s="436"/>
      <c r="AM3036" s="436"/>
      <c r="AQ3036" s="436"/>
      <c r="AR3036" s="436"/>
      <c r="AS3036" s="436"/>
      <c r="AT3036" s="436"/>
      <c r="AU3036" s="436"/>
      <c r="AV3036" s="436"/>
      <c r="AW3036" s="436"/>
      <c r="AX3036" s="436"/>
      <c r="AY3036" s="436"/>
      <c r="AZ3036" s="475"/>
      <c r="BA3036" s="475"/>
      <c r="BF3036" s="1119"/>
      <c r="BG3036" s="1119"/>
      <c r="BH3036" s="1119"/>
    </row>
    <row r="3037" spans="1:60" ht="15.75" customHeight="1">
      <c r="A3037" s="1076"/>
      <c r="B3037" s="1080"/>
      <c r="C3037" s="424"/>
      <c r="G3037" s="312"/>
      <c r="H3037" s="467"/>
      <c r="I3037" s="467"/>
      <c r="J3037" s="469"/>
      <c r="K3037" s="312"/>
      <c r="L3037" s="312"/>
      <c r="M3037" s="312"/>
      <c r="N3037" s="467"/>
      <c r="O3037" s="467"/>
      <c r="P3037" s="467"/>
      <c r="AL3037" s="436"/>
      <c r="AM3037" s="436"/>
      <c r="AQ3037" s="436"/>
      <c r="AR3037" s="436"/>
      <c r="AS3037" s="436"/>
      <c r="AT3037" s="436"/>
      <c r="AU3037" s="436"/>
      <c r="AV3037" s="436"/>
      <c r="AW3037" s="436"/>
      <c r="AX3037" s="436"/>
      <c r="AY3037" s="436"/>
      <c r="AZ3037" s="475"/>
      <c r="BA3037" s="475"/>
      <c r="BF3037" s="1119"/>
      <c r="BG3037" s="1119"/>
      <c r="BH3037" s="1119"/>
    </row>
    <row r="3038" spans="1:60" ht="15.75" customHeight="1">
      <c r="A3038" s="1076"/>
      <c r="B3038" s="1080"/>
      <c r="C3038" s="424"/>
      <c r="G3038" s="312"/>
      <c r="H3038" s="467"/>
      <c r="I3038" s="467"/>
      <c r="J3038" s="469"/>
      <c r="K3038" s="312"/>
      <c r="L3038" s="312"/>
      <c r="M3038" s="312"/>
      <c r="N3038" s="467"/>
      <c r="O3038" s="467"/>
      <c r="P3038" s="467"/>
      <c r="AL3038" s="436"/>
      <c r="AM3038" s="436"/>
      <c r="AQ3038" s="436"/>
      <c r="AR3038" s="436"/>
      <c r="AS3038" s="436"/>
      <c r="AT3038" s="436"/>
      <c r="AU3038" s="436"/>
      <c r="AV3038" s="436"/>
      <c r="AW3038" s="436"/>
      <c r="AX3038" s="436"/>
      <c r="AY3038" s="436"/>
      <c r="AZ3038" s="475"/>
      <c r="BA3038" s="475"/>
      <c r="BF3038" s="1119"/>
      <c r="BG3038" s="1119"/>
      <c r="BH3038" s="1119"/>
    </row>
    <row r="3039" spans="1:60" ht="15.75" customHeight="1">
      <c r="A3039" s="1076"/>
      <c r="B3039" s="1080"/>
      <c r="C3039" s="424"/>
      <c r="G3039" s="312"/>
      <c r="H3039" s="467"/>
      <c r="I3039" s="467"/>
      <c r="J3039" s="469"/>
      <c r="K3039" s="312"/>
      <c r="L3039" s="312"/>
      <c r="M3039" s="312"/>
      <c r="N3039" s="467"/>
      <c r="O3039" s="467"/>
      <c r="P3039" s="467"/>
      <c r="AL3039" s="436"/>
      <c r="AM3039" s="436"/>
      <c r="AQ3039" s="436"/>
      <c r="AR3039" s="436"/>
      <c r="AS3039" s="436"/>
      <c r="AT3039" s="436"/>
      <c r="AU3039" s="436"/>
      <c r="AV3039" s="436"/>
      <c r="AW3039" s="436"/>
      <c r="AX3039" s="436"/>
      <c r="AY3039" s="436"/>
      <c r="AZ3039" s="475"/>
      <c r="BA3039" s="475"/>
      <c r="BF3039" s="1119"/>
      <c r="BG3039" s="1119"/>
      <c r="BH3039" s="1119"/>
    </row>
    <row r="3040" spans="1:60" ht="15.75" customHeight="1">
      <c r="A3040" s="1076"/>
      <c r="B3040" s="1080"/>
      <c r="C3040" s="424"/>
      <c r="G3040" s="312"/>
      <c r="H3040" s="467"/>
      <c r="I3040" s="467"/>
      <c r="J3040" s="469"/>
      <c r="K3040" s="312"/>
      <c r="L3040" s="312"/>
      <c r="M3040" s="312"/>
      <c r="N3040" s="467"/>
      <c r="O3040" s="467"/>
      <c r="P3040" s="467"/>
      <c r="AL3040" s="436"/>
      <c r="AM3040" s="436"/>
      <c r="AQ3040" s="436"/>
      <c r="AR3040" s="436"/>
      <c r="AS3040" s="436"/>
      <c r="AT3040" s="436"/>
      <c r="AU3040" s="436"/>
      <c r="AV3040" s="436"/>
      <c r="AW3040" s="436"/>
      <c r="AX3040" s="436"/>
      <c r="AY3040" s="436"/>
      <c r="AZ3040" s="475"/>
      <c r="BA3040" s="475"/>
      <c r="BF3040" s="1119"/>
      <c r="BG3040" s="1119"/>
      <c r="BH3040" s="1119"/>
    </row>
    <row r="3041" spans="1:60" ht="15.75" customHeight="1">
      <c r="A3041" s="1076"/>
      <c r="B3041" s="1080"/>
      <c r="C3041" s="424"/>
      <c r="G3041" s="312"/>
      <c r="H3041" s="467"/>
      <c r="I3041" s="467"/>
      <c r="J3041" s="469"/>
      <c r="K3041" s="312"/>
      <c r="L3041" s="312"/>
      <c r="M3041" s="312"/>
      <c r="N3041" s="467"/>
      <c r="O3041" s="467"/>
      <c r="P3041" s="467"/>
      <c r="AL3041" s="436"/>
      <c r="AM3041" s="436"/>
      <c r="AQ3041" s="436"/>
      <c r="AR3041" s="436"/>
      <c r="AS3041" s="436"/>
      <c r="AT3041" s="436"/>
      <c r="AU3041" s="436"/>
      <c r="AV3041" s="436"/>
      <c r="AW3041" s="436"/>
      <c r="AX3041" s="436"/>
      <c r="AY3041" s="436"/>
      <c r="AZ3041" s="475"/>
      <c r="BA3041" s="475"/>
      <c r="BF3041" s="1119"/>
      <c r="BG3041" s="1119"/>
      <c r="BH3041" s="1119"/>
    </row>
    <row r="3042" spans="1:60" ht="15.75" customHeight="1">
      <c r="A3042" s="1076"/>
      <c r="B3042" s="1080"/>
      <c r="C3042" s="424"/>
      <c r="G3042" s="312"/>
      <c r="H3042" s="467"/>
      <c r="I3042" s="467"/>
      <c r="J3042" s="469"/>
      <c r="K3042" s="312"/>
      <c r="L3042" s="312"/>
      <c r="M3042" s="312"/>
      <c r="N3042" s="467"/>
      <c r="O3042" s="467"/>
      <c r="P3042" s="467"/>
      <c r="AL3042" s="436"/>
      <c r="AM3042" s="436"/>
      <c r="AQ3042" s="436"/>
      <c r="AR3042" s="436"/>
      <c r="AS3042" s="436"/>
      <c r="AT3042" s="436"/>
      <c r="AU3042" s="436"/>
      <c r="AV3042" s="436"/>
      <c r="AW3042" s="436"/>
      <c r="AX3042" s="436"/>
      <c r="AY3042" s="436"/>
      <c r="AZ3042" s="475"/>
      <c r="BA3042" s="475"/>
      <c r="BF3042" s="1119"/>
      <c r="BG3042" s="1119"/>
      <c r="BH3042" s="1119"/>
    </row>
    <row r="3043" spans="1:60" ht="15.75" customHeight="1">
      <c r="A3043" s="1076"/>
      <c r="B3043" s="1080"/>
      <c r="C3043" s="424"/>
      <c r="G3043" s="312"/>
      <c r="H3043" s="467"/>
      <c r="I3043" s="467"/>
      <c r="J3043" s="469"/>
      <c r="K3043" s="312"/>
      <c r="L3043" s="312"/>
      <c r="M3043" s="312"/>
      <c r="N3043" s="467"/>
      <c r="O3043" s="467"/>
      <c r="P3043" s="467"/>
      <c r="AL3043" s="436"/>
      <c r="AM3043" s="436"/>
      <c r="AQ3043" s="436"/>
      <c r="AR3043" s="436"/>
      <c r="AS3043" s="436"/>
      <c r="AT3043" s="436"/>
      <c r="AU3043" s="436"/>
      <c r="AV3043" s="436"/>
      <c r="AW3043" s="436"/>
      <c r="AX3043" s="436"/>
      <c r="AY3043" s="436"/>
      <c r="AZ3043" s="475"/>
      <c r="BA3043" s="475"/>
      <c r="BF3043" s="1119"/>
      <c r="BG3043" s="1119"/>
      <c r="BH3043" s="1119"/>
    </row>
    <row r="3044" spans="1:60" ht="15.75" customHeight="1">
      <c r="A3044" s="1076"/>
      <c r="B3044" s="1080"/>
      <c r="C3044" s="424"/>
      <c r="G3044" s="312"/>
      <c r="H3044" s="467"/>
      <c r="I3044" s="467"/>
      <c r="J3044" s="469"/>
      <c r="K3044" s="312"/>
      <c r="L3044" s="312"/>
      <c r="M3044" s="312"/>
      <c r="N3044" s="467"/>
      <c r="O3044" s="467"/>
      <c r="P3044" s="467"/>
      <c r="AL3044" s="436"/>
      <c r="AM3044" s="436"/>
      <c r="AQ3044" s="436"/>
      <c r="AR3044" s="436"/>
      <c r="AS3044" s="436"/>
      <c r="AT3044" s="436"/>
      <c r="AU3044" s="436"/>
      <c r="AV3044" s="436"/>
      <c r="AW3044" s="436"/>
      <c r="AX3044" s="436"/>
      <c r="AY3044" s="436"/>
      <c r="AZ3044" s="475"/>
      <c r="BA3044" s="475"/>
      <c r="BF3044" s="1119"/>
      <c r="BG3044" s="1119"/>
      <c r="BH3044" s="1119"/>
    </row>
    <row r="3045" spans="1:60" ht="15.75" customHeight="1">
      <c r="A3045" s="1076"/>
      <c r="B3045" s="1080"/>
      <c r="C3045" s="424"/>
      <c r="G3045" s="312"/>
      <c r="H3045" s="467"/>
      <c r="I3045" s="467"/>
      <c r="J3045" s="469"/>
      <c r="K3045" s="312"/>
      <c r="L3045" s="312"/>
      <c r="M3045" s="312"/>
      <c r="N3045" s="467"/>
      <c r="O3045" s="467"/>
      <c r="P3045" s="467"/>
      <c r="AL3045" s="436"/>
      <c r="AM3045" s="436"/>
      <c r="AQ3045" s="436"/>
      <c r="AR3045" s="436"/>
      <c r="AS3045" s="436"/>
      <c r="AT3045" s="436"/>
      <c r="AU3045" s="436"/>
      <c r="AV3045" s="436"/>
      <c r="AW3045" s="436"/>
      <c r="AX3045" s="436"/>
      <c r="AY3045" s="436"/>
      <c r="AZ3045" s="475"/>
      <c r="BA3045" s="475"/>
      <c r="BF3045" s="1119"/>
      <c r="BG3045" s="1119"/>
      <c r="BH3045" s="1119"/>
    </row>
    <row r="3046" spans="1:60" ht="15.75" customHeight="1">
      <c r="A3046" s="1076"/>
      <c r="B3046" s="1080"/>
      <c r="C3046" s="424"/>
      <c r="G3046" s="312"/>
      <c r="H3046" s="467"/>
      <c r="I3046" s="467"/>
      <c r="J3046" s="469"/>
      <c r="K3046" s="312"/>
      <c r="L3046" s="312"/>
      <c r="M3046" s="312"/>
      <c r="N3046" s="467"/>
      <c r="O3046" s="467"/>
      <c r="P3046" s="467"/>
      <c r="AL3046" s="436"/>
      <c r="AM3046" s="436"/>
      <c r="AQ3046" s="436"/>
      <c r="AR3046" s="436"/>
      <c r="AS3046" s="436"/>
      <c r="AT3046" s="436"/>
      <c r="AU3046" s="436"/>
      <c r="AV3046" s="436"/>
      <c r="AW3046" s="436"/>
      <c r="AX3046" s="436"/>
      <c r="AY3046" s="436"/>
      <c r="AZ3046" s="475"/>
      <c r="BA3046" s="475"/>
      <c r="BF3046" s="1119"/>
      <c r="BG3046" s="1119"/>
      <c r="BH3046" s="1119"/>
    </row>
    <row r="3047" spans="1:60" ht="15.75" customHeight="1">
      <c r="A3047" s="1076"/>
      <c r="B3047" s="1080"/>
      <c r="C3047" s="424"/>
      <c r="G3047" s="312"/>
      <c r="H3047" s="467"/>
      <c r="I3047" s="467"/>
      <c r="J3047" s="469"/>
      <c r="K3047" s="312"/>
      <c r="L3047" s="312"/>
      <c r="M3047" s="312"/>
      <c r="N3047" s="467"/>
      <c r="O3047" s="467"/>
      <c r="P3047" s="467"/>
      <c r="AL3047" s="436"/>
      <c r="AM3047" s="436"/>
      <c r="AQ3047" s="436"/>
      <c r="AR3047" s="436"/>
      <c r="AS3047" s="436"/>
      <c r="AT3047" s="436"/>
      <c r="AU3047" s="436"/>
      <c r="AV3047" s="436"/>
      <c r="AW3047" s="436"/>
      <c r="AX3047" s="436"/>
      <c r="AY3047" s="436"/>
      <c r="AZ3047" s="475"/>
      <c r="BA3047" s="475"/>
      <c r="BF3047" s="1119"/>
      <c r="BG3047" s="1119"/>
      <c r="BH3047" s="1119"/>
    </row>
    <row r="3048" spans="1:60" ht="15.75" customHeight="1">
      <c r="A3048" s="1076"/>
      <c r="B3048" s="1080"/>
      <c r="C3048" s="424"/>
      <c r="G3048" s="312"/>
      <c r="H3048" s="467"/>
      <c r="I3048" s="467"/>
      <c r="J3048" s="469"/>
      <c r="K3048" s="312"/>
      <c r="L3048" s="312"/>
      <c r="M3048" s="312"/>
      <c r="N3048" s="467"/>
      <c r="O3048" s="467"/>
      <c r="P3048" s="467"/>
      <c r="AL3048" s="436"/>
      <c r="AM3048" s="436"/>
      <c r="AQ3048" s="436"/>
      <c r="AR3048" s="436"/>
      <c r="AS3048" s="436"/>
      <c r="AT3048" s="436"/>
      <c r="AU3048" s="436"/>
      <c r="AV3048" s="436"/>
      <c r="AW3048" s="436"/>
      <c r="AX3048" s="436"/>
      <c r="AY3048" s="436"/>
      <c r="AZ3048" s="475"/>
      <c r="BA3048" s="475"/>
      <c r="BF3048" s="1119"/>
      <c r="BG3048" s="1119"/>
      <c r="BH3048" s="1119"/>
    </row>
    <row r="3049" spans="1:60" ht="15.75" customHeight="1">
      <c r="A3049" s="1076"/>
      <c r="B3049" s="1080"/>
      <c r="C3049" s="424"/>
      <c r="G3049" s="312"/>
      <c r="H3049" s="467"/>
      <c r="I3049" s="467"/>
      <c r="J3049" s="469"/>
      <c r="K3049" s="312"/>
      <c r="L3049" s="312"/>
      <c r="M3049" s="312"/>
      <c r="N3049" s="467"/>
      <c r="O3049" s="467"/>
      <c r="P3049" s="467"/>
      <c r="AL3049" s="436"/>
      <c r="AM3049" s="436"/>
      <c r="AQ3049" s="436"/>
      <c r="AR3049" s="436"/>
      <c r="AS3049" s="436"/>
      <c r="AT3049" s="436"/>
      <c r="AU3049" s="436"/>
      <c r="AV3049" s="436"/>
      <c r="AW3049" s="436"/>
      <c r="AX3049" s="436"/>
      <c r="AY3049" s="436"/>
      <c r="AZ3049" s="475"/>
      <c r="BA3049" s="475"/>
      <c r="BF3049" s="1119"/>
      <c r="BG3049" s="1119"/>
      <c r="BH3049" s="1119"/>
    </row>
    <row r="3050" spans="1:60" ht="15.75" customHeight="1">
      <c r="A3050" s="1076"/>
      <c r="B3050" s="1080"/>
      <c r="C3050" s="424"/>
      <c r="G3050" s="312"/>
      <c r="H3050" s="467"/>
      <c r="I3050" s="467"/>
      <c r="J3050" s="469"/>
      <c r="K3050" s="312"/>
      <c r="L3050" s="312"/>
      <c r="M3050" s="312"/>
      <c r="N3050" s="467"/>
      <c r="O3050" s="467"/>
      <c r="P3050" s="467"/>
      <c r="AL3050" s="436"/>
      <c r="AM3050" s="436"/>
      <c r="AQ3050" s="436"/>
      <c r="AR3050" s="436"/>
      <c r="AS3050" s="436"/>
      <c r="AT3050" s="436"/>
      <c r="AU3050" s="436"/>
      <c r="AV3050" s="436"/>
      <c r="AW3050" s="436"/>
      <c r="AX3050" s="436"/>
      <c r="AY3050" s="436"/>
      <c r="AZ3050" s="475"/>
      <c r="BA3050" s="475"/>
      <c r="BF3050" s="1119"/>
      <c r="BG3050" s="1119"/>
      <c r="BH3050" s="1119"/>
    </row>
    <row r="3051" spans="1:60" ht="15.75" customHeight="1">
      <c r="A3051" s="1076"/>
      <c r="B3051" s="1080"/>
      <c r="C3051" s="424"/>
      <c r="G3051" s="312"/>
      <c r="H3051" s="467"/>
      <c r="I3051" s="467"/>
      <c r="J3051" s="469"/>
      <c r="K3051" s="312"/>
      <c r="L3051" s="312"/>
      <c r="M3051" s="312"/>
      <c r="N3051" s="467"/>
      <c r="O3051" s="467"/>
      <c r="P3051" s="467"/>
      <c r="AL3051" s="436"/>
      <c r="AM3051" s="436"/>
      <c r="AQ3051" s="436"/>
      <c r="AR3051" s="436"/>
      <c r="AS3051" s="436"/>
      <c r="AT3051" s="436"/>
      <c r="AU3051" s="436"/>
      <c r="AV3051" s="436"/>
      <c r="AW3051" s="436"/>
      <c r="AX3051" s="436"/>
      <c r="AY3051" s="436"/>
      <c r="AZ3051" s="475"/>
      <c r="BA3051" s="475"/>
      <c r="BF3051" s="1119"/>
      <c r="BG3051" s="1119"/>
      <c r="BH3051" s="1119"/>
    </row>
    <row r="3052" spans="1:60" ht="15.75" customHeight="1">
      <c r="A3052" s="1076"/>
      <c r="B3052" s="1080"/>
      <c r="C3052" s="424"/>
      <c r="G3052" s="312"/>
      <c r="H3052" s="467"/>
      <c r="I3052" s="467"/>
      <c r="J3052" s="469"/>
      <c r="K3052" s="312"/>
      <c r="L3052" s="312"/>
      <c r="M3052" s="312"/>
      <c r="N3052" s="467"/>
      <c r="O3052" s="467"/>
      <c r="P3052" s="467"/>
      <c r="AL3052" s="436"/>
      <c r="AM3052" s="436"/>
      <c r="AQ3052" s="436"/>
      <c r="AR3052" s="436"/>
      <c r="AS3052" s="436"/>
      <c r="AT3052" s="436"/>
      <c r="AU3052" s="436"/>
      <c r="AV3052" s="436"/>
      <c r="AW3052" s="436"/>
      <c r="AX3052" s="436"/>
      <c r="AY3052" s="436"/>
      <c r="AZ3052" s="475"/>
      <c r="BA3052" s="475"/>
      <c r="BF3052" s="1119"/>
      <c r="BG3052" s="1119"/>
      <c r="BH3052" s="1119"/>
    </row>
    <row r="3053" spans="1:60" ht="15.75" customHeight="1">
      <c r="A3053" s="1076"/>
      <c r="B3053" s="1080"/>
      <c r="C3053" s="424"/>
      <c r="G3053" s="312"/>
      <c r="H3053" s="467"/>
      <c r="I3053" s="467"/>
      <c r="J3053" s="469"/>
      <c r="K3053" s="312"/>
      <c r="L3053" s="312"/>
      <c r="M3053" s="312"/>
      <c r="N3053" s="467"/>
      <c r="O3053" s="467"/>
      <c r="P3053" s="467"/>
      <c r="AL3053" s="436"/>
      <c r="AM3053" s="436"/>
      <c r="AQ3053" s="436"/>
      <c r="AR3053" s="436"/>
      <c r="AS3053" s="436"/>
      <c r="AT3053" s="436"/>
      <c r="AU3053" s="436"/>
      <c r="AV3053" s="436"/>
      <c r="AW3053" s="436"/>
      <c r="AX3053" s="436"/>
      <c r="AY3053" s="436"/>
      <c r="AZ3053" s="475"/>
      <c r="BA3053" s="475"/>
      <c r="BF3053" s="1119"/>
      <c r="BG3053" s="1119"/>
      <c r="BH3053" s="1119"/>
    </row>
    <row r="3054" spans="1:60" ht="15.75" customHeight="1">
      <c r="A3054" s="1076"/>
      <c r="B3054" s="1080"/>
      <c r="C3054" s="424"/>
      <c r="G3054" s="312"/>
      <c r="H3054" s="467"/>
      <c r="I3054" s="467"/>
      <c r="J3054" s="469"/>
      <c r="K3054" s="312"/>
      <c r="L3054" s="312"/>
      <c r="M3054" s="312"/>
      <c r="N3054" s="467"/>
      <c r="O3054" s="467"/>
      <c r="P3054" s="467"/>
      <c r="AL3054" s="436"/>
      <c r="AM3054" s="436"/>
      <c r="AQ3054" s="436"/>
      <c r="AR3054" s="436"/>
      <c r="AS3054" s="436"/>
      <c r="AT3054" s="436"/>
      <c r="AU3054" s="436"/>
      <c r="AV3054" s="436"/>
      <c r="AW3054" s="436"/>
      <c r="AX3054" s="436"/>
      <c r="AY3054" s="436"/>
      <c r="AZ3054" s="475"/>
      <c r="BA3054" s="475"/>
      <c r="BF3054" s="1119"/>
      <c r="BG3054" s="1119"/>
      <c r="BH3054" s="1119"/>
    </row>
    <row r="3055" spans="1:60" ht="15.75" customHeight="1">
      <c r="A3055" s="1076"/>
      <c r="B3055" s="1080"/>
      <c r="C3055" s="424"/>
      <c r="G3055" s="312"/>
      <c r="H3055" s="467"/>
      <c r="I3055" s="467"/>
      <c r="J3055" s="469"/>
      <c r="K3055" s="312"/>
      <c r="L3055" s="312"/>
      <c r="M3055" s="312"/>
      <c r="N3055" s="467"/>
      <c r="O3055" s="467"/>
      <c r="P3055" s="467"/>
      <c r="AL3055" s="436"/>
      <c r="AM3055" s="436"/>
      <c r="AQ3055" s="436"/>
      <c r="AR3055" s="436"/>
      <c r="AS3055" s="436"/>
      <c r="AT3055" s="436"/>
      <c r="AU3055" s="436"/>
      <c r="AV3055" s="436"/>
      <c r="AW3055" s="436"/>
      <c r="AX3055" s="436"/>
      <c r="AY3055" s="436"/>
      <c r="AZ3055" s="475"/>
      <c r="BA3055" s="475"/>
      <c r="BF3055" s="1119"/>
      <c r="BG3055" s="1119"/>
      <c r="BH3055" s="1119"/>
    </row>
    <row r="3056" spans="1:60" ht="15.75" customHeight="1">
      <c r="A3056" s="1076"/>
      <c r="B3056" s="1080"/>
      <c r="C3056" s="424"/>
      <c r="G3056" s="312"/>
      <c r="H3056" s="467"/>
      <c r="I3056" s="467"/>
      <c r="J3056" s="469"/>
      <c r="K3056" s="312"/>
      <c r="L3056" s="312"/>
      <c r="M3056" s="312"/>
      <c r="N3056" s="467"/>
      <c r="O3056" s="467"/>
      <c r="P3056" s="467"/>
      <c r="AL3056" s="436"/>
      <c r="AM3056" s="436"/>
      <c r="AQ3056" s="436"/>
      <c r="AR3056" s="436"/>
      <c r="AS3056" s="436"/>
      <c r="AT3056" s="436"/>
      <c r="AU3056" s="436"/>
      <c r="AV3056" s="436"/>
      <c r="AW3056" s="436"/>
      <c r="AX3056" s="436"/>
      <c r="AY3056" s="436"/>
      <c r="AZ3056" s="475"/>
      <c r="BA3056" s="475"/>
      <c r="BF3056" s="1119"/>
      <c r="BG3056" s="1119"/>
      <c r="BH3056" s="1119"/>
    </row>
    <row r="3057" spans="1:60" ht="15.75" customHeight="1">
      <c r="A3057" s="1076"/>
      <c r="B3057" s="1080"/>
      <c r="C3057" s="424"/>
      <c r="G3057" s="312"/>
      <c r="H3057" s="467"/>
      <c r="I3057" s="467"/>
      <c r="J3057" s="469"/>
      <c r="K3057" s="312"/>
      <c r="L3057" s="312"/>
      <c r="M3057" s="312"/>
      <c r="N3057" s="467"/>
      <c r="O3057" s="467"/>
      <c r="P3057" s="467"/>
      <c r="AL3057" s="436"/>
      <c r="AM3057" s="436"/>
      <c r="AQ3057" s="436"/>
      <c r="AR3057" s="436"/>
      <c r="AS3057" s="436"/>
      <c r="AT3057" s="436"/>
      <c r="AU3057" s="436"/>
      <c r="AV3057" s="436"/>
      <c r="AW3057" s="436"/>
      <c r="AX3057" s="436"/>
      <c r="AY3057" s="436"/>
      <c r="AZ3057" s="475"/>
      <c r="BA3057" s="475"/>
      <c r="BF3057" s="1119"/>
      <c r="BG3057" s="1119"/>
      <c r="BH3057" s="1119"/>
    </row>
    <row r="3058" spans="1:60" ht="15.75" customHeight="1">
      <c r="A3058" s="1076"/>
      <c r="B3058" s="1080"/>
      <c r="C3058" s="424"/>
      <c r="G3058" s="312"/>
      <c r="H3058" s="467"/>
      <c r="I3058" s="467"/>
      <c r="J3058" s="469"/>
      <c r="K3058" s="312"/>
      <c r="L3058" s="312"/>
      <c r="M3058" s="312"/>
      <c r="N3058" s="467"/>
      <c r="O3058" s="467"/>
      <c r="P3058" s="467"/>
      <c r="AL3058" s="436"/>
      <c r="AM3058" s="436"/>
      <c r="AQ3058" s="436"/>
      <c r="AR3058" s="436"/>
      <c r="AS3058" s="436"/>
      <c r="AT3058" s="436"/>
      <c r="AU3058" s="436"/>
      <c r="AV3058" s="436"/>
      <c r="AW3058" s="436"/>
      <c r="AX3058" s="436"/>
      <c r="AY3058" s="436"/>
      <c r="AZ3058" s="475"/>
      <c r="BA3058" s="475"/>
      <c r="BF3058" s="1119"/>
      <c r="BG3058" s="1119"/>
      <c r="BH3058" s="1119"/>
    </row>
    <row r="3059" spans="1:60" ht="15.75" customHeight="1">
      <c r="A3059" s="1076"/>
      <c r="B3059" s="1080"/>
      <c r="C3059" s="424"/>
      <c r="G3059" s="312"/>
      <c r="H3059" s="467"/>
      <c r="I3059" s="467"/>
      <c r="J3059" s="469"/>
      <c r="K3059" s="312"/>
      <c r="L3059" s="312"/>
      <c r="M3059" s="312"/>
      <c r="N3059" s="467"/>
      <c r="O3059" s="467"/>
      <c r="P3059" s="467"/>
      <c r="AL3059" s="436"/>
      <c r="AM3059" s="436"/>
      <c r="AQ3059" s="436"/>
      <c r="AR3059" s="436"/>
      <c r="AS3059" s="436"/>
      <c r="AT3059" s="436"/>
      <c r="AU3059" s="436"/>
      <c r="AV3059" s="436"/>
      <c r="AW3059" s="436"/>
      <c r="AX3059" s="436"/>
      <c r="AY3059" s="436"/>
      <c r="AZ3059" s="475"/>
      <c r="BA3059" s="475"/>
      <c r="BF3059" s="1119"/>
      <c r="BG3059" s="1119"/>
      <c r="BH3059" s="1119"/>
    </row>
    <row r="3060" spans="1:60" ht="15.75" customHeight="1">
      <c r="A3060" s="1076"/>
      <c r="B3060" s="1080"/>
      <c r="C3060" s="424"/>
      <c r="G3060" s="312"/>
      <c r="H3060" s="467"/>
      <c r="I3060" s="467"/>
      <c r="J3060" s="469"/>
      <c r="K3060" s="312"/>
      <c r="L3060" s="312"/>
      <c r="M3060" s="312"/>
      <c r="N3060" s="467"/>
      <c r="O3060" s="467"/>
      <c r="P3060" s="467"/>
      <c r="AL3060" s="436"/>
      <c r="AM3060" s="436"/>
      <c r="AQ3060" s="436"/>
      <c r="AR3060" s="436"/>
      <c r="AS3060" s="436"/>
      <c r="AT3060" s="436"/>
      <c r="AU3060" s="436"/>
      <c r="AV3060" s="436"/>
      <c r="AW3060" s="436"/>
      <c r="AX3060" s="436"/>
      <c r="AY3060" s="436"/>
      <c r="AZ3060" s="475"/>
      <c r="BA3060" s="475"/>
      <c r="BF3060" s="1119"/>
      <c r="BG3060" s="1119"/>
      <c r="BH3060" s="1119"/>
    </row>
    <row r="3061" spans="1:60" ht="15.75" customHeight="1">
      <c r="A3061" s="1076"/>
      <c r="B3061" s="1080"/>
      <c r="C3061" s="424"/>
      <c r="G3061" s="312"/>
      <c r="H3061" s="467"/>
      <c r="I3061" s="467"/>
      <c r="J3061" s="469"/>
      <c r="K3061" s="312"/>
      <c r="L3061" s="312"/>
      <c r="M3061" s="312"/>
      <c r="N3061" s="467"/>
      <c r="O3061" s="467"/>
      <c r="P3061" s="467"/>
      <c r="AL3061" s="436"/>
      <c r="AM3061" s="436"/>
      <c r="AQ3061" s="436"/>
      <c r="AR3061" s="436"/>
      <c r="AS3061" s="436"/>
      <c r="AT3061" s="436"/>
      <c r="AU3061" s="436"/>
      <c r="AV3061" s="436"/>
      <c r="AW3061" s="436"/>
      <c r="AX3061" s="436"/>
      <c r="AY3061" s="436"/>
      <c r="AZ3061" s="475"/>
      <c r="BA3061" s="475"/>
      <c r="BF3061" s="1119"/>
      <c r="BG3061" s="1119"/>
      <c r="BH3061" s="1119"/>
    </row>
    <row r="3062" spans="1:60" ht="15.75" customHeight="1">
      <c r="A3062" s="1076"/>
      <c r="B3062" s="1080"/>
      <c r="C3062" s="424"/>
      <c r="G3062" s="312"/>
      <c r="H3062" s="467"/>
      <c r="I3062" s="467"/>
      <c r="J3062" s="469"/>
      <c r="K3062" s="312"/>
      <c r="L3062" s="312"/>
      <c r="M3062" s="312"/>
      <c r="N3062" s="467"/>
      <c r="O3062" s="467"/>
      <c r="P3062" s="467"/>
      <c r="AL3062" s="436"/>
      <c r="AM3062" s="436"/>
      <c r="AQ3062" s="436"/>
      <c r="AR3062" s="436"/>
      <c r="AS3062" s="436"/>
      <c r="AT3062" s="436"/>
      <c r="AU3062" s="436"/>
      <c r="AV3062" s="436"/>
      <c r="AW3062" s="436"/>
      <c r="AX3062" s="436"/>
      <c r="AY3062" s="436"/>
      <c r="AZ3062" s="475"/>
      <c r="BA3062" s="475"/>
      <c r="BF3062" s="1119"/>
      <c r="BG3062" s="1119"/>
      <c r="BH3062" s="1119"/>
    </row>
    <row r="3063" spans="1:60" ht="15.75" customHeight="1">
      <c r="A3063" s="1076"/>
      <c r="B3063" s="1080"/>
      <c r="C3063" s="424"/>
      <c r="G3063" s="312"/>
      <c r="H3063" s="467"/>
      <c r="I3063" s="467"/>
      <c r="J3063" s="469"/>
      <c r="K3063" s="312"/>
      <c r="L3063" s="312"/>
      <c r="M3063" s="312"/>
      <c r="N3063" s="467"/>
      <c r="O3063" s="467"/>
      <c r="P3063" s="467"/>
      <c r="AL3063" s="436"/>
      <c r="AM3063" s="436"/>
      <c r="AQ3063" s="436"/>
      <c r="AR3063" s="436"/>
      <c r="AS3063" s="436"/>
      <c r="AT3063" s="436"/>
      <c r="AU3063" s="436"/>
      <c r="AV3063" s="436"/>
      <c r="AW3063" s="436"/>
      <c r="AX3063" s="436"/>
      <c r="AY3063" s="436"/>
      <c r="AZ3063" s="475"/>
      <c r="BA3063" s="475"/>
      <c r="BF3063" s="1119"/>
      <c r="BG3063" s="1119"/>
      <c r="BH3063" s="1119"/>
    </row>
    <row r="3064" spans="1:60" ht="15.75" customHeight="1">
      <c r="A3064" s="1076"/>
      <c r="B3064" s="1080"/>
      <c r="C3064" s="424"/>
      <c r="G3064" s="312"/>
      <c r="H3064" s="467"/>
      <c r="I3064" s="467"/>
      <c r="J3064" s="469"/>
      <c r="K3064" s="312"/>
      <c r="L3064" s="312"/>
      <c r="M3064" s="312"/>
      <c r="N3064" s="467"/>
      <c r="O3064" s="467"/>
      <c r="P3064" s="467"/>
      <c r="AL3064" s="436"/>
      <c r="AM3064" s="436"/>
      <c r="AQ3064" s="436"/>
      <c r="AR3064" s="436"/>
      <c r="AS3064" s="436"/>
      <c r="AT3064" s="436"/>
      <c r="AU3064" s="436"/>
      <c r="AV3064" s="436"/>
      <c r="AW3064" s="436"/>
      <c r="AX3064" s="436"/>
      <c r="AY3064" s="436"/>
      <c r="AZ3064" s="475"/>
      <c r="BA3064" s="475"/>
      <c r="BF3064" s="1119"/>
      <c r="BG3064" s="1119"/>
      <c r="BH3064" s="1119"/>
    </row>
    <row r="3065" spans="1:60" ht="15.75" customHeight="1">
      <c r="A3065" s="1076"/>
      <c r="B3065" s="1080"/>
      <c r="C3065" s="424"/>
      <c r="G3065" s="312"/>
      <c r="H3065" s="467"/>
      <c r="I3065" s="467"/>
      <c r="J3065" s="469"/>
      <c r="K3065" s="312"/>
      <c r="L3065" s="312"/>
      <c r="M3065" s="312"/>
      <c r="N3065" s="467"/>
      <c r="O3065" s="467"/>
      <c r="P3065" s="467"/>
      <c r="AL3065" s="436"/>
      <c r="AM3065" s="436"/>
      <c r="AQ3065" s="436"/>
      <c r="AR3065" s="436"/>
      <c r="AS3065" s="436"/>
      <c r="AT3065" s="436"/>
      <c r="AU3065" s="436"/>
      <c r="AV3065" s="436"/>
      <c r="AW3065" s="436"/>
      <c r="AX3065" s="436"/>
      <c r="AY3065" s="436"/>
      <c r="AZ3065" s="475"/>
      <c r="BA3065" s="475"/>
      <c r="BF3065" s="1119"/>
      <c r="BG3065" s="1119"/>
      <c r="BH3065" s="1119"/>
    </row>
    <row r="3066" spans="1:60" ht="15.75" customHeight="1">
      <c r="A3066" s="1076"/>
      <c r="B3066" s="1080"/>
      <c r="C3066" s="424"/>
      <c r="G3066" s="312"/>
      <c r="H3066" s="467"/>
      <c r="I3066" s="467"/>
      <c r="J3066" s="469"/>
      <c r="K3066" s="312"/>
      <c r="L3066" s="312"/>
      <c r="M3066" s="312"/>
      <c r="N3066" s="467"/>
      <c r="O3066" s="467"/>
      <c r="P3066" s="467"/>
      <c r="AL3066" s="436"/>
      <c r="AM3066" s="436"/>
      <c r="AQ3066" s="436"/>
      <c r="AR3066" s="436"/>
      <c r="AS3066" s="436"/>
      <c r="AT3066" s="436"/>
      <c r="AU3066" s="436"/>
      <c r="AV3066" s="436"/>
      <c r="AW3066" s="436"/>
      <c r="AX3066" s="436"/>
      <c r="AY3066" s="436"/>
      <c r="AZ3066" s="475"/>
      <c r="BA3066" s="475"/>
      <c r="BF3066" s="1119"/>
      <c r="BG3066" s="1119"/>
      <c r="BH3066" s="1119"/>
    </row>
    <row r="3067" spans="1:60" ht="15.75" customHeight="1">
      <c r="A3067" s="1076"/>
      <c r="B3067" s="1080"/>
      <c r="C3067" s="424"/>
      <c r="G3067" s="312"/>
      <c r="H3067" s="467"/>
      <c r="I3067" s="467"/>
      <c r="J3067" s="469"/>
      <c r="K3067" s="312"/>
      <c r="L3067" s="312"/>
      <c r="M3067" s="312"/>
      <c r="N3067" s="467"/>
      <c r="O3067" s="467"/>
      <c r="P3067" s="467"/>
      <c r="AL3067" s="436"/>
      <c r="AM3067" s="436"/>
      <c r="AQ3067" s="436"/>
      <c r="AR3067" s="436"/>
      <c r="AS3067" s="436"/>
      <c r="AT3067" s="436"/>
      <c r="AU3067" s="436"/>
      <c r="AV3067" s="436"/>
      <c r="AW3067" s="436"/>
      <c r="AX3067" s="436"/>
      <c r="AY3067" s="436"/>
      <c r="AZ3067" s="475"/>
      <c r="BA3067" s="475"/>
      <c r="BF3067" s="1119"/>
      <c r="BG3067" s="1119"/>
      <c r="BH3067" s="1119"/>
    </row>
    <row r="3068" spans="1:60" ht="15.75" customHeight="1">
      <c r="A3068" s="1076"/>
      <c r="B3068" s="1080"/>
      <c r="C3068" s="424"/>
      <c r="G3068" s="312"/>
      <c r="H3068" s="467"/>
      <c r="I3068" s="467"/>
      <c r="J3068" s="469"/>
      <c r="K3068" s="312"/>
      <c r="L3068" s="312"/>
      <c r="M3068" s="312"/>
      <c r="N3068" s="467"/>
      <c r="O3068" s="467"/>
      <c r="P3068" s="467"/>
      <c r="AL3068" s="436"/>
      <c r="AM3068" s="436"/>
      <c r="AQ3068" s="436"/>
      <c r="AR3068" s="436"/>
      <c r="AS3068" s="436"/>
      <c r="AT3068" s="436"/>
      <c r="AU3068" s="436"/>
      <c r="AV3068" s="436"/>
      <c r="AW3068" s="436"/>
      <c r="AX3068" s="436"/>
      <c r="AY3068" s="436"/>
      <c r="AZ3068" s="475"/>
      <c r="BA3068" s="475"/>
      <c r="BF3068" s="1119"/>
      <c r="BG3068" s="1119"/>
      <c r="BH3068" s="1119"/>
    </row>
    <row r="3069" spans="1:60" ht="15.75" customHeight="1">
      <c r="A3069" s="1076"/>
      <c r="B3069" s="1080"/>
      <c r="C3069" s="424"/>
      <c r="G3069" s="312"/>
      <c r="H3069" s="467"/>
      <c r="I3069" s="467"/>
      <c r="J3069" s="469"/>
      <c r="K3069" s="312"/>
      <c r="L3069" s="312"/>
      <c r="M3069" s="312"/>
      <c r="N3069" s="467"/>
      <c r="O3069" s="467"/>
      <c r="P3069" s="467"/>
      <c r="AL3069" s="436"/>
      <c r="AM3069" s="436"/>
      <c r="AQ3069" s="436"/>
      <c r="AR3069" s="436"/>
      <c r="AS3069" s="436"/>
      <c r="AT3069" s="436"/>
      <c r="AU3069" s="436"/>
      <c r="AV3069" s="436"/>
      <c r="AW3069" s="436"/>
      <c r="AX3069" s="436"/>
      <c r="AY3069" s="436"/>
      <c r="AZ3069" s="475"/>
      <c r="BA3069" s="475"/>
      <c r="BF3069" s="1119"/>
      <c r="BG3069" s="1119"/>
      <c r="BH3069" s="1119"/>
    </row>
    <row r="3070" spans="1:60" ht="15.75" customHeight="1">
      <c r="A3070" s="1076"/>
      <c r="B3070" s="1080"/>
      <c r="C3070" s="424"/>
      <c r="G3070" s="312"/>
      <c r="H3070" s="467"/>
      <c r="I3070" s="467"/>
      <c r="J3070" s="469"/>
      <c r="K3070" s="312"/>
      <c r="L3070" s="312"/>
      <c r="M3070" s="312"/>
      <c r="N3070" s="467"/>
      <c r="O3070" s="467"/>
      <c r="P3070" s="467"/>
      <c r="AL3070" s="436"/>
      <c r="AM3070" s="436"/>
      <c r="AQ3070" s="436"/>
      <c r="AR3070" s="436"/>
      <c r="AS3070" s="436"/>
      <c r="AT3070" s="436"/>
      <c r="AU3070" s="436"/>
      <c r="AV3070" s="436"/>
      <c r="AW3070" s="436"/>
      <c r="AX3070" s="436"/>
      <c r="AY3070" s="436"/>
      <c r="AZ3070" s="475"/>
      <c r="BA3070" s="475"/>
      <c r="BF3070" s="1119"/>
      <c r="BG3070" s="1119"/>
      <c r="BH3070" s="1119"/>
    </row>
    <row r="3071" spans="1:60" ht="15.75" customHeight="1">
      <c r="A3071" s="1076"/>
      <c r="B3071" s="1080"/>
      <c r="C3071" s="424"/>
      <c r="G3071" s="312"/>
      <c r="H3071" s="467"/>
      <c r="I3071" s="467"/>
      <c r="J3071" s="469"/>
      <c r="K3071" s="312"/>
      <c r="L3071" s="312"/>
      <c r="M3071" s="312"/>
      <c r="N3071" s="467"/>
      <c r="O3071" s="467"/>
      <c r="P3071" s="467"/>
      <c r="AL3071" s="436"/>
      <c r="AM3071" s="436"/>
      <c r="AQ3071" s="436"/>
      <c r="AR3071" s="436"/>
      <c r="AS3071" s="436"/>
      <c r="AT3071" s="436"/>
      <c r="AU3071" s="436"/>
      <c r="AV3071" s="436"/>
      <c r="AW3071" s="436"/>
      <c r="AX3071" s="436"/>
      <c r="AY3071" s="436"/>
      <c r="AZ3071" s="475"/>
      <c r="BA3071" s="475"/>
      <c r="BF3071" s="1119"/>
      <c r="BG3071" s="1119"/>
      <c r="BH3071" s="1119"/>
    </row>
    <row r="3072" spans="1:60" ht="15.75" customHeight="1">
      <c r="A3072" s="1076"/>
      <c r="B3072" s="1080"/>
      <c r="C3072" s="424"/>
      <c r="G3072" s="312"/>
      <c r="H3072" s="467"/>
      <c r="I3072" s="467"/>
      <c r="J3072" s="469"/>
      <c r="K3072" s="312"/>
      <c r="L3072" s="312"/>
      <c r="M3072" s="312"/>
      <c r="N3072" s="467"/>
      <c r="O3072" s="467"/>
      <c r="P3072" s="467"/>
      <c r="AL3072" s="436"/>
      <c r="AM3072" s="436"/>
      <c r="AQ3072" s="436"/>
      <c r="AR3072" s="436"/>
      <c r="AS3072" s="436"/>
      <c r="AT3072" s="436"/>
      <c r="AU3072" s="436"/>
      <c r="AV3072" s="436"/>
      <c r="AW3072" s="436"/>
      <c r="AX3072" s="436"/>
      <c r="AY3072" s="436"/>
      <c r="AZ3072" s="475"/>
      <c r="BA3072" s="475"/>
      <c r="BF3072" s="1119"/>
      <c r="BG3072" s="1119"/>
      <c r="BH3072" s="1119"/>
    </row>
    <row r="3073" spans="1:60" ht="15.75" customHeight="1">
      <c r="A3073" s="1076"/>
      <c r="B3073" s="1080"/>
      <c r="C3073" s="424"/>
      <c r="G3073" s="312"/>
      <c r="H3073" s="467"/>
      <c r="I3073" s="467"/>
      <c r="J3073" s="469"/>
      <c r="K3073" s="312"/>
      <c r="L3073" s="312"/>
      <c r="M3073" s="312"/>
      <c r="N3073" s="467"/>
      <c r="O3073" s="467"/>
      <c r="P3073" s="467"/>
      <c r="AL3073" s="436"/>
      <c r="AM3073" s="436"/>
      <c r="AQ3073" s="436"/>
      <c r="AR3073" s="436"/>
      <c r="AS3073" s="436"/>
      <c r="AT3073" s="436"/>
      <c r="AU3073" s="436"/>
      <c r="AV3073" s="436"/>
      <c r="AW3073" s="436"/>
      <c r="AX3073" s="436"/>
      <c r="AY3073" s="436"/>
      <c r="AZ3073" s="475"/>
      <c r="BA3073" s="475"/>
      <c r="BF3073" s="1119"/>
      <c r="BG3073" s="1119"/>
      <c r="BH3073" s="1119"/>
    </row>
    <row r="3074" spans="1:60" ht="15.75" customHeight="1">
      <c r="A3074" s="1076"/>
      <c r="B3074" s="1080"/>
      <c r="C3074" s="424"/>
      <c r="G3074" s="312"/>
      <c r="H3074" s="467"/>
      <c r="I3074" s="467"/>
      <c r="J3074" s="469"/>
      <c r="K3074" s="312"/>
      <c r="L3074" s="312"/>
      <c r="M3074" s="312"/>
      <c r="N3074" s="467"/>
      <c r="O3074" s="467"/>
      <c r="P3074" s="467"/>
      <c r="AL3074" s="436"/>
      <c r="AM3074" s="436"/>
      <c r="AQ3074" s="436"/>
      <c r="AR3074" s="436"/>
      <c r="AS3074" s="436"/>
      <c r="AT3074" s="436"/>
      <c r="AU3074" s="436"/>
      <c r="AV3074" s="436"/>
      <c r="AW3074" s="436"/>
      <c r="AX3074" s="436"/>
      <c r="AY3074" s="436"/>
      <c r="AZ3074" s="475"/>
      <c r="BA3074" s="475"/>
      <c r="BF3074" s="1119"/>
      <c r="BG3074" s="1119"/>
      <c r="BH3074" s="1119"/>
    </row>
    <row r="3075" spans="1:60" ht="15.75" customHeight="1">
      <c r="A3075" s="1076"/>
      <c r="B3075" s="1080"/>
      <c r="C3075" s="424"/>
      <c r="G3075" s="312"/>
      <c r="H3075" s="467"/>
      <c r="I3075" s="467"/>
      <c r="J3075" s="469"/>
      <c r="K3075" s="312"/>
      <c r="L3075" s="312"/>
      <c r="M3075" s="312"/>
      <c r="N3075" s="467"/>
      <c r="O3075" s="467"/>
      <c r="P3075" s="467"/>
      <c r="AL3075" s="436"/>
      <c r="AM3075" s="436"/>
      <c r="AQ3075" s="436"/>
      <c r="AR3075" s="436"/>
      <c r="AS3075" s="436"/>
      <c r="AT3075" s="436"/>
      <c r="AU3075" s="436"/>
      <c r="AV3075" s="436"/>
      <c r="AW3075" s="436"/>
      <c r="AX3075" s="436"/>
      <c r="AY3075" s="436"/>
      <c r="AZ3075" s="475"/>
      <c r="BA3075" s="475"/>
      <c r="BF3075" s="1119"/>
      <c r="BG3075" s="1119"/>
      <c r="BH3075" s="1119"/>
    </row>
    <row r="3076" spans="1:60" ht="15.75" customHeight="1">
      <c r="A3076" s="1076"/>
      <c r="B3076" s="1080"/>
      <c r="C3076" s="424"/>
      <c r="G3076" s="312"/>
      <c r="H3076" s="467"/>
      <c r="I3076" s="467"/>
      <c r="J3076" s="469"/>
      <c r="K3076" s="312"/>
      <c r="L3076" s="312"/>
      <c r="M3076" s="312"/>
      <c r="N3076" s="467"/>
      <c r="O3076" s="467"/>
      <c r="P3076" s="467"/>
      <c r="AL3076" s="436"/>
      <c r="AM3076" s="436"/>
      <c r="AQ3076" s="436"/>
      <c r="AR3076" s="436"/>
      <c r="AS3076" s="436"/>
      <c r="AT3076" s="436"/>
      <c r="AU3076" s="436"/>
      <c r="AV3076" s="436"/>
      <c r="AW3076" s="436"/>
      <c r="AX3076" s="436"/>
      <c r="AY3076" s="436"/>
      <c r="AZ3076" s="475"/>
      <c r="BA3076" s="475"/>
      <c r="BF3076" s="1119"/>
      <c r="BG3076" s="1119"/>
      <c r="BH3076" s="1119"/>
    </row>
    <row r="3077" spans="1:60" ht="15.75" customHeight="1">
      <c r="A3077" s="1076"/>
      <c r="B3077" s="1080"/>
      <c r="C3077" s="424"/>
      <c r="G3077" s="312"/>
      <c r="H3077" s="467"/>
      <c r="I3077" s="467"/>
      <c r="J3077" s="469"/>
      <c r="K3077" s="312"/>
      <c r="L3077" s="312"/>
      <c r="M3077" s="312"/>
      <c r="N3077" s="467"/>
      <c r="O3077" s="467"/>
      <c r="P3077" s="467"/>
      <c r="AL3077" s="436"/>
      <c r="AM3077" s="436"/>
      <c r="AQ3077" s="436"/>
      <c r="AR3077" s="436"/>
      <c r="AS3077" s="436"/>
      <c r="AT3077" s="436"/>
      <c r="AU3077" s="436"/>
      <c r="AV3077" s="436"/>
      <c r="AW3077" s="436"/>
      <c r="AX3077" s="436"/>
      <c r="AY3077" s="436"/>
      <c r="AZ3077" s="475"/>
      <c r="BA3077" s="475"/>
      <c r="BF3077" s="1119"/>
      <c r="BG3077" s="1119"/>
      <c r="BH3077" s="1119"/>
    </row>
    <row r="3078" spans="1:60" ht="15.75" customHeight="1">
      <c r="A3078" s="1076"/>
      <c r="B3078" s="1080"/>
      <c r="C3078" s="424"/>
      <c r="G3078" s="312"/>
      <c r="H3078" s="467"/>
      <c r="I3078" s="467"/>
      <c r="J3078" s="469"/>
      <c r="K3078" s="312"/>
      <c r="L3078" s="312"/>
      <c r="M3078" s="312"/>
      <c r="N3078" s="467"/>
      <c r="O3078" s="467"/>
      <c r="P3078" s="467"/>
      <c r="AL3078" s="436"/>
      <c r="AM3078" s="436"/>
      <c r="AQ3078" s="436"/>
      <c r="AR3078" s="436"/>
      <c r="AS3078" s="436"/>
      <c r="AT3078" s="436"/>
      <c r="AU3078" s="436"/>
      <c r="AV3078" s="436"/>
      <c r="AW3078" s="436"/>
      <c r="AX3078" s="436"/>
      <c r="AY3078" s="436"/>
      <c r="AZ3078" s="475"/>
      <c r="BA3078" s="475"/>
      <c r="BF3078" s="1119"/>
      <c r="BG3078" s="1119"/>
      <c r="BH3078" s="1119"/>
    </row>
    <row r="3079" spans="1:60" ht="15.75" customHeight="1">
      <c r="A3079" s="1076"/>
      <c r="B3079" s="1080"/>
      <c r="C3079" s="424"/>
      <c r="G3079" s="312"/>
      <c r="H3079" s="467"/>
      <c r="I3079" s="467"/>
      <c r="J3079" s="469"/>
      <c r="K3079" s="312"/>
      <c r="L3079" s="312"/>
      <c r="M3079" s="312"/>
      <c r="N3079" s="467"/>
      <c r="O3079" s="467"/>
      <c r="P3079" s="467"/>
      <c r="AL3079" s="436"/>
      <c r="AM3079" s="436"/>
      <c r="AQ3079" s="436"/>
      <c r="AR3079" s="436"/>
      <c r="AS3079" s="436"/>
      <c r="AT3079" s="436"/>
      <c r="AU3079" s="436"/>
      <c r="AV3079" s="436"/>
      <c r="AW3079" s="436"/>
      <c r="AX3079" s="436"/>
      <c r="AY3079" s="436"/>
      <c r="AZ3079" s="475"/>
      <c r="BA3079" s="475"/>
      <c r="BF3079" s="1119"/>
      <c r="BG3079" s="1119"/>
      <c r="BH3079" s="1119"/>
    </row>
    <row r="3080" spans="1:60" ht="15.75" customHeight="1">
      <c r="A3080" s="1076"/>
      <c r="B3080" s="1080"/>
      <c r="C3080" s="424"/>
      <c r="G3080" s="312"/>
      <c r="H3080" s="467"/>
      <c r="I3080" s="467"/>
      <c r="J3080" s="469"/>
      <c r="K3080" s="312"/>
      <c r="L3080" s="312"/>
      <c r="M3080" s="312"/>
      <c r="N3080" s="467"/>
      <c r="O3080" s="467"/>
      <c r="P3080" s="467"/>
      <c r="AL3080" s="436"/>
      <c r="AM3080" s="436"/>
      <c r="AQ3080" s="436"/>
      <c r="AR3080" s="436"/>
      <c r="AS3080" s="436"/>
      <c r="AT3080" s="436"/>
      <c r="AU3080" s="436"/>
      <c r="AV3080" s="436"/>
      <c r="AW3080" s="436"/>
      <c r="AX3080" s="436"/>
      <c r="AY3080" s="436"/>
      <c r="AZ3080" s="475"/>
      <c r="BA3080" s="475"/>
      <c r="BF3080" s="1119"/>
      <c r="BG3080" s="1119"/>
      <c r="BH3080" s="1119"/>
    </row>
    <row r="3081" spans="1:60" ht="15.75" customHeight="1">
      <c r="A3081" s="1076"/>
      <c r="B3081" s="1080"/>
      <c r="C3081" s="424"/>
      <c r="G3081" s="312"/>
      <c r="H3081" s="467"/>
      <c r="I3081" s="467"/>
      <c r="J3081" s="469"/>
      <c r="K3081" s="312"/>
      <c r="L3081" s="312"/>
      <c r="M3081" s="312"/>
      <c r="N3081" s="467"/>
      <c r="O3081" s="467"/>
      <c r="P3081" s="467"/>
      <c r="AL3081" s="436"/>
      <c r="AM3081" s="436"/>
      <c r="AQ3081" s="436"/>
      <c r="AR3081" s="436"/>
      <c r="AS3081" s="436"/>
      <c r="AT3081" s="436"/>
      <c r="AU3081" s="436"/>
      <c r="AV3081" s="436"/>
      <c r="AW3081" s="436"/>
      <c r="AX3081" s="436"/>
      <c r="AY3081" s="436"/>
      <c r="AZ3081" s="475"/>
      <c r="BA3081" s="475"/>
      <c r="BF3081" s="1119"/>
      <c r="BG3081" s="1119"/>
      <c r="BH3081" s="1119"/>
    </row>
    <row r="3082" spans="1:60" ht="15.75" customHeight="1">
      <c r="A3082" s="1076"/>
      <c r="B3082" s="1080"/>
      <c r="C3082" s="424"/>
      <c r="G3082" s="312"/>
      <c r="H3082" s="467"/>
      <c r="I3082" s="467"/>
      <c r="J3082" s="469"/>
      <c r="K3082" s="312"/>
      <c r="L3082" s="312"/>
      <c r="M3082" s="312"/>
      <c r="N3082" s="467"/>
      <c r="O3082" s="467"/>
      <c r="P3082" s="467"/>
      <c r="AL3082" s="436"/>
      <c r="AM3082" s="436"/>
      <c r="AQ3082" s="436"/>
      <c r="AR3082" s="436"/>
      <c r="AS3082" s="436"/>
      <c r="AT3082" s="436"/>
      <c r="AU3082" s="436"/>
      <c r="AV3082" s="436"/>
      <c r="AW3082" s="436"/>
      <c r="AX3082" s="436"/>
      <c r="AY3082" s="436"/>
      <c r="AZ3082" s="475"/>
      <c r="BA3082" s="475"/>
      <c r="BF3082" s="1119"/>
      <c r="BG3082" s="1119"/>
      <c r="BH3082" s="1119"/>
    </row>
    <row r="3083" spans="1:60" ht="15.75" customHeight="1">
      <c r="A3083" s="1076"/>
      <c r="B3083" s="1080"/>
      <c r="C3083" s="424"/>
      <c r="G3083" s="312"/>
      <c r="H3083" s="467"/>
      <c r="I3083" s="467"/>
      <c r="J3083" s="469"/>
      <c r="K3083" s="312"/>
      <c r="L3083" s="312"/>
      <c r="M3083" s="312"/>
      <c r="N3083" s="467"/>
      <c r="O3083" s="467"/>
      <c r="P3083" s="467"/>
      <c r="AL3083" s="436"/>
      <c r="AM3083" s="436"/>
      <c r="AQ3083" s="436"/>
      <c r="AR3083" s="436"/>
      <c r="AS3083" s="436"/>
      <c r="AT3083" s="436"/>
      <c r="AU3083" s="436"/>
      <c r="AV3083" s="436"/>
      <c r="AW3083" s="436"/>
      <c r="AX3083" s="436"/>
      <c r="AY3083" s="436"/>
      <c r="AZ3083" s="475"/>
      <c r="BA3083" s="475"/>
      <c r="BF3083" s="1119"/>
      <c r="BG3083" s="1119"/>
      <c r="BH3083" s="1119"/>
    </row>
    <row r="3084" spans="1:60" ht="15.75" customHeight="1">
      <c r="A3084" s="1076"/>
      <c r="B3084" s="1080"/>
      <c r="C3084" s="424"/>
      <c r="G3084" s="312"/>
      <c r="H3084" s="467"/>
      <c r="I3084" s="467"/>
      <c r="J3084" s="469"/>
      <c r="K3084" s="312"/>
      <c r="L3084" s="312"/>
      <c r="M3084" s="312"/>
      <c r="N3084" s="467"/>
      <c r="O3084" s="467"/>
      <c r="P3084" s="467"/>
      <c r="AL3084" s="436"/>
      <c r="AM3084" s="436"/>
      <c r="AQ3084" s="436"/>
      <c r="AR3084" s="436"/>
      <c r="AS3084" s="436"/>
      <c r="AT3084" s="436"/>
      <c r="AU3084" s="436"/>
      <c r="AV3084" s="436"/>
      <c r="AW3084" s="436"/>
      <c r="AX3084" s="436"/>
      <c r="AY3084" s="436"/>
      <c r="AZ3084" s="475"/>
      <c r="BA3084" s="475"/>
      <c r="BF3084" s="1119"/>
      <c r="BG3084" s="1119"/>
      <c r="BH3084" s="1119"/>
    </row>
    <row r="3085" spans="1:60" ht="15.75" customHeight="1">
      <c r="A3085" s="1076"/>
      <c r="B3085" s="1080"/>
      <c r="C3085" s="424"/>
      <c r="G3085" s="312"/>
      <c r="H3085" s="467"/>
      <c r="I3085" s="467"/>
      <c r="J3085" s="469"/>
      <c r="K3085" s="312"/>
      <c r="L3085" s="312"/>
      <c r="M3085" s="312"/>
      <c r="N3085" s="467"/>
      <c r="O3085" s="467"/>
      <c r="P3085" s="467"/>
      <c r="AL3085" s="436"/>
      <c r="AM3085" s="436"/>
      <c r="AQ3085" s="436"/>
      <c r="AR3085" s="436"/>
      <c r="AS3085" s="436"/>
      <c r="AT3085" s="436"/>
      <c r="AU3085" s="436"/>
      <c r="AV3085" s="436"/>
      <c r="AW3085" s="436"/>
      <c r="AX3085" s="436"/>
      <c r="AY3085" s="436"/>
      <c r="AZ3085" s="475"/>
      <c r="BA3085" s="475"/>
      <c r="BF3085" s="1119"/>
      <c r="BG3085" s="1119"/>
      <c r="BH3085" s="1119"/>
    </row>
    <row r="3086" spans="1:60" ht="15.75" customHeight="1">
      <c r="A3086" s="1076"/>
      <c r="B3086" s="1080"/>
      <c r="C3086" s="424"/>
      <c r="G3086" s="312"/>
      <c r="H3086" s="467"/>
      <c r="I3086" s="467"/>
      <c r="J3086" s="469"/>
      <c r="K3086" s="312"/>
      <c r="L3086" s="312"/>
      <c r="M3086" s="312"/>
      <c r="N3086" s="467"/>
      <c r="O3086" s="467"/>
      <c r="P3086" s="467"/>
      <c r="AL3086" s="436"/>
      <c r="AM3086" s="436"/>
      <c r="AQ3086" s="436"/>
      <c r="AR3086" s="436"/>
      <c r="AS3086" s="436"/>
      <c r="AT3086" s="436"/>
      <c r="AU3086" s="436"/>
      <c r="AV3086" s="436"/>
      <c r="AW3086" s="436"/>
      <c r="AX3086" s="436"/>
      <c r="AY3086" s="436"/>
      <c r="AZ3086" s="475"/>
      <c r="BA3086" s="475"/>
      <c r="BF3086" s="1119"/>
      <c r="BG3086" s="1119"/>
      <c r="BH3086" s="1119"/>
    </row>
    <row r="3087" spans="1:60" ht="15.75" customHeight="1">
      <c r="A3087" s="1076"/>
      <c r="B3087" s="1080"/>
      <c r="C3087" s="424"/>
      <c r="G3087" s="312"/>
      <c r="H3087" s="467"/>
      <c r="I3087" s="467"/>
      <c r="J3087" s="469"/>
      <c r="K3087" s="312"/>
      <c r="L3087" s="312"/>
      <c r="M3087" s="312"/>
      <c r="N3087" s="467"/>
      <c r="O3087" s="467"/>
      <c r="P3087" s="467"/>
      <c r="AL3087" s="436"/>
      <c r="AM3087" s="436"/>
      <c r="AQ3087" s="436"/>
      <c r="AR3087" s="436"/>
      <c r="AS3087" s="436"/>
      <c r="AT3087" s="436"/>
      <c r="AU3087" s="436"/>
      <c r="AV3087" s="436"/>
      <c r="AW3087" s="436"/>
      <c r="AX3087" s="436"/>
      <c r="AY3087" s="436"/>
      <c r="AZ3087" s="475"/>
      <c r="BA3087" s="475"/>
      <c r="BF3087" s="1119"/>
      <c r="BG3087" s="1119"/>
      <c r="BH3087" s="1119"/>
    </row>
    <row r="3088" spans="1:60" ht="15.75" customHeight="1">
      <c r="A3088" s="1076"/>
      <c r="B3088" s="1080"/>
      <c r="C3088" s="424"/>
      <c r="G3088" s="312"/>
      <c r="H3088" s="467"/>
      <c r="I3088" s="467"/>
      <c r="J3088" s="469"/>
      <c r="K3088" s="312"/>
      <c r="L3088" s="312"/>
      <c r="M3088" s="312"/>
      <c r="N3088" s="467"/>
      <c r="O3088" s="467"/>
      <c r="P3088" s="467"/>
      <c r="AL3088" s="436"/>
      <c r="AM3088" s="436"/>
      <c r="AQ3088" s="436"/>
      <c r="AR3088" s="436"/>
      <c r="AS3088" s="436"/>
      <c r="AT3088" s="436"/>
      <c r="AU3088" s="436"/>
      <c r="AV3088" s="436"/>
      <c r="AW3088" s="436"/>
      <c r="AX3088" s="436"/>
      <c r="AY3088" s="436"/>
      <c r="AZ3088" s="475"/>
      <c r="BA3088" s="475"/>
      <c r="BF3088" s="1119"/>
      <c r="BG3088" s="1119"/>
      <c r="BH3088" s="1119"/>
    </row>
    <row r="3089" spans="1:60" ht="15.75" customHeight="1">
      <c r="A3089" s="1076"/>
      <c r="B3089" s="1080"/>
      <c r="C3089" s="424"/>
      <c r="G3089" s="312"/>
      <c r="H3089" s="467"/>
      <c r="I3089" s="467"/>
      <c r="J3089" s="469"/>
      <c r="K3089" s="312"/>
      <c r="L3089" s="312"/>
      <c r="M3089" s="312"/>
      <c r="N3089" s="467"/>
      <c r="O3089" s="467"/>
      <c r="P3089" s="467"/>
      <c r="AL3089" s="436"/>
      <c r="AM3089" s="436"/>
      <c r="AQ3089" s="436"/>
      <c r="AR3089" s="436"/>
      <c r="AS3089" s="436"/>
      <c r="AT3089" s="436"/>
      <c r="AU3089" s="436"/>
      <c r="AV3089" s="436"/>
      <c r="AW3089" s="436"/>
      <c r="AX3089" s="436"/>
      <c r="AY3089" s="436"/>
      <c r="AZ3089" s="475"/>
      <c r="BA3089" s="475"/>
      <c r="BF3089" s="1119"/>
      <c r="BG3089" s="1119"/>
      <c r="BH3089" s="1119"/>
    </row>
    <row r="3090" spans="1:60" ht="15.75" customHeight="1">
      <c r="A3090" s="1076"/>
      <c r="B3090" s="1080"/>
      <c r="C3090" s="424"/>
      <c r="G3090" s="312"/>
      <c r="H3090" s="467"/>
      <c r="I3090" s="467"/>
      <c r="J3090" s="469"/>
      <c r="K3090" s="312"/>
      <c r="L3090" s="312"/>
      <c r="M3090" s="312"/>
      <c r="N3090" s="467"/>
      <c r="O3090" s="467"/>
      <c r="P3090" s="467"/>
      <c r="AL3090" s="436"/>
      <c r="AM3090" s="436"/>
      <c r="AQ3090" s="436"/>
      <c r="AR3090" s="436"/>
      <c r="AS3090" s="436"/>
      <c r="AT3090" s="436"/>
      <c r="AU3090" s="436"/>
      <c r="AV3090" s="436"/>
      <c r="AW3090" s="436"/>
      <c r="AX3090" s="436"/>
      <c r="AY3090" s="436"/>
      <c r="AZ3090" s="475"/>
      <c r="BA3090" s="475"/>
      <c r="BF3090" s="1119"/>
      <c r="BG3090" s="1119"/>
      <c r="BH3090" s="1119"/>
    </row>
    <row r="3091" spans="1:60" ht="15.75" customHeight="1">
      <c r="A3091" s="1076"/>
      <c r="B3091" s="1080"/>
      <c r="C3091" s="424"/>
      <c r="G3091" s="312"/>
      <c r="H3091" s="467"/>
      <c r="I3091" s="467"/>
      <c r="J3091" s="469"/>
      <c r="K3091" s="312"/>
      <c r="L3091" s="312"/>
      <c r="M3091" s="312"/>
      <c r="N3091" s="467"/>
      <c r="O3091" s="467"/>
      <c r="P3091" s="467"/>
      <c r="AL3091" s="436"/>
      <c r="AM3091" s="436"/>
      <c r="AQ3091" s="436"/>
      <c r="AR3091" s="436"/>
      <c r="AS3091" s="436"/>
      <c r="AT3091" s="436"/>
      <c r="AU3091" s="436"/>
      <c r="AV3091" s="436"/>
      <c r="AW3091" s="436"/>
      <c r="AX3091" s="436"/>
      <c r="AY3091" s="436"/>
      <c r="AZ3091" s="475"/>
      <c r="BA3091" s="475"/>
      <c r="BF3091" s="1119"/>
      <c r="BG3091" s="1119"/>
      <c r="BH3091" s="1119"/>
    </row>
    <row r="3092" spans="1:60" ht="15.75" customHeight="1">
      <c r="A3092" s="1076"/>
      <c r="B3092" s="1080"/>
      <c r="C3092" s="424"/>
      <c r="G3092" s="312"/>
      <c r="H3092" s="467"/>
      <c r="I3092" s="467"/>
      <c r="J3092" s="469"/>
      <c r="K3092" s="312"/>
      <c r="L3092" s="312"/>
      <c r="M3092" s="312"/>
      <c r="N3092" s="467"/>
      <c r="O3092" s="467"/>
      <c r="P3092" s="467"/>
      <c r="AL3092" s="436"/>
      <c r="AM3092" s="436"/>
      <c r="AQ3092" s="436"/>
      <c r="AR3092" s="436"/>
      <c r="AS3092" s="436"/>
      <c r="AT3092" s="436"/>
      <c r="AU3092" s="436"/>
      <c r="AV3092" s="436"/>
      <c r="AW3092" s="436"/>
      <c r="AX3092" s="436"/>
      <c r="AY3092" s="436"/>
      <c r="AZ3092" s="475"/>
      <c r="BA3092" s="475"/>
      <c r="BF3092" s="1119"/>
      <c r="BG3092" s="1119"/>
      <c r="BH3092" s="1119"/>
    </row>
    <row r="3093" spans="1:60" ht="15.75" customHeight="1">
      <c r="A3093" s="1076"/>
      <c r="B3093" s="1080"/>
      <c r="C3093" s="424"/>
      <c r="G3093" s="312"/>
      <c r="H3093" s="467"/>
      <c r="I3093" s="467"/>
      <c r="J3093" s="469"/>
      <c r="K3093" s="312"/>
      <c r="L3093" s="312"/>
      <c r="M3093" s="312"/>
      <c r="N3093" s="467"/>
      <c r="O3093" s="467"/>
      <c r="P3093" s="467"/>
      <c r="AL3093" s="436"/>
      <c r="AM3093" s="436"/>
      <c r="AQ3093" s="436"/>
      <c r="AR3093" s="436"/>
      <c r="AS3093" s="436"/>
      <c r="AT3093" s="436"/>
      <c r="AU3093" s="436"/>
      <c r="AV3093" s="436"/>
      <c r="AW3093" s="436"/>
      <c r="AX3093" s="436"/>
      <c r="AY3093" s="436"/>
      <c r="AZ3093" s="475"/>
      <c r="BA3093" s="475"/>
      <c r="BF3093" s="1119"/>
      <c r="BG3093" s="1119"/>
      <c r="BH3093" s="1119"/>
    </row>
    <row r="3094" spans="1:60" ht="15.75" customHeight="1">
      <c r="A3094" s="1076"/>
      <c r="B3094" s="1080"/>
      <c r="C3094" s="424"/>
      <c r="G3094" s="312"/>
      <c r="H3094" s="467"/>
      <c r="I3094" s="467"/>
      <c r="J3094" s="469"/>
      <c r="K3094" s="312"/>
      <c r="L3094" s="312"/>
      <c r="M3094" s="312"/>
      <c r="N3094" s="467"/>
      <c r="O3094" s="467"/>
      <c r="P3094" s="467"/>
      <c r="AL3094" s="436"/>
      <c r="AM3094" s="436"/>
      <c r="AQ3094" s="436"/>
      <c r="AR3094" s="436"/>
      <c r="AS3094" s="436"/>
      <c r="AT3094" s="436"/>
      <c r="AU3094" s="436"/>
      <c r="AV3094" s="436"/>
      <c r="AW3094" s="436"/>
      <c r="AX3094" s="436"/>
      <c r="AY3094" s="436"/>
      <c r="AZ3094" s="475"/>
      <c r="BA3094" s="475"/>
      <c r="BF3094" s="1119"/>
      <c r="BG3094" s="1119"/>
      <c r="BH3094" s="1119"/>
    </row>
    <row r="3095" spans="1:60" ht="15.75" customHeight="1">
      <c r="A3095" s="1076"/>
      <c r="B3095" s="1080"/>
      <c r="C3095" s="424"/>
      <c r="G3095" s="312"/>
      <c r="H3095" s="467"/>
      <c r="I3095" s="467"/>
      <c r="J3095" s="469"/>
      <c r="K3095" s="312"/>
      <c r="L3095" s="312"/>
      <c r="M3095" s="312"/>
      <c r="N3095" s="467"/>
      <c r="O3095" s="467"/>
      <c r="P3095" s="467"/>
      <c r="AL3095" s="436"/>
      <c r="AM3095" s="436"/>
      <c r="AQ3095" s="436"/>
      <c r="AR3095" s="436"/>
      <c r="AS3095" s="436"/>
      <c r="AT3095" s="436"/>
      <c r="AU3095" s="436"/>
      <c r="AV3095" s="436"/>
      <c r="AW3095" s="436"/>
      <c r="AX3095" s="436"/>
      <c r="AY3095" s="436"/>
      <c r="AZ3095" s="475"/>
      <c r="BA3095" s="475"/>
      <c r="BF3095" s="1119"/>
      <c r="BG3095" s="1119"/>
      <c r="BH3095" s="1119"/>
    </row>
    <row r="3096" spans="1:60" ht="15.75" customHeight="1">
      <c r="A3096" s="1076"/>
      <c r="B3096" s="1080"/>
      <c r="C3096" s="424"/>
      <c r="G3096" s="312"/>
      <c r="H3096" s="467"/>
      <c r="I3096" s="467"/>
      <c r="J3096" s="469"/>
      <c r="K3096" s="312"/>
      <c r="L3096" s="312"/>
      <c r="M3096" s="312"/>
      <c r="N3096" s="467"/>
      <c r="O3096" s="467"/>
      <c r="P3096" s="467"/>
      <c r="AL3096" s="436"/>
      <c r="AM3096" s="436"/>
      <c r="AQ3096" s="436"/>
      <c r="AR3096" s="436"/>
      <c r="AS3096" s="436"/>
      <c r="AT3096" s="436"/>
      <c r="AU3096" s="436"/>
      <c r="AV3096" s="436"/>
      <c r="AW3096" s="436"/>
      <c r="AX3096" s="436"/>
      <c r="AY3096" s="436"/>
      <c r="AZ3096" s="475"/>
      <c r="BA3096" s="475"/>
      <c r="BF3096" s="1119"/>
      <c r="BG3096" s="1119"/>
      <c r="BH3096" s="1119"/>
    </row>
    <row r="3097" spans="1:60" ht="15.75" customHeight="1">
      <c r="A3097" s="1076"/>
      <c r="B3097" s="1080"/>
      <c r="C3097" s="424"/>
      <c r="G3097" s="312"/>
      <c r="H3097" s="467"/>
      <c r="I3097" s="467"/>
      <c r="J3097" s="469"/>
      <c r="K3097" s="312"/>
      <c r="L3097" s="312"/>
      <c r="M3097" s="312"/>
      <c r="N3097" s="467"/>
      <c r="O3097" s="467"/>
      <c r="P3097" s="467"/>
      <c r="AL3097" s="436"/>
      <c r="AM3097" s="436"/>
      <c r="AQ3097" s="436"/>
      <c r="AR3097" s="436"/>
      <c r="AS3097" s="436"/>
      <c r="AT3097" s="436"/>
      <c r="AU3097" s="436"/>
      <c r="AV3097" s="436"/>
      <c r="AW3097" s="436"/>
      <c r="AX3097" s="436"/>
      <c r="AY3097" s="436"/>
      <c r="AZ3097" s="475"/>
      <c r="BA3097" s="475"/>
      <c r="BF3097" s="1119"/>
      <c r="BG3097" s="1119"/>
      <c r="BH3097" s="1119"/>
    </row>
    <row r="3098" spans="1:60" ht="15.75" customHeight="1">
      <c r="A3098" s="1076"/>
      <c r="B3098" s="1080"/>
      <c r="C3098" s="424"/>
      <c r="G3098" s="312"/>
      <c r="H3098" s="467"/>
      <c r="I3098" s="467"/>
      <c r="J3098" s="469"/>
      <c r="K3098" s="312"/>
      <c r="L3098" s="312"/>
      <c r="M3098" s="312"/>
      <c r="N3098" s="467"/>
      <c r="O3098" s="467"/>
      <c r="P3098" s="467"/>
      <c r="AL3098" s="436"/>
      <c r="AM3098" s="436"/>
      <c r="AQ3098" s="436"/>
      <c r="AR3098" s="436"/>
      <c r="AS3098" s="436"/>
      <c r="AT3098" s="436"/>
      <c r="AU3098" s="436"/>
      <c r="AV3098" s="436"/>
      <c r="AW3098" s="436"/>
      <c r="AX3098" s="436"/>
      <c r="AY3098" s="436"/>
      <c r="AZ3098" s="475"/>
      <c r="BA3098" s="475"/>
      <c r="BF3098" s="1119"/>
      <c r="BG3098" s="1119"/>
      <c r="BH3098" s="1119"/>
    </row>
    <row r="3099" spans="1:60" ht="15.75" customHeight="1">
      <c r="A3099" s="1076"/>
      <c r="B3099" s="1080"/>
      <c r="C3099" s="424"/>
      <c r="G3099" s="312"/>
      <c r="H3099" s="467"/>
      <c r="I3099" s="467"/>
      <c r="J3099" s="469"/>
      <c r="K3099" s="312"/>
      <c r="L3099" s="312"/>
      <c r="M3099" s="312"/>
      <c r="N3099" s="467"/>
      <c r="O3099" s="467"/>
      <c r="P3099" s="467"/>
      <c r="AL3099" s="436"/>
      <c r="AM3099" s="436"/>
      <c r="AQ3099" s="436"/>
      <c r="AR3099" s="436"/>
      <c r="AS3099" s="436"/>
      <c r="AT3099" s="436"/>
      <c r="AU3099" s="436"/>
      <c r="AV3099" s="436"/>
      <c r="AW3099" s="436"/>
      <c r="AX3099" s="436"/>
      <c r="AY3099" s="436"/>
      <c r="AZ3099" s="475"/>
      <c r="BA3099" s="475"/>
      <c r="BF3099" s="1119"/>
      <c r="BG3099" s="1119"/>
      <c r="BH3099" s="1119"/>
    </row>
    <row r="3100" spans="1:60" ht="15.75" customHeight="1">
      <c r="A3100" s="1076"/>
      <c r="B3100" s="1080"/>
      <c r="C3100" s="424"/>
      <c r="G3100" s="312"/>
      <c r="H3100" s="467"/>
      <c r="I3100" s="467"/>
      <c r="J3100" s="469"/>
      <c r="K3100" s="312"/>
      <c r="L3100" s="312"/>
      <c r="M3100" s="312"/>
      <c r="N3100" s="467"/>
      <c r="O3100" s="467"/>
      <c r="P3100" s="467"/>
      <c r="AL3100" s="436"/>
      <c r="AM3100" s="436"/>
      <c r="AQ3100" s="436"/>
      <c r="AR3100" s="436"/>
      <c r="AS3100" s="436"/>
      <c r="AT3100" s="436"/>
      <c r="AU3100" s="436"/>
      <c r="AV3100" s="436"/>
      <c r="AW3100" s="436"/>
      <c r="AX3100" s="436"/>
      <c r="AY3100" s="436"/>
      <c r="AZ3100" s="475"/>
      <c r="BA3100" s="475"/>
      <c r="BF3100" s="1119"/>
      <c r="BG3100" s="1119"/>
      <c r="BH3100" s="1119"/>
    </row>
    <row r="3101" spans="1:60" ht="15.75" customHeight="1">
      <c r="A3101" s="1076"/>
      <c r="B3101" s="1080"/>
      <c r="C3101" s="424"/>
      <c r="G3101" s="312"/>
      <c r="H3101" s="467"/>
      <c r="I3101" s="467"/>
      <c r="J3101" s="469"/>
      <c r="K3101" s="312"/>
      <c r="L3101" s="312"/>
      <c r="M3101" s="312"/>
      <c r="N3101" s="467"/>
      <c r="O3101" s="467"/>
      <c r="P3101" s="467"/>
      <c r="AL3101" s="436"/>
      <c r="AM3101" s="436"/>
      <c r="AQ3101" s="436"/>
      <c r="AR3101" s="436"/>
      <c r="AS3101" s="436"/>
      <c r="AT3101" s="436"/>
      <c r="AU3101" s="436"/>
      <c r="AV3101" s="436"/>
      <c r="AW3101" s="436"/>
      <c r="AX3101" s="436"/>
      <c r="AY3101" s="436"/>
      <c r="AZ3101" s="475"/>
      <c r="BA3101" s="475"/>
      <c r="BF3101" s="1119"/>
      <c r="BG3101" s="1119"/>
      <c r="BH3101" s="1119"/>
    </row>
    <row r="3102" spans="1:60" ht="15.75" customHeight="1">
      <c r="A3102" s="1076"/>
      <c r="B3102" s="1080"/>
      <c r="C3102" s="424"/>
      <c r="G3102" s="312"/>
      <c r="H3102" s="467"/>
      <c r="I3102" s="467"/>
      <c r="J3102" s="469"/>
      <c r="K3102" s="312"/>
      <c r="L3102" s="312"/>
      <c r="M3102" s="312"/>
      <c r="N3102" s="467"/>
      <c r="O3102" s="467"/>
      <c r="P3102" s="467"/>
      <c r="AL3102" s="436"/>
      <c r="AM3102" s="436"/>
      <c r="AQ3102" s="436"/>
      <c r="AR3102" s="436"/>
      <c r="AS3102" s="436"/>
      <c r="AT3102" s="436"/>
      <c r="AU3102" s="436"/>
      <c r="AV3102" s="436"/>
      <c r="AW3102" s="436"/>
      <c r="AX3102" s="436"/>
      <c r="AY3102" s="436"/>
      <c r="AZ3102" s="475"/>
      <c r="BA3102" s="475"/>
      <c r="BF3102" s="1119"/>
      <c r="BG3102" s="1119"/>
      <c r="BH3102" s="1119"/>
    </row>
    <row r="3103" spans="1:60" ht="15.75" customHeight="1">
      <c r="A3103" s="1076"/>
      <c r="B3103" s="1080"/>
      <c r="C3103" s="424"/>
      <c r="G3103" s="312"/>
      <c r="H3103" s="467"/>
      <c r="I3103" s="467"/>
      <c r="J3103" s="469"/>
      <c r="K3103" s="312"/>
      <c r="L3103" s="312"/>
      <c r="M3103" s="312"/>
      <c r="N3103" s="467"/>
      <c r="O3103" s="467"/>
      <c r="P3103" s="467"/>
      <c r="AL3103" s="436"/>
      <c r="AM3103" s="436"/>
      <c r="AQ3103" s="436"/>
      <c r="AR3103" s="436"/>
      <c r="AS3103" s="436"/>
      <c r="AT3103" s="436"/>
      <c r="AU3103" s="436"/>
      <c r="AV3103" s="436"/>
      <c r="AW3103" s="436"/>
      <c r="AX3103" s="436"/>
      <c r="AY3103" s="436"/>
      <c r="AZ3103" s="475"/>
      <c r="BA3103" s="475"/>
      <c r="BF3103" s="1119"/>
      <c r="BG3103" s="1119"/>
      <c r="BH3103" s="1119"/>
    </row>
    <row r="3104" spans="1:60" ht="15.75" customHeight="1">
      <c r="A3104" s="1076"/>
      <c r="B3104" s="1080"/>
      <c r="C3104" s="424"/>
      <c r="G3104" s="312"/>
      <c r="H3104" s="467"/>
      <c r="I3104" s="467"/>
      <c r="J3104" s="469"/>
      <c r="K3104" s="312"/>
      <c r="L3104" s="312"/>
      <c r="M3104" s="312"/>
      <c r="N3104" s="467"/>
      <c r="O3104" s="467"/>
      <c r="P3104" s="467"/>
      <c r="AL3104" s="436"/>
      <c r="AM3104" s="436"/>
      <c r="AQ3104" s="436"/>
      <c r="AR3104" s="436"/>
      <c r="AS3104" s="436"/>
      <c r="AT3104" s="436"/>
      <c r="AU3104" s="436"/>
      <c r="AV3104" s="436"/>
      <c r="AW3104" s="436"/>
      <c r="AX3104" s="436"/>
      <c r="AY3104" s="436"/>
      <c r="AZ3104" s="475"/>
      <c r="BA3104" s="475"/>
      <c r="BF3104" s="1119"/>
      <c r="BG3104" s="1119"/>
      <c r="BH3104" s="1119"/>
    </row>
    <row r="3105" spans="1:60" ht="15.75" customHeight="1">
      <c r="A3105" s="1076"/>
      <c r="B3105" s="1080"/>
      <c r="C3105" s="424"/>
      <c r="G3105" s="312"/>
      <c r="H3105" s="467"/>
      <c r="I3105" s="467"/>
      <c r="J3105" s="469"/>
      <c r="K3105" s="312"/>
      <c r="L3105" s="312"/>
      <c r="M3105" s="312"/>
      <c r="N3105" s="467"/>
      <c r="O3105" s="467"/>
      <c r="P3105" s="467"/>
      <c r="AL3105" s="436"/>
      <c r="AM3105" s="436"/>
      <c r="AQ3105" s="436"/>
      <c r="AR3105" s="436"/>
      <c r="AS3105" s="436"/>
      <c r="AT3105" s="436"/>
      <c r="AU3105" s="436"/>
      <c r="AV3105" s="436"/>
      <c r="AW3105" s="436"/>
      <c r="AX3105" s="436"/>
      <c r="AY3105" s="436"/>
      <c r="AZ3105" s="475"/>
      <c r="BA3105" s="475"/>
      <c r="BF3105" s="1119"/>
      <c r="BG3105" s="1119"/>
      <c r="BH3105" s="1119"/>
    </row>
    <row r="3106" spans="1:60" ht="15.75" customHeight="1">
      <c r="A3106" s="1076"/>
      <c r="B3106" s="1080"/>
      <c r="C3106" s="424"/>
      <c r="G3106" s="312"/>
      <c r="H3106" s="467"/>
      <c r="I3106" s="467"/>
      <c r="J3106" s="469"/>
      <c r="K3106" s="312"/>
      <c r="L3106" s="312"/>
      <c r="M3106" s="312"/>
      <c r="N3106" s="467"/>
      <c r="O3106" s="467"/>
      <c r="P3106" s="467"/>
      <c r="AL3106" s="436"/>
      <c r="AM3106" s="436"/>
      <c r="AQ3106" s="436"/>
      <c r="AR3106" s="436"/>
      <c r="AS3106" s="436"/>
      <c r="AT3106" s="436"/>
      <c r="AU3106" s="436"/>
      <c r="AV3106" s="436"/>
      <c r="AW3106" s="436"/>
      <c r="AX3106" s="436"/>
      <c r="AY3106" s="436"/>
      <c r="AZ3106" s="475"/>
      <c r="BA3106" s="475"/>
      <c r="BF3106" s="1119"/>
      <c r="BG3106" s="1119"/>
      <c r="BH3106" s="1119"/>
    </row>
    <row r="3107" spans="1:60" ht="15.75" customHeight="1">
      <c r="A3107" s="1076"/>
      <c r="B3107" s="1080"/>
      <c r="C3107" s="424"/>
      <c r="G3107" s="312"/>
      <c r="H3107" s="467"/>
      <c r="I3107" s="467"/>
      <c r="J3107" s="469"/>
      <c r="K3107" s="312"/>
      <c r="L3107" s="312"/>
      <c r="M3107" s="312"/>
      <c r="N3107" s="467"/>
      <c r="O3107" s="467"/>
      <c r="P3107" s="467"/>
      <c r="AL3107" s="436"/>
      <c r="AM3107" s="436"/>
      <c r="AQ3107" s="436"/>
      <c r="AR3107" s="436"/>
      <c r="AS3107" s="436"/>
      <c r="AT3107" s="436"/>
      <c r="AU3107" s="436"/>
      <c r="AV3107" s="436"/>
      <c r="AW3107" s="436"/>
      <c r="AX3107" s="436"/>
      <c r="AY3107" s="436"/>
      <c r="AZ3107" s="475"/>
      <c r="BA3107" s="475"/>
      <c r="BF3107" s="1119"/>
      <c r="BG3107" s="1119"/>
      <c r="BH3107" s="1119"/>
    </row>
    <row r="3108" spans="1:60" ht="15.75" customHeight="1">
      <c r="A3108" s="1076"/>
      <c r="B3108" s="1080"/>
      <c r="C3108" s="424"/>
      <c r="G3108" s="312"/>
      <c r="H3108" s="467"/>
      <c r="I3108" s="467"/>
      <c r="J3108" s="469"/>
      <c r="K3108" s="312"/>
      <c r="L3108" s="312"/>
      <c r="M3108" s="312"/>
      <c r="N3108" s="467"/>
      <c r="O3108" s="467"/>
      <c r="P3108" s="467"/>
      <c r="AL3108" s="436"/>
      <c r="AM3108" s="436"/>
      <c r="AQ3108" s="436"/>
      <c r="AR3108" s="436"/>
      <c r="AS3108" s="436"/>
      <c r="AT3108" s="436"/>
      <c r="AU3108" s="436"/>
      <c r="AV3108" s="436"/>
      <c r="AW3108" s="436"/>
      <c r="AX3108" s="436"/>
      <c r="AY3108" s="436"/>
      <c r="AZ3108" s="475"/>
      <c r="BA3108" s="475"/>
      <c r="BF3108" s="1119"/>
      <c r="BG3108" s="1119"/>
      <c r="BH3108" s="1119"/>
    </row>
    <row r="3109" spans="1:60" ht="15.75" customHeight="1">
      <c r="A3109" s="1076"/>
      <c r="B3109" s="1080"/>
      <c r="C3109" s="424"/>
      <c r="G3109" s="312"/>
      <c r="H3109" s="467"/>
      <c r="I3109" s="467"/>
      <c r="J3109" s="469"/>
      <c r="K3109" s="312"/>
      <c r="L3109" s="312"/>
      <c r="M3109" s="312"/>
      <c r="N3109" s="467"/>
      <c r="O3109" s="467"/>
      <c r="P3109" s="467"/>
      <c r="AL3109" s="436"/>
      <c r="AM3109" s="436"/>
      <c r="AQ3109" s="436"/>
      <c r="AR3109" s="436"/>
      <c r="AS3109" s="436"/>
      <c r="AT3109" s="436"/>
      <c r="AU3109" s="436"/>
      <c r="AV3109" s="436"/>
      <c r="AW3109" s="436"/>
      <c r="AX3109" s="436"/>
      <c r="AY3109" s="436"/>
      <c r="AZ3109" s="475"/>
      <c r="BA3109" s="475"/>
      <c r="BF3109" s="1119"/>
      <c r="BG3109" s="1119"/>
      <c r="BH3109" s="1119"/>
    </row>
    <row r="3110" spans="1:60" ht="15.75" customHeight="1">
      <c r="A3110" s="1076"/>
      <c r="B3110" s="1080"/>
      <c r="C3110" s="424"/>
      <c r="G3110" s="312"/>
      <c r="H3110" s="467"/>
      <c r="I3110" s="467"/>
      <c r="J3110" s="469"/>
      <c r="K3110" s="312"/>
      <c r="L3110" s="312"/>
      <c r="M3110" s="312"/>
      <c r="N3110" s="467"/>
      <c r="O3110" s="467"/>
      <c r="P3110" s="467"/>
      <c r="AL3110" s="436"/>
      <c r="AM3110" s="436"/>
      <c r="AQ3110" s="436"/>
      <c r="AR3110" s="436"/>
      <c r="AS3110" s="436"/>
      <c r="AT3110" s="436"/>
      <c r="AU3110" s="436"/>
      <c r="AV3110" s="436"/>
      <c r="AW3110" s="436"/>
      <c r="AX3110" s="436"/>
      <c r="AY3110" s="436"/>
      <c r="AZ3110" s="475"/>
      <c r="BA3110" s="475"/>
      <c r="BF3110" s="1119"/>
      <c r="BG3110" s="1119"/>
      <c r="BH3110" s="1119"/>
    </row>
    <row r="3111" spans="1:60" ht="15.75" customHeight="1">
      <c r="A3111" s="1076"/>
      <c r="B3111" s="1080"/>
      <c r="C3111" s="424"/>
      <c r="G3111" s="312"/>
      <c r="H3111" s="467"/>
      <c r="I3111" s="467"/>
      <c r="J3111" s="469"/>
      <c r="K3111" s="312"/>
      <c r="L3111" s="312"/>
      <c r="M3111" s="312"/>
      <c r="N3111" s="467"/>
      <c r="O3111" s="467"/>
      <c r="P3111" s="467"/>
      <c r="AL3111" s="436"/>
      <c r="AM3111" s="436"/>
      <c r="AQ3111" s="436"/>
      <c r="AR3111" s="436"/>
      <c r="AS3111" s="436"/>
      <c r="AT3111" s="436"/>
      <c r="AU3111" s="436"/>
      <c r="AV3111" s="436"/>
      <c r="AW3111" s="436"/>
      <c r="AX3111" s="436"/>
      <c r="AY3111" s="436"/>
      <c r="AZ3111" s="475"/>
      <c r="BA3111" s="475"/>
      <c r="BF3111" s="1119"/>
      <c r="BG3111" s="1119"/>
      <c r="BH3111" s="1119"/>
    </row>
    <row r="3112" spans="1:60" ht="15.75" customHeight="1">
      <c r="A3112" s="1076"/>
      <c r="B3112" s="1080"/>
      <c r="C3112" s="424"/>
      <c r="G3112" s="312"/>
      <c r="H3112" s="467"/>
      <c r="I3112" s="467"/>
      <c r="J3112" s="469"/>
      <c r="K3112" s="312"/>
      <c r="L3112" s="312"/>
      <c r="M3112" s="312"/>
      <c r="N3112" s="467"/>
      <c r="O3112" s="467"/>
      <c r="P3112" s="467"/>
      <c r="AL3112" s="436"/>
      <c r="AM3112" s="436"/>
      <c r="AQ3112" s="436"/>
      <c r="AR3112" s="436"/>
      <c r="AS3112" s="436"/>
      <c r="AT3112" s="436"/>
      <c r="AU3112" s="436"/>
      <c r="AV3112" s="436"/>
      <c r="AW3112" s="436"/>
      <c r="AX3112" s="436"/>
      <c r="AY3112" s="436"/>
      <c r="AZ3112" s="475"/>
      <c r="BA3112" s="475"/>
      <c r="BF3112" s="1119"/>
      <c r="BG3112" s="1119"/>
      <c r="BH3112" s="1119"/>
    </row>
    <row r="3113" spans="1:60" ht="15.75" customHeight="1">
      <c r="A3113" s="1076"/>
      <c r="B3113" s="1080"/>
      <c r="C3113" s="424"/>
      <c r="G3113" s="312"/>
      <c r="H3113" s="467"/>
      <c r="I3113" s="467"/>
      <c r="J3113" s="469"/>
      <c r="K3113" s="312"/>
      <c r="L3113" s="312"/>
      <c r="M3113" s="312"/>
      <c r="N3113" s="467"/>
      <c r="O3113" s="467"/>
      <c r="P3113" s="467"/>
      <c r="AL3113" s="436"/>
      <c r="AM3113" s="436"/>
      <c r="AQ3113" s="436"/>
      <c r="AR3113" s="436"/>
      <c r="AS3113" s="436"/>
      <c r="AT3113" s="436"/>
      <c r="AU3113" s="436"/>
      <c r="AV3113" s="436"/>
      <c r="AW3113" s="436"/>
      <c r="AX3113" s="436"/>
      <c r="AY3113" s="436"/>
      <c r="AZ3113" s="475"/>
      <c r="BA3113" s="475"/>
      <c r="BF3113" s="1119"/>
      <c r="BG3113" s="1119"/>
      <c r="BH3113" s="1119"/>
    </row>
    <row r="3114" spans="1:60" ht="15.75" customHeight="1">
      <c r="A3114" s="1076"/>
      <c r="B3114" s="1080"/>
      <c r="C3114" s="424"/>
      <c r="G3114" s="312"/>
      <c r="H3114" s="467"/>
      <c r="I3114" s="467"/>
      <c r="J3114" s="469"/>
      <c r="K3114" s="312"/>
      <c r="L3114" s="312"/>
      <c r="M3114" s="312"/>
      <c r="N3114" s="467"/>
      <c r="O3114" s="467"/>
      <c r="P3114" s="467"/>
      <c r="AL3114" s="436"/>
      <c r="AM3114" s="436"/>
      <c r="AQ3114" s="436"/>
      <c r="AR3114" s="436"/>
      <c r="AS3114" s="436"/>
      <c r="AT3114" s="436"/>
      <c r="AU3114" s="436"/>
      <c r="AV3114" s="436"/>
      <c r="AW3114" s="436"/>
      <c r="AX3114" s="436"/>
      <c r="AY3114" s="436"/>
      <c r="AZ3114" s="475"/>
      <c r="BA3114" s="475"/>
      <c r="BF3114" s="1119"/>
      <c r="BG3114" s="1119"/>
      <c r="BH3114" s="1119"/>
    </row>
    <row r="3115" spans="1:60" ht="15.75" customHeight="1">
      <c r="A3115" s="1076"/>
      <c r="B3115" s="1080"/>
      <c r="C3115" s="424"/>
      <c r="G3115" s="312"/>
      <c r="H3115" s="467"/>
      <c r="I3115" s="467"/>
      <c r="J3115" s="469"/>
      <c r="K3115" s="312"/>
      <c r="L3115" s="312"/>
      <c r="M3115" s="312"/>
      <c r="N3115" s="467"/>
      <c r="O3115" s="467"/>
      <c r="P3115" s="467"/>
      <c r="AL3115" s="436"/>
      <c r="AM3115" s="436"/>
      <c r="AQ3115" s="436"/>
      <c r="AR3115" s="436"/>
      <c r="AS3115" s="436"/>
      <c r="AT3115" s="436"/>
      <c r="AU3115" s="436"/>
      <c r="AV3115" s="436"/>
      <c r="AW3115" s="436"/>
      <c r="AX3115" s="436"/>
      <c r="AY3115" s="436"/>
      <c r="AZ3115" s="475"/>
      <c r="BA3115" s="475"/>
      <c r="BF3115" s="1119"/>
      <c r="BG3115" s="1119"/>
      <c r="BH3115" s="1119"/>
    </row>
    <row r="3116" spans="1:60" ht="15.75" customHeight="1">
      <c r="A3116" s="1076"/>
      <c r="B3116" s="1080"/>
      <c r="C3116" s="424"/>
      <c r="G3116" s="312"/>
      <c r="H3116" s="467"/>
      <c r="I3116" s="467"/>
      <c r="J3116" s="469"/>
      <c r="K3116" s="312"/>
      <c r="L3116" s="312"/>
      <c r="M3116" s="312"/>
      <c r="N3116" s="467"/>
      <c r="O3116" s="467"/>
      <c r="P3116" s="467"/>
      <c r="AL3116" s="436"/>
      <c r="AM3116" s="436"/>
      <c r="AQ3116" s="436"/>
      <c r="AR3116" s="436"/>
      <c r="AS3116" s="436"/>
      <c r="AT3116" s="436"/>
      <c r="AU3116" s="436"/>
      <c r="AV3116" s="436"/>
      <c r="AW3116" s="436"/>
      <c r="AX3116" s="436"/>
      <c r="AY3116" s="436"/>
      <c r="AZ3116" s="475"/>
      <c r="BA3116" s="475"/>
      <c r="BF3116" s="1119"/>
      <c r="BG3116" s="1119"/>
      <c r="BH3116" s="1119"/>
    </row>
    <row r="3117" spans="1:60" ht="15.75" customHeight="1">
      <c r="A3117" s="1076"/>
      <c r="B3117" s="1080"/>
      <c r="C3117" s="424"/>
      <c r="G3117" s="312"/>
      <c r="H3117" s="467"/>
      <c r="I3117" s="467"/>
      <c r="J3117" s="469"/>
      <c r="K3117" s="312"/>
      <c r="L3117" s="312"/>
      <c r="M3117" s="312"/>
      <c r="N3117" s="467"/>
      <c r="O3117" s="467"/>
      <c r="P3117" s="467"/>
      <c r="AL3117" s="436"/>
      <c r="AM3117" s="436"/>
      <c r="AQ3117" s="436"/>
      <c r="AR3117" s="436"/>
      <c r="AS3117" s="436"/>
      <c r="AT3117" s="436"/>
      <c r="AU3117" s="436"/>
      <c r="AV3117" s="436"/>
      <c r="AW3117" s="436"/>
      <c r="AX3117" s="436"/>
      <c r="AY3117" s="436"/>
      <c r="AZ3117" s="475"/>
      <c r="BA3117" s="475"/>
      <c r="BF3117" s="1119"/>
      <c r="BG3117" s="1119"/>
      <c r="BH3117" s="1119"/>
    </row>
    <row r="3118" spans="1:60" ht="15.75" customHeight="1">
      <c r="A3118" s="1076"/>
      <c r="B3118" s="1080"/>
      <c r="C3118" s="424"/>
      <c r="G3118" s="312"/>
      <c r="H3118" s="467"/>
      <c r="I3118" s="467"/>
      <c r="J3118" s="469"/>
      <c r="K3118" s="312"/>
      <c r="L3118" s="312"/>
      <c r="M3118" s="312"/>
      <c r="N3118" s="467"/>
      <c r="O3118" s="467"/>
      <c r="P3118" s="467"/>
      <c r="AL3118" s="436"/>
      <c r="AM3118" s="436"/>
      <c r="AQ3118" s="436"/>
      <c r="AR3118" s="436"/>
      <c r="AS3118" s="436"/>
      <c r="AT3118" s="436"/>
      <c r="AU3118" s="436"/>
      <c r="AV3118" s="436"/>
      <c r="AW3118" s="436"/>
      <c r="AX3118" s="436"/>
      <c r="AY3118" s="436"/>
      <c r="AZ3118" s="475"/>
      <c r="BA3118" s="475"/>
      <c r="BF3118" s="1119"/>
      <c r="BG3118" s="1119"/>
      <c r="BH3118" s="1119"/>
    </row>
    <row r="3119" spans="1:60" ht="15.75" customHeight="1">
      <c r="A3119" s="1076"/>
      <c r="B3119" s="1080"/>
      <c r="C3119" s="424"/>
      <c r="G3119" s="312"/>
      <c r="H3119" s="467"/>
      <c r="I3119" s="467"/>
      <c r="J3119" s="469"/>
      <c r="K3119" s="312"/>
      <c r="L3119" s="312"/>
      <c r="M3119" s="312"/>
      <c r="N3119" s="467"/>
      <c r="O3119" s="467"/>
      <c r="P3119" s="467"/>
      <c r="AL3119" s="436"/>
      <c r="AM3119" s="436"/>
      <c r="AQ3119" s="436"/>
      <c r="AR3119" s="436"/>
      <c r="AS3119" s="436"/>
      <c r="AT3119" s="436"/>
      <c r="AU3119" s="436"/>
      <c r="AV3119" s="436"/>
      <c r="AW3119" s="436"/>
      <c r="AX3119" s="436"/>
      <c r="AY3119" s="436"/>
      <c r="AZ3119" s="475"/>
      <c r="BA3119" s="475"/>
      <c r="BF3119" s="1119"/>
      <c r="BG3119" s="1119"/>
      <c r="BH3119" s="1119"/>
    </row>
    <row r="3120" spans="1:60" ht="15.75" customHeight="1">
      <c r="A3120" s="1076"/>
      <c r="B3120" s="1080"/>
      <c r="C3120" s="424"/>
      <c r="G3120" s="312"/>
      <c r="H3120" s="467"/>
      <c r="I3120" s="467"/>
      <c r="J3120" s="469"/>
      <c r="K3120" s="312"/>
      <c r="L3120" s="312"/>
      <c r="M3120" s="312"/>
      <c r="N3120" s="467"/>
      <c r="O3120" s="467"/>
      <c r="P3120" s="467"/>
      <c r="AL3120" s="436"/>
      <c r="AM3120" s="436"/>
      <c r="AQ3120" s="436"/>
      <c r="AR3120" s="436"/>
      <c r="AS3120" s="436"/>
      <c r="AT3120" s="436"/>
      <c r="AU3120" s="436"/>
      <c r="AV3120" s="436"/>
      <c r="AW3120" s="436"/>
      <c r="AX3120" s="436"/>
      <c r="AY3120" s="436"/>
      <c r="AZ3120" s="475"/>
      <c r="BA3120" s="475"/>
      <c r="BF3120" s="1119"/>
      <c r="BG3120" s="1119"/>
      <c r="BH3120" s="1119"/>
    </row>
    <row r="3121" spans="1:60" ht="15.75" customHeight="1">
      <c r="A3121" s="1076"/>
      <c r="B3121" s="1080"/>
      <c r="C3121" s="424"/>
      <c r="G3121" s="312"/>
      <c r="H3121" s="467"/>
      <c r="I3121" s="467"/>
      <c r="J3121" s="469"/>
      <c r="K3121" s="312"/>
      <c r="L3121" s="312"/>
      <c r="M3121" s="312"/>
      <c r="N3121" s="467"/>
      <c r="O3121" s="467"/>
      <c r="P3121" s="467"/>
      <c r="AL3121" s="436"/>
      <c r="AM3121" s="436"/>
      <c r="AQ3121" s="436"/>
      <c r="AR3121" s="436"/>
      <c r="AS3121" s="436"/>
      <c r="AT3121" s="436"/>
      <c r="AU3121" s="436"/>
      <c r="AV3121" s="436"/>
      <c r="AW3121" s="436"/>
      <c r="AX3121" s="436"/>
      <c r="AY3121" s="436"/>
      <c r="AZ3121" s="475"/>
      <c r="BA3121" s="475"/>
      <c r="BF3121" s="1119"/>
      <c r="BG3121" s="1119"/>
      <c r="BH3121" s="1119"/>
    </row>
    <row r="3122" spans="1:60" ht="15.75" customHeight="1">
      <c r="A3122" s="1076"/>
      <c r="B3122" s="1080"/>
      <c r="C3122" s="424"/>
      <c r="G3122" s="312"/>
      <c r="H3122" s="467"/>
      <c r="I3122" s="467"/>
      <c r="J3122" s="469"/>
      <c r="K3122" s="312"/>
      <c r="L3122" s="312"/>
      <c r="M3122" s="312"/>
      <c r="N3122" s="467"/>
      <c r="O3122" s="467"/>
      <c r="P3122" s="467"/>
      <c r="AL3122" s="436"/>
      <c r="AM3122" s="436"/>
      <c r="AQ3122" s="436"/>
      <c r="AR3122" s="436"/>
      <c r="AS3122" s="436"/>
      <c r="AT3122" s="436"/>
      <c r="AU3122" s="436"/>
      <c r="AV3122" s="436"/>
      <c r="AW3122" s="436"/>
      <c r="AX3122" s="436"/>
      <c r="AY3122" s="436"/>
      <c r="AZ3122" s="475"/>
      <c r="BA3122" s="475"/>
      <c r="BF3122" s="1119"/>
      <c r="BG3122" s="1119"/>
      <c r="BH3122" s="1119"/>
    </row>
    <row r="3123" spans="1:60" ht="15.75" customHeight="1">
      <c r="A3123" s="1076"/>
      <c r="B3123" s="1080"/>
      <c r="C3123" s="424"/>
      <c r="G3123" s="312"/>
      <c r="H3123" s="467"/>
      <c r="I3123" s="467"/>
      <c r="J3123" s="469"/>
      <c r="K3123" s="312"/>
      <c r="L3123" s="312"/>
      <c r="M3123" s="312"/>
      <c r="N3123" s="467"/>
      <c r="O3123" s="467"/>
      <c r="P3123" s="467"/>
      <c r="AL3123" s="436"/>
      <c r="AM3123" s="436"/>
      <c r="AQ3123" s="436"/>
      <c r="AR3123" s="436"/>
      <c r="AS3123" s="436"/>
      <c r="AT3123" s="436"/>
      <c r="AU3123" s="436"/>
      <c r="AV3123" s="436"/>
      <c r="AW3123" s="436"/>
      <c r="AX3123" s="436"/>
      <c r="AY3123" s="436"/>
      <c r="AZ3123" s="475"/>
      <c r="BA3123" s="475"/>
      <c r="BF3123" s="1119"/>
      <c r="BG3123" s="1119"/>
      <c r="BH3123" s="1119"/>
    </row>
    <row r="3124" spans="1:60" ht="15.75" customHeight="1">
      <c r="A3124" s="1076"/>
      <c r="B3124" s="1080"/>
      <c r="C3124" s="424"/>
      <c r="G3124" s="312"/>
      <c r="H3124" s="467"/>
      <c r="I3124" s="467"/>
      <c r="J3124" s="469"/>
      <c r="K3124" s="312"/>
      <c r="L3124" s="312"/>
      <c r="M3124" s="312"/>
      <c r="N3124" s="467"/>
      <c r="O3124" s="467"/>
      <c r="P3124" s="467"/>
      <c r="AL3124" s="436"/>
      <c r="AM3124" s="436"/>
      <c r="AQ3124" s="436"/>
      <c r="AR3124" s="436"/>
      <c r="AS3124" s="436"/>
      <c r="AT3124" s="436"/>
      <c r="AU3124" s="436"/>
      <c r="AV3124" s="436"/>
      <c r="AW3124" s="436"/>
      <c r="AX3124" s="436"/>
      <c r="AY3124" s="436"/>
      <c r="AZ3124" s="475"/>
      <c r="BA3124" s="475"/>
      <c r="BF3124" s="1119"/>
      <c r="BG3124" s="1119"/>
      <c r="BH3124" s="1119"/>
    </row>
    <row r="3125" spans="1:60" ht="15.75" customHeight="1">
      <c r="A3125" s="1076"/>
      <c r="B3125" s="1080"/>
      <c r="C3125" s="424"/>
      <c r="G3125" s="312"/>
      <c r="H3125" s="467"/>
      <c r="I3125" s="467"/>
      <c r="J3125" s="469"/>
      <c r="K3125" s="312"/>
      <c r="L3125" s="312"/>
      <c r="M3125" s="312"/>
      <c r="N3125" s="467"/>
      <c r="O3125" s="467"/>
      <c r="P3125" s="467"/>
      <c r="AL3125" s="436"/>
      <c r="AM3125" s="436"/>
      <c r="AQ3125" s="436"/>
      <c r="AR3125" s="436"/>
      <c r="AS3125" s="436"/>
      <c r="AT3125" s="436"/>
      <c r="AU3125" s="436"/>
      <c r="AV3125" s="436"/>
      <c r="AW3125" s="436"/>
      <c r="AX3125" s="436"/>
      <c r="AY3125" s="436"/>
      <c r="AZ3125" s="475"/>
      <c r="BA3125" s="475"/>
      <c r="BF3125" s="1119"/>
      <c r="BG3125" s="1119"/>
      <c r="BH3125" s="1119"/>
    </row>
    <row r="3126" spans="1:60" ht="15.75" customHeight="1">
      <c r="A3126" s="1076"/>
      <c r="B3126" s="1080"/>
      <c r="C3126" s="424"/>
      <c r="G3126" s="312"/>
      <c r="H3126" s="467"/>
      <c r="I3126" s="467"/>
      <c r="J3126" s="469"/>
      <c r="K3126" s="312"/>
      <c r="L3126" s="312"/>
      <c r="M3126" s="312"/>
      <c r="N3126" s="467"/>
      <c r="O3126" s="467"/>
      <c r="P3126" s="467"/>
      <c r="AL3126" s="436"/>
      <c r="AM3126" s="436"/>
      <c r="AQ3126" s="436"/>
      <c r="AR3126" s="436"/>
      <c r="AS3126" s="436"/>
      <c r="AT3126" s="436"/>
      <c r="AU3126" s="436"/>
      <c r="AV3126" s="436"/>
      <c r="AW3126" s="436"/>
      <c r="AX3126" s="436"/>
      <c r="AY3126" s="436"/>
      <c r="AZ3126" s="475"/>
      <c r="BA3126" s="475"/>
      <c r="BF3126" s="1119"/>
      <c r="BG3126" s="1119"/>
      <c r="BH3126" s="1119"/>
    </row>
    <row r="3127" spans="1:60" ht="15.75" customHeight="1">
      <c r="A3127" s="1076"/>
      <c r="B3127" s="1080"/>
      <c r="C3127" s="424"/>
      <c r="G3127" s="312"/>
      <c r="H3127" s="467"/>
      <c r="I3127" s="467"/>
      <c r="J3127" s="469"/>
      <c r="K3127" s="312"/>
      <c r="L3127" s="312"/>
      <c r="M3127" s="312"/>
      <c r="N3127" s="467"/>
      <c r="O3127" s="467"/>
      <c r="P3127" s="467"/>
      <c r="AL3127" s="436"/>
      <c r="AM3127" s="436"/>
      <c r="AQ3127" s="436"/>
      <c r="AR3127" s="436"/>
      <c r="AS3127" s="436"/>
      <c r="AT3127" s="436"/>
      <c r="AU3127" s="436"/>
      <c r="AV3127" s="436"/>
      <c r="AW3127" s="436"/>
      <c r="AX3127" s="436"/>
      <c r="AY3127" s="436"/>
      <c r="AZ3127" s="475"/>
      <c r="BA3127" s="475"/>
      <c r="BF3127" s="1119"/>
      <c r="BG3127" s="1119"/>
      <c r="BH3127" s="1119"/>
    </row>
    <row r="3128" spans="1:60" ht="15.75" customHeight="1">
      <c r="A3128" s="1076"/>
      <c r="B3128" s="1080"/>
      <c r="C3128" s="424"/>
      <c r="G3128" s="312"/>
      <c r="H3128" s="467"/>
      <c r="I3128" s="467"/>
      <c r="J3128" s="469"/>
      <c r="K3128" s="312"/>
      <c r="L3128" s="312"/>
      <c r="M3128" s="312"/>
      <c r="N3128" s="467"/>
      <c r="O3128" s="467"/>
      <c r="P3128" s="467"/>
      <c r="AL3128" s="436"/>
      <c r="AM3128" s="436"/>
      <c r="AQ3128" s="436"/>
      <c r="AR3128" s="436"/>
      <c r="AS3128" s="436"/>
      <c r="AT3128" s="436"/>
      <c r="AU3128" s="436"/>
      <c r="AV3128" s="436"/>
      <c r="AW3128" s="436"/>
      <c r="AX3128" s="436"/>
      <c r="AY3128" s="436"/>
      <c r="AZ3128" s="475"/>
      <c r="BA3128" s="475"/>
      <c r="BF3128" s="1119"/>
      <c r="BG3128" s="1119"/>
      <c r="BH3128" s="1119"/>
    </row>
    <row r="3129" spans="1:60" ht="15.75" customHeight="1">
      <c r="A3129" s="1076"/>
      <c r="B3129" s="1080"/>
      <c r="C3129" s="424"/>
      <c r="G3129" s="312"/>
      <c r="H3129" s="467"/>
      <c r="I3129" s="467"/>
      <c r="J3129" s="469"/>
      <c r="K3129" s="312"/>
      <c r="L3129" s="312"/>
      <c r="M3129" s="312"/>
      <c r="N3129" s="467"/>
      <c r="O3129" s="467"/>
      <c r="P3129" s="467"/>
      <c r="AL3129" s="436"/>
      <c r="AM3129" s="436"/>
      <c r="AQ3129" s="436"/>
      <c r="AR3129" s="436"/>
      <c r="AS3129" s="436"/>
      <c r="AT3129" s="436"/>
      <c r="AU3129" s="436"/>
      <c r="AV3129" s="436"/>
      <c r="AW3129" s="436"/>
      <c r="AX3129" s="436"/>
      <c r="AY3129" s="436"/>
      <c r="AZ3129" s="475"/>
      <c r="BA3129" s="475"/>
      <c r="BF3129" s="1119"/>
      <c r="BG3129" s="1119"/>
      <c r="BH3129" s="1119"/>
    </row>
    <row r="3130" spans="1:60" ht="15.75" customHeight="1">
      <c r="A3130" s="1076"/>
      <c r="B3130" s="1080"/>
      <c r="C3130" s="424"/>
      <c r="G3130" s="312"/>
      <c r="H3130" s="467"/>
      <c r="I3130" s="467"/>
      <c r="J3130" s="469"/>
      <c r="K3130" s="312"/>
      <c r="L3130" s="312"/>
      <c r="M3130" s="312"/>
      <c r="N3130" s="467"/>
      <c r="O3130" s="467"/>
      <c r="P3130" s="467"/>
      <c r="AL3130" s="436"/>
      <c r="AM3130" s="436"/>
      <c r="AQ3130" s="436"/>
      <c r="AR3130" s="436"/>
      <c r="AS3130" s="436"/>
      <c r="AT3130" s="436"/>
      <c r="AU3130" s="436"/>
      <c r="AV3130" s="436"/>
      <c r="AW3130" s="436"/>
      <c r="AX3130" s="436"/>
      <c r="AY3130" s="436"/>
      <c r="AZ3130" s="475"/>
      <c r="BA3130" s="475"/>
      <c r="BF3130" s="1119"/>
      <c r="BG3130" s="1119"/>
      <c r="BH3130" s="1119"/>
    </row>
    <row r="3131" spans="1:60" ht="15.75" customHeight="1">
      <c r="A3131" s="1076"/>
      <c r="B3131" s="1080"/>
      <c r="C3131" s="424"/>
      <c r="G3131" s="312"/>
      <c r="H3131" s="467"/>
      <c r="I3131" s="467"/>
      <c r="J3131" s="469"/>
      <c r="K3131" s="312"/>
      <c r="L3131" s="312"/>
      <c r="M3131" s="312"/>
      <c r="N3131" s="467"/>
      <c r="O3131" s="467"/>
      <c r="P3131" s="467"/>
      <c r="AL3131" s="436"/>
      <c r="AM3131" s="436"/>
      <c r="AQ3131" s="436"/>
      <c r="AR3131" s="436"/>
      <c r="AS3131" s="436"/>
      <c r="AT3131" s="436"/>
      <c r="AU3131" s="436"/>
      <c r="AV3131" s="436"/>
      <c r="AW3131" s="436"/>
      <c r="AX3131" s="436"/>
      <c r="AY3131" s="436"/>
      <c r="AZ3131" s="475"/>
      <c r="BA3131" s="475"/>
      <c r="BF3131" s="1119"/>
      <c r="BG3131" s="1119"/>
      <c r="BH3131" s="1119"/>
    </row>
    <row r="3132" spans="1:60" ht="15.75" customHeight="1">
      <c r="A3132" s="1076"/>
      <c r="B3132" s="1080"/>
      <c r="C3132" s="424"/>
      <c r="G3132" s="312"/>
      <c r="H3132" s="467"/>
      <c r="I3132" s="467"/>
      <c r="J3132" s="469"/>
      <c r="K3132" s="312"/>
      <c r="L3132" s="312"/>
      <c r="M3132" s="312"/>
      <c r="N3132" s="467"/>
      <c r="O3132" s="467"/>
      <c r="P3132" s="467"/>
      <c r="AL3132" s="436"/>
      <c r="AM3132" s="436"/>
      <c r="AQ3132" s="436"/>
      <c r="AR3132" s="436"/>
      <c r="AS3132" s="436"/>
      <c r="AT3132" s="436"/>
      <c r="AU3132" s="436"/>
      <c r="AV3132" s="436"/>
      <c r="AW3132" s="436"/>
      <c r="AX3132" s="436"/>
      <c r="AY3132" s="436"/>
      <c r="AZ3132" s="475"/>
      <c r="BA3132" s="475"/>
      <c r="BF3132" s="1119"/>
      <c r="BG3132" s="1119"/>
      <c r="BH3132" s="1119"/>
    </row>
    <row r="3133" spans="1:60" ht="15.75" customHeight="1">
      <c r="A3133" s="1076"/>
      <c r="B3133" s="1080"/>
      <c r="C3133" s="424"/>
      <c r="G3133" s="312"/>
      <c r="H3133" s="467"/>
      <c r="I3133" s="467"/>
      <c r="J3133" s="469"/>
      <c r="K3133" s="312"/>
      <c r="L3133" s="312"/>
      <c r="M3133" s="312"/>
      <c r="N3133" s="467"/>
      <c r="O3133" s="467"/>
      <c r="P3133" s="467"/>
      <c r="AL3133" s="436"/>
      <c r="AM3133" s="436"/>
      <c r="AQ3133" s="436"/>
      <c r="AR3133" s="436"/>
      <c r="AS3133" s="436"/>
      <c r="AT3133" s="436"/>
      <c r="AU3133" s="436"/>
      <c r="AV3133" s="436"/>
      <c r="AW3133" s="436"/>
      <c r="AX3133" s="436"/>
      <c r="AY3133" s="436"/>
      <c r="AZ3133" s="475"/>
      <c r="BA3133" s="475"/>
      <c r="BF3133" s="1119"/>
      <c r="BG3133" s="1119"/>
      <c r="BH3133" s="1119"/>
    </row>
    <row r="3134" spans="1:60" ht="15.75" customHeight="1">
      <c r="A3134" s="1076"/>
      <c r="B3134" s="1080"/>
      <c r="C3134" s="424"/>
      <c r="G3134" s="312"/>
      <c r="H3134" s="467"/>
      <c r="I3134" s="467"/>
      <c r="J3134" s="469"/>
      <c r="K3134" s="312"/>
      <c r="L3134" s="312"/>
      <c r="M3134" s="312"/>
      <c r="N3134" s="467"/>
      <c r="O3134" s="467"/>
      <c r="P3134" s="467"/>
      <c r="AL3134" s="436"/>
      <c r="AM3134" s="436"/>
      <c r="AQ3134" s="436"/>
      <c r="AR3134" s="436"/>
      <c r="AS3134" s="436"/>
      <c r="AT3134" s="436"/>
      <c r="AU3134" s="436"/>
      <c r="AV3134" s="436"/>
      <c r="AW3134" s="436"/>
      <c r="AX3134" s="436"/>
      <c r="AY3134" s="436"/>
      <c r="AZ3134" s="475"/>
      <c r="BA3134" s="475"/>
      <c r="BF3134" s="1119"/>
      <c r="BG3134" s="1119"/>
      <c r="BH3134" s="1119"/>
    </row>
    <row r="3135" spans="1:60" ht="15.75" customHeight="1">
      <c r="A3135" s="1076"/>
      <c r="B3135" s="1080"/>
      <c r="C3135" s="424"/>
      <c r="G3135" s="312"/>
      <c r="H3135" s="467"/>
      <c r="I3135" s="467"/>
      <c r="J3135" s="469"/>
      <c r="K3135" s="312"/>
      <c r="L3135" s="312"/>
      <c r="M3135" s="312"/>
      <c r="N3135" s="467"/>
      <c r="O3135" s="467"/>
      <c r="P3135" s="467"/>
      <c r="AL3135" s="436"/>
      <c r="AM3135" s="436"/>
      <c r="AQ3135" s="436"/>
      <c r="AR3135" s="436"/>
      <c r="AS3135" s="436"/>
      <c r="AT3135" s="436"/>
      <c r="AU3135" s="436"/>
      <c r="AV3135" s="436"/>
      <c r="AW3135" s="436"/>
      <c r="AX3135" s="436"/>
      <c r="AY3135" s="436"/>
      <c r="AZ3135" s="475"/>
      <c r="BA3135" s="475"/>
      <c r="BF3135" s="1119"/>
      <c r="BG3135" s="1119"/>
      <c r="BH3135" s="1119"/>
    </row>
    <row r="3136" spans="1:60" ht="15.75" customHeight="1">
      <c r="A3136" s="1076"/>
      <c r="B3136" s="1080"/>
      <c r="C3136" s="424"/>
      <c r="G3136" s="312"/>
      <c r="H3136" s="467"/>
      <c r="I3136" s="467"/>
      <c r="J3136" s="469"/>
      <c r="K3136" s="312"/>
      <c r="L3136" s="312"/>
      <c r="M3136" s="312"/>
      <c r="N3136" s="467"/>
      <c r="O3136" s="467"/>
      <c r="P3136" s="467"/>
      <c r="AL3136" s="436"/>
      <c r="AM3136" s="436"/>
      <c r="AQ3136" s="436"/>
      <c r="AR3136" s="436"/>
      <c r="AS3136" s="436"/>
      <c r="AT3136" s="436"/>
      <c r="AU3136" s="436"/>
      <c r="AV3136" s="436"/>
      <c r="AW3136" s="436"/>
      <c r="AX3136" s="436"/>
      <c r="AY3136" s="436"/>
      <c r="AZ3136" s="475"/>
      <c r="BA3136" s="475"/>
      <c r="BF3136" s="1119"/>
      <c r="BG3136" s="1119"/>
      <c r="BH3136" s="1119"/>
    </row>
    <row r="3137" spans="1:60" ht="15.75" customHeight="1">
      <c r="A3137" s="1076"/>
      <c r="B3137" s="1080"/>
      <c r="C3137" s="424"/>
      <c r="G3137" s="312"/>
      <c r="H3137" s="467"/>
      <c r="I3137" s="467"/>
      <c r="J3137" s="469"/>
      <c r="K3137" s="312"/>
      <c r="L3137" s="312"/>
      <c r="M3137" s="312"/>
      <c r="N3137" s="467"/>
      <c r="O3137" s="467"/>
      <c r="P3137" s="467"/>
      <c r="AL3137" s="436"/>
      <c r="AM3137" s="436"/>
      <c r="AQ3137" s="436"/>
      <c r="AR3137" s="436"/>
      <c r="AS3137" s="436"/>
      <c r="AT3137" s="436"/>
      <c r="AU3137" s="436"/>
      <c r="AV3137" s="436"/>
      <c r="AW3137" s="436"/>
      <c r="AX3137" s="436"/>
      <c r="AY3137" s="436"/>
      <c r="AZ3137" s="475"/>
      <c r="BA3137" s="475"/>
      <c r="BF3137" s="1119"/>
      <c r="BG3137" s="1119"/>
      <c r="BH3137" s="1119"/>
    </row>
    <row r="3138" spans="1:60" ht="15.75" customHeight="1">
      <c r="A3138" s="1076"/>
      <c r="B3138" s="1080"/>
      <c r="C3138" s="424"/>
      <c r="G3138" s="312"/>
      <c r="H3138" s="467"/>
      <c r="I3138" s="467"/>
      <c r="J3138" s="469"/>
      <c r="K3138" s="312"/>
      <c r="L3138" s="312"/>
      <c r="M3138" s="312"/>
      <c r="N3138" s="467"/>
      <c r="O3138" s="467"/>
      <c r="P3138" s="467"/>
      <c r="AL3138" s="436"/>
      <c r="AM3138" s="436"/>
      <c r="AQ3138" s="436"/>
      <c r="AR3138" s="436"/>
      <c r="AS3138" s="436"/>
      <c r="AT3138" s="436"/>
      <c r="AU3138" s="436"/>
      <c r="AV3138" s="436"/>
      <c r="AW3138" s="436"/>
      <c r="AX3138" s="436"/>
      <c r="AY3138" s="436"/>
      <c r="AZ3138" s="475"/>
      <c r="BA3138" s="475"/>
      <c r="BF3138" s="1119"/>
      <c r="BG3138" s="1119"/>
      <c r="BH3138" s="1119"/>
    </row>
    <row r="3139" spans="1:60" ht="15.75" customHeight="1">
      <c r="A3139" s="1076"/>
      <c r="B3139" s="1080"/>
      <c r="C3139" s="424"/>
      <c r="G3139" s="312"/>
      <c r="H3139" s="467"/>
      <c r="I3139" s="467"/>
      <c r="J3139" s="469"/>
      <c r="K3139" s="312"/>
      <c r="L3139" s="312"/>
      <c r="M3139" s="312"/>
      <c r="N3139" s="467"/>
      <c r="O3139" s="467"/>
      <c r="P3139" s="467"/>
      <c r="AL3139" s="436"/>
      <c r="AM3139" s="436"/>
      <c r="AQ3139" s="436"/>
      <c r="AR3139" s="436"/>
      <c r="AS3139" s="436"/>
      <c r="AT3139" s="436"/>
      <c r="AU3139" s="436"/>
      <c r="AV3139" s="436"/>
      <c r="AW3139" s="436"/>
      <c r="AX3139" s="436"/>
      <c r="AY3139" s="436"/>
      <c r="AZ3139" s="475"/>
      <c r="BA3139" s="475"/>
      <c r="BF3139" s="1119"/>
      <c r="BG3139" s="1119"/>
      <c r="BH3139" s="1119"/>
    </row>
    <row r="3140" spans="1:60" ht="15.75" customHeight="1">
      <c r="A3140" s="1076"/>
      <c r="B3140" s="1080"/>
      <c r="C3140" s="424"/>
      <c r="G3140" s="312"/>
      <c r="H3140" s="467"/>
      <c r="I3140" s="467"/>
      <c r="J3140" s="469"/>
      <c r="K3140" s="312"/>
      <c r="L3140" s="312"/>
      <c r="M3140" s="312"/>
      <c r="N3140" s="467"/>
      <c r="O3140" s="467"/>
      <c r="P3140" s="467"/>
      <c r="AL3140" s="436"/>
      <c r="AM3140" s="436"/>
      <c r="AQ3140" s="436"/>
      <c r="AR3140" s="436"/>
      <c r="AS3140" s="436"/>
      <c r="AT3140" s="436"/>
      <c r="AU3140" s="436"/>
      <c r="AV3140" s="436"/>
      <c r="AW3140" s="436"/>
      <c r="AX3140" s="436"/>
      <c r="AY3140" s="436"/>
      <c r="AZ3140" s="475"/>
      <c r="BA3140" s="475"/>
      <c r="BF3140" s="1119"/>
      <c r="BG3140" s="1119"/>
      <c r="BH3140" s="1119"/>
    </row>
    <row r="3141" spans="1:60" ht="15.75" customHeight="1">
      <c r="A3141" s="1076"/>
      <c r="B3141" s="1080"/>
      <c r="C3141" s="424"/>
      <c r="G3141" s="312"/>
      <c r="H3141" s="467"/>
      <c r="I3141" s="467"/>
      <c r="J3141" s="469"/>
      <c r="K3141" s="312"/>
      <c r="L3141" s="312"/>
      <c r="M3141" s="312"/>
      <c r="N3141" s="467"/>
      <c r="O3141" s="467"/>
      <c r="P3141" s="467"/>
      <c r="AL3141" s="436"/>
      <c r="AM3141" s="436"/>
      <c r="AQ3141" s="436"/>
      <c r="AR3141" s="436"/>
      <c r="AS3141" s="436"/>
      <c r="AT3141" s="436"/>
      <c r="AU3141" s="436"/>
      <c r="AV3141" s="436"/>
      <c r="AW3141" s="436"/>
      <c r="AX3141" s="436"/>
      <c r="AY3141" s="436"/>
      <c r="AZ3141" s="475"/>
      <c r="BA3141" s="475"/>
      <c r="BF3141" s="1119"/>
      <c r="BG3141" s="1119"/>
      <c r="BH3141" s="1119"/>
    </row>
    <row r="3142" spans="1:60" ht="15.75" customHeight="1">
      <c r="A3142" s="1076"/>
      <c r="B3142" s="1080"/>
      <c r="C3142" s="424"/>
      <c r="G3142" s="312"/>
      <c r="H3142" s="467"/>
      <c r="I3142" s="467"/>
      <c r="J3142" s="469"/>
      <c r="K3142" s="312"/>
      <c r="L3142" s="312"/>
      <c r="M3142" s="312"/>
      <c r="N3142" s="467"/>
      <c r="O3142" s="467"/>
      <c r="P3142" s="467"/>
      <c r="AL3142" s="436"/>
      <c r="AM3142" s="436"/>
      <c r="AQ3142" s="436"/>
      <c r="AR3142" s="436"/>
      <c r="AS3142" s="436"/>
      <c r="AT3142" s="436"/>
      <c r="AU3142" s="436"/>
      <c r="AV3142" s="436"/>
      <c r="AW3142" s="436"/>
      <c r="AX3142" s="436"/>
      <c r="AY3142" s="436"/>
      <c r="AZ3142" s="475"/>
      <c r="BA3142" s="475"/>
      <c r="BF3142" s="1119"/>
      <c r="BG3142" s="1119"/>
      <c r="BH3142" s="1119"/>
    </row>
    <row r="3143" spans="1:60" ht="15.75" customHeight="1">
      <c r="A3143" s="1076"/>
      <c r="B3143" s="1080"/>
      <c r="C3143" s="424"/>
      <c r="G3143" s="312"/>
      <c r="H3143" s="467"/>
      <c r="I3143" s="467"/>
      <c r="J3143" s="469"/>
      <c r="K3143" s="312"/>
      <c r="L3143" s="312"/>
      <c r="M3143" s="312"/>
      <c r="N3143" s="467"/>
      <c r="O3143" s="467"/>
      <c r="P3143" s="467"/>
      <c r="AL3143" s="436"/>
      <c r="AM3143" s="436"/>
      <c r="AQ3143" s="436"/>
      <c r="AR3143" s="436"/>
      <c r="AS3143" s="436"/>
      <c r="AT3143" s="436"/>
      <c r="AU3143" s="436"/>
      <c r="AV3143" s="436"/>
      <c r="AW3143" s="436"/>
      <c r="AX3143" s="436"/>
      <c r="AY3143" s="436"/>
      <c r="AZ3143" s="475"/>
      <c r="BA3143" s="475"/>
      <c r="BF3143" s="1119"/>
      <c r="BG3143" s="1119"/>
      <c r="BH3143" s="1119"/>
    </row>
    <row r="3144" spans="1:60" ht="15.75" customHeight="1">
      <c r="A3144" s="1076"/>
      <c r="B3144" s="1080"/>
      <c r="C3144" s="424"/>
      <c r="G3144" s="312"/>
      <c r="H3144" s="467"/>
      <c r="I3144" s="467"/>
      <c r="J3144" s="469"/>
      <c r="K3144" s="312"/>
      <c r="L3144" s="312"/>
      <c r="M3144" s="312"/>
      <c r="N3144" s="467"/>
      <c r="O3144" s="467"/>
      <c r="P3144" s="467"/>
      <c r="AL3144" s="436"/>
      <c r="AM3144" s="436"/>
      <c r="AQ3144" s="436"/>
      <c r="AR3144" s="436"/>
      <c r="AS3144" s="436"/>
      <c r="AT3144" s="436"/>
      <c r="AU3144" s="436"/>
      <c r="AV3144" s="436"/>
      <c r="AW3144" s="436"/>
      <c r="AX3144" s="436"/>
      <c r="AY3144" s="436"/>
      <c r="AZ3144" s="475"/>
      <c r="BA3144" s="475"/>
      <c r="BF3144" s="1119"/>
      <c r="BG3144" s="1119"/>
      <c r="BH3144" s="1119"/>
    </row>
    <row r="3145" spans="1:60" ht="15.75" customHeight="1">
      <c r="A3145" s="1076"/>
      <c r="B3145" s="1080"/>
      <c r="C3145" s="424"/>
      <c r="G3145" s="312"/>
      <c r="H3145" s="467"/>
      <c r="I3145" s="467"/>
      <c r="J3145" s="469"/>
      <c r="K3145" s="312"/>
      <c r="L3145" s="312"/>
      <c r="M3145" s="312"/>
      <c r="N3145" s="467"/>
      <c r="O3145" s="467"/>
      <c r="P3145" s="467"/>
      <c r="AL3145" s="436"/>
      <c r="AM3145" s="436"/>
      <c r="AQ3145" s="436"/>
      <c r="AR3145" s="436"/>
      <c r="AS3145" s="436"/>
      <c r="AT3145" s="436"/>
      <c r="AU3145" s="436"/>
      <c r="AV3145" s="436"/>
      <c r="AW3145" s="436"/>
      <c r="AX3145" s="436"/>
      <c r="AY3145" s="436"/>
      <c r="AZ3145" s="475"/>
      <c r="BA3145" s="475"/>
      <c r="BF3145" s="1119"/>
      <c r="BG3145" s="1119"/>
      <c r="BH3145" s="1119"/>
    </row>
    <row r="3146" spans="1:60" ht="15.75" customHeight="1">
      <c r="A3146" s="1076"/>
      <c r="B3146" s="1080"/>
      <c r="C3146" s="424"/>
      <c r="G3146" s="312"/>
      <c r="H3146" s="467"/>
      <c r="I3146" s="467"/>
      <c r="J3146" s="469"/>
      <c r="K3146" s="312"/>
      <c r="L3146" s="312"/>
      <c r="M3146" s="312"/>
      <c r="N3146" s="467"/>
      <c r="O3146" s="467"/>
      <c r="P3146" s="467"/>
      <c r="AL3146" s="436"/>
      <c r="AM3146" s="436"/>
      <c r="AQ3146" s="436"/>
      <c r="AR3146" s="436"/>
      <c r="AS3146" s="436"/>
      <c r="AT3146" s="436"/>
      <c r="AU3146" s="436"/>
      <c r="AV3146" s="436"/>
      <c r="AW3146" s="436"/>
      <c r="AX3146" s="436"/>
      <c r="AY3146" s="436"/>
      <c r="AZ3146" s="475"/>
      <c r="BA3146" s="475"/>
      <c r="BF3146" s="1119"/>
      <c r="BG3146" s="1119"/>
      <c r="BH3146" s="1119"/>
    </row>
    <row r="3147" spans="1:60" ht="15.75" customHeight="1">
      <c r="A3147" s="1076"/>
      <c r="B3147" s="1080"/>
      <c r="C3147" s="424"/>
      <c r="G3147" s="312"/>
      <c r="H3147" s="467"/>
      <c r="I3147" s="467"/>
      <c r="J3147" s="469"/>
      <c r="K3147" s="312"/>
      <c r="L3147" s="312"/>
      <c r="M3147" s="312"/>
      <c r="N3147" s="467"/>
      <c r="O3147" s="467"/>
      <c r="P3147" s="467"/>
      <c r="AL3147" s="436"/>
      <c r="AM3147" s="436"/>
      <c r="AQ3147" s="436"/>
      <c r="AR3147" s="436"/>
      <c r="AS3147" s="436"/>
      <c r="AT3147" s="436"/>
      <c r="AU3147" s="436"/>
      <c r="AV3147" s="436"/>
      <c r="AW3147" s="436"/>
      <c r="AX3147" s="436"/>
      <c r="AY3147" s="436"/>
      <c r="AZ3147" s="475"/>
      <c r="BA3147" s="475"/>
      <c r="BF3147" s="1119"/>
      <c r="BG3147" s="1119"/>
      <c r="BH3147" s="1119"/>
    </row>
    <row r="3148" spans="1:60" ht="15.75" customHeight="1">
      <c r="A3148" s="1076"/>
      <c r="B3148" s="1080"/>
      <c r="C3148" s="424"/>
      <c r="G3148" s="312"/>
      <c r="H3148" s="467"/>
      <c r="I3148" s="467"/>
      <c r="J3148" s="469"/>
      <c r="K3148" s="312"/>
      <c r="L3148" s="312"/>
      <c r="M3148" s="312"/>
      <c r="N3148" s="467"/>
      <c r="O3148" s="467"/>
      <c r="P3148" s="467"/>
      <c r="AL3148" s="436"/>
      <c r="AM3148" s="436"/>
      <c r="AQ3148" s="436"/>
      <c r="AR3148" s="436"/>
      <c r="AS3148" s="436"/>
      <c r="AT3148" s="436"/>
      <c r="AU3148" s="436"/>
      <c r="AV3148" s="436"/>
      <c r="AW3148" s="436"/>
      <c r="AX3148" s="436"/>
      <c r="AY3148" s="436"/>
      <c r="AZ3148" s="475"/>
      <c r="BA3148" s="475"/>
      <c r="BF3148" s="1119"/>
      <c r="BG3148" s="1119"/>
      <c r="BH3148" s="1119"/>
    </row>
    <row r="3149" spans="1:60" ht="15.75" customHeight="1">
      <c r="A3149" s="1076"/>
      <c r="B3149" s="1080"/>
      <c r="C3149" s="424"/>
      <c r="G3149" s="312"/>
      <c r="H3149" s="467"/>
      <c r="I3149" s="467"/>
      <c r="J3149" s="469"/>
      <c r="K3149" s="312"/>
      <c r="L3149" s="312"/>
      <c r="M3149" s="312"/>
      <c r="N3149" s="467"/>
      <c r="O3149" s="467"/>
      <c r="P3149" s="467"/>
      <c r="AL3149" s="436"/>
      <c r="AM3149" s="436"/>
      <c r="AQ3149" s="436"/>
      <c r="AR3149" s="436"/>
      <c r="AS3149" s="436"/>
      <c r="AT3149" s="436"/>
      <c r="AU3149" s="436"/>
      <c r="AV3149" s="436"/>
      <c r="AW3149" s="436"/>
      <c r="AX3149" s="436"/>
      <c r="AY3149" s="436"/>
      <c r="AZ3149" s="475"/>
      <c r="BA3149" s="475"/>
      <c r="BF3149" s="1119"/>
      <c r="BG3149" s="1119"/>
      <c r="BH3149" s="1119"/>
    </row>
    <row r="3150" spans="1:60" ht="15.75" customHeight="1">
      <c r="A3150" s="1076"/>
      <c r="B3150" s="1080"/>
      <c r="C3150" s="424"/>
      <c r="G3150" s="312"/>
      <c r="H3150" s="467"/>
      <c r="I3150" s="467"/>
      <c r="J3150" s="469"/>
      <c r="K3150" s="312"/>
      <c r="L3150" s="312"/>
      <c r="M3150" s="312"/>
      <c r="N3150" s="467"/>
      <c r="O3150" s="467"/>
      <c r="P3150" s="467"/>
      <c r="AL3150" s="436"/>
      <c r="AM3150" s="436"/>
      <c r="AQ3150" s="436"/>
      <c r="AR3150" s="436"/>
      <c r="AS3150" s="436"/>
      <c r="AT3150" s="436"/>
      <c r="AU3150" s="436"/>
      <c r="AV3150" s="436"/>
      <c r="AW3150" s="436"/>
      <c r="AX3150" s="436"/>
      <c r="AY3150" s="436"/>
      <c r="AZ3150" s="475"/>
      <c r="BA3150" s="475"/>
      <c r="BF3150" s="1119"/>
      <c r="BG3150" s="1119"/>
      <c r="BH3150" s="1119"/>
    </row>
    <row r="3151" spans="1:60" ht="15.75" customHeight="1">
      <c r="A3151" s="1076"/>
      <c r="B3151" s="1080"/>
      <c r="C3151" s="424"/>
      <c r="G3151" s="312"/>
      <c r="H3151" s="467"/>
      <c r="I3151" s="467"/>
      <c r="J3151" s="469"/>
      <c r="K3151" s="312"/>
      <c r="L3151" s="312"/>
      <c r="M3151" s="312"/>
      <c r="N3151" s="467"/>
      <c r="O3151" s="467"/>
      <c r="P3151" s="467"/>
      <c r="AL3151" s="436"/>
      <c r="AM3151" s="436"/>
      <c r="AQ3151" s="436"/>
      <c r="AR3151" s="436"/>
      <c r="AS3151" s="436"/>
      <c r="AT3151" s="436"/>
      <c r="AU3151" s="436"/>
      <c r="AV3151" s="436"/>
      <c r="AW3151" s="436"/>
      <c r="AX3151" s="436"/>
      <c r="AY3151" s="436"/>
      <c r="AZ3151" s="475"/>
      <c r="BA3151" s="475"/>
      <c r="BF3151" s="1119"/>
      <c r="BG3151" s="1119"/>
      <c r="BH3151" s="1119"/>
    </row>
    <row r="3152" spans="1:60" ht="15.75" customHeight="1">
      <c r="A3152" s="1076"/>
      <c r="B3152" s="1080"/>
      <c r="C3152" s="424"/>
      <c r="G3152" s="312"/>
      <c r="H3152" s="467"/>
      <c r="I3152" s="467"/>
      <c r="J3152" s="469"/>
      <c r="K3152" s="312"/>
      <c r="L3152" s="312"/>
      <c r="M3152" s="312"/>
      <c r="N3152" s="467"/>
      <c r="O3152" s="467"/>
      <c r="P3152" s="467"/>
      <c r="AL3152" s="436"/>
      <c r="AM3152" s="436"/>
      <c r="AQ3152" s="436"/>
      <c r="AR3152" s="436"/>
      <c r="AS3152" s="436"/>
      <c r="AT3152" s="436"/>
      <c r="AU3152" s="436"/>
      <c r="AV3152" s="436"/>
      <c r="AW3152" s="436"/>
      <c r="AX3152" s="436"/>
      <c r="AY3152" s="436"/>
      <c r="AZ3152" s="475"/>
      <c r="BA3152" s="475"/>
      <c r="BF3152" s="1119"/>
      <c r="BG3152" s="1119"/>
      <c r="BH3152" s="1119"/>
    </row>
    <row r="3153" spans="1:60" ht="15.75" customHeight="1">
      <c r="A3153" s="1076"/>
      <c r="B3153" s="1080"/>
      <c r="C3153" s="424"/>
      <c r="G3153" s="312"/>
      <c r="H3153" s="467"/>
      <c r="I3153" s="467"/>
      <c r="J3153" s="469"/>
      <c r="K3153" s="312"/>
      <c r="L3153" s="312"/>
      <c r="M3153" s="312"/>
      <c r="N3153" s="467"/>
      <c r="O3153" s="467"/>
      <c r="P3153" s="467"/>
      <c r="AL3153" s="436"/>
      <c r="AM3153" s="436"/>
      <c r="AQ3153" s="436"/>
      <c r="AR3153" s="436"/>
      <c r="AS3153" s="436"/>
      <c r="AT3153" s="436"/>
      <c r="AU3153" s="436"/>
      <c r="AV3153" s="436"/>
      <c r="AW3153" s="436"/>
      <c r="AX3153" s="436"/>
      <c r="AY3153" s="436"/>
      <c r="AZ3153" s="475"/>
      <c r="BA3153" s="475"/>
      <c r="BF3153" s="1119"/>
      <c r="BG3153" s="1119"/>
      <c r="BH3153" s="1119"/>
    </row>
    <row r="3154" spans="1:60" ht="15.75" customHeight="1">
      <c r="A3154" s="1076"/>
      <c r="B3154" s="1080"/>
      <c r="C3154" s="424"/>
      <c r="G3154" s="312"/>
      <c r="H3154" s="467"/>
      <c r="I3154" s="467"/>
      <c r="J3154" s="469"/>
      <c r="K3154" s="312"/>
      <c r="L3154" s="312"/>
      <c r="M3154" s="312"/>
      <c r="N3154" s="467"/>
      <c r="O3154" s="467"/>
      <c r="P3154" s="467"/>
      <c r="AL3154" s="436"/>
      <c r="AM3154" s="436"/>
      <c r="AQ3154" s="436"/>
      <c r="AR3154" s="436"/>
      <c r="AS3154" s="436"/>
      <c r="AT3154" s="436"/>
      <c r="AU3154" s="436"/>
      <c r="AV3154" s="436"/>
      <c r="AW3154" s="436"/>
      <c r="AX3154" s="436"/>
      <c r="AY3154" s="436"/>
      <c r="AZ3154" s="475"/>
      <c r="BA3154" s="475"/>
      <c r="BF3154" s="1119"/>
      <c r="BG3154" s="1119"/>
      <c r="BH3154" s="1119"/>
    </row>
    <row r="3155" spans="1:60" ht="15.75" customHeight="1">
      <c r="A3155" s="1076"/>
      <c r="B3155" s="1080"/>
      <c r="C3155" s="424"/>
      <c r="G3155" s="312"/>
      <c r="H3155" s="467"/>
      <c r="I3155" s="467"/>
      <c r="J3155" s="469"/>
      <c r="K3155" s="312"/>
      <c r="L3155" s="312"/>
      <c r="M3155" s="312"/>
      <c r="N3155" s="467"/>
      <c r="O3155" s="467"/>
      <c r="P3155" s="467"/>
      <c r="AL3155" s="436"/>
      <c r="AM3155" s="436"/>
      <c r="AQ3155" s="436"/>
      <c r="AR3155" s="436"/>
      <c r="AS3155" s="436"/>
      <c r="AT3155" s="436"/>
      <c r="AU3155" s="436"/>
      <c r="AV3155" s="436"/>
      <c r="AW3155" s="436"/>
      <c r="AX3155" s="436"/>
      <c r="AY3155" s="436"/>
      <c r="AZ3155" s="475"/>
      <c r="BA3155" s="475"/>
      <c r="BF3155" s="1119"/>
      <c r="BG3155" s="1119"/>
      <c r="BH3155" s="1119"/>
    </row>
    <row r="3156" spans="1:60" ht="15.75" customHeight="1">
      <c r="A3156" s="1076"/>
      <c r="B3156" s="1080"/>
      <c r="C3156" s="424"/>
      <c r="G3156" s="312"/>
      <c r="H3156" s="467"/>
      <c r="I3156" s="467"/>
      <c r="J3156" s="469"/>
      <c r="K3156" s="312"/>
      <c r="L3156" s="312"/>
      <c r="M3156" s="312"/>
      <c r="N3156" s="467"/>
      <c r="O3156" s="467"/>
      <c r="P3156" s="467"/>
      <c r="AL3156" s="436"/>
      <c r="AM3156" s="436"/>
      <c r="AQ3156" s="436"/>
      <c r="AR3156" s="436"/>
      <c r="AS3156" s="436"/>
      <c r="AT3156" s="436"/>
      <c r="AU3156" s="436"/>
      <c r="AV3156" s="436"/>
      <c r="AW3156" s="436"/>
      <c r="AX3156" s="436"/>
      <c r="AY3156" s="436"/>
      <c r="AZ3156" s="475"/>
      <c r="BA3156" s="475"/>
      <c r="BF3156" s="1119"/>
      <c r="BG3156" s="1119"/>
      <c r="BH3156" s="1119"/>
    </row>
    <row r="3157" spans="1:60" ht="15.75" customHeight="1">
      <c r="A3157" s="1076"/>
      <c r="B3157" s="1080"/>
      <c r="C3157" s="424"/>
      <c r="G3157" s="312"/>
      <c r="H3157" s="467"/>
      <c r="I3157" s="467"/>
      <c r="J3157" s="469"/>
      <c r="K3157" s="312"/>
      <c r="L3157" s="312"/>
      <c r="M3157" s="312"/>
      <c r="N3157" s="467"/>
      <c r="O3157" s="467"/>
      <c r="P3157" s="467"/>
      <c r="AL3157" s="436"/>
      <c r="AM3157" s="436"/>
      <c r="AQ3157" s="436"/>
      <c r="AR3157" s="436"/>
      <c r="AS3157" s="436"/>
      <c r="AT3157" s="436"/>
      <c r="AU3157" s="436"/>
      <c r="AV3157" s="436"/>
      <c r="AW3157" s="436"/>
      <c r="AX3157" s="436"/>
      <c r="AY3157" s="436"/>
      <c r="AZ3157" s="475"/>
      <c r="BA3157" s="475"/>
      <c r="BF3157" s="1119"/>
      <c r="BG3157" s="1119"/>
      <c r="BH3157" s="1119"/>
    </row>
    <row r="3158" spans="1:60" ht="15.75" customHeight="1">
      <c r="A3158" s="1076"/>
      <c r="B3158" s="1080"/>
      <c r="C3158" s="424"/>
      <c r="G3158" s="312"/>
      <c r="H3158" s="467"/>
      <c r="I3158" s="467"/>
      <c r="J3158" s="469"/>
      <c r="K3158" s="312"/>
      <c r="L3158" s="312"/>
      <c r="M3158" s="312"/>
      <c r="N3158" s="467"/>
      <c r="O3158" s="467"/>
      <c r="P3158" s="467"/>
      <c r="AL3158" s="436"/>
      <c r="AM3158" s="436"/>
      <c r="AQ3158" s="436"/>
      <c r="AR3158" s="436"/>
      <c r="AS3158" s="436"/>
      <c r="AT3158" s="436"/>
      <c r="AU3158" s="436"/>
      <c r="AV3158" s="436"/>
      <c r="AW3158" s="436"/>
      <c r="AX3158" s="436"/>
      <c r="AY3158" s="436"/>
      <c r="AZ3158" s="475"/>
      <c r="BA3158" s="475"/>
      <c r="BF3158" s="1119"/>
      <c r="BG3158" s="1119"/>
      <c r="BH3158" s="1119"/>
    </row>
    <row r="3159" spans="1:60" ht="15.75" customHeight="1">
      <c r="A3159" s="1076"/>
      <c r="B3159" s="1080"/>
      <c r="C3159" s="424"/>
      <c r="G3159" s="312"/>
      <c r="H3159" s="467"/>
      <c r="I3159" s="467"/>
      <c r="J3159" s="469"/>
      <c r="K3159" s="312"/>
      <c r="L3159" s="312"/>
      <c r="M3159" s="312"/>
      <c r="N3159" s="467"/>
      <c r="O3159" s="467"/>
      <c r="P3159" s="467"/>
      <c r="AL3159" s="436"/>
      <c r="AM3159" s="436"/>
      <c r="AQ3159" s="436"/>
      <c r="AR3159" s="436"/>
      <c r="AS3159" s="436"/>
      <c r="AT3159" s="436"/>
      <c r="AU3159" s="436"/>
      <c r="AV3159" s="436"/>
      <c r="AW3159" s="436"/>
      <c r="AX3159" s="436"/>
      <c r="AY3159" s="436"/>
      <c r="AZ3159" s="475"/>
      <c r="BA3159" s="475"/>
      <c r="BF3159" s="1119"/>
      <c r="BG3159" s="1119"/>
      <c r="BH3159" s="1119"/>
    </row>
    <row r="3160" spans="1:60" ht="15.75" customHeight="1">
      <c r="A3160" s="1076"/>
      <c r="B3160" s="1080"/>
      <c r="C3160" s="424"/>
      <c r="G3160" s="312"/>
      <c r="H3160" s="467"/>
      <c r="I3160" s="467"/>
      <c r="J3160" s="469"/>
      <c r="K3160" s="312"/>
      <c r="L3160" s="312"/>
      <c r="M3160" s="312"/>
      <c r="N3160" s="467"/>
      <c r="O3160" s="467"/>
      <c r="P3160" s="467"/>
      <c r="AL3160" s="436"/>
      <c r="AM3160" s="436"/>
      <c r="AQ3160" s="436"/>
      <c r="AR3160" s="436"/>
      <c r="AS3160" s="436"/>
      <c r="AT3160" s="436"/>
      <c r="AU3160" s="436"/>
      <c r="AV3160" s="436"/>
      <c r="AW3160" s="436"/>
      <c r="AX3160" s="436"/>
      <c r="AY3160" s="436"/>
      <c r="AZ3160" s="475"/>
      <c r="BA3160" s="475"/>
      <c r="BF3160" s="1119"/>
      <c r="BG3160" s="1119"/>
      <c r="BH3160" s="1119"/>
    </row>
    <row r="3161" spans="1:60" ht="15.75" customHeight="1">
      <c r="A3161" s="1076"/>
      <c r="B3161" s="1080"/>
      <c r="C3161" s="424"/>
      <c r="G3161" s="312"/>
      <c r="H3161" s="467"/>
      <c r="I3161" s="467"/>
      <c r="J3161" s="469"/>
      <c r="K3161" s="312"/>
      <c r="L3161" s="312"/>
      <c r="M3161" s="312"/>
      <c r="N3161" s="467"/>
      <c r="O3161" s="467"/>
      <c r="P3161" s="467"/>
      <c r="AL3161" s="436"/>
      <c r="AM3161" s="436"/>
      <c r="AQ3161" s="436"/>
      <c r="AR3161" s="436"/>
      <c r="AS3161" s="436"/>
      <c r="AT3161" s="436"/>
      <c r="AU3161" s="436"/>
      <c r="AV3161" s="436"/>
      <c r="AW3161" s="436"/>
      <c r="AX3161" s="436"/>
      <c r="AY3161" s="436"/>
      <c r="AZ3161" s="475"/>
      <c r="BA3161" s="475"/>
      <c r="BF3161" s="1119"/>
      <c r="BG3161" s="1119"/>
      <c r="BH3161" s="1119"/>
    </row>
    <row r="3162" spans="1:60" ht="15.75" customHeight="1">
      <c r="A3162" s="1076"/>
      <c r="B3162" s="1080"/>
      <c r="C3162" s="424"/>
      <c r="G3162" s="312"/>
      <c r="H3162" s="467"/>
      <c r="I3162" s="467"/>
      <c r="J3162" s="469"/>
      <c r="K3162" s="312"/>
      <c r="L3162" s="312"/>
      <c r="M3162" s="312"/>
      <c r="N3162" s="467"/>
      <c r="O3162" s="467"/>
      <c r="P3162" s="467"/>
      <c r="AL3162" s="436"/>
      <c r="AM3162" s="436"/>
      <c r="AQ3162" s="436"/>
      <c r="AR3162" s="436"/>
      <c r="AS3162" s="436"/>
      <c r="AT3162" s="436"/>
      <c r="AU3162" s="436"/>
      <c r="AV3162" s="436"/>
      <c r="AW3162" s="436"/>
      <c r="AX3162" s="436"/>
      <c r="AY3162" s="436"/>
      <c r="AZ3162" s="475"/>
      <c r="BA3162" s="475"/>
      <c r="BF3162" s="1119"/>
      <c r="BG3162" s="1119"/>
      <c r="BH3162" s="1119"/>
    </row>
    <row r="3163" spans="1:60" ht="15.75" customHeight="1">
      <c r="A3163" s="1076"/>
      <c r="B3163" s="1080"/>
      <c r="C3163" s="424"/>
      <c r="G3163" s="312"/>
      <c r="H3163" s="467"/>
      <c r="I3163" s="467"/>
      <c r="J3163" s="469"/>
      <c r="K3163" s="312"/>
      <c r="L3163" s="312"/>
      <c r="M3163" s="312"/>
      <c r="N3163" s="467"/>
      <c r="O3163" s="467"/>
      <c r="P3163" s="467"/>
      <c r="AL3163" s="436"/>
      <c r="AM3163" s="436"/>
      <c r="AQ3163" s="436"/>
      <c r="AR3163" s="436"/>
      <c r="AS3163" s="436"/>
      <c r="AT3163" s="436"/>
      <c r="AU3163" s="436"/>
      <c r="AV3163" s="436"/>
      <c r="AW3163" s="436"/>
      <c r="AX3163" s="436"/>
      <c r="AY3163" s="436"/>
      <c r="AZ3163" s="475"/>
      <c r="BA3163" s="475"/>
      <c r="BF3163" s="1119"/>
      <c r="BG3163" s="1119"/>
      <c r="BH3163" s="1119"/>
    </row>
    <row r="3164" spans="1:60" ht="15.75" customHeight="1">
      <c r="A3164" s="1076"/>
      <c r="B3164" s="1080"/>
      <c r="C3164" s="424"/>
      <c r="G3164" s="312"/>
      <c r="H3164" s="467"/>
      <c r="I3164" s="467"/>
      <c r="J3164" s="469"/>
      <c r="K3164" s="312"/>
      <c r="L3164" s="312"/>
      <c r="M3164" s="312"/>
      <c r="N3164" s="467"/>
      <c r="O3164" s="467"/>
      <c r="P3164" s="467"/>
      <c r="AL3164" s="436"/>
      <c r="AM3164" s="436"/>
      <c r="AQ3164" s="436"/>
      <c r="AR3164" s="436"/>
      <c r="AS3164" s="436"/>
      <c r="AT3164" s="436"/>
      <c r="AU3164" s="436"/>
      <c r="AV3164" s="436"/>
      <c r="AW3164" s="436"/>
      <c r="AX3164" s="436"/>
      <c r="AY3164" s="436"/>
      <c r="AZ3164" s="475"/>
      <c r="BA3164" s="475"/>
      <c r="BF3164" s="1119"/>
      <c r="BG3164" s="1119"/>
      <c r="BH3164" s="1119"/>
    </row>
    <row r="3165" spans="1:60" ht="15.75" customHeight="1">
      <c r="A3165" s="1076"/>
      <c r="B3165" s="1080"/>
      <c r="C3165" s="424"/>
      <c r="G3165" s="312"/>
      <c r="H3165" s="467"/>
      <c r="I3165" s="467"/>
      <c r="J3165" s="469"/>
      <c r="K3165" s="312"/>
      <c r="L3165" s="312"/>
      <c r="M3165" s="312"/>
      <c r="N3165" s="467"/>
      <c r="O3165" s="467"/>
      <c r="P3165" s="467"/>
      <c r="AL3165" s="436"/>
      <c r="AM3165" s="436"/>
      <c r="AQ3165" s="436"/>
      <c r="AR3165" s="436"/>
      <c r="AS3165" s="436"/>
      <c r="AT3165" s="436"/>
      <c r="AU3165" s="436"/>
      <c r="AV3165" s="436"/>
      <c r="AW3165" s="436"/>
      <c r="AX3165" s="436"/>
      <c r="AY3165" s="436"/>
      <c r="AZ3165" s="475"/>
      <c r="BA3165" s="475"/>
      <c r="BF3165" s="1119"/>
      <c r="BG3165" s="1119"/>
      <c r="BH3165" s="1119"/>
    </row>
    <row r="3166" spans="1:60" ht="15.75" customHeight="1">
      <c r="A3166" s="1076"/>
      <c r="B3166" s="1080"/>
      <c r="C3166" s="424"/>
      <c r="G3166" s="312"/>
      <c r="H3166" s="467"/>
      <c r="I3166" s="467"/>
      <c r="J3166" s="469"/>
      <c r="K3166" s="312"/>
      <c r="L3166" s="312"/>
      <c r="M3166" s="312"/>
      <c r="N3166" s="467"/>
      <c r="O3166" s="467"/>
      <c r="P3166" s="467"/>
      <c r="AL3166" s="436"/>
      <c r="AM3166" s="436"/>
      <c r="AQ3166" s="436"/>
      <c r="AR3166" s="436"/>
      <c r="AS3166" s="436"/>
      <c r="AT3166" s="436"/>
      <c r="AU3166" s="436"/>
      <c r="AV3166" s="436"/>
      <c r="AW3166" s="436"/>
      <c r="AX3166" s="436"/>
      <c r="AY3166" s="436"/>
      <c r="AZ3166" s="475"/>
      <c r="BA3166" s="475"/>
      <c r="BF3166" s="1119"/>
      <c r="BG3166" s="1119"/>
      <c r="BH3166" s="1119"/>
    </row>
    <row r="3167" spans="1:60" ht="15.75" customHeight="1">
      <c r="A3167" s="1076"/>
      <c r="B3167" s="1080"/>
      <c r="C3167" s="424"/>
      <c r="G3167" s="312"/>
      <c r="H3167" s="467"/>
      <c r="I3167" s="467"/>
      <c r="J3167" s="469"/>
      <c r="K3167" s="312"/>
      <c r="L3167" s="312"/>
      <c r="M3167" s="312"/>
      <c r="N3167" s="467"/>
      <c r="O3167" s="467"/>
      <c r="P3167" s="467"/>
      <c r="AL3167" s="436"/>
      <c r="AM3167" s="436"/>
      <c r="AQ3167" s="436"/>
      <c r="AR3167" s="436"/>
      <c r="AS3167" s="436"/>
      <c r="AT3167" s="436"/>
      <c r="AU3167" s="436"/>
      <c r="AV3167" s="436"/>
      <c r="AW3167" s="436"/>
      <c r="AX3167" s="436"/>
      <c r="AY3167" s="436"/>
      <c r="AZ3167" s="475"/>
      <c r="BA3167" s="475"/>
      <c r="BF3167" s="1119"/>
      <c r="BG3167" s="1119"/>
      <c r="BH3167" s="1119"/>
    </row>
    <row r="3168" spans="1:60" ht="15.75" customHeight="1">
      <c r="A3168" s="1076"/>
      <c r="B3168" s="1080"/>
      <c r="C3168" s="424"/>
      <c r="G3168" s="312"/>
      <c r="H3168" s="467"/>
      <c r="I3168" s="467"/>
      <c r="J3168" s="469"/>
      <c r="K3168" s="312"/>
      <c r="L3168" s="312"/>
      <c r="M3168" s="312"/>
      <c r="N3168" s="467"/>
      <c r="O3168" s="467"/>
      <c r="P3168" s="467"/>
      <c r="AL3168" s="436"/>
      <c r="AM3168" s="436"/>
      <c r="AQ3168" s="436"/>
      <c r="AR3168" s="436"/>
      <c r="AS3168" s="436"/>
      <c r="AT3168" s="436"/>
      <c r="AU3168" s="436"/>
      <c r="AV3168" s="436"/>
      <c r="AW3168" s="436"/>
      <c r="AX3168" s="436"/>
      <c r="AY3168" s="436"/>
      <c r="AZ3168" s="475"/>
      <c r="BA3168" s="475"/>
      <c r="BF3168" s="1119"/>
      <c r="BG3168" s="1119"/>
      <c r="BH3168" s="1119"/>
    </row>
    <row r="3169" spans="1:60" ht="15.75" customHeight="1">
      <c r="A3169" s="1076"/>
      <c r="B3169" s="1080"/>
      <c r="C3169" s="424"/>
      <c r="G3169" s="312"/>
      <c r="H3169" s="467"/>
      <c r="I3169" s="467"/>
      <c r="J3169" s="469"/>
      <c r="K3169" s="312"/>
      <c r="L3169" s="312"/>
      <c r="M3169" s="312"/>
      <c r="N3169" s="467"/>
      <c r="O3169" s="467"/>
      <c r="P3169" s="467"/>
      <c r="AL3169" s="436"/>
      <c r="AM3169" s="436"/>
      <c r="AQ3169" s="436"/>
      <c r="AR3169" s="436"/>
      <c r="AS3169" s="436"/>
      <c r="AT3169" s="436"/>
      <c r="AU3169" s="436"/>
      <c r="AV3169" s="436"/>
      <c r="AW3169" s="436"/>
      <c r="AX3169" s="436"/>
      <c r="AY3169" s="436"/>
      <c r="AZ3169" s="475"/>
      <c r="BA3169" s="475"/>
      <c r="BF3169" s="1119"/>
      <c r="BG3169" s="1119"/>
      <c r="BH3169" s="1119"/>
    </row>
    <row r="3170" spans="1:60" ht="15.75" customHeight="1">
      <c r="A3170" s="1076"/>
      <c r="B3170" s="1080"/>
      <c r="C3170" s="424"/>
      <c r="G3170" s="312"/>
      <c r="H3170" s="467"/>
      <c r="I3170" s="467"/>
      <c r="J3170" s="469"/>
      <c r="K3170" s="312"/>
      <c r="L3170" s="312"/>
      <c r="M3170" s="312"/>
      <c r="N3170" s="467"/>
      <c r="O3170" s="467"/>
      <c r="P3170" s="467"/>
      <c r="AL3170" s="436"/>
      <c r="AM3170" s="436"/>
      <c r="AQ3170" s="436"/>
      <c r="AR3170" s="436"/>
      <c r="AS3170" s="436"/>
      <c r="AT3170" s="436"/>
      <c r="AU3170" s="436"/>
      <c r="AV3170" s="436"/>
      <c r="AW3170" s="436"/>
      <c r="AX3170" s="436"/>
      <c r="AY3170" s="436"/>
      <c r="AZ3170" s="475"/>
      <c r="BA3170" s="475"/>
      <c r="BF3170" s="1119"/>
      <c r="BG3170" s="1119"/>
      <c r="BH3170" s="1119"/>
    </row>
    <row r="3171" spans="1:60" ht="15.75" customHeight="1">
      <c r="A3171" s="1076"/>
      <c r="B3171" s="1080"/>
      <c r="C3171" s="424"/>
      <c r="G3171" s="312"/>
      <c r="H3171" s="467"/>
      <c r="I3171" s="467"/>
      <c r="J3171" s="469"/>
      <c r="K3171" s="312"/>
      <c r="L3171" s="312"/>
      <c r="M3171" s="312"/>
      <c r="N3171" s="467"/>
      <c r="O3171" s="467"/>
      <c r="P3171" s="467"/>
      <c r="AL3171" s="436"/>
      <c r="AM3171" s="436"/>
      <c r="AQ3171" s="436"/>
      <c r="AR3171" s="436"/>
      <c r="AS3171" s="436"/>
      <c r="AT3171" s="436"/>
      <c r="AU3171" s="436"/>
      <c r="AV3171" s="436"/>
      <c r="AW3171" s="436"/>
      <c r="AX3171" s="436"/>
      <c r="AY3171" s="436"/>
      <c r="AZ3171" s="475"/>
      <c r="BA3171" s="475"/>
      <c r="BF3171" s="1119"/>
      <c r="BG3171" s="1119"/>
      <c r="BH3171" s="1119"/>
    </row>
    <row r="3172" spans="1:60" ht="15.75" customHeight="1">
      <c r="A3172" s="1076"/>
      <c r="B3172" s="1080"/>
      <c r="C3172" s="424"/>
      <c r="G3172" s="312"/>
      <c r="H3172" s="467"/>
      <c r="I3172" s="467"/>
      <c r="J3172" s="469"/>
      <c r="K3172" s="312"/>
      <c r="L3172" s="312"/>
      <c r="M3172" s="312"/>
      <c r="N3172" s="467"/>
      <c r="O3172" s="467"/>
      <c r="P3172" s="467"/>
      <c r="AL3172" s="436"/>
      <c r="AM3172" s="436"/>
      <c r="AQ3172" s="436"/>
      <c r="AR3172" s="436"/>
      <c r="AS3172" s="436"/>
      <c r="AT3172" s="436"/>
      <c r="AU3172" s="436"/>
      <c r="AV3172" s="436"/>
      <c r="AW3172" s="436"/>
      <c r="AX3172" s="436"/>
      <c r="AY3172" s="436"/>
      <c r="AZ3172" s="475"/>
      <c r="BA3172" s="475"/>
      <c r="BF3172" s="1119"/>
      <c r="BG3172" s="1119"/>
      <c r="BH3172" s="1119"/>
    </row>
    <row r="3173" spans="1:60" ht="15.75" customHeight="1">
      <c r="A3173" s="1076"/>
      <c r="B3173" s="1080"/>
      <c r="C3173" s="424"/>
      <c r="G3173" s="312"/>
      <c r="H3173" s="467"/>
      <c r="I3173" s="467"/>
      <c r="J3173" s="469"/>
      <c r="K3173" s="312"/>
      <c r="L3173" s="312"/>
      <c r="M3173" s="312"/>
      <c r="N3173" s="467"/>
      <c r="O3173" s="467"/>
      <c r="P3173" s="467"/>
      <c r="AL3173" s="436"/>
      <c r="AM3173" s="436"/>
      <c r="AQ3173" s="436"/>
      <c r="AR3173" s="436"/>
      <c r="AS3173" s="436"/>
      <c r="AT3173" s="436"/>
      <c r="AU3173" s="436"/>
      <c r="AV3173" s="436"/>
      <c r="AW3173" s="436"/>
      <c r="AX3173" s="436"/>
      <c r="AY3173" s="436"/>
      <c r="AZ3173" s="475"/>
      <c r="BA3173" s="475"/>
      <c r="BF3173" s="1119"/>
      <c r="BG3173" s="1119"/>
      <c r="BH3173" s="1119"/>
    </row>
    <row r="3174" spans="1:60" ht="15.75" customHeight="1">
      <c r="A3174" s="1076"/>
      <c r="B3174" s="1080"/>
      <c r="C3174" s="424"/>
      <c r="G3174" s="312"/>
      <c r="H3174" s="467"/>
      <c r="I3174" s="467"/>
      <c r="J3174" s="469"/>
      <c r="K3174" s="312"/>
      <c r="L3174" s="312"/>
      <c r="M3174" s="312"/>
      <c r="N3174" s="467"/>
      <c r="O3174" s="467"/>
      <c r="P3174" s="467"/>
      <c r="AL3174" s="436"/>
      <c r="AM3174" s="436"/>
      <c r="AQ3174" s="436"/>
      <c r="AR3174" s="436"/>
      <c r="AS3174" s="436"/>
      <c r="AT3174" s="436"/>
      <c r="AU3174" s="436"/>
      <c r="AV3174" s="436"/>
      <c r="AW3174" s="436"/>
      <c r="AX3174" s="436"/>
      <c r="AY3174" s="436"/>
      <c r="AZ3174" s="475"/>
      <c r="BA3174" s="475"/>
      <c r="BF3174" s="1119"/>
      <c r="BG3174" s="1119"/>
      <c r="BH3174" s="1119"/>
    </row>
    <row r="3175" spans="1:60" ht="15.75" customHeight="1">
      <c r="A3175" s="1076"/>
      <c r="B3175" s="1080"/>
      <c r="C3175" s="424"/>
      <c r="G3175" s="312"/>
      <c r="H3175" s="467"/>
      <c r="I3175" s="467"/>
      <c r="J3175" s="469"/>
      <c r="K3175" s="312"/>
      <c r="L3175" s="312"/>
      <c r="M3175" s="312"/>
      <c r="N3175" s="467"/>
      <c r="O3175" s="467"/>
      <c r="P3175" s="467"/>
      <c r="AL3175" s="436"/>
      <c r="AM3175" s="436"/>
      <c r="AQ3175" s="436"/>
      <c r="AR3175" s="436"/>
      <c r="AS3175" s="436"/>
      <c r="AT3175" s="436"/>
      <c r="AU3175" s="436"/>
      <c r="AV3175" s="436"/>
      <c r="AW3175" s="436"/>
      <c r="AX3175" s="436"/>
      <c r="AY3175" s="436"/>
      <c r="AZ3175" s="475"/>
      <c r="BA3175" s="475"/>
      <c r="BF3175" s="1119"/>
      <c r="BG3175" s="1119"/>
      <c r="BH3175" s="1119"/>
    </row>
    <row r="3176" spans="1:60" ht="15.75" customHeight="1">
      <c r="A3176" s="1076"/>
      <c r="B3176" s="1080"/>
      <c r="C3176" s="424"/>
      <c r="G3176" s="312"/>
      <c r="H3176" s="467"/>
      <c r="I3176" s="467"/>
      <c r="J3176" s="469"/>
      <c r="K3176" s="312"/>
      <c r="L3176" s="312"/>
      <c r="M3176" s="312"/>
      <c r="N3176" s="467"/>
      <c r="O3176" s="467"/>
      <c r="P3176" s="467"/>
      <c r="AL3176" s="436"/>
      <c r="AM3176" s="436"/>
      <c r="AQ3176" s="436"/>
      <c r="AR3176" s="436"/>
      <c r="AS3176" s="436"/>
      <c r="AT3176" s="436"/>
      <c r="AU3176" s="436"/>
      <c r="AV3176" s="436"/>
      <c r="AW3176" s="436"/>
      <c r="AX3176" s="436"/>
      <c r="AY3176" s="436"/>
      <c r="AZ3176" s="475"/>
      <c r="BA3176" s="475"/>
      <c r="BF3176" s="1119"/>
      <c r="BG3176" s="1119"/>
      <c r="BH3176" s="1119"/>
    </row>
    <row r="3177" spans="1:60" ht="15.75" customHeight="1">
      <c r="A3177" s="1076"/>
      <c r="B3177" s="1080"/>
      <c r="C3177" s="424"/>
      <c r="G3177" s="312"/>
      <c r="H3177" s="467"/>
      <c r="I3177" s="467"/>
      <c r="J3177" s="469"/>
      <c r="K3177" s="312"/>
      <c r="L3177" s="312"/>
      <c r="M3177" s="312"/>
      <c r="N3177" s="467"/>
      <c r="O3177" s="467"/>
      <c r="P3177" s="467"/>
      <c r="AL3177" s="436"/>
      <c r="AM3177" s="436"/>
      <c r="AQ3177" s="436"/>
      <c r="AR3177" s="436"/>
      <c r="AS3177" s="436"/>
      <c r="AT3177" s="436"/>
      <c r="AU3177" s="436"/>
      <c r="AV3177" s="436"/>
      <c r="AW3177" s="436"/>
      <c r="AX3177" s="436"/>
      <c r="AY3177" s="436"/>
      <c r="AZ3177" s="475"/>
      <c r="BA3177" s="475"/>
      <c r="BF3177" s="1119"/>
      <c r="BG3177" s="1119"/>
      <c r="BH3177" s="1119"/>
    </row>
    <row r="3178" spans="1:60" ht="15.75" customHeight="1">
      <c r="A3178" s="1076"/>
      <c r="B3178" s="1080"/>
      <c r="C3178" s="424"/>
      <c r="G3178" s="312"/>
      <c r="H3178" s="467"/>
      <c r="I3178" s="467"/>
      <c r="J3178" s="469"/>
      <c r="K3178" s="312"/>
      <c r="L3178" s="312"/>
      <c r="M3178" s="312"/>
      <c r="N3178" s="467"/>
      <c r="O3178" s="467"/>
      <c r="P3178" s="467"/>
      <c r="AL3178" s="436"/>
      <c r="AM3178" s="436"/>
      <c r="AQ3178" s="436"/>
      <c r="AR3178" s="436"/>
      <c r="AS3178" s="436"/>
      <c r="AT3178" s="436"/>
      <c r="AU3178" s="436"/>
      <c r="AV3178" s="436"/>
      <c r="AW3178" s="436"/>
      <c r="AX3178" s="436"/>
      <c r="AY3178" s="436"/>
      <c r="AZ3178" s="475"/>
      <c r="BA3178" s="475"/>
      <c r="BF3178" s="1119"/>
      <c r="BG3178" s="1119"/>
      <c r="BH3178" s="1119"/>
    </row>
    <row r="3179" spans="1:60" ht="15.75" customHeight="1">
      <c r="A3179" s="1076"/>
      <c r="B3179" s="1080"/>
      <c r="C3179" s="424"/>
      <c r="G3179" s="312"/>
      <c r="H3179" s="467"/>
      <c r="I3179" s="467"/>
      <c r="J3179" s="469"/>
      <c r="K3179" s="312"/>
      <c r="L3179" s="312"/>
      <c r="M3179" s="312"/>
      <c r="N3179" s="467"/>
      <c r="O3179" s="467"/>
      <c r="P3179" s="467"/>
      <c r="AL3179" s="436"/>
      <c r="AM3179" s="436"/>
      <c r="AQ3179" s="436"/>
      <c r="AR3179" s="436"/>
      <c r="AS3179" s="436"/>
      <c r="AT3179" s="436"/>
      <c r="AU3179" s="436"/>
      <c r="AV3179" s="436"/>
      <c r="AW3179" s="436"/>
      <c r="AX3179" s="436"/>
      <c r="AY3179" s="436"/>
      <c r="AZ3179" s="475"/>
      <c r="BA3179" s="475"/>
      <c r="BF3179" s="1119"/>
      <c r="BG3179" s="1119"/>
      <c r="BH3179" s="1119"/>
    </row>
    <row r="3180" spans="1:60" ht="15.75" customHeight="1">
      <c r="A3180" s="1076"/>
      <c r="B3180" s="1080"/>
      <c r="C3180" s="424"/>
      <c r="G3180" s="312"/>
      <c r="H3180" s="467"/>
      <c r="I3180" s="467"/>
      <c r="J3180" s="469"/>
      <c r="K3180" s="312"/>
      <c r="L3180" s="312"/>
      <c r="M3180" s="312"/>
      <c r="N3180" s="467"/>
      <c r="O3180" s="467"/>
      <c r="P3180" s="467"/>
      <c r="AL3180" s="436"/>
      <c r="AM3180" s="436"/>
      <c r="AQ3180" s="436"/>
      <c r="AR3180" s="436"/>
      <c r="AS3180" s="436"/>
      <c r="AT3180" s="436"/>
      <c r="AU3180" s="436"/>
      <c r="AV3180" s="436"/>
      <c r="AW3180" s="436"/>
      <c r="AX3180" s="436"/>
      <c r="AY3180" s="436"/>
      <c r="AZ3180" s="475"/>
      <c r="BA3180" s="475"/>
      <c r="BF3180" s="1119"/>
      <c r="BG3180" s="1119"/>
      <c r="BH3180" s="1119"/>
    </row>
    <row r="3181" spans="1:60" ht="15.75" customHeight="1">
      <c r="A3181" s="1076"/>
      <c r="B3181" s="1080"/>
      <c r="C3181" s="424"/>
      <c r="G3181" s="312"/>
      <c r="H3181" s="467"/>
      <c r="I3181" s="467"/>
      <c r="J3181" s="469"/>
      <c r="K3181" s="312"/>
      <c r="L3181" s="312"/>
      <c r="M3181" s="312"/>
      <c r="N3181" s="467"/>
      <c r="O3181" s="467"/>
      <c r="P3181" s="467"/>
      <c r="AL3181" s="436"/>
      <c r="AM3181" s="436"/>
      <c r="AQ3181" s="436"/>
      <c r="AR3181" s="436"/>
      <c r="AS3181" s="436"/>
      <c r="AT3181" s="436"/>
      <c r="AU3181" s="436"/>
      <c r="AV3181" s="436"/>
      <c r="AW3181" s="436"/>
      <c r="AX3181" s="436"/>
      <c r="AY3181" s="436"/>
      <c r="AZ3181" s="475"/>
      <c r="BA3181" s="475"/>
      <c r="BF3181" s="1119"/>
      <c r="BG3181" s="1119"/>
      <c r="BH3181" s="1119"/>
    </row>
    <row r="3182" spans="1:60" ht="15.75" customHeight="1">
      <c r="A3182" s="1076"/>
      <c r="B3182" s="1080"/>
      <c r="C3182" s="424"/>
      <c r="G3182" s="312"/>
      <c r="H3182" s="467"/>
      <c r="I3182" s="467"/>
      <c r="J3182" s="469"/>
      <c r="K3182" s="312"/>
      <c r="L3182" s="312"/>
      <c r="M3182" s="312"/>
      <c r="N3182" s="467"/>
      <c r="O3182" s="467"/>
      <c r="P3182" s="467"/>
      <c r="AL3182" s="436"/>
      <c r="AM3182" s="436"/>
      <c r="AQ3182" s="436"/>
      <c r="AR3182" s="436"/>
      <c r="AS3182" s="436"/>
      <c r="AT3182" s="436"/>
      <c r="AU3182" s="436"/>
      <c r="AV3182" s="436"/>
      <c r="AW3182" s="436"/>
      <c r="AX3182" s="436"/>
      <c r="AY3182" s="436"/>
      <c r="AZ3182" s="475"/>
      <c r="BA3182" s="475"/>
      <c r="BF3182" s="1119"/>
      <c r="BG3182" s="1119"/>
      <c r="BH3182" s="1119"/>
    </row>
    <row r="3183" spans="1:60" ht="15.75" customHeight="1">
      <c r="A3183" s="1076"/>
      <c r="B3183" s="1080"/>
      <c r="C3183" s="424"/>
      <c r="G3183" s="312"/>
      <c r="H3183" s="467"/>
      <c r="I3183" s="467"/>
      <c r="J3183" s="469"/>
      <c r="K3183" s="312"/>
      <c r="L3183" s="312"/>
      <c r="M3183" s="312"/>
      <c r="N3183" s="467"/>
      <c r="O3183" s="467"/>
      <c r="P3183" s="467"/>
      <c r="AL3183" s="436"/>
      <c r="AM3183" s="436"/>
      <c r="AQ3183" s="436"/>
      <c r="AR3183" s="436"/>
      <c r="AS3183" s="436"/>
      <c r="AT3183" s="436"/>
      <c r="AU3183" s="436"/>
      <c r="AV3183" s="436"/>
      <c r="AW3183" s="436"/>
      <c r="AX3183" s="436"/>
      <c r="AY3183" s="436"/>
      <c r="AZ3183" s="475"/>
      <c r="BA3183" s="475"/>
      <c r="BF3183" s="1119"/>
      <c r="BG3183" s="1119"/>
      <c r="BH3183" s="1119"/>
    </row>
    <row r="3184" spans="1:60" ht="15.75" customHeight="1">
      <c r="A3184" s="1076"/>
      <c r="B3184" s="1080"/>
      <c r="C3184" s="424"/>
      <c r="G3184" s="312"/>
      <c r="H3184" s="467"/>
      <c r="I3184" s="467"/>
      <c r="J3184" s="469"/>
      <c r="K3184" s="312"/>
      <c r="L3184" s="312"/>
      <c r="M3184" s="312"/>
      <c r="N3184" s="467"/>
      <c r="O3184" s="467"/>
      <c r="P3184" s="467"/>
      <c r="AL3184" s="436"/>
      <c r="AM3184" s="436"/>
      <c r="AQ3184" s="436"/>
      <c r="AR3184" s="436"/>
      <c r="AS3184" s="436"/>
      <c r="AT3184" s="436"/>
      <c r="AU3184" s="436"/>
      <c r="AV3184" s="436"/>
      <c r="AW3184" s="436"/>
      <c r="AX3184" s="436"/>
      <c r="AY3184" s="436"/>
      <c r="AZ3184" s="475"/>
      <c r="BA3184" s="475"/>
      <c r="BF3184" s="1119"/>
      <c r="BG3184" s="1119"/>
      <c r="BH3184" s="1119"/>
    </row>
    <row r="3185" spans="1:60" ht="15.75" customHeight="1">
      <c r="A3185" s="1076"/>
      <c r="B3185" s="1080"/>
      <c r="C3185" s="424"/>
      <c r="G3185" s="312"/>
      <c r="H3185" s="467"/>
      <c r="I3185" s="467"/>
      <c r="J3185" s="469"/>
      <c r="K3185" s="312"/>
      <c r="L3185" s="312"/>
      <c r="M3185" s="312"/>
      <c r="N3185" s="467"/>
      <c r="O3185" s="467"/>
      <c r="P3185" s="467"/>
      <c r="AL3185" s="436"/>
      <c r="AM3185" s="436"/>
      <c r="AQ3185" s="436"/>
      <c r="AR3185" s="436"/>
      <c r="AS3185" s="436"/>
      <c r="AT3185" s="436"/>
      <c r="AU3185" s="436"/>
      <c r="AV3185" s="436"/>
      <c r="AW3185" s="436"/>
      <c r="AX3185" s="436"/>
      <c r="AY3185" s="436"/>
      <c r="AZ3185" s="475"/>
      <c r="BA3185" s="475"/>
      <c r="BF3185" s="1119"/>
      <c r="BG3185" s="1119"/>
      <c r="BH3185" s="1119"/>
    </row>
    <row r="3186" spans="1:60" ht="15.75" customHeight="1">
      <c r="A3186" s="1076"/>
      <c r="B3186" s="1080"/>
      <c r="C3186" s="424"/>
      <c r="G3186" s="312"/>
      <c r="H3186" s="467"/>
      <c r="I3186" s="467"/>
      <c r="J3186" s="469"/>
      <c r="K3186" s="312"/>
      <c r="L3186" s="312"/>
      <c r="M3186" s="312"/>
      <c r="N3186" s="467"/>
      <c r="O3186" s="467"/>
      <c r="P3186" s="467"/>
      <c r="AL3186" s="436"/>
      <c r="AM3186" s="436"/>
      <c r="AQ3186" s="436"/>
      <c r="AR3186" s="436"/>
      <c r="AS3186" s="436"/>
      <c r="AT3186" s="436"/>
      <c r="AU3186" s="436"/>
      <c r="AV3186" s="436"/>
      <c r="AW3186" s="436"/>
      <c r="AX3186" s="436"/>
      <c r="AY3186" s="436"/>
      <c r="AZ3186" s="475"/>
      <c r="BA3186" s="475"/>
      <c r="BF3186" s="1119"/>
      <c r="BG3186" s="1119"/>
      <c r="BH3186" s="1119"/>
    </row>
    <row r="3187" spans="1:60" ht="15.75" customHeight="1">
      <c r="A3187" s="1076"/>
      <c r="B3187" s="1080"/>
      <c r="C3187" s="424"/>
      <c r="G3187" s="312"/>
      <c r="H3187" s="467"/>
      <c r="I3187" s="467"/>
      <c r="J3187" s="469"/>
      <c r="K3187" s="312"/>
      <c r="L3187" s="312"/>
      <c r="M3187" s="312"/>
      <c r="N3187" s="467"/>
      <c r="O3187" s="467"/>
      <c r="P3187" s="467"/>
      <c r="AL3187" s="436"/>
      <c r="AM3187" s="436"/>
      <c r="AQ3187" s="436"/>
      <c r="AR3187" s="436"/>
      <c r="AS3187" s="436"/>
      <c r="AT3187" s="436"/>
      <c r="AU3187" s="436"/>
      <c r="AV3187" s="436"/>
      <c r="AW3187" s="436"/>
      <c r="AX3187" s="436"/>
      <c r="AY3187" s="436"/>
      <c r="AZ3187" s="475"/>
      <c r="BA3187" s="475"/>
      <c r="BF3187" s="1119"/>
      <c r="BG3187" s="1119"/>
      <c r="BH3187" s="1119"/>
    </row>
    <row r="3188" spans="1:60" ht="15.75" customHeight="1">
      <c r="A3188" s="1076"/>
      <c r="B3188" s="1080"/>
      <c r="C3188" s="424"/>
      <c r="G3188" s="312"/>
      <c r="H3188" s="467"/>
      <c r="I3188" s="467"/>
      <c r="J3188" s="469"/>
      <c r="K3188" s="312"/>
      <c r="L3188" s="312"/>
      <c r="M3188" s="312"/>
      <c r="N3188" s="467"/>
      <c r="O3188" s="467"/>
      <c r="P3188" s="467"/>
      <c r="AL3188" s="436"/>
      <c r="AM3188" s="436"/>
      <c r="AQ3188" s="436"/>
      <c r="AR3188" s="436"/>
      <c r="AS3188" s="436"/>
      <c r="AT3188" s="436"/>
      <c r="AU3188" s="436"/>
      <c r="AV3188" s="436"/>
      <c r="AW3188" s="436"/>
      <c r="AX3188" s="436"/>
      <c r="AY3188" s="436"/>
      <c r="AZ3188" s="475"/>
      <c r="BA3188" s="475"/>
      <c r="BF3188" s="1119"/>
      <c r="BG3188" s="1119"/>
      <c r="BH3188" s="1119"/>
    </row>
    <row r="3189" spans="1:60" ht="15.75" customHeight="1">
      <c r="A3189" s="1076"/>
      <c r="B3189" s="1080"/>
      <c r="C3189" s="424"/>
      <c r="G3189" s="312"/>
      <c r="H3189" s="467"/>
      <c r="I3189" s="467"/>
      <c r="J3189" s="469"/>
      <c r="K3189" s="312"/>
      <c r="L3189" s="312"/>
      <c r="M3189" s="312"/>
      <c r="N3189" s="467"/>
      <c r="O3189" s="467"/>
      <c r="P3189" s="467"/>
      <c r="AL3189" s="436"/>
      <c r="AM3189" s="436"/>
      <c r="AQ3189" s="436"/>
      <c r="AR3189" s="436"/>
      <c r="AS3189" s="436"/>
      <c r="AT3189" s="436"/>
      <c r="AU3189" s="436"/>
      <c r="AV3189" s="436"/>
      <c r="AW3189" s="436"/>
      <c r="AX3189" s="436"/>
      <c r="AY3189" s="436"/>
      <c r="AZ3189" s="475"/>
      <c r="BA3189" s="475"/>
      <c r="BF3189" s="1119"/>
      <c r="BG3189" s="1119"/>
      <c r="BH3189" s="1119"/>
    </row>
    <row r="3190" spans="1:60" ht="15.75" customHeight="1">
      <c r="A3190" s="1076"/>
      <c r="B3190" s="1080"/>
      <c r="C3190" s="424"/>
      <c r="G3190" s="312"/>
      <c r="H3190" s="467"/>
      <c r="I3190" s="467"/>
      <c r="J3190" s="469"/>
      <c r="K3190" s="312"/>
      <c r="L3190" s="312"/>
      <c r="M3190" s="312"/>
      <c r="N3190" s="467"/>
      <c r="O3190" s="467"/>
      <c r="P3190" s="467"/>
      <c r="AL3190" s="436"/>
      <c r="AM3190" s="436"/>
      <c r="AQ3190" s="436"/>
      <c r="AR3190" s="436"/>
      <c r="AS3190" s="436"/>
      <c r="AT3190" s="436"/>
      <c r="AU3190" s="436"/>
      <c r="AV3190" s="436"/>
      <c r="AW3190" s="436"/>
      <c r="AX3190" s="436"/>
      <c r="AY3190" s="436"/>
      <c r="AZ3190" s="475"/>
      <c r="BA3190" s="475"/>
      <c r="BF3190" s="1119"/>
      <c r="BG3190" s="1119"/>
      <c r="BH3190" s="1119"/>
    </row>
    <row r="3191" spans="1:60" ht="15.75" customHeight="1">
      <c r="A3191" s="1076"/>
      <c r="B3191" s="1080"/>
      <c r="C3191" s="424"/>
      <c r="G3191" s="312"/>
      <c r="H3191" s="467"/>
      <c r="I3191" s="467"/>
      <c r="J3191" s="469"/>
      <c r="K3191" s="312"/>
      <c r="L3191" s="312"/>
      <c r="M3191" s="312"/>
      <c r="N3191" s="467"/>
      <c r="O3191" s="467"/>
      <c r="P3191" s="467"/>
      <c r="AL3191" s="436"/>
      <c r="AM3191" s="436"/>
      <c r="AQ3191" s="436"/>
      <c r="AR3191" s="436"/>
      <c r="AS3191" s="436"/>
      <c r="AT3191" s="436"/>
      <c r="AU3191" s="436"/>
      <c r="AV3191" s="436"/>
      <c r="AW3191" s="436"/>
      <c r="AX3191" s="436"/>
      <c r="AY3191" s="436"/>
      <c r="AZ3191" s="475"/>
      <c r="BA3191" s="475"/>
      <c r="BF3191" s="1119"/>
      <c r="BG3191" s="1119"/>
      <c r="BH3191" s="1119"/>
    </row>
    <row r="3192" spans="1:60" ht="15.75" customHeight="1">
      <c r="A3192" s="1076"/>
      <c r="B3192" s="1080"/>
      <c r="C3192" s="424"/>
      <c r="G3192" s="312"/>
      <c r="H3192" s="467"/>
      <c r="I3192" s="467"/>
      <c r="J3192" s="469"/>
      <c r="K3192" s="312"/>
      <c r="L3192" s="312"/>
      <c r="M3192" s="312"/>
      <c r="N3192" s="467"/>
      <c r="O3192" s="467"/>
      <c r="P3192" s="467"/>
      <c r="AL3192" s="436"/>
      <c r="AM3192" s="436"/>
      <c r="AQ3192" s="436"/>
      <c r="AR3192" s="436"/>
      <c r="AS3192" s="436"/>
      <c r="AT3192" s="436"/>
      <c r="AU3192" s="436"/>
      <c r="AV3192" s="436"/>
      <c r="AW3192" s="436"/>
      <c r="AX3192" s="436"/>
      <c r="AY3192" s="436"/>
      <c r="AZ3192" s="475"/>
      <c r="BA3192" s="475"/>
      <c r="BF3192" s="1119"/>
      <c r="BG3192" s="1119"/>
      <c r="BH3192" s="1119"/>
    </row>
    <row r="3193" spans="1:60" ht="15.75" customHeight="1">
      <c r="A3193" s="1076"/>
      <c r="B3193" s="1080"/>
      <c r="C3193" s="424"/>
      <c r="G3193" s="312"/>
      <c r="H3193" s="467"/>
      <c r="I3193" s="467"/>
      <c r="J3193" s="469"/>
      <c r="K3193" s="312"/>
      <c r="L3193" s="312"/>
      <c r="M3193" s="312"/>
      <c r="N3193" s="467"/>
      <c r="O3193" s="467"/>
      <c r="P3193" s="467"/>
      <c r="AL3193" s="436"/>
      <c r="AM3193" s="436"/>
      <c r="AQ3193" s="436"/>
      <c r="AR3193" s="436"/>
      <c r="AS3193" s="436"/>
      <c r="AT3193" s="436"/>
      <c r="AU3193" s="436"/>
      <c r="AV3193" s="436"/>
      <c r="AW3193" s="436"/>
      <c r="AX3193" s="436"/>
      <c r="AY3193" s="436"/>
      <c r="AZ3193" s="475"/>
      <c r="BA3193" s="475"/>
      <c r="BF3193" s="1119"/>
      <c r="BG3193" s="1119"/>
      <c r="BH3193" s="1119"/>
    </row>
    <row r="3194" spans="1:60" ht="15.75" customHeight="1">
      <c r="A3194" s="1076"/>
      <c r="B3194" s="1080"/>
      <c r="C3194" s="424"/>
      <c r="G3194" s="312"/>
      <c r="H3194" s="467"/>
      <c r="I3194" s="467"/>
      <c r="J3194" s="469"/>
      <c r="K3194" s="312"/>
      <c r="L3194" s="312"/>
      <c r="M3194" s="312"/>
      <c r="N3194" s="467"/>
      <c r="O3194" s="467"/>
      <c r="P3194" s="467"/>
      <c r="AL3194" s="436"/>
      <c r="AM3194" s="436"/>
      <c r="AQ3194" s="436"/>
      <c r="AR3194" s="436"/>
      <c r="AS3194" s="436"/>
      <c r="AT3194" s="436"/>
      <c r="AU3194" s="436"/>
      <c r="AV3194" s="436"/>
      <c r="AW3194" s="436"/>
      <c r="AX3194" s="436"/>
      <c r="AY3194" s="436"/>
      <c r="AZ3194" s="475"/>
      <c r="BA3194" s="475"/>
      <c r="BF3194" s="1119"/>
      <c r="BG3194" s="1119"/>
      <c r="BH3194" s="1119"/>
    </row>
    <row r="3195" spans="1:60" ht="15.75" customHeight="1">
      <c r="A3195" s="1076"/>
      <c r="B3195" s="1080"/>
      <c r="C3195" s="424"/>
      <c r="G3195" s="312"/>
      <c r="H3195" s="467"/>
      <c r="I3195" s="467"/>
      <c r="J3195" s="469"/>
      <c r="K3195" s="312"/>
      <c r="L3195" s="312"/>
      <c r="M3195" s="312"/>
      <c r="N3195" s="467"/>
      <c r="O3195" s="467"/>
      <c r="P3195" s="467"/>
      <c r="AL3195" s="436"/>
      <c r="AM3195" s="436"/>
      <c r="AQ3195" s="436"/>
      <c r="AR3195" s="436"/>
      <c r="AS3195" s="436"/>
      <c r="AT3195" s="436"/>
      <c r="AU3195" s="436"/>
      <c r="AV3195" s="436"/>
      <c r="AW3195" s="436"/>
      <c r="AX3195" s="436"/>
      <c r="AY3195" s="436"/>
      <c r="AZ3195" s="475"/>
      <c r="BA3195" s="475"/>
      <c r="BF3195" s="1119"/>
      <c r="BG3195" s="1119"/>
      <c r="BH3195" s="1119"/>
    </row>
    <row r="3196" spans="1:60" ht="15.75" customHeight="1">
      <c r="A3196" s="1076"/>
      <c r="B3196" s="1080"/>
      <c r="C3196" s="424"/>
      <c r="G3196" s="312"/>
      <c r="H3196" s="467"/>
      <c r="I3196" s="467"/>
      <c r="J3196" s="469"/>
      <c r="K3196" s="312"/>
      <c r="L3196" s="312"/>
      <c r="M3196" s="312"/>
      <c r="N3196" s="467"/>
      <c r="O3196" s="467"/>
      <c r="P3196" s="467"/>
      <c r="AL3196" s="436"/>
      <c r="AM3196" s="436"/>
      <c r="AQ3196" s="436"/>
      <c r="AR3196" s="436"/>
      <c r="AS3196" s="436"/>
      <c r="AT3196" s="436"/>
      <c r="AU3196" s="436"/>
      <c r="AV3196" s="436"/>
      <c r="AW3196" s="436"/>
      <c r="AX3196" s="436"/>
      <c r="AY3196" s="436"/>
      <c r="AZ3196" s="475"/>
      <c r="BA3196" s="475"/>
      <c r="BF3196" s="1119"/>
      <c r="BG3196" s="1119"/>
      <c r="BH3196" s="1119"/>
    </row>
    <row r="3197" spans="1:60" ht="15.75" customHeight="1">
      <c r="A3197" s="1076"/>
      <c r="B3197" s="1080"/>
      <c r="C3197" s="424"/>
      <c r="G3197" s="312"/>
      <c r="H3197" s="467"/>
      <c r="I3197" s="467"/>
      <c r="J3197" s="469"/>
      <c r="K3197" s="312"/>
      <c r="L3197" s="312"/>
      <c r="M3197" s="312"/>
      <c r="N3197" s="467"/>
      <c r="O3197" s="467"/>
      <c r="P3197" s="467"/>
      <c r="AL3197" s="436"/>
      <c r="AM3197" s="436"/>
      <c r="AQ3197" s="436"/>
      <c r="AR3197" s="436"/>
      <c r="AS3197" s="436"/>
      <c r="AT3197" s="436"/>
      <c r="AU3197" s="436"/>
      <c r="AV3197" s="436"/>
      <c r="AW3197" s="436"/>
      <c r="AX3197" s="436"/>
      <c r="AY3197" s="436"/>
      <c r="AZ3197" s="475"/>
      <c r="BA3197" s="475"/>
      <c r="BF3197" s="1119"/>
      <c r="BG3197" s="1119"/>
      <c r="BH3197" s="1119"/>
    </row>
    <row r="3198" spans="1:60" ht="15.75" customHeight="1">
      <c r="A3198" s="1076"/>
      <c r="B3198" s="1080"/>
      <c r="C3198" s="424"/>
      <c r="G3198" s="312"/>
      <c r="H3198" s="467"/>
      <c r="I3198" s="467"/>
      <c r="J3198" s="469"/>
      <c r="K3198" s="312"/>
      <c r="L3198" s="312"/>
      <c r="M3198" s="312"/>
      <c r="N3198" s="467"/>
      <c r="O3198" s="467"/>
      <c r="P3198" s="467"/>
      <c r="AL3198" s="436"/>
      <c r="AM3198" s="436"/>
      <c r="AQ3198" s="436"/>
      <c r="AR3198" s="436"/>
      <c r="AS3198" s="436"/>
      <c r="AT3198" s="436"/>
      <c r="AU3198" s="436"/>
      <c r="AV3198" s="436"/>
      <c r="AW3198" s="436"/>
      <c r="AX3198" s="436"/>
      <c r="AY3198" s="436"/>
      <c r="AZ3198" s="475"/>
      <c r="BA3198" s="475"/>
      <c r="BF3198" s="1119"/>
      <c r="BG3198" s="1119"/>
      <c r="BH3198" s="1119"/>
    </row>
    <row r="3199" spans="1:60" ht="15.75" customHeight="1">
      <c r="A3199" s="1076"/>
      <c r="B3199" s="1080"/>
      <c r="C3199" s="424"/>
      <c r="G3199" s="312"/>
      <c r="H3199" s="467"/>
      <c r="I3199" s="467"/>
      <c r="J3199" s="469"/>
      <c r="K3199" s="312"/>
      <c r="L3199" s="312"/>
      <c r="M3199" s="312"/>
      <c r="N3199" s="467"/>
      <c r="O3199" s="467"/>
      <c r="P3199" s="467"/>
      <c r="AL3199" s="436"/>
      <c r="AM3199" s="436"/>
      <c r="AQ3199" s="436"/>
      <c r="AR3199" s="436"/>
      <c r="AS3199" s="436"/>
      <c r="AT3199" s="436"/>
      <c r="AU3199" s="436"/>
      <c r="AV3199" s="436"/>
      <c r="AW3199" s="436"/>
      <c r="AX3199" s="436"/>
      <c r="AY3199" s="436"/>
      <c r="AZ3199" s="475"/>
      <c r="BA3199" s="475"/>
      <c r="BF3199" s="1119"/>
      <c r="BG3199" s="1119"/>
      <c r="BH3199" s="1119"/>
    </row>
    <row r="3200" spans="1:60" ht="15.75" customHeight="1">
      <c r="A3200" s="1076"/>
      <c r="B3200" s="1080"/>
      <c r="C3200" s="424"/>
      <c r="G3200" s="312"/>
      <c r="H3200" s="467"/>
      <c r="I3200" s="467"/>
      <c r="J3200" s="469"/>
      <c r="K3200" s="312"/>
      <c r="L3200" s="312"/>
      <c r="M3200" s="312"/>
      <c r="N3200" s="467"/>
      <c r="O3200" s="467"/>
      <c r="P3200" s="467"/>
      <c r="AL3200" s="436"/>
      <c r="AM3200" s="436"/>
      <c r="AQ3200" s="436"/>
      <c r="AR3200" s="436"/>
      <c r="AS3200" s="436"/>
      <c r="AT3200" s="436"/>
      <c r="AU3200" s="436"/>
      <c r="AV3200" s="436"/>
      <c r="AW3200" s="436"/>
      <c r="AX3200" s="436"/>
      <c r="AY3200" s="436"/>
      <c r="AZ3200" s="475"/>
      <c r="BA3200" s="475"/>
      <c r="BF3200" s="1119"/>
      <c r="BG3200" s="1119"/>
      <c r="BH3200" s="1119"/>
    </row>
    <row r="3201" spans="1:60" ht="15.75" customHeight="1">
      <c r="A3201" s="1076"/>
      <c r="B3201" s="1080"/>
      <c r="C3201" s="424"/>
      <c r="G3201" s="312"/>
      <c r="H3201" s="467"/>
      <c r="I3201" s="467"/>
      <c r="J3201" s="469"/>
      <c r="K3201" s="312"/>
      <c r="L3201" s="312"/>
      <c r="M3201" s="312"/>
      <c r="N3201" s="467"/>
      <c r="O3201" s="467"/>
      <c r="P3201" s="467"/>
      <c r="AL3201" s="436"/>
      <c r="AM3201" s="436"/>
      <c r="AQ3201" s="436"/>
      <c r="AR3201" s="436"/>
      <c r="AS3201" s="436"/>
      <c r="AT3201" s="436"/>
      <c r="AU3201" s="436"/>
      <c r="AV3201" s="436"/>
      <c r="AW3201" s="436"/>
      <c r="AX3201" s="436"/>
      <c r="AY3201" s="436"/>
      <c r="AZ3201" s="475"/>
      <c r="BA3201" s="475"/>
      <c r="BF3201" s="1119"/>
      <c r="BG3201" s="1119"/>
      <c r="BH3201" s="1119"/>
    </row>
    <row r="3202" spans="1:60" ht="15.75" customHeight="1">
      <c r="A3202" s="1076"/>
      <c r="B3202" s="1080"/>
      <c r="C3202" s="424"/>
      <c r="G3202" s="312"/>
      <c r="H3202" s="467"/>
      <c r="I3202" s="467"/>
      <c r="J3202" s="469"/>
      <c r="K3202" s="312"/>
      <c r="L3202" s="312"/>
      <c r="M3202" s="312"/>
      <c r="N3202" s="467"/>
      <c r="O3202" s="467"/>
      <c r="P3202" s="467"/>
      <c r="AL3202" s="436"/>
      <c r="AM3202" s="436"/>
      <c r="AQ3202" s="436"/>
      <c r="AR3202" s="436"/>
      <c r="AS3202" s="436"/>
      <c r="AT3202" s="436"/>
      <c r="AU3202" s="436"/>
      <c r="AV3202" s="436"/>
      <c r="AW3202" s="436"/>
      <c r="AX3202" s="436"/>
      <c r="AY3202" s="436"/>
      <c r="AZ3202" s="475"/>
      <c r="BA3202" s="475"/>
      <c r="BF3202" s="1119"/>
      <c r="BG3202" s="1119"/>
      <c r="BH3202" s="1119"/>
    </row>
    <row r="3203" spans="1:60" ht="15.75" customHeight="1">
      <c r="A3203" s="1076"/>
      <c r="B3203" s="1080"/>
      <c r="C3203" s="424"/>
      <c r="G3203" s="312"/>
      <c r="H3203" s="467"/>
      <c r="I3203" s="467"/>
      <c r="J3203" s="469"/>
      <c r="K3203" s="312"/>
      <c r="L3203" s="312"/>
      <c r="M3203" s="312"/>
      <c r="N3203" s="467"/>
      <c r="O3203" s="467"/>
      <c r="P3203" s="467"/>
      <c r="AL3203" s="436"/>
      <c r="AM3203" s="436"/>
      <c r="AQ3203" s="436"/>
      <c r="AR3203" s="436"/>
      <c r="AS3203" s="436"/>
      <c r="AT3203" s="436"/>
      <c r="AU3203" s="436"/>
      <c r="AV3203" s="436"/>
      <c r="AW3203" s="436"/>
      <c r="AX3203" s="436"/>
      <c r="AY3203" s="436"/>
      <c r="AZ3203" s="475"/>
      <c r="BA3203" s="475"/>
      <c r="BF3203" s="1119"/>
      <c r="BG3203" s="1119"/>
      <c r="BH3203" s="1119"/>
    </row>
    <row r="3204" spans="1:60" ht="15.75" customHeight="1">
      <c r="A3204" s="1076"/>
      <c r="B3204" s="1080"/>
      <c r="C3204" s="424"/>
      <c r="G3204" s="312"/>
      <c r="H3204" s="467"/>
      <c r="I3204" s="467"/>
      <c r="J3204" s="469"/>
      <c r="K3204" s="312"/>
      <c r="L3204" s="312"/>
      <c r="M3204" s="312"/>
      <c r="N3204" s="467"/>
      <c r="O3204" s="467"/>
      <c r="P3204" s="467"/>
      <c r="AL3204" s="436"/>
      <c r="AM3204" s="436"/>
      <c r="AQ3204" s="436"/>
      <c r="AR3204" s="436"/>
      <c r="AS3204" s="436"/>
      <c r="AT3204" s="436"/>
      <c r="AU3204" s="436"/>
      <c r="AV3204" s="436"/>
      <c r="AW3204" s="436"/>
      <c r="AX3204" s="436"/>
      <c r="AY3204" s="436"/>
      <c r="AZ3204" s="475"/>
      <c r="BA3204" s="475"/>
      <c r="BF3204" s="1119"/>
      <c r="BG3204" s="1119"/>
      <c r="BH3204" s="1119"/>
    </row>
    <row r="3205" spans="1:60" ht="15.75" customHeight="1">
      <c r="A3205" s="1076"/>
      <c r="B3205" s="1080"/>
      <c r="C3205" s="424"/>
      <c r="G3205" s="312"/>
      <c r="H3205" s="467"/>
      <c r="I3205" s="467"/>
      <c r="J3205" s="469"/>
      <c r="K3205" s="312"/>
      <c r="L3205" s="312"/>
      <c r="M3205" s="312"/>
      <c r="N3205" s="467"/>
      <c r="O3205" s="467"/>
      <c r="P3205" s="467"/>
      <c r="AL3205" s="436"/>
      <c r="AM3205" s="436"/>
      <c r="AQ3205" s="436"/>
      <c r="AR3205" s="436"/>
      <c r="AS3205" s="436"/>
      <c r="AT3205" s="436"/>
      <c r="AU3205" s="436"/>
      <c r="AV3205" s="436"/>
      <c r="AW3205" s="436"/>
      <c r="AX3205" s="436"/>
      <c r="AY3205" s="436"/>
      <c r="AZ3205" s="475"/>
      <c r="BA3205" s="475"/>
      <c r="BF3205" s="1119"/>
      <c r="BG3205" s="1119"/>
      <c r="BH3205" s="1119"/>
    </row>
    <row r="3206" spans="1:60" ht="15.75" customHeight="1">
      <c r="A3206" s="1076"/>
      <c r="B3206" s="1080"/>
      <c r="C3206" s="424"/>
      <c r="G3206" s="312"/>
      <c r="H3206" s="467"/>
      <c r="I3206" s="467"/>
      <c r="J3206" s="469"/>
      <c r="K3206" s="312"/>
      <c r="L3206" s="312"/>
      <c r="M3206" s="312"/>
      <c r="N3206" s="467"/>
      <c r="O3206" s="467"/>
      <c r="P3206" s="467"/>
      <c r="AL3206" s="436"/>
      <c r="AM3206" s="436"/>
      <c r="AQ3206" s="436"/>
      <c r="AR3206" s="436"/>
      <c r="AS3206" s="436"/>
      <c r="AT3206" s="436"/>
      <c r="AU3206" s="436"/>
      <c r="AV3206" s="436"/>
      <c r="AW3206" s="436"/>
      <c r="AX3206" s="436"/>
      <c r="AY3206" s="436"/>
      <c r="AZ3206" s="475"/>
      <c r="BA3206" s="475"/>
      <c r="BF3206" s="1119"/>
      <c r="BG3206" s="1119"/>
      <c r="BH3206" s="1119"/>
    </row>
    <row r="3207" spans="1:60" ht="15.75" customHeight="1">
      <c r="A3207" s="1076"/>
      <c r="B3207" s="1080"/>
      <c r="C3207" s="424"/>
      <c r="G3207" s="312"/>
      <c r="H3207" s="467"/>
      <c r="I3207" s="467"/>
      <c r="J3207" s="469"/>
      <c r="K3207" s="312"/>
      <c r="L3207" s="312"/>
      <c r="M3207" s="312"/>
      <c r="N3207" s="467"/>
      <c r="O3207" s="467"/>
      <c r="P3207" s="467"/>
      <c r="AL3207" s="436"/>
      <c r="AM3207" s="436"/>
      <c r="AQ3207" s="436"/>
      <c r="AR3207" s="436"/>
      <c r="AS3207" s="436"/>
      <c r="AT3207" s="436"/>
      <c r="AU3207" s="436"/>
      <c r="AV3207" s="436"/>
      <c r="AW3207" s="436"/>
      <c r="AX3207" s="436"/>
      <c r="AY3207" s="436"/>
      <c r="AZ3207" s="475"/>
      <c r="BA3207" s="475"/>
      <c r="BF3207" s="1119"/>
      <c r="BG3207" s="1119"/>
      <c r="BH3207" s="1119"/>
    </row>
    <row r="3208" spans="1:60" ht="15.75" customHeight="1">
      <c r="A3208" s="1076"/>
      <c r="B3208" s="1080"/>
      <c r="C3208" s="424"/>
      <c r="G3208" s="312"/>
      <c r="H3208" s="467"/>
      <c r="I3208" s="467"/>
      <c r="J3208" s="469"/>
      <c r="K3208" s="312"/>
      <c r="L3208" s="312"/>
      <c r="M3208" s="312"/>
      <c r="N3208" s="467"/>
      <c r="O3208" s="467"/>
      <c r="P3208" s="467"/>
      <c r="AL3208" s="436"/>
      <c r="AM3208" s="436"/>
      <c r="AQ3208" s="436"/>
      <c r="AR3208" s="436"/>
      <c r="AS3208" s="436"/>
      <c r="AT3208" s="436"/>
      <c r="AU3208" s="436"/>
      <c r="AV3208" s="436"/>
      <c r="AW3208" s="436"/>
      <c r="AX3208" s="436"/>
      <c r="AY3208" s="436"/>
      <c r="AZ3208" s="475"/>
      <c r="BA3208" s="475"/>
      <c r="BF3208" s="1119"/>
      <c r="BG3208" s="1119"/>
      <c r="BH3208" s="1119"/>
    </row>
    <row r="3209" spans="1:60" ht="15.75" customHeight="1">
      <c r="A3209" s="1076"/>
      <c r="B3209" s="1080"/>
      <c r="C3209" s="424"/>
      <c r="G3209" s="312"/>
      <c r="H3209" s="467"/>
      <c r="I3209" s="467"/>
      <c r="J3209" s="469"/>
      <c r="K3209" s="312"/>
      <c r="L3209" s="312"/>
      <c r="M3209" s="312"/>
      <c r="N3209" s="467"/>
      <c r="O3209" s="467"/>
      <c r="P3209" s="467"/>
      <c r="AL3209" s="436"/>
      <c r="AM3209" s="436"/>
      <c r="AQ3209" s="436"/>
      <c r="AR3209" s="436"/>
      <c r="AS3209" s="436"/>
      <c r="AT3209" s="436"/>
      <c r="AU3209" s="436"/>
      <c r="AV3209" s="436"/>
      <c r="AW3209" s="436"/>
      <c r="AX3209" s="436"/>
      <c r="AY3209" s="436"/>
      <c r="AZ3209" s="475"/>
      <c r="BA3209" s="475"/>
      <c r="BF3209" s="1119"/>
      <c r="BG3209" s="1119"/>
      <c r="BH3209" s="1119"/>
    </row>
    <row r="3210" spans="1:60" ht="15.75" customHeight="1">
      <c r="A3210" s="1076"/>
      <c r="B3210" s="1080"/>
      <c r="C3210" s="424"/>
      <c r="G3210" s="312"/>
      <c r="H3210" s="467"/>
      <c r="I3210" s="467"/>
      <c r="J3210" s="469"/>
      <c r="K3210" s="312"/>
      <c r="L3210" s="312"/>
      <c r="M3210" s="312"/>
      <c r="N3210" s="467"/>
      <c r="O3210" s="467"/>
      <c r="P3210" s="467"/>
      <c r="AL3210" s="436"/>
      <c r="AM3210" s="436"/>
      <c r="AQ3210" s="436"/>
      <c r="AR3210" s="436"/>
      <c r="AS3210" s="436"/>
      <c r="AT3210" s="436"/>
      <c r="AU3210" s="436"/>
      <c r="AV3210" s="436"/>
      <c r="AW3210" s="436"/>
      <c r="AX3210" s="436"/>
      <c r="AY3210" s="436"/>
      <c r="AZ3210" s="475"/>
      <c r="BA3210" s="475"/>
      <c r="BF3210" s="1119"/>
      <c r="BG3210" s="1119"/>
      <c r="BH3210" s="1119"/>
    </row>
    <row r="3211" spans="1:60" ht="15.75" customHeight="1">
      <c r="A3211" s="1076"/>
      <c r="B3211" s="1080"/>
      <c r="C3211" s="424"/>
      <c r="G3211" s="312"/>
      <c r="H3211" s="467"/>
      <c r="I3211" s="467"/>
      <c r="J3211" s="469"/>
      <c r="K3211" s="312"/>
      <c r="L3211" s="312"/>
      <c r="M3211" s="312"/>
      <c r="N3211" s="467"/>
      <c r="O3211" s="467"/>
      <c r="P3211" s="467"/>
      <c r="AL3211" s="436"/>
      <c r="AM3211" s="436"/>
      <c r="AQ3211" s="436"/>
      <c r="AR3211" s="436"/>
      <c r="AS3211" s="436"/>
      <c r="AT3211" s="436"/>
      <c r="AU3211" s="436"/>
      <c r="AV3211" s="436"/>
      <c r="AW3211" s="436"/>
      <c r="AX3211" s="436"/>
      <c r="AY3211" s="436"/>
      <c r="AZ3211" s="475"/>
      <c r="BA3211" s="475"/>
      <c r="BF3211" s="1119"/>
      <c r="BG3211" s="1119"/>
      <c r="BH3211" s="1119"/>
    </row>
    <row r="3212" spans="1:60" ht="15.75" customHeight="1">
      <c r="A3212" s="1076"/>
      <c r="B3212" s="1080"/>
      <c r="C3212" s="424"/>
      <c r="G3212" s="312"/>
      <c r="H3212" s="467"/>
      <c r="I3212" s="467"/>
      <c r="J3212" s="469"/>
      <c r="K3212" s="312"/>
      <c r="L3212" s="312"/>
      <c r="M3212" s="312"/>
      <c r="N3212" s="467"/>
      <c r="O3212" s="467"/>
      <c r="P3212" s="467"/>
      <c r="AL3212" s="436"/>
      <c r="AM3212" s="436"/>
      <c r="AQ3212" s="436"/>
      <c r="AR3212" s="436"/>
      <c r="AS3212" s="436"/>
      <c r="AT3212" s="436"/>
      <c r="AU3212" s="436"/>
      <c r="AV3212" s="436"/>
      <c r="AW3212" s="436"/>
      <c r="AX3212" s="436"/>
      <c r="AY3212" s="436"/>
      <c r="AZ3212" s="475"/>
      <c r="BA3212" s="475"/>
      <c r="BF3212" s="1119"/>
      <c r="BG3212" s="1119"/>
      <c r="BH3212" s="1119"/>
    </row>
    <row r="3213" spans="1:60" ht="15.75" customHeight="1">
      <c r="A3213" s="1076"/>
      <c r="B3213" s="1080"/>
      <c r="C3213" s="424"/>
      <c r="G3213" s="312"/>
      <c r="H3213" s="467"/>
      <c r="I3213" s="467"/>
      <c r="J3213" s="469"/>
      <c r="K3213" s="312"/>
      <c r="L3213" s="312"/>
      <c r="M3213" s="312"/>
      <c r="N3213" s="467"/>
      <c r="O3213" s="467"/>
      <c r="P3213" s="467"/>
      <c r="AL3213" s="436"/>
      <c r="AM3213" s="436"/>
      <c r="AQ3213" s="436"/>
      <c r="AR3213" s="436"/>
      <c r="AS3213" s="436"/>
      <c r="AT3213" s="436"/>
      <c r="AU3213" s="436"/>
      <c r="AV3213" s="436"/>
      <c r="AW3213" s="436"/>
      <c r="AX3213" s="436"/>
      <c r="AY3213" s="436"/>
      <c r="AZ3213" s="475"/>
      <c r="BA3213" s="475"/>
      <c r="BF3213" s="1119"/>
      <c r="BG3213" s="1119"/>
      <c r="BH3213" s="1119"/>
    </row>
    <row r="3214" spans="1:60" ht="15.75" customHeight="1">
      <c r="A3214" s="1076"/>
      <c r="B3214" s="1080"/>
      <c r="C3214" s="424"/>
      <c r="G3214" s="312"/>
      <c r="H3214" s="467"/>
      <c r="I3214" s="467"/>
      <c r="J3214" s="469"/>
      <c r="K3214" s="312"/>
      <c r="L3214" s="312"/>
      <c r="M3214" s="312"/>
      <c r="N3214" s="467"/>
      <c r="O3214" s="467"/>
      <c r="P3214" s="467"/>
      <c r="AL3214" s="436"/>
      <c r="AM3214" s="436"/>
      <c r="AQ3214" s="436"/>
      <c r="AR3214" s="436"/>
      <c r="AS3214" s="436"/>
      <c r="AT3214" s="436"/>
      <c r="AU3214" s="436"/>
      <c r="AV3214" s="436"/>
      <c r="AW3214" s="436"/>
      <c r="AX3214" s="436"/>
      <c r="AY3214" s="436"/>
      <c r="AZ3214" s="475"/>
      <c r="BA3214" s="475"/>
      <c r="BF3214" s="1119"/>
      <c r="BG3214" s="1119"/>
      <c r="BH3214" s="1119"/>
    </row>
    <row r="3215" spans="1:60" ht="15.75" customHeight="1">
      <c r="A3215" s="1076"/>
      <c r="B3215" s="1080"/>
      <c r="C3215" s="424"/>
      <c r="G3215" s="312"/>
      <c r="H3215" s="467"/>
      <c r="I3215" s="467"/>
      <c r="J3215" s="469"/>
      <c r="K3215" s="312"/>
      <c r="L3215" s="312"/>
      <c r="M3215" s="312"/>
      <c r="N3215" s="467"/>
      <c r="O3215" s="467"/>
      <c r="P3215" s="467"/>
      <c r="AL3215" s="436"/>
      <c r="AM3215" s="436"/>
      <c r="AQ3215" s="436"/>
      <c r="AR3215" s="436"/>
      <c r="AS3215" s="436"/>
      <c r="AT3215" s="436"/>
      <c r="AU3215" s="436"/>
      <c r="AV3215" s="436"/>
      <c r="AW3215" s="436"/>
      <c r="AX3215" s="436"/>
      <c r="AY3215" s="436"/>
      <c r="AZ3215" s="475"/>
      <c r="BA3215" s="475"/>
      <c r="BF3215" s="1119"/>
      <c r="BG3215" s="1119"/>
      <c r="BH3215" s="1119"/>
    </row>
    <row r="3216" spans="1:60" ht="15.75" customHeight="1">
      <c r="A3216" s="1076"/>
      <c r="B3216" s="1080"/>
      <c r="C3216" s="424"/>
      <c r="G3216" s="312"/>
      <c r="H3216" s="467"/>
      <c r="I3216" s="467"/>
      <c r="J3216" s="469"/>
      <c r="K3216" s="312"/>
      <c r="L3216" s="312"/>
      <c r="M3216" s="312"/>
      <c r="N3216" s="467"/>
      <c r="O3216" s="467"/>
      <c r="P3216" s="467"/>
      <c r="AL3216" s="436"/>
      <c r="AM3216" s="436"/>
      <c r="AQ3216" s="436"/>
      <c r="AR3216" s="436"/>
      <c r="AS3216" s="436"/>
      <c r="AT3216" s="436"/>
      <c r="AU3216" s="436"/>
      <c r="AV3216" s="436"/>
      <c r="AW3216" s="436"/>
      <c r="AX3216" s="436"/>
      <c r="AY3216" s="436"/>
      <c r="AZ3216" s="475"/>
      <c r="BA3216" s="475"/>
      <c r="BF3216" s="1119"/>
      <c r="BG3216" s="1119"/>
      <c r="BH3216" s="1119"/>
    </row>
    <row r="3217" spans="1:60" ht="15.75" customHeight="1">
      <c r="A3217" s="1076"/>
      <c r="B3217" s="1080"/>
      <c r="C3217" s="424"/>
      <c r="G3217" s="312"/>
      <c r="H3217" s="467"/>
      <c r="I3217" s="467"/>
      <c r="J3217" s="469"/>
      <c r="K3217" s="312"/>
      <c r="L3217" s="312"/>
      <c r="M3217" s="312"/>
      <c r="N3217" s="467"/>
      <c r="O3217" s="467"/>
      <c r="P3217" s="467"/>
      <c r="AL3217" s="436"/>
      <c r="AM3217" s="436"/>
      <c r="AQ3217" s="436"/>
      <c r="AR3217" s="436"/>
      <c r="AS3217" s="436"/>
      <c r="AT3217" s="436"/>
      <c r="AU3217" s="436"/>
      <c r="AV3217" s="436"/>
      <c r="AW3217" s="436"/>
      <c r="AX3217" s="436"/>
      <c r="AY3217" s="436"/>
      <c r="AZ3217" s="475"/>
      <c r="BA3217" s="475"/>
      <c r="BF3217" s="1119"/>
      <c r="BG3217" s="1119"/>
      <c r="BH3217" s="1119"/>
    </row>
    <row r="3218" spans="1:60" ht="15.75" customHeight="1">
      <c r="A3218" s="1076"/>
      <c r="B3218" s="1080"/>
      <c r="C3218" s="424"/>
      <c r="G3218" s="312"/>
      <c r="H3218" s="467"/>
      <c r="I3218" s="467"/>
      <c r="J3218" s="469"/>
      <c r="K3218" s="312"/>
      <c r="L3218" s="312"/>
      <c r="M3218" s="312"/>
      <c r="N3218" s="467"/>
      <c r="O3218" s="467"/>
      <c r="P3218" s="467"/>
      <c r="AL3218" s="436"/>
      <c r="AM3218" s="436"/>
      <c r="AQ3218" s="436"/>
      <c r="AR3218" s="436"/>
      <c r="AS3218" s="436"/>
      <c r="AT3218" s="436"/>
      <c r="AU3218" s="436"/>
      <c r="AV3218" s="436"/>
      <c r="AW3218" s="436"/>
      <c r="AX3218" s="436"/>
      <c r="AY3218" s="436"/>
      <c r="AZ3218" s="475"/>
      <c r="BA3218" s="475"/>
      <c r="BF3218" s="1119"/>
      <c r="BG3218" s="1119"/>
      <c r="BH3218" s="1119"/>
    </row>
    <row r="3219" spans="1:60" ht="15.75" customHeight="1">
      <c r="A3219" s="1076"/>
      <c r="B3219" s="1080"/>
      <c r="C3219" s="424"/>
      <c r="G3219" s="312"/>
      <c r="H3219" s="467"/>
      <c r="I3219" s="467"/>
      <c r="J3219" s="469"/>
      <c r="K3219" s="312"/>
      <c r="L3219" s="312"/>
      <c r="M3219" s="312"/>
      <c r="N3219" s="467"/>
      <c r="O3219" s="467"/>
      <c r="P3219" s="467"/>
      <c r="AL3219" s="436"/>
      <c r="AM3219" s="436"/>
      <c r="AQ3219" s="436"/>
      <c r="AR3219" s="436"/>
      <c r="AS3219" s="436"/>
      <c r="AT3219" s="436"/>
      <c r="AU3219" s="436"/>
      <c r="AV3219" s="436"/>
      <c r="AW3219" s="436"/>
      <c r="AX3219" s="436"/>
      <c r="AY3219" s="436"/>
      <c r="AZ3219" s="475"/>
      <c r="BA3219" s="475"/>
      <c r="BF3219" s="1119"/>
      <c r="BG3219" s="1119"/>
      <c r="BH3219" s="1119"/>
    </row>
    <row r="3220" spans="1:60" ht="15.75" customHeight="1">
      <c r="A3220" s="1076"/>
      <c r="B3220" s="1080"/>
      <c r="C3220" s="424"/>
      <c r="G3220" s="312"/>
      <c r="H3220" s="467"/>
      <c r="I3220" s="467"/>
      <c r="J3220" s="469"/>
      <c r="K3220" s="312"/>
      <c r="L3220" s="312"/>
      <c r="M3220" s="312"/>
      <c r="N3220" s="467"/>
      <c r="O3220" s="467"/>
      <c r="P3220" s="467"/>
      <c r="AL3220" s="436"/>
      <c r="AM3220" s="436"/>
      <c r="AQ3220" s="436"/>
      <c r="AR3220" s="436"/>
      <c r="AS3220" s="436"/>
      <c r="AT3220" s="436"/>
      <c r="AU3220" s="436"/>
      <c r="AV3220" s="436"/>
      <c r="AW3220" s="436"/>
      <c r="AX3220" s="436"/>
      <c r="AY3220" s="436"/>
      <c r="AZ3220" s="475"/>
      <c r="BA3220" s="475"/>
      <c r="BF3220" s="1119"/>
      <c r="BG3220" s="1119"/>
      <c r="BH3220" s="1119"/>
    </row>
    <row r="3221" spans="1:60" ht="15.75" customHeight="1">
      <c r="A3221" s="1076"/>
      <c r="B3221" s="1080"/>
      <c r="C3221" s="424"/>
      <c r="G3221" s="312"/>
      <c r="H3221" s="467"/>
      <c r="I3221" s="467"/>
      <c r="J3221" s="469"/>
      <c r="K3221" s="312"/>
      <c r="L3221" s="312"/>
      <c r="M3221" s="312"/>
      <c r="N3221" s="467"/>
      <c r="O3221" s="467"/>
      <c r="P3221" s="467"/>
      <c r="AL3221" s="436"/>
      <c r="AM3221" s="436"/>
      <c r="AQ3221" s="436"/>
      <c r="AR3221" s="436"/>
      <c r="AS3221" s="436"/>
      <c r="AT3221" s="436"/>
      <c r="AU3221" s="436"/>
      <c r="AV3221" s="436"/>
      <c r="AW3221" s="436"/>
      <c r="AX3221" s="436"/>
      <c r="AY3221" s="436"/>
      <c r="AZ3221" s="475"/>
      <c r="BA3221" s="475"/>
      <c r="BF3221" s="1119"/>
      <c r="BG3221" s="1119"/>
      <c r="BH3221" s="1119"/>
    </row>
    <row r="3222" spans="1:60" ht="15.75" customHeight="1">
      <c r="A3222" s="1076"/>
      <c r="B3222" s="1080"/>
      <c r="C3222" s="424"/>
      <c r="G3222" s="312"/>
      <c r="H3222" s="467"/>
      <c r="I3222" s="467"/>
      <c r="J3222" s="469"/>
      <c r="K3222" s="312"/>
      <c r="L3222" s="312"/>
      <c r="M3222" s="312"/>
      <c r="N3222" s="467"/>
      <c r="O3222" s="467"/>
      <c r="P3222" s="467"/>
      <c r="AL3222" s="436"/>
      <c r="AM3222" s="436"/>
      <c r="AQ3222" s="436"/>
      <c r="AR3222" s="436"/>
      <c r="AS3222" s="436"/>
      <c r="AT3222" s="436"/>
      <c r="AU3222" s="436"/>
      <c r="AV3222" s="436"/>
      <c r="AW3222" s="436"/>
      <c r="AX3222" s="436"/>
      <c r="AY3222" s="436"/>
      <c r="AZ3222" s="475"/>
      <c r="BA3222" s="475"/>
      <c r="BF3222" s="1119"/>
      <c r="BG3222" s="1119"/>
      <c r="BH3222" s="1119"/>
    </row>
    <row r="3223" spans="1:60" ht="15.75" customHeight="1">
      <c r="A3223" s="1076"/>
      <c r="B3223" s="1080"/>
      <c r="C3223" s="424"/>
      <c r="G3223" s="312"/>
      <c r="H3223" s="467"/>
      <c r="I3223" s="467"/>
      <c r="J3223" s="469"/>
      <c r="K3223" s="312"/>
      <c r="L3223" s="312"/>
      <c r="M3223" s="312"/>
      <c r="N3223" s="467"/>
      <c r="O3223" s="467"/>
      <c r="P3223" s="467"/>
      <c r="AL3223" s="436"/>
      <c r="AM3223" s="436"/>
      <c r="AQ3223" s="436"/>
      <c r="AR3223" s="436"/>
      <c r="AS3223" s="436"/>
      <c r="AT3223" s="436"/>
      <c r="AU3223" s="436"/>
      <c r="AV3223" s="436"/>
      <c r="AW3223" s="436"/>
      <c r="AX3223" s="436"/>
      <c r="AY3223" s="436"/>
      <c r="AZ3223" s="475"/>
      <c r="BA3223" s="475"/>
      <c r="BF3223" s="1119"/>
      <c r="BG3223" s="1119"/>
      <c r="BH3223" s="1119"/>
    </row>
    <row r="3224" spans="1:60" ht="15.75" customHeight="1">
      <c r="A3224" s="1076"/>
      <c r="B3224" s="1080"/>
      <c r="C3224" s="424"/>
      <c r="G3224" s="312"/>
      <c r="H3224" s="467"/>
      <c r="I3224" s="467"/>
      <c r="J3224" s="469"/>
      <c r="K3224" s="312"/>
      <c r="L3224" s="312"/>
      <c r="M3224" s="312"/>
      <c r="N3224" s="467"/>
      <c r="O3224" s="467"/>
      <c r="P3224" s="467"/>
      <c r="AL3224" s="436"/>
      <c r="AM3224" s="436"/>
      <c r="AQ3224" s="436"/>
      <c r="AR3224" s="436"/>
      <c r="AS3224" s="436"/>
      <c r="AT3224" s="436"/>
      <c r="AU3224" s="436"/>
      <c r="AV3224" s="436"/>
      <c r="AW3224" s="436"/>
      <c r="AX3224" s="436"/>
      <c r="AY3224" s="436"/>
      <c r="AZ3224" s="475"/>
      <c r="BA3224" s="475"/>
      <c r="BF3224" s="1119"/>
      <c r="BG3224" s="1119"/>
      <c r="BH3224" s="1119"/>
    </row>
    <row r="3225" spans="1:60" ht="15.75" customHeight="1">
      <c r="A3225" s="1076"/>
      <c r="B3225" s="1080"/>
      <c r="C3225" s="424"/>
      <c r="G3225" s="312"/>
      <c r="H3225" s="467"/>
      <c r="I3225" s="467"/>
      <c r="J3225" s="469"/>
      <c r="K3225" s="312"/>
      <c r="L3225" s="312"/>
      <c r="M3225" s="312"/>
      <c r="N3225" s="467"/>
      <c r="O3225" s="467"/>
      <c r="P3225" s="467"/>
      <c r="AL3225" s="436"/>
      <c r="AM3225" s="436"/>
      <c r="AQ3225" s="436"/>
      <c r="AR3225" s="436"/>
      <c r="AS3225" s="436"/>
      <c r="AT3225" s="436"/>
      <c r="AU3225" s="436"/>
      <c r="AV3225" s="436"/>
      <c r="AW3225" s="436"/>
      <c r="AX3225" s="436"/>
      <c r="AY3225" s="436"/>
      <c r="AZ3225" s="475"/>
      <c r="BA3225" s="475"/>
      <c r="BF3225" s="1119"/>
      <c r="BG3225" s="1119"/>
      <c r="BH3225" s="1119"/>
    </row>
    <row r="3226" spans="1:60" ht="15.75" customHeight="1">
      <c r="A3226" s="1076"/>
      <c r="B3226" s="1080"/>
      <c r="C3226" s="424"/>
      <c r="G3226" s="312"/>
      <c r="H3226" s="467"/>
      <c r="I3226" s="467"/>
      <c r="J3226" s="469"/>
      <c r="K3226" s="312"/>
      <c r="L3226" s="312"/>
      <c r="M3226" s="312"/>
      <c r="N3226" s="467"/>
      <c r="O3226" s="467"/>
      <c r="P3226" s="467"/>
      <c r="AL3226" s="436"/>
      <c r="AM3226" s="436"/>
      <c r="AQ3226" s="436"/>
      <c r="AR3226" s="436"/>
      <c r="AS3226" s="436"/>
      <c r="AT3226" s="436"/>
      <c r="AU3226" s="436"/>
      <c r="AV3226" s="436"/>
      <c r="AW3226" s="436"/>
      <c r="AX3226" s="436"/>
      <c r="AY3226" s="436"/>
      <c r="AZ3226" s="475"/>
      <c r="BA3226" s="475"/>
      <c r="BF3226" s="1119"/>
      <c r="BG3226" s="1119"/>
      <c r="BH3226" s="1119"/>
    </row>
    <row r="3227" spans="1:60" ht="15.75" customHeight="1">
      <c r="A3227" s="1076"/>
      <c r="B3227" s="1080"/>
      <c r="C3227" s="424"/>
      <c r="G3227" s="312"/>
      <c r="H3227" s="467"/>
      <c r="I3227" s="467"/>
      <c r="J3227" s="469"/>
      <c r="K3227" s="312"/>
      <c r="L3227" s="312"/>
      <c r="M3227" s="312"/>
      <c r="N3227" s="467"/>
      <c r="O3227" s="467"/>
      <c r="P3227" s="467"/>
      <c r="AL3227" s="436"/>
      <c r="AM3227" s="436"/>
      <c r="AQ3227" s="436"/>
      <c r="AR3227" s="436"/>
      <c r="AS3227" s="436"/>
      <c r="AT3227" s="436"/>
      <c r="AU3227" s="436"/>
      <c r="AV3227" s="436"/>
      <c r="AW3227" s="436"/>
      <c r="AX3227" s="436"/>
      <c r="AY3227" s="436"/>
      <c r="AZ3227" s="475"/>
      <c r="BA3227" s="475"/>
      <c r="BF3227" s="1119"/>
      <c r="BG3227" s="1119"/>
      <c r="BH3227" s="1119"/>
    </row>
    <row r="3228" spans="1:60" ht="15.75" customHeight="1">
      <c r="A3228" s="1076"/>
      <c r="B3228" s="1080"/>
      <c r="C3228" s="424"/>
      <c r="G3228" s="312"/>
      <c r="H3228" s="467"/>
      <c r="I3228" s="467"/>
      <c r="J3228" s="469"/>
      <c r="K3228" s="312"/>
      <c r="L3228" s="312"/>
      <c r="M3228" s="312"/>
      <c r="N3228" s="467"/>
      <c r="O3228" s="467"/>
      <c r="P3228" s="467"/>
      <c r="AL3228" s="436"/>
      <c r="AM3228" s="436"/>
      <c r="AQ3228" s="436"/>
      <c r="AR3228" s="436"/>
      <c r="AS3228" s="436"/>
      <c r="AT3228" s="436"/>
      <c r="AU3228" s="436"/>
      <c r="AV3228" s="436"/>
      <c r="AW3228" s="436"/>
      <c r="AX3228" s="436"/>
      <c r="AY3228" s="436"/>
      <c r="AZ3228" s="475"/>
      <c r="BA3228" s="475"/>
      <c r="BF3228" s="1119"/>
      <c r="BG3228" s="1119"/>
      <c r="BH3228" s="1119"/>
    </row>
    <row r="3229" spans="1:60" ht="15.75" customHeight="1">
      <c r="A3229" s="1076"/>
      <c r="B3229" s="1080"/>
      <c r="C3229" s="424"/>
      <c r="G3229" s="312"/>
      <c r="H3229" s="467"/>
      <c r="I3229" s="467"/>
      <c r="J3229" s="469"/>
      <c r="K3229" s="312"/>
      <c r="L3229" s="312"/>
      <c r="M3229" s="312"/>
      <c r="N3229" s="467"/>
      <c r="O3229" s="467"/>
      <c r="P3229" s="467"/>
      <c r="AL3229" s="436"/>
      <c r="AM3229" s="436"/>
      <c r="AQ3229" s="436"/>
      <c r="AR3229" s="436"/>
      <c r="AS3229" s="436"/>
      <c r="AT3229" s="436"/>
      <c r="AU3229" s="436"/>
      <c r="AV3229" s="436"/>
      <c r="AW3229" s="436"/>
      <c r="AX3229" s="436"/>
      <c r="AY3229" s="436"/>
      <c r="AZ3229" s="475"/>
      <c r="BA3229" s="475"/>
      <c r="BF3229" s="1119"/>
      <c r="BG3229" s="1119"/>
      <c r="BH3229" s="1119"/>
    </row>
    <row r="3230" spans="1:60" ht="15.75" customHeight="1">
      <c r="A3230" s="1076"/>
      <c r="B3230" s="1080"/>
      <c r="C3230" s="424"/>
      <c r="G3230" s="312"/>
      <c r="H3230" s="467"/>
      <c r="I3230" s="467"/>
      <c r="J3230" s="469"/>
      <c r="K3230" s="312"/>
      <c r="L3230" s="312"/>
      <c r="M3230" s="312"/>
      <c r="N3230" s="467"/>
      <c r="O3230" s="467"/>
      <c r="P3230" s="467"/>
      <c r="AL3230" s="436"/>
      <c r="AM3230" s="436"/>
      <c r="AQ3230" s="436"/>
      <c r="AR3230" s="436"/>
      <c r="AS3230" s="436"/>
      <c r="AT3230" s="436"/>
      <c r="AU3230" s="436"/>
      <c r="AV3230" s="436"/>
      <c r="AW3230" s="436"/>
      <c r="AX3230" s="436"/>
      <c r="AY3230" s="436"/>
      <c r="AZ3230" s="475"/>
      <c r="BA3230" s="475"/>
      <c r="BF3230" s="1119"/>
      <c r="BG3230" s="1119"/>
      <c r="BH3230" s="1119"/>
    </row>
    <row r="3231" spans="1:60" ht="15.75" customHeight="1">
      <c r="A3231" s="1076"/>
      <c r="B3231" s="1080"/>
      <c r="C3231" s="424"/>
      <c r="G3231" s="312"/>
      <c r="H3231" s="467"/>
      <c r="I3231" s="467"/>
      <c r="J3231" s="469"/>
      <c r="K3231" s="312"/>
      <c r="L3231" s="312"/>
      <c r="M3231" s="312"/>
      <c r="N3231" s="467"/>
      <c r="O3231" s="467"/>
      <c r="P3231" s="467"/>
      <c r="AL3231" s="436"/>
      <c r="AM3231" s="436"/>
      <c r="AQ3231" s="436"/>
      <c r="AR3231" s="436"/>
      <c r="AS3231" s="436"/>
      <c r="AT3231" s="436"/>
      <c r="AU3231" s="436"/>
      <c r="AV3231" s="436"/>
      <c r="AW3231" s="436"/>
      <c r="AX3231" s="436"/>
      <c r="AY3231" s="436"/>
      <c r="AZ3231" s="475"/>
      <c r="BA3231" s="475"/>
      <c r="BF3231" s="1119"/>
      <c r="BG3231" s="1119"/>
      <c r="BH3231" s="1119"/>
    </row>
    <row r="3232" spans="1:60" ht="15.75" customHeight="1">
      <c r="A3232" s="1076"/>
      <c r="B3232" s="1080"/>
      <c r="C3232" s="424"/>
      <c r="G3232" s="312"/>
      <c r="H3232" s="467"/>
      <c r="I3232" s="467"/>
      <c r="J3232" s="469"/>
      <c r="K3232" s="312"/>
      <c r="L3232" s="312"/>
      <c r="M3232" s="312"/>
      <c r="N3232" s="467"/>
      <c r="O3232" s="467"/>
      <c r="P3232" s="467"/>
      <c r="AL3232" s="436"/>
      <c r="AM3232" s="436"/>
      <c r="AQ3232" s="436"/>
      <c r="AR3232" s="436"/>
      <c r="AS3232" s="436"/>
      <c r="AT3232" s="436"/>
      <c r="AU3232" s="436"/>
      <c r="AV3232" s="436"/>
      <c r="AW3232" s="436"/>
      <c r="AX3232" s="436"/>
      <c r="AY3232" s="436"/>
      <c r="AZ3232" s="475"/>
      <c r="BA3232" s="475"/>
      <c r="BF3232" s="1119"/>
      <c r="BG3232" s="1119"/>
      <c r="BH3232" s="1119"/>
    </row>
    <row r="3233" spans="1:60" ht="15.75" customHeight="1">
      <c r="A3233" s="1076"/>
      <c r="B3233" s="1080"/>
      <c r="C3233" s="424"/>
      <c r="G3233" s="312"/>
      <c r="H3233" s="467"/>
      <c r="I3233" s="467"/>
      <c r="J3233" s="469"/>
      <c r="K3233" s="312"/>
      <c r="L3233" s="312"/>
      <c r="M3233" s="312"/>
      <c r="N3233" s="467"/>
      <c r="O3233" s="467"/>
      <c r="P3233" s="467"/>
      <c r="AL3233" s="436"/>
      <c r="AM3233" s="436"/>
      <c r="AQ3233" s="436"/>
      <c r="AR3233" s="436"/>
      <c r="AS3233" s="436"/>
      <c r="AT3233" s="436"/>
      <c r="AU3233" s="436"/>
      <c r="AV3233" s="436"/>
      <c r="AW3233" s="436"/>
      <c r="AX3233" s="436"/>
      <c r="AY3233" s="436"/>
      <c r="AZ3233" s="475"/>
      <c r="BA3233" s="475"/>
      <c r="BF3233" s="1119"/>
      <c r="BG3233" s="1119"/>
      <c r="BH3233" s="1119"/>
    </row>
    <row r="3234" spans="1:60" ht="15.75" customHeight="1">
      <c r="A3234" s="1076"/>
      <c r="B3234" s="1080"/>
      <c r="C3234" s="424"/>
      <c r="G3234" s="312"/>
      <c r="H3234" s="467"/>
      <c r="I3234" s="467"/>
      <c r="J3234" s="469"/>
      <c r="K3234" s="312"/>
      <c r="L3234" s="312"/>
      <c r="M3234" s="312"/>
      <c r="N3234" s="467"/>
      <c r="O3234" s="467"/>
      <c r="P3234" s="467"/>
      <c r="AL3234" s="436"/>
      <c r="AM3234" s="436"/>
      <c r="AQ3234" s="436"/>
      <c r="AR3234" s="436"/>
      <c r="AS3234" s="436"/>
      <c r="AT3234" s="436"/>
      <c r="AU3234" s="436"/>
      <c r="AV3234" s="436"/>
      <c r="AW3234" s="436"/>
      <c r="AX3234" s="436"/>
      <c r="AY3234" s="436"/>
      <c r="AZ3234" s="475"/>
      <c r="BA3234" s="475"/>
      <c r="BF3234" s="1119"/>
      <c r="BG3234" s="1119"/>
      <c r="BH3234" s="1119"/>
    </row>
    <row r="3235" spans="1:60" ht="15.75" customHeight="1">
      <c r="A3235" s="1076"/>
      <c r="B3235" s="1080"/>
      <c r="C3235" s="424"/>
      <c r="G3235" s="312"/>
      <c r="H3235" s="467"/>
      <c r="I3235" s="467"/>
      <c r="J3235" s="469"/>
      <c r="K3235" s="312"/>
      <c r="L3235" s="312"/>
      <c r="M3235" s="312"/>
      <c r="N3235" s="467"/>
      <c r="O3235" s="467"/>
      <c r="P3235" s="467"/>
      <c r="AL3235" s="436"/>
      <c r="AM3235" s="436"/>
      <c r="AQ3235" s="436"/>
      <c r="AR3235" s="436"/>
      <c r="AS3235" s="436"/>
      <c r="AT3235" s="436"/>
      <c r="AU3235" s="436"/>
      <c r="AV3235" s="436"/>
      <c r="AW3235" s="436"/>
      <c r="AX3235" s="436"/>
      <c r="AY3235" s="436"/>
      <c r="AZ3235" s="475"/>
      <c r="BA3235" s="475"/>
      <c r="BF3235" s="1119"/>
      <c r="BG3235" s="1119"/>
      <c r="BH3235" s="1119"/>
    </row>
    <row r="3236" spans="1:60" ht="15.75" customHeight="1">
      <c r="A3236" s="1076"/>
      <c r="B3236" s="1080"/>
      <c r="C3236" s="424"/>
      <c r="G3236" s="312"/>
      <c r="H3236" s="467"/>
      <c r="I3236" s="467"/>
      <c r="J3236" s="469"/>
      <c r="K3236" s="312"/>
      <c r="L3236" s="312"/>
      <c r="M3236" s="312"/>
      <c r="N3236" s="467"/>
      <c r="O3236" s="467"/>
      <c r="P3236" s="467"/>
      <c r="AL3236" s="436"/>
      <c r="AM3236" s="436"/>
      <c r="AQ3236" s="436"/>
      <c r="AR3236" s="436"/>
      <c r="AS3236" s="436"/>
      <c r="AT3236" s="436"/>
      <c r="AU3236" s="436"/>
      <c r="AV3236" s="436"/>
      <c r="AW3236" s="436"/>
      <c r="AX3236" s="436"/>
      <c r="AY3236" s="436"/>
      <c r="AZ3236" s="475"/>
      <c r="BA3236" s="475"/>
      <c r="BF3236" s="1119"/>
      <c r="BG3236" s="1119"/>
      <c r="BH3236" s="1119"/>
    </row>
    <row r="3237" spans="1:60" ht="15.75" customHeight="1">
      <c r="A3237" s="1076"/>
      <c r="B3237" s="1080"/>
      <c r="C3237" s="424"/>
      <c r="G3237" s="312"/>
      <c r="H3237" s="467"/>
      <c r="I3237" s="467"/>
      <c r="J3237" s="469"/>
      <c r="K3237" s="312"/>
      <c r="L3237" s="312"/>
      <c r="M3237" s="312"/>
      <c r="N3237" s="467"/>
      <c r="O3237" s="467"/>
      <c r="P3237" s="467"/>
      <c r="AL3237" s="436"/>
      <c r="AM3237" s="436"/>
      <c r="AQ3237" s="436"/>
      <c r="AR3237" s="436"/>
      <c r="AS3237" s="436"/>
      <c r="AT3237" s="436"/>
      <c r="AU3237" s="436"/>
      <c r="AV3237" s="436"/>
      <c r="AW3237" s="436"/>
      <c r="AX3237" s="436"/>
      <c r="AY3237" s="436"/>
      <c r="AZ3237" s="475"/>
      <c r="BA3237" s="475"/>
      <c r="BF3237" s="1119"/>
      <c r="BG3237" s="1119"/>
      <c r="BH3237" s="1119"/>
    </row>
    <row r="3238" spans="1:60" ht="15.75" customHeight="1">
      <c r="A3238" s="1076"/>
      <c r="B3238" s="1080"/>
      <c r="C3238" s="424"/>
      <c r="G3238" s="312"/>
      <c r="H3238" s="467"/>
      <c r="I3238" s="467"/>
      <c r="J3238" s="469"/>
      <c r="K3238" s="312"/>
      <c r="L3238" s="312"/>
      <c r="M3238" s="312"/>
      <c r="N3238" s="467"/>
      <c r="O3238" s="467"/>
      <c r="P3238" s="467"/>
      <c r="AL3238" s="436"/>
      <c r="AM3238" s="436"/>
      <c r="AQ3238" s="436"/>
      <c r="AR3238" s="436"/>
      <c r="AS3238" s="436"/>
      <c r="AT3238" s="436"/>
      <c r="AU3238" s="436"/>
      <c r="AV3238" s="436"/>
      <c r="AW3238" s="436"/>
      <c r="AX3238" s="436"/>
      <c r="AY3238" s="436"/>
      <c r="AZ3238" s="475"/>
      <c r="BA3238" s="475"/>
      <c r="BF3238" s="1119"/>
      <c r="BG3238" s="1119"/>
      <c r="BH3238" s="1119"/>
    </row>
    <row r="3239" spans="1:60" ht="15.75" customHeight="1">
      <c r="A3239" s="1076"/>
      <c r="B3239" s="1080"/>
      <c r="C3239" s="424"/>
      <c r="G3239" s="312"/>
      <c r="H3239" s="467"/>
      <c r="I3239" s="467"/>
      <c r="J3239" s="469"/>
      <c r="K3239" s="312"/>
      <c r="L3239" s="312"/>
      <c r="M3239" s="312"/>
      <c r="N3239" s="467"/>
      <c r="O3239" s="467"/>
      <c r="P3239" s="467"/>
      <c r="AL3239" s="436"/>
      <c r="AM3239" s="436"/>
      <c r="AQ3239" s="436"/>
      <c r="AR3239" s="436"/>
      <c r="AS3239" s="436"/>
      <c r="AT3239" s="436"/>
      <c r="AU3239" s="436"/>
      <c r="AV3239" s="436"/>
      <c r="AW3239" s="436"/>
      <c r="AX3239" s="436"/>
      <c r="AY3239" s="436"/>
      <c r="AZ3239" s="475"/>
      <c r="BA3239" s="475"/>
      <c r="BF3239" s="1119"/>
      <c r="BG3239" s="1119"/>
      <c r="BH3239" s="1119"/>
    </row>
    <row r="3240" spans="1:60" ht="15.75" customHeight="1">
      <c r="A3240" s="1076"/>
      <c r="B3240" s="1080"/>
      <c r="C3240" s="424"/>
      <c r="G3240" s="312"/>
      <c r="H3240" s="467"/>
      <c r="I3240" s="467"/>
      <c r="J3240" s="469"/>
      <c r="K3240" s="312"/>
      <c r="L3240" s="312"/>
      <c r="M3240" s="312"/>
      <c r="N3240" s="467"/>
      <c r="O3240" s="467"/>
      <c r="P3240" s="467"/>
      <c r="AL3240" s="436"/>
      <c r="AM3240" s="436"/>
      <c r="AQ3240" s="436"/>
      <c r="AR3240" s="436"/>
      <c r="AS3240" s="436"/>
      <c r="AT3240" s="436"/>
      <c r="AU3240" s="436"/>
      <c r="AV3240" s="436"/>
      <c r="AW3240" s="436"/>
      <c r="AX3240" s="436"/>
      <c r="AY3240" s="436"/>
      <c r="AZ3240" s="475"/>
      <c r="BA3240" s="475"/>
      <c r="BF3240" s="1119"/>
      <c r="BG3240" s="1119"/>
      <c r="BH3240" s="1119"/>
    </row>
    <row r="3241" spans="1:60" ht="15.75" customHeight="1">
      <c r="A3241" s="1076"/>
      <c r="B3241" s="1080"/>
      <c r="C3241" s="424"/>
      <c r="G3241" s="312"/>
      <c r="H3241" s="467"/>
      <c r="I3241" s="467"/>
      <c r="J3241" s="469"/>
      <c r="K3241" s="312"/>
      <c r="L3241" s="312"/>
      <c r="M3241" s="312"/>
      <c r="N3241" s="467"/>
      <c r="O3241" s="467"/>
      <c r="P3241" s="467"/>
      <c r="AL3241" s="436"/>
      <c r="AM3241" s="436"/>
      <c r="AQ3241" s="436"/>
      <c r="AR3241" s="436"/>
      <c r="AS3241" s="436"/>
      <c r="AT3241" s="436"/>
      <c r="AU3241" s="436"/>
      <c r="AV3241" s="436"/>
      <c r="AW3241" s="436"/>
      <c r="AX3241" s="436"/>
      <c r="AY3241" s="436"/>
      <c r="AZ3241" s="475"/>
      <c r="BA3241" s="475"/>
      <c r="BF3241" s="1119"/>
      <c r="BG3241" s="1119"/>
      <c r="BH3241" s="1119"/>
    </row>
    <row r="3242" spans="1:60" ht="15.75" customHeight="1">
      <c r="A3242" s="1076"/>
      <c r="B3242" s="1080"/>
      <c r="C3242" s="424"/>
      <c r="G3242" s="312"/>
      <c r="H3242" s="467"/>
      <c r="I3242" s="467"/>
      <c r="J3242" s="469"/>
      <c r="K3242" s="312"/>
      <c r="L3242" s="312"/>
      <c r="M3242" s="312"/>
      <c r="N3242" s="467"/>
      <c r="O3242" s="467"/>
      <c r="P3242" s="467"/>
      <c r="AL3242" s="436"/>
      <c r="AM3242" s="436"/>
      <c r="AQ3242" s="436"/>
      <c r="AR3242" s="436"/>
      <c r="AS3242" s="436"/>
      <c r="AT3242" s="436"/>
      <c r="AU3242" s="436"/>
      <c r="AV3242" s="436"/>
      <c r="AW3242" s="436"/>
      <c r="AX3242" s="436"/>
      <c r="AY3242" s="436"/>
      <c r="AZ3242" s="475"/>
      <c r="BA3242" s="475"/>
      <c r="BF3242" s="1119"/>
      <c r="BG3242" s="1119"/>
      <c r="BH3242" s="1119"/>
    </row>
    <row r="3243" spans="1:60" ht="15.75" customHeight="1">
      <c r="A3243" s="1076"/>
      <c r="B3243" s="1080"/>
      <c r="C3243" s="424"/>
      <c r="G3243" s="312"/>
      <c r="H3243" s="467"/>
      <c r="I3243" s="467"/>
      <c r="J3243" s="469"/>
      <c r="K3243" s="312"/>
      <c r="L3243" s="312"/>
      <c r="M3243" s="312"/>
      <c r="N3243" s="467"/>
      <c r="O3243" s="467"/>
      <c r="P3243" s="467"/>
      <c r="AL3243" s="436"/>
      <c r="AM3243" s="436"/>
      <c r="AQ3243" s="436"/>
      <c r="AR3243" s="436"/>
      <c r="AS3243" s="436"/>
      <c r="AT3243" s="436"/>
      <c r="AU3243" s="436"/>
      <c r="AV3243" s="436"/>
      <c r="AW3243" s="436"/>
      <c r="AX3243" s="436"/>
      <c r="AY3243" s="436"/>
      <c r="AZ3243" s="475"/>
      <c r="BA3243" s="475"/>
      <c r="BF3243" s="1119"/>
      <c r="BG3243" s="1119"/>
      <c r="BH3243" s="1119"/>
    </row>
    <row r="3244" spans="1:60" ht="15.75" customHeight="1">
      <c r="A3244" s="1076"/>
      <c r="B3244" s="1080"/>
      <c r="C3244" s="424"/>
      <c r="G3244" s="312"/>
      <c r="H3244" s="467"/>
      <c r="I3244" s="467"/>
      <c r="J3244" s="469"/>
      <c r="K3244" s="312"/>
      <c r="L3244" s="312"/>
      <c r="M3244" s="312"/>
      <c r="N3244" s="467"/>
      <c r="O3244" s="467"/>
      <c r="P3244" s="467"/>
      <c r="AL3244" s="436"/>
      <c r="AM3244" s="436"/>
      <c r="AQ3244" s="436"/>
      <c r="AR3244" s="436"/>
      <c r="AS3244" s="436"/>
      <c r="AT3244" s="436"/>
      <c r="AU3244" s="436"/>
      <c r="AV3244" s="436"/>
      <c r="AW3244" s="436"/>
      <c r="AX3244" s="436"/>
      <c r="AY3244" s="436"/>
      <c r="AZ3244" s="475"/>
      <c r="BA3244" s="475"/>
      <c r="BF3244" s="1119"/>
      <c r="BG3244" s="1119"/>
      <c r="BH3244" s="1119"/>
    </row>
    <row r="3245" spans="1:60" ht="15.75" customHeight="1">
      <c r="A3245" s="1076"/>
      <c r="B3245" s="1080"/>
      <c r="C3245" s="424"/>
      <c r="G3245" s="312"/>
      <c r="H3245" s="467"/>
      <c r="I3245" s="467"/>
      <c r="J3245" s="469"/>
      <c r="K3245" s="312"/>
      <c r="L3245" s="312"/>
      <c r="M3245" s="312"/>
      <c r="N3245" s="467"/>
      <c r="O3245" s="467"/>
      <c r="P3245" s="467"/>
      <c r="AL3245" s="436"/>
      <c r="AM3245" s="436"/>
      <c r="AQ3245" s="436"/>
      <c r="AR3245" s="436"/>
      <c r="AS3245" s="436"/>
      <c r="AT3245" s="436"/>
      <c r="AU3245" s="436"/>
      <c r="AV3245" s="436"/>
      <c r="AW3245" s="436"/>
      <c r="AX3245" s="436"/>
      <c r="AY3245" s="436"/>
      <c r="AZ3245" s="475"/>
      <c r="BA3245" s="475"/>
      <c r="BF3245" s="1119"/>
      <c r="BG3245" s="1119"/>
      <c r="BH3245" s="1119"/>
    </row>
    <row r="3246" spans="1:60" ht="15.75" customHeight="1">
      <c r="A3246" s="1076"/>
      <c r="B3246" s="1080"/>
      <c r="C3246" s="424"/>
      <c r="G3246" s="312"/>
      <c r="H3246" s="467"/>
      <c r="I3246" s="467"/>
      <c r="J3246" s="469"/>
      <c r="K3246" s="312"/>
      <c r="L3246" s="312"/>
      <c r="M3246" s="312"/>
      <c r="N3246" s="467"/>
      <c r="O3246" s="467"/>
      <c r="P3246" s="467"/>
      <c r="AL3246" s="436"/>
      <c r="AM3246" s="436"/>
      <c r="AQ3246" s="436"/>
      <c r="AR3246" s="436"/>
      <c r="AS3246" s="436"/>
      <c r="AT3246" s="436"/>
      <c r="AU3246" s="436"/>
      <c r="AV3246" s="436"/>
      <c r="AW3246" s="436"/>
      <c r="AX3246" s="436"/>
      <c r="AY3246" s="436"/>
      <c r="AZ3246" s="475"/>
      <c r="BA3246" s="475"/>
      <c r="BF3246" s="1119"/>
      <c r="BG3246" s="1119"/>
      <c r="BH3246" s="1119"/>
    </row>
    <row r="3247" spans="1:60" ht="15.75" customHeight="1">
      <c r="A3247" s="1076"/>
      <c r="B3247" s="1080"/>
      <c r="C3247" s="424"/>
      <c r="G3247" s="312"/>
      <c r="H3247" s="467"/>
      <c r="I3247" s="467"/>
      <c r="J3247" s="469"/>
      <c r="K3247" s="312"/>
      <c r="L3247" s="312"/>
      <c r="M3247" s="312"/>
      <c r="N3247" s="467"/>
      <c r="O3247" s="467"/>
      <c r="P3247" s="467"/>
      <c r="AL3247" s="436"/>
      <c r="AM3247" s="436"/>
      <c r="AQ3247" s="436"/>
      <c r="AR3247" s="436"/>
      <c r="AS3247" s="436"/>
      <c r="AT3247" s="436"/>
      <c r="AU3247" s="436"/>
      <c r="AV3247" s="436"/>
      <c r="AW3247" s="436"/>
      <c r="AX3247" s="436"/>
      <c r="AY3247" s="436"/>
      <c r="AZ3247" s="475"/>
      <c r="BA3247" s="475"/>
      <c r="BF3247" s="1119"/>
      <c r="BG3247" s="1119"/>
      <c r="BH3247" s="1119"/>
    </row>
    <row r="3248" spans="1:60" ht="15.75" customHeight="1">
      <c r="A3248" s="1076"/>
      <c r="B3248" s="1080"/>
      <c r="C3248" s="424"/>
      <c r="G3248" s="312"/>
      <c r="H3248" s="467"/>
      <c r="I3248" s="467"/>
      <c r="J3248" s="469"/>
      <c r="K3248" s="312"/>
      <c r="L3248" s="312"/>
      <c r="M3248" s="312"/>
      <c r="N3248" s="467"/>
      <c r="O3248" s="467"/>
      <c r="P3248" s="467"/>
      <c r="AL3248" s="436"/>
      <c r="AM3248" s="436"/>
      <c r="AQ3248" s="436"/>
      <c r="AR3248" s="436"/>
      <c r="AS3248" s="436"/>
      <c r="AT3248" s="436"/>
      <c r="AU3248" s="436"/>
      <c r="AV3248" s="436"/>
      <c r="AW3248" s="436"/>
      <c r="AX3248" s="436"/>
      <c r="AY3248" s="436"/>
      <c r="AZ3248" s="475"/>
      <c r="BA3248" s="475"/>
      <c r="BF3248" s="1119"/>
      <c r="BG3248" s="1119"/>
      <c r="BH3248" s="1119"/>
    </row>
    <row r="3249" spans="1:60" ht="15.75" customHeight="1">
      <c r="A3249" s="1076"/>
      <c r="B3249" s="1080"/>
      <c r="C3249" s="424"/>
      <c r="G3249" s="312"/>
      <c r="H3249" s="467"/>
      <c r="I3249" s="467"/>
      <c r="J3249" s="469"/>
      <c r="K3249" s="312"/>
      <c r="L3249" s="312"/>
      <c r="M3249" s="312"/>
      <c r="N3249" s="467"/>
      <c r="O3249" s="467"/>
      <c r="P3249" s="467"/>
      <c r="AL3249" s="436"/>
      <c r="AM3249" s="436"/>
      <c r="AQ3249" s="436"/>
      <c r="AR3249" s="436"/>
      <c r="AS3249" s="436"/>
      <c r="AT3249" s="436"/>
      <c r="AU3249" s="436"/>
      <c r="AV3249" s="436"/>
      <c r="AW3249" s="436"/>
      <c r="AX3249" s="436"/>
      <c r="AY3249" s="436"/>
      <c r="AZ3249" s="475"/>
      <c r="BA3249" s="475"/>
      <c r="BF3249" s="1119"/>
      <c r="BG3249" s="1119"/>
      <c r="BH3249" s="1119"/>
    </row>
    <row r="3250" spans="1:60" ht="15.75" customHeight="1">
      <c r="A3250" s="1076"/>
      <c r="B3250" s="1080"/>
      <c r="C3250" s="424"/>
      <c r="G3250" s="312"/>
      <c r="H3250" s="467"/>
      <c r="I3250" s="467"/>
      <c r="J3250" s="469"/>
      <c r="K3250" s="312"/>
      <c r="L3250" s="312"/>
      <c r="M3250" s="312"/>
      <c r="N3250" s="467"/>
      <c r="O3250" s="467"/>
      <c r="P3250" s="467"/>
      <c r="AL3250" s="436"/>
      <c r="AM3250" s="436"/>
      <c r="AQ3250" s="436"/>
      <c r="AR3250" s="436"/>
      <c r="AS3250" s="436"/>
      <c r="AT3250" s="436"/>
      <c r="AU3250" s="436"/>
      <c r="AV3250" s="436"/>
      <c r="AW3250" s="436"/>
      <c r="AX3250" s="436"/>
      <c r="AY3250" s="436"/>
      <c r="AZ3250" s="475"/>
      <c r="BA3250" s="475"/>
      <c r="BF3250" s="1119"/>
      <c r="BG3250" s="1119"/>
      <c r="BH3250" s="1119"/>
    </row>
    <row r="3251" spans="1:60" ht="15.75" customHeight="1">
      <c r="A3251" s="1076"/>
      <c r="B3251" s="1080"/>
      <c r="C3251" s="424"/>
      <c r="G3251" s="312"/>
      <c r="H3251" s="467"/>
      <c r="I3251" s="467"/>
      <c r="J3251" s="469"/>
      <c r="K3251" s="312"/>
      <c r="L3251" s="312"/>
      <c r="M3251" s="312"/>
      <c r="N3251" s="467"/>
      <c r="O3251" s="467"/>
      <c r="P3251" s="467"/>
      <c r="AL3251" s="436"/>
      <c r="AM3251" s="436"/>
      <c r="AQ3251" s="436"/>
      <c r="AR3251" s="436"/>
      <c r="AS3251" s="436"/>
      <c r="AT3251" s="436"/>
      <c r="AU3251" s="436"/>
      <c r="AV3251" s="436"/>
      <c r="AW3251" s="436"/>
      <c r="AX3251" s="436"/>
      <c r="AY3251" s="436"/>
      <c r="AZ3251" s="475"/>
      <c r="BA3251" s="475"/>
      <c r="BF3251" s="1119"/>
      <c r="BG3251" s="1119"/>
      <c r="BH3251" s="1119"/>
    </row>
    <row r="3252" spans="1:60" ht="15.75" customHeight="1">
      <c r="A3252" s="1076"/>
      <c r="B3252" s="1080"/>
      <c r="C3252" s="424"/>
      <c r="G3252" s="312"/>
      <c r="H3252" s="467"/>
      <c r="I3252" s="467"/>
      <c r="J3252" s="469"/>
      <c r="K3252" s="312"/>
      <c r="L3252" s="312"/>
      <c r="M3252" s="312"/>
      <c r="N3252" s="467"/>
      <c r="O3252" s="467"/>
      <c r="P3252" s="467"/>
      <c r="AL3252" s="436"/>
      <c r="AM3252" s="436"/>
      <c r="AQ3252" s="436"/>
      <c r="AR3252" s="436"/>
      <c r="AS3252" s="436"/>
      <c r="AT3252" s="436"/>
      <c r="AU3252" s="436"/>
      <c r="AV3252" s="436"/>
      <c r="AW3252" s="436"/>
      <c r="AX3252" s="436"/>
      <c r="AY3252" s="436"/>
      <c r="AZ3252" s="475"/>
      <c r="BA3252" s="475"/>
      <c r="BF3252" s="1119"/>
      <c r="BG3252" s="1119"/>
      <c r="BH3252" s="1119"/>
    </row>
    <row r="3253" spans="1:60" ht="15.75" customHeight="1">
      <c r="A3253" s="1076"/>
      <c r="B3253" s="1080"/>
      <c r="C3253" s="424"/>
      <c r="G3253" s="312"/>
      <c r="H3253" s="467"/>
      <c r="I3253" s="467"/>
      <c r="J3253" s="469"/>
      <c r="K3253" s="312"/>
      <c r="L3253" s="312"/>
      <c r="M3253" s="312"/>
      <c r="N3253" s="467"/>
      <c r="O3253" s="467"/>
      <c r="P3253" s="467"/>
      <c r="AL3253" s="436"/>
      <c r="AM3253" s="436"/>
      <c r="AQ3253" s="436"/>
      <c r="AR3253" s="436"/>
      <c r="AS3253" s="436"/>
      <c r="AT3253" s="436"/>
      <c r="AU3253" s="436"/>
      <c r="AV3253" s="436"/>
      <c r="AW3253" s="436"/>
      <c r="AX3253" s="436"/>
      <c r="AY3253" s="436"/>
      <c r="AZ3253" s="475"/>
      <c r="BA3253" s="475"/>
      <c r="BF3253" s="1119"/>
      <c r="BG3253" s="1119"/>
      <c r="BH3253" s="1119"/>
    </row>
    <row r="3254" spans="1:60" ht="15.75" customHeight="1">
      <c r="A3254" s="1076"/>
      <c r="B3254" s="1080"/>
      <c r="C3254" s="424"/>
      <c r="G3254" s="312"/>
      <c r="H3254" s="467"/>
      <c r="I3254" s="467"/>
      <c r="J3254" s="469"/>
      <c r="K3254" s="312"/>
      <c r="L3254" s="312"/>
      <c r="M3254" s="312"/>
      <c r="N3254" s="467"/>
      <c r="O3254" s="467"/>
      <c r="P3254" s="467"/>
      <c r="AL3254" s="436"/>
      <c r="AM3254" s="436"/>
      <c r="AQ3254" s="436"/>
      <c r="AR3254" s="436"/>
      <c r="AS3254" s="436"/>
      <c r="AT3254" s="436"/>
      <c r="AU3254" s="436"/>
      <c r="AV3254" s="436"/>
      <c r="AW3254" s="436"/>
      <c r="AX3254" s="436"/>
      <c r="AY3254" s="436"/>
      <c r="AZ3254" s="475"/>
      <c r="BA3254" s="475"/>
      <c r="BF3254" s="1119"/>
      <c r="BG3254" s="1119"/>
      <c r="BH3254" s="1119"/>
    </row>
    <row r="3255" spans="1:60" ht="15.75" customHeight="1">
      <c r="A3255" s="1076"/>
      <c r="B3255" s="1080"/>
      <c r="C3255" s="424"/>
      <c r="G3255" s="312"/>
      <c r="H3255" s="467"/>
      <c r="I3255" s="467"/>
      <c r="J3255" s="469"/>
      <c r="K3255" s="312"/>
      <c r="L3255" s="312"/>
      <c r="M3255" s="312"/>
      <c r="N3255" s="467"/>
      <c r="O3255" s="467"/>
      <c r="P3255" s="467"/>
      <c r="AL3255" s="436"/>
      <c r="AM3255" s="436"/>
      <c r="AQ3255" s="436"/>
      <c r="AR3255" s="436"/>
      <c r="AS3255" s="436"/>
      <c r="AT3255" s="436"/>
      <c r="AU3255" s="436"/>
      <c r="AV3255" s="436"/>
      <c r="AW3255" s="436"/>
      <c r="AX3255" s="436"/>
      <c r="AY3255" s="436"/>
      <c r="AZ3255" s="475"/>
      <c r="BA3255" s="475"/>
      <c r="BF3255" s="1119"/>
      <c r="BG3255" s="1119"/>
      <c r="BH3255" s="1119"/>
    </row>
    <row r="3256" spans="1:60" ht="15.75" customHeight="1">
      <c r="A3256" s="1076"/>
      <c r="B3256" s="1080"/>
      <c r="C3256" s="424"/>
      <c r="G3256" s="312"/>
      <c r="H3256" s="467"/>
      <c r="I3256" s="467"/>
      <c r="J3256" s="469"/>
      <c r="K3256" s="312"/>
      <c r="L3256" s="312"/>
      <c r="M3256" s="312"/>
      <c r="N3256" s="467"/>
      <c r="O3256" s="467"/>
      <c r="P3256" s="467"/>
      <c r="AL3256" s="436"/>
      <c r="AM3256" s="436"/>
      <c r="AQ3256" s="436"/>
      <c r="AR3256" s="436"/>
      <c r="AS3256" s="436"/>
      <c r="AT3256" s="436"/>
      <c r="AU3256" s="436"/>
      <c r="AV3256" s="436"/>
      <c r="AW3256" s="436"/>
      <c r="AX3256" s="436"/>
      <c r="AY3256" s="436"/>
      <c r="AZ3256" s="475"/>
      <c r="BA3256" s="475"/>
      <c r="BF3256" s="1119"/>
      <c r="BG3256" s="1119"/>
      <c r="BH3256" s="1119"/>
    </row>
    <row r="3257" spans="1:60" ht="15.75" customHeight="1">
      <c r="A3257" s="1076"/>
      <c r="B3257" s="1080"/>
      <c r="C3257" s="424"/>
      <c r="G3257" s="312"/>
      <c r="H3257" s="467"/>
      <c r="I3257" s="467"/>
      <c r="J3257" s="469"/>
      <c r="K3257" s="312"/>
      <c r="L3257" s="312"/>
      <c r="M3257" s="312"/>
      <c r="N3257" s="467"/>
      <c r="O3257" s="467"/>
      <c r="P3257" s="467"/>
      <c r="AL3257" s="436"/>
      <c r="AM3257" s="436"/>
      <c r="AQ3257" s="436"/>
      <c r="AR3257" s="436"/>
      <c r="AS3257" s="436"/>
      <c r="AT3257" s="436"/>
      <c r="AU3257" s="436"/>
      <c r="AV3257" s="436"/>
      <c r="AW3257" s="436"/>
      <c r="AX3257" s="436"/>
      <c r="AY3257" s="436"/>
      <c r="AZ3257" s="475"/>
      <c r="BA3257" s="475"/>
      <c r="BF3257" s="1119"/>
      <c r="BG3257" s="1119"/>
      <c r="BH3257" s="1119"/>
    </row>
    <row r="3258" spans="1:60" ht="15.75" customHeight="1">
      <c r="A3258" s="1076"/>
      <c r="B3258" s="1080"/>
      <c r="C3258" s="424"/>
      <c r="G3258" s="312"/>
      <c r="H3258" s="467"/>
      <c r="I3258" s="467"/>
      <c r="J3258" s="469"/>
      <c r="K3258" s="312"/>
      <c r="L3258" s="312"/>
      <c r="M3258" s="312"/>
      <c r="N3258" s="467"/>
      <c r="O3258" s="467"/>
      <c r="P3258" s="467"/>
      <c r="AL3258" s="436"/>
      <c r="AM3258" s="436"/>
      <c r="AQ3258" s="436"/>
      <c r="AR3258" s="436"/>
      <c r="AS3258" s="436"/>
      <c r="AT3258" s="436"/>
      <c r="AU3258" s="436"/>
      <c r="AV3258" s="436"/>
      <c r="AW3258" s="436"/>
      <c r="AX3258" s="436"/>
      <c r="AY3258" s="436"/>
      <c r="AZ3258" s="475"/>
      <c r="BA3258" s="475"/>
      <c r="BF3258" s="1119"/>
      <c r="BG3258" s="1119"/>
      <c r="BH3258" s="1119"/>
    </row>
    <row r="3259" spans="1:60" ht="15.75" customHeight="1">
      <c r="A3259" s="1076"/>
      <c r="B3259" s="1080"/>
      <c r="C3259" s="424"/>
      <c r="G3259" s="312"/>
      <c r="H3259" s="467"/>
      <c r="I3259" s="467"/>
      <c r="J3259" s="469"/>
      <c r="K3259" s="312"/>
      <c r="L3259" s="312"/>
      <c r="M3259" s="312"/>
      <c r="N3259" s="467"/>
      <c r="O3259" s="467"/>
      <c r="P3259" s="467"/>
      <c r="AL3259" s="436"/>
      <c r="AM3259" s="436"/>
      <c r="AQ3259" s="436"/>
      <c r="AR3259" s="436"/>
      <c r="AS3259" s="436"/>
      <c r="AT3259" s="436"/>
      <c r="AU3259" s="436"/>
      <c r="AV3259" s="436"/>
      <c r="AW3259" s="436"/>
      <c r="AX3259" s="436"/>
      <c r="AY3259" s="436"/>
      <c r="AZ3259" s="475"/>
      <c r="BA3259" s="475"/>
      <c r="BF3259" s="1119"/>
      <c r="BG3259" s="1119"/>
      <c r="BH3259" s="1119"/>
    </row>
    <row r="3260" spans="1:60" ht="15.75" customHeight="1">
      <c r="A3260" s="1076"/>
      <c r="B3260" s="1080"/>
      <c r="C3260" s="424"/>
      <c r="G3260" s="312"/>
      <c r="H3260" s="467"/>
      <c r="I3260" s="467"/>
      <c r="J3260" s="469"/>
      <c r="K3260" s="312"/>
      <c r="L3260" s="312"/>
      <c r="M3260" s="312"/>
      <c r="N3260" s="467"/>
      <c r="O3260" s="467"/>
      <c r="P3260" s="467"/>
      <c r="AL3260" s="436"/>
      <c r="AM3260" s="436"/>
      <c r="AQ3260" s="436"/>
      <c r="AR3260" s="436"/>
      <c r="AS3260" s="436"/>
      <c r="AT3260" s="436"/>
      <c r="AU3260" s="436"/>
      <c r="AV3260" s="436"/>
      <c r="AW3260" s="436"/>
      <c r="AX3260" s="436"/>
      <c r="AY3260" s="436"/>
      <c r="AZ3260" s="475"/>
      <c r="BA3260" s="475"/>
      <c r="BF3260" s="1119"/>
      <c r="BG3260" s="1119"/>
      <c r="BH3260" s="1119"/>
    </row>
    <row r="3261" spans="1:60" ht="15.75" customHeight="1">
      <c r="A3261" s="1076"/>
      <c r="B3261" s="1080"/>
      <c r="C3261" s="424"/>
      <c r="G3261" s="312"/>
      <c r="H3261" s="467"/>
      <c r="I3261" s="467"/>
      <c r="J3261" s="469"/>
      <c r="K3261" s="312"/>
      <c r="L3261" s="312"/>
      <c r="M3261" s="312"/>
      <c r="N3261" s="467"/>
      <c r="O3261" s="467"/>
      <c r="P3261" s="467"/>
      <c r="AL3261" s="436"/>
      <c r="AM3261" s="436"/>
      <c r="AQ3261" s="436"/>
      <c r="AR3261" s="436"/>
      <c r="AS3261" s="436"/>
      <c r="AT3261" s="436"/>
      <c r="AU3261" s="436"/>
      <c r="AV3261" s="436"/>
      <c r="AW3261" s="436"/>
      <c r="AX3261" s="436"/>
      <c r="AY3261" s="436"/>
      <c r="AZ3261" s="475"/>
      <c r="BA3261" s="475"/>
      <c r="BF3261" s="1119"/>
      <c r="BG3261" s="1119"/>
      <c r="BH3261" s="1119"/>
    </row>
    <row r="3262" spans="1:60" ht="15.75" customHeight="1">
      <c r="A3262" s="1076"/>
      <c r="B3262" s="1080"/>
      <c r="C3262" s="424"/>
      <c r="G3262" s="312"/>
      <c r="H3262" s="467"/>
      <c r="I3262" s="467"/>
      <c r="J3262" s="469"/>
      <c r="K3262" s="312"/>
      <c r="L3262" s="312"/>
      <c r="M3262" s="312"/>
      <c r="N3262" s="467"/>
      <c r="O3262" s="467"/>
      <c r="P3262" s="467"/>
      <c r="AL3262" s="436"/>
      <c r="AM3262" s="436"/>
      <c r="AQ3262" s="436"/>
      <c r="AR3262" s="436"/>
      <c r="AS3262" s="436"/>
      <c r="AT3262" s="436"/>
      <c r="AU3262" s="436"/>
      <c r="AV3262" s="436"/>
      <c r="AW3262" s="436"/>
      <c r="AX3262" s="436"/>
      <c r="AY3262" s="436"/>
      <c r="AZ3262" s="475"/>
      <c r="BA3262" s="475"/>
      <c r="BF3262" s="1119"/>
      <c r="BG3262" s="1119"/>
      <c r="BH3262" s="1119"/>
    </row>
    <row r="3263" spans="1:60" ht="15.75" customHeight="1">
      <c r="A3263" s="1076"/>
      <c r="B3263" s="1080"/>
      <c r="C3263" s="424"/>
      <c r="G3263" s="312"/>
      <c r="H3263" s="467"/>
      <c r="I3263" s="467"/>
      <c r="J3263" s="469"/>
      <c r="K3263" s="312"/>
      <c r="L3263" s="312"/>
      <c r="M3263" s="312"/>
      <c r="N3263" s="467"/>
      <c r="O3263" s="467"/>
      <c r="P3263" s="467"/>
      <c r="AL3263" s="436"/>
      <c r="AM3263" s="436"/>
      <c r="AQ3263" s="436"/>
      <c r="AR3263" s="436"/>
      <c r="AS3263" s="436"/>
      <c r="AT3263" s="436"/>
      <c r="AU3263" s="436"/>
      <c r="AV3263" s="436"/>
      <c r="AW3263" s="436"/>
      <c r="AX3263" s="436"/>
      <c r="AY3263" s="436"/>
      <c r="AZ3263" s="475"/>
      <c r="BA3263" s="475"/>
      <c r="BF3263" s="1119"/>
      <c r="BG3263" s="1119"/>
      <c r="BH3263" s="1119"/>
    </row>
    <row r="3264" spans="1:60" ht="15.75" customHeight="1">
      <c r="A3264" s="1076"/>
      <c r="B3264" s="1080"/>
      <c r="C3264" s="424"/>
      <c r="G3264" s="312"/>
      <c r="H3264" s="467"/>
      <c r="I3264" s="467"/>
      <c r="J3264" s="469"/>
      <c r="K3264" s="312"/>
      <c r="L3264" s="312"/>
      <c r="M3264" s="312"/>
      <c r="N3264" s="467"/>
      <c r="O3264" s="467"/>
      <c r="P3264" s="467"/>
      <c r="AL3264" s="436"/>
      <c r="AM3264" s="436"/>
      <c r="AQ3264" s="436"/>
      <c r="AR3264" s="436"/>
      <c r="AS3264" s="436"/>
      <c r="AT3264" s="436"/>
      <c r="AU3264" s="436"/>
      <c r="AV3264" s="436"/>
      <c r="AW3264" s="436"/>
      <c r="AX3264" s="436"/>
      <c r="AY3264" s="436"/>
      <c r="AZ3264" s="475"/>
      <c r="BA3264" s="475"/>
      <c r="BF3264" s="1119"/>
      <c r="BG3264" s="1119"/>
      <c r="BH3264" s="1119"/>
    </row>
    <row r="3265" spans="1:60" ht="15.75" customHeight="1">
      <c r="A3265" s="1076"/>
      <c r="B3265" s="1080"/>
      <c r="C3265" s="424"/>
      <c r="G3265" s="312"/>
      <c r="H3265" s="467"/>
      <c r="I3265" s="467"/>
      <c r="J3265" s="469"/>
      <c r="K3265" s="312"/>
      <c r="L3265" s="312"/>
      <c r="M3265" s="312"/>
      <c r="N3265" s="467"/>
      <c r="O3265" s="467"/>
      <c r="P3265" s="467"/>
      <c r="AL3265" s="436"/>
      <c r="AM3265" s="436"/>
      <c r="AQ3265" s="436"/>
      <c r="AR3265" s="436"/>
      <c r="AS3265" s="436"/>
      <c r="AT3265" s="436"/>
      <c r="AU3265" s="436"/>
      <c r="AV3265" s="436"/>
      <c r="AW3265" s="436"/>
      <c r="AX3265" s="436"/>
      <c r="AY3265" s="436"/>
      <c r="AZ3265" s="475"/>
      <c r="BA3265" s="475"/>
      <c r="BF3265" s="1119"/>
      <c r="BG3265" s="1119"/>
      <c r="BH3265" s="1119"/>
    </row>
    <row r="3266" spans="1:60" ht="15.75" customHeight="1">
      <c r="A3266" s="1076"/>
      <c r="B3266" s="1080"/>
      <c r="C3266" s="424"/>
      <c r="G3266" s="312"/>
      <c r="H3266" s="467"/>
      <c r="I3266" s="467"/>
      <c r="J3266" s="469"/>
      <c r="K3266" s="312"/>
      <c r="L3266" s="312"/>
      <c r="M3266" s="312"/>
      <c r="N3266" s="467"/>
      <c r="O3266" s="467"/>
      <c r="P3266" s="467"/>
      <c r="AL3266" s="436"/>
      <c r="AM3266" s="436"/>
      <c r="AQ3266" s="436"/>
      <c r="AR3266" s="436"/>
      <c r="AS3266" s="436"/>
      <c r="AT3266" s="436"/>
      <c r="AU3266" s="436"/>
      <c r="AV3266" s="436"/>
      <c r="AW3266" s="436"/>
      <c r="AX3266" s="436"/>
      <c r="AY3266" s="436"/>
      <c r="AZ3266" s="475"/>
      <c r="BA3266" s="475"/>
      <c r="BF3266" s="1119"/>
      <c r="BG3266" s="1119"/>
      <c r="BH3266" s="1119"/>
    </row>
    <row r="3267" spans="1:60" ht="15.75" customHeight="1">
      <c r="A3267" s="1076"/>
      <c r="B3267" s="1080"/>
      <c r="C3267" s="424"/>
      <c r="G3267" s="312"/>
      <c r="H3267" s="467"/>
      <c r="I3267" s="467"/>
      <c r="J3267" s="469"/>
      <c r="K3267" s="312"/>
      <c r="L3267" s="312"/>
      <c r="M3267" s="312"/>
      <c r="N3267" s="467"/>
      <c r="O3267" s="467"/>
      <c r="P3267" s="467"/>
      <c r="AL3267" s="436"/>
      <c r="AM3267" s="436"/>
      <c r="AQ3267" s="436"/>
      <c r="AR3267" s="436"/>
      <c r="AS3267" s="436"/>
      <c r="AT3267" s="436"/>
      <c r="AU3267" s="436"/>
      <c r="AV3267" s="436"/>
      <c r="AW3267" s="436"/>
      <c r="AX3267" s="436"/>
      <c r="AY3267" s="436"/>
      <c r="AZ3267" s="475"/>
      <c r="BA3267" s="475"/>
      <c r="BF3267" s="1119"/>
      <c r="BG3267" s="1119"/>
      <c r="BH3267" s="1119"/>
    </row>
    <row r="3268" spans="1:60" ht="15.75" customHeight="1">
      <c r="A3268" s="1076"/>
      <c r="B3268" s="1080"/>
      <c r="C3268" s="424"/>
      <c r="G3268" s="312"/>
      <c r="H3268" s="467"/>
      <c r="I3268" s="467"/>
      <c r="J3268" s="469"/>
      <c r="K3268" s="312"/>
      <c r="L3268" s="312"/>
      <c r="M3268" s="312"/>
      <c r="N3268" s="467"/>
      <c r="O3268" s="467"/>
      <c r="P3268" s="467"/>
      <c r="AL3268" s="436"/>
      <c r="AM3268" s="436"/>
      <c r="AQ3268" s="436"/>
      <c r="AR3268" s="436"/>
      <c r="AS3268" s="436"/>
      <c r="AT3268" s="436"/>
      <c r="AU3268" s="436"/>
      <c r="AV3268" s="436"/>
      <c r="AW3268" s="436"/>
      <c r="AX3268" s="436"/>
      <c r="AY3268" s="436"/>
      <c r="AZ3268" s="475"/>
      <c r="BA3268" s="475"/>
      <c r="BF3268" s="1119"/>
      <c r="BG3268" s="1119"/>
      <c r="BH3268" s="1119"/>
    </row>
    <row r="3269" spans="1:60" ht="15.75" customHeight="1">
      <c r="A3269" s="1076"/>
      <c r="B3269" s="1080"/>
      <c r="C3269" s="424"/>
      <c r="G3269" s="312"/>
      <c r="H3269" s="467"/>
      <c r="I3269" s="467"/>
      <c r="J3269" s="469"/>
      <c r="K3269" s="312"/>
      <c r="L3269" s="312"/>
      <c r="M3269" s="312"/>
      <c r="N3269" s="467"/>
      <c r="O3269" s="467"/>
      <c r="P3269" s="467"/>
      <c r="AL3269" s="436"/>
      <c r="AM3269" s="436"/>
      <c r="AQ3269" s="436"/>
      <c r="AR3269" s="436"/>
      <c r="AS3269" s="436"/>
      <c r="AT3269" s="436"/>
      <c r="AU3269" s="436"/>
      <c r="AV3269" s="436"/>
      <c r="AW3269" s="436"/>
      <c r="AX3269" s="436"/>
      <c r="AY3269" s="436"/>
      <c r="AZ3269" s="475"/>
      <c r="BA3269" s="475"/>
      <c r="BF3269" s="1119"/>
      <c r="BG3269" s="1119"/>
      <c r="BH3269" s="1119"/>
    </row>
    <row r="3270" spans="1:60" ht="15.75" customHeight="1">
      <c r="A3270" s="1076"/>
      <c r="B3270" s="1080"/>
      <c r="C3270" s="424"/>
      <c r="G3270" s="312"/>
      <c r="H3270" s="467"/>
      <c r="I3270" s="467"/>
      <c r="J3270" s="469"/>
      <c r="K3270" s="312"/>
      <c r="L3270" s="312"/>
      <c r="M3270" s="312"/>
      <c r="N3270" s="467"/>
      <c r="O3270" s="467"/>
      <c r="P3270" s="467"/>
      <c r="AL3270" s="436"/>
      <c r="AM3270" s="436"/>
      <c r="AQ3270" s="436"/>
      <c r="AR3270" s="436"/>
      <c r="AS3270" s="436"/>
      <c r="AT3270" s="436"/>
      <c r="AU3270" s="436"/>
      <c r="AV3270" s="436"/>
      <c r="AW3270" s="436"/>
      <c r="AX3270" s="436"/>
      <c r="AY3270" s="436"/>
      <c r="AZ3270" s="475"/>
      <c r="BA3270" s="475"/>
      <c r="BF3270" s="1119"/>
      <c r="BG3270" s="1119"/>
      <c r="BH3270" s="1119"/>
    </row>
    <row r="3271" spans="1:60" ht="15.75" customHeight="1">
      <c r="A3271" s="1076"/>
      <c r="B3271" s="1080"/>
      <c r="C3271" s="424"/>
      <c r="G3271" s="312"/>
      <c r="H3271" s="467"/>
      <c r="I3271" s="467"/>
      <c r="J3271" s="469"/>
      <c r="K3271" s="312"/>
      <c r="L3271" s="312"/>
      <c r="M3271" s="312"/>
      <c r="N3271" s="467"/>
      <c r="O3271" s="467"/>
      <c r="P3271" s="467"/>
      <c r="AL3271" s="436"/>
      <c r="AM3271" s="436"/>
      <c r="AQ3271" s="436"/>
      <c r="AR3271" s="436"/>
      <c r="AS3271" s="436"/>
      <c r="AT3271" s="436"/>
      <c r="AU3271" s="436"/>
      <c r="AV3271" s="436"/>
      <c r="AW3271" s="436"/>
      <c r="AX3271" s="436"/>
      <c r="AY3271" s="436"/>
      <c r="AZ3271" s="475"/>
      <c r="BA3271" s="475"/>
      <c r="BF3271" s="1119"/>
      <c r="BG3271" s="1119"/>
      <c r="BH3271" s="1119"/>
    </row>
    <row r="3272" spans="1:60" ht="15.75" customHeight="1">
      <c r="A3272" s="1076"/>
      <c r="B3272" s="1080"/>
      <c r="C3272" s="424"/>
      <c r="G3272" s="312"/>
      <c r="H3272" s="467"/>
      <c r="I3272" s="467"/>
      <c r="J3272" s="469"/>
      <c r="K3272" s="312"/>
      <c r="L3272" s="312"/>
      <c r="M3272" s="312"/>
      <c r="N3272" s="467"/>
      <c r="O3272" s="467"/>
      <c r="P3272" s="467"/>
      <c r="AL3272" s="436"/>
      <c r="AM3272" s="436"/>
      <c r="AQ3272" s="436"/>
      <c r="AR3272" s="436"/>
      <c r="AS3272" s="436"/>
      <c r="AT3272" s="436"/>
      <c r="AU3272" s="436"/>
      <c r="AV3272" s="436"/>
      <c r="AW3272" s="436"/>
      <c r="AX3272" s="436"/>
      <c r="AY3272" s="436"/>
      <c r="AZ3272" s="475"/>
      <c r="BA3272" s="475"/>
      <c r="BF3272" s="1119"/>
      <c r="BG3272" s="1119"/>
      <c r="BH3272" s="1119"/>
    </row>
    <row r="3273" spans="1:60" ht="15.75" customHeight="1">
      <c r="A3273" s="1076"/>
      <c r="B3273" s="1080"/>
      <c r="C3273" s="424"/>
      <c r="G3273" s="312"/>
      <c r="H3273" s="467"/>
      <c r="I3273" s="467"/>
      <c r="J3273" s="469"/>
      <c r="K3273" s="312"/>
      <c r="L3273" s="312"/>
      <c r="M3273" s="312"/>
      <c r="N3273" s="467"/>
      <c r="O3273" s="467"/>
      <c r="P3273" s="467"/>
      <c r="AL3273" s="436"/>
      <c r="AM3273" s="436"/>
      <c r="AQ3273" s="436"/>
      <c r="AR3273" s="436"/>
      <c r="AS3273" s="436"/>
      <c r="AT3273" s="436"/>
      <c r="AU3273" s="436"/>
      <c r="AV3273" s="436"/>
      <c r="AW3273" s="436"/>
      <c r="AX3273" s="436"/>
      <c r="AY3273" s="436"/>
      <c r="AZ3273" s="475"/>
      <c r="BA3273" s="475"/>
      <c r="BF3273" s="1119"/>
      <c r="BG3273" s="1119"/>
      <c r="BH3273" s="1119"/>
    </row>
    <row r="3274" spans="1:60" ht="15.75" customHeight="1">
      <c r="A3274" s="1076"/>
      <c r="B3274" s="1080"/>
      <c r="C3274" s="424"/>
      <c r="G3274" s="312"/>
      <c r="H3274" s="467"/>
      <c r="I3274" s="467"/>
      <c r="J3274" s="469"/>
      <c r="K3274" s="312"/>
      <c r="L3274" s="312"/>
      <c r="M3274" s="312"/>
      <c r="N3274" s="467"/>
      <c r="O3274" s="467"/>
      <c r="P3274" s="467"/>
      <c r="AL3274" s="436"/>
      <c r="AM3274" s="436"/>
      <c r="AQ3274" s="436"/>
      <c r="AR3274" s="436"/>
      <c r="AS3274" s="436"/>
      <c r="AT3274" s="436"/>
      <c r="AU3274" s="436"/>
      <c r="AV3274" s="436"/>
      <c r="AW3274" s="436"/>
      <c r="AX3274" s="436"/>
      <c r="AY3274" s="436"/>
      <c r="AZ3274" s="475"/>
      <c r="BA3274" s="475"/>
      <c r="BF3274" s="1119"/>
      <c r="BG3274" s="1119"/>
      <c r="BH3274" s="1119"/>
    </row>
    <row r="3275" spans="1:60" ht="15.75" customHeight="1">
      <c r="A3275" s="1076"/>
      <c r="B3275" s="1080"/>
      <c r="C3275" s="424"/>
      <c r="G3275" s="312"/>
      <c r="H3275" s="467"/>
      <c r="I3275" s="467"/>
      <c r="J3275" s="469"/>
      <c r="K3275" s="312"/>
      <c r="L3275" s="312"/>
      <c r="M3275" s="312"/>
      <c r="N3275" s="467"/>
      <c r="O3275" s="467"/>
      <c r="P3275" s="467"/>
      <c r="AL3275" s="436"/>
      <c r="AM3275" s="436"/>
      <c r="AQ3275" s="436"/>
      <c r="AR3275" s="436"/>
      <c r="AS3275" s="436"/>
      <c r="AT3275" s="436"/>
      <c r="AU3275" s="436"/>
      <c r="AV3275" s="436"/>
      <c r="AW3275" s="436"/>
      <c r="AX3275" s="436"/>
      <c r="AY3275" s="436"/>
      <c r="AZ3275" s="475"/>
      <c r="BA3275" s="475"/>
      <c r="BF3275" s="1119"/>
      <c r="BG3275" s="1119"/>
      <c r="BH3275" s="1119"/>
    </row>
    <row r="3276" spans="1:60" ht="15.75" customHeight="1">
      <c r="A3276" s="1076"/>
      <c r="B3276" s="1080"/>
      <c r="C3276" s="424"/>
      <c r="G3276" s="312"/>
      <c r="H3276" s="467"/>
      <c r="I3276" s="467"/>
      <c r="J3276" s="469"/>
      <c r="K3276" s="312"/>
      <c r="L3276" s="312"/>
      <c r="M3276" s="312"/>
      <c r="N3276" s="467"/>
      <c r="O3276" s="467"/>
      <c r="P3276" s="467"/>
      <c r="AL3276" s="436"/>
      <c r="AM3276" s="436"/>
      <c r="AQ3276" s="436"/>
      <c r="AR3276" s="436"/>
      <c r="AS3276" s="436"/>
      <c r="AT3276" s="436"/>
      <c r="AU3276" s="436"/>
      <c r="AV3276" s="436"/>
      <c r="AW3276" s="436"/>
      <c r="AX3276" s="436"/>
      <c r="AY3276" s="436"/>
      <c r="AZ3276" s="475"/>
      <c r="BA3276" s="475"/>
      <c r="BF3276" s="1119"/>
      <c r="BG3276" s="1119"/>
      <c r="BH3276" s="1119"/>
    </row>
    <row r="3277" spans="1:60" ht="15.75" customHeight="1">
      <c r="A3277" s="1076"/>
      <c r="B3277" s="1080"/>
      <c r="C3277" s="424"/>
      <c r="G3277" s="312"/>
      <c r="H3277" s="467"/>
      <c r="I3277" s="467"/>
      <c r="J3277" s="469"/>
      <c r="K3277" s="312"/>
      <c r="L3277" s="312"/>
      <c r="M3277" s="312"/>
      <c r="N3277" s="467"/>
      <c r="O3277" s="467"/>
      <c r="P3277" s="467"/>
      <c r="AL3277" s="436"/>
      <c r="AM3277" s="436"/>
      <c r="AQ3277" s="436"/>
      <c r="AR3277" s="436"/>
      <c r="AS3277" s="436"/>
      <c r="AT3277" s="436"/>
      <c r="AU3277" s="436"/>
      <c r="AV3277" s="436"/>
      <c r="AW3277" s="436"/>
      <c r="AX3277" s="436"/>
      <c r="AY3277" s="436"/>
      <c r="AZ3277" s="475"/>
      <c r="BA3277" s="475"/>
      <c r="BF3277" s="1119"/>
      <c r="BG3277" s="1119"/>
      <c r="BH3277" s="1119"/>
    </row>
    <row r="3278" spans="1:60" ht="15.75" customHeight="1">
      <c r="A3278" s="1076"/>
      <c r="B3278" s="1080"/>
      <c r="C3278" s="424"/>
      <c r="G3278" s="312"/>
      <c r="H3278" s="467"/>
      <c r="I3278" s="467"/>
      <c r="J3278" s="469"/>
      <c r="K3278" s="312"/>
      <c r="L3278" s="312"/>
      <c r="M3278" s="312"/>
      <c r="N3278" s="467"/>
      <c r="O3278" s="467"/>
      <c r="P3278" s="467"/>
      <c r="AL3278" s="436"/>
      <c r="AM3278" s="436"/>
      <c r="AQ3278" s="436"/>
      <c r="AR3278" s="436"/>
      <c r="AS3278" s="436"/>
      <c r="AT3278" s="436"/>
      <c r="AU3278" s="436"/>
      <c r="AV3278" s="436"/>
      <c r="AW3278" s="436"/>
      <c r="AX3278" s="436"/>
      <c r="AY3278" s="436"/>
      <c r="AZ3278" s="475"/>
      <c r="BA3278" s="475"/>
      <c r="BF3278" s="1119"/>
      <c r="BG3278" s="1119"/>
      <c r="BH3278" s="1119"/>
    </row>
    <row r="3279" spans="1:60" ht="15.75" customHeight="1">
      <c r="A3279" s="1076"/>
      <c r="B3279" s="1080"/>
      <c r="C3279" s="424"/>
      <c r="G3279" s="312"/>
      <c r="H3279" s="467"/>
      <c r="I3279" s="467"/>
      <c r="J3279" s="469"/>
      <c r="K3279" s="312"/>
      <c r="L3279" s="312"/>
      <c r="M3279" s="312"/>
      <c r="N3279" s="467"/>
      <c r="O3279" s="467"/>
      <c r="P3279" s="467"/>
      <c r="AL3279" s="436"/>
      <c r="AM3279" s="436"/>
      <c r="AQ3279" s="436"/>
      <c r="AR3279" s="436"/>
      <c r="AS3279" s="436"/>
      <c r="AT3279" s="436"/>
      <c r="AU3279" s="436"/>
      <c r="AV3279" s="436"/>
      <c r="AW3279" s="436"/>
      <c r="AX3279" s="436"/>
      <c r="AY3279" s="436"/>
      <c r="AZ3279" s="475"/>
      <c r="BA3279" s="475"/>
      <c r="BF3279" s="1119"/>
      <c r="BG3279" s="1119"/>
      <c r="BH3279" s="1119"/>
    </row>
    <row r="3280" spans="1:60" ht="15.75" customHeight="1">
      <c r="A3280" s="1076"/>
      <c r="B3280" s="1080"/>
      <c r="C3280" s="424"/>
      <c r="G3280" s="312"/>
      <c r="H3280" s="467"/>
      <c r="I3280" s="467"/>
      <c r="J3280" s="469"/>
      <c r="K3280" s="312"/>
      <c r="L3280" s="312"/>
      <c r="M3280" s="312"/>
      <c r="N3280" s="467"/>
      <c r="O3280" s="467"/>
      <c r="P3280" s="467"/>
      <c r="AL3280" s="436"/>
      <c r="AM3280" s="436"/>
      <c r="AQ3280" s="436"/>
      <c r="AR3280" s="436"/>
      <c r="AS3280" s="436"/>
      <c r="AT3280" s="436"/>
      <c r="AU3280" s="436"/>
      <c r="AV3280" s="436"/>
      <c r="AW3280" s="436"/>
      <c r="AX3280" s="436"/>
      <c r="AY3280" s="436"/>
      <c r="AZ3280" s="475"/>
      <c r="BA3280" s="475"/>
      <c r="BF3280" s="1119"/>
      <c r="BG3280" s="1119"/>
      <c r="BH3280" s="1119"/>
    </row>
    <row r="3281" spans="1:60" ht="15.75" customHeight="1">
      <c r="A3281" s="1076"/>
      <c r="B3281" s="1080"/>
      <c r="C3281" s="424"/>
      <c r="G3281" s="312"/>
      <c r="H3281" s="467"/>
      <c r="I3281" s="467"/>
      <c r="J3281" s="469"/>
      <c r="K3281" s="312"/>
      <c r="L3281" s="312"/>
      <c r="M3281" s="312"/>
      <c r="N3281" s="467"/>
      <c r="O3281" s="467"/>
      <c r="P3281" s="467"/>
      <c r="AL3281" s="436"/>
      <c r="AM3281" s="436"/>
      <c r="AQ3281" s="436"/>
      <c r="AR3281" s="436"/>
      <c r="AS3281" s="436"/>
      <c r="AT3281" s="436"/>
      <c r="AU3281" s="436"/>
      <c r="AV3281" s="436"/>
      <c r="AW3281" s="436"/>
      <c r="AX3281" s="436"/>
      <c r="AY3281" s="436"/>
      <c r="AZ3281" s="475"/>
      <c r="BA3281" s="475"/>
      <c r="BF3281" s="1119"/>
      <c r="BG3281" s="1119"/>
      <c r="BH3281" s="1119"/>
    </row>
    <row r="3282" spans="1:60" ht="15.75" customHeight="1">
      <c r="A3282" s="1076"/>
      <c r="B3282" s="1080"/>
      <c r="C3282" s="424"/>
      <c r="G3282" s="312"/>
      <c r="H3282" s="467"/>
      <c r="I3282" s="467"/>
      <c r="J3282" s="469"/>
      <c r="K3282" s="312"/>
      <c r="L3282" s="312"/>
      <c r="M3282" s="312"/>
      <c r="N3282" s="467"/>
      <c r="O3282" s="467"/>
      <c r="P3282" s="467"/>
      <c r="AL3282" s="436"/>
      <c r="AM3282" s="436"/>
      <c r="AQ3282" s="436"/>
      <c r="AR3282" s="436"/>
      <c r="AS3282" s="436"/>
      <c r="AT3282" s="436"/>
      <c r="AU3282" s="436"/>
      <c r="AV3282" s="436"/>
      <c r="AW3282" s="436"/>
      <c r="AX3282" s="436"/>
      <c r="AY3282" s="436"/>
      <c r="AZ3282" s="475"/>
      <c r="BA3282" s="475"/>
      <c r="BF3282" s="1119"/>
      <c r="BG3282" s="1119"/>
      <c r="BH3282" s="1119"/>
    </row>
    <row r="3283" spans="1:60" ht="15.75" customHeight="1">
      <c r="A3283" s="1076"/>
      <c r="B3283" s="1080"/>
      <c r="C3283" s="424"/>
      <c r="G3283" s="312"/>
      <c r="H3283" s="467"/>
      <c r="I3283" s="467"/>
      <c r="J3283" s="469"/>
      <c r="K3283" s="312"/>
      <c r="L3283" s="312"/>
      <c r="M3283" s="312"/>
      <c r="N3283" s="467"/>
      <c r="O3283" s="467"/>
      <c r="P3283" s="467"/>
      <c r="AL3283" s="436"/>
      <c r="AM3283" s="436"/>
      <c r="AQ3283" s="436"/>
      <c r="AR3283" s="436"/>
      <c r="AS3283" s="436"/>
      <c r="AT3283" s="436"/>
      <c r="AU3283" s="436"/>
      <c r="AV3283" s="436"/>
      <c r="AW3283" s="436"/>
      <c r="AX3283" s="436"/>
      <c r="AY3283" s="436"/>
      <c r="AZ3283" s="475"/>
      <c r="BA3283" s="475"/>
      <c r="BF3283" s="1119"/>
      <c r="BG3283" s="1119"/>
      <c r="BH3283" s="1119"/>
    </row>
    <row r="3284" spans="1:60" ht="15.75" customHeight="1">
      <c r="A3284" s="1076"/>
      <c r="B3284" s="1080"/>
      <c r="C3284" s="424"/>
      <c r="G3284" s="312"/>
      <c r="H3284" s="467"/>
      <c r="I3284" s="467"/>
      <c r="J3284" s="469"/>
      <c r="K3284" s="312"/>
      <c r="L3284" s="312"/>
      <c r="M3284" s="312"/>
      <c r="N3284" s="467"/>
      <c r="O3284" s="467"/>
      <c r="P3284" s="467"/>
      <c r="AL3284" s="436"/>
      <c r="AM3284" s="436"/>
      <c r="AQ3284" s="436"/>
      <c r="AR3284" s="436"/>
      <c r="AS3284" s="436"/>
      <c r="AT3284" s="436"/>
      <c r="AU3284" s="436"/>
      <c r="AV3284" s="436"/>
      <c r="AW3284" s="436"/>
      <c r="AX3284" s="436"/>
      <c r="AY3284" s="436"/>
      <c r="AZ3284" s="475"/>
      <c r="BA3284" s="475"/>
      <c r="BF3284" s="1119"/>
      <c r="BG3284" s="1119"/>
      <c r="BH3284" s="1119"/>
    </row>
    <row r="3285" spans="1:60" ht="15.75" customHeight="1">
      <c r="A3285" s="1076"/>
      <c r="B3285" s="1080"/>
      <c r="C3285" s="424"/>
      <c r="G3285" s="312"/>
      <c r="H3285" s="467"/>
      <c r="I3285" s="467"/>
      <c r="J3285" s="469"/>
      <c r="K3285" s="312"/>
      <c r="L3285" s="312"/>
      <c r="M3285" s="312"/>
      <c r="N3285" s="467"/>
      <c r="O3285" s="467"/>
      <c r="P3285" s="467"/>
      <c r="AL3285" s="436"/>
      <c r="AM3285" s="436"/>
      <c r="AQ3285" s="436"/>
      <c r="AR3285" s="436"/>
      <c r="AS3285" s="436"/>
      <c r="AT3285" s="436"/>
      <c r="AU3285" s="436"/>
      <c r="AV3285" s="436"/>
      <c r="AW3285" s="436"/>
      <c r="AX3285" s="436"/>
      <c r="AY3285" s="436"/>
      <c r="AZ3285" s="475"/>
      <c r="BA3285" s="475"/>
      <c r="BF3285" s="1119"/>
      <c r="BG3285" s="1119"/>
      <c r="BH3285" s="1119"/>
    </row>
    <row r="3286" spans="1:60" ht="15.75" customHeight="1">
      <c r="A3286" s="1076"/>
      <c r="B3286" s="1080"/>
      <c r="C3286" s="424"/>
      <c r="G3286" s="312"/>
      <c r="H3286" s="467"/>
      <c r="I3286" s="467"/>
      <c r="J3286" s="469"/>
      <c r="K3286" s="312"/>
      <c r="L3286" s="312"/>
      <c r="M3286" s="312"/>
      <c r="N3286" s="467"/>
      <c r="O3286" s="467"/>
      <c r="P3286" s="467"/>
      <c r="AL3286" s="436"/>
      <c r="AM3286" s="436"/>
      <c r="AQ3286" s="436"/>
      <c r="AR3286" s="436"/>
      <c r="AS3286" s="436"/>
      <c r="AT3286" s="436"/>
      <c r="AU3286" s="436"/>
      <c r="AV3286" s="436"/>
      <c r="AW3286" s="436"/>
      <c r="AX3286" s="436"/>
      <c r="AY3286" s="436"/>
      <c r="AZ3286" s="475"/>
      <c r="BA3286" s="475"/>
      <c r="BF3286" s="1119"/>
      <c r="BG3286" s="1119"/>
      <c r="BH3286" s="1119"/>
    </row>
    <row r="3287" spans="1:60" ht="15.75" customHeight="1">
      <c r="A3287" s="1076"/>
      <c r="B3287" s="1080"/>
      <c r="C3287" s="424"/>
      <c r="G3287" s="312"/>
      <c r="H3287" s="467"/>
      <c r="I3287" s="467"/>
      <c r="J3287" s="469"/>
      <c r="K3287" s="312"/>
      <c r="L3287" s="312"/>
      <c r="M3287" s="312"/>
      <c r="N3287" s="467"/>
      <c r="O3287" s="467"/>
      <c r="P3287" s="467"/>
      <c r="AL3287" s="436"/>
      <c r="AM3287" s="436"/>
      <c r="AQ3287" s="436"/>
      <c r="AR3287" s="436"/>
      <c r="AS3287" s="436"/>
      <c r="AT3287" s="436"/>
      <c r="AU3287" s="436"/>
      <c r="AV3287" s="436"/>
      <c r="AW3287" s="436"/>
      <c r="AX3287" s="436"/>
      <c r="AY3287" s="436"/>
      <c r="AZ3287" s="475"/>
      <c r="BA3287" s="475"/>
      <c r="BF3287" s="1119"/>
      <c r="BG3287" s="1119"/>
      <c r="BH3287" s="1119"/>
    </row>
    <row r="3288" spans="1:60" ht="15.75" customHeight="1">
      <c r="A3288" s="1076"/>
      <c r="B3288" s="1080"/>
      <c r="C3288" s="424"/>
      <c r="G3288" s="312"/>
      <c r="H3288" s="467"/>
      <c r="I3288" s="467"/>
      <c r="J3288" s="469"/>
      <c r="K3288" s="312"/>
      <c r="L3288" s="312"/>
      <c r="M3288" s="312"/>
      <c r="N3288" s="467"/>
      <c r="O3288" s="467"/>
      <c r="P3288" s="467"/>
      <c r="AL3288" s="436"/>
      <c r="AM3288" s="436"/>
      <c r="AQ3288" s="436"/>
      <c r="AR3288" s="436"/>
      <c r="AS3288" s="436"/>
      <c r="AT3288" s="436"/>
      <c r="AU3288" s="436"/>
      <c r="AV3288" s="436"/>
      <c r="AW3288" s="436"/>
      <c r="AX3288" s="436"/>
      <c r="AY3288" s="436"/>
      <c r="AZ3288" s="475"/>
      <c r="BA3288" s="475"/>
      <c r="BF3288" s="1119"/>
      <c r="BG3288" s="1119"/>
      <c r="BH3288" s="1119"/>
    </row>
    <row r="3289" spans="1:60" ht="15.75" customHeight="1">
      <c r="A3289" s="1076"/>
      <c r="B3289" s="1080"/>
      <c r="C3289" s="424"/>
      <c r="G3289" s="312"/>
      <c r="H3289" s="467"/>
      <c r="I3289" s="467"/>
      <c r="J3289" s="469"/>
      <c r="K3289" s="312"/>
      <c r="L3289" s="312"/>
      <c r="M3289" s="312"/>
      <c r="N3289" s="467"/>
      <c r="O3289" s="467"/>
      <c r="P3289" s="467"/>
      <c r="AL3289" s="436"/>
      <c r="AM3289" s="436"/>
      <c r="AQ3289" s="436"/>
      <c r="AR3289" s="436"/>
      <c r="AS3289" s="436"/>
      <c r="AT3289" s="436"/>
      <c r="AU3289" s="436"/>
      <c r="AV3289" s="436"/>
      <c r="AW3289" s="436"/>
      <c r="AX3289" s="436"/>
      <c r="AY3289" s="436"/>
      <c r="AZ3289" s="475"/>
      <c r="BA3289" s="475"/>
      <c r="BF3289" s="1119"/>
      <c r="BG3289" s="1119"/>
      <c r="BH3289" s="1119"/>
    </row>
    <row r="3290" spans="1:60" ht="15.75" customHeight="1">
      <c r="A3290" s="1076"/>
      <c r="B3290" s="1080"/>
      <c r="C3290" s="424"/>
      <c r="G3290" s="312"/>
      <c r="H3290" s="467"/>
      <c r="I3290" s="467"/>
      <c r="J3290" s="469"/>
      <c r="K3290" s="312"/>
      <c r="L3290" s="312"/>
      <c r="M3290" s="312"/>
      <c r="N3290" s="467"/>
      <c r="O3290" s="467"/>
      <c r="P3290" s="467"/>
      <c r="AL3290" s="436"/>
      <c r="AM3290" s="436"/>
      <c r="AQ3290" s="436"/>
      <c r="AR3290" s="436"/>
      <c r="AS3290" s="436"/>
      <c r="AT3290" s="436"/>
      <c r="AU3290" s="436"/>
      <c r="AV3290" s="436"/>
      <c r="AW3290" s="436"/>
      <c r="AX3290" s="436"/>
      <c r="AY3290" s="436"/>
      <c r="AZ3290" s="475"/>
      <c r="BA3290" s="475"/>
      <c r="BF3290" s="1119"/>
      <c r="BG3290" s="1119"/>
      <c r="BH3290" s="1119"/>
    </row>
    <row r="3291" spans="1:60" ht="15.75" customHeight="1">
      <c r="A3291" s="1076"/>
      <c r="B3291" s="1080"/>
      <c r="C3291" s="424"/>
      <c r="G3291" s="312"/>
      <c r="H3291" s="467"/>
      <c r="I3291" s="467"/>
      <c r="J3291" s="469"/>
      <c r="K3291" s="312"/>
      <c r="L3291" s="312"/>
      <c r="M3291" s="312"/>
      <c r="N3291" s="467"/>
      <c r="O3291" s="467"/>
      <c r="P3291" s="467"/>
      <c r="AL3291" s="436"/>
      <c r="AM3291" s="436"/>
      <c r="AQ3291" s="436"/>
      <c r="AR3291" s="436"/>
      <c r="AS3291" s="436"/>
      <c r="AT3291" s="436"/>
      <c r="AU3291" s="436"/>
      <c r="AV3291" s="436"/>
      <c r="AW3291" s="436"/>
      <c r="AX3291" s="436"/>
      <c r="AY3291" s="436"/>
      <c r="AZ3291" s="475"/>
      <c r="BA3291" s="475"/>
      <c r="BF3291" s="1119"/>
      <c r="BG3291" s="1119"/>
      <c r="BH3291" s="1119"/>
    </row>
    <row r="3292" spans="1:60" ht="15.75" customHeight="1">
      <c r="A3292" s="1076"/>
      <c r="B3292" s="1080"/>
      <c r="C3292" s="424"/>
      <c r="G3292" s="312"/>
      <c r="H3292" s="467"/>
      <c r="I3292" s="467"/>
      <c r="J3292" s="469"/>
      <c r="K3292" s="312"/>
      <c r="L3292" s="312"/>
      <c r="M3292" s="312"/>
      <c r="N3292" s="467"/>
      <c r="O3292" s="467"/>
      <c r="P3292" s="467"/>
      <c r="AL3292" s="436"/>
      <c r="AM3292" s="436"/>
      <c r="AQ3292" s="436"/>
      <c r="AR3292" s="436"/>
      <c r="AS3292" s="436"/>
      <c r="AT3292" s="436"/>
      <c r="AU3292" s="436"/>
      <c r="AV3292" s="436"/>
      <c r="AW3292" s="436"/>
      <c r="AX3292" s="436"/>
      <c r="AY3292" s="436"/>
      <c r="AZ3292" s="475"/>
      <c r="BA3292" s="475"/>
      <c r="BF3292" s="1119"/>
      <c r="BG3292" s="1119"/>
      <c r="BH3292" s="1119"/>
    </row>
    <row r="3293" spans="1:60" ht="15.75" customHeight="1">
      <c r="A3293" s="1076"/>
      <c r="B3293" s="1080"/>
      <c r="C3293" s="424"/>
      <c r="G3293" s="312"/>
      <c r="H3293" s="467"/>
      <c r="I3293" s="467"/>
      <c r="J3293" s="469"/>
      <c r="K3293" s="312"/>
      <c r="L3293" s="312"/>
      <c r="M3293" s="312"/>
      <c r="N3293" s="467"/>
      <c r="O3293" s="467"/>
      <c r="P3293" s="467"/>
      <c r="AL3293" s="436"/>
      <c r="AM3293" s="436"/>
      <c r="AQ3293" s="436"/>
      <c r="AR3293" s="436"/>
      <c r="AS3293" s="436"/>
      <c r="AT3293" s="436"/>
      <c r="AU3293" s="436"/>
      <c r="AV3293" s="436"/>
      <c r="AW3293" s="436"/>
      <c r="AX3293" s="436"/>
      <c r="AY3293" s="436"/>
      <c r="AZ3293" s="475"/>
      <c r="BA3293" s="475"/>
      <c r="BF3293" s="1119"/>
      <c r="BG3293" s="1119"/>
      <c r="BH3293" s="1119"/>
    </row>
    <row r="3294" spans="1:60" ht="15.75" customHeight="1">
      <c r="A3294" s="1076"/>
      <c r="B3294" s="1080"/>
      <c r="C3294" s="424"/>
      <c r="G3294" s="312"/>
      <c r="H3294" s="467"/>
      <c r="I3294" s="467"/>
      <c r="J3294" s="469"/>
      <c r="K3294" s="312"/>
      <c r="L3294" s="312"/>
      <c r="M3294" s="312"/>
      <c r="N3294" s="467"/>
      <c r="O3294" s="467"/>
      <c r="P3294" s="467"/>
      <c r="AL3294" s="436"/>
      <c r="AM3294" s="436"/>
      <c r="AQ3294" s="436"/>
      <c r="AR3294" s="436"/>
      <c r="AS3294" s="436"/>
      <c r="AT3294" s="436"/>
      <c r="AU3294" s="436"/>
      <c r="AV3294" s="436"/>
      <c r="AW3294" s="436"/>
      <c r="AX3294" s="436"/>
      <c r="AY3294" s="436"/>
      <c r="AZ3294" s="475"/>
      <c r="BA3294" s="475"/>
      <c r="BF3294" s="1119"/>
      <c r="BG3294" s="1119"/>
      <c r="BH3294" s="1119"/>
    </row>
    <row r="3295" spans="1:60" ht="15.75" customHeight="1">
      <c r="A3295" s="1076"/>
      <c r="B3295" s="1080"/>
      <c r="C3295" s="424"/>
      <c r="G3295" s="312"/>
      <c r="H3295" s="467"/>
      <c r="I3295" s="467"/>
      <c r="J3295" s="469"/>
      <c r="K3295" s="312"/>
      <c r="L3295" s="312"/>
      <c r="M3295" s="312"/>
      <c r="N3295" s="467"/>
      <c r="O3295" s="467"/>
      <c r="P3295" s="467"/>
      <c r="AL3295" s="436"/>
      <c r="AM3295" s="436"/>
      <c r="AQ3295" s="436"/>
      <c r="AR3295" s="436"/>
      <c r="AS3295" s="436"/>
      <c r="AT3295" s="436"/>
      <c r="AU3295" s="436"/>
      <c r="AV3295" s="436"/>
      <c r="AW3295" s="436"/>
      <c r="AX3295" s="436"/>
      <c r="AY3295" s="436"/>
      <c r="AZ3295" s="475"/>
      <c r="BA3295" s="475"/>
      <c r="BF3295" s="1119"/>
      <c r="BG3295" s="1119"/>
      <c r="BH3295" s="1119"/>
    </row>
    <row r="3296" spans="1:60" ht="15.75" customHeight="1">
      <c r="A3296" s="1076"/>
      <c r="B3296" s="1080"/>
      <c r="C3296" s="424"/>
      <c r="G3296" s="312"/>
      <c r="H3296" s="467"/>
      <c r="I3296" s="467"/>
      <c r="J3296" s="469"/>
      <c r="K3296" s="312"/>
      <c r="L3296" s="312"/>
      <c r="M3296" s="312"/>
      <c r="N3296" s="467"/>
      <c r="O3296" s="467"/>
      <c r="P3296" s="467"/>
      <c r="AL3296" s="436"/>
      <c r="AM3296" s="436"/>
      <c r="AQ3296" s="436"/>
      <c r="AR3296" s="436"/>
      <c r="AS3296" s="436"/>
      <c r="AT3296" s="436"/>
      <c r="AU3296" s="436"/>
      <c r="AV3296" s="436"/>
      <c r="AW3296" s="436"/>
      <c r="AX3296" s="436"/>
      <c r="AY3296" s="436"/>
      <c r="AZ3296" s="475"/>
      <c r="BA3296" s="475"/>
      <c r="BF3296" s="1119"/>
      <c r="BG3296" s="1119"/>
      <c r="BH3296" s="1119"/>
    </row>
    <row r="3297" spans="1:60" ht="15.75" customHeight="1">
      <c r="A3297" s="1076"/>
      <c r="B3297" s="1080"/>
      <c r="C3297" s="424"/>
      <c r="G3297" s="312"/>
      <c r="H3297" s="467"/>
      <c r="I3297" s="467"/>
      <c r="J3297" s="469"/>
      <c r="K3297" s="312"/>
      <c r="L3297" s="312"/>
      <c r="M3297" s="312"/>
      <c r="N3297" s="467"/>
      <c r="O3297" s="467"/>
      <c r="P3297" s="467"/>
      <c r="AL3297" s="436"/>
      <c r="AM3297" s="436"/>
      <c r="AQ3297" s="436"/>
      <c r="AR3297" s="436"/>
      <c r="AS3297" s="436"/>
      <c r="AT3297" s="436"/>
      <c r="AU3297" s="436"/>
      <c r="AV3297" s="436"/>
      <c r="AW3297" s="436"/>
      <c r="AX3297" s="436"/>
      <c r="AY3297" s="436"/>
      <c r="AZ3297" s="475"/>
      <c r="BA3297" s="475"/>
      <c r="BF3297" s="1119"/>
      <c r="BG3297" s="1119"/>
      <c r="BH3297" s="1119"/>
    </row>
    <row r="3298" spans="1:60" ht="15.75" customHeight="1">
      <c r="A3298" s="1076"/>
      <c r="B3298" s="1080"/>
      <c r="C3298" s="424"/>
      <c r="G3298" s="312"/>
      <c r="H3298" s="467"/>
      <c r="I3298" s="467"/>
      <c r="J3298" s="469"/>
      <c r="K3298" s="312"/>
      <c r="L3298" s="312"/>
      <c r="M3298" s="312"/>
      <c r="N3298" s="467"/>
      <c r="O3298" s="467"/>
      <c r="P3298" s="467"/>
      <c r="AL3298" s="436"/>
      <c r="AM3298" s="436"/>
      <c r="AQ3298" s="436"/>
      <c r="AR3298" s="436"/>
      <c r="AS3298" s="436"/>
      <c r="AT3298" s="436"/>
      <c r="AU3298" s="436"/>
      <c r="AV3298" s="436"/>
      <c r="AW3298" s="436"/>
      <c r="AX3298" s="436"/>
      <c r="AY3298" s="436"/>
      <c r="AZ3298" s="475"/>
      <c r="BA3298" s="475"/>
      <c r="BF3298" s="1119"/>
      <c r="BG3298" s="1119"/>
      <c r="BH3298" s="1119"/>
    </row>
    <row r="3299" spans="1:60" ht="15.75" customHeight="1">
      <c r="A3299" s="1076"/>
      <c r="B3299" s="1080"/>
      <c r="C3299" s="424"/>
      <c r="G3299" s="312"/>
      <c r="H3299" s="467"/>
      <c r="I3299" s="467"/>
      <c r="J3299" s="469"/>
      <c r="K3299" s="312"/>
      <c r="L3299" s="312"/>
      <c r="M3299" s="312"/>
      <c r="N3299" s="467"/>
      <c r="O3299" s="467"/>
      <c r="P3299" s="467"/>
      <c r="AL3299" s="436"/>
      <c r="AM3299" s="436"/>
      <c r="AQ3299" s="436"/>
      <c r="AR3299" s="436"/>
      <c r="AS3299" s="436"/>
      <c r="AT3299" s="436"/>
      <c r="AU3299" s="436"/>
      <c r="AV3299" s="436"/>
      <c r="AW3299" s="436"/>
      <c r="AX3299" s="436"/>
      <c r="AY3299" s="436"/>
      <c r="AZ3299" s="475"/>
      <c r="BA3299" s="475"/>
      <c r="BF3299" s="1119"/>
      <c r="BG3299" s="1119"/>
      <c r="BH3299" s="1119"/>
    </row>
    <row r="3300" spans="1:60" ht="15.75" customHeight="1">
      <c r="A3300" s="1076"/>
      <c r="B3300" s="1080"/>
      <c r="C3300" s="424"/>
      <c r="G3300" s="312"/>
      <c r="H3300" s="467"/>
      <c r="I3300" s="467"/>
      <c r="J3300" s="469"/>
      <c r="K3300" s="312"/>
      <c r="L3300" s="312"/>
      <c r="M3300" s="312"/>
      <c r="N3300" s="467"/>
      <c r="O3300" s="467"/>
      <c r="P3300" s="467"/>
      <c r="AL3300" s="436"/>
      <c r="AM3300" s="436"/>
      <c r="AQ3300" s="436"/>
      <c r="AR3300" s="436"/>
      <c r="AS3300" s="436"/>
      <c r="AT3300" s="436"/>
      <c r="AU3300" s="436"/>
      <c r="AV3300" s="436"/>
      <c r="AW3300" s="436"/>
      <c r="AX3300" s="436"/>
      <c r="AY3300" s="436"/>
      <c r="AZ3300" s="475"/>
      <c r="BA3300" s="475"/>
      <c r="BF3300" s="1119"/>
      <c r="BG3300" s="1119"/>
      <c r="BH3300" s="1119"/>
    </row>
    <row r="3301" spans="1:60" ht="15.75" customHeight="1">
      <c r="A3301" s="1076"/>
      <c r="B3301" s="1080"/>
      <c r="C3301" s="424"/>
      <c r="G3301" s="312"/>
      <c r="H3301" s="467"/>
      <c r="I3301" s="467"/>
      <c r="J3301" s="469"/>
      <c r="K3301" s="312"/>
      <c r="L3301" s="312"/>
      <c r="M3301" s="312"/>
      <c r="N3301" s="467"/>
      <c r="O3301" s="467"/>
      <c r="P3301" s="467"/>
      <c r="AL3301" s="436"/>
      <c r="AM3301" s="436"/>
      <c r="AQ3301" s="436"/>
      <c r="AR3301" s="436"/>
      <c r="AS3301" s="436"/>
      <c r="AT3301" s="436"/>
      <c r="AU3301" s="436"/>
      <c r="AV3301" s="436"/>
      <c r="AW3301" s="436"/>
      <c r="AX3301" s="436"/>
      <c r="AY3301" s="436"/>
      <c r="AZ3301" s="475"/>
      <c r="BA3301" s="475"/>
      <c r="BF3301" s="1119"/>
      <c r="BG3301" s="1119"/>
      <c r="BH3301" s="1119"/>
    </row>
    <row r="3302" spans="1:60" ht="15.75" customHeight="1">
      <c r="A3302" s="1076"/>
      <c r="B3302" s="1080"/>
      <c r="C3302" s="424"/>
      <c r="G3302" s="312"/>
      <c r="H3302" s="467"/>
      <c r="I3302" s="467"/>
      <c r="J3302" s="469"/>
      <c r="K3302" s="312"/>
      <c r="L3302" s="312"/>
      <c r="M3302" s="312"/>
      <c r="N3302" s="467"/>
      <c r="O3302" s="467"/>
      <c r="P3302" s="467"/>
      <c r="AL3302" s="436"/>
      <c r="AM3302" s="436"/>
      <c r="AQ3302" s="436"/>
      <c r="AR3302" s="436"/>
      <c r="AS3302" s="436"/>
      <c r="AT3302" s="436"/>
      <c r="AU3302" s="436"/>
      <c r="AV3302" s="436"/>
      <c r="AW3302" s="436"/>
      <c r="AX3302" s="436"/>
      <c r="AY3302" s="436"/>
      <c r="AZ3302" s="475"/>
      <c r="BA3302" s="475"/>
      <c r="BF3302" s="1119"/>
      <c r="BG3302" s="1119"/>
      <c r="BH3302" s="1119"/>
    </row>
    <row r="3303" spans="1:60" ht="15.75" customHeight="1">
      <c r="A3303" s="1076"/>
      <c r="B3303" s="1080"/>
      <c r="C3303" s="424"/>
      <c r="G3303" s="312"/>
      <c r="H3303" s="467"/>
      <c r="I3303" s="467"/>
      <c r="J3303" s="469"/>
      <c r="K3303" s="312"/>
      <c r="L3303" s="312"/>
      <c r="M3303" s="312"/>
      <c r="N3303" s="467"/>
      <c r="O3303" s="467"/>
      <c r="P3303" s="467"/>
      <c r="AL3303" s="436"/>
      <c r="AM3303" s="436"/>
      <c r="AQ3303" s="436"/>
      <c r="AR3303" s="436"/>
      <c r="AS3303" s="436"/>
      <c r="AT3303" s="436"/>
      <c r="AU3303" s="436"/>
      <c r="AV3303" s="436"/>
      <c r="AW3303" s="436"/>
      <c r="AX3303" s="436"/>
      <c r="AY3303" s="436"/>
      <c r="AZ3303" s="475"/>
      <c r="BA3303" s="475"/>
      <c r="BF3303" s="1119"/>
      <c r="BG3303" s="1119"/>
      <c r="BH3303" s="1119"/>
    </row>
    <row r="3304" spans="1:60" ht="15.75" customHeight="1">
      <c r="A3304" s="1076"/>
      <c r="B3304" s="1080"/>
      <c r="C3304" s="424"/>
      <c r="G3304" s="312"/>
      <c r="H3304" s="467"/>
      <c r="I3304" s="467"/>
      <c r="J3304" s="469"/>
      <c r="K3304" s="312"/>
      <c r="L3304" s="312"/>
      <c r="M3304" s="312"/>
      <c r="N3304" s="467"/>
      <c r="O3304" s="467"/>
      <c r="P3304" s="467"/>
      <c r="AL3304" s="436"/>
      <c r="AM3304" s="436"/>
      <c r="AQ3304" s="436"/>
      <c r="AR3304" s="436"/>
      <c r="AS3304" s="436"/>
      <c r="AT3304" s="436"/>
      <c r="AU3304" s="436"/>
      <c r="AV3304" s="436"/>
      <c r="AW3304" s="436"/>
      <c r="AX3304" s="436"/>
      <c r="AY3304" s="436"/>
      <c r="AZ3304" s="475"/>
      <c r="BA3304" s="475"/>
      <c r="BF3304" s="1119"/>
      <c r="BG3304" s="1119"/>
      <c r="BH3304" s="1119"/>
    </row>
    <row r="3305" spans="1:60" ht="15.75" customHeight="1">
      <c r="A3305" s="1076"/>
      <c r="B3305" s="1080"/>
      <c r="C3305" s="424"/>
      <c r="G3305" s="312"/>
      <c r="H3305" s="467"/>
      <c r="I3305" s="467"/>
      <c r="J3305" s="469"/>
      <c r="K3305" s="312"/>
      <c r="L3305" s="312"/>
      <c r="M3305" s="312"/>
      <c r="N3305" s="467"/>
      <c r="O3305" s="467"/>
      <c r="P3305" s="467"/>
      <c r="AL3305" s="436"/>
      <c r="AM3305" s="436"/>
      <c r="AQ3305" s="436"/>
      <c r="AR3305" s="436"/>
      <c r="AS3305" s="436"/>
      <c r="AT3305" s="436"/>
      <c r="AU3305" s="436"/>
      <c r="AV3305" s="436"/>
      <c r="AW3305" s="436"/>
      <c r="AX3305" s="436"/>
      <c r="AY3305" s="436"/>
      <c r="AZ3305" s="475"/>
      <c r="BA3305" s="475"/>
      <c r="BF3305" s="1119"/>
      <c r="BG3305" s="1119"/>
      <c r="BH3305" s="1119"/>
    </row>
    <row r="3306" spans="1:60" ht="15.75" customHeight="1">
      <c r="A3306" s="1076"/>
      <c r="B3306" s="1080"/>
      <c r="C3306" s="424"/>
      <c r="G3306" s="312"/>
      <c r="H3306" s="467"/>
      <c r="I3306" s="467"/>
      <c r="J3306" s="469"/>
      <c r="K3306" s="312"/>
      <c r="L3306" s="312"/>
      <c r="M3306" s="312"/>
      <c r="N3306" s="467"/>
      <c r="O3306" s="467"/>
      <c r="P3306" s="467"/>
      <c r="AL3306" s="436"/>
      <c r="AM3306" s="436"/>
      <c r="AQ3306" s="436"/>
      <c r="AR3306" s="436"/>
      <c r="AS3306" s="436"/>
      <c r="AT3306" s="436"/>
      <c r="AU3306" s="436"/>
      <c r="AV3306" s="436"/>
      <c r="AW3306" s="436"/>
      <c r="AX3306" s="436"/>
      <c r="AY3306" s="436"/>
      <c r="AZ3306" s="475"/>
      <c r="BA3306" s="475"/>
      <c r="BF3306" s="1119"/>
      <c r="BG3306" s="1119"/>
      <c r="BH3306" s="1119"/>
    </row>
    <row r="3307" spans="1:60" ht="15.75" customHeight="1">
      <c r="A3307" s="1076"/>
      <c r="B3307" s="1080"/>
      <c r="C3307" s="424"/>
      <c r="G3307" s="312"/>
      <c r="H3307" s="467"/>
      <c r="I3307" s="467"/>
      <c r="J3307" s="469"/>
      <c r="K3307" s="312"/>
      <c r="L3307" s="312"/>
      <c r="M3307" s="312"/>
      <c r="N3307" s="467"/>
      <c r="O3307" s="467"/>
      <c r="P3307" s="467"/>
      <c r="AL3307" s="436"/>
      <c r="AM3307" s="436"/>
      <c r="AQ3307" s="436"/>
      <c r="AR3307" s="436"/>
      <c r="AS3307" s="436"/>
      <c r="AT3307" s="436"/>
      <c r="AU3307" s="436"/>
      <c r="AV3307" s="436"/>
      <c r="AW3307" s="436"/>
      <c r="AX3307" s="436"/>
      <c r="AY3307" s="436"/>
      <c r="AZ3307" s="475"/>
      <c r="BA3307" s="475"/>
      <c r="BF3307" s="1119"/>
      <c r="BG3307" s="1119"/>
      <c r="BH3307" s="1119"/>
    </row>
    <row r="3308" spans="1:60" ht="15.75" customHeight="1">
      <c r="A3308" s="1076"/>
      <c r="B3308" s="1080"/>
      <c r="C3308" s="424"/>
      <c r="G3308" s="312"/>
      <c r="H3308" s="467"/>
      <c r="I3308" s="467"/>
      <c r="J3308" s="469"/>
      <c r="K3308" s="312"/>
      <c r="L3308" s="312"/>
      <c r="M3308" s="312"/>
      <c r="N3308" s="467"/>
      <c r="O3308" s="467"/>
      <c r="P3308" s="467"/>
      <c r="AL3308" s="436"/>
      <c r="AM3308" s="436"/>
      <c r="AQ3308" s="436"/>
      <c r="AR3308" s="436"/>
      <c r="AS3308" s="436"/>
      <c r="AT3308" s="436"/>
      <c r="AU3308" s="436"/>
      <c r="AV3308" s="436"/>
      <c r="AW3308" s="436"/>
      <c r="AX3308" s="436"/>
      <c r="AY3308" s="436"/>
      <c r="AZ3308" s="475"/>
      <c r="BA3308" s="475"/>
      <c r="BF3308" s="1119"/>
      <c r="BG3308" s="1119"/>
      <c r="BH3308" s="1119"/>
    </row>
    <row r="3309" spans="1:60" ht="15.75" customHeight="1">
      <c r="A3309" s="1076"/>
      <c r="B3309" s="1080"/>
      <c r="C3309" s="424"/>
      <c r="G3309" s="312"/>
      <c r="H3309" s="467"/>
      <c r="I3309" s="467"/>
      <c r="J3309" s="469"/>
      <c r="K3309" s="312"/>
      <c r="L3309" s="312"/>
      <c r="M3309" s="312"/>
      <c r="N3309" s="467"/>
      <c r="O3309" s="467"/>
      <c r="P3309" s="467"/>
      <c r="AL3309" s="436"/>
      <c r="AM3309" s="436"/>
      <c r="AQ3309" s="436"/>
      <c r="AR3309" s="436"/>
      <c r="AS3309" s="436"/>
      <c r="AT3309" s="436"/>
      <c r="AU3309" s="436"/>
      <c r="AV3309" s="436"/>
      <c r="AW3309" s="436"/>
      <c r="AX3309" s="436"/>
      <c r="AY3309" s="436"/>
      <c r="AZ3309" s="475"/>
      <c r="BA3309" s="475"/>
      <c r="BF3309" s="1119"/>
      <c r="BG3309" s="1119"/>
      <c r="BH3309" s="1119"/>
    </row>
    <row r="3310" spans="1:60" ht="15.75" customHeight="1">
      <c r="A3310" s="1076"/>
      <c r="B3310" s="1080"/>
      <c r="C3310" s="424"/>
      <c r="G3310" s="312"/>
      <c r="H3310" s="467"/>
      <c r="I3310" s="467"/>
      <c r="J3310" s="469"/>
      <c r="K3310" s="312"/>
      <c r="L3310" s="312"/>
      <c r="M3310" s="312"/>
      <c r="N3310" s="467"/>
      <c r="O3310" s="467"/>
      <c r="P3310" s="467"/>
      <c r="AL3310" s="436"/>
      <c r="AM3310" s="436"/>
      <c r="AQ3310" s="436"/>
      <c r="AR3310" s="436"/>
      <c r="AS3310" s="436"/>
      <c r="AT3310" s="436"/>
      <c r="AU3310" s="436"/>
      <c r="AV3310" s="436"/>
      <c r="AW3310" s="436"/>
      <c r="AX3310" s="436"/>
      <c r="AY3310" s="436"/>
      <c r="AZ3310" s="475"/>
      <c r="BA3310" s="475"/>
      <c r="BF3310" s="1119"/>
      <c r="BG3310" s="1119"/>
      <c r="BH3310" s="1119"/>
    </row>
    <row r="3311" spans="1:60" ht="15.75" customHeight="1">
      <c r="A3311" s="1076"/>
      <c r="B3311" s="1080"/>
      <c r="C3311" s="424"/>
      <c r="G3311" s="312"/>
      <c r="H3311" s="467"/>
      <c r="I3311" s="467"/>
      <c r="J3311" s="469"/>
      <c r="K3311" s="312"/>
      <c r="L3311" s="312"/>
      <c r="M3311" s="312"/>
      <c r="N3311" s="467"/>
      <c r="O3311" s="467"/>
      <c r="P3311" s="467"/>
      <c r="AL3311" s="436"/>
      <c r="AM3311" s="436"/>
      <c r="AQ3311" s="436"/>
      <c r="AR3311" s="436"/>
      <c r="AS3311" s="436"/>
      <c r="AT3311" s="436"/>
      <c r="AU3311" s="436"/>
      <c r="AV3311" s="436"/>
      <c r="AW3311" s="436"/>
      <c r="AX3311" s="436"/>
      <c r="AY3311" s="436"/>
      <c r="AZ3311" s="475"/>
      <c r="BA3311" s="475"/>
      <c r="BF3311" s="1119"/>
      <c r="BG3311" s="1119"/>
      <c r="BH3311" s="1119"/>
    </row>
    <row r="3312" spans="1:60" ht="15.75" customHeight="1">
      <c r="A3312" s="1076"/>
      <c r="B3312" s="1080"/>
      <c r="C3312" s="424"/>
      <c r="G3312" s="312"/>
      <c r="H3312" s="467"/>
      <c r="I3312" s="467"/>
      <c r="J3312" s="469"/>
      <c r="K3312" s="312"/>
      <c r="L3312" s="312"/>
      <c r="M3312" s="312"/>
      <c r="N3312" s="467"/>
      <c r="O3312" s="467"/>
      <c r="P3312" s="467"/>
      <c r="AL3312" s="436"/>
      <c r="AM3312" s="436"/>
      <c r="AQ3312" s="436"/>
      <c r="AR3312" s="436"/>
      <c r="AS3312" s="436"/>
      <c r="AT3312" s="436"/>
      <c r="AU3312" s="436"/>
      <c r="AV3312" s="436"/>
      <c r="AW3312" s="436"/>
      <c r="AX3312" s="436"/>
      <c r="AY3312" s="436"/>
      <c r="AZ3312" s="475"/>
      <c r="BA3312" s="475"/>
      <c r="BF3312" s="1119"/>
      <c r="BG3312" s="1119"/>
      <c r="BH3312" s="1119"/>
    </row>
    <row r="3313" spans="1:60" ht="15.75" customHeight="1">
      <c r="A3313" s="1076"/>
      <c r="B3313" s="1080"/>
      <c r="C3313" s="424"/>
      <c r="G3313" s="312"/>
      <c r="H3313" s="467"/>
      <c r="I3313" s="467"/>
      <c r="J3313" s="469"/>
      <c r="K3313" s="312"/>
      <c r="L3313" s="312"/>
      <c r="M3313" s="312"/>
      <c r="N3313" s="467"/>
      <c r="O3313" s="467"/>
      <c r="P3313" s="467"/>
      <c r="AL3313" s="436"/>
      <c r="AM3313" s="436"/>
      <c r="AQ3313" s="436"/>
      <c r="AR3313" s="436"/>
      <c r="AS3313" s="436"/>
      <c r="AT3313" s="436"/>
      <c r="AU3313" s="436"/>
      <c r="AV3313" s="436"/>
      <c r="AW3313" s="436"/>
      <c r="AX3313" s="436"/>
      <c r="AY3313" s="436"/>
      <c r="AZ3313" s="475"/>
      <c r="BA3313" s="475"/>
      <c r="BF3313" s="1119"/>
      <c r="BG3313" s="1119"/>
      <c r="BH3313" s="1119"/>
    </row>
    <row r="3314" spans="1:60" ht="15.75" customHeight="1">
      <c r="A3314" s="1076"/>
      <c r="B3314" s="1080"/>
      <c r="C3314" s="424"/>
      <c r="G3314" s="312"/>
      <c r="H3314" s="467"/>
      <c r="I3314" s="467"/>
      <c r="J3314" s="469"/>
      <c r="K3314" s="312"/>
      <c r="L3314" s="312"/>
      <c r="M3314" s="312"/>
      <c r="N3314" s="467"/>
      <c r="O3314" s="467"/>
      <c r="P3314" s="467"/>
      <c r="AL3314" s="436"/>
      <c r="AM3314" s="436"/>
      <c r="AQ3314" s="436"/>
      <c r="AR3314" s="436"/>
      <c r="AS3314" s="436"/>
      <c r="AT3314" s="436"/>
      <c r="AU3314" s="436"/>
      <c r="AV3314" s="436"/>
      <c r="AW3314" s="436"/>
      <c r="AX3314" s="436"/>
      <c r="AY3314" s="436"/>
      <c r="AZ3314" s="475"/>
      <c r="BA3314" s="475"/>
      <c r="BF3314" s="1119"/>
      <c r="BG3314" s="1119"/>
      <c r="BH3314" s="1119"/>
    </row>
    <row r="3315" spans="1:60" ht="15.75" customHeight="1">
      <c r="A3315" s="1076"/>
      <c r="B3315" s="1080"/>
      <c r="C3315" s="424"/>
      <c r="G3315" s="312"/>
      <c r="H3315" s="467"/>
      <c r="I3315" s="467"/>
      <c r="J3315" s="469"/>
      <c r="K3315" s="312"/>
      <c r="L3315" s="312"/>
      <c r="M3315" s="312"/>
      <c r="N3315" s="467"/>
      <c r="O3315" s="467"/>
      <c r="P3315" s="467"/>
      <c r="AL3315" s="436"/>
      <c r="AM3315" s="436"/>
      <c r="AQ3315" s="436"/>
      <c r="AR3315" s="436"/>
      <c r="AS3315" s="436"/>
      <c r="AT3315" s="436"/>
      <c r="AU3315" s="436"/>
      <c r="AV3315" s="436"/>
      <c r="AW3315" s="436"/>
      <c r="AX3315" s="436"/>
      <c r="AY3315" s="436"/>
      <c r="AZ3315" s="475"/>
      <c r="BA3315" s="475"/>
      <c r="BF3315" s="1119"/>
      <c r="BG3315" s="1119"/>
      <c r="BH3315" s="1119"/>
    </row>
    <row r="3316" spans="1:60" ht="15.75" customHeight="1">
      <c r="A3316" s="1076"/>
      <c r="B3316" s="1080"/>
      <c r="C3316" s="424"/>
      <c r="G3316" s="312"/>
      <c r="H3316" s="467"/>
      <c r="I3316" s="467"/>
      <c r="J3316" s="469"/>
      <c r="K3316" s="312"/>
      <c r="L3316" s="312"/>
      <c r="M3316" s="312"/>
      <c r="N3316" s="467"/>
      <c r="O3316" s="467"/>
      <c r="P3316" s="467"/>
      <c r="AL3316" s="436"/>
      <c r="AM3316" s="436"/>
      <c r="AQ3316" s="436"/>
      <c r="AR3316" s="436"/>
      <c r="AS3316" s="436"/>
      <c r="AT3316" s="436"/>
      <c r="AU3316" s="436"/>
      <c r="AV3316" s="436"/>
      <c r="AW3316" s="436"/>
      <c r="AX3316" s="436"/>
      <c r="AY3316" s="436"/>
      <c r="AZ3316" s="475"/>
      <c r="BA3316" s="475"/>
      <c r="BF3316" s="1119"/>
      <c r="BG3316" s="1119"/>
      <c r="BH3316" s="1119"/>
    </row>
    <row r="3317" spans="1:60" ht="15.75" customHeight="1">
      <c r="A3317" s="1076"/>
      <c r="B3317" s="1080"/>
      <c r="C3317" s="424"/>
      <c r="G3317" s="312"/>
      <c r="H3317" s="467"/>
      <c r="I3317" s="467"/>
      <c r="J3317" s="469"/>
      <c r="K3317" s="312"/>
      <c r="L3317" s="312"/>
      <c r="M3317" s="312"/>
      <c r="N3317" s="467"/>
      <c r="O3317" s="467"/>
      <c r="P3317" s="467"/>
      <c r="AL3317" s="436"/>
      <c r="AM3317" s="436"/>
      <c r="AQ3317" s="436"/>
      <c r="AR3317" s="436"/>
      <c r="AS3317" s="436"/>
      <c r="AT3317" s="436"/>
      <c r="AU3317" s="436"/>
      <c r="AV3317" s="436"/>
      <c r="AW3317" s="436"/>
      <c r="AX3317" s="436"/>
      <c r="AY3317" s="436"/>
      <c r="AZ3317" s="475"/>
      <c r="BA3317" s="475"/>
      <c r="BF3317" s="1119"/>
      <c r="BG3317" s="1119"/>
      <c r="BH3317" s="1119"/>
    </row>
    <row r="3318" spans="1:60" ht="15.75" customHeight="1">
      <c r="A3318" s="1076"/>
      <c r="B3318" s="1080"/>
      <c r="C3318" s="424"/>
      <c r="G3318" s="312"/>
      <c r="H3318" s="467"/>
      <c r="I3318" s="467"/>
      <c r="J3318" s="469"/>
      <c r="K3318" s="312"/>
      <c r="L3318" s="312"/>
      <c r="M3318" s="312"/>
      <c r="N3318" s="467"/>
      <c r="O3318" s="467"/>
      <c r="P3318" s="467"/>
      <c r="AL3318" s="436"/>
      <c r="AM3318" s="436"/>
      <c r="AQ3318" s="436"/>
      <c r="AR3318" s="436"/>
      <c r="AS3318" s="436"/>
      <c r="AT3318" s="436"/>
      <c r="AU3318" s="436"/>
      <c r="AV3318" s="436"/>
      <c r="AW3318" s="436"/>
      <c r="AX3318" s="436"/>
      <c r="AY3318" s="436"/>
      <c r="AZ3318" s="475"/>
      <c r="BA3318" s="475"/>
      <c r="BF3318" s="1119"/>
      <c r="BG3318" s="1119"/>
      <c r="BH3318" s="1119"/>
    </row>
    <row r="3319" spans="1:60" ht="15.75" customHeight="1">
      <c r="A3319" s="1076"/>
      <c r="B3319" s="1080"/>
      <c r="C3319" s="424"/>
      <c r="G3319" s="312"/>
      <c r="H3319" s="467"/>
      <c r="I3319" s="467"/>
      <c r="J3319" s="469"/>
      <c r="K3319" s="312"/>
      <c r="L3319" s="312"/>
      <c r="M3319" s="312"/>
      <c r="N3319" s="467"/>
      <c r="O3319" s="467"/>
      <c r="P3319" s="467"/>
      <c r="AL3319" s="436"/>
      <c r="AM3319" s="436"/>
      <c r="AQ3319" s="436"/>
      <c r="AR3319" s="436"/>
      <c r="AS3319" s="436"/>
      <c r="AT3319" s="436"/>
      <c r="AU3319" s="436"/>
      <c r="AV3319" s="436"/>
      <c r="AW3319" s="436"/>
      <c r="AX3319" s="436"/>
      <c r="AY3319" s="436"/>
      <c r="AZ3319" s="475"/>
      <c r="BA3319" s="475"/>
      <c r="BF3319" s="1119"/>
      <c r="BG3319" s="1119"/>
      <c r="BH3319" s="1119"/>
    </row>
    <row r="3320" spans="1:60" ht="15.75" customHeight="1">
      <c r="A3320" s="1076"/>
      <c r="B3320" s="1080"/>
      <c r="C3320" s="424"/>
      <c r="G3320" s="312"/>
      <c r="H3320" s="467"/>
      <c r="I3320" s="467"/>
      <c r="J3320" s="469"/>
      <c r="K3320" s="312"/>
      <c r="L3320" s="312"/>
      <c r="M3320" s="312"/>
      <c r="N3320" s="467"/>
      <c r="O3320" s="467"/>
      <c r="P3320" s="467"/>
      <c r="AL3320" s="436"/>
      <c r="AM3320" s="436"/>
      <c r="AQ3320" s="436"/>
      <c r="AR3320" s="436"/>
      <c r="AS3320" s="436"/>
      <c r="AT3320" s="436"/>
      <c r="AU3320" s="436"/>
      <c r="AV3320" s="436"/>
      <c r="AW3320" s="436"/>
      <c r="AX3320" s="436"/>
      <c r="AY3320" s="436"/>
      <c r="AZ3320" s="475"/>
      <c r="BA3320" s="475"/>
      <c r="BF3320" s="1119"/>
      <c r="BG3320" s="1119"/>
      <c r="BH3320" s="1119"/>
    </row>
    <row r="3321" spans="1:60" ht="15.75" customHeight="1">
      <c r="A3321" s="1076"/>
      <c r="B3321" s="1080"/>
      <c r="C3321" s="424"/>
      <c r="G3321" s="312"/>
      <c r="H3321" s="467"/>
      <c r="I3321" s="467"/>
      <c r="J3321" s="469"/>
      <c r="K3321" s="312"/>
      <c r="L3321" s="312"/>
      <c r="M3321" s="312"/>
      <c r="N3321" s="467"/>
      <c r="O3321" s="467"/>
      <c r="P3321" s="467"/>
      <c r="AL3321" s="436"/>
      <c r="AM3321" s="436"/>
      <c r="AQ3321" s="436"/>
      <c r="AR3321" s="436"/>
      <c r="AS3321" s="436"/>
      <c r="AT3321" s="436"/>
      <c r="AU3321" s="436"/>
      <c r="AV3321" s="436"/>
      <c r="AW3321" s="436"/>
      <c r="AX3321" s="436"/>
      <c r="AY3321" s="436"/>
      <c r="AZ3321" s="475"/>
      <c r="BA3321" s="475"/>
      <c r="BF3321" s="1119"/>
      <c r="BG3321" s="1119"/>
      <c r="BH3321" s="1119"/>
    </row>
    <row r="3322" spans="1:60" ht="15.75" customHeight="1">
      <c r="A3322" s="1076"/>
      <c r="B3322" s="1080"/>
      <c r="C3322" s="424"/>
      <c r="G3322" s="312"/>
      <c r="H3322" s="467"/>
      <c r="I3322" s="467"/>
      <c r="J3322" s="469"/>
      <c r="K3322" s="312"/>
      <c r="L3322" s="312"/>
      <c r="M3322" s="312"/>
      <c r="N3322" s="467"/>
      <c r="O3322" s="467"/>
      <c r="P3322" s="467"/>
      <c r="AL3322" s="436"/>
      <c r="AM3322" s="436"/>
      <c r="AQ3322" s="436"/>
      <c r="AR3322" s="436"/>
      <c r="AS3322" s="436"/>
      <c r="AT3322" s="436"/>
      <c r="AU3322" s="436"/>
      <c r="AV3322" s="436"/>
      <c r="AW3322" s="436"/>
      <c r="AX3322" s="436"/>
      <c r="AY3322" s="436"/>
      <c r="AZ3322" s="475"/>
      <c r="BA3322" s="475"/>
      <c r="BF3322" s="1119"/>
      <c r="BG3322" s="1119"/>
      <c r="BH3322" s="1119"/>
    </row>
    <row r="3323" spans="1:60" ht="15.75" customHeight="1">
      <c r="A3323" s="1076"/>
      <c r="B3323" s="1080"/>
      <c r="C3323" s="424"/>
      <c r="G3323" s="312"/>
      <c r="H3323" s="467"/>
      <c r="I3323" s="467"/>
      <c r="J3323" s="469"/>
      <c r="K3323" s="312"/>
      <c r="L3323" s="312"/>
      <c r="M3323" s="312"/>
      <c r="N3323" s="467"/>
      <c r="O3323" s="467"/>
      <c r="P3323" s="467"/>
      <c r="AL3323" s="436"/>
      <c r="AM3323" s="436"/>
      <c r="AQ3323" s="436"/>
      <c r="AR3323" s="436"/>
      <c r="AS3323" s="436"/>
      <c r="AT3323" s="436"/>
      <c r="AU3323" s="436"/>
      <c r="AV3323" s="436"/>
      <c r="AW3323" s="436"/>
      <c r="AX3323" s="436"/>
      <c r="AY3323" s="436"/>
      <c r="AZ3323" s="475"/>
      <c r="BA3323" s="475"/>
      <c r="BF3323" s="1119"/>
      <c r="BG3323" s="1119"/>
      <c r="BH3323" s="1119"/>
    </row>
    <row r="3324" spans="1:60" ht="15.75" customHeight="1">
      <c r="A3324" s="1076"/>
      <c r="B3324" s="1080"/>
      <c r="C3324" s="424"/>
      <c r="G3324" s="312"/>
      <c r="H3324" s="467"/>
      <c r="I3324" s="467"/>
      <c r="J3324" s="469"/>
      <c r="K3324" s="312"/>
      <c r="L3324" s="312"/>
      <c r="M3324" s="312"/>
      <c r="N3324" s="467"/>
      <c r="O3324" s="467"/>
      <c r="P3324" s="467"/>
      <c r="AL3324" s="436"/>
      <c r="AM3324" s="436"/>
      <c r="AQ3324" s="436"/>
      <c r="AR3324" s="436"/>
      <c r="AS3324" s="436"/>
      <c r="AT3324" s="436"/>
      <c r="AU3324" s="436"/>
      <c r="AV3324" s="436"/>
      <c r="AW3324" s="436"/>
      <c r="AX3324" s="436"/>
      <c r="AY3324" s="436"/>
      <c r="AZ3324" s="475"/>
      <c r="BA3324" s="475"/>
      <c r="BF3324" s="1119"/>
      <c r="BG3324" s="1119"/>
      <c r="BH3324" s="1119"/>
    </row>
    <row r="3325" spans="1:60" ht="15.75" customHeight="1">
      <c r="A3325" s="1076"/>
      <c r="B3325" s="1080"/>
      <c r="C3325" s="424"/>
      <c r="G3325" s="312"/>
      <c r="H3325" s="467"/>
      <c r="I3325" s="467"/>
      <c r="J3325" s="469"/>
      <c r="K3325" s="312"/>
      <c r="L3325" s="312"/>
      <c r="M3325" s="312"/>
      <c r="N3325" s="467"/>
      <c r="O3325" s="467"/>
      <c r="P3325" s="467"/>
      <c r="AL3325" s="436"/>
      <c r="AM3325" s="436"/>
      <c r="AQ3325" s="436"/>
      <c r="AR3325" s="436"/>
      <c r="AS3325" s="436"/>
      <c r="AT3325" s="436"/>
      <c r="AU3325" s="436"/>
      <c r="AV3325" s="436"/>
      <c r="AW3325" s="436"/>
      <c r="AX3325" s="436"/>
      <c r="AY3325" s="436"/>
      <c r="AZ3325" s="475"/>
      <c r="BA3325" s="475"/>
      <c r="BF3325" s="1119"/>
      <c r="BG3325" s="1119"/>
      <c r="BH3325" s="1119"/>
    </row>
    <row r="3326" spans="1:60" ht="15.75" customHeight="1">
      <c r="A3326" s="1076"/>
      <c r="B3326" s="1080"/>
      <c r="C3326" s="424"/>
      <c r="G3326" s="312"/>
      <c r="H3326" s="467"/>
      <c r="I3326" s="467"/>
      <c r="J3326" s="469"/>
      <c r="K3326" s="312"/>
      <c r="L3326" s="312"/>
      <c r="M3326" s="312"/>
      <c r="N3326" s="467"/>
      <c r="O3326" s="467"/>
      <c r="P3326" s="467"/>
      <c r="AL3326" s="436"/>
      <c r="AM3326" s="436"/>
      <c r="AQ3326" s="436"/>
      <c r="AR3326" s="436"/>
      <c r="AS3326" s="436"/>
      <c r="AT3326" s="436"/>
      <c r="AU3326" s="436"/>
      <c r="AV3326" s="436"/>
      <c r="AW3326" s="436"/>
      <c r="AX3326" s="436"/>
      <c r="AY3326" s="436"/>
      <c r="AZ3326" s="475"/>
      <c r="BA3326" s="475"/>
      <c r="BF3326" s="1119"/>
      <c r="BG3326" s="1119"/>
      <c r="BH3326" s="1119"/>
    </row>
    <row r="3327" spans="1:60" ht="15.75" customHeight="1">
      <c r="A3327" s="1076"/>
      <c r="B3327" s="1080"/>
      <c r="C3327" s="424"/>
      <c r="G3327" s="312"/>
      <c r="H3327" s="467"/>
      <c r="I3327" s="467"/>
      <c r="J3327" s="469"/>
      <c r="K3327" s="312"/>
      <c r="L3327" s="312"/>
      <c r="M3327" s="312"/>
      <c r="N3327" s="467"/>
      <c r="O3327" s="467"/>
      <c r="P3327" s="467"/>
      <c r="AL3327" s="436"/>
      <c r="AM3327" s="436"/>
      <c r="AQ3327" s="436"/>
      <c r="AR3327" s="436"/>
      <c r="AS3327" s="436"/>
      <c r="AT3327" s="436"/>
      <c r="AU3327" s="436"/>
      <c r="AV3327" s="436"/>
      <c r="AW3327" s="436"/>
      <c r="AX3327" s="436"/>
      <c r="AY3327" s="436"/>
      <c r="AZ3327" s="475"/>
      <c r="BA3327" s="475"/>
      <c r="BF3327" s="1119"/>
      <c r="BG3327" s="1119"/>
      <c r="BH3327" s="1119"/>
    </row>
    <row r="3328" spans="1:60" ht="15.75" customHeight="1">
      <c r="A3328" s="1076"/>
      <c r="B3328" s="1080"/>
      <c r="C3328" s="424"/>
      <c r="G3328" s="312"/>
      <c r="H3328" s="467"/>
      <c r="I3328" s="467"/>
      <c r="J3328" s="469"/>
      <c r="K3328" s="312"/>
      <c r="L3328" s="312"/>
      <c r="M3328" s="312"/>
      <c r="N3328" s="467"/>
      <c r="O3328" s="467"/>
      <c r="P3328" s="467"/>
      <c r="AL3328" s="436"/>
      <c r="AM3328" s="436"/>
      <c r="AQ3328" s="436"/>
      <c r="AR3328" s="436"/>
      <c r="AS3328" s="436"/>
      <c r="AT3328" s="436"/>
      <c r="AU3328" s="436"/>
      <c r="AV3328" s="436"/>
      <c r="AW3328" s="436"/>
      <c r="AX3328" s="436"/>
      <c r="AY3328" s="436"/>
      <c r="AZ3328" s="475"/>
      <c r="BA3328" s="475"/>
      <c r="BF3328" s="1119"/>
      <c r="BG3328" s="1119"/>
      <c r="BH3328" s="1119"/>
    </row>
    <row r="3329" spans="1:60" ht="15.75" customHeight="1">
      <c r="A3329" s="1076"/>
      <c r="B3329" s="1080"/>
      <c r="C3329" s="424"/>
      <c r="G3329" s="312"/>
      <c r="H3329" s="467"/>
      <c r="I3329" s="467"/>
      <c r="J3329" s="469"/>
      <c r="K3329" s="312"/>
      <c r="L3329" s="312"/>
      <c r="M3329" s="312"/>
      <c r="N3329" s="467"/>
      <c r="O3329" s="467"/>
      <c r="P3329" s="467"/>
      <c r="AL3329" s="436"/>
      <c r="AM3329" s="436"/>
      <c r="AQ3329" s="436"/>
      <c r="AR3329" s="436"/>
      <c r="AS3329" s="436"/>
      <c r="AT3329" s="436"/>
      <c r="AU3329" s="436"/>
      <c r="AV3329" s="436"/>
      <c r="AW3329" s="436"/>
      <c r="AX3329" s="436"/>
      <c r="AY3329" s="436"/>
      <c r="AZ3329" s="475"/>
      <c r="BA3329" s="475"/>
      <c r="BF3329" s="1119"/>
      <c r="BG3329" s="1119"/>
      <c r="BH3329" s="1119"/>
    </row>
    <row r="3330" spans="1:60" ht="15.75" customHeight="1">
      <c r="A3330" s="1076"/>
      <c r="B3330" s="1080"/>
      <c r="C3330" s="424"/>
      <c r="G3330" s="312"/>
      <c r="H3330" s="467"/>
      <c r="I3330" s="467"/>
      <c r="J3330" s="469"/>
      <c r="K3330" s="312"/>
      <c r="L3330" s="312"/>
      <c r="M3330" s="312"/>
      <c r="N3330" s="467"/>
      <c r="O3330" s="467"/>
      <c r="P3330" s="467"/>
      <c r="AL3330" s="436"/>
      <c r="AM3330" s="436"/>
      <c r="AQ3330" s="436"/>
      <c r="AR3330" s="436"/>
      <c r="AS3330" s="436"/>
      <c r="AT3330" s="436"/>
      <c r="AU3330" s="436"/>
      <c r="AV3330" s="436"/>
      <c r="AW3330" s="436"/>
      <c r="AX3330" s="436"/>
      <c r="AY3330" s="436"/>
      <c r="AZ3330" s="475"/>
      <c r="BA3330" s="475"/>
      <c r="BF3330" s="1119"/>
      <c r="BG3330" s="1119"/>
      <c r="BH3330" s="1119"/>
    </row>
    <row r="3331" spans="1:60" ht="15.75" customHeight="1">
      <c r="A3331" s="1076"/>
      <c r="B3331" s="1080"/>
      <c r="C3331" s="424"/>
      <c r="G3331" s="312"/>
      <c r="H3331" s="467"/>
      <c r="I3331" s="467"/>
      <c r="J3331" s="469"/>
      <c r="K3331" s="312"/>
      <c r="L3331" s="312"/>
      <c r="M3331" s="312"/>
      <c r="N3331" s="467"/>
      <c r="O3331" s="467"/>
      <c r="P3331" s="467"/>
      <c r="AL3331" s="436"/>
      <c r="AM3331" s="436"/>
      <c r="AQ3331" s="436"/>
      <c r="AR3331" s="436"/>
      <c r="AS3331" s="436"/>
      <c r="AT3331" s="436"/>
      <c r="AU3331" s="436"/>
      <c r="AV3331" s="436"/>
      <c r="AW3331" s="436"/>
      <c r="AX3331" s="436"/>
      <c r="AY3331" s="436"/>
      <c r="AZ3331" s="475"/>
      <c r="BA3331" s="475"/>
      <c r="BF3331" s="1119"/>
      <c r="BG3331" s="1119"/>
      <c r="BH3331" s="1119"/>
    </row>
    <row r="3332" spans="1:60" ht="15.75" customHeight="1">
      <c r="A3332" s="1076"/>
      <c r="B3332" s="1080"/>
      <c r="C3332" s="424"/>
      <c r="G3332" s="312"/>
      <c r="H3332" s="467"/>
      <c r="I3332" s="467"/>
      <c r="J3332" s="469"/>
      <c r="K3332" s="312"/>
      <c r="L3332" s="312"/>
      <c r="M3332" s="312"/>
      <c r="N3332" s="467"/>
      <c r="O3332" s="467"/>
      <c r="P3332" s="467"/>
      <c r="AL3332" s="436"/>
      <c r="AM3332" s="436"/>
      <c r="AQ3332" s="436"/>
      <c r="AR3332" s="436"/>
      <c r="AS3332" s="436"/>
      <c r="AT3332" s="436"/>
      <c r="AU3332" s="436"/>
      <c r="AV3332" s="436"/>
      <c r="AW3332" s="436"/>
      <c r="AX3332" s="436"/>
      <c r="AY3332" s="436"/>
      <c r="AZ3332" s="475"/>
      <c r="BA3332" s="475"/>
      <c r="BF3332" s="1119"/>
      <c r="BG3332" s="1119"/>
      <c r="BH3332" s="1119"/>
    </row>
    <row r="3333" spans="1:60" ht="15.75" customHeight="1">
      <c r="A3333" s="1076"/>
      <c r="B3333" s="1080"/>
      <c r="C3333" s="424"/>
      <c r="G3333" s="312"/>
      <c r="H3333" s="467"/>
      <c r="I3333" s="467"/>
      <c r="J3333" s="469"/>
      <c r="K3333" s="312"/>
      <c r="L3333" s="312"/>
      <c r="M3333" s="312"/>
      <c r="N3333" s="467"/>
      <c r="O3333" s="467"/>
      <c r="P3333" s="467"/>
      <c r="AL3333" s="436"/>
      <c r="AM3333" s="436"/>
      <c r="AQ3333" s="436"/>
      <c r="AR3333" s="436"/>
      <c r="AS3333" s="436"/>
      <c r="AT3333" s="436"/>
      <c r="AU3333" s="436"/>
      <c r="AV3333" s="436"/>
      <c r="AW3333" s="436"/>
      <c r="AX3333" s="436"/>
      <c r="AY3333" s="436"/>
      <c r="AZ3333" s="475"/>
      <c r="BA3333" s="475"/>
      <c r="BF3333" s="1119"/>
      <c r="BG3333" s="1119"/>
      <c r="BH3333" s="1119"/>
    </row>
    <row r="3334" spans="1:60" ht="15.75" customHeight="1">
      <c r="A3334" s="1076"/>
      <c r="B3334" s="1080"/>
      <c r="C3334" s="424"/>
      <c r="G3334" s="312"/>
      <c r="H3334" s="467"/>
      <c r="I3334" s="467"/>
      <c r="J3334" s="469"/>
      <c r="K3334" s="312"/>
      <c r="L3334" s="312"/>
      <c r="M3334" s="312"/>
      <c r="N3334" s="467"/>
      <c r="O3334" s="467"/>
      <c r="P3334" s="467"/>
      <c r="AL3334" s="436"/>
      <c r="AM3334" s="436"/>
      <c r="AQ3334" s="436"/>
      <c r="AR3334" s="436"/>
      <c r="AS3334" s="436"/>
      <c r="AT3334" s="436"/>
      <c r="AU3334" s="436"/>
      <c r="AV3334" s="436"/>
      <c r="AW3334" s="436"/>
      <c r="AX3334" s="436"/>
      <c r="AY3334" s="436"/>
      <c r="AZ3334" s="475"/>
      <c r="BA3334" s="475"/>
      <c r="BF3334" s="1119"/>
      <c r="BG3334" s="1119"/>
      <c r="BH3334" s="1119"/>
    </row>
    <row r="3335" spans="1:60" ht="15.75" customHeight="1">
      <c r="A3335" s="1076"/>
      <c r="B3335" s="1080"/>
      <c r="C3335" s="424"/>
      <c r="G3335" s="312"/>
      <c r="H3335" s="467"/>
      <c r="I3335" s="467"/>
      <c r="J3335" s="469"/>
      <c r="K3335" s="312"/>
      <c r="L3335" s="312"/>
      <c r="M3335" s="312"/>
      <c r="N3335" s="467"/>
      <c r="O3335" s="467"/>
      <c r="P3335" s="467"/>
      <c r="AL3335" s="436"/>
      <c r="AM3335" s="436"/>
      <c r="AQ3335" s="436"/>
      <c r="AR3335" s="436"/>
      <c r="AS3335" s="436"/>
      <c r="AT3335" s="436"/>
      <c r="AU3335" s="436"/>
      <c r="AV3335" s="436"/>
      <c r="AW3335" s="436"/>
      <c r="AX3335" s="436"/>
      <c r="AY3335" s="436"/>
      <c r="AZ3335" s="475"/>
      <c r="BA3335" s="475"/>
      <c r="BF3335" s="1119"/>
      <c r="BG3335" s="1119"/>
      <c r="BH3335" s="1119"/>
    </row>
    <row r="3336" spans="1:60" ht="15.75" customHeight="1">
      <c r="A3336" s="1076"/>
      <c r="B3336" s="1080"/>
      <c r="C3336" s="424"/>
      <c r="G3336" s="312"/>
      <c r="H3336" s="467"/>
      <c r="I3336" s="467"/>
      <c r="J3336" s="469"/>
      <c r="K3336" s="312"/>
      <c r="L3336" s="312"/>
      <c r="M3336" s="312"/>
      <c r="N3336" s="467"/>
      <c r="O3336" s="467"/>
      <c r="P3336" s="467"/>
      <c r="AL3336" s="436"/>
      <c r="AM3336" s="436"/>
      <c r="AQ3336" s="436"/>
      <c r="AR3336" s="436"/>
      <c r="AS3336" s="436"/>
      <c r="AT3336" s="436"/>
      <c r="AU3336" s="436"/>
      <c r="AV3336" s="436"/>
      <c r="AW3336" s="436"/>
      <c r="AX3336" s="436"/>
      <c r="AY3336" s="436"/>
      <c r="AZ3336" s="475"/>
      <c r="BA3336" s="475"/>
      <c r="BF3336" s="1119"/>
      <c r="BG3336" s="1119"/>
      <c r="BH3336" s="1119"/>
    </row>
    <row r="3337" spans="1:60" ht="15.75" customHeight="1">
      <c r="A3337" s="1076"/>
      <c r="B3337" s="1080"/>
      <c r="C3337" s="424"/>
      <c r="G3337" s="312"/>
      <c r="H3337" s="467"/>
      <c r="I3337" s="467"/>
      <c r="J3337" s="469"/>
      <c r="K3337" s="312"/>
      <c r="L3337" s="312"/>
      <c r="M3337" s="312"/>
      <c r="N3337" s="467"/>
      <c r="O3337" s="467"/>
      <c r="P3337" s="467"/>
      <c r="AL3337" s="436"/>
      <c r="AM3337" s="436"/>
      <c r="AQ3337" s="436"/>
      <c r="AR3337" s="436"/>
      <c r="AS3337" s="436"/>
      <c r="AT3337" s="436"/>
      <c r="AU3337" s="436"/>
      <c r="AV3337" s="436"/>
      <c r="AW3337" s="436"/>
      <c r="AX3337" s="436"/>
      <c r="AY3337" s="436"/>
      <c r="AZ3337" s="475"/>
      <c r="BA3337" s="475"/>
      <c r="BF3337" s="1119"/>
      <c r="BG3337" s="1119"/>
      <c r="BH3337" s="1119"/>
    </row>
    <row r="3338" spans="1:60" ht="15.75" customHeight="1">
      <c r="A3338" s="1076"/>
      <c r="B3338" s="1080"/>
      <c r="C3338" s="424"/>
      <c r="G3338" s="312"/>
      <c r="H3338" s="467"/>
      <c r="I3338" s="467"/>
      <c r="J3338" s="469"/>
      <c r="K3338" s="312"/>
      <c r="L3338" s="312"/>
      <c r="M3338" s="312"/>
      <c r="N3338" s="467"/>
      <c r="O3338" s="467"/>
      <c r="P3338" s="467"/>
      <c r="AL3338" s="436"/>
      <c r="AM3338" s="436"/>
      <c r="AQ3338" s="436"/>
      <c r="AR3338" s="436"/>
      <c r="AS3338" s="436"/>
      <c r="AT3338" s="436"/>
      <c r="AU3338" s="436"/>
      <c r="AV3338" s="436"/>
      <c r="AW3338" s="436"/>
      <c r="AX3338" s="436"/>
      <c r="AY3338" s="436"/>
      <c r="AZ3338" s="475"/>
      <c r="BA3338" s="475"/>
      <c r="BF3338" s="1119"/>
      <c r="BG3338" s="1119"/>
      <c r="BH3338" s="1119"/>
    </row>
    <row r="3339" spans="1:60" ht="15.75" customHeight="1">
      <c r="A3339" s="1076"/>
      <c r="B3339" s="1080"/>
      <c r="C3339" s="424"/>
      <c r="G3339" s="312"/>
      <c r="H3339" s="467"/>
      <c r="I3339" s="467"/>
      <c r="J3339" s="469"/>
      <c r="K3339" s="312"/>
      <c r="L3339" s="312"/>
      <c r="M3339" s="312"/>
      <c r="N3339" s="467"/>
      <c r="O3339" s="467"/>
      <c r="P3339" s="467"/>
      <c r="AL3339" s="436"/>
      <c r="AM3339" s="436"/>
      <c r="AQ3339" s="436"/>
      <c r="AR3339" s="436"/>
      <c r="AS3339" s="436"/>
      <c r="AT3339" s="436"/>
      <c r="AU3339" s="436"/>
      <c r="AV3339" s="436"/>
      <c r="AW3339" s="436"/>
      <c r="AX3339" s="436"/>
      <c r="AY3339" s="436"/>
      <c r="AZ3339" s="475"/>
      <c r="BA3339" s="475"/>
      <c r="BF3339" s="1119"/>
      <c r="BG3339" s="1119"/>
      <c r="BH3339" s="1119"/>
    </row>
    <row r="3340" spans="1:60" ht="15.75" customHeight="1">
      <c r="A3340" s="1076"/>
      <c r="B3340" s="1080"/>
      <c r="C3340" s="424"/>
      <c r="G3340" s="312"/>
      <c r="H3340" s="467"/>
      <c r="I3340" s="467"/>
      <c r="J3340" s="469"/>
      <c r="K3340" s="312"/>
      <c r="L3340" s="312"/>
      <c r="M3340" s="312"/>
      <c r="N3340" s="467"/>
      <c r="O3340" s="467"/>
      <c r="P3340" s="467"/>
      <c r="AL3340" s="436"/>
      <c r="AM3340" s="436"/>
      <c r="AQ3340" s="436"/>
      <c r="AR3340" s="436"/>
      <c r="AS3340" s="436"/>
      <c r="AT3340" s="436"/>
      <c r="AU3340" s="436"/>
      <c r="AV3340" s="436"/>
      <c r="AW3340" s="436"/>
      <c r="AX3340" s="436"/>
      <c r="AY3340" s="436"/>
      <c r="AZ3340" s="475"/>
      <c r="BA3340" s="475"/>
      <c r="BF3340" s="1119"/>
      <c r="BG3340" s="1119"/>
      <c r="BH3340" s="1119"/>
    </row>
    <row r="3341" spans="1:60" ht="15.75" customHeight="1">
      <c r="A3341" s="1076"/>
      <c r="B3341" s="1080"/>
      <c r="C3341" s="424"/>
      <c r="G3341" s="312"/>
      <c r="H3341" s="467"/>
      <c r="I3341" s="467"/>
      <c r="J3341" s="469"/>
      <c r="K3341" s="312"/>
      <c r="L3341" s="312"/>
      <c r="M3341" s="312"/>
      <c r="N3341" s="467"/>
      <c r="O3341" s="467"/>
      <c r="P3341" s="467"/>
      <c r="AL3341" s="436"/>
      <c r="AM3341" s="436"/>
      <c r="AQ3341" s="436"/>
      <c r="AR3341" s="436"/>
      <c r="AS3341" s="436"/>
      <c r="AT3341" s="436"/>
      <c r="AU3341" s="436"/>
      <c r="AV3341" s="436"/>
      <c r="AW3341" s="436"/>
      <c r="AX3341" s="436"/>
      <c r="AY3341" s="436"/>
      <c r="AZ3341" s="475"/>
      <c r="BA3341" s="475"/>
      <c r="BF3341" s="1119"/>
      <c r="BG3341" s="1119"/>
      <c r="BH3341" s="1119"/>
    </row>
    <row r="3342" spans="1:60" ht="15.75" customHeight="1">
      <c r="A3342" s="1076"/>
      <c r="B3342" s="1080"/>
      <c r="C3342" s="424"/>
      <c r="G3342" s="312"/>
      <c r="H3342" s="467"/>
      <c r="I3342" s="467"/>
      <c r="J3342" s="469"/>
      <c r="K3342" s="312"/>
      <c r="L3342" s="312"/>
      <c r="M3342" s="312"/>
      <c r="N3342" s="467"/>
      <c r="O3342" s="467"/>
      <c r="P3342" s="467"/>
      <c r="AL3342" s="436"/>
      <c r="AM3342" s="436"/>
      <c r="AQ3342" s="436"/>
      <c r="AR3342" s="436"/>
      <c r="AS3342" s="436"/>
      <c r="AT3342" s="436"/>
      <c r="AU3342" s="436"/>
      <c r="AV3342" s="436"/>
      <c r="AW3342" s="436"/>
      <c r="AX3342" s="436"/>
      <c r="AY3342" s="436"/>
      <c r="AZ3342" s="475"/>
      <c r="BA3342" s="475"/>
      <c r="BF3342" s="1119"/>
      <c r="BG3342" s="1119"/>
      <c r="BH3342" s="1119"/>
    </row>
    <row r="3343" spans="1:60" ht="15.75" customHeight="1">
      <c r="A3343" s="1076"/>
      <c r="B3343" s="1080"/>
      <c r="C3343" s="424"/>
      <c r="G3343" s="312"/>
      <c r="H3343" s="467"/>
      <c r="I3343" s="467"/>
      <c r="J3343" s="469"/>
      <c r="K3343" s="312"/>
      <c r="L3343" s="312"/>
      <c r="M3343" s="312"/>
      <c r="N3343" s="467"/>
      <c r="O3343" s="467"/>
      <c r="P3343" s="467"/>
      <c r="AL3343" s="436"/>
      <c r="AM3343" s="436"/>
      <c r="AQ3343" s="436"/>
      <c r="AR3343" s="436"/>
      <c r="AS3343" s="436"/>
      <c r="AT3343" s="436"/>
      <c r="AU3343" s="436"/>
      <c r="AV3343" s="436"/>
      <c r="AW3343" s="436"/>
      <c r="AX3343" s="436"/>
      <c r="AY3343" s="436"/>
      <c r="AZ3343" s="475"/>
      <c r="BA3343" s="475"/>
      <c r="BF3343" s="1119"/>
      <c r="BG3343" s="1119"/>
      <c r="BH3343" s="1119"/>
    </row>
    <row r="3344" spans="1:60" ht="15.75" customHeight="1">
      <c r="A3344" s="1076"/>
      <c r="B3344" s="1080"/>
      <c r="C3344" s="424"/>
      <c r="G3344" s="312"/>
      <c r="H3344" s="467"/>
      <c r="I3344" s="467"/>
      <c r="J3344" s="469"/>
      <c r="K3344" s="312"/>
      <c r="L3344" s="312"/>
      <c r="M3344" s="312"/>
      <c r="N3344" s="467"/>
      <c r="O3344" s="467"/>
      <c r="P3344" s="467"/>
      <c r="AL3344" s="436"/>
      <c r="AM3344" s="436"/>
      <c r="AQ3344" s="436"/>
      <c r="AR3344" s="436"/>
      <c r="AS3344" s="436"/>
      <c r="AT3344" s="436"/>
      <c r="AU3344" s="436"/>
      <c r="AV3344" s="436"/>
      <c r="AW3344" s="436"/>
      <c r="AX3344" s="436"/>
      <c r="AY3344" s="436"/>
      <c r="AZ3344" s="475"/>
      <c r="BA3344" s="475"/>
      <c r="BF3344" s="1119"/>
      <c r="BG3344" s="1119"/>
      <c r="BH3344" s="1119"/>
    </row>
    <row r="3345" spans="1:60" ht="15.75" customHeight="1">
      <c r="A3345" s="1076"/>
      <c r="B3345" s="1080"/>
      <c r="C3345" s="424"/>
      <c r="G3345" s="312"/>
      <c r="H3345" s="467"/>
      <c r="I3345" s="467"/>
      <c r="J3345" s="469"/>
      <c r="K3345" s="312"/>
      <c r="L3345" s="312"/>
      <c r="M3345" s="312"/>
      <c r="N3345" s="467"/>
      <c r="O3345" s="467"/>
      <c r="P3345" s="467"/>
      <c r="AL3345" s="436"/>
      <c r="AM3345" s="436"/>
      <c r="AQ3345" s="436"/>
      <c r="AR3345" s="436"/>
      <c r="AS3345" s="436"/>
      <c r="AT3345" s="436"/>
      <c r="AU3345" s="436"/>
      <c r="AV3345" s="436"/>
      <c r="AW3345" s="436"/>
      <c r="AX3345" s="436"/>
      <c r="AY3345" s="436"/>
      <c r="AZ3345" s="475"/>
      <c r="BA3345" s="475"/>
      <c r="BF3345" s="1119"/>
      <c r="BG3345" s="1119"/>
      <c r="BH3345" s="1119"/>
    </row>
    <row r="3346" spans="1:60" ht="15.75" customHeight="1">
      <c r="A3346" s="1076"/>
      <c r="B3346" s="1080"/>
      <c r="C3346" s="424"/>
      <c r="G3346" s="312"/>
      <c r="H3346" s="467"/>
      <c r="I3346" s="467"/>
      <c r="J3346" s="469"/>
      <c r="K3346" s="312"/>
      <c r="L3346" s="312"/>
      <c r="M3346" s="312"/>
      <c r="N3346" s="467"/>
      <c r="O3346" s="467"/>
      <c r="P3346" s="467"/>
      <c r="AL3346" s="436"/>
      <c r="AM3346" s="436"/>
      <c r="AQ3346" s="436"/>
      <c r="AR3346" s="436"/>
      <c r="AS3346" s="436"/>
      <c r="AT3346" s="436"/>
      <c r="AU3346" s="436"/>
      <c r="AV3346" s="436"/>
      <c r="AW3346" s="436"/>
      <c r="AX3346" s="436"/>
      <c r="AY3346" s="436"/>
      <c r="AZ3346" s="475"/>
      <c r="BA3346" s="475"/>
      <c r="BF3346" s="1119"/>
      <c r="BG3346" s="1119"/>
      <c r="BH3346" s="1119"/>
    </row>
    <row r="3347" spans="1:60" ht="15.75" customHeight="1">
      <c r="A3347" s="1076"/>
      <c r="B3347" s="1080"/>
      <c r="C3347" s="424"/>
      <c r="G3347" s="312"/>
      <c r="H3347" s="467"/>
      <c r="I3347" s="467"/>
      <c r="J3347" s="469"/>
      <c r="K3347" s="312"/>
      <c r="L3347" s="312"/>
      <c r="M3347" s="312"/>
      <c r="N3347" s="467"/>
      <c r="O3347" s="467"/>
      <c r="P3347" s="467"/>
      <c r="AL3347" s="436"/>
      <c r="AM3347" s="436"/>
      <c r="AQ3347" s="436"/>
      <c r="AR3347" s="436"/>
      <c r="AS3347" s="436"/>
      <c r="AT3347" s="436"/>
      <c r="AU3347" s="436"/>
      <c r="AV3347" s="436"/>
      <c r="AW3347" s="436"/>
      <c r="AX3347" s="436"/>
      <c r="AY3347" s="436"/>
      <c r="AZ3347" s="475"/>
      <c r="BA3347" s="475"/>
      <c r="BF3347" s="1119"/>
      <c r="BG3347" s="1119"/>
      <c r="BH3347" s="1119"/>
    </row>
    <row r="3348" spans="1:60" ht="15.75" customHeight="1">
      <c r="A3348" s="1076"/>
      <c r="B3348" s="1080"/>
      <c r="C3348" s="424"/>
      <c r="G3348" s="312"/>
      <c r="H3348" s="467"/>
      <c r="I3348" s="467"/>
      <c r="J3348" s="469"/>
      <c r="K3348" s="312"/>
      <c r="L3348" s="312"/>
      <c r="M3348" s="312"/>
      <c r="N3348" s="467"/>
      <c r="O3348" s="467"/>
      <c r="P3348" s="467"/>
      <c r="AL3348" s="436"/>
      <c r="AM3348" s="436"/>
      <c r="AQ3348" s="436"/>
      <c r="AR3348" s="436"/>
      <c r="AS3348" s="436"/>
      <c r="AT3348" s="436"/>
      <c r="AU3348" s="436"/>
      <c r="AV3348" s="436"/>
      <c r="AW3348" s="436"/>
      <c r="AX3348" s="436"/>
      <c r="AY3348" s="436"/>
      <c r="AZ3348" s="475"/>
      <c r="BA3348" s="475"/>
      <c r="BF3348" s="1119"/>
      <c r="BG3348" s="1119"/>
      <c r="BH3348" s="1119"/>
    </row>
    <row r="3349" spans="1:60" ht="15.75" customHeight="1">
      <c r="A3349" s="1076"/>
      <c r="B3349" s="1080"/>
      <c r="C3349" s="424"/>
      <c r="G3349" s="312"/>
      <c r="H3349" s="467"/>
      <c r="I3349" s="467"/>
      <c r="J3349" s="469"/>
      <c r="K3349" s="312"/>
      <c r="L3349" s="312"/>
      <c r="M3349" s="312"/>
      <c r="N3349" s="467"/>
      <c r="O3349" s="467"/>
      <c r="P3349" s="467"/>
      <c r="AL3349" s="436"/>
      <c r="AM3349" s="436"/>
      <c r="AQ3349" s="436"/>
      <c r="AR3349" s="436"/>
      <c r="AS3349" s="436"/>
      <c r="AT3349" s="436"/>
      <c r="AU3349" s="436"/>
      <c r="AV3349" s="436"/>
      <c r="AW3349" s="436"/>
      <c r="AX3349" s="436"/>
      <c r="AY3349" s="436"/>
      <c r="AZ3349" s="475"/>
      <c r="BA3349" s="475"/>
      <c r="BF3349" s="1119"/>
      <c r="BG3349" s="1119"/>
      <c r="BH3349" s="1119"/>
    </row>
    <row r="3350" spans="1:60" ht="15.75" customHeight="1">
      <c r="A3350" s="1076"/>
      <c r="B3350" s="1080"/>
      <c r="C3350" s="424"/>
      <c r="G3350" s="312"/>
      <c r="H3350" s="467"/>
      <c r="I3350" s="467"/>
      <c r="J3350" s="469"/>
      <c r="K3350" s="312"/>
      <c r="L3350" s="312"/>
      <c r="M3350" s="312"/>
      <c r="N3350" s="467"/>
      <c r="O3350" s="467"/>
      <c r="P3350" s="467"/>
      <c r="AL3350" s="436"/>
      <c r="AM3350" s="436"/>
      <c r="AQ3350" s="436"/>
      <c r="AR3350" s="436"/>
      <c r="AS3350" s="436"/>
      <c r="AT3350" s="436"/>
      <c r="AU3350" s="436"/>
      <c r="AV3350" s="436"/>
      <c r="AW3350" s="436"/>
      <c r="AX3350" s="436"/>
      <c r="AY3350" s="436"/>
      <c r="AZ3350" s="475"/>
      <c r="BA3350" s="475"/>
      <c r="BF3350" s="1119"/>
      <c r="BG3350" s="1119"/>
      <c r="BH3350" s="1119"/>
    </row>
    <row r="3351" spans="1:60" ht="15.75" customHeight="1">
      <c r="A3351" s="1076"/>
      <c r="B3351" s="1080"/>
      <c r="C3351" s="424"/>
      <c r="G3351" s="312"/>
      <c r="H3351" s="467"/>
      <c r="I3351" s="467"/>
      <c r="J3351" s="469"/>
      <c r="K3351" s="312"/>
      <c r="L3351" s="312"/>
      <c r="M3351" s="312"/>
      <c r="N3351" s="467"/>
      <c r="O3351" s="467"/>
      <c r="P3351" s="467"/>
      <c r="AL3351" s="436"/>
      <c r="AM3351" s="436"/>
      <c r="AQ3351" s="436"/>
      <c r="AR3351" s="436"/>
      <c r="AS3351" s="436"/>
      <c r="AT3351" s="436"/>
      <c r="AU3351" s="436"/>
      <c r="AV3351" s="436"/>
      <c r="AW3351" s="436"/>
      <c r="AX3351" s="436"/>
      <c r="AY3351" s="436"/>
      <c r="AZ3351" s="475"/>
      <c r="BA3351" s="475"/>
      <c r="BF3351" s="1119"/>
      <c r="BG3351" s="1119"/>
      <c r="BH3351" s="1119"/>
    </row>
    <row r="3352" spans="1:60" ht="15.75" customHeight="1">
      <c r="A3352" s="1076"/>
      <c r="B3352" s="1080"/>
      <c r="C3352" s="424"/>
      <c r="G3352" s="312"/>
      <c r="H3352" s="467"/>
      <c r="I3352" s="467"/>
      <c r="J3352" s="469"/>
      <c r="K3352" s="312"/>
      <c r="L3352" s="312"/>
      <c r="M3352" s="312"/>
      <c r="N3352" s="467"/>
      <c r="O3352" s="467"/>
      <c r="P3352" s="467"/>
      <c r="AL3352" s="436"/>
      <c r="AM3352" s="436"/>
      <c r="AQ3352" s="436"/>
      <c r="AR3352" s="436"/>
      <c r="AS3352" s="436"/>
      <c r="AT3352" s="436"/>
      <c r="AU3352" s="436"/>
      <c r="AV3352" s="436"/>
      <c r="AW3352" s="436"/>
      <c r="AX3352" s="436"/>
      <c r="AY3352" s="436"/>
      <c r="AZ3352" s="475"/>
      <c r="BA3352" s="475"/>
      <c r="BF3352" s="1119"/>
      <c r="BG3352" s="1119"/>
      <c r="BH3352" s="1119"/>
    </row>
    <row r="3353" spans="1:60" ht="15.75" customHeight="1">
      <c r="A3353" s="1076"/>
      <c r="B3353" s="1080"/>
      <c r="C3353" s="424"/>
      <c r="G3353" s="312"/>
      <c r="H3353" s="467"/>
      <c r="I3353" s="467"/>
      <c r="J3353" s="469"/>
      <c r="K3353" s="312"/>
      <c r="L3353" s="312"/>
      <c r="M3353" s="312"/>
      <c r="N3353" s="467"/>
      <c r="O3353" s="467"/>
      <c r="P3353" s="467"/>
      <c r="AL3353" s="436"/>
      <c r="AM3353" s="436"/>
      <c r="AQ3353" s="436"/>
      <c r="AR3353" s="436"/>
      <c r="AS3353" s="436"/>
      <c r="AT3353" s="436"/>
      <c r="AU3353" s="436"/>
      <c r="AV3353" s="436"/>
      <c r="AW3353" s="436"/>
      <c r="AX3353" s="436"/>
      <c r="AY3353" s="436"/>
      <c r="AZ3353" s="475"/>
      <c r="BA3353" s="475"/>
      <c r="BF3353" s="1119"/>
      <c r="BG3353" s="1119"/>
      <c r="BH3353" s="1119"/>
    </row>
    <row r="3354" spans="1:60" ht="15.75" customHeight="1">
      <c r="A3354" s="1076"/>
      <c r="B3354" s="1080"/>
      <c r="C3354" s="424"/>
      <c r="G3354" s="312"/>
      <c r="H3354" s="467"/>
      <c r="I3354" s="467"/>
      <c r="J3354" s="469"/>
      <c r="K3354" s="312"/>
      <c r="L3354" s="312"/>
      <c r="M3354" s="312"/>
      <c r="N3354" s="467"/>
      <c r="O3354" s="467"/>
      <c r="P3354" s="467"/>
      <c r="AL3354" s="436"/>
      <c r="AM3354" s="436"/>
      <c r="AQ3354" s="436"/>
      <c r="AR3354" s="436"/>
      <c r="AS3354" s="436"/>
      <c r="AT3354" s="436"/>
      <c r="AU3354" s="436"/>
      <c r="AV3354" s="436"/>
      <c r="AW3354" s="436"/>
      <c r="AX3354" s="436"/>
      <c r="AY3354" s="436"/>
      <c r="AZ3354" s="475"/>
      <c r="BA3354" s="475"/>
      <c r="BF3354" s="1119"/>
      <c r="BG3354" s="1119"/>
      <c r="BH3354" s="1119"/>
    </row>
    <row r="3355" spans="1:60" ht="15.75" customHeight="1">
      <c r="A3355" s="1076"/>
      <c r="B3355" s="1080"/>
      <c r="C3355" s="424"/>
      <c r="G3355" s="312"/>
      <c r="H3355" s="467"/>
      <c r="I3355" s="467"/>
      <c r="J3355" s="469"/>
      <c r="K3355" s="312"/>
      <c r="L3355" s="312"/>
      <c r="M3355" s="312"/>
      <c r="N3355" s="467"/>
      <c r="O3355" s="467"/>
      <c r="P3355" s="467"/>
      <c r="AL3355" s="436"/>
      <c r="AM3355" s="436"/>
      <c r="AQ3355" s="436"/>
      <c r="AR3355" s="436"/>
      <c r="AS3355" s="436"/>
      <c r="AT3355" s="436"/>
      <c r="AU3355" s="436"/>
      <c r="AV3355" s="436"/>
      <c r="AW3355" s="436"/>
      <c r="AX3355" s="436"/>
      <c r="AY3355" s="436"/>
      <c r="AZ3355" s="475"/>
      <c r="BA3355" s="475"/>
      <c r="BF3355" s="1119"/>
      <c r="BG3355" s="1119"/>
      <c r="BH3355" s="1119"/>
    </row>
    <row r="3356" spans="1:60" ht="15.75" customHeight="1">
      <c r="A3356" s="1076"/>
      <c r="B3356" s="1080"/>
      <c r="C3356" s="424"/>
      <c r="G3356" s="312"/>
      <c r="H3356" s="467"/>
      <c r="I3356" s="467"/>
      <c r="J3356" s="469"/>
      <c r="K3356" s="312"/>
      <c r="L3356" s="312"/>
      <c r="M3356" s="312"/>
      <c r="N3356" s="467"/>
      <c r="O3356" s="467"/>
      <c r="P3356" s="467"/>
      <c r="AL3356" s="436"/>
      <c r="AM3356" s="436"/>
      <c r="AQ3356" s="436"/>
      <c r="AR3356" s="436"/>
      <c r="AS3356" s="436"/>
      <c r="AT3356" s="436"/>
      <c r="AU3356" s="436"/>
      <c r="AV3356" s="436"/>
      <c r="AW3356" s="436"/>
      <c r="AX3356" s="436"/>
      <c r="AY3356" s="436"/>
      <c r="AZ3356" s="475"/>
      <c r="BA3356" s="475"/>
      <c r="BF3356" s="1119"/>
      <c r="BG3356" s="1119"/>
      <c r="BH3356" s="1119"/>
    </row>
    <row r="3357" spans="1:60" ht="15.75" customHeight="1">
      <c r="A3357" s="1076"/>
      <c r="B3357" s="1080"/>
      <c r="C3357" s="424"/>
      <c r="G3357" s="312"/>
      <c r="H3357" s="467"/>
      <c r="I3357" s="467"/>
      <c r="J3357" s="469"/>
      <c r="K3357" s="312"/>
      <c r="L3357" s="312"/>
      <c r="M3357" s="312"/>
      <c r="N3357" s="467"/>
      <c r="O3357" s="467"/>
      <c r="P3357" s="467"/>
      <c r="AL3357" s="436"/>
      <c r="AM3357" s="436"/>
      <c r="AQ3357" s="436"/>
      <c r="AR3357" s="436"/>
      <c r="AS3357" s="436"/>
      <c r="AT3357" s="436"/>
      <c r="AU3357" s="436"/>
      <c r="AV3357" s="436"/>
      <c r="AW3357" s="436"/>
      <c r="AX3357" s="436"/>
      <c r="AY3357" s="436"/>
      <c r="AZ3357" s="475"/>
      <c r="BA3357" s="475"/>
      <c r="BF3357" s="1119"/>
      <c r="BG3357" s="1119"/>
      <c r="BH3357" s="1119"/>
    </row>
    <row r="3358" spans="1:60" ht="15.75" customHeight="1">
      <c r="A3358" s="1076"/>
      <c r="B3358" s="1080"/>
      <c r="C3358" s="424"/>
      <c r="G3358" s="312"/>
      <c r="H3358" s="467"/>
      <c r="I3358" s="467"/>
      <c r="J3358" s="469"/>
      <c r="K3358" s="312"/>
      <c r="L3358" s="312"/>
      <c r="M3358" s="312"/>
      <c r="N3358" s="467"/>
      <c r="O3358" s="467"/>
      <c r="P3358" s="467"/>
      <c r="AL3358" s="436"/>
      <c r="AM3358" s="436"/>
      <c r="AQ3358" s="436"/>
      <c r="AR3358" s="436"/>
      <c r="AS3358" s="436"/>
      <c r="AT3358" s="436"/>
      <c r="AU3358" s="436"/>
      <c r="AV3358" s="436"/>
      <c r="AW3358" s="436"/>
      <c r="AX3358" s="436"/>
      <c r="AY3358" s="436"/>
      <c r="AZ3358" s="475"/>
      <c r="BA3358" s="475"/>
      <c r="BF3358" s="1119"/>
      <c r="BG3358" s="1119"/>
      <c r="BH3358" s="1119"/>
    </row>
    <row r="3359" spans="1:60" ht="15.75" customHeight="1">
      <c r="A3359" s="1076"/>
      <c r="B3359" s="1080"/>
      <c r="C3359" s="424"/>
      <c r="G3359" s="312"/>
      <c r="H3359" s="467"/>
      <c r="I3359" s="467"/>
      <c r="J3359" s="469"/>
      <c r="K3359" s="312"/>
      <c r="L3359" s="312"/>
      <c r="M3359" s="312"/>
      <c r="N3359" s="467"/>
      <c r="O3359" s="467"/>
      <c r="P3359" s="467"/>
      <c r="AL3359" s="436"/>
      <c r="AM3359" s="436"/>
      <c r="AQ3359" s="436"/>
      <c r="AR3359" s="436"/>
      <c r="AS3359" s="436"/>
      <c r="AT3359" s="436"/>
      <c r="AU3359" s="436"/>
      <c r="AV3359" s="436"/>
      <c r="AW3359" s="436"/>
      <c r="AX3359" s="436"/>
      <c r="AY3359" s="436"/>
      <c r="AZ3359" s="475"/>
      <c r="BA3359" s="475"/>
      <c r="BF3359" s="1119"/>
      <c r="BG3359" s="1119"/>
      <c r="BH3359" s="1119"/>
    </row>
    <row r="3360" spans="1:60" ht="15.75" customHeight="1">
      <c r="A3360" s="1076"/>
      <c r="B3360" s="1080"/>
      <c r="C3360" s="424"/>
      <c r="G3360" s="312"/>
      <c r="H3360" s="467"/>
      <c r="I3360" s="467"/>
      <c r="J3360" s="469"/>
      <c r="K3360" s="312"/>
      <c r="L3360" s="312"/>
      <c r="M3360" s="312"/>
      <c r="N3360" s="467"/>
      <c r="O3360" s="467"/>
      <c r="P3360" s="467"/>
      <c r="AL3360" s="436"/>
      <c r="AM3360" s="436"/>
      <c r="AQ3360" s="436"/>
      <c r="AR3360" s="436"/>
      <c r="AS3360" s="436"/>
      <c r="AT3360" s="436"/>
      <c r="AU3360" s="436"/>
      <c r="AV3360" s="436"/>
      <c r="AW3360" s="436"/>
      <c r="AX3360" s="436"/>
      <c r="AY3360" s="436"/>
      <c r="AZ3360" s="475"/>
      <c r="BA3360" s="475"/>
      <c r="BF3360" s="1119"/>
      <c r="BG3360" s="1119"/>
      <c r="BH3360" s="1119"/>
    </row>
    <row r="3361" spans="1:60" ht="15.75" customHeight="1">
      <c r="A3361" s="1076"/>
      <c r="B3361" s="1080"/>
      <c r="C3361" s="424"/>
      <c r="G3361" s="312"/>
      <c r="H3361" s="467"/>
      <c r="I3361" s="467"/>
      <c r="J3361" s="469"/>
      <c r="K3361" s="312"/>
      <c r="L3361" s="312"/>
      <c r="M3361" s="312"/>
      <c r="N3361" s="467"/>
      <c r="O3361" s="467"/>
      <c r="P3361" s="467"/>
      <c r="AL3361" s="436"/>
      <c r="AM3361" s="436"/>
      <c r="AQ3361" s="436"/>
      <c r="AR3361" s="436"/>
      <c r="AS3361" s="436"/>
      <c r="AT3361" s="436"/>
      <c r="AU3361" s="436"/>
      <c r="AV3361" s="436"/>
      <c r="AW3361" s="436"/>
      <c r="AX3361" s="436"/>
      <c r="AY3361" s="436"/>
      <c r="AZ3361" s="475"/>
      <c r="BA3361" s="475"/>
      <c r="BF3361" s="1119"/>
      <c r="BG3361" s="1119"/>
      <c r="BH3361" s="1119"/>
    </row>
    <row r="3362" spans="1:60" ht="15.75" customHeight="1">
      <c r="A3362" s="1076"/>
      <c r="B3362" s="1080"/>
      <c r="C3362" s="424"/>
      <c r="G3362" s="312"/>
      <c r="H3362" s="467"/>
      <c r="I3362" s="467"/>
      <c r="J3362" s="469"/>
      <c r="K3362" s="312"/>
      <c r="L3362" s="312"/>
      <c r="M3362" s="312"/>
      <c r="N3362" s="467"/>
      <c r="O3362" s="467"/>
      <c r="P3362" s="467"/>
      <c r="AL3362" s="436"/>
      <c r="AM3362" s="436"/>
      <c r="AQ3362" s="436"/>
      <c r="AR3362" s="436"/>
      <c r="AS3362" s="436"/>
      <c r="AT3362" s="436"/>
      <c r="AU3362" s="436"/>
      <c r="AV3362" s="436"/>
      <c r="AW3362" s="436"/>
      <c r="AX3362" s="436"/>
      <c r="AY3362" s="436"/>
      <c r="AZ3362" s="475"/>
      <c r="BA3362" s="475"/>
      <c r="BF3362" s="1119"/>
      <c r="BG3362" s="1119"/>
      <c r="BH3362" s="1119"/>
    </row>
    <row r="3363" spans="1:60" ht="15.75" customHeight="1">
      <c r="A3363" s="1076"/>
      <c r="B3363" s="1080"/>
      <c r="C3363" s="424"/>
      <c r="G3363" s="312"/>
      <c r="H3363" s="467"/>
      <c r="I3363" s="467"/>
      <c r="J3363" s="469"/>
      <c r="K3363" s="312"/>
      <c r="L3363" s="312"/>
      <c r="M3363" s="312"/>
      <c r="N3363" s="467"/>
      <c r="O3363" s="467"/>
      <c r="P3363" s="467"/>
      <c r="AL3363" s="436"/>
      <c r="AM3363" s="436"/>
      <c r="AQ3363" s="436"/>
      <c r="AR3363" s="436"/>
      <c r="AS3363" s="436"/>
      <c r="AT3363" s="436"/>
      <c r="AU3363" s="436"/>
      <c r="AV3363" s="436"/>
      <c r="AW3363" s="436"/>
      <c r="AX3363" s="436"/>
      <c r="AY3363" s="436"/>
      <c r="AZ3363" s="475"/>
      <c r="BA3363" s="475"/>
      <c r="BF3363" s="1119"/>
      <c r="BG3363" s="1119"/>
      <c r="BH3363" s="1119"/>
    </row>
    <row r="3364" spans="1:60" ht="15.75" customHeight="1">
      <c r="A3364" s="1076"/>
      <c r="B3364" s="1080"/>
      <c r="C3364" s="424"/>
      <c r="G3364" s="312"/>
      <c r="H3364" s="467"/>
      <c r="I3364" s="467"/>
      <c r="J3364" s="469"/>
      <c r="K3364" s="312"/>
      <c r="L3364" s="312"/>
      <c r="M3364" s="312"/>
      <c r="N3364" s="467"/>
      <c r="O3364" s="467"/>
      <c r="P3364" s="467"/>
      <c r="AL3364" s="436"/>
      <c r="AM3364" s="436"/>
      <c r="AQ3364" s="436"/>
      <c r="AR3364" s="436"/>
      <c r="AS3364" s="436"/>
      <c r="AT3364" s="436"/>
      <c r="AU3364" s="436"/>
      <c r="AV3364" s="436"/>
      <c r="AW3364" s="436"/>
      <c r="AX3364" s="436"/>
      <c r="AY3364" s="436"/>
      <c r="AZ3364" s="475"/>
      <c r="BA3364" s="475"/>
      <c r="BF3364" s="1119"/>
      <c r="BG3364" s="1119"/>
      <c r="BH3364" s="1119"/>
    </row>
    <row r="3365" spans="1:60" ht="15.75" customHeight="1">
      <c r="A3365" s="1076"/>
      <c r="B3365" s="1080"/>
      <c r="C3365" s="424"/>
      <c r="G3365" s="312"/>
      <c r="H3365" s="467"/>
      <c r="I3365" s="467"/>
      <c r="J3365" s="469"/>
      <c r="K3365" s="312"/>
      <c r="L3365" s="312"/>
      <c r="M3365" s="312"/>
      <c r="N3365" s="467"/>
      <c r="O3365" s="467"/>
      <c r="P3365" s="467"/>
      <c r="AL3365" s="436"/>
      <c r="AM3365" s="436"/>
      <c r="AQ3365" s="436"/>
      <c r="AR3365" s="436"/>
      <c r="AS3365" s="436"/>
      <c r="AT3365" s="436"/>
      <c r="AU3365" s="436"/>
      <c r="AV3365" s="436"/>
      <c r="AW3365" s="436"/>
      <c r="AX3365" s="436"/>
      <c r="AY3365" s="436"/>
      <c r="AZ3365" s="475"/>
      <c r="BA3365" s="475"/>
      <c r="BF3365" s="1119"/>
      <c r="BG3365" s="1119"/>
      <c r="BH3365" s="1119"/>
    </row>
    <row r="3366" spans="1:60" ht="15.75" customHeight="1">
      <c r="A3366" s="1076"/>
      <c r="B3366" s="1080"/>
      <c r="C3366" s="424"/>
      <c r="G3366" s="312"/>
      <c r="H3366" s="467"/>
      <c r="I3366" s="467"/>
      <c r="J3366" s="469"/>
      <c r="K3366" s="312"/>
      <c r="L3366" s="312"/>
      <c r="M3366" s="312"/>
      <c r="N3366" s="467"/>
      <c r="O3366" s="467"/>
      <c r="P3366" s="467"/>
      <c r="AL3366" s="436"/>
      <c r="AM3366" s="436"/>
      <c r="AQ3366" s="436"/>
      <c r="AR3366" s="436"/>
      <c r="AS3366" s="436"/>
      <c r="AT3366" s="436"/>
      <c r="AU3366" s="436"/>
      <c r="AV3366" s="436"/>
      <c r="AW3366" s="436"/>
      <c r="AX3366" s="436"/>
      <c r="AY3366" s="436"/>
      <c r="AZ3366" s="475"/>
      <c r="BA3366" s="475"/>
      <c r="BF3366" s="1119"/>
      <c r="BG3366" s="1119"/>
      <c r="BH3366" s="1119"/>
    </row>
    <row r="3367" spans="1:60" ht="15.75" customHeight="1">
      <c r="A3367" s="1076"/>
      <c r="B3367" s="1080"/>
      <c r="C3367" s="424"/>
      <c r="G3367" s="312"/>
      <c r="H3367" s="467"/>
      <c r="I3367" s="467"/>
      <c r="J3367" s="469"/>
      <c r="K3367" s="312"/>
      <c r="L3367" s="312"/>
      <c r="M3367" s="312"/>
      <c r="N3367" s="467"/>
      <c r="O3367" s="467"/>
      <c r="P3367" s="467"/>
      <c r="AL3367" s="436"/>
      <c r="AM3367" s="436"/>
      <c r="AQ3367" s="436"/>
      <c r="AR3367" s="436"/>
      <c r="AS3367" s="436"/>
      <c r="AT3367" s="436"/>
      <c r="AU3367" s="436"/>
      <c r="AV3367" s="436"/>
      <c r="AW3367" s="436"/>
      <c r="AX3367" s="436"/>
      <c r="AY3367" s="436"/>
      <c r="AZ3367" s="475"/>
      <c r="BA3367" s="475"/>
      <c r="BF3367" s="1119"/>
      <c r="BG3367" s="1119"/>
      <c r="BH3367" s="1119"/>
    </row>
    <row r="3368" spans="1:60" ht="15.75" customHeight="1">
      <c r="A3368" s="1076"/>
      <c r="B3368" s="1080"/>
      <c r="C3368" s="424"/>
      <c r="G3368" s="312"/>
      <c r="H3368" s="467"/>
      <c r="I3368" s="467"/>
      <c r="J3368" s="469"/>
      <c r="K3368" s="312"/>
      <c r="L3368" s="312"/>
      <c r="M3368" s="312"/>
      <c r="N3368" s="467"/>
      <c r="O3368" s="467"/>
      <c r="P3368" s="467"/>
      <c r="AL3368" s="436"/>
      <c r="AM3368" s="436"/>
      <c r="AQ3368" s="436"/>
      <c r="AR3368" s="436"/>
      <c r="AS3368" s="436"/>
      <c r="AT3368" s="436"/>
      <c r="AU3368" s="436"/>
      <c r="AV3368" s="436"/>
      <c r="AW3368" s="436"/>
      <c r="AX3368" s="436"/>
      <c r="AY3368" s="436"/>
      <c r="AZ3368" s="475"/>
      <c r="BA3368" s="475"/>
      <c r="BF3368" s="1119"/>
      <c r="BG3368" s="1119"/>
      <c r="BH3368" s="1119"/>
    </row>
    <row r="3369" spans="1:60" ht="15.75" customHeight="1">
      <c r="A3369" s="1076"/>
      <c r="B3369" s="1080"/>
      <c r="C3369" s="424"/>
      <c r="G3369" s="312"/>
      <c r="H3369" s="467"/>
      <c r="I3369" s="467"/>
      <c r="J3369" s="469"/>
      <c r="K3369" s="312"/>
      <c r="L3369" s="312"/>
      <c r="M3369" s="312"/>
      <c r="N3369" s="467"/>
      <c r="O3369" s="467"/>
      <c r="P3369" s="467"/>
      <c r="AL3369" s="436"/>
      <c r="AM3369" s="436"/>
      <c r="AQ3369" s="436"/>
      <c r="AR3369" s="436"/>
      <c r="AS3369" s="436"/>
      <c r="AT3369" s="436"/>
      <c r="AU3369" s="436"/>
      <c r="AV3369" s="436"/>
      <c r="AW3369" s="436"/>
      <c r="AX3369" s="436"/>
      <c r="AY3369" s="436"/>
      <c r="AZ3369" s="475"/>
      <c r="BA3369" s="475"/>
      <c r="BF3369" s="1119"/>
      <c r="BG3369" s="1119"/>
      <c r="BH3369" s="1119"/>
    </row>
    <row r="3370" spans="1:60" ht="15.75" customHeight="1">
      <c r="A3370" s="1076"/>
      <c r="B3370" s="1080"/>
      <c r="C3370" s="424"/>
      <c r="G3370" s="312"/>
      <c r="H3370" s="467"/>
      <c r="I3370" s="467"/>
      <c r="J3370" s="469"/>
      <c r="K3370" s="312"/>
      <c r="L3370" s="312"/>
      <c r="M3370" s="312"/>
      <c r="N3370" s="467"/>
      <c r="O3370" s="467"/>
      <c r="P3370" s="467"/>
      <c r="AL3370" s="436"/>
      <c r="AM3370" s="436"/>
      <c r="AQ3370" s="436"/>
      <c r="AR3370" s="436"/>
      <c r="AS3370" s="436"/>
      <c r="AT3370" s="436"/>
      <c r="AU3370" s="436"/>
      <c r="AV3370" s="436"/>
      <c r="AW3370" s="436"/>
      <c r="AX3370" s="436"/>
      <c r="AY3370" s="436"/>
      <c r="AZ3370" s="475"/>
      <c r="BA3370" s="475"/>
      <c r="BF3370" s="1119"/>
      <c r="BG3370" s="1119"/>
      <c r="BH3370" s="1119"/>
    </row>
    <row r="3371" spans="1:60" ht="15.75" customHeight="1">
      <c r="A3371" s="1076"/>
      <c r="B3371" s="1080"/>
      <c r="C3371" s="424"/>
      <c r="G3371" s="312"/>
      <c r="H3371" s="467"/>
      <c r="I3371" s="467"/>
      <c r="J3371" s="469"/>
      <c r="K3371" s="312"/>
      <c r="L3371" s="312"/>
      <c r="M3371" s="312"/>
      <c r="N3371" s="467"/>
      <c r="O3371" s="467"/>
      <c r="P3371" s="467"/>
      <c r="AL3371" s="436"/>
      <c r="AM3371" s="436"/>
      <c r="AQ3371" s="436"/>
      <c r="AR3371" s="436"/>
      <c r="AS3371" s="436"/>
      <c r="AT3371" s="436"/>
      <c r="AU3371" s="436"/>
      <c r="AV3371" s="436"/>
      <c r="AW3371" s="436"/>
      <c r="AX3371" s="436"/>
      <c r="AY3371" s="436"/>
      <c r="AZ3371" s="475"/>
      <c r="BA3371" s="475"/>
      <c r="BF3371" s="1119"/>
      <c r="BG3371" s="1119"/>
      <c r="BH3371" s="1119"/>
    </row>
    <row r="3372" spans="1:60" ht="15.75" customHeight="1">
      <c r="A3372" s="1076"/>
      <c r="B3372" s="1080"/>
      <c r="C3372" s="424"/>
      <c r="G3372" s="312"/>
      <c r="H3372" s="467"/>
      <c r="I3372" s="467"/>
      <c r="J3372" s="469"/>
      <c r="K3372" s="312"/>
      <c r="L3372" s="312"/>
      <c r="M3372" s="312"/>
      <c r="N3372" s="467"/>
      <c r="O3372" s="467"/>
      <c r="P3372" s="467"/>
      <c r="AL3372" s="436"/>
      <c r="AM3372" s="436"/>
      <c r="AQ3372" s="436"/>
      <c r="AR3372" s="436"/>
      <c r="AS3372" s="436"/>
      <c r="AT3372" s="436"/>
      <c r="AU3372" s="436"/>
      <c r="AV3372" s="436"/>
      <c r="AW3372" s="436"/>
      <c r="AX3372" s="436"/>
      <c r="AY3372" s="436"/>
      <c r="AZ3372" s="475"/>
      <c r="BA3372" s="475"/>
      <c r="BF3372" s="1119"/>
      <c r="BG3372" s="1119"/>
      <c r="BH3372" s="1119"/>
    </row>
    <row r="3373" spans="1:60" ht="15.75" customHeight="1">
      <c r="A3373" s="1076"/>
      <c r="B3373" s="1080"/>
      <c r="C3373" s="424"/>
      <c r="G3373" s="312"/>
      <c r="H3373" s="467"/>
      <c r="I3373" s="467"/>
      <c r="J3373" s="469"/>
      <c r="K3373" s="312"/>
      <c r="L3373" s="312"/>
      <c r="M3373" s="312"/>
      <c r="N3373" s="467"/>
      <c r="O3373" s="467"/>
      <c r="P3373" s="467"/>
      <c r="AL3373" s="436"/>
      <c r="AM3373" s="436"/>
      <c r="AQ3373" s="436"/>
      <c r="AR3373" s="436"/>
      <c r="AS3373" s="436"/>
      <c r="AT3373" s="436"/>
      <c r="AU3373" s="436"/>
      <c r="AV3373" s="436"/>
      <c r="AW3373" s="436"/>
      <c r="AX3373" s="436"/>
      <c r="AY3373" s="436"/>
      <c r="AZ3373" s="475"/>
      <c r="BA3373" s="475"/>
      <c r="BF3373" s="1119"/>
      <c r="BG3373" s="1119"/>
      <c r="BH3373" s="1119"/>
    </row>
    <row r="3374" spans="1:60" ht="15.75" customHeight="1">
      <c r="A3374" s="1076"/>
      <c r="B3374" s="1080"/>
      <c r="C3374" s="424"/>
      <c r="G3374" s="312"/>
      <c r="H3374" s="467"/>
      <c r="I3374" s="467"/>
      <c r="J3374" s="469"/>
      <c r="K3374" s="312"/>
      <c r="L3374" s="312"/>
      <c r="M3374" s="312"/>
      <c r="N3374" s="467"/>
      <c r="O3374" s="467"/>
      <c r="P3374" s="467"/>
      <c r="AL3374" s="436"/>
      <c r="AM3374" s="436"/>
      <c r="AQ3374" s="436"/>
      <c r="AR3374" s="436"/>
      <c r="AS3374" s="436"/>
      <c r="AT3374" s="436"/>
      <c r="AU3374" s="436"/>
      <c r="AV3374" s="436"/>
      <c r="AW3374" s="436"/>
      <c r="AX3374" s="436"/>
      <c r="AY3374" s="436"/>
      <c r="AZ3374" s="475"/>
      <c r="BA3374" s="475"/>
      <c r="BF3374" s="1119"/>
      <c r="BG3374" s="1119"/>
      <c r="BH3374" s="1119"/>
    </row>
    <row r="3375" spans="1:60" ht="15.75" customHeight="1">
      <c r="A3375" s="1076"/>
      <c r="B3375" s="1080"/>
      <c r="C3375" s="424"/>
      <c r="G3375" s="312"/>
      <c r="H3375" s="467"/>
      <c r="I3375" s="467"/>
      <c r="J3375" s="469"/>
      <c r="K3375" s="312"/>
      <c r="L3375" s="312"/>
      <c r="M3375" s="312"/>
      <c r="N3375" s="467"/>
      <c r="O3375" s="467"/>
      <c r="P3375" s="467"/>
      <c r="AL3375" s="436"/>
      <c r="AM3375" s="436"/>
      <c r="AQ3375" s="436"/>
      <c r="AR3375" s="436"/>
      <c r="AS3375" s="436"/>
      <c r="AT3375" s="436"/>
      <c r="AU3375" s="436"/>
      <c r="AV3375" s="436"/>
      <c r="AW3375" s="436"/>
      <c r="AX3375" s="436"/>
      <c r="AY3375" s="436"/>
      <c r="AZ3375" s="475"/>
      <c r="BA3375" s="475"/>
      <c r="BF3375" s="1119"/>
      <c r="BG3375" s="1119"/>
      <c r="BH3375" s="1119"/>
    </row>
    <row r="3376" spans="1:60" ht="15.75" customHeight="1">
      <c r="A3376" s="1076"/>
      <c r="B3376" s="1080"/>
      <c r="C3376" s="424"/>
      <c r="G3376" s="312"/>
      <c r="H3376" s="467"/>
      <c r="I3376" s="467"/>
      <c r="J3376" s="469"/>
      <c r="K3376" s="312"/>
      <c r="L3376" s="312"/>
      <c r="M3376" s="312"/>
      <c r="N3376" s="467"/>
      <c r="O3376" s="467"/>
      <c r="P3376" s="467"/>
      <c r="AL3376" s="436"/>
      <c r="AM3376" s="436"/>
      <c r="AQ3376" s="436"/>
      <c r="AR3376" s="436"/>
      <c r="AS3376" s="436"/>
      <c r="AT3376" s="436"/>
      <c r="AU3376" s="436"/>
      <c r="AV3376" s="436"/>
      <c r="AW3376" s="436"/>
      <c r="AX3376" s="436"/>
      <c r="AY3376" s="436"/>
      <c r="AZ3376" s="475"/>
      <c r="BA3376" s="475"/>
      <c r="BF3376" s="1119"/>
      <c r="BG3376" s="1119"/>
      <c r="BH3376" s="1119"/>
    </row>
    <row r="3377" spans="1:60" ht="15.75" customHeight="1">
      <c r="A3377" s="1076"/>
      <c r="B3377" s="1080"/>
      <c r="C3377" s="424"/>
      <c r="G3377" s="312"/>
      <c r="H3377" s="467"/>
      <c r="I3377" s="467"/>
      <c r="J3377" s="469"/>
      <c r="K3377" s="312"/>
      <c r="L3377" s="312"/>
      <c r="M3377" s="312"/>
      <c r="N3377" s="467"/>
      <c r="O3377" s="467"/>
      <c r="P3377" s="467"/>
      <c r="AL3377" s="436"/>
      <c r="AM3377" s="436"/>
      <c r="AQ3377" s="436"/>
      <c r="AR3377" s="436"/>
      <c r="AS3377" s="436"/>
      <c r="AT3377" s="436"/>
      <c r="AU3377" s="436"/>
      <c r="AV3377" s="436"/>
      <c r="AW3377" s="436"/>
      <c r="AX3377" s="436"/>
      <c r="AY3377" s="436"/>
      <c r="AZ3377" s="475"/>
      <c r="BA3377" s="475"/>
      <c r="BF3377" s="1119"/>
      <c r="BG3377" s="1119"/>
      <c r="BH3377" s="1119"/>
    </row>
    <row r="3378" spans="1:60" ht="15.75" customHeight="1">
      <c r="A3378" s="1076"/>
      <c r="B3378" s="1080"/>
      <c r="C3378" s="424"/>
      <c r="G3378" s="312"/>
      <c r="H3378" s="467"/>
      <c r="I3378" s="467"/>
      <c r="J3378" s="469"/>
      <c r="K3378" s="312"/>
      <c r="L3378" s="312"/>
      <c r="M3378" s="312"/>
      <c r="N3378" s="467"/>
      <c r="O3378" s="467"/>
      <c r="P3378" s="467"/>
      <c r="AL3378" s="436"/>
      <c r="AM3378" s="436"/>
      <c r="AQ3378" s="436"/>
      <c r="AR3378" s="436"/>
      <c r="AS3378" s="436"/>
      <c r="AT3378" s="436"/>
      <c r="AU3378" s="436"/>
      <c r="AV3378" s="436"/>
      <c r="AW3378" s="436"/>
      <c r="AX3378" s="436"/>
      <c r="AY3378" s="436"/>
      <c r="AZ3378" s="475"/>
      <c r="BA3378" s="475"/>
      <c r="BF3378" s="1119"/>
      <c r="BG3378" s="1119"/>
      <c r="BH3378" s="1119"/>
    </row>
    <row r="3379" spans="1:60" ht="15.75" customHeight="1">
      <c r="A3379" s="1076"/>
      <c r="B3379" s="1080"/>
      <c r="C3379" s="424"/>
      <c r="G3379" s="312"/>
      <c r="H3379" s="467"/>
      <c r="I3379" s="467"/>
      <c r="J3379" s="469"/>
      <c r="K3379" s="312"/>
      <c r="L3379" s="312"/>
      <c r="M3379" s="312"/>
      <c r="N3379" s="467"/>
      <c r="O3379" s="467"/>
      <c r="P3379" s="467"/>
      <c r="AL3379" s="436"/>
      <c r="AM3379" s="436"/>
      <c r="AQ3379" s="436"/>
      <c r="AR3379" s="436"/>
      <c r="AS3379" s="436"/>
      <c r="AT3379" s="436"/>
      <c r="AU3379" s="436"/>
      <c r="AV3379" s="436"/>
      <c r="AW3379" s="436"/>
      <c r="AX3379" s="436"/>
      <c r="AY3379" s="436"/>
      <c r="AZ3379" s="475"/>
      <c r="BA3379" s="475"/>
      <c r="BF3379" s="1119"/>
      <c r="BG3379" s="1119"/>
      <c r="BH3379" s="1119"/>
    </row>
    <row r="3380" spans="1:60" ht="15.75" customHeight="1">
      <c r="A3380" s="1076"/>
      <c r="B3380" s="1080"/>
      <c r="C3380" s="424"/>
      <c r="G3380" s="312"/>
      <c r="H3380" s="467"/>
      <c r="I3380" s="467"/>
      <c r="J3380" s="469"/>
      <c r="K3380" s="312"/>
      <c r="L3380" s="312"/>
      <c r="M3380" s="312"/>
      <c r="N3380" s="467"/>
      <c r="O3380" s="467"/>
      <c r="P3380" s="467"/>
      <c r="AL3380" s="436"/>
      <c r="AM3380" s="436"/>
      <c r="AQ3380" s="436"/>
      <c r="AR3380" s="436"/>
      <c r="AS3380" s="436"/>
      <c r="AT3380" s="436"/>
      <c r="AU3380" s="436"/>
      <c r="AV3380" s="436"/>
      <c r="AW3380" s="436"/>
      <c r="AX3380" s="436"/>
      <c r="AY3380" s="436"/>
      <c r="AZ3380" s="475"/>
      <c r="BA3380" s="475"/>
      <c r="BF3380" s="1119"/>
      <c r="BG3380" s="1119"/>
      <c r="BH3380" s="1119"/>
    </row>
    <row r="3381" spans="1:60" ht="15.75" customHeight="1">
      <c r="A3381" s="1076"/>
      <c r="B3381" s="1080"/>
      <c r="C3381" s="424"/>
      <c r="G3381" s="312"/>
      <c r="H3381" s="467"/>
      <c r="I3381" s="467"/>
      <c r="J3381" s="469"/>
      <c r="K3381" s="312"/>
      <c r="L3381" s="312"/>
      <c r="M3381" s="312"/>
      <c r="N3381" s="467"/>
      <c r="O3381" s="467"/>
      <c r="P3381" s="467"/>
      <c r="AL3381" s="436"/>
      <c r="AM3381" s="436"/>
      <c r="AQ3381" s="436"/>
      <c r="AR3381" s="436"/>
      <c r="AS3381" s="436"/>
      <c r="AT3381" s="436"/>
      <c r="AU3381" s="436"/>
      <c r="AV3381" s="436"/>
      <c r="AW3381" s="436"/>
      <c r="AX3381" s="436"/>
      <c r="AY3381" s="436"/>
      <c r="AZ3381" s="475"/>
      <c r="BA3381" s="475"/>
      <c r="BF3381" s="1119"/>
      <c r="BG3381" s="1119"/>
      <c r="BH3381" s="1119"/>
    </row>
    <row r="3382" spans="1:60" ht="15.75" customHeight="1">
      <c r="A3382" s="1076"/>
      <c r="B3382" s="1080"/>
      <c r="C3382" s="424"/>
      <c r="G3382" s="312"/>
      <c r="H3382" s="467"/>
      <c r="I3382" s="467"/>
      <c r="J3382" s="469"/>
      <c r="K3382" s="312"/>
      <c r="L3382" s="312"/>
      <c r="M3382" s="312"/>
      <c r="N3382" s="467"/>
      <c r="O3382" s="467"/>
      <c r="P3382" s="467"/>
      <c r="AL3382" s="436"/>
      <c r="AM3382" s="436"/>
      <c r="AQ3382" s="436"/>
      <c r="AR3382" s="436"/>
      <c r="AS3382" s="436"/>
      <c r="AT3382" s="436"/>
      <c r="AU3382" s="436"/>
      <c r="AV3382" s="436"/>
      <c r="AW3382" s="436"/>
      <c r="AX3382" s="436"/>
      <c r="AY3382" s="436"/>
      <c r="AZ3382" s="475"/>
      <c r="BA3382" s="475"/>
      <c r="BF3382" s="1119"/>
      <c r="BG3382" s="1119"/>
      <c r="BH3382" s="1119"/>
    </row>
    <row r="3383" spans="1:60" ht="15.75" customHeight="1">
      <c r="A3383" s="1076"/>
      <c r="B3383" s="1080"/>
      <c r="C3383" s="424"/>
      <c r="G3383" s="312"/>
      <c r="H3383" s="467"/>
      <c r="I3383" s="467"/>
      <c r="J3383" s="469"/>
      <c r="K3383" s="312"/>
      <c r="L3383" s="312"/>
      <c r="M3383" s="312"/>
      <c r="N3383" s="467"/>
      <c r="O3383" s="467"/>
      <c r="P3383" s="467"/>
      <c r="AL3383" s="436"/>
      <c r="AM3383" s="436"/>
      <c r="AQ3383" s="436"/>
      <c r="AR3383" s="436"/>
      <c r="AS3383" s="436"/>
      <c r="AT3383" s="436"/>
      <c r="AU3383" s="436"/>
      <c r="AV3383" s="436"/>
      <c r="AW3383" s="436"/>
      <c r="AX3383" s="436"/>
      <c r="AY3383" s="436"/>
      <c r="AZ3383" s="475"/>
      <c r="BA3383" s="475"/>
      <c r="BF3383" s="1119"/>
      <c r="BG3383" s="1119"/>
      <c r="BH3383" s="1119"/>
    </row>
    <row r="3384" spans="1:60" ht="15.75" customHeight="1">
      <c r="A3384" s="1076"/>
      <c r="B3384" s="1080"/>
      <c r="C3384" s="424"/>
      <c r="G3384" s="312"/>
      <c r="H3384" s="467"/>
      <c r="I3384" s="467"/>
      <c r="J3384" s="469"/>
      <c r="K3384" s="312"/>
      <c r="L3384" s="312"/>
      <c r="M3384" s="312"/>
      <c r="N3384" s="467"/>
      <c r="O3384" s="467"/>
      <c r="P3384" s="467"/>
      <c r="AL3384" s="436"/>
      <c r="AM3384" s="436"/>
      <c r="AQ3384" s="436"/>
      <c r="AR3384" s="436"/>
      <c r="AS3384" s="436"/>
      <c r="AT3384" s="436"/>
      <c r="AU3384" s="436"/>
      <c r="AV3384" s="436"/>
      <c r="AW3384" s="436"/>
      <c r="AX3384" s="436"/>
      <c r="AY3384" s="436"/>
      <c r="AZ3384" s="475"/>
      <c r="BA3384" s="475"/>
      <c r="BF3384" s="1119"/>
      <c r="BG3384" s="1119"/>
      <c r="BH3384" s="1119"/>
    </row>
    <row r="3385" spans="1:60" ht="15.75" customHeight="1">
      <c r="A3385" s="1076"/>
      <c r="B3385" s="1080"/>
      <c r="C3385" s="424"/>
      <c r="G3385" s="312"/>
      <c r="H3385" s="467"/>
      <c r="I3385" s="467"/>
      <c r="J3385" s="469"/>
      <c r="K3385" s="312"/>
      <c r="L3385" s="312"/>
      <c r="M3385" s="312"/>
      <c r="N3385" s="467"/>
      <c r="O3385" s="467"/>
      <c r="P3385" s="467"/>
      <c r="AL3385" s="436"/>
      <c r="AM3385" s="436"/>
      <c r="AQ3385" s="436"/>
      <c r="AR3385" s="436"/>
      <c r="AS3385" s="436"/>
      <c r="AT3385" s="436"/>
      <c r="AU3385" s="436"/>
      <c r="AV3385" s="436"/>
      <c r="AW3385" s="436"/>
      <c r="AX3385" s="436"/>
      <c r="AY3385" s="436"/>
      <c r="AZ3385" s="475"/>
      <c r="BA3385" s="475"/>
      <c r="BF3385" s="1119"/>
      <c r="BG3385" s="1119"/>
      <c r="BH3385" s="1119"/>
    </row>
    <row r="3386" spans="1:60" ht="15.75" customHeight="1">
      <c r="A3386" s="1076"/>
      <c r="B3386" s="1080"/>
      <c r="C3386" s="424"/>
      <c r="G3386" s="312"/>
      <c r="H3386" s="467"/>
      <c r="I3386" s="467"/>
      <c r="J3386" s="469"/>
      <c r="K3386" s="312"/>
      <c r="L3386" s="312"/>
      <c r="M3386" s="312"/>
      <c r="N3386" s="467"/>
      <c r="O3386" s="467"/>
      <c r="P3386" s="467"/>
      <c r="AL3386" s="436"/>
      <c r="AM3386" s="436"/>
      <c r="AQ3386" s="436"/>
      <c r="AR3386" s="436"/>
      <c r="AS3386" s="436"/>
      <c r="AT3386" s="436"/>
      <c r="AU3386" s="436"/>
      <c r="AV3386" s="436"/>
      <c r="AW3386" s="436"/>
      <c r="AX3386" s="436"/>
      <c r="AY3386" s="436"/>
      <c r="AZ3386" s="475"/>
      <c r="BA3386" s="475"/>
      <c r="BF3386" s="1119"/>
      <c r="BG3386" s="1119"/>
      <c r="BH3386" s="1119"/>
    </row>
    <row r="3387" spans="1:60" ht="15.75" customHeight="1">
      <c r="A3387" s="1076"/>
      <c r="B3387" s="1080"/>
      <c r="C3387" s="424"/>
      <c r="G3387" s="312"/>
      <c r="H3387" s="467"/>
      <c r="I3387" s="467"/>
      <c r="J3387" s="469"/>
      <c r="K3387" s="312"/>
      <c r="L3387" s="312"/>
      <c r="M3387" s="312"/>
      <c r="N3387" s="467"/>
      <c r="O3387" s="467"/>
      <c r="P3387" s="467"/>
      <c r="AL3387" s="436"/>
      <c r="AM3387" s="436"/>
      <c r="AQ3387" s="436"/>
      <c r="AR3387" s="436"/>
      <c r="AS3387" s="436"/>
      <c r="AT3387" s="436"/>
      <c r="AU3387" s="436"/>
      <c r="AV3387" s="436"/>
      <c r="AW3387" s="436"/>
      <c r="AX3387" s="436"/>
      <c r="AY3387" s="436"/>
      <c r="AZ3387" s="475"/>
      <c r="BA3387" s="475"/>
      <c r="BF3387" s="1119"/>
      <c r="BG3387" s="1119"/>
      <c r="BH3387" s="1119"/>
    </row>
    <row r="3388" spans="1:60" ht="15.75" customHeight="1">
      <c r="A3388" s="1076"/>
      <c r="B3388" s="1080"/>
      <c r="C3388" s="424"/>
      <c r="G3388" s="312"/>
      <c r="H3388" s="467"/>
      <c r="I3388" s="467"/>
      <c r="J3388" s="469"/>
      <c r="K3388" s="312"/>
      <c r="L3388" s="312"/>
      <c r="M3388" s="312"/>
      <c r="N3388" s="467"/>
      <c r="O3388" s="467"/>
      <c r="P3388" s="467"/>
      <c r="AL3388" s="436"/>
      <c r="AM3388" s="436"/>
      <c r="AQ3388" s="436"/>
      <c r="AR3388" s="436"/>
      <c r="AS3388" s="436"/>
      <c r="AT3388" s="436"/>
      <c r="AU3388" s="436"/>
      <c r="AV3388" s="436"/>
      <c r="AW3388" s="436"/>
      <c r="AX3388" s="436"/>
      <c r="AY3388" s="436"/>
      <c r="AZ3388" s="475"/>
      <c r="BA3388" s="475"/>
      <c r="BF3388" s="1119"/>
      <c r="BG3388" s="1119"/>
      <c r="BH3388" s="1119"/>
    </row>
    <row r="3389" spans="1:60" ht="15.75" customHeight="1">
      <c r="A3389" s="1076"/>
      <c r="B3389" s="1080"/>
      <c r="C3389" s="424"/>
      <c r="G3389" s="312"/>
      <c r="H3389" s="467"/>
      <c r="I3389" s="467"/>
      <c r="J3389" s="469"/>
      <c r="K3389" s="312"/>
      <c r="L3389" s="312"/>
      <c r="M3389" s="312"/>
      <c r="N3389" s="467"/>
      <c r="O3389" s="467"/>
      <c r="P3389" s="467"/>
      <c r="AL3389" s="436"/>
      <c r="AM3389" s="436"/>
      <c r="AQ3389" s="436"/>
      <c r="AR3389" s="436"/>
      <c r="AS3389" s="436"/>
      <c r="AT3389" s="436"/>
      <c r="AU3389" s="436"/>
      <c r="AV3389" s="436"/>
      <c r="AW3389" s="436"/>
      <c r="AX3389" s="436"/>
      <c r="AY3389" s="436"/>
      <c r="AZ3389" s="475"/>
      <c r="BA3389" s="475"/>
      <c r="BF3389" s="1119"/>
      <c r="BG3389" s="1119"/>
      <c r="BH3389" s="1119"/>
    </row>
    <row r="3390" spans="1:60" ht="15.75" customHeight="1">
      <c r="A3390" s="1076"/>
      <c r="B3390" s="1080"/>
      <c r="C3390" s="424"/>
      <c r="G3390" s="312"/>
      <c r="H3390" s="467"/>
      <c r="I3390" s="467"/>
      <c r="J3390" s="469"/>
      <c r="K3390" s="312"/>
      <c r="L3390" s="312"/>
      <c r="M3390" s="312"/>
      <c r="N3390" s="467"/>
      <c r="O3390" s="467"/>
      <c r="P3390" s="467"/>
      <c r="AL3390" s="436"/>
      <c r="AM3390" s="436"/>
      <c r="AQ3390" s="436"/>
      <c r="AR3390" s="436"/>
      <c r="AS3390" s="436"/>
      <c r="AT3390" s="436"/>
      <c r="AU3390" s="436"/>
      <c r="AV3390" s="436"/>
      <c r="AW3390" s="436"/>
      <c r="AX3390" s="436"/>
      <c r="AY3390" s="436"/>
      <c r="AZ3390" s="475"/>
      <c r="BA3390" s="475"/>
      <c r="BF3390" s="1119"/>
      <c r="BG3390" s="1119"/>
      <c r="BH3390" s="1119"/>
    </row>
    <row r="3391" spans="1:60" ht="15.75" customHeight="1">
      <c r="A3391" s="1076"/>
      <c r="B3391" s="1080"/>
      <c r="C3391" s="424"/>
      <c r="G3391" s="312"/>
      <c r="H3391" s="467"/>
      <c r="I3391" s="467"/>
      <c r="J3391" s="469"/>
      <c r="K3391" s="312"/>
      <c r="L3391" s="312"/>
      <c r="M3391" s="312"/>
      <c r="N3391" s="467"/>
      <c r="O3391" s="467"/>
      <c r="P3391" s="467"/>
      <c r="AL3391" s="436"/>
      <c r="AM3391" s="436"/>
      <c r="AQ3391" s="436"/>
      <c r="AR3391" s="436"/>
      <c r="AS3391" s="436"/>
      <c r="AT3391" s="436"/>
      <c r="AU3391" s="436"/>
      <c r="AV3391" s="436"/>
      <c r="AW3391" s="436"/>
      <c r="AX3391" s="436"/>
      <c r="AY3391" s="436"/>
      <c r="AZ3391" s="475"/>
      <c r="BA3391" s="475"/>
      <c r="BF3391" s="1119"/>
      <c r="BG3391" s="1119"/>
      <c r="BH3391" s="1119"/>
    </row>
    <row r="3392" spans="1:60" ht="15.75" customHeight="1">
      <c r="A3392" s="1076"/>
      <c r="B3392" s="312"/>
      <c r="C3392" s="424"/>
      <c r="G3392" s="312"/>
      <c r="H3392" s="467"/>
      <c r="I3392" s="467"/>
      <c r="J3392" s="469"/>
      <c r="K3392" s="312"/>
      <c r="L3392" s="312"/>
      <c r="M3392" s="312"/>
      <c r="N3392" s="467"/>
      <c r="O3392" s="467"/>
      <c r="P3392" s="467"/>
      <c r="AL3392" s="436"/>
      <c r="AM3392" s="436"/>
      <c r="AQ3392" s="436"/>
      <c r="AR3392" s="436"/>
      <c r="AS3392" s="436"/>
      <c r="AT3392" s="436"/>
      <c r="AU3392" s="436"/>
      <c r="AV3392" s="436"/>
      <c r="AW3392" s="436"/>
      <c r="AX3392" s="436"/>
      <c r="AY3392" s="436"/>
      <c r="AZ3392" s="475"/>
      <c r="BA3392" s="475"/>
      <c r="BF3392" s="1119"/>
      <c r="BG3392" s="1119"/>
      <c r="BH3392" s="1119"/>
    </row>
    <row r="3393" spans="1:60" ht="15.75" customHeight="1">
      <c r="A3393" s="1076"/>
      <c r="B3393" s="312"/>
      <c r="C3393" s="424"/>
      <c r="G3393" s="312"/>
      <c r="H3393" s="467"/>
      <c r="I3393" s="467"/>
      <c r="J3393" s="469"/>
      <c r="K3393" s="312"/>
      <c r="L3393" s="312"/>
      <c r="M3393" s="312"/>
      <c r="N3393" s="467"/>
      <c r="O3393" s="467"/>
      <c r="P3393" s="467"/>
      <c r="AL3393" s="436"/>
      <c r="AM3393" s="436"/>
      <c r="AQ3393" s="436"/>
      <c r="AR3393" s="436"/>
      <c r="AS3393" s="436"/>
      <c r="AT3393" s="436"/>
      <c r="AU3393" s="436"/>
      <c r="AV3393" s="436"/>
      <c r="AW3393" s="436"/>
      <c r="AX3393" s="436"/>
      <c r="AY3393" s="436"/>
      <c r="AZ3393" s="475"/>
      <c r="BA3393" s="475"/>
      <c r="BF3393" s="1119"/>
      <c r="BG3393" s="1119"/>
      <c r="BH3393" s="1119"/>
    </row>
    <row r="3394" spans="1:60" ht="15.75" customHeight="1">
      <c r="A3394" s="1076"/>
      <c r="B3394" s="312"/>
      <c r="C3394" s="424"/>
      <c r="G3394" s="312"/>
      <c r="H3394" s="467"/>
      <c r="I3394" s="467"/>
      <c r="J3394" s="469"/>
      <c r="K3394" s="312"/>
      <c r="L3394" s="312"/>
      <c r="M3394" s="312"/>
      <c r="N3394" s="467"/>
      <c r="O3394" s="467"/>
      <c r="P3394" s="467"/>
      <c r="AL3394" s="436"/>
      <c r="AM3394" s="436"/>
      <c r="AQ3394" s="436"/>
      <c r="AR3394" s="436"/>
      <c r="AS3394" s="436"/>
      <c r="AT3394" s="436"/>
      <c r="AU3394" s="436"/>
      <c r="AV3394" s="436"/>
      <c r="AW3394" s="436"/>
      <c r="AX3394" s="436"/>
      <c r="AY3394" s="436"/>
      <c r="AZ3394" s="475"/>
      <c r="BA3394" s="475"/>
      <c r="BF3394" s="1119"/>
      <c r="BG3394" s="1119"/>
      <c r="BH3394" s="1119"/>
    </row>
    <row r="3395" spans="1:60" ht="15.75" customHeight="1">
      <c r="A3395" s="1076"/>
      <c r="B3395" s="312"/>
      <c r="C3395" s="424"/>
      <c r="G3395" s="312"/>
      <c r="H3395" s="467"/>
      <c r="I3395" s="467"/>
      <c r="J3395" s="469"/>
      <c r="K3395" s="312"/>
      <c r="L3395" s="312"/>
      <c r="M3395" s="312"/>
      <c r="N3395" s="467"/>
      <c r="O3395" s="467"/>
      <c r="P3395" s="467"/>
      <c r="AL3395" s="436"/>
      <c r="AM3395" s="436"/>
      <c r="AQ3395" s="436"/>
      <c r="AR3395" s="436"/>
      <c r="AS3395" s="436"/>
      <c r="AT3395" s="436"/>
      <c r="AU3395" s="436"/>
      <c r="AV3395" s="436"/>
      <c r="AW3395" s="436"/>
      <c r="AX3395" s="436"/>
      <c r="AY3395" s="436"/>
      <c r="AZ3395" s="475"/>
      <c r="BA3395" s="475"/>
      <c r="BF3395" s="1119"/>
      <c r="BG3395" s="1119"/>
      <c r="BH3395" s="1119"/>
    </row>
    <row r="3396" spans="1:60" ht="15.75" customHeight="1">
      <c r="A3396" s="1076"/>
      <c r="B3396" s="312"/>
      <c r="C3396" s="424"/>
      <c r="G3396" s="312"/>
      <c r="H3396" s="467"/>
      <c r="I3396" s="467"/>
      <c r="J3396" s="469"/>
      <c r="K3396" s="312"/>
      <c r="L3396" s="312"/>
      <c r="M3396" s="312"/>
      <c r="N3396" s="467"/>
      <c r="O3396" s="467"/>
      <c r="P3396" s="467"/>
      <c r="AL3396" s="436"/>
      <c r="AM3396" s="436"/>
      <c r="AQ3396" s="436"/>
      <c r="AR3396" s="436"/>
      <c r="AS3396" s="436"/>
      <c r="AT3396" s="436"/>
      <c r="AU3396" s="436"/>
      <c r="AV3396" s="436"/>
      <c r="AW3396" s="436"/>
      <c r="AX3396" s="436"/>
      <c r="AY3396" s="436"/>
      <c r="AZ3396" s="475"/>
      <c r="BA3396" s="475"/>
      <c r="BF3396" s="1119"/>
      <c r="BG3396" s="1119"/>
      <c r="BH3396" s="1119"/>
    </row>
    <row r="3397" spans="1:60" ht="15.75" customHeight="1">
      <c r="A3397" s="1076"/>
      <c r="B3397" s="312"/>
      <c r="C3397" s="424"/>
      <c r="G3397" s="312"/>
      <c r="H3397" s="467"/>
      <c r="I3397" s="467"/>
      <c r="J3397" s="469"/>
      <c r="K3397" s="312"/>
      <c r="L3397" s="312"/>
      <c r="M3397" s="312"/>
      <c r="N3397" s="467"/>
      <c r="O3397" s="467"/>
      <c r="P3397" s="467"/>
      <c r="AL3397" s="436"/>
      <c r="AM3397" s="436"/>
      <c r="AQ3397" s="436"/>
      <c r="AR3397" s="436"/>
      <c r="AS3397" s="436"/>
      <c r="AT3397" s="436"/>
      <c r="AU3397" s="436"/>
      <c r="AV3397" s="436"/>
      <c r="AW3397" s="436"/>
      <c r="AX3397" s="436"/>
      <c r="AY3397" s="436"/>
      <c r="AZ3397" s="475"/>
      <c r="BA3397" s="475"/>
      <c r="BF3397" s="1119"/>
      <c r="BG3397" s="1119"/>
      <c r="BH3397" s="1119"/>
    </row>
    <row r="3398" spans="1:60" ht="15.75" customHeight="1">
      <c r="A3398" s="1076"/>
      <c r="B3398" s="312"/>
      <c r="C3398" s="424"/>
      <c r="G3398" s="312"/>
      <c r="H3398" s="467"/>
      <c r="I3398" s="467"/>
      <c r="J3398" s="469"/>
      <c r="K3398" s="312"/>
      <c r="L3398" s="312"/>
      <c r="M3398" s="312"/>
      <c r="N3398" s="467"/>
      <c r="O3398" s="467"/>
      <c r="P3398" s="467"/>
      <c r="AL3398" s="436"/>
      <c r="AM3398" s="436"/>
      <c r="AQ3398" s="436"/>
      <c r="AR3398" s="436"/>
      <c r="AS3398" s="436"/>
      <c r="AT3398" s="436"/>
      <c r="AU3398" s="436"/>
      <c r="AV3398" s="436"/>
      <c r="AW3398" s="436"/>
      <c r="AX3398" s="436"/>
      <c r="AY3398" s="436"/>
      <c r="AZ3398" s="475"/>
      <c r="BA3398" s="475"/>
      <c r="BF3398" s="1119"/>
      <c r="BG3398" s="1119"/>
      <c r="BH3398" s="1119"/>
    </row>
    <row r="3399" spans="1:60" ht="15.75" customHeight="1">
      <c r="A3399" s="1076"/>
      <c r="B3399" s="312"/>
      <c r="C3399" s="424"/>
      <c r="G3399" s="312"/>
      <c r="H3399" s="467"/>
      <c r="I3399" s="467"/>
      <c r="J3399" s="469"/>
      <c r="K3399" s="312"/>
      <c r="L3399" s="312"/>
      <c r="M3399" s="312"/>
      <c r="N3399" s="467"/>
      <c r="O3399" s="467"/>
      <c r="P3399" s="467"/>
      <c r="AL3399" s="436"/>
      <c r="AM3399" s="436"/>
      <c r="AQ3399" s="436"/>
      <c r="AR3399" s="436"/>
      <c r="AS3399" s="436"/>
      <c r="AT3399" s="436"/>
      <c r="AU3399" s="436"/>
      <c r="AV3399" s="436"/>
      <c r="AW3399" s="436"/>
      <c r="AX3399" s="436"/>
      <c r="AY3399" s="436"/>
      <c r="AZ3399" s="475"/>
      <c r="BA3399" s="475"/>
      <c r="BF3399" s="1119"/>
      <c r="BG3399" s="1119"/>
      <c r="BH3399" s="1119"/>
    </row>
    <row r="3400" spans="1:60" ht="15.75" customHeight="1">
      <c r="A3400" s="1076"/>
      <c r="B3400" s="312"/>
      <c r="C3400" s="424"/>
      <c r="G3400" s="312"/>
      <c r="H3400" s="467"/>
      <c r="I3400" s="467"/>
      <c r="J3400" s="469"/>
      <c r="K3400" s="312"/>
      <c r="L3400" s="312"/>
      <c r="M3400" s="312"/>
      <c r="N3400" s="467"/>
      <c r="O3400" s="467"/>
      <c r="P3400" s="467"/>
      <c r="AL3400" s="436"/>
      <c r="AM3400" s="436"/>
      <c r="AQ3400" s="436"/>
      <c r="AR3400" s="436"/>
      <c r="AS3400" s="436"/>
      <c r="AT3400" s="436"/>
      <c r="AU3400" s="436"/>
      <c r="AV3400" s="436"/>
      <c r="AW3400" s="436"/>
      <c r="AX3400" s="436"/>
      <c r="AY3400" s="436"/>
      <c r="AZ3400" s="475"/>
      <c r="BA3400" s="475"/>
      <c r="BF3400" s="1119"/>
      <c r="BG3400" s="1119"/>
      <c r="BH3400" s="1119"/>
    </row>
    <row r="3401" spans="1:60" ht="15.75" customHeight="1">
      <c r="A3401" s="1076"/>
      <c r="B3401" s="312"/>
      <c r="C3401" s="424"/>
      <c r="G3401" s="312"/>
      <c r="H3401" s="467"/>
      <c r="I3401" s="467"/>
      <c r="J3401" s="469"/>
      <c r="K3401" s="312"/>
      <c r="L3401" s="312"/>
      <c r="M3401" s="312"/>
      <c r="N3401" s="467"/>
      <c r="O3401" s="467"/>
      <c r="P3401" s="467"/>
      <c r="AL3401" s="436"/>
      <c r="AM3401" s="436"/>
      <c r="AQ3401" s="436"/>
      <c r="AR3401" s="436"/>
      <c r="AS3401" s="436"/>
      <c r="AT3401" s="436"/>
      <c r="AU3401" s="436"/>
      <c r="AV3401" s="436"/>
      <c r="AW3401" s="436"/>
      <c r="AX3401" s="436"/>
      <c r="AY3401" s="436"/>
      <c r="AZ3401" s="475"/>
      <c r="BA3401" s="475"/>
      <c r="BF3401" s="1119"/>
      <c r="BG3401" s="1119"/>
      <c r="BH3401" s="1119"/>
    </row>
    <row r="3402" spans="1:60" ht="15.75" customHeight="1">
      <c r="A3402" s="1076"/>
      <c r="B3402" s="312"/>
      <c r="C3402" s="424"/>
      <c r="G3402" s="312"/>
      <c r="H3402" s="467"/>
      <c r="I3402" s="467"/>
      <c r="J3402" s="469"/>
      <c r="K3402" s="312"/>
      <c r="L3402" s="312"/>
      <c r="M3402" s="312"/>
      <c r="N3402" s="467"/>
      <c r="O3402" s="467"/>
      <c r="P3402" s="467"/>
      <c r="AL3402" s="436"/>
      <c r="AM3402" s="436"/>
      <c r="AQ3402" s="436"/>
      <c r="AR3402" s="436"/>
      <c r="AS3402" s="436"/>
      <c r="AT3402" s="436"/>
      <c r="AU3402" s="436"/>
      <c r="AV3402" s="436"/>
      <c r="AW3402" s="436"/>
      <c r="AX3402" s="436"/>
      <c r="AY3402" s="436"/>
      <c r="AZ3402" s="475"/>
      <c r="BA3402" s="475"/>
      <c r="BF3402" s="1119"/>
      <c r="BG3402" s="1119"/>
      <c r="BH3402" s="1119"/>
    </row>
    <row r="3403" spans="1:60" ht="15.75" customHeight="1">
      <c r="A3403" s="1076"/>
      <c r="B3403" s="312"/>
      <c r="C3403" s="424"/>
      <c r="G3403" s="312"/>
      <c r="H3403" s="467"/>
      <c r="I3403" s="467"/>
      <c r="J3403" s="469"/>
      <c r="K3403" s="312"/>
      <c r="L3403" s="312"/>
      <c r="M3403" s="312"/>
      <c r="N3403" s="467"/>
      <c r="O3403" s="467"/>
      <c r="P3403" s="467"/>
      <c r="AL3403" s="436"/>
      <c r="AM3403" s="436"/>
      <c r="AQ3403" s="436"/>
      <c r="AR3403" s="436"/>
      <c r="AS3403" s="436"/>
      <c r="AT3403" s="436"/>
      <c r="AU3403" s="436"/>
      <c r="AV3403" s="436"/>
      <c r="AW3403" s="436"/>
      <c r="AX3403" s="436"/>
      <c r="AY3403" s="436"/>
      <c r="AZ3403" s="475"/>
      <c r="BA3403" s="475"/>
      <c r="BF3403" s="1119"/>
      <c r="BG3403" s="1119"/>
      <c r="BH3403" s="1119"/>
    </row>
    <row r="3404" spans="1:60" ht="15.75" customHeight="1">
      <c r="A3404" s="1076"/>
      <c r="B3404" s="312"/>
      <c r="C3404" s="424"/>
      <c r="G3404" s="312"/>
      <c r="H3404" s="467"/>
      <c r="I3404" s="467"/>
      <c r="J3404" s="469"/>
      <c r="K3404" s="312"/>
      <c r="L3404" s="312"/>
      <c r="M3404" s="312"/>
      <c r="N3404" s="467"/>
      <c r="O3404" s="467"/>
      <c r="P3404" s="467"/>
      <c r="AL3404" s="436"/>
      <c r="AM3404" s="436"/>
      <c r="AQ3404" s="436"/>
      <c r="AR3404" s="436"/>
      <c r="AS3404" s="436"/>
      <c r="AT3404" s="436"/>
      <c r="AU3404" s="436"/>
      <c r="AV3404" s="436"/>
      <c r="AW3404" s="436"/>
      <c r="AX3404" s="436"/>
      <c r="AY3404" s="436"/>
      <c r="AZ3404" s="475"/>
      <c r="BA3404" s="475"/>
      <c r="BF3404" s="1119"/>
      <c r="BG3404" s="1119"/>
      <c r="BH3404" s="1119"/>
    </row>
    <row r="3405" spans="1:60" ht="15.75" customHeight="1">
      <c r="A3405" s="1076"/>
      <c r="B3405" s="312"/>
      <c r="C3405" s="424"/>
      <c r="G3405" s="312"/>
      <c r="H3405" s="467"/>
      <c r="I3405" s="467"/>
      <c r="J3405" s="469"/>
      <c r="K3405" s="312"/>
      <c r="L3405" s="312"/>
      <c r="M3405" s="312"/>
      <c r="N3405" s="467"/>
      <c r="O3405" s="467"/>
      <c r="P3405" s="467"/>
      <c r="AL3405" s="436"/>
      <c r="AM3405" s="436"/>
      <c r="AQ3405" s="436"/>
      <c r="AR3405" s="436"/>
      <c r="AS3405" s="436"/>
      <c r="AT3405" s="436"/>
      <c r="AU3405" s="436"/>
      <c r="AV3405" s="436"/>
      <c r="AW3405" s="436"/>
      <c r="AX3405" s="436"/>
      <c r="AY3405" s="436"/>
      <c r="AZ3405" s="475"/>
      <c r="BA3405" s="475"/>
      <c r="BF3405" s="1119"/>
      <c r="BG3405" s="1119"/>
      <c r="BH3405" s="1119"/>
    </row>
    <row r="3406" spans="1:60" ht="15.75" customHeight="1">
      <c r="A3406" s="1076"/>
      <c r="B3406" s="312"/>
      <c r="C3406" s="424"/>
      <c r="G3406" s="312"/>
      <c r="H3406" s="467"/>
      <c r="I3406" s="467"/>
      <c r="J3406" s="469"/>
      <c r="K3406" s="312"/>
      <c r="L3406" s="312"/>
      <c r="M3406" s="312"/>
      <c r="N3406" s="467"/>
      <c r="O3406" s="467"/>
      <c r="P3406" s="467"/>
      <c r="AL3406" s="436"/>
      <c r="AM3406" s="436"/>
      <c r="AQ3406" s="436"/>
      <c r="AR3406" s="436"/>
      <c r="AS3406" s="436"/>
      <c r="AT3406" s="436"/>
      <c r="AU3406" s="436"/>
      <c r="AV3406" s="436"/>
      <c r="AW3406" s="436"/>
      <c r="AX3406" s="436"/>
      <c r="AY3406" s="436"/>
      <c r="AZ3406" s="475"/>
      <c r="BA3406" s="475"/>
      <c r="BF3406" s="1119"/>
      <c r="BG3406" s="1119"/>
      <c r="BH3406" s="1119"/>
    </row>
    <row r="3407" spans="1:60" ht="15.75" customHeight="1">
      <c r="A3407" s="1076"/>
      <c r="B3407" s="312"/>
      <c r="C3407" s="424"/>
      <c r="G3407" s="312"/>
      <c r="H3407" s="467"/>
      <c r="I3407" s="467"/>
      <c r="J3407" s="469"/>
      <c r="K3407" s="312"/>
      <c r="L3407" s="312"/>
      <c r="M3407" s="312"/>
      <c r="N3407" s="467"/>
      <c r="O3407" s="467"/>
      <c r="P3407" s="467"/>
      <c r="AL3407" s="436"/>
      <c r="AM3407" s="436"/>
      <c r="AQ3407" s="436"/>
      <c r="AR3407" s="436"/>
      <c r="AS3407" s="436"/>
      <c r="AT3407" s="436"/>
      <c r="AU3407" s="436"/>
      <c r="AV3407" s="436"/>
      <c r="AW3407" s="436"/>
      <c r="AX3407" s="436"/>
      <c r="AY3407" s="436"/>
      <c r="AZ3407" s="475"/>
      <c r="BA3407" s="475"/>
      <c r="BF3407" s="1119"/>
      <c r="BG3407" s="1119"/>
      <c r="BH3407" s="1119"/>
    </row>
    <row r="3408" spans="1:60" ht="15.75" customHeight="1">
      <c r="A3408" s="1076"/>
      <c r="B3408" s="312"/>
      <c r="C3408" s="424"/>
      <c r="G3408" s="312"/>
      <c r="H3408" s="467"/>
      <c r="I3408" s="467"/>
      <c r="J3408" s="469"/>
      <c r="K3408" s="312"/>
      <c r="L3408" s="312"/>
      <c r="M3408" s="312"/>
      <c r="N3408" s="467"/>
      <c r="O3408" s="467"/>
      <c r="P3408" s="467"/>
      <c r="AL3408" s="436"/>
      <c r="AM3408" s="436"/>
      <c r="AQ3408" s="436"/>
      <c r="AR3408" s="436"/>
      <c r="AS3408" s="436"/>
      <c r="AT3408" s="436"/>
      <c r="AU3408" s="436"/>
      <c r="AV3408" s="436"/>
      <c r="AW3408" s="436"/>
      <c r="AX3408" s="436"/>
      <c r="AY3408" s="436"/>
      <c r="AZ3408" s="475"/>
      <c r="BA3408" s="475"/>
      <c r="BF3408" s="1119"/>
      <c r="BG3408" s="1119"/>
      <c r="BH3408" s="1119"/>
    </row>
    <row r="3409" spans="1:60" ht="15.75" customHeight="1">
      <c r="A3409" s="1076"/>
      <c r="B3409" s="312"/>
      <c r="C3409" s="424"/>
      <c r="G3409" s="312"/>
      <c r="H3409" s="467"/>
      <c r="I3409" s="467"/>
      <c r="J3409" s="469"/>
      <c r="K3409" s="312"/>
      <c r="L3409" s="312"/>
      <c r="M3409" s="312"/>
      <c r="N3409" s="467"/>
      <c r="O3409" s="467"/>
      <c r="P3409" s="467"/>
      <c r="AL3409" s="436"/>
      <c r="AM3409" s="436"/>
      <c r="AQ3409" s="436"/>
      <c r="AR3409" s="436"/>
      <c r="AS3409" s="436"/>
      <c r="AT3409" s="436"/>
      <c r="AU3409" s="436"/>
      <c r="AV3409" s="436"/>
      <c r="AW3409" s="436"/>
      <c r="AX3409" s="436"/>
      <c r="AY3409" s="436"/>
      <c r="AZ3409" s="475"/>
      <c r="BA3409" s="475"/>
      <c r="BF3409" s="1119"/>
      <c r="BG3409" s="1119"/>
      <c r="BH3409" s="1119"/>
    </row>
    <row r="3410" spans="1:60" ht="15.75" customHeight="1">
      <c r="A3410" s="1076"/>
      <c r="B3410" s="312"/>
      <c r="C3410" s="424"/>
      <c r="G3410" s="312"/>
      <c r="H3410" s="467"/>
      <c r="I3410" s="467"/>
      <c r="J3410" s="469"/>
      <c r="K3410" s="312"/>
      <c r="L3410" s="312"/>
      <c r="M3410" s="312"/>
      <c r="N3410" s="467"/>
      <c r="O3410" s="467"/>
      <c r="P3410" s="467"/>
      <c r="AL3410" s="436"/>
      <c r="AM3410" s="436"/>
      <c r="AQ3410" s="436"/>
      <c r="AR3410" s="436"/>
      <c r="AS3410" s="436"/>
      <c r="AT3410" s="436"/>
      <c r="AU3410" s="436"/>
      <c r="AV3410" s="436"/>
      <c r="AW3410" s="436"/>
      <c r="AX3410" s="436"/>
      <c r="AY3410" s="436"/>
      <c r="AZ3410" s="475"/>
      <c r="BA3410" s="475"/>
      <c r="BF3410" s="1119"/>
      <c r="BG3410" s="1119"/>
      <c r="BH3410" s="1119"/>
    </row>
    <row r="3411" spans="1:60" ht="15.75" customHeight="1">
      <c r="A3411" s="1076"/>
      <c r="B3411" s="312"/>
      <c r="C3411" s="424"/>
      <c r="G3411" s="312"/>
      <c r="H3411" s="467"/>
      <c r="I3411" s="467"/>
      <c r="J3411" s="469"/>
      <c r="K3411" s="312"/>
      <c r="L3411" s="312"/>
      <c r="M3411" s="312"/>
      <c r="N3411" s="467"/>
      <c r="O3411" s="467"/>
      <c r="P3411" s="467"/>
      <c r="AL3411" s="436"/>
      <c r="AM3411" s="436"/>
      <c r="AQ3411" s="436"/>
      <c r="AR3411" s="436"/>
      <c r="AS3411" s="436"/>
      <c r="AT3411" s="436"/>
      <c r="AU3411" s="436"/>
      <c r="AV3411" s="436"/>
      <c r="AW3411" s="436"/>
      <c r="AX3411" s="436"/>
      <c r="AY3411" s="436"/>
      <c r="AZ3411" s="475"/>
      <c r="BA3411" s="475"/>
      <c r="BF3411" s="1119"/>
      <c r="BG3411" s="1119"/>
      <c r="BH3411" s="1119"/>
    </row>
    <row r="3412" spans="1:60" ht="15.75" customHeight="1">
      <c r="A3412" s="1076"/>
      <c r="B3412" s="312"/>
      <c r="C3412" s="424"/>
      <c r="G3412" s="312"/>
      <c r="H3412" s="467"/>
      <c r="I3412" s="467"/>
      <c r="J3412" s="469"/>
      <c r="K3412" s="312"/>
      <c r="L3412" s="312"/>
      <c r="M3412" s="312"/>
      <c r="N3412" s="467"/>
      <c r="O3412" s="467"/>
      <c r="P3412" s="467"/>
      <c r="AL3412" s="436"/>
      <c r="AM3412" s="436"/>
      <c r="AQ3412" s="436"/>
      <c r="AR3412" s="436"/>
      <c r="AS3412" s="436"/>
      <c r="AT3412" s="436"/>
      <c r="AU3412" s="436"/>
      <c r="AV3412" s="436"/>
      <c r="AW3412" s="436"/>
      <c r="AX3412" s="436"/>
      <c r="AY3412" s="436"/>
      <c r="AZ3412" s="475"/>
      <c r="BA3412" s="475"/>
      <c r="BF3412" s="1119"/>
      <c r="BG3412" s="1119"/>
      <c r="BH3412" s="1119"/>
    </row>
    <row r="3413" spans="1:60" ht="15.75" customHeight="1">
      <c r="A3413" s="1076"/>
      <c r="B3413" s="312"/>
      <c r="C3413" s="424"/>
      <c r="G3413" s="312"/>
      <c r="H3413" s="467"/>
      <c r="I3413" s="467"/>
      <c r="J3413" s="469"/>
      <c r="K3413" s="312"/>
      <c r="L3413" s="312"/>
      <c r="M3413" s="312"/>
      <c r="N3413" s="467"/>
      <c r="O3413" s="467"/>
      <c r="P3413" s="467"/>
      <c r="AL3413" s="436"/>
      <c r="AM3413" s="436"/>
      <c r="AQ3413" s="436"/>
      <c r="AR3413" s="436"/>
      <c r="AS3413" s="436"/>
      <c r="AT3413" s="436"/>
      <c r="AU3413" s="436"/>
      <c r="AV3413" s="436"/>
      <c r="AW3413" s="436"/>
      <c r="AX3413" s="436"/>
      <c r="AY3413" s="436"/>
      <c r="AZ3413" s="475"/>
      <c r="BA3413" s="475"/>
      <c r="BF3413" s="1119"/>
      <c r="BG3413" s="1119"/>
      <c r="BH3413" s="1119"/>
    </row>
    <row r="3414" spans="1:60" ht="15.75" customHeight="1">
      <c r="A3414" s="1076"/>
      <c r="B3414" s="312"/>
      <c r="C3414" s="424"/>
      <c r="G3414" s="312"/>
      <c r="H3414" s="467"/>
      <c r="I3414" s="467"/>
      <c r="J3414" s="469"/>
      <c r="K3414" s="312"/>
      <c r="L3414" s="312"/>
      <c r="M3414" s="312"/>
      <c r="N3414" s="467"/>
      <c r="O3414" s="467"/>
      <c r="P3414" s="467"/>
      <c r="AL3414" s="436"/>
      <c r="AM3414" s="436"/>
      <c r="AQ3414" s="436"/>
      <c r="AR3414" s="436"/>
      <c r="AS3414" s="436"/>
      <c r="AT3414" s="436"/>
      <c r="AU3414" s="436"/>
      <c r="AV3414" s="436"/>
      <c r="AW3414" s="436"/>
      <c r="AX3414" s="436"/>
      <c r="AY3414" s="436"/>
      <c r="AZ3414" s="475"/>
      <c r="BA3414" s="475"/>
      <c r="BF3414" s="1119"/>
      <c r="BG3414" s="1119"/>
      <c r="BH3414" s="1119"/>
    </row>
    <row r="3415" spans="1:60" ht="15.75" customHeight="1">
      <c r="A3415" s="1076"/>
      <c r="B3415" s="312"/>
      <c r="C3415" s="424"/>
      <c r="G3415" s="312"/>
      <c r="H3415" s="467"/>
      <c r="I3415" s="467"/>
      <c r="J3415" s="469"/>
      <c r="K3415" s="312"/>
      <c r="L3415" s="312"/>
      <c r="M3415" s="312"/>
      <c r="N3415" s="467"/>
      <c r="O3415" s="467"/>
      <c r="P3415" s="467"/>
      <c r="AL3415" s="436"/>
      <c r="AM3415" s="436"/>
      <c r="AQ3415" s="436"/>
      <c r="AR3415" s="436"/>
      <c r="AS3415" s="436"/>
      <c r="AT3415" s="436"/>
      <c r="AU3415" s="436"/>
      <c r="AV3415" s="436"/>
      <c r="AW3415" s="436"/>
      <c r="AX3415" s="436"/>
      <c r="AY3415" s="436"/>
      <c r="AZ3415" s="475"/>
      <c r="BA3415" s="475"/>
      <c r="BF3415" s="1119"/>
      <c r="BG3415" s="1119"/>
      <c r="BH3415" s="1119"/>
    </row>
    <row r="3416" spans="1:60" ht="15.75" customHeight="1">
      <c r="A3416" s="1076"/>
      <c r="B3416" s="312"/>
      <c r="C3416" s="424"/>
      <c r="G3416" s="312"/>
      <c r="H3416" s="467"/>
      <c r="I3416" s="467"/>
      <c r="J3416" s="469"/>
      <c r="K3416" s="312"/>
      <c r="L3416" s="312"/>
      <c r="M3416" s="312"/>
      <c r="N3416" s="467"/>
      <c r="O3416" s="467"/>
      <c r="P3416" s="467"/>
      <c r="AL3416" s="436"/>
      <c r="AM3416" s="436"/>
      <c r="AQ3416" s="436"/>
      <c r="AR3416" s="436"/>
      <c r="AS3416" s="436"/>
      <c r="AT3416" s="436"/>
      <c r="AU3416" s="436"/>
      <c r="AV3416" s="436"/>
      <c r="AW3416" s="436"/>
      <c r="AX3416" s="436"/>
      <c r="AY3416" s="436"/>
      <c r="AZ3416" s="475"/>
      <c r="BA3416" s="475"/>
      <c r="BF3416" s="1119"/>
      <c r="BG3416" s="1119"/>
      <c r="BH3416" s="1119"/>
    </row>
    <row r="3417" spans="1:60" ht="15.75" customHeight="1">
      <c r="A3417" s="1076"/>
      <c r="B3417" s="312"/>
      <c r="C3417" s="424"/>
      <c r="G3417" s="312"/>
      <c r="H3417" s="467"/>
      <c r="I3417" s="467"/>
      <c r="J3417" s="469"/>
      <c r="K3417" s="312"/>
      <c r="L3417" s="312"/>
      <c r="M3417" s="312"/>
      <c r="N3417" s="467"/>
      <c r="O3417" s="467"/>
      <c r="P3417" s="467"/>
      <c r="AL3417" s="436"/>
      <c r="AM3417" s="436"/>
      <c r="AQ3417" s="436"/>
      <c r="AR3417" s="436"/>
      <c r="AS3417" s="436"/>
      <c r="AT3417" s="436"/>
      <c r="AU3417" s="436"/>
      <c r="AV3417" s="436"/>
      <c r="AW3417" s="436"/>
      <c r="AX3417" s="436"/>
      <c r="AY3417" s="436"/>
      <c r="AZ3417" s="475"/>
      <c r="BA3417" s="475"/>
      <c r="BF3417" s="1119"/>
      <c r="BG3417" s="1119"/>
      <c r="BH3417" s="1119"/>
    </row>
    <row r="3418" spans="1:60" ht="15.75" customHeight="1">
      <c r="A3418" s="1076"/>
      <c r="B3418" s="312"/>
      <c r="C3418" s="424"/>
      <c r="G3418" s="312"/>
      <c r="H3418" s="467"/>
      <c r="I3418" s="467"/>
      <c r="J3418" s="469"/>
      <c r="K3418" s="312"/>
      <c r="L3418" s="312"/>
      <c r="M3418" s="312"/>
      <c r="N3418" s="467"/>
      <c r="O3418" s="467"/>
      <c r="P3418" s="467"/>
      <c r="AL3418" s="436"/>
      <c r="AM3418" s="436"/>
      <c r="AQ3418" s="436"/>
      <c r="AR3418" s="436"/>
      <c r="AS3418" s="436"/>
      <c r="AT3418" s="436"/>
      <c r="AU3418" s="436"/>
      <c r="AV3418" s="436"/>
      <c r="AW3418" s="436"/>
      <c r="AX3418" s="436"/>
      <c r="AY3418" s="436"/>
      <c r="AZ3418" s="475"/>
      <c r="BA3418" s="475"/>
      <c r="BF3418" s="1119"/>
      <c r="BG3418" s="1119"/>
      <c r="BH3418" s="1119"/>
    </row>
    <row r="3419" spans="1:60" ht="15.75" customHeight="1">
      <c r="A3419" s="1076"/>
      <c r="B3419" s="312"/>
      <c r="C3419" s="424"/>
      <c r="G3419" s="312"/>
      <c r="H3419" s="467"/>
      <c r="I3419" s="467"/>
      <c r="J3419" s="469"/>
      <c r="K3419" s="312"/>
      <c r="L3419" s="312"/>
      <c r="M3419" s="312"/>
      <c r="N3419" s="467"/>
      <c r="O3419" s="467"/>
      <c r="P3419" s="467"/>
      <c r="AL3419" s="436"/>
      <c r="AM3419" s="436"/>
      <c r="AQ3419" s="436"/>
      <c r="AR3419" s="436"/>
      <c r="AS3419" s="436"/>
      <c r="AT3419" s="436"/>
      <c r="AU3419" s="436"/>
      <c r="AV3419" s="436"/>
      <c r="AW3419" s="436"/>
      <c r="AX3419" s="436"/>
      <c r="AY3419" s="436"/>
      <c r="AZ3419" s="475"/>
      <c r="BA3419" s="475"/>
      <c r="BF3419" s="1119"/>
      <c r="BG3419" s="1119"/>
      <c r="BH3419" s="1119"/>
    </row>
    <row r="3420" spans="1:60" ht="15.75" customHeight="1">
      <c r="A3420" s="1076"/>
      <c r="B3420" s="312"/>
      <c r="C3420" s="424"/>
      <c r="G3420" s="312"/>
      <c r="H3420" s="467"/>
      <c r="I3420" s="467"/>
      <c r="J3420" s="469"/>
      <c r="K3420" s="312"/>
      <c r="L3420" s="312"/>
      <c r="M3420" s="312"/>
      <c r="N3420" s="467"/>
      <c r="O3420" s="467"/>
      <c r="P3420" s="467"/>
      <c r="AL3420" s="436"/>
      <c r="AM3420" s="436"/>
      <c r="AQ3420" s="436"/>
      <c r="AR3420" s="436"/>
      <c r="AS3420" s="436"/>
      <c r="AT3420" s="436"/>
      <c r="AU3420" s="436"/>
      <c r="AV3420" s="436"/>
      <c r="AW3420" s="436"/>
      <c r="AX3420" s="436"/>
      <c r="AY3420" s="436"/>
      <c r="AZ3420" s="475"/>
      <c r="BA3420" s="475"/>
      <c r="BF3420" s="1119"/>
      <c r="BG3420" s="1119"/>
      <c r="BH3420" s="1119"/>
    </row>
    <row r="3421" spans="1:60" ht="15.75" customHeight="1">
      <c r="A3421" s="1076"/>
      <c r="B3421" s="312"/>
      <c r="C3421" s="424"/>
      <c r="G3421" s="312"/>
      <c r="H3421" s="467"/>
      <c r="I3421" s="467"/>
      <c r="J3421" s="469"/>
      <c r="K3421" s="312"/>
      <c r="L3421" s="312"/>
      <c r="M3421" s="312"/>
      <c r="N3421" s="467"/>
      <c r="O3421" s="467"/>
      <c r="P3421" s="467"/>
      <c r="AL3421" s="436"/>
      <c r="AM3421" s="436"/>
      <c r="AQ3421" s="436"/>
      <c r="AR3421" s="436"/>
      <c r="AS3421" s="436"/>
      <c r="AT3421" s="436"/>
      <c r="AU3421" s="436"/>
      <c r="AV3421" s="436"/>
      <c r="AW3421" s="436"/>
      <c r="AX3421" s="436"/>
      <c r="AY3421" s="436"/>
      <c r="AZ3421" s="475"/>
      <c r="BA3421" s="475"/>
      <c r="BF3421" s="1119"/>
      <c r="BG3421" s="1119"/>
      <c r="BH3421" s="1119"/>
    </row>
    <row r="3422" spans="1:60" ht="15.75" customHeight="1">
      <c r="A3422" s="1076"/>
      <c r="B3422" s="312"/>
      <c r="C3422" s="424"/>
      <c r="G3422" s="312"/>
      <c r="H3422" s="467"/>
      <c r="I3422" s="467"/>
      <c r="J3422" s="469"/>
      <c r="K3422" s="312"/>
      <c r="L3422" s="312"/>
      <c r="M3422" s="312"/>
      <c r="N3422" s="467"/>
      <c r="O3422" s="467"/>
      <c r="P3422" s="467"/>
      <c r="AL3422" s="436"/>
      <c r="AM3422" s="436"/>
      <c r="AQ3422" s="436"/>
      <c r="AR3422" s="436"/>
      <c r="AS3422" s="436"/>
      <c r="AT3422" s="436"/>
      <c r="AU3422" s="436"/>
      <c r="AV3422" s="436"/>
      <c r="AW3422" s="436"/>
      <c r="AX3422" s="436"/>
      <c r="AY3422" s="436"/>
      <c r="AZ3422" s="475"/>
      <c r="BA3422" s="475"/>
      <c r="BF3422" s="1119"/>
      <c r="BG3422" s="1119"/>
      <c r="BH3422" s="1119"/>
    </row>
    <row r="3423" spans="1:60" ht="15.75" customHeight="1">
      <c r="A3423" s="1076"/>
      <c r="B3423" s="312"/>
      <c r="C3423" s="424"/>
      <c r="G3423" s="312"/>
      <c r="H3423" s="467"/>
      <c r="I3423" s="467"/>
      <c r="J3423" s="469"/>
      <c r="K3423" s="312"/>
      <c r="L3423" s="312"/>
      <c r="M3423" s="312"/>
      <c r="N3423" s="467"/>
      <c r="O3423" s="467"/>
      <c r="P3423" s="467"/>
      <c r="AL3423" s="436"/>
      <c r="AM3423" s="436"/>
      <c r="AQ3423" s="436"/>
      <c r="AR3423" s="436"/>
      <c r="AS3423" s="436"/>
      <c r="AT3423" s="436"/>
      <c r="AU3423" s="436"/>
      <c r="AV3423" s="436"/>
      <c r="AW3423" s="436"/>
      <c r="AX3423" s="436"/>
      <c r="AY3423" s="436"/>
      <c r="AZ3423" s="475"/>
      <c r="BA3423" s="475"/>
      <c r="BF3423" s="1119"/>
      <c r="BG3423" s="1119"/>
      <c r="BH3423" s="1119"/>
    </row>
    <row r="3424" spans="1:60" ht="15.75" customHeight="1">
      <c r="A3424" s="1076"/>
      <c r="B3424" s="312"/>
      <c r="C3424" s="424"/>
      <c r="G3424" s="312"/>
      <c r="H3424" s="467"/>
      <c r="I3424" s="467"/>
      <c r="J3424" s="469"/>
      <c r="K3424" s="312"/>
      <c r="L3424" s="312"/>
      <c r="M3424" s="312"/>
      <c r="N3424" s="467"/>
      <c r="O3424" s="467"/>
      <c r="P3424" s="467"/>
      <c r="AL3424" s="436"/>
      <c r="AM3424" s="436"/>
      <c r="AQ3424" s="436"/>
      <c r="AR3424" s="436"/>
      <c r="AS3424" s="436"/>
      <c r="AT3424" s="436"/>
      <c r="AU3424" s="436"/>
      <c r="AV3424" s="436"/>
      <c r="AW3424" s="436"/>
      <c r="AX3424" s="436"/>
      <c r="AY3424" s="436"/>
      <c r="AZ3424" s="475"/>
      <c r="BA3424" s="475"/>
      <c r="BF3424" s="1119"/>
      <c r="BG3424" s="1119"/>
      <c r="BH3424" s="1119"/>
    </row>
    <row r="3425" spans="1:60" ht="15.75" customHeight="1">
      <c r="A3425" s="1076"/>
      <c r="B3425" s="312"/>
      <c r="C3425" s="424"/>
      <c r="G3425" s="312"/>
      <c r="H3425" s="467"/>
      <c r="I3425" s="467"/>
      <c r="J3425" s="469"/>
      <c r="K3425" s="312"/>
      <c r="L3425" s="312"/>
      <c r="M3425" s="312"/>
      <c r="N3425" s="467"/>
      <c r="O3425" s="467"/>
      <c r="P3425" s="467"/>
      <c r="AL3425" s="436"/>
      <c r="AM3425" s="436"/>
      <c r="AQ3425" s="436"/>
      <c r="AR3425" s="436"/>
      <c r="AS3425" s="436"/>
      <c r="AT3425" s="436"/>
      <c r="AU3425" s="436"/>
      <c r="AV3425" s="436"/>
      <c r="AW3425" s="436"/>
      <c r="AX3425" s="436"/>
      <c r="AY3425" s="436"/>
      <c r="AZ3425" s="475"/>
      <c r="BA3425" s="475"/>
      <c r="BF3425" s="1119"/>
      <c r="BG3425" s="1119"/>
      <c r="BH3425" s="1119"/>
    </row>
    <row r="3426" spans="1:60" ht="15.75" customHeight="1">
      <c r="A3426" s="1076"/>
      <c r="B3426" s="312"/>
      <c r="C3426" s="424"/>
      <c r="G3426" s="312"/>
      <c r="H3426" s="467"/>
      <c r="I3426" s="467"/>
      <c r="J3426" s="469"/>
      <c r="K3426" s="312"/>
      <c r="L3426" s="312"/>
      <c r="M3426" s="312"/>
      <c r="N3426" s="467"/>
      <c r="O3426" s="467"/>
      <c r="P3426" s="467"/>
      <c r="AL3426" s="436"/>
      <c r="AM3426" s="436"/>
      <c r="AQ3426" s="436"/>
      <c r="AR3426" s="436"/>
      <c r="AS3426" s="436"/>
      <c r="AT3426" s="436"/>
      <c r="AU3426" s="436"/>
      <c r="AV3426" s="436"/>
      <c r="AW3426" s="436"/>
      <c r="AX3426" s="436"/>
      <c r="AY3426" s="436"/>
      <c r="AZ3426" s="475"/>
      <c r="BA3426" s="475"/>
      <c r="BF3426" s="1119"/>
      <c r="BG3426" s="1119"/>
      <c r="BH3426" s="1119"/>
    </row>
    <row r="3427" spans="1:60" ht="15.75" customHeight="1">
      <c r="A3427" s="1076"/>
      <c r="B3427" s="312"/>
      <c r="C3427" s="424"/>
      <c r="G3427" s="312"/>
      <c r="H3427" s="467"/>
      <c r="I3427" s="467"/>
      <c r="J3427" s="469"/>
      <c r="K3427" s="312"/>
      <c r="L3427" s="312"/>
      <c r="M3427" s="312"/>
      <c r="N3427" s="467"/>
      <c r="O3427" s="467"/>
      <c r="P3427" s="467"/>
      <c r="AL3427" s="436"/>
      <c r="AM3427" s="436"/>
      <c r="AQ3427" s="436"/>
      <c r="AR3427" s="436"/>
      <c r="AS3427" s="436"/>
      <c r="AT3427" s="436"/>
      <c r="AU3427" s="436"/>
      <c r="AV3427" s="436"/>
      <c r="AW3427" s="436"/>
      <c r="AX3427" s="436"/>
      <c r="AY3427" s="436"/>
      <c r="AZ3427" s="475"/>
      <c r="BA3427" s="475"/>
      <c r="BF3427" s="1119"/>
      <c r="BG3427" s="1119"/>
      <c r="BH3427" s="1119"/>
    </row>
    <row r="3428" spans="1:60" ht="15.75" customHeight="1">
      <c r="A3428" s="1076"/>
      <c r="B3428" s="312"/>
      <c r="C3428" s="424"/>
      <c r="G3428" s="312"/>
      <c r="H3428" s="467"/>
      <c r="I3428" s="467"/>
      <c r="J3428" s="469"/>
      <c r="K3428" s="312"/>
      <c r="L3428" s="312"/>
      <c r="M3428" s="312"/>
      <c r="N3428" s="467"/>
      <c r="O3428" s="467"/>
      <c r="P3428" s="467"/>
      <c r="AL3428" s="436"/>
      <c r="AM3428" s="436"/>
      <c r="AQ3428" s="436"/>
      <c r="AR3428" s="436"/>
      <c r="AS3428" s="436"/>
      <c r="AT3428" s="436"/>
      <c r="AU3428" s="436"/>
      <c r="AV3428" s="436"/>
      <c r="AW3428" s="436"/>
      <c r="AX3428" s="436"/>
      <c r="AY3428" s="436"/>
      <c r="AZ3428" s="475"/>
      <c r="BA3428" s="475"/>
      <c r="BF3428" s="1119"/>
      <c r="BG3428" s="1119"/>
      <c r="BH3428" s="1119"/>
    </row>
    <row r="3429" spans="1:60" ht="15.75" customHeight="1">
      <c r="A3429" s="1076"/>
      <c r="B3429" s="312"/>
      <c r="C3429" s="424"/>
      <c r="G3429" s="312"/>
      <c r="H3429" s="467"/>
      <c r="I3429" s="467"/>
      <c r="J3429" s="469"/>
      <c r="K3429" s="312"/>
      <c r="L3429" s="312"/>
      <c r="M3429" s="312"/>
      <c r="N3429" s="467"/>
      <c r="O3429" s="467"/>
      <c r="P3429" s="467"/>
      <c r="AL3429" s="436"/>
      <c r="AM3429" s="436"/>
      <c r="AQ3429" s="436"/>
      <c r="AR3429" s="436"/>
      <c r="AS3429" s="436"/>
      <c r="AT3429" s="436"/>
      <c r="AU3429" s="436"/>
      <c r="AV3429" s="436"/>
      <c r="AW3429" s="436"/>
      <c r="AX3429" s="436"/>
      <c r="AY3429" s="436"/>
      <c r="AZ3429" s="475"/>
      <c r="BA3429" s="475"/>
      <c r="BF3429" s="1119"/>
      <c r="BG3429" s="1119"/>
      <c r="BH3429" s="1119"/>
    </row>
    <row r="3430" spans="1:60" ht="15.75" customHeight="1">
      <c r="A3430" s="1076"/>
      <c r="B3430" s="312"/>
      <c r="C3430" s="424"/>
      <c r="G3430" s="312"/>
      <c r="H3430" s="467"/>
      <c r="I3430" s="467"/>
      <c r="J3430" s="469"/>
      <c r="K3430" s="312"/>
      <c r="L3430" s="312"/>
      <c r="M3430" s="312"/>
      <c r="N3430" s="467"/>
      <c r="O3430" s="467"/>
      <c r="P3430" s="467"/>
      <c r="AL3430" s="436"/>
      <c r="AM3430" s="436"/>
      <c r="AQ3430" s="436"/>
      <c r="AR3430" s="436"/>
      <c r="AS3430" s="436"/>
      <c r="AT3430" s="436"/>
      <c r="AU3430" s="436"/>
      <c r="AV3430" s="436"/>
      <c r="AW3430" s="436"/>
      <c r="AX3430" s="436"/>
      <c r="AY3430" s="436"/>
      <c r="AZ3430" s="475"/>
      <c r="BA3430" s="475"/>
      <c r="BF3430" s="1119"/>
      <c r="BG3430" s="1119"/>
      <c r="BH3430" s="1119"/>
    </row>
    <row r="3431" spans="1:60" ht="15.75" customHeight="1">
      <c r="A3431" s="1076"/>
      <c r="B3431" s="312"/>
      <c r="C3431" s="424"/>
      <c r="G3431" s="312"/>
      <c r="H3431" s="467"/>
      <c r="I3431" s="467"/>
      <c r="J3431" s="469"/>
      <c r="K3431" s="312"/>
      <c r="L3431" s="312"/>
      <c r="M3431" s="312"/>
      <c r="N3431" s="467"/>
      <c r="O3431" s="467"/>
      <c r="P3431" s="467"/>
      <c r="AL3431" s="436"/>
      <c r="AM3431" s="436"/>
      <c r="AQ3431" s="436"/>
      <c r="AR3431" s="436"/>
      <c r="AS3431" s="436"/>
      <c r="AT3431" s="436"/>
      <c r="AU3431" s="436"/>
      <c r="AV3431" s="436"/>
      <c r="AW3431" s="436"/>
      <c r="AX3431" s="436"/>
      <c r="AY3431" s="436"/>
      <c r="AZ3431" s="475"/>
      <c r="BA3431" s="475"/>
      <c r="BF3431" s="1119"/>
      <c r="BG3431" s="1119"/>
      <c r="BH3431" s="1119"/>
    </row>
    <row r="3432" spans="1:60" ht="15.75" customHeight="1">
      <c r="A3432" s="1076"/>
      <c r="B3432" s="312"/>
      <c r="C3432" s="424"/>
      <c r="G3432" s="312"/>
      <c r="H3432" s="467"/>
      <c r="I3432" s="467"/>
      <c r="J3432" s="469"/>
      <c r="K3432" s="312"/>
      <c r="L3432" s="312"/>
      <c r="M3432" s="312"/>
      <c r="N3432" s="467"/>
      <c r="O3432" s="467"/>
      <c r="P3432" s="467"/>
      <c r="AL3432" s="436"/>
      <c r="AM3432" s="436"/>
      <c r="AQ3432" s="436"/>
      <c r="AR3432" s="436"/>
      <c r="AS3432" s="436"/>
      <c r="AT3432" s="436"/>
      <c r="AU3432" s="436"/>
      <c r="AV3432" s="436"/>
      <c r="AW3432" s="436"/>
      <c r="AX3432" s="436"/>
      <c r="AY3432" s="436"/>
      <c r="AZ3432" s="475"/>
      <c r="BA3432" s="475"/>
      <c r="BF3432" s="1119"/>
      <c r="BG3432" s="1119"/>
      <c r="BH3432" s="1119"/>
    </row>
    <row r="3433" spans="1:60" ht="15.75" customHeight="1">
      <c r="A3433" s="1076"/>
      <c r="B3433" s="312"/>
      <c r="C3433" s="424"/>
      <c r="G3433" s="312"/>
      <c r="H3433" s="467"/>
      <c r="I3433" s="467"/>
      <c r="J3433" s="469"/>
      <c r="K3433" s="312"/>
      <c r="L3433" s="312"/>
      <c r="M3433" s="312"/>
      <c r="N3433" s="467"/>
      <c r="O3433" s="467"/>
      <c r="P3433" s="467"/>
      <c r="AL3433" s="436"/>
      <c r="AM3433" s="436"/>
      <c r="AQ3433" s="436"/>
      <c r="AR3433" s="436"/>
      <c r="AS3433" s="436"/>
      <c r="AT3433" s="436"/>
      <c r="AU3433" s="436"/>
      <c r="AV3433" s="436"/>
      <c r="AW3433" s="436"/>
      <c r="AX3433" s="436"/>
      <c r="AY3433" s="436"/>
      <c r="AZ3433" s="475"/>
      <c r="BA3433" s="475"/>
      <c r="BF3433" s="1119"/>
      <c r="BG3433" s="1119"/>
      <c r="BH3433" s="1119"/>
    </row>
    <row r="3434" spans="1:60" ht="15.75" customHeight="1">
      <c r="A3434" s="1076"/>
      <c r="B3434" s="312"/>
      <c r="C3434" s="424"/>
      <c r="G3434" s="312"/>
      <c r="H3434" s="467"/>
      <c r="I3434" s="467"/>
      <c r="J3434" s="469"/>
      <c r="K3434" s="312"/>
      <c r="L3434" s="312"/>
      <c r="M3434" s="312"/>
      <c r="N3434" s="467"/>
      <c r="O3434" s="467"/>
      <c r="P3434" s="467"/>
      <c r="AL3434" s="436"/>
      <c r="AM3434" s="436"/>
      <c r="AQ3434" s="436"/>
      <c r="AR3434" s="436"/>
      <c r="AS3434" s="436"/>
      <c r="AT3434" s="436"/>
      <c r="AU3434" s="436"/>
      <c r="AV3434" s="436"/>
      <c r="AW3434" s="436"/>
      <c r="AX3434" s="436"/>
      <c r="AY3434" s="436"/>
      <c r="AZ3434" s="475"/>
      <c r="BA3434" s="475"/>
      <c r="BF3434" s="1119"/>
      <c r="BG3434" s="1119"/>
      <c r="BH3434" s="1119"/>
    </row>
    <row r="3435" spans="1:60" ht="15.75" customHeight="1">
      <c r="A3435" s="1076"/>
      <c r="B3435" s="312"/>
      <c r="C3435" s="424"/>
      <c r="G3435" s="312"/>
      <c r="H3435" s="467"/>
      <c r="I3435" s="467"/>
      <c r="J3435" s="469"/>
      <c r="K3435" s="312"/>
      <c r="L3435" s="312"/>
      <c r="M3435" s="312"/>
      <c r="N3435" s="467"/>
      <c r="O3435" s="467"/>
      <c r="P3435" s="467"/>
      <c r="AL3435" s="436"/>
      <c r="AM3435" s="436"/>
      <c r="AQ3435" s="436"/>
      <c r="AR3435" s="436"/>
      <c r="AS3435" s="436"/>
      <c r="AT3435" s="436"/>
      <c r="AU3435" s="436"/>
      <c r="AV3435" s="436"/>
      <c r="AW3435" s="436"/>
      <c r="AX3435" s="436"/>
      <c r="AY3435" s="436"/>
      <c r="AZ3435" s="475"/>
      <c r="BA3435" s="475"/>
      <c r="BF3435" s="1119"/>
      <c r="BG3435" s="1119"/>
      <c r="BH3435" s="1119"/>
    </row>
    <row r="3436" spans="1:60" ht="15.75" customHeight="1">
      <c r="A3436" s="1076"/>
      <c r="B3436" s="312"/>
      <c r="C3436" s="424"/>
      <c r="G3436" s="312"/>
      <c r="H3436" s="467"/>
      <c r="I3436" s="467"/>
      <c r="J3436" s="469"/>
      <c r="K3436" s="312"/>
      <c r="L3436" s="312"/>
      <c r="M3436" s="312"/>
      <c r="N3436" s="467"/>
      <c r="O3436" s="467"/>
      <c r="P3436" s="467"/>
      <c r="AL3436" s="436"/>
      <c r="AM3436" s="436"/>
      <c r="AQ3436" s="436"/>
      <c r="AR3436" s="436"/>
      <c r="AS3436" s="436"/>
      <c r="AT3436" s="436"/>
      <c r="AU3436" s="436"/>
      <c r="AV3436" s="436"/>
      <c r="AW3436" s="436"/>
      <c r="AX3436" s="436"/>
      <c r="AY3436" s="436"/>
      <c r="AZ3436" s="475"/>
      <c r="BA3436" s="475"/>
      <c r="BF3436" s="1119"/>
      <c r="BG3436" s="1119"/>
      <c r="BH3436" s="1119"/>
    </row>
    <row r="3437" spans="1:60" ht="15.75" customHeight="1">
      <c r="A3437" s="1076"/>
      <c r="B3437" s="312"/>
      <c r="C3437" s="424"/>
      <c r="G3437" s="312"/>
      <c r="H3437" s="467"/>
      <c r="I3437" s="467"/>
      <c r="J3437" s="469"/>
      <c r="K3437" s="312"/>
      <c r="L3437" s="312"/>
      <c r="M3437" s="312"/>
      <c r="N3437" s="467"/>
      <c r="O3437" s="467"/>
      <c r="P3437" s="467"/>
      <c r="AL3437" s="436"/>
      <c r="AM3437" s="436"/>
      <c r="AQ3437" s="436"/>
      <c r="AR3437" s="436"/>
      <c r="AS3437" s="436"/>
      <c r="AT3437" s="436"/>
      <c r="AU3437" s="436"/>
      <c r="AV3437" s="436"/>
      <c r="AW3437" s="436"/>
      <c r="AX3437" s="436"/>
      <c r="AY3437" s="436"/>
      <c r="AZ3437" s="475"/>
      <c r="BA3437" s="475"/>
      <c r="BF3437" s="1119"/>
      <c r="BG3437" s="1119"/>
      <c r="BH3437" s="1119"/>
    </row>
    <row r="3438" spans="1:60" ht="15.75" customHeight="1">
      <c r="A3438" s="1076"/>
      <c r="B3438" s="312"/>
      <c r="C3438" s="424"/>
      <c r="G3438" s="312"/>
      <c r="H3438" s="467"/>
      <c r="I3438" s="467"/>
      <c r="J3438" s="469"/>
      <c r="K3438" s="312"/>
      <c r="L3438" s="312"/>
      <c r="M3438" s="312"/>
      <c r="N3438" s="467"/>
      <c r="O3438" s="467"/>
      <c r="P3438" s="467"/>
      <c r="AL3438" s="436"/>
      <c r="AM3438" s="436"/>
      <c r="AQ3438" s="436"/>
      <c r="AR3438" s="436"/>
      <c r="AS3438" s="436"/>
      <c r="AT3438" s="436"/>
      <c r="AU3438" s="436"/>
      <c r="AV3438" s="436"/>
      <c r="AW3438" s="436"/>
      <c r="AX3438" s="436"/>
      <c r="AY3438" s="436"/>
      <c r="AZ3438" s="475"/>
      <c r="BA3438" s="475"/>
      <c r="BF3438" s="1119"/>
      <c r="BG3438" s="1119"/>
      <c r="BH3438" s="1119"/>
    </row>
    <row r="3439" spans="1:60" ht="15.75" customHeight="1">
      <c r="A3439" s="1076"/>
      <c r="B3439" s="312"/>
      <c r="C3439" s="424"/>
      <c r="G3439" s="312"/>
      <c r="H3439" s="467"/>
      <c r="I3439" s="467"/>
      <c r="J3439" s="469"/>
      <c r="K3439" s="312"/>
      <c r="L3439" s="312"/>
      <c r="M3439" s="312"/>
      <c r="N3439" s="467"/>
      <c r="O3439" s="467"/>
      <c r="P3439" s="467"/>
      <c r="AL3439" s="436"/>
      <c r="AM3439" s="436"/>
      <c r="AQ3439" s="436"/>
      <c r="AR3439" s="436"/>
      <c r="AS3439" s="436"/>
      <c r="AT3439" s="436"/>
      <c r="AU3439" s="436"/>
      <c r="AV3439" s="436"/>
      <c r="AW3439" s="436"/>
      <c r="AX3439" s="436"/>
      <c r="AY3439" s="436"/>
      <c r="AZ3439" s="475"/>
      <c r="BA3439" s="475"/>
      <c r="BF3439" s="1119"/>
      <c r="BG3439" s="1119"/>
      <c r="BH3439" s="1119"/>
    </row>
    <row r="3440" spans="1:60" ht="15.75" customHeight="1">
      <c r="A3440" s="1076"/>
      <c r="B3440" s="312"/>
      <c r="C3440" s="424"/>
      <c r="G3440" s="312"/>
      <c r="H3440" s="467"/>
      <c r="I3440" s="467"/>
      <c r="J3440" s="469"/>
      <c r="K3440" s="312"/>
      <c r="L3440" s="312"/>
      <c r="M3440" s="312"/>
      <c r="N3440" s="467"/>
      <c r="O3440" s="467"/>
      <c r="P3440" s="467"/>
      <c r="AL3440" s="436"/>
      <c r="AM3440" s="436"/>
      <c r="AQ3440" s="436"/>
      <c r="AR3440" s="436"/>
      <c r="AS3440" s="436"/>
      <c r="AT3440" s="436"/>
      <c r="AU3440" s="436"/>
      <c r="AV3440" s="436"/>
      <c r="AW3440" s="436"/>
      <c r="AX3440" s="436"/>
      <c r="AY3440" s="436"/>
      <c r="AZ3440" s="475"/>
      <c r="BA3440" s="475"/>
      <c r="BF3440" s="1119"/>
      <c r="BG3440" s="1119"/>
      <c r="BH3440" s="1119"/>
    </row>
    <row r="3441" spans="1:60" ht="15.75" customHeight="1">
      <c r="A3441" s="1076"/>
      <c r="B3441" s="312"/>
      <c r="C3441" s="424"/>
      <c r="G3441" s="312"/>
      <c r="H3441" s="467"/>
      <c r="I3441" s="467"/>
      <c r="J3441" s="469"/>
      <c r="K3441" s="312"/>
      <c r="L3441" s="312"/>
      <c r="M3441" s="312"/>
      <c r="N3441" s="467"/>
      <c r="O3441" s="467"/>
      <c r="P3441" s="467"/>
      <c r="AL3441" s="436"/>
      <c r="AM3441" s="436"/>
      <c r="AQ3441" s="436"/>
      <c r="AR3441" s="436"/>
      <c r="AS3441" s="436"/>
      <c r="AT3441" s="436"/>
      <c r="AU3441" s="436"/>
      <c r="AV3441" s="436"/>
      <c r="AW3441" s="436"/>
      <c r="AX3441" s="436"/>
      <c r="AY3441" s="436"/>
      <c r="AZ3441" s="475"/>
      <c r="BA3441" s="475"/>
      <c r="BF3441" s="1119"/>
      <c r="BG3441" s="1119"/>
      <c r="BH3441" s="1119"/>
    </row>
    <row r="3442" spans="1:60" ht="15.75" customHeight="1">
      <c r="A3442" s="1076"/>
      <c r="B3442" s="312"/>
      <c r="C3442" s="424"/>
      <c r="G3442" s="312"/>
      <c r="H3442" s="467"/>
      <c r="I3442" s="467"/>
      <c r="J3442" s="469"/>
      <c r="K3442" s="312"/>
      <c r="L3442" s="312"/>
      <c r="M3442" s="312"/>
      <c r="N3442" s="467"/>
      <c r="O3442" s="467"/>
      <c r="P3442" s="467"/>
      <c r="AL3442" s="436"/>
      <c r="AM3442" s="436"/>
      <c r="AQ3442" s="436"/>
      <c r="AR3442" s="436"/>
      <c r="AS3442" s="436"/>
      <c r="AT3442" s="436"/>
      <c r="AU3442" s="436"/>
      <c r="AV3442" s="436"/>
      <c r="AW3442" s="436"/>
      <c r="AX3442" s="436"/>
      <c r="AY3442" s="436"/>
      <c r="AZ3442" s="475"/>
      <c r="BA3442" s="475"/>
      <c r="BF3442" s="1119"/>
      <c r="BG3442" s="1119"/>
      <c r="BH3442" s="1119"/>
    </row>
    <row r="3443" spans="1:60" ht="15.75" customHeight="1">
      <c r="A3443" s="1076"/>
      <c r="B3443" s="312"/>
      <c r="C3443" s="424"/>
      <c r="G3443" s="312"/>
      <c r="H3443" s="467"/>
      <c r="I3443" s="467"/>
      <c r="J3443" s="469"/>
      <c r="K3443" s="312"/>
      <c r="L3443" s="312"/>
      <c r="M3443" s="312"/>
      <c r="N3443" s="467"/>
      <c r="O3443" s="467"/>
      <c r="P3443" s="467"/>
      <c r="AL3443" s="436"/>
      <c r="AM3443" s="436"/>
      <c r="AQ3443" s="436"/>
      <c r="AR3443" s="436"/>
      <c r="AS3443" s="436"/>
      <c r="AT3443" s="436"/>
      <c r="AU3443" s="436"/>
      <c r="AV3443" s="436"/>
      <c r="AW3443" s="436"/>
      <c r="AX3443" s="436"/>
      <c r="AY3443" s="436"/>
      <c r="AZ3443" s="475"/>
      <c r="BA3443" s="475"/>
      <c r="BF3443" s="1119"/>
      <c r="BG3443" s="1119"/>
      <c r="BH3443" s="1119"/>
    </row>
    <row r="3444" spans="1:60" ht="15.75" customHeight="1">
      <c r="A3444" s="1076"/>
      <c r="B3444" s="312"/>
      <c r="C3444" s="424"/>
      <c r="G3444" s="312"/>
      <c r="H3444" s="467"/>
      <c r="I3444" s="467"/>
      <c r="J3444" s="469"/>
      <c r="K3444" s="312"/>
      <c r="L3444" s="312"/>
      <c r="M3444" s="312"/>
      <c r="N3444" s="467"/>
      <c r="O3444" s="467"/>
      <c r="P3444" s="467"/>
      <c r="AL3444" s="436"/>
      <c r="AM3444" s="436"/>
      <c r="AQ3444" s="436"/>
      <c r="AR3444" s="436"/>
      <c r="AS3444" s="436"/>
      <c r="AT3444" s="436"/>
      <c r="AU3444" s="436"/>
      <c r="AV3444" s="436"/>
      <c r="AW3444" s="436"/>
      <c r="AX3444" s="436"/>
      <c r="AY3444" s="436"/>
      <c r="AZ3444" s="475"/>
      <c r="BA3444" s="475"/>
      <c r="BF3444" s="1119"/>
      <c r="BG3444" s="1119"/>
      <c r="BH3444" s="1119"/>
    </row>
    <row r="3445" spans="1:60" ht="15.75" customHeight="1">
      <c r="A3445" s="1076"/>
      <c r="B3445" s="312"/>
      <c r="C3445" s="424"/>
      <c r="G3445" s="312"/>
      <c r="H3445" s="467"/>
      <c r="I3445" s="467"/>
      <c r="J3445" s="469"/>
      <c r="K3445" s="312"/>
      <c r="L3445" s="312"/>
      <c r="M3445" s="312"/>
      <c r="N3445" s="467"/>
      <c r="O3445" s="467"/>
      <c r="P3445" s="467"/>
      <c r="AL3445" s="436"/>
      <c r="AM3445" s="436"/>
      <c r="AQ3445" s="436"/>
      <c r="AR3445" s="436"/>
      <c r="AS3445" s="436"/>
      <c r="AT3445" s="436"/>
      <c r="AU3445" s="436"/>
      <c r="AV3445" s="436"/>
      <c r="AW3445" s="436"/>
      <c r="AX3445" s="436"/>
      <c r="AY3445" s="436"/>
      <c r="AZ3445" s="475"/>
      <c r="BA3445" s="475"/>
      <c r="BF3445" s="1119"/>
      <c r="BG3445" s="1119"/>
      <c r="BH3445" s="1119"/>
    </row>
    <row r="3446" spans="1:60" ht="15.75" customHeight="1">
      <c r="A3446" s="1076"/>
      <c r="B3446" s="312"/>
      <c r="C3446" s="424"/>
      <c r="G3446" s="312"/>
      <c r="H3446" s="467"/>
      <c r="I3446" s="467"/>
      <c r="J3446" s="469"/>
      <c r="K3446" s="312"/>
      <c r="L3446" s="312"/>
      <c r="M3446" s="312"/>
      <c r="N3446" s="467"/>
      <c r="O3446" s="467"/>
      <c r="P3446" s="467"/>
      <c r="AL3446" s="436"/>
      <c r="AM3446" s="436"/>
      <c r="AQ3446" s="436"/>
      <c r="AR3446" s="436"/>
      <c r="AS3446" s="436"/>
      <c r="AT3446" s="436"/>
      <c r="AU3446" s="436"/>
      <c r="AV3446" s="436"/>
      <c r="AW3446" s="436"/>
      <c r="AX3446" s="436"/>
      <c r="AY3446" s="436"/>
      <c r="AZ3446" s="475"/>
      <c r="BA3446" s="475"/>
      <c r="BF3446" s="1119"/>
      <c r="BG3446" s="1119"/>
      <c r="BH3446" s="1119"/>
    </row>
    <row r="3447" spans="1:60" ht="15.75" customHeight="1">
      <c r="A3447" s="1076"/>
      <c r="B3447" s="312"/>
      <c r="C3447" s="424"/>
      <c r="G3447" s="312"/>
      <c r="H3447" s="467"/>
      <c r="I3447" s="467"/>
      <c r="J3447" s="469"/>
      <c r="K3447" s="312"/>
      <c r="L3447" s="312"/>
      <c r="M3447" s="312"/>
      <c r="N3447" s="467"/>
      <c r="O3447" s="467"/>
      <c r="P3447" s="467"/>
      <c r="AL3447" s="436"/>
      <c r="AM3447" s="436"/>
      <c r="AQ3447" s="436"/>
      <c r="AR3447" s="436"/>
      <c r="AS3447" s="436"/>
      <c r="AT3447" s="436"/>
      <c r="AU3447" s="436"/>
      <c r="AV3447" s="436"/>
      <c r="AW3447" s="436"/>
      <c r="AX3447" s="436"/>
      <c r="AY3447" s="436"/>
      <c r="AZ3447" s="475"/>
      <c r="BA3447" s="475"/>
      <c r="BF3447" s="1119"/>
      <c r="BG3447" s="1119"/>
      <c r="BH3447" s="1119"/>
    </row>
    <row r="3448" spans="1:60" ht="15.75" customHeight="1">
      <c r="A3448" s="1076"/>
      <c r="B3448" s="312"/>
      <c r="C3448" s="424"/>
      <c r="G3448" s="312"/>
      <c r="H3448" s="467"/>
      <c r="I3448" s="467"/>
      <c r="J3448" s="469"/>
      <c r="K3448" s="312"/>
      <c r="L3448" s="312"/>
      <c r="M3448" s="312"/>
      <c r="N3448" s="467"/>
      <c r="O3448" s="467"/>
      <c r="P3448" s="467"/>
      <c r="AL3448" s="436"/>
      <c r="AM3448" s="436"/>
      <c r="AQ3448" s="436"/>
      <c r="AR3448" s="436"/>
      <c r="AS3448" s="436"/>
      <c r="AT3448" s="436"/>
      <c r="AU3448" s="436"/>
      <c r="AV3448" s="436"/>
      <c r="AW3448" s="436"/>
      <c r="AX3448" s="436"/>
      <c r="AY3448" s="436"/>
      <c r="AZ3448" s="475"/>
      <c r="BA3448" s="475"/>
      <c r="BF3448" s="1119"/>
      <c r="BG3448" s="1119"/>
      <c r="BH3448" s="1119"/>
    </row>
    <row r="3449" spans="1:60" ht="15.75" customHeight="1">
      <c r="A3449" s="1076"/>
      <c r="B3449" s="312"/>
      <c r="C3449" s="424"/>
      <c r="G3449" s="312"/>
      <c r="H3449" s="467"/>
      <c r="I3449" s="467"/>
      <c r="J3449" s="469"/>
      <c r="K3449" s="312"/>
      <c r="L3449" s="312"/>
      <c r="M3449" s="312"/>
      <c r="N3449" s="467"/>
      <c r="O3449" s="467"/>
      <c r="P3449" s="467"/>
      <c r="AL3449" s="436"/>
      <c r="AM3449" s="436"/>
      <c r="AQ3449" s="436"/>
      <c r="AR3449" s="436"/>
      <c r="AS3449" s="436"/>
      <c r="AT3449" s="436"/>
      <c r="AU3449" s="436"/>
      <c r="AV3449" s="436"/>
      <c r="AW3449" s="436"/>
      <c r="AX3449" s="436"/>
      <c r="AY3449" s="436"/>
      <c r="AZ3449" s="475"/>
      <c r="BA3449" s="475"/>
      <c r="BF3449" s="1119"/>
      <c r="BG3449" s="1119"/>
      <c r="BH3449" s="1119"/>
    </row>
    <row r="3450" spans="1:60" ht="15.75" customHeight="1">
      <c r="A3450" s="1076"/>
      <c r="B3450" s="312"/>
      <c r="C3450" s="424"/>
      <c r="G3450" s="312"/>
      <c r="H3450" s="467"/>
      <c r="I3450" s="467"/>
      <c r="J3450" s="469"/>
      <c r="K3450" s="312"/>
      <c r="L3450" s="312"/>
      <c r="M3450" s="312"/>
      <c r="N3450" s="467"/>
      <c r="O3450" s="467"/>
      <c r="P3450" s="467"/>
      <c r="AL3450" s="436"/>
      <c r="AM3450" s="436"/>
      <c r="AQ3450" s="436"/>
      <c r="AR3450" s="436"/>
      <c r="AS3450" s="436"/>
      <c r="AT3450" s="436"/>
      <c r="AU3450" s="436"/>
      <c r="AV3450" s="436"/>
      <c r="AW3450" s="436"/>
      <c r="AX3450" s="436"/>
      <c r="AY3450" s="436"/>
      <c r="AZ3450" s="475"/>
      <c r="BA3450" s="475"/>
      <c r="BF3450" s="1119"/>
      <c r="BG3450" s="1119"/>
      <c r="BH3450" s="1119"/>
    </row>
    <row r="3451" spans="1:60" ht="15.75" customHeight="1">
      <c r="A3451" s="1076"/>
      <c r="B3451" s="312"/>
      <c r="C3451" s="424"/>
      <c r="G3451" s="312"/>
      <c r="H3451" s="467"/>
      <c r="I3451" s="467"/>
      <c r="J3451" s="469"/>
      <c r="K3451" s="312"/>
      <c r="L3451" s="312"/>
      <c r="M3451" s="312"/>
      <c r="N3451" s="467"/>
      <c r="O3451" s="467"/>
      <c r="P3451" s="467"/>
      <c r="AL3451" s="436"/>
      <c r="AM3451" s="436"/>
      <c r="AQ3451" s="436"/>
      <c r="AR3451" s="436"/>
      <c r="AS3451" s="436"/>
      <c r="AT3451" s="436"/>
      <c r="AU3451" s="436"/>
      <c r="AV3451" s="436"/>
      <c r="AW3451" s="436"/>
      <c r="AX3451" s="436"/>
      <c r="AY3451" s="436"/>
      <c r="AZ3451" s="475"/>
      <c r="BA3451" s="475"/>
      <c r="BF3451" s="1119"/>
      <c r="BG3451" s="1119"/>
      <c r="BH3451" s="1119"/>
    </row>
    <row r="3452" spans="1:60" ht="15.75" customHeight="1">
      <c r="A3452" s="1076"/>
      <c r="B3452" s="312"/>
      <c r="C3452" s="424"/>
      <c r="G3452" s="312"/>
      <c r="H3452" s="467"/>
      <c r="I3452" s="467"/>
      <c r="J3452" s="469"/>
      <c r="K3452" s="312"/>
      <c r="L3452" s="312"/>
      <c r="M3452" s="312"/>
      <c r="N3452" s="467"/>
      <c r="O3452" s="467"/>
      <c r="P3452" s="467"/>
      <c r="AL3452" s="436"/>
      <c r="AM3452" s="436"/>
      <c r="AQ3452" s="436"/>
      <c r="AR3452" s="436"/>
      <c r="AS3452" s="436"/>
      <c r="AT3452" s="436"/>
      <c r="AU3452" s="436"/>
      <c r="AV3452" s="436"/>
      <c r="AW3452" s="436"/>
      <c r="AX3452" s="436"/>
      <c r="AY3452" s="436"/>
      <c r="AZ3452" s="475"/>
      <c r="BA3452" s="475"/>
      <c r="BF3452" s="1119"/>
      <c r="BG3452" s="1119"/>
      <c r="BH3452" s="1119"/>
    </row>
    <row r="3453" spans="1:60" ht="15.75" customHeight="1">
      <c r="A3453" s="1076"/>
      <c r="B3453" s="312"/>
      <c r="C3453" s="424"/>
      <c r="G3453" s="312"/>
      <c r="H3453" s="467"/>
      <c r="I3453" s="467"/>
      <c r="J3453" s="469"/>
      <c r="K3453" s="312"/>
      <c r="L3453" s="312"/>
      <c r="M3453" s="312"/>
      <c r="N3453" s="467"/>
      <c r="O3453" s="467"/>
      <c r="P3453" s="467"/>
      <c r="AL3453" s="436"/>
      <c r="AM3453" s="436"/>
      <c r="AQ3453" s="436"/>
      <c r="AR3453" s="436"/>
      <c r="AS3453" s="436"/>
      <c r="AT3453" s="436"/>
      <c r="AU3453" s="436"/>
      <c r="AV3453" s="436"/>
      <c r="AW3453" s="436"/>
      <c r="AX3453" s="436"/>
      <c r="AY3453" s="436"/>
      <c r="AZ3453" s="475"/>
      <c r="BA3453" s="475"/>
      <c r="BF3453" s="1119"/>
      <c r="BG3453" s="1119"/>
      <c r="BH3453" s="1119"/>
    </row>
    <row r="3454" spans="1:60" ht="15.75" customHeight="1">
      <c r="A3454" s="1076"/>
      <c r="B3454" s="312"/>
      <c r="C3454" s="424"/>
      <c r="G3454" s="312"/>
      <c r="H3454" s="467"/>
      <c r="I3454" s="467"/>
      <c r="J3454" s="469"/>
      <c r="K3454" s="312"/>
      <c r="L3454" s="312"/>
      <c r="M3454" s="312"/>
      <c r="N3454" s="467"/>
      <c r="O3454" s="467"/>
      <c r="P3454" s="467"/>
      <c r="AL3454" s="436"/>
      <c r="AM3454" s="436"/>
      <c r="AQ3454" s="436"/>
      <c r="AR3454" s="436"/>
      <c r="AS3454" s="436"/>
      <c r="AT3454" s="436"/>
      <c r="AU3454" s="436"/>
      <c r="AV3454" s="436"/>
      <c r="AW3454" s="436"/>
      <c r="AX3454" s="436"/>
      <c r="AY3454" s="436"/>
      <c r="AZ3454" s="475"/>
      <c r="BA3454" s="475"/>
      <c r="BF3454" s="1119"/>
      <c r="BG3454" s="1119"/>
      <c r="BH3454" s="1119"/>
    </row>
    <row r="3455" spans="1:60" ht="15.75" customHeight="1">
      <c r="A3455" s="1076"/>
      <c r="B3455" s="312"/>
      <c r="C3455" s="424"/>
      <c r="G3455" s="312"/>
      <c r="H3455" s="467"/>
      <c r="I3455" s="467"/>
      <c r="J3455" s="469"/>
      <c r="K3455" s="312"/>
      <c r="L3455" s="312"/>
      <c r="M3455" s="312"/>
      <c r="N3455" s="467"/>
      <c r="O3455" s="467"/>
      <c r="P3455" s="467"/>
      <c r="AL3455" s="436"/>
      <c r="AM3455" s="436"/>
      <c r="AQ3455" s="436"/>
      <c r="AR3455" s="436"/>
      <c r="AS3455" s="436"/>
      <c r="AT3455" s="436"/>
      <c r="AU3455" s="436"/>
      <c r="AV3455" s="436"/>
      <c r="AW3455" s="436"/>
      <c r="AX3455" s="436"/>
      <c r="AY3455" s="436"/>
      <c r="AZ3455" s="475"/>
      <c r="BA3455" s="475"/>
      <c r="BF3455" s="1119"/>
      <c r="BG3455" s="1119"/>
      <c r="BH3455" s="1119"/>
    </row>
    <row r="3456" spans="1:60" ht="15.75" customHeight="1">
      <c r="A3456" s="1076"/>
      <c r="B3456" s="312"/>
      <c r="C3456" s="424"/>
      <c r="G3456" s="312"/>
      <c r="H3456" s="467"/>
      <c r="I3456" s="467"/>
      <c r="J3456" s="469"/>
      <c r="K3456" s="312"/>
      <c r="L3456" s="312"/>
      <c r="M3456" s="312"/>
      <c r="N3456" s="467"/>
      <c r="O3456" s="467"/>
      <c r="P3456" s="467"/>
      <c r="AL3456" s="436"/>
      <c r="AM3456" s="436"/>
      <c r="AQ3456" s="436"/>
      <c r="AR3456" s="436"/>
      <c r="AS3456" s="436"/>
      <c r="AT3456" s="436"/>
      <c r="AU3456" s="436"/>
      <c r="AV3456" s="436"/>
      <c r="AW3456" s="436"/>
      <c r="AX3456" s="436"/>
      <c r="AY3456" s="436"/>
      <c r="AZ3456" s="475"/>
      <c r="BA3456" s="475"/>
      <c r="BF3456" s="1119"/>
      <c r="BG3456" s="1119"/>
      <c r="BH3456" s="1119"/>
    </row>
    <row r="3457" spans="1:60" ht="15.75" customHeight="1">
      <c r="A3457" s="1076"/>
      <c r="B3457" s="312"/>
      <c r="C3457" s="424"/>
      <c r="G3457" s="312"/>
      <c r="H3457" s="467"/>
      <c r="I3457" s="467"/>
      <c r="J3457" s="469"/>
      <c r="K3457" s="312"/>
      <c r="L3457" s="312"/>
      <c r="M3457" s="312"/>
      <c r="N3457" s="467"/>
      <c r="O3457" s="467"/>
      <c r="P3457" s="467"/>
      <c r="AL3457" s="436"/>
      <c r="AM3457" s="436"/>
      <c r="AQ3457" s="436"/>
      <c r="AR3457" s="436"/>
      <c r="AS3457" s="436"/>
      <c r="AT3457" s="436"/>
      <c r="AU3457" s="436"/>
      <c r="AV3457" s="436"/>
      <c r="AW3457" s="436"/>
      <c r="AX3457" s="436"/>
      <c r="AY3457" s="436"/>
      <c r="AZ3457" s="475"/>
      <c r="BA3457" s="475"/>
      <c r="BF3457" s="1119"/>
      <c r="BG3457" s="1119"/>
      <c r="BH3457" s="1119"/>
    </row>
    <row r="3458" spans="1:60" ht="15.75" customHeight="1">
      <c r="A3458" s="1076"/>
      <c r="B3458" s="312"/>
      <c r="C3458" s="424"/>
      <c r="G3458" s="312"/>
      <c r="H3458" s="467"/>
      <c r="I3458" s="467"/>
      <c r="J3458" s="469"/>
      <c r="K3458" s="312"/>
      <c r="L3458" s="312"/>
      <c r="M3458" s="312"/>
      <c r="N3458" s="467"/>
      <c r="O3458" s="467"/>
      <c r="P3458" s="467"/>
      <c r="AL3458" s="436"/>
      <c r="AM3458" s="436"/>
      <c r="AQ3458" s="436"/>
      <c r="AR3458" s="436"/>
      <c r="AS3458" s="436"/>
      <c r="AT3458" s="436"/>
      <c r="AU3458" s="436"/>
      <c r="AV3458" s="436"/>
      <c r="AW3458" s="436"/>
      <c r="AX3458" s="436"/>
      <c r="AY3458" s="436"/>
      <c r="AZ3458" s="475"/>
      <c r="BA3458" s="475"/>
      <c r="BF3458" s="1119"/>
      <c r="BG3458" s="1119"/>
      <c r="BH3458" s="1119"/>
    </row>
    <row r="3459" spans="1:60" ht="15.75" customHeight="1">
      <c r="A3459" s="1076"/>
      <c r="B3459" s="312"/>
      <c r="C3459" s="424"/>
      <c r="G3459" s="312"/>
      <c r="H3459" s="467"/>
      <c r="I3459" s="467"/>
      <c r="J3459" s="469"/>
      <c r="K3459" s="312"/>
      <c r="L3459" s="312"/>
      <c r="M3459" s="312"/>
      <c r="N3459" s="467"/>
      <c r="O3459" s="467"/>
      <c r="P3459" s="467"/>
      <c r="AL3459" s="436"/>
      <c r="AM3459" s="436"/>
      <c r="AQ3459" s="436"/>
      <c r="AR3459" s="436"/>
      <c r="AS3459" s="436"/>
      <c r="AT3459" s="436"/>
      <c r="AU3459" s="436"/>
      <c r="AV3459" s="436"/>
      <c r="AW3459" s="436"/>
      <c r="AX3459" s="436"/>
      <c r="AY3459" s="436"/>
      <c r="AZ3459" s="475"/>
      <c r="BA3459" s="475"/>
      <c r="BF3459" s="1119"/>
      <c r="BG3459" s="1119"/>
      <c r="BH3459" s="1119"/>
    </row>
    <row r="3460" spans="1:60" ht="15.75" customHeight="1">
      <c r="A3460" s="1076"/>
      <c r="B3460" s="312"/>
      <c r="C3460" s="424"/>
      <c r="G3460" s="312"/>
      <c r="H3460" s="467"/>
      <c r="I3460" s="467"/>
      <c r="J3460" s="469"/>
      <c r="K3460" s="312"/>
      <c r="L3460" s="312"/>
      <c r="M3460" s="312"/>
      <c r="N3460" s="467"/>
      <c r="O3460" s="467"/>
      <c r="P3460" s="467"/>
      <c r="AL3460" s="436"/>
      <c r="AM3460" s="436"/>
      <c r="AQ3460" s="436"/>
      <c r="AR3460" s="436"/>
      <c r="AS3460" s="436"/>
      <c r="AT3460" s="436"/>
      <c r="AU3460" s="436"/>
      <c r="AV3460" s="436"/>
      <c r="AW3460" s="436"/>
      <c r="AX3460" s="436"/>
      <c r="AY3460" s="436"/>
      <c r="AZ3460" s="475"/>
      <c r="BA3460" s="475"/>
      <c r="BF3460" s="1119"/>
      <c r="BG3460" s="1119"/>
      <c r="BH3460" s="1119"/>
    </row>
    <row r="3461" spans="1:60" ht="15.75" customHeight="1">
      <c r="A3461" s="1076"/>
      <c r="B3461" s="312"/>
      <c r="C3461" s="424"/>
      <c r="G3461" s="312"/>
      <c r="H3461" s="467"/>
      <c r="I3461" s="467"/>
      <c r="J3461" s="469"/>
      <c r="K3461" s="312"/>
      <c r="L3461" s="312"/>
      <c r="M3461" s="312"/>
      <c r="N3461" s="467"/>
      <c r="O3461" s="467"/>
      <c r="P3461" s="467"/>
      <c r="AL3461" s="436"/>
      <c r="AM3461" s="436"/>
      <c r="AQ3461" s="436"/>
      <c r="AR3461" s="436"/>
      <c r="AS3461" s="436"/>
      <c r="AT3461" s="436"/>
      <c r="AU3461" s="436"/>
      <c r="AV3461" s="436"/>
      <c r="AW3461" s="436"/>
      <c r="AX3461" s="436"/>
      <c r="AY3461" s="436"/>
      <c r="AZ3461" s="475"/>
      <c r="BA3461" s="475"/>
      <c r="BF3461" s="1119"/>
      <c r="BG3461" s="1119"/>
      <c r="BH3461" s="1119"/>
    </row>
    <row r="3462" spans="1:60" ht="15.75" customHeight="1">
      <c r="A3462" s="1076"/>
      <c r="B3462" s="312"/>
      <c r="C3462" s="424"/>
      <c r="G3462" s="312"/>
      <c r="H3462" s="467"/>
      <c r="I3462" s="467"/>
      <c r="J3462" s="469"/>
      <c r="K3462" s="312"/>
      <c r="L3462" s="312"/>
      <c r="M3462" s="312"/>
      <c r="N3462" s="467"/>
      <c r="O3462" s="467"/>
      <c r="P3462" s="467"/>
      <c r="AL3462" s="436"/>
      <c r="AM3462" s="436"/>
      <c r="AQ3462" s="436"/>
      <c r="AR3462" s="436"/>
      <c r="AS3462" s="436"/>
      <c r="AT3462" s="436"/>
      <c r="AU3462" s="436"/>
      <c r="AV3462" s="436"/>
      <c r="AW3462" s="436"/>
      <c r="AX3462" s="436"/>
      <c r="AY3462" s="436"/>
      <c r="AZ3462" s="475"/>
      <c r="BA3462" s="475"/>
      <c r="BF3462" s="1119"/>
      <c r="BG3462" s="1119"/>
      <c r="BH3462" s="1119"/>
    </row>
    <row r="3463" spans="1:60" ht="15.75" customHeight="1">
      <c r="A3463" s="1076"/>
      <c r="B3463" s="312"/>
      <c r="C3463" s="424"/>
      <c r="G3463" s="312"/>
      <c r="H3463" s="467"/>
      <c r="I3463" s="467"/>
      <c r="J3463" s="469"/>
      <c r="K3463" s="312"/>
      <c r="L3463" s="312"/>
      <c r="M3463" s="312"/>
      <c r="N3463" s="467"/>
      <c r="O3463" s="467"/>
      <c r="P3463" s="467"/>
      <c r="AL3463" s="436"/>
      <c r="AM3463" s="436"/>
      <c r="AQ3463" s="436"/>
      <c r="AR3463" s="436"/>
      <c r="AS3463" s="436"/>
      <c r="AT3463" s="436"/>
      <c r="AU3463" s="436"/>
      <c r="AV3463" s="436"/>
      <c r="AW3463" s="436"/>
      <c r="AX3463" s="436"/>
      <c r="AY3463" s="436"/>
      <c r="AZ3463" s="475"/>
      <c r="BA3463" s="475"/>
      <c r="BF3463" s="1119"/>
      <c r="BG3463" s="1119"/>
      <c r="BH3463" s="1119"/>
    </row>
    <row r="3464" spans="1:60" ht="15.75" customHeight="1">
      <c r="A3464" s="1076"/>
      <c r="B3464" s="312"/>
      <c r="C3464" s="424"/>
      <c r="G3464" s="312"/>
      <c r="H3464" s="467"/>
      <c r="I3464" s="467"/>
      <c r="J3464" s="469"/>
      <c r="K3464" s="312"/>
      <c r="L3464" s="312"/>
      <c r="M3464" s="312"/>
      <c r="N3464" s="467"/>
      <c r="O3464" s="467"/>
      <c r="P3464" s="467"/>
      <c r="AL3464" s="436"/>
      <c r="AM3464" s="436"/>
      <c r="AQ3464" s="436"/>
      <c r="AR3464" s="436"/>
      <c r="AS3464" s="436"/>
      <c r="AT3464" s="436"/>
      <c r="AU3464" s="436"/>
      <c r="AV3464" s="436"/>
      <c r="AW3464" s="436"/>
      <c r="AX3464" s="436"/>
      <c r="AY3464" s="436"/>
      <c r="AZ3464" s="475"/>
      <c r="BA3464" s="475"/>
      <c r="BF3464" s="1119"/>
      <c r="BG3464" s="1119"/>
      <c r="BH3464" s="1119"/>
    </row>
    <row r="3465" spans="1:60" ht="15.75" customHeight="1">
      <c r="A3465" s="1076"/>
      <c r="B3465" s="312"/>
      <c r="C3465" s="424"/>
      <c r="G3465" s="312"/>
      <c r="H3465" s="467"/>
      <c r="I3465" s="467"/>
      <c r="J3465" s="469"/>
      <c r="K3465" s="312"/>
      <c r="L3465" s="312"/>
      <c r="M3465" s="312"/>
      <c r="N3465" s="467"/>
      <c r="O3465" s="467"/>
      <c r="P3465" s="467"/>
      <c r="AL3465" s="436"/>
      <c r="AM3465" s="436"/>
      <c r="AQ3465" s="436"/>
      <c r="AR3465" s="436"/>
      <c r="AS3465" s="436"/>
      <c r="AT3465" s="436"/>
      <c r="AU3465" s="436"/>
      <c r="AV3465" s="436"/>
      <c r="AW3465" s="436"/>
      <c r="AX3465" s="436"/>
      <c r="AY3465" s="436"/>
      <c r="AZ3465" s="475"/>
      <c r="BA3465" s="475"/>
      <c r="BF3465" s="1119"/>
      <c r="BG3465" s="1119"/>
      <c r="BH3465" s="1119"/>
    </row>
    <row r="3466" spans="1:60" ht="15.75" customHeight="1">
      <c r="A3466" s="1076"/>
      <c r="B3466" s="312"/>
      <c r="C3466" s="424"/>
      <c r="G3466" s="312"/>
      <c r="H3466" s="467"/>
      <c r="I3466" s="467"/>
      <c r="J3466" s="469"/>
      <c r="K3466" s="312"/>
      <c r="L3466" s="312"/>
      <c r="M3466" s="312"/>
      <c r="N3466" s="467"/>
      <c r="O3466" s="467"/>
      <c r="P3466" s="467"/>
      <c r="AL3466" s="436"/>
      <c r="AM3466" s="436"/>
      <c r="AQ3466" s="436"/>
      <c r="AR3466" s="436"/>
      <c r="AS3466" s="436"/>
      <c r="AT3466" s="436"/>
      <c r="AU3466" s="436"/>
      <c r="AV3466" s="436"/>
      <c r="AW3466" s="436"/>
      <c r="AX3466" s="436"/>
      <c r="AY3466" s="436"/>
      <c r="AZ3466" s="475"/>
      <c r="BA3466" s="475"/>
      <c r="BF3466" s="1119"/>
      <c r="BG3466" s="1119"/>
      <c r="BH3466" s="1119"/>
    </row>
    <row r="3467" spans="1:60" ht="15.75" customHeight="1">
      <c r="A3467" s="1076"/>
      <c r="B3467" s="312"/>
      <c r="C3467" s="424"/>
      <c r="G3467" s="312"/>
      <c r="H3467" s="467"/>
      <c r="I3467" s="467"/>
      <c r="J3467" s="469"/>
      <c r="K3467" s="312"/>
      <c r="L3467" s="312"/>
      <c r="M3467" s="312"/>
      <c r="N3467" s="467"/>
      <c r="O3467" s="467"/>
      <c r="P3467" s="467"/>
      <c r="AL3467" s="436"/>
      <c r="AM3467" s="436"/>
      <c r="AQ3467" s="436"/>
      <c r="AR3467" s="436"/>
      <c r="AS3467" s="436"/>
      <c r="AT3467" s="436"/>
      <c r="AU3467" s="436"/>
      <c r="AV3467" s="436"/>
      <c r="AW3467" s="436"/>
      <c r="AX3467" s="436"/>
      <c r="AY3467" s="436"/>
      <c r="AZ3467" s="475"/>
      <c r="BA3467" s="475"/>
      <c r="BF3467" s="1119"/>
      <c r="BG3467" s="1119"/>
      <c r="BH3467" s="1119"/>
    </row>
    <row r="3468" spans="1:60" ht="15.75" customHeight="1">
      <c r="A3468" s="1076"/>
      <c r="B3468" s="312"/>
      <c r="C3468" s="424"/>
      <c r="G3468" s="312"/>
      <c r="H3468" s="467"/>
      <c r="I3468" s="467"/>
      <c r="J3468" s="469"/>
      <c r="K3468" s="312"/>
      <c r="L3468" s="312"/>
      <c r="M3468" s="312"/>
      <c r="N3468" s="467"/>
      <c r="O3468" s="467"/>
      <c r="P3468" s="467"/>
      <c r="AL3468" s="436"/>
      <c r="AM3468" s="436"/>
      <c r="AQ3468" s="436"/>
      <c r="AR3468" s="436"/>
      <c r="AS3468" s="436"/>
      <c r="AT3468" s="436"/>
      <c r="AU3468" s="436"/>
      <c r="AV3468" s="436"/>
      <c r="AW3468" s="436"/>
      <c r="AX3468" s="436"/>
      <c r="AY3468" s="436"/>
      <c r="AZ3468" s="475"/>
      <c r="BA3468" s="475"/>
      <c r="BF3468" s="1119"/>
      <c r="BG3468" s="1119"/>
      <c r="BH3468" s="1119"/>
    </row>
    <row r="3469" spans="1:60" ht="15.75" customHeight="1">
      <c r="A3469" s="1076"/>
      <c r="B3469" s="312"/>
      <c r="C3469" s="424"/>
      <c r="G3469" s="312"/>
      <c r="H3469" s="467"/>
      <c r="I3469" s="467"/>
      <c r="J3469" s="469"/>
      <c r="K3469" s="312"/>
      <c r="L3469" s="312"/>
      <c r="M3469" s="312"/>
      <c r="N3469" s="467"/>
      <c r="O3469" s="467"/>
      <c r="P3469" s="467"/>
      <c r="AL3469" s="436"/>
      <c r="AM3469" s="436"/>
      <c r="AQ3469" s="436"/>
      <c r="AR3469" s="436"/>
      <c r="AS3469" s="436"/>
      <c r="AT3469" s="436"/>
      <c r="AU3469" s="436"/>
      <c r="AV3469" s="436"/>
      <c r="AW3469" s="436"/>
      <c r="AX3469" s="436"/>
      <c r="AY3469" s="436"/>
      <c r="AZ3469" s="475"/>
      <c r="BA3469" s="475"/>
      <c r="BF3469" s="1119"/>
      <c r="BG3469" s="1119"/>
      <c r="BH3469" s="1119"/>
    </row>
    <row r="3470" spans="1:60" ht="15.75" customHeight="1">
      <c r="A3470" s="1076"/>
      <c r="B3470" s="312"/>
      <c r="C3470" s="424"/>
      <c r="G3470" s="312"/>
      <c r="H3470" s="467"/>
      <c r="I3470" s="467"/>
      <c r="J3470" s="469"/>
      <c r="K3470" s="312"/>
      <c r="L3470" s="312"/>
      <c r="M3470" s="312"/>
      <c r="N3470" s="467"/>
      <c r="O3470" s="467"/>
      <c r="P3470" s="467"/>
      <c r="AL3470" s="436"/>
      <c r="AM3470" s="436"/>
      <c r="AQ3470" s="436"/>
      <c r="AR3470" s="436"/>
      <c r="AS3470" s="436"/>
      <c r="AT3470" s="436"/>
      <c r="AU3470" s="436"/>
      <c r="AV3470" s="436"/>
      <c r="AW3470" s="436"/>
      <c r="AX3470" s="436"/>
      <c r="AY3470" s="436"/>
      <c r="AZ3470" s="475"/>
      <c r="BA3470" s="475"/>
      <c r="BF3470" s="1119"/>
      <c r="BG3470" s="1119"/>
      <c r="BH3470" s="1119"/>
    </row>
    <row r="3471" spans="1:60" ht="15.75" customHeight="1">
      <c r="A3471" s="1076"/>
      <c r="B3471" s="312"/>
      <c r="C3471" s="424"/>
      <c r="G3471" s="312"/>
      <c r="H3471" s="467"/>
      <c r="I3471" s="467"/>
      <c r="J3471" s="469"/>
      <c r="K3471" s="312"/>
      <c r="L3471" s="312"/>
      <c r="M3471" s="312"/>
      <c r="N3471" s="467"/>
      <c r="O3471" s="467"/>
      <c r="P3471" s="467"/>
      <c r="AL3471" s="436"/>
      <c r="AM3471" s="436"/>
      <c r="AQ3471" s="436"/>
      <c r="AR3471" s="436"/>
      <c r="AS3471" s="436"/>
      <c r="AT3471" s="436"/>
      <c r="AU3471" s="436"/>
      <c r="AV3471" s="436"/>
      <c r="AW3471" s="436"/>
      <c r="AX3471" s="436"/>
      <c r="AY3471" s="436"/>
      <c r="AZ3471" s="475"/>
      <c r="BA3471" s="475"/>
      <c r="BF3471" s="1119"/>
      <c r="BG3471" s="1119"/>
      <c r="BH3471" s="1119"/>
    </row>
    <row r="3472" spans="1:60" ht="15.75" customHeight="1">
      <c r="A3472" s="1076"/>
      <c r="B3472" s="312"/>
      <c r="C3472" s="424"/>
      <c r="G3472" s="312"/>
      <c r="H3472" s="467"/>
      <c r="I3472" s="467"/>
      <c r="J3472" s="469"/>
      <c r="K3472" s="312"/>
      <c r="L3472" s="312"/>
      <c r="M3472" s="312"/>
      <c r="N3472" s="467"/>
      <c r="O3472" s="467"/>
      <c r="P3472" s="467"/>
      <c r="AL3472" s="436"/>
      <c r="AM3472" s="436"/>
      <c r="AQ3472" s="436"/>
      <c r="AR3472" s="436"/>
      <c r="AS3472" s="436"/>
      <c r="AT3472" s="436"/>
      <c r="AU3472" s="436"/>
      <c r="AV3472" s="436"/>
      <c r="AW3472" s="436"/>
      <c r="AX3472" s="436"/>
      <c r="AY3472" s="436"/>
      <c r="AZ3472" s="475"/>
      <c r="BA3472" s="475"/>
      <c r="BF3472" s="1119"/>
      <c r="BG3472" s="1119"/>
      <c r="BH3472" s="1119"/>
    </row>
    <row r="3473" spans="1:60" ht="15.75" customHeight="1">
      <c r="A3473" s="1076"/>
      <c r="B3473" s="312"/>
      <c r="C3473" s="424"/>
      <c r="G3473" s="312"/>
      <c r="H3473" s="467"/>
      <c r="I3473" s="467"/>
      <c r="J3473" s="469"/>
      <c r="K3473" s="312"/>
      <c r="L3473" s="312"/>
      <c r="M3473" s="312"/>
      <c r="N3473" s="467"/>
      <c r="O3473" s="467"/>
      <c r="P3473" s="467"/>
      <c r="AL3473" s="436"/>
      <c r="AM3473" s="436"/>
      <c r="AQ3473" s="436"/>
      <c r="AR3473" s="436"/>
      <c r="AS3473" s="436"/>
      <c r="AT3473" s="436"/>
      <c r="AU3473" s="436"/>
      <c r="AV3473" s="436"/>
      <c r="AW3473" s="436"/>
      <c r="AX3473" s="436"/>
      <c r="AY3473" s="436"/>
      <c r="AZ3473" s="475"/>
      <c r="BA3473" s="475"/>
      <c r="BF3473" s="1119"/>
      <c r="BG3473" s="1119"/>
      <c r="BH3473" s="1119"/>
    </row>
    <row r="3474" spans="1:60" ht="15.75" customHeight="1">
      <c r="A3474" s="1076"/>
      <c r="B3474" s="312"/>
      <c r="C3474" s="424"/>
      <c r="G3474" s="312"/>
      <c r="H3474" s="467"/>
      <c r="I3474" s="467"/>
      <c r="J3474" s="469"/>
      <c r="K3474" s="312"/>
      <c r="L3474" s="312"/>
      <c r="M3474" s="312"/>
      <c r="N3474" s="467"/>
      <c r="O3474" s="467"/>
      <c r="P3474" s="467"/>
      <c r="AL3474" s="436"/>
      <c r="AM3474" s="436"/>
      <c r="AQ3474" s="436"/>
      <c r="AR3474" s="436"/>
      <c r="AS3474" s="436"/>
      <c r="AT3474" s="436"/>
      <c r="AU3474" s="436"/>
      <c r="AV3474" s="436"/>
      <c r="AW3474" s="436"/>
      <c r="AX3474" s="436"/>
      <c r="AY3474" s="436"/>
      <c r="AZ3474" s="475"/>
      <c r="BA3474" s="475"/>
      <c r="BF3474" s="1119"/>
      <c r="BG3474" s="1119"/>
      <c r="BH3474" s="1119"/>
    </row>
    <row r="3475" spans="1:60" ht="15.75" customHeight="1">
      <c r="A3475" s="1076"/>
      <c r="B3475" s="312"/>
      <c r="C3475" s="424"/>
      <c r="G3475" s="312"/>
      <c r="H3475" s="467"/>
      <c r="I3475" s="467"/>
      <c r="J3475" s="469"/>
      <c r="K3475" s="312"/>
      <c r="L3475" s="312"/>
      <c r="M3475" s="312"/>
      <c r="N3475" s="467"/>
      <c r="O3475" s="467"/>
      <c r="P3475" s="467"/>
      <c r="AL3475" s="436"/>
      <c r="AM3475" s="436"/>
      <c r="AQ3475" s="436"/>
      <c r="AR3475" s="436"/>
      <c r="AS3475" s="436"/>
      <c r="AT3475" s="436"/>
      <c r="AU3475" s="436"/>
      <c r="AV3475" s="436"/>
      <c r="AW3475" s="436"/>
      <c r="AX3475" s="436"/>
      <c r="AY3475" s="436"/>
      <c r="AZ3475" s="475"/>
      <c r="BA3475" s="475"/>
      <c r="BF3475" s="1119"/>
      <c r="BG3475" s="1119"/>
      <c r="BH3475" s="1119"/>
    </row>
    <row r="3476" spans="1:60" ht="15.75" customHeight="1">
      <c r="A3476" s="1076"/>
      <c r="B3476" s="312"/>
      <c r="C3476" s="424"/>
      <c r="G3476" s="312"/>
      <c r="H3476" s="467"/>
      <c r="I3476" s="467"/>
      <c r="J3476" s="469"/>
      <c r="K3476" s="312"/>
      <c r="L3476" s="312"/>
      <c r="M3476" s="312"/>
      <c r="N3476" s="467"/>
      <c r="O3476" s="467"/>
      <c r="P3476" s="467"/>
      <c r="AL3476" s="436"/>
      <c r="AM3476" s="436"/>
      <c r="AQ3476" s="436"/>
      <c r="AR3476" s="436"/>
      <c r="AS3476" s="436"/>
      <c r="AT3476" s="436"/>
      <c r="AU3476" s="436"/>
      <c r="AV3476" s="436"/>
      <c r="AW3476" s="436"/>
      <c r="AX3476" s="436"/>
      <c r="AY3476" s="436"/>
      <c r="AZ3476" s="475"/>
      <c r="BA3476" s="475"/>
      <c r="BF3476" s="1119"/>
      <c r="BG3476" s="1119"/>
      <c r="BH3476" s="1119"/>
    </row>
    <row r="3477" spans="1:60" ht="15.75" customHeight="1">
      <c r="A3477" s="1076"/>
      <c r="B3477" s="312"/>
      <c r="C3477" s="424"/>
      <c r="G3477" s="312"/>
      <c r="H3477" s="467"/>
      <c r="I3477" s="467"/>
      <c r="J3477" s="469"/>
      <c r="K3477" s="312"/>
      <c r="L3477" s="312"/>
      <c r="M3477" s="312"/>
      <c r="N3477" s="467"/>
      <c r="O3477" s="467"/>
      <c r="P3477" s="467"/>
      <c r="AL3477" s="436"/>
      <c r="AM3477" s="436"/>
      <c r="AQ3477" s="436"/>
      <c r="AR3477" s="436"/>
      <c r="AS3477" s="436"/>
      <c r="AT3477" s="436"/>
      <c r="AU3477" s="436"/>
      <c r="AV3477" s="436"/>
      <c r="AW3477" s="436"/>
      <c r="AX3477" s="436"/>
      <c r="AY3477" s="436"/>
      <c r="AZ3477" s="475"/>
      <c r="BA3477" s="475"/>
      <c r="BF3477" s="1119"/>
      <c r="BG3477" s="1119"/>
      <c r="BH3477" s="1119"/>
    </row>
    <row r="3478" spans="1:60" ht="15.75" customHeight="1">
      <c r="A3478" s="1076"/>
      <c r="B3478" s="312"/>
      <c r="C3478" s="424"/>
      <c r="G3478" s="312"/>
      <c r="H3478" s="467"/>
      <c r="I3478" s="467"/>
      <c r="J3478" s="469"/>
      <c r="K3478" s="312"/>
      <c r="L3478" s="312"/>
      <c r="M3478" s="312"/>
      <c r="N3478" s="467"/>
      <c r="O3478" s="467"/>
      <c r="P3478" s="467"/>
      <c r="AL3478" s="436"/>
      <c r="AM3478" s="436"/>
      <c r="AQ3478" s="436"/>
      <c r="AR3478" s="436"/>
      <c r="AS3478" s="436"/>
      <c r="AT3478" s="436"/>
      <c r="AU3478" s="436"/>
      <c r="AV3478" s="436"/>
      <c r="AW3478" s="436"/>
      <c r="AX3478" s="436"/>
      <c r="AY3478" s="436"/>
      <c r="AZ3478" s="475"/>
      <c r="BA3478" s="475"/>
      <c r="BF3478" s="1119"/>
      <c r="BG3478" s="1119"/>
      <c r="BH3478" s="1119"/>
    </row>
    <row r="3479" spans="1:60" ht="15.75" customHeight="1">
      <c r="A3479" s="1076"/>
      <c r="B3479" s="312"/>
      <c r="C3479" s="424"/>
      <c r="G3479" s="312"/>
      <c r="H3479" s="467"/>
      <c r="I3479" s="467"/>
      <c r="J3479" s="469"/>
      <c r="K3479" s="312"/>
      <c r="L3479" s="312"/>
      <c r="M3479" s="312"/>
      <c r="N3479" s="467"/>
      <c r="O3479" s="467"/>
      <c r="P3479" s="467"/>
      <c r="AL3479" s="436"/>
      <c r="AM3479" s="436"/>
      <c r="AQ3479" s="436"/>
      <c r="AR3479" s="436"/>
      <c r="AS3479" s="436"/>
      <c r="AT3479" s="436"/>
      <c r="AU3479" s="436"/>
      <c r="AV3479" s="436"/>
      <c r="AW3479" s="436"/>
      <c r="AX3479" s="436"/>
      <c r="AY3479" s="436"/>
      <c r="AZ3479" s="475"/>
      <c r="BA3479" s="475"/>
      <c r="BF3479" s="1119"/>
      <c r="BG3479" s="1119"/>
      <c r="BH3479" s="1119"/>
    </row>
    <row r="3480" spans="1:60" ht="15.75" customHeight="1">
      <c r="A3480" s="1076"/>
      <c r="B3480" s="312"/>
      <c r="C3480" s="424"/>
      <c r="G3480" s="312"/>
      <c r="H3480" s="467"/>
      <c r="I3480" s="467"/>
      <c r="J3480" s="469"/>
      <c r="K3480" s="312"/>
      <c r="L3480" s="312"/>
      <c r="M3480" s="312"/>
      <c r="N3480" s="467"/>
      <c r="O3480" s="467"/>
      <c r="P3480" s="467"/>
      <c r="AL3480" s="436"/>
      <c r="AM3480" s="436"/>
      <c r="AQ3480" s="436"/>
      <c r="AR3480" s="436"/>
      <c r="AS3480" s="436"/>
      <c r="AT3480" s="436"/>
      <c r="AU3480" s="436"/>
      <c r="AV3480" s="436"/>
      <c r="AW3480" s="436"/>
      <c r="AX3480" s="436"/>
      <c r="AY3480" s="436"/>
      <c r="AZ3480" s="475"/>
      <c r="BA3480" s="475"/>
      <c r="BF3480" s="1119"/>
      <c r="BG3480" s="1119"/>
      <c r="BH3480" s="1119"/>
    </row>
    <row r="3481" spans="1:60" ht="15.75" customHeight="1">
      <c r="A3481" s="1076"/>
      <c r="B3481" s="312"/>
      <c r="C3481" s="424"/>
      <c r="G3481" s="312"/>
      <c r="H3481" s="467"/>
      <c r="I3481" s="467"/>
      <c r="J3481" s="469"/>
      <c r="K3481" s="312"/>
      <c r="L3481" s="312"/>
      <c r="M3481" s="312"/>
      <c r="N3481" s="467"/>
      <c r="O3481" s="467"/>
      <c r="P3481" s="467"/>
      <c r="AL3481" s="436"/>
      <c r="AM3481" s="436"/>
      <c r="AQ3481" s="436"/>
      <c r="AR3481" s="436"/>
      <c r="AS3481" s="436"/>
      <c r="AT3481" s="436"/>
      <c r="AU3481" s="436"/>
      <c r="AV3481" s="436"/>
      <c r="AW3481" s="436"/>
      <c r="AX3481" s="436"/>
      <c r="AY3481" s="436"/>
      <c r="AZ3481" s="475"/>
      <c r="BA3481" s="475"/>
      <c r="BF3481" s="1119"/>
      <c r="BG3481" s="1119"/>
      <c r="BH3481" s="1119"/>
    </row>
    <row r="3482" spans="1:60" ht="15.75" customHeight="1">
      <c r="A3482" s="1076"/>
      <c r="B3482" s="312"/>
      <c r="C3482" s="424"/>
      <c r="G3482" s="312"/>
      <c r="H3482" s="467"/>
      <c r="I3482" s="467"/>
      <c r="J3482" s="469"/>
      <c r="K3482" s="312"/>
      <c r="L3482" s="312"/>
      <c r="M3482" s="312"/>
      <c r="N3482" s="467"/>
      <c r="O3482" s="467"/>
      <c r="P3482" s="467"/>
      <c r="AL3482" s="436"/>
      <c r="AM3482" s="436"/>
      <c r="AQ3482" s="436"/>
      <c r="AR3482" s="436"/>
      <c r="AS3482" s="436"/>
      <c r="AT3482" s="436"/>
      <c r="AU3482" s="436"/>
      <c r="AV3482" s="436"/>
      <c r="AW3482" s="436"/>
      <c r="AX3482" s="436"/>
      <c r="AY3482" s="436"/>
      <c r="AZ3482" s="475"/>
      <c r="BA3482" s="475"/>
      <c r="BF3482" s="1119"/>
      <c r="BG3482" s="1119"/>
      <c r="BH3482" s="1119"/>
    </row>
    <row r="3483" spans="1:60" ht="15.75" customHeight="1">
      <c r="A3483" s="1076"/>
      <c r="B3483" s="312"/>
      <c r="C3483" s="424"/>
      <c r="G3483" s="312"/>
      <c r="H3483" s="467"/>
      <c r="I3483" s="467"/>
      <c r="J3483" s="469"/>
      <c r="K3483" s="312"/>
      <c r="L3483" s="312"/>
      <c r="M3483" s="312"/>
      <c r="N3483" s="467"/>
      <c r="O3483" s="467"/>
      <c r="P3483" s="467"/>
      <c r="AL3483" s="436"/>
      <c r="AM3483" s="436"/>
      <c r="AQ3483" s="436"/>
      <c r="AR3483" s="436"/>
      <c r="AS3483" s="436"/>
      <c r="AT3483" s="436"/>
      <c r="AU3483" s="436"/>
      <c r="AV3483" s="436"/>
      <c r="AW3483" s="436"/>
      <c r="AX3483" s="436"/>
      <c r="AY3483" s="436"/>
      <c r="AZ3483" s="475"/>
      <c r="BA3483" s="475"/>
      <c r="BF3483" s="1119"/>
      <c r="BG3483" s="1119"/>
      <c r="BH3483" s="1119"/>
    </row>
    <row r="3484" spans="1:60" ht="15.75" customHeight="1">
      <c r="A3484" s="1076"/>
      <c r="B3484" s="312"/>
      <c r="C3484" s="424"/>
      <c r="G3484" s="312"/>
      <c r="H3484" s="467"/>
      <c r="I3484" s="467"/>
      <c r="J3484" s="469"/>
      <c r="K3484" s="312"/>
      <c r="L3484" s="312"/>
      <c r="M3484" s="312"/>
      <c r="N3484" s="467"/>
      <c r="O3484" s="467"/>
      <c r="P3484" s="467"/>
      <c r="AL3484" s="436"/>
      <c r="AM3484" s="436"/>
      <c r="AQ3484" s="436"/>
      <c r="AR3484" s="436"/>
      <c r="AS3484" s="436"/>
      <c r="AT3484" s="436"/>
      <c r="AU3484" s="436"/>
      <c r="AV3484" s="436"/>
      <c r="AW3484" s="436"/>
      <c r="AX3484" s="436"/>
      <c r="AY3484" s="436"/>
      <c r="AZ3484" s="475"/>
      <c r="BA3484" s="475"/>
      <c r="BF3484" s="1119"/>
      <c r="BG3484" s="1119"/>
      <c r="BH3484" s="1119"/>
    </row>
    <row r="3485" spans="1:60" ht="15.75" customHeight="1">
      <c r="A3485" s="1076"/>
      <c r="B3485" s="312"/>
      <c r="C3485" s="424"/>
      <c r="G3485" s="312"/>
      <c r="H3485" s="467"/>
      <c r="I3485" s="467"/>
      <c r="J3485" s="469"/>
      <c r="K3485" s="312"/>
      <c r="L3485" s="312"/>
      <c r="M3485" s="312"/>
      <c r="N3485" s="467"/>
      <c r="O3485" s="467"/>
      <c r="P3485" s="467"/>
      <c r="AL3485" s="436"/>
      <c r="AM3485" s="436"/>
      <c r="AQ3485" s="436"/>
      <c r="AR3485" s="436"/>
      <c r="AS3485" s="436"/>
      <c r="AT3485" s="436"/>
      <c r="AU3485" s="436"/>
      <c r="AV3485" s="436"/>
      <c r="AW3485" s="436"/>
      <c r="AX3485" s="436"/>
      <c r="AY3485" s="436"/>
      <c r="AZ3485" s="475"/>
      <c r="BA3485" s="475"/>
      <c r="BF3485" s="1119"/>
      <c r="BG3485" s="1119"/>
      <c r="BH3485" s="1119"/>
    </row>
    <row r="3486" spans="1:60" ht="15.75" customHeight="1">
      <c r="A3486" s="1076"/>
      <c r="B3486" s="312"/>
      <c r="C3486" s="424"/>
      <c r="G3486" s="312"/>
      <c r="H3486" s="467"/>
      <c r="I3486" s="467"/>
      <c r="J3486" s="469"/>
      <c r="K3486" s="312"/>
      <c r="L3486" s="312"/>
      <c r="M3486" s="312"/>
      <c r="N3486" s="467"/>
      <c r="O3486" s="467"/>
      <c r="P3486" s="467"/>
      <c r="AL3486" s="436"/>
      <c r="AM3486" s="436"/>
      <c r="AQ3486" s="436"/>
      <c r="AR3486" s="436"/>
      <c r="AS3486" s="436"/>
      <c r="AT3486" s="436"/>
      <c r="AU3486" s="436"/>
      <c r="AV3486" s="436"/>
      <c r="AW3486" s="436"/>
      <c r="AX3486" s="436"/>
      <c r="AY3486" s="436"/>
      <c r="AZ3486" s="475"/>
      <c r="BA3486" s="475"/>
      <c r="BF3486" s="1119"/>
      <c r="BG3486" s="1119"/>
      <c r="BH3486" s="1119"/>
    </row>
    <row r="3487" spans="1:60" ht="15.75" customHeight="1">
      <c r="A3487" s="1076"/>
      <c r="B3487" s="312"/>
      <c r="C3487" s="424"/>
      <c r="G3487" s="312"/>
      <c r="H3487" s="467"/>
      <c r="I3487" s="467"/>
      <c r="J3487" s="469"/>
      <c r="K3487" s="312"/>
      <c r="L3487" s="312"/>
      <c r="M3487" s="312"/>
      <c r="N3487" s="467"/>
      <c r="O3487" s="467"/>
      <c r="P3487" s="467"/>
      <c r="AL3487" s="436"/>
      <c r="AM3487" s="436"/>
      <c r="AQ3487" s="436"/>
      <c r="AR3487" s="436"/>
      <c r="AS3487" s="436"/>
      <c r="AT3487" s="436"/>
      <c r="AU3487" s="436"/>
      <c r="AV3487" s="436"/>
      <c r="AW3487" s="436"/>
      <c r="AX3487" s="436"/>
      <c r="AY3487" s="436"/>
      <c r="AZ3487" s="475"/>
      <c r="BA3487" s="475"/>
      <c r="BF3487" s="1119"/>
      <c r="BG3487" s="1119"/>
      <c r="BH3487" s="1119"/>
    </row>
    <row r="3488" spans="1:60" ht="15.75" customHeight="1">
      <c r="A3488" s="1076"/>
      <c r="B3488" s="312"/>
      <c r="C3488" s="424"/>
      <c r="G3488" s="312"/>
      <c r="H3488" s="467"/>
      <c r="I3488" s="467"/>
      <c r="J3488" s="469"/>
      <c r="K3488" s="312"/>
      <c r="L3488" s="312"/>
      <c r="M3488" s="312"/>
      <c r="N3488" s="467"/>
      <c r="O3488" s="467"/>
      <c r="P3488" s="467"/>
      <c r="AL3488" s="436"/>
      <c r="AM3488" s="436"/>
      <c r="AQ3488" s="436"/>
      <c r="AR3488" s="436"/>
      <c r="AS3488" s="436"/>
      <c r="AT3488" s="436"/>
      <c r="AU3488" s="436"/>
      <c r="AV3488" s="436"/>
      <c r="AW3488" s="436"/>
      <c r="AX3488" s="436"/>
      <c r="AY3488" s="436"/>
      <c r="AZ3488" s="475"/>
      <c r="BA3488" s="475"/>
      <c r="BF3488" s="1119"/>
      <c r="BG3488" s="1119"/>
      <c r="BH3488" s="1119"/>
    </row>
    <row r="3489" spans="1:60" ht="15.75" customHeight="1">
      <c r="A3489" s="1076"/>
      <c r="B3489" s="312"/>
      <c r="C3489" s="424"/>
      <c r="G3489" s="312"/>
      <c r="H3489" s="467"/>
      <c r="I3489" s="467"/>
      <c r="J3489" s="469"/>
      <c r="K3489" s="312"/>
      <c r="L3489" s="312"/>
      <c r="M3489" s="312"/>
      <c r="N3489" s="467"/>
      <c r="O3489" s="467"/>
      <c r="P3489" s="467"/>
      <c r="AL3489" s="436"/>
      <c r="AM3489" s="436"/>
      <c r="AQ3489" s="436"/>
      <c r="AR3489" s="436"/>
      <c r="AS3489" s="436"/>
      <c r="AT3489" s="436"/>
      <c r="AU3489" s="436"/>
      <c r="AV3489" s="436"/>
      <c r="AW3489" s="436"/>
      <c r="AX3489" s="436"/>
      <c r="AY3489" s="436"/>
      <c r="AZ3489" s="475"/>
      <c r="BA3489" s="475"/>
      <c r="BF3489" s="1119"/>
      <c r="BG3489" s="1119"/>
      <c r="BH3489" s="1119"/>
    </row>
    <row r="3490" spans="1:60" ht="15.75" customHeight="1">
      <c r="A3490" s="1076"/>
      <c r="B3490" s="312"/>
      <c r="C3490" s="424"/>
      <c r="G3490" s="312"/>
      <c r="H3490" s="467"/>
      <c r="I3490" s="467"/>
      <c r="J3490" s="469"/>
      <c r="K3490" s="312"/>
      <c r="L3490" s="312"/>
      <c r="M3490" s="312"/>
      <c r="N3490" s="467"/>
      <c r="O3490" s="467"/>
      <c r="P3490" s="467"/>
      <c r="AL3490" s="436"/>
      <c r="AM3490" s="436"/>
      <c r="AQ3490" s="436"/>
      <c r="AR3490" s="436"/>
      <c r="AS3490" s="436"/>
      <c r="AT3490" s="436"/>
      <c r="AU3490" s="436"/>
      <c r="AV3490" s="436"/>
      <c r="AW3490" s="436"/>
      <c r="AX3490" s="436"/>
      <c r="AY3490" s="436"/>
      <c r="AZ3490" s="475"/>
      <c r="BA3490" s="475"/>
      <c r="BF3490" s="1119"/>
      <c r="BG3490" s="1119"/>
      <c r="BH3490" s="1119"/>
    </row>
    <row r="3491" spans="1:60" ht="15.75" customHeight="1">
      <c r="A3491" s="1076"/>
      <c r="B3491" s="312"/>
      <c r="C3491" s="424"/>
      <c r="G3491" s="312"/>
      <c r="H3491" s="467"/>
      <c r="I3491" s="467"/>
      <c r="J3491" s="469"/>
      <c r="K3491" s="312"/>
      <c r="L3491" s="312"/>
      <c r="M3491" s="312"/>
      <c r="N3491" s="467"/>
      <c r="O3491" s="467"/>
      <c r="P3491" s="467"/>
      <c r="AL3491" s="436"/>
      <c r="AM3491" s="436"/>
      <c r="AQ3491" s="436"/>
      <c r="AR3491" s="436"/>
      <c r="AS3491" s="436"/>
      <c r="AT3491" s="436"/>
      <c r="AU3491" s="436"/>
      <c r="AV3491" s="436"/>
      <c r="AW3491" s="436"/>
      <c r="AX3491" s="436"/>
      <c r="AY3491" s="436"/>
      <c r="AZ3491" s="475"/>
      <c r="BA3491" s="475"/>
      <c r="BF3491" s="1119"/>
      <c r="BG3491" s="1119"/>
      <c r="BH3491" s="1119"/>
    </row>
    <row r="3492" spans="1:60" ht="15.75" customHeight="1">
      <c r="A3492" s="1076"/>
      <c r="B3492" s="312"/>
      <c r="C3492" s="424"/>
      <c r="G3492" s="312"/>
      <c r="H3492" s="467"/>
      <c r="I3492" s="467"/>
      <c r="J3492" s="469"/>
      <c r="K3492" s="312"/>
      <c r="L3492" s="312"/>
      <c r="M3492" s="312"/>
      <c r="N3492" s="467"/>
      <c r="O3492" s="467"/>
      <c r="P3492" s="467"/>
      <c r="AL3492" s="436"/>
      <c r="AM3492" s="436"/>
      <c r="AQ3492" s="436"/>
      <c r="AR3492" s="436"/>
      <c r="AS3492" s="436"/>
      <c r="AT3492" s="436"/>
      <c r="AU3492" s="436"/>
      <c r="AV3492" s="436"/>
      <c r="AW3492" s="436"/>
      <c r="AX3492" s="436"/>
      <c r="AY3492" s="436"/>
      <c r="AZ3492" s="475"/>
      <c r="BA3492" s="475"/>
      <c r="BF3492" s="1119"/>
      <c r="BG3492" s="1119"/>
      <c r="BH3492" s="1119"/>
    </row>
    <row r="3493" spans="1:60" ht="15.75" customHeight="1">
      <c r="A3493" s="1076"/>
      <c r="B3493" s="312"/>
      <c r="C3493" s="424"/>
      <c r="G3493" s="312"/>
      <c r="H3493" s="467"/>
      <c r="I3493" s="467"/>
      <c r="J3493" s="469"/>
      <c r="K3493" s="312"/>
      <c r="L3493" s="312"/>
      <c r="M3493" s="312"/>
      <c r="N3493" s="467"/>
      <c r="O3493" s="467"/>
      <c r="P3493" s="467"/>
      <c r="AL3493" s="436"/>
      <c r="AM3493" s="436"/>
      <c r="AQ3493" s="436"/>
      <c r="AR3493" s="436"/>
      <c r="AS3493" s="436"/>
      <c r="AT3493" s="436"/>
      <c r="AU3493" s="436"/>
      <c r="AV3493" s="436"/>
      <c r="AW3493" s="436"/>
      <c r="AX3493" s="436"/>
      <c r="AY3493" s="436"/>
      <c r="AZ3493" s="475"/>
      <c r="BA3493" s="475"/>
      <c r="BF3493" s="1119"/>
      <c r="BG3493" s="1119"/>
      <c r="BH3493" s="1119"/>
    </row>
    <row r="3494" spans="1:60" ht="15.75" customHeight="1">
      <c r="A3494" s="1076"/>
      <c r="B3494" s="312"/>
      <c r="C3494" s="424"/>
      <c r="G3494" s="312"/>
      <c r="H3494" s="467"/>
      <c r="I3494" s="467"/>
      <c r="J3494" s="469"/>
      <c r="K3494" s="312"/>
      <c r="L3494" s="312"/>
      <c r="M3494" s="312"/>
      <c r="N3494" s="467"/>
      <c r="O3494" s="467"/>
      <c r="P3494" s="467"/>
      <c r="AL3494" s="436"/>
      <c r="AM3494" s="436"/>
      <c r="AQ3494" s="436"/>
      <c r="AR3494" s="436"/>
      <c r="AS3494" s="436"/>
      <c r="AT3494" s="436"/>
      <c r="AU3494" s="436"/>
      <c r="AV3494" s="436"/>
      <c r="AW3494" s="436"/>
      <c r="AX3494" s="436"/>
      <c r="AY3494" s="436"/>
      <c r="AZ3494" s="475"/>
      <c r="BA3494" s="475"/>
      <c r="BF3494" s="1119"/>
      <c r="BG3494" s="1119"/>
      <c r="BH3494" s="1119"/>
    </row>
    <row r="3495" spans="1:60" ht="15.75" customHeight="1">
      <c r="A3495" s="1076"/>
      <c r="B3495" s="312"/>
      <c r="C3495" s="424"/>
      <c r="G3495" s="312"/>
      <c r="H3495" s="467"/>
      <c r="I3495" s="467"/>
      <c r="J3495" s="469"/>
      <c r="K3495" s="312"/>
      <c r="L3495" s="312"/>
      <c r="M3495" s="312"/>
      <c r="N3495" s="467"/>
      <c r="O3495" s="467"/>
      <c r="P3495" s="467"/>
      <c r="AL3495" s="436"/>
      <c r="AM3495" s="436"/>
      <c r="AQ3495" s="436"/>
      <c r="AR3495" s="436"/>
      <c r="AS3495" s="436"/>
      <c r="AT3495" s="436"/>
      <c r="AU3495" s="436"/>
      <c r="AV3495" s="436"/>
      <c r="AW3495" s="436"/>
      <c r="AX3495" s="436"/>
      <c r="AY3495" s="436"/>
      <c r="AZ3495" s="475"/>
      <c r="BA3495" s="475"/>
      <c r="BF3495" s="1119"/>
      <c r="BG3495" s="1119"/>
      <c r="BH3495" s="1119"/>
    </row>
    <row r="3496" spans="1:60" ht="15.75" customHeight="1">
      <c r="A3496" s="1076"/>
      <c r="B3496" s="312"/>
      <c r="C3496" s="424"/>
      <c r="G3496" s="312"/>
      <c r="H3496" s="467"/>
      <c r="I3496" s="467"/>
      <c r="J3496" s="469"/>
      <c r="K3496" s="312"/>
      <c r="L3496" s="312"/>
      <c r="M3496" s="312"/>
      <c r="N3496" s="467"/>
      <c r="O3496" s="467"/>
      <c r="P3496" s="467"/>
      <c r="AL3496" s="436"/>
      <c r="AM3496" s="436"/>
      <c r="AQ3496" s="436"/>
      <c r="AR3496" s="436"/>
      <c r="AS3496" s="436"/>
      <c r="AT3496" s="436"/>
      <c r="AU3496" s="436"/>
      <c r="AV3496" s="436"/>
      <c r="AW3496" s="436"/>
      <c r="AX3496" s="436"/>
      <c r="AY3496" s="436"/>
      <c r="AZ3496" s="475"/>
      <c r="BA3496" s="475"/>
      <c r="BF3496" s="1119"/>
      <c r="BG3496" s="1119"/>
      <c r="BH3496" s="1119"/>
    </row>
    <row r="3497" spans="1:60" ht="15.75" customHeight="1">
      <c r="A3497" s="1076"/>
      <c r="B3497" s="312"/>
      <c r="C3497" s="424"/>
      <c r="G3497" s="312"/>
      <c r="H3497" s="467"/>
      <c r="I3497" s="467"/>
      <c r="J3497" s="469"/>
      <c r="K3497" s="312"/>
      <c r="L3497" s="312"/>
      <c r="M3497" s="312"/>
      <c r="N3497" s="467"/>
      <c r="O3497" s="467"/>
      <c r="P3497" s="467"/>
      <c r="AL3497" s="436"/>
      <c r="AM3497" s="436"/>
      <c r="AQ3497" s="436"/>
      <c r="AR3497" s="436"/>
      <c r="AS3497" s="436"/>
      <c r="AT3497" s="436"/>
      <c r="AU3497" s="436"/>
      <c r="AV3497" s="436"/>
      <c r="AW3497" s="436"/>
      <c r="AX3497" s="436"/>
      <c r="AY3497" s="436"/>
      <c r="AZ3497" s="475"/>
      <c r="BA3497" s="475"/>
      <c r="BF3497" s="1119"/>
      <c r="BG3497" s="1119"/>
      <c r="BH3497" s="1119"/>
    </row>
    <row r="3498" spans="1:60" ht="15.75" customHeight="1">
      <c r="A3498" s="1076"/>
      <c r="B3498" s="312"/>
      <c r="C3498" s="424"/>
      <c r="G3498" s="312"/>
      <c r="H3498" s="467"/>
      <c r="I3498" s="467"/>
      <c r="J3498" s="469"/>
      <c r="K3498" s="312"/>
      <c r="L3498" s="312"/>
      <c r="M3498" s="312"/>
      <c r="N3498" s="467"/>
      <c r="O3498" s="467"/>
      <c r="P3498" s="467"/>
      <c r="AL3498" s="436"/>
      <c r="AM3498" s="436"/>
      <c r="AQ3498" s="436"/>
      <c r="AR3498" s="436"/>
      <c r="AS3498" s="436"/>
      <c r="AT3498" s="436"/>
      <c r="AU3498" s="436"/>
      <c r="AV3498" s="436"/>
      <c r="AW3498" s="436"/>
      <c r="AX3498" s="436"/>
      <c r="AY3498" s="436"/>
      <c r="AZ3498" s="475"/>
      <c r="BA3498" s="475"/>
      <c r="BF3498" s="1119"/>
      <c r="BG3498" s="1119"/>
      <c r="BH3498" s="1119"/>
    </row>
    <row r="3499" spans="1:60" ht="15.75" customHeight="1">
      <c r="A3499" s="1076"/>
      <c r="B3499" s="312"/>
      <c r="C3499" s="424"/>
      <c r="G3499" s="312"/>
      <c r="H3499" s="467"/>
      <c r="I3499" s="467"/>
      <c r="J3499" s="469"/>
      <c r="K3499" s="312"/>
      <c r="L3499" s="312"/>
      <c r="M3499" s="312"/>
      <c r="N3499" s="467"/>
      <c r="O3499" s="467"/>
      <c r="P3499" s="467"/>
      <c r="AL3499" s="436"/>
      <c r="AM3499" s="436"/>
      <c r="AQ3499" s="436"/>
      <c r="AR3499" s="436"/>
      <c r="AS3499" s="436"/>
      <c r="AT3499" s="436"/>
      <c r="AU3499" s="436"/>
      <c r="AV3499" s="436"/>
      <c r="AW3499" s="436"/>
      <c r="AX3499" s="436"/>
      <c r="AY3499" s="436"/>
      <c r="AZ3499" s="475"/>
      <c r="BA3499" s="475"/>
      <c r="BF3499" s="1119"/>
      <c r="BG3499" s="1119"/>
      <c r="BH3499" s="1119"/>
    </row>
    <row r="3500" spans="1:60" ht="15.75" customHeight="1">
      <c r="A3500" s="1076"/>
      <c r="B3500" s="312"/>
      <c r="C3500" s="424"/>
      <c r="G3500" s="312"/>
      <c r="H3500" s="467"/>
      <c r="I3500" s="467"/>
      <c r="J3500" s="469"/>
      <c r="K3500" s="312"/>
      <c r="L3500" s="312"/>
      <c r="M3500" s="312"/>
      <c r="N3500" s="467"/>
      <c r="O3500" s="467"/>
      <c r="P3500" s="467"/>
      <c r="AL3500" s="436"/>
      <c r="AM3500" s="436"/>
      <c r="AQ3500" s="436"/>
      <c r="AR3500" s="436"/>
      <c r="AS3500" s="436"/>
      <c r="AT3500" s="436"/>
      <c r="AU3500" s="436"/>
      <c r="AV3500" s="436"/>
      <c r="AW3500" s="436"/>
      <c r="AX3500" s="436"/>
      <c r="AY3500" s="436"/>
      <c r="AZ3500" s="475"/>
      <c r="BA3500" s="475"/>
      <c r="BF3500" s="1119"/>
      <c r="BG3500" s="1119"/>
      <c r="BH3500" s="1119"/>
    </row>
    <row r="3501" spans="1:60" ht="15.75" customHeight="1">
      <c r="A3501" s="1076"/>
      <c r="B3501" s="312"/>
      <c r="C3501" s="424"/>
      <c r="G3501" s="312"/>
      <c r="H3501" s="467"/>
      <c r="I3501" s="467"/>
      <c r="J3501" s="469"/>
      <c r="K3501" s="312"/>
      <c r="L3501" s="312"/>
      <c r="M3501" s="312"/>
      <c r="N3501" s="467"/>
      <c r="O3501" s="467"/>
      <c r="P3501" s="467"/>
      <c r="AL3501" s="436"/>
      <c r="AM3501" s="436"/>
      <c r="AQ3501" s="436"/>
      <c r="AR3501" s="436"/>
      <c r="AS3501" s="436"/>
      <c r="AT3501" s="436"/>
      <c r="AU3501" s="436"/>
      <c r="AV3501" s="436"/>
      <c r="AW3501" s="436"/>
      <c r="AX3501" s="436"/>
      <c r="AY3501" s="436"/>
      <c r="AZ3501" s="475"/>
      <c r="BA3501" s="475"/>
      <c r="BF3501" s="1119"/>
      <c r="BG3501" s="1119"/>
      <c r="BH3501" s="1119"/>
    </row>
    <row r="3502" spans="1:60" ht="15.75" customHeight="1">
      <c r="A3502" s="1076"/>
      <c r="B3502" s="312"/>
      <c r="C3502" s="424"/>
      <c r="G3502" s="312"/>
      <c r="H3502" s="467"/>
      <c r="I3502" s="467"/>
      <c r="J3502" s="469"/>
      <c r="K3502" s="312"/>
      <c r="L3502" s="312"/>
      <c r="M3502" s="312"/>
      <c r="N3502" s="467"/>
      <c r="O3502" s="467"/>
      <c r="P3502" s="467"/>
      <c r="AL3502" s="436"/>
      <c r="AM3502" s="436"/>
      <c r="AQ3502" s="436"/>
      <c r="AR3502" s="436"/>
      <c r="AS3502" s="436"/>
      <c r="AT3502" s="436"/>
      <c r="AU3502" s="436"/>
      <c r="AV3502" s="436"/>
      <c r="AW3502" s="436"/>
      <c r="AX3502" s="436"/>
      <c r="AY3502" s="436"/>
      <c r="AZ3502" s="475"/>
      <c r="BA3502" s="475"/>
      <c r="BF3502" s="1119"/>
      <c r="BG3502" s="1119"/>
      <c r="BH3502" s="1119"/>
    </row>
    <row r="3503" spans="1:60" ht="15.75" customHeight="1">
      <c r="A3503" s="1076"/>
      <c r="B3503" s="312"/>
      <c r="C3503" s="424"/>
      <c r="G3503" s="312"/>
      <c r="H3503" s="467"/>
      <c r="I3503" s="467"/>
      <c r="J3503" s="469"/>
      <c r="K3503" s="312"/>
      <c r="L3503" s="312"/>
      <c r="M3503" s="312"/>
      <c r="N3503" s="467"/>
      <c r="O3503" s="467"/>
      <c r="P3503" s="467"/>
      <c r="AL3503" s="436"/>
      <c r="AM3503" s="436"/>
      <c r="AQ3503" s="436"/>
      <c r="AR3503" s="436"/>
      <c r="AS3503" s="436"/>
      <c r="AT3503" s="436"/>
      <c r="AU3503" s="436"/>
      <c r="AV3503" s="436"/>
      <c r="AW3503" s="436"/>
      <c r="AX3503" s="436"/>
      <c r="AY3503" s="436"/>
      <c r="AZ3503" s="475"/>
      <c r="BA3503" s="475"/>
      <c r="BF3503" s="1119"/>
      <c r="BG3503" s="1119"/>
      <c r="BH3503" s="1119"/>
    </row>
    <row r="3504" spans="1:60" ht="15.75" customHeight="1">
      <c r="A3504" s="1076"/>
      <c r="B3504" s="312"/>
      <c r="C3504" s="424"/>
      <c r="G3504" s="312"/>
      <c r="H3504" s="467"/>
      <c r="I3504" s="467"/>
      <c r="J3504" s="469"/>
      <c r="K3504" s="312"/>
      <c r="L3504" s="312"/>
      <c r="M3504" s="312"/>
      <c r="N3504" s="467"/>
      <c r="O3504" s="467"/>
      <c r="P3504" s="467"/>
      <c r="AL3504" s="436"/>
      <c r="AM3504" s="436"/>
      <c r="AQ3504" s="436"/>
      <c r="AR3504" s="436"/>
      <c r="AS3504" s="436"/>
      <c r="AT3504" s="436"/>
      <c r="AU3504" s="436"/>
      <c r="AV3504" s="436"/>
      <c r="AW3504" s="436"/>
      <c r="AX3504" s="436"/>
      <c r="AY3504" s="436"/>
      <c r="AZ3504" s="475"/>
      <c r="BA3504" s="475"/>
      <c r="BF3504" s="1119"/>
      <c r="BG3504" s="1119"/>
      <c r="BH3504" s="1119"/>
    </row>
    <row r="3505" spans="1:60" ht="15.75" customHeight="1">
      <c r="A3505" s="1076"/>
      <c r="B3505" s="312"/>
      <c r="C3505" s="424"/>
      <c r="G3505" s="312"/>
      <c r="H3505" s="467"/>
      <c r="I3505" s="467"/>
      <c r="J3505" s="469"/>
      <c r="K3505" s="312"/>
      <c r="L3505" s="312"/>
      <c r="M3505" s="312"/>
      <c r="N3505" s="467"/>
      <c r="O3505" s="467"/>
      <c r="P3505" s="467"/>
      <c r="AL3505" s="436"/>
      <c r="AM3505" s="436"/>
      <c r="AQ3505" s="436"/>
      <c r="AR3505" s="436"/>
      <c r="AS3505" s="436"/>
      <c r="AT3505" s="436"/>
      <c r="AU3505" s="436"/>
      <c r="AV3505" s="436"/>
      <c r="AW3505" s="436"/>
      <c r="AX3505" s="436"/>
      <c r="AY3505" s="436"/>
      <c r="AZ3505" s="475"/>
      <c r="BA3505" s="475"/>
      <c r="BF3505" s="1119"/>
      <c r="BG3505" s="1119"/>
      <c r="BH3505" s="1119"/>
    </row>
    <row r="3506" spans="1:60" ht="15.75" customHeight="1">
      <c r="A3506" s="1076"/>
      <c r="B3506" s="312"/>
      <c r="C3506" s="424"/>
      <c r="G3506" s="312"/>
      <c r="H3506" s="467"/>
      <c r="I3506" s="467"/>
      <c r="J3506" s="469"/>
      <c r="K3506" s="312"/>
      <c r="L3506" s="312"/>
      <c r="M3506" s="312"/>
      <c r="N3506" s="467"/>
      <c r="O3506" s="467"/>
      <c r="P3506" s="467"/>
      <c r="AL3506" s="436"/>
      <c r="AM3506" s="436"/>
      <c r="AQ3506" s="436"/>
      <c r="AR3506" s="436"/>
      <c r="AS3506" s="436"/>
      <c r="AT3506" s="436"/>
      <c r="AU3506" s="436"/>
      <c r="AV3506" s="436"/>
      <c r="AW3506" s="436"/>
      <c r="AX3506" s="436"/>
      <c r="AY3506" s="436"/>
      <c r="AZ3506" s="475"/>
      <c r="BA3506" s="475"/>
      <c r="BF3506" s="1119"/>
      <c r="BG3506" s="1119"/>
      <c r="BH3506" s="1119"/>
    </row>
    <row r="3507" spans="1:60" ht="15.75" customHeight="1">
      <c r="A3507" s="1076"/>
      <c r="B3507" s="312"/>
      <c r="C3507" s="424"/>
      <c r="G3507" s="312"/>
      <c r="H3507" s="467"/>
      <c r="I3507" s="467"/>
      <c r="J3507" s="469"/>
      <c r="K3507" s="312"/>
      <c r="L3507" s="312"/>
      <c r="M3507" s="312"/>
      <c r="N3507" s="467"/>
      <c r="O3507" s="467"/>
      <c r="P3507" s="467"/>
      <c r="AL3507" s="436"/>
      <c r="AM3507" s="436"/>
      <c r="AQ3507" s="436"/>
      <c r="AR3507" s="436"/>
      <c r="AS3507" s="436"/>
      <c r="AT3507" s="436"/>
      <c r="AU3507" s="436"/>
      <c r="AV3507" s="436"/>
      <c r="AW3507" s="436"/>
      <c r="AX3507" s="436"/>
      <c r="AY3507" s="436"/>
      <c r="AZ3507" s="475"/>
      <c r="BA3507" s="475"/>
      <c r="BF3507" s="1119"/>
      <c r="BG3507" s="1119"/>
      <c r="BH3507" s="1119"/>
    </row>
    <row r="3508" spans="1:60" ht="15.75" customHeight="1">
      <c r="A3508" s="1076"/>
      <c r="B3508" s="312"/>
      <c r="C3508" s="424"/>
      <c r="G3508" s="312"/>
      <c r="H3508" s="467"/>
      <c r="I3508" s="467"/>
      <c r="J3508" s="469"/>
      <c r="K3508" s="312"/>
      <c r="L3508" s="312"/>
      <c r="M3508" s="312"/>
      <c r="N3508" s="467"/>
      <c r="O3508" s="467"/>
      <c r="P3508" s="467"/>
      <c r="AL3508" s="436"/>
      <c r="AM3508" s="436"/>
      <c r="AQ3508" s="436"/>
      <c r="AR3508" s="436"/>
      <c r="AS3508" s="436"/>
      <c r="AT3508" s="436"/>
      <c r="AU3508" s="436"/>
      <c r="AV3508" s="436"/>
      <c r="AW3508" s="436"/>
      <c r="AX3508" s="436"/>
      <c r="AY3508" s="436"/>
      <c r="AZ3508" s="475"/>
      <c r="BA3508" s="475"/>
      <c r="BF3508" s="1119"/>
      <c r="BG3508" s="1119"/>
      <c r="BH3508" s="1119"/>
    </row>
    <row r="3509" spans="1:60" ht="15.75" customHeight="1">
      <c r="A3509" s="1076"/>
      <c r="B3509" s="312"/>
      <c r="C3509" s="424"/>
      <c r="G3509" s="312"/>
      <c r="H3509" s="467"/>
      <c r="I3509" s="467"/>
      <c r="J3509" s="469"/>
      <c r="K3509" s="312"/>
      <c r="L3509" s="312"/>
      <c r="M3509" s="312"/>
      <c r="N3509" s="467"/>
      <c r="O3509" s="467"/>
      <c r="P3509" s="467"/>
      <c r="AL3509" s="436"/>
      <c r="AM3509" s="436"/>
      <c r="AQ3509" s="436"/>
      <c r="AR3509" s="436"/>
      <c r="AS3509" s="436"/>
      <c r="AT3509" s="436"/>
      <c r="AU3509" s="436"/>
      <c r="AV3509" s="436"/>
      <c r="AW3509" s="436"/>
      <c r="AX3509" s="436"/>
      <c r="AY3509" s="436"/>
      <c r="AZ3509" s="475"/>
      <c r="BA3509" s="475"/>
      <c r="BF3509" s="1119"/>
      <c r="BG3509" s="1119"/>
      <c r="BH3509" s="1119"/>
    </row>
    <row r="3510" spans="1:60" ht="15.75" customHeight="1">
      <c r="A3510" s="1076"/>
      <c r="B3510" s="312"/>
      <c r="C3510" s="424"/>
      <c r="G3510" s="312"/>
      <c r="H3510" s="467"/>
      <c r="I3510" s="467"/>
      <c r="J3510" s="469"/>
      <c r="K3510" s="312"/>
      <c r="L3510" s="312"/>
      <c r="M3510" s="312"/>
      <c r="N3510" s="467"/>
      <c r="O3510" s="467"/>
      <c r="P3510" s="467"/>
      <c r="AL3510" s="436"/>
      <c r="AM3510" s="436"/>
      <c r="AQ3510" s="436"/>
      <c r="AR3510" s="436"/>
      <c r="AS3510" s="436"/>
      <c r="AT3510" s="436"/>
      <c r="AU3510" s="436"/>
      <c r="AV3510" s="436"/>
      <c r="AW3510" s="436"/>
      <c r="AX3510" s="436"/>
      <c r="AY3510" s="436"/>
      <c r="AZ3510" s="475"/>
      <c r="BA3510" s="475"/>
      <c r="BF3510" s="1119"/>
      <c r="BG3510" s="1119"/>
      <c r="BH3510" s="1119"/>
    </row>
    <row r="3511" spans="1:60" ht="15.75" customHeight="1">
      <c r="A3511" s="1076"/>
      <c r="B3511" s="312"/>
      <c r="C3511" s="424"/>
      <c r="G3511" s="312"/>
      <c r="H3511" s="467"/>
      <c r="I3511" s="467"/>
      <c r="J3511" s="469"/>
      <c r="K3511" s="312"/>
      <c r="L3511" s="312"/>
      <c r="M3511" s="312"/>
      <c r="N3511" s="467"/>
      <c r="O3511" s="467"/>
      <c r="P3511" s="467"/>
      <c r="AL3511" s="436"/>
      <c r="AM3511" s="436"/>
      <c r="AQ3511" s="436"/>
      <c r="AR3511" s="436"/>
      <c r="AS3511" s="436"/>
      <c r="AT3511" s="436"/>
      <c r="AU3511" s="436"/>
      <c r="AV3511" s="436"/>
      <c r="AW3511" s="436"/>
      <c r="AX3511" s="436"/>
      <c r="AY3511" s="436"/>
      <c r="AZ3511" s="475"/>
      <c r="BA3511" s="475"/>
      <c r="BF3511" s="1119"/>
      <c r="BG3511" s="1119"/>
      <c r="BH3511" s="1119"/>
    </row>
    <row r="3512" spans="1:60" ht="15.75" customHeight="1">
      <c r="A3512" s="1076"/>
      <c r="B3512" s="312"/>
      <c r="C3512" s="424"/>
      <c r="G3512" s="312"/>
      <c r="H3512" s="467"/>
      <c r="I3512" s="467"/>
      <c r="J3512" s="469"/>
      <c r="K3512" s="312"/>
      <c r="L3512" s="312"/>
      <c r="M3512" s="312"/>
      <c r="N3512" s="467"/>
      <c r="O3512" s="467"/>
      <c r="P3512" s="467"/>
      <c r="AL3512" s="436"/>
      <c r="AM3512" s="436"/>
      <c r="AQ3512" s="436"/>
      <c r="AR3512" s="436"/>
      <c r="AS3512" s="436"/>
      <c r="AT3512" s="436"/>
      <c r="AU3512" s="436"/>
      <c r="AV3512" s="436"/>
      <c r="AW3512" s="436"/>
      <c r="AX3512" s="436"/>
      <c r="AY3512" s="436"/>
      <c r="AZ3512" s="475"/>
      <c r="BA3512" s="475"/>
      <c r="BF3512" s="1119"/>
      <c r="BG3512" s="1119"/>
      <c r="BH3512" s="1119"/>
    </row>
    <row r="3513" spans="1:60" ht="15.75" customHeight="1">
      <c r="A3513" s="1076"/>
      <c r="B3513" s="312"/>
      <c r="C3513" s="424"/>
      <c r="G3513" s="312"/>
      <c r="H3513" s="467"/>
      <c r="I3513" s="467"/>
      <c r="J3513" s="469"/>
      <c r="K3513" s="312"/>
      <c r="L3513" s="312"/>
      <c r="M3513" s="312"/>
      <c r="N3513" s="467"/>
      <c r="O3513" s="467"/>
      <c r="P3513" s="467"/>
      <c r="AL3513" s="436"/>
      <c r="AM3513" s="436"/>
      <c r="AQ3513" s="436"/>
      <c r="AR3513" s="436"/>
      <c r="AS3513" s="436"/>
      <c r="AT3513" s="436"/>
      <c r="AU3513" s="436"/>
      <c r="AV3513" s="436"/>
      <c r="AW3513" s="436"/>
      <c r="AX3513" s="436"/>
      <c r="AY3513" s="436"/>
      <c r="AZ3513" s="475"/>
      <c r="BA3513" s="475"/>
      <c r="BF3513" s="1119"/>
      <c r="BG3513" s="1119"/>
      <c r="BH3513" s="1119"/>
    </row>
    <row r="3514" spans="1:60" ht="15.75" customHeight="1">
      <c r="A3514" s="1076"/>
      <c r="B3514" s="312"/>
      <c r="C3514" s="424"/>
      <c r="G3514" s="312"/>
      <c r="H3514" s="467"/>
      <c r="I3514" s="467"/>
      <c r="J3514" s="469"/>
      <c r="K3514" s="312"/>
      <c r="L3514" s="312"/>
      <c r="M3514" s="312"/>
      <c r="N3514" s="467"/>
      <c r="O3514" s="467"/>
      <c r="P3514" s="467"/>
      <c r="AL3514" s="436"/>
      <c r="AM3514" s="436"/>
      <c r="AQ3514" s="436"/>
      <c r="AR3514" s="436"/>
      <c r="AS3514" s="436"/>
      <c r="AT3514" s="436"/>
      <c r="AU3514" s="436"/>
      <c r="AV3514" s="436"/>
      <c r="AW3514" s="436"/>
      <c r="AX3514" s="436"/>
      <c r="AY3514" s="436"/>
      <c r="AZ3514" s="475"/>
      <c r="BA3514" s="475"/>
      <c r="BF3514" s="1119"/>
      <c r="BG3514" s="1119"/>
      <c r="BH3514" s="1119"/>
    </row>
    <row r="3515" spans="1:60" ht="15.75" customHeight="1">
      <c r="A3515" s="1076"/>
      <c r="B3515" s="312"/>
      <c r="C3515" s="424"/>
      <c r="G3515" s="312"/>
      <c r="H3515" s="467"/>
      <c r="I3515" s="467"/>
      <c r="J3515" s="469"/>
      <c r="K3515" s="312"/>
      <c r="L3515" s="312"/>
      <c r="M3515" s="312"/>
      <c r="N3515" s="467"/>
      <c r="O3515" s="467"/>
      <c r="P3515" s="467"/>
      <c r="AL3515" s="436"/>
      <c r="AM3515" s="436"/>
      <c r="AQ3515" s="436"/>
      <c r="AR3515" s="436"/>
      <c r="AS3515" s="436"/>
      <c r="AT3515" s="436"/>
      <c r="AU3515" s="436"/>
      <c r="AV3515" s="436"/>
      <c r="AW3515" s="436"/>
      <c r="AX3515" s="436"/>
      <c r="AY3515" s="436"/>
      <c r="AZ3515" s="475"/>
      <c r="BA3515" s="475"/>
      <c r="BF3515" s="1119"/>
      <c r="BG3515" s="1119"/>
      <c r="BH3515" s="1119"/>
    </row>
    <row r="3516" spans="1:60" ht="15.75" customHeight="1">
      <c r="A3516" s="1076"/>
      <c r="B3516" s="312"/>
      <c r="C3516" s="424"/>
      <c r="G3516" s="312"/>
      <c r="H3516" s="467"/>
      <c r="I3516" s="467"/>
      <c r="J3516" s="469"/>
      <c r="K3516" s="312"/>
      <c r="L3516" s="312"/>
      <c r="M3516" s="312"/>
      <c r="N3516" s="467"/>
      <c r="O3516" s="467"/>
      <c r="P3516" s="467"/>
      <c r="AL3516" s="436"/>
      <c r="AM3516" s="436"/>
      <c r="AQ3516" s="436"/>
      <c r="AR3516" s="436"/>
      <c r="AS3516" s="436"/>
      <c r="AT3516" s="436"/>
      <c r="AU3516" s="436"/>
      <c r="AV3516" s="436"/>
      <c r="AW3516" s="436"/>
      <c r="AX3516" s="436"/>
      <c r="AY3516" s="436"/>
      <c r="AZ3516" s="475"/>
      <c r="BA3516" s="475"/>
      <c r="BF3516" s="1119"/>
      <c r="BG3516" s="1119"/>
      <c r="BH3516" s="1119"/>
    </row>
    <row r="3517" spans="1:60" ht="15.75" customHeight="1">
      <c r="A3517" s="1076"/>
      <c r="B3517" s="312"/>
      <c r="C3517" s="424"/>
      <c r="G3517" s="312"/>
      <c r="H3517" s="467"/>
      <c r="I3517" s="467"/>
      <c r="J3517" s="469"/>
      <c r="K3517" s="312"/>
      <c r="L3517" s="312"/>
      <c r="M3517" s="312"/>
      <c r="N3517" s="467"/>
      <c r="O3517" s="467"/>
      <c r="P3517" s="467"/>
      <c r="AL3517" s="436"/>
      <c r="AM3517" s="436"/>
      <c r="AQ3517" s="436"/>
      <c r="AR3517" s="436"/>
      <c r="AS3517" s="436"/>
      <c r="AT3517" s="436"/>
      <c r="AU3517" s="436"/>
      <c r="AV3517" s="436"/>
      <c r="AW3517" s="436"/>
      <c r="AX3517" s="436"/>
      <c r="AY3517" s="436"/>
      <c r="AZ3517" s="475"/>
      <c r="BA3517" s="475"/>
      <c r="BF3517" s="1119"/>
      <c r="BG3517" s="1119"/>
      <c r="BH3517" s="1119"/>
    </row>
    <row r="3518" spans="1:60" ht="15.75" customHeight="1">
      <c r="A3518" s="1076"/>
      <c r="B3518" s="312"/>
      <c r="C3518" s="424"/>
      <c r="G3518" s="312"/>
      <c r="H3518" s="467"/>
      <c r="I3518" s="467"/>
      <c r="J3518" s="469"/>
      <c r="K3518" s="312"/>
      <c r="L3518" s="312"/>
      <c r="M3518" s="312"/>
      <c r="N3518" s="467"/>
      <c r="O3518" s="467"/>
      <c r="P3518" s="467"/>
      <c r="AL3518" s="436"/>
      <c r="AM3518" s="436"/>
      <c r="AQ3518" s="436"/>
      <c r="AR3518" s="436"/>
      <c r="AS3518" s="436"/>
      <c r="AT3518" s="436"/>
      <c r="AU3518" s="436"/>
      <c r="AV3518" s="436"/>
      <c r="AW3518" s="436"/>
      <c r="AX3518" s="436"/>
      <c r="AY3518" s="436"/>
      <c r="AZ3518" s="475"/>
      <c r="BA3518" s="475"/>
      <c r="BF3518" s="1119"/>
      <c r="BG3518" s="1119"/>
      <c r="BH3518" s="1119"/>
    </row>
    <row r="3519" spans="1:60" ht="15.75" customHeight="1">
      <c r="A3519" s="1076"/>
      <c r="B3519" s="312"/>
      <c r="C3519" s="424"/>
      <c r="G3519" s="312"/>
      <c r="H3519" s="467"/>
      <c r="I3519" s="467"/>
      <c r="J3519" s="469"/>
      <c r="K3519" s="312"/>
      <c r="L3519" s="312"/>
      <c r="M3519" s="312"/>
      <c r="N3519" s="467"/>
      <c r="O3519" s="467"/>
      <c r="P3519" s="467"/>
      <c r="AL3519" s="436"/>
      <c r="AM3519" s="436"/>
      <c r="AQ3519" s="436"/>
      <c r="AR3519" s="436"/>
      <c r="AS3519" s="436"/>
      <c r="AT3519" s="436"/>
      <c r="AU3519" s="436"/>
      <c r="AV3519" s="436"/>
      <c r="AW3519" s="436"/>
      <c r="AX3519" s="436"/>
      <c r="AY3519" s="436"/>
      <c r="AZ3519" s="475"/>
      <c r="BA3519" s="475"/>
      <c r="BF3519" s="1119"/>
      <c r="BG3519" s="1119"/>
      <c r="BH3519" s="1119"/>
    </row>
    <row r="3520" spans="1:60" ht="15.75" customHeight="1">
      <c r="A3520" s="1076"/>
      <c r="B3520" s="312"/>
      <c r="C3520" s="424"/>
      <c r="G3520" s="312"/>
      <c r="H3520" s="467"/>
      <c r="I3520" s="467"/>
      <c r="J3520" s="469"/>
      <c r="K3520" s="312"/>
      <c r="L3520" s="312"/>
      <c r="M3520" s="312"/>
      <c r="N3520" s="467"/>
      <c r="O3520" s="467"/>
      <c r="P3520" s="467"/>
      <c r="AL3520" s="436"/>
      <c r="AM3520" s="436"/>
      <c r="AQ3520" s="436"/>
      <c r="AR3520" s="436"/>
      <c r="AS3520" s="436"/>
      <c r="AT3520" s="436"/>
      <c r="AU3520" s="436"/>
      <c r="AV3520" s="436"/>
      <c r="AW3520" s="436"/>
      <c r="AX3520" s="436"/>
      <c r="AY3520" s="436"/>
      <c r="AZ3520" s="475"/>
      <c r="BA3520" s="475"/>
      <c r="BF3520" s="1119"/>
      <c r="BG3520" s="1119"/>
      <c r="BH3520" s="1119"/>
    </row>
    <row r="3521" spans="1:60" ht="15.75" customHeight="1">
      <c r="A3521" s="1076"/>
      <c r="B3521" s="312"/>
      <c r="C3521" s="424"/>
      <c r="G3521" s="312"/>
      <c r="H3521" s="467"/>
      <c r="I3521" s="467"/>
      <c r="J3521" s="469"/>
      <c r="K3521" s="312"/>
      <c r="L3521" s="312"/>
      <c r="M3521" s="312"/>
      <c r="N3521" s="467"/>
      <c r="O3521" s="467"/>
      <c r="P3521" s="467"/>
      <c r="AL3521" s="436"/>
      <c r="AM3521" s="436"/>
      <c r="AQ3521" s="436"/>
      <c r="AR3521" s="436"/>
      <c r="AS3521" s="436"/>
      <c r="AT3521" s="436"/>
      <c r="AU3521" s="436"/>
      <c r="AV3521" s="436"/>
      <c r="AW3521" s="436"/>
      <c r="AX3521" s="436"/>
      <c r="AY3521" s="436"/>
      <c r="AZ3521" s="475"/>
      <c r="BA3521" s="475"/>
      <c r="BF3521" s="1119"/>
      <c r="BG3521" s="1119"/>
      <c r="BH3521" s="1119"/>
    </row>
    <row r="3522" spans="1:60" ht="15.75" customHeight="1">
      <c r="A3522" s="1076"/>
      <c r="B3522" s="312"/>
      <c r="C3522" s="424"/>
      <c r="G3522" s="312"/>
      <c r="H3522" s="467"/>
      <c r="I3522" s="467"/>
      <c r="J3522" s="469"/>
      <c r="K3522" s="312"/>
      <c r="L3522" s="312"/>
      <c r="M3522" s="312"/>
      <c r="N3522" s="467"/>
      <c r="O3522" s="467"/>
      <c r="P3522" s="467"/>
      <c r="AL3522" s="436"/>
      <c r="AM3522" s="436"/>
      <c r="AQ3522" s="436"/>
      <c r="AR3522" s="436"/>
      <c r="AS3522" s="436"/>
      <c r="AT3522" s="436"/>
      <c r="AU3522" s="436"/>
      <c r="AV3522" s="436"/>
      <c r="AW3522" s="436"/>
      <c r="AX3522" s="436"/>
      <c r="AY3522" s="436"/>
      <c r="AZ3522" s="475"/>
      <c r="BA3522" s="475"/>
      <c r="BF3522" s="1119"/>
      <c r="BG3522" s="1119"/>
      <c r="BH3522" s="1119"/>
    </row>
    <row r="3523" spans="1:60" ht="15.75" customHeight="1">
      <c r="A3523" s="1076"/>
      <c r="B3523" s="312"/>
      <c r="C3523" s="424"/>
      <c r="G3523" s="312"/>
      <c r="H3523" s="467"/>
      <c r="I3523" s="467"/>
      <c r="J3523" s="469"/>
      <c r="K3523" s="312"/>
      <c r="L3523" s="312"/>
      <c r="M3523" s="312"/>
      <c r="N3523" s="467"/>
      <c r="O3523" s="467"/>
      <c r="P3523" s="467"/>
      <c r="AL3523" s="436"/>
      <c r="AM3523" s="436"/>
      <c r="AQ3523" s="436"/>
      <c r="AR3523" s="436"/>
      <c r="AS3523" s="436"/>
      <c r="AT3523" s="436"/>
      <c r="AU3523" s="436"/>
      <c r="AV3523" s="436"/>
      <c r="AW3523" s="436"/>
      <c r="AX3523" s="436"/>
      <c r="AY3523" s="436"/>
      <c r="AZ3523" s="475"/>
      <c r="BA3523" s="475"/>
      <c r="BF3523" s="1119"/>
      <c r="BG3523" s="1119"/>
      <c r="BH3523" s="1119"/>
    </row>
    <row r="3524" spans="1:60" ht="15.75" customHeight="1">
      <c r="A3524" s="1076"/>
      <c r="B3524" s="312"/>
      <c r="C3524" s="424"/>
      <c r="G3524" s="312"/>
      <c r="H3524" s="467"/>
      <c r="I3524" s="467"/>
      <c r="J3524" s="469"/>
      <c r="K3524" s="312"/>
      <c r="L3524" s="312"/>
      <c r="M3524" s="312"/>
      <c r="N3524" s="467"/>
      <c r="O3524" s="467"/>
      <c r="P3524" s="467"/>
      <c r="AL3524" s="436"/>
      <c r="AM3524" s="436"/>
      <c r="AQ3524" s="436"/>
      <c r="AR3524" s="436"/>
      <c r="AS3524" s="436"/>
      <c r="AT3524" s="436"/>
      <c r="AU3524" s="436"/>
      <c r="AV3524" s="436"/>
      <c r="AW3524" s="436"/>
      <c r="AX3524" s="436"/>
      <c r="AY3524" s="436"/>
      <c r="AZ3524" s="475"/>
      <c r="BA3524" s="475"/>
      <c r="BF3524" s="1119"/>
      <c r="BG3524" s="1119"/>
      <c r="BH3524" s="1119"/>
    </row>
    <row r="3525" spans="1:60" ht="15.75" customHeight="1">
      <c r="A3525" s="1076"/>
      <c r="B3525" s="312"/>
      <c r="C3525" s="424"/>
      <c r="G3525" s="312"/>
      <c r="H3525" s="467"/>
      <c r="I3525" s="467"/>
      <c r="J3525" s="469"/>
      <c r="K3525" s="312"/>
      <c r="L3525" s="312"/>
      <c r="M3525" s="312"/>
      <c r="N3525" s="467"/>
      <c r="O3525" s="467"/>
      <c r="P3525" s="467"/>
      <c r="AL3525" s="436"/>
      <c r="AM3525" s="436"/>
      <c r="AQ3525" s="436"/>
      <c r="AR3525" s="436"/>
      <c r="AS3525" s="436"/>
      <c r="AT3525" s="436"/>
      <c r="AU3525" s="436"/>
      <c r="AV3525" s="436"/>
      <c r="AW3525" s="436"/>
      <c r="AX3525" s="436"/>
      <c r="AY3525" s="436"/>
      <c r="AZ3525" s="475"/>
      <c r="BA3525" s="475"/>
      <c r="BF3525" s="1119"/>
      <c r="BG3525" s="1119"/>
      <c r="BH3525" s="1119"/>
    </row>
    <row r="3526" spans="1:60" ht="15.75" customHeight="1">
      <c r="A3526" s="1076"/>
      <c r="B3526" s="312"/>
      <c r="C3526" s="424"/>
      <c r="G3526" s="312"/>
      <c r="H3526" s="467"/>
      <c r="I3526" s="467"/>
      <c r="J3526" s="469"/>
      <c r="K3526" s="312"/>
      <c r="L3526" s="312"/>
      <c r="M3526" s="312"/>
      <c r="N3526" s="467"/>
      <c r="O3526" s="467"/>
      <c r="P3526" s="467"/>
      <c r="AL3526" s="436"/>
      <c r="AM3526" s="436"/>
      <c r="AQ3526" s="436"/>
      <c r="AR3526" s="436"/>
      <c r="AS3526" s="436"/>
      <c r="AT3526" s="436"/>
      <c r="AU3526" s="436"/>
      <c r="AV3526" s="436"/>
      <c r="AW3526" s="436"/>
      <c r="AX3526" s="436"/>
      <c r="AY3526" s="436"/>
      <c r="AZ3526" s="475"/>
      <c r="BA3526" s="475"/>
      <c r="BF3526" s="1119"/>
      <c r="BG3526" s="1119"/>
      <c r="BH3526" s="1119"/>
    </row>
    <row r="3527" spans="1:60" ht="15.75" customHeight="1">
      <c r="A3527" s="1076"/>
      <c r="B3527" s="312"/>
      <c r="C3527" s="424"/>
      <c r="G3527" s="312"/>
      <c r="H3527" s="467"/>
      <c r="I3527" s="467"/>
      <c r="J3527" s="469"/>
      <c r="K3527" s="312"/>
      <c r="L3527" s="312"/>
      <c r="M3527" s="312"/>
      <c r="N3527" s="467"/>
      <c r="O3527" s="467"/>
      <c r="P3527" s="467"/>
      <c r="AL3527" s="436"/>
      <c r="AM3527" s="436"/>
      <c r="AQ3527" s="436"/>
      <c r="AR3527" s="436"/>
      <c r="AS3527" s="436"/>
      <c r="AT3527" s="436"/>
      <c r="AU3527" s="436"/>
      <c r="AV3527" s="436"/>
      <c r="AW3527" s="436"/>
      <c r="AX3527" s="436"/>
      <c r="AY3527" s="436"/>
      <c r="AZ3527" s="475"/>
      <c r="BA3527" s="475"/>
      <c r="BF3527" s="1119"/>
      <c r="BG3527" s="1119"/>
      <c r="BH3527" s="1119"/>
    </row>
    <row r="3528" spans="1:60" ht="15.75" customHeight="1">
      <c r="A3528" s="1076"/>
      <c r="B3528" s="312"/>
      <c r="C3528" s="424"/>
      <c r="G3528" s="312"/>
      <c r="H3528" s="467"/>
      <c r="I3528" s="467"/>
      <c r="J3528" s="469"/>
      <c r="K3528" s="312"/>
      <c r="L3528" s="312"/>
      <c r="M3528" s="312"/>
      <c r="N3528" s="467"/>
      <c r="O3528" s="467"/>
      <c r="P3528" s="467"/>
      <c r="AL3528" s="436"/>
      <c r="AM3528" s="436"/>
      <c r="AQ3528" s="436"/>
      <c r="AR3528" s="436"/>
      <c r="AS3528" s="436"/>
      <c r="AT3528" s="436"/>
      <c r="AU3528" s="436"/>
      <c r="AV3528" s="436"/>
      <c r="AW3528" s="436"/>
      <c r="AX3528" s="436"/>
      <c r="AY3528" s="436"/>
      <c r="AZ3528" s="475"/>
      <c r="BA3528" s="475"/>
      <c r="BF3528" s="1119"/>
      <c r="BG3528" s="1119"/>
      <c r="BH3528" s="1119"/>
    </row>
    <row r="3529" spans="1:60" ht="15.75" customHeight="1">
      <c r="A3529" s="1076"/>
      <c r="B3529" s="312"/>
      <c r="C3529" s="424"/>
      <c r="G3529" s="312"/>
      <c r="H3529" s="467"/>
      <c r="I3529" s="467"/>
      <c r="J3529" s="469"/>
      <c r="K3529" s="312"/>
      <c r="L3529" s="312"/>
      <c r="M3529" s="312"/>
      <c r="N3529" s="467"/>
      <c r="O3529" s="467"/>
      <c r="P3529" s="467"/>
      <c r="AL3529" s="436"/>
      <c r="AM3529" s="436"/>
      <c r="AQ3529" s="436"/>
      <c r="AR3529" s="436"/>
      <c r="AS3529" s="436"/>
      <c r="AT3529" s="436"/>
      <c r="AU3529" s="436"/>
      <c r="AV3529" s="436"/>
      <c r="AW3529" s="436"/>
      <c r="AX3529" s="436"/>
      <c r="AY3529" s="436"/>
      <c r="AZ3529" s="475"/>
      <c r="BA3529" s="475"/>
      <c r="BF3529" s="1119"/>
      <c r="BG3529" s="1119"/>
      <c r="BH3529" s="1119"/>
    </row>
    <row r="3530" spans="1:60" ht="15.75" customHeight="1">
      <c r="A3530" s="1076"/>
      <c r="B3530" s="312"/>
      <c r="C3530" s="424"/>
      <c r="G3530" s="312"/>
      <c r="H3530" s="467"/>
      <c r="I3530" s="467"/>
      <c r="J3530" s="469"/>
      <c r="K3530" s="312"/>
      <c r="L3530" s="312"/>
      <c r="M3530" s="312"/>
      <c r="N3530" s="467"/>
      <c r="O3530" s="467"/>
      <c r="P3530" s="467"/>
      <c r="AL3530" s="436"/>
      <c r="AM3530" s="436"/>
      <c r="AQ3530" s="436"/>
      <c r="AR3530" s="436"/>
      <c r="AS3530" s="436"/>
      <c r="AT3530" s="436"/>
      <c r="AU3530" s="436"/>
      <c r="AV3530" s="436"/>
      <c r="AW3530" s="436"/>
      <c r="AX3530" s="436"/>
      <c r="AY3530" s="436"/>
      <c r="AZ3530" s="475"/>
      <c r="BA3530" s="475"/>
      <c r="BF3530" s="1119"/>
      <c r="BG3530" s="1119"/>
      <c r="BH3530" s="1119"/>
    </row>
    <row r="3531" spans="1:60" ht="15.75" customHeight="1">
      <c r="A3531" s="1076"/>
      <c r="B3531" s="312"/>
      <c r="C3531" s="424"/>
      <c r="G3531" s="312"/>
      <c r="H3531" s="467"/>
      <c r="I3531" s="467"/>
      <c r="J3531" s="469"/>
      <c r="K3531" s="312"/>
      <c r="L3531" s="312"/>
      <c r="M3531" s="312"/>
      <c r="N3531" s="467"/>
      <c r="O3531" s="467"/>
      <c r="P3531" s="467"/>
      <c r="AL3531" s="436"/>
      <c r="AM3531" s="436"/>
      <c r="AQ3531" s="436"/>
      <c r="AR3531" s="436"/>
      <c r="AS3531" s="436"/>
      <c r="AT3531" s="436"/>
      <c r="AU3531" s="436"/>
      <c r="AV3531" s="436"/>
      <c r="AW3531" s="436"/>
      <c r="AX3531" s="436"/>
      <c r="AY3531" s="436"/>
      <c r="AZ3531" s="475"/>
      <c r="BA3531" s="475"/>
      <c r="BF3531" s="1119"/>
      <c r="BG3531" s="1119"/>
      <c r="BH3531" s="1119"/>
    </row>
    <row r="3532" spans="1:60" ht="15.75" customHeight="1">
      <c r="A3532" s="1076"/>
      <c r="B3532" s="312"/>
      <c r="C3532" s="424"/>
      <c r="G3532" s="312"/>
      <c r="H3532" s="467"/>
      <c r="I3532" s="467"/>
      <c r="J3532" s="469"/>
      <c r="K3532" s="312"/>
      <c r="L3532" s="312"/>
      <c r="M3532" s="312"/>
      <c r="N3532" s="467"/>
      <c r="O3532" s="467"/>
      <c r="P3532" s="467"/>
      <c r="AL3532" s="436"/>
      <c r="AM3532" s="436"/>
      <c r="AQ3532" s="436"/>
      <c r="AR3532" s="436"/>
      <c r="AS3532" s="436"/>
      <c r="AT3532" s="436"/>
      <c r="AU3532" s="436"/>
      <c r="AV3532" s="436"/>
      <c r="AW3532" s="436"/>
      <c r="AX3532" s="436"/>
      <c r="AY3532" s="436"/>
      <c r="AZ3532" s="475"/>
      <c r="BA3532" s="475"/>
      <c r="BF3532" s="1119"/>
      <c r="BG3532" s="1119"/>
      <c r="BH3532" s="1119"/>
    </row>
    <row r="3533" spans="1:60" ht="15.75" customHeight="1">
      <c r="A3533" s="1076"/>
      <c r="B3533" s="312"/>
      <c r="C3533" s="424"/>
      <c r="G3533" s="312"/>
      <c r="H3533" s="467"/>
      <c r="I3533" s="467"/>
      <c r="J3533" s="469"/>
      <c r="K3533" s="312"/>
      <c r="L3533" s="312"/>
      <c r="M3533" s="312"/>
      <c r="N3533" s="467"/>
      <c r="O3533" s="467"/>
      <c r="P3533" s="467"/>
      <c r="AL3533" s="436"/>
      <c r="AM3533" s="436"/>
      <c r="AQ3533" s="436"/>
      <c r="AR3533" s="436"/>
      <c r="AS3533" s="436"/>
      <c r="AT3533" s="436"/>
      <c r="AU3533" s="436"/>
      <c r="AV3533" s="436"/>
      <c r="AW3533" s="436"/>
      <c r="AX3533" s="436"/>
      <c r="AY3533" s="436"/>
      <c r="AZ3533" s="475"/>
      <c r="BA3533" s="475"/>
      <c r="BF3533" s="1119"/>
      <c r="BG3533" s="1119"/>
      <c r="BH3533" s="1119"/>
    </row>
    <row r="3534" spans="1:60" ht="15.75" customHeight="1">
      <c r="A3534" s="1076"/>
      <c r="B3534" s="312"/>
      <c r="C3534" s="424"/>
      <c r="G3534" s="312"/>
      <c r="H3534" s="467"/>
      <c r="I3534" s="467"/>
      <c r="J3534" s="469"/>
      <c r="K3534" s="312"/>
      <c r="L3534" s="312"/>
      <c r="M3534" s="312"/>
      <c r="N3534" s="467"/>
      <c r="O3534" s="467"/>
      <c r="P3534" s="467"/>
      <c r="AL3534" s="436"/>
      <c r="AM3534" s="436"/>
      <c r="AQ3534" s="436"/>
      <c r="AR3534" s="436"/>
      <c r="AS3534" s="436"/>
      <c r="AT3534" s="436"/>
      <c r="AU3534" s="436"/>
      <c r="AV3534" s="436"/>
      <c r="AW3534" s="436"/>
      <c r="AX3534" s="436"/>
      <c r="AY3534" s="436"/>
      <c r="AZ3534" s="475"/>
      <c r="BA3534" s="475"/>
      <c r="BF3534" s="1119"/>
      <c r="BG3534" s="1119"/>
      <c r="BH3534" s="1119"/>
    </row>
    <row r="3535" spans="1:60" ht="15.75" customHeight="1">
      <c r="A3535" s="1076"/>
      <c r="B3535" s="312"/>
      <c r="C3535" s="424"/>
      <c r="G3535" s="312"/>
      <c r="H3535" s="467"/>
      <c r="I3535" s="467"/>
      <c r="J3535" s="469"/>
      <c r="K3535" s="312"/>
      <c r="L3535" s="312"/>
      <c r="M3535" s="312"/>
      <c r="N3535" s="467"/>
      <c r="O3535" s="467"/>
      <c r="P3535" s="467"/>
      <c r="AL3535" s="436"/>
      <c r="AM3535" s="436"/>
      <c r="AQ3535" s="436"/>
      <c r="AR3535" s="436"/>
      <c r="AS3535" s="436"/>
      <c r="AT3535" s="436"/>
      <c r="AU3535" s="436"/>
      <c r="AV3535" s="436"/>
      <c r="AW3535" s="436"/>
      <c r="AX3535" s="436"/>
      <c r="AY3535" s="436"/>
      <c r="AZ3535" s="475"/>
      <c r="BA3535" s="475"/>
      <c r="BF3535" s="1119"/>
      <c r="BG3535" s="1119"/>
      <c r="BH3535" s="1119"/>
    </row>
    <row r="3536" spans="1:60" ht="15.75" customHeight="1">
      <c r="A3536" s="1076"/>
      <c r="B3536" s="312"/>
      <c r="C3536" s="424"/>
      <c r="G3536" s="312"/>
      <c r="H3536" s="467"/>
      <c r="I3536" s="467"/>
      <c r="J3536" s="469"/>
      <c r="K3536" s="312"/>
      <c r="L3536" s="312"/>
      <c r="M3536" s="312"/>
      <c r="N3536" s="467"/>
      <c r="O3536" s="467"/>
      <c r="P3536" s="467"/>
      <c r="AL3536" s="436"/>
      <c r="AM3536" s="436"/>
      <c r="AQ3536" s="436"/>
      <c r="AR3536" s="436"/>
      <c r="AS3536" s="436"/>
      <c r="AT3536" s="436"/>
      <c r="AU3536" s="436"/>
      <c r="AV3536" s="436"/>
      <c r="AW3536" s="436"/>
      <c r="AX3536" s="436"/>
      <c r="AY3536" s="436"/>
      <c r="AZ3536" s="475"/>
      <c r="BA3536" s="475"/>
      <c r="BF3536" s="1119"/>
      <c r="BG3536" s="1119"/>
      <c r="BH3536" s="1119"/>
    </row>
    <row r="3537" spans="1:60" ht="15.75" customHeight="1">
      <c r="A3537" s="1076"/>
      <c r="B3537" s="312"/>
      <c r="C3537" s="424"/>
      <c r="G3537" s="312"/>
      <c r="H3537" s="467"/>
      <c r="I3537" s="467"/>
      <c r="J3537" s="469"/>
      <c r="K3537" s="312"/>
      <c r="L3537" s="312"/>
      <c r="M3537" s="312"/>
      <c r="N3537" s="467"/>
      <c r="O3537" s="467"/>
      <c r="P3537" s="467"/>
      <c r="AL3537" s="436"/>
      <c r="AM3537" s="436"/>
      <c r="AQ3537" s="436"/>
      <c r="AR3537" s="436"/>
      <c r="AS3537" s="436"/>
      <c r="AT3537" s="436"/>
      <c r="AU3537" s="436"/>
      <c r="AV3537" s="436"/>
      <c r="AW3537" s="436"/>
      <c r="AX3537" s="436"/>
      <c r="AY3537" s="436"/>
      <c r="AZ3537" s="475"/>
      <c r="BA3537" s="475"/>
      <c r="BF3537" s="1119"/>
      <c r="BG3537" s="1119"/>
      <c r="BH3537" s="1119"/>
    </row>
    <row r="3538" spans="1:60" ht="15.75" customHeight="1">
      <c r="A3538" s="1076"/>
      <c r="B3538" s="312"/>
      <c r="C3538" s="424"/>
      <c r="G3538" s="312"/>
      <c r="H3538" s="467"/>
      <c r="I3538" s="467"/>
      <c r="J3538" s="469"/>
      <c r="K3538" s="312"/>
      <c r="L3538" s="312"/>
      <c r="M3538" s="312"/>
      <c r="N3538" s="467"/>
      <c r="O3538" s="467"/>
      <c r="P3538" s="467"/>
      <c r="AL3538" s="436"/>
      <c r="AM3538" s="436"/>
      <c r="AQ3538" s="436"/>
      <c r="AR3538" s="436"/>
      <c r="AS3538" s="436"/>
      <c r="AT3538" s="436"/>
      <c r="AU3538" s="436"/>
      <c r="AV3538" s="436"/>
      <c r="AW3538" s="436"/>
      <c r="AX3538" s="436"/>
      <c r="AY3538" s="436"/>
      <c r="AZ3538" s="475"/>
      <c r="BA3538" s="475"/>
      <c r="BF3538" s="1119"/>
      <c r="BG3538" s="1119"/>
      <c r="BH3538" s="1119"/>
    </row>
    <row r="3539" spans="1:60" ht="15.75" customHeight="1">
      <c r="A3539" s="1076"/>
      <c r="B3539" s="312"/>
      <c r="C3539" s="424"/>
      <c r="G3539" s="312"/>
      <c r="H3539" s="467"/>
      <c r="I3539" s="467"/>
      <c r="J3539" s="469"/>
      <c r="K3539" s="312"/>
      <c r="L3539" s="312"/>
      <c r="M3539" s="312"/>
      <c r="N3539" s="467"/>
      <c r="O3539" s="467"/>
      <c r="P3539" s="467"/>
      <c r="AL3539" s="436"/>
      <c r="AM3539" s="436"/>
      <c r="AQ3539" s="436"/>
      <c r="AR3539" s="436"/>
      <c r="AS3539" s="436"/>
      <c r="AT3539" s="436"/>
      <c r="AU3539" s="436"/>
      <c r="AV3539" s="436"/>
      <c r="AW3539" s="436"/>
      <c r="AX3539" s="436"/>
      <c r="AY3539" s="436"/>
      <c r="AZ3539" s="475"/>
      <c r="BA3539" s="475"/>
      <c r="BF3539" s="1119"/>
      <c r="BG3539" s="1119"/>
      <c r="BH3539" s="1119"/>
    </row>
    <row r="3540" spans="1:60" ht="15.75" customHeight="1">
      <c r="A3540" s="1076"/>
      <c r="B3540" s="312"/>
      <c r="C3540" s="424"/>
      <c r="G3540" s="312"/>
      <c r="H3540" s="467"/>
      <c r="I3540" s="467"/>
      <c r="J3540" s="469"/>
      <c r="K3540" s="312"/>
      <c r="L3540" s="312"/>
      <c r="M3540" s="312"/>
      <c r="N3540" s="467"/>
      <c r="O3540" s="467"/>
      <c r="P3540" s="467"/>
      <c r="AL3540" s="436"/>
      <c r="AM3540" s="436"/>
      <c r="AQ3540" s="436"/>
      <c r="AR3540" s="436"/>
      <c r="AS3540" s="436"/>
      <c r="AT3540" s="436"/>
      <c r="AU3540" s="436"/>
      <c r="AV3540" s="436"/>
      <c r="AW3540" s="436"/>
      <c r="AX3540" s="436"/>
      <c r="AY3540" s="436"/>
      <c r="AZ3540" s="475"/>
      <c r="BA3540" s="475"/>
      <c r="BF3540" s="1119"/>
      <c r="BG3540" s="1119"/>
      <c r="BH3540" s="1119"/>
    </row>
    <row r="3541" spans="1:60" ht="15.75" customHeight="1">
      <c r="A3541" s="1076"/>
      <c r="B3541" s="312"/>
      <c r="C3541" s="424"/>
      <c r="G3541" s="312"/>
      <c r="H3541" s="467"/>
      <c r="I3541" s="467"/>
      <c r="J3541" s="469"/>
      <c r="K3541" s="312"/>
      <c r="L3541" s="312"/>
      <c r="M3541" s="312"/>
      <c r="N3541" s="467"/>
      <c r="O3541" s="467"/>
      <c r="P3541" s="467"/>
      <c r="AL3541" s="436"/>
      <c r="AM3541" s="436"/>
      <c r="AQ3541" s="436"/>
      <c r="AR3541" s="436"/>
      <c r="AS3541" s="436"/>
      <c r="AT3541" s="436"/>
      <c r="AU3541" s="436"/>
      <c r="AV3541" s="436"/>
      <c r="AW3541" s="436"/>
      <c r="AX3541" s="436"/>
      <c r="AY3541" s="436"/>
      <c r="AZ3541" s="475"/>
      <c r="BA3541" s="475"/>
      <c r="BF3541" s="1119"/>
      <c r="BG3541" s="1119"/>
      <c r="BH3541" s="1119"/>
    </row>
    <row r="3542" spans="1:60" ht="15.75" customHeight="1">
      <c r="A3542" s="1076"/>
      <c r="B3542" s="312"/>
      <c r="C3542" s="424"/>
      <c r="G3542" s="312"/>
      <c r="H3542" s="467"/>
      <c r="I3542" s="467"/>
      <c r="J3542" s="469"/>
      <c r="K3542" s="312"/>
      <c r="L3542" s="312"/>
      <c r="M3542" s="312"/>
      <c r="N3542" s="467"/>
      <c r="O3542" s="467"/>
      <c r="P3542" s="467"/>
      <c r="AL3542" s="436"/>
      <c r="AM3542" s="436"/>
      <c r="AQ3542" s="436"/>
      <c r="AR3542" s="436"/>
      <c r="AS3542" s="436"/>
      <c r="AT3542" s="436"/>
      <c r="AU3542" s="436"/>
      <c r="AV3542" s="436"/>
      <c r="AW3542" s="436"/>
      <c r="AX3542" s="436"/>
      <c r="AY3542" s="436"/>
      <c r="AZ3542" s="475"/>
      <c r="BA3542" s="475"/>
      <c r="BF3542" s="1119"/>
      <c r="BG3542" s="1119"/>
      <c r="BH3542" s="1119"/>
    </row>
    <row r="3543" spans="1:60" ht="15.75" customHeight="1">
      <c r="A3543" s="1076"/>
      <c r="B3543" s="312"/>
      <c r="C3543" s="424"/>
      <c r="G3543" s="312"/>
      <c r="H3543" s="467"/>
      <c r="I3543" s="467"/>
      <c r="J3543" s="469"/>
      <c r="K3543" s="312"/>
      <c r="L3543" s="312"/>
      <c r="M3543" s="312"/>
      <c r="N3543" s="467"/>
      <c r="O3543" s="467"/>
      <c r="P3543" s="467"/>
      <c r="AL3543" s="436"/>
      <c r="AM3543" s="436"/>
      <c r="AQ3543" s="436"/>
      <c r="AR3543" s="436"/>
      <c r="AS3543" s="436"/>
      <c r="AT3543" s="436"/>
      <c r="AU3543" s="436"/>
      <c r="AV3543" s="436"/>
      <c r="AW3543" s="436"/>
      <c r="AX3543" s="436"/>
      <c r="AY3543" s="436"/>
      <c r="AZ3543" s="475"/>
      <c r="BA3543" s="475"/>
      <c r="BF3543" s="1119"/>
      <c r="BG3543" s="1119"/>
      <c r="BH3543" s="1119"/>
    </row>
    <row r="3544" spans="1:60" ht="15.75" customHeight="1">
      <c r="A3544" s="1076"/>
      <c r="B3544" s="312"/>
      <c r="C3544" s="424"/>
      <c r="G3544" s="312"/>
      <c r="H3544" s="467"/>
      <c r="I3544" s="467"/>
      <c r="J3544" s="469"/>
      <c r="K3544" s="312"/>
      <c r="L3544" s="312"/>
      <c r="M3544" s="312"/>
      <c r="N3544" s="467"/>
      <c r="O3544" s="467"/>
      <c r="P3544" s="467"/>
      <c r="AL3544" s="436"/>
      <c r="AM3544" s="436"/>
      <c r="AQ3544" s="436"/>
      <c r="AR3544" s="436"/>
      <c r="AS3544" s="436"/>
      <c r="AT3544" s="436"/>
      <c r="AU3544" s="436"/>
      <c r="AV3544" s="436"/>
      <c r="AW3544" s="436"/>
      <c r="AX3544" s="436"/>
      <c r="AY3544" s="436"/>
      <c r="AZ3544" s="475"/>
      <c r="BA3544" s="475"/>
      <c r="BF3544" s="1119"/>
      <c r="BG3544" s="1119"/>
      <c r="BH3544" s="1119"/>
    </row>
    <row r="3545" spans="1:60" ht="15.75" customHeight="1">
      <c r="A3545" s="1076"/>
      <c r="B3545" s="312"/>
      <c r="C3545" s="424"/>
      <c r="G3545" s="312"/>
      <c r="H3545" s="467"/>
      <c r="I3545" s="467"/>
      <c r="J3545" s="469"/>
      <c r="K3545" s="312"/>
      <c r="L3545" s="312"/>
      <c r="M3545" s="312"/>
      <c r="N3545" s="467"/>
      <c r="O3545" s="467"/>
      <c r="P3545" s="467"/>
      <c r="AL3545" s="436"/>
      <c r="AM3545" s="436"/>
      <c r="AQ3545" s="436"/>
      <c r="AR3545" s="436"/>
      <c r="AS3545" s="436"/>
      <c r="AT3545" s="436"/>
      <c r="AU3545" s="436"/>
      <c r="AV3545" s="436"/>
      <c r="AW3545" s="436"/>
      <c r="AX3545" s="436"/>
      <c r="AY3545" s="436"/>
      <c r="AZ3545" s="475"/>
      <c r="BA3545" s="475"/>
      <c r="BF3545" s="1119"/>
      <c r="BG3545" s="1119"/>
      <c r="BH3545" s="1119"/>
    </row>
    <row r="3546" spans="1:60" ht="15.75" customHeight="1">
      <c r="A3546" s="1076"/>
      <c r="B3546" s="312"/>
      <c r="C3546" s="424"/>
      <c r="G3546" s="312"/>
      <c r="H3546" s="467"/>
      <c r="I3546" s="467"/>
      <c r="J3546" s="469"/>
      <c r="K3546" s="312"/>
      <c r="L3546" s="312"/>
      <c r="M3546" s="312"/>
      <c r="N3546" s="467"/>
      <c r="O3546" s="467"/>
      <c r="P3546" s="467"/>
      <c r="AL3546" s="436"/>
      <c r="AM3546" s="436"/>
      <c r="AQ3546" s="436"/>
      <c r="AR3546" s="436"/>
      <c r="AS3546" s="436"/>
      <c r="AT3546" s="436"/>
      <c r="AU3546" s="436"/>
      <c r="AV3546" s="436"/>
      <c r="AW3546" s="436"/>
      <c r="AX3546" s="436"/>
      <c r="AY3546" s="436"/>
      <c r="AZ3546" s="475"/>
      <c r="BA3546" s="475"/>
      <c r="BF3546" s="1119"/>
      <c r="BG3546" s="1119"/>
      <c r="BH3546" s="1119"/>
    </row>
    <row r="3547" spans="1:60" ht="15.75" customHeight="1">
      <c r="A3547" s="1076"/>
      <c r="B3547" s="312"/>
      <c r="C3547" s="424"/>
      <c r="G3547" s="312"/>
      <c r="H3547" s="467"/>
      <c r="I3547" s="467"/>
      <c r="J3547" s="469"/>
      <c r="K3547" s="312"/>
      <c r="L3547" s="312"/>
      <c r="M3547" s="312"/>
      <c r="N3547" s="467"/>
      <c r="O3547" s="467"/>
      <c r="P3547" s="467"/>
      <c r="AL3547" s="436"/>
      <c r="AM3547" s="436"/>
      <c r="AQ3547" s="436"/>
      <c r="AR3547" s="436"/>
      <c r="AS3547" s="436"/>
      <c r="AT3547" s="436"/>
      <c r="AU3547" s="436"/>
      <c r="AV3547" s="436"/>
      <c r="AW3547" s="436"/>
      <c r="AX3547" s="436"/>
      <c r="AY3547" s="436"/>
      <c r="AZ3547" s="475"/>
      <c r="BA3547" s="475"/>
      <c r="BF3547" s="1119"/>
      <c r="BG3547" s="1119"/>
      <c r="BH3547" s="1119"/>
    </row>
    <row r="3548" spans="1:60" ht="15.75" customHeight="1">
      <c r="A3548" s="1076"/>
      <c r="B3548" s="312"/>
      <c r="C3548" s="424"/>
      <c r="G3548" s="312"/>
      <c r="H3548" s="467"/>
      <c r="I3548" s="467"/>
      <c r="J3548" s="469"/>
      <c r="K3548" s="312"/>
      <c r="L3548" s="312"/>
      <c r="M3548" s="312"/>
      <c r="N3548" s="467"/>
      <c r="O3548" s="467"/>
      <c r="P3548" s="467"/>
      <c r="AL3548" s="436"/>
      <c r="AM3548" s="436"/>
      <c r="AQ3548" s="436"/>
      <c r="AR3548" s="436"/>
      <c r="AS3548" s="436"/>
      <c r="AT3548" s="436"/>
      <c r="AU3548" s="436"/>
      <c r="AV3548" s="436"/>
      <c r="AW3548" s="436"/>
      <c r="AX3548" s="436"/>
      <c r="AY3548" s="436"/>
      <c r="AZ3548" s="475"/>
      <c r="BA3548" s="475"/>
      <c r="BF3548" s="1119"/>
      <c r="BG3548" s="1119"/>
      <c r="BH3548" s="1119"/>
    </row>
    <row r="3549" spans="1:60" ht="15.75" customHeight="1">
      <c r="A3549" s="1076"/>
      <c r="B3549" s="312"/>
      <c r="C3549" s="424"/>
      <c r="G3549" s="312"/>
      <c r="H3549" s="467"/>
      <c r="I3549" s="467"/>
      <c r="J3549" s="469"/>
      <c r="K3549" s="312"/>
      <c r="L3549" s="312"/>
      <c r="M3549" s="312"/>
      <c r="N3549" s="467"/>
      <c r="O3549" s="467"/>
      <c r="P3549" s="467"/>
      <c r="AL3549" s="436"/>
      <c r="AM3549" s="436"/>
      <c r="AQ3549" s="436"/>
      <c r="AR3549" s="436"/>
      <c r="AS3549" s="436"/>
      <c r="AT3549" s="436"/>
      <c r="AU3549" s="436"/>
      <c r="AV3549" s="436"/>
      <c r="AW3549" s="436"/>
      <c r="AX3549" s="436"/>
      <c r="AY3549" s="436"/>
      <c r="AZ3549" s="475"/>
      <c r="BA3549" s="475"/>
      <c r="BF3549" s="1119"/>
      <c r="BG3549" s="1119"/>
      <c r="BH3549" s="1119"/>
    </row>
    <row r="3550" spans="1:60" ht="15.75" customHeight="1">
      <c r="A3550" s="1076"/>
      <c r="B3550" s="312"/>
      <c r="C3550" s="424"/>
      <c r="G3550" s="312"/>
      <c r="H3550" s="467"/>
      <c r="I3550" s="467"/>
      <c r="J3550" s="469"/>
      <c r="K3550" s="312"/>
      <c r="L3550" s="312"/>
      <c r="M3550" s="312"/>
      <c r="N3550" s="467"/>
      <c r="O3550" s="467"/>
      <c r="P3550" s="467"/>
      <c r="AL3550" s="436"/>
      <c r="AM3550" s="436"/>
      <c r="AQ3550" s="436"/>
      <c r="AR3550" s="436"/>
      <c r="AS3550" s="436"/>
      <c r="AT3550" s="436"/>
      <c r="AU3550" s="436"/>
      <c r="AV3550" s="436"/>
      <c r="AW3550" s="436"/>
      <c r="AX3550" s="436"/>
      <c r="AY3550" s="436"/>
      <c r="AZ3550" s="475"/>
      <c r="BA3550" s="475"/>
      <c r="BF3550" s="1119"/>
      <c r="BG3550" s="1119"/>
      <c r="BH3550" s="1119"/>
    </row>
    <row r="3551" spans="1:60" ht="15.75" customHeight="1">
      <c r="A3551" s="1076"/>
      <c r="B3551" s="312"/>
      <c r="C3551" s="424"/>
      <c r="G3551" s="312"/>
      <c r="H3551" s="467"/>
      <c r="I3551" s="467"/>
      <c r="J3551" s="469"/>
      <c r="K3551" s="312"/>
      <c r="L3551" s="312"/>
      <c r="M3551" s="312"/>
      <c r="N3551" s="467"/>
      <c r="O3551" s="467"/>
      <c r="P3551" s="467"/>
      <c r="AL3551" s="436"/>
      <c r="AM3551" s="436"/>
      <c r="AQ3551" s="436"/>
      <c r="AR3551" s="436"/>
      <c r="AS3551" s="436"/>
      <c r="AT3551" s="436"/>
      <c r="AU3551" s="436"/>
      <c r="AV3551" s="436"/>
      <c r="AW3551" s="436"/>
      <c r="AX3551" s="436"/>
      <c r="AY3551" s="436"/>
      <c r="AZ3551" s="475"/>
      <c r="BA3551" s="475"/>
      <c r="BF3551" s="1119"/>
      <c r="BG3551" s="1119"/>
      <c r="BH3551" s="1119"/>
    </row>
    <row r="3552" spans="1:60" ht="15.75" customHeight="1">
      <c r="A3552" s="1076"/>
      <c r="B3552" s="312"/>
      <c r="C3552" s="424"/>
      <c r="G3552" s="312"/>
      <c r="H3552" s="467"/>
      <c r="I3552" s="467"/>
      <c r="J3552" s="469"/>
      <c r="K3552" s="312"/>
      <c r="L3552" s="312"/>
      <c r="M3552" s="312"/>
      <c r="N3552" s="467"/>
      <c r="O3552" s="467"/>
      <c r="P3552" s="467"/>
      <c r="AL3552" s="436"/>
      <c r="AM3552" s="436"/>
      <c r="AQ3552" s="436"/>
      <c r="AR3552" s="436"/>
      <c r="AS3552" s="436"/>
      <c r="AT3552" s="436"/>
      <c r="AU3552" s="436"/>
      <c r="AV3552" s="436"/>
      <c r="AW3552" s="436"/>
      <c r="AX3552" s="436"/>
      <c r="AY3552" s="436"/>
      <c r="AZ3552" s="475"/>
      <c r="BA3552" s="475"/>
      <c r="BF3552" s="1119"/>
      <c r="BG3552" s="1119"/>
      <c r="BH3552" s="1119"/>
    </row>
    <row r="3553" spans="1:60" ht="15.75" customHeight="1">
      <c r="A3553" s="1076"/>
      <c r="B3553" s="312"/>
      <c r="C3553" s="424"/>
      <c r="G3553" s="312"/>
      <c r="H3553" s="467"/>
      <c r="I3553" s="467"/>
      <c r="J3553" s="469"/>
      <c r="K3553" s="312"/>
      <c r="L3553" s="312"/>
      <c r="M3553" s="312"/>
      <c r="N3553" s="467"/>
      <c r="O3553" s="467"/>
      <c r="P3553" s="467"/>
      <c r="AL3553" s="436"/>
      <c r="AM3553" s="436"/>
      <c r="AQ3553" s="436"/>
      <c r="AR3553" s="436"/>
      <c r="AS3553" s="436"/>
      <c r="AT3553" s="436"/>
      <c r="AU3553" s="436"/>
      <c r="AV3553" s="436"/>
      <c r="AW3553" s="436"/>
      <c r="AX3553" s="436"/>
      <c r="AY3553" s="436"/>
      <c r="AZ3553" s="475"/>
      <c r="BA3553" s="475"/>
      <c r="BF3553" s="1119"/>
      <c r="BG3553" s="1119"/>
      <c r="BH3553" s="1119"/>
    </row>
    <row r="3554" spans="1:60" ht="15.75" customHeight="1">
      <c r="A3554" s="1076"/>
      <c r="B3554" s="312"/>
      <c r="C3554" s="424"/>
      <c r="G3554" s="312"/>
      <c r="H3554" s="467"/>
      <c r="I3554" s="467"/>
      <c r="J3554" s="469"/>
      <c r="K3554" s="312"/>
      <c r="L3554" s="312"/>
      <c r="M3554" s="312"/>
      <c r="N3554" s="467"/>
      <c r="O3554" s="467"/>
      <c r="P3554" s="467"/>
      <c r="AL3554" s="436"/>
      <c r="AM3554" s="436"/>
      <c r="AQ3554" s="436"/>
      <c r="AR3554" s="436"/>
      <c r="AS3554" s="436"/>
      <c r="AT3554" s="436"/>
      <c r="AU3554" s="436"/>
      <c r="AV3554" s="436"/>
      <c r="AW3554" s="436"/>
      <c r="AX3554" s="436"/>
      <c r="AY3554" s="436"/>
      <c r="AZ3554" s="475"/>
      <c r="BA3554" s="475"/>
      <c r="BF3554" s="1119"/>
      <c r="BG3554" s="1119"/>
      <c r="BH3554" s="1119"/>
    </row>
    <row r="3555" spans="1:60" ht="15.75" customHeight="1">
      <c r="A3555" s="1076"/>
      <c r="B3555" s="312"/>
      <c r="C3555" s="424"/>
      <c r="G3555" s="312"/>
      <c r="H3555" s="467"/>
      <c r="I3555" s="467"/>
      <c r="J3555" s="469"/>
      <c r="K3555" s="312"/>
      <c r="L3555" s="312"/>
      <c r="M3555" s="312"/>
      <c r="N3555" s="467"/>
      <c r="O3555" s="467"/>
      <c r="P3555" s="467"/>
      <c r="AL3555" s="436"/>
      <c r="AM3555" s="436"/>
      <c r="AQ3555" s="436"/>
      <c r="AR3555" s="436"/>
      <c r="AS3555" s="436"/>
      <c r="AT3555" s="436"/>
      <c r="AU3555" s="436"/>
      <c r="AV3555" s="436"/>
      <c r="AW3555" s="436"/>
      <c r="AX3555" s="436"/>
      <c r="AY3555" s="436"/>
      <c r="AZ3555" s="475"/>
      <c r="BA3555" s="475"/>
      <c r="BF3555" s="1119"/>
      <c r="BG3555" s="1119"/>
      <c r="BH3555" s="1119"/>
    </row>
    <row r="3556" spans="1:60" ht="15.75" customHeight="1">
      <c r="A3556" s="1076"/>
      <c r="B3556" s="312"/>
      <c r="C3556" s="424"/>
      <c r="G3556" s="312"/>
      <c r="H3556" s="467"/>
      <c r="I3556" s="467"/>
      <c r="J3556" s="469"/>
      <c r="K3556" s="312"/>
      <c r="L3556" s="312"/>
      <c r="M3556" s="312"/>
      <c r="N3556" s="467"/>
      <c r="O3556" s="467"/>
      <c r="P3556" s="467"/>
      <c r="AL3556" s="436"/>
      <c r="AM3556" s="436"/>
      <c r="AQ3556" s="436"/>
      <c r="AR3556" s="436"/>
      <c r="AS3556" s="436"/>
      <c r="AT3556" s="436"/>
      <c r="AU3556" s="436"/>
      <c r="AV3556" s="436"/>
      <c r="AW3556" s="436"/>
      <c r="AX3556" s="436"/>
      <c r="AY3556" s="436"/>
      <c r="AZ3556" s="475"/>
      <c r="BA3556" s="475"/>
      <c r="BF3556" s="1119"/>
      <c r="BG3556" s="1119"/>
      <c r="BH3556" s="1119"/>
    </row>
    <row r="3557" spans="1:60" ht="15.75" customHeight="1">
      <c r="A3557" s="1076"/>
      <c r="B3557" s="312"/>
      <c r="C3557" s="424"/>
      <c r="G3557" s="312"/>
      <c r="H3557" s="467"/>
      <c r="I3557" s="467"/>
      <c r="J3557" s="469"/>
      <c r="K3557" s="312"/>
      <c r="L3557" s="312"/>
      <c r="M3557" s="312"/>
      <c r="N3557" s="467"/>
      <c r="O3557" s="467"/>
      <c r="P3557" s="467"/>
      <c r="AL3557" s="436"/>
      <c r="AM3557" s="436"/>
      <c r="AQ3557" s="436"/>
      <c r="AR3557" s="436"/>
      <c r="AS3557" s="436"/>
      <c r="AT3557" s="436"/>
      <c r="AU3557" s="436"/>
      <c r="AV3557" s="436"/>
      <c r="AW3557" s="436"/>
      <c r="AX3557" s="436"/>
      <c r="AY3557" s="436"/>
      <c r="AZ3557" s="475"/>
      <c r="BA3557" s="475"/>
      <c r="BF3557" s="1119"/>
      <c r="BG3557" s="1119"/>
      <c r="BH3557" s="1119"/>
    </row>
    <row r="3558" spans="1:60" ht="15.75" customHeight="1">
      <c r="A3558" s="1076"/>
      <c r="B3558" s="312"/>
      <c r="C3558" s="424"/>
      <c r="G3558" s="312"/>
      <c r="H3558" s="467"/>
      <c r="I3558" s="467"/>
      <c r="J3558" s="469"/>
      <c r="K3558" s="312"/>
      <c r="L3558" s="312"/>
      <c r="M3558" s="312"/>
      <c r="N3558" s="467"/>
      <c r="O3558" s="467"/>
      <c r="P3558" s="467"/>
      <c r="AL3558" s="436"/>
      <c r="AM3558" s="436"/>
      <c r="AQ3558" s="436"/>
      <c r="AR3558" s="436"/>
      <c r="AS3558" s="436"/>
      <c r="AT3558" s="436"/>
      <c r="AU3558" s="436"/>
      <c r="AV3558" s="436"/>
      <c r="AW3558" s="436"/>
      <c r="AX3558" s="436"/>
      <c r="AY3558" s="436"/>
      <c r="AZ3558" s="475"/>
      <c r="BA3558" s="475"/>
      <c r="BF3558" s="1119"/>
      <c r="BG3558" s="1119"/>
      <c r="BH3558" s="1119"/>
    </row>
    <row r="3559" spans="1:60" ht="15.75" customHeight="1">
      <c r="A3559" s="1076"/>
      <c r="B3559" s="312"/>
      <c r="C3559" s="424"/>
      <c r="G3559" s="312"/>
      <c r="H3559" s="467"/>
      <c r="I3559" s="467"/>
      <c r="J3559" s="469"/>
      <c r="K3559" s="312"/>
      <c r="L3559" s="312"/>
      <c r="M3559" s="312"/>
      <c r="N3559" s="467"/>
      <c r="O3559" s="467"/>
      <c r="P3559" s="467"/>
      <c r="AL3559" s="436"/>
      <c r="AM3559" s="436"/>
      <c r="AQ3559" s="436"/>
      <c r="AR3559" s="436"/>
      <c r="AS3559" s="436"/>
      <c r="AT3559" s="436"/>
      <c r="AU3559" s="436"/>
      <c r="AV3559" s="436"/>
      <c r="AW3559" s="436"/>
      <c r="AX3559" s="436"/>
      <c r="AY3559" s="436"/>
      <c r="AZ3559" s="475"/>
      <c r="BA3559" s="475"/>
      <c r="BF3559" s="1119"/>
      <c r="BG3559" s="1119"/>
      <c r="BH3559" s="1119"/>
    </row>
    <row r="3560" spans="1:60" ht="15.75" customHeight="1">
      <c r="A3560" s="1076"/>
      <c r="B3560" s="312"/>
      <c r="C3560" s="424"/>
      <c r="G3560" s="312"/>
      <c r="H3560" s="467"/>
      <c r="I3560" s="467"/>
      <c r="J3560" s="469"/>
      <c r="K3560" s="312"/>
      <c r="L3560" s="312"/>
      <c r="M3560" s="312"/>
      <c r="N3560" s="467"/>
      <c r="O3560" s="467"/>
      <c r="P3560" s="467"/>
      <c r="AL3560" s="436"/>
      <c r="AM3560" s="436"/>
      <c r="AQ3560" s="436"/>
      <c r="AR3560" s="436"/>
      <c r="AS3560" s="436"/>
      <c r="AT3560" s="436"/>
      <c r="AU3560" s="436"/>
      <c r="AV3560" s="436"/>
      <c r="AW3560" s="436"/>
      <c r="AX3560" s="436"/>
      <c r="AY3560" s="436"/>
      <c r="AZ3560" s="475"/>
      <c r="BA3560" s="475"/>
      <c r="BF3560" s="1119"/>
      <c r="BG3560" s="1119"/>
      <c r="BH3560" s="1119"/>
    </row>
    <row r="3561" spans="1:60" ht="15.75" customHeight="1">
      <c r="A3561" s="1076"/>
      <c r="B3561" s="312"/>
      <c r="C3561" s="424"/>
      <c r="G3561" s="312"/>
      <c r="H3561" s="467"/>
      <c r="I3561" s="467"/>
      <c r="J3561" s="469"/>
      <c r="K3561" s="312"/>
      <c r="L3561" s="312"/>
      <c r="M3561" s="312"/>
      <c r="N3561" s="467"/>
      <c r="O3561" s="467"/>
      <c r="P3561" s="467"/>
      <c r="AL3561" s="436"/>
      <c r="AM3561" s="436"/>
      <c r="AQ3561" s="436"/>
      <c r="AR3561" s="436"/>
      <c r="AS3561" s="436"/>
      <c r="AT3561" s="436"/>
      <c r="AU3561" s="436"/>
      <c r="AV3561" s="436"/>
      <c r="AW3561" s="436"/>
      <c r="AX3561" s="436"/>
      <c r="AY3561" s="436"/>
      <c r="AZ3561" s="475"/>
      <c r="BA3561" s="475"/>
      <c r="BF3561" s="1119"/>
      <c r="BG3561" s="1119"/>
      <c r="BH3561" s="1119"/>
    </row>
    <row r="3562" spans="1:60" ht="15.75" customHeight="1">
      <c r="A3562" s="1076"/>
      <c r="B3562" s="312"/>
      <c r="C3562" s="424"/>
      <c r="G3562" s="312"/>
      <c r="H3562" s="467"/>
      <c r="I3562" s="467"/>
      <c r="J3562" s="469"/>
      <c r="K3562" s="312"/>
      <c r="L3562" s="312"/>
      <c r="M3562" s="312"/>
      <c r="N3562" s="467"/>
      <c r="O3562" s="467"/>
      <c r="P3562" s="467"/>
      <c r="AL3562" s="436"/>
      <c r="AM3562" s="436"/>
      <c r="AQ3562" s="436"/>
      <c r="AR3562" s="436"/>
      <c r="AS3562" s="436"/>
      <c r="AT3562" s="436"/>
      <c r="AU3562" s="436"/>
      <c r="AV3562" s="436"/>
      <c r="AW3562" s="436"/>
      <c r="AX3562" s="436"/>
      <c r="AY3562" s="436"/>
      <c r="AZ3562" s="475"/>
      <c r="BA3562" s="475"/>
      <c r="BF3562" s="1119"/>
      <c r="BG3562" s="1119"/>
      <c r="BH3562" s="1119"/>
    </row>
    <row r="3563" spans="1:60" ht="15.75" customHeight="1">
      <c r="A3563" s="1076"/>
      <c r="B3563" s="312"/>
      <c r="C3563" s="424"/>
      <c r="G3563" s="312"/>
      <c r="H3563" s="467"/>
      <c r="I3563" s="467"/>
      <c r="J3563" s="469"/>
      <c r="K3563" s="312"/>
      <c r="L3563" s="312"/>
      <c r="M3563" s="312"/>
      <c r="N3563" s="467"/>
      <c r="O3563" s="467"/>
      <c r="P3563" s="467"/>
      <c r="AL3563" s="436"/>
      <c r="AM3563" s="436"/>
      <c r="AQ3563" s="436"/>
      <c r="AR3563" s="436"/>
      <c r="AS3563" s="436"/>
      <c r="AT3563" s="436"/>
      <c r="AU3563" s="436"/>
      <c r="AV3563" s="436"/>
      <c r="AW3563" s="436"/>
      <c r="AX3563" s="436"/>
      <c r="AY3563" s="436"/>
      <c r="AZ3563" s="475"/>
      <c r="BA3563" s="475"/>
      <c r="BF3563" s="1119"/>
      <c r="BG3563" s="1119"/>
      <c r="BH3563" s="1119"/>
    </row>
    <row r="3564" spans="1:60" ht="15.75" customHeight="1">
      <c r="A3564" s="1076"/>
      <c r="B3564" s="312"/>
      <c r="C3564" s="424"/>
      <c r="G3564" s="312"/>
      <c r="H3564" s="467"/>
      <c r="I3564" s="467"/>
      <c r="J3564" s="469"/>
      <c r="K3564" s="312"/>
      <c r="L3564" s="312"/>
      <c r="M3564" s="312"/>
      <c r="N3564" s="467"/>
      <c r="O3564" s="467"/>
      <c r="P3564" s="467"/>
      <c r="AL3564" s="436"/>
      <c r="AM3564" s="436"/>
      <c r="AQ3564" s="436"/>
      <c r="AR3564" s="436"/>
      <c r="AS3564" s="436"/>
      <c r="AT3564" s="436"/>
      <c r="AU3564" s="436"/>
      <c r="AV3564" s="436"/>
      <c r="AW3564" s="436"/>
      <c r="AX3564" s="436"/>
      <c r="AY3564" s="436"/>
      <c r="AZ3564" s="475"/>
      <c r="BA3564" s="475"/>
      <c r="BF3564" s="1119"/>
      <c r="BG3564" s="1119"/>
      <c r="BH3564" s="1119"/>
    </row>
    <row r="3565" spans="1:60" ht="15.75" customHeight="1">
      <c r="A3565" s="1076"/>
      <c r="B3565" s="312"/>
      <c r="C3565" s="424"/>
      <c r="G3565" s="312"/>
      <c r="H3565" s="467"/>
      <c r="I3565" s="467"/>
      <c r="J3565" s="469"/>
      <c r="K3565" s="312"/>
      <c r="L3565" s="312"/>
      <c r="M3565" s="312"/>
      <c r="N3565" s="467"/>
      <c r="O3565" s="467"/>
      <c r="P3565" s="467"/>
      <c r="AL3565" s="436"/>
      <c r="AM3565" s="436"/>
      <c r="AQ3565" s="436"/>
      <c r="AR3565" s="436"/>
      <c r="AS3565" s="436"/>
      <c r="AT3565" s="436"/>
      <c r="AU3565" s="436"/>
      <c r="AV3565" s="436"/>
      <c r="AW3565" s="436"/>
      <c r="AX3565" s="436"/>
      <c r="AY3565" s="436"/>
      <c r="AZ3565" s="475"/>
      <c r="BA3565" s="475"/>
      <c r="BF3565" s="1119"/>
      <c r="BG3565" s="1119"/>
      <c r="BH3565" s="1119"/>
    </row>
    <row r="3566" spans="1:60" ht="15.75" customHeight="1">
      <c r="A3566" s="1076"/>
      <c r="B3566" s="312"/>
      <c r="C3566" s="424"/>
      <c r="G3566" s="312"/>
      <c r="H3566" s="467"/>
      <c r="I3566" s="467"/>
      <c r="J3566" s="469"/>
      <c r="K3566" s="312"/>
      <c r="L3566" s="312"/>
      <c r="M3566" s="312"/>
      <c r="N3566" s="467"/>
      <c r="O3566" s="467"/>
      <c r="P3566" s="467"/>
      <c r="AL3566" s="436"/>
      <c r="AM3566" s="436"/>
      <c r="AQ3566" s="436"/>
      <c r="AR3566" s="436"/>
      <c r="AS3566" s="436"/>
      <c r="AT3566" s="436"/>
      <c r="AU3566" s="436"/>
      <c r="AV3566" s="436"/>
      <c r="AW3566" s="436"/>
      <c r="AX3566" s="436"/>
      <c r="AY3566" s="436"/>
      <c r="AZ3566" s="475"/>
      <c r="BA3566" s="475"/>
      <c r="BF3566" s="1119"/>
      <c r="BG3566" s="1119"/>
      <c r="BH3566" s="1119"/>
    </row>
    <row r="3567" spans="1:60" ht="15.75" customHeight="1">
      <c r="A3567" s="1076"/>
      <c r="B3567" s="312"/>
      <c r="C3567" s="424"/>
      <c r="G3567" s="312"/>
      <c r="H3567" s="467"/>
      <c r="I3567" s="467"/>
      <c r="J3567" s="469"/>
      <c r="K3567" s="312"/>
      <c r="L3567" s="312"/>
      <c r="M3567" s="312"/>
      <c r="N3567" s="467"/>
      <c r="O3567" s="467"/>
      <c r="P3567" s="467"/>
      <c r="AL3567" s="436"/>
      <c r="AM3567" s="436"/>
      <c r="AQ3567" s="436"/>
      <c r="AR3567" s="436"/>
      <c r="AS3567" s="436"/>
      <c r="AT3567" s="436"/>
      <c r="AU3567" s="436"/>
      <c r="AV3567" s="436"/>
      <c r="AW3567" s="436"/>
      <c r="AX3567" s="436"/>
      <c r="AY3567" s="436"/>
      <c r="AZ3567" s="475"/>
      <c r="BA3567" s="475"/>
      <c r="BF3567" s="1119"/>
      <c r="BG3567" s="1119"/>
      <c r="BH3567" s="1119"/>
    </row>
    <row r="3568" spans="1:60" ht="15.75" customHeight="1">
      <c r="A3568" s="1076"/>
      <c r="B3568" s="312"/>
      <c r="C3568" s="424"/>
      <c r="G3568" s="312"/>
      <c r="H3568" s="467"/>
      <c r="I3568" s="467"/>
      <c r="J3568" s="469"/>
      <c r="K3568" s="312"/>
      <c r="L3568" s="312"/>
      <c r="M3568" s="312"/>
      <c r="N3568" s="467"/>
      <c r="O3568" s="467"/>
      <c r="P3568" s="467"/>
      <c r="AL3568" s="436"/>
      <c r="AM3568" s="436"/>
      <c r="AQ3568" s="436"/>
      <c r="AR3568" s="436"/>
      <c r="AS3568" s="436"/>
      <c r="AT3568" s="436"/>
      <c r="AU3568" s="436"/>
      <c r="AV3568" s="436"/>
      <c r="AW3568" s="436"/>
      <c r="AX3568" s="436"/>
      <c r="AY3568" s="436"/>
      <c r="AZ3568" s="475"/>
      <c r="BA3568" s="475"/>
      <c r="BF3568" s="1119"/>
      <c r="BG3568" s="1119"/>
      <c r="BH3568" s="1119"/>
    </row>
    <row r="3569" spans="1:60" ht="15.75" customHeight="1">
      <c r="A3569" s="1076"/>
      <c r="B3569" s="312"/>
      <c r="C3569" s="424"/>
      <c r="G3569" s="312"/>
      <c r="H3569" s="467"/>
      <c r="I3569" s="467"/>
      <c r="J3569" s="469"/>
      <c r="K3569" s="312"/>
      <c r="L3569" s="312"/>
      <c r="M3569" s="312"/>
      <c r="N3569" s="467"/>
      <c r="O3569" s="467"/>
      <c r="P3569" s="467"/>
      <c r="AL3569" s="436"/>
      <c r="AM3569" s="436"/>
      <c r="AQ3569" s="436"/>
      <c r="AR3569" s="436"/>
      <c r="AS3569" s="436"/>
      <c r="AT3569" s="436"/>
      <c r="AU3569" s="436"/>
      <c r="AV3569" s="436"/>
      <c r="AW3569" s="436"/>
      <c r="AX3569" s="436"/>
      <c r="AY3569" s="436"/>
      <c r="AZ3569" s="475"/>
      <c r="BA3569" s="475"/>
      <c r="BF3569" s="1119"/>
      <c r="BG3569" s="1119"/>
      <c r="BH3569" s="1119"/>
    </row>
    <row r="3570" spans="1:60" ht="15.75" customHeight="1">
      <c r="A3570" s="1076"/>
      <c r="B3570" s="312"/>
      <c r="C3570" s="424"/>
      <c r="G3570" s="312"/>
      <c r="H3570" s="467"/>
      <c r="I3570" s="467"/>
      <c r="J3570" s="469"/>
      <c r="K3570" s="312"/>
      <c r="L3570" s="312"/>
      <c r="M3570" s="312"/>
      <c r="N3570" s="467"/>
      <c r="O3570" s="467"/>
      <c r="P3570" s="467"/>
      <c r="AL3570" s="436"/>
      <c r="AM3570" s="436"/>
      <c r="AQ3570" s="436"/>
      <c r="AR3570" s="436"/>
      <c r="AS3570" s="436"/>
      <c r="AT3570" s="436"/>
      <c r="AU3570" s="436"/>
      <c r="AV3570" s="436"/>
      <c r="AW3570" s="436"/>
      <c r="AX3570" s="436"/>
      <c r="AY3570" s="436"/>
      <c r="AZ3570" s="475"/>
      <c r="BA3570" s="475"/>
      <c r="BF3570" s="1119"/>
      <c r="BG3570" s="1119"/>
      <c r="BH3570" s="1119"/>
    </row>
    <row r="3571" spans="1:60" ht="15.75" customHeight="1">
      <c r="A3571" s="1076"/>
      <c r="B3571" s="312"/>
      <c r="C3571" s="424"/>
      <c r="G3571" s="312"/>
      <c r="H3571" s="467"/>
      <c r="I3571" s="467"/>
      <c r="J3571" s="469"/>
      <c r="K3571" s="312"/>
      <c r="L3571" s="312"/>
      <c r="M3571" s="312"/>
      <c r="N3571" s="467"/>
      <c r="O3571" s="467"/>
      <c r="P3571" s="467"/>
      <c r="AL3571" s="436"/>
      <c r="AM3571" s="436"/>
      <c r="AQ3571" s="436"/>
      <c r="AR3571" s="436"/>
      <c r="AS3571" s="436"/>
      <c r="AT3571" s="436"/>
      <c r="AU3571" s="436"/>
      <c r="AV3571" s="436"/>
      <c r="AW3571" s="436"/>
      <c r="AX3571" s="436"/>
      <c r="AY3571" s="436"/>
      <c r="AZ3571" s="475"/>
      <c r="BA3571" s="475"/>
      <c r="BF3571" s="1119"/>
      <c r="BG3571" s="1119"/>
      <c r="BH3571" s="1119"/>
    </row>
    <row r="3572" spans="1:60" ht="15.75" customHeight="1">
      <c r="A3572" s="1076"/>
      <c r="B3572" s="312"/>
      <c r="C3572" s="424"/>
      <c r="G3572" s="312"/>
      <c r="H3572" s="467"/>
      <c r="I3572" s="467"/>
      <c r="J3572" s="469"/>
      <c r="K3572" s="312"/>
      <c r="L3572" s="312"/>
      <c r="M3572" s="312"/>
      <c r="N3572" s="467"/>
      <c r="O3572" s="467"/>
      <c r="P3572" s="467"/>
      <c r="AL3572" s="436"/>
      <c r="AM3572" s="436"/>
      <c r="AQ3572" s="436"/>
      <c r="AR3572" s="436"/>
      <c r="AS3572" s="436"/>
      <c r="AT3572" s="436"/>
      <c r="AU3572" s="436"/>
      <c r="AV3572" s="436"/>
      <c r="AW3572" s="436"/>
      <c r="AX3572" s="436"/>
      <c r="AY3572" s="436"/>
      <c r="AZ3572" s="475"/>
      <c r="BA3572" s="475"/>
      <c r="BF3572" s="1119"/>
      <c r="BG3572" s="1119"/>
      <c r="BH3572" s="1119"/>
    </row>
    <row r="3573" spans="1:60" ht="15.75" customHeight="1">
      <c r="A3573" s="1076"/>
      <c r="B3573" s="312"/>
      <c r="C3573" s="424"/>
      <c r="G3573" s="312"/>
      <c r="H3573" s="467"/>
      <c r="I3573" s="467"/>
      <c r="J3573" s="469"/>
      <c r="K3573" s="312"/>
      <c r="L3573" s="312"/>
      <c r="M3573" s="312"/>
      <c r="N3573" s="467"/>
      <c r="O3573" s="467"/>
      <c r="P3573" s="467"/>
      <c r="AL3573" s="436"/>
      <c r="AM3573" s="436"/>
      <c r="AQ3573" s="436"/>
      <c r="AR3573" s="436"/>
      <c r="AS3573" s="436"/>
      <c r="AT3573" s="436"/>
      <c r="AU3573" s="436"/>
      <c r="AV3573" s="436"/>
      <c r="AW3573" s="436"/>
      <c r="AX3573" s="436"/>
      <c r="AY3573" s="436"/>
      <c r="AZ3573" s="475"/>
      <c r="BA3573" s="475"/>
      <c r="BF3573" s="1119"/>
      <c r="BG3573" s="1119"/>
      <c r="BH3573" s="1119"/>
    </row>
    <row r="3574" spans="1:60" ht="15.75" customHeight="1">
      <c r="A3574" s="1076"/>
      <c r="B3574" s="312"/>
      <c r="C3574" s="424"/>
      <c r="G3574" s="312"/>
      <c r="H3574" s="467"/>
      <c r="I3574" s="467"/>
      <c r="J3574" s="469"/>
      <c r="K3574" s="312"/>
      <c r="L3574" s="312"/>
      <c r="M3574" s="312"/>
      <c r="N3574" s="467"/>
      <c r="O3574" s="467"/>
      <c r="P3574" s="467"/>
      <c r="AL3574" s="436"/>
      <c r="AM3574" s="436"/>
      <c r="AQ3574" s="436"/>
      <c r="AR3574" s="436"/>
      <c r="AS3574" s="436"/>
      <c r="AT3574" s="436"/>
      <c r="AU3574" s="436"/>
      <c r="AV3574" s="436"/>
      <c r="AW3574" s="436"/>
      <c r="AX3574" s="436"/>
      <c r="AY3574" s="436"/>
      <c r="AZ3574" s="475"/>
      <c r="BA3574" s="475"/>
      <c r="BF3574" s="1119"/>
      <c r="BG3574" s="1119"/>
      <c r="BH3574" s="1119"/>
    </row>
    <row r="3575" spans="1:60" ht="15.75" customHeight="1">
      <c r="A3575" s="1076"/>
      <c r="B3575" s="312"/>
      <c r="C3575" s="424"/>
      <c r="G3575" s="312"/>
      <c r="H3575" s="467"/>
      <c r="I3575" s="467"/>
      <c r="J3575" s="469"/>
      <c r="K3575" s="312"/>
      <c r="L3575" s="312"/>
      <c r="M3575" s="312"/>
      <c r="N3575" s="467"/>
      <c r="O3575" s="467"/>
      <c r="P3575" s="467"/>
      <c r="AL3575" s="436"/>
      <c r="AM3575" s="436"/>
      <c r="AQ3575" s="436"/>
      <c r="AR3575" s="436"/>
      <c r="AS3575" s="436"/>
      <c r="AT3575" s="436"/>
      <c r="AU3575" s="436"/>
      <c r="AV3575" s="436"/>
      <c r="AW3575" s="436"/>
      <c r="AX3575" s="436"/>
      <c r="AY3575" s="436"/>
      <c r="AZ3575" s="475"/>
      <c r="BA3575" s="475"/>
      <c r="BF3575" s="1119"/>
      <c r="BG3575" s="1119"/>
      <c r="BH3575" s="1119"/>
    </row>
    <row r="3576" spans="1:60" ht="15.75" customHeight="1">
      <c r="A3576" s="1076"/>
      <c r="B3576" s="312"/>
      <c r="C3576" s="424"/>
      <c r="G3576" s="312"/>
      <c r="H3576" s="467"/>
      <c r="I3576" s="467"/>
      <c r="J3576" s="469"/>
      <c r="K3576" s="312"/>
      <c r="L3576" s="312"/>
      <c r="M3576" s="312"/>
      <c r="N3576" s="467"/>
      <c r="O3576" s="467"/>
      <c r="P3576" s="467"/>
      <c r="AL3576" s="436"/>
      <c r="AM3576" s="436"/>
      <c r="AQ3576" s="436"/>
      <c r="AR3576" s="436"/>
      <c r="AS3576" s="436"/>
      <c r="AT3576" s="436"/>
      <c r="AU3576" s="436"/>
      <c r="AV3576" s="436"/>
      <c r="AW3576" s="436"/>
      <c r="AX3576" s="436"/>
      <c r="AY3576" s="436"/>
      <c r="AZ3576" s="475"/>
      <c r="BA3576" s="475"/>
      <c r="BF3576" s="1119"/>
      <c r="BG3576" s="1119"/>
      <c r="BH3576" s="1119"/>
    </row>
    <row r="3577" spans="1:60" ht="15.75" customHeight="1">
      <c r="A3577" s="1076"/>
      <c r="B3577" s="312"/>
      <c r="C3577" s="424"/>
      <c r="G3577" s="312"/>
      <c r="H3577" s="467"/>
      <c r="I3577" s="467"/>
      <c r="J3577" s="469"/>
      <c r="K3577" s="312"/>
      <c r="L3577" s="312"/>
      <c r="M3577" s="312"/>
      <c r="N3577" s="467"/>
      <c r="O3577" s="467"/>
      <c r="P3577" s="467"/>
      <c r="AL3577" s="436"/>
      <c r="AM3577" s="436"/>
      <c r="AQ3577" s="436"/>
      <c r="AR3577" s="436"/>
      <c r="AS3577" s="436"/>
      <c r="AT3577" s="436"/>
      <c r="AU3577" s="436"/>
      <c r="AV3577" s="436"/>
      <c r="AW3577" s="436"/>
      <c r="AX3577" s="436"/>
      <c r="AY3577" s="436"/>
      <c r="AZ3577" s="475"/>
      <c r="BA3577" s="475"/>
      <c r="BF3577" s="1119"/>
      <c r="BG3577" s="1119"/>
      <c r="BH3577" s="1119"/>
    </row>
    <row r="3578" spans="1:60" ht="15.75" customHeight="1">
      <c r="A3578" s="1076"/>
      <c r="B3578" s="312"/>
      <c r="C3578" s="424"/>
      <c r="G3578" s="312"/>
      <c r="H3578" s="467"/>
      <c r="I3578" s="467"/>
      <c r="J3578" s="469"/>
      <c r="K3578" s="312"/>
      <c r="L3578" s="312"/>
      <c r="M3578" s="312"/>
      <c r="N3578" s="467"/>
      <c r="O3578" s="467"/>
      <c r="P3578" s="467"/>
      <c r="AL3578" s="436"/>
      <c r="AM3578" s="436"/>
      <c r="AQ3578" s="436"/>
      <c r="AR3578" s="436"/>
      <c r="AS3578" s="436"/>
      <c r="AT3578" s="436"/>
      <c r="AU3578" s="436"/>
      <c r="AV3578" s="436"/>
      <c r="AW3578" s="436"/>
      <c r="AX3578" s="436"/>
      <c r="AY3578" s="436"/>
      <c r="AZ3578" s="475"/>
      <c r="BA3578" s="475"/>
      <c r="BF3578" s="1119"/>
      <c r="BG3578" s="1119"/>
      <c r="BH3578" s="1119"/>
    </row>
    <row r="3579" spans="1:60" ht="15.75" customHeight="1">
      <c r="A3579" s="1076"/>
      <c r="B3579" s="312"/>
      <c r="C3579" s="424"/>
      <c r="G3579" s="312"/>
      <c r="H3579" s="467"/>
      <c r="I3579" s="467"/>
      <c r="J3579" s="469"/>
      <c r="K3579" s="312"/>
      <c r="L3579" s="312"/>
      <c r="M3579" s="312"/>
      <c r="N3579" s="467"/>
      <c r="O3579" s="467"/>
      <c r="P3579" s="467"/>
      <c r="AL3579" s="436"/>
      <c r="AM3579" s="436"/>
      <c r="AQ3579" s="436"/>
      <c r="AR3579" s="436"/>
      <c r="AS3579" s="436"/>
      <c r="AT3579" s="436"/>
      <c r="AU3579" s="436"/>
      <c r="AV3579" s="436"/>
      <c r="AW3579" s="436"/>
      <c r="AX3579" s="436"/>
      <c r="AY3579" s="436"/>
      <c r="AZ3579" s="475"/>
      <c r="BA3579" s="475"/>
      <c r="BF3579" s="1119"/>
      <c r="BG3579" s="1119"/>
      <c r="BH3579" s="1119"/>
    </row>
    <row r="3580" spans="1:60" ht="15.75" customHeight="1">
      <c r="A3580" s="1076"/>
      <c r="B3580" s="312"/>
      <c r="C3580" s="424"/>
      <c r="G3580" s="312"/>
      <c r="H3580" s="467"/>
      <c r="I3580" s="467"/>
      <c r="J3580" s="469"/>
      <c r="K3580" s="312"/>
      <c r="L3580" s="312"/>
      <c r="M3580" s="312"/>
      <c r="N3580" s="467"/>
      <c r="O3580" s="467"/>
      <c r="P3580" s="467"/>
      <c r="AL3580" s="436"/>
      <c r="AM3580" s="436"/>
      <c r="AQ3580" s="436"/>
      <c r="AR3580" s="436"/>
      <c r="AS3580" s="436"/>
      <c r="AT3580" s="436"/>
      <c r="AU3580" s="436"/>
      <c r="AV3580" s="436"/>
      <c r="AW3580" s="436"/>
      <c r="AX3580" s="436"/>
      <c r="AY3580" s="436"/>
      <c r="AZ3580" s="475"/>
      <c r="BA3580" s="475"/>
      <c r="BF3580" s="1119"/>
      <c r="BG3580" s="1119"/>
      <c r="BH3580" s="1119"/>
    </row>
    <row r="3581" spans="1:60" ht="15.75" customHeight="1">
      <c r="A3581" s="1076"/>
      <c r="B3581" s="312"/>
      <c r="C3581" s="424"/>
      <c r="G3581" s="312"/>
      <c r="H3581" s="467"/>
      <c r="I3581" s="467"/>
      <c r="J3581" s="469"/>
      <c r="K3581" s="312"/>
      <c r="L3581" s="312"/>
      <c r="M3581" s="312"/>
      <c r="N3581" s="467"/>
      <c r="O3581" s="467"/>
      <c r="P3581" s="467"/>
      <c r="AL3581" s="436"/>
      <c r="AM3581" s="436"/>
      <c r="AQ3581" s="436"/>
      <c r="AR3581" s="436"/>
      <c r="AS3581" s="436"/>
      <c r="AT3581" s="436"/>
      <c r="AU3581" s="436"/>
      <c r="AV3581" s="436"/>
      <c r="AW3581" s="436"/>
      <c r="AX3581" s="436"/>
      <c r="AY3581" s="436"/>
      <c r="AZ3581" s="475"/>
      <c r="BA3581" s="475"/>
      <c r="BF3581" s="1119"/>
      <c r="BG3581" s="1119"/>
      <c r="BH3581" s="1119"/>
    </row>
    <row r="3582" spans="1:60" ht="15.75" customHeight="1">
      <c r="A3582" s="1076"/>
      <c r="B3582" s="312"/>
      <c r="C3582" s="424"/>
      <c r="G3582" s="312"/>
      <c r="H3582" s="467"/>
      <c r="I3582" s="467"/>
      <c r="J3582" s="469"/>
      <c r="K3582" s="312"/>
      <c r="L3582" s="312"/>
      <c r="M3582" s="312"/>
      <c r="N3582" s="467"/>
      <c r="O3582" s="467"/>
      <c r="P3582" s="467"/>
      <c r="AL3582" s="436"/>
      <c r="AM3582" s="436"/>
      <c r="AQ3582" s="436"/>
      <c r="AR3582" s="436"/>
      <c r="AS3582" s="436"/>
      <c r="AT3582" s="436"/>
      <c r="AU3582" s="436"/>
      <c r="AV3582" s="436"/>
      <c r="AW3582" s="436"/>
      <c r="AX3582" s="436"/>
      <c r="AY3582" s="436"/>
      <c r="AZ3582" s="475"/>
      <c r="BA3582" s="475"/>
      <c r="BF3582" s="1119"/>
      <c r="BG3582" s="1119"/>
      <c r="BH3582" s="1119"/>
    </row>
    <row r="3583" spans="1:60" ht="15.75" customHeight="1">
      <c r="A3583" s="1076"/>
      <c r="B3583" s="312"/>
      <c r="C3583" s="424"/>
      <c r="G3583" s="312"/>
      <c r="H3583" s="467"/>
      <c r="I3583" s="467"/>
      <c r="J3583" s="469"/>
      <c r="K3583" s="312"/>
      <c r="L3583" s="312"/>
      <c r="M3583" s="312"/>
      <c r="N3583" s="467"/>
      <c r="O3583" s="467"/>
      <c r="P3583" s="467"/>
      <c r="AL3583" s="436"/>
      <c r="AM3583" s="436"/>
      <c r="AQ3583" s="436"/>
      <c r="AR3583" s="436"/>
      <c r="AS3583" s="436"/>
      <c r="AT3583" s="436"/>
      <c r="AU3583" s="436"/>
      <c r="AV3583" s="436"/>
      <c r="AW3583" s="436"/>
      <c r="AX3583" s="436"/>
      <c r="AY3583" s="436"/>
      <c r="AZ3583" s="475"/>
      <c r="BA3583" s="475"/>
      <c r="BF3583" s="1119"/>
      <c r="BG3583" s="1119"/>
      <c r="BH3583" s="1119"/>
    </row>
    <row r="3584" spans="1:60" ht="15.75" customHeight="1">
      <c r="A3584" s="1076"/>
      <c r="B3584" s="312"/>
      <c r="C3584" s="424"/>
      <c r="G3584" s="312"/>
      <c r="H3584" s="467"/>
      <c r="I3584" s="467"/>
      <c r="J3584" s="469"/>
      <c r="K3584" s="312"/>
      <c r="L3584" s="312"/>
      <c r="M3584" s="312"/>
      <c r="N3584" s="467"/>
      <c r="O3584" s="467"/>
      <c r="P3584" s="467"/>
      <c r="AL3584" s="436"/>
      <c r="AM3584" s="436"/>
      <c r="AQ3584" s="436"/>
      <c r="AR3584" s="436"/>
      <c r="AS3584" s="436"/>
      <c r="AT3584" s="436"/>
      <c r="AU3584" s="436"/>
      <c r="AV3584" s="436"/>
      <c r="AW3584" s="436"/>
      <c r="AX3584" s="436"/>
      <c r="AY3584" s="436"/>
      <c r="AZ3584" s="475"/>
      <c r="BA3584" s="475"/>
      <c r="BF3584" s="1119"/>
      <c r="BG3584" s="1119"/>
      <c r="BH3584" s="1119"/>
    </row>
    <row r="3585" spans="1:60" ht="15.75" customHeight="1">
      <c r="A3585" s="1076"/>
      <c r="B3585" s="312"/>
      <c r="C3585" s="424"/>
      <c r="G3585" s="312"/>
      <c r="H3585" s="467"/>
      <c r="I3585" s="467"/>
      <c r="J3585" s="469"/>
      <c r="K3585" s="312"/>
      <c r="L3585" s="312"/>
      <c r="M3585" s="312"/>
      <c r="N3585" s="467"/>
      <c r="O3585" s="467"/>
      <c r="P3585" s="467"/>
      <c r="AL3585" s="436"/>
      <c r="AM3585" s="436"/>
      <c r="AQ3585" s="436"/>
      <c r="AR3585" s="436"/>
      <c r="AS3585" s="436"/>
      <c r="AT3585" s="436"/>
      <c r="AU3585" s="436"/>
      <c r="AV3585" s="436"/>
      <c r="AW3585" s="436"/>
      <c r="AX3585" s="436"/>
      <c r="AY3585" s="436"/>
      <c r="AZ3585" s="475"/>
      <c r="BA3585" s="475"/>
      <c r="BF3585" s="1119"/>
      <c r="BG3585" s="1119"/>
      <c r="BH3585" s="1119"/>
    </row>
    <row r="3586" spans="1:60" ht="15.75" customHeight="1">
      <c r="A3586" s="1076"/>
      <c r="B3586" s="312"/>
      <c r="C3586" s="424"/>
      <c r="G3586" s="312"/>
      <c r="H3586" s="467"/>
      <c r="I3586" s="467"/>
      <c r="J3586" s="469"/>
      <c r="K3586" s="312"/>
      <c r="L3586" s="312"/>
      <c r="M3586" s="312"/>
      <c r="N3586" s="467"/>
      <c r="O3586" s="467"/>
      <c r="P3586" s="467"/>
      <c r="AL3586" s="436"/>
      <c r="AM3586" s="436"/>
      <c r="AQ3586" s="436"/>
      <c r="AR3586" s="436"/>
      <c r="AS3586" s="436"/>
      <c r="AT3586" s="436"/>
      <c r="AU3586" s="436"/>
      <c r="AV3586" s="436"/>
      <c r="AW3586" s="436"/>
      <c r="AX3586" s="436"/>
      <c r="AY3586" s="436"/>
      <c r="AZ3586" s="475"/>
      <c r="BA3586" s="475"/>
      <c r="BF3586" s="1119"/>
      <c r="BG3586" s="1119"/>
      <c r="BH3586" s="1119"/>
    </row>
    <row r="3587" spans="1:60" ht="15.75" customHeight="1">
      <c r="A3587" s="1076"/>
      <c r="B3587" s="312"/>
      <c r="C3587" s="424"/>
      <c r="G3587" s="312"/>
      <c r="H3587" s="467"/>
      <c r="I3587" s="467"/>
      <c r="J3587" s="469"/>
      <c r="K3587" s="312"/>
      <c r="L3587" s="312"/>
      <c r="M3587" s="312"/>
      <c r="N3587" s="467"/>
      <c r="O3587" s="467"/>
      <c r="P3587" s="467"/>
      <c r="AL3587" s="436"/>
      <c r="AM3587" s="436"/>
      <c r="AQ3587" s="436"/>
      <c r="AR3587" s="436"/>
      <c r="AS3587" s="436"/>
      <c r="AT3587" s="436"/>
      <c r="AU3587" s="436"/>
      <c r="AV3587" s="436"/>
      <c r="AW3587" s="436"/>
      <c r="AX3587" s="436"/>
      <c r="AY3587" s="436"/>
      <c r="AZ3587" s="475"/>
      <c r="BA3587" s="475"/>
      <c r="BF3587" s="1119"/>
      <c r="BG3587" s="1119"/>
      <c r="BH3587" s="1119"/>
    </row>
    <row r="3588" spans="1:60" ht="15.75" customHeight="1">
      <c r="A3588" s="1076"/>
      <c r="B3588" s="312"/>
      <c r="C3588" s="424"/>
      <c r="G3588" s="312"/>
      <c r="H3588" s="467"/>
      <c r="I3588" s="467"/>
      <c r="J3588" s="469"/>
      <c r="K3588" s="312"/>
      <c r="L3588" s="312"/>
      <c r="M3588" s="312"/>
      <c r="N3588" s="467"/>
      <c r="O3588" s="467"/>
      <c r="P3588" s="467"/>
      <c r="AL3588" s="436"/>
      <c r="AM3588" s="436"/>
      <c r="AQ3588" s="436"/>
      <c r="AR3588" s="436"/>
      <c r="AS3588" s="436"/>
      <c r="AT3588" s="436"/>
      <c r="AU3588" s="436"/>
      <c r="AV3588" s="436"/>
      <c r="AW3588" s="436"/>
      <c r="AX3588" s="436"/>
      <c r="AY3588" s="436"/>
      <c r="AZ3588" s="475"/>
      <c r="BA3588" s="475"/>
      <c r="BF3588" s="1119"/>
      <c r="BG3588" s="1119"/>
      <c r="BH3588" s="1119"/>
    </row>
    <row r="3589" spans="1:60" ht="15.75" customHeight="1">
      <c r="A3589" s="1076"/>
      <c r="B3589" s="312"/>
      <c r="C3589" s="424"/>
      <c r="G3589" s="312"/>
      <c r="H3589" s="467"/>
      <c r="I3589" s="467"/>
      <c r="J3589" s="469"/>
      <c r="K3589" s="312"/>
      <c r="L3589" s="312"/>
      <c r="M3589" s="312"/>
      <c r="N3589" s="467"/>
      <c r="O3589" s="467"/>
      <c r="P3589" s="467"/>
      <c r="AL3589" s="436"/>
      <c r="AM3589" s="436"/>
      <c r="AQ3589" s="436"/>
      <c r="AR3589" s="436"/>
      <c r="AS3589" s="436"/>
      <c r="AT3589" s="436"/>
      <c r="AU3589" s="436"/>
      <c r="AV3589" s="436"/>
      <c r="AW3589" s="436"/>
      <c r="AX3589" s="436"/>
      <c r="AY3589" s="436"/>
      <c r="AZ3589" s="475"/>
      <c r="BA3589" s="475"/>
      <c r="BF3589" s="1119"/>
      <c r="BG3589" s="1119"/>
      <c r="BH3589" s="1119"/>
    </row>
    <row r="3590" spans="1:60" ht="15.75" customHeight="1">
      <c r="A3590" s="1076"/>
      <c r="B3590" s="312"/>
      <c r="C3590" s="424"/>
      <c r="G3590" s="312"/>
      <c r="H3590" s="467"/>
      <c r="I3590" s="467"/>
      <c r="J3590" s="469"/>
      <c r="K3590" s="312"/>
      <c r="L3590" s="312"/>
      <c r="M3590" s="312"/>
      <c r="N3590" s="467"/>
      <c r="O3590" s="467"/>
      <c r="P3590" s="467"/>
      <c r="AL3590" s="436"/>
      <c r="AM3590" s="436"/>
      <c r="AQ3590" s="436"/>
      <c r="AR3590" s="436"/>
      <c r="AS3590" s="436"/>
      <c r="AT3590" s="436"/>
      <c r="AU3590" s="436"/>
      <c r="AV3590" s="436"/>
      <c r="AW3590" s="436"/>
      <c r="AX3590" s="436"/>
      <c r="AY3590" s="436"/>
      <c r="AZ3590" s="475"/>
      <c r="BA3590" s="475"/>
      <c r="BF3590" s="1119"/>
      <c r="BG3590" s="1119"/>
      <c r="BH3590" s="1119"/>
    </row>
    <row r="3591" spans="1:60" ht="15.75" customHeight="1">
      <c r="A3591" s="1076"/>
      <c r="B3591" s="312"/>
      <c r="C3591" s="424"/>
      <c r="G3591" s="312"/>
      <c r="H3591" s="467"/>
      <c r="I3591" s="467"/>
      <c r="J3591" s="469"/>
      <c r="K3591" s="312"/>
      <c r="L3591" s="312"/>
      <c r="M3591" s="312"/>
      <c r="N3591" s="467"/>
      <c r="O3591" s="467"/>
      <c r="P3591" s="467"/>
      <c r="AL3591" s="436"/>
      <c r="AM3591" s="436"/>
      <c r="AQ3591" s="436"/>
      <c r="AR3591" s="436"/>
      <c r="AS3591" s="436"/>
      <c r="AT3591" s="436"/>
      <c r="AU3591" s="436"/>
      <c r="AV3591" s="436"/>
      <c r="AW3591" s="436"/>
      <c r="AX3591" s="436"/>
      <c r="AY3591" s="436"/>
      <c r="AZ3591" s="475"/>
      <c r="BA3591" s="475"/>
      <c r="BF3591" s="1119"/>
      <c r="BG3591" s="1119"/>
      <c r="BH3591" s="1119"/>
    </row>
    <row r="3592" spans="1:60" ht="15.75" customHeight="1">
      <c r="A3592" s="1076"/>
      <c r="B3592" s="312"/>
      <c r="C3592" s="424"/>
      <c r="G3592" s="312"/>
      <c r="H3592" s="467"/>
      <c r="I3592" s="467"/>
      <c r="J3592" s="469"/>
      <c r="K3592" s="312"/>
      <c r="L3592" s="312"/>
      <c r="M3592" s="312"/>
      <c r="N3592" s="467"/>
      <c r="O3592" s="467"/>
      <c r="P3592" s="467"/>
      <c r="AL3592" s="436"/>
      <c r="AM3592" s="436"/>
      <c r="AQ3592" s="436"/>
      <c r="AR3592" s="436"/>
      <c r="AS3592" s="436"/>
      <c r="AT3592" s="436"/>
      <c r="AU3592" s="436"/>
      <c r="AV3592" s="436"/>
      <c r="AW3592" s="436"/>
      <c r="AX3592" s="436"/>
      <c r="AY3592" s="436"/>
      <c r="AZ3592" s="475"/>
      <c r="BA3592" s="475"/>
      <c r="BF3592" s="1119"/>
      <c r="BG3592" s="1119"/>
      <c r="BH3592" s="1119"/>
    </row>
    <row r="3593" spans="1:60" ht="15.75" customHeight="1">
      <c r="A3593" s="1076"/>
      <c r="B3593" s="312"/>
      <c r="C3593" s="424"/>
      <c r="G3593" s="312"/>
      <c r="H3593" s="467"/>
      <c r="I3593" s="467"/>
      <c r="J3593" s="469"/>
      <c r="K3593" s="312"/>
      <c r="L3593" s="312"/>
      <c r="M3593" s="312"/>
      <c r="N3593" s="467"/>
      <c r="O3593" s="467"/>
      <c r="P3593" s="467"/>
      <c r="AL3593" s="436"/>
      <c r="AM3593" s="436"/>
      <c r="AQ3593" s="436"/>
      <c r="AR3593" s="436"/>
      <c r="AS3593" s="436"/>
      <c r="AT3593" s="436"/>
      <c r="AU3593" s="436"/>
      <c r="AV3593" s="436"/>
      <c r="AW3593" s="436"/>
      <c r="AX3593" s="436"/>
      <c r="AY3593" s="436"/>
      <c r="AZ3593" s="475"/>
      <c r="BA3593" s="475"/>
      <c r="BF3593" s="1119"/>
      <c r="BG3593" s="1119"/>
      <c r="BH3593" s="1119"/>
    </row>
    <row r="3594" spans="1:60" ht="15.75" customHeight="1">
      <c r="A3594" s="1076"/>
      <c r="B3594" s="312"/>
      <c r="C3594" s="424"/>
      <c r="G3594" s="312"/>
      <c r="H3594" s="467"/>
      <c r="I3594" s="467"/>
      <c r="J3594" s="469"/>
      <c r="K3594" s="312"/>
      <c r="L3594" s="312"/>
      <c r="M3594" s="312"/>
      <c r="N3594" s="467"/>
      <c r="O3594" s="467"/>
      <c r="P3594" s="467"/>
      <c r="AL3594" s="436"/>
      <c r="AM3594" s="436"/>
      <c r="AQ3594" s="436"/>
      <c r="AR3594" s="436"/>
      <c r="AS3594" s="436"/>
      <c r="AT3594" s="436"/>
      <c r="AU3594" s="436"/>
      <c r="AV3594" s="436"/>
      <c r="AW3594" s="436"/>
      <c r="AX3594" s="436"/>
      <c r="AY3594" s="436"/>
      <c r="AZ3594" s="475"/>
      <c r="BA3594" s="475"/>
      <c r="BF3594" s="1119"/>
      <c r="BG3594" s="1119"/>
      <c r="BH3594" s="1119"/>
    </row>
    <row r="3595" spans="1:60" ht="15.75" customHeight="1">
      <c r="A3595" s="1076"/>
      <c r="B3595" s="312"/>
      <c r="C3595" s="424"/>
      <c r="G3595" s="312"/>
      <c r="H3595" s="467"/>
      <c r="I3595" s="467"/>
      <c r="J3595" s="469"/>
      <c r="K3595" s="312"/>
      <c r="L3595" s="312"/>
      <c r="M3595" s="312"/>
      <c r="N3595" s="467"/>
      <c r="O3595" s="467"/>
      <c r="P3595" s="467"/>
      <c r="AL3595" s="436"/>
      <c r="AM3595" s="436"/>
      <c r="AQ3595" s="436"/>
      <c r="AR3595" s="436"/>
      <c r="AS3595" s="436"/>
      <c r="AT3595" s="436"/>
      <c r="AU3595" s="436"/>
      <c r="AV3595" s="436"/>
      <c r="AW3595" s="436"/>
      <c r="AX3595" s="436"/>
      <c r="AY3595" s="436"/>
      <c r="AZ3595" s="475"/>
      <c r="BA3595" s="475"/>
      <c r="BF3595" s="1119"/>
      <c r="BG3595" s="1119"/>
      <c r="BH3595" s="1119"/>
    </row>
    <row r="3596" spans="1:60" ht="15.75" customHeight="1">
      <c r="A3596" s="1076"/>
      <c r="B3596" s="312"/>
      <c r="C3596" s="424"/>
      <c r="G3596" s="312"/>
      <c r="H3596" s="467"/>
      <c r="I3596" s="467"/>
      <c r="J3596" s="469"/>
      <c r="K3596" s="312"/>
      <c r="L3596" s="312"/>
      <c r="M3596" s="312"/>
      <c r="N3596" s="467"/>
      <c r="O3596" s="467"/>
      <c r="P3596" s="467"/>
      <c r="AL3596" s="436"/>
      <c r="AM3596" s="436"/>
      <c r="AQ3596" s="436"/>
      <c r="AR3596" s="436"/>
      <c r="AS3596" s="436"/>
      <c r="AT3596" s="436"/>
      <c r="AU3596" s="436"/>
      <c r="AV3596" s="436"/>
      <c r="AW3596" s="436"/>
      <c r="AX3596" s="436"/>
      <c r="AY3596" s="436"/>
      <c r="AZ3596" s="475"/>
      <c r="BA3596" s="475"/>
      <c r="BF3596" s="1119"/>
      <c r="BG3596" s="1119"/>
      <c r="BH3596" s="1119"/>
    </row>
    <row r="3597" spans="1:60" ht="15.75" customHeight="1">
      <c r="A3597" s="1076"/>
      <c r="B3597" s="312"/>
      <c r="C3597" s="424"/>
      <c r="G3597" s="312"/>
      <c r="H3597" s="467"/>
      <c r="I3597" s="467"/>
      <c r="J3597" s="469"/>
      <c r="K3597" s="312"/>
      <c r="L3597" s="312"/>
      <c r="M3597" s="312"/>
      <c r="N3597" s="467"/>
      <c r="O3597" s="467"/>
      <c r="P3597" s="467"/>
      <c r="AL3597" s="436"/>
      <c r="AM3597" s="436"/>
      <c r="AQ3597" s="436"/>
      <c r="AR3597" s="436"/>
      <c r="AS3597" s="436"/>
      <c r="AT3597" s="436"/>
      <c r="AU3597" s="436"/>
      <c r="AV3597" s="436"/>
      <c r="AW3597" s="436"/>
      <c r="AX3597" s="436"/>
      <c r="AY3597" s="436"/>
      <c r="AZ3597" s="475"/>
      <c r="BA3597" s="475"/>
      <c r="BF3597" s="1119"/>
      <c r="BG3597" s="1119"/>
      <c r="BH3597" s="1119"/>
    </row>
    <row r="3598" spans="1:60" ht="15.75" customHeight="1">
      <c r="A3598" s="1076"/>
      <c r="B3598" s="312"/>
      <c r="C3598" s="424"/>
      <c r="G3598" s="312"/>
      <c r="H3598" s="467"/>
      <c r="I3598" s="467"/>
      <c r="J3598" s="469"/>
      <c r="K3598" s="312"/>
      <c r="L3598" s="312"/>
      <c r="M3598" s="312"/>
      <c r="N3598" s="467"/>
      <c r="O3598" s="467"/>
      <c r="P3598" s="467"/>
      <c r="AL3598" s="436"/>
      <c r="AM3598" s="436"/>
      <c r="AQ3598" s="436"/>
      <c r="AR3598" s="436"/>
      <c r="AS3598" s="436"/>
      <c r="AT3598" s="436"/>
      <c r="AU3598" s="436"/>
      <c r="AV3598" s="436"/>
      <c r="AW3598" s="436"/>
      <c r="AX3598" s="436"/>
      <c r="AY3598" s="436"/>
      <c r="AZ3598" s="475"/>
      <c r="BA3598" s="475"/>
      <c r="BF3598" s="1119"/>
      <c r="BG3598" s="1119"/>
      <c r="BH3598" s="1119"/>
    </row>
    <row r="3599" spans="1:60" ht="15.75" customHeight="1">
      <c r="A3599" s="1076"/>
      <c r="B3599" s="312"/>
      <c r="C3599" s="424"/>
      <c r="G3599" s="312"/>
      <c r="H3599" s="467"/>
      <c r="I3599" s="467"/>
      <c r="J3599" s="469"/>
      <c r="K3599" s="312"/>
      <c r="L3599" s="312"/>
      <c r="M3599" s="312"/>
      <c r="N3599" s="467"/>
      <c r="O3599" s="467"/>
      <c r="P3599" s="467"/>
      <c r="AL3599" s="436"/>
      <c r="AM3599" s="436"/>
      <c r="AQ3599" s="436"/>
      <c r="AR3599" s="436"/>
      <c r="AS3599" s="436"/>
      <c r="AT3599" s="436"/>
      <c r="AU3599" s="436"/>
      <c r="AV3599" s="436"/>
      <c r="AW3599" s="436"/>
      <c r="AX3599" s="436"/>
      <c r="AY3599" s="436"/>
      <c r="AZ3599" s="475"/>
      <c r="BA3599" s="475"/>
      <c r="BF3599" s="1119"/>
      <c r="BG3599" s="1119"/>
      <c r="BH3599" s="1119"/>
    </row>
    <row r="3600" spans="1:60" ht="15.75" customHeight="1">
      <c r="A3600" s="1076"/>
      <c r="B3600" s="312"/>
      <c r="C3600" s="424"/>
      <c r="G3600" s="312"/>
      <c r="H3600" s="467"/>
      <c r="I3600" s="467"/>
      <c r="J3600" s="469"/>
      <c r="K3600" s="312"/>
      <c r="L3600" s="312"/>
      <c r="M3600" s="312"/>
      <c r="N3600" s="467"/>
      <c r="O3600" s="467"/>
      <c r="P3600" s="467"/>
      <c r="AL3600" s="436"/>
      <c r="AM3600" s="436"/>
      <c r="AQ3600" s="436"/>
      <c r="AR3600" s="436"/>
      <c r="AS3600" s="436"/>
      <c r="AT3600" s="436"/>
      <c r="AU3600" s="436"/>
      <c r="AV3600" s="436"/>
      <c r="AW3600" s="436"/>
      <c r="AX3600" s="436"/>
      <c r="AY3600" s="436"/>
      <c r="AZ3600" s="475"/>
      <c r="BA3600" s="475"/>
      <c r="BF3600" s="1119"/>
      <c r="BG3600" s="1119"/>
      <c r="BH3600" s="1119"/>
    </row>
    <row r="3601" spans="1:60" ht="15.75" customHeight="1">
      <c r="A3601" s="1076"/>
      <c r="B3601" s="312"/>
      <c r="C3601" s="424"/>
      <c r="G3601" s="312"/>
      <c r="H3601" s="467"/>
      <c r="I3601" s="467"/>
      <c r="J3601" s="469"/>
      <c r="K3601" s="312"/>
      <c r="L3601" s="312"/>
      <c r="M3601" s="312"/>
      <c r="N3601" s="467"/>
      <c r="O3601" s="467"/>
      <c r="P3601" s="467"/>
      <c r="AL3601" s="436"/>
      <c r="AM3601" s="436"/>
      <c r="AQ3601" s="436"/>
      <c r="AR3601" s="436"/>
      <c r="AS3601" s="436"/>
      <c r="AT3601" s="436"/>
      <c r="AU3601" s="436"/>
      <c r="AV3601" s="436"/>
      <c r="AW3601" s="436"/>
      <c r="AX3601" s="436"/>
      <c r="AY3601" s="436"/>
      <c r="AZ3601" s="475"/>
      <c r="BA3601" s="475"/>
      <c r="BF3601" s="1119"/>
      <c r="BG3601" s="1119"/>
      <c r="BH3601" s="1119"/>
    </row>
    <row r="3602" spans="1:60" ht="15.75" customHeight="1">
      <c r="A3602" s="1076"/>
      <c r="B3602" s="312"/>
      <c r="C3602" s="424"/>
      <c r="G3602" s="312"/>
      <c r="H3602" s="467"/>
      <c r="I3602" s="467"/>
      <c r="J3602" s="469"/>
      <c r="K3602" s="312"/>
      <c r="L3602" s="312"/>
      <c r="M3602" s="312"/>
      <c r="N3602" s="467"/>
      <c r="O3602" s="467"/>
      <c r="P3602" s="467"/>
      <c r="AL3602" s="436"/>
      <c r="AM3602" s="436"/>
      <c r="AQ3602" s="436"/>
      <c r="AR3602" s="436"/>
      <c r="AS3602" s="436"/>
      <c r="AT3602" s="436"/>
      <c r="AU3602" s="436"/>
      <c r="AV3602" s="436"/>
      <c r="AW3602" s="436"/>
      <c r="AX3602" s="436"/>
      <c r="AY3602" s="436"/>
      <c r="AZ3602" s="475"/>
      <c r="BA3602" s="475"/>
      <c r="BF3602" s="1119"/>
      <c r="BG3602" s="1119"/>
      <c r="BH3602" s="1119"/>
    </row>
    <row r="3603" spans="1:60" ht="15.75" customHeight="1">
      <c r="A3603" s="1076"/>
      <c r="B3603" s="312"/>
      <c r="C3603" s="424"/>
      <c r="G3603" s="312"/>
      <c r="H3603" s="467"/>
      <c r="I3603" s="467"/>
      <c r="J3603" s="469"/>
      <c r="K3603" s="312"/>
      <c r="L3603" s="312"/>
      <c r="M3603" s="312"/>
      <c r="N3603" s="467"/>
      <c r="O3603" s="467"/>
      <c r="P3603" s="467"/>
      <c r="AL3603" s="436"/>
      <c r="AM3603" s="436"/>
      <c r="AQ3603" s="436"/>
      <c r="AR3603" s="436"/>
      <c r="AS3603" s="436"/>
      <c r="AT3603" s="436"/>
      <c r="AU3603" s="436"/>
      <c r="AV3603" s="436"/>
      <c r="AW3603" s="436"/>
      <c r="AX3603" s="436"/>
      <c r="AY3603" s="436"/>
      <c r="AZ3603" s="475"/>
      <c r="BA3603" s="475"/>
      <c r="BF3603" s="1119"/>
      <c r="BG3603" s="1119"/>
      <c r="BH3603" s="1119"/>
    </row>
    <row r="3604" spans="1:60" ht="15.75" customHeight="1">
      <c r="A3604" s="1076"/>
      <c r="B3604" s="312"/>
      <c r="C3604" s="424"/>
      <c r="G3604" s="312"/>
      <c r="H3604" s="467"/>
      <c r="I3604" s="467"/>
      <c r="J3604" s="469"/>
      <c r="K3604" s="312"/>
      <c r="L3604" s="312"/>
      <c r="M3604" s="312"/>
      <c r="N3604" s="467"/>
      <c r="O3604" s="467"/>
      <c r="P3604" s="467"/>
      <c r="AL3604" s="436"/>
      <c r="AM3604" s="436"/>
      <c r="AQ3604" s="436"/>
      <c r="AR3604" s="436"/>
      <c r="AS3604" s="436"/>
      <c r="AT3604" s="436"/>
      <c r="AU3604" s="436"/>
      <c r="AV3604" s="436"/>
      <c r="AW3604" s="436"/>
      <c r="AX3604" s="436"/>
      <c r="AY3604" s="436"/>
      <c r="AZ3604" s="475"/>
      <c r="BA3604" s="475"/>
      <c r="BF3604" s="1119"/>
      <c r="BG3604" s="1119"/>
      <c r="BH3604" s="1119"/>
    </row>
    <row r="3605" spans="1:60" ht="15.75" customHeight="1">
      <c r="A3605" s="1076"/>
      <c r="B3605" s="312"/>
      <c r="C3605" s="424"/>
      <c r="G3605" s="312"/>
      <c r="H3605" s="467"/>
      <c r="I3605" s="467"/>
      <c r="J3605" s="469"/>
      <c r="K3605" s="312"/>
      <c r="L3605" s="312"/>
      <c r="M3605" s="312"/>
      <c r="N3605" s="467"/>
      <c r="O3605" s="467"/>
      <c r="P3605" s="467"/>
      <c r="AL3605" s="436"/>
      <c r="AM3605" s="436"/>
      <c r="AQ3605" s="436"/>
      <c r="AR3605" s="436"/>
      <c r="AS3605" s="436"/>
      <c r="AT3605" s="436"/>
      <c r="AU3605" s="436"/>
      <c r="AV3605" s="436"/>
      <c r="AW3605" s="436"/>
      <c r="AX3605" s="436"/>
      <c r="AY3605" s="436"/>
      <c r="AZ3605" s="475"/>
      <c r="BA3605" s="475"/>
      <c r="BF3605" s="1119"/>
      <c r="BG3605" s="1119"/>
      <c r="BH3605" s="1119"/>
    </row>
    <row r="3606" spans="1:60" ht="15.75" customHeight="1">
      <c r="A3606" s="1076"/>
      <c r="B3606" s="312"/>
      <c r="C3606" s="424"/>
      <c r="G3606" s="312"/>
      <c r="H3606" s="467"/>
      <c r="I3606" s="467"/>
      <c r="J3606" s="469"/>
      <c r="K3606" s="312"/>
      <c r="L3606" s="312"/>
      <c r="M3606" s="312"/>
      <c r="N3606" s="467"/>
      <c r="O3606" s="467"/>
      <c r="P3606" s="467"/>
      <c r="AL3606" s="436"/>
      <c r="AM3606" s="436"/>
      <c r="AQ3606" s="436"/>
      <c r="AR3606" s="436"/>
      <c r="AS3606" s="436"/>
      <c r="AT3606" s="436"/>
      <c r="AU3606" s="436"/>
      <c r="AV3606" s="436"/>
      <c r="AW3606" s="436"/>
      <c r="AX3606" s="436"/>
      <c r="AY3606" s="436"/>
      <c r="AZ3606" s="475"/>
      <c r="BA3606" s="475"/>
      <c r="BF3606" s="1119"/>
      <c r="BG3606" s="1119"/>
      <c r="BH3606" s="1119"/>
    </row>
    <row r="3607" spans="1:60" ht="15.75" customHeight="1">
      <c r="A3607" s="1076"/>
      <c r="B3607" s="312"/>
      <c r="C3607" s="424"/>
      <c r="G3607" s="312"/>
      <c r="H3607" s="467"/>
      <c r="I3607" s="467"/>
      <c r="J3607" s="469"/>
      <c r="K3607" s="312"/>
      <c r="L3607" s="312"/>
      <c r="M3607" s="312"/>
      <c r="N3607" s="467"/>
      <c r="O3607" s="467"/>
      <c r="P3607" s="467"/>
      <c r="AL3607" s="436"/>
      <c r="AM3607" s="436"/>
      <c r="AQ3607" s="436"/>
      <c r="AR3607" s="436"/>
      <c r="AS3607" s="436"/>
      <c r="AT3607" s="436"/>
      <c r="AU3607" s="436"/>
      <c r="AV3607" s="436"/>
      <c r="AW3607" s="436"/>
      <c r="AX3607" s="436"/>
      <c r="AY3607" s="436"/>
      <c r="AZ3607" s="475"/>
      <c r="BA3607" s="475"/>
      <c r="BF3607" s="1119"/>
      <c r="BG3607" s="1119"/>
      <c r="BH3607" s="1119"/>
    </row>
    <row r="3608" spans="1:60" ht="15.75" customHeight="1">
      <c r="A3608" s="1076"/>
      <c r="B3608" s="312"/>
      <c r="C3608" s="424"/>
      <c r="G3608" s="312"/>
      <c r="H3608" s="467"/>
      <c r="I3608" s="467"/>
      <c r="J3608" s="469"/>
      <c r="K3608" s="312"/>
      <c r="L3608" s="312"/>
      <c r="M3608" s="312"/>
      <c r="N3608" s="467"/>
      <c r="O3608" s="467"/>
      <c r="P3608" s="467"/>
      <c r="AL3608" s="436"/>
      <c r="AM3608" s="436"/>
      <c r="AQ3608" s="436"/>
      <c r="AR3608" s="436"/>
      <c r="AS3608" s="436"/>
      <c r="AT3608" s="436"/>
      <c r="AU3608" s="436"/>
      <c r="AV3608" s="436"/>
      <c r="AW3608" s="436"/>
      <c r="AX3608" s="436"/>
      <c r="AY3608" s="436"/>
      <c r="AZ3608" s="475"/>
      <c r="BA3608" s="475"/>
      <c r="BF3608" s="1119"/>
      <c r="BG3608" s="1119"/>
      <c r="BH3608" s="1119"/>
    </row>
    <row r="3609" spans="1:60" ht="15.75" customHeight="1">
      <c r="A3609" s="1076"/>
      <c r="B3609" s="312"/>
      <c r="C3609" s="424"/>
      <c r="G3609" s="312"/>
      <c r="H3609" s="467"/>
      <c r="I3609" s="467"/>
      <c r="J3609" s="469"/>
      <c r="K3609" s="312"/>
      <c r="L3609" s="312"/>
      <c r="M3609" s="312"/>
      <c r="N3609" s="467"/>
      <c r="O3609" s="467"/>
      <c r="P3609" s="467"/>
      <c r="AL3609" s="436"/>
      <c r="AM3609" s="436"/>
      <c r="AQ3609" s="436"/>
      <c r="AR3609" s="436"/>
      <c r="AS3609" s="436"/>
      <c r="AT3609" s="436"/>
      <c r="AU3609" s="436"/>
      <c r="AV3609" s="436"/>
      <c r="AW3609" s="436"/>
      <c r="AX3609" s="436"/>
      <c r="AY3609" s="436"/>
      <c r="AZ3609" s="475"/>
      <c r="BA3609" s="475"/>
      <c r="BF3609" s="1119"/>
      <c r="BG3609" s="1119"/>
      <c r="BH3609" s="1119"/>
    </row>
    <row r="3610" spans="1:60" ht="15.75" customHeight="1">
      <c r="A3610" s="1076"/>
      <c r="B3610" s="312"/>
      <c r="C3610" s="424"/>
      <c r="G3610" s="312"/>
      <c r="H3610" s="467"/>
      <c r="I3610" s="467"/>
      <c r="J3610" s="469"/>
      <c r="K3610" s="312"/>
      <c r="L3610" s="312"/>
      <c r="M3610" s="312"/>
      <c r="N3610" s="467"/>
      <c r="O3610" s="467"/>
      <c r="P3610" s="467"/>
      <c r="AL3610" s="436"/>
      <c r="AM3610" s="436"/>
      <c r="AQ3610" s="436"/>
      <c r="AR3610" s="436"/>
      <c r="AS3610" s="436"/>
      <c r="AT3610" s="436"/>
      <c r="AU3610" s="436"/>
      <c r="AV3610" s="436"/>
      <c r="AW3610" s="436"/>
      <c r="AX3610" s="436"/>
      <c r="AY3610" s="436"/>
      <c r="AZ3610" s="475"/>
      <c r="BA3610" s="475"/>
      <c r="BF3610" s="1119"/>
      <c r="BG3610" s="1119"/>
      <c r="BH3610" s="1119"/>
    </row>
    <row r="3611" spans="1:60" ht="15.75" customHeight="1">
      <c r="A3611" s="1076"/>
      <c r="B3611" s="312"/>
      <c r="C3611" s="424"/>
      <c r="G3611" s="312"/>
      <c r="H3611" s="467"/>
      <c r="I3611" s="467"/>
      <c r="J3611" s="469"/>
      <c r="K3611" s="312"/>
      <c r="L3611" s="312"/>
      <c r="M3611" s="312"/>
      <c r="N3611" s="467"/>
      <c r="O3611" s="467"/>
      <c r="P3611" s="467"/>
      <c r="AL3611" s="436"/>
      <c r="AM3611" s="436"/>
      <c r="AQ3611" s="436"/>
      <c r="AR3611" s="436"/>
      <c r="AS3611" s="436"/>
      <c r="AT3611" s="436"/>
      <c r="AU3611" s="436"/>
      <c r="AV3611" s="436"/>
      <c r="AW3611" s="436"/>
      <c r="AX3611" s="436"/>
      <c r="AY3611" s="436"/>
      <c r="AZ3611" s="475"/>
      <c r="BA3611" s="475"/>
      <c r="BF3611" s="1119"/>
      <c r="BG3611" s="1119"/>
      <c r="BH3611" s="1119"/>
    </row>
    <row r="3612" spans="1:60" ht="15.75" customHeight="1">
      <c r="A3612" s="1076"/>
      <c r="B3612" s="312"/>
      <c r="C3612" s="424"/>
      <c r="G3612" s="312"/>
      <c r="H3612" s="467"/>
      <c r="I3612" s="467"/>
      <c r="J3612" s="469"/>
      <c r="K3612" s="312"/>
      <c r="L3612" s="312"/>
      <c r="M3612" s="312"/>
      <c r="N3612" s="467"/>
      <c r="O3612" s="467"/>
      <c r="P3612" s="467"/>
      <c r="AL3612" s="436"/>
      <c r="AM3612" s="436"/>
      <c r="AQ3612" s="436"/>
      <c r="AR3612" s="436"/>
      <c r="AS3612" s="436"/>
      <c r="AT3612" s="436"/>
      <c r="AU3612" s="436"/>
      <c r="AV3612" s="436"/>
      <c r="AW3612" s="436"/>
      <c r="AX3612" s="436"/>
      <c r="AY3612" s="436"/>
      <c r="AZ3612" s="475"/>
      <c r="BA3612" s="475"/>
      <c r="BF3612" s="1119"/>
      <c r="BG3612" s="1119"/>
      <c r="BH3612" s="1119"/>
    </row>
    <row r="3613" spans="1:60" ht="15.75" customHeight="1">
      <c r="A3613" s="1076"/>
      <c r="B3613" s="312"/>
      <c r="C3613" s="424"/>
      <c r="G3613" s="312"/>
      <c r="H3613" s="467"/>
      <c r="I3613" s="467"/>
      <c r="J3613" s="469"/>
      <c r="K3613" s="312"/>
      <c r="L3613" s="312"/>
      <c r="M3613" s="312"/>
      <c r="N3613" s="467"/>
      <c r="O3613" s="467"/>
      <c r="P3613" s="467"/>
      <c r="AL3613" s="436"/>
      <c r="AM3613" s="436"/>
      <c r="AQ3613" s="436"/>
      <c r="AR3613" s="436"/>
      <c r="AS3613" s="436"/>
      <c r="AT3613" s="436"/>
      <c r="AU3613" s="436"/>
      <c r="AV3613" s="436"/>
      <c r="AW3613" s="436"/>
      <c r="AX3613" s="436"/>
      <c r="AY3613" s="436"/>
      <c r="AZ3613" s="475"/>
      <c r="BA3613" s="475"/>
      <c r="BF3613" s="1119"/>
      <c r="BG3613" s="1119"/>
      <c r="BH3613" s="1119"/>
    </row>
    <row r="3614" spans="1:60" ht="15.75" customHeight="1">
      <c r="A3614" s="1076"/>
      <c r="B3614" s="312"/>
      <c r="C3614" s="424"/>
      <c r="G3614" s="312"/>
      <c r="H3614" s="467"/>
      <c r="I3614" s="467"/>
      <c r="J3614" s="469"/>
      <c r="K3614" s="312"/>
      <c r="L3614" s="312"/>
      <c r="M3614" s="312"/>
      <c r="N3614" s="467"/>
      <c r="O3614" s="467"/>
      <c r="P3614" s="467"/>
      <c r="AL3614" s="436"/>
      <c r="AM3614" s="436"/>
      <c r="AQ3614" s="436"/>
      <c r="AR3614" s="436"/>
      <c r="AS3614" s="436"/>
      <c r="AT3614" s="436"/>
      <c r="AU3614" s="436"/>
      <c r="AV3614" s="436"/>
      <c r="AW3614" s="436"/>
      <c r="AX3614" s="436"/>
      <c r="AY3614" s="436"/>
      <c r="AZ3614" s="475"/>
      <c r="BA3614" s="475"/>
      <c r="BF3614" s="1119"/>
      <c r="BG3614" s="1119"/>
      <c r="BH3614" s="1119"/>
    </row>
    <row r="3615" spans="1:60" ht="15.75" customHeight="1">
      <c r="A3615" s="1076"/>
      <c r="B3615" s="312"/>
      <c r="C3615" s="424"/>
      <c r="G3615" s="312"/>
      <c r="H3615" s="467"/>
      <c r="I3615" s="467"/>
      <c r="J3615" s="469"/>
      <c r="K3615" s="312"/>
      <c r="L3615" s="312"/>
      <c r="M3615" s="312"/>
      <c r="N3615" s="467"/>
      <c r="O3615" s="467"/>
      <c r="P3615" s="467"/>
      <c r="AL3615" s="436"/>
      <c r="AM3615" s="436"/>
      <c r="AQ3615" s="436"/>
      <c r="AR3615" s="436"/>
      <c r="AS3615" s="436"/>
      <c r="AT3615" s="436"/>
      <c r="AU3615" s="436"/>
      <c r="AV3615" s="436"/>
      <c r="AW3615" s="436"/>
      <c r="AX3615" s="436"/>
      <c r="AY3615" s="436"/>
      <c r="AZ3615" s="475"/>
      <c r="BA3615" s="475"/>
      <c r="BF3615" s="1119"/>
      <c r="BG3615" s="1119"/>
      <c r="BH3615" s="1119"/>
    </row>
    <row r="3616" spans="1:60" ht="15.75" customHeight="1">
      <c r="A3616" s="1076"/>
      <c r="B3616" s="312"/>
      <c r="C3616" s="424"/>
      <c r="G3616" s="312"/>
      <c r="H3616" s="467"/>
      <c r="I3616" s="467"/>
      <c r="J3616" s="469"/>
      <c r="K3616" s="312"/>
      <c r="L3616" s="312"/>
      <c r="M3616" s="312"/>
      <c r="N3616" s="467"/>
      <c r="O3616" s="467"/>
      <c r="P3616" s="467"/>
      <c r="AL3616" s="436"/>
      <c r="AM3616" s="436"/>
      <c r="AQ3616" s="436"/>
      <c r="AR3616" s="436"/>
      <c r="AS3616" s="436"/>
      <c r="AT3616" s="436"/>
      <c r="AU3616" s="436"/>
      <c r="AV3616" s="436"/>
      <c r="AW3616" s="436"/>
      <c r="AX3616" s="436"/>
      <c r="AY3616" s="436"/>
      <c r="AZ3616" s="475"/>
      <c r="BA3616" s="475"/>
      <c r="BF3616" s="1119"/>
      <c r="BG3616" s="1119"/>
      <c r="BH3616" s="1119"/>
    </row>
    <row r="3617" spans="1:60" ht="15.75" customHeight="1">
      <c r="A3617" s="1076"/>
      <c r="B3617" s="312"/>
      <c r="C3617" s="424"/>
      <c r="G3617" s="312"/>
      <c r="H3617" s="467"/>
      <c r="I3617" s="467"/>
      <c r="J3617" s="469"/>
      <c r="K3617" s="312"/>
      <c r="L3617" s="312"/>
      <c r="M3617" s="312"/>
      <c r="N3617" s="467"/>
      <c r="O3617" s="467"/>
      <c r="P3617" s="467"/>
      <c r="AL3617" s="436"/>
      <c r="AM3617" s="436"/>
      <c r="AQ3617" s="436"/>
      <c r="AR3617" s="436"/>
      <c r="AS3617" s="436"/>
      <c r="AT3617" s="436"/>
      <c r="AU3617" s="436"/>
      <c r="AV3617" s="436"/>
      <c r="AW3617" s="436"/>
      <c r="AX3617" s="436"/>
      <c r="AY3617" s="436"/>
      <c r="AZ3617" s="475"/>
      <c r="BA3617" s="475"/>
      <c r="BF3617" s="1119"/>
      <c r="BG3617" s="1119"/>
      <c r="BH3617" s="1119"/>
    </row>
    <row r="3618" spans="1:60" ht="15.75" customHeight="1">
      <c r="A3618" s="1076"/>
      <c r="B3618" s="312"/>
      <c r="C3618" s="424"/>
      <c r="G3618" s="312"/>
      <c r="H3618" s="467"/>
      <c r="I3618" s="467"/>
      <c r="J3618" s="469"/>
      <c r="K3618" s="312"/>
      <c r="L3618" s="312"/>
      <c r="M3618" s="312"/>
      <c r="N3618" s="467"/>
      <c r="O3618" s="467"/>
      <c r="P3618" s="467"/>
      <c r="AL3618" s="436"/>
      <c r="AM3618" s="436"/>
      <c r="AQ3618" s="436"/>
      <c r="AR3618" s="436"/>
      <c r="AS3618" s="436"/>
      <c r="AT3618" s="436"/>
      <c r="AU3618" s="436"/>
      <c r="AV3618" s="436"/>
      <c r="AW3618" s="436"/>
      <c r="AX3618" s="436"/>
      <c r="AY3618" s="436"/>
      <c r="AZ3618" s="475"/>
      <c r="BA3618" s="475"/>
      <c r="BF3618" s="1119"/>
      <c r="BG3618" s="1119"/>
      <c r="BH3618" s="1119"/>
    </row>
    <row r="3619" spans="1:60" ht="15.75" customHeight="1">
      <c r="A3619" s="1076"/>
      <c r="B3619" s="312"/>
      <c r="C3619" s="424"/>
      <c r="G3619" s="312"/>
      <c r="H3619" s="467"/>
      <c r="I3619" s="467"/>
      <c r="J3619" s="469"/>
      <c r="K3619" s="312"/>
      <c r="L3619" s="312"/>
      <c r="M3619" s="312"/>
      <c r="N3619" s="467"/>
      <c r="O3619" s="467"/>
      <c r="P3619" s="467"/>
      <c r="AL3619" s="436"/>
      <c r="AM3619" s="436"/>
      <c r="AQ3619" s="436"/>
      <c r="AR3619" s="436"/>
      <c r="AS3619" s="436"/>
      <c r="AT3619" s="436"/>
      <c r="AU3619" s="436"/>
      <c r="AV3619" s="436"/>
      <c r="AW3619" s="436"/>
      <c r="AX3619" s="436"/>
      <c r="AY3619" s="436"/>
      <c r="AZ3619" s="475"/>
      <c r="BA3619" s="475"/>
      <c r="BF3619" s="1119"/>
      <c r="BG3619" s="1119"/>
      <c r="BH3619" s="1119"/>
    </row>
    <row r="3620" spans="1:60" ht="15.75" customHeight="1">
      <c r="A3620" s="1076"/>
      <c r="B3620" s="312"/>
      <c r="C3620" s="424"/>
      <c r="G3620" s="312"/>
      <c r="H3620" s="467"/>
      <c r="I3620" s="467"/>
      <c r="J3620" s="469"/>
      <c r="K3620" s="312"/>
      <c r="L3620" s="312"/>
      <c r="M3620" s="312"/>
      <c r="N3620" s="467"/>
      <c r="O3620" s="467"/>
      <c r="P3620" s="467"/>
      <c r="AL3620" s="436"/>
      <c r="AM3620" s="436"/>
      <c r="AQ3620" s="436"/>
      <c r="AR3620" s="436"/>
      <c r="AS3620" s="436"/>
      <c r="AT3620" s="436"/>
      <c r="AU3620" s="436"/>
      <c r="AV3620" s="436"/>
      <c r="AW3620" s="436"/>
      <c r="AX3620" s="436"/>
      <c r="AY3620" s="436"/>
      <c r="AZ3620" s="475"/>
      <c r="BA3620" s="475"/>
      <c r="BF3620" s="1119"/>
      <c r="BG3620" s="1119"/>
      <c r="BH3620" s="1119"/>
    </row>
    <row r="3621" spans="1:60" ht="15.75" customHeight="1">
      <c r="A3621" s="1076"/>
      <c r="B3621" s="312"/>
      <c r="C3621" s="424"/>
      <c r="G3621" s="312"/>
      <c r="H3621" s="467"/>
      <c r="I3621" s="467"/>
      <c r="J3621" s="469"/>
      <c r="K3621" s="312"/>
      <c r="L3621" s="312"/>
      <c r="M3621" s="312"/>
      <c r="N3621" s="467"/>
      <c r="O3621" s="467"/>
      <c r="P3621" s="467"/>
      <c r="AL3621" s="436"/>
      <c r="AM3621" s="436"/>
      <c r="AQ3621" s="436"/>
      <c r="AR3621" s="436"/>
      <c r="AS3621" s="436"/>
      <c r="AT3621" s="436"/>
      <c r="AU3621" s="436"/>
      <c r="AV3621" s="436"/>
      <c r="AW3621" s="436"/>
      <c r="AX3621" s="436"/>
      <c r="AY3621" s="436"/>
      <c r="AZ3621" s="475"/>
      <c r="BA3621" s="475"/>
      <c r="BF3621" s="1119"/>
      <c r="BG3621" s="1119"/>
      <c r="BH3621" s="1119"/>
    </row>
    <row r="3622" spans="1:60" ht="15.75" customHeight="1">
      <c r="A3622" s="1076"/>
      <c r="B3622" s="312"/>
      <c r="C3622" s="424"/>
      <c r="G3622" s="312"/>
      <c r="H3622" s="467"/>
      <c r="I3622" s="467"/>
      <c r="J3622" s="469"/>
      <c r="K3622" s="312"/>
      <c r="L3622" s="312"/>
      <c r="M3622" s="312"/>
      <c r="N3622" s="467"/>
      <c r="O3622" s="467"/>
      <c r="P3622" s="467"/>
      <c r="AL3622" s="436"/>
      <c r="AM3622" s="436"/>
      <c r="AQ3622" s="436"/>
      <c r="AR3622" s="436"/>
      <c r="AS3622" s="436"/>
      <c r="AT3622" s="436"/>
      <c r="AU3622" s="436"/>
      <c r="AV3622" s="436"/>
      <c r="AW3622" s="436"/>
      <c r="AX3622" s="436"/>
      <c r="AY3622" s="436"/>
      <c r="AZ3622" s="475"/>
      <c r="BA3622" s="475"/>
      <c r="BF3622" s="1119"/>
      <c r="BG3622" s="1119"/>
      <c r="BH3622" s="1119"/>
    </row>
    <row r="3623" spans="1:60" ht="15.75" customHeight="1">
      <c r="A3623" s="1076"/>
      <c r="B3623" s="312"/>
      <c r="C3623" s="424"/>
      <c r="G3623" s="312"/>
      <c r="H3623" s="467"/>
      <c r="I3623" s="467"/>
      <c r="J3623" s="469"/>
      <c r="K3623" s="312"/>
      <c r="L3623" s="312"/>
      <c r="M3623" s="312"/>
      <c r="N3623" s="467"/>
      <c r="O3623" s="467"/>
      <c r="P3623" s="467"/>
      <c r="AL3623" s="436"/>
      <c r="AM3623" s="436"/>
      <c r="AQ3623" s="436"/>
      <c r="AR3623" s="436"/>
      <c r="AS3623" s="436"/>
      <c r="AT3623" s="436"/>
      <c r="AU3623" s="436"/>
      <c r="AV3623" s="436"/>
      <c r="AW3623" s="436"/>
      <c r="AX3623" s="436"/>
      <c r="AY3623" s="436"/>
      <c r="AZ3623" s="475"/>
      <c r="BA3623" s="475"/>
      <c r="BF3623" s="1119"/>
      <c r="BG3623" s="1119"/>
      <c r="BH3623" s="1119"/>
    </row>
    <row r="3624" spans="1:60" ht="15.75" customHeight="1">
      <c r="A3624" s="1076"/>
      <c r="B3624" s="312"/>
      <c r="C3624" s="424"/>
      <c r="G3624" s="312"/>
      <c r="H3624" s="467"/>
      <c r="I3624" s="467"/>
      <c r="J3624" s="469"/>
      <c r="K3624" s="312"/>
      <c r="L3624" s="312"/>
      <c r="M3624" s="312"/>
      <c r="N3624" s="467"/>
      <c r="O3624" s="467"/>
      <c r="P3624" s="467"/>
      <c r="AL3624" s="436"/>
      <c r="AM3624" s="436"/>
      <c r="AQ3624" s="436"/>
      <c r="AR3624" s="436"/>
      <c r="AS3624" s="436"/>
      <c r="AT3624" s="436"/>
      <c r="AU3624" s="436"/>
      <c r="AV3624" s="436"/>
      <c r="AW3624" s="436"/>
      <c r="AX3624" s="436"/>
      <c r="AY3624" s="436"/>
      <c r="AZ3624" s="475"/>
      <c r="BA3624" s="475"/>
      <c r="BF3624" s="1119"/>
      <c r="BG3624" s="1119"/>
      <c r="BH3624" s="1119"/>
    </row>
    <row r="3625" spans="1:60" ht="15.75" customHeight="1">
      <c r="A3625" s="1076"/>
      <c r="B3625" s="312"/>
      <c r="C3625" s="424"/>
      <c r="G3625" s="312"/>
      <c r="H3625" s="467"/>
      <c r="I3625" s="467"/>
      <c r="J3625" s="469"/>
      <c r="K3625" s="312"/>
      <c r="L3625" s="312"/>
      <c r="M3625" s="312"/>
      <c r="N3625" s="467"/>
      <c r="O3625" s="467"/>
      <c r="P3625" s="467"/>
      <c r="AL3625" s="436"/>
      <c r="AM3625" s="436"/>
      <c r="AQ3625" s="436"/>
      <c r="AR3625" s="436"/>
      <c r="AS3625" s="436"/>
      <c r="AT3625" s="436"/>
      <c r="AU3625" s="436"/>
      <c r="AV3625" s="436"/>
      <c r="AW3625" s="436"/>
      <c r="AX3625" s="436"/>
      <c r="AY3625" s="436"/>
      <c r="AZ3625" s="475"/>
      <c r="BA3625" s="475"/>
      <c r="BF3625" s="1119"/>
      <c r="BG3625" s="1119"/>
      <c r="BH3625" s="1119"/>
    </row>
    <row r="3626" spans="1:60" ht="15.75" customHeight="1">
      <c r="A3626" s="1076"/>
      <c r="B3626" s="312"/>
      <c r="C3626" s="424"/>
      <c r="G3626" s="312"/>
      <c r="H3626" s="467"/>
      <c r="I3626" s="467"/>
      <c r="J3626" s="469"/>
      <c r="K3626" s="312"/>
      <c r="L3626" s="312"/>
      <c r="M3626" s="312"/>
      <c r="N3626" s="467"/>
      <c r="O3626" s="467"/>
      <c r="P3626" s="467"/>
      <c r="AL3626" s="436"/>
      <c r="AM3626" s="436"/>
      <c r="AQ3626" s="436"/>
      <c r="AR3626" s="436"/>
      <c r="AS3626" s="436"/>
      <c r="AT3626" s="436"/>
      <c r="AU3626" s="436"/>
      <c r="AV3626" s="436"/>
      <c r="AW3626" s="436"/>
      <c r="AX3626" s="436"/>
      <c r="AY3626" s="436"/>
      <c r="AZ3626" s="475"/>
      <c r="BA3626" s="475"/>
      <c r="BF3626" s="1119"/>
      <c r="BG3626" s="1119"/>
      <c r="BH3626" s="1119"/>
    </row>
    <row r="3627" spans="1:60" ht="15.75" customHeight="1">
      <c r="A3627" s="1076"/>
      <c r="B3627" s="312"/>
      <c r="C3627" s="424"/>
      <c r="G3627" s="312"/>
      <c r="H3627" s="467"/>
      <c r="I3627" s="467"/>
      <c r="J3627" s="469"/>
      <c r="K3627" s="312"/>
      <c r="L3627" s="312"/>
      <c r="M3627" s="312"/>
      <c r="N3627" s="467"/>
      <c r="O3627" s="467"/>
      <c r="P3627" s="467"/>
      <c r="AL3627" s="436"/>
      <c r="AM3627" s="436"/>
      <c r="AQ3627" s="436"/>
      <c r="AR3627" s="436"/>
      <c r="AS3627" s="436"/>
      <c r="AT3627" s="436"/>
      <c r="AU3627" s="436"/>
      <c r="AV3627" s="436"/>
      <c r="AW3627" s="436"/>
      <c r="AX3627" s="436"/>
      <c r="AY3627" s="436"/>
      <c r="AZ3627" s="475"/>
      <c r="BA3627" s="475"/>
      <c r="BF3627" s="1119"/>
      <c r="BG3627" s="1119"/>
      <c r="BH3627" s="1119"/>
    </row>
    <row r="3628" spans="1:60" ht="15.75" customHeight="1">
      <c r="A3628" s="1076"/>
      <c r="B3628" s="312"/>
      <c r="C3628" s="424"/>
      <c r="G3628" s="312"/>
      <c r="H3628" s="467"/>
      <c r="I3628" s="467"/>
      <c r="J3628" s="469"/>
      <c r="K3628" s="312"/>
      <c r="L3628" s="312"/>
      <c r="M3628" s="312"/>
      <c r="N3628" s="467"/>
      <c r="O3628" s="467"/>
      <c r="P3628" s="467"/>
      <c r="AL3628" s="436"/>
      <c r="AM3628" s="436"/>
      <c r="AQ3628" s="436"/>
      <c r="AR3628" s="436"/>
      <c r="AS3628" s="436"/>
      <c r="AT3628" s="436"/>
      <c r="AU3628" s="436"/>
      <c r="AV3628" s="436"/>
      <c r="AW3628" s="436"/>
      <c r="AX3628" s="436"/>
      <c r="AY3628" s="436"/>
      <c r="AZ3628" s="475"/>
      <c r="BA3628" s="475"/>
      <c r="BF3628" s="1119"/>
      <c r="BG3628" s="1119"/>
      <c r="BH3628" s="1119"/>
    </row>
    <row r="3629" spans="1:60" ht="15.75" customHeight="1">
      <c r="A3629" s="1076"/>
      <c r="B3629" s="312"/>
      <c r="C3629" s="424"/>
      <c r="G3629" s="312"/>
      <c r="H3629" s="467"/>
      <c r="I3629" s="467"/>
      <c r="J3629" s="469"/>
      <c r="K3629" s="312"/>
      <c r="L3629" s="312"/>
      <c r="M3629" s="312"/>
      <c r="N3629" s="467"/>
      <c r="O3629" s="467"/>
      <c r="P3629" s="467"/>
      <c r="AL3629" s="436"/>
      <c r="AM3629" s="436"/>
      <c r="AQ3629" s="436"/>
      <c r="AR3629" s="436"/>
      <c r="AS3629" s="436"/>
      <c r="AT3629" s="436"/>
      <c r="AU3629" s="436"/>
      <c r="AV3629" s="436"/>
      <c r="AW3629" s="436"/>
      <c r="AX3629" s="436"/>
      <c r="AY3629" s="436"/>
      <c r="AZ3629" s="475"/>
      <c r="BA3629" s="475"/>
      <c r="BF3629" s="1119"/>
      <c r="BG3629" s="1119"/>
      <c r="BH3629" s="1119"/>
    </row>
    <row r="3630" spans="1:60" ht="15.75" customHeight="1">
      <c r="A3630" s="1076"/>
      <c r="B3630" s="312"/>
      <c r="C3630" s="424"/>
      <c r="G3630" s="312"/>
      <c r="H3630" s="467"/>
      <c r="I3630" s="467"/>
      <c r="J3630" s="469"/>
      <c r="K3630" s="312"/>
      <c r="L3630" s="312"/>
      <c r="M3630" s="312"/>
      <c r="N3630" s="467"/>
      <c r="O3630" s="467"/>
      <c r="P3630" s="467"/>
      <c r="AL3630" s="436"/>
      <c r="AM3630" s="436"/>
      <c r="AQ3630" s="436"/>
      <c r="AR3630" s="436"/>
      <c r="AS3630" s="436"/>
      <c r="AT3630" s="436"/>
      <c r="AU3630" s="436"/>
      <c r="AV3630" s="436"/>
      <c r="AW3630" s="436"/>
      <c r="AX3630" s="436"/>
      <c r="AY3630" s="436"/>
      <c r="AZ3630" s="475"/>
      <c r="BA3630" s="475"/>
      <c r="BF3630" s="1119"/>
      <c r="BG3630" s="1119"/>
      <c r="BH3630" s="1119"/>
    </row>
    <row r="3631" spans="1:60" ht="15.75" customHeight="1">
      <c r="A3631" s="1076"/>
      <c r="B3631" s="312"/>
      <c r="C3631" s="424"/>
      <c r="G3631" s="312"/>
      <c r="H3631" s="467"/>
      <c r="I3631" s="467"/>
      <c r="J3631" s="469"/>
      <c r="K3631" s="312"/>
      <c r="L3631" s="312"/>
      <c r="M3631" s="312"/>
      <c r="N3631" s="467"/>
      <c r="O3631" s="467"/>
      <c r="P3631" s="467"/>
      <c r="AL3631" s="436"/>
      <c r="AM3631" s="436"/>
      <c r="AQ3631" s="436"/>
      <c r="AR3631" s="436"/>
      <c r="AS3631" s="436"/>
      <c r="AT3631" s="436"/>
      <c r="AU3631" s="436"/>
      <c r="AV3631" s="436"/>
      <c r="AW3631" s="436"/>
      <c r="AX3631" s="436"/>
      <c r="AY3631" s="436"/>
      <c r="AZ3631" s="475"/>
      <c r="BA3631" s="475"/>
      <c r="BF3631" s="1119"/>
      <c r="BG3631" s="1119"/>
      <c r="BH3631" s="1119"/>
    </row>
    <row r="3632" spans="1:60" ht="15.75" customHeight="1">
      <c r="A3632" s="1076"/>
      <c r="B3632" s="312"/>
      <c r="C3632" s="424"/>
      <c r="G3632" s="312"/>
      <c r="H3632" s="467"/>
      <c r="I3632" s="467"/>
      <c r="J3632" s="469"/>
      <c r="K3632" s="312"/>
      <c r="L3632" s="312"/>
      <c r="M3632" s="312"/>
      <c r="N3632" s="467"/>
      <c r="O3632" s="467"/>
      <c r="P3632" s="467"/>
      <c r="AL3632" s="436"/>
      <c r="AM3632" s="436"/>
      <c r="AQ3632" s="436"/>
      <c r="AR3632" s="436"/>
      <c r="AS3632" s="436"/>
      <c r="AT3632" s="436"/>
      <c r="AU3632" s="436"/>
      <c r="AV3632" s="436"/>
      <c r="AW3632" s="436"/>
      <c r="AX3632" s="436"/>
      <c r="AY3632" s="436"/>
      <c r="AZ3632" s="475"/>
      <c r="BA3632" s="475"/>
      <c r="BF3632" s="1119"/>
      <c r="BG3632" s="1119"/>
      <c r="BH3632" s="1119"/>
    </row>
    <row r="3633" spans="1:60" ht="15.75" customHeight="1">
      <c r="A3633" s="1076"/>
      <c r="B3633" s="312"/>
      <c r="C3633" s="424"/>
      <c r="G3633" s="312"/>
      <c r="H3633" s="467"/>
      <c r="I3633" s="467"/>
      <c r="J3633" s="469"/>
      <c r="K3633" s="312"/>
      <c r="L3633" s="312"/>
      <c r="M3633" s="312"/>
      <c r="N3633" s="467"/>
      <c r="O3633" s="467"/>
      <c r="P3633" s="467"/>
      <c r="AL3633" s="436"/>
      <c r="AM3633" s="436"/>
      <c r="AQ3633" s="436"/>
      <c r="AR3633" s="436"/>
      <c r="AS3633" s="436"/>
      <c r="AT3633" s="436"/>
      <c r="AU3633" s="436"/>
      <c r="AV3633" s="436"/>
      <c r="AW3633" s="436"/>
      <c r="AX3633" s="436"/>
      <c r="AY3633" s="436"/>
      <c r="AZ3633" s="475"/>
      <c r="BA3633" s="475"/>
      <c r="BF3633" s="1119"/>
      <c r="BG3633" s="1119"/>
      <c r="BH3633" s="1119"/>
    </row>
    <row r="3634" spans="1:60" ht="15.75" customHeight="1">
      <c r="A3634" s="1076"/>
      <c r="B3634" s="312"/>
      <c r="C3634" s="424"/>
      <c r="G3634" s="312"/>
      <c r="H3634" s="467"/>
      <c r="I3634" s="467"/>
      <c r="J3634" s="469"/>
      <c r="K3634" s="312"/>
      <c r="L3634" s="312"/>
      <c r="M3634" s="312"/>
      <c r="N3634" s="467"/>
      <c r="O3634" s="467"/>
      <c r="P3634" s="467"/>
      <c r="AL3634" s="436"/>
      <c r="AM3634" s="436"/>
      <c r="AQ3634" s="436"/>
      <c r="AR3634" s="436"/>
      <c r="AS3634" s="436"/>
      <c r="AT3634" s="436"/>
      <c r="AU3634" s="436"/>
      <c r="AV3634" s="436"/>
      <c r="AW3634" s="436"/>
      <c r="AX3634" s="436"/>
      <c r="AY3634" s="436"/>
      <c r="AZ3634" s="475"/>
      <c r="BA3634" s="475"/>
      <c r="BF3634" s="1119"/>
      <c r="BG3634" s="1119"/>
      <c r="BH3634" s="1119"/>
    </row>
    <row r="3635" spans="1:60" ht="15.75" customHeight="1">
      <c r="A3635" s="1076"/>
      <c r="B3635" s="312"/>
      <c r="C3635" s="424"/>
      <c r="G3635" s="312"/>
      <c r="H3635" s="467"/>
      <c r="I3635" s="467"/>
      <c r="J3635" s="469"/>
      <c r="K3635" s="312"/>
      <c r="L3635" s="312"/>
      <c r="M3635" s="312"/>
      <c r="N3635" s="467"/>
      <c r="O3635" s="467"/>
      <c r="P3635" s="467"/>
      <c r="AL3635" s="436"/>
      <c r="AM3635" s="436"/>
      <c r="AQ3635" s="436"/>
      <c r="AR3635" s="436"/>
      <c r="AS3635" s="436"/>
      <c r="AT3635" s="436"/>
      <c r="AU3635" s="436"/>
      <c r="AV3635" s="436"/>
      <c r="AW3635" s="436"/>
      <c r="AX3635" s="436"/>
      <c r="AY3635" s="436"/>
      <c r="AZ3635" s="475"/>
      <c r="BA3635" s="475"/>
      <c r="BF3635" s="1119"/>
      <c r="BG3635" s="1119"/>
      <c r="BH3635" s="1119"/>
    </row>
    <row r="3636" spans="1:60" ht="15.75" customHeight="1">
      <c r="A3636" s="1076"/>
      <c r="B3636" s="312"/>
      <c r="C3636" s="424"/>
      <c r="G3636" s="312"/>
      <c r="H3636" s="467"/>
      <c r="I3636" s="467"/>
      <c r="J3636" s="469"/>
      <c r="K3636" s="312"/>
      <c r="L3636" s="312"/>
      <c r="M3636" s="312"/>
      <c r="N3636" s="467"/>
      <c r="O3636" s="467"/>
      <c r="P3636" s="467"/>
      <c r="AL3636" s="436"/>
      <c r="AM3636" s="436"/>
      <c r="AQ3636" s="436"/>
      <c r="AR3636" s="436"/>
      <c r="AS3636" s="436"/>
      <c r="AT3636" s="436"/>
      <c r="AU3636" s="436"/>
      <c r="AV3636" s="436"/>
      <c r="AW3636" s="436"/>
      <c r="AX3636" s="436"/>
      <c r="AY3636" s="436"/>
      <c r="AZ3636" s="475"/>
      <c r="BA3636" s="475"/>
      <c r="BF3636" s="1119"/>
      <c r="BG3636" s="1119"/>
      <c r="BH3636" s="1119"/>
    </row>
    <row r="3637" spans="1:60" ht="15.75" customHeight="1">
      <c r="A3637" s="1076"/>
      <c r="B3637" s="312"/>
      <c r="C3637" s="424"/>
      <c r="G3637" s="312"/>
      <c r="H3637" s="467"/>
      <c r="I3637" s="467"/>
      <c r="J3637" s="469"/>
      <c r="K3637" s="312"/>
      <c r="L3637" s="312"/>
      <c r="M3637" s="312"/>
      <c r="N3637" s="467"/>
      <c r="O3637" s="467"/>
      <c r="P3637" s="467"/>
      <c r="AL3637" s="436"/>
      <c r="AM3637" s="436"/>
      <c r="AQ3637" s="436"/>
      <c r="AR3637" s="436"/>
      <c r="AS3637" s="436"/>
      <c r="AT3637" s="436"/>
      <c r="AU3637" s="436"/>
      <c r="AV3637" s="436"/>
      <c r="AW3637" s="436"/>
      <c r="AX3637" s="436"/>
      <c r="AY3637" s="436"/>
      <c r="AZ3637" s="475"/>
      <c r="BA3637" s="475"/>
      <c r="BF3637" s="1119"/>
      <c r="BG3637" s="1119"/>
      <c r="BH3637" s="1119"/>
    </row>
    <row r="3638" spans="1:60" ht="15.75" customHeight="1">
      <c r="A3638" s="1076"/>
      <c r="B3638" s="312"/>
      <c r="C3638" s="424"/>
      <c r="G3638" s="312"/>
      <c r="H3638" s="467"/>
      <c r="I3638" s="467"/>
      <c r="J3638" s="469"/>
      <c r="K3638" s="312"/>
      <c r="L3638" s="312"/>
      <c r="M3638" s="312"/>
      <c r="N3638" s="467"/>
      <c r="O3638" s="467"/>
      <c r="P3638" s="467"/>
      <c r="AL3638" s="436"/>
      <c r="AM3638" s="436"/>
      <c r="AQ3638" s="436"/>
      <c r="AR3638" s="436"/>
      <c r="AS3638" s="436"/>
      <c r="AT3638" s="436"/>
      <c r="AU3638" s="436"/>
      <c r="AV3638" s="436"/>
      <c r="AW3638" s="436"/>
      <c r="AX3638" s="436"/>
      <c r="AY3638" s="436"/>
      <c r="AZ3638" s="475"/>
      <c r="BA3638" s="475"/>
      <c r="BF3638" s="1119"/>
      <c r="BG3638" s="1119"/>
      <c r="BH3638" s="1119"/>
    </row>
    <row r="3639" spans="1:60" ht="15.75" customHeight="1">
      <c r="A3639" s="1076"/>
      <c r="B3639" s="312"/>
      <c r="C3639" s="424"/>
      <c r="G3639" s="312"/>
      <c r="H3639" s="467"/>
      <c r="I3639" s="467"/>
      <c r="J3639" s="469"/>
      <c r="K3639" s="312"/>
      <c r="L3639" s="312"/>
      <c r="M3639" s="312"/>
      <c r="N3639" s="467"/>
      <c r="O3639" s="467"/>
      <c r="P3639" s="467"/>
      <c r="AL3639" s="436"/>
      <c r="AM3639" s="436"/>
      <c r="AQ3639" s="436"/>
      <c r="AR3639" s="436"/>
      <c r="AS3639" s="436"/>
      <c r="AT3639" s="436"/>
      <c r="AU3639" s="436"/>
      <c r="AV3639" s="436"/>
      <c r="AW3639" s="436"/>
      <c r="AX3639" s="436"/>
      <c r="AY3639" s="436"/>
      <c r="AZ3639" s="475"/>
      <c r="BA3639" s="475"/>
      <c r="BF3639" s="1119"/>
      <c r="BG3639" s="1119"/>
      <c r="BH3639" s="1119"/>
    </row>
    <row r="3640" spans="1:60" ht="15.75" customHeight="1">
      <c r="A3640" s="1076"/>
      <c r="B3640" s="312"/>
      <c r="C3640" s="424"/>
      <c r="G3640" s="312"/>
      <c r="H3640" s="467"/>
      <c r="I3640" s="467"/>
      <c r="J3640" s="469"/>
      <c r="K3640" s="312"/>
      <c r="L3640" s="312"/>
      <c r="M3640" s="312"/>
      <c r="N3640" s="467"/>
      <c r="O3640" s="467"/>
      <c r="P3640" s="467"/>
      <c r="AL3640" s="436"/>
      <c r="AM3640" s="436"/>
      <c r="AQ3640" s="436"/>
      <c r="AR3640" s="436"/>
      <c r="AS3640" s="436"/>
      <c r="AT3640" s="436"/>
      <c r="AU3640" s="436"/>
      <c r="AV3640" s="436"/>
      <c r="AW3640" s="436"/>
      <c r="AX3640" s="436"/>
      <c r="AY3640" s="436"/>
      <c r="AZ3640" s="475"/>
      <c r="BA3640" s="475"/>
      <c r="BF3640" s="1119"/>
      <c r="BG3640" s="1119"/>
      <c r="BH3640" s="1119"/>
    </row>
    <row r="3641" spans="1:60" ht="15.75" customHeight="1">
      <c r="A3641" s="1076"/>
      <c r="B3641" s="312"/>
      <c r="C3641" s="424"/>
      <c r="G3641" s="312"/>
      <c r="H3641" s="467"/>
      <c r="I3641" s="467"/>
      <c r="J3641" s="469"/>
      <c r="K3641" s="312"/>
      <c r="L3641" s="312"/>
      <c r="M3641" s="312"/>
      <c r="N3641" s="467"/>
      <c r="O3641" s="467"/>
      <c r="P3641" s="467"/>
      <c r="AL3641" s="436"/>
      <c r="AM3641" s="436"/>
      <c r="AQ3641" s="436"/>
      <c r="AR3641" s="436"/>
      <c r="AS3641" s="436"/>
      <c r="AT3641" s="436"/>
      <c r="AU3641" s="436"/>
      <c r="AV3641" s="436"/>
      <c r="AW3641" s="436"/>
      <c r="AX3641" s="436"/>
      <c r="AY3641" s="436"/>
      <c r="AZ3641" s="475"/>
      <c r="BA3641" s="475"/>
      <c r="BF3641" s="1119"/>
      <c r="BG3641" s="1119"/>
      <c r="BH3641" s="1119"/>
    </row>
    <row r="3642" spans="1:60" ht="15.75" customHeight="1">
      <c r="A3642" s="1076"/>
      <c r="B3642" s="312"/>
      <c r="C3642" s="424"/>
      <c r="G3642" s="312"/>
      <c r="H3642" s="467"/>
      <c r="I3642" s="467"/>
      <c r="J3642" s="469"/>
      <c r="K3642" s="312"/>
      <c r="L3642" s="312"/>
      <c r="M3642" s="312"/>
      <c r="N3642" s="467"/>
      <c r="O3642" s="467"/>
      <c r="P3642" s="467"/>
      <c r="AL3642" s="436"/>
      <c r="AM3642" s="436"/>
      <c r="AQ3642" s="436"/>
      <c r="AR3642" s="436"/>
      <c r="AS3642" s="436"/>
      <c r="AT3642" s="436"/>
      <c r="AU3642" s="436"/>
      <c r="AV3642" s="436"/>
      <c r="AW3642" s="436"/>
      <c r="AX3642" s="436"/>
      <c r="AY3642" s="436"/>
      <c r="AZ3642" s="475"/>
      <c r="BA3642" s="475"/>
      <c r="BF3642" s="1119"/>
      <c r="BG3642" s="1119"/>
      <c r="BH3642" s="1119"/>
    </row>
    <row r="3643" spans="1:60" ht="15.75" customHeight="1">
      <c r="A3643" s="1076"/>
      <c r="B3643" s="312"/>
      <c r="C3643" s="424"/>
      <c r="G3643" s="312"/>
      <c r="H3643" s="467"/>
      <c r="I3643" s="467"/>
      <c r="J3643" s="469"/>
      <c r="K3643" s="312"/>
      <c r="L3643" s="312"/>
      <c r="M3643" s="312"/>
      <c r="N3643" s="467"/>
      <c r="O3643" s="467"/>
      <c r="P3643" s="467"/>
      <c r="AL3643" s="436"/>
      <c r="AM3643" s="436"/>
      <c r="AQ3643" s="436"/>
      <c r="AR3643" s="436"/>
      <c r="AS3643" s="436"/>
      <c r="AT3643" s="436"/>
      <c r="AU3643" s="436"/>
      <c r="AV3643" s="436"/>
      <c r="AW3643" s="436"/>
      <c r="AX3643" s="436"/>
      <c r="AY3643" s="436"/>
      <c r="AZ3643" s="475"/>
      <c r="BA3643" s="475"/>
      <c r="BF3643" s="1119"/>
      <c r="BG3643" s="1119"/>
      <c r="BH3643" s="1119"/>
    </row>
    <row r="3644" spans="1:60" ht="15.75" customHeight="1">
      <c r="A3644" s="1076"/>
      <c r="B3644" s="312"/>
      <c r="C3644" s="424"/>
      <c r="G3644" s="312"/>
      <c r="H3644" s="467"/>
      <c r="I3644" s="467"/>
      <c r="J3644" s="469"/>
      <c r="K3644" s="312"/>
      <c r="L3644" s="312"/>
      <c r="M3644" s="312"/>
      <c r="N3644" s="467"/>
      <c r="O3644" s="467"/>
      <c r="P3644" s="467"/>
      <c r="AL3644" s="436"/>
      <c r="AM3644" s="436"/>
      <c r="AQ3644" s="436"/>
      <c r="AR3644" s="436"/>
      <c r="AS3644" s="436"/>
      <c r="AT3644" s="436"/>
      <c r="AU3644" s="436"/>
      <c r="AV3644" s="436"/>
      <c r="AW3644" s="436"/>
      <c r="AX3644" s="436"/>
      <c r="AY3644" s="436"/>
      <c r="AZ3644" s="475"/>
      <c r="BA3644" s="475"/>
      <c r="BF3644" s="1119"/>
      <c r="BG3644" s="1119"/>
      <c r="BH3644" s="1119"/>
    </row>
    <row r="3645" spans="1:60" ht="15.75" customHeight="1">
      <c r="A3645" s="1076"/>
      <c r="B3645" s="312"/>
      <c r="C3645" s="424"/>
      <c r="G3645" s="312"/>
      <c r="H3645" s="467"/>
      <c r="I3645" s="467"/>
      <c r="J3645" s="469"/>
      <c r="K3645" s="312"/>
      <c r="L3645" s="312"/>
      <c r="M3645" s="312"/>
      <c r="N3645" s="467"/>
      <c r="O3645" s="467"/>
      <c r="P3645" s="467"/>
      <c r="AL3645" s="436"/>
      <c r="AM3645" s="436"/>
      <c r="AQ3645" s="436"/>
      <c r="AR3645" s="436"/>
      <c r="AS3645" s="436"/>
      <c r="AT3645" s="436"/>
      <c r="AU3645" s="436"/>
      <c r="AV3645" s="436"/>
      <c r="AW3645" s="436"/>
      <c r="AX3645" s="436"/>
      <c r="AY3645" s="436"/>
      <c r="AZ3645" s="475"/>
      <c r="BA3645" s="475"/>
      <c r="BF3645" s="1119"/>
      <c r="BG3645" s="1119"/>
      <c r="BH3645" s="1119"/>
    </row>
    <row r="3646" spans="1:60" ht="15.75" customHeight="1">
      <c r="A3646" s="1076"/>
      <c r="B3646" s="312"/>
      <c r="C3646" s="424"/>
      <c r="G3646" s="312"/>
      <c r="H3646" s="467"/>
      <c r="I3646" s="467"/>
      <c r="J3646" s="469"/>
      <c r="K3646" s="312"/>
      <c r="L3646" s="312"/>
      <c r="M3646" s="312"/>
      <c r="N3646" s="467"/>
      <c r="O3646" s="467"/>
      <c r="P3646" s="467"/>
      <c r="AL3646" s="436"/>
      <c r="AM3646" s="436"/>
      <c r="AQ3646" s="436"/>
      <c r="AR3646" s="436"/>
      <c r="AS3646" s="436"/>
      <c r="AT3646" s="436"/>
      <c r="AU3646" s="436"/>
      <c r="AV3646" s="436"/>
      <c r="AW3646" s="436"/>
      <c r="AX3646" s="436"/>
      <c r="AY3646" s="436"/>
      <c r="AZ3646" s="475"/>
      <c r="BA3646" s="475"/>
      <c r="BF3646" s="1119"/>
      <c r="BG3646" s="1119"/>
      <c r="BH3646" s="1119"/>
    </row>
    <row r="3647" spans="1:60" ht="15.75" customHeight="1">
      <c r="A3647" s="1076"/>
      <c r="B3647" s="312"/>
      <c r="C3647" s="424"/>
      <c r="G3647" s="312"/>
      <c r="H3647" s="467"/>
      <c r="I3647" s="467"/>
      <c r="J3647" s="469"/>
      <c r="K3647" s="312"/>
      <c r="L3647" s="312"/>
      <c r="M3647" s="312"/>
      <c r="N3647" s="467"/>
      <c r="O3647" s="467"/>
      <c r="P3647" s="467"/>
      <c r="AL3647" s="436"/>
      <c r="AM3647" s="436"/>
      <c r="AQ3647" s="436"/>
      <c r="AR3647" s="436"/>
      <c r="AS3647" s="436"/>
      <c r="AT3647" s="436"/>
      <c r="AU3647" s="436"/>
      <c r="AV3647" s="436"/>
      <c r="AW3647" s="436"/>
      <c r="AX3647" s="436"/>
      <c r="AY3647" s="436"/>
      <c r="AZ3647" s="475"/>
      <c r="BA3647" s="475"/>
      <c r="BF3647" s="1119"/>
      <c r="BG3647" s="1119"/>
      <c r="BH3647" s="1119"/>
    </row>
    <row r="3648" spans="1:60" ht="15.75" customHeight="1">
      <c r="A3648" s="1076"/>
      <c r="B3648" s="312"/>
      <c r="C3648" s="424"/>
      <c r="G3648" s="312"/>
      <c r="H3648" s="467"/>
      <c r="I3648" s="467"/>
      <c r="J3648" s="469"/>
      <c r="K3648" s="312"/>
      <c r="L3648" s="312"/>
      <c r="M3648" s="312"/>
      <c r="N3648" s="467"/>
      <c r="O3648" s="467"/>
      <c r="P3648" s="467"/>
      <c r="AL3648" s="436"/>
      <c r="AM3648" s="436"/>
      <c r="AQ3648" s="436"/>
      <c r="AR3648" s="436"/>
      <c r="AS3648" s="436"/>
      <c r="AT3648" s="436"/>
      <c r="AU3648" s="436"/>
      <c r="AV3648" s="436"/>
      <c r="AW3648" s="436"/>
      <c r="AX3648" s="436"/>
      <c r="AY3648" s="436"/>
      <c r="AZ3648" s="475"/>
      <c r="BA3648" s="475"/>
      <c r="BF3648" s="1119"/>
      <c r="BG3648" s="1119"/>
      <c r="BH3648" s="1119"/>
    </row>
    <row r="3649" spans="1:60" ht="15.75" customHeight="1">
      <c r="A3649" s="1076"/>
      <c r="B3649" s="312"/>
      <c r="C3649" s="424"/>
      <c r="G3649" s="312"/>
      <c r="H3649" s="467"/>
      <c r="I3649" s="467"/>
      <c r="J3649" s="469"/>
      <c r="K3649" s="312"/>
      <c r="L3649" s="312"/>
      <c r="M3649" s="312"/>
      <c r="N3649" s="467"/>
      <c r="O3649" s="467"/>
      <c r="P3649" s="467"/>
      <c r="AL3649" s="436"/>
      <c r="AM3649" s="436"/>
      <c r="AQ3649" s="436"/>
      <c r="AR3649" s="436"/>
      <c r="AS3649" s="436"/>
      <c r="AT3649" s="436"/>
      <c r="AU3649" s="436"/>
      <c r="AV3649" s="436"/>
      <c r="AW3649" s="436"/>
      <c r="AX3649" s="436"/>
      <c r="AY3649" s="436"/>
      <c r="AZ3649" s="475"/>
      <c r="BA3649" s="475"/>
      <c r="BF3649" s="1119"/>
      <c r="BG3649" s="1119"/>
      <c r="BH3649" s="1119"/>
    </row>
    <row r="3650" spans="1:60" ht="15.75" customHeight="1">
      <c r="A3650" s="1076"/>
      <c r="B3650" s="312"/>
      <c r="C3650" s="424"/>
      <c r="G3650" s="312"/>
      <c r="H3650" s="467"/>
      <c r="I3650" s="467"/>
      <c r="J3650" s="469"/>
      <c r="K3650" s="312"/>
      <c r="L3650" s="312"/>
      <c r="M3650" s="312"/>
      <c r="N3650" s="467"/>
      <c r="O3650" s="467"/>
      <c r="P3650" s="467"/>
      <c r="AL3650" s="436"/>
      <c r="AM3650" s="436"/>
      <c r="AQ3650" s="436"/>
      <c r="AR3650" s="436"/>
      <c r="AS3650" s="436"/>
      <c r="AT3650" s="436"/>
      <c r="AU3650" s="436"/>
      <c r="AV3650" s="436"/>
      <c r="AW3650" s="436"/>
      <c r="AX3650" s="436"/>
      <c r="AY3650" s="436"/>
      <c r="AZ3650" s="475"/>
      <c r="BA3650" s="475"/>
      <c r="BF3650" s="1119"/>
      <c r="BG3650" s="1119"/>
      <c r="BH3650" s="1119"/>
    </row>
    <row r="3651" spans="1:60" ht="15.75" customHeight="1">
      <c r="A3651" s="1076"/>
      <c r="B3651" s="312"/>
      <c r="C3651" s="424"/>
      <c r="G3651" s="312"/>
      <c r="H3651" s="467"/>
      <c r="I3651" s="467"/>
      <c r="J3651" s="469"/>
      <c r="K3651" s="312"/>
      <c r="L3651" s="312"/>
      <c r="M3651" s="312"/>
      <c r="N3651" s="467"/>
      <c r="O3651" s="467"/>
      <c r="P3651" s="467"/>
      <c r="AL3651" s="436"/>
      <c r="AM3651" s="436"/>
      <c r="AQ3651" s="436"/>
      <c r="AR3651" s="436"/>
      <c r="AS3651" s="436"/>
      <c r="AT3651" s="436"/>
      <c r="AU3651" s="436"/>
      <c r="AV3651" s="436"/>
      <c r="AW3651" s="436"/>
      <c r="AX3651" s="436"/>
      <c r="AY3651" s="436"/>
      <c r="AZ3651" s="475"/>
      <c r="BA3651" s="475"/>
      <c r="BF3651" s="1119"/>
      <c r="BG3651" s="1119"/>
      <c r="BH3651" s="1119"/>
    </row>
    <row r="3652" spans="1:60" ht="15.75" customHeight="1">
      <c r="A3652" s="1076"/>
      <c r="B3652" s="312"/>
      <c r="C3652" s="424"/>
      <c r="G3652" s="312"/>
      <c r="H3652" s="467"/>
      <c r="I3652" s="467"/>
      <c r="J3652" s="469"/>
      <c r="K3652" s="312"/>
      <c r="L3652" s="312"/>
      <c r="M3652" s="312"/>
      <c r="N3652" s="467"/>
      <c r="O3652" s="467"/>
      <c r="P3652" s="467"/>
      <c r="AL3652" s="436"/>
      <c r="AM3652" s="436"/>
      <c r="AQ3652" s="436"/>
      <c r="AR3652" s="436"/>
      <c r="AS3652" s="436"/>
      <c r="AT3652" s="436"/>
      <c r="AU3652" s="436"/>
      <c r="AV3652" s="436"/>
      <c r="AW3652" s="436"/>
      <c r="AX3652" s="436"/>
      <c r="AY3652" s="436"/>
      <c r="AZ3652" s="475"/>
      <c r="BA3652" s="475"/>
      <c r="BF3652" s="1119"/>
      <c r="BG3652" s="1119"/>
      <c r="BH3652" s="1119"/>
    </row>
    <row r="3653" spans="1:60" ht="15.75" customHeight="1">
      <c r="A3653" s="1076"/>
      <c r="B3653" s="312"/>
      <c r="C3653" s="424"/>
      <c r="G3653" s="312"/>
      <c r="H3653" s="467"/>
      <c r="I3653" s="467"/>
      <c r="J3653" s="469"/>
      <c r="K3653" s="312"/>
      <c r="L3653" s="312"/>
      <c r="M3653" s="312"/>
      <c r="N3653" s="467"/>
      <c r="O3653" s="467"/>
      <c r="P3653" s="467"/>
      <c r="AL3653" s="436"/>
      <c r="AM3653" s="436"/>
      <c r="AQ3653" s="436"/>
      <c r="AR3653" s="436"/>
      <c r="AS3653" s="436"/>
      <c r="AT3653" s="436"/>
      <c r="AU3653" s="436"/>
      <c r="AV3653" s="436"/>
      <c r="AW3653" s="436"/>
      <c r="AX3653" s="436"/>
      <c r="AY3653" s="436"/>
      <c r="AZ3653" s="475"/>
      <c r="BA3653" s="475"/>
      <c r="BF3653" s="1119"/>
      <c r="BG3653" s="1119"/>
      <c r="BH3653" s="1119"/>
    </row>
    <row r="3654" spans="1:60" ht="15.75" customHeight="1">
      <c r="A3654" s="1076"/>
      <c r="B3654" s="312"/>
      <c r="C3654" s="424"/>
      <c r="G3654" s="312"/>
      <c r="H3654" s="467"/>
      <c r="I3654" s="467"/>
      <c r="J3654" s="469"/>
      <c r="K3654" s="312"/>
      <c r="L3654" s="312"/>
      <c r="M3654" s="312"/>
      <c r="N3654" s="467"/>
      <c r="O3654" s="467"/>
      <c r="P3654" s="467"/>
      <c r="AL3654" s="436"/>
      <c r="AM3654" s="436"/>
      <c r="AQ3654" s="436"/>
      <c r="AR3654" s="436"/>
      <c r="AS3654" s="436"/>
      <c r="AT3654" s="436"/>
      <c r="AU3654" s="436"/>
      <c r="AV3654" s="436"/>
      <c r="AW3654" s="436"/>
      <c r="AX3654" s="436"/>
      <c r="AY3654" s="436"/>
      <c r="AZ3654" s="475"/>
      <c r="BA3654" s="475"/>
      <c r="BF3654" s="1119"/>
      <c r="BG3654" s="1119"/>
      <c r="BH3654" s="1119"/>
    </row>
    <row r="3655" spans="1:60" ht="15.75" customHeight="1">
      <c r="A3655" s="1076"/>
      <c r="B3655" s="312"/>
      <c r="C3655" s="424"/>
      <c r="G3655" s="312"/>
      <c r="H3655" s="467"/>
      <c r="I3655" s="467"/>
      <c r="J3655" s="469"/>
      <c r="K3655" s="312"/>
      <c r="L3655" s="312"/>
      <c r="M3655" s="312"/>
      <c r="N3655" s="467"/>
      <c r="O3655" s="467"/>
      <c r="P3655" s="467"/>
      <c r="AL3655" s="436"/>
      <c r="AM3655" s="436"/>
      <c r="AQ3655" s="436"/>
      <c r="AR3655" s="436"/>
      <c r="AS3655" s="436"/>
      <c r="AT3655" s="436"/>
      <c r="AU3655" s="436"/>
      <c r="AV3655" s="436"/>
      <c r="AW3655" s="436"/>
      <c r="AX3655" s="436"/>
      <c r="AY3655" s="436"/>
      <c r="AZ3655" s="475"/>
      <c r="BA3655" s="475"/>
      <c r="BF3655" s="1119"/>
      <c r="BG3655" s="1119"/>
      <c r="BH3655" s="1119"/>
    </row>
    <row r="3656" spans="1:60" ht="15.75" customHeight="1">
      <c r="A3656" s="1076"/>
      <c r="B3656" s="312"/>
      <c r="C3656" s="424"/>
      <c r="G3656" s="312"/>
      <c r="H3656" s="467"/>
      <c r="I3656" s="467"/>
      <c r="J3656" s="469"/>
      <c r="K3656" s="312"/>
      <c r="L3656" s="312"/>
      <c r="M3656" s="312"/>
      <c r="N3656" s="467"/>
      <c r="O3656" s="467"/>
      <c r="P3656" s="467"/>
      <c r="AL3656" s="436"/>
      <c r="AM3656" s="436"/>
      <c r="AQ3656" s="436"/>
      <c r="AR3656" s="436"/>
      <c r="AS3656" s="436"/>
      <c r="AT3656" s="436"/>
      <c r="AU3656" s="436"/>
      <c r="AV3656" s="436"/>
      <c r="AW3656" s="436"/>
      <c r="AX3656" s="436"/>
      <c r="AY3656" s="436"/>
      <c r="AZ3656" s="475"/>
      <c r="BA3656" s="475"/>
      <c r="BF3656" s="1119"/>
      <c r="BG3656" s="1119"/>
      <c r="BH3656" s="1119"/>
    </row>
    <row r="3657" spans="1:60" ht="15.75" customHeight="1">
      <c r="A3657" s="1076"/>
      <c r="B3657" s="312"/>
      <c r="C3657" s="424"/>
      <c r="G3657" s="312"/>
      <c r="H3657" s="467"/>
      <c r="I3657" s="467"/>
      <c r="J3657" s="469"/>
      <c r="K3657" s="312"/>
      <c r="L3657" s="312"/>
      <c r="M3657" s="312"/>
      <c r="N3657" s="467"/>
      <c r="O3657" s="467"/>
      <c r="P3657" s="467"/>
      <c r="AL3657" s="436"/>
      <c r="AM3657" s="436"/>
      <c r="AQ3657" s="436"/>
      <c r="AR3657" s="436"/>
      <c r="AS3657" s="436"/>
      <c r="AT3657" s="436"/>
      <c r="AU3657" s="436"/>
      <c r="AV3657" s="436"/>
      <c r="AW3657" s="436"/>
      <c r="AX3657" s="436"/>
      <c r="AY3657" s="436"/>
      <c r="AZ3657" s="475"/>
      <c r="BA3657" s="475"/>
      <c r="BF3657" s="1119"/>
      <c r="BG3657" s="1119"/>
      <c r="BH3657" s="1119"/>
    </row>
    <row r="3658" spans="1:60" ht="15.75" customHeight="1">
      <c r="A3658" s="1076"/>
      <c r="B3658" s="312"/>
      <c r="C3658" s="424"/>
      <c r="G3658" s="312"/>
      <c r="H3658" s="467"/>
      <c r="I3658" s="467"/>
      <c r="J3658" s="469"/>
      <c r="K3658" s="312"/>
      <c r="L3658" s="312"/>
      <c r="M3658" s="312"/>
      <c r="N3658" s="467"/>
      <c r="O3658" s="467"/>
      <c r="P3658" s="467"/>
      <c r="AL3658" s="436"/>
      <c r="AM3658" s="436"/>
      <c r="AQ3658" s="436"/>
      <c r="AR3658" s="436"/>
      <c r="AS3658" s="436"/>
      <c r="AT3658" s="436"/>
      <c r="AU3658" s="436"/>
      <c r="AV3658" s="436"/>
      <c r="AW3658" s="436"/>
      <c r="AX3658" s="436"/>
      <c r="AY3658" s="436"/>
      <c r="AZ3658" s="475"/>
      <c r="BA3658" s="475"/>
      <c r="BF3658" s="1119"/>
      <c r="BG3658" s="1119"/>
      <c r="BH3658" s="1119"/>
    </row>
    <row r="3659" spans="1:60" ht="15.75" customHeight="1">
      <c r="A3659" s="1076"/>
      <c r="B3659" s="312"/>
      <c r="C3659" s="424"/>
      <c r="G3659" s="312"/>
      <c r="H3659" s="467"/>
      <c r="I3659" s="467"/>
      <c r="J3659" s="469"/>
      <c r="K3659" s="312"/>
      <c r="L3659" s="312"/>
      <c r="M3659" s="312"/>
      <c r="N3659" s="467"/>
      <c r="O3659" s="467"/>
      <c r="P3659" s="467"/>
      <c r="AL3659" s="436"/>
      <c r="AM3659" s="436"/>
      <c r="AQ3659" s="436"/>
      <c r="AR3659" s="436"/>
      <c r="AS3659" s="436"/>
      <c r="AT3659" s="436"/>
      <c r="AU3659" s="436"/>
      <c r="AV3659" s="436"/>
      <c r="AW3659" s="436"/>
      <c r="AX3659" s="436"/>
      <c r="AY3659" s="436"/>
      <c r="AZ3659" s="475"/>
      <c r="BA3659" s="475"/>
      <c r="BF3659" s="1119"/>
      <c r="BG3659" s="1119"/>
      <c r="BH3659" s="1119"/>
    </row>
    <row r="3660" spans="1:60" ht="15.75" customHeight="1">
      <c r="A3660" s="1076"/>
      <c r="B3660" s="312"/>
      <c r="C3660" s="424"/>
      <c r="G3660" s="312"/>
      <c r="H3660" s="467"/>
      <c r="I3660" s="467"/>
      <c r="J3660" s="469"/>
      <c r="K3660" s="312"/>
      <c r="L3660" s="312"/>
      <c r="M3660" s="312"/>
      <c r="N3660" s="467"/>
      <c r="O3660" s="467"/>
      <c r="P3660" s="467"/>
      <c r="AL3660" s="436"/>
      <c r="AM3660" s="436"/>
      <c r="AQ3660" s="436"/>
      <c r="AR3660" s="436"/>
      <c r="AS3660" s="436"/>
      <c r="AT3660" s="436"/>
      <c r="AU3660" s="436"/>
      <c r="AV3660" s="436"/>
      <c r="AW3660" s="436"/>
      <c r="AX3660" s="436"/>
      <c r="AY3660" s="436"/>
      <c r="AZ3660" s="475"/>
      <c r="BA3660" s="475"/>
      <c r="BF3660" s="1119"/>
      <c r="BG3660" s="1119"/>
      <c r="BH3660" s="1119"/>
    </row>
    <row r="3661" spans="1:60" ht="15.75" customHeight="1">
      <c r="A3661" s="1076"/>
      <c r="B3661" s="312"/>
      <c r="C3661" s="424"/>
      <c r="G3661" s="312"/>
      <c r="H3661" s="467"/>
      <c r="I3661" s="467"/>
      <c r="J3661" s="469"/>
      <c r="K3661" s="312"/>
      <c r="L3661" s="312"/>
      <c r="M3661" s="312"/>
      <c r="N3661" s="467"/>
      <c r="O3661" s="467"/>
      <c r="P3661" s="467"/>
      <c r="AL3661" s="436"/>
      <c r="AM3661" s="436"/>
      <c r="AQ3661" s="436"/>
      <c r="AR3661" s="436"/>
      <c r="AS3661" s="436"/>
      <c r="AT3661" s="436"/>
      <c r="AU3661" s="436"/>
      <c r="AV3661" s="436"/>
      <c r="AW3661" s="436"/>
      <c r="AX3661" s="436"/>
      <c r="AY3661" s="436"/>
      <c r="AZ3661" s="475"/>
      <c r="BA3661" s="475"/>
      <c r="BF3661" s="1119"/>
      <c r="BG3661" s="1119"/>
      <c r="BH3661" s="1119"/>
    </row>
    <row r="3662" spans="1:60" ht="15.75" customHeight="1">
      <c r="A3662" s="1076"/>
      <c r="B3662" s="312"/>
      <c r="C3662" s="424"/>
      <c r="G3662" s="312"/>
      <c r="H3662" s="467"/>
      <c r="I3662" s="467"/>
      <c r="J3662" s="469"/>
      <c r="K3662" s="312"/>
      <c r="L3662" s="312"/>
      <c r="M3662" s="312"/>
      <c r="N3662" s="467"/>
      <c r="O3662" s="467"/>
      <c r="P3662" s="467"/>
      <c r="AL3662" s="436"/>
      <c r="AM3662" s="436"/>
      <c r="AQ3662" s="436"/>
      <c r="AR3662" s="436"/>
      <c r="AS3662" s="436"/>
      <c r="AT3662" s="436"/>
      <c r="AU3662" s="436"/>
      <c r="AV3662" s="436"/>
      <c r="AW3662" s="436"/>
      <c r="AX3662" s="436"/>
      <c r="AY3662" s="436"/>
      <c r="AZ3662" s="475"/>
      <c r="BA3662" s="475"/>
      <c r="BF3662" s="1119"/>
      <c r="BG3662" s="1119"/>
      <c r="BH3662" s="1119"/>
    </row>
    <row r="3663" spans="1:60" ht="15.75" customHeight="1">
      <c r="A3663" s="1076"/>
      <c r="B3663" s="312"/>
      <c r="C3663" s="424"/>
      <c r="G3663" s="312"/>
      <c r="H3663" s="467"/>
      <c r="I3663" s="467"/>
      <c r="J3663" s="469"/>
      <c r="K3663" s="312"/>
      <c r="L3663" s="312"/>
      <c r="M3663" s="312"/>
      <c r="N3663" s="467"/>
      <c r="O3663" s="467"/>
      <c r="P3663" s="467"/>
      <c r="AL3663" s="436"/>
      <c r="AM3663" s="436"/>
      <c r="AQ3663" s="436"/>
      <c r="AR3663" s="436"/>
      <c r="AS3663" s="436"/>
      <c r="AT3663" s="436"/>
      <c r="AU3663" s="436"/>
      <c r="AV3663" s="436"/>
      <c r="AW3663" s="436"/>
      <c r="AX3663" s="436"/>
      <c r="AY3663" s="436"/>
      <c r="AZ3663" s="475"/>
      <c r="BA3663" s="475"/>
      <c r="BF3663" s="1119"/>
      <c r="BG3663" s="1119"/>
      <c r="BH3663" s="1119"/>
    </row>
    <row r="3664" spans="1:60" ht="15.75" customHeight="1">
      <c r="A3664" s="1076"/>
      <c r="B3664" s="312"/>
      <c r="C3664" s="424"/>
      <c r="G3664" s="312"/>
      <c r="H3664" s="467"/>
      <c r="I3664" s="467"/>
      <c r="J3664" s="469"/>
      <c r="K3664" s="312"/>
      <c r="L3664" s="312"/>
      <c r="M3664" s="312"/>
      <c r="N3664" s="467"/>
      <c r="O3664" s="467"/>
      <c r="P3664" s="467"/>
      <c r="AL3664" s="436"/>
      <c r="AM3664" s="436"/>
      <c r="AQ3664" s="436"/>
      <c r="AR3664" s="436"/>
      <c r="AS3664" s="436"/>
      <c r="AT3664" s="436"/>
      <c r="AU3664" s="436"/>
      <c r="AV3664" s="436"/>
      <c r="AW3664" s="436"/>
      <c r="AX3664" s="436"/>
      <c r="AY3664" s="436"/>
      <c r="AZ3664" s="475"/>
      <c r="BA3664" s="475"/>
      <c r="BF3664" s="1119"/>
      <c r="BG3664" s="1119"/>
      <c r="BH3664" s="1119"/>
    </row>
    <row r="3665" spans="1:60" ht="15.75" customHeight="1">
      <c r="A3665" s="1076"/>
      <c r="B3665" s="312"/>
      <c r="C3665" s="424"/>
      <c r="G3665" s="312"/>
      <c r="H3665" s="467"/>
      <c r="I3665" s="467"/>
      <c r="J3665" s="469"/>
      <c r="K3665" s="312"/>
      <c r="L3665" s="312"/>
      <c r="M3665" s="312"/>
      <c r="N3665" s="467"/>
      <c r="O3665" s="467"/>
      <c r="P3665" s="467"/>
      <c r="AL3665" s="436"/>
      <c r="AM3665" s="436"/>
      <c r="AQ3665" s="436"/>
      <c r="AR3665" s="436"/>
      <c r="AS3665" s="436"/>
      <c r="AT3665" s="436"/>
      <c r="AU3665" s="436"/>
      <c r="AV3665" s="436"/>
      <c r="AW3665" s="436"/>
      <c r="AX3665" s="436"/>
      <c r="AY3665" s="436"/>
      <c r="AZ3665" s="475"/>
      <c r="BA3665" s="475"/>
      <c r="BF3665" s="1119"/>
      <c r="BG3665" s="1119"/>
      <c r="BH3665" s="1119"/>
    </row>
    <row r="3666" spans="1:60" ht="15.75" customHeight="1">
      <c r="A3666" s="1076"/>
      <c r="B3666" s="312"/>
      <c r="C3666" s="424"/>
      <c r="G3666" s="312"/>
      <c r="H3666" s="467"/>
      <c r="I3666" s="467"/>
      <c r="J3666" s="469"/>
      <c r="K3666" s="312"/>
      <c r="L3666" s="312"/>
      <c r="M3666" s="312"/>
      <c r="N3666" s="467"/>
      <c r="O3666" s="467"/>
      <c r="P3666" s="467"/>
      <c r="AL3666" s="436"/>
      <c r="AM3666" s="436"/>
      <c r="AQ3666" s="436"/>
      <c r="AR3666" s="436"/>
      <c r="AS3666" s="436"/>
      <c r="AT3666" s="436"/>
      <c r="AU3666" s="436"/>
      <c r="AV3666" s="436"/>
      <c r="AW3666" s="436"/>
      <c r="AX3666" s="436"/>
      <c r="AY3666" s="436"/>
      <c r="AZ3666" s="475"/>
      <c r="BA3666" s="475"/>
      <c r="BF3666" s="1119"/>
      <c r="BG3666" s="1119"/>
      <c r="BH3666" s="1119"/>
    </row>
    <row r="3667" spans="1:60" ht="15.75" customHeight="1">
      <c r="A3667" s="1076"/>
      <c r="B3667" s="312"/>
      <c r="C3667" s="424"/>
      <c r="G3667" s="312"/>
      <c r="H3667" s="467"/>
      <c r="I3667" s="467"/>
      <c r="J3667" s="469"/>
      <c r="K3667" s="312"/>
      <c r="L3667" s="312"/>
      <c r="M3667" s="312"/>
      <c r="N3667" s="467"/>
      <c r="O3667" s="467"/>
      <c r="P3667" s="467"/>
      <c r="AL3667" s="436"/>
      <c r="AM3667" s="436"/>
      <c r="AQ3667" s="436"/>
      <c r="AR3667" s="436"/>
      <c r="AS3667" s="436"/>
      <c r="AT3667" s="436"/>
      <c r="AU3667" s="436"/>
      <c r="AV3667" s="436"/>
      <c r="AW3667" s="436"/>
      <c r="AX3667" s="436"/>
      <c r="AY3667" s="436"/>
      <c r="AZ3667" s="475"/>
      <c r="BA3667" s="475"/>
      <c r="BF3667" s="1119"/>
      <c r="BG3667" s="1119"/>
      <c r="BH3667" s="1119"/>
    </row>
    <row r="3668" spans="1:60" ht="15.75" customHeight="1">
      <c r="A3668" s="1076"/>
      <c r="B3668" s="312"/>
      <c r="C3668" s="424"/>
      <c r="G3668" s="312"/>
      <c r="H3668" s="467"/>
      <c r="I3668" s="467"/>
      <c r="J3668" s="469"/>
      <c r="K3668" s="312"/>
      <c r="L3668" s="312"/>
      <c r="M3668" s="312"/>
      <c r="N3668" s="467"/>
      <c r="O3668" s="467"/>
      <c r="P3668" s="467"/>
      <c r="AL3668" s="436"/>
      <c r="AM3668" s="436"/>
      <c r="AQ3668" s="436"/>
      <c r="AR3668" s="436"/>
      <c r="AS3668" s="436"/>
      <c r="AT3668" s="436"/>
      <c r="AU3668" s="436"/>
      <c r="AV3668" s="436"/>
      <c r="AW3668" s="436"/>
      <c r="AX3668" s="436"/>
      <c r="AY3668" s="436"/>
      <c r="AZ3668" s="475"/>
      <c r="BA3668" s="475"/>
      <c r="BF3668" s="1119"/>
      <c r="BG3668" s="1119"/>
      <c r="BH3668" s="1119"/>
    </row>
    <row r="3669" spans="1:60" ht="15.75" customHeight="1">
      <c r="A3669" s="1076"/>
      <c r="B3669" s="312"/>
      <c r="C3669" s="424"/>
      <c r="G3669" s="312"/>
      <c r="H3669" s="467"/>
      <c r="I3669" s="467"/>
      <c r="J3669" s="469"/>
      <c r="K3669" s="312"/>
      <c r="L3669" s="312"/>
      <c r="M3669" s="312"/>
      <c r="N3669" s="467"/>
      <c r="O3669" s="467"/>
      <c r="P3669" s="467"/>
      <c r="AL3669" s="436"/>
      <c r="AM3669" s="436"/>
      <c r="AQ3669" s="436"/>
      <c r="AR3669" s="436"/>
      <c r="AS3669" s="436"/>
      <c r="AT3669" s="436"/>
      <c r="AU3669" s="436"/>
      <c r="AV3669" s="436"/>
      <c r="AW3669" s="436"/>
      <c r="AX3669" s="436"/>
      <c r="AY3669" s="436"/>
      <c r="AZ3669" s="475"/>
      <c r="BA3669" s="475"/>
      <c r="BF3669" s="1119"/>
      <c r="BG3669" s="1119"/>
      <c r="BH3669" s="1119"/>
    </row>
    <row r="3670" spans="1:60" ht="15.75" customHeight="1">
      <c r="A3670" s="1076"/>
      <c r="B3670" s="312"/>
      <c r="C3670" s="424"/>
      <c r="G3670" s="312"/>
      <c r="H3670" s="467"/>
      <c r="I3670" s="467"/>
      <c r="J3670" s="469"/>
      <c r="K3670" s="312"/>
      <c r="L3670" s="312"/>
      <c r="M3670" s="312"/>
      <c r="N3670" s="467"/>
      <c r="O3670" s="467"/>
      <c r="P3670" s="467"/>
      <c r="AL3670" s="436"/>
      <c r="AM3670" s="436"/>
      <c r="AQ3670" s="436"/>
      <c r="AR3670" s="436"/>
      <c r="AS3670" s="436"/>
      <c r="AT3670" s="436"/>
      <c r="AU3670" s="436"/>
      <c r="AV3670" s="436"/>
      <c r="AW3670" s="436"/>
      <c r="AX3670" s="436"/>
      <c r="AY3670" s="436"/>
      <c r="AZ3670" s="475"/>
      <c r="BA3670" s="475"/>
      <c r="BF3670" s="1119"/>
      <c r="BG3670" s="1119"/>
      <c r="BH3670" s="1119"/>
    </row>
    <row r="3671" spans="1:60" ht="15.75" customHeight="1">
      <c r="A3671" s="1076"/>
      <c r="B3671" s="312"/>
      <c r="C3671" s="424"/>
      <c r="G3671" s="312"/>
      <c r="H3671" s="467"/>
      <c r="I3671" s="467"/>
      <c r="J3671" s="469"/>
      <c r="K3671" s="312"/>
      <c r="L3671" s="312"/>
      <c r="M3671" s="312"/>
      <c r="N3671" s="467"/>
      <c r="O3671" s="467"/>
      <c r="P3671" s="467"/>
      <c r="AL3671" s="436"/>
      <c r="AM3671" s="436"/>
      <c r="AQ3671" s="436"/>
      <c r="AR3671" s="436"/>
      <c r="AS3671" s="436"/>
      <c r="AT3671" s="436"/>
      <c r="AU3671" s="436"/>
      <c r="AV3671" s="436"/>
      <c r="AW3671" s="436"/>
      <c r="AX3671" s="436"/>
      <c r="AY3671" s="436"/>
      <c r="AZ3671" s="475"/>
      <c r="BA3671" s="475"/>
      <c r="BF3671" s="1119"/>
      <c r="BG3671" s="1119"/>
      <c r="BH3671" s="1119"/>
    </row>
    <row r="3672" spans="1:60" ht="15.75" customHeight="1">
      <c r="A3672" s="1076"/>
      <c r="B3672" s="312"/>
      <c r="C3672" s="424"/>
      <c r="G3672" s="312"/>
      <c r="H3672" s="467"/>
      <c r="I3672" s="467"/>
      <c r="J3672" s="469"/>
      <c r="K3672" s="312"/>
      <c r="L3672" s="312"/>
      <c r="M3672" s="312"/>
      <c r="N3672" s="467"/>
      <c r="O3672" s="467"/>
      <c r="P3672" s="467"/>
      <c r="AL3672" s="436"/>
      <c r="AM3672" s="436"/>
      <c r="AQ3672" s="436"/>
      <c r="AR3672" s="436"/>
      <c r="AS3672" s="436"/>
      <c r="AT3672" s="436"/>
      <c r="AU3672" s="436"/>
      <c r="AV3672" s="436"/>
      <c r="AW3672" s="436"/>
      <c r="AX3672" s="436"/>
      <c r="AY3672" s="436"/>
      <c r="AZ3672" s="475"/>
      <c r="BA3672" s="475"/>
      <c r="BF3672" s="1119"/>
      <c r="BG3672" s="1119"/>
      <c r="BH3672" s="1119"/>
    </row>
    <row r="3673" spans="1:60" ht="15.75" customHeight="1">
      <c r="A3673" s="1076"/>
      <c r="B3673" s="312"/>
      <c r="C3673" s="424"/>
      <c r="G3673" s="312"/>
      <c r="H3673" s="467"/>
      <c r="I3673" s="467"/>
      <c r="J3673" s="469"/>
      <c r="K3673" s="312"/>
      <c r="L3673" s="312"/>
      <c r="M3673" s="312"/>
      <c r="N3673" s="467"/>
      <c r="O3673" s="467"/>
      <c r="P3673" s="467"/>
      <c r="AL3673" s="436"/>
      <c r="AM3673" s="436"/>
      <c r="AQ3673" s="436"/>
      <c r="AR3673" s="436"/>
      <c r="AS3673" s="436"/>
      <c r="AT3673" s="436"/>
      <c r="AU3673" s="436"/>
      <c r="AV3673" s="436"/>
      <c r="AW3673" s="436"/>
      <c r="AX3673" s="436"/>
      <c r="AY3673" s="436"/>
      <c r="AZ3673" s="475"/>
      <c r="BA3673" s="475"/>
      <c r="BF3673" s="1119"/>
      <c r="BG3673" s="1119"/>
      <c r="BH3673" s="1119"/>
    </row>
    <row r="3674" spans="1:60" ht="15.75" customHeight="1">
      <c r="A3674" s="1076"/>
      <c r="B3674" s="312"/>
      <c r="C3674" s="424"/>
      <c r="G3674" s="312"/>
      <c r="H3674" s="467"/>
      <c r="I3674" s="467"/>
      <c r="J3674" s="469"/>
      <c r="K3674" s="312"/>
      <c r="L3674" s="312"/>
      <c r="M3674" s="312"/>
      <c r="N3674" s="467"/>
      <c r="O3674" s="467"/>
      <c r="P3674" s="467"/>
      <c r="AL3674" s="436"/>
      <c r="AM3674" s="436"/>
      <c r="AQ3674" s="436"/>
      <c r="AR3674" s="436"/>
      <c r="AS3674" s="436"/>
      <c r="AT3674" s="436"/>
      <c r="AU3674" s="436"/>
      <c r="AV3674" s="436"/>
      <c r="AW3674" s="436"/>
      <c r="AX3674" s="436"/>
      <c r="AY3674" s="436"/>
      <c r="AZ3674" s="475"/>
      <c r="BA3674" s="475"/>
      <c r="BF3674" s="1119"/>
      <c r="BG3674" s="1119"/>
      <c r="BH3674" s="1119"/>
    </row>
    <row r="3675" spans="1:60" ht="15.75" customHeight="1">
      <c r="A3675" s="1076"/>
      <c r="B3675" s="312"/>
      <c r="C3675" s="424"/>
      <c r="G3675" s="312"/>
      <c r="H3675" s="467"/>
      <c r="I3675" s="467"/>
      <c r="J3675" s="469"/>
      <c r="K3675" s="312"/>
      <c r="L3675" s="312"/>
      <c r="M3675" s="312"/>
      <c r="N3675" s="467"/>
      <c r="O3675" s="467"/>
      <c r="P3675" s="467"/>
      <c r="AL3675" s="436"/>
      <c r="AM3675" s="436"/>
      <c r="AQ3675" s="436"/>
      <c r="AR3675" s="436"/>
      <c r="AS3675" s="436"/>
      <c r="AT3675" s="436"/>
      <c r="AU3675" s="436"/>
      <c r="AV3675" s="436"/>
      <c r="AW3675" s="436"/>
      <c r="AX3675" s="436"/>
      <c r="AY3675" s="436"/>
      <c r="AZ3675" s="475"/>
      <c r="BA3675" s="475"/>
      <c r="BF3675" s="1119"/>
      <c r="BG3675" s="1119"/>
      <c r="BH3675" s="1119"/>
    </row>
    <row r="3676" spans="1:60" ht="15.75" customHeight="1">
      <c r="A3676" s="1076"/>
      <c r="B3676" s="312"/>
      <c r="C3676" s="424"/>
      <c r="G3676" s="312"/>
      <c r="H3676" s="467"/>
      <c r="I3676" s="467"/>
      <c r="J3676" s="469"/>
      <c r="K3676" s="312"/>
      <c r="L3676" s="312"/>
      <c r="M3676" s="312"/>
      <c r="N3676" s="467"/>
      <c r="O3676" s="467"/>
      <c r="P3676" s="467"/>
      <c r="AL3676" s="436"/>
      <c r="AM3676" s="436"/>
      <c r="AQ3676" s="436"/>
      <c r="AR3676" s="436"/>
      <c r="AS3676" s="436"/>
      <c r="AT3676" s="436"/>
      <c r="AU3676" s="436"/>
      <c r="AV3676" s="436"/>
      <c r="AW3676" s="436"/>
      <c r="AX3676" s="436"/>
      <c r="AY3676" s="436"/>
      <c r="AZ3676" s="475"/>
      <c r="BA3676" s="475"/>
      <c r="BF3676" s="1119"/>
      <c r="BG3676" s="1119"/>
      <c r="BH3676" s="1119"/>
    </row>
    <row r="3677" spans="1:60" ht="15.75" customHeight="1">
      <c r="A3677" s="1076"/>
      <c r="B3677" s="312"/>
      <c r="C3677" s="424"/>
      <c r="G3677" s="312"/>
      <c r="H3677" s="467"/>
      <c r="I3677" s="467"/>
      <c r="J3677" s="469"/>
      <c r="K3677" s="312"/>
      <c r="L3677" s="312"/>
      <c r="M3677" s="312"/>
      <c r="N3677" s="467"/>
      <c r="O3677" s="467"/>
      <c r="P3677" s="467"/>
      <c r="AL3677" s="436"/>
      <c r="AM3677" s="436"/>
      <c r="AQ3677" s="436"/>
      <c r="AR3677" s="436"/>
      <c r="AS3677" s="436"/>
      <c r="AT3677" s="436"/>
      <c r="AU3677" s="436"/>
      <c r="AV3677" s="436"/>
      <c r="AW3677" s="436"/>
      <c r="AX3677" s="436"/>
      <c r="AY3677" s="436"/>
      <c r="AZ3677" s="475"/>
      <c r="BA3677" s="475"/>
      <c r="BF3677" s="1119"/>
      <c r="BG3677" s="1119"/>
      <c r="BH3677" s="1119"/>
    </row>
    <row r="3678" spans="1:60" ht="15.75" customHeight="1">
      <c r="A3678" s="1076"/>
      <c r="B3678" s="312"/>
      <c r="C3678" s="424"/>
      <c r="G3678" s="312"/>
      <c r="H3678" s="467"/>
      <c r="I3678" s="467"/>
      <c r="J3678" s="469"/>
      <c r="K3678" s="312"/>
      <c r="L3678" s="312"/>
      <c r="M3678" s="312"/>
      <c r="N3678" s="467"/>
      <c r="O3678" s="467"/>
      <c r="P3678" s="467"/>
      <c r="AL3678" s="436"/>
      <c r="AM3678" s="436"/>
      <c r="AQ3678" s="436"/>
      <c r="AR3678" s="436"/>
      <c r="AS3678" s="436"/>
      <c r="AT3678" s="436"/>
      <c r="AU3678" s="436"/>
      <c r="AV3678" s="436"/>
      <c r="AW3678" s="436"/>
      <c r="AX3678" s="436"/>
      <c r="AY3678" s="436"/>
      <c r="AZ3678" s="475"/>
      <c r="BA3678" s="475"/>
      <c r="BF3678" s="1119"/>
      <c r="BG3678" s="1119"/>
      <c r="BH3678" s="1119"/>
    </row>
    <row r="3679" spans="1:60" ht="15.75" customHeight="1">
      <c r="A3679" s="1076"/>
      <c r="B3679" s="312"/>
      <c r="C3679" s="424"/>
      <c r="G3679" s="312"/>
      <c r="H3679" s="467"/>
      <c r="I3679" s="467"/>
      <c r="J3679" s="469"/>
      <c r="K3679" s="312"/>
      <c r="L3679" s="312"/>
      <c r="M3679" s="312"/>
      <c r="N3679" s="467"/>
      <c r="O3679" s="467"/>
      <c r="P3679" s="467"/>
      <c r="AL3679" s="436"/>
      <c r="AM3679" s="436"/>
      <c r="AQ3679" s="436"/>
      <c r="AR3679" s="436"/>
      <c r="AS3679" s="436"/>
      <c r="AT3679" s="436"/>
      <c r="AU3679" s="436"/>
      <c r="AV3679" s="436"/>
      <c r="AW3679" s="436"/>
      <c r="AX3679" s="436"/>
      <c r="AY3679" s="436"/>
      <c r="AZ3679" s="475"/>
      <c r="BA3679" s="475"/>
      <c r="BF3679" s="1119"/>
      <c r="BG3679" s="1119"/>
      <c r="BH3679" s="1119"/>
    </row>
    <row r="3680" spans="1:60" ht="15.75" customHeight="1">
      <c r="A3680" s="1076"/>
      <c r="B3680" s="312"/>
      <c r="C3680" s="424"/>
      <c r="G3680" s="312"/>
      <c r="H3680" s="467"/>
      <c r="I3680" s="467"/>
      <c r="J3680" s="469"/>
      <c r="K3680" s="312"/>
      <c r="L3680" s="312"/>
      <c r="M3680" s="312"/>
      <c r="N3680" s="467"/>
      <c r="O3680" s="467"/>
      <c r="P3680" s="467"/>
      <c r="AL3680" s="436"/>
      <c r="AM3680" s="436"/>
      <c r="AQ3680" s="436"/>
      <c r="AR3680" s="436"/>
      <c r="AS3680" s="436"/>
      <c r="AT3680" s="436"/>
      <c r="AU3680" s="436"/>
      <c r="AV3680" s="436"/>
      <c r="AW3680" s="436"/>
      <c r="AX3680" s="436"/>
      <c r="AY3680" s="436"/>
      <c r="AZ3680" s="475"/>
      <c r="BA3680" s="475"/>
      <c r="BF3680" s="1119"/>
      <c r="BG3680" s="1119"/>
      <c r="BH3680" s="1119"/>
    </row>
    <row r="3681" spans="1:60" ht="15.75" customHeight="1">
      <c r="A3681" s="1076"/>
      <c r="B3681" s="312"/>
      <c r="C3681" s="424"/>
      <c r="G3681" s="312"/>
      <c r="H3681" s="467"/>
      <c r="I3681" s="467"/>
      <c r="J3681" s="469"/>
      <c r="K3681" s="312"/>
      <c r="L3681" s="312"/>
      <c r="M3681" s="312"/>
      <c r="N3681" s="467"/>
      <c r="O3681" s="467"/>
      <c r="P3681" s="467"/>
      <c r="AL3681" s="436"/>
      <c r="AM3681" s="436"/>
      <c r="AQ3681" s="436"/>
      <c r="AR3681" s="436"/>
      <c r="AS3681" s="436"/>
      <c r="AT3681" s="436"/>
      <c r="AU3681" s="436"/>
      <c r="AV3681" s="436"/>
      <c r="AW3681" s="436"/>
      <c r="AX3681" s="436"/>
      <c r="AY3681" s="436"/>
      <c r="AZ3681" s="475"/>
      <c r="BA3681" s="475"/>
      <c r="BF3681" s="1119"/>
      <c r="BG3681" s="1119"/>
      <c r="BH3681" s="1119"/>
    </row>
    <row r="3682" spans="1:60" ht="15.75" customHeight="1">
      <c r="A3682" s="1076"/>
      <c r="B3682" s="312"/>
      <c r="C3682" s="424"/>
      <c r="G3682" s="312"/>
      <c r="H3682" s="467"/>
      <c r="I3682" s="467"/>
      <c r="J3682" s="469"/>
      <c r="K3682" s="312"/>
      <c r="L3682" s="312"/>
      <c r="M3682" s="312"/>
      <c r="N3682" s="467"/>
      <c r="O3682" s="467"/>
      <c r="P3682" s="467"/>
      <c r="AL3682" s="436"/>
      <c r="AM3682" s="436"/>
      <c r="AQ3682" s="436"/>
      <c r="AR3682" s="436"/>
      <c r="AS3682" s="436"/>
      <c r="AT3682" s="436"/>
      <c r="AU3682" s="436"/>
      <c r="AV3682" s="436"/>
      <c r="AW3682" s="436"/>
      <c r="AX3682" s="436"/>
      <c r="AY3682" s="436"/>
      <c r="AZ3682" s="475"/>
      <c r="BA3682" s="475"/>
      <c r="BF3682" s="1119"/>
      <c r="BG3682" s="1119"/>
      <c r="BH3682" s="1119"/>
    </row>
    <row r="3683" spans="1:60" ht="15.75" customHeight="1">
      <c r="A3683" s="1076"/>
      <c r="B3683" s="312"/>
      <c r="C3683" s="424"/>
      <c r="G3683" s="312"/>
      <c r="H3683" s="467"/>
      <c r="I3683" s="467"/>
      <c r="J3683" s="469"/>
      <c r="K3683" s="312"/>
      <c r="L3683" s="312"/>
      <c r="M3683" s="312"/>
      <c r="N3683" s="467"/>
      <c r="O3683" s="467"/>
      <c r="P3683" s="467"/>
      <c r="AL3683" s="436"/>
      <c r="AM3683" s="436"/>
      <c r="AQ3683" s="436"/>
      <c r="AR3683" s="436"/>
      <c r="AS3683" s="436"/>
      <c r="AT3683" s="436"/>
      <c r="AU3683" s="436"/>
      <c r="AV3683" s="436"/>
      <c r="AW3683" s="436"/>
      <c r="AX3683" s="436"/>
      <c r="AY3683" s="436"/>
      <c r="AZ3683" s="475"/>
      <c r="BA3683" s="475"/>
      <c r="BF3683" s="1119"/>
      <c r="BG3683" s="1119"/>
      <c r="BH3683" s="1119"/>
    </row>
    <row r="3684" spans="1:60" ht="15.75" customHeight="1">
      <c r="A3684" s="1076"/>
      <c r="B3684" s="312"/>
      <c r="C3684" s="424"/>
      <c r="G3684" s="312"/>
      <c r="H3684" s="467"/>
      <c r="I3684" s="467"/>
      <c r="J3684" s="469"/>
      <c r="K3684" s="312"/>
      <c r="L3684" s="312"/>
      <c r="M3684" s="312"/>
      <c r="N3684" s="467"/>
      <c r="O3684" s="467"/>
      <c r="P3684" s="467"/>
      <c r="AL3684" s="436"/>
      <c r="AM3684" s="436"/>
      <c r="AQ3684" s="436"/>
      <c r="AR3684" s="436"/>
      <c r="AS3684" s="436"/>
      <c r="AT3684" s="436"/>
      <c r="AU3684" s="436"/>
      <c r="AV3684" s="436"/>
      <c r="AW3684" s="436"/>
      <c r="AX3684" s="436"/>
      <c r="AY3684" s="436"/>
      <c r="AZ3684" s="475"/>
      <c r="BA3684" s="475"/>
      <c r="BF3684" s="1119"/>
      <c r="BG3684" s="1119"/>
      <c r="BH3684" s="1119"/>
    </row>
    <row r="3685" spans="1:60" ht="15.75" customHeight="1">
      <c r="A3685" s="1076"/>
      <c r="B3685" s="312"/>
      <c r="C3685" s="424"/>
      <c r="G3685" s="312"/>
      <c r="H3685" s="467"/>
      <c r="I3685" s="467"/>
      <c r="J3685" s="469"/>
      <c r="K3685" s="312"/>
      <c r="L3685" s="312"/>
      <c r="M3685" s="312"/>
      <c r="N3685" s="467"/>
      <c r="O3685" s="467"/>
      <c r="P3685" s="467"/>
      <c r="AL3685" s="436"/>
      <c r="AM3685" s="436"/>
      <c r="AQ3685" s="436"/>
      <c r="AR3685" s="436"/>
      <c r="AS3685" s="436"/>
      <c r="AT3685" s="436"/>
      <c r="AU3685" s="436"/>
      <c r="AV3685" s="436"/>
      <c r="AW3685" s="436"/>
      <c r="AX3685" s="436"/>
      <c r="AY3685" s="436"/>
      <c r="AZ3685" s="475"/>
      <c r="BA3685" s="475"/>
      <c r="BF3685" s="1119"/>
      <c r="BG3685" s="1119"/>
      <c r="BH3685" s="1119"/>
    </row>
    <row r="3686" spans="1:60" ht="15.75" customHeight="1">
      <c r="A3686" s="1076"/>
      <c r="B3686" s="312"/>
      <c r="C3686" s="424"/>
      <c r="G3686" s="312"/>
      <c r="H3686" s="467"/>
      <c r="I3686" s="467"/>
      <c r="J3686" s="469"/>
      <c r="K3686" s="312"/>
      <c r="L3686" s="312"/>
      <c r="M3686" s="312"/>
      <c r="N3686" s="467"/>
      <c r="O3686" s="467"/>
      <c r="P3686" s="467"/>
      <c r="AL3686" s="436"/>
      <c r="AM3686" s="436"/>
      <c r="AQ3686" s="436"/>
      <c r="AR3686" s="436"/>
      <c r="AS3686" s="436"/>
      <c r="AT3686" s="436"/>
      <c r="AU3686" s="436"/>
      <c r="AV3686" s="436"/>
      <c r="AW3686" s="436"/>
      <c r="AX3686" s="436"/>
      <c r="AY3686" s="436"/>
      <c r="AZ3686" s="475"/>
      <c r="BA3686" s="475"/>
      <c r="BF3686" s="1119"/>
      <c r="BG3686" s="1119"/>
      <c r="BH3686" s="1119"/>
    </row>
    <row r="3687" spans="1:60" ht="15.75" customHeight="1">
      <c r="A3687" s="1076"/>
      <c r="B3687" s="312"/>
      <c r="C3687" s="424"/>
      <c r="G3687" s="312"/>
      <c r="H3687" s="467"/>
      <c r="I3687" s="467"/>
      <c r="J3687" s="469"/>
      <c r="K3687" s="312"/>
      <c r="L3687" s="312"/>
      <c r="M3687" s="312"/>
      <c r="N3687" s="467"/>
      <c r="O3687" s="467"/>
      <c r="P3687" s="467"/>
      <c r="AL3687" s="436"/>
      <c r="AM3687" s="436"/>
      <c r="AQ3687" s="436"/>
      <c r="AR3687" s="436"/>
      <c r="AS3687" s="436"/>
      <c r="AT3687" s="436"/>
      <c r="AU3687" s="436"/>
      <c r="AV3687" s="436"/>
      <c r="AW3687" s="436"/>
      <c r="AX3687" s="436"/>
      <c r="AY3687" s="436"/>
      <c r="AZ3687" s="475"/>
      <c r="BA3687" s="475"/>
      <c r="BF3687" s="1119"/>
      <c r="BG3687" s="1119"/>
      <c r="BH3687" s="1119"/>
    </row>
    <row r="3688" spans="1:60" ht="15.75" customHeight="1">
      <c r="A3688" s="1076"/>
      <c r="B3688" s="312"/>
      <c r="C3688" s="424"/>
      <c r="G3688" s="312"/>
      <c r="H3688" s="467"/>
      <c r="I3688" s="467"/>
      <c r="J3688" s="469"/>
      <c r="K3688" s="312"/>
      <c r="L3688" s="312"/>
      <c r="M3688" s="312"/>
      <c r="N3688" s="467"/>
      <c r="O3688" s="467"/>
      <c r="P3688" s="467"/>
      <c r="AL3688" s="436"/>
      <c r="AM3688" s="436"/>
      <c r="AQ3688" s="436"/>
      <c r="AR3688" s="436"/>
      <c r="AS3688" s="436"/>
      <c r="AT3688" s="436"/>
      <c r="AU3688" s="436"/>
      <c r="AV3688" s="436"/>
      <c r="AW3688" s="436"/>
      <c r="AX3688" s="436"/>
      <c r="AY3688" s="436"/>
      <c r="AZ3688" s="475"/>
      <c r="BA3688" s="475"/>
      <c r="BF3688" s="1119"/>
      <c r="BG3688" s="1119"/>
      <c r="BH3688" s="1119"/>
    </row>
    <row r="3689" spans="1:60" ht="15.75" customHeight="1">
      <c r="A3689" s="1076"/>
      <c r="B3689" s="312"/>
      <c r="C3689" s="424"/>
      <c r="G3689" s="312"/>
      <c r="H3689" s="467"/>
      <c r="I3689" s="467"/>
      <c r="J3689" s="469"/>
      <c r="K3689" s="312"/>
      <c r="L3689" s="312"/>
      <c r="M3689" s="312"/>
      <c r="N3689" s="467"/>
      <c r="O3689" s="467"/>
      <c r="P3689" s="467"/>
      <c r="AL3689" s="436"/>
      <c r="AM3689" s="436"/>
      <c r="AQ3689" s="436"/>
      <c r="AR3689" s="436"/>
      <c r="AS3689" s="436"/>
      <c r="AT3689" s="436"/>
      <c r="AU3689" s="436"/>
      <c r="AV3689" s="436"/>
      <c r="AW3689" s="436"/>
      <c r="AX3689" s="436"/>
      <c r="AY3689" s="436"/>
      <c r="AZ3689" s="475"/>
      <c r="BA3689" s="475"/>
      <c r="BF3689" s="1119"/>
      <c r="BG3689" s="1119"/>
      <c r="BH3689" s="1119"/>
    </row>
    <row r="3690" spans="1:60" ht="15.75" customHeight="1">
      <c r="A3690" s="1076"/>
      <c r="B3690" s="312"/>
      <c r="C3690" s="424"/>
      <c r="G3690" s="312"/>
      <c r="H3690" s="467"/>
      <c r="I3690" s="467"/>
      <c r="J3690" s="469"/>
      <c r="K3690" s="312"/>
      <c r="L3690" s="312"/>
      <c r="M3690" s="312"/>
      <c r="N3690" s="467"/>
      <c r="O3690" s="467"/>
      <c r="P3690" s="467"/>
      <c r="AL3690" s="436"/>
      <c r="AM3690" s="436"/>
      <c r="AQ3690" s="436"/>
      <c r="AR3690" s="436"/>
      <c r="AS3690" s="436"/>
      <c r="AT3690" s="436"/>
      <c r="AU3690" s="436"/>
      <c r="AV3690" s="436"/>
      <c r="AW3690" s="436"/>
      <c r="AX3690" s="436"/>
      <c r="AY3690" s="436"/>
      <c r="AZ3690" s="475"/>
      <c r="BA3690" s="475"/>
      <c r="BF3690" s="1119"/>
      <c r="BG3690" s="1119"/>
      <c r="BH3690" s="1119"/>
    </row>
    <row r="3691" spans="1:60" ht="15.75" customHeight="1">
      <c r="A3691" s="1076"/>
      <c r="B3691" s="312"/>
      <c r="C3691" s="424"/>
      <c r="G3691" s="312"/>
      <c r="H3691" s="467"/>
      <c r="I3691" s="467"/>
      <c r="J3691" s="469"/>
      <c r="K3691" s="312"/>
      <c r="L3691" s="312"/>
      <c r="M3691" s="312"/>
      <c r="N3691" s="467"/>
      <c r="O3691" s="467"/>
      <c r="P3691" s="467"/>
      <c r="AL3691" s="436"/>
      <c r="AM3691" s="436"/>
      <c r="AQ3691" s="436"/>
      <c r="AR3691" s="436"/>
      <c r="AS3691" s="436"/>
      <c r="AT3691" s="436"/>
      <c r="AU3691" s="436"/>
      <c r="AV3691" s="436"/>
      <c r="AW3691" s="436"/>
      <c r="AX3691" s="436"/>
      <c r="AY3691" s="436"/>
      <c r="AZ3691" s="475"/>
      <c r="BA3691" s="475"/>
      <c r="BF3691" s="1119"/>
      <c r="BG3691" s="1119"/>
      <c r="BH3691" s="1119"/>
    </row>
    <row r="3692" spans="1:60" ht="15.75" customHeight="1">
      <c r="A3692" s="1076"/>
      <c r="B3692" s="312"/>
      <c r="C3692" s="424"/>
      <c r="G3692" s="312"/>
      <c r="H3692" s="467"/>
      <c r="I3692" s="467"/>
      <c r="J3692" s="469"/>
      <c r="K3692" s="312"/>
      <c r="L3692" s="312"/>
      <c r="M3692" s="312"/>
      <c r="N3692" s="467"/>
      <c r="O3692" s="467"/>
      <c r="P3692" s="467"/>
      <c r="AL3692" s="436"/>
      <c r="AM3692" s="436"/>
      <c r="AQ3692" s="436"/>
      <c r="AR3692" s="436"/>
      <c r="AS3692" s="436"/>
      <c r="AT3692" s="436"/>
      <c r="AU3692" s="436"/>
      <c r="AV3692" s="436"/>
      <c r="AW3692" s="436"/>
      <c r="AX3692" s="436"/>
      <c r="AY3692" s="436"/>
      <c r="AZ3692" s="475"/>
      <c r="BA3692" s="475"/>
      <c r="BF3692" s="1119"/>
      <c r="BG3692" s="1119"/>
      <c r="BH3692" s="1119"/>
    </row>
    <row r="3693" spans="1:60" ht="15.75" customHeight="1">
      <c r="A3693" s="1076"/>
      <c r="B3693" s="312"/>
      <c r="C3693" s="424"/>
      <c r="G3693" s="312"/>
      <c r="H3693" s="467"/>
      <c r="I3693" s="467"/>
      <c r="J3693" s="469"/>
      <c r="K3693" s="312"/>
      <c r="L3693" s="312"/>
      <c r="M3693" s="312"/>
      <c r="N3693" s="467"/>
      <c r="O3693" s="467"/>
      <c r="P3693" s="467"/>
      <c r="AL3693" s="436"/>
      <c r="AM3693" s="436"/>
      <c r="AQ3693" s="436"/>
      <c r="AR3693" s="436"/>
      <c r="AS3693" s="436"/>
      <c r="AT3693" s="436"/>
      <c r="AU3693" s="436"/>
      <c r="AV3693" s="436"/>
      <c r="AW3693" s="436"/>
      <c r="AX3693" s="436"/>
      <c r="AY3693" s="436"/>
      <c r="AZ3693" s="475"/>
      <c r="BA3693" s="475"/>
      <c r="BF3693" s="1119"/>
      <c r="BG3693" s="1119"/>
      <c r="BH3693" s="1119"/>
    </row>
    <row r="3694" spans="1:60" ht="15.75" customHeight="1">
      <c r="A3694" s="1076"/>
      <c r="B3694" s="312"/>
      <c r="C3694" s="424"/>
      <c r="G3694" s="312"/>
      <c r="H3694" s="467"/>
      <c r="I3694" s="467"/>
      <c r="J3694" s="469"/>
      <c r="K3694" s="312"/>
      <c r="L3694" s="312"/>
      <c r="M3694" s="312"/>
      <c r="N3694" s="467"/>
      <c r="O3694" s="467"/>
      <c r="P3694" s="467"/>
      <c r="AL3694" s="436"/>
      <c r="AM3694" s="436"/>
      <c r="AQ3694" s="436"/>
      <c r="AR3694" s="436"/>
      <c r="AS3694" s="436"/>
      <c r="AT3694" s="436"/>
      <c r="AU3694" s="436"/>
      <c r="AV3694" s="436"/>
      <c r="AW3694" s="436"/>
      <c r="AX3694" s="436"/>
      <c r="AY3694" s="436"/>
      <c r="AZ3694" s="475"/>
      <c r="BA3694" s="475"/>
      <c r="BF3694" s="1119"/>
      <c r="BG3694" s="1119"/>
      <c r="BH3694" s="1119"/>
    </row>
    <row r="3695" spans="1:60" ht="15.75" customHeight="1">
      <c r="A3695" s="1076"/>
      <c r="B3695" s="312"/>
      <c r="C3695" s="424"/>
      <c r="G3695" s="312"/>
      <c r="H3695" s="467"/>
      <c r="I3695" s="467"/>
      <c r="J3695" s="469"/>
      <c r="K3695" s="312"/>
      <c r="L3695" s="312"/>
      <c r="M3695" s="312"/>
      <c r="N3695" s="467"/>
      <c r="O3695" s="467"/>
      <c r="P3695" s="467"/>
      <c r="AL3695" s="436"/>
      <c r="AM3695" s="436"/>
      <c r="AQ3695" s="436"/>
      <c r="AR3695" s="436"/>
      <c r="AS3695" s="436"/>
      <c r="AT3695" s="436"/>
      <c r="AU3695" s="436"/>
      <c r="AV3695" s="436"/>
      <c r="AW3695" s="436"/>
      <c r="AX3695" s="436"/>
      <c r="AY3695" s="436"/>
      <c r="AZ3695" s="475"/>
      <c r="BA3695" s="475"/>
      <c r="BF3695" s="1119"/>
      <c r="BG3695" s="1119"/>
      <c r="BH3695" s="1119"/>
    </row>
    <row r="3696" spans="1:60" ht="15.75" customHeight="1">
      <c r="A3696" s="1076"/>
      <c r="B3696" s="312"/>
      <c r="C3696" s="424"/>
      <c r="G3696" s="312"/>
      <c r="H3696" s="467"/>
      <c r="I3696" s="467"/>
      <c r="J3696" s="469"/>
      <c r="K3696" s="312"/>
      <c r="L3696" s="312"/>
      <c r="M3696" s="312"/>
      <c r="N3696" s="467"/>
      <c r="O3696" s="467"/>
      <c r="P3696" s="467"/>
      <c r="AL3696" s="436"/>
      <c r="AM3696" s="436"/>
      <c r="AQ3696" s="436"/>
      <c r="AR3696" s="436"/>
      <c r="AS3696" s="436"/>
      <c r="AT3696" s="436"/>
      <c r="AU3696" s="436"/>
      <c r="AV3696" s="436"/>
      <c r="AW3696" s="436"/>
      <c r="AX3696" s="436"/>
      <c r="AY3696" s="436"/>
      <c r="AZ3696" s="475"/>
      <c r="BA3696" s="475"/>
      <c r="BF3696" s="1119"/>
      <c r="BG3696" s="1119"/>
      <c r="BH3696" s="1119"/>
    </row>
    <row r="3697" spans="1:60" ht="15.75" customHeight="1">
      <c r="A3697" s="1076"/>
      <c r="B3697" s="312"/>
      <c r="C3697" s="424"/>
      <c r="G3697" s="312"/>
      <c r="H3697" s="467"/>
      <c r="I3697" s="467"/>
      <c r="J3697" s="469"/>
      <c r="K3697" s="312"/>
      <c r="L3697" s="312"/>
      <c r="M3697" s="312"/>
      <c r="N3697" s="467"/>
      <c r="O3697" s="467"/>
      <c r="P3697" s="467"/>
      <c r="AL3697" s="436"/>
      <c r="AM3697" s="436"/>
      <c r="AQ3697" s="436"/>
      <c r="AR3697" s="436"/>
      <c r="AS3697" s="436"/>
      <c r="AT3697" s="436"/>
      <c r="AU3697" s="436"/>
      <c r="AV3697" s="436"/>
      <c r="AW3697" s="436"/>
      <c r="AX3697" s="436"/>
      <c r="AY3697" s="436"/>
      <c r="AZ3697" s="475"/>
      <c r="BA3697" s="475"/>
      <c r="BF3697" s="1119"/>
      <c r="BG3697" s="1119"/>
      <c r="BH3697" s="1119"/>
    </row>
    <row r="3698" spans="1:60" ht="15.75" customHeight="1">
      <c r="A3698" s="1076"/>
      <c r="B3698" s="312"/>
      <c r="C3698" s="424"/>
      <c r="G3698" s="312"/>
      <c r="H3698" s="467"/>
      <c r="I3698" s="467"/>
      <c r="J3698" s="469"/>
      <c r="K3698" s="312"/>
      <c r="L3698" s="312"/>
      <c r="M3698" s="312"/>
      <c r="N3698" s="467"/>
      <c r="O3698" s="467"/>
      <c r="P3698" s="467"/>
      <c r="AL3698" s="436"/>
      <c r="AM3698" s="436"/>
      <c r="AQ3698" s="436"/>
      <c r="AR3698" s="436"/>
      <c r="AS3698" s="436"/>
      <c r="AT3698" s="436"/>
      <c r="AU3698" s="436"/>
      <c r="AV3698" s="436"/>
      <c r="AW3698" s="436"/>
      <c r="AX3698" s="436"/>
      <c r="AY3698" s="436"/>
      <c r="AZ3698" s="475"/>
      <c r="BA3698" s="475"/>
      <c r="BF3698" s="1119"/>
      <c r="BG3698" s="1119"/>
      <c r="BH3698" s="1119"/>
    </row>
    <row r="3699" spans="1:60" ht="15.75" customHeight="1">
      <c r="A3699" s="1076"/>
      <c r="B3699" s="312"/>
      <c r="C3699" s="424"/>
      <c r="G3699" s="312"/>
      <c r="H3699" s="467"/>
      <c r="I3699" s="467"/>
      <c r="J3699" s="469"/>
      <c r="K3699" s="312"/>
      <c r="L3699" s="312"/>
      <c r="M3699" s="312"/>
      <c r="N3699" s="467"/>
      <c r="O3699" s="467"/>
      <c r="P3699" s="467"/>
      <c r="AL3699" s="436"/>
      <c r="AM3699" s="436"/>
      <c r="AQ3699" s="436"/>
      <c r="AR3699" s="436"/>
      <c r="AS3699" s="436"/>
      <c r="AT3699" s="436"/>
      <c r="AU3699" s="436"/>
      <c r="AV3699" s="436"/>
      <c r="AW3699" s="436"/>
      <c r="AX3699" s="436"/>
      <c r="AY3699" s="436"/>
      <c r="AZ3699" s="475"/>
      <c r="BA3699" s="475"/>
      <c r="BF3699" s="1119"/>
      <c r="BG3699" s="1119"/>
      <c r="BH3699" s="1119"/>
    </row>
    <row r="3700" spans="1:60" ht="15.75" customHeight="1">
      <c r="A3700" s="1076"/>
      <c r="B3700" s="312"/>
      <c r="C3700" s="424"/>
      <c r="G3700" s="312"/>
      <c r="H3700" s="467"/>
      <c r="I3700" s="467"/>
      <c r="J3700" s="469"/>
      <c r="K3700" s="312"/>
      <c r="L3700" s="312"/>
      <c r="M3700" s="312"/>
      <c r="N3700" s="467"/>
      <c r="O3700" s="467"/>
      <c r="P3700" s="467"/>
      <c r="AL3700" s="436"/>
      <c r="AM3700" s="436"/>
      <c r="AQ3700" s="436"/>
      <c r="AR3700" s="436"/>
      <c r="AS3700" s="436"/>
      <c r="AT3700" s="436"/>
      <c r="AU3700" s="436"/>
      <c r="AV3700" s="436"/>
      <c r="AW3700" s="436"/>
      <c r="AX3700" s="436"/>
      <c r="AY3700" s="436"/>
      <c r="AZ3700" s="475"/>
      <c r="BA3700" s="475"/>
      <c r="BF3700" s="1119"/>
      <c r="BG3700" s="1119"/>
      <c r="BH3700" s="1119"/>
    </row>
    <row r="3701" spans="1:60" ht="15.75" customHeight="1">
      <c r="A3701" s="1076"/>
      <c r="B3701" s="312"/>
      <c r="C3701" s="424"/>
      <c r="G3701" s="312"/>
      <c r="H3701" s="467"/>
      <c r="I3701" s="467"/>
      <c r="J3701" s="469"/>
      <c r="K3701" s="312"/>
      <c r="L3701" s="312"/>
      <c r="M3701" s="312"/>
      <c r="N3701" s="467"/>
      <c r="O3701" s="467"/>
      <c r="P3701" s="467"/>
      <c r="AL3701" s="436"/>
      <c r="AM3701" s="436"/>
      <c r="AQ3701" s="436"/>
      <c r="AR3701" s="436"/>
      <c r="AS3701" s="436"/>
      <c r="AT3701" s="436"/>
      <c r="AU3701" s="436"/>
      <c r="AV3701" s="436"/>
      <c r="AW3701" s="436"/>
      <c r="AX3701" s="436"/>
      <c r="AY3701" s="436"/>
      <c r="AZ3701" s="475"/>
      <c r="BA3701" s="475"/>
      <c r="BF3701" s="1119"/>
      <c r="BG3701" s="1119"/>
      <c r="BH3701" s="1119"/>
    </row>
    <row r="3702" spans="1:60" ht="15.75" customHeight="1">
      <c r="A3702" s="1076"/>
      <c r="B3702" s="312"/>
      <c r="C3702" s="424"/>
      <c r="G3702" s="312"/>
      <c r="H3702" s="467"/>
      <c r="I3702" s="467"/>
      <c r="J3702" s="469"/>
      <c r="K3702" s="312"/>
      <c r="L3702" s="312"/>
      <c r="M3702" s="312"/>
      <c r="N3702" s="467"/>
      <c r="O3702" s="467"/>
      <c r="P3702" s="467"/>
      <c r="AL3702" s="436"/>
      <c r="AM3702" s="436"/>
      <c r="AQ3702" s="436"/>
      <c r="AR3702" s="436"/>
      <c r="AS3702" s="436"/>
      <c r="AT3702" s="436"/>
      <c r="AU3702" s="436"/>
      <c r="AV3702" s="436"/>
      <c r="AW3702" s="436"/>
      <c r="AX3702" s="436"/>
      <c r="AY3702" s="436"/>
      <c r="AZ3702" s="475"/>
      <c r="BA3702" s="475"/>
      <c r="BF3702" s="1119"/>
      <c r="BG3702" s="1119"/>
      <c r="BH3702" s="1119"/>
    </row>
    <row r="3703" spans="1:60" ht="15.75" customHeight="1">
      <c r="A3703" s="1076"/>
      <c r="B3703" s="312"/>
      <c r="C3703" s="424"/>
      <c r="G3703" s="312"/>
      <c r="H3703" s="467"/>
      <c r="I3703" s="467"/>
      <c r="J3703" s="469"/>
      <c r="K3703" s="312"/>
      <c r="L3703" s="312"/>
      <c r="M3703" s="312"/>
      <c r="N3703" s="467"/>
      <c r="O3703" s="467"/>
      <c r="P3703" s="467"/>
      <c r="AL3703" s="436"/>
      <c r="AM3703" s="436"/>
      <c r="AQ3703" s="436"/>
      <c r="AR3703" s="436"/>
      <c r="AS3703" s="436"/>
      <c r="AT3703" s="436"/>
      <c r="AU3703" s="436"/>
      <c r="AV3703" s="436"/>
      <c r="AW3703" s="436"/>
      <c r="AX3703" s="436"/>
      <c r="AY3703" s="436"/>
      <c r="AZ3703" s="475"/>
      <c r="BA3703" s="475"/>
      <c r="BF3703" s="1119"/>
      <c r="BG3703" s="1119"/>
      <c r="BH3703" s="1119"/>
    </row>
    <row r="3704" spans="1:60" ht="15.75" customHeight="1">
      <c r="A3704" s="1076"/>
      <c r="B3704" s="312"/>
      <c r="C3704" s="424"/>
      <c r="G3704" s="312"/>
      <c r="H3704" s="467"/>
      <c r="I3704" s="467"/>
      <c r="J3704" s="469"/>
      <c r="K3704" s="312"/>
      <c r="L3704" s="312"/>
      <c r="M3704" s="312"/>
      <c r="N3704" s="467"/>
      <c r="O3704" s="467"/>
      <c r="P3704" s="467"/>
      <c r="AL3704" s="436"/>
      <c r="AM3704" s="436"/>
      <c r="AQ3704" s="436"/>
      <c r="AR3704" s="436"/>
      <c r="AS3704" s="436"/>
      <c r="AT3704" s="436"/>
      <c r="AU3704" s="436"/>
      <c r="AV3704" s="436"/>
      <c r="AW3704" s="436"/>
      <c r="AX3704" s="436"/>
      <c r="AY3704" s="436"/>
      <c r="AZ3704" s="475"/>
      <c r="BA3704" s="475"/>
      <c r="BF3704" s="1119"/>
      <c r="BG3704" s="1119"/>
      <c r="BH3704" s="1119"/>
    </row>
    <row r="3705" spans="1:60" ht="15.75" customHeight="1">
      <c r="A3705" s="1076"/>
      <c r="B3705" s="312"/>
      <c r="C3705" s="424"/>
      <c r="G3705" s="312"/>
      <c r="H3705" s="467"/>
      <c r="I3705" s="467"/>
      <c r="J3705" s="469"/>
      <c r="K3705" s="312"/>
      <c r="L3705" s="312"/>
      <c r="M3705" s="312"/>
      <c r="N3705" s="467"/>
      <c r="O3705" s="467"/>
      <c r="P3705" s="467"/>
      <c r="AL3705" s="436"/>
      <c r="AM3705" s="436"/>
      <c r="AQ3705" s="436"/>
      <c r="AR3705" s="436"/>
      <c r="AS3705" s="436"/>
      <c r="AT3705" s="436"/>
      <c r="AU3705" s="436"/>
      <c r="AV3705" s="436"/>
      <c r="AW3705" s="436"/>
      <c r="AX3705" s="436"/>
      <c r="AY3705" s="436"/>
      <c r="AZ3705" s="475"/>
      <c r="BA3705" s="475"/>
      <c r="BF3705" s="1119"/>
      <c r="BG3705" s="1119"/>
      <c r="BH3705" s="1119"/>
    </row>
    <row r="3706" spans="1:60" ht="15.75" customHeight="1">
      <c r="A3706" s="1076"/>
      <c r="B3706" s="312"/>
      <c r="C3706" s="424"/>
      <c r="G3706" s="312"/>
      <c r="H3706" s="467"/>
      <c r="I3706" s="467"/>
      <c r="J3706" s="469"/>
      <c r="K3706" s="312"/>
      <c r="L3706" s="312"/>
      <c r="M3706" s="312"/>
      <c r="N3706" s="467"/>
      <c r="O3706" s="467"/>
      <c r="P3706" s="467"/>
      <c r="AL3706" s="436"/>
      <c r="AM3706" s="436"/>
      <c r="AQ3706" s="436"/>
      <c r="AR3706" s="436"/>
      <c r="AS3706" s="436"/>
      <c r="AT3706" s="436"/>
      <c r="AU3706" s="436"/>
      <c r="AV3706" s="436"/>
      <c r="AW3706" s="436"/>
      <c r="AX3706" s="436"/>
      <c r="AY3706" s="436"/>
      <c r="AZ3706" s="475"/>
      <c r="BA3706" s="475"/>
      <c r="BF3706" s="1119"/>
      <c r="BG3706" s="1119"/>
      <c r="BH3706" s="1119"/>
    </row>
    <row r="3707" spans="1:60" ht="15.75" customHeight="1">
      <c r="A3707" s="1076"/>
      <c r="B3707" s="312"/>
      <c r="C3707" s="424"/>
      <c r="G3707" s="312"/>
      <c r="H3707" s="467"/>
      <c r="I3707" s="467"/>
      <c r="J3707" s="469"/>
      <c r="K3707" s="312"/>
      <c r="L3707" s="312"/>
      <c r="M3707" s="312"/>
      <c r="N3707" s="467"/>
      <c r="O3707" s="467"/>
      <c r="P3707" s="467"/>
      <c r="AL3707" s="436"/>
      <c r="AM3707" s="436"/>
      <c r="AQ3707" s="436"/>
      <c r="AR3707" s="436"/>
      <c r="AS3707" s="436"/>
      <c r="AT3707" s="436"/>
      <c r="AU3707" s="436"/>
      <c r="AV3707" s="436"/>
      <c r="AW3707" s="436"/>
      <c r="AX3707" s="436"/>
      <c r="AY3707" s="436"/>
      <c r="AZ3707" s="475"/>
      <c r="BA3707" s="475"/>
      <c r="BF3707" s="1119"/>
      <c r="BG3707" s="1119"/>
      <c r="BH3707" s="1119"/>
    </row>
    <row r="3708" spans="1:60" ht="15.75" customHeight="1">
      <c r="A3708" s="1076"/>
      <c r="B3708" s="312"/>
      <c r="C3708" s="424"/>
      <c r="G3708" s="312"/>
      <c r="H3708" s="467"/>
      <c r="I3708" s="467"/>
      <c r="J3708" s="469"/>
      <c r="K3708" s="312"/>
      <c r="L3708" s="312"/>
      <c r="M3708" s="312"/>
      <c r="N3708" s="467"/>
      <c r="O3708" s="467"/>
      <c r="P3708" s="467"/>
      <c r="AL3708" s="436"/>
      <c r="AM3708" s="436"/>
      <c r="AQ3708" s="436"/>
      <c r="AR3708" s="436"/>
      <c r="AS3708" s="436"/>
      <c r="AT3708" s="436"/>
      <c r="AU3708" s="436"/>
      <c r="AV3708" s="436"/>
      <c r="AW3708" s="436"/>
      <c r="AX3708" s="436"/>
      <c r="AY3708" s="436"/>
      <c r="AZ3708" s="475"/>
      <c r="BA3708" s="475"/>
      <c r="BF3708" s="1119"/>
      <c r="BG3708" s="1119"/>
      <c r="BH3708" s="1119"/>
    </row>
    <row r="3709" spans="1:60" ht="15.75" customHeight="1">
      <c r="A3709" s="1076"/>
      <c r="B3709" s="312"/>
      <c r="C3709" s="424"/>
      <c r="G3709" s="312"/>
      <c r="H3709" s="467"/>
      <c r="I3709" s="467"/>
      <c r="J3709" s="469"/>
      <c r="K3709" s="312"/>
      <c r="L3709" s="312"/>
      <c r="M3709" s="312"/>
      <c r="N3709" s="467"/>
      <c r="O3709" s="467"/>
      <c r="P3709" s="467"/>
      <c r="AL3709" s="436"/>
      <c r="AM3709" s="436"/>
      <c r="AQ3709" s="436"/>
      <c r="AR3709" s="436"/>
      <c r="AS3709" s="436"/>
      <c r="AT3709" s="436"/>
      <c r="AU3709" s="436"/>
      <c r="AV3709" s="436"/>
      <c r="AW3709" s="436"/>
      <c r="AX3709" s="436"/>
      <c r="AY3709" s="436"/>
      <c r="AZ3709" s="475"/>
      <c r="BA3709" s="475"/>
      <c r="BF3709" s="1119"/>
      <c r="BG3709" s="1119"/>
      <c r="BH3709" s="1119"/>
    </row>
    <row r="3710" spans="1:60" ht="15.75" customHeight="1">
      <c r="A3710" s="1076"/>
      <c r="B3710" s="312"/>
      <c r="C3710" s="424"/>
      <c r="G3710" s="312"/>
      <c r="H3710" s="467"/>
      <c r="I3710" s="467"/>
      <c r="J3710" s="469"/>
      <c r="K3710" s="312"/>
      <c r="L3710" s="312"/>
      <c r="M3710" s="312"/>
      <c r="N3710" s="467"/>
      <c r="O3710" s="467"/>
      <c r="P3710" s="467"/>
      <c r="AL3710" s="436"/>
      <c r="AM3710" s="436"/>
      <c r="AQ3710" s="436"/>
      <c r="AR3710" s="436"/>
      <c r="AS3710" s="436"/>
      <c r="AT3710" s="436"/>
      <c r="AU3710" s="436"/>
      <c r="AV3710" s="436"/>
      <c r="AW3710" s="436"/>
      <c r="AX3710" s="436"/>
      <c r="AY3710" s="436"/>
      <c r="AZ3710" s="475"/>
      <c r="BA3710" s="475"/>
      <c r="BF3710" s="1119"/>
      <c r="BG3710" s="1119"/>
      <c r="BH3710" s="1119"/>
    </row>
    <row r="3711" spans="1:60" ht="15.75" customHeight="1">
      <c r="A3711" s="1076"/>
      <c r="B3711" s="312"/>
      <c r="C3711" s="424"/>
      <c r="G3711" s="312"/>
      <c r="H3711" s="467"/>
      <c r="I3711" s="467"/>
      <c r="J3711" s="469"/>
      <c r="K3711" s="312"/>
      <c r="L3711" s="312"/>
      <c r="M3711" s="312"/>
      <c r="N3711" s="467"/>
      <c r="O3711" s="467"/>
      <c r="P3711" s="467"/>
      <c r="AL3711" s="436"/>
      <c r="AM3711" s="436"/>
      <c r="AQ3711" s="436"/>
      <c r="AR3711" s="436"/>
      <c r="AS3711" s="436"/>
      <c r="AT3711" s="436"/>
      <c r="AU3711" s="436"/>
      <c r="AV3711" s="436"/>
      <c r="AW3711" s="436"/>
      <c r="AX3711" s="436"/>
      <c r="AY3711" s="436"/>
      <c r="AZ3711" s="475"/>
      <c r="BA3711" s="475"/>
      <c r="BF3711" s="1119"/>
      <c r="BG3711" s="1119"/>
      <c r="BH3711" s="1119"/>
    </row>
    <row r="3712" spans="1:60" ht="15.75" customHeight="1">
      <c r="A3712" s="1076"/>
      <c r="B3712" s="312"/>
      <c r="C3712" s="424"/>
      <c r="G3712" s="312"/>
      <c r="H3712" s="467"/>
      <c r="I3712" s="467"/>
      <c r="J3712" s="469"/>
      <c r="K3712" s="312"/>
      <c r="L3712" s="312"/>
      <c r="M3712" s="312"/>
      <c r="N3712" s="467"/>
      <c r="O3712" s="467"/>
      <c r="P3712" s="467"/>
      <c r="AL3712" s="436"/>
      <c r="AM3712" s="436"/>
      <c r="AQ3712" s="436"/>
      <c r="AR3712" s="436"/>
      <c r="AS3712" s="436"/>
      <c r="AT3712" s="436"/>
      <c r="AU3712" s="436"/>
      <c r="AV3712" s="436"/>
      <c r="AW3712" s="436"/>
      <c r="AX3712" s="436"/>
      <c r="AY3712" s="436"/>
      <c r="AZ3712" s="475"/>
      <c r="BA3712" s="475"/>
      <c r="BF3712" s="1119"/>
      <c r="BG3712" s="1119"/>
      <c r="BH3712" s="1119"/>
    </row>
    <row r="3713" spans="1:60" ht="15.75" customHeight="1">
      <c r="A3713" s="1076"/>
      <c r="B3713" s="312"/>
      <c r="C3713" s="424"/>
      <c r="G3713" s="312"/>
      <c r="H3713" s="467"/>
      <c r="I3713" s="467"/>
      <c r="J3713" s="469"/>
      <c r="K3713" s="312"/>
      <c r="L3713" s="312"/>
      <c r="M3713" s="312"/>
      <c r="N3713" s="467"/>
      <c r="O3713" s="467"/>
      <c r="P3713" s="467"/>
      <c r="AL3713" s="436"/>
      <c r="AM3713" s="436"/>
      <c r="AQ3713" s="436"/>
      <c r="AR3713" s="436"/>
      <c r="AS3713" s="436"/>
      <c r="AT3713" s="436"/>
      <c r="AU3713" s="436"/>
      <c r="AV3713" s="436"/>
      <c r="AW3713" s="436"/>
      <c r="AX3713" s="436"/>
      <c r="AY3713" s="436"/>
      <c r="AZ3713" s="475"/>
      <c r="BA3713" s="475"/>
      <c r="BF3713" s="1119"/>
      <c r="BG3713" s="1119"/>
      <c r="BH3713" s="1119"/>
    </row>
    <row r="3714" spans="1:60" ht="15.75" customHeight="1">
      <c r="A3714" s="1076"/>
      <c r="B3714" s="312"/>
      <c r="C3714" s="424"/>
      <c r="G3714" s="312"/>
      <c r="H3714" s="467"/>
      <c r="I3714" s="467"/>
      <c r="J3714" s="469"/>
      <c r="K3714" s="312"/>
      <c r="L3714" s="312"/>
      <c r="M3714" s="312"/>
      <c r="N3714" s="467"/>
      <c r="O3714" s="467"/>
      <c r="P3714" s="467"/>
      <c r="AL3714" s="436"/>
      <c r="AM3714" s="436"/>
      <c r="AQ3714" s="436"/>
      <c r="AR3714" s="436"/>
      <c r="AS3714" s="436"/>
      <c r="AT3714" s="436"/>
      <c r="AU3714" s="436"/>
      <c r="AV3714" s="436"/>
      <c r="AW3714" s="436"/>
      <c r="AX3714" s="436"/>
      <c r="AY3714" s="436"/>
      <c r="AZ3714" s="475"/>
      <c r="BA3714" s="475"/>
      <c r="BF3714" s="1119"/>
      <c r="BG3714" s="1119"/>
      <c r="BH3714" s="1119"/>
    </row>
    <row r="3715" spans="1:60" ht="15.75" customHeight="1">
      <c r="A3715" s="1076"/>
      <c r="B3715" s="312"/>
      <c r="C3715" s="424"/>
      <c r="G3715" s="312"/>
      <c r="H3715" s="467"/>
      <c r="I3715" s="467"/>
      <c r="J3715" s="469"/>
      <c r="K3715" s="312"/>
      <c r="L3715" s="312"/>
      <c r="M3715" s="312"/>
      <c r="N3715" s="467"/>
      <c r="O3715" s="467"/>
      <c r="P3715" s="467"/>
      <c r="AL3715" s="436"/>
      <c r="AM3715" s="436"/>
      <c r="AQ3715" s="436"/>
      <c r="AR3715" s="436"/>
      <c r="AS3715" s="436"/>
      <c r="AT3715" s="436"/>
      <c r="AU3715" s="436"/>
      <c r="AV3715" s="436"/>
      <c r="AW3715" s="436"/>
      <c r="AX3715" s="436"/>
      <c r="AY3715" s="436"/>
      <c r="AZ3715" s="475"/>
      <c r="BA3715" s="475"/>
      <c r="BF3715" s="1119"/>
      <c r="BG3715" s="1119"/>
      <c r="BH3715" s="1119"/>
    </row>
    <row r="3716" spans="1:60" ht="15.75" customHeight="1">
      <c r="A3716" s="1076"/>
      <c r="B3716" s="312"/>
      <c r="C3716" s="424"/>
      <c r="G3716" s="312"/>
      <c r="H3716" s="467"/>
      <c r="I3716" s="467"/>
      <c r="J3716" s="469"/>
      <c r="K3716" s="312"/>
      <c r="L3716" s="312"/>
      <c r="M3716" s="312"/>
      <c r="N3716" s="467"/>
      <c r="O3716" s="467"/>
      <c r="P3716" s="467"/>
      <c r="AL3716" s="436"/>
      <c r="AM3716" s="436"/>
      <c r="AQ3716" s="436"/>
      <c r="AR3716" s="436"/>
      <c r="AS3716" s="436"/>
      <c r="AT3716" s="436"/>
      <c r="AU3716" s="436"/>
      <c r="AV3716" s="436"/>
      <c r="AW3716" s="436"/>
      <c r="AX3716" s="436"/>
      <c r="AY3716" s="436"/>
      <c r="AZ3716" s="475"/>
      <c r="BA3716" s="475"/>
      <c r="BF3716" s="1119"/>
      <c r="BG3716" s="1119"/>
      <c r="BH3716" s="1119"/>
    </row>
    <row r="3717" spans="1:60" ht="15.75" customHeight="1">
      <c r="A3717" s="1076"/>
      <c r="B3717" s="312"/>
      <c r="C3717" s="424"/>
      <c r="G3717" s="312"/>
      <c r="H3717" s="467"/>
      <c r="I3717" s="467"/>
      <c r="J3717" s="469"/>
      <c r="K3717" s="312"/>
      <c r="L3717" s="312"/>
      <c r="M3717" s="312"/>
      <c r="N3717" s="467"/>
      <c r="O3717" s="467"/>
      <c r="P3717" s="467"/>
      <c r="AL3717" s="436"/>
      <c r="AM3717" s="436"/>
      <c r="AQ3717" s="436"/>
      <c r="AR3717" s="436"/>
      <c r="AS3717" s="436"/>
      <c r="AT3717" s="436"/>
      <c r="AU3717" s="436"/>
      <c r="AV3717" s="436"/>
      <c r="AW3717" s="436"/>
      <c r="AX3717" s="436"/>
      <c r="AY3717" s="436"/>
      <c r="AZ3717" s="475"/>
      <c r="BA3717" s="475"/>
      <c r="BF3717" s="1119"/>
      <c r="BG3717" s="1119"/>
      <c r="BH3717" s="1119"/>
    </row>
    <row r="3718" spans="1:60" ht="15.75" customHeight="1">
      <c r="A3718" s="1076"/>
      <c r="B3718" s="312"/>
      <c r="C3718" s="424"/>
      <c r="G3718" s="312"/>
      <c r="H3718" s="467"/>
      <c r="I3718" s="467"/>
      <c r="J3718" s="469"/>
      <c r="K3718" s="312"/>
      <c r="L3718" s="312"/>
      <c r="M3718" s="312"/>
      <c r="N3718" s="467"/>
      <c r="O3718" s="467"/>
      <c r="P3718" s="467"/>
      <c r="AL3718" s="436"/>
      <c r="AM3718" s="436"/>
      <c r="AQ3718" s="436"/>
      <c r="AR3718" s="436"/>
      <c r="AS3718" s="436"/>
      <c r="AT3718" s="436"/>
      <c r="AU3718" s="436"/>
      <c r="AV3718" s="436"/>
      <c r="AW3718" s="436"/>
      <c r="AX3718" s="436"/>
      <c r="AY3718" s="436"/>
      <c r="AZ3718" s="475"/>
      <c r="BA3718" s="475"/>
      <c r="BF3718" s="1119"/>
      <c r="BG3718" s="1119"/>
      <c r="BH3718" s="1119"/>
    </row>
    <row r="3719" spans="1:60" ht="15.75" customHeight="1">
      <c r="A3719" s="1076"/>
      <c r="B3719" s="312"/>
      <c r="C3719" s="424"/>
      <c r="G3719" s="312"/>
      <c r="H3719" s="467"/>
      <c r="I3719" s="467"/>
      <c r="J3719" s="469"/>
      <c r="K3719" s="312"/>
      <c r="L3719" s="312"/>
      <c r="M3719" s="312"/>
      <c r="N3719" s="467"/>
      <c r="O3719" s="467"/>
      <c r="P3719" s="467"/>
      <c r="AL3719" s="436"/>
      <c r="AM3719" s="436"/>
      <c r="AQ3719" s="436"/>
      <c r="AR3719" s="436"/>
      <c r="AS3719" s="436"/>
      <c r="AT3719" s="436"/>
      <c r="AU3719" s="436"/>
      <c r="AV3719" s="436"/>
      <c r="AW3719" s="436"/>
      <c r="AX3719" s="436"/>
      <c r="AY3719" s="436"/>
      <c r="AZ3719" s="475"/>
      <c r="BA3719" s="475"/>
      <c r="BF3719" s="1119"/>
      <c r="BG3719" s="1119"/>
      <c r="BH3719" s="1119"/>
    </row>
    <row r="3720" spans="1:60" ht="15.75" customHeight="1">
      <c r="A3720" s="1076"/>
      <c r="B3720" s="312"/>
      <c r="C3720" s="424"/>
      <c r="G3720" s="312"/>
      <c r="H3720" s="467"/>
      <c r="I3720" s="467"/>
      <c r="J3720" s="469"/>
      <c r="K3720" s="312"/>
      <c r="L3720" s="312"/>
      <c r="M3720" s="312"/>
      <c r="N3720" s="467"/>
      <c r="O3720" s="467"/>
      <c r="P3720" s="467"/>
      <c r="AL3720" s="436"/>
      <c r="AM3720" s="436"/>
      <c r="AQ3720" s="436"/>
      <c r="AR3720" s="436"/>
      <c r="AS3720" s="436"/>
      <c r="AT3720" s="436"/>
      <c r="AU3720" s="436"/>
      <c r="AV3720" s="436"/>
      <c r="AW3720" s="436"/>
      <c r="AX3720" s="436"/>
      <c r="AY3720" s="436"/>
      <c r="AZ3720" s="475"/>
      <c r="BA3720" s="475"/>
      <c r="BF3720" s="1119"/>
      <c r="BG3720" s="1119"/>
      <c r="BH3720" s="1119"/>
    </row>
    <row r="3721" spans="1:60" ht="15.75" customHeight="1">
      <c r="A3721" s="1076"/>
      <c r="B3721" s="312"/>
      <c r="C3721" s="424"/>
      <c r="G3721" s="312"/>
      <c r="H3721" s="467"/>
      <c r="I3721" s="467"/>
      <c r="J3721" s="469"/>
      <c r="K3721" s="312"/>
      <c r="L3721" s="312"/>
      <c r="M3721" s="312"/>
      <c r="N3721" s="467"/>
      <c r="O3721" s="467"/>
      <c r="P3721" s="467"/>
      <c r="AL3721" s="436"/>
      <c r="AM3721" s="436"/>
      <c r="AQ3721" s="436"/>
      <c r="AR3721" s="436"/>
      <c r="AS3721" s="436"/>
      <c r="AT3721" s="436"/>
      <c r="AU3721" s="436"/>
      <c r="AV3721" s="436"/>
      <c r="AW3721" s="436"/>
      <c r="AX3721" s="436"/>
      <c r="AY3721" s="436"/>
      <c r="AZ3721" s="475"/>
      <c r="BA3721" s="475"/>
      <c r="BF3721" s="1119"/>
      <c r="BG3721" s="1119"/>
      <c r="BH3721" s="1119"/>
    </row>
    <row r="3722" spans="1:60" ht="15.75" customHeight="1">
      <c r="A3722" s="1076"/>
      <c r="B3722" s="312"/>
      <c r="C3722" s="424"/>
      <c r="G3722" s="312"/>
      <c r="H3722" s="467"/>
      <c r="I3722" s="467"/>
      <c r="J3722" s="469"/>
      <c r="K3722" s="312"/>
      <c r="L3722" s="312"/>
      <c r="M3722" s="312"/>
      <c r="N3722" s="467"/>
      <c r="O3722" s="467"/>
      <c r="P3722" s="467"/>
      <c r="AL3722" s="436"/>
      <c r="AM3722" s="436"/>
      <c r="AQ3722" s="436"/>
      <c r="AR3722" s="436"/>
      <c r="AS3722" s="436"/>
      <c r="AT3722" s="436"/>
      <c r="AU3722" s="436"/>
      <c r="AV3722" s="436"/>
      <c r="AW3722" s="436"/>
      <c r="AX3722" s="436"/>
      <c r="AY3722" s="436"/>
      <c r="AZ3722" s="475"/>
      <c r="BA3722" s="475"/>
      <c r="BF3722" s="1119"/>
      <c r="BG3722" s="1119"/>
      <c r="BH3722" s="1119"/>
    </row>
    <row r="3723" spans="1:60" ht="15.75" customHeight="1">
      <c r="A3723" s="1076"/>
      <c r="B3723" s="312"/>
      <c r="C3723" s="424"/>
      <c r="G3723" s="312"/>
      <c r="H3723" s="467"/>
      <c r="I3723" s="467"/>
      <c r="J3723" s="469"/>
      <c r="K3723" s="312"/>
      <c r="L3723" s="312"/>
      <c r="M3723" s="312"/>
      <c r="N3723" s="467"/>
      <c r="O3723" s="467"/>
      <c r="P3723" s="467"/>
      <c r="AL3723" s="436"/>
      <c r="AM3723" s="436"/>
      <c r="AQ3723" s="436"/>
      <c r="AR3723" s="436"/>
      <c r="AS3723" s="436"/>
      <c r="AT3723" s="436"/>
      <c r="AU3723" s="436"/>
      <c r="AV3723" s="436"/>
      <c r="AW3723" s="436"/>
      <c r="AX3723" s="436"/>
      <c r="AY3723" s="436"/>
      <c r="AZ3723" s="475"/>
      <c r="BA3723" s="475"/>
      <c r="BF3723" s="1119"/>
      <c r="BG3723" s="1119"/>
      <c r="BH3723" s="1119"/>
    </row>
    <row r="3724" spans="1:60" ht="15.75" customHeight="1">
      <c r="A3724" s="1076"/>
      <c r="B3724" s="312"/>
      <c r="C3724" s="424"/>
      <c r="G3724" s="312"/>
      <c r="H3724" s="467"/>
      <c r="I3724" s="467"/>
      <c r="J3724" s="469"/>
      <c r="K3724" s="312"/>
      <c r="L3724" s="312"/>
      <c r="M3724" s="312"/>
      <c r="N3724" s="467"/>
      <c r="O3724" s="467"/>
      <c r="P3724" s="467"/>
      <c r="AL3724" s="436"/>
      <c r="AM3724" s="436"/>
      <c r="AQ3724" s="436"/>
      <c r="AR3724" s="436"/>
      <c r="AS3724" s="436"/>
      <c r="AT3724" s="436"/>
      <c r="AU3724" s="436"/>
      <c r="AV3724" s="436"/>
      <c r="AW3724" s="436"/>
      <c r="AX3724" s="436"/>
      <c r="AY3724" s="436"/>
      <c r="AZ3724" s="475"/>
      <c r="BA3724" s="475"/>
      <c r="BF3724" s="1119"/>
      <c r="BG3724" s="1119"/>
      <c r="BH3724" s="1119"/>
    </row>
    <row r="3725" spans="1:60" ht="15.75" customHeight="1">
      <c r="A3725" s="1076"/>
      <c r="B3725" s="312"/>
      <c r="C3725" s="424"/>
      <c r="G3725" s="312"/>
      <c r="H3725" s="467"/>
      <c r="I3725" s="467"/>
      <c r="J3725" s="469"/>
      <c r="K3725" s="312"/>
      <c r="L3725" s="312"/>
      <c r="M3725" s="312"/>
      <c r="N3725" s="467"/>
      <c r="O3725" s="467"/>
      <c r="P3725" s="467"/>
      <c r="AL3725" s="436"/>
      <c r="AM3725" s="436"/>
      <c r="AQ3725" s="436"/>
      <c r="AR3725" s="436"/>
      <c r="AS3725" s="436"/>
      <c r="AT3725" s="436"/>
      <c r="AU3725" s="436"/>
      <c r="AV3725" s="436"/>
      <c r="AW3725" s="436"/>
      <c r="AX3725" s="436"/>
      <c r="AY3725" s="436"/>
      <c r="AZ3725" s="475"/>
      <c r="BA3725" s="475"/>
      <c r="BF3725" s="1119"/>
      <c r="BG3725" s="1119"/>
      <c r="BH3725" s="1119"/>
    </row>
    <row r="3726" spans="1:60" ht="15.75" customHeight="1">
      <c r="A3726" s="1076"/>
      <c r="B3726" s="312"/>
      <c r="C3726" s="424"/>
      <c r="G3726" s="312"/>
      <c r="H3726" s="467"/>
      <c r="I3726" s="467"/>
      <c r="J3726" s="469"/>
      <c r="K3726" s="312"/>
      <c r="L3726" s="312"/>
      <c r="M3726" s="312"/>
      <c r="N3726" s="467"/>
      <c r="O3726" s="467"/>
      <c r="P3726" s="467"/>
      <c r="AL3726" s="436"/>
      <c r="AM3726" s="436"/>
      <c r="AQ3726" s="436"/>
      <c r="AR3726" s="436"/>
      <c r="AS3726" s="436"/>
      <c r="AT3726" s="436"/>
      <c r="AU3726" s="436"/>
      <c r="AV3726" s="436"/>
      <c r="AW3726" s="436"/>
      <c r="AX3726" s="436"/>
      <c r="AY3726" s="436"/>
      <c r="AZ3726" s="475"/>
      <c r="BA3726" s="475"/>
      <c r="BF3726" s="1119"/>
      <c r="BG3726" s="1119"/>
      <c r="BH3726" s="1119"/>
    </row>
    <row r="3727" spans="1:60" ht="15.75" customHeight="1">
      <c r="A3727" s="1076"/>
      <c r="B3727" s="312"/>
      <c r="C3727" s="424"/>
      <c r="G3727" s="312"/>
      <c r="H3727" s="467"/>
      <c r="I3727" s="467"/>
      <c r="J3727" s="469"/>
      <c r="K3727" s="312"/>
      <c r="L3727" s="312"/>
      <c r="M3727" s="312"/>
      <c r="N3727" s="467"/>
      <c r="O3727" s="467"/>
      <c r="P3727" s="467"/>
      <c r="AL3727" s="436"/>
      <c r="AM3727" s="436"/>
      <c r="AQ3727" s="436"/>
      <c r="AR3727" s="436"/>
      <c r="AS3727" s="436"/>
      <c r="AT3727" s="436"/>
      <c r="AU3727" s="436"/>
      <c r="AV3727" s="436"/>
      <c r="AW3727" s="436"/>
      <c r="AX3727" s="436"/>
      <c r="AY3727" s="436"/>
      <c r="AZ3727" s="475"/>
      <c r="BA3727" s="475"/>
      <c r="BF3727" s="1119"/>
      <c r="BG3727" s="1119"/>
      <c r="BH3727" s="1119"/>
    </row>
    <row r="3728" spans="1:60" ht="15.75" customHeight="1">
      <c r="A3728" s="1076"/>
      <c r="B3728" s="312"/>
      <c r="C3728" s="424"/>
      <c r="G3728" s="312"/>
      <c r="H3728" s="467"/>
      <c r="I3728" s="467"/>
      <c r="J3728" s="469"/>
      <c r="K3728" s="312"/>
      <c r="L3728" s="312"/>
      <c r="M3728" s="312"/>
      <c r="N3728" s="467"/>
      <c r="O3728" s="467"/>
      <c r="P3728" s="467"/>
      <c r="AL3728" s="436"/>
      <c r="AM3728" s="436"/>
      <c r="AQ3728" s="436"/>
      <c r="AR3728" s="436"/>
      <c r="AS3728" s="436"/>
      <c r="AT3728" s="436"/>
      <c r="AU3728" s="436"/>
      <c r="AV3728" s="436"/>
      <c r="AW3728" s="436"/>
      <c r="AX3728" s="436"/>
      <c r="AY3728" s="436"/>
      <c r="AZ3728" s="475"/>
      <c r="BA3728" s="475"/>
      <c r="BF3728" s="1119"/>
      <c r="BG3728" s="1119"/>
      <c r="BH3728" s="1119"/>
    </row>
    <row r="3729" spans="1:60" ht="15.75" customHeight="1">
      <c r="A3729" s="1076"/>
      <c r="B3729" s="312"/>
      <c r="C3729" s="424"/>
      <c r="G3729" s="312"/>
      <c r="H3729" s="467"/>
      <c r="I3729" s="467"/>
      <c r="J3729" s="469"/>
      <c r="K3729" s="312"/>
      <c r="L3729" s="312"/>
      <c r="M3729" s="312"/>
      <c r="N3729" s="467"/>
      <c r="O3729" s="467"/>
      <c r="P3729" s="467"/>
      <c r="AL3729" s="436"/>
      <c r="AM3729" s="436"/>
      <c r="AQ3729" s="436"/>
      <c r="AR3729" s="436"/>
      <c r="AS3729" s="436"/>
      <c r="AT3729" s="436"/>
      <c r="AU3729" s="436"/>
      <c r="AV3729" s="436"/>
      <c r="AW3729" s="436"/>
      <c r="AX3729" s="436"/>
      <c r="AY3729" s="436"/>
      <c r="AZ3729" s="475"/>
      <c r="BA3729" s="475"/>
      <c r="BF3729" s="1119"/>
      <c r="BG3729" s="1119"/>
      <c r="BH3729" s="1119"/>
    </row>
    <row r="3730" spans="1:60" ht="15.75" customHeight="1">
      <c r="A3730" s="1076"/>
      <c r="B3730" s="312"/>
      <c r="C3730" s="424"/>
      <c r="G3730" s="312"/>
      <c r="H3730" s="467"/>
      <c r="I3730" s="467"/>
      <c r="J3730" s="469"/>
      <c r="K3730" s="312"/>
      <c r="L3730" s="312"/>
      <c r="M3730" s="312"/>
      <c r="N3730" s="467"/>
      <c r="O3730" s="467"/>
      <c r="P3730" s="467"/>
      <c r="AL3730" s="436"/>
      <c r="AM3730" s="436"/>
      <c r="AQ3730" s="436"/>
      <c r="AR3730" s="436"/>
      <c r="AS3730" s="436"/>
      <c r="AT3730" s="436"/>
      <c r="AU3730" s="436"/>
      <c r="AV3730" s="436"/>
      <c r="AW3730" s="436"/>
      <c r="AX3730" s="436"/>
      <c r="AY3730" s="436"/>
      <c r="AZ3730" s="475"/>
      <c r="BA3730" s="475"/>
      <c r="BF3730" s="1119"/>
      <c r="BG3730" s="1119"/>
      <c r="BH3730" s="1119"/>
    </row>
    <row r="3731" spans="1:60" ht="15.75" customHeight="1">
      <c r="A3731" s="1076"/>
      <c r="B3731" s="312"/>
      <c r="C3731" s="424"/>
      <c r="G3731" s="312"/>
      <c r="H3731" s="467"/>
      <c r="I3731" s="467"/>
      <c r="J3731" s="469"/>
      <c r="K3731" s="312"/>
      <c r="L3731" s="312"/>
      <c r="M3731" s="312"/>
      <c r="N3731" s="467"/>
      <c r="O3731" s="467"/>
      <c r="P3731" s="467"/>
      <c r="AL3731" s="436"/>
      <c r="AM3731" s="436"/>
      <c r="AQ3731" s="436"/>
      <c r="AR3731" s="436"/>
      <c r="AS3731" s="436"/>
      <c r="AT3731" s="436"/>
      <c r="AU3731" s="436"/>
      <c r="AV3731" s="436"/>
      <c r="AW3731" s="436"/>
      <c r="AX3731" s="436"/>
      <c r="AY3731" s="436"/>
      <c r="AZ3731" s="475"/>
      <c r="BA3731" s="475"/>
      <c r="BF3731" s="1119"/>
      <c r="BG3731" s="1119"/>
      <c r="BH3731" s="1119"/>
    </row>
    <row r="3732" spans="1:60" ht="15.75" customHeight="1">
      <c r="A3732" s="1076"/>
      <c r="B3732" s="312"/>
      <c r="C3732" s="424"/>
      <c r="G3732" s="312"/>
      <c r="H3732" s="467"/>
      <c r="I3732" s="467"/>
      <c r="J3732" s="469"/>
      <c r="K3732" s="312"/>
      <c r="L3732" s="312"/>
      <c r="M3732" s="312"/>
      <c r="N3732" s="467"/>
      <c r="O3732" s="467"/>
      <c r="P3732" s="467"/>
      <c r="AL3732" s="436"/>
      <c r="AM3732" s="436"/>
      <c r="AQ3732" s="436"/>
      <c r="AR3732" s="436"/>
      <c r="AS3732" s="436"/>
      <c r="AT3732" s="436"/>
      <c r="AU3732" s="436"/>
      <c r="AV3732" s="436"/>
      <c r="AW3732" s="436"/>
      <c r="AX3732" s="436"/>
      <c r="AY3732" s="436"/>
      <c r="AZ3732" s="475"/>
      <c r="BA3732" s="475"/>
      <c r="BF3732" s="1119"/>
      <c r="BG3732" s="1119"/>
      <c r="BH3732" s="1119"/>
    </row>
    <row r="3733" spans="1:60" ht="15.75" customHeight="1">
      <c r="A3733" s="1076"/>
      <c r="B3733" s="312"/>
      <c r="C3733" s="424"/>
      <c r="G3733" s="312"/>
      <c r="H3733" s="467"/>
      <c r="I3733" s="467"/>
      <c r="J3733" s="469"/>
      <c r="K3733" s="312"/>
      <c r="L3733" s="312"/>
      <c r="M3733" s="312"/>
      <c r="N3733" s="467"/>
      <c r="O3733" s="467"/>
      <c r="P3733" s="467"/>
      <c r="AL3733" s="436"/>
      <c r="AM3733" s="436"/>
      <c r="AQ3733" s="436"/>
      <c r="AR3733" s="436"/>
      <c r="AS3733" s="436"/>
      <c r="AT3733" s="436"/>
      <c r="AU3733" s="436"/>
      <c r="AV3733" s="436"/>
      <c r="AW3733" s="436"/>
      <c r="AX3733" s="436"/>
      <c r="AY3733" s="436"/>
      <c r="AZ3733" s="475"/>
      <c r="BA3733" s="475"/>
      <c r="BF3733" s="1119"/>
      <c r="BG3733" s="1119"/>
      <c r="BH3733" s="1119"/>
    </row>
    <row r="3734" spans="1:60" ht="15.75" customHeight="1">
      <c r="A3734" s="1076"/>
      <c r="B3734" s="312"/>
      <c r="C3734" s="424"/>
      <c r="G3734" s="312"/>
      <c r="H3734" s="467"/>
      <c r="I3734" s="467"/>
      <c r="J3734" s="469"/>
      <c r="K3734" s="312"/>
      <c r="L3734" s="312"/>
      <c r="M3734" s="312"/>
      <c r="N3734" s="467"/>
      <c r="O3734" s="467"/>
      <c r="P3734" s="467"/>
      <c r="AL3734" s="436"/>
      <c r="AM3734" s="436"/>
      <c r="AQ3734" s="436"/>
      <c r="AR3734" s="436"/>
      <c r="AS3734" s="436"/>
      <c r="AT3734" s="436"/>
      <c r="AU3734" s="436"/>
      <c r="AV3734" s="436"/>
      <c r="AW3734" s="436"/>
      <c r="AX3734" s="436"/>
      <c r="AY3734" s="436"/>
      <c r="AZ3734" s="475"/>
      <c r="BA3734" s="475"/>
      <c r="BF3734" s="1119"/>
      <c r="BG3734" s="1119"/>
      <c r="BH3734" s="1119"/>
    </row>
    <row r="3735" spans="1:60" ht="15.75" customHeight="1">
      <c r="A3735" s="1076"/>
      <c r="B3735" s="312"/>
      <c r="C3735" s="424"/>
      <c r="G3735" s="312"/>
      <c r="H3735" s="467"/>
      <c r="I3735" s="467"/>
      <c r="J3735" s="469"/>
      <c r="K3735" s="312"/>
      <c r="L3735" s="312"/>
      <c r="M3735" s="312"/>
      <c r="N3735" s="467"/>
      <c r="O3735" s="467"/>
      <c r="P3735" s="467"/>
      <c r="AL3735" s="436"/>
      <c r="AM3735" s="436"/>
      <c r="AQ3735" s="436"/>
      <c r="AR3735" s="436"/>
      <c r="AS3735" s="436"/>
      <c r="AT3735" s="436"/>
      <c r="AU3735" s="436"/>
      <c r="AV3735" s="436"/>
      <c r="AW3735" s="436"/>
      <c r="AX3735" s="436"/>
      <c r="AY3735" s="436"/>
      <c r="AZ3735" s="475"/>
      <c r="BA3735" s="475"/>
      <c r="BF3735" s="1119"/>
      <c r="BG3735" s="1119"/>
      <c r="BH3735" s="1119"/>
    </row>
    <row r="3736" spans="1:60" ht="15.75" customHeight="1">
      <c r="A3736" s="1076"/>
      <c r="B3736" s="312"/>
      <c r="C3736" s="424"/>
      <c r="G3736" s="312"/>
      <c r="H3736" s="467"/>
      <c r="I3736" s="467"/>
      <c r="J3736" s="469"/>
      <c r="K3736" s="312"/>
      <c r="L3736" s="312"/>
      <c r="M3736" s="312"/>
      <c r="N3736" s="467"/>
      <c r="O3736" s="467"/>
      <c r="P3736" s="467"/>
      <c r="AL3736" s="436"/>
      <c r="AM3736" s="436"/>
      <c r="AQ3736" s="436"/>
      <c r="AR3736" s="436"/>
      <c r="AS3736" s="436"/>
      <c r="AT3736" s="436"/>
      <c r="AU3736" s="436"/>
      <c r="AV3736" s="436"/>
      <c r="AW3736" s="436"/>
      <c r="AX3736" s="436"/>
      <c r="AY3736" s="436"/>
      <c r="AZ3736" s="475"/>
      <c r="BA3736" s="475"/>
      <c r="BF3736" s="1119"/>
      <c r="BG3736" s="1119"/>
      <c r="BH3736" s="1119"/>
    </row>
    <row r="3737" spans="1:60" ht="15.75" customHeight="1">
      <c r="A3737" s="1076"/>
      <c r="B3737" s="312"/>
      <c r="C3737" s="424"/>
      <c r="G3737" s="312"/>
      <c r="H3737" s="467"/>
      <c r="I3737" s="467"/>
      <c r="J3737" s="469"/>
      <c r="K3737" s="312"/>
      <c r="L3737" s="312"/>
      <c r="M3737" s="312"/>
      <c r="N3737" s="467"/>
      <c r="O3737" s="467"/>
      <c r="P3737" s="467"/>
      <c r="AL3737" s="436"/>
      <c r="AM3737" s="436"/>
      <c r="AQ3737" s="436"/>
      <c r="AR3737" s="436"/>
      <c r="AS3737" s="436"/>
      <c r="AT3737" s="436"/>
      <c r="AU3737" s="436"/>
      <c r="AV3737" s="436"/>
      <c r="AW3737" s="436"/>
      <c r="AX3737" s="436"/>
      <c r="AY3737" s="436"/>
      <c r="AZ3737" s="475"/>
      <c r="BA3737" s="475"/>
      <c r="BF3737" s="1119"/>
      <c r="BG3737" s="1119"/>
      <c r="BH3737" s="1119"/>
    </row>
    <row r="3738" spans="1:60" ht="15.75" customHeight="1">
      <c r="A3738" s="1076"/>
      <c r="B3738" s="312"/>
      <c r="C3738" s="424"/>
      <c r="G3738" s="312"/>
      <c r="H3738" s="467"/>
      <c r="I3738" s="467"/>
      <c r="J3738" s="469"/>
      <c r="K3738" s="312"/>
      <c r="L3738" s="312"/>
      <c r="M3738" s="312"/>
      <c r="N3738" s="467"/>
      <c r="O3738" s="467"/>
      <c r="P3738" s="467"/>
      <c r="AL3738" s="436"/>
      <c r="AM3738" s="436"/>
      <c r="AQ3738" s="436"/>
      <c r="AR3738" s="436"/>
      <c r="AS3738" s="436"/>
      <c r="AT3738" s="436"/>
      <c r="AU3738" s="436"/>
      <c r="AV3738" s="436"/>
      <c r="AW3738" s="436"/>
      <c r="AX3738" s="436"/>
      <c r="AY3738" s="436"/>
      <c r="AZ3738" s="475"/>
      <c r="BA3738" s="475"/>
      <c r="BF3738" s="1119"/>
      <c r="BG3738" s="1119"/>
      <c r="BH3738" s="1119"/>
    </row>
    <row r="3739" spans="1:60" ht="15.75" customHeight="1">
      <c r="A3739" s="1076"/>
      <c r="B3739" s="312"/>
      <c r="C3739" s="424"/>
      <c r="G3739" s="312"/>
      <c r="H3739" s="467"/>
      <c r="I3739" s="467"/>
      <c r="J3739" s="469"/>
      <c r="K3739" s="312"/>
      <c r="L3739" s="312"/>
      <c r="M3739" s="312"/>
      <c r="N3739" s="467"/>
      <c r="O3739" s="467"/>
      <c r="P3739" s="467"/>
      <c r="AL3739" s="436"/>
      <c r="AM3739" s="436"/>
      <c r="AQ3739" s="436"/>
      <c r="AR3739" s="436"/>
      <c r="AS3739" s="436"/>
      <c r="AT3739" s="436"/>
      <c r="AU3739" s="436"/>
      <c r="AV3739" s="436"/>
      <c r="AW3739" s="436"/>
      <c r="AX3739" s="436"/>
      <c r="AY3739" s="436"/>
      <c r="AZ3739" s="475"/>
      <c r="BA3739" s="475"/>
      <c r="BF3739" s="1119"/>
      <c r="BG3739" s="1119"/>
      <c r="BH3739" s="1119"/>
    </row>
    <row r="3740" spans="1:60" ht="15.75" customHeight="1">
      <c r="A3740" s="1076"/>
      <c r="B3740" s="312"/>
      <c r="C3740" s="424"/>
      <c r="G3740" s="312"/>
      <c r="H3740" s="467"/>
      <c r="I3740" s="467"/>
      <c r="J3740" s="469"/>
      <c r="K3740" s="312"/>
      <c r="L3740" s="312"/>
      <c r="M3740" s="312"/>
      <c r="N3740" s="467"/>
      <c r="O3740" s="467"/>
      <c r="P3740" s="467"/>
      <c r="AL3740" s="436"/>
      <c r="AM3740" s="436"/>
      <c r="AQ3740" s="436"/>
      <c r="AR3740" s="436"/>
      <c r="AS3740" s="436"/>
      <c r="AT3740" s="436"/>
      <c r="AU3740" s="436"/>
      <c r="AV3740" s="436"/>
      <c r="AW3740" s="436"/>
      <c r="AX3740" s="436"/>
      <c r="AY3740" s="436"/>
      <c r="AZ3740" s="475"/>
      <c r="BA3740" s="475"/>
      <c r="BF3740" s="1119"/>
      <c r="BG3740" s="1119"/>
      <c r="BH3740" s="1119"/>
    </row>
    <row r="3741" spans="1:60" ht="15.75" customHeight="1">
      <c r="A3741" s="1076"/>
      <c r="B3741" s="312"/>
      <c r="C3741" s="424"/>
      <c r="G3741" s="312"/>
      <c r="H3741" s="467"/>
      <c r="I3741" s="467"/>
      <c r="J3741" s="469"/>
      <c r="K3741" s="312"/>
      <c r="L3741" s="312"/>
      <c r="M3741" s="312"/>
      <c r="N3741" s="467"/>
      <c r="O3741" s="467"/>
      <c r="P3741" s="467"/>
      <c r="AL3741" s="436"/>
      <c r="AM3741" s="436"/>
      <c r="AQ3741" s="436"/>
      <c r="AR3741" s="436"/>
      <c r="AS3741" s="436"/>
      <c r="AT3741" s="436"/>
      <c r="AU3741" s="436"/>
      <c r="AV3741" s="436"/>
      <c r="AW3741" s="436"/>
      <c r="AX3741" s="436"/>
      <c r="AY3741" s="436"/>
      <c r="AZ3741" s="475"/>
      <c r="BA3741" s="475"/>
      <c r="BF3741" s="1119"/>
      <c r="BG3741" s="1119"/>
      <c r="BH3741" s="1119"/>
    </row>
    <row r="3742" spans="1:60" ht="15.75" customHeight="1">
      <c r="A3742" s="1076"/>
      <c r="B3742" s="312"/>
      <c r="C3742" s="424"/>
      <c r="G3742" s="312"/>
      <c r="H3742" s="467"/>
      <c r="I3742" s="467"/>
      <c r="J3742" s="469"/>
      <c r="K3742" s="312"/>
      <c r="L3742" s="312"/>
      <c r="M3742" s="312"/>
      <c r="N3742" s="467"/>
      <c r="O3742" s="467"/>
      <c r="P3742" s="467"/>
      <c r="AL3742" s="436"/>
      <c r="AM3742" s="436"/>
      <c r="AQ3742" s="436"/>
      <c r="AR3742" s="436"/>
      <c r="AS3742" s="436"/>
      <c r="AT3742" s="436"/>
      <c r="AU3742" s="436"/>
      <c r="AV3742" s="436"/>
      <c r="AW3742" s="436"/>
      <c r="AX3742" s="436"/>
      <c r="AY3742" s="436"/>
      <c r="AZ3742" s="475"/>
      <c r="BA3742" s="475"/>
      <c r="BF3742" s="1119"/>
      <c r="BG3742" s="1119"/>
      <c r="BH3742" s="1119"/>
    </row>
    <row r="3743" spans="1:60" ht="15.75" customHeight="1">
      <c r="A3743" s="1076"/>
      <c r="B3743" s="312"/>
      <c r="C3743" s="424"/>
      <c r="G3743" s="312"/>
      <c r="H3743" s="467"/>
      <c r="I3743" s="467"/>
      <c r="J3743" s="469"/>
      <c r="K3743" s="312"/>
      <c r="L3743" s="312"/>
      <c r="M3743" s="312"/>
      <c r="N3743" s="467"/>
      <c r="O3743" s="467"/>
      <c r="P3743" s="467"/>
      <c r="AL3743" s="436"/>
      <c r="AM3743" s="436"/>
      <c r="AQ3743" s="436"/>
      <c r="AR3743" s="436"/>
      <c r="AS3743" s="436"/>
      <c r="AT3743" s="436"/>
      <c r="AU3743" s="436"/>
      <c r="AV3743" s="436"/>
      <c r="AW3743" s="436"/>
      <c r="AX3743" s="436"/>
      <c r="AY3743" s="436"/>
      <c r="AZ3743" s="475"/>
      <c r="BA3743" s="475"/>
      <c r="BF3743" s="1119"/>
      <c r="BG3743" s="1119"/>
      <c r="BH3743" s="1119"/>
    </row>
    <row r="3744" spans="1:60" ht="15.75" customHeight="1">
      <c r="A3744" s="1076"/>
      <c r="B3744" s="312"/>
      <c r="C3744" s="424"/>
      <c r="G3744" s="312"/>
      <c r="H3744" s="467"/>
      <c r="I3744" s="467"/>
      <c r="J3744" s="469"/>
      <c r="K3744" s="312"/>
      <c r="L3744" s="312"/>
      <c r="M3744" s="312"/>
      <c r="N3744" s="467"/>
      <c r="O3744" s="467"/>
      <c r="P3744" s="467"/>
      <c r="AL3744" s="436"/>
      <c r="AM3744" s="436"/>
      <c r="AQ3744" s="436"/>
      <c r="AR3744" s="436"/>
      <c r="AS3744" s="436"/>
      <c r="AT3744" s="436"/>
      <c r="AU3744" s="436"/>
      <c r="AV3744" s="436"/>
      <c r="AW3744" s="436"/>
      <c r="AX3744" s="436"/>
      <c r="AY3744" s="436"/>
      <c r="AZ3744" s="475"/>
      <c r="BA3744" s="475"/>
      <c r="BF3744" s="1119"/>
      <c r="BG3744" s="1119"/>
      <c r="BH3744" s="1119"/>
    </row>
    <row r="3745" spans="1:60" ht="15.75" customHeight="1">
      <c r="A3745" s="1076"/>
      <c r="B3745" s="312"/>
      <c r="C3745" s="424"/>
      <c r="G3745" s="312"/>
      <c r="H3745" s="467"/>
      <c r="I3745" s="467"/>
      <c r="J3745" s="469"/>
      <c r="K3745" s="312"/>
      <c r="L3745" s="312"/>
      <c r="M3745" s="312"/>
      <c r="N3745" s="467"/>
      <c r="O3745" s="467"/>
      <c r="P3745" s="467"/>
      <c r="AL3745" s="436"/>
      <c r="AM3745" s="436"/>
      <c r="AQ3745" s="436"/>
      <c r="AR3745" s="436"/>
      <c r="AS3745" s="436"/>
      <c r="AT3745" s="436"/>
      <c r="AU3745" s="436"/>
      <c r="AV3745" s="436"/>
      <c r="AW3745" s="436"/>
      <c r="AX3745" s="436"/>
      <c r="AY3745" s="436"/>
      <c r="AZ3745" s="475"/>
      <c r="BA3745" s="475"/>
      <c r="BF3745" s="1119"/>
      <c r="BG3745" s="1119"/>
      <c r="BH3745" s="1119"/>
    </row>
    <row r="3746" spans="1:60" ht="15.75" customHeight="1">
      <c r="A3746" s="1076"/>
      <c r="B3746" s="312"/>
      <c r="C3746" s="424"/>
      <c r="G3746" s="312"/>
      <c r="H3746" s="467"/>
      <c r="I3746" s="467"/>
      <c r="J3746" s="469"/>
      <c r="K3746" s="312"/>
      <c r="L3746" s="312"/>
      <c r="M3746" s="312"/>
      <c r="N3746" s="467"/>
      <c r="O3746" s="467"/>
      <c r="P3746" s="467"/>
      <c r="AL3746" s="436"/>
      <c r="AM3746" s="436"/>
      <c r="AQ3746" s="436"/>
      <c r="AR3746" s="436"/>
      <c r="AS3746" s="436"/>
      <c r="AT3746" s="436"/>
      <c r="AU3746" s="436"/>
      <c r="AV3746" s="436"/>
      <c r="AW3746" s="436"/>
      <c r="AX3746" s="436"/>
      <c r="AY3746" s="436"/>
      <c r="AZ3746" s="475"/>
      <c r="BA3746" s="475"/>
      <c r="BF3746" s="1119"/>
      <c r="BG3746" s="1119"/>
      <c r="BH3746" s="1119"/>
    </row>
    <row r="3747" spans="1:60" ht="15.75" customHeight="1">
      <c r="A3747" s="1076"/>
      <c r="B3747" s="312"/>
      <c r="C3747" s="424"/>
      <c r="G3747" s="312"/>
      <c r="H3747" s="467"/>
      <c r="I3747" s="467"/>
      <c r="J3747" s="469"/>
      <c r="K3747" s="312"/>
      <c r="L3747" s="312"/>
      <c r="M3747" s="312"/>
      <c r="N3747" s="467"/>
      <c r="O3747" s="467"/>
      <c r="P3747" s="467"/>
      <c r="AL3747" s="436"/>
      <c r="AM3747" s="436"/>
      <c r="AQ3747" s="436"/>
      <c r="AR3747" s="436"/>
      <c r="AS3747" s="436"/>
      <c r="AT3747" s="436"/>
      <c r="AU3747" s="436"/>
      <c r="AV3747" s="436"/>
      <c r="AW3747" s="436"/>
      <c r="AX3747" s="436"/>
      <c r="AY3747" s="436"/>
      <c r="AZ3747" s="475"/>
      <c r="BA3747" s="475"/>
      <c r="BF3747" s="1119"/>
      <c r="BG3747" s="1119"/>
      <c r="BH3747" s="1119"/>
    </row>
    <row r="3748" spans="1:60" ht="15.75" customHeight="1">
      <c r="A3748" s="1076"/>
      <c r="B3748" s="312"/>
      <c r="C3748" s="424"/>
      <c r="G3748" s="312"/>
      <c r="H3748" s="467"/>
      <c r="I3748" s="467"/>
      <c r="J3748" s="469"/>
      <c r="K3748" s="312"/>
      <c r="L3748" s="312"/>
      <c r="M3748" s="312"/>
      <c r="N3748" s="467"/>
      <c r="O3748" s="467"/>
      <c r="P3748" s="467"/>
      <c r="AL3748" s="436"/>
      <c r="AM3748" s="436"/>
      <c r="AQ3748" s="436"/>
      <c r="AR3748" s="436"/>
      <c r="AS3748" s="436"/>
      <c r="AT3748" s="436"/>
      <c r="AU3748" s="436"/>
      <c r="AV3748" s="436"/>
      <c r="AW3748" s="436"/>
      <c r="AX3748" s="436"/>
      <c r="AY3748" s="436"/>
      <c r="AZ3748" s="475"/>
      <c r="BA3748" s="475"/>
      <c r="BF3748" s="1119"/>
      <c r="BG3748" s="1119"/>
      <c r="BH3748" s="1119"/>
    </row>
    <row r="3749" spans="1:60" ht="15.75" customHeight="1">
      <c r="A3749" s="1076"/>
      <c r="B3749" s="312"/>
      <c r="C3749" s="424"/>
      <c r="G3749" s="312"/>
      <c r="H3749" s="467"/>
      <c r="I3749" s="467"/>
      <c r="J3749" s="469"/>
      <c r="K3749" s="312"/>
      <c r="L3749" s="312"/>
      <c r="M3749" s="312"/>
      <c r="N3749" s="467"/>
      <c r="O3749" s="467"/>
      <c r="P3749" s="467"/>
      <c r="AL3749" s="436"/>
      <c r="AM3749" s="436"/>
      <c r="AQ3749" s="436"/>
      <c r="AR3749" s="436"/>
      <c r="AS3749" s="436"/>
      <c r="AT3749" s="436"/>
      <c r="AU3749" s="436"/>
      <c r="AV3749" s="436"/>
      <c r="AW3749" s="436"/>
      <c r="AX3749" s="436"/>
      <c r="AY3749" s="436"/>
      <c r="AZ3749" s="475"/>
      <c r="BA3749" s="475"/>
      <c r="BF3749" s="1119"/>
      <c r="BG3749" s="1119"/>
      <c r="BH3749" s="1119"/>
    </row>
    <row r="3750" spans="1:60" ht="15.75" customHeight="1">
      <c r="A3750" s="1076"/>
      <c r="B3750" s="312"/>
      <c r="C3750" s="424"/>
      <c r="G3750" s="312"/>
      <c r="H3750" s="467"/>
      <c r="I3750" s="467"/>
      <c r="J3750" s="469"/>
      <c r="K3750" s="312"/>
      <c r="L3750" s="312"/>
      <c r="M3750" s="312"/>
      <c r="N3750" s="467"/>
      <c r="O3750" s="467"/>
      <c r="P3750" s="467"/>
      <c r="AL3750" s="436"/>
      <c r="AM3750" s="436"/>
      <c r="AQ3750" s="436"/>
      <c r="AR3750" s="436"/>
      <c r="AS3750" s="436"/>
      <c r="AT3750" s="436"/>
      <c r="AU3750" s="436"/>
      <c r="AV3750" s="436"/>
      <c r="AW3750" s="436"/>
      <c r="AX3750" s="436"/>
      <c r="AY3750" s="436"/>
      <c r="AZ3750" s="475"/>
      <c r="BA3750" s="475"/>
      <c r="BF3750" s="1119"/>
      <c r="BG3750" s="1119"/>
      <c r="BH3750" s="1119"/>
    </row>
    <row r="3751" spans="1:60" ht="15.75" customHeight="1">
      <c r="A3751" s="1076"/>
      <c r="B3751" s="312"/>
      <c r="C3751" s="424"/>
      <c r="G3751" s="312"/>
      <c r="H3751" s="467"/>
      <c r="I3751" s="467"/>
      <c r="J3751" s="469"/>
      <c r="K3751" s="312"/>
      <c r="L3751" s="312"/>
      <c r="M3751" s="312"/>
      <c r="N3751" s="467"/>
      <c r="O3751" s="467"/>
      <c r="P3751" s="467"/>
      <c r="AL3751" s="436"/>
      <c r="AM3751" s="436"/>
      <c r="AQ3751" s="436"/>
      <c r="AR3751" s="436"/>
      <c r="AS3751" s="436"/>
      <c r="AT3751" s="436"/>
      <c r="AU3751" s="436"/>
      <c r="AV3751" s="436"/>
      <c r="AW3751" s="436"/>
      <c r="AX3751" s="436"/>
      <c r="AY3751" s="436"/>
      <c r="AZ3751" s="475"/>
      <c r="BA3751" s="475"/>
      <c r="BF3751" s="1119"/>
      <c r="BG3751" s="1119"/>
      <c r="BH3751" s="1119"/>
    </row>
    <row r="3752" spans="1:60" ht="15.75" customHeight="1">
      <c r="A3752" s="1076"/>
      <c r="B3752" s="312"/>
      <c r="C3752" s="424"/>
      <c r="G3752" s="312"/>
      <c r="H3752" s="467"/>
      <c r="I3752" s="467"/>
      <c r="J3752" s="469"/>
      <c r="K3752" s="312"/>
      <c r="L3752" s="312"/>
      <c r="M3752" s="312"/>
      <c r="N3752" s="467"/>
      <c r="O3752" s="467"/>
      <c r="P3752" s="467"/>
      <c r="AL3752" s="436"/>
      <c r="AM3752" s="436"/>
      <c r="AQ3752" s="436"/>
      <c r="AR3752" s="436"/>
      <c r="AS3752" s="436"/>
      <c r="AT3752" s="436"/>
      <c r="AU3752" s="436"/>
      <c r="AV3752" s="436"/>
      <c r="AW3752" s="436"/>
      <c r="AX3752" s="436"/>
      <c r="AY3752" s="436"/>
      <c r="AZ3752" s="475"/>
      <c r="BA3752" s="475"/>
      <c r="BF3752" s="1119"/>
      <c r="BG3752" s="1119"/>
      <c r="BH3752" s="1119"/>
    </row>
    <row r="3753" spans="1:60" ht="15.75" customHeight="1">
      <c r="A3753" s="1076"/>
      <c r="B3753" s="312"/>
      <c r="C3753" s="424"/>
      <c r="G3753" s="312"/>
      <c r="H3753" s="467"/>
      <c r="I3753" s="467"/>
      <c r="J3753" s="469"/>
      <c r="K3753" s="312"/>
      <c r="L3753" s="312"/>
      <c r="M3753" s="312"/>
      <c r="N3753" s="467"/>
      <c r="O3753" s="467"/>
      <c r="P3753" s="467"/>
      <c r="AL3753" s="436"/>
      <c r="AM3753" s="436"/>
      <c r="AQ3753" s="436"/>
      <c r="AR3753" s="436"/>
      <c r="AS3753" s="436"/>
      <c r="AT3753" s="436"/>
      <c r="AU3753" s="436"/>
      <c r="AV3753" s="436"/>
      <c r="AW3753" s="436"/>
      <c r="AX3753" s="436"/>
      <c r="AY3753" s="436"/>
      <c r="AZ3753" s="475"/>
      <c r="BA3753" s="475"/>
      <c r="BF3753" s="1119"/>
      <c r="BG3753" s="1119"/>
      <c r="BH3753" s="1119"/>
    </row>
    <row r="3754" spans="1:60" ht="15.75" customHeight="1">
      <c r="A3754" s="1076"/>
      <c r="B3754" s="312"/>
      <c r="C3754" s="424"/>
      <c r="G3754" s="312"/>
      <c r="H3754" s="467"/>
      <c r="I3754" s="467"/>
      <c r="J3754" s="469"/>
      <c r="K3754" s="312"/>
      <c r="L3754" s="312"/>
      <c r="M3754" s="312"/>
      <c r="N3754" s="467"/>
      <c r="O3754" s="467"/>
      <c r="P3754" s="467"/>
      <c r="AL3754" s="436"/>
      <c r="AM3754" s="436"/>
      <c r="AQ3754" s="436"/>
      <c r="AR3754" s="436"/>
      <c r="AS3754" s="436"/>
      <c r="AT3754" s="436"/>
      <c r="AU3754" s="436"/>
      <c r="AV3754" s="436"/>
      <c r="AW3754" s="436"/>
      <c r="AX3754" s="436"/>
      <c r="AY3754" s="436"/>
      <c r="AZ3754" s="475"/>
      <c r="BA3754" s="475"/>
      <c r="BF3754" s="1119"/>
      <c r="BG3754" s="1119"/>
      <c r="BH3754" s="1119"/>
    </row>
    <row r="3755" spans="1:60" ht="15.75" customHeight="1">
      <c r="A3755" s="1076"/>
      <c r="B3755" s="312"/>
      <c r="C3755" s="424"/>
      <c r="G3755" s="312"/>
      <c r="H3755" s="467"/>
      <c r="I3755" s="467"/>
      <c r="J3755" s="469"/>
      <c r="K3755" s="312"/>
      <c r="L3755" s="312"/>
      <c r="M3755" s="312"/>
      <c r="N3755" s="467"/>
      <c r="O3755" s="467"/>
      <c r="P3755" s="467"/>
      <c r="AL3755" s="436"/>
      <c r="AM3755" s="436"/>
      <c r="AQ3755" s="436"/>
      <c r="AR3755" s="436"/>
      <c r="AS3755" s="436"/>
      <c r="AT3755" s="436"/>
      <c r="AU3755" s="436"/>
      <c r="AV3755" s="436"/>
      <c r="AW3755" s="436"/>
      <c r="AX3755" s="436"/>
      <c r="AY3755" s="436"/>
      <c r="AZ3755" s="475"/>
      <c r="BA3755" s="475"/>
      <c r="BF3755" s="1119"/>
      <c r="BG3755" s="1119"/>
      <c r="BH3755" s="1119"/>
    </row>
    <row r="3756" spans="1:60" ht="15.75" customHeight="1">
      <c r="A3756" s="1076"/>
      <c r="B3756" s="312"/>
      <c r="C3756" s="424"/>
      <c r="G3756" s="312"/>
      <c r="H3756" s="467"/>
      <c r="I3756" s="467"/>
      <c r="J3756" s="469"/>
      <c r="K3756" s="312"/>
      <c r="L3756" s="312"/>
      <c r="M3756" s="312"/>
      <c r="N3756" s="467"/>
      <c r="O3756" s="467"/>
      <c r="P3756" s="467"/>
      <c r="AL3756" s="436"/>
      <c r="AM3756" s="436"/>
      <c r="AQ3756" s="436"/>
      <c r="AR3756" s="436"/>
      <c r="AS3756" s="436"/>
      <c r="AT3756" s="436"/>
      <c r="AU3756" s="436"/>
      <c r="AV3756" s="436"/>
      <c r="AW3756" s="436"/>
      <c r="AX3756" s="436"/>
      <c r="AY3756" s="436"/>
      <c r="AZ3756" s="475"/>
      <c r="BA3756" s="475"/>
      <c r="BF3756" s="1119"/>
      <c r="BG3756" s="1119"/>
      <c r="BH3756" s="1119"/>
    </row>
    <row r="3757" spans="1:60" ht="15.75" customHeight="1">
      <c r="A3757" s="1076"/>
      <c r="B3757" s="312"/>
      <c r="C3757" s="424"/>
      <c r="G3757" s="312"/>
      <c r="H3757" s="467"/>
      <c r="I3757" s="467"/>
      <c r="J3757" s="469"/>
      <c r="K3757" s="312"/>
      <c r="L3757" s="312"/>
      <c r="M3757" s="312"/>
      <c r="N3757" s="467"/>
      <c r="O3757" s="467"/>
      <c r="P3757" s="467"/>
      <c r="AL3757" s="436"/>
      <c r="AM3757" s="436"/>
      <c r="AQ3757" s="436"/>
      <c r="AR3757" s="436"/>
      <c r="AS3757" s="436"/>
      <c r="AT3757" s="436"/>
      <c r="AU3757" s="436"/>
      <c r="AV3757" s="436"/>
      <c r="AW3757" s="436"/>
      <c r="AX3757" s="436"/>
      <c r="AY3757" s="436"/>
      <c r="AZ3757" s="475"/>
      <c r="BA3757" s="475"/>
      <c r="BF3757" s="1119"/>
      <c r="BG3757" s="1119"/>
      <c r="BH3757" s="1119"/>
    </row>
    <row r="3758" spans="1:60" ht="15.75" customHeight="1">
      <c r="A3758" s="1076"/>
      <c r="B3758" s="312"/>
      <c r="C3758" s="424"/>
      <c r="G3758" s="312"/>
      <c r="H3758" s="467"/>
      <c r="I3758" s="467"/>
      <c r="J3758" s="469"/>
      <c r="K3758" s="312"/>
      <c r="L3758" s="312"/>
      <c r="M3758" s="312"/>
      <c r="N3758" s="467"/>
      <c r="O3758" s="467"/>
      <c r="P3758" s="467"/>
      <c r="AL3758" s="436"/>
      <c r="AM3758" s="436"/>
      <c r="AQ3758" s="436"/>
      <c r="AR3758" s="436"/>
      <c r="AS3758" s="436"/>
      <c r="AT3758" s="436"/>
      <c r="AU3758" s="436"/>
      <c r="AV3758" s="436"/>
      <c r="AW3758" s="436"/>
      <c r="AX3758" s="436"/>
      <c r="AY3758" s="436"/>
      <c r="AZ3758" s="475"/>
      <c r="BA3758" s="475"/>
      <c r="BF3758" s="1119"/>
      <c r="BG3758" s="1119"/>
      <c r="BH3758" s="1119"/>
    </row>
    <row r="3759" spans="1:60" ht="15.75" customHeight="1">
      <c r="A3759" s="1076"/>
      <c r="B3759" s="312"/>
      <c r="C3759" s="424"/>
      <c r="G3759" s="312"/>
      <c r="H3759" s="467"/>
      <c r="I3759" s="467"/>
      <c r="J3759" s="469"/>
      <c r="K3759" s="312"/>
      <c r="L3759" s="312"/>
      <c r="M3759" s="312"/>
      <c r="N3759" s="467"/>
      <c r="O3759" s="467"/>
      <c r="P3759" s="467"/>
      <c r="AL3759" s="436"/>
      <c r="AM3759" s="436"/>
      <c r="AQ3759" s="436"/>
      <c r="AR3759" s="436"/>
      <c r="AS3759" s="436"/>
      <c r="AT3759" s="436"/>
      <c r="AU3759" s="436"/>
      <c r="AV3759" s="436"/>
      <c r="AW3759" s="436"/>
      <c r="AX3759" s="436"/>
      <c r="AY3759" s="436"/>
      <c r="AZ3759" s="475"/>
      <c r="BA3759" s="475"/>
      <c r="BF3759" s="1119"/>
      <c r="BG3759" s="1119"/>
      <c r="BH3759" s="1119"/>
    </row>
    <row r="3760" spans="1:60" ht="15.75" customHeight="1">
      <c r="A3760" s="1076"/>
      <c r="B3760" s="312"/>
      <c r="C3760" s="424"/>
      <c r="G3760" s="312"/>
      <c r="H3760" s="467"/>
      <c r="I3760" s="467"/>
      <c r="J3760" s="469"/>
      <c r="K3760" s="312"/>
      <c r="L3760" s="312"/>
      <c r="M3760" s="312"/>
      <c r="N3760" s="467"/>
      <c r="O3760" s="467"/>
      <c r="P3760" s="467"/>
      <c r="AL3760" s="436"/>
      <c r="AM3760" s="436"/>
      <c r="AQ3760" s="436"/>
      <c r="AR3760" s="436"/>
      <c r="AS3760" s="436"/>
      <c r="AT3760" s="436"/>
      <c r="AU3760" s="436"/>
      <c r="AV3760" s="436"/>
      <c r="AW3760" s="436"/>
      <c r="AX3760" s="436"/>
      <c r="AY3760" s="436"/>
      <c r="AZ3760" s="475"/>
      <c r="BA3760" s="475"/>
      <c r="BF3760" s="1119"/>
      <c r="BG3760" s="1119"/>
      <c r="BH3760" s="1119"/>
    </row>
    <row r="3761" spans="1:60" ht="15.75" customHeight="1">
      <c r="A3761" s="1076"/>
      <c r="B3761" s="312"/>
      <c r="C3761" s="424"/>
      <c r="G3761" s="312"/>
      <c r="H3761" s="467"/>
      <c r="I3761" s="467"/>
      <c r="J3761" s="469"/>
      <c r="K3761" s="312"/>
      <c r="L3761" s="312"/>
      <c r="M3761" s="312"/>
      <c r="N3761" s="467"/>
      <c r="O3761" s="467"/>
      <c r="P3761" s="467"/>
      <c r="AL3761" s="436"/>
      <c r="AM3761" s="436"/>
      <c r="AQ3761" s="436"/>
      <c r="AR3761" s="436"/>
      <c r="AS3761" s="436"/>
      <c r="AT3761" s="436"/>
      <c r="AU3761" s="436"/>
      <c r="AV3761" s="436"/>
      <c r="AW3761" s="436"/>
      <c r="AX3761" s="436"/>
      <c r="AY3761" s="436"/>
      <c r="AZ3761" s="475"/>
      <c r="BA3761" s="475"/>
      <c r="BF3761" s="1119"/>
      <c r="BG3761" s="1119"/>
      <c r="BH3761" s="1119"/>
    </row>
    <row r="3762" spans="1:60" ht="15.75" customHeight="1">
      <c r="A3762" s="1076"/>
      <c r="B3762" s="312"/>
      <c r="C3762" s="424"/>
      <c r="G3762" s="312"/>
      <c r="H3762" s="467"/>
      <c r="I3762" s="467"/>
      <c r="J3762" s="469"/>
      <c r="K3762" s="312"/>
      <c r="L3762" s="312"/>
      <c r="M3762" s="312"/>
      <c r="N3762" s="467"/>
      <c r="O3762" s="467"/>
      <c r="P3762" s="467"/>
      <c r="AL3762" s="436"/>
      <c r="AM3762" s="436"/>
      <c r="AQ3762" s="436"/>
      <c r="AR3762" s="436"/>
      <c r="AS3762" s="436"/>
      <c r="AT3762" s="436"/>
      <c r="AU3762" s="436"/>
      <c r="AV3762" s="436"/>
      <c r="AW3762" s="436"/>
      <c r="AX3762" s="436"/>
      <c r="AY3762" s="436"/>
      <c r="AZ3762" s="475"/>
      <c r="BA3762" s="475"/>
      <c r="BF3762" s="1119"/>
      <c r="BG3762" s="1119"/>
      <c r="BH3762" s="1119"/>
    </row>
    <row r="3763" spans="1:60" ht="15.75" customHeight="1">
      <c r="A3763" s="1076"/>
      <c r="B3763" s="312"/>
      <c r="C3763" s="424"/>
      <c r="G3763" s="312"/>
      <c r="H3763" s="467"/>
      <c r="I3763" s="467"/>
      <c r="J3763" s="469"/>
      <c r="K3763" s="312"/>
      <c r="L3763" s="312"/>
      <c r="M3763" s="312"/>
      <c r="N3763" s="467"/>
      <c r="O3763" s="467"/>
      <c r="P3763" s="467"/>
      <c r="AL3763" s="436"/>
      <c r="AM3763" s="436"/>
      <c r="AQ3763" s="436"/>
      <c r="AR3763" s="436"/>
      <c r="AS3763" s="436"/>
      <c r="AT3763" s="436"/>
      <c r="AU3763" s="436"/>
      <c r="AV3763" s="436"/>
      <c r="AW3763" s="436"/>
      <c r="AX3763" s="436"/>
      <c r="AY3763" s="436"/>
      <c r="AZ3763" s="475"/>
      <c r="BA3763" s="475"/>
      <c r="BF3763" s="1119"/>
      <c r="BG3763" s="1119"/>
      <c r="BH3763" s="1119"/>
    </row>
    <row r="3764" spans="1:60" ht="15.75" customHeight="1">
      <c r="A3764" s="1076"/>
      <c r="B3764" s="312"/>
      <c r="C3764" s="424"/>
      <c r="G3764" s="312"/>
      <c r="H3764" s="467"/>
      <c r="I3764" s="467"/>
      <c r="J3764" s="469"/>
      <c r="K3764" s="312"/>
      <c r="L3764" s="312"/>
      <c r="M3764" s="312"/>
      <c r="N3764" s="467"/>
      <c r="O3764" s="467"/>
      <c r="P3764" s="467"/>
      <c r="AL3764" s="436"/>
      <c r="AM3764" s="436"/>
      <c r="AQ3764" s="436"/>
      <c r="AR3764" s="436"/>
      <c r="AS3764" s="436"/>
      <c r="AT3764" s="436"/>
      <c r="AU3764" s="436"/>
      <c r="AV3764" s="436"/>
      <c r="AW3764" s="436"/>
      <c r="AX3764" s="436"/>
      <c r="AY3764" s="436"/>
      <c r="AZ3764" s="475"/>
      <c r="BA3764" s="475"/>
      <c r="BF3764" s="1119"/>
      <c r="BG3764" s="1119"/>
      <c r="BH3764" s="1119"/>
    </row>
    <row r="3765" spans="1:60" ht="15.75" customHeight="1">
      <c r="A3765" s="1076"/>
      <c r="B3765" s="312"/>
      <c r="C3765" s="424"/>
      <c r="G3765" s="312"/>
      <c r="H3765" s="467"/>
      <c r="I3765" s="467"/>
      <c r="J3765" s="469"/>
      <c r="K3765" s="312"/>
      <c r="L3765" s="312"/>
      <c r="M3765" s="312"/>
      <c r="N3765" s="467"/>
      <c r="O3765" s="467"/>
      <c r="P3765" s="467"/>
      <c r="AL3765" s="436"/>
      <c r="AM3765" s="436"/>
      <c r="AQ3765" s="436"/>
      <c r="AR3765" s="436"/>
      <c r="AS3765" s="436"/>
      <c r="AT3765" s="436"/>
      <c r="AU3765" s="436"/>
      <c r="AV3765" s="436"/>
      <c r="AW3765" s="436"/>
      <c r="AX3765" s="436"/>
      <c r="AY3765" s="436"/>
      <c r="AZ3765" s="475"/>
      <c r="BA3765" s="475"/>
      <c r="BF3765" s="1119"/>
      <c r="BG3765" s="1119"/>
      <c r="BH3765" s="1119"/>
    </row>
    <row r="3766" spans="1:60" ht="15.75" customHeight="1">
      <c r="A3766" s="1076"/>
      <c r="B3766" s="312"/>
      <c r="C3766" s="424"/>
      <c r="G3766" s="312"/>
      <c r="H3766" s="467"/>
      <c r="I3766" s="467"/>
      <c r="J3766" s="469"/>
      <c r="K3766" s="312"/>
      <c r="L3766" s="312"/>
      <c r="M3766" s="312"/>
      <c r="N3766" s="467"/>
      <c r="O3766" s="467"/>
      <c r="P3766" s="467"/>
      <c r="AL3766" s="436"/>
      <c r="AM3766" s="436"/>
      <c r="AQ3766" s="436"/>
      <c r="AR3766" s="436"/>
      <c r="AS3766" s="436"/>
      <c r="AT3766" s="436"/>
      <c r="AU3766" s="436"/>
      <c r="AV3766" s="436"/>
      <c r="AW3766" s="436"/>
      <c r="AX3766" s="436"/>
      <c r="AY3766" s="436"/>
      <c r="AZ3766" s="475"/>
      <c r="BA3766" s="475"/>
      <c r="BF3766" s="1119"/>
      <c r="BG3766" s="1119"/>
      <c r="BH3766" s="1119"/>
    </row>
    <row r="3767" spans="1:60" ht="15.75" customHeight="1">
      <c r="A3767" s="1076"/>
      <c r="B3767" s="312"/>
      <c r="C3767" s="424"/>
      <c r="G3767" s="312"/>
      <c r="H3767" s="467"/>
      <c r="I3767" s="467"/>
      <c r="J3767" s="469"/>
      <c r="K3767" s="312"/>
      <c r="L3767" s="312"/>
      <c r="M3767" s="312"/>
      <c r="N3767" s="467"/>
      <c r="O3767" s="467"/>
      <c r="P3767" s="467"/>
      <c r="AL3767" s="436"/>
      <c r="AM3767" s="436"/>
      <c r="AQ3767" s="436"/>
      <c r="AR3767" s="436"/>
      <c r="AS3767" s="436"/>
      <c r="AT3767" s="436"/>
      <c r="AU3767" s="436"/>
      <c r="AV3767" s="436"/>
      <c r="AW3767" s="436"/>
      <c r="AX3767" s="436"/>
      <c r="AY3767" s="436"/>
      <c r="AZ3767" s="475"/>
      <c r="BA3767" s="475"/>
      <c r="BF3767" s="1119"/>
      <c r="BG3767" s="1119"/>
      <c r="BH3767" s="1119"/>
    </row>
    <row r="3768" spans="1:60" ht="15.75" customHeight="1">
      <c r="A3768" s="1076"/>
      <c r="B3768" s="312"/>
      <c r="C3768" s="424"/>
      <c r="G3768" s="312"/>
      <c r="H3768" s="467"/>
      <c r="I3768" s="467"/>
      <c r="J3768" s="469"/>
      <c r="K3768" s="312"/>
      <c r="L3768" s="312"/>
      <c r="M3768" s="312"/>
      <c r="N3768" s="467"/>
      <c r="O3768" s="467"/>
      <c r="P3768" s="467"/>
      <c r="AL3768" s="436"/>
      <c r="AM3768" s="436"/>
      <c r="AQ3768" s="436"/>
      <c r="AR3768" s="436"/>
      <c r="AS3768" s="436"/>
      <c r="AT3768" s="436"/>
      <c r="AU3768" s="436"/>
      <c r="AV3768" s="436"/>
      <c r="AW3768" s="436"/>
      <c r="AX3768" s="436"/>
      <c r="AY3768" s="436"/>
      <c r="AZ3768" s="475"/>
      <c r="BA3768" s="475"/>
      <c r="BF3768" s="1119"/>
      <c r="BG3768" s="1119"/>
      <c r="BH3768" s="1119"/>
    </row>
    <row r="3769" spans="1:60" ht="15.75" customHeight="1">
      <c r="A3769" s="1076"/>
      <c r="B3769" s="312"/>
      <c r="C3769" s="424"/>
      <c r="G3769" s="312"/>
      <c r="H3769" s="467"/>
      <c r="I3769" s="467"/>
      <c r="J3769" s="469"/>
      <c r="K3769" s="312"/>
      <c r="L3769" s="312"/>
      <c r="M3769" s="312"/>
      <c r="N3769" s="467"/>
      <c r="O3769" s="467"/>
      <c r="P3769" s="467"/>
      <c r="AL3769" s="436"/>
      <c r="AM3769" s="436"/>
      <c r="AQ3769" s="436"/>
      <c r="AR3769" s="436"/>
      <c r="AS3769" s="436"/>
      <c r="AT3769" s="436"/>
      <c r="AU3769" s="436"/>
      <c r="AV3769" s="436"/>
      <c r="AW3769" s="436"/>
      <c r="AX3769" s="436"/>
      <c r="AY3769" s="436"/>
      <c r="AZ3769" s="475"/>
      <c r="BA3769" s="475"/>
      <c r="BF3769" s="1119"/>
      <c r="BG3769" s="1119"/>
      <c r="BH3769" s="1119"/>
    </row>
    <row r="3770" spans="1:60" ht="15.75" customHeight="1">
      <c r="A3770" s="1076"/>
      <c r="B3770" s="312"/>
      <c r="C3770" s="424"/>
      <c r="G3770" s="312"/>
      <c r="H3770" s="467"/>
      <c r="I3770" s="467"/>
      <c r="J3770" s="469"/>
      <c r="K3770" s="312"/>
      <c r="L3770" s="312"/>
      <c r="M3770" s="312"/>
      <c r="N3770" s="467"/>
      <c r="O3770" s="467"/>
      <c r="P3770" s="467"/>
      <c r="AL3770" s="436"/>
      <c r="AM3770" s="436"/>
      <c r="AQ3770" s="436"/>
      <c r="AR3770" s="436"/>
      <c r="AS3770" s="436"/>
      <c r="AT3770" s="436"/>
      <c r="AU3770" s="436"/>
      <c r="AV3770" s="436"/>
      <c r="AW3770" s="436"/>
      <c r="AX3770" s="436"/>
      <c r="AY3770" s="436"/>
      <c r="AZ3770" s="475"/>
      <c r="BA3770" s="475"/>
      <c r="BF3770" s="1119"/>
      <c r="BG3770" s="1119"/>
      <c r="BH3770" s="1119"/>
    </row>
    <row r="3771" spans="1:60" ht="15.75" customHeight="1">
      <c r="A3771" s="1076"/>
      <c r="B3771" s="312"/>
      <c r="C3771" s="424"/>
      <c r="G3771" s="312"/>
      <c r="H3771" s="467"/>
      <c r="I3771" s="467"/>
      <c r="J3771" s="469"/>
      <c r="K3771" s="312"/>
      <c r="L3771" s="312"/>
      <c r="M3771" s="312"/>
      <c r="N3771" s="467"/>
      <c r="O3771" s="467"/>
      <c r="P3771" s="467"/>
      <c r="AL3771" s="436"/>
      <c r="AM3771" s="436"/>
      <c r="AQ3771" s="436"/>
      <c r="AR3771" s="436"/>
      <c r="AS3771" s="436"/>
      <c r="AT3771" s="436"/>
      <c r="AU3771" s="436"/>
      <c r="AV3771" s="436"/>
      <c r="AW3771" s="436"/>
      <c r="AX3771" s="436"/>
      <c r="AY3771" s="436"/>
      <c r="AZ3771" s="475"/>
      <c r="BA3771" s="475"/>
      <c r="BF3771" s="1119"/>
      <c r="BG3771" s="1119"/>
      <c r="BH3771" s="1119"/>
    </row>
    <row r="3772" spans="1:60" ht="15.75" customHeight="1">
      <c r="A3772" s="1076"/>
      <c r="B3772" s="312"/>
      <c r="C3772" s="424"/>
      <c r="G3772" s="312"/>
      <c r="H3772" s="467"/>
      <c r="I3772" s="467"/>
      <c r="J3772" s="469"/>
      <c r="K3772" s="312"/>
      <c r="L3772" s="312"/>
      <c r="M3772" s="312"/>
      <c r="N3772" s="467"/>
      <c r="O3772" s="467"/>
      <c r="P3772" s="467"/>
      <c r="AL3772" s="436"/>
      <c r="AM3772" s="436"/>
      <c r="AQ3772" s="436"/>
      <c r="AR3772" s="436"/>
      <c r="AS3772" s="436"/>
      <c r="AT3772" s="436"/>
      <c r="AU3772" s="436"/>
      <c r="AV3772" s="436"/>
      <c r="AW3772" s="436"/>
      <c r="AX3772" s="436"/>
      <c r="AY3772" s="436"/>
      <c r="AZ3772" s="475"/>
      <c r="BA3772" s="475"/>
      <c r="BF3772" s="1119"/>
      <c r="BG3772" s="1119"/>
      <c r="BH3772" s="1119"/>
    </row>
    <row r="3773" spans="1:60" ht="15.75" customHeight="1">
      <c r="A3773" s="1076"/>
      <c r="B3773" s="312"/>
      <c r="C3773" s="424"/>
      <c r="G3773" s="312"/>
      <c r="H3773" s="467"/>
      <c r="I3773" s="467"/>
      <c r="J3773" s="469"/>
      <c r="K3773" s="312"/>
      <c r="L3773" s="312"/>
      <c r="M3773" s="312"/>
      <c r="N3773" s="467"/>
      <c r="O3773" s="467"/>
      <c r="P3773" s="467"/>
      <c r="AL3773" s="436"/>
      <c r="AM3773" s="436"/>
      <c r="AQ3773" s="436"/>
      <c r="AR3773" s="436"/>
      <c r="AS3773" s="436"/>
      <c r="AT3773" s="436"/>
      <c r="AU3773" s="436"/>
      <c r="AV3773" s="436"/>
      <c r="AW3773" s="436"/>
      <c r="AX3773" s="436"/>
      <c r="AY3773" s="436"/>
      <c r="AZ3773" s="475"/>
      <c r="BA3773" s="475"/>
      <c r="BF3773" s="1119"/>
      <c r="BG3773" s="1119"/>
      <c r="BH3773" s="1119"/>
    </row>
    <row r="3774" spans="1:60" ht="15.75" customHeight="1">
      <c r="A3774" s="1076"/>
      <c r="B3774" s="312"/>
      <c r="C3774" s="424"/>
      <c r="G3774" s="312"/>
      <c r="H3774" s="467"/>
      <c r="I3774" s="467"/>
      <c r="J3774" s="469"/>
      <c r="K3774" s="312"/>
      <c r="L3774" s="312"/>
      <c r="M3774" s="312"/>
      <c r="N3774" s="467"/>
      <c r="O3774" s="467"/>
      <c r="P3774" s="467"/>
      <c r="AL3774" s="436"/>
      <c r="AM3774" s="436"/>
      <c r="AQ3774" s="436"/>
      <c r="AR3774" s="436"/>
      <c r="AS3774" s="436"/>
      <c r="AT3774" s="436"/>
      <c r="AU3774" s="436"/>
      <c r="AV3774" s="436"/>
      <c r="AW3774" s="436"/>
      <c r="AX3774" s="436"/>
      <c r="AY3774" s="436"/>
      <c r="AZ3774" s="475"/>
      <c r="BA3774" s="475"/>
      <c r="BF3774" s="1119"/>
      <c r="BG3774" s="1119"/>
      <c r="BH3774" s="1119"/>
    </row>
    <row r="3775" spans="1:60" ht="15.75" customHeight="1">
      <c r="A3775" s="1076"/>
      <c r="B3775" s="312"/>
      <c r="C3775" s="424"/>
      <c r="G3775" s="312"/>
      <c r="H3775" s="467"/>
      <c r="I3775" s="467"/>
      <c r="J3775" s="469"/>
      <c r="K3775" s="312"/>
      <c r="L3775" s="312"/>
      <c r="M3775" s="312"/>
      <c r="N3775" s="467"/>
      <c r="O3775" s="467"/>
      <c r="P3775" s="467"/>
      <c r="AL3775" s="436"/>
      <c r="AM3775" s="436"/>
      <c r="AQ3775" s="436"/>
      <c r="AR3775" s="436"/>
      <c r="AS3775" s="436"/>
      <c r="AT3775" s="436"/>
      <c r="AU3775" s="436"/>
      <c r="AV3775" s="436"/>
      <c r="AW3775" s="436"/>
      <c r="AX3775" s="436"/>
      <c r="AY3775" s="436"/>
      <c r="AZ3775" s="475"/>
      <c r="BA3775" s="475"/>
      <c r="BF3775" s="1119"/>
      <c r="BG3775" s="1119"/>
      <c r="BH3775" s="1119"/>
    </row>
    <row r="3776" spans="1:60" ht="15.75" customHeight="1">
      <c r="A3776" s="1076"/>
      <c r="B3776" s="312"/>
      <c r="C3776" s="424"/>
      <c r="G3776" s="312"/>
      <c r="H3776" s="467"/>
      <c r="I3776" s="467"/>
      <c r="J3776" s="469"/>
      <c r="K3776" s="312"/>
      <c r="L3776" s="312"/>
      <c r="M3776" s="312"/>
      <c r="N3776" s="467"/>
      <c r="O3776" s="467"/>
      <c r="P3776" s="467"/>
      <c r="AL3776" s="436"/>
      <c r="AM3776" s="436"/>
      <c r="AQ3776" s="436"/>
      <c r="AR3776" s="436"/>
      <c r="AS3776" s="436"/>
      <c r="AT3776" s="436"/>
      <c r="AU3776" s="436"/>
      <c r="AV3776" s="436"/>
      <c r="AW3776" s="436"/>
      <c r="AX3776" s="436"/>
      <c r="AY3776" s="436"/>
      <c r="AZ3776" s="475"/>
      <c r="BA3776" s="475"/>
      <c r="BF3776" s="1119"/>
      <c r="BG3776" s="1119"/>
      <c r="BH3776" s="1119"/>
    </row>
    <row r="3777" spans="1:60" ht="15.75" customHeight="1">
      <c r="A3777" s="1076"/>
      <c r="B3777" s="312"/>
      <c r="C3777" s="424"/>
      <c r="G3777" s="312"/>
      <c r="H3777" s="467"/>
      <c r="I3777" s="467"/>
      <c r="J3777" s="469"/>
      <c r="K3777" s="312"/>
      <c r="L3777" s="312"/>
      <c r="M3777" s="312"/>
      <c r="N3777" s="467"/>
      <c r="O3777" s="467"/>
      <c r="P3777" s="467"/>
      <c r="AL3777" s="436"/>
      <c r="AM3777" s="436"/>
      <c r="AQ3777" s="436"/>
      <c r="AR3777" s="436"/>
      <c r="AS3777" s="436"/>
      <c r="AT3777" s="436"/>
      <c r="AU3777" s="436"/>
      <c r="AV3777" s="436"/>
      <c r="AW3777" s="436"/>
      <c r="AX3777" s="436"/>
      <c r="AY3777" s="436"/>
      <c r="AZ3777" s="475"/>
      <c r="BA3777" s="475"/>
      <c r="BF3777" s="1119"/>
      <c r="BG3777" s="1119"/>
      <c r="BH3777" s="1119"/>
    </row>
    <row r="3778" spans="1:60" ht="15.75" customHeight="1">
      <c r="A3778" s="1076"/>
      <c r="B3778" s="312"/>
      <c r="C3778" s="424"/>
      <c r="G3778" s="312"/>
      <c r="H3778" s="467"/>
      <c r="I3778" s="467"/>
      <c r="J3778" s="469"/>
      <c r="K3778" s="312"/>
      <c r="L3778" s="312"/>
      <c r="M3778" s="312"/>
      <c r="N3778" s="467"/>
      <c r="O3778" s="467"/>
      <c r="P3778" s="467"/>
      <c r="AL3778" s="436"/>
      <c r="AM3778" s="436"/>
      <c r="AQ3778" s="436"/>
      <c r="AR3778" s="436"/>
      <c r="AS3778" s="436"/>
      <c r="AT3778" s="436"/>
      <c r="AU3778" s="436"/>
      <c r="AV3778" s="436"/>
      <c r="AW3778" s="436"/>
      <c r="AX3778" s="436"/>
      <c r="AY3778" s="436"/>
      <c r="AZ3778" s="475"/>
      <c r="BA3778" s="475"/>
      <c r="BF3778" s="1119"/>
      <c r="BG3778" s="1119"/>
      <c r="BH3778" s="1119"/>
    </row>
    <row r="3779" spans="1:60" ht="15.75" customHeight="1">
      <c r="A3779" s="1076"/>
      <c r="B3779" s="312"/>
      <c r="C3779" s="424"/>
      <c r="G3779" s="312"/>
      <c r="H3779" s="467"/>
      <c r="I3779" s="467"/>
      <c r="J3779" s="469"/>
      <c r="K3779" s="312"/>
      <c r="L3779" s="312"/>
      <c r="M3779" s="312"/>
      <c r="N3779" s="467"/>
      <c r="O3779" s="467"/>
      <c r="P3779" s="467"/>
      <c r="AL3779" s="436"/>
      <c r="AM3779" s="436"/>
      <c r="AQ3779" s="436"/>
      <c r="AR3779" s="436"/>
      <c r="AS3779" s="436"/>
      <c r="AT3779" s="436"/>
      <c r="AU3779" s="436"/>
      <c r="AV3779" s="436"/>
      <c r="AW3779" s="436"/>
      <c r="AX3779" s="436"/>
      <c r="AY3779" s="436"/>
      <c r="AZ3779" s="475"/>
      <c r="BA3779" s="475"/>
      <c r="BF3779" s="1119"/>
      <c r="BG3779" s="1119"/>
      <c r="BH3779" s="1119"/>
    </row>
    <row r="3780" spans="1:60" ht="15.75" customHeight="1">
      <c r="A3780" s="1076"/>
      <c r="B3780" s="312"/>
      <c r="C3780" s="424"/>
      <c r="G3780" s="312"/>
      <c r="H3780" s="467"/>
      <c r="I3780" s="467"/>
      <c r="J3780" s="469"/>
      <c r="K3780" s="312"/>
      <c r="L3780" s="312"/>
      <c r="M3780" s="312"/>
      <c r="N3780" s="467"/>
      <c r="O3780" s="467"/>
      <c r="P3780" s="467"/>
      <c r="AL3780" s="436"/>
      <c r="AM3780" s="436"/>
      <c r="AQ3780" s="436"/>
      <c r="AR3780" s="436"/>
      <c r="AS3780" s="436"/>
      <c r="AT3780" s="436"/>
      <c r="AU3780" s="436"/>
      <c r="AV3780" s="436"/>
      <c r="AW3780" s="436"/>
      <c r="AX3780" s="436"/>
      <c r="AY3780" s="436"/>
      <c r="AZ3780" s="475"/>
      <c r="BA3780" s="475"/>
      <c r="BF3780" s="1119"/>
      <c r="BG3780" s="1119"/>
      <c r="BH3780" s="1119"/>
    </row>
    <row r="3781" spans="1:60" ht="15.75" customHeight="1">
      <c r="A3781" s="1076"/>
      <c r="B3781" s="312"/>
      <c r="C3781" s="424"/>
      <c r="G3781" s="312"/>
      <c r="H3781" s="467"/>
      <c r="I3781" s="467"/>
      <c r="J3781" s="469"/>
      <c r="K3781" s="312"/>
      <c r="L3781" s="312"/>
      <c r="M3781" s="312"/>
      <c r="N3781" s="467"/>
      <c r="O3781" s="467"/>
      <c r="P3781" s="467"/>
      <c r="AL3781" s="436"/>
      <c r="AM3781" s="436"/>
      <c r="AQ3781" s="436"/>
      <c r="AR3781" s="436"/>
      <c r="AS3781" s="436"/>
      <c r="AT3781" s="436"/>
      <c r="AU3781" s="436"/>
      <c r="AV3781" s="436"/>
      <c r="AW3781" s="436"/>
      <c r="AX3781" s="436"/>
      <c r="AY3781" s="436"/>
      <c r="AZ3781" s="475"/>
      <c r="BA3781" s="475"/>
      <c r="BF3781" s="1119"/>
      <c r="BG3781" s="1119"/>
      <c r="BH3781" s="1119"/>
    </row>
    <row r="3782" spans="1:60" ht="15.75" customHeight="1">
      <c r="A3782" s="1076"/>
      <c r="B3782" s="312"/>
      <c r="C3782" s="424"/>
      <c r="G3782" s="312"/>
      <c r="H3782" s="467"/>
      <c r="I3782" s="467"/>
      <c r="J3782" s="469"/>
      <c r="K3782" s="312"/>
      <c r="L3782" s="312"/>
      <c r="M3782" s="312"/>
      <c r="N3782" s="467"/>
      <c r="O3782" s="467"/>
      <c r="P3782" s="467"/>
      <c r="AL3782" s="436"/>
      <c r="AM3782" s="436"/>
      <c r="AQ3782" s="436"/>
      <c r="AR3782" s="436"/>
      <c r="AS3782" s="436"/>
      <c r="AT3782" s="436"/>
      <c r="AU3782" s="436"/>
      <c r="AV3782" s="436"/>
      <c r="AW3782" s="436"/>
      <c r="AX3782" s="436"/>
      <c r="AY3782" s="436"/>
      <c r="AZ3782" s="475"/>
      <c r="BA3782" s="475"/>
      <c r="BF3782" s="1119"/>
      <c r="BG3782" s="1119"/>
      <c r="BH3782" s="1119"/>
    </row>
    <row r="3783" spans="1:60" ht="15.75" customHeight="1">
      <c r="A3783" s="1076"/>
      <c r="B3783" s="312"/>
      <c r="C3783" s="424"/>
      <c r="G3783" s="312"/>
      <c r="H3783" s="467"/>
      <c r="I3783" s="467"/>
      <c r="J3783" s="469"/>
      <c r="K3783" s="312"/>
      <c r="L3783" s="312"/>
      <c r="M3783" s="312"/>
      <c r="N3783" s="467"/>
      <c r="O3783" s="467"/>
      <c r="P3783" s="467"/>
      <c r="AL3783" s="436"/>
      <c r="AM3783" s="436"/>
      <c r="AQ3783" s="436"/>
      <c r="AR3783" s="436"/>
      <c r="AS3783" s="436"/>
      <c r="AT3783" s="436"/>
      <c r="AU3783" s="436"/>
      <c r="AV3783" s="436"/>
      <c r="AW3783" s="436"/>
      <c r="AX3783" s="436"/>
      <c r="AY3783" s="436"/>
      <c r="AZ3783" s="475"/>
      <c r="BA3783" s="475"/>
      <c r="BF3783" s="1119"/>
      <c r="BG3783" s="1119"/>
      <c r="BH3783" s="1119"/>
    </row>
    <row r="3784" spans="1:60" ht="15.75" customHeight="1">
      <c r="A3784" s="1076"/>
      <c r="B3784" s="312"/>
      <c r="C3784" s="424"/>
      <c r="G3784" s="312"/>
      <c r="H3784" s="467"/>
      <c r="I3784" s="467"/>
      <c r="J3784" s="469"/>
      <c r="K3784" s="312"/>
      <c r="L3784" s="312"/>
      <c r="M3784" s="312"/>
      <c r="N3784" s="467"/>
      <c r="O3784" s="467"/>
      <c r="P3784" s="467"/>
      <c r="AL3784" s="436"/>
      <c r="AM3784" s="436"/>
      <c r="AQ3784" s="436"/>
      <c r="AR3784" s="436"/>
      <c r="AS3784" s="436"/>
      <c r="AT3784" s="436"/>
      <c r="AU3784" s="436"/>
      <c r="AV3784" s="436"/>
      <c r="AW3784" s="436"/>
      <c r="AX3784" s="436"/>
      <c r="AY3784" s="436"/>
      <c r="AZ3784" s="475"/>
      <c r="BA3784" s="475"/>
      <c r="BF3784" s="1119"/>
      <c r="BG3784" s="1119"/>
      <c r="BH3784" s="1119"/>
    </row>
    <row r="3785" spans="1:60" ht="15.75" customHeight="1">
      <c r="A3785" s="1076"/>
      <c r="B3785" s="312"/>
      <c r="C3785" s="424"/>
      <c r="G3785" s="312"/>
      <c r="H3785" s="467"/>
      <c r="I3785" s="467"/>
      <c r="J3785" s="469"/>
      <c r="K3785" s="312"/>
      <c r="L3785" s="312"/>
      <c r="M3785" s="312"/>
      <c r="N3785" s="467"/>
      <c r="O3785" s="467"/>
      <c r="P3785" s="467"/>
      <c r="AL3785" s="436"/>
      <c r="AM3785" s="436"/>
      <c r="AQ3785" s="436"/>
      <c r="AR3785" s="436"/>
      <c r="AS3785" s="436"/>
      <c r="AT3785" s="436"/>
      <c r="AU3785" s="436"/>
      <c r="AV3785" s="436"/>
      <c r="AW3785" s="436"/>
      <c r="AX3785" s="436"/>
      <c r="AY3785" s="436"/>
      <c r="AZ3785" s="475"/>
      <c r="BA3785" s="475"/>
      <c r="BF3785" s="1119"/>
      <c r="BG3785" s="1119"/>
      <c r="BH3785" s="1119"/>
    </row>
    <row r="3786" spans="1:60" ht="15.75" customHeight="1">
      <c r="A3786" s="1076"/>
      <c r="B3786" s="312"/>
      <c r="C3786" s="424"/>
      <c r="G3786" s="312"/>
      <c r="H3786" s="467"/>
      <c r="I3786" s="467"/>
      <c r="J3786" s="469"/>
      <c r="K3786" s="312"/>
      <c r="L3786" s="312"/>
      <c r="M3786" s="312"/>
      <c r="N3786" s="467"/>
      <c r="O3786" s="467"/>
      <c r="P3786" s="467"/>
      <c r="AL3786" s="436"/>
      <c r="AM3786" s="436"/>
      <c r="AQ3786" s="436"/>
      <c r="AR3786" s="436"/>
      <c r="AS3786" s="436"/>
      <c r="AT3786" s="436"/>
      <c r="AU3786" s="436"/>
      <c r="AV3786" s="436"/>
      <c r="AW3786" s="436"/>
      <c r="AX3786" s="436"/>
      <c r="AY3786" s="436"/>
      <c r="AZ3786" s="475"/>
      <c r="BA3786" s="475"/>
      <c r="BF3786" s="1119"/>
      <c r="BG3786" s="1119"/>
      <c r="BH3786" s="1119"/>
    </row>
    <row r="3787" spans="1:60" ht="15.75" customHeight="1">
      <c r="A3787" s="1076"/>
      <c r="B3787" s="312"/>
      <c r="C3787" s="424"/>
      <c r="G3787" s="312"/>
      <c r="H3787" s="467"/>
      <c r="I3787" s="467"/>
      <c r="J3787" s="469"/>
      <c r="K3787" s="312"/>
      <c r="L3787" s="312"/>
      <c r="M3787" s="312"/>
      <c r="N3787" s="312"/>
      <c r="O3787" s="312"/>
      <c r="P3787" s="467"/>
      <c r="AL3787" s="436"/>
      <c r="AM3787" s="436"/>
      <c r="AQ3787" s="436"/>
      <c r="AR3787" s="436"/>
      <c r="AS3787" s="436"/>
      <c r="AT3787" s="436"/>
      <c r="AU3787" s="436"/>
      <c r="AV3787" s="436"/>
      <c r="AW3787" s="436"/>
      <c r="AX3787" s="436"/>
      <c r="AY3787" s="436"/>
      <c r="AZ3787" s="475"/>
      <c r="BA3787" s="475"/>
      <c r="BF3787" s="1119"/>
      <c r="BG3787" s="1119"/>
      <c r="BH3787" s="1119"/>
    </row>
    <row r="3788" spans="1:60" ht="15.75" customHeight="1">
      <c r="A3788" s="1076"/>
      <c r="B3788" s="312"/>
      <c r="C3788" s="424"/>
      <c r="G3788" s="312"/>
      <c r="H3788" s="467"/>
      <c r="I3788" s="467"/>
      <c r="J3788" s="469"/>
      <c r="K3788" s="312"/>
      <c r="L3788" s="312"/>
      <c r="M3788" s="312"/>
      <c r="N3788" s="312"/>
      <c r="O3788" s="312"/>
      <c r="P3788" s="467"/>
      <c r="AL3788" s="436"/>
      <c r="AM3788" s="436"/>
      <c r="AQ3788" s="436"/>
      <c r="AR3788" s="436"/>
      <c r="AS3788" s="436"/>
      <c r="AT3788" s="436"/>
      <c r="AU3788" s="436"/>
      <c r="AV3788" s="436"/>
      <c r="AW3788" s="436"/>
      <c r="AX3788" s="436"/>
      <c r="AY3788" s="436"/>
      <c r="AZ3788" s="475"/>
      <c r="BA3788" s="475"/>
      <c r="BF3788" s="1119"/>
      <c r="BG3788" s="1119"/>
      <c r="BH3788" s="1119"/>
    </row>
    <row r="3789" spans="1:60" ht="15.75" customHeight="1">
      <c r="A3789" s="1076"/>
      <c r="B3789" s="312"/>
      <c r="C3789" s="424"/>
      <c r="G3789" s="312"/>
      <c r="H3789" s="467"/>
      <c r="I3789" s="467"/>
      <c r="J3789" s="469"/>
      <c r="K3789" s="312"/>
      <c r="L3789" s="312"/>
      <c r="M3789" s="312"/>
      <c r="N3789" s="312"/>
      <c r="O3789" s="312"/>
      <c r="P3789" s="467"/>
      <c r="AL3789" s="436"/>
      <c r="AM3789" s="436"/>
      <c r="AQ3789" s="436"/>
      <c r="AR3789" s="436"/>
      <c r="AS3789" s="436"/>
      <c r="AT3789" s="436"/>
      <c r="AU3789" s="436"/>
      <c r="AV3789" s="436"/>
      <c r="AW3789" s="436"/>
      <c r="AX3789" s="436"/>
      <c r="AY3789" s="436"/>
      <c r="AZ3789" s="475"/>
      <c r="BA3789" s="475"/>
      <c r="BF3789" s="1119"/>
      <c r="BG3789" s="1119"/>
      <c r="BH3789" s="1119"/>
    </row>
    <row r="3790" spans="1:60" ht="15.75" customHeight="1">
      <c r="A3790" s="1076"/>
      <c r="B3790" s="312"/>
      <c r="C3790" s="424"/>
      <c r="G3790" s="312"/>
      <c r="H3790" s="467"/>
      <c r="I3790" s="467"/>
      <c r="J3790" s="469"/>
      <c r="K3790" s="312"/>
      <c r="L3790" s="312"/>
      <c r="M3790" s="312"/>
      <c r="N3790" s="312"/>
      <c r="O3790" s="312"/>
      <c r="P3790" s="467"/>
      <c r="AL3790" s="436"/>
      <c r="AM3790" s="436"/>
      <c r="AQ3790" s="436"/>
      <c r="AR3790" s="436"/>
      <c r="AS3790" s="436"/>
      <c r="AT3790" s="436"/>
      <c r="AU3790" s="436"/>
      <c r="AV3790" s="436"/>
      <c r="AW3790" s="436"/>
      <c r="AX3790" s="436"/>
      <c r="AY3790" s="436"/>
      <c r="AZ3790" s="475"/>
      <c r="BA3790" s="475"/>
      <c r="BF3790" s="1119"/>
      <c r="BG3790" s="1119"/>
      <c r="BH3790" s="1119"/>
    </row>
    <row r="3791" spans="1:60" ht="15.75" customHeight="1">
      <c r="A3791" s="1076"/>
      <c r="B3791" s="312"/>
      <c r="C3791" s="424"/>
      <c r="G3791" s="312"/>
      <c r="H3791" s="467"/>
      <c r="I3791" s="467"/>
      <c r="J3791" s="469"/>
      <c r="K3791" s="312"/>
      <c r="L3791" s="312"/>
      <c r="M3791" s="312"/>
      <c r="N3791" s="312"/>
      <c r="O3791" s="312"/>
      <c r="P3791" s="467"/>
      <c r="AL3791" s="436"/>
      <c r="AM3791" s="436"/>
      <c r="AQ3791" s="436"/>
      <c r="AR3791" s="436"/>
      <c r="AS3791" s="436"/>
      <c r="AT3791" s="436"/>
      <c r="AU3791" s="436"/>
      <c r="AV3791" s="436"/>
      <c r="AW3791" s="436"/>
      <c r="AX3791" s="436"/>
      <c r="AY3791" s="436"/>
      <c r="AZ3791" s="475"/>
      <c r="BA3791" s="475"/>
      <c r="BF3791" s="1119"/>
      <c r="BG3791" s="1119"/>
      <c r="BH3791" s="1119"/>
    </row>
    <row r="3792" spans="1:60" ht="15.75" customHeight="1">
      <c r="A3792" s="1076"/>
      <c r="B3792" s="312"/>
      <c r="C3792" s="424"/>
      <c r="G3792" s="312"/>
      <c r="H3792" s="467"/>
      <c r="I3792" s="467"/>
      <c r="J3792" s="469"/>
      <c r="K3792" s="312"/>
      <c r="L3792" s="312"/>
      <c r="M3792" s="312"/>
      <c r="N3792" s="312"/>
      <c r="O3792" s="312"/>
      <c r="P3792" s="467"/>
      <c r="AL3792" s="436"/>
      <c r="AM3792" s="436"/>
      <c r="AQ3792" s="436"/>
      <c r="AR3792" s="436"/>
      <c r="AS3792" s="436"/>
      <c r="AT3792" s="436"/>
      <c r="AU3792" s="436"/>
      <c r="AV3792" s="436"/>
      <c r="AW3792" s="436"/>
      <c r="AX3792" s="436"/>
      <c r="AY3792" s="436"/>
      <c r="AZ3792" s="475"/>
      <c r="BA3792" s="475"/>
      <c r="BF3792" s="1119"/>
      <c r="BG3792" s="1119"/>
      <c r="BH3792" s="1119"/>
    </row>
    <row r="3793" spans="1:60" ht="15.75" customHeight="1">
      <c r="A3793" s="1076"/>
      <c r="B3793" s="312"/>
      <c r="C3793" s="424"/>
      <c r="G3793" s="312"/>
      <c r="H3793" s="467"/>
      <c r="I3793" s="467"/>
      <c r="J3793" s="469"/>
      <c r="K3793" s="312"/>
      <c r="L3793" s="312"/>
      <c r="M3793" s="312"/>
      <c r="N3793" s="312"/>
      <c r="O3793" s="312"/>
      <c r="P3793" s="467"/>
      <c r="AL3793" s="436"/>
      <c r="AM3793" s="436"/>
      <c r="AQ3793" s="436"/>
      <c r="AR3793" s="436"/>
      <c r="AS3793" s="436"/>
      <c r="AT3793" s="436"/>
      <c r="AU3793" s="436"/>
      <c r="AV3793" s="436"/>
      <c r="AW3793" s="436"/>
      <c r="AX3793" s="436"/>
      <c r="AY3793" s="436"/>
      <c r="AZ3793" s="475"/>
      <c r="BA3793" s="475"/>
      <c r="BF3793" s="1119"/>
      <c r="BG3793" s="1119"/>
      <c r="BH3793" s="1119"/>
    </row>
    <row r="3794" spans="1:60" ht="15.75" customHeight="1">
      <c r="A3794" s="1076"/>
      <c r="B3794" s="312"/>
      <c r="C3794" s="424"/>
      <c r="G3794" s="312"/>
      <c r="H3794" s="467"/>
      <c r="I3794" s="467"/>
      <c r="J3794" s="469"/>
      <c r="K3794" s="312"/>
      <c r="L3794" s="312"/>
      <c r="M3794" s="312"/>
      <c r="N3794" s="312"/>
      <c r="O3794" s="312"/>
      <c r="P3794" s="467"/>
      <c r="AL3794" s="436"/>
      <c r="AM3794" s="436"/>
      <c r="AQ3794" s="436"/>
      <c r="AR3794" s="436"/>
      <c r="AS3794" s="436"/>
      <c r="AT3794" s="436"/>
      <c r="AU3794" s="436"/>
      <c r="AV3794" s="436"/>
      <c r="AW3794" s="436"/>
      <c r="AX3794" s="436"/>
      <c r="AY3794" s="436"/>
      <c r="AZ3794" s="475"/>
      <c r="BA3794" s="475"/>
      <c r="BF3794" s="1119"/>
      <c r="BG3794" s="1119"/>
      <c r="BH3794" s="1119"/>
    </row>
    <row r="3795" spans="1:60" ht="15.75" customHeight="1">
      <c r="A3795" s="1076"/>
      <c r="B3795" s="312"/>
      <c r="C3795" s="424"/>
      <c r="G3795" s="312"/>
      <c r="H3795" s="467"/>
      <c r="I3795" s="467"/>
      <c r="J3795" s="469"/>
      <c r="K3795" s="312"/>
      <c r="L3795" s="312"/>
      <c r="M3795" s="312"/>
      <c r="N3795" s="312"/>
      <c r="O3795" s="312"/>
      <c r="P3795" s="467"/>
      <c r="AL3795" s="436"/>
      <c r="AM3795" s="436"/>
      <c r="AQ3795" s="436"/>
      <c r="AR3795" s="436"/>
      <c r="AS3795" s="436"/>
      <c r="AT3795" s="436"/>
      <c r="AU3795" s="436"/>
      <c r="AV3795" s="436"/>
      <c r="AW3795" s="436"/>
      <c r="AX3795" s="436"/>
      <c r="AY3795" s="436"/>
      <c r="AZ3795" s="475"/>
      <c r="BA3795" s="475"/>
      <c r="BF3795" s="1119"/>
      <c r="BG3795" s="1119"/>
      <c r="BH3795" s="1119"/>
    </row>
    <row r="3796" spans="1:60" ht="15.75" customHeight="1">
      <c r="A3796" s="1076"/>
      <c r="B3796" s="312"/>
      <c r="C3796" s="424"/>
      <c r="G3796" s="312"/>
      <c r="H3796" s="467"/>
      <c r="I3796" s="467"/>
      <c r="J3796" s="469"/>
      <c r="K3796" s="312"/>
      <c r="L3796" s="312"/>
      <c r="M3796" s="312"/>
      <c r="N3796" s="312"/>
      <c r="O3796" s="312"/>
      <c r="P3796" s="467"/>
      <c r="AL3796" s="436"/>
      <c r="AM3796" s="436"/>
      <c r="AQ3796" s="436"/>
      <c r="AR3796" s="436"/>
      <c r="AS3796" s="436"/>
      <c r="AT3796" s="436"/>
      <c r="AU3796" s="436"/>
      <c r="AV3796" s="436"/>
      <c r="AW3796" s="436"/>
      <c r="AX3796" s="436"/>
      <c r="AY3796" s="436"/>
      <c r="AZ3796" s="475"/>
      <c r="BA3796" s="475"/>
      <c r="BF3796" s="1119"/>
      <c r="BG3796" s="1119"/>
      <c r="BH3796" s="1119"/>
    </row>
    <row r="3797" spans="1:60" ht="15.75" customHeight="1">
      <c r="A3797" s="1076"/>
      <c r="B3797" s="312"/>
      <c r="C3797" s="424"/>
      <c r="G3797" s="312"/>
      <c r="H3797" s="467"/>
      <c r="I3797" s="467"/>
      <c r="J3797" s="469"/>
      <c r="K3797" s="312"/>
      <c r="L3797" s="312"/>
      <c r="M3797" s="312"/>
      <c r="N3797" s="312"/>
      <c r="O3797" s="312"/>
      <c r="P3797" s="467"/>
      <c r="AL3797" s="436"/>
      <c r="AM3797" s="436"/>
      <c r="AQ3797" s="436"/>
      <c r="AR3797" s="436"/>
      <c r="AS3797" s="436"/>
      <c r="AT3797" s="436"/>
      <c r="AU3797" s="436"/>
      <c r="AV3797" s="436"/>
      <c r="AW3797" s="436"/>
      <c r="AX3797" s="436"/>
      <c r="AY3797" s="436"/>
      <c r="AZ3797" s="475"/>
      <c r="BA3797" s="475"/>
      <c r="BF3797" s="1119"/>
      <c r="BG3797" s="1119"/>
      <c r="BH3797" s="1119"/>
    </row>
    <row r="3798" spans="1:60" ht="15.75" customHeight="1">
      <c r="A3798" s="1076"/>
      <c r="B3798" s="312"/>
      <c r="C3798" s="424"/>
      <c r="G3798" s="312"/>
      <c r="H3798" s="467"/>
      <c r="I3798" s="467"/>
      <c r="J3798" s="469"/>
      <c r="K3798" s="312"/>
      <c r="L3798" s="312"/>
      <c r="M3798" s="312"/>
      <c r="N3798" s="312"/>
      <c r="O3798" s="312"/>
      <c r="P3798" s="467"/>
      <c r="AL3798" s="436"/>
      <c r="AM3798" s="436"/>
      <c r="AQ3798" s="436"/>
      <c r="AR3798" s="436"/>
      <c r="AS3798" s="436"/>
      <c r="AT3798" s="436"/>
      <c r="AU3798" s="436"/>
      <c r="AV3798" s="436"/>
      <c r="AW3798" s="436"/>
      <c r="AX3798" s="436"/>
      <c r="AY3798" s="436"/>
      <c r="AZ3798" s="475"/>
      <c r="BA3798" s="475"/>
      <c r="BF3798" s="1119"/>
      <c r="BG3798" s="1119"/>
      <c r="BH3798" s="1119"/>
    </row>
    <row r="3799" spans="1:60" ht="15.75" customHeight="1">
      <c r="A3799" s="1076"/>
      <c r="B3799" s="312"/>
      <c r="C3799" s="424"/>
      <c r="G3799" s="312"/>
      <c r="H3799" s="467"/>
      <c r="I3799" s="467"/>
      <c r="J3799" s="469"/>
      <c r="K3799" s="312"/>
      <c r="L3799" s="312"/>
      <c r="M3799" s="312"/>
      <c r="N3799" s="312"/>
      <c r="O3799" s="312"/>
      <c r="P3799" s="467"/>
      <c r="AL3799" s="436"/>
      <c r="AM3799" s="436"/>
      <c r="AQ3799" s="436"/>
      <c r="AR3799" s="436"/>
      <c r="AS3799" s="436"/>
      <c r="AT3799" s="436"/>
      <c r="AU3799" s="436"/>
      <c r="AV3799" s="436"/>
      <c r="AW3799" s="436"/>
      <c r="AX3799" s="436"/>
      <c r="AY3799" s="436"/>
      <c r="AZ3799" s="475"/>
      <c r="BA3799" s="475"/>
      <c r="BF3799" s="1119"/>
      <c r="BG3799" s="1119"/>
      <c r="BH3799" s="1119"/>
    </row>
    <row r="3800" spans="1:60" ht="15.75" customHeight="1">
      <c r="A3800" s="1076"/>
      <c r="B3800" s="312"/>
      <c r="C3800" s="424"/>
      <c r="G3800" s="312"/>
      <c r="H3800" s="467"/>
      <c r="I3800" s="467"/>
      <c r="J3800" s="469"/>
      <c r="K3800" s="312"/>
      <c r="L3800" s="312"/>
      <c r="M3800" s="312"/>
      <c r="N3800" s="312"/>
      <c r="O3800" s="312"/>
      <c r="P3800" s="312"/>
      <c r="AL3800" s="436"/>
      <c r="AM3800" s="436"/>
      <c r="AQ3800" s="436"/>
      <c r="AR3800" s="436"/>
      <c r="AS3800" s="436"/>
      <c r="AT3800" s="436"/>
      <c r="AU3800" s="436"/>
      <c r="AV3800" s="436"/>
      <c r="AW3800" s="436"/>
      <c r="AX3800" s="436"/>
      <c r="AY3800" s="436"/>
      <c r="AZ3800" s="475"/>
      <c r="BA3800" s="475"/>
      <c r="BF3800" s="1119"/>
      <c r="BG3800" s="1119"/>
      <c r="BH3800" s="1119"/>
    </row>
    <row r="3801" spans="1:60" ht="15.75" customHeight="1">
      <c r="A3801" s="1076"/>
      <c r="B3801" s="312"/>
      <c r="C3801" s="424"/>
      <c r="G3801" s="312"/>
      <c r="H3801" s="467"/>
      <c r="I3801" s="467"/>
      <c r="J3801" s="469"/>
      <c r="K3801" s="312"/>
      <c r="L3801" s="312"/>
      <c r="M3801" s="312"/>
      <c r="N3801" s="312"/>
      <c r="O3801" s="312"/>
      <c r="P3801" s="312"/>
      <c r="AL3801" s="436"/>
      <c r="AM3801" s="436"/>
      <c r="AQ3801" s="436"/>
      <c r="AR3801" s="436"/>
      <c r="AS3801" s="436"/>
      <c r="AT3801" s="436"/>
      <c r="AU3801" s="436"/>
      <c r="AV3801" s="436"/>
      <c r="AW3801" s="436"/>
      <c r="AX3801" s="436"/>
      <c r="AY3801" s="436"/>
      <c r="AZ3801" s="475"/>
      <c r="BA3801" s="475"/>
      <c r="BF3801" s="1119"/>
      <c r="BG3801" s="1119"/>
      <c r="BH3801" s="1119"/>
    </row>
    <row r="3802" spans="1:60" ht="15.75" customHeight="1">
      <c r="A3802" s="1076"/>
      <c r="B3802" s="312"/>
      <c r="C3802" s="424"/>
      <c r="G3802" s="312"/>
      <c r="H3802" s="467"/>
      <c r="I3802" s="467"/>
      <c r="J3802" s="469"/>
      <c r="K3802" s="312"/>
      <c r="L3802" s="312"/>
      <c r="M3802" s="312"/>
      <c r="N3802" s="312"/>
      <c r="O3802" s="312"/>
      <c r="P3802" s="312"/>
      <c r="AL3802" s="436"/>
      <c r="AM3802" s="436"/>
      <c r="AQ3802" s="436"/>
      <c r="AR3802" s="436"/>
      <c r="AS3802" s="436"/>
      <c r="AT3802" s="436"/>
      <c r="AU3802" s="436"/>
      <c r="AV3802" s="436"/>
      <c r="AW3802" s="436"/>
      <c r="AX3802" s="436"/>
      <c r="AY3802" s="436"/>
      <c r="AZ3802" s="475"/>
      <c r="BA3802" s="475"/>
      <c r="BF3802" s="1119"/>
      <c r="BG3802" s="1119"/>
      <c r="BH3802" s="1119"/>
    </row>
    <row r="3803" spans="1:60" ht="15.75" customHeight="1">
      <c r="A3803" s="1076"/>
      <c r="B3803" s="312"/>
      <c r="C3803" s="424"/>
      <c r="G3803" s="312"/>
      <c r="H3803" s="467"/>
      <c r="I3803" s="467"/>
      <c r="J3803" s="469"/>
      <c r="K3803" s="312"/>
      <c r="L3803" s="312"/>
      <c r="M3803" s="312"/>
      <c r="N3803" s="312"/>
      <c r="O3803" s="312"/>
      <c r="P3803" s="312"/>
      <c r="AL3803" s="436"/>
      <c r="AM3803" s="436"/>
      <c r="AQ3803" s="436"/>
      <c r="AR3803" s="436"/>
      <c r="AS3803" s="436"/>
      <c r="AT3803" s="436"/>
      <c r="AU3803" s="436"/>
      <c r="AV3803" s="436"/>
      <c r="AW3803" s="436"/>
      <c r="AX3803" s="436"/>
      <c r="AY3803" s="436"/>
      <c r="AZ3803" s="475"/>
      <c r="BA3803" s="475"/>
      <c r="BF3803" s="1119"/>
      <c r="BG3803" s="1119"/>
      <c r="BH3803" s="1119"/>
    </row>
    <row r="3804" spans="1:60" ht="15.75" customHeight="1">
      <c r="A3804" s="1076"/>
      <c r="B3804" s="312"/>
      <c r="C3804" s="424"/>
      <c r="G3804" s="312"/>
      <c r="H3804" s="467"/>
      <c r="I3804" s="467"/>
      <c r="J3804" s="469"/>
      <c r="K3804" s="312"/>
      <c r="L3804" s="312"/>
      <c r="M3804" s="312"/>
      <c r="N3804" s="312"/>
      <c r="O3804" s="312"/>
      <c r="P3804" s="312"/>
      <c r="AL3804" s="436"/>
      <c r="AM3804" s="436"/>
      <c r="AQ3804" s="436"/>
      <c r="AR3804" s="436"/>
      <c r="AS3804" s="436"/>
      <c r="AT3804" s="436"/>
      <c r="AU3804" s="436"/>
      <c r="AV3804" s="436"/>
      <c r="AW3804" s="436"/>
      <c r="AX3804" s="436"/>
      <c r="AY3804" s="436"/>
      <c r="AZ3804" s="475"/>
      <c r="BA3804" s="475"/>
      <c r="BF3804" s="1119"/>
      <c r="BG3804" s="1119"/>
      <c r="BH3804" s="1119"/>
    </row>
    <row r="3805" spans="1:60" ht="15.75" customHeight="1">
      <c r="A3805" s="1076"/>
      <c r="B3805" s="312"/>
      <c r="C3805" s="424"/>
      <c r="G3805" s="312"/>
      <c r="H3805" s="467"/>
      <c r="I3805" s="467"/>
      <c r="J3805" s="469"/>
      <c r="K3805" s="312"/>
      <c r="L3805" s="312"/>
      <c r="M3805" s="312"/>
      <c r="N3805" s="312"/>
      <c r="O3805" s="312"/>
      <c r="P3805" s="312"/>
      <c r="AL3805" s="436"/>
      <c r="AM3805" s="436"/>
      <c r="AQ3805" s="436"/>
      <c r="AR3805" s="436"/>
      <c r="AS3805" s="436"/>
      <c r="AT3805" s="436"/>
      <c r="AU3805" s="436"/>
      <c r="AV3805" s="436"/>
      <c r="AW3805" s="436"/>
      <c r="AX3805" s="436"/>
      <c r="AY3805" s="436"/>
      <c r="AZ3805" s="475"/>
      <c r="BA3805" s="475"/>
      <c r="BF3805" s="1119"/>
      <c r="BG3805" s="1119"/>
      <c r="BH3805" s="1119"/>
    </row>
    <row r="3806" spans="1:60" ht="15.75" customHeight="1">
      <c r="A3806" s="1076"/>
      <c r="B3806" s="312"/>
      <c r="C3806" s="424"/>
      <c r="G3806" s="312"/>
      <c r="H3806" s="467"/>
      <c r="I3806" s="467"/>
      <c r="J3806" s="469"/>
      <c r="K3806" s="312"/>
      <c r="L3806" s="312"/>
      <c r="M3806" s="312"/>
      <c r="N3806" s="312"/>
      <c r="O3806" s="312"/>
      <c r="P3806" s="312"/>
      <c r="AL3806" s="436"/>
      <c r="AM3806" s="436"/>
      <c r="AQ3806" s="436"/>
      <c r="AR3806" s="436"/>
      <c r="AS3806" s="436"/>
      <c r="AT3806" s="436"/>
      <c r="AU3806" s="436"/>
      <c r="AV3806" s="436"/>
      <c r="AW3806" s="436"/>
      <c r="AX3806" s="436"/>
      <c r="AY3806" s="436"/>
      <c r="AZ3806" s="475"/>
      <c r="BA3806" s="475"/>
      <c r="BF3806" s="1119"/>
      <c r="BG3806" s="1119"/>
      <c r="BH3806" s="1119"/>
    </row>
    <row r="3807" spans="1:60" ht="15.75" customHeight="1">
      <c r="A3807" s="1076"/>
      <c r="B3807" s="312"/>
      <c r="C3807" s="424"/>
      <c r="G3807" s="312"/>
      <c r="H3807" s="467"/>
      <c r="I3807" s="467"/>
      <c r="J3807" s="469"/>
      <c r="K3807" s="312"/>
      <c r="L3807" s="312"/>
      <c r="M3807" s="312"/>
      <c r="N3807" s="312"/>
      <c r="O3807" s="312"/>
      <c r="P3807" s="312"/>
      <c r="AL3807" s="436"/>
      <c r="AM3807" s="436"/>
      <c r="AQ3807" s="436"/>
      <c r="AR3807" s="436"/>
      <c r="AS3807" s="436"/>
      <c r="AT3807" s="436"/>
      <c r="AU3807" s="436"/>
      <c r="AV3807" s="436"/>
      <c r="AW3807" s="436"/>
      <c r="AX3807" s="436"/>
      <c r="AY3807" s="436"/>
      <c r="AZ3807" s="475"/>
      <c r="BA3807" s="475"/>
      <c r="BF3807" s="1119"/>
      <c r="BG3807" s="1119"/>
      <c r="BH3807" s="1119"/>
    </row>
    <row r="3808" spans="1:60" ht="15.75" customHeight="1">
      <c r="A3808" s="1076"/>
      <c r="B3808" s="312"/>
      <c r="C3808" s="424"/>
      <c r="G3808" s="312"/>
      <c r="H3808" s="467"/>
      <c r="I3808" s="467"/>
      <c r="J3808" s="469"/>
      <c r="K3808" s="312"/>
      <c r="L3808" s="312"/>
      <c r="M3808" s="312"/>
      <c r="N3808" s="312"/>
      <c r="O3808" s="312"/>
      <c r="P3808" s="312"/>
      <c r="AL3808" s="436"/>
      <c r="AM3808" s="436"/>
      <c r="AQ3808" s="436"/>
      <c r="AR3808" s="436"/>
      <c r="AS3808" s="436"/>
      <c r="AT3808" s="436"/>
      <c r="AU3808" s="436"/>
      <c r="AV3808" s="436"/>
      <c r="AW3808" s="436"/>
      <c r="AX3808" s="436"/>
      <c r="AY3808" s="436"/>
      <c r="AZ3808" s="475"/>
      <c r="BA3808" s="475"/>
      <c r="BF3808" s="1119"/>
      <c r="BG3808" s="1119"/>
      <c r="BH3808" s="1119"/>
    </row>
    <row r="3809" spans="1:60" ht="15.75" customHeight="1">
      <c r="A3809" s="1076"/>
      <c r="B3809" s="312"/>
      <c r="C3809" s="424"/>
      <c r="G3809" s="312"/>
      <c r="H3809" s="467"/>
      <c r="I3809" s="467"/>
      <c r="J3809" s="469"/>
      <c r="K3809" s="312"/>
      <c r="L3809" s="312"/>
      <c r="M3809" s="312"/>
      <c r="N3809" s="312"/>
      <c r="O3809" s="312"/>
      <c r="P3809" s="312"/>
      <c r="AL3809" s="436"/>
      <c r="AM3809" s="436"/>
      <c r="AQ3809" s="436"/>
      <c r="AR3809" s="436"/>
      <c r="AS3809" s="436"/>
      <c r="AT3809" s="436"/>
      <c r="AU3809" s="436"/>
      <c r="AV3809" s="436"/>
      <c r="AW3809" s="436"/>
      <c r="AX3809" s="436"/>
      <c r="AY3809" s="436"/>
      <c r="AZ3809" s="475"/>
      <c r="BA3809" s="475"/>
      <c r="BF3809" s="1119"/>
      <c r="BG3809" s="1119"/>
      <c r="BH3809" s="1119"/>
    </row>
    <row r="3810" spans="1:60" ht="15.75" customHeight="1">
      <c r="A3810" s="1076"/>
      <c r="B3810" s="312"/>
      <c r="C3810" s="424"/>
      <c r="G3810" s="312"/>
      <c r="H3810" s="467"/>
      <c r="I3810" s="467"/>
      <c r="J3810" s="469"/>
      <c r="K3810" s="312"/>
      <c r="L3810" s="312"/>
      <c r="M3810" s="312"/>
      <c r="N3810" s="312"/>
      <c r="O3810" s="312"/>
      <c r="P3810" s="312"/>
      <c r="AL3810" s="436"/>
      <c r="AM3810" s="436"/>
      <c r="AQ3810" s="436"/>
      <c r="AR3810" s="436"/>
      <c r="AS3810" s="436"/>
      <c r="AT3810" s="436"/>
      <c r="AU3810" s="436"/>
      <c r="AV3810" s="436"/>
      <c r="AW3810" s="436"/>
      <c r="AX3810" s="436"/>
      <c r="AY3810" s="436"/>
      <c r="AZ3810" s="475"/>
      <c r="BA3810" s="475"/>
      <c r="BF3810" s="1119"/>
      <c r="BG3810" s="1119"/>
      <c r="BH3810" s="1119"/>
    </row>
    <row r="3811" spans="1:60" ht="15.75" customHeight="1">
      <c r="A3811" s="1076"/>
      <c r="B3811" s="312"/>
      <c r="C3811" s="424"/>
      <c r="G3811" s="312"/>
      <c r="H3811" s="467"/>
      <c r="I3811" s="467"/>
      <c r="J3811" s="469"/>
      <c r="K3811" s="312"/>
      <c r="L3811" s="312"/>
      <c r="M3811" s="312"/>
      <c r="N3811" s="312"/>
      <c r="O3811" s="312"/>
      <c r="P3811" s="312"/>
      <c r="AL3811" s="436"/>
      <c r="AM3811" s="436"/>
      <c r="AQ3811" s="436"/>
      <c r="AR3811" s="436"/>
      <c r="AS3811" s="436"/>
      <c r="AT3811" s="436"/>
      <c r="AU3811" s="436"/>
      <c r="AV3811" s="436"/>
      <c r="AW3811" s="436"/>
      <c r="AX3811" s="436"/>
      <c r="AY3811" s="436"/>
      <c r="AZ3811" s="475"/>
      <c r="BA3811" s="475"/>
      <c r="BF3811" s="1119"/>
      <c r="BG3811" s="1119"/>
      <c r="BH3811" s="1119"/>
    </row>
    <row r="3812" spans="1:60" ht="15.75" customHeight="1">
      <c r="A3812" s="1076"/>
      <c r="B3812" s="312"/>
      <c r="C3812" s="424"/>
      <c r="G3812" s="312"/>
      <c r="H3812" s="467"/>
      <c r="I3812" s="467"/>
      <c r="J3812" s="469"/>
      <c r="K3812" s="312"/>
      <c r="L3812" s="312"/>
      <c r="M3812" s="312"/>
      <c r="N3812" s="312"/>
      <c r="O3812" s="312"/>
      <c r="P3812" s="312"/>
      <c r="AL3812" s="436"/>
      <c r="AM3812" s="436"/>
      <c r="AQ3812" s="436"/>
      <c r="AR3812" s="436"/>
      <c r="AS3812" s="436"/>
      <c r="AT3812" s="436"/>
      <c r="AU3812" s="436"/>
      <c r="AV3812" s="436"/>
      <c r="AW3812" s="436"/>
      <c r="AX3812" s="436"/>
      <c r="AY3812" s="436"/>
      <c r="AZ3812" s="475"/>
      <c r="BA3812" s="475"/>
      <c r="BF3812" s="1119"/>
      <c r="BG3812" s="1119"/>
      <c r="BH3812" s="1119"/>
    </row>
    <row r="3813" spans="1:60" ht="15.75" customHeight="1">
      <c r="A3813" s="1076"/>
      <c r="B3813" s="312"/>
      <c r="C3813" s="424"/>
      <c r="G3813" s="312"/>
      <c r="H3813" s="467"/>
      <c r="I3813" s="467"/>
      <c r="J3813" s="469"/>
      <c r="K3813" s="312"/>
      <c r="L3813" s="312"/>
      <c r="M3813" s="312"/>
      <c r="N3813" s="312"/>
      <c r="O3813" s="312"/>
      <c r="P3813" s="312"/>
      <c r="AL3813" s="436"/>
      <c r="AM3813" s="436"/>
      <c r="AQ3813" s="436"/>
      <c r="AR3813" s="436"/>
      <c r="AS3813" s="436"/>
      <c r="AT3813" s="436"/>
      <c r="AU3813" s="436"/>
      <c r="AV3813" s="436"/>
      <c r="AW3813" s="436"/>
      <c r="AX3813" s="436"/>
      <c r="AY3813" s="436"/>
      <c r="AZ3813" s="475"/>
      <c r="BA3813" s="475"/>
      <c r="BF3813" s="1119"/>
      <c r="BG3813" s="1119"/>
      <c r="BH3813" s="1119"/>
    </row>
    <row r="3814" spans="1:60" ht="15.75" customHeight="1">
      <c r="A3814" s="1076"/>
      <c r="B3814" s="312"/>
      <c r="C3814" s="424"/>
      <c r="G3814" s="312"/>
      <c r="H3814" s="467"/>
      <c r="I3814" s="467"/>
      <c r="J3814" s="469"/>
      <c r="K3814" s="312"/>
      <c r="L3814" s="312"/>
      <c r="M3814" s="312"/>
      <c r="N3814" s="312"/>
      <c r="O3814" s="312"/>
      <c r="P3814" s="312"/>
      <c r="AL3814" s="436"/>
      <c r="AM3814" s="436"/>
      <c r="AQ3814" s="436"/>
      <c r="AR3814" s="436"/>
      <c r="AS3814" s="436"/>
      <c r="AT3814" s="436"/>
      <c r="AU3814" s="436"/>
      <c r="AV3814" s="436"/>
      <c r="AW3814" s="436"/>
      <c r="AX3814" s="436"/>
      <c r="AY3814" s="436"/>
      <c r="AZ3814" s="475"/>
      <c r="BA3814" s="475"/>
      <c r="BF3814" s="1119"/>
      <c r="BG3814" s="1119"/>
      <c r="BH3814" s="1119"/>
    </row>
    <row r="3815" spans="1:60" ht="15.75" customHeight="1">
      <c r="A3815" s="1076"/>
      <c r="B3815" s="312"/>
      <c r="C3815" s="424"/>
      <c r="G3815" s="312"/>
      <c r="H3815" s="467"/>
      <c r="I3815" s="467"/>
      <c r="J3815" s="469"/>
      <c r="K3815" s="312"/>
      <c r="L3815" s="312"/>
      <c r="M3815" s="312"/>
      <c r="N3815" s="312"/>
      <c r="O3815" s="312"/>
      <c r="P3815" s="312"/>
      <c r="AL3815" s="436"/>
      <c r="AM3815" s="436"/>
      <c r="AQ3815" s="436"/>
      <c r="AR3815" s="436"/>
      <c r="AS3815" s="436"/>
      <c r="AT3815" s="436"/>
      <c r="AU3815" s="436"/>
      <c r="AV3815" s="436"/>
      <c r="AW3815" s="436"/>
      <c r="AX3815" s="436"/>
      <c r="AY3815" s="436"/>
      <c r="AZ3815" s="475"/>
      <c r="BA3815" s="475"/>
      <c r="BF3815" s="1119"/>
      <c r="BG3815" s="1119"/>
      <c r="BH3815" s="1119"/>
    </row>
    <row r="3816" spans="1:60" ht="15.75" customHeight="1">
      <c r="A3816" s="1076"/>
      <c r="B3816" s="312"/>
      <c r="C3816" s="424"/>
      <c r="G3816" s="312"/>
      <c r="H3816" s="467"/>
      <c r="I3816" s="467"/>
      <c r="J3816" s="469"/>
      <c r="K3816" s="312"/>
      <c r="L3816" s="312"/>
      <c r="M3816" s="312"/>
      <c r="N3816" s="312"/>
      <c r="O3816" s="312"/>
      <c r="P3816" s="312"/>
      <c r="AL3816" s="436"/>
      <c r="AM3816" s="436"/>
      <c r="AQ3816" s="436"/>
      <c r="AR3816" s="436"/>
      <c r="AS3816" s="436"/>
      <c r="AT3816" s="436"/>
      <c r="AU3816" s="436"/>
      <c r="AV3816" s="436"/>
      <c r="AW3816" s="436"/>
      <c r="AX3816" s="436"/>
      <c r="AY3816" s="436"/>
      <c r="AZ3816" s="475"/>
      <c r="BA3816" s="475"/>
      <c r="BF3816" s="1119"/>
      <c r="BG3816" s="1119"/>
      <c r="BH3816" s="1119"/>
    </row>
    <row r="3817" spans="1:60" ht="15.75" customHeight="1">
      <c r="A3817" s="1076"/>
      <c r="B3817" s="312"/>
      <c r="C3817" s="424"/>
      <c r="G3817" s="312"/>
      <c r="H3817" s="467"/>
      <c r="I3817" s="467"/>
      <c r="J3817" s="469"/>
      <c r="K3817" s="312"/>
      <c r="L3817" s="312"/>
      <c r="M3817" s="312"/>
      <c r="N3817" s="312"/>
      <c r="O3817" s="312"/>
      <c r="P3817" s="312"/>
      <c r="AL3817" s="436"/>
      <c r="AM3817" s="436"/>
      <c r="AQ3817" s="436"/>
      <c r="AR3817" s="436"/>
      <c r="AS3817" s="436"/>
      <c r="AT3817" s="436"/>
      <c r="AU3817" s="436"/>
      <c r="AV3817" s="436"/>
      <c r="AW3817" s="436"/>
      <c r="AX3817" s="436"/>
      <c r="AY3817" s="436"/>
      <c r="AZ3817" s="475"/>
      <c r="BA3817" s="475"/>
      <c r="BF3817" s="1119"/>
      <c r="BG3817" s="1119"/>
      <c r="BH3817" s="1119"/>
    </row>
    <row r="3818" spans="1:60" ht="15.75" customHeight="1">
      <c r="A3818" s="1076"/>
      <c r="B3818" s="312"/>
      <c r="C3818" s="424"/>
      <c r="G3818" s="312"/>
      <c r="H3818" s="467"/>
      <c r="I3818" s="467"/>
      <c r="J3818" s="469"/>
      <c r="K3818" s="312"/>
      <c r="L3818" s="312"/>
      <c r="M3818" s="312"/>
      <c r="N3818" s="312"/>
      <c r="O3818" s="312"/>
      <c r="P3818" s="312"/>
      <c r="AL3818" s="436"/>
      <c r="AM3818" s="436"/>
      <c r="AQ3818" s="436"/>
      <c r="AR3818" s="436"/>
      <c r="AS3818" s="436"/>
      <c r="AT3818" s="436"/>
      <c r="AU3818" s="436"/>
      <c r="AV3818" s="436"/>
      <c r="AW3818" s="436"/>
      <c r="AX3818" s="436"/>
      <c r="AY3818" s="436"/>
      <c r="AZ3818" s="475"/>
      <c r="BA3818" s="475"/>
      <c r="BF3818" s="1119"/>
      <c r="BG3818" s="1119"/>
      <c r="BH3818" s="1119"/>
    </row>
    <row r="3819" spans="1:60" ht="15.75" customHeight="1">
      <c r="A3819" s="1076"/>
      <c r="B3819" s="312"/>
      <c r="C3819" s="424"/>
      <c r="G3819" s="312"/>
      <c r="H3819" s="467"/>
      <c r="I3819" s="467"/>
      <c r="J3819" s="469"/>
      <c r="K3819" s="312"/>
      <c r="L3819" s="312"/>
      <c r="M3819" s="312"/>
      <c r="N3819" s="312"/>
      <c r="O3819" s="312"/>
      <c r="P3819" s="312"/>
      <c r="AL3819" s="436"/>
      <c r="AM3819" s="436"/>
      <c r="AQ3819" s="436"/>
      <c r="AR3819" s="436"/>
      <c r="AS3819" s="436"/>
      <c r="AT3819" s="436"/>
      <c r="AU3819" s="436"/>
      <c r="AV3819" s="436"/>
      <c r="AW3819" s="436"/>
      <c r="AX3819" s="436"/>
      <c r="AY3819" s="436"/>
      <c r="AZ3819" s="475"/>
      <c r="BA3819" s="475"/>
      <c r="BF3819" s="1119"/>
      <c r="BG3819" s="1119"/>
      <c r="BH3819" s="1119"/>
    </row>
    <row r="3820" spans="1:60" ht="15.75" customHeight="1">
      <c r="A3820" s="1076"/>
      <c r="B3820" s="312"/>
      <c r="C3820" s="424"/>
      <c r="G3820" s="312"/>
      <c r="H3820" s="467"/>
      <c r="I3820" s="467"/>
      <c r="J3820" s="469"/>
      <c r="K3820" s="312"/>
      <c r="L3820" s="312"/>
      <c r="M3820" s="312"/>
      <c r="N3820" s="312"/>
      <c r="O3820" s="312"/>
      <c r="P3820" s="312"/>
      <c r="AL3820" s="436"/>
      <c r="AM3820" s="436"/>
      <c r="AQ3820" s="436"/>
      <c r="AR3820" s="436"/>
      <c r="AS3820" s="436"/>
      <c r="AT3820" s="436"/>
      <c r="AU3820" s="436"/>
      <c r="AV3820" s="436"/>
      <c r="AW3820" s="436"/>
      <c r="AX3820" s="436"/>
      <c r="AY3820" s="436"/>
      <c r="AZ3820" s="475"/>
      <c r="BA3820" s="475"/>
      <c r="BF3820" s="1119"/>
      <c r="BG3820" s="1119"/>
      <c r="BH3820" s="1119"/>
    </row>
    <row r="3821" spans="1:60" ht="15.75" customHeight="1">
      <c r="A3821" s="1076"/>
      <c r="B3821" s="312"/>
      <c r="C3821" s="424"/>
      <c r="G3821" s="312"/>
      <c r="H3821" s="467"/>
      <c r="I3821" s="467"/>
      <c r="J3821" s="469"/>
      <c r="K3821" s="312"/>
      <c r="L3821" s="312"/>
      <c r="M3821" s="312"/>
      <c r="N3821" s="312"/>
      <c r="O3821" s="312"/>
      <c r="P3821" s="312"/>
      <c r="AL3821" s="436"/>
      <c r="AM3821" s="436"/>
      <c r="AQ3821" s="436"/>
      <c r="AR3821" s="436"/>
      <c r="AS3821" s="436"/>
      <c r="AT3821" s="436"/>
      <c r="AU3821" s="436"/>
      <c r="AV3821" s="436"/>
      <c r="AW3821" s="436"/>
      <c r="AX3821" s="436"/>
      <c r="AY3821" s="436"/>
      <c r="AZ3821" s="475"/>
      <c r="BA3821" s="475"/>
      <c r="BF3821" s="1119"/>
      <c r="BG3821" s="1119"/>
      <c r="BH3821" s="1119"/>
    </row>
    <row r="3822" spans="1:60" ht="15.75" customHeight="1">
      <c r="A3822" s="1076"/>
      <c r="B3822" s="312"/>
      <c r="C3822" s="424"/>
      <c r="G3822" s="312"/>
      <c r="H3822" s="467"/>
      <c r="I3822" s="467"/>
      <c r="J3822" s="469"/>
      <c r="K3822" s="312"/>
      <c r="L3822" s="312"/>
      <c r="M3822" s="312"/>
      <c r="N3822" s="312"/>
      <c r="O3822" s="312"/>
      <c r="P3822" s="312"/>
      <c r="AL3822" s="436"/>
      <c r="AM3822" s="436"/>
      <c r="AQ3822" s="436"/>
      <c r="AR3822" s="436"/>
      <c r="AS3822" s="436"/>
      <c r="AT3822" s="436"/>
      <c r="AU3822" s="436"/>
      <c r="AV3822" s="436"/>
      <c r="AW3822" s="436"/>
      <c r="AX3822" s="436"/>
      <c r="AY3822" s="436"/>
      <c r="AZ3822" s="475"/>
      <c r="BA3822" s="475"/>
      <c r="BF3822" s="1119"/>
      <c r="BG3822" s="1119"/>
      <c r="BH3822" s="1119"/>
    </row>
    <row r="3823" spans="1:60" ht="15.75" customHeight="1">
      <c r="A3823" s="1076"/>
      <c r="B3823" s="312"/>
      <c r="C3823" s="424"/>
      <c r="G3823" s="312"/>
      <c r="H3823" s="467"/>
      <c r="I3823" s="467"/>
      <c r="J3823" s="469"/>
      <c r="K3823" s="312"/>
      <c r="L3823" s="312"/>
      <c r="M3823" s="312"/>
      <c r="N3823" s="312"/>
      <c r="O3823" s="312"/>
      <c r="P3823" s="312"/>
      <c r="AL3823" s="436"/>
      <c r="AM3823" s="436"/>
      <c r="AQ3823" s="436"/>
      <c r="AR3823" s="436"/>
      <c r="AS3823" s="436"/>
      <c r="AT3823" s="436"/>
      <c r="AU3823" s="436"/>
      <c r="AV3823" s="436"/>
      <c r="AW3823" s="436"/>
      <c r="AX3823" s="436"/>
      <c r="AY3823" s="436"/>
      <c r="AZ3823" s="475"/>
      <c r="BA3823" s="475"/>
      <c r="BF3823" s="1119"/>
      <c r="BG3823" s="1119"/>
      <c r="BH3823" s="1119"/>
    </row>
    <row r="3824" spans="1:60" ht="15.75" customHeight="1">
      <c r="A3824" s="1076"/>
      <c r="B3824" s="312"/>
      <c r="C3824" s="424"/>
      <c r="G3824" s="312"/>
      <c r="H3824" s="467"/>
      <c r="I3824" s="467"/>
      <c r="J3824" s="469"/>
      <c r="K3824" s="312"/>
      <c r="L3824" s="312"/>
      <c r="M3824" s="312"/>
      <c r="N3824" s="312"/>
      <c r="O3824" s="312"/>
      <c r="P3824" s="312"/>
      <c r="AL3824" s="436"/>
      <c r="AM3824" s="436"/>
      <c r="AQ3824" s="436"/>
      <c r="AR3824" s="436"/>
      <c r="AS3824" s="436"/>
      <c r="AT3824" s="436"/>
      <c r="AU3824" s="436"/>
      <c r="AV3824" s="436"/>
      <c r="AW3824" s="436"/>
      <c r="AX3824" s="436"/>
      <c r="AY3824" s="436"/>
      <c r="AZ3824" s="475"/>
      <c r="BA3824" s="475"/>
      <c r="BF3824" s="1119"/>
      <c r="BG3824" s="1119"/>
      <c r="BH3824" s="1119"/>
    </row>
    <row r="3825" spans="1:60" ht="15.75" customHeight="1">
      <c r="A3825" s="1076"/>
      <c r="B3825" s="312"/>
      <c r="C3825" s="424"/>
      <c r="G3825" s="312"/>
      <c r="H3825" s="467"/>
      <c r="I3825" s="467"/>
      <c r="J3825" s="469"/>
      <c r="K3825" s="312"/>
      <c r="L3825" s="312"/>
      <c r="M3825" s="312"/>
      <c r="N3825" s="312"/>
      <c r="O3825" s="312"/>
      <c r="P3825" s="312"/>
      <c r="AL3825" s="436"/>
      <c r="AM3825" s="436"/>
      <c r="AQ3825" s="436"/>
      <c r="AR3825" s="436"/>
      <c r="AS3825" s="436"/>
      <c r="AT3825" s="436"/>
      <c r="AU3825" s="436"/>
      <c r="AV3825" s="436"/>
      <c r="AW3825" s="436"/>
      <c r="AX3825" s="436"/>
      <c r="AY3825" s="436"/>
      <c r="AZ3825" s="475"/>
      <c r="BA3825" s="475"/>
      <c r="BF3825" s="1119"/>
      <c r="BG3825" s="1119"/>
      <c r="BH3825" s="1119"/>
    </row>
    <row r="3826" spans="1:60" ht="15.75" customHeight="1">
      <c r="A3826" s="1076"/>
      <c r="B3826" s="312"/>
      <c r="C3826" s="424"/>
      <c r="G3826" s="312"/>
      <c r="H3826" s="467"/>
      <c r="I3826" s="467"/>
      <c r="J3826" s="469"/>
      <c r="K3826" s="312"/>
      <c r="L3826" s="312"/>
      <c r="M3826" s="312"/>
      <c r="N3826" s="312"/>
      <c r="O3826" s="312"/>
      <c r="P3826" s="312"/>
      <c r="AL3826" s="436"/>
      <c r="AM3826" s="436"/>
      <c r="AQ3826" s="436"/>
      <c r="AR3826" s="436"/>
      <c r="AS3826" s="436"/>
      <c r="AT3826" s="436"/>
      <c r="AU3826" s="436"/>
      <c r="AV3826" s="436"/>
      <c r="AW3826" s="436"/>
      <c r="AX3826" s="436"/>
      <c r="AY3826" s="436"/>
      <c r="AZ3826" s="475"/>
      <c r="BA3826" s="475"/>
      <c r="BF3826" s="1119"/>
      <c r="BG3826" s="1119"/>
      <c r="BH3826" s="1119"/>
    </row>
    <row r="3827" spans="1:60" ht="15.75" customHeight="1">
      <c r="A3827" s="1076"/>
      <c r="B3827" s="312"/>
      <c r="C3827" s="424"/>
      <c r="G3827" s="312"/>
      <c r="H3827" s="467"/>
      <c r="I3827" s="467"/>
      <c r="J3827" s="469"/>
      <c r="K3827" s="312"/>
      <c r="L3827" s="312"/>
      <c r="M3827" s="312"/>
      <c r="N3827" s="312"/>
      <c r="O3827" s="312"/>
      <c r="P3827" s="312"/>
      <c r="AL3827" s="436"/>
      <c r="AM3827" s="436"/>
      <c r="AQ3827" s="436"/>
      <c r="AR3827" s="436"/>
      <c r="AS3827" s="436"/>
      <c r="AT3827" s="436"/>
      <c r="AU3827" s="436"/>
      <c r="AV3827" s="436"/>
      <c r="AW3827" s="436"/>
      <c r="AX3827" s="436"/>
      <c r="AY3827" s="436"/>
      <c r="AZ3827" s="475"/>
      <c r="BA3827" s="475"/>
      <c r="BF3827" s="1119"/>
      <c r="BG3827" s="1119"/>
      <c r="BH3827" s="1119"/>
    </row>
    <row r="3828" spans="1:60" ht="15.75" customHeight="1">
      <c r="A3828" s="1076"/>
      <c r="B3828" s="312"/>
      <c r="C3828" s="424"/>
      <c r="G3828" s="312"/>
      <c r="H3828" s="467"/>
      <c r="I3828" s="467"/>
      <c r="J3828" s="469"/>
      <c r="K3828" s="312"/>
      <c r="L3828" s="312"/>
      <c r="M3828" s="312"/>
      <c r="N3828" s="312"/>
      <c r="O3828" s="312"/>
      <c r="P3828" s="312"/>
      <c r="AL3828" s="436"/>
      <c r="AM3828" s="436"/>
      <c r="AQ3828" s="436"/>
      <c r="AR3828" s="436"/>
      <c r="AS3828" s="436"/>
      <c r="AT3828" s="436"/>
      <c r="AU3828" s="436"/>
      <c r="AV3828" s="436"/>
      <c r="AW3828" s="436"/>
      <c r="AX3828" s="436"/>
      <c r="AY3828" s="436"/>
      <c r="AZ3828" s="475"/>
      <c r="BA3828" s="475"/>
      <c r="BF3828" s="1119"/>
      <c r="BG3828" s="1119"/>
      <c r="BH3828" s="1119"/>
    </row>
    <row r="3829" spans="1:60" ht="15.75" customHeight="1">
      <c r="A3829" s="1076"/>
      <c r="B3829" s="312"/>
      <c r="C3829" s="424"/>
      <c r="G3829" s="312"/>
      <c r="H3829" s="467"/>
      <c r="I3829" s="467"/>
      <c r="J3829" s="469"/>
      <c r="K3829" s="312"/>
      <c r="L3829" s="312"/>
      <c r="M3829" s="312"/>
      <c r="N3829" s="312"/>
      <c r="O3829" s="312"/>
      <c r="P3829" s="312"/>
      <c r="AL3829" s="436"/>
      <c r="AM3829" s="436"/>
      <c r="AQ3829" s="436"/>
      <c r="AR3829" s="436"/>
      <c r="AS3829" s="436"/>
      <c r="AT3829" s="436"/>
      <c r="AU3829" s="436"/>
      <c r="AV3829" s="436"/>
      <c r="AW3829" s="436"/>
      <c r="AX3829" s="436"/>
      <c r="AY3829" s="436"/>
      <c r="AZ3829" s="475"/>
      <c r="BA3829" s="475"/>
      <c r="BF3829" s="1119"/>
      <c r="BG3829" s="1119"/>
      <c r="BH3829" s="1119"/>
    </row>
    <row r="3830" spans="1:60" ht="15.75" customHeight="1">
      <c r="A3830" s="1076"/>
      <c r="B3830" s="312"/>
      <c r="C3830" s="424"/>
      <c r="G3830" s="312"/>
      <c r="H3830" s="467"/>
      <c r="I3830" s="467"/>
      <c r="J3830" s="469"/>
      <c r="K3830" s="312"/>
      <c r="L3830" s="312"/>
      <c r="M3830" s="312"/>
      <c r="N3830" s="312"/>
      <c r="O3830" s="312"/>
      <c r="P3830" s="312"/>
      <c r="AL3830" s="436"/>
      <c r="AM3830" s="436"/>
      <c r="AQ3830" s="436"/>
      <c r="AR3830" s="436"/>
      <c r="AS3830" s="436"/>
      <c r="AT3830" s="436"/>
      <c r="AU3830" s="436"/>
      <c r="AV3830" s="436"/>
      <c r="AW3830" s="436"/>
      <c r="AX3830" s="436"/>
      <c r="AY3830" s="436"/>
      <c r="AZ3830" s="475"/>
      <c r="BA3830" s="475"/>
      <c r="BF3830" s="1119"/>
      <c r="BG3830" s="1119"/>
      <c r="BH3830" s="1119"/>
    </row>
    <row r="3831" spans="1:60" ht="15.75" customHeight="1">
      <c r="A3831" s="1076"/>
      <c r="B3831" s="312"/>
      <c r="C3831" s="424"/>
      <c r="G3831" s="312"/>
      <c r="H3831" s="467"/>
      <c r="I3831" s="467"/>
      <c r="J3831" s="469"/>
      <c r="K3831" s="312"/>
      <c r="L3831" s="312"/>
      <c r="M3831" s="312"/>
      <c r="N3831" s="312"/>
      <c r="O3831" s="312"/>
      <c r="P3831" s="312"/>
      <c r="AL3831" s="436"/>
      <c r="AM3831" s="436"/>
      <c r="AQ3831" s="436"/>
      <c r="AR3831" s="436"/>
      <c r="AS3831" s="436"/>
      <c r="AT3831" s="436"/>
      <c r="AU3831" s="436"/>
      <c r="AV3831" s="436"/>
      <c r="AW3831" s="436"/>
      <c r="AX3831" s="436"/>
      <c r="AY3831" s="436"/>
      <c r="AZ3831" s="475"/>
      <c r="BA3831" s="475"/>
      <c r="BF3831" s="1119"/>
      <c r="BG3831" s="1119"/>
      <c r="BH3831" s="1119"/>
    </row>
    <row r="3832" spans="1:60" ht="15.75" customHeight="1">
      <c r="A3832" s="1076"/>
      <c r="B3832" s="312"/>
      <c r="C3832" s="424"/>
      <c r="G3832" s="312"/>
      <c r="H3832" s="467"/>
      <c r="I3832" s="467"/>
      <c r="J3832" s="469"/>
      <c r="K3832" s="312"/>
      <c r="L3832" s="312"/>
      <c r="M3832" s="312"/>
      <c r="N3832" s="312"/>
      <c r="O3832" s="312"/>
      <c r="P3832" s="312"/>
      <c r="AL3832" s="436"/>
      <c r="AM3832" s="436"/>
      <c r="AQ3832" s="436"/>
      <c r="AR3832" s="436"/>
      <c r="AS3832" s="436"/>
      <c r="AT3832" s="436"/>
      <c r="AU3832" s="436"/>
      <c r="AV3832" s="436"/>
      <c r="AW3832" s="436"/>
      <c r="AX3832" s="436"/>
      <c r="AY3832" s="436"/>
      <c r="AZ3832" s="475"/>
      <c r="BA3832" s="475"/>
      <c r="BF3832" s="1119"/>
      <c r="BG3832" s="1119"/>
      <c r="BH3832" s="1119"/>
    </row>
    <row r="3833" spans="1:60" ht="15.75" customHeight="1">
      <c r="A3833" s="1076"/>
      <c r="B3833" s="312"/>
      <c r="C3833" s="424"/>
      <c r="G3833" s="312"/>
      <c r="H3833" s="467"/>
      <c r="I3833" s="467"/>
      <c r="J3833" s="469"/>
      <c r="K3833" s="312"/>
      <c r="L3833" s="312"/>
      <c r="M3833" s="312"/>
      <c r="N3833" s="312"/>
      <c r="O3833" s="312"/>
      <c r="P3833" s="312"/>
      <c r="AL3833" s="436"/>
      <c r="AM3833" s="436"/>
      <c r="AQ3833" s="436"/>
      <c r="AR3833" s="436"/>
      <c r="AS3833" s="436"/>
      <c r="AT3833" s="436"/>
      <c r="AU3833" s="436"/>
      <c r="AV3833" s="436"/>
      <c r="AW3833" s="436"/>
      <c r="AX3833" s="436"/>
      <c r="AY3833" s="436"/>
      <c r="AZ3833" s="475"/>
      <c r="BA3833" s="475"/>
      <c r="BF3833" s="1119"/>
      <c r="BG3833" s="1119"/>
      <c r="BH3833" s="1119"/>
    </row>
    <row r="3834" spans="1:60" ht="15.75" customHeight="1">
      <c r="A3834" s="1076"/>
      <c r="B3834" s="312"/>
      <c r="C3834" s="424"/>
      <c r="G3834" s="312"/>
      <c r="H3834" s="467"/>
      <c r="I3834" s="467"/>
      <c r="J3834" s="469"/>
      <c r="K3834" s="312"/>
      <c r="L3834" s="312"/>
      <c r="M3834" s="312"/>
      <c r="N3834" s="312"/>
      <c r="O3834" s="312"/>
      <c r="P3834" s="312"/>
      <c r="AL3834" s="436"/>
      <c r="AM3834" s="436"/>
      <c r="AQ3834" s="436"/>
      <c r="AR3834" s="436"/>
      <c r="AS3834" s="436"/>
      <c r="AT3834" s="436"/>
      <c r="AU3834" s="436"/>
      <c r="AV3834" s="436"/>
      <c r="AW3834" s="436"/>
      <c r="AX3834" s="436"/>
      <c r="AY3834" s="436"/>
      <c r="AZ3834" s="475"/>
      <c r="BA3834" s="475"/>
      <c r="BF3834" s="1119"/>
      <c r="BG3834" s="1119"/>
      <c r="BH3834" s="1119"/>
    </row>
    <row r="3835" spans="1:60" ht="15.75" customHeight="1">
      <c r="A3835" s="1076"/>
      <c r="B3835" s="312"/>
      <c r="C3835" s="424"/>
      <c r="G3835" s="312"/>
      <c r="H3835" s="467"/>
      <c r="I3835" s="467"/>
      <c r="J3835" s="469"/>
      <c r="K3835" s="312"/>
      <c r="L3835" s="312"/>
      <c r="M3835" s="312"/>
      <c r="N3835" s="312"/>
      <c r="O3835" s="312"/>
      <c r="P3835" s="312"/>
      <c r="AL3835" s="436"/>
      <c r="AM3835" s="436"/>
      <c r="AQ3835" s="436"/>
      <c r="AR3835" s="436"/>
      <c r="AS3835" s="436"/>
      <c r="AT3835" s="436"/>
      <c r="AU3835" s="436"/>
      <c r="AV3835" s="436"/>
      <c r="AW3835" s="436"/>
      <c r="AX3835" s="436"/>
      <c r="AY3835" s="436"/>
      <c r="AZ3835" s="475"/>
      <c r="BA3835" s="475"/>
      <c r="BF3835" s="1119"/>
      <c r="BG3835" s="1119"/>
      <c r="BH3835" s="1119"/>
    </row>
    <row r="3836" spans="1:60" ht="15.75" customHeight="1">
      <c r="A3836" s="1076"/>
      <c r="B3836" s="312"/>
      <c r="C3836" s="424"/>
      <c r="G3836" s="312"/>
      <c r="H3836" s="467"/>
      <c r="I3836" s="467"/>
      <c r="J3836" s="469"/>
      <c r="K3836" s="312"/>
      <c r="L3836" s="312"/>
      <c r="M3836" s="312"/>
      <c r="N3836" s="312"/>
      <c r="O3836" s="312"/>
      <c r="P3836" s="312"/>
      <c r="AL3836" s="436"/>
      <c r="AM3836" s="436"/>
      <c r="AQ3836" s="436"/>
      <c r="AR3836" s="436"/>
      <c r="AS3836" s="436"/>
      <c r="AT3836" s="436"/>
      <c r="AU3836" s="436"/>
      <c r="AV3836" s="436"/>
      <c r="AW3836" s="436"/>
      <c r="AX3836" s="436"/>
      <c r="AY3836" s="436"/>
      <c r="AZ3836" s="475"/>
      <c r="BA3836" s="475"/>
      <c r="BF3836" s="1119"/>
      <c r="BG3836" s="1119"/>
      <c r="BH3836" s="1119"/>
    </row>
    <row r="3837" spans="1:60" ht="15.75" customHeight="1">
      <c r="A3837" s="1076"/>
      <c r="B3837" s="312"/>
      <c r="C3837" s="424"/>
      <c r="G3837" s="312"/>
      <c r="H3837" s="467"/>
      <c r="I3837" s="467"/>
      <c r="J3837" s="469"/>
      <c r="K3837" s="312"/>
      <c r="L3837" s="312"/>
      <c r="M3837" s="312"/>
      <c r="N3837" s="312"/>
      <c r="O3837" s="312"/>
      <c r="P3837" s="312"/>
      <c r="AL3837" s="436"/>
      <c r="AM3837" s="436"/>
      <c r="AQ3837" s="436"/>
      <c r="AR3837" s="436"/>
      <c r="AS3837" s="436"/>
      <c r="AT3837" s="436"/>
      <c r="AU3837" s="436"/>
      <c r="AV3837" s="436"/>
      <c r="AW3837" s="436"/>
      <c r="AX3837" s="436"/>
      <c r="AY3837" s="436"/>
      <c r="AZ3837" s="475"/>
      <c r="BA3837" s="475"/>
      <c r="BF3837" s="1119"/>
      <c r="BG3837" s="1119"/>
      <c r="BH3837" s="1119"/>
    </row>
    <row r="3838" spans="1:60" ht="15.75" customHeight="1">
      <c r="A3838" s="1076"/>
      <c r="B3838" s="312"/>
      <c r="C3838" s="424"/>
      <c r="G3838" s="312"/>
      <c r="H3838" s="467"/>
      <c r="I3838" s="467"/>
      <c r="J3838" s="469"/>
      <c r="K3838" s="312"/>
      <c r="L3838" s="312"/>
      <c r="M3838" s="312"/>
      <c r="N3838" s="312"/>
      <c r="O3838" s="312"/>
      <c r="P3838" s="312"/>
      <c r="AL3838" s="436"/>
      <c r="AM3838" s="436"/>
      <c r="AQ3838" s="436"/>
      <c r="AR3838" s="436"/>
      <c r="AS3838" s="436"/>
      <c r="AT3838" s="436"/>
      <c r="AU3838" s="436"/>
      <c r="AV3838" s="436"/>
      <c r="AW3838" s="436"/>
      <c r="AX3838" s="436"/>
      <c r="AY3838" s="436"/>
      <c r="AZ3838" s="475"/>
      <c r="BA3838" s="475"/>
      <c r="BF3838" s="1119"/>
      <c r="BG3838" s="1119"/>
      <c r="BH3838" s="1119"/>
    </row>
    <row r="3839" spans="1:60" ht="15.75" customHeight="1">
      <c r="A3839" s="1076"/>
      <c r="B3839" s="312"/>
      <c r="C3839" s="424"/>
      <c r="G3839" s="312"/>
      <c r="H3839" s="467"/>
      <c r="I3839" s="467"/>
      <c r="J3839" s="469"/>
      <c r="K3839" s="312"/>
      <c r="L3839" s="312"/>
      <c r="M3839" s="312"/>
      <c r="N3839" s="312"/>
      <c r="O3839" s="312"/>
      <c r="P3839" s="312"/>
      <c r="AL3839" s="436"/>
      <c r="AM3839" s="436"/>
      <c r="AQ3839" s="436"/>
      <c r="AR3839" s="436"/>
      <c r="AS3839" s="436"/>
      <c r="AT3839" s="436"/>
      <c r="AU3839" s="436"/>
      <c r="AV3839" s="436"/>
      <c r="AW3839" s="436"/>
      <c r="AX3839" s="436"/>
      <c r="AY3839" s="436"/>
      <c r="AZ3839" s="475"/>
      <c r="BA3839" s="475"/>
      <c r="BF3839" s="1119"/>
      <c r="BG3839" s="1119"/>
      <c r="BH3839" s="1119"/>
    </row>
    <row r="3840" spans="1:60" ht="15.75" customHeight="1">
      <c r="A3840" s="1076"/>
      <c r="B3840" s="312"/>
      <c r="C3840" s="424"/>
      <c r="G3840" s="312"/>
      <c r="H3840" s="467"/>
      <c r="I3840" s="467"/>
      <c r="J3840" s="469"/>
      <c r="K3840" s="312"/>
      <c r="L3840" s="312"/>
      <c r="M3840" s="312"/>
      <c r="N3840" s="312"/>
      <c r="O3840" s="312"/>
      <c r="P3840" s="312"/>
      <c r="AL3840" s="436"/>
      <c r="AM3840" s="436"/>
      <c r="AQ3840" s="436"/>
      <c r="AR3840" s="436"/>
      <c r="AS3840" s="436"/>
      <c r="AT3840" s="436"/>
      <c r="AU3840" s="436"/>
      <c r="AV3840" s="436"/>
      <c r="AW3840" s="436"/>
      <c r="AX3840" s="436"/>
      <c r="AY3840" s="436"/>
      <c r="AZ3840" s="475"/>
      <c r="BA3840" s="475"/>
      <c r="BF3840" s="1119"/>
      <c r="BG3840" s="1119"/>
      <c r="BH3840" s="1119"/>
    </row>
    <row r="3841" spans="1:60" ht="15.75" customHeight="1">
      <c r="A3841" s="1076"/>
      <c r="B3841" s="312"/>
      <c r="C3841" s="424"/>
      <c r="G3841" s="312"/>
      <c r="H3841" s="467"/>
      <c r="I3841" s="467"/>
      <c r="J3841" s="469"/>
      <c r="K3841" s="312"/>
      <c r="L3841" s="312"/>
      <c r="M3841" s="312"/>
      <c r="N3841" s="312"/>
      <c r="O3841" s="312"/>
      <c r="P3841" s="312"/>
      <c r="AL3841" s="436"/>
      <c r="AM3841" s="436"/>
      <c r="AQ3841" s="436"/>
      <c r="AR3841" s="436"/>
      <c r="AS3841" s="436"/>
      <c r="AT3841" s="436"/>
      <c r="AU3841" s="436"/>
      <c r="AV3841" s="436"/>
      <c r="AW3841" s="436"/>
      <c r="AX3841" s="436"/>
      <c r="AY3841" s="436"/>
      <c r="AZ3841" s="475"/>
      <c r="BA3841" s="475"/>
      <c r="BF3841" s="1119"/>
      <c r="BG3841" s="1119"/>
      <c r="BH3841" s="1119"/>
    </row>
    <row r="3842" spans="1:60" ht="15.75" customHeight="1">
      <c r="A3842" s="1076"/>
      <c r="B3842" s="312"/>
      <c r="C3842" s="424"/>
      <c r="G3842" s="312"/>
      <c r="H3842" s="467"/>
      <c r="I3842" s="467"/>
      <c r="J3842" s="469"/>
      <c r="K3842" s="312"/>
      <c r="L3842" s="312"/>
      <c r="M3842" s="312"/>
      <c r="N3842" s="312"/>
      <c r="O3842" s="312"/>
      <c r="P3842" s="312"/>
      <c r="AL3842" s="436"/>
      <c r="AM3842" s="436"/>
      <c r="AQ3842" s="436"/>
      <c r="AR3842" s="436"/>
      <c r="AS3842" s="436"/>
      <c r="AT3842" s="436"/>
      <c r="AU3842" s="436"/>
      <c r="AV3842" s="436"/>
      <c r="AW3842" s="436"/>
      <c r="AX3842" s="436"/>
      <c r="AY3842" s="436"/>
      <c r="AZ3842" s="475"/>
      <c r="BA3842" s="475"/>
      <c r="BF3842" s="1119"/>
      <c r="BG3842" s="1119"/>
      <c r="BH3842" s="1119"/>
    </row>
    <row r="3843" spans="1:60" ht="15.75" customHeight="1">
      <c r="A3843" s="1076"/>
      <c r="B3843" s="312"/>
      <c r="C3843" s="424"/>
      <c r="G3843" s="312"/>
      <c r="H3843" s="467"/>
      <c r="I3843" s="467"/>
      <c r="J3843" s="469"/>
      <c r="K3843" s="312"/>
      <c r="L3843" s="312"/>
      <c r="M3843" s="312"/>
      <c r="N3843" s="312"/>
      <c r="O3843" s="312"/>
      <c r="P3843" s="312"/>
      <c r="AL3843" s="436"/>
      <c r="AM3843" s="436"/>
      <c r="AQ3843" s="436"/>
      <c r="AR3843" s="436"/>
      <c r="AS3843" s="436"/>
      <c r="AT3843" s="436"/>
      <c r="AU3843" s="436"/>
      <c r="AV3843" s="436"/>
      <c r="AW3843" s="436"/>
      <c r="AX3843" s="436"/>
      <c r="AY3843" s="436"/>
      <c r="AZ3843" s="475"/>
      <c r="BA3843" s="475"/>
      <c r="BF3843" s="1119"/>
      <c r="BG3843" s="1119"/>
      <c r="BH3843" s="1119"/>
    </row>
    <row r="3844" spans="1:60" ht="15.75" customHeight="1">
      <c r="A3844" s="1076"/>
      <c r="B3844" s="312"/>
      <c r="C3844" s="424"/>
      <c r="G3844" s="312"/>
      <c r="H3844" s="467"/>
      <c r="I3844" s="467"/>
      <c r="J3844" s="469"/>
      <c r="K3844" s="312"/>
      <c r="L3844" s="312"/>
      <c r="M3844" s="312"/>
      <c r="N3844" s="312"/>
      <c r="O3844" s="312"/>
      <c r="P3844" s="312"/>
      <c r="AL3844" s="436"/>
      <c r="AM3844" s="436"/>
      <c r="AQ3844" s="436"/>
      <c r="AR3844" s="436"/>
      <c r="AS3844" s="436"/>
      <c r="AT3844" s="436"/>
      <c r="AU3844" s="436"/>
      <c r="AV3844" s="436"/>
      <c r="AW3844" s="436"/>
      <c r="AX3844" s="436"/>
      <c r="AY3844" s="436"/>
      <c r="AZ3844" s="475"/>
      <c r="BA3844" s="475"/>
      <c r="BF3844" s="1119"/>
      <c r="BG3844" s="1119"/>
      <c r="BH3844" s="1119"/>
    </row>
    <row r="3845" spans="1:60" ht="15.75" customHeight="1">
      <c r="A3845" s="1076"/>
      <c r="B3845" s="312"/>
      <c r="C3845" s="424"/>
      <c r="G3845" s="312"/>
      <c r="H3845" s="467"/>
      <c r="I3845" s="467"/>
      <c r="J3845" s="469"/>
      <c r="K3845" s="312"/>
      <c r="L3845" s="312"/>
      <c r="M3845" s="312"/>
      <c r="N3845" s="312"/>
      <c r="O3845" s="312"/>
      <c r="P3845" s="312"/>
      <c r="AL3845" s="436"/>
      <c r="AM3845" s="436"/>
      <c r="AQ3845" s="436"/>
      <c r="AR3845" s="436"/>
      <c r="AS3845" s="436"/>
      <c r="AT3845" s="436"/>
      <c r="AU3845" s="436"/>
      <c r="AV3845" s="436"/>
      <c r="AW3845" s="436"/>
      <c r="AX3845" s="436"/>
      <c r="AY3845" s="436"/>
      <c r="AZ3845" s="475"/>
      <c r="BA3845" s="475"/>
      <c r="BF3845" s="1119"/>
      <c r="BG3845" s="1119"/>
      <c r="BH3845" s="1119"/>
    </row>
    <row r="3846" spans="1:60" ht="15.75" customHeight="1">
      <c r="A3846" s="1076"/>
      <c r="B3846" s="312"/>
      <c r="C3846" s="424"/>
      <c r="G3846" s="312"/>
      <c r="H3846" s="467"/>
      <c r="I3846" s="467"/>
      <c r="J3846" s="469"/>
      <c r="K3846" s="312"/>
      <c r="L3846" s="312"/>
      <c r="M3846" s="312"/>
      <c r="N3846" s="312"/>
      <c r="O3846" s="312"/>
      <c r="P3846" s="312"/>
      <c r="AL3846" s="436"/>
      <c r="AM3846" s="436"/>
      <c r="AQ3846" s="436"/>
      <c r="AR3846" s="436"/>
      <c r="AS3846" s="436"/>
      <c r="AT3846" s="436"/>
      <c r="AU3846" s="436"/>
      <c r="AV3846" s="436"/>
      <c r="AW3846" s="436"/>
      <c r="AX3846" s="436"/>
      <c r="AY3846" s="436"/>
      <c r="AZ3846" s="475"/>
      <c r="BA3846" s="475"/>
      <c r="BF3846" s="1119"/>
      <c r="BG3846" s="1119"/>
      <c r="BH3846" s="1119"/>
    </row>
    <row r="3847" spans="1:60" ht="15.75" customHeight="1">
      <c r="A3847" s="1076"/>
      <c r="B3847" s="312"/>
      <c r="C3847" s="424"/>
      <c r="G3847" s="312"/>
      <c r="H3847" s="467"/>
      <c r="I3847" s="467"/>
      <c r="J3847" s="469"/>
      <c r="K3847" s="312"/>
      <c r="L3847" s="312"/>
      <c r="M3847" s="312"/>
      <c r="N3847" s="312"/>
      <c r="O3847" s="312"/>
      <c r="P3847" s="312"/>
      <c r="AL3847" s="436"/>
      <c r="AM3847" s="436"/>
      <c r="AQ3847" s="436"/>
      <c r="AR3847" s="436"/>
      <c r="AS3847" s="436"/>
      <c r="AT3847" s="436"/>
      <c r="AU3847" s="436"/>
      <c r="AV3847" s="436"/>
      <c r="AW3847" s="436"/>
      <c r="AX3847" s="436"/>
      <c r="AY3847" s="436"/>
      <c r="AZ3847" s="475"/>
      <c r="BA3847" s="475"/>
      <c r="BF3847" s="1119"/>
      <c r="BG3847" s="1119"/>
      <c r="BH3847" s="1119"/>
    </row>
    <row r="3848" spans="1:60" ht="15.75" customHeight="1">
      <c r="A3848" s="1076"/>
      <c r="B3848" s="312"/>
      <c r="C3848" s="424"/>
      <c r="G3848" s="312"/>
      <c r="H3848" s="467"/>
      <c r="I3848" s="467"/>
      <c r="J3848" s="469"/>
      <c r="K3848" s="312"/>
      <c r="L3848" s="312"/>
      <c r="M3848" s="312"/>
      <c r="N3848" s="312"/>
      <c r="O3848" s="312"/>
      <c r="P3848" s="312"/>
      <c r="AL3848" s="436"/>
      <c r="AM3848" s="436"/>
      <c r="AQ3848" s="436"/>
      <c r="AR3848" s="436"/>
      <c r="AS3848" s="436"/>
      <c r="AT3848" s="436"/>
      <c r="AU3848" s="436"/>
      <c r="AV3848" s="436"/>
      <c r="AW3848" s="436"/>
      <c r="AX3848" s="436"/>
      <c r="AY3848" s="436"/>
      <c r="AZ3848" s="475"/>
      <c r="BA3848" s="475"/>
      <c r="BF3848" s="1119"/>
      <c r="BG3848" s="1119"/>
      <c r="BH3848" s="1119"/>
    </row>
    <row r="3849" spans="1:60" ht="15.75" customHeight="1">
      <c r="A3849" s="1076"/>
      <c r="B3849" s="312"/>
      <c r="C3849" s="424"/>
      <c r="G3849" s="312"/>
      <c r="H3849" s="467"/>
      <c r="I3849" s="467"/>
      <c r="J3849" s="469"/>
      <c r="K3849" s="312"/>
      <c r="L3849" s="312"/>
      <c r="M3849" s="312"/>
      <c r="N3849" s="312"/>
      <c r="O3849" s="312"/>
      <c r="P3849" s="312"/>
      <c r="AL3849" s="436"/>
      <c r="AM3849" s="436"/>
      <c r="AQ3849" s="436"/>
      <c r="AR3849" s="436"/>
      <c r="AS3849" s="436"/>
      <c r="AT3849" s="436"/>
      <c r="AU3849" s="436"/>
      <c r="AV3849" s="436"/>
      <c r="AW3849" s="436"/>
      <c r="AX3849" s="436"/>
      <c r="AY3849" s="436"/>
      <c r="AZ3849" s="475"/>
      <c r="BA3849" s="475"/>
      <c r="BF3849" s="1119"/>
      <c r="BG3849" s="1119"/>
      <c r="BH3849" s="1119"/>
    </row>
    <row r="3850" spans="1:60" ht="15.75" customHeight="1">
      <c r="A3850" s="1076"/>
      <c r="B3850" s="312"/>
      <c r="C3850" s="424"/>
      <c r="G3850" s="312"/>
      <c r="H3850" s="467"/>
      <c r="I3850" s="467"/>
      <c r="J3850" s="469"/>
      <c r="K3850" s="312"/>
      <c r="L3850" s="312"/>
      <c r="M3850" s="312"/>
      <c r="N3850" s="312"/>
      <c r="O3850" s="312"/>
      <c r="P3850" s="312"/>
      <c r="AL3850" s="436"/>
      <c r="AM3850" s="436"/>
      <c r="AQ3850" s="436"/>
      <c r="AR3850" s="436"/>
      <c r="AS3850" s="436"/>
      <c r="AT3850" s="436"/>
      <c r="AU3850" s="436"/>
      <c r="AV3850" s="436"/>
      <c r="AW3850" s="436"/>
      <c r="AX3850" s="436"/>
      <c r="AY3850" s="436"/>
      <c r="AZ3850" s="475"/>
      <c r="BA3850" s="475"/>
      <c r="BF3850" s="1119"/>
      <c r="BG3850" s="1119"/>
      <c r="BH3850" s="1119"/>
    </row>
    <row r="3851" spans="1:60" ht="15.75" customHeight="1">
      <c r="A3851" s="1076"/>
      <c r="B3851" s="312"/>
      <c r="C3851" s="424"/>
      <c r="G3851" s="312"/>
      <c r="H3851" s="467"/>
      <c r="I3851" s="467"/>
      <c r="J3851" s="469"/>
      <c r="K3851" s="312"/>
      <c r="L3851" s="312"/>
      <c r="M3851" s="312"/>
      <c r="N3851" s="312"/>
      <c r="O3851" s="312"/>
      <c r="P3851" s="312"/>
      <c r="AL3851" s="436"/>
      <c r="AM3851" s="436"/>
      <c r="AQ3851" s="436"/>
      <c r="AR3851" s="436"/>
      <c r="AS3851" s="436"/>
      <c r="AT3851" s="436"/>
      <c r="AU3851" s="436"/>
      <c r="AV3851" s="436"/>
      <c r="AW3851" s="436"/>
      <c r="AX3851" s="436"/>
      <c r="AY3851" s="436"/>
      <c r="AZ3851" s="475"/>
      <c r="BA3851" s="475"/>
      <c r="BF3851" s="1119"/>
      <c r="BG3851" s="1119"/>
      <c r="BH3851" s="1119"/>
    </row>
    <row r="3852" spans="1:60" ht="15.75" customHeight="1">
      <c r="A3852" s="1076"/>
      <c r="B3852" s="312"/>
      <c r="C3852" s="424"/>
      <c r="G3852" s="312"/>
      <c r="H3852" s="467"/>
      <c r="I3852" s="467"/>
      <c r="J3852" s="469"/>
      <c r="K3852" s="312"/>
      <c r="L3852" s="312"/>
      <c r="M3852" s="312"/>
      <c r="N3852" s="312"/>
      <c r="O3852" s="312"/>
      <c r="P3852" s="312"/>
      <c r="AL3852" s="436"/>
      <c r="AM3852" s="436"/>
      <c r="AQ3852" s="436"/>
      <c r="AR3852" s="436"/>
      <c r="AS3852" s="436"/>
      <c r="AT3852" s="436"/>
      <c r="AU3852" s="436"/>
      <c r="AV3852" s="436"/>
      <c r="AW3852" s="436"/>
      <c r="AX3852" s="436"/>
      <c r="AY3852" s="436"/>
      <c r="AZ3852" s="475"/>
      <c r="BA3852" s="475"/>
      <c r="BF3852" s="1119"/>
      <c r="BG3852" s="1119"/>
      <c r="BH3852" s="1119"/>
    </row>
    <row r="3853" spans="1:60" ht="15.75" customHeight="1">
      <c r="A3853" s="1076"/>
      <c r="B3853" s="312"/>
      <c r="C3853" s="424"/>
      <c r="G3853" s="312"/>
      <c r="H3853" s="467"/>
      <c r="I3853" s="467"/>
      <c r="J3853" s="469"/>
      <c r="K3853" s="312"/>
      <c r="L3853" s="312"/>
      <c r="M3853" s="312"/>
      <c r="N3853" s="312"/>
      <c r="O3853" s="312"/>
      <c r="P3853" s="312"/>
      <c r="AL3853" s="436"/>
      <c r="AM3853" s="436"/>
      <c r="AQ3853" s="436"/>
      <c r="AR3853" s="436"/>
      <c r="AS3853" s="436"/>
      <c r="AT3853" s="436"/>
      <c r="AU3853" s="436"/>
      <c r="AV3853" s="436"/>
      <c r="AW3853" s="436"/>
      <c r="AX3853" s="436"/>
      <c r="AY3853" s="436"/>
      <c r="AZ3853" s="475"/>
      <c r="BA3853" s="475"/>
      <c r="BF3853" s="1119"/>
      <c r="BG3853" s="1119"/>
      <c r="BH3853" s="1119"/>
    </row>
    <row r="3854" spans="1:60" ht="15.75" customHeight="1">
      <c r="A3854" s="1076"/>
      <c r="B3854" s="312"/>
      <c r="C3854" s="424"/>
      <c r="G3854" s="312"/>
      <c r="H3854" s="467"/>
      <c r="I3854" s="467"/>
      <c r="J3854" s="469"/>
      <c r="K3854" s="312"/>
      <c r="L3854" s="312"/>
      <c r="M3854" s="312"/>
      <c r="N3854" s="312"/>
      <c r="O3854" s="312"/>
      <c r="P3854" s="312"/>
      <c r="AL3854" s="436"/>
      <c r="AM3854" s="436"/>
      <c r="AQ3854" s="436"/>
      <c r="AR3854" s="436"/>
      <c r="AS3854" s="436"/>
      <c r="AT3854" s="436"/>
      <c r="AU3854" s="436"/>
      <c r="AV3854" s="436"/>
      <c r="AW3854" s="436"/>
      <c r="AX3854" s="436"/>
      <c r="AY3854" s="436"/>
      <c r="AZ3854" s="475"/>
      <c r="BA3854" s="475"/>
      <c r="BF3854" s="1119"/>
      <c r="BG3854" s="1119"/>
      <c r="BH3854" s="1119"/>
    </row>
    <row r="3855" spans="1:60" ht="15.75" customHeight="1">
      <c r="A3855" s="1076"/>
      <c r="B3855" s="312"/>
      <c r="C3855" s="424"/>
      <c r="G3855" s="312"/>
      <c r="H3855" s="467"/>
      <c r="I3855" s="467"/>
      <c r="J3855" s="469"/>
      <c r="K3855" s="312"/>
      <c r="L3855" s="312"/>
      <c r="M3855" s="312"/>
      <c r="N3855" s="312"/>
      <c r="O3855" s="312"/>
      <c r="P3855" s="312"/>
      <c r="AL3855" s="436"/>
      <c r="AM3855" s="436"/>
      <c r="AQ3855" s="436"/>
      <c r="AR3855" s="436"/>
      <c r="AS3855" s="436"/>
      <c r="AT3855" s="436"/>
      <c r="AU3855" s="436"/>
      <c r="AV3855" s="436"/>
      <c r="AW3855" s="436"/>
      <c r="AX3855" s="436"/>
      <c r="AY3855" s="436"/>
      <c r="AZ3855" s="475"/>
      <c r="BA3855" s="475"/>
      <c r="BF3855" s="1119"/>
      <c r="BG3855" s="1119"/>
      <c r="BH3855" s="1119"/>
    </row>
    <row r="3856" spans="1:60" ht="15.75" customHeight="1">
      <c r="A3856" s="1076"/>
      <c r="B3856" s="312"/>
      <c r="C3856" s="424"/>
      <c r="G3856" s="312"/>
      <c r="H3856" s="467"/>
      <c r="I3856" s="467"/>
      <c r="J3856" s="469"/>
      <c r="K3856" s="312"/>
      <c r="L3856" s="312"/>
      <c r="M3856" s="312"/>
      <c r="N3856" s="312"/>
      <c r="O3856" s="312"/>
      <c r="P3856" s="312"/>
      <c r="AL3856" s="436"/>
      <c r="AM3856" s="436"/>
      <c r="AQ3856" s="436"/>
      <c r="AR3856" s="436"/>
      <c r="AS3856" s="436"/>
      <c r="AT3856" s="436"/>
      <c r="AU3856" s="436"/>
      <c r="AV3856" s="436"/>
      <c r="AW3856" s="436"/>
      <c r="AX3856" s="436"/>
      <c r="AY3856" s="436"/>
      <c r="AZ3856" s="475"/>
      <c r="BA3856" s="475"/>
      <c r="BF3856" s="1119"/>
      <c r="BG3856" s="1119"/>
      <c r="BH3856" s="1119"/>
    </row>
    <row r="3857" spans="1:60" ht="15.75" customHeight="1">
      <c r="A3857" s="1076"/>
      <c r="B3857" s="312"/>
      <c r="C3857" s="424"/>
      <c r="G3857" s="312"/>
      <c r="H3857" s="467"/>
      <c r="I3857" s="467"/>
      <c r="J3857" s="469"/>
      <c r="K3857" s="312"/>
      <c r="L3857" s="312"/>
      <c r="M3857" s="312"/>
      <c r="N3857" s="312"/>
      <c r="O3857" s="312"/>
      <c r="P3857" s="312"/>
      <c r="AL3857" s="436"/>
      <c r="AM3857" s="436"/>
      <c r="AQ3857" s="436"/>
      <c r="AR3857" s="436"/>
      <c r="AS3857" s="436"/>
      <c r="AT3857" s="436"/>
      <c r="AU3857" s="436"/>
      <c r="AV3857" s="436"/>
      <c r="AW3857" s="436"/>
      <c r="AX3857" s="436"/>
      <c r="AY3857" s="436"/>
      <c r="AZ3857" s="475"/>
      <c r="BA3857" s="475"/>
      <c r="BF3857" s="1119"/>
      <c r="BG3857" s="1119"/>
      <c r="BH3857" s="1119"/>
    </row>
    <row r="3858" spans="1:60" ht="15.75" customHeight="1">
      <c r="A3858" s="1076"/>
      <c r="B3858" s="312"/>
      <c r="C3858" s="424"/>
      <c r="G3858" s="312"/>
      <c r="H3858" s="467"/>
      <c r="I3858" s="467"/>
      <c r="J3858" s="469"/>
      <c r="K3858" s="312"/>
      <c r="L3858" s="312"/>
      <c r="M3858" s="312"/>
      <c r="N3858" s="312"/>
      <c r="O3858" s="312"/>
      <c r="P3858" s="312"/>
      <c r="AL3858" s="436"/>
      <c r="AM3858" s="436"/>
      <c r="AQ3858" s="436"/>
      <c r="AR3858" s="436"/>
      <c r="AS3858" s="436"/>
      <c r="AT3858" s="436"/>
      <c r="AU3858" s="436"/>
      <c r="AV3858" s="436"/>
      <c r="AW3858" s="436"/>
      <c r="AX3858" s="436"/>
      <c r="AY3858" s="436"/>
      <c r="AZ3858" s="475"/>
      <c r="BA3858" s="475"/>
      <c r="BF3858" s="1119"/>
      <c r="BG3858" s="1119"/>
      <c r="BH3858" s="1119"/>
    </row>
    <row r="3859" spans="1:60" ht="15.75" customHeight="1">
      <c r="A3859" s="1076"/>
      <c r="B3859" s="312"/>
      <c r="C3859" s="424"/>
      <c r="G3859" s="312"/>
      <c r="H3859" s="467"/>
      <c r="I3859" s="467"/>
      <c r="J3859" s="469"/>
      <c r="K3859" s="312"/>
      <c r="L3859" s="312"/>
      <c r="M3859" s="312"/>
      <c r="N3859" s="312"/>
      <c r="O3859" s="312"/>
      <c r="P3859" s="312"/>
      <c r="AL3859" s="436"/>
      <c r="AM3859" s="436"/>
      <c r="AQ3859" s="436"/>
      <c r="AR3859" s="436"/>
      <c r="AS3859" s="436"/>
      <c r="AT3859" s="436"/>
      <c r="AU3859" s="436"/>
      <c r="AV3859" s="436"/>
      <c r="AW3859" s="436"/>
      <c r="AX3859" s="436"/>
      <c r="AY3859" s="436"/>
      <c r="AZ3859" s="475"/>
      <c r="BA3859" s="475"/>
      <c r="BF3859" s="1119"/>
      <c r="BG3859" s="1119"/>
      <c r="BH3859" s="1119"/>
    </row>
    <row r="3860" spans="1:60" ht="15.75" customHeight="1">
      <c r="A3860" s="1076"/>
      <c r="B3860" s="312"/>
      <c r="C3860" s="424"/>
      <c r="G3860" s="312"/>
      <c r="H3860" s="467"/>
      <c r="I3860" s="467"/>
      <c r="J3860" s="469"/>
      <c r="K3860" s="312"/>
      <c r="L3860" s="312"/>
      <c r="M3860" s="312"/>
      <c r="N3860" s="312"/>
      <c r="O3860" s="312"/>
      <c r="P3860" s="312"/>
      <c r="AL3860" s="436"/>
      <c r="AM3860" s="436"/>
      <c r="AQ3860" s="436"/>
      <c r="AR3860" s="436"/>
      <c r="AS3860" s="436"/>
      <c r="AT3860" s="436"/>
      <c r="AU3860" s="436"/>
      <c r="AV3860" s="436"/>
      <c r="AW3860" s="436"/>
      <c r="AX3860" s="436"/>
      <c r="AY3860" s="436"/>
      <c r="AZ3860" s="475"/>
      <c r="BA3860" s="475"/>
      <c r="BF3860" s="1119"/>
      <c r="BG3860" s="1119"/>
      <c r="BH3860" s="1119"/>
    </row>
    <row r="3861" spans="1:60" ht="15.75" customHeight="1">
      <c r="A3861" s="1076"/>
      <c r="B3861" s="312"/>
      <c r="C3861" s="424"/>
      <c r="G3861" s="312"/>
      <c r="H3861" s="467"/>
      <c r="I3861" s="467"/>
      <c r="J3861" s="469"/>
      <c r="K3861" s="312"/>
      <c r="L3861" s="312"/>
      <c r="M3861" s="312"/>
      <c r="N3861" s="312"/>
      <c r="O3861" s="312"/>
      <c r="P3861" s="312"/>
      <c r="AL3861" s="436"/>
      <c r="AM3861" s="436"/>
      <c r="AQ3861" s="436"/>
      <c r="AR3861" s="436"/>
      <c r="AS3861" s="436"/>
      <c r="AT3861" s="436"/>
      <c r="AU3861" s="436"/>
      <c r="AV3861" s="436"/>
      <c r="AW3861" s="436"/>
      <c r="AX3861" s="436"/>
      <c r="AY3861" s="436"/>
      <c r="AZ3861" s="475"/>
      <c r="BA3861" s="475"/>
      <c r="BF3861" s="1119"/>
      <c r="BG3861" s="1119"/>
      <c r="BH3861" s="1119"/>
    </row>
    <row r="3862" spans="1:60" ht="15.75" customHeight="1">
      <c r="A3862" s="1076"/>
      <c r="B3862" s="312"/>
      <c r="C3862" s="424"/>
      <c r="G3862" s="312"/>
      <c r="H3862" s="467"/>
      <c r="I3862" s="467"/>
      <c r="J3862" s="469"/>
      <c r="K3862" s="312"/>
      <c r="L3862" s="312"/>
      <c r="M3862" s="312"/>
      <c r="N3862" s="312"/>
      <c r="O3862" s="312"/>
      <c r="P3862" s="312"/>
      <c r="AL3862" s="436"/>
      <c r="AM3862" s="436"/>
      <c r="AQ3862" s="436"/>
      <c r="AR3862" s="436"/>
      <c r="AS3862" s="436"/>
      <c r="AT3862" s="436"/>
      <c r="AU3862" s="436"/>
      <c r="AV3862" s="436"/>
      <c r="AW3862" s="436"/>
      <c r="AX3862" s="436"/>
      <c r="AY3862" s="436"/>
      <c r="AZ3862" s="475"/>
      <c r="BA3862" s="475"/>
      <c r="BF3862" s="1119"/>
      <c r="BG3862" s="1119"/>
      <c r="BH3862" s="1119"/>
    </row>
    <row r="3863" spans="1:60" ht="15.75" customHeight="1">
      <c r="A3863" s="1076"/>
      <c r="B3863" s="312"/>
      <c r="C3863" s="424"/>
      <c r="G3863" s="312"/>
      <c r="H3863" s="467"/>
      <c r="I3863" s="467"/>
      <c r="J3863" s="469"/>
      <c r="K3863" s="312"/>
      <c r="L3863" s="312"/>
      <c r="M3863" s="312"/>
      <c r="N3863" s="312"/>
      <c r="O3863" s="312"/>
      <c r="P3863" s="312"/>
      <c r="AL3863" s="436"/>
      <c r="AM3863" s="436"/>
      <c r="AQ3863" s="436"/>
      <c r="AR3863" s="436"/>
      <c r="AS3863" s="436"/>
      <c r="AT3863" s="436"/>
      <c r="AU3863" s="436"/>
      <c r="AV3863" s="436"/>
      <c r="AW3863" s="436"/>
      <c r="AX3863" s="436"/>
      <c r="AY3863" s="436"/>
      <c r="AZ3863" s="475"/>
      <c r="BA3863" s="475"/>
      <c r="BF3863" s="1119"/>
      <c r="BG3863" s="1119"/>
      <c r="BH3863" s="1119"/>
    </row>
    <row r="3864" spans="1:60" ht="15.75" customHeight="1">
      <c r="A3864" s="1076"/>
      <c r="B3864" s="312"/>
      <c r="C3864" s="424"/>
      <c r="G3864" s="312"/>
      <c r="H3864" s="467"/>
      <c r="I3864" s="467"/>
      <c r="J3864" s="469"/>
      <c r="K3864" s="312"/>
      <c r="L3864" s="312"/>
      <c r="M3864" s="312"/>
      <c r="N3864" s="312"/>
      <c r="O3864" s="312"/>
      <c r="P3864" s="312"/>
      <c r="AL3864" s="436"/>
      <c r="AM3864" s="436"/>
      <c r="AQ3864" s="436"/>
      <c r="AR3864" s="436"/>
      <c r="AS3864" s="436"/>
      <c r="AT3864" s="436"/>
      <c r="AU3864" s="436"/>
      <c r="AV3864" s="436"/>
      <c r="AW3864" s="436"/>
      <c r="AX3864" s="436"/>
      <c r="AY3864" s="436"/>
      <c r="AZ3864" s="475"/>
      <c r="BA3864" s="475"/>
      <c r="BF3864" s="1119"/>
      <c r="BG3864" s="1119"/>
      <c r="BH3864" s="1119"/>
    </row>
    <row r="3865" spans="1:60" ht="15.75" customHeight="1">
      <c r="A3865" s="1076"/>
      <c r="B3865" s="312"/>
      <c r="C3865" s="424"/>
      <c r="G3865" s="312"/>
      <c r="H3865" s="467"/>
      <c r="I3865" s="467"/>
      <c r="J3865" s="469"/>
      <c r="K3865" s="312"/>
      <c r="L3865" s="312"/>
      <c r="M3865" s="312"/>
      <c r="N3865" s="312"/>
      <c r="O3865" s="312"/>
      <c r="P3865" s="312"/>
      <c r="AL3865" s="436"/>
      <c r="AM3865" s="436"/>
      <c r="AQ3865" s="436"/>
      <c r="AR3865" s="436"/>
      <c r="AS3865" s="436"/>
      <c r="AT3865" s="436"/>
      <c r="AU3865" s="436"/>
      <c r="AV3865" s="436"/>
      <c r="AW3865" s="436"/>
      <c r="AX3865" s="436"/>
      <c r="AY3865" s="436"/>
      <c r="AZ3865" s="475"/>
      <c r="BA3865" s="475"/>
      <c r="BF3865" s="1119"/>
      <c r="BG3865" s="1119"/>
      <c r="BH3865" s="1119"/>
    </row>
    <row r="3866" spans="1:60" ht="15.75" customHeight="1">
      <c r="A3866" s="1076"/>
      <c r="B3866" s="312"/>
      <c r="C3866" s="424"/>
      <c r="G3866" s="312"/>
      <c r="H3866" s="467"/>
      <c r="I3866" s="467"/>
      <c r="J3866" s="469"/>
      <c r="K3866" s="312"/>
      <c r="L3866" s="312"/>
      <c r="M3866" s="312"/>
      <c r="N3866" s="312"/>
      <c r="O3866" s="312"/>
      <c r="P3866" s="312"/>
      <c r="AL3866" s="436"/>
      <c r="AM3866" s="436"/>
      <c r="AQ3866" s="436"/>
      <c r="AR3866" s="436"/>
      <c r="AS3866" s="436"/>
      <c r="AT3866" s="436"/>
      <c r="AU3866" s="436"/>
      <c r="AV3866" s="436"/>
      <c r="AW3866" s="436"/>
      <c r="AX3866" s="436"/>
      <c r="AY3866" s="436"/>
      <c r="AZ3866" s="475"/>
      <c r="BA3866" s="475"/>
      <c r="BF3866" s="1119"/>
      <c r="BG3866" s="1119"/>
      <c r="BH3866" s="1119"/>
    </row>
    <row r="3867" spans="1:60" ht="15.75" customHeight="1">
      <c r="A3867" s="1076"/>
      <c r="B3867" s="312"/>
      <c r="C3867" s="424"/>
      <c r="G3867" s="312"/>
      <c r="H3867" s="467"/>
      <c r="I3867" s="467"/>
      <c r="J3867" s="469"/>
      <c r="K3867" s="312"/>
      <c r="L3867" s="312"/>
      <c r="M3867" s="312"/>
      <c r="N3867" s="312"/>
      <c r="O3867" s="312"/>
      <c r="P3867" s="312"/>
      <c r="AL3867" s="436"/>
      <c r="AM3867" s="436"/>
      <c r="AQ3867" s="436"/>
      <c r="AR3867" s="436"/>
      <c r="AS3867" s="436"/>
      <c r="AT3867" s="436"/>
      <c r="AU3867" s="436"/>
      <c r="AV3867" s="436"/>
      <c r="AW3867" s="436"/>
      <c r="AX3867" s="436"/>
      <c r="AY3867" s="436"/>
      <c r="AZ3867" s="475"/>
      <c r="BA3867" s="475"/>
      <c r="BF3867" s="1119"/>
      <c r="BG3867" s="1119"/>
      <c r="BH3867" s="1119"/>
    </row>
    <row r="3868" spans="1:60" ht="15.75" customHeight="1">
      <c r="A3868" s="1076"/>
      <c r="B3868" s="312"/>
      <c r="C3868" s="424"/>
      <c r="G3868" s="312"/>
      <c r="H3868" s="467"/>
      <c r="I3868" s="467"/>
      <c r="J3868" s="469"/>
      <c r="K3868" s="312"/>
      <c r="L3868" s="312"/>
      <c r="M3868" s="312"/>
      <c r="N3868" s="312"/>
      <c r="O3868" s="312"/>
      <c r="P3868" s="312"/>
      <c r="AL3868" s="436"/>
      <c r="AM3868" s="436"/>
      <c r="AQ3868" s="436"/>
      <c r="AR3868" s="436"/>
      <c r="AS3868" s="436"/>
      <c r="AT3868" s="436"/>
      <c r="AU3868" s="436"/>
      <c r="AV3868" s="436"/>
      <c r="AW3868" s="436"/>
      <c r="AX3868" s="436"/>
      <c r="AY3868" s="436"/>
      <c r="AZ3868" s="475"/>
      <c r="BA3868" s="475"/>
      <c r="BF3868" s="1119"/>
      <c r="BG3868" s="1119"/>
      <c r="BH3868" s="1119"/>
    </row>
    <row r="3869" spans="1:60" ht="15.75" customHeight="1">
      <c r="A3869" s="1076"/>
      <c r="B3869" s="312"/>
      <c r="C3869" s="424"/>
      <c r="G3869" s="312"/>
      <c r="H3869" s="467"/>
      <c r="I3869" s="467"/>
      <c r="J3869" s="469"/>
      <c r="K3869" s="312"/>
      <c r="L3869" s="312"/>
      <c r="M3869" s="312"/>
      <c r="N3869" s="312"/>
      <c r="O3869" s="312"/>
      <c r="P3869" s="312"/>
      <c r="AL3869" s="436"/>
      <c r="AM3869" s="436"/>
      <c r="AQ3869" s="436"/>
      <c r="AR3869" s="436"/>
      <c r="AS3869" s="436"/>
      <c r="AT3869" s="436"/>
      <c r="AU3869" s="436"/>
      <c r="AV3869" s="436"/>
      <c r="AW3869" s="436"/>
      <c r="AX3869" s="436"/>
      <c r="AY3869" s="436"/>
      <c r="AZ3869" s="475"/>
      <c r="BA3869" s="475"/>
      <c r="BF3869" s="1119"/>
      <c r="BG3869" s="1119"/>
      <c r="BH3869" s="1119"/>
    </row>
    <row r="3870" spans="1:60" ht="15.75" customHeight="1">
      <c r="A3870" s="1076"/>
      <c r="B3870" s="312"/>
      <c r="C3870" s="424"/>
      <c r="G3870" s="312"/>
      <c r="H3870" s="467"/>
      <c r="I3870" s="467"/>
      <c r="J3870" s="469"/>
      <c r="K3870" s="312"/>
      <c r="L3870" s="312"/>
      <c r="M3870" s="312"/>
      <c r="N3870" s="312"/>
      <c r="O3870" s="312"/>
      <c r="P3870" s="312"/>
      <c r="AL3870" s="436"/>
      <c r="AM3870" s="436"/>
      <c r="AQ3870" s="436"/>
      <c r="AR3870" s="436"/>
      <c r="AS3870" s="436"/>
      <c r="AT3870" s="436"/>
      <c r="AU3870" s="436"/>
      <c r="AV3870" s="436"/>
      <c r="AW3870" s="436"/>
      <c r="AX3870" s="436"/>
      <c r="AY3870" s="436"/>
      <c r="AZ3870" s="475"/>
      <c r="BA3870" s="475"/>
      <c r="BF3870" s="1119"/>
      <c r="BG3870" s="1119"/>
      <c r="BH3870" s="1119"/>
    </row>
    <row r="3871" spans="1:60" ht="15.75" customHeight="1">
      <c r="A3871" s="1076"/>
      <c r="B3871" s="312"/>
      <c r="C3871" s="424"/>
      <c r="G3871" s="312"/>
      <c r="H3871" s="467"/>
      <c r="I3871" s="467"/>
      <c r="J3871" s="469"/>
      <c r="K3871" s="312"/>
      <c r="L3871" s="312"/>
      <c r="M3871" s="312"/>
      <c r="N3871" s="312"/>
      <c r="O3871" s="312"/>
      <c r="P3871" s="312"/>
      <c r="AL3871" s="436"/>
      <c r="AM3871" s="436"/>
      <c r="AQ3871" s="436"/>
      <c r="AR3871" s="436"/>
      <c r="AS3871" s="436"/>
      <c r="AT3871" s="436"/>
      <c r="AU3871" s="436"/>
      <c r="AV3871" s="436"/>
      <c r="AW3871" s="436"/>
      <c r="AX3871" s="436"/>
      <c r="AY3871" s="436"/>
      <c r="AZ3871" s="475"/>
      <c r="BA3871" s="475"/>
      <c r="BF3871" s="1119"/>
      <c r="BG3871" s="1119"/>
      <c r="BH3871" s="1119"/>
    </row>
    <row r="3872" spans="1:60" ht="15.75" customHeight="1">
      <c r="A3872" s="1076"/>
      <c r="B3872" s="312"/>
      <c r="C3872" s="424"/>
      <c r="G3872" s="312"/>
      <c r="H3872" s="467"/>
      <c r="I3872" s="467"/>
      <c r="J3872" s="469"/>
      <c r="K3872" s="312"/>
      <c r="L3872" s="312"/>
      <c r="M3872" s="312"/>
      <c r="N3872" s="312"/>
      <c r="O3872" s="312"/>
      <c r="P3872" s="312"/>
      <c r="AL3872" s="436"/>
      <c r="AM3872" s="436"/>
      <c r="AQ3872" s="436"/>
      <c r="AR3872" s="436"/>
      <c r="AS3872" s="436"/>
      <c r="AT3872" s="436"/>
      <c r="AU3872" s="436"/>
      <c r="AV3872" s="436"/>
      <c r="AW3872" s="436"/>
      <c r="AX3872" s="436"/>
      <c r="AY3872" s="436"/>
      <c r="AZ3872" s="475"/>
      <c r="BA3872" s="475"/>
      <c r="BF3872" s="1119"/>
      <c r="BG3872" s="1119"/>
      <c r="BH3872" s="1119"/>
    </row>
    <row r="3873" spans="1:60" ht="15.75" customHeight="1">
      <c r="A3873" s="1076"/>
      <c r="B3873" s="312"/>
      <c r="C3873" s="424"/>
      <c r="G3873" s="312"/>
      <c r="H3873" s="467"/>
      <c r="I3873" s="467"/>
      <c r="J3873" s="469"/>
      <c r="K3873" s="312"/>
      <c r="L3873" s="312"/>
      <c r="M3873" s="312"/>
      <c r="N3873" s="312"/>
      <c r="O3873" s="312"/>
      <c r="P3873" s="312"/>
      <c r="AL3873" s="436"/>
      <c r="AM3873" s="436"/>
      <c r="AQ3873" s="436"/>
      <c r="AR3873" s="436"/>
      <c r="AS3873" s="436"/>
      <c r="AT3873" s="436"/>
      <c r="AU3873" s="436"/>
      <c r="AV3873" s="436"/>
      <c r="AW3873" s="436"/>
      <c r="AX3873" s="436"/>
      <c r="AY3873" s="436"/>
      <c r="AZ3873" s="475"/>
      <c r="BA3873" s="475"/>
      <c r="BF3873" s="1119"/>
      <c r="BG3873" s="1119"/>
      <c r="BH3873" s="1119"/>
    </row>
    <row r="3874" spans="1:60" ht="15.75" customHeight="1">
      <c r="A3874" s="1076"/>
      <c r="B3874" s="312"/>
      <c r="C3874" s="424"/>
      <c r="G3874" s="312"/>
      <c r="H3874" s="467"/>
      <c r="I3874" s="467"/>
      <c r="J3874" s="469"/>
      <c r="K3874" s="312"/>
      <c r="L3874" s="312"/>
      <c r="M3874" s="312"/>
      <c r="N3874" s="312"/>
      <c r="O3874" s="312"/>
      <c r="P3874" s="312"/>
      <c r="AL3874" s="436"/>
      <c r="AM3874" s="436"/>
      <c r="AQ3874" s="436"/>
      <c r="AR3874" s="436"/>
      <c r="AS3874" s="436"/>
      <c r="AT3874" s="436"/>
      <c r="AU3874" s="436"/>
      <c r="AV3874" s="436"/>
      <c r="AW3874" s="436"/>
      <c r="AX3874" s="436"/>
      <c r="AY3874" s="436"/>
      <c r="AZ3874" s="475"/>
      <c r="BA3874" s="475"/>
      <c r="BF3874" s="1119"/>
      <c r="BG3874" s="1119"/>
      <c r="BH3874" s="1119"/>
    </row>
    <row r="3875" spans="1:60" ht="15.75" customHeight="1">
      <c r="A3875" s="1076"/>
      <c r="B3875" s="312"/>
      <c r="C3875" s="424"/>
      <c r="G3875" s="312"/>
      <c r="H3875" s="467"/>
      <c r="I3875" s="467"/>
      <c r="J3875" s="469"/>
      <c r="K3875" s="312"/>
      <c r="L3875" s="312"/>
      <c r="M3875" s="312"/>
      <c r="N3875" s="312"/>
      <c r="O3875" s="312"/>
      <c r="P3875" s="312"/>
      <c r="AL3875" s="436"/>
      <c r="AM3875" s="436"/>
      <c r="AQ3875" s="436"/>
      <c r="AR3875" s="436"/>
      <c r="AS3875" s="436"/>
      <c r="AT3875" s="436"/>
      <c r="AU3875" s="436"/>
      <c r="AV3875" s="436"/>
      <c r="AW3875" s="436"/>
      <c r="AX3875" s="436"/>
      <c r="AY3875" s="436"/>
      <c r="AZ3875" s="475"/>
      <c r="BA3875" s="475"/>
      <c r="BF3875" s="1119"/>
      <c r="BG3875" s="1119"/>
      <c r="BH3875" s="1119"/>
    </row>
    <row r="3876" spans="1:60" ht="15.75" customHeight="1">
      <c r="A3876" s="1076"/>
      <c r="B3876" s="312"/>
      <c r="C3876" s="424"/>
      <c r="G3876" s="312"/>
      <c r="H3876" s="467"/>
      <c r="I3876" s="467"/>
      <c r="J3876" s="469"/>
      <c r="K3876" s="312"/>
      <c r="L3876" s="312"/>
      <c r="M3876" s="312"/>
      <c r="N3876" s="312"/>
      <c r="O3876" s="312"/>
      <c r="P3876" s="312"/>
      <c r="AL3876" s="436"/>
      <c r="AM3876" s="436"/>
      <c r="AQ3876" s="436"/>
      <c r="AR3876" s="436"/>
      <c r="AS3876" s="436"/>
      <c r="AT3876" s="436"/>
      <c r="AU3876" s="436"/>
      <c r="AV3876" s="436"/>
      <c r="AW3876" s="436"/>
      <c r="AX3876" s="436"/>
      <c r="AY3876" s="436"/>
      <c r="AZ3876" s="475"/>
      <c r="BA3876" s="475"/>
      <c r="BF3876" s="1119"/>
      <c r="BG3876" s="1119"/>
      <c r="BH3876" s="1119"/>
    </row>
    <row r="3877" spans="1:60" ht="15.75" customHeight="1">
      <c r="A3877" s="1076"/>
      <c r="B3877" s="312"/>
      <c r="C3877" s="424"/>
      <c r="G3877" s="312"/>
      <c r="H3877" s="467"/>
      <c r="I3877" s="467"/>
      <c r="J3877" s="469"/>
      <c r="K3877" s="312"/>
      <c r="L3877" s="312"/>
      <c r="M3877" s="312"/>
      <c r="N3877" s="312"/>
      <c r="O3877" s="312"/>
      <c r="P3877" s="312"/>
      <c r="AL3877" s="436"/>
      <c r="AM3877" s="436"/>
      <c r="AQ3877" s="436"/>
      <c r="AR3877" s="436"/>
      <c r="AS3877" s="436"/>
      <c r="AT3877" s="436"/>
      <c r="AU3877" s="436"/>
      <c r="AV3877" s="436"/>
      <c r="AW3877" s="436"/>
      <c r="AX3877" s="436"/>
      <c r="AY3877" s="436"/>
      <c r="AZ3877" s="475"/>
      <c r="BA3877" s="475"/>
      <c r="BF3877" s="1119"/>
      <c r="BG3877" s="1119"/>
      <c r="BH3877" s="1119"/>
    </row>
    <row r="3878" spans="1:60" ht="15.75" customHeight="1">
      <c r="A3878" s="1076"/>
      <c r="B3878" s="312"/>
      <c r="C3878" s="424"/>
      <c r="G3878" s="312"/>
      <c r="H3878" s="467"/>
      <c r="I3878" s="467"/>
      <c r="J3878" s="469"/>
      <c r="K3878" s="312"/>
      <c r="L3878" s="312"/>
      <c r="M3878" s="312"/>
      <c r="N3878" s="312"/>
      <c r="O3878" s="312"/>
      <c r="P3878" s="312"/>
      <c r="AL3878" s="436"/>
      <c r="AM3878" s="436"/>
      <c r="AQ3878" s="436"/>
      <c r="AR3878" s="436"/>
      <c r="AS3878" s="436"/>
      <c r="AT3878" s="436"/>
      <c r="AU3878" s="436"/>
      <c r="AV3878" s="436"/>
      <c r="AW3878" s="436"/>
      <c r="AX3878" s="436"/>
      <c r="AY3878" s="436"/>
      <c r="AZ3878" s="475"/>
      <c r="BA3878" s="475"/>
      <c r="BF3878" s="1119"/>
      <c r="BG3878" s="1119"/>
      <c r="BH3878" s="1119"/>
    </row>
    <row r="3879" spans="1:60" ht="15.75" customHeight="1">
      <c r="A3879" s="1076"/>
      <c r="B3879" s="312"/>
      <c r="C3879" s="424"/>
      <c r="G3879" s="312"/>
      <c r="H3879" s="467"/>
      <c r="I3879" s="467"/>
      <c r="J3879" s="469"/>
      <c r="K3879" s="312"/>
      <c r="L3879" s="312"/>
      <c r="M3879" s="312"/>
      <c r="N3879" s="312"/>
      <c r="O3879" s="312"/>
      <c r="P3879" s="312"/>
      <c r="AL3879" s="436"/>
      <c r="AM3879" s="436"/>
      <c r="AQ3879" s="436"/>
      <c r="AR3879" s="436"/>
      <c r="AS3879" s="436"/>
      <c r="AT3879" s="436"/>
      <c r="AU3879" s="436"/>
      <c r="AV3879" s="436"/>
      <c r="AW3879" s="436"/>
      <c r="AX3879" s="436"/>
      <c r="AY3879" s="436"/>
      <c r="AZ3879" s="475"/>
      <c r="BA3879" s="475"/>
      <c r="BF3879" s="1119"/>
      <c r="BG3879" s="1119"/>
      <c r="BH3879" s="1119"/>
    </row>
    <row r="3880" spans="1:60" ht="15.75" customHeight="1">
      <c r="A3880" s="1076"/>
      <c r="B3880" s="312"/>
      <c r="C3880" s="424"/>
      <c r="G3880" s="312"/>
      <c r="H3880" s="467"/>
      <c r="I3880" s="467"/>
      <c r="J3880" s="469"/>
      <c r="K3880" s="312"/>
      <c r="L3880" s="312"/>
      <c r="M3880" s="312"/>
      <c r="N3880" s="312"/>
      <c r="O3880" s="312"/>
      <c r="P3880" s="312"/>
      <c r="AL3880" s="436"/>
      <c r="AM3880" s="436"/>
      <c r="AQ3880" s="436"/>
      <c r="AR3880" s="436"/>
      <c r="AS3880" s="436"/>
      <c r="AT3880" s="436"/>
      <c r="AU3880" s="436"/>
      <c r="AV3880" s="436"/>
      <c r="AW3880" s="436"/>
      <c r="AX3880" s="436"/>
      <c r="AY3880" s="436"/>
      <c r="AZ3880" s="475"/>
      <c r="BA3880" s="475"/>
      <c r="BF3880" s="1119"/>
      <c r="BG3880" s="1119"/>
      <c r="BH3880" s="1119"/>
    </row>
    <row r="3881" spans="1:60" ht="15.75" customHeight="1">
      <c r="A3881" s="1076"/>
      <c r="B3881" s="312"/>
      <c r="C3881" s="424"/>
      <c r="G3881" s="312"/>
      <c r="H3881" s="467"/>
      <c r="I3881" s="467"/>
      <c r="J3881" s="469"/>
      <c r="K3881" s="312"/>
      <c r="L3881" s="312"/>
      <c r="M3881" s="312"/>
      <c r="N3881" s="312"/>
      <c r="O3881" s="312"/>
      <c r="P3881" s="312"/>
      <c r="AL3881" s="436"/>
      <c r="AM3881" s="436"/>
      <c r="AQ3881" s="436"/>
      <c r="AR3881" s="436"/>
      <c r="AS3881" s="436"/>
      <c r="AT3881" s="436"/>
      <c r="AU3881" s="436"/>
      <c r="AV3881" s="436"/>
      <c r="AW3881" s="436"/>
      <c r="AX3881" s="436"/>
      <c r="AY3881" s="436"/>
      <c r="AZ3881" s="475"/>
      <c r="BA3881" s="475"/>
      <c r="BF3881" s="1119"/>
      <c r="BG3881" s="1119"/>
      <c r="BH3881" s="1119"/>
    </row>
    <row r="3882" spans="1:60" ht="15.75" customHeight="1">
      <c r="A3882" s="1076"/>
      <c r="B3882" s="312"/>
      <c r="C3882" s="424"/>
      <c r="G3882" s="312"/>
      <c r="H3882" s="467"/>
      <c r="I3882" s="467"/>
      <c r="J3882" s="469"/>
      <c r="K3882" s="312"/>
      <c r="L3882" s="312"/>
      <c r="M3882" s="312"/>
      <c r="N3882" s="312"/>
      <c r="O3882" s="312"/>
      <c r="P3882" s="312"/>
      <c r="AL3882" s="436"/>
      <c r="AM3882" s="436"/>
      <c r="AQ3882" s="436"/>
      <c r="AR3882" s="436"/>
      <c r="AS3882" s="436"/>
      <c r="AT3882" s="436"/>
      <c r="AU3882" s="436"/>
      <c r="AV3882" s="436"/>
      <c r="AW3882" s="436"/>
      <c r="AX3882" s="436"/>
      <c r="AY3882" s="436"/>
      <c r="AZ3882" s="475"/>
      <c r="BA3882" s="475"/>
      <c r="BF3882" s="1119"/>
      <c r="BG3882" s="1119"/>
      <c r="BH3882" s="1119"/>
    </row>
    <row r="3883" spans="1:60" ht="15.75" customHeight="1">
      <c r="A3883" s="1076"/>
      <c r="B3883" s="312"/>
      <c r="C3883" s="424"/>
      <c r="G3883" s="312"/>
      <c r="H3883" s="467"/>
      <c r="I3883" s="467"/>
      <c r="J3883" s="469"/>
      <c r="K3883" s="312"/>
      <c r="L3883" s="312"/>
      <c r="M3883" s="312"/>
      <c r="N3883" s="312"/>
      <c r="O3883" s="312"/>
      <c r="P3883" s="312"/>
      <c r="AL3883" s="436"/>
      <c r="AM3883" s="436"/>
      <c r="AQ3883" s="436"/>
      <c r="AR3883" s="436"/>
      <c r="AS3883" s="436"/>
      <c r="AT3883" s="436"/>
      <c r="AU3883" s="436"/>
      <c r="AV3883" s="436"/>
      <c r="AW3883" s="436"/>
      <c r="AX3883" s="436"/>
      <c r="AY3883" s="436"/>
      <c r="AZ3883" s="475"/>
      <c r="BA3883" s="475"/>
      <c r="BF3883" s="1119"/>
      <c r="BG3883" s="1119"/>
      <c r="BH3883" s="1119"/>
    </row>
    <row r="3884" spans="1:60" ht="15.75" customHeight="1">
      <c r="A3884" s="1076"/>
      <c r="B3884" s="312"/>
      <c r="C3884" s="424"/>
      <c r="G3884" s="312"/>
      <c r="H3884" s="467"/>
      <c r="I3884" s="467"/>
      <c r="J3884" s="469"/>
      <c r="K3884" s="312"/>
      <c r="L3884" s="312"/>
      <c r="M3884" s="312"/>
      <c r="N3884" s="312"/>
      <c r="O3884" s="312"/>
      <c r="P3884" s="312"/>
      <c r="AL3884" s="436"/>
      <c r="AM3884" s="436"/>
      <c r="AQ3884" s="436"/>
      <c r="AR3884" s="436"/>
      <c r="AS3884" s="436"/>
      <c r="AT3884" s="436"/>
      <c r="AU3884" s="436"/>
      <c r="AV3884" s="436"/>
      <c r="AW3884" s="436"/>
      <c r="AX3884" s="436"/>
      <c r="AY3884" s="436"/>
      <c r="AZ3884" s="475"/>
      <c r="BA3884" s="475"/>
      <c r="BF3884" s="1119"/>
      <c r="BG3884" s="1119"/>
      <c r="BH3884" s="1119"/>
    </row>
    <row r="3885" spans="1:60" ht="15.75" customHeight="1">
      <c r="A3885" s="1076"/>
      <c r="B3885" s="312"/>
      <c r="C3885" s="424"/>
      <c r="G3885" s="312"/>
      <c r="H3885" s="467"/>
      <c r="I3885" s="467"/>
      <c r="J3885" s="469"/>
      <c r="K3885" s="312"/>
      <c r="L3885" s="312"/>
      <c r="M3885" s="312"/>
      <c r="N3885" s="312"/>
      <c r="O3885" s="312"/>
      <c r="P3885" s="312"/>
      <c r="AL3885" s="436"/>
      <c r="AM3885" s="436"/>
      <c r="AQ3885" s="436"/>
      <c r="AR3885" s="436"/>
      <c r="AS3885" s="436"/>
      <c r="AT3885" s="436"/>
      <c r="AU3885" s="436"/>
      <c r="AV3885" s="436"/>
      <c r="AW3885" s="436"/>
      <c r="AX3885" s="436"/>
      <c r="AY3885" s="436"/>
      <c r="AZ3885" s="475"/>
      <c r="BA3885" s="475"/>
      <c r="BF3885" s="1119"/>
      <c r="BG3885" s="1119"/>
      <c r="BH3885" s="1119"/>
    </row>
    <row r="3886" spans="1:60" ht="15.75" customHeight="1">
      <c r="A3886" s="1076"/>
      <c r="B3886" s="312"/>
      <c r="C3886" s="424"/>
      <c r="G3886" s="312"/>
      <c r="H3886" s="467"/>
      <c r="I3886" s="467"/>
      <c r="J3886" s="469"/>
      <c r="K3886" s="312"/>
      <c r="L3886" s="312"/>
      <c r="M3886" s="312"/>
      <c r="N3886" s="312"/>
      <c r="O3886" s="312"/>
      <c r="P3886" s="312"/>
      <c r="AL3886" s="436"/>
      <c r="AM3886" s="436"/>
      <c r="AQ3886" s="436"/>
      <c r="AR3886" s="436"/>
      <c r="AS3886" s="436"/>
      <c r="AT3886" s="436"/>
      <c r="AU3886" s="436"/>
      <c r="AV3886" s="436"/>
      <c r="AW3886" s="436"/>
      <c r="AX3886" s="436"/>
      <c r="AY3886" s="436"/>
      <c r="AZ3886" s="475"/>
      <c r="BA3886" s="475"/>
      <c r="BF3886" s="1119"/>
      <c r="BG3886" s="1119"/>
      <c r="BH3886" s="1119"/>
    </row>
    <row r="3887" spans="1:60" ht="15.75" customHeight="1">
      <c r="A3887" s="1076"/>
      <c r="B3887" s="312"/>
      <c r="C3887" s="424"/>
      <c r="G3887" s="312"/>
      <c r="H3887" s="467"/>
      <c r="I3887" s="467"/>
      <c r="J3887" s="469"/>
      <c r="K3887" s="312"/>
      <c r="L3887" s="312"/>
      <c r="M3887" s="312"/>
      <c r="N3887" s="312"/>
      <c r="O3887" s="312"/>
      <c r="P3887" s="312"/>
      <c r="AL3887" s="436"/>
      <c r="AM3887" s="436"/>
      <c r="AQ3887" s="436"/>
      <c r="AR3887" s="436"/>
      <c r="AS3887" s="436"/>
      <c r="AT3887" s="436"/>
      <c r="AU3887" s="436"/>
      <c r="AV3887" s="436"/>
      <c r="AW3887" s="436"/>
      <c r="AX3887" s="436"/>
      <c r="AY3887" s="436"/>
      <c r="AZ3887" s="475"/>
      <c r="BA3887" s="475"/>
      <c r="BF3887" s="1119"/>
      <c r="BG3887" s="1119"/>
      <c r="BH3887" s="1119"/>
    </row>
    <row r="3888" spans="1:60" ht="15.75" customHeight="1">
      <c r="A3888" s="1076"/>
      <c r="B3888" s="312"/>
      <c r="C3888" s="424"/>
      <c r="G3888" s="312"/>
      <c r="H3888" s="467"/>
      <c r="I3888" s="467"/>
      <c r="J3888" s="469"/>
      <c r="K3888" s="312"/>
      <c r="L3888" s="312"/>
      <c r="M3888" s="312"/>
      <c r="N3888" s="312"/>
      <c r="O3888" s="312"/>
      <c r="P3888" s="312"/>
      <c r="AL3888" s="436"/>
      <c r="AM3888" s="436"/>
      <c r="AQ3888" s="436"/>
      <c r="AR3888" s="436"/>
      <c r="AS3888" s="436"/>
      <c r="AT3888" s="436"/>
      <c r="AU3888" s="436"/>
      <c r="AV3888" s="436"/>
      <c r="AW3888" s="436"/>
      <c r="AX3888" s="436"/>
      <c r="AY3888" s="436"/>
      <c r="AZ3888" s="475"/>
      <c r="BA3888" s="475"/>
      <c r="BF3888" s="1119"/>
      <c r="BG3888" s="1119"/>
      <c r="BH3888" s="1119"/>
    </row>
    <row r="3889" spans="1:60" ht="15.75" customHeight="1">
      <c r="A3889" s="1076"/>
      <c r="B3889" s="312"/>
      <c r="C3889" s="424"/>
      <c r="G3889" s="312"/>
      <c r="H3889" s="467"/>
      <c r="I3889" s="467"/>
      <c r="J3889" s="469"/>
      <c r="K3889" s="312"/>
      <c r="L3889" s="312"/>
      <c r="M3889" s="312"/>
      <c r="N3889" s="312"/>
      <c r="O3889" s="312"/>
      <c r="P3889" s="312"/>
      <c r="AL3889" s="436"/>
      <c r="AM3889" s="436"/>
      <c r="AQ3889" s="436"/>
      <c r="AR3889" s="436"/>
      <c r="AS3889" s="436"/>
      <c r="AT3889" s="436"/>
      <c r="AU3889" s="436"/>
      <c r="AV3889" s="436"/>
      <c r="AW3889" s="436"/>
      <c r="AX3889" s="436"/>
      <c r="AY3889" s="436"/>
      <c r="AZ3889" s="475"/>
      <c r="BA3889" s="475"/>
      <c r="BF3889" s="1119"/>
      <c r="BG3889" s="1119"/>
      <c r="BH3889" s="1119"/>
    </row>
    <row r="3890" spans="1:60" ht="15.75" customHeight="1">
      <c r="A3890" s="1076"/>
      <c r="B3890" s="312"/>
      <c r="C3890" s="424"/>
      <c r="G3890" s="312"/>
      <c r="H3890" s="467"/>
      <c r="I3890" s="467"/>
      <c r="J3890" s="469"/>
      <c r="K3890" s="312"/>
      <c r="L3890" s="312"/>
      <c r="M3890" s="312"/>
      <c r="N3890" s="312"/>
      <c r="O3890" s="312"/>
      <c r="P3890" s="312"/>
      <c r="AL3890" s="436"/>
      <c r="AM3890" s="436"/>
      <c r="AQ3890" s="436"/>
      <c r="AR3890" s="436"/>
      <c r="AS3890" s="436"/>
      <c r="AT3890" s="436"/>
      <c r="AU3890" s="436"/>
      <c r="AV3890" s="436"/>
      <c r="AW3890" s="436"/>
      <c r="AX3890" s="436"/>
      <c r="AY3890" s="436"/>
      <c r="AZ3890" s="475"/>
      <c r="BA3890" s="475"/>
      <c r="BF3890" s="1119"/>
      <c r="BG3890" s="1119"/>
      <c r="BH3890" s="1119"/>
    </row>
    <row r="3891" spans="1:60" ht="15.75" customHeight="1">
      <c r="A3891" s="1076"/>
      <c r="B3891" s="312"/>
      <c r="C3891" s="424"/>
      <c r="G3891" s="312"/>
      <c r="H3891" s="467"/>
      <c r="I3891" s="467"/>
      <c r="J3891" s="469"/>
      <c r="K3891" s="312"/>
      <c r="L3891" s="312"/>
      <c r="M3891" s="312"/>
      <c r="N3891" s="312"/>
      <c r="O3891" s="312"/>
      <c r="P3891" s="312"/>
      <c r="AL3891" s="436"/>
      <c r="AM3891" s="436"/>
      <c r="AQ3891" s="436"/>
      <c r="AR3891" s="436"/>
      <c r="AS3891" s="436"/>
      <c r="AT3891" s="436"/>
      <c r="AU3891" s="436"/>
      <c r="AV3891" s="436"/>
      <c r="AW3891" s="436"/>
      <c r="AX3891" s="436"/>
      <c r="AY3891" s="436"/>
      <c r="AZ3891" s="475"/>
      <c r="BA3891" s="475"/>
      <c r="BF3891" s="1119"/>
      <c r="BG3891" s="1119"/>
      <c r="BH3891" s="1119"/>
    </row>
    <row r="3892" spans="1:60" ht="15.75" customHeight="1">
      <c r="A3892" s="1076"/>
      <c r="B3892" s="312"/>
      <c r="C3892" s="424"/>
      <c r="G3892" s="312"/>
      <c r="H3892" s="467"/>
      <c r="I3892" s="467"/>
      <c r="J3892" s="469"/>
      <c r="K3892" s="312"/>
      <c r="L3892" s="312"/>
      <c r="M3892" s="312"/>
      <c r="N3892" s="312"/>
      <c r="O3892" s="312"/>
      <c r="P3892" s="312"/>
      <c r="AL3892" s="436"/>
      <c r="AM3892" s="436"/>
      <c r="AQ3892" s="436"/>
      <c r="AR3892" s="436"/>
      <c r="AS3892" s="436"/>
      <c r="AT3892" s="436"/>
      <c r="AU3892" s="436"/>
      <c r="AV3892" s="436"/>
      <c r="AW3892" s="436"/>
      <c r="AX3892" s="436"/>
      <c r="AY3892" s="436"/>
      <c r="AZ3892" s="475"/>
      <c r="BA3892" s="475"/>
      <c r="BF3892" s="1119"/>
      <c r="BG3892" s="1119"/>
      <c r="BH3892" s="1119"/>
    </row>
    <row r="3893" spans="1:60" ht="15.75" customHeight="1">
      <c r="A3893" s="1076"/>
      <c r="B3893" s="312"/>
      <c r="C3893" s="424"/>
      <c r="G3893" s="312"/>
      <c r="H3893" s="467"/>
      <c r="I3893" s="467"/>
      <c r="J3893" s="469"/>
      <c r="K3893" s="312"/>
      <c r="L3893" s="312"/>
      <c r="M3893" s="312"/>
      <c r="N3893" s="312"/>
      <c r="O3893" s="312"/>
      <c r="P3893" s="312"/>
      <c r="AL3893" s="436"/>
      <c r="AM3893" s="436"/>
      <c r="AQ3893" s="436"/>
      <c r="AR3893" s="436"/>
      <c r="AS3893" s="436"/>
      <c r="AT3893" s="436"/>
      <c r="AU3893" s="436"/>
      <c r="AV3893" s="436"/>
      <c r="AW3893" s="436"/>
      <c r="AX3893" s="436"/>
      <c r="AY3893" s="436"/>
      <c r="AZ3893" s="475"/>
      <c r="BA3893" s="475"/>
      <c r="BF3893" s="1119"/>
      <c r="BG3893" s="1119"/>
      <c r="BH3893" s="1119"/>
    </row>
    <row r="3894" spans="1:60" ht="15.75" customHeight="1">
      <c r="A3894" s="1076"/>
      <c r="B3894" s="312"/>
      <c r="C3894" s="424"/>
      <c r="G3894" s="312"/>
      <c r="H3894" s="467"/>
      <c r="I3894" s="467"/>
      <c r="J3894" s="469"/>
      <c r="K3894" s="312"/>
      <c r="L3894" s="312"/>
      <c r="M3894" s="312"/>
      <c r="N3894" s="312"/>
      <c r="O3894" s="312"/>
      <c r="P3894" s="312"/>
      <c r="AL3894" s="436"/>
      <c r="AM3894" s="436"/>
      <c r="AQ3894" s="436"/>
      <c r="AR3894" s="436"/>
      <c r="AS3894" s="436"/>
      <c r="AT3894" s="436"/>
      <c r="AU3894" s="436"/>
      <c r="AV3894" s="436"/>
      <c r="AW3894" s="436"/>
      <c r="AX3894" s="436"/>
      <c r="AY3894" s="436"/>
      <c r="AZ3894" s="475"/>
      <c r="BA3894" s="475"/>
      <c r="BF3894" s="1119"/>
      <c r="BG3894" s="1119"/>
      <c r="BH3894" s="1119"/>
    </row>
    <row r="3895" spans="1:60" ht="15.75" customHeight="1">
      <c r="A3895" s="1076"/>
      <c r="B3895" s="312"/>
      <c r="C3895" s="424"/>
      <c r="G3895" s="312"/>
      <c r="H3895" s="467"/>
      <c r="I3895" s="467"/>
      <c r="J3895" s="469"/>
      <c r="K3895" s="312"/>
      <c r="L3895" s="312"/>
      <c r="M3895" s="312"/>
      <c r="N3895" s="312"/>
      <c r="O3895" s="312"/>
      <c r="P3895" s="312"/>
      <c r="AL3895" s="436"/>
      <c r="AM3895" s="436"/>
      <c r="AQ3895" s="436"/>
      <c r="AR3895" s="436"/>
      <c r="AS3895" s="436"/>
      <c r="AT3895" s="436"/>
      <c r="AU3895" s="436"/>
      <c r="AV3895" s="436"/>
      <c r="AW3895" s="436"/>
      <c r="AX3895" s="436"/>
      <c r="AY3895" s="436"/>
      <c r="AZ3895" s="475"/>
      <c r="BA3895" s="475"/>
      <c r="BF3895" s="1119"/>
      <c r="BG3895" s="1119"/>
      <c r="BH3895" s="1119"/>
    </row>
    <row r="3896" spans="1:60" ht="15.75" customHeight="1">
      <c r="A3896" s="1076"/>
      <c r="B3896" s="312"/>
      <c r="C3896" s="424"/>
      <c r="G3896" s="312"/>
      <c r="H3896" s="467"/>
      <c r="I3896" s="467"/>
      <c r="J3896" s="469"/>
      <c r="K3896" s="312"/>
      <c r="L3896" s="312"/>
      <c r="M3896" s="312"/>
      <c r="N3896" s="312"/>
      <c r="O3896" s="312"/>
      <c r="P3896" s="312"/>
      <c r="AL3896" s="436"/>
      <c r="AM3896" s="436"/>
      <c r="AQ3896" s="436"/>
      <c r="AR3896" s="436"/>
      <c r="AS3896" s="436"/>
      <c r="AT3896" s="436"/>
      <c r="AU3896" s="436"/>
      <c r="AV3896" s="436"/>
      <c r="AW3896" s="436"/>
      <c r="AX3896" s="436"/>
      <c r="AY3896" s="436"/>
      <c r="AZ3896" s="475"/>
      <c r="BA3896" s="475"/>
      <c r="BF3896" s="1119"/>
      <c r="BG3896" s="1119"/>
      <c r="BH3896" s="1119"/>
    </row>
    <row r="3897" spans="1:60" ht="15.75" customHeight="1">
      <c r="A3897" s="1076"/>
      <c r="B3897" s="312"/>
      <c r="C3897" s="424"/>
      <c r="G3897" s="312"/>
      <c r="H3897" s="467"/>
      <c r="I3897" s="467"/>
      <c r="J3897" s="469"/>
      <c r="K3897" s="312"/>
      <c r="L3897" s="312"/>
      <c r="M3897" s="312"/>
      <c r="N3897" s="312"/>
      <c r="O3897" s="312"/>
      <c r="P3897" s="312"/>
      <c r="AL3897" s="436"/>
      <c r="AM3897" s="436"/>
      <c r="AQ3897" s="436"/>
      <c r="AR3897" s="436"/>
      <c r="AS3897" s="436"/>
      <c r="AT3897" s="436"/>
      <c r="AU3897" s="436"/>
      <c r="AV3897" s="436"/>
      <c r="AW3897" s="436"/>
      <c r="AX3897" s="436"/>
      <c r="AY3897" s="436"/>
      <c r="AZ3897" s="475"/>
      <c r="BA3897" s="475"/>
      <c r="BF3897" s="1119"/>
      <c r="BG3897" s="1119"/>
      <c r="BH3897" s="1119"/>
    </row>
    <row r="3898" spans="1:60" ht="15.75" customHeight="1">
      <c r="A3898" s="1076"/>
      <c r="B3898" s="312"/>
      <c r="C3898" s="424"/>
      <c r="G3898" s="312"/>
      <c r="H3898" s="467"/>
      <c r="I3898" s="467"/>
      <c r="J3898" s="469"/>
      <c r="K3898" s="312"/>
      <c r="L3898" s="312"/>
      <c r="M3898" s="312"/>
      <c r="N3898" s="312"/>
      <c r="O3898" s="312"/>
      <c r="P3898" s="312"/>
      <c r="AL3898" s="436"/>
      <c r="AM3898" s="436"/>
      <c r="AQ3898" s="436"/>
      <c r="AR3898" s="436"/>
      <c r="AS3898" s="436"/>
      <c r="AT3898" s="436"/>
      <c r="AU3898" s="436"/>
      <c r="AV3898" s="436"/>
      <c r="AW3898" s="436"/>
      <c r="AX3898" s="436"/>
      <c r="AY3898" s="436"/>
      <c r="AZ3898" s="475"/>
      <c r="BA3898" s="475"/>
      <c r="BF3898" s="1119"/>
      <c r="BG3898" s="1119"/>
      <c r="BH3898" s="1119"/>
    </row>
    <row r="3899" spans="1:60" ht="15.75" customHeight="1">
      <c r="A3899" s="1076"/>
      <c r="B3899" s="312"/>
      <c r="C3899" s="424"/>
      <c r="G3899" s="312"/>
      <c r="H3899" s="467"/>
      <c r="I3899" s="467"/>
      <c r="J3899" s="469"/>
      <c r="K3899" s="312"/>
      <c r="L3899" s="312"/>
      <c r="M3899" s="312"/>
      <c r="N3899" s="312"/>
      <c r="O3899" s="312"/>
      <c r="P3899" s="312"/>
      <c r="AL3899" s="436"/>
      <c r="AM3899" s="436"/>
      <c r="AQ3899" s="436"/>
      <c r="AR3899" s="436"/>
      <c r="AS3899" s="436"/>
      <c r="AT3899" s="436"/>
      <c r="AU3899" s="436"/>
      <c r="AV3899" s="436"/>
      <c r="AW3899" s="436"/>
      <c r="AX3899" s="436"/>
      <c r="AY3899" s="436"/>
      <c r="AZ3899" s="475"/>
      <c r="BA3899" s="475"/>
      <c r="BF3899" s="1119"/>
      <c r="BG3899" s="1119"/>
      <c r="BH3899" s="1119"/>
    </row>
    <row r="3900" spans="1:60" ht="15.75" customHeight="1">
      <c r="A3900" s="1076"/>
      <c r="B3900" s="312"/>
      <c r="C3900" s="424"/>
      <c r="G3900" s="312"/>
      <c r="H3900" s="467"/>
      <c r="I3900" s="467"/>
      <c r="J3900" s="469"/>
      <c r="K3900" s="312"/>
      <c r="L3900" s="312"/>
      <c r="M3900" s="312"/>
      <c r="N3900" s="312"/>
      <c r="O3900" s="312"/>
      <c r="P3900" s="312"/>
      <c r="AL3900" s="436"/>
      <c r="AM3900" s="436"/>
      <c r="AQ3900" s="436"/>
      <c r="AR3900" s="436"/>
      <c r="AS3900" s="436"/>
      <c r="AT3900" s="436"/>
      <c r="AU3900" s="436"/>
      <c r="AV3900" s="436"/>
      <c r="AW3900" s="436"/>
      <c r="AX3900" s="436"/>
      <c r="AY3900" s="436"/>
      <c r="AZ3900" s="475"/>
      <c r="BA3900" s="475"/>
      <c r="BF3900" s="1119"/>
      <c r="BG3900" s="1119"/>
      <c r="BH3900" s="1119"/>
    </row>
    <row r="3901" spans="1:60" ht="15.75" customHeight="1">
      <c r="A3901" s="1076"/>
      <c r="B3901" s="312"/>
      <c r="C3901" s="424"/>
      <c r="G3901" s="312"/>
      <c r="H3901" s="467"/>
      <c r="I3901" s="467"/>
      <c r="J3901" s="469"/>
      <c r="K3901" s="312"/>
      <c r="L3901" s="312"/>
      <c r="M3901" s="312"/>
      <c r="N3901" s="312"/>
      <c r="O3901" s="312"/>
      <c r="P3901" s="312"/>
      <c r="AL3901" s="436"/>
      <c r="AM3901" s="436"/>
      <c r="AQ3901" s="436"/>
      <c r="AR3901" s="436"/>
      <c r="AS3901" s="436"/>
      <c r="AT3901" s="436"/>
      <c r="AU3901" s="436"/>
      <c r="AV3901" s="436"/>
      <c r="AW3901" s="436"/>
      <c r="AX3901" s="436"/>
      <c r="AY3901" s="436"/>
      <c r="AZ3901" s="475"/>
      <c r="BA3901" s="475"/>
      <c r="BF3901" s="1119"/>
      <c r="BG3901" s="1119"/>
      <c r="BH3901" s="1119"/>
    </row>
    <row r="3902" spans="1:60" ht="15.75" customHeight="1">
      <c r="A3902" s="1076"/>
      <c r="B3902" s="312"/>
      <c r="C3902" s="424"/>
      <c r="G3902" s="312"/>
      <c r="H3902" s="467"/>
      <c r="I3902" s="467"/>
      <c r="J3902" s="469"/>
      <c r="K3902" s="312"/>
      <c r="L3902" s="312"/>
      <c r="M3902" s="312"/>
      <c r="N3902" s="312"/>
      <c r="O3902" s="312"/>
      <c r="P3902" s="312"/>
      <c r="AL3902" s="436"/>
      <c r="AM3902" s="436"/>
      <c r="AQ3902" s="436"/>
      <c r="AR3902" s="436"/>
      <c r="AS3902" s="436"/>
      <c r="AT3902" s="436"/>
      <c r="AU3902" s="436"/>
      <c r="AV3902" s="436"/>
      <c r="AW3902" s="436"/>
      <c r="AX3902" s="436"/>
      <c r="AY3902" s="436"/>
      <c r="AZ3902" s="475"/>
      <c r="BA3902" s="475"/>
      <c r="BF3902" s="1119"/>
      <c r="BG3902" s="1119"/>
      <c r="BH3902" s="1119"/>
    </row>
    <row r="3903" spans="1:60" ht="15.75" customHeight="1">
      <c r="A3903" s="1076"/>
      <c r="B3903" s="312"/>
      <c r="C3903" s="424"/>
      <c r="G3903" s="312"/>
      <c r="H3903" s="467"/>
      <c r="I3903" s="467"/>
      <c r="J3903" s="469"/>
      <c r="K3903" s="312"/>
      <c r="L3903" s="312"/>
      <c r="M3903" s="312"/>
      <c r="N3903" s="312"/>
      <c r="O3903" s="312"/>
      <c r="P3903" s="312"/>
      <c r="AL3903" s="436"/>
      <c r="AM3903" s="436"/>
      <c r="AQ3903" s="436"/>
      <c r="AR3903" s="436"/>
      <c r="AS3903" s="436"/>
      <c r="AT3903" s="436"/>
      <c r="AU3903" s="436"/>
      <c r="AV3903" s="436"/>
      <c r="AW3903" s="436"/>
      <c r="AX3903" s="436"/>
      <c r="AY3903" s="436"/>
      <c r="AZ3903" s="475"/>
      <c r="BA3903" s="475"/>
      <c r="BF3903" s="1119"/>
      <c r="BG3903" s="1119"/>
      <c r="BH3903" s="1119"/>
    </row>
    <row r="3904" spans="1:60" ht="15.75" customHeight="1">
      <c r="A3904" s="1076"/>
      <c r="B3904" s="312"/>
      <c r="C3904" s="424"/>
      <c r="G3904" s="312"/>
      <c r="H3904" s="467"/>
      <c r="I3904" s="467"/>
      <c r="J3904" s="469"/>
      <c r="K3904" s="312"/>
      <c r="L3904" s="312"/>
      <c r="M3904" s="312"/>
      <c r="N3904" s="312"/>
      <c r="O3904" s="312"/>
      <c r="P3904" s="312"/>
      <c r="AL3904" s="436"/>
      <c r="AM3904" s="436"/>
      <c r="AQ3904" s="436"/>
      <c r="AR3904" s="436"/>
      <c r="AS3904" s="436"/>
      <c r="AT3904" s="436"/>
      <c r="AU3904" s="436"/>
      <c r="AV3904" s="436"/>
      <c r="AW3904" s="436"/>
      <c r="AX3904" s="436"/>
      <c r="AY3904" s="436"/>
      <c r="AZ3904" s="475"/>
      <c r="BA3904" s="475"/>
      <c r="BF3904" s="1119"/>
      <c r="BG3904" s="1119"/>
      <c r="BH3904" s="1119"/>
    </row>
    <row r="3905" spans="1:60" ht="15.75" customHeight="1">
      <c r="A3905" s="1076"/>
      <c r="B3905" s="312"/>
      <c r="C3905" s="424"/>
      <c r="G3905" s="312"/>
      <c r="H3905" s="467"/>
      <c r="I3905" s="467"/>
      <c r="J3905" s="469"/>
      <c r="K3905" s="312"/>
      <c r="L3905" s="312"/>
      <c r="M3905" s="312"/>
      <c r="N3905" s="312"/>
      <c r="O3905" s="312"/>
      <c r="P3905" s="312"/>
      <c r="AL3905" s="436"/>
      <c r="AM3905" s="436"/>
      <c r="AQ3905" s="436"/>
      <c r="AR3905" s="436"/>
      <c r="AS3905" s="436"/>
      <c r="AT3905" s="436"/>
      <c r="AU3905" s="436"/>
      <c r="AV3905" s="436"/>
      <c r="AW3905" s="436"/>
      <c r="AX3905" s="436"/>
      <c r="AY3905" s="436"/>
      <c r="AZ3905" s="475"/>
      <c r="BA3905" s="475"/>
      <c r="BF3905" s="1119"/>
      <c r="BG3905" s="1119"/>
      <c r="BH3905" s="1119"/>
    </row>
    <row r="3906" spans="1:60" ht="15.75" customHeight="1">
      <c r="A3906" s="1076"/>
      <c r="B3906" s="312"/>
      <c r="C3906" s="424"/>
      <c r="G3906" s="312"/>
      <c r="H3906" s="467"/>
      <c r="I3906" s="467"/>
      <c r="J3906" s="469"/>
      <c r="K3906" s="312"/>
      <c r="L3906" s="312"/>
      <c r="M3906" s="312"/>
      <c r="N3906" s="312"/>
      <c r="O3906" s="312"/>
      <c r="P3906" s="312"/>
      <c r="AL3906" s="436"/>
      <c r="AM3906" s="436"/>
      <c r="AQ3906" s="436"/>
      <c r="AR3906" s="436"/>
      <c r="AS3906" s="436"/>
      <c r="AT3906" s="436"/>
      <c r="AU3906" s="436"/>
      <c r="AV3906" s="436"/>
      <c r="AW3906" s="436"/>
      <c r="AX3906" s="436"/>
      <c r="AY3906" s="436"/>
      <c r="AZ3906" s="475"/>
      <c r="BA3906" s="475"/>
      <c r="BF3906" s="1119"/>
      <c r="BG3906" s="1119"/>
      <c r="BH3906" s="1119"/>
    </row>
    <row r="3907" spans="1:60" ht="15.75" customHeight="1">
      <c r="A3907" s="1076"/>
      <c r="B3907" s="312"/>
      <c r="C3907" s="424"/>
      <c r="G3907" s="312"/>
      <c r="H3907" s="467"/>
      <c r="I3907" s="467"/>
      <c r="J3907" s="469"/>
      <c r="K3907" s="312"/>
      <c r="L3907" s="312"/>
      <c r="M3907" s="312"/>
      <c r="N3907" s="312"/>
      <c r="O3907" s="312"/>
      <c r="P3907" s="312"/>
      <c r="AL3907" s="436"/>
      <c r="AM3907" s="436"/>
      <c r="AQ3907" s="436"/>
      <c r="AR3907" s="436"/>
      <c r="AS3907" s="436"/>
      <c r="AT3907" s="436"/>
      <c r="AU3907" s="436"/>
      <c r="AV3907" s="436"/>
      <c r="AW3907" s="436"/>
      <c r="AX3907" s="436"/>
      <c r="AY3907" s="436"/>
      <c r="AZ3907" s="475"/>
      <c r="BA3907" s="475"/>
      <c r="BF3907" s="1119"/>
      <c r="BG3907" s="1119"/>
      <c r="BH3907" s="1119"/>
    </row>
    <row r="3908" spans="1:60" ht="15.75" customHeight="1">
      <c r="A3908" s="1076"/>
      <c r="B3908" s="312"/>
      <c r="C3908" s="424"/>
      <c r="G3908" s="312"/>
      <c r="H3908" s="467"/>
      <c r="I3908" s="467"/>
      <c r="J3908" s="469"/>
      <c r="K3908" s="312"/>
      <c r="L3908" s="312"/>
      <c r="M3908" s="312"/>
      <c r="N3908" s="312"/>
      <c r="O3908" s="312"/>
      <c r="P3908" s="312"/>
      <c r="AL3908" s="436"/>
      <c r="AM3908" s="436"/>
      <c r="AQ3908" s="436"/>
      <c r="AR3908" s="436"/>
      <c r="AS3908" s="436"/>
      <c r="AT3908" s="436"/>
      <c r="AU3908" s="436"/>
      <c r="AV3908" s="436"/>
      <c r="AW3908" s="436"/>
      <c r="AX3908" s="436"/>
      <c r="AY3908" s="436"/>
      <c r="AZ3908" s="475"/>
      <c r="BA3908" s="475"/>
      <c r="BF3908" s="1119"/>
      <c r="BG3908" s="1119"/>
      <c r="BH3908" s="1119"/>
    </row>
    <row r="3909" spans="1:60" ht="15.75" customHeight="1">
      <c r="A3909" s="1076"/>
      <c r="B3909" s="312"/>
      <c r="C3909" s="424"/>
      <c r="G3909" s="312"/>
      <c r="H3909" s="467"/>
      <c r="I3909" s="467"/>
      <c r="J3909" s="469"/>
      <c r="K3909" s="312"/>
      <c r="L3909" s="312"/>
      <c r="M3909" s="312"/>
      <c r="N3909" s="312"/>
      <c r="O3909" s="312"/>
      <c r="P3909" s="312"/>
      <c r="AL3909" s="436"/>
      <c r="AM3909" s="436"/>
      <c r="AQ3909" s="436"/>
      <c r="AR3909" s="436"/>
      <c r="AS3909" s="436"/>
      <c r="AT3909" s="436"/>
      <c r="AU3909" s="436"/>
      <c r="AV3909" s="436"/>
      <c r="AW3909" s="436"/>
      <c r="AX3909" s="436"/>
      <c r="AY3909" s="436"/>
      <c r="AZ3909" s="475"/>
      <c r="BA3909" s="475"/>
      <c r="BF3909" s="1119"/>
      <c r="BG3909" s="1119"/>
      <c r="BH3909" s="1119"/>
    </row>
    <row r="3910" spans="1:60" ht="15.75" customHeight="1">
      <c r="A3910" s="1076"/>
      <c r="B3910" s="312"/>
      <c r="C3910" s="424"/>
      <c r="G3910" s="312"/>
      <c r="H3910" s="467"/>
      <c r="I3910" s="467"/>
      <c r="J3910" s="469"/>
      <c r="K3910" s="312"/>
      <c r="L3910" s="312"/>
      <c r="M3910" s="312"/>
      <c r="N3910" s="312"/>
      <c r="O3910" s="312"/>
      <c r="P3910" s="312"/>
      <c r="AL3910" s="436"/>
      <c r="AM3910" s="436"/>
      <c r="AQ3910" s="436"/>
      <c r="AR3910" s="436"/>
      <c r="AS3910" s="436"/>
      <c r="AT3910" s="436"/>
      <c r="AU3910" s="436"/>
      <c r="AV3910" s="436"/>
      <c r="AW3910" s="436"/>
      <c r="AX3910" s="436"/>
      <c r="AY3910" s="436"/>
      <c r="AZ3910" s="475"/>
      <c r="BA3910" s="475"/>
      <c r="BF3910" s="1119"/>
      <c r="BG3910" s="1119"/>
      <c r="BH3910" s="1119"/>
    </row>
    <row r="3911" spans="1:60" ht="15.75" customHeight="1">
      <c r="A3911" s="1076"/>
      <c r="B3911" s="312"/>
      <c r="C3911" s="424"/>
      <c r="G3911" s="312"/>
      <c r="H3911" s="467"/>
      <c r="I3911" s="467"/>
      <c r="J3911" s="469"/>
      <c r="K3911" s="312"/>
      <c r="L3911" s="312"/>
      <c r="M3911" s="312"/>
      <c r="N3911" s="312"/>
      <c r="O3911" s="312"/>
      <c r="P3911" s="312"/>
      <c r="AL3911" s="436"/>
      <c r="AM3911" s="436"/>
      <c r="AQ3911" s="436"/>
      <c r="AR3911" s="436"/>
      <c r="AS3911" s="436"/>
      <c r="AT3911" s="436"/>
      <c r="AU3911" s="436"/>
      <c r="AV3911" s="436"/>
      <c r="AW3911" s="436"/>
      <c r="AX3911" s="436"/>
      <c r="AY3911" s="436"/>
      <c r="AZ3911" s="475"/>
      <c r="BA3911" s="475"/>
      <c r="BF3911" s="1119"/>
      <c r="BG3911" s="1119"/>
      <c r="BH3911" s="1119"/>
    </row>
    <row r="3912" spans="1:60" ht="15.75" customHeight="1">
      <c r="A3912" s="1076"/>
      <c r="B3912" s="312"/>
      <c r="C3912" s="424"/>
      <c r="G3912" s="312"/>
      <c r="H3912" s="467"/>
      <c r="I3912" s="467"/>
      <c r="J3912" s="469"/>
      <c r="K3912" s="312"/>
      <c r="L3912" s="312"/>
      <c r="M3912" s="312"/>
      <c r="N3912" s="312"/>
      <c r="O3912" s="312"/>
      <c r="P3912" s="312"/>
      <c r="AL3912" s="436"/>
      <c r="AM3912" s="436"/>
      <c r="AQ3912" s="436"/>
      <c r="AR3912" s="436"/>
      <c r="AS3912" s="436"/>
      <c r="AT3912" s="436"/>
      <c r="AU3912" s="436"/>
      <c r="AV3912" s="436"/>
      <c r="AW3912" s="436"/>
      <c r="AX3912" s="436"/>
      <c r="AY3912" s="436"/>
      <c r="AZ3912" s="475"/>
      <c r="BA3912" s="475"/>
      <c r="BF3912" s="1119"/>
      <c r="BG3912" s="1119"/>
      <c r="BH3912" s="1119"/>
    </row>
    <row r="3913" spans="1:60" ht="15.75" customHeight="1">
      <c r="A3913" s="1076"/>
      <c r="B3913" s="312"/>
      <c r="C3913" s="424"/>
      <c r="G3913" s="312"/>
      <c r="H3913" s="467"/>
      <c r="I3913" s="467"/>
      <c r="J3913" s="469"/>
      <c r="K3913" s="312"/>
      <c r="L3913" s="312"/>
      <c r="M3913" s="312"/>
      <c r="N3913" s="312"/>
      <c r="O3913" s="312"/>
      <c r="P3913" s="312"/>
      <c r="AL3913" s="436"/>
      <c r="AM3913" s="436"/>
      <c r="AQ3913" s="436"/>
      <c r="AR3913" s="436"/>
      <c r="AS3913" s="436"/>
      <c r="AT3913" s="436"/>
      <c r="AU3913" s="436"/>
      <c r="AV3913" s="436"/>
      <c r="AW3913" s="436"/>
      <c r="AX3913" s="436"/>
      <c r="AY3913" s="436"/>
      <c r="AZ3913" s="475"/>
      <c r="BA3913" s="475"/>
      <c r="BF3913" s="1119"/>
      <c r="BG3913" s="1119"/>
      <c r="BH3913" s="1119"/>
    </row>
    <row r="3914" spans="1:60" ht="15.75" customHeight="1">
      <c r="A3914" s="1076"/>
      <c r="B3914" s="312"/>
      <c r="C3914" s="424"/>
      <c r="G3914" s="312"/>
      <c r="H3914" s="467"/>
      <c r="I3914" s="467"/>
      <c r="J3914" s="469"/>
      <c r="K3914" s="312"/>
      <c r="L3914" s="312"/>
      <c r="M3914" s="312"/>
      <c r="N3914" s="312"/>
      <c r="O3914" s="312"/>
      <c r="P3914" s="312"/>
      <c r="AL3914" s="436"/>
      <c r="AM3914" s="436"/>
      <c r="AQ3914" s="436"/>
      <c r="AR3914" s="436"/>
      <c r="AS3914" s="436"/>
      <c r="AT3914" s="436"/>
      <c r="AU3914" s="436"/>
      <c r="AV3914" s="436"/>
      <c r="AW3914" s="436"/>
      <c r="AX3914" s="436"/>
      <c r="AY3914" s="436"/>
      <c r="AZ3914" s="475"/>
      <c r="BA3914" s="475"/>
      <c r="BF3914" s="1119"/>
      <c r="BG3914" s="1119"/>
      <c r="BH3914" s="1119"/>
    </row>
    <row r="3915" spans="1:60" ht="15.75" customHeight="1">
      <c r="A3915" s="1076"/>
      <c r="B3915" s="312"/>
      <c r="C3915" s="424"/>
      <c r="G3915" s="312"/>
      <c r="H3915" s="467"/>
      <c r="I3915" s="467"/>
      <c r="J3915" s="469"/>
      <c r="K3915" s="312"/>
      <c r="L3915" s="312"/>
      <c r="M3915" s="312"/>
      <c r="N3915" s="312"/>
      <c r="O3915" s="312"/>
      <c r="P3915" s="312"/>
      <c r="AL3915" s="436"/>
      <c r="AM3915" s="436"/>
      <c r="AQ3915" s="436"/>
      <c r="AR3915" s="436"/>
      <c r="AS3915" s="436"/>
      <c r="AT3915" s="436"/>
      <c r="AU3915" s="436"/>
      <c r="AV3915" s="436"/>
      <c r="AW3915" s="436"/>
      <c r="AX3915" s="436"/>
      <c r="AY3915" s="436"/>
      <c r="AZ3915" s="475"/>
      <c r="BA3915" s="475"/>
      <c r="BF3915" s="1119"/>
      <c r="BG3915" s="1119"/>
      <c r="BH3915" s="1119"/>
    </row>
    <row r="3916" spans="1:60" ht="15.75" customHeight="1">
      <c r="A3916" s="1076"/>
      <c r="B3916" s="312"/>
      <c r="C3916" s="424"/>
      <c r="G3916" s="312"/>
      <c r="H3916" s="467"/>
      <c r="I3916" s="467"/>
      <c r="J3916" s="469"/>
      <c r="K3916" s="312"/>
      <c r="L3916" s="312"/>
      <c r="M3916" s="312"/>
      <c r="N3916" s="312"/>
      <c r="O3916" s="312"/>
      <c r="P3916" s="312"/>
      <c r="AL3916" s="436"/>
      <c r="AM3916" s="436"/>
      <c r="AQ3916" s="436"/>
      <c r="AR3916" s="436"/>
      <c r="AS3916" s="436"/>
      <c r="AT3916" s="436"/>
      <c r="AU3916" s="436"/>
      <c r="AV3916" s="436"/>
      <c r="AW3916" s="436"/>
      <c r="AX3916" s="436"/>
      <c r="AY3916" s="436"/>
      <c r="AZ3916" s="475"/>
      <c r="BA3916" s="475"/>
      <c r="BF3916" s="1119"/>
      <c r="BG3916" s="1119"/>
      <c r="BH3916" s="1119"/>
    </row>
    <row r="3917" spans="1:60" ht="15.75" customHeight="1">
      <c r="A3917" s="1076"/>
      <c r="B3917" s="312"/>
      <c r="C3917" s="424"/>
      <c r="G3917" s="312"/>
      <c r="H3917" s="467"/>
      <c r="I3917" s="467"/>
      <c r="J3917" s="469"/>
      <c r="K3917" s="312"/>
      <c r="L3917" s="312"/>
      <c r="M3917" s="312"/>
      <c r="N3917" s="312"/>
      <c r="O3917" s="312"/>
      <c r="P3917" s="312"/>
      <c r="AL3917" s="436"/>
      <c r="AM3917" s="436"/>
      <c r="AQ3917" s="436"/>
      <c r="AR3917" s="436"/>
      <c r="AS3917" s="436"/>
      <c r="AT3917" s="436"/>
      <c r="AU3917" s="436"/>
      <c r="AV3917" s="436"/>
      <c r="AW3917" s="436"/>
      <c r="AX3917" s="436"/>
      <c r="AY3917" s="436"/>
      <c r="AZ3917" s="475"/>
      <c r="BA3917" s="475"/>
      <c r="BF3917" s="1119"/>
      <c r="BG3917" s="1119"/>
      <c r="BH3917" s="1119"/>
    </row>
    <row r="3918" spans="1:60" ht="15.75" customHeight="1">
      <c r="A3918" s="1076"/>
      <c r="B3918" s="312"/>
      <c r="C3918" s="424"/>
      <c r="G3918" s="312"/>
      <c r="H3918" s="467"/>
      <c r="I3918" s="467"/>
      <c r="J3918" s="469"/>
      <c r="K3918" s="312"/>
      <c r="L3918" s="312"/>
      <c r="M3918" s="312"/>
      <c r="N3918" s="312"/>
      <c r="O3918" s="312"/>
      <c r="P3918" s="312"/>
      <c r="AL3918" s="436"/>
      <c r="AM3918" s="436"/>
      <c r="AQ3918" s="436"/>
      <c r="AR3918" s="436"/>
      <c r="AS3918" s="436"/>
      <c r="AT3918" s="436"/>
      <c r="AU3918" s="436"/>
      <c r="AV3918" s="436"/>
      <c r="AW3918" s="436"/>
      <c r="AX3918" s="436"/>
      <c r="AY3918" s="436"/>
      <c r="AZ3918" s="475"/>
      <c r="BA3918" s="475"/>
      <c r="BF3918" s="1119"/>
      <c r="BG3918" s="1119"/>
      <c r="BH3918" s="1119"/>
    </row>
    <row r="3919" spans="1:60" ht="15.75" customHeight="1">
      <c r="A3919" s="1076"/>
      <c r="B3919" s="312"/>
      <c r="C3919" s="424"/>
      <c r="G3919" s="312"/>
      <c r="H3919" s="467"/>
      <c r="I3919" s="467"/>
      <c r="J3919" s="469"/>
      <c r="K3919" s="312"/>
      <c r="L3919" s="312"/>
      <c r="M3919" s="312"/>
      <c r="N3919" s="312"/>
      <c r="O3919" s="312"/>
      <c r="P3919" s="312"/>
      <c r="AL3919" s="436"/>
      <c r="AM3919" s="436"/>
      <c r="AQ3919" s="436"/>
      <c r="AR3919" s="436"/>
      <c r="AS3919" s="436"/>
      <c r="AT3919" s="436"/>
      <c r="AU3919" s="436"/>
      <c r="AV3919" s="436"/>
      <c r="AW3919" s="436"/>
      <c r="AX3919" s="436"/>
      <c r="AY3919" s="436"/>
      <c r="AZ3919" s="475"/>
      <c r="BA3919" s="475"/>
      <c r="BF3919" s="1119"/>
      <c r="BG3919" s="1119"/>
      <c r="BH3919" s="1119"/>
    </row>
    <row r="3920" spans="1:60" ht="15.75" customHeight="1">
      <c r="A3920" s="1076"/>
      <c r="B3920" s="312"/>
      <c r="C3920" s="424"/>
      <c r="G3920" s="312"/>
      <c r="H3920" s="467"/>
      <c r="I3920" s="467"/>
      <c r="J3920" s="469"/>
      <c r="K3920" s="312"/>
      <c r="L3920" s="312"/>
      <c r="M3920" s="312"/>
      <c r="N3920" s="312"/>
      <c r="O3920" s="312"/>
      <c r="P3920" s="312"/>
      <c r="AL3920" s="436"/>
      <c r="AM3920" s="436"/>
      <c r="AQ3920" s="436"/>
      <c r="AR3920" s="436"/>
      <c r="AS3920" s="436"/>
      <c r="AT3920" s="436"/>
      <c r="AU3920" s="436"/>
      <c r="AV3920" s="436"/>
      <c r="AW3920" s="436"/>
      <c r="AX3920" s="436"/>
      <c r="AY3920" s="436"/>
      <c r="AZ3920" s="475"/>
      <c r="BA3920" s="475"/>
      <c r="BF3920" s="1119"/>
      <c r="BG3920" s="1119"/>
      <c r="BH3920" s="1119"/>
    </row>
    <row r="3921" spans="1:60" ht="15.75" customHeight="1">
      <c r="A3921" s="1076"/>
      <c r="B3921" s="312"/>
      <c r="C3921" s="424"/>
      <c r="G3921" s="312"/>
      <c r="H3921" s="467"/>
      <c r="I3921" s="467"/>
      <c r="J3921" s="469"/>
      <c r="K3921" s="312"/>
      <c r="L3921" s="312"/>
      <c r="M3921" s="312"/>
      <c r="N3921" s="312"/>
      <c r="O3921" s="312"/>
      <c r="P3921" s="312"/>
      <c r="AL3921" s="436"/>
      <c r="AM3921" s="436"/>
      <c r="AQ3921" s="436"/>
      <c r="AR3921" s="436"/>
      <c r="AS3921" s="436"/>
      <c r="AT3921" s="436"/>
      <c r="AU3921" s="436"/>
      <c r="AV3921" s="436"/>
      <c r="AW3921" s="436"/>
      <c r="AX3921" s="436"/>
      <c r="AY3921" s="436"/>
      <c r="AZ3921" s="475"/>
      <c r="BA3921" s="475"/>
      <c r="BF3921" s="1119"/>
      <c r="BG3921" s="1119"/>
      <c r="BH3921" s="1119"/>
    </row>
    <row r="3922" spans="1:60" ht="15.75" customHeight="1">
      <c r="A3922" s="1076"/>
      <c r="B3922" s="312"/>
      <c r="C3922" s="424"/>
      <c r="H3922" s="467"/>
      <c r="I3922" s="467"/>
      <c r="J3922" s="469"/>
      <c r="K3922" s="312"/>
      <c r="L3922" s="312"/>
      <c r="M3922" s="312"/>
      <c r="N3922" s="312"/>
      <c r="O3922" s="312"/>
      <c r="P3922" s="312"/>
      <c r="AL3922" s="436"/>
      <c r="AM3922" s="436"/>
      <c r="AQ3922" s="436"/>
      <c r="AR3922" s="436"/>
      <c r="AS3922" s="436"/>
      <c r="AT3922" s="436"/>
      <c r="AU3922" s="436"/>
      <c r="AV3922" s="436"/>
      <c r="AW3922" s="436"/>
      <c r="AX3922" s="436"/>
      <c r="AY3922" s="436"/>
      <c r="AZ3922" s="475"/>
      <c r="BA3922" s="475"/>
      <c r="BF3922" s="1119"/>
      <c r="BG3922" s="1119"/>
      <c r="BH3922" s="1119"/>
    </row>
    <row r="3923" spans="1:60" ht="15.75" customHeight="1">
      <c r="A3923" s="1076"/>
      <c r="B3923" s="312"/>
      <c r="C3923" s="424"/>
      <c r="G3923" s="312"/>
      <c r="H3923" s="467"/>
      <c r="I3923" s="467"/>
      <c r="J3923" s="469"/>
      <c r="K3923" s="312"/>
      <c r="L3923" s="312"/>
      <c r="M3923" s="312"/>
      <c r="N3923" s="312"/>
      <c r="O3923" s="312"/>
      <c r="P3923" s="312"/>
      <c r="AL3923" s="436"/>
      <c r="AM3923" s="436"/>
      <c r="AQ3923" s="436"/>
      <c r="AR3923" s="436"/>
      <c r="AS3923" s="436"/>
      <c r="AT3923" s="436"/>
      <c r="AU3923" s="436"/>
      <c r="AV3923" s="436"/>
      <c r="AW3923" s="436"/>
      <c r="AX3923" s="436"/>
      <c r="AY3923" s="436"/>
      <c r="AZ3923" s="475"/>
      <c r="BA3923" s="475"/>
      <c r="BF3923" s="1119"/>
      <c r="BG3923" s="1119"/>
      <c r="BH3923" s="1119"/>
    </row>
    <row r="3924" spans="1:60" ht="15.75" customHeight="1">
      <c r="A3924" s="1076"/>
      <c r="B3924" s="312"/>
      <c r="C3924" s="424"/>
      <c r="G3924" s="312"/>
      <c r="H3924" s="467"/>
      <c r="I3924" s="467"/>
      <c r="J3924" s="469"/>
      <c r="K3924" s="312"/>
      <c r="L3924" s="312"/>
      <c r="M3924" s="312"/>
      <c r="N3924" s="312"/>
      <c r="O3924" s="312"/>
      <c r="P3924" s="312"/>
      <c r="AL3924" s="436"/>
      <c r="AM3924" s="436"/>
      <c r="AQ3924" s="436"/>
      <c r="AR3924" s="436"/>
      <c r="AS3924" s="436"/>
      <c r="AT3924" s="436"/>
      <c r="AU3924" s="436"/>
      <c r="AV3924" s="436"/>
      <c r="AW3924" s="436"/>
      <c r="AX3924" s="436"/>
      <c r="AY3924" s="436"/>
      <c r="AZ3924" s="475"/>
      <c r="BA3924" s="475"/>
      <c r="BF3924" s="1119"/>
      <c r="BG3924" s="1119"/>
      <c r="BH3924" s="1119"/>
    </row>
    <row r="3925" spans="1:60" ht="15.75" customHeight="1">
      <c r="A3925" s="1076"/>
      <c r="B3925" s="312"/>
      <c r="C3925" s="424"/>
      <c r="G3925" s="312"/>
      <c r="H3925" s="467"/>
      <c r="I3925" s="467"/>
      <c r="J3925" s="469"/>
      <c r="K3925" s="312"/>
      <c r="L3925" s="312"/>
      <c r="M3925" s="312"/>
      <c r="N3925" s="312"/>
      <c r="O3925" s="312"/>
      <c r="P3925" s="312"/>
      <c r="AL3925" s="436"/>
      <c r="AM3925" s="436"/>
      <c r="AQ3925" s="436"/>
      <c r="AR3925" s="436"/>
      <c r="AS3925" s="436"/>
      <c r="AT3925" s="436"/>
      <c r="AU3925" s="436"/>
      <c r="AV3925" s="436"/>
      <c r="AW3925" s="436"/>
      <c r="AX3925" s="436"/>
      <c r="AY3925" s="436"/>
      <c r="AZ3925" s="475"/>
      <c r="BA3925" s="475"/>
      <c r="BF3925" s="1119"/>
      <c r="BG3925" s="1119"/>
      <c r="BH3925" s="1119"/>
    </row>
    <row r="3926" spans="1:60" ht="15.75" customHeight="1">
      <c r="A3926" s="1076"/>
      <c r="B3926" s="312"/>
      <c r="C3926" s="424"/>
      <c r="G3926" s="312"/>
      <c r="H3926" s="467"/>
      <c r="I3926" s="467"/>
      <c r="J3926" s="469"/>
      <c r="K3926" s="312"/>
      <c r="L3926" s="312"/>
      <c r="M3926" s="312"/>
      <c r="N3926" s="312"/>
      <c r="O3926" s="312"/>
      <c r="P3926" s="312"/>
      <c r="AL3926" s="436"/>
      <c r="AM3926" s="436"/>
      <c r="AQ3926" s="436"/>
      <c r="AR3926" s="436"/>
      <c r="AS3926" s="436"/>
      <c r="AT3926" s="436"/>
      <c r="AU3926" s="436"/>
      <c r="AV3926" s="436"/>
      <c r="AW3926" s="436"/>
      <c r="AX3926" s="436"/>
      <c r="AY3926" s="436"/>
      <c r="AZ3926" s="475"/>
      <c r="BA3926" s="475"/>
      <c r="BF3926" s="1119"/>
      <c r="BG3926" s="1119"/>
      <c r="BH3926" s="1119"/>
    </row>
    <row r="3927" spans="1:60" ht="15.75" customHeight="1">
      <c r="A3927" s="1076"/>
      <c r="B3927" s="312"/>
      <c r="C3927" s="424"/>
      <c r="G3927" s="312"/>
      <c r="H3927" s="467"/>
      <c r="I3927" s="467"/>
      <c r="J3927" s="469"/>
      <c r="K3927" s="312"/>
      <c r="L3927" s="312"/>
      <c r="M3927" s="312"/>
      <c r="N3927" s="312"/>
      <c r="O3927" s="312"/>
      <c r="P3927" s="312"/>
      <c r="AL3927" s="436"/>
      <c r="AM3927" s="436"/>
      <c r="AQ3927" s="436"/>
      <c r="AR3927" s="436"/>
      <c r="AS3927" s="436"/>
      <c r="AT3927" s="436"/>
      <c r="AU3927" s="436"/>
      <c r="AV3927" s="436"/>
      <c r="AW3927" s="436"/>
      <c r="AX3927" s="436"/>
      <c r="AY3927" s="436"/>
      <c r="AZ3927" s="475"/>
      <c r="BA3927" s="475"/>
      <c r="BF3927" s="1119"/>
      <c r="BG3927" s="1119"/>
      <c r="BH3927" s="1119"/>
    </row>
    <row r="3928" spans="1:60" ht="15.75" customHeight="1">
      <c r="A3928" s="1076"/>
      <c r="B3928" s="312"/>
      <c r="C3928" s="424"/>
      <c r="G3928" s="312"/>
      <c r="H3928" s="467"/>
      <c r="I3928" s="467"/>
      <c r="J3928" s="469"/>
      <c r="K3928" s="312"/>
      <c r="L3928" s="312"/>
      <c r="M3928" s="312"/>
      <c r="N3928" s="312"/>
      <c r="O3928" s="312"/>
      <c r="P3928" s="312"/>
      <c r="AL3928" s="436"/>
      <c r="AM3928" s="436"/>
      <c r="AQ3928" s="436"/>
      <c r="AR3928" s="436"/>
      <c r="AS3928" s="436"/>
      <c r="AT3928" s="436"/>
      <c r="AU3928" s="436"/>
      <c r="AV3928" s="436"/>
      <c r="AW3928" s="436"/>
      <c r="AX3928" s="436"/>
      <c r="AY3928" s="436"/>
      <c r="AZ3928" s="475"/>
      <c r="BA3928" s="475"/>
      <c r="BF3928" s="1119"/>
      <c r="BG3928" s="1119"/>
      <c r="BH3928" s="1119"/>
    </row>
    <row r="3929" spans="1:60" ht="15.75" customHeight="1">
      <c r="A3929" s="1076"/>
      <c r="B3929" s="312"/>
      <c r="C3929" s="424"/>
      <c r="G3929" s="312"/>
      <c r="H3929" s="467"/>
      <c r="I3929" s="467"/>
      <c r="J3929" s="469"/>
      <c r="K3929" s="312"/>
      <c r="L3929" s="312"/>
      <c r="M3929" s="312"/>
      <c r="N3929" s="312"/>
      <c r="O3929" s="312"/>
      <c r="P3929" s="312"/>
      <c r="AL3929" s="436"/>
      <c r="AM3929" s="436"/>
      <c r="AQ3929" s="436"/>
      <c r="AR3929" s="436"/>
      <c r="AS3929" s="436"/>
      <c r="AT3929" s="436"/>
      <c r="AU3929" s="436"/>
      <c r="AV3929" s="436"/>
      <c r="AW3929" s="436"/>
      <c r="AX3929" s="436"/>
      <c r="AY3929" s="436"/>
      <c r="AZ3929" s="475"/>
      <c r="BA3929" s="475"/>
      <c r="BF3929" s="1119"/>
      <c r="BG3929" s="1119"/>
      <c r="BH3929" s="1119"/>
    </row>
    <row r="3930" spans="1:60" ht="15.75" customHeight="1">
      <c r="A3930" s="1076"/>
      <c r="B3930" s="312"/>
      <c r="C3930" s="424"/>
      <c r="G3930" s="312"/>
      <c r="H3930" s="467"/>
      <c r="I3930" s="467"/>
      <c r="J3930" s="469"/>
      <c r="K3930" s="312"/>
      <c r="L3930" s="312"/>
      <c r="M3930" s="312"/>
      <c r="N3930" s="312"/>
      <c r="O3930" s="312"/>
      <c r="P3930" s="312"/>
      <c r="AL3930" s="436"/>
      <c r="AM3930" s="436"/>
      <c r="AQ3930" s="436"/>
      <c r="AR3930" s="436"/>
      <c r="AS3930" s="436"/>
      <c r="AT3930" s="436"/>
      <c r="AU3930" s="436"/>
      <c r="AV3930" s="436"/>
      <c r="AW3930" s="436"/>
      <c r="AX3930" s="436"/>
      <c r="AY3930" s="436"/>
      <c r="AZ3930" s="475"/>
      <c r="BA3930" s="475"/>
      <c r="BF3930" s="1119"/>
      <c r="BG3930" s="1119"/>
      <c r="BH3930" s="1119"/>
    </row>
    <row r="3931" spans="1:60" ht="15.75" customHeight="1">
      <c r="A3931" s="1076"/>
      <c r="B3931" s="312"/>
      <c r="C3931" s="424"/>
      <c r="G3931" s="312"/>
      <c r="H3931" s="467"/>
      <c r="I3931" s="467"/>
      <c r="J3931" s="469"/>
      <c r="K3931" s="312"/>
      <c r="L3931" s="312"/>
      <c r="M3931" s="312"/>
      <c r="N3931" s="312"/>
      <c r="O3931" s="312"/>
      <c r="P3931" s="312"/>
      <c r="AL3931" s="436"/>
      <c r="AM3931" s="436"/>
      <c r="AQ3931" s="436"/>
      <c r="AR3931" s="436"/>
      <c r="AS3931" s="436"/>
      <c r="AT3931" s="436"/>
      <c r="AU3931" s="436"/>
      <c r="AV3931" s="436"/>
      <c r="AW3931" s="436"/>
      <c r="AX3931" s="436"/>
      <c r="AY3931" s="436"/>
      <c r="AZ3931" s="475"/>
      <c r="BA3931" s="475"/>
      <c r="BF3931" s="1119"/>
      <c r="BG3931" s="1119"/>
      <c r="BH3931" s="1119"/>
    </row>
    <row r="3932" spans="1:60" ht="15.75" customHeight="1">
      <c r="A3932" s="1076"/>
      <c r="B3932" s="312"/>
      <c r="C3932" s="424"/>
      <c r="G3932" s="312"/>
      <c r="H3932" s="467"/>
      <c r="I3932" s="467"/>
      <c r="J3932" s="469"/>
      <c r="K3932" s="312"/>
      <c r="L3932" s="312"/>
      <c r="M3932" s="312"/>
      <c r="N3932" s="312"/>
      <c r="O3932" s="312"/>
      <c r="P3932" s="312"/>
      <c r="AL3932" s="436"/>
      <c r="AM3932" s="436"/>
      <c r="AQ3932" s="436"/>
      <c r="AR3932" s="436"/>
      <c r="AS3932" s="436"/>
      <c r="AT3932" s="436"/>
      <c r="AU3932" s="436"/>
      <c r="AV3932" s="436"/>
      <c r="AW3932" s="436"/>
      <c r="AX3932" s="436"/>
      <c r="AY3932" s="436"/>
      <c r="AZ3932" s="475"/>
      <c r="BA3932" s="475"/>
      <c r="BF3932" s="1119"/>
      <c r="BG3932" s="1119"/>
      <c r="BH3932" s="1119"/>
    </row>
    <row r="3933" spans="1:60" ht="15.75" customHeight="1">
      <c r="A3933" s="1076"/>
      <c r="B3933" s="312"/>
      <c r="C3933" s="424"/>
      <c r="G3933" s="312"/>
      <c r="H3933" s="467"/>
      <c r="I3933" s="467"/>
      <c r="J3933" s="469"/>
      <c r="K3933" s="312"/>
      <c r="L3933" s="312"/>
      <c r="M3933" s="312"/>
      <c r="N3933" s="312"/>
      <c r="O3933" s="312"/>
      <c r="P3933" s="312"/>
      <c r="AL3933" s="436"/>
      <c r="AM3933" s="436"/>
      <c r="AQ3933" s="436"/>
      <c r="AR3933" s="436"/>
      <c r="AS3933" s="436"/>
      <c r="AT3933" s="436"/>
      <c r="AU3933" s="436"/>
      <c r="AV3933" s="436"/>
      <c r="AW3933" s="436"/>
      <c r="AX3933" s="436"/>
      <c r="AY3933" s="436"/>
      <c r="AZ3933" s="475"/>
      <c r="BA3933" s="475"/>
      <c r="BF3933" s="1119"/>
      <c r="BG3933" s="1119"/>
      <c r="BH3933" s="1119"/>
    </row>
    <row r="3934" spans="1:60" ht="15.75" customHeight="1">
      <c r="A3934" s="1076"/>
      <c r="B3934" s="312"/>
      <c r="C3934" s="424"/>
      <c r="G3934" s="312"/>
      <c r="H3934" s="467"/>
      <c r="I3934" s="467"/>
      <c r="J3934" s="469"/>
      <c r="K3934" s="312"/>
      <c r="L3934" s="312"/>
      <c r="M3934" s="312"/>
      <c r="N3934" s="312"/>
      <c r="O3934" s="312"/>
      <c r="P3934" s="312"/>
      <c r="AL3934" s="436"/>
      <c r="AM3934" s="436"/>
      <c r="AQ3934" s="436"/>
      <c r="AR3934" s="436"/>
      <c r="AS3934" s="436"/>
      <c r="AT3934" s="436"/>
      <c r="AU3934" s="436"/>
      <c r="AV3934" s="436"/>
      <c r="AW3934" s="436"/>
      <c r="AX3934" s="436"/>
      <c r="AY3934" s="436"/>
      <c r="AZ3934" s="475"/>
      <c r="BA3934" s="475"/>
      <c r="BF3934" s="1119"/>
      <c r="BG3934" s="1119"/>
      <c r="BH3934" s="1119"/>
    </row>
    <row r="3935" spans="1:60" ht="15.75" customHeight="1">
      <c r="A3935" s="1076"/>
      <c r="B3935" s="312"/>
      <c r="C3935" s="424"/>
      <c r="G3935" s="312"/>
      <c r="H3935" s="467"/>
      <c r="I3935" s="467"/>
      <c r="J3935" s="469"/>
      <c r="K3935" s="312"/>
      <c r="L3935" s="312"/>
      <c r="M3935" s="312"/>
      <c r="N3935" s="312"/>
      <c r="O3935" s="312"/>
      <c r="P3935" s="312"/>
      <c r="AL3935" s="436"/>
      <c r="AM3935" s="436"/>
      <c r="AQ3935" s="436"/>
      <c r="AR3935" s="436"/>
      <c r="AS3935" s="436"/>
      <c r="AT3935" s="436"/>
      <c r="AU3935" s="436"/>
      <c r="AV3935" s="436"/>
      <c r="AW3935" s="436"/>
      <c r="AX3935" s="436"/>
      <c r="AY3935" s="436"/>
      <c r="AZ3935" s="475"/>
      <c r="BA3935" s="475"/>
      <c r="BF3935" s="1119"/>
      <c r="BG3935" s="1119"/>
      <c r="BH3935" s="1119"/>
    </row>
    <row r="3936" spans="1:60" ht="15.75" customHeight="1">
      <c r="A3936" s="1076"/>
      <c r="B3936" s="312"/>
      <c r="C3936" s="424"/>
      <c r="G3936" s="312"/>
      <c r="H3936" s="467"/>
      <c r="I3936" s="467"/>
      <c r="J3936" s="469"/>
      <c r="K3936" s="312"/>
      <c r="L3936" s="312"/>
      <c r="M3936" s="312"/>
      <c r="N3936" s="312"/>
      <c r="O3936" s="312"/>
      <c r="P3936" s="312"/>
      <c r="AL3936" s="436"/>
      <c r="AM3936" s="436"/>
      <c r="AQ3936" s="436"/>
      <c r="AR3936" s="436"/>
      <c r="AS3936" s="436"/>
      <c r="AT3936" s="436"/>
      <c r="AU3936" s="436"/>
      <c r="AV3936" s="436"/>
      <c r="AW3936" s="436"/>
      <c r="AX3936" s="436"/>
      <c r="AY3936" s="436"/>
      <c r="AZ3936" s="475"/>
      <c r="BA3936" s="475"/>
      <c r="BF3936" s="1119"/>
      <c r="BG3936" s="1119"/>
      <c r="BH3936" s="1119"/>
    </row>
    <row r="3937" spans="1:60" ht="15.75" customHeight="1">
      <c r="A3937" s="1076"/>
      <c r="B3937" s="312"/>
      <c r="C3937" s="424"/>
      <c r="G3937" s="312"/>
      <c r="H3937" s="467"/>
      <c r="I3937" s="467"/>
      <c r="J3937" s="469"/>
      <c r="K3937" s="312"/>
      <c r="L3937" s="312"/>
      <c r="M3937" s="312"/>
      <c r="N3937" s="312"/>
      <c r="O3937" s="312"/>
      <c r="P3937" s="312"/>
      <c r="AL3937" s="436"/>
      <c r="AM3937" s="436"/>
      <c r="AQ3937" s="436"/>
      <c r="AR3937" s="436"/>
      <c r="AS3937" s="436"/>
      <c r="AT3937" s="436"/>
      <c r="AU3937" s="436"/>
      <c r="AV3937" s="436"/>
      <c r="AW3937" s="436"/>
      <c r="AX3937" s="436"/>
      <c r="AY3937" s="436"/>
      <c r="AZ3937" s="475"/>
      <c r="BA3937" s="475"/>
      <c r="BF3937" s="1119"/>
      <c r="BG3937" s="1119"/>
      <c r="BH3937" s="1119"/>
    </row>
    <row r="3938" spans="1:60" ht="15.75" customHeight="1">
      <c r="A3938" s="1076"/>
      <c r="B3938" s="312"/>
      <c r="C3938" s="424"/>
      <c r="G3938" s="312"/>
      <c r="H3938" s="467"/>
      <c r="I3938" s="467"/>
      <c r="J3938" s="469"/>
      <c r="K3938" s="312"/>
      <c r="L3938" s="312"/>
      <c r="M3938" s="312"/>
      <c r="N3938" s="312"/>
      <c r="O3938" s="312"/>
      <c r="P3938" s="312"/>
      <c r="AL3938" s="436"/>
      <c r="AM3938" s="436"/>
      <c r="AQ3938" s="436"/>
      <c r="AR3938" s="436"/>
      <c r="AS3938" s="436"/>
      <c r="AT3938" s="436"/>
      <c r="AU3938" s="436"/>
      <c r="AV3938" s="436"/>
      <c r="AW3938" s="436"/>
      <c r="AX3938" s="436"/>
      <c r="AY3938" s="436"/>
      <c r="AZ3938" s="475"/>
      <c r="BA3938" s="475"/>
      <c r="BF3938" s="1119"/>
      <c r="BG3938" s="1119"/>
      <c r="BH3938" s="1119"/>
    </row>
    <row r="3939" spans="1:60" ht="15.75" customHeight="1">
      <c r="A3939" s="1076"/>
      <c r="B3939" s="312"/>
      <c r="C3939" s="424"/>
      <c r="G3939" s="312"/>
      <c r="H3939" s="467"/>
      <c r="I3939" s="467"/>
      <c r="J3939" s="469"/>
      <c r="K3939" s="312"/>
      <c r="L3939" s="312"/>
      <c r="M3939" s="312"/>
      <c r="N3939" s="312"/>
      <c r="O3939" s="312"/>
      <c r="P3939" s="312"/>
      <c r="AL3939" s="436"/>
      <c r="AM3939" s="436"/>
      <c r="AQ3939" s="436"/>
      <c r="AR3939" s="436"/>
      <c r="AS3939" s="436"/>
      <c r="AT3939" s="436"/>
      <c r="AU3939" s="436"/>
      <c r="AV3939" s="436"/>
      <c r="AW3939" s="436"/>
      <c r="AX3939" s="436"/>
      <c r="AY3939" s="436"/>
      <c r="AZ3939" s="475"/>
      <c r="BA3939" s="475"/>
      <c r="BF3939" s="1119"/>
      <c r="BG3939" s="1119"/>
      <c r="BH3939" s="1119"/>
    </row>
    <row r="3940" spans="1:60" ht="15.75" customHeight="1">
      <c r="A3940" s="1076"/>
      <c r="B3940" s="312"/>
      <c r="C3940" s="424"/>
      <c r="G3940" s="312"/>
      <c r="H3940" s="467"/>
      <c r="I3940" s="467"/>
      <c r="J3940" s="469"/>
      <c r="K3940" s="312"/>
      <c r="L3940" s="312"/>
      <c r="M3940" s="312"/>
      <c r="N3940" s="312"/>
      <c r="O3940" s="312"/>
      <c r="P3940" s="312"/>
      <c r="AL3940" s="436"/>
      <c r="AM3940" s="436"/>
      <c r="AQ3940" s="436"/>
      <c r="AR3940" s="436"/>
      <c r="AS3940" s="436"/>
      <c r="AT3940" s="436"/>
      <c r="AU3940" s="436"/>
      <c r="AV3940" s="436"/>
      <c r="AW3940" s="436"/>
      <c r="AX3940" s="436"/>
      <c r="AY3940" s="436"/>
      <c r="AZ3940" s="475"/>
      <c r="BA3940" s="475"/>
      <c r="BF3940" s="1119"/>
      <c r="BG3940" s="1119"/>
      <c r="BH3940" s="1119"/>
    </row>
    <row r="3941" spans="1:60" ht="15.75" customHeight="1">
      <c r="A3941" s="1076"/>
      <c r="B3941" s="312"/>
      <c r="C3941" s="424"/>
      <c r="G3941" s="312"/>
      <c r="H3941" s="467"/>
      <c r="I3941" s="467"/>
      <c r="J3941" s="469"/>
      <c r="K3941" s="312"/>
      <c r="L3941" s="312"/>
      <c r="M3941" s="312"/>
      <c r="N3941" s="312"/>
      <c r="O3941" s="312"/>
      <c r="P3941" s="312"/>
      <c r="AL3941" s="436"/>
      <c r="AM3941" s="436"/>
      <c r="AQ3941" s="436"/>
      <c r="AR3941" s="436"/>
      <c r="AS3941" s="436"/>
      <c r="AT3941" s="436"/>
      <c r="AU3941" s="436"/>
      <c r="AV3941" s="436"/>
      <c r="AW3941" s="436"/>
      <c r="AX3941" s="436"/>
      <c r="AY3941" s="436"/>
      <c r="AZ3941" s="475"/>
      <c r="BA3941" s="475"/>
      <c r="BF3941" s="1119"/>
      <c r="BG3941" s="1119"/>
      <c r="BH3941" s="1119"/>
    </row>
    <row r="3942" spans="1:60" ht="15.75" customHeight="1">
      <c r="A3942" s="1076"/>
      <c r="B3942" s="312"/>
      <c r="C3942" s="424"/>
      <c r="G3942" s="312"/>
      <c r="H3942" s="467"/>
      <c r="I3942" s="467"/>
      <c r="J3942" s="469"/>
      <c r="K3942" s="312"/>
      <c r="L3942" s="312"/>
      <c r="M3942" s="312"/>
      <c r="N3942" s="312"/>
      <c r="O3942" s="312"/>
      <c r="P3942" s="312"/>
      <c r="AL3942" s="436"/>
      <c r="AM3942" s="436"/>
      <c r="AQ3942" s="436"/>
      <c r="AR3942" s="436"/>
      <c r="AS3942" s="436"/>
      <c r="AT3942" s="436"/>
      <c r="AU3942" s="436"/>
      <c r="AV3942" s="436"/>
      <c r="AW3942" s="436"/>
      <c r="AX3942" s="436"/>
      <c r="AY3942" s="436"/>
      <c r="AZ3942" s="475"/>
      <c r="BA3942" s="475"/>
      <c r="BF3942" s="1119"/>
      <c r="BG3942" s="1119"/>
      <c r="BH3942" s="1119"/>
    </row>
    <row r="3943" spans="1:60" ht="15.75" customHeight="1">
      <c r="A3943" s="1076"/>
      <c r="B3943" s="312"/>
      <c r="C3943" s="424"/>
      <c r="G3943" s="312"/>
      <c r="H3943" s="467"/>
      <c r="I3943" s="467"/>
      <c r="J3943" s="469"/>
      <c r="K3943" s="312"/>
      <c r="L3943" s="312"/>
      <c r="M3943" s="312"/>
      <c r="N3943" s="312"/>
      <c r="O3943" s="312"/>
      <c r="P3943" s="312"/>
      <c r="AL3943" s="436"/>
      <c r="AM3943" s="436"/>
      <c r="AQ3943" s="436"/>
      <c r="AR3943" s="436"/>
      <c r="AS3943" s="436"/>
      <c r="AT3943" s="436"/>
      <c r="AU3943" s="436"/>
      <c r="AV3943" s="436"/>
      <c r="AW3943" s="436"/>
      <c r="AX3943" s="436"/>
      <c r="AY3943" s="436"/>
      <c r="AZ3943" s="475"/>
      <c r="BA3943" s="475"/>
      <c r="BF3943" s="1119"/>
      <c r="BG3943" s="1119"/>
      <c r="BH3943" s="1119"/>
    </row>
    <row r="3944" spans="1:60" ht="15.75" customHeight="1">
      <c r="A3944" s="1076"/>
      <c r="B3944" s="312"/>
      <c r="C3944" s="424"/>
      <c r="G3944" s="312"/>
      <c r="H3944" s="467"/>
      <c r="I3944" s="467"/>
      <c r="J3944" s="469"/>
      <c r="K3944" s="312"/>
      <c r="L3944" s="312"/>
      <c r="M3944" s="312"/>
      <c r="P3944" s="312"/>
      <c r="AL3944" s="436"/>
      <c r="AM3944" s="436"/>
      <c r="AQ3944" s="436"/>
      <c r="AR3944" s="436"/>
      <c r="AS3944" s="436"/>
      <c r="AT3944" s="436"/>
      <c r="AU3944" s="436"/>
      <c r="AV3944" s="436"/>
      <c r="AW3944" s="436"/>
      <c r="AX3944" s="436"/>
      <c r="AY3944" s="436"/>
      <c r="AZ3944" s="475"/>
      <c r="BA3944" s="475"/>
      <c r="BF3944" s="1119"/>
      <c r="BG3944" s="1119"/>
      <c r="BH3944" s="1119"/>
    </row>
    <row r="3945" spans="1:60" ht="15.75" customHeight="1">
      <c r="A3945" s="1076"/>
      <c r="B3945" s="312"/>
      <c r="C3945" s="424"/>
      <c r="G3945" s="312"/>
      <c r="H3945" s="467"/>
      <c r="I3945" s="467"/>
      <c r="J3945" s="469"/>
      <c r="L3945" s="312"/>
      <c r="M3945" s="312"/>
      <c r="P3945" s="312"/>
      <c r="AL3945" s="436"/>
      <c r="AM3945" s="436"/>
      <c r="AQ3945" s="436"/>
      <c r="AR3945" s="436"/>
      <c r="AS3945" s="436"/>
      <c r="AT3945" s="436"/>
      <c r="AU3945" s="436"/>
      <c r="AV3945" s="436"/>
      <c r="AW3945" s="436"/>
      <c r="AX3945" s="436"/>
      <c r="AY3945" s="436"/>
      <c r="AZ3945" s="475"/>
      <c r="BA3945" s="475"/>
      <c r="BF3945" s="1119"/>
      <c r="BG3945" s="1119"/>
      <c r="BH3945" s="1119"/>
    </row>
    <row r="3946" spans="1:60" ht="15.75" customHeight="1">
      <c r="A3946" s="1076"/>
      <c r="B3946" s="312"/>
      <c r="C3946" s="424"/>
      <c r="H3946" s="467"/>
      <c r="I3946" s="467"/>
      <c r="J3946" s="469"/>
      <c r="P3946" s="312"/>
      <c r="AL3946" s="436"/>
      <c r="AM3946" s="436"/>
      <c r="AQ3946" s="436"/>
      <c r="AR3946" s="436"/>
      <c r="AS3946" s="436"/>
      <c r="AT3946" s="436"/>
      <c r="AU3946" s="436"/>
      <c r="AV3946" s="436"/>
      <c r="AW3946" s="436"/>
      <c r="AX3946" s="436"/>
      <c r="AY3946" s="436"/>
      <c r="AZ3946" s="475"/>
      <c r="BA3946" s="475"/>
      <c r="BF3946" s="1119"/>
      <c r="BG3946" s="1119"/>
      <c r="BH3946" s="1119"/>
    </row>
    <row r="3947" spans="1:60" ht="15.75" customHeight="1">
      <c r="A3947" s="1076"/>
      <c r="B3947" s="312"/>
      <c r="C3947" s="424"/>
      <c r="H3947" s="467"/>
      <c r="I3947" s="467"/>
      <c r="J3947" s="469"/>
      <c r="P3947" s="312"/>
      <c r="AL3947" s="436"/>
      <c r="AM3947" s="436"/>
      <c r="AQ3947" s="436"/>
      <c r="AR3947" s="436"/>
      <c r="AS3947" s="436"/>
      <c r="AT3947" s="436"/>
      <c r="AU3947" s="436"/>
      <c r="AV3947" s="436"/>
      <c r="AW3947" s="436"/>
      <c r="AX3947" s="436"/>
      <c r="AY3947" s="436"/>
      <c r="AZ3947" s="475"/>
      <c r="BA3947" s="475"/>
      <c r="BF3947" s="1119"/>
      <c r="BG3947" s="1119"/>
      <c r="BH3947" s="1119"/>
    </row>
    <row r="3948" spans="1:60" ht="15.75" customHeight="1">
      <c r="A3948" s="1076"/>
      <c r="H3948" s="467"/>
      <c r="I3948" s="467"/>
      <c r="J3948" s="469"/>
      <c r="P3948" s="312"/>
      <c r="AL3948" s="436"/>
      <c r="AM3948" s="436"/>
      <c r="AQ3948" s="436"/>
      <c r="AR3948" s="436"/>
      <c r="AS3948" s="436"/>
      <c r="AT3948" s="436"/>
      <c r="AU3948" s="436"/>
      <c r="AV3948" s="436"/>
      <c r="AW3948" s="436"/>
      <c r="AX3948" s="436"/>
      <c r="AY3948" s="436"/>
      <c r="AZ3948" s="475"/>
      <c r="BA3948" s="475"/>
      <c r="BF3948" s="1119"/>
      <c r="BG3948" s="1119"/>
      <c r="BH3948" s="1119"/>
    </row>
    <row r="3949" spans="1:60" ht="15.75" customHeight="1">
      <c r="A3949" s="1076"/>
      <c r="H3949" s="467"/>
      <c r="I3949" s="467"/>
      <c r="J3949" s="469"/>
      <c r="P3949" s="312"/>
      <c r="AL3949" s="436"/>
      <c r="AM3949" s="436"/>
      <c r="AQ3949" s="436"/>
      <c r="AR3949" s="436"/>
      <c r="AS3949" s="436"/>
      <c r="AT3949" s="436"/>
      <c r="AU3949" s="436"/>
      <c r="AV3949" s="436"/>
      <c r="AW3949" s="436"/>
      <c r="AX3949" s="436"/>
      <c r="AY3949" s="436"/>
      <c r="AZ3949" s="475"/>
      <c r="BA3949" s="475"/>
      <c r="BF3949" s="1119"/>
      <c r="BG3949" s="1119"/>
      <c r="BH3949" s="1119"/>
    </row>
    <row r="3950" spans="1:60" ht="15.75" customHeight="1">
      <c r="A3950" s="1076"/>
      <c r="H3950" s="467"/>
      <c r="I3950" s="467"/>
      <c r="J3950" s="469"/>
      <c r="P3950" s="312"/>
      <c r="AL3950" s="436"/>
      <c r="AM3950" s="436"/>
      <c r="AQ3950" s="436"/>
      <c r="AR3950" s="436"/>
      <c r="AS3950" s="436"/>
      <c r="AT3950" s="436"/>
      <c r="AU3950" s="436"/>
      <c r="AV3950" s="436"/>
      <c r="AW3950" s="436"/>
      <c r="AX3950" s="436"/>
      <c r="AY3950" s="436"/>
      <c r="AZ3950" s="475"/>
      <c r="BA3950" s="475"/>
      <c r="BF3950" s="1119"/>
      <c r="BG3950" s="1119"/>
      <c r="BH3950" s="1119"/>
    </row>
    <row r="3951" spans="1:60" ht="15.75" customHeight="1">
      <c r="A3951" s="1076"/>
      <c r="H3951" s="467"/>
      <c r="I3951" s="467"/>
      <c r="J3951" s="469"/>
      <c r="P3951" s="312"/>
      <c r="AL3951" s="436"/>
      <c r="AM3951" s="436"/>
      <c r="AQ3951" s="436"/>
      <c r="AR3951" s="436"/>
      <c r="AS3951" s="436"/>
      <c r="AT3951" s="436"/>
      <c r="AU3951" s="436"/>
      <c r="AV3951" s="436"/>
      <c r="AW3951" s="436"/>
      <c r="AX3951" s="436"/>
      <c r="AY3951" s="436"/>
      <c r="AZ3951" s="475"/>
      <c r="BA3951" s="475"/>
      <c r="BF3951" s="1119"/>
      <c r="BG3951" s="1119"/>
      <c r="BH3951" s="1119"/>
    </row>
    <row r="3952" spans="1:60" ht="15.75" customHeight="1">
      <c r="A3952" s="1076"/>
      <c r="H3952" s="467"/>
      <c r="I3952" s="467"/>
      <c r="J3952" s="469"/>
      <c r="P3952" s="312"/>
      <c r="AL3952" s="436"/>
      <c r="AM3952" s="436"/>
      <c r="AQ3952" s="436"/>
      <c r="AR3952" s="436"/>
      <c r="AS3952" s="436"/>
      <c r="AT3952" s="436"/>
      <c r="AU3952" s="436"/>
      <c r="AV3952" s="436"/>
      <c r="AW3952" s="436"/>
      <c r="AX3952" s="436"/>
      <c r="AY3952" s="436"/>
      <c r="AZ3952" s="475"/>
      <c r="BA3952" s="475"/>
      <c r="BF3952" s="1119"/>
      <c r="BG3952" s="1119"/>
      <c r="BH3952" s="1119"/>
    </row>
    <row r="3953" spans="1:60" ht="15.75" customHeight="1">
      <c r="A3953" s="1076"/>
      <c r="H3953" s="467"/>
      <c r="I3953" s="467"/>
      <c r="J3953" s="469"/>
      <c r="P3953" s="312"/>
      <c r="AL3953" s="436"/>
      <c r="AM3953" s="436"/>
      <c r="AQ3953" s="436"/>
      <c r="AR3953" s="436"/>
      <c r="AS3953" s="436"/>
      <c r="AT3953" s="436"/>
      <c r="AU3953" s="436"/>
      <c r="AV3953" s="436"/>
      <c r="AW3953" s="436"/>
      <c r="AX3953" s="436"/>
      <c r="AY3953" s="436"/>
      <c r="AZ3953" s="475"/>
      <c r="BA3953" s="475"/>
      <c r="BF3953" s="1119"/>
      <c r="BG3953" s="1119"/>
      <c r="BH3953" s="1119"/>
    </row>
    <row r="3954" spans="1:60" ht="15.75" customHeight="1">
      <c r="A3954" s="1076"/>
      <c r="H3954" s="467"/>
      <c r="I3954" s="467"/>
      <c r="J3954" s="469"/>
      <c r="P3954" s="312"/>
      <c r="AL3954" s="436"/>
      <c r="AM3954" s="436"/>
      <c r="AQ3954" s="436"/>
      <c r="AR3954" s="436"/>
      <c r="AS3954" s="436"/>
      <c r="AT3954" s="436"/>
      <c r="AU3954" s="436"/>
      <c r="AV3954" s="436"/>
      <c r="AW3954" s="436"/>
      <c r="AX3954" s="436"/>
      <c r="AY3954" s="436"/>
      <c r="AZ3954" s="475"/>
      <c r="BA3954" s="475"/>
      <c r="BF3954" s="1119"/>
      <c r="BG3954" s="1119"/>
      <c r="BH3954" s="1119"/>
    </row>
    <row r="3955" spans="1:60" ht="15.75" customHeight="1">
      <c r="A3955" s="1076"/>
      <c r="H3955" s="467"/>
      <c r="I3955" s="467"/>
      <c r="J3955" s="469"/>
      <c r="P3955" s="312"/>
      <c r="AL3955" s="436"/>
      <c r="AM3955" s="436"/>
      <c r="AQ3955" s="436"/>
      <c r="AR3955" s="436"/>
      <c r="AS3955" s="436"/>
      <c r="AT3955" s="436"/>
      <c r="AU3955" s="436"/>
      <c r="AV3955" s="436"/>
      <c r="AW3955" s="436"/>
      <c r="AX3955" s="436"/>
      <c r="AY3955" s="436"/>
      <c r="AZ3955" s="475"/>
      <c r="BA3955" s="475"/>
      <c r="BF3955" s="1119"/>
      <c r="BG3955" s="1119"/>
      <c r="BH3955" s="1119"/>
    </row>
    <row r="3956" spans="1:60" ht="15.75" customHeight="1">
      <c r="A3956" s="1076"/>
      <c r="H3956" s="467"/>
      <c r="I3956" s="467"/>
      <c r="J3956" s="469"/>
      <c r="P3956" s="312"/>
      <c r="AL3956" s="436"/>
      <c r="AM3956" s="436"/>
      <c r="AQ3956" s="436"/>
      <c r="AR3956" s="436"/>
      <c r="AS3956" s="436"/>
      <c r="AT3956" s="436"/>
      <c r="AU3956" s="436"/>
      <c r="AV3956" s="436"/>
      <c r="AW3956" s="436"/>
      <c r="AX3956" s="436"/>
      <c r="AY3956" s="436"/>
      <c r="AZ3956" s="475"/>
      <c r="BA3956" s="475"/>
      <c r="BF3956" s="1119"/>
      <c r="BG3956" s="1119"/>
      <c r="BH3956" s="1119"/>
    </row>
    <row r="3957" spans="1:60" ht="15.75" customHeight="1">
      <c r="A3957" s="1076"/>
      <c r="H3957" s="467"/>
      <c r="I3957" s="467"/>
      <c r="J3957" s="469"/>
      <c r="AL3957" s="436"/>
      <c r="AM3957" s="436"/>
      <c r="AQ3957" s="436"/>
      <c r="AR3957" s="436"/>
      <c r="AS3957" s="436"/>
      <c r="AT3957" s="436"/>
      <c r="AU3957" s="436"/>
      <c r="AV3957" s="436"/>
      <c r="AW3957" s="436"/>
      <c r="AX3957" s="436"/>
      <c r="AY3957" s="436"/>
      <c r="AZ3957" s="475"/>
      <c r="BA3957" s="475"/>
      <c r="BF3957" s="1119"/>
      <c r="BG3957" s="1119"/>
      <c r="BH3957" s="1119"/>
    </row>
    <row r="3958" spans="1:60" ht="15.75" customHeight="1">
      <c r="H3958" s="467"/>
      <c r="I3958" s="467"/>
      <c r="J3958" s="469"/>
      <c r="AL3958" s="436"/>
      <c r="AM3958" s="436"/>
      <c r="AQ3958" s="436"/>
      <c r="AR3958" s="436"/>
      <c r="AS3958" s="436"/>
      <c r="AT3958" s="436"/>
      <c r="AU3958" s="436"/>
      <c r="AV3958" s="436"/>
      <c r="AW3958" s="436"/>
      <c r="AX3958" s="436"/>
      <c r="AY3958" s="436"/>
      <c r="AZ3958" s="475"/>
      <c r="BA3958" s="475"/>
      <c r="BF3958" s="1119"/>
      <c r="BG3958" s="1119"/>
      <c r="BH3958" s="1119"/>
    </row>
    <row r="3959" spans="1:60" ht="15.75" customHeight="1">
      <c r="H3959" s="467"/>
      <c r="I3959" s="467"/>
      <c r="J3959" s="469"/>
      <c r="AL3959" s="436"/>
      <c r="AM3959" s="436"/>
      <c r="AQ3959" s="436"/>
      <c r="AR3959" s="436"/>
      <c r="AS3959" s="436"/>
      <c r="AT3959" s="436"/>
      <c r="AU3959" s="436"/>
      <c r="AV3959" s="436"/>
      <c r="AW3959" s="436"/>
      <c r="AX3959" s="436"/>
      <c r="AY3959" s="436"/>
      <c r="AZ3959" s="475"/>
      <c r="BA3959" s="475"/>
      <c r="BF3959" s="1119"/>
      <c r="BG3959" s="1119"/>
      <c r="BH3959" s="1119"/>
    </row>
    <row r="3960" spans="1:60" ht="15.75" customHeight="1">
      <c r="H3960" s="467"/>
      <c r="I3960" s="467"/>
      <c r="J3960" s="469"/>
      <c r="AL3960" s="436"/>
      <c r="AM3960" s="436"/>
      <c r="AQ3960" s="436"/>
      <c r="AR3960" s="436"/>
      <c r="AS3960" s="436"/>
      <c r="AT3960" s="436"/>
      <c r="AU3960" s="436"/>
      <c r="AV3960" s="436"/>
      <c r="AW3960" s="436"/>
      <c r="AX3960" s="436"/>
      <c r="AY3960" s="436"/>
      <c r="AZ3960" s="475"/>
      <c r="BA3960" s="475"/>
      <c r="BF3960" s="1119"/>
      <c r="BG3960" s="1119"/>
      <c r="BH3960" s="1119"/>
    </row>
    <row r="3961" spans="1:60" ht="15.75" customHeight="1">
      <c r="H3961" s="467"/>
      <c r="I3961" s="467"/>
      <c r="J3961" s="469"/>
      <c r="AL3961" s="436"/>
      <c r="AM3961" s="436"/>
      <c r="AQ3961" s="436"/>
      <c r="AR3961" s="436"/>
      <c r="AS3961" s="436"/>
      <c r="AT3961" s="436"/>
      <c r="AU3961" s="436"/>
      <c r="AV3961" s="436"/>
      <c r="AW3961" s="436"/>
      <c r="AX3961" s="436"/>
      <c r="AY3961" s="436"/>
      <c r="AZ3961" s="475"/>
      <c r="BA3961" s="475"/>
      <c r="BF3961" s="1119"/>
      <c r="BG3961" s="1119"/>
      <c r="BH3961" s="1119"/>
    </row>
    <row r="3962" spans="1:60" ht="15.75" customHeight="1">
      <c r="H3962" s="467"/>
      <c r="I3962" s="467"/>
      <c r="J3962" s="469"/>
      <c r="AL3962" s="436"/>
      <c r="AM3962" s="436"/>
      <c r="AQ3962" s="436"/>
      <c r="AR3962" s="436"/>
      <c r="AS3962" s="436"/>
      <c r="AT3962" s="436"/>
      <c r="AU3962" s="436"/>
      <c r="AV3962" s="436"/>
      <c r="AW3962" s="436"/>
      <c r="AX3962" s="436"/>
      <c r="AY3962" s="436"/>
      <c r="AZ3962" s="475"/>
      <c r="BA3962" s="475"/>
      <c r="BF3962" s="1119"/>
      <c r="BG3962" s="1119"/>
      <c r="BH3962" s="1119"/>
    </row>
    <row r="3963" spans="1:60" ht="15.75" customHeight="1">
      <c r="H3963" s="467"/>
      <c r="I3963" s="467"/>
      <c r="J3963" s="469"/>
      <c r="AL3963" s="436"/>
      <c r="AM3963" s="436"/>
      <c r="AQ3963" s="436"/>
      <c r="AR3963" s="436"/>
      <c r="AS3963" s="436"/>
      <c r="AT3963" s="436"/>
      <c r="AU3963" s="436"/>
      <c r="AV3963" s="436"/>
      <c r="AW3963" s="436"/>
      <c r="AX3963" s="436"/>
      <c r="AY3963" s="436"/>
      <c r="AZ3963" s="475"/>
      <c r="BA3963" s="475"/>
      <c r="BF3963" s="1119"/>
      <c r="BG3963" s="1119"/>
      <c r="BH3963" s="1119"/>
    </row>
    <row r="3964" spans="1:60" ht="15.75" customHeight="1">
      <c r="H3964" s="467"/>
      <c r="I3964" s="467"/>
      <c r="J3964" s="469"/>
      <c r="AL3964" s="436"/>
      <c r="AM3964" s="436"/>
      <c r="AQ3964" s="436"/>
      <c r="AR3964" s="436"/>
      <c r="AS3964" s="436"/>
      <c r="AT3964" s="436"/>
      <c r="AU3964" s="436"/>
      <c r="AV3964" s="436"/>
      <c r="AW3964" s="436"/>
      <c r="AX3964" s="436"/>
      <c r="AY3964" s="436"/>
      <c r="AZ3964" s="475"/>
      <c r="BA3964" s="475"/>
      <c r="BF3964" s="1119"/>
      <c r="BG3964" s="1119"/>
      <c r="BH3964" s="1119"/>
    </row>
    <row r="3965" spans="1:60" ht="15.75" customHeight="1">
      <c r="H3965" s="467"/>
      <c r="I3965" s="467"/>
      <c r="J3965" s="469"/>
      <c r="AL3965" s="436"/>
      <c r="AM3965" s="436"/>
      <c r="AQ3965" s="436"/>
      <c r="AR3965" s="436"/>
      <c r="AS3965" s="436"/>
      <c r="AT3965" s="436"/>
      <c r="AU3965" s="436"/>
      <c r="AV3965" s="436"/>
      <c r="AW3965" s="436"/>
      <c r="AX3965" s="436"/>
      <c r="AY3965" s="436"/>
      <c r="AZ3965" s="475"/>
      <c r="BA3965" s="475"/>
      <c r="BF3965" s="1119"/>
      <c r="BG3965" s="1119"/>
      <c r="BH3965" s="1119"/>
    </row>
    <row r="3966" spans="1:60" ht="15.75" customHeight="1">
      <c r="H3966" s="467"/>
      <c r="I3966" s="467"/>
      <c r="J3966" s="469"/>
      <c r="AL3966" s="436"/>
      <c r="AM3966" s="436"/>
      <c r="AQ3966" s="436"/>
      <c r="AR3966" s="436"/>
      <c r="AS3966" s="436"/>
      <c r="AT3966" s="436"/>
      <c r="AU3966" s="436"/>
      <c r="AV3966" s="436"/>
      <c r="AW3966" s="436"/>
      <c r="AX3966" s="436"/>
      <c r="AY3966" s="436"/>
      <c r="AZ3966" s="475"/>
      <c r="BA3966" s="475"/>
      <c r="BF3966" s="1119"/>
      <c r="BG3966" s="1119"/>
      <c r="BH3966" s="1119"/>
    </row>
    <row r="3967" spans="1:60" ht="15.75" customHeight="1">
      <c r="H3967" s="467"/>
      <c r="I3967" s="467"/>
      <c r="J3967" s="469"/>
      <c r="AL3967" s="436"/>
      <c r="AM3967" s="436"/>
      <c r="AQ3967" s="436"/>
      <c r="AR3967" s="436"/>
      <c r="AS3967" s="436"/>
      <c r="AT3967" s="436"/>
      <c r="AU3967" s="436"/>
      <c r="AV3967" s="436"/>
      <c r="AW3967" s="436"/>
      <c r="AX3967" s="436"/>
      <c r="AY3967" s="436"/>
      <c r="AZ3967" s="475"/>
      <c r="BA3967" s="475"/>
      <c r="BF3967" s="1119"/>
      <c r="BG3967" s="1119"/>
      <c r="BH3967" s="1119"/>
    </row>
    <row r="3968" spans="1:60" ht="15.75" customHeight="1">
      <c r="H3968" s="467"/>
      <c r="I3968" s="467"/>
      <c r="J3968" s="469"/>
      <c r="AL3968" s="436"/>
      <c r="AM3968" s="436"/>
      <c r="AQ3968" s="436"/>
      <c r="AR3968" s="436"/>
      <c r="AS3968" s="436"/>
      <c r="AT3968" s="436"/>
      <c r="AU3968" s="436"/>
      <c r="AV3968" s="436"/>
      <c r="AW3968" s="436"/>
      <c r="AX3968" s="436"/>
      <c r="AY3968" s="436"/>
      <c r="AZ3968" s="475"/>
      <c r="BA3968" s="475"/>
      <c r="BF3968" s="1119"/>
      <c r="BG3968" s="1119"/>
      <c r="BH3968" s="1119"/>
    </row>
    <row r="3969" spans="1:60" ht="15.75" customHeight="1">
      <c r="H3969" s="467"/>
      <c r="I3969" s="467"/>
      <c r="J3969" s="469"/>
      <c r="AL3969" s="436"/>
      <c r="AM3969" s="436"/>
      <c r="AQ3969" s="436"/>
      <c r="AR3969" s="436"/>
      <c r="AS3969" s="436"/>
      <c r="AT3969" s="436"/>
      <c r="AU3969" s="436"/>
      <c r="AV3969" s="436"/>
      <c r="AW3969" s="436"/>
      <c r="AX3969" s="436"/>
      <c r="AY3969" s="436"/>
      <c r="AZ3969" s="475"/>
      <c r="BA3969" s="475"/>
      <c r="BF3969" s="1119"/>
      <c r="BG3969" s="1119"/>
      <c r="BH3969" s="1119"/>
    </row>
    <row r="3970" spans="1:60" ht="15.75" customHeight="1">
      <c r="H3970" s="467"/>
      <c r="I3970" s="467"/>
      <c r="J3970" s="469"/>
      <c r="AL3970" s="436"/>
      <c r="AM3970" s="436"/>
      <c r="AQ3970" s="436"/>
      <c r="AR3970" s="436"/>
      <c r="AS3970" s="436"/>
      <c r="AT3970" s="436"/>
      <c r="AU3970" s="436"/>
      <c r="AV3970" s="436"/>
      <c r="AW3970" s="436"/>
      <c r="AX3970" s="436"/>
      <c r="AY3970" s="436"/>
      <c r="AZ3970" s="475"/>
      <c r="BA3970" s="475"/>
      <c r="BF3970" s="1119"/>
      <c r="BG3970" s="1119"/>
      <c r="BH3970" s="1119"/>
    </row>
    <row r="3971" spans="1:60" ht="15.75" customHeight="1">
      <c r="A3971" s="436"/>
      <c r="C3971" s="436"/>
      <c r="D3971" s="436"/>
      <c r="E3971" s="436"/>
      <c r="F3971" s="436"/>
      <c r="H3971" s="467"/>
      <c r="I3971" s="467"/>
      <c r="J3971" s="469"/>
      <c r="AL3971" s="436"/>
      <c r="AM3971" s="436"/>
      <c r="AQ3971" s="436"/>
      <c r="AR3971" s="436"/>
      <c r="AS3971" s="436"/>
      <c r="AT3971" s="436"/>
      <c r="AU3971" s="436"/>
      <c r="AV3971" s="436"/>
      <c r="AW3971" s="436"/>
      <c r="AX3971" s="436"/>
      <c r="AY3971" s="436"/>
      <c r="AZ3971" s="475"/>
      <c r="BA3971" s="475"/>
      <c r="BF3971" s="1119"/>
      <c r="BG3971" s="1119"/>
      <c r="BH3971" s="1119"/>
    </row>
    <row r="3972" spans="1:60" ht="15.75" customHeight="1">
      <c r="A3972" s="436"/>
      <c r="C3972" s="436"/>
      <c r="D3972" s="436"/>
      <c r="E3972" s="436"/>
      <c r="F3972" s="436"/>
      <c r="H3972" s="467"/>
      <c r="I3972" s="467"/>
      <c r="J3972" s="469"/>
      <c r="AL3972" s="436"/>
      <c r="AM3972" s="436"/>
      <c r="AQ3972" s="436"/>
      <c r="AR3972" s="436"/>
      <c r="AS3972" s="436"/>
      <c r="AT3972" s="436"/>
      <c r="AU3972" s="436"/>
      <c r="AV3972" s="436"/>
      <c r="AW3972" s="436"/>
      <c r="AX3972" s="436"/>
      <c r="AY3972" s="436"/>
      <c r="AZ3972" s="475"/>
      <c r="BA3972" s="475"/>
      <c r="BF3972" s="1119"/>
      <c r="BG3972" s="1119"/>
      <c r="BH3972" s="1119"/>
    </row>
    <row r="3973" spans="1:60" ht="15.75" customHeight="1">
      <c r="A3973" s="436"/>
      <c r="C3973" s="436"/>
      <c r="D3973" s="436"/>
      <c r="E3973" s="436"/>
      <c r="F3973" s="436"/>
      <c r="H3973" s="467"/>
      <c r="I3973" s="467"/>
      <c r="J3973" s="469"/>
      <c r="AL3973" s="436"/>
      <c r="AM3973" s="436"/>
      <c r="AQ3973" s="436"/>
      <c r="AR3973" s="436"/>
      <c r="AS3973" s="436"/>
      <c r="AT3973" s="436"/>
      <c r="AU3973" s="436"/>
      <c r="AV3973" s="436"/>
      <c r="AW3973" s="436"/>
      <c r="AX3973" s="436"/>
      <c r="AY3973" s="436"/>
      <c r="AZ3973" s="475"/>
      <c r="BA3973" s="475"/>
      <c r="BF3973" s="1119"/>
      <c r="BG3973" s="1119"/>
      <c r="BH3973" s="1119"/>
    </row>
    <row r="3974" spans="1:60" ht="15.75" customHeight="1">
      <c r="A3974" s="436"/>
      <c r="C3974" s="436"/>
      <c r="D3974" s="436"/>
      <c r="E3974" s="436"/>
      <c r="F3974" s="436"/>
      <c r="H3974" s="467"/>
      <c r="I3974" s="467"/>
      <c r="J3974" s="469"/>
      <c r="AL3974" s="436"/>
      <c r="AM3974" s="436"/>
      <c r="AQ3974" s="436"/>
      <c r="AR3974" s="436"/>
      <c r="AS3974" s="436"/>
      <c r="AT3974" s="436"/>
      <c r="AU3974" s="436"/>
      <c r="AV3974" s="436"/>
      <c r="AW3974" s="436"/>
      <c r="AX3974" s="436"/>
      <c r="AY3974" s="436"/>
      <c r="AZ3974" s="475"/>
      <c r="BA3974" s="475"/>
      <c r="BF3974" s="1119"/>
      <c r="BG3974" s="1119"/>
      <c r="BH3974" s="1119"/>
    </row>
    <row r="3975" spans="1:60" ht="15.75" customHeight="1">
      <c r="A3975" s="436"/>
      <c r="C3975" s="436"/>
      <c r="D3975" s="436"/>
      <c r="E3975" s="436"/>
      <c r="F3975" s="436"/>
      <c r="H3975" s="467"/>
      <c r="I3975" s="467"/>
      <c r="J3975" s="469"/>
      <c r="AL3975" s="436"/>
      <c r="AM3975" s="436"/>
      <c r="AQ3975" s="436"/>
      <c r="AR3975" s="436"/>
      <c r="AS3975" s="436"/>
      <c r="AT3975" s="436"/>
      <c r="AU3975" s="436"/>
      <c r="AV3975" s="436"/>
      <c r="AW3975" s="436"/>
      <c r="AX3975" s="436"/>
      <c r="AY3975" s="436"/>
      <c r="AZ3975" s="475"/>
      <c r="BA3975" s="475"/>
      <c r="BF3975" s="1119"/>
      <c r="BG3975" s="1119"/>
      <c r="BH3975" s="1119"/>
    </row>
    <row r="3976" spans="1:60" ht="15.75" customHeight="1">
      <c r="A3976" s="436"/>
      <c r="C3976" s="436"/>
      <c r="D3976" s="436"/>
      <c r="E3976" s="436"/>
      <c r="F3976" s="436"/>
      <c r="H3976" s="467"/>
      <c r="I3976" s="467"/>
      <c r="J3976" s="469"/>
      <c r="AL3976" s="436"/>
      <c r="AM3976" s="436"/>
      <c r="AQ3976" s="436"/>
      <c r="AR3976" s="436"/>
      <c r="AS3976" s="436"/>
      <c r="AT3976" s="436"/>
      <c r="AU3976" s="436"/>
      <c r="AV3976" s="436"/>
      <c r="AW3976" s="436"/>
      <c r="AX3976" s="436"/>
      <c r="AY3976" s="436"/>
      <c r="AZ3976" s="475"/>
      <c r="BA3976" s="475"/>
      <c r="BF3976" s="1119"/>
      <c r="BG3976" s="1119"/>
      <c r="BH3976" s="1119"/>
    </row>
    <row r="3977" spans="1:60" ht="15.75" customHeight="1">
      <c r="A3977" s="436"/>
      <c r="C3977" s="436"/>
      <c r="D3977" s="436"/>
      <c r="E3977" s="436"/>
      <c r="F3977" s="436"/>
      <c r="H3977" s="467"/>
      <c r="I3977" s="467"/>
      <c r="J3977" s="469"/>
      <c r="AL3977" s="436"/>
      <c r="AM3977" s="436"/>
      <c r="AQ3977" s="436"/>
      <c r="AR3977" s="436"/>
      <c r="AS3977" s="436"/>
      <c r="AT3977" s="436"/>
      <c r="AU3977" s="436"/>
      <c r="AV3977" s="436"/>
      <c r="AW3977" s="436"/>
      <c r="AX3977" s="436"/>
      <c r="AY3977" s="436"/>
      <c r="AZ3977" s="475"/>
      <c r="BA3977" s="475"/>
      <c r="BF3977" s="1119"/>
      <c r="BG3977" s="1119"/>
      <c r="BH3977" s="1119"/>
    </row>
    <row r="3978" spans="1:60" ht="15.75" customHeight="1">
      <c r="A3978" s="436"/>
      <c r="C3978" s="436"/>
      <c r="D3978" s="436"/>
      <c r="E3978" s="436"/>
      <c r="F3978" s="436"/>
      <c r="H3978" s="467"/>
      <c r="I3978" s="467"/>
      <c r="J3978" s="469"/>
      <c r="AL3978" s="436"/>
      <c r="AM3978" s="436"/>
      <c r="AQ3978" s="436"/>
      <c r="AR3978" s="436"/>
      <c r="AS3978" s="436"/>
      <c r="AT3978" s="436"/>
      <c r="AU3978" s="436"/>
      <c r="AV3978" s="436"/>
      <c r="AW3978" s="436"/>
      <c r="AX3978" s="436"/>
      <c r="AY3978" s="436"/>
      <c r="AZ3978" s="475"/>
      <c r="BA3978" s="475"/>
      <c r="BF3978" s="1119"/>
      <c r="BG3978" s="1119"/>
      <c r="BH3978" s="1119"/>
    </row>
    <row r="3979" spans="1:60" ht="15.75" customHeight="1">
      <c r="A3979" s="436"/>
      <c r="C3979" s="436"/>
      <c r="D3979" s="436"/>
      <c r="E3979" s="436"/>
      <c r="F3979" s="436"/>
      <c r="H3979" s="467"/>
      <c r="I3979" s="467"/>
      <c r="J3979" s="469"/>
      <c r="AL3979" s="436"/>
      <c r="AM3979" s="436"/>
      <c r="AQ3979" s="436"/>
      <c r="AR3979" s="436"/>
      <c r="AS3979" s="436"/>
      <c r="AT3979" s="436"/>
      <c r="AU3979" s="436"/>
      <c r="AV3979" s="436"/>
      <c r="AW3979" s="436"/>
      <c r="AX3979" s="436"/>
      <c r="AY3979" s="436"/>
      <c r="AZ3979" s="475"/>
      <c r="BA3979" s="475"/>
      <c r="BF3979" s="1119"/>
      <c r="BG3979" s="1119"/>
      <c r="BH3979" s="1119"/>
    </row>
    <row r="3980" spans="1:60" ht="15.75" customHeight="1">
      <c r="A3980" s="436"/>
      <c r="C3980" s="436"/>
      <c r="D3980" s="436"/>
      <c r="E3980" s="436"/>
      <c r="F3980" s="436"/>
      <c r="H3980" s="467"/>
      <c r="I3980" s="467"/>
      <c r="J3980" s="469"/>
      <c r="AL3980" s="436"/>
      <c r="AM3980" s="436"/>
      <c r="AQ3980" s="436"/>
      <c r="AR3980" s="436"/>
      <c r="AS3980" s="436"/>
      <c r="AT3980" s="436"/>
      <c r="AU3980" s="436"/>
      <c r="AV3980" s="436"/>
      <c r="AW3980" s="436"/>
      <c r="AX3980" s="436"/>
      <c r="AY3980" s="436"/>
      <c r="AZ3980" s="475"/>
      <c r="BA3980" s="475"/>
      <c r="BF3980" s="1119"/>
      <c r="BG3980" s="1119"/>
      <c r="BH3980" s="1119"/>
    </row>
    <row r="3981" spans="1:60" ht="15.75" customHeight="1">
      <c r="A3981" s="436"/>
      <c r="C3981" s="436"/>
      <c r="D3981" s="436"/>
      <c r="E3981" s="436"/>
      <c r="F3981" s="436"/>
      <c r="H3981" s="467"/>
      <c r="I3981" s="467"/>
      <c r="J3981" s="469"/>
      <c r="AL3981" s="436"/>
      <c r="AM3981" s="436"/>
      <c r="AQ3981" s="436"/>
      <c r="AR3981" s="436"/>
      <c r="AS3981" s="436"/>
      <c r="AT3981" s="436"/>
      <c r="AU3981" s="436"/>
      <c r="AV3981" s="436"/>
      <c r="AW3981" s="436"/>
      <c r="AX3981" s="436"/>
      <c r="AY3981" s="436"/>
      <c r="AZ3981" s="475"/>
      <c r="BA3981" s="475"/>
      <c r="BF3981" s="1119"/>
      <c r="BG3981" s="1119"/>
      <c r="BH3981" s="1119"/>
    </row>
    <row r="3982" spans="1:60" ht="15.75" customHeight="1">
      <c r="A3982" s="436"/>
      <c r="C3982" s="436"/>
      <c r="D3982" s="436"/>
      <c r="E3982" s="436"/>
      <c r="F3982" s="436"/>
      <c r="H3982" s="467"/>
      <c r="I3982" s="467"/>
      <c r="J3982" s="469"/>
      <c r="AL3982" s="436"/>
      <c r="AM3982" s="436"/>
      <c r="AQ3982" s="436"/>
      <c r="AR3982" s="436"/>
      <c r="AS3982" s="436"/>
      <c r="AT3982" s="436"/>
      <c r="AU3982" s="436"/>
      <c r="AV3982" s="436"/>
      <c r="AW3982" s="436"/>
      <c r="AX3982" s="436"/>
      <c r="AY3982" s="436"/>
      <c r="AZ3982" s="475"/>
      <c r="BA3982" s="475"/>
      <c r="BF3982" s="1119"/>
      <c r="BG3982" s="1119"/>
      <c r="BH3982" s="1119"/>
    </row>
    <row r="3983" spans="1:60" ht="15.75" customHeight="1">
      <c r="A3983" s="436"/>
      <c r="C3983" s="436"/>
      <c r="D3983" s="436"/>
      <c r="E3983" s="436"/>
      <c r="F3983" s="436"/>
      <c r="H3983" s="467"/>
      <c r="I3983" s="467"/>
      <c r="J3983" s="469"/>
      <c r="AL3983" s="436"/>
      <c r="AM3983" s="436"/>
      <c r="AQ3983" s="436"/>
      <c r="AR3983" s="436"/>
      <c r="AS3983" s="436"/>
      <c r="AT3983" s="436"/>
      <c r="AU3983" s="436"/>
      <c r="AV3983" s="436"/>
      <c r="AW3983" s="436"/>
      <c r="AX3983" s="436"/>
      <c r="AY3983" s="436"/>
      <c r="AZ3983" s="475"/>
      <c r="BA3983" s="475"/>
      <c r="BF3983" s="1119"/>
      <c r="BG3983" s="1119"/>
      <c r="BH3983" s="1119"/>
    </row>
    <row r="3984" spans="1:60" ht="15.75" customHeight="1">
      <c r="A3984" s="436"/>
      <c r="C3984" s="436"/>
      <c r="D3984" s="436"/>
      <c r="E3984" s="436"/>
      <c r="F3984" s="436"/>
      <c r="H3984" s="467"/>
      <c r="I3984" s="467"/>
      <c r="J3984" s="469"/>
      <c r="AL3984" s="436"/>
      <c r="AM3984" s="436"/>
      <c r="AQ3984" s="436"/>
      <c r="AR3984" s="436"/>
      <c r="AS3984" s="436"/>
      <c r="AT3984" s="436"/>
      <c r="AU3984" s="436"/>
      <c r="AV3984" s="436"/>
      <c r="AW3984" s="436"/>
      <c r="AX3984" s="436"/>
      <c r="AY3984" s="436"/>
      <c r="AZ3984" s="475"/>
      <c r="BA3984" s="475"/>
      <c r="BF3984" s="1119"/>
      <c r="BG3984" s="1119"/>
      <c r="BH3984" s="1119"/>
    </row>
    <row r="3985" spans="1:60" ht="15.75" customHeight="1">
      <c r="A3985" s="436"/>
      <c r="C3985" s="436"/>
      <c r="D3985" s="436"/>
      <c r="E3985" s="436"/>
      <c r="F3985" s="436"/>
      <c r="H3985" s="467"/>
      <c r="I3985" s="467"/>
      <c r="J3985" s="469"/>
      <c r="AL3985" s="436"/>
      <c r="AM3985" s="436"/>
      <c r="AQ3985" s="436"/>
      <c r="AR3985" s="436"/>
      <c r="AS3985" s="436"/>
      <c r="AT3985" s="436"/>
      <c r="AU3985" s="436"/>
      <c r="AV3985" s="436"/>
      <c r="AW3985" s="436"/>
      <c r="AX3985" s="436"/>
      <c r="AY3985" s="436"/>
      <c r="AZ3985" s="475"/>
      <c r="BA3985" s="475"/>
      <c r="BF3985" s="1119"/>
      <c r="BG3985" s="1119"/>
      <c r="BH3985" s="1119"/>
    </row>
    <row r="3986" spans="1:60" ht="15.75" customHeight="1">
      <c r="A3986" s="436"/>
      <c r="C3986" s="436"/>
      <c r="D3986" s="436"/>
      <c r="E3986" s="436"/>
      <c r="F3986" s="436"/>
      <c r="H3986" s="467"/>
      <c r="I3986" s="467"/>
      <c r="J3986" s="469"/>
      <c r="AL3986" s="436"/>
      <c r="AM3986" s="436"/>
      <c r="AQ3986" s="436"/>
      <c r="AR3986" s="436"/>
      <c r="AS3986" s="436"/>
      <c r="AT3986" s="436"/>
      <c r="AU3986" s="436"/>
      <c r="AV3986" s="436"/>
      <c r="AW3986" s="436"/>
      <c r="AX3986" s="436"/>
      <c r="AY3986" s="436"/>
      <c r="AZ3986" s="475"/>
      <c r="BA3986" s="475"/>
      <c r="BF3986" s="1119"/>
      <c r="BG3986" s="1119"/>
      <c r="BH3986" s="1119"/>
    </row>
    <row r="3987" spans="1:60" ht="15.75" customHeight="1">
      <c r="A3987" s="436"/>
      <c r="C3987" s="436"/>
      <c r="D3987" s="436"/>
      <c r="E3987" s="436"/>
      <c r="F3987" s="436"/>
      <c r="H3987" s="467"/>
      <c r="I3987" s="467"/>
      <c r="J3987" s="469"/>
      <c r="AL3987" s="436"/>
      <c r="AM3987" s="436"/>
      <c r="AQ3987" s="436"/>
      <c r="AR3987" s="436"/>
      <c r="AS3987" s="436"/>
      <c r="AT3987" s="436"/>
      <c r="AU3987" s="436"/>
      <c r="AV3987" s="436"/>
      <c r="AW3987" s="436"/>
      <c r="AX3987" s="436"/>
      <c r="AY3987" s="436"/>
      <c r="AZ3987" s="475"/>
      <c r="BA3987" s="475"/>
      <c r="BF3987" s="1119"/>
      <c r="BG3987" s="1119"/>
      <c r="BH3987" s="1119"/>
    </row>
    <row r="3988" spans="1:60" ht="15.75" customHeight="1">
      <c r="A3988" s="436"/>
      <c r="C3988" s="436"/>
      <c r="D3988" s="436"/>
      <c r="E3988" s="436"/>
      <c r="F3988" s="436"/>
      <c r="H3988" s="467"/>
      <c r="I3988" s="467"/>
      <c r="J3988" s="469"/>
      <c r="AL3988" s="436"/>
      <c r="AM3988" s="436"/>
      <c r="AQ3988" s="436"/>
      <c r="AR3988" s="436"/>
      <c r="AS3988" s="436"/>
      <c r="AT3988" s="436"/>
      <c r="AU3988" s="436"/>
      <c r="AV3988" s="436"/>
      <c r="AW3988" s="436"/>
      <c r="AX3988" s="436"/>
      <c r="AY3988" s="436"/>
      <c r="AZ3988" s="475"/>
      <c r="BA3988" s="475"/>
      <c r="BF3988" s="1119"/>
      <c r="BG3988" s="1119"/>
      <c r="BH3988" s="1119"/>
    </row>
    <row r="3989" spans="1:60" ht="15.75" customHeight="1">
      <c r="A3989" s="436"/>
      <c r="C3989" s="436"/>
      <c r="D3989" s="436"/>
      <c r="E3989" s="436"/>
      <c r="F3989" s="436"/>
      <c r="H3989" s="467"/>
      <c r="I3989" s="467"/>
      <c r="J3989" s="469"/>
      <c r="AL3989" s="436"/>
      <c r="AM3989" s="436"/>
      <c r="AQ3989" s="436"/>
      <c r="AR3989" s="436"/>
      <c r="AS3989" s="436"/>
      <c r="AT3989" s="436"/>
      <c r="AU3989" s="436"/>
      <c r="AV3989" s="436"/>
      <c r="AW3989" s="436"/>
      <c r="AX3989" s="436"/>
      <c r="AY3989" s="436"/>
      <c r="AZ3989" s="475"/>
      <c r="BA3989" s="475"/>
      <c r="BF3989" s="1119"/>
      <c r="BG3989" s="1119"/>
      <c r="BH3989" s="1119"/>
    </row>
    <row r="3990" spans="1:60" ht="15.75" customHeight="1">
      <c r="A3990" s="436"/>
      <c r="C3990" s="436"/>
      <c r="D3990" s="436"/>
      <c r="E3990" s="436"/>
      <c r="F3990" s="436"/>
      <c r="H3990" s="467"/>
      <c r="I3990" s="467"/>
      <c r="J3990" s="469"/>
      <c r="AL3990" s="436"/>
      <c r="AM3990" s="436"/>
      <c r="AQ3990" s="436"/>
      <c r="AR3990" s="436"/>
      <c r="AS3990" s="436"/>
      <c r="AT3990" s="436"/>
      <c r="AU3990" s="436"/>
      <c r="AV3990" s="436"/>
      <c r="AW3990" s="436"/>
      <c r="AX3990" s="436"/>
      <c r="AY3990" s="436"/>
      <c r="AZ3990" s="475"/>
      <c r="BA3990" s="475"/>
      <c r="BF3990" s="1119"/>
      <c r="BG3990" s="1119"/>
      <c r="BH3990" s="1119"/>
    </row>
    <row r="3991" spans="1:60" ht="15.75" customHeight="1">
      <c r="A3991" s="436"/>
      <c r="C3991" s="436"/>
      <c r="D3991" s="436"/>
      <c r="E3991" s="436"/>
      <c r="F3991" s="436"/>
      <c r="H3991" s="467"/>
      <c r="I3991" s="467"/>
      <c r="J3991" s="469"/>
      <c r="AL3991" s="436"/>
      <c r="AM3991" s="436"/>
      <c r="AQ3991" s="436"/>
      <c r="AR3991" s="436"/>
      <c r="AS3991" s="436"/>
      <c r="AT3991" s="436"/>
      <c r="AU3991" s="436"/>
      <c r="AV3991" s="436"/>
      <c r="AW3991" s="436"/>
      <c r="AX3991" s="436"/>
      <c r="AY3991" s="436"/>
      <c r="AZ3991" s="475"/>
      <c r="BA3991" s="475"/>
      <c r="BF3991" s="1119"/>
      <c r="BG3991" s="1119"/>
      <c r="BH3991" s="1119"/>
    </row>
    <row r="3992" spans="1:60" ht="15.75" customHeight="1">
      <c r="A3992" s="436"/>
      <c r="C3992" s="436"/>
      <c r="D3992" s="436"/>
      <c r="E3992" s="436"/>
      <c r="F3992" s="436"/>
      <c r="H3992" s="467"/>
      <c r="I3992" s="467"/>
      <c r="J3992" s="469"/>
      <c r="AL3992" s="436"/>
      <c r="AM3992" s="436"/>
      <c r="AQ3992" s="436"/>
      <c r="AR3992" s="436"/>
      <c r="AS3992" s="436"/>
      <c r="AT3992" s="436"/>
      <c r="AU3992" s="436"/>
      <c r="AV3992" s="436"/>
      <c r="AW3992" s="436"/>
      <c r="AX3992" s="436"/>
      <c r="AY3992" s="436"/>
      <c r="AZ3992" s="475"/>
      <c r="BA3992" s="475"/>
      <c r="BF3992" s="1119"/>
      <c r="BG3992" s="1119"/>
      <c r="BH3992" s="1119"/>
    </row>
    <row r="3993" spans="1:60" ht="15.75" customHeight="1">
      <c r="A3993" s="436"/>
      <c r="C3993" s="436"/>
      <c r="D3993" s="436"/>
      <c r="E3993" s="436"/>
      <c r="F3993" s="436"/>
      <c r="H3993" s="467"/>
      <c r="I3993" s="467"/>
      <c r="J3993" s="469"/>
      <c r="AL3993" s="436"/>
      <c r="AM3993" s="436"/>
      <c r="AQ3993" s="436"/>
      <c r="AR3993" s="436"/>
      <c r="AS3993" s="436"/>
      <c r="AT3993" s="436"/>
      <c r="AU3993" s="436"/>
      <c r="AV3993" s="436"/>
      <c r="AW3993" s="436"/>
      <c r="AX3993" s="436"/>
      <c r="AY3993" s="436"/>
      <c r="AZ3993" s="475"/>
      <c r="BA3993" s="475"/>
      <c r="BF3993" s="1119"/>
      <c r="BG3993" s="1119"/>
      <c r="BH3993" s="1119"/>
    </row>
    <row r="3994" spans="1:60" ht="15.75" customHeight="1">
      <c r="A3994" s="436"/>
      <c r="C3994" s="436"/>
      <c r="D3994" s="436"/>
      <c r="E3994" s="436"/>
      <c r="F3994" s="436"/>
      <c r="H3994" s="467"/>
      <c r="I3994" s="467"/>
      <c r="J3994" s="469"/>
      <c r="AL3994" s="436"/>
      <c r="AM3994" s="436"/>
      <c r="AQ3994" s="436"/>
      <c r="AR3994" s="436"/>
      <c r="AS3994" s="436"/>
      <c r="AT3994" s="436"/>
      <c r="AU3994" s="436"/>
      <c r="AV3994" s="436"/>
      <c r="AW3994" s="436"/>
      <c r="AX3994" s="436"/>
      <c r="AY3994" s="436"/>
      <c r="AZ3994" s="475"/>
      <c r="BA3994" s="475"/>
      <c r="BF3994" s="1119"/>
      <c r="BG3994" s="1119"/>
      <c r="BH3994" s="1119"/>
    </row>
    <row r="3995" spans="1:60" ht="15.75" customHeight="1">
      <c r="A3995" s="436"/>
      <c r="C3995" s="436"/>
      <c r="D3995" s="436"/>
      <c r="E3995" s="436"/>
      <c r="F3995" s="436"/>
      <c r="H3995" s="467"/>
      <c r="I3995" s="467"/>
      <c r="J3995" s="469"/>
      <c r="AL3995" s="436"/>
      <c r="AM3995" s="436"/>
      <c r="AQ3995" s="436"/>
      <c r="AR3995" s="436"/>
      <c r="AS3995" s="436"/>
      <c r="AT3995" s="436"/>
      <c r="AU3995" s="436"/>
      <c r="AV3995" s="436"/>
      <c r="AW3995" s="436"/>
      <c r="AX3995" s="436"/>
      <c r="AY3995" s="436"/>
      <c r="AZ3995" s="475"/>
      <c r="BA3995" s="475"/>
      <c r="BF3995" s="1119"/>
      <c r="BG3995" s="1119"/>
      <c r="BH3995" s="1119"/>
    </row>
    <row r="3996" spans="1:60" ht="15.75" customHeight="1">
      <c r="A3996" s="436"/>
      <c r="C3996" s="436"/>
      <c r="D3996" s="436"/>
      <c r="E3996" s="436"/>
      <c r="F3996" s="436"/>
      <c r="H3996" s="467"/>
      <c r="I3996" s="467"/>
      <c r="J3996" s="469"/>
      <c r="AL3996" s="436"/>
      <c r="AM3996" s="436"/>
      <c r="AQ3996" s="436"/>
      <c r="AR3996" s="436"/>
      <c r="AS3996" s="436"/>
      <c r="AT3996" s="436"/>
      <c r="AU3996" s="436"/>
      <c r="AV3996" s="436"/>
      <c r="AW3996" s="436"/>
      <c r="AX3996" s="436"/>
      <c r="AY3996" s="436"/>
      <c r="AZ3996" s="475"/>
      <c r="BA3996" s="475"/>
      <c r="BF3996" s="1119"/>
      <c r="BG3996" s="1119"/>
      <c r="BH3996" s="1119"/>
    </row>
    <row r="3997" spans="1:60" ht="15.75" customHeight="1">
      <c r="A3997" s="436"/>
      <c r="C3997" s="436"/>
      <c r="D3997" s="436"/>
      <c r="E3997" s="436"/>
      <c r="F3997" s="436"/>
      <c r="H3997" s="467"/>
      <c r="I3997" s="467"/>
      <c r="J3997" s="469"/>
      <c r="AL3997" s="436"/>
      <c r="AM3997" s="436"/>
      <c r="AQ3997" s="436"/>
      <c r="AR3997" s="436"/>
      <c r="AS3997" s="436"/>
      <c r="AT3997" s="436"/>
      <c r="AU3997" s="436"/>
      <c r="AV3997" s="436"/>
      <c r="AW3997" s="436"/>
      <c r="AX3997" s="436"/>
      <c r="AY3997" s="436"/>
      <c r="AZ3997" s="475"/>
      <c r="BA3997" s="475"/>
      <c r="BF3997" s="1119"/>
      <c r="BG3997" s="1119"/>
      <c r="BH3997" s="1119"/>
    </row>
    <row r="3998" spans="1:60" ht="15.75" customHeight="1">
      <c r="A3998" s="436"/>
      <c r="C3998" s="436"/>
      <c r="D3998" s="436"/>
      <c r="E3998" s="436"/>
      <c r="F3998" s="436"/>
      <c r="H3998" s="467"/>
      <c r="I3998" s="467"/>
      <c r="J3998" s="469"/>
      <c r="AL3998" s="436"/>
      <c r="AM3998" s="436"/>
      <c r="AQ3998" s="436"/>
      <c r="AR3998" s="436"/>
      <c r="AS3998" s="436"/>
      <c r="AT3998" s="436"/>
      <c r="AU3998" s="436"/>
      <c r="AV3998" s="436"/>
      <c r="AW3998" s="436"/>
      <c r="AX3998" s="436"/>
      <c r="AY3998" s="436"/>
      <c r="AZ3998" s="475"/>
      <c r="BA3998" s="475"/>
      <c r="BF3998" s="1119"/>
      <c r="BG3998" s="1119"/>
      <c r="BH3998" s="1119"/>
    </row>
    <row r="3999" spans="1:60" ht="15.75" customHeight="1">
      <c r="A3999" s="436"/>
      <c r="C3999" s="436"/>
      <c r="D3999" s="436"/>
      <c r="E3999" s="436"/>
      <c r="F3999" s="436"/>
      <c r="H3999" s="467"/>
      <c r="I3999" s="467"/>
      <c r="J3999" s="469"/>
      <c r="AL3999" s="436"/>
      <c r="AM3999" s="436"/>
      <c r="AQ3999" s="436"/>
      <c r="AR3999" s="436"/>
      <c r="AS3999" s="436"/>
      <c r="AT3999" s="436"/>
      <c r="AU3999" s="436"/>
      <c r="AV3999" s="436"/>
      <c r="AW3999" s="436"/>
      <c r="AX3999" s="436"/>
      <c r="AY3999" s="436"/>
      <c r="AZ3999" s="475"/>
      <c r="BA3999" s="475"/>
      <c r="BF3999" s="1119"/>
      <c r="BG3999" s="1119"/>
      <c r="BH3999" s="1119"/>
    </row>
    <row r="4000" spans="1:60" ht="15.75" customHeight="1">
      <c r="A4000" s="436"/>
      <c r="C4000" s="436"/>
      <c r="D4000" s="436"/>
      <c r="E4000" s="436"/>
      <c r="F4000" s="436"/>
      <c r="H4000" s="467"/>
      <c r="I4000" s="467"/>
      <c r="J4000" s="469"/>
      <c r="AL4000" s="436"/>
      <c r="AM4000" s="436"/>
      <c r="AQ4000" s="436"/>
      <c r="AR4000" s="436"/>
      <c r="AS4000" s="436"/>
      <c r="AT4000" s="436"/>
      <c r="AU4000" s="436"/>
      <c r="AV4000" s="436"/>
      <c r="AW4000" s="436"/>
      <c r="AX4000" s="436"/>
      <c r="AY4000" s="436"/>
      <c r="AZ4000" s="475"/>
      <c r="BA4000" s="475"/>
      <c r="BF4000" s="1119"/>
      <c r="BG4000" s="1119"/>
      <c r="BH4000" s="1119"/>
    </row>
    <row r="4001" spans="1:60" ht="15.75" customHeight="1">
      <c r="A4001" s="436"/>
      <c r="C4001" s="436"/>
      <c r="D4001" s="436"/>
      <c r="E4001" s="436"/>
      <c r="F4001" s="436"/>
      <c r="H4001" s="467"/>
      <c r="I4001" s="467"/>
      <c r="J4001" s="469"/>
      <c r="AL4001" s="436"/>
      <c r="AM4001" s="436"/>
      <c r="AQ4001" s="436"/>
      <c r="AR4001" s="436"/>
      <c r="AS4001" s="436"/>
      <c r="AT4001" s="436"/>
      <c r="AU4001" s="436"/>
      <c r="AV4001" s="436"/>
      <c r="AW4001" s="436"/>
      <c r="AX4001" s="436"/>
      <c r="AY4001" s="436"/>
      <c r="AZ4001" s="475"/>
      <c r="BA4001" s="475"/>
      <c r="BF4001" s="1119"/>
      <c r="BG4001" s="1119"/>
      <c r="BH4001" s="1119"/>
    </row>
    <row r="4002" spans="1:60" ht="15.75" customHeight="1">
      <c r="A4002" s="436"/>
      <c r="C4002" s="436"/>
      <c r="D4002" s="436"/>
      <c r="E4002" s="436"/>
      <c r="F4002" s="436"/>
      <c r="H4002" s="467"/>
      <c r="I4002" s="467"/>
      <c r="J4002" s="469"/>
      <c r="AL4002" s="436"/>
      <c r="AM4002" s="436"/>
      <c r="AQ4002" s="436"/>
      <c r="AR4002" s="436"/>
      <c r="AS4002" s="436"/>
      <c r="AT4002" s="436"/>
      <c r="AU4002" s="436"/>
      <c r="AV4002" s="436"/>
      <c r="AW4002" s="436"/>
      <c r="AX4002" s="436"/>
      <c r="AY4002" s="436"/>
      <c r="AZ4002" s="475"/>
      <c r="BA4002" s="475"/>
      <c r="BF4002" s="1119"/>
      <c r="BG4002" s="1119"/>
      <c r="BH4002" s="1119"/>
    </row>
    <row r="4003" spans="1:60" ht="15.75" customHeight="1">
      <c r="A4003" s="436"/>
      <c r="C4003" s="436"/>
      <c r="D4003" s="436"/>
      <c r="E4003" s="436"/>
      <c r="F4003" s="436"/>
      <c r="H4003" s="467"/>
      <c r="I4003" s="467"/>
      <c r="J4003" s="469"/>
      <c r="AL4003" s="436"/>
      <c r="AM4003" s="436"/>
      <c r="AQ4003" s="436"/>
      <c r="AR4003" s="436"/>
      <c r="AS4003" s="436"/>
      <c r="AT4003" s="436"/>
      <c r="AU4003" s="436"/>
      <c r="AV4003" s="436"/>
      <c r="AW4003" s="436"/>
      <c r="AX4003" s="436"/>
      <c r="AY4003" s="436"/>
      <c r="AZ4003" s="475"/>
      <c r="BA4003" s="475"/>
      <c r="BF4003" s="1119"/>
      <c r="BG4003" s="1119"/>
      <c r="BH4003" s="1119"/>
    </row>
    <row r="4004" spans="1:60" ht="15.75" customHeight="1">
      <c r="A4004" s="436"/>
      <c r="C4004" s="436"/>
      <c r="D4004" s="436"/>
      <c r="E4004" s="436"/>
      <c r="F4004" s="436"/>
      <c r="H4004" s="467"/>
      <c r="I4004" s="467"/>
      <c r="J4004" s="469"/>
      <c r="AL4004" s="436"/>
      <c r="AM4004" s="436"/>
      <c r="AQ4004" s="436"/>
      <c r="AR4004" s="436"/>
      <c r="AS4004" s="436"/>
      <c r="AT4004" s="436"/>
      <c r="AU4004" s="436"/>
      <c r="AV4004" s="436"/>
      <c r="AW4004" s="436"/>
      <c r="AX4004" s="436"/>
      <c r="AY4004" s="436"/>
      <c r="AZ4004" s="475"/>
      <c r="BA4004" s="475"/>
      <c r="BF4004" s="1119"/>
      <c r="BG4004" s="1119"/>
      <c r="BH4004" s="1119"/>
    </row>
    <row r="4005" spans="1:60" ht="15.75" customHeight="1">
      <c r="A4005" s="436"/>
      <c r="C4005" s="436"/>
      <c r="D4005" s="436"/>
      <c r="E4005" s="436"/>
      <c r="F4005" s="436"/>
      <c r="H4005" s="467"/>
      <c r="I4005" s="467"/>
      <c r="J4005" s="469"/>
      <c r="AL4005" s="436"/>
      <c r="AM4005" s="436"/>
      <c r="AQ4005" s="436"/>
      <c r="AR4005" s="436"/>
      <c r="AS4005" s="436"/>
      <c r="AT4005" s="436"/>
      <c r="AU4005" s="436"/>
      <c r="AV4005" s="436"/>
      <c r="AW4005" s="436"/>
      <c r="AX4005" s="436"/>
      <c r="AY4005" s="436"/>
      <c r="AZ4005" s="475"/>
      <c r="BA4005" s="475"/>
      <c r="BF4005" s="1119"/>
      <c r="BG4005" s="1119"/>
      <c r="BH4005" s="1119"/>
    </row>
    <row r="4006" spans="1:60" ht="15.75" customHeight="1">
      <c r="A4006" s="436"/>
      <c r="C4006" s="436"/>
      <c r="D4006" s="436"/>
      <c r="E4006" s="436"/>
      <c r="F4006" s="436"/>
      <c r="H4006" s="467"/>
      <c r="I4006" s="467"/>
      <c r="J4006" s="469"/>
      <c r="AL4006" s="436"/>
      <c r="AM4006" s="436"/>
      <c r="AQ4006" s="436"/>
      <c r="AR4006" s="436"/>
      <c r="AS4006" s="436"/>
      <c r="AT4006" s="436"/>
      <c r="AU4006" s="436"/>
      <c r="AV4006" s="436"/>
      <c r="AW4006" s="436"/>
      <c r="AX4006" s="436"/>
      <c r="AY4006" s="436"/>
      <c r="AZ4006" s="475"/>
      <c r="BA4006" s="475"/>
      <c r="BF4006" s="1119"/>
      <c r="BG4006" s="1119"/>
      <c r="BH4006" s="1119"/>
    </row>
    <row r="4007" spans="1:60" ht="15.75" customHeight="1">
      <c r="A4007" s="436"/>
      <c r="C4007" s="436"/>
      <c r="D4007" s="436"/>
      <c r="E4007" s="436"/>
      <c r="F4007" s="436"/>
      <c r="H4007" s="467"/>
      <c r="I4007" s="467"/>
      <c r="J4007" s="469"/>
      <c r="AL4007" s="436"/>
      <c r="AM4007" s="436"/>
      <c r="AQ4007" s="436"/>
      <c r="AR4007" s="436"/>
      <c r="AS4007" s="436"/>
      <c r="AT4007" s="436"/>
      <c r="AU4007" s="436"/>
      <c r="AV4007" s="436"/>
      <c r="AW4007" s="436"/>
      <c r="AX4007" s="436"/>
      <c r="AY4007" s="436"/>
      <c r="AZ4007" s="475"/>
      <c r="BA4007" s="475"/>
      <c r="BF4007" s="1119"/>
      <c r="BG4007" s="1119"/>
      <c r="BH4007" s="1119"/>
    </row>
    <row r="4008" spans="1:60" ht="15.75" customHeight="1">
      <c r="A4008" s="436"/>
      <c r="C4008" s="436"/>
      <c r="D4008" s="436"/>
      <c r="E4008" s="436"/>
      <c r="F4008" s="436"/>
      <c r="H4008" s="467"/>
      <c r="I4008" s="467"/>
      <c r="J4008" s="469"/>
      <c r="AL4008" s="436"/>
      <c r="AM4008" s="436"/>
      <c r="AQ4008" s="436"/>
      <c r="AR4008" s="436"/>
      <c r="AS4008" s="436"/>
      <c r="AT4008" s="436"/>
      <c r="AU4008" s="436"/>
      <c r="AV4008" s="436"/>
      <c r="AW4008" s="436"/>
      <c r="AX4008" s="436"/>
      <c r="AY4008" s="436"/>
      <c r="AZ4008" s="475"/>
      <c r="BA4008" s="475"/>
      <c r="BF4008" s="1119"/>
      <c r="BG4008" s="1119"/>
      <c r="BH4008" s="1119"/>
    </row>
    <row r="4009" spans="1:60" ht="15.75" customHeight="1">
      <c r="A4009" s="436"/>
      <c r="C4009" s="436"/>
      <c r="D4009" s="436"/>
      <c r="E4009" s="436"/>
      <c r="F4009" s="436"/>
      <c r="H4009" s="467"/>
      <c r="I4009" s="467"/>
      <c r="J4009" s="469"/>
      <c r="AL4009" s="436"/>
      <c r="AM4009" s="436"/>
      <c r="AQ4009" s="436"/>
      <c r="AR4009" s="436"/>
      <c r="AS4009" s="436"/>
      <c r="AT4009" s="436"/>
      <c r="AU4009" s="436"/>
      <c r="AV4009" s="436"/>
      <c r="AW4009" s="436"/>
      <c r="AX4009" s="436"/>
      <c r="AY4009" s="436"/>
      <c r="AZ4009" s="475"/>
      <c r="BA4009" s="475"/>
      <c r="BF4009" s="1119"/>
      <c r="BG4009" s="1119"/>
      <c r="BH4009" s="1119"/>
    </row>
    <row r="4010" spans="1:60" ht="15.75" customHeight="1">
      <c r="A4010" s="436"/>
      <c r="C4010" s="436"/>
      <c r="D4010" s="436"/>
      <c r="E4010" s="436"/>
      <c r="F4010" s="436"/>
      <c r="H4010" s="467"/>
      <c r="I4010" s="467"/>
      <c r="J4010" s="469"/>
      <c r="AL4010" s="436"/>
      <c r="AM4010" s="436"/>
      <c r="AQ4010" s="436"/>
      <c r="AR4010" s="436"/>
      <c r="AS4010" s="436"/>
      <c r="AT4010" s="436"/>
      <c r="AU4010" s="436"/>
      <c r="AV4010" s="436"/>
      <c r="AW4010" s="436"/>
      <c r="AX4010" s="436"/>
      <c r="AY4010" s="436"/>
      <c r="AZ4010" s="475"/>
      <c r="BA4010" s="475"/>
      <c r="BF4010" s="1119"/>
      <c r="BG4010" s="1119"/>
      <c r="BH4010" s="1119"/>
    </row>
    <row r="4011" spans="1:60" ht="15.75" customHeight="1">
      <c r="A4011" s="436"/>
      <c r="C4011" s="436"/>
      <c r="D4011" s="436"/>
      <c r="E4011" s="436"/>
      <c r="F4011" s="436"/>
      <c r="H4011" s="467"/>
      <c r="I4011" s="467"/>
      <c r="J4011" s="469"/>
      <c r="AL4011" s="436"/>
      <c r="AM4011" s="436"/>
      <c r="AQ4011" s="436"/>
      <c r="AR4011" s="436"/>
      <c r="AS4011" s="436"/>
      <c r="AT4011" s="436"/>
      <c r="AU4011" s="436"/>
      <c r="AV4011" s="436"/>
      <c r="AW4011" s="436"/>
      <c r="AX4011" s="436"/>
      <c r="AY4011" s="436"/>
      <c r="AZ4011" s="475"/>
      <c r="BA4011" s="475"/>
      <c r="BF4011" s="1119"/>
      <c r="BG4011" s="1119"/>
      <c r="BH4011" s="1119"/>
    </row>
    <row r="4012" spans="1:60" ht="15.75" customHeight="1">
      <c r="A4012" s="436"/>
      <c r="C4012" s="436"/>
      <c r="D4012" s="436"/>
      <c r="E4012" s="436"/>
      <c r="F4012" s="436"/>
      <c r="H4012" s="467"/>
      <c r="I4012" s="467"/>
      <c r="J4012" s="469"/>
      <c r="AL4012" s="436"/>
      <c r="AM4012" s="436"/>
      <c r="AQ4012" s="436"/>
      <c r="AR4012" s="436"/>
      <c r="AS4012" s="436"/>
      <c r="AT4012" s="436"/>
      <c r="AU4012" s="436"/>
      <c r="AV4012" s="436"/>
      <c r="AW4012" s="436"/>
      <c r="AX4012" s="436"/>
      <c r="AY4012" s="436"/>
      <c r="AZ4012" s="475"/>
      <c r="BA4012" s="475"/>
      <c r="BF4012" s="1119"/>
      <c r="BG4012" s="1119"/>
      <c r="BH4012" s="1119"/>
    </row>
    <row r="4013" spans="1:60" ht="15.75" customHeight="1">
      <c r="A4013" s="436"/>
      <c r="C4013" s="436"/>
      <c r="D4013" s="436"/>
      <c r="E4013" s="436"/>
      <c r="F4013" s="436"/>
      <c r="H4013" s="467"/>
      <c r="I4013" s="467"/>
      <c r="J4013" s="469"/>
      <c r="AL4013" s="436"/>
      <c r="AM4013" s="436"/>
      <c r="AQ4013" s="436"/>
      <c r="AR4013" s="436"/>
      <c r="AS4013" s="436"/>
      <c r="AT4013" s="436"/>
      <c r="AU4013" s="436"/>
      <c r="AV4013" s="436"/>
      <c r="AW4013" s="436"/>
      <c r="AX4013" s="436"/>
      <c r="AY4013" s="436"/>
      <c r="AZ4013" s="475"/>
      <c r="BA4013" s="475"/>
      <c r="BF4013" s="1119"/>
      <c r="BG4013" s="1119"/>
      <c r="BH4013" s="1119"/>
    </row>
    <row r="4014" spans="1:60" ht="15.75" customHeight="1">
      <c r="A4014" s="436"/>
      <c r="C4014" s="436"/>
      <c r="D4014" s="436"/>
      <c r="E4014" s="436"/>
      <c r="F4014" s="436"/>
      <c r="H4014" s="467"/>
      <c r="I4014" s="467"/>
      <c r="J4014" s="469"/>
      <c r="AL4014" s="436"/>
      <c r="AM4014" s="436"/>
      <c r="AQ4014" s="436"/>
      <c r="AR4014" s="436"/>
      <c r="AS4014" s="436"/>
      <c r="AT4014" s="436"/>
      <c r="AU4014" s="436"/>
      <c r="AV4014" s="436"/>
      <c r="AW4014" s="436"/>
      <c r="AX4014" s="436"/>
      <c r="AY4014" s="436"/>
      <c r="AZ4014" s="475"/>
      <c r="BA4014" s="475"/>
      <c r="BF4014" s="1119"/>
      <c r="BG4014" s="1119"/>
      <c r="BH4014" s="1119"/>
    </row>
    <row r="4015" spans="1:60" ht="15.75" customHeight="1">
      <c r="A4015" s="436"/>
      <c r="C4015" s="436"/>
      <c r="D4015" s="436"/>
      <c r="E4015" s="436"/>
      <c r="F4015" s="436"/>
      <c r="H4015" s="467"/>
      <c r="I4015" s="467"/>
      <c r="J4015" s="469"/>
      <c r="AL4015" s="436"/>
      <c r="AM4015" s="436"/>
      <c r="AQ4015" s="436"/>
      <c r="AR4015" s="436"/>
      <c r="AS4015" s="436"/>
      <c r="AT4015" s="436"/>
      <c r="AU4015" s="436"/>
      <c r="AV4015" s="436"/>
      <c r="AW4015" s="436"/>
      <c r="AX4015" s="436"/>
      <c r="AY4015" s="436"/>
      <c r="AZ4015" s="475"/>
      <c r="BA4015" s="475"/>
      <c r="BF4015" s="1119"/>
      <c r="BG4015" s="1119"/>
      <c r="BH4015" s="1119"/>
    </row>
    <row r="4016" spans="1:60" ht="15.75" customHeight="1">
      <c r="A4016" s="436"/>
      <c r="C4016" s="436"/>
      <c r="D4016" s="436"/>
      <c r="E4016" s="436"/>
      <c r="F4016" s="436"/>
      <c r="H4016" s="467"/>
      <c r="I4016" s="467"/>
      <c r="J4016" s="469"/>
      <c r="AL4016" s="436"/>
      <c r="AM4016" s="436"/>
      <c r="AQ4016" s="436"/>
      <c r="AR4016" s="436"/>
      <c r="AS4016" s="436"/>
      <c r="AT4016" s="436"/>
      <c r="AU4016" s="436"/>
      <c r="AV4016" s="436"/>
      <c r="AW4016" s="436"/>
      <c r="AX4016" s="436"/>
      <c r="AY4016" s="436"/>
      <c r="AZ4016" s="475"/>
      <c r="BA4016" s="475"/>
      <c r="BF4016" s="1119"/>
      <c r="BG4016" s="1119"/>
      <c r="BH4016" s="1119"/>
    </row>
    <row r="4017" spans="1:60" ht="15.75" customHeight="1">
      <c r="A4017" s="436"/>
      <c r="C4017" s="436"/>
      <c r="D4017" s="436"/>
      <c r="E4017" s="436"/>
      <c r="F4017" s="436"/>
      <c r="H4017" s="467"/>
      <c r="I4017" s="467"/>
      <c r="J4017" s="469"/>
      <c r="AL4017" s="436"/>
      <c r="AM4017" s="436"/>
      <c r="AQ4017" s="436"/>
      <c r="AR4017" s="436"/>
      <c r="AS4017" s="436"/>
      <c r="AT4017" s="436"/>
      <c r="AU4017" s="436"/>
      <c r="AV4017" s="436"/>
      <c r="AW4017" s="436"/>
      <c r="AX4017" s="436"/>
      <c r="AY4017" s="436"/>
      <c r="AZ4017" s="475"/>
      <c r="BA4017" s="475"/>
      <c r="BF4017" s="1119"/>
      <c r="BG4017" s="1119"/>
      <c r="BH4017" s="1119"/>
    </row>
    <row r="4018" spans="1:60" ht="15.75" customHeight="1">
      <c r="A4018" s="436"/>
      <c r="C4018" s="436"/>
      <c r="D4018" s="436"/>
      <c r="E4018" s="436"/>
      <c r="F4018" s="436"/>
      <c r="H4018" s="467"/>
      <c r="I4018" s="467"/>
      <c r="J4018" s="469"/>
      <c r="AL4018" s="436"/>
      <c r="AM4018" s="436"/>
      <c r="AQ4018" s="436"/>
      <c r="AR4018" s="436"/>
      <c r="AS4018" s="436"/>
      <c r="AT4018" s="436"/>
      <c r="AU4018" s="436"/>
      <c r="AV4018" s="436"/>
      <c r="AW4018" s="436"/>
      <c r="AX4018" s="436"/>
      <c r="AY4018" s="436"/>
      <c r="AZ4018" s="475"/>
      <c r="BA4018" s="475"/>
      <c r="BF4018" s="1119"/>
      <c r="BG4018" s="1119"/>
      <c r="BH4018" s="1119"/>
    </row>
    <row r="4019" spans="1:60" ht="15.75" customHeight="1">
      <c r="A4019" s="436"/>
      <c r="C4019" s="436"/>
      <c r="D4019" s="436"/>
      <c r="E4019" s="436"/>
      <c r="F4019" s="436"/>
      <c r="H4019" s="467"/>
      <c r="I4019" s="467"/>
      <c r="J4019" s="469"/>
      <c r="AL4019" s="436"/>
      <c r="AM4019" s="436"/>
      <c r="AQ4019" s="436"/>
      <c r="AR4019" s="436"/>
      <c r="AS4019" s="436"/>
      <c r="AT4019" s="436"/>
      <c r="AU4019" s="436"/>
      <c r="AV4019" s="436"/>
      <c r="AW4019" s="436"/>
      <c r="AX4019" s="436"/>
      <c r="AY4019" s="436"/>
      <c r="AZ4019" s="475"/>
      <c r="BA4019" s="475"/>
      <c r="BF4019" s="1119"/>
      <c r="BG4019" s="1119"/>
      <c r="BH4019" s="1119"/>
    </row>
    <row r="4020" spans="1:60" ht="15.75" customHeight="1">
      <c r="A4020" s="436"/>
      <c r="C4020" s="436"/>
      <c r="D4020" s="436"/>
      <c r="E4020" s="436"/>
      <c r="F4020" s="436"/>
      <c r="H4020" s="467"/>
      <c r="I4020" s="467"/>
      <c r="J4020" s="469"/>
      <c r="AL4020" s="436"/>
      <c r="AM4020" s="436"/>
      <c r="AQ4020" s="436"/>
      <c r="AR4020" s="436"/>
      <c r="AS4020" s="436"/>
      <c r="AT4020" s="436"/>
      <c r="AU4020" s="436"/>
      <c r="AV4020" s="436"/>
      <c r="AW4020" s="436"/>
      <c r="AX4020" s="436"/>
      <c r="AY4020" s="436"/>
      <c r="AZ4020" s="475"/>
      <c r="BA4020" s="475"/>
      <c r="BF4020" s="1119"/>
      <c r="BG4020" s="1119"/>
      <c r="BH4020" s="1119"/>
    </row>
    <row r="4021" spans="1:60" ht="15.75" customHeight="1">
      <c r="A4021" s="436"/>
      <c r="C4021" s="436"/>
      <c r="D4021" s="436"/>
      <c r="E4021" s="436"/>
      <c r="F4021" s="436"/>
      <c r="H4021" s="467"/>
      <c r="I4021" s="467"/>
      <c r="J4021" s="469"/>
      <c r="AL4021" s="436"/>
      <c r="AM4021" s="436"/>
      <c r="AQ4021" s="436"/>
      <c r="AR4021" s="436"/>
      <c r="AS4021" s="436"/>
      <c r="AT4021" s="436"/>
      <c r="AU4021" s="436"/>
      <c r="AV4021" s="436"/>
      <c r="AW4021" s="436"/>
      <c r="AX4021" s="436"/>
      <c r="AY4021" s="436"/>
      <c r="AZ4021" s="475"/>
      <c r="BA4021" s="475"/>
      <c r="BF4021" s="1119"/>
      <c r="BG4021" s="1119"/>
      <c r="BH4021" s="1119"/>
    </row>
    <row r="4022" spans="1:60" ht="15.75" customHeight="1">
      <c r="A4022" s="436"/>
      <c r="C4022" s="436"/>
      <c r="D4022" s="436"/>
      <c r="E4022" s="436"/>
      <c r="F4022" s="436"/>
      <c r="H4022" s="467"/>
      <c r="I4022" s="467"/>
      <c r="J4022" s="469"/>
      <c r="AL4022" s="436"/>
      <c r="AM4022" s="436"/>
      <c r="AQ4022" s="436"/>
      <c r="AR4022" s="436"/>
      <c r="AS4022" s="436"/>
      <c r="AT4022" s="436"/>
      <c r="AU4022" s="436"/>
      <c r="AV4022" s="436"/>
      <c r="AW4022" s="436"/>
      <c r="AX4022" s="436"/>
      <c r="AY4022" s="436"/>
      <c r="AZ4022" s="475"/>
      <c r="BA4022" s="475"/>
      <c r="BF4022" s="1119"/>
      <c r="BG4022" s="1119"/>
      <c r="BH4022" s="1119"/>
    </row>
    <row r="4023" spans="1:60" ht="15.75" customHeight="1">
      <c r="A4023" s="436"/>
      <c r="C4023" s="436"/>
      <c r="D4023" s="436"/>
      <c r="E4023" s="436"/>
      <c r="F4023" s="436"/>
      <c r="H4023" s="467"/>
      <c r="I4023" s="467"/>
      <c r="J4023" s="469"/>
      <c r="AL4023" s="436"/>
      <c r="AM4023" s="436"/>
      <c r="AQ4023" s="436"/>
      <c r="AR4023" s="436"/>
      <c r="AS4023" s="436"/>
      <c r="AT4023" s="436"/>
      <c r="AU4023" s="436"/>
      <c r="AV4023" s="436"/>
      <c r="AW4023" s="436"/>
      <c r="AX4023" s="436"/>
      <c r="AY4023" s="436"/>
      <c r="AZ4023" s="475"/>
      <c r="BA4023" s="475"/>
      <c r="BF4023" s="1119"/>
      <c r="BG4023" s="1119"/>
      <c r="BH4023" s="1119"/>
    </row>
    <row r="4024" spans="1:60" ht="15.75" customHeight="1">
      <c r="A4024" s="436"/>
      <c r="C4024" s="436"/>
      <c r="D4024" s="436"/>
      <c r="E4024" s="436"/>
      <c r="F4024" s="436"/>
      <c r="H4024" s="467"/>
      <c r="I4024" s="467"/>
      <c r="J4024" s="469"/>
      <c r="AL4024" s="436"/>
      <c r="AM4024" s="436"/>
      <c r="AQ4024" s="436"/>
      <c r="AR4024" s="436"/>
      <c r="AS4024" s="436"/>
      <c r="AT4024" s="436"/>
      <c r="AU4024" s="436"/>
      <c r="AV4024" s="436"/>
      <c r="AW4024" s="436"/>
      <c r="AX4024" s="436"/>
      <c r="AY4024" s="436"/>
      <c r="AZ4024" s="475"/>
      <c r="BA4024" s="475"/>
      <c r="BF4024" s="1119"/>
      <c r="BG4024" s="1119"/>
      <c r="BH4024" s="1119"/>
    </row>
    <row r="4025" spans="1:60" ht="15.75" customHeight="1">
      <c r="A4025" s="436"/>
      <c r="C4025" s="436"/>
      <c r="D4025" s="436"/>
      <c r="E4025" s="436"/>
      <c r="F4025" s="436"/>
      <c r="H4025" s="467"/>
      <c r="I4025" s="467"/>
      <c r="J4025" s="469"/>
      <c r="AL4025" s="436"/>
      <c r="AM4025" s="436"/>
      <c r="AQ4025" s="436"/>
      <c r="AR4025" s="436"/>
      <c r="AS4025" s="436"/>
      <c r="AT4025" s="436"/>
      <c r="AU4025" s="436"/>
      <c r="AV4025" s="436"/>
      <c r="AW4025" s="436"/>
      <c r="AX4025" s="436"/>
      <c r="AY4025" s="436"/>
      <c r="AZ4025" s="475"/>
      <c r="BA4025" s="475"/>
      <c r="BF4025" s="1119"/>
      <c r="BG4025" s="1119"/>
      <c r="BH4025" s="1119"/>
    </row>
    <row r="4026" spans="1:60" ht="15.75" customHeight="1">
      <c r="A4026" s="436"/>
      <c r="C4026" s="436"/>
      <c r="D4026" s="436"/>
      <c r="E4026" s="436"/>
      <c r="F4026" s="436"/>
      <c r="H4026" s="467"/>
      <c r="I4026" s="467"/>
      <c r="J4026" s="469"/>
      <c r="AL4026" s="436"/>
      <c r="AM4026" s="436"/>
      <c r="AQ4026" s="436"/>
      <c r="AR4026" s="436"/>
      <c r="AS4026" s="436"/>
      <c r="AT4026" s="436"/>
      <c r="AU4026" s="436"/>
      <c r="AV4026" s="436"/>
      <c r="AW4026" s="436"/>
      <c r="AX4026" s="436"/>
      <c r="AY4026" s="436"/>
      <c r="AZ4026" s="475"/>
      <c r="BA4026" s="475"/>
      <c r="BF4026" s="1119"/>
      <c r="BG4026" s="1119"/>
      <c r="BH4026" s="1119"/>
    </row>
    <row r="4027" spans="1:60" ht="15.75" customHeight="1">
      <c r="A4027" s="436"/>
      <c r="C4027" s="436"/>
      <c r="D4027" s="436"/>
      <c r="E4027" s="436"/>
      <c r="F4027" s="436"/>
      <c r="H4027" s="467"/>
      <c r="I4027" s="467"/>
      <c r="J4027" s="469"/>
      <c r="AL4027" s="436"/>
      <c r="AM4027" s="436"/>
      <c r="AQ4027" s="436"/>
      <c r="AR4027" s="436"/>
      <c r="AS4027" s="436"/>
      <c r="AT4027" s="436"/>
      <c r="AU4027" s="436"/>
      <c r="AV4027" s="436"/>
      <c r="AW4027" s="436"/>
      <c r="AX4027" s="436"/>
      <c r="AY4027" s="436"/>
      <c r="AZ4027" s="475"/>
      <c r="BA4027" s="475"/>
      <c r="BF4027" s="1119"/>
      <c r="BG4027" s="1119"/>
      <c r="BH4027" s="1119"/>
    </row>
    <row r="4028" spans="1:60" ht="15.75" customHeight="1">
      <c r="A4028" s="436"/>
      <c r="C4028" s="436"/>
      <c r="D4028" s="436"/>
      <c r="E4028" s="436"/>
      <c r="F4028" s="436"/>
      <c r="H4028" s="467"/>
      <c r="I4028" s="467"/>
      <c r="J4028" s="469"/>
      <c r="AL4028" s="436"/>
      <c r="AM4028" s="436"/>
      <c r="AQ4028" s="436"/>
      <c r="AR4028" s="436"/>
      <c r="AS4028" s="436"/>
      <c r="AT4028" s="436"/>
      <c r="AU4028" s="436"/>
      <c r="AV4028" s="436"/>
      <c r="AW4028" s="436"/>
      <c r="AX4028" s="436"/>
      <c r="AY4028" s="436"/>
      <c r="AZ4028" s="475"/>
      <c r="BA4028" s="475"/>
      <c r="BF4028" s="1119"/>
      <c r="BG4028" s="1119"/>
      <c r="BH4028" s="1119"/>
    </row>
    <row r="4029" spans="1:60" ht="15.75" customHeight="1">
      <c r="A4029" s="436"/>
      <c r="C4029" s="436"/>
      <c r="D4029" s="436"/>
      <c r="E4029" s="436"/>
      <c r="F4029" s="436"/>
      <c r="H4029" s="467"/>
      <c r="I4029" s="467"/>
      <c r="J4029" s="469"/>
      <c r="AL4029" s="436"/>
      <c r="AM4029" s="436"/>
      <c r="AQ4029" s="436"/>
      <c r="AR4029" s="436"/>
      <c r="AS4029" s="436"/>
      <c r="AT4029" s="436"/>
      <c r="AU4029" s="436"/>
      <c r="AV4029" s="436"/>
      <c r="AW4029" s="436"/>
      <c r="AX4029" s="436"/>
      <c r="AY4029" s="436"/>
      <c r="AZ4029" s="475"/>
      <c r="BA4029" s="475"/>
      <c r="BF4029" s="1119"/>
      <c r="BG4029" s="1119"/>
      <c r="BH4029" s="1119"/>
    </row>
    <row r="4030" spans="1:60" ht="15.75" customHeight="1">
      <c r="A4030" s="436"/>
      <c r="C4030" s="436"/>
      <c r="D4030" s="436"/>
      <c r="E4030" s="436"/>
      <c r="F4030" s="436"/>
      <c r="H4030" s="467"/>
      <c r="I4030" s="467"/>
      <c r="J4030" s="469"/>
      <c r="AL4030" s="436"/>
      <c r="AM4030" s="436"/>
      <c r="AQ4030" s="436"/>
      <c r="AR4030" s="436"/>
      <c r="AS4030" s="436"/>
      <c r="AT4030" s="436"/>
      <c r="AU4030" s="436"/>
      <c r="AV4030" s="436"/>
      <c r="AW4030" s="436"/>
      <c r="AX4030" s="436"/>
      <c r="AY4030" s="436"/>
      <c r="AZ4030" s="475"/>
      <c r="BA4030" s="475"/>
      <c r="BF4030" s="1119"/>
      <c r="BG4030" s="1119"/>
      <c r="BH4030" s="1119"/>
    </row>
    <row r="4031" spans="1:60" ht="15.75" customHeight="1">
      <c r="A4031" s="436"/>
      <c r="C4031" s="436"/>
      <c r="D4031" s="436"/>
      <c r="E4031" s="436"/>
      <c r="F4031" s="436"/>
      <c r="H4031" s="467"/>
      <c r="I4031" s="467"/>
      <c r="J4031" s="469"/>
      <c r="AL4031" s="436"/>
      <c r="AM4031" s="436"/>
      <c r="AQ4031" s="436"/>
      <c r="AR4031" s="436"/>
      <c r="AS4031" s="436"/>
      <c r="AT4031" s="436"/>
      <c r="AU4031" s="436"/>
      <c r="AV4031" s="436"/>
      <c r="AW4031" s="436"/>
      <c r="AX4031" s="436"/>
      <c r="AY4031" s="436"/>
      <c r="AZ4031" s="475"/>
      <c r="BA4031" s="475"/>
      <c r="BF4031" s="1119"/>
      <c r="BG4031" s="1119"/>
      <c r="BH4031" s="1119"/>
    </row>
    <row r="4032" spans="1:60" ht="15.75" customHeight="1">
      <c r="A4032" s="436"/>
      <c r="C4032" s="436"/>
      <c r="D4032" s="436"/>
      <c r="E4032" s="436"/>
      <c r="F4032" s="436"/>
      <c r="H4032" s="467"/>
      <c r="I4032" s="467"/>
      <c r="J4032" s="469"/>
      <c r="AL4032" s="436"/>
      <c r="AM4032" s="436"/>
      <c r="AQ4032" s="436"/>
      <c r="AR4032" s="436"/>
      <c r="AS4032" s="436"/>
      <c r="AT4032" s="436"/>
      <c r="AU4032" s="436"/>
      <c r="AV4032" s="436"/>
      <c r="AW4032" s="436"/>
      <c r="AX4032" s="436"/>
      <c r="AY4032" s="436"/>
      <c r="AZ4032" s="475"/>
      <c r="BA4032" s="475"/>
      <c r="BF4032" s="1119"/>
      <c r="BG4032" s="1119"/>
      <c r="BH4032" s="1119"/>
    </row>
    <row r="4033" spans="1:60" ht="15.75" customHeight="1">
      <c r="A4033" s="436"/>
      <c r="C4033" s="436"/>
      <c r="D4033" s="436"/>
      <c r="E4033" s="436"/>
      <c r="F4033" s="436"/>
      <c r="H4033" s="467"/>
      <c r="I4033" s="467"/>
      <c r="J4033" s="469"/>
      <c r="AL4033" s="436"/>
      <c r="AM4033" s="436"/>
      <c r="AQ4033" s="436"/>
      <c r="AR4033" s="436"/>
      <c r="AS4033" s="436"/>
      <c r="AT4033" s="436"/>
      <c r="AU4033" s="436"/>
      <c r="AV4033" s="436"/>
      <c r="AW4033" s="436"/>
      <c r="AX4033" s="436"/>
      <c r="AY4033" s="436"/>
      <c r="AZ4033" s="475"/>
      <c r="BA4033" s="475"/>
      <c r="BF4033" s="1119"/>
      <c r="BG4033" s="1119"/>
      <c r="BH4033" s="1119"/>
    </row>
    <row r="4034" spans="1:60" ht="15.75" customHeight="1">
      <c r="A4034" s="436"/>
      <c r="C4034" s="436"/>
      <c r="D4034" s="436"/>
      <c r="E4034" s="436"/>
      <c r="F4034" s="436"/>
      <c r="H4034" s="467"/>
      <c r="I4034" s="467"/>
      <c r="J4034" s="469"/>
      <c r="AL4034" s="436"/>
      <c r="AM4034" s="436"/>
      <c r="AQ4034" s="436"/>
      <c r="AR4034" s="436"/>
      <c r="AS4034" s="436"/>
      <c r="AT4034" s="436"/>
      <c r="AU4034" s="436"/>
      <c r="AV4034" s="436"/>
      <c r="AW4034" s="436"/>
      <c r="AX4034" s="436"/>
      <c r="AY4034" s="436"/>
      <c r="AZ4034" s="475"/>
      <c r="BA4034" s="475"/>
      <c r="BF4034" s="1119"/>
      <c r="BG4034" s="1119"/>
      <c r="BH4034" s="1119"/>
    </row>
    <row r="4035" spans="1:60" ht="15.75" customHeight="1">
      <c r="A4035" s="436"/>
      <c r="C4035" s="436"/>
      <c r="D4035" s="436"/>
      <c r="E4035" s="436"/>
      <c r="F4035" s="436"/>
      <c r="H4035" s="467"/>
      <c r="I4035" s="467"/>
      <c r="J4035" s="469"/>
      <c r="AL4035" s="436"/>
      <c r="AM4035" s="436"/>
      <c r="AQ4035" s="436"/>
      <c r="AR4035" s="436"/>
      <c r="AS4035" s="436"/>
      <c r="AT4035" s="436"/>
      <c r="AU4035" s="436"/>
      <c r="AV4035" s="436"/>
      <c r="AW4035" s="436"/>
      <c r="AX4035" s="436"/>
      <c r="AY4035" s="436"/>
      <c r="AZ4035" s="475"/>
      <c r="BA4035" s="475"/>
      <c r="BF4035" s="1119"/>
      <c r="BG4035" s="1119"/>
      <c r="BH4035" s="1119"/>
    </row>
    <row r="4036" spans="1:60" ht="15.75" customHeight="1">
      <c r="A4036" s="436"/>
      <c r="C4036" s="436"/>
      <c r="D4036" s="436"/>
      <c r="E4036" s="436"/>
      <c r="F4036" s="436"/>
      <c r="H4036" s="467"/>
      <c r="I4036" s="467"/>
      <c r="J4036" s="469"/>
      <c r="AL4036" s="436"/>
      <c r="AM4036" s="436"/>
      <c r="AQ4036" s="436"/>
      <c r="AR4036" s="436"/>
      <c r="AS4036" s="436"/>
      <c r="AT4036" s="436"/>
      <c r="AU4036" s="436"/>
      <c r="AV4036" s="436"/>
      <c r="AW4036" s="436"/>
      <c r="AX4036" s="436"/>
      <c r="AY4036" s="436"/>
      <c r="AZ4036" s="475"/>
      <c r="BA4036" s="475"/>
      <c r="BF4036" s="1119"/>
      <c r="BG4036" s="1119"/>
      <c r="BH4036" s="1119"/>
    </row>
    <row r="4037" spans="1:60" ht="15.75" customHeight="1">
      <c r="A4037" s="436"/>
      <c r="C4037" s="436"/>
      <c r="D4037" s="436"/>
      <c r="E4037" s="436"/>
      <c r="F4037" s="436"/>
      <c r="H4037" s="467"/>
      <c r="I4037" s="467"/>
      <c r="J4037" s="469"/>
      <c r="AL4037" s="436"/>
      <c r="AM4037" s="436"/>
      <c r="AQ4037" s="436"/>
      <c r="AR4037" s="436"/>
      <c r="AS4037" s="436"/>
      <c r="AT4037" s="436"/>
      <c r="AU4037" s="436"/>
      <c r="AV4037" s="436"/>
      <c r="AW4037" s="436"/>
      <c r="AX4037" s="436"/>
      <c r="AY4037" s="436"/>
      <c r="AZ4037" s="475"/>
      <c r="BA4037" s="475"/>
      <c r="BF4037" s="1119"/>
      <c r="BG4037" s="1119"/>
      <c r="BH4037" s="1119"/>
    </row>
    <row r="4038" spans="1:60" ht="15.75" customHeight="1">
      <c r="A4038" s="436"/>
      <c r="C4038" s="436"/>
      <c r="D4038" s="436"/>
      <c r="E4038" s="436"/>
      <c r="F4038" s="436"/>
      <c r="H4038" s="467"/>
      <c r="I4038" s="467"/>
      <c r="J4038" s="469"/>
      <c r="AL4038" s="436"/>
      <c r="AM4038" s="436"/>
      <c r="AQ4038" s="436"/>
      <c r="AR4038" s="436"/>
      <c r="AS4038" s="436"/>
      <c r="AT4038" s="436"/>
      <c r="AU4038" s="436"/>
      <c r="AV4038" s="436"/>
      <c r="AW4038" s="436"/>
      <c r="AX4038" s="436"/>
      <c r="AY4038" s="436"/>
      <c r="AZ4038" s="475"/>
      <c r="BA4038" s="475"/>
      <c r="BF4038" s="1119"/>
      <c r="BG4038" s="1119"/>
      <c r="BH4038" s="1119"/>
    </row>
    <row r="4039" spans="1:60" ht="15.75" customHeight="1">
      <c r="A4039" s="436"/>
      <c r="C4039" s="436"/>
      <c r="D4039" s="436"/>
      <c r="E4039" s="436"/>
      <c r="F4039" s="436"/>
      <c r="H4039" s="467"/>
      <c r="I4039" s="467"/>
      <c r="J4039" s="469"/>
      <c r="AL4039" s="436"/>
      <c r="AM4039" s="436"/>
      <c r="AQ4039" s="436"/>
      <c r="AR4039" s="436"/>
      <c r="AS4039" s="436"/>
      <c r="AT4039" s="436"/>
      <c r="AU4039" s="436"/>
      <c r="AV4039" s="436"/>
      <c r="AW4039" s="436"/>
      <c r="AX4039" s="436"/>
      <c r="AY4039" s="436"/>
      <c r="AZ4039" s="475"/>
      <c r="BA4039" s="475"/>
      <c r="BF4039" s="1119"/>
      <c r="BG4039" s="1119"/>
      <c r="BH4039" s="1119"/>
    </row>
    <row r="4040" spans="1:60" ht="15.75" customHeight="1">
      <c r="A4040" s="436"/>
      <c r="C4040" s="436"/>
      <c r="D4040" s="436"/>
      <c r="E4040" s="436"/>
      <c r="F4040" s="436"/>
      <c r="H4040" s="467"/>
      <c r="I4040" s="467"/>
      <c r="J4040" s="469"/>
      <c r="AL4040" s="436"/>
      <c r="AM4040" s="436"/>
      <c r="AQ4040" s="436"/>
      <c r="AR4040" s="436"/>
      <c r="AS4040" s="436"/>
      <c r="AT4040" s="436"/>
      <c r="AU4040" s="436"/>
      <c r="AV4040" s="436"/>
      <c r="AW4040" s="436"/>
      <c r="AX4040" s="436"/>
      <c r="AY4040" s="436"/>
      <c r="AZ4040" s="475"/>
      <c r="BA4040" s="475"/>
      <c r="BF4040" s="1119"/>
      <c r="BG4040" s="1119"/>
      <c r="BH4040" s="1119"/>
    </row>
    <row r="4041" spans="1:60" ht="15.75" customHeight="1">
      <c r="A4041" s="436"/>
      <c r="C4041" s="436"/>
      <c r="D4041" s="436"/>
      <c r="E4041" s="436"/>
      <c r="F4041" s="436"/>
      <c r="H4041" s="467"/>
      <c r="I4041" s="467"/>
      <c r="J4041" s="469"/>
      <c r="AL4041" s="436"/>
      <c r="AM4041" s="436"/>
      <c r="AQ4041" s="436"/>
      <c r="AR4041" s="436"/>
      <c r="AS4041" s="436"/>
      <c r="AT4041" s="436"/>
      <c r="AU4041" s="436"/>
      <c r="AV4041" s="436"/>
      <c r="AW4041" s="436"/>
      <c r="AX4041" s="436"/>
      <c r="AY4041" s="436"/>
      <c r="AZ4041" s="475"/>
      <c r="BA4041" s="475"/>
      <c r="BF4041" s="1119"/>
      <c r="BG4041" s="1119"/>
      <c r="BH4041" s="1119"/>
    </row>
    <row r="4042" spans="1:60" ht="15.75" customHeight="1">
      <c r="A4042" s="436"/>
      <c r="C4042" s="436"/>
      <c r="D4042" s="436"/>
      <c r="E4042" s="436"/>
      <c r="F4042" s="436"/>
      <c r="H4042" s="467"/>
      <c r="I4042" s="467"/>
      <c r="J4042" s="469"/>
      <c r="AL4042" s="436"/>
      <c r="AM4042" s="436"/>
      <c r="AQ4042" s="436"/>
      <c r="AR4042" s="436"/>
      <c r="AS4042" s="436"/>
      <c r="AT4042" s="436"/>
      <c r="AU4042" s="436"/>
      <c r="AV4042" s="436"/>
      <c r="AW4042" s="436"/>
      <c r="AX4042" s="436"/>
      <c r="AY4042" s="436"/>
      <c r="AZ4042" s="475"/>
      <c r="BA4042" s="475"/>
      <c r="BF4042" s="1119"/>
      <c r="BG4042" s="1119"/>
      <c r="BH4042" s="1119"/>
    </row>
    <row r="4043" spans="1:60" ht="15.75" customHeight="1">
      <c r="A4043" s="436"/>
      <c r="C4043" s="436"/>
      <c r="D4043" s="436"/>
      <c r="E4043" s="436"/>
      <c r="F4043" s="436"/>
      <c r="H4043" s="467"/>
      <c r="I4043" s="467"/>
      <c r="J4043" s="469"/>
      <c r="AL4043" s="436"/>
      <c r="AM4043" s="436"/>
      <c r="AQ4043" s="436"/>
      <c r="AR4043" s="436"/>
      <c r="AS4043" s="436"/>
      <c r="AT4043" s="436"/>
      <c r="AU4043" s="436"/>
      <c r="AV4043" s="436"/>
      <c r="AW4043" s="436"/>
      <c r="AX4043" s="436"/>
      <c r="AY4043" s="436"/>
      <c r="AZ4043" s="475"/>
      <c r="BA4043" s="475"/>
      <c r="BF4043" s="1119"/>
      <c r="BG4043" s="1119"/>
      <c r="BH4043" s="1119"/>
    </row>
    <row r="4044" spans="1:60" ht="15.75" customHeight="1">
      <c r="A4044" s="436"/>
      <c r="C4044" s="436"/>
      <c r="D4044" s="436"/>
      <c r="E4044" s="436"/>
      <c r="F4044" s="436"/>
      <c r="H4044" s="467"/>
      <c r="I4044" s="467"/>
      <c r="J4044" s="469"/>
      <c r="AL4044" s="436"/>
      <c r="AM4044" s="436"/>
      <c r="AQ4044" s="436"/>
      <c r="AR4044" s="436"/>
      <c r="AS4044" s="436"/>
      <c r="AT4044" s="436"/>
      <c r="AU4044" s="436"/>
      <c r="AV4044" s="436"/>
      <c r="AW4044" s="436"/>
      <c r="AX4044" s="436"/>
      <c r="AY4044" s="436"/>
      <c r="AZ4044" s="475"/>
      <c r="BA4044" s="475"/>
      <c r="BF4044" s="1119"/>
      <c r="BG4044" s="1119"/>
      <c r="BH4044" s="1119"/>
    </row>
    <row r="4045" spans="1:60" ht="15.75" customHeight="1">
      <c r="A4045" s="436"/>
      <c r="C4045" s="436"/>
      <c r="D4045" s="436"/>
      <c r="E4045" s="436"/>
      <c r="F4045" s="436"/>
      <c r="H4045" s="467"/>
      <c r="I4045" s="467"/>
      <c r="J4045" s="469"/>
      <c r="AL4045" s="436"/>
      <c r="AM4045" s="436"/>
      <c r="AQ4045" s="436"/>
      <c r="AR4045" s="436"/>
      <c r="AS4045" s="436"/>
      <c r="AT4045" s="436"/>
      <c r="AU4045" s="436"/>
      <c r="AV4045" s="436"/>
      <c r="AW4045" s="436"/>
      <c r="AX4045" s="436"/>
      <c r="AY4045" s="436"/>
      <c r="AZ4045" s="475"/>
      <c r="BA4045" s="475"/>
      <c r="BF4045" s="1119"/>
      <c r="BG4045" s="1119"/>
      <c r="BH4045" s="1119"/>
    </row>
    <row r="4046" spans="1:60" ht="15.75" customHeight="1">
      <c r="A4046" s="436"/>
      <c r="C4046" s="436"/>
      <c r="D4046" s="436"/>
      <c r="E4046" s="436"/>
      <c r="F4046" s="436"/>
      <c r="H4046" s="467"/>
      <c r="I4046" s="467"/>
      <c r="J4046" s="469"/>
      <c r="AL4046" s="436"/>
      <c r="AM4046" s="436"/>
      <c r="AQ4046" s="436"/>
      <c r="AR4046" s="436"/>
      <c r="AS4046" s="436"/>
      <c r="AT4046" s="436"/>
      <c r="AU4046" s="436"/>
      <c r="AV4046" s="436"/>
      <c r="AW4046" s="436"/>
      <c r="AX4046" s="436"/>
      <c r="AY4046" s="436"/>
      <c r="AZ4046" s="475"/>
      <c r="BA4046" s="475"/>
      <c r="BF4046" s="1119"/>
      <c r="BG4046" s="1119"/>
      <c r="BH4046" s="1119"/>
    </row>
    <row r="4047" spans="1:60" ht="15.75" customHeight="1">
      <c r="A4047" s="436"/>
      <c r="C4047" s="436"/>
      <c r="D4047" s="436"/>
      <c r="E4047" s="436"/>
      <c r="F4047" s="436"/>
      <c r="H4047" s="467"/>
      <c r="I4047" s="467"/>
      <c r="J4047" s="469"/>
      <c r="AL4047" s="436"/>
      <c r="AM4047" s="436"/>
      <c r="AQ4047" s="436"/>
      <c r="AR4047" s="436"/>
      <c r="AS4047" s="436"/>
      <c r="AT4047" s="436"/>
      <c r="AU4047" s="436"/>
      <c r="AV4047" s="436"/>
      <c r="AW4047" s="436"/>
      <c r="AX4047" s="436"/>
      <c r="AY4047" s="436"/>
      <c r="AZ4047" s="475"/>
      <c r="BA4047" s="475"/>
      <c r="BF4047" s="1119"/>
      <c r="BG4047" s="1119"/>
      <c r="BH4047" s="1119"/>
    </row>
    <row r="4048" spans="1:60" ht="15.75" customHeight="1">
      <c r="A4048" s="436"/>
      <c r="C4048" s="436"/>
      <c r="D4048" s="436"/>
      <c r="E4048" s="436"/>
      <c r="F4048" s="436"/>
      <c r="H4048" s="467"/>
      <c r="I4048" s="467"/>
      <c r="J4048" s="469"/>
      <c r="AL4048" s="436"/>
      <c r="AM4048" s="436"/>
      <c r="AQ4048" s="436"/>
      <c r="AR4048" s="436"/>
      <c r="AS4048" s="436"/>
      <c r="AT4048" s="436"/>
      <c r="AU4048" s="436"/>
      <c r="AV4048" s="436"/>
      <c r="AW4048" s="436"/>
      <c r="AX4048" s="436"/>
      <c r="AY4048" s="436"/>
      <c r="AZ4048" s="475"/>
      <c r="BA4048" s="475"/>
      <c r="BF4048" s="1119"/>
      <c r="BG4048" s="1119"/>
      <c r="BH4048" s="1119"/>
    </row>
    <row r="4049" spans="1:60" ht="15.75" customHeight="1">
      <c r="A4049" s="436"/>
      <c r="C4049" s="436"/>
      <c r="D4049" s="436"/>
      <c r="E4049" s="436"/>
      <c r="F4049" s="436"/>
      <c r="H4049" s="467"/>
      <c r="I4049" s="467"/>
      <c r="J4049" s="469"/>
      <c r="AL4049" s="436"/>
      <c r="AM4049" s="436"/>
      <c r="AQ4049" s="436"/>
      <c r="AR4049" s="436"/>
      <c r="AS4049" s="436"/>
      <c r="AT4049" s="436"/>
      <c r="AU4049" s="436"/>
      <c r="AV4049" s="436"/>
      <c r="AW4049" s="436"/>
      <c r="AX4049" s="436"/>
      <c r="AY4049" s="436"/>
      <c r="AZ4049" s="475"/>
      <c r="BA4049" s="475"/>
      <c r="BF4049" s="1119"/>
      <c r="BG4049" s="1119"/>
      <c r="BH4049" s="1119"/>
    </row>
    <row r="4050" spans="1:60" ht="15.75" customHeight="1">
      <c r="A4050" s="436"/>
      <c r="C4050" s="436"/>
      <c r="D4050" s="436"/>
      <c r="E4050" s="436"/>
      <c r="F4050" s="436"/>
      <c r="H4050" s="467"/>
      <c r="I4050" s="467"/>
      <c r="J4050" s="469"/>
      <c r="AL4050" s="436"/>
      <c r="AM4050" s="436"/>
      <c r="AQ4050" s="436"/>
      <c r="AR4050" s="436"/>
      <c r="AS4050" s="436"/>
      <c r="AT4050" s="436"/>
      <c r="AU4050" s="436"/>
      <c r="AV4050" s="436"/>
      <c r="AW4050" s="436"/>
      <c r="AX4050" s="436"/>
      <c r="AY4050" s="436"/>
      <c r="AZ4050" s="475"/>
      <c r="BA4050" s="475"/>
      <c r="BF4050" s="1119"/>
      <c r="BG4050" s="1119"/>
      <c r="BH4050" s="1119"/>
    </row>
    <row r="4051" spans="1:60" ht="15.75" customHeight="1">
      <c r="A4051" s="436"/>
      <c r="C4051" s="436"/>
      <c r="D4051" s="436"/>
      <c r="E4051" s="436"/>
      <c r="F4051" s="436"/>
      <c r="H4051" s="467"/>
      <c r="I4051" s="467"/>
      <c r="J4051" s="469"/>
      <c r="AL4051" s="436"/>
      <c r="AM4051" s="436"/>
      <c r="AQ4051" s="436"/>
      <c r="AR4051" s="436"/>
      <c r="AS4051" s="436"/>
      <c r="AT4051" s="436"/>
      <c r="AU4051" s="436"/>
      <c r="AV4051" s="436"/>
      <c r="AW4051" s="436"/>
      <c r="AX4051" s="436"/>
      <c r="AY4051" s="436"/>
      <c r="AZ4051" s="475"/>
      <c r="BA4051" s="475"/>
      <c r="BF4051" s="1119"/>
      <c r="BG4051" s="1119"/>
      <c r="BH4051" s="1119"/>
    </row>
    <row r="4052" spans="1:60" ht="15.75" customHeight="1">
      <c r="A4052" s="436"/>
      <c r="C4052" s="436"/>
      <c r="D4052" s="436"/>
      <c r="E4052" s="436"/>
      <c r="F4052" s="436"/>
      <c r="H4052" s="467"/>
      <c r="I4052" s="467"/>
      <c r="J4052" s="469"/>
      <c r="AL4052" s="436"/>
      <c r="AM4052" s="436"/>
      <c r="AQ4052" s="436"/>
      <c r="AR4052" s="436"/>
      <c r="AS4052" s="436"/>
      <c r="AT4052" s="436"/>
      <c r="AU4052" s="436"/>
      <c r="AV4052" s="436"/>
      <c r="AW4052" s="436"/>
      <c r="AX4052" s="436"/>
      <c r="AY4052" s="436"/>
      <c r="AZ4052" s="475"/>
      <c r="BA4052" s="475"/>
      <c r="BF4052" s="1119"/>
      <c r="BG4052" s="1119"/>
      <c r="BH4052" s="1119"/>
    </row>
    <row r="4053" spans="1:60" ht="15.75" customHeight="1">
      <c r="A4053" s="436"/>
      <c r="C4053" s="436"/>
      <c r="D4053" s="436"/>
      <c r="E4053" s="436"/>
      <c r="F4053" s="436"/>
      <c r="H4053" s="467"/>
      <c r="I4053" s="467"/>
      <c r="J4053" s="469"/>
      <c r="AL4053" s="436"/>
      <c r="AM4053" s="436"/>
      <c r="AQ4053" s="436"/>
      <c r="AR4053" s="436"/>
      <c r="AS4053" s="436"/>
      <c r="AT4053" s="436"/>
      <c r="AU4053" s="436"/>
      <c r="AV4053" s="436"/>
      <c r="AW4053" s="436"/>
      <c r="AX4053" s="436"/>
      <c r="AY4053" s="436"/>
      <c r="AZ4053" s="475"/>
      <c r="BA4053" s="475"/>
      <c r="BF4053" s="1119"/>
      <c r="BG4053" s="1119"/>
      <c r="BH4053" s="1119"/>
    </row>
    <row r="4054" spans="1:60" ht="15.75" customHeight="1">
      <c r="A4054" s="436"/>
      <c r="C4054" s="436"/>
      <c r="D4054" s="436"/>
      <c r="E4054" s="436"/>
      <c r="F4054" s="436"/>
      <c r="H4054" s="467"/>
      <c r="I4054" s="467"/>
      <c r="J4054" s="469"/>
      <c r="AL4054" s="436"/>
      <c r="AM4054" s="436"/>
      <c r="AQ4054" s="436"/>
      <c r="AR4054" s="436"/>
      <c r="AS4054" s="436"/>
      <c r="AT4054" s="436"/>
      <c r="AU4054" s="436"/>
      <c r="AV4054" s="436"/>
      <c r="AW4054" s="436"/>
      <c r="AX4054" s="436"/>
      <c r="AY4054" s="436"/>
      <c r="AZ4054" s="475"/>
      <c r="BA4054" s="475"/>
      <c r="BF4054" s="1119"/>
      <c r="BG4054" s="1119"/>
      <c r="BH4054" s="1119"/>
    </row>
    <row r="4055" spans="1:60" ht="15.75" customHeight="1">
      <c r="A4055" s="436"/>
      <c r="C4055" s="436"/>
      <c r="D4055" s="436"/>
      <c r="E4055" s="436"/>
      <c r="F4055" s="436"/>
      <c r="H4055" s="467"/>
      <c r="I4055" s="467"/>
      <c r="J4055" s="469"/>
      <c r="AL4055" s="436"/>
      <c r="AM4055" s="436"/>
      <c r="AQ4055" s="436"/>
      <c r="AR4055" s="436"/>
      <c r="AS4055" s="436"/>
      <c r="AT4055" s="436"/>
      <c r="AU4055" s="436"/>
      <c r="AV4055" s="436"/>
      <c r="AW4055" s="436"/>
      <c r="AX4055" s="436"/>
      <c r="AY4055" s="436"/>
      <c r="AZ4055" s="475"/>
      <c r="BA4055" s="475"/>
      <c r="BF4055" s="1119"/>
      <c r="BG4055" s="1119"/>
      <c r="BH4055" s="1119"/>
    </row>
    <row r="4056" spans="1:60" ht="15.75" customHeight="1">
      <c r="A4056" s="436"/>
      <c r="C4056" s="436"/>
      <c r="D4056" s="436"/>
      <c r="E4056" s="436"/>
      <c r="F4056" s="436"/>
      <c r="H4056" s="467"/>
      <c r="I4056" s="467"/>
      <c r="J4056" s="469"/>
      <c r="AL4056" s="436"/>
      <c r="AM4056" s="436"/>
      <c r="AQ4056" s="436"/>
      <c r="AR4056" s="436"/>
      <c r="AS4056" s="436"/>
      <c r="AT4056" s="436"/>
      <c r="AU4056" s="436"/>
      <c r="AV4056" s="436"/>
      <c r="AW4056" s="436"/>
      <c r="AX4056" s="436"/>
      <c r="AY4056" s="436"/>
      <c r="AZ4056" s="475"/>
      <c r="BA4056" s="475"/>
      <c r="BF4056" s="1119"/>
      <c r="BG4056" s="1119"/>
      <c r="BH4056" s="1119"/>
    </row>
    <row r="4057" spans="1:60" ht="15.75" customHeight="1">
      <c r="A4057" s="436"/>
      <c r="C4057" s="436"/>
      <c r="D4057" s="436"/>
      <c r="E4057" s="436"/>
      <c r="F4057" s="436"/>
      <c r="H4057" s="467"/>
      <c r="I4057" s="467"/>
      <c r="J4057" s="469"/>
      <c r="AL4057" s="436"/>
      <c r="AM4057" s="436"/>
      <c r="AQ4057" s="436"/>
      <c r="AR4057" s="436"/>
      <c r="AS4057" s="436"/>
      <c r="AT4057" s="436"/>
      <c r="AU4057" s="436"/>
      <c r="AV4057" s="436"/>
      <c r="AW4057" s="436"/>
      <c r="AX4057" s="436"/>
      <c r="AY4057" s="436"/>
      <c r="AZ4057" s="475"/>
      <c r="BA4057" s="475"/>
      <c r="BF4057" s="1119"/>
      <c r="BG4057" s="1119"/>
      <c r="BH4057" s="1119"/>
    </row>
    <row r="4058" spans="1:60" ht="15.75" customHeight="1">
      <c r="A4058" s="436"/>
      <c r="C4058" s="436"/>
      <c r="D4058" s="436"/>
      <c r="E4058" s="436"/>
      <c r="F4058" s="436"/>
      <c r="H4058" s="467"/>
      <c r="I4058" s="467"/>
      <c r="J4058" s="469"/>
      <c r="AL4058" s="436"/>
      <c r="AM4058" s="436"/>
      <c r="AQ4058" s="436"/>
      <c r="AR4058" s="436"/>
      <c r="AS4058" s="436"/>
      <c r="AT4058" s="436"/>
      <c r="AU4058" s="436"/>
      <c r="AV4058" s="436"/>
      <c r="AW4058" s="436"/>
      <c r="AX4058" s="436"/>
      <c r="AY4058" s="436"/>
      <c r="AZ4058" s="475"/>
      <c r="BA4058" s="475"/>
      <c r="BF4058" s="1119"/>
      <c r="BG4058" s="1119"/>
      <c r="BH4058" s="1119"/>
    </row>
    <row r="4059" spans="1:60" ht="15.75" customHeight="1">
      <c r="A4059" s="436"/>
      <c r="C4059" s="436"/>
      <c r="D4059" s="436"/>
      <c r="E4059" s="436"/>
      <c r="F4059" s="436"/>
      <c r="H4059" s="467"/>
      <c r="I4059" s="467"/>
      <c r="J4059" s="469"/>
      <c r="AL4059" s="436"/>
      <c r="AM4059" s="436"/>
      <c r="AQ4059" s="436"/>
      <c r="AR4059" s="436"/>
      <c r="AS4059" s="436"/>
      <c r="AT4059" s="436"/>
      <c r="AU4059" s="436"/>
      <c r="AV4059" s="436"/>
      <c r="AW4059" s="436"/>
      <c r="AX4059" s="436"/>
      <c r="AY4059" s="436"/>
      <c r="AZ4059" s="475"/>
      <c r="BA4059" s="475"/>
      <c r="BF4059" s="1119"/>
      <c r="BG4059" s="1119"/>
      <c r="BH4059" s="1119"/>
    </row>
    <row r="4060" spans="1:60" ht="15.75" customHeight="1">
      <c r="A4060" s="436"/>
      <c r="C4060" s="436"/>
      <c r="D4060" s="436"/>
      <c r="E4060" s="436"/>
      <c r="F4060" s="436"/>
      <c r="H4060" s="467"/>
      <c r="I4060" s="467"/>
      <c r="J4060" s="469"/>
      <c r="AL4060" s="436"/>
      <c r="AM4060" s="436"/>
      <c r="AQ4060" s="436"/>
      <c r="AR4060" s="436"/>
      <c r="AS4060" s="436"/>
      <c r="AT4060" s="436"/>
      <c r="AU4060" s="436"/>
      <c r="AV4060" s="436"/>
      <c r="AW4060" s="436"/>
      <c r="AX4060" s="436"/>
      <c r="AY4060" s="436"/>
      <c r="AZ4060" s="475"/>
      <c r="BA4060" s="475"/>
      <c r="BF4060" s="1119"/>
      <c r="BG4060" s="1119"/>
      <c r="BH4060" s="1119"/>
    </row>
    <row r="4061" spans="1:60" ht="15.75" customHeight="1">
      <c r="A4061" s="436"/>
      <c r="C4061" s="436"/>
      <c r="D4061" s="436"/>
      <c r="E4061" s="436"/>
      <c r="F4061" s="436"/>
      <c r="H4061" s="467"/>
      <c r="I4061" s="467"/>
      <c r="J4061" s="469"/>
      <c r="AL4061" s="436"/>
      <c r="AM4061" s="436"/>
      <c r="AQ4061" s="436"/>
      <c r="AR4061" s="436"/>
      <c r="AS4061" s="436"/>
      <c r="AT4061" s="436"/>
      <c r="AU4061" s="436"/>
      <c r="AV4061" s="436"/>
      <c r="AW4061" s="436"/>
      <c r="AX4061" s="436"/>
      <c r="AY4061" s="436"/>
      <c r="AZ4061" s="475"/>
      <c r="BA4061" s="475"/>
      <c r="BF4061" s="1119"/>
      <c r="BG4061" s="1119"/>
      <c r="BH4061" s="1119"/>
    </row>
    <row r="4062" spans="1:60" ht="15.75" customHeight="1">
      <c r="A4062" s="436"/>
      <c r="C4062" s="436"/>
      <c r="D4062" s="436"/>
      <c r="E4062" s="436"/>
      <c r="F4062" s="436"/>
      <c r="H4062" s="467"/>
      <c r="I4062" s="467"/>
      <c r="J4062" s="469"/>
      <c r="AL4062" s="436"/>
      <c r="AM4062" s="436"/>
      <c r="AQ4062" s="436"/>
      <c r="AR4062" s="436"/>
      <c r="AS4062" s="436"/>
      <c r="AT4062" s="436"/>
      <c r="AU4062" s="436"/>
      <c r="AV4062" s="436"/>
      <c r="AW4062" s="436"/>
      <c r="AX4062" s="436"/>
      <c r="AY4062" s="436"/>
      <c r="AZ4062" s="475"/>
      <c r="BA4062" s="475"/>
      <c r="BF4062" s="1119"/>
      <c r="BG4062" s="1119"/>
      <c r="BH4062" s="1119"/>
    </row>
    <row r="4063" spans="1:60" ht="15.75" customHeight="1">
      <c r="A4063" s="436"/>
      <c r="C4063" s="436"/>
      <c r="D4063" s="436"/>
      <c r="E4063" s="436"/>
      <c r="F4063" s="436"/>
      <c r="H4063" s="467"/>
      <c r="I4063" s="467"/>
      <c r="J4063" s="469"/>
      <c r="AL4063" s="436"/>
      <c r="AM4063" s="436"/>
      <c r="AQ4063" s="436"/>
      <c r="AR4063" s="436"/>
      <c r="AS4063" s="436"/>
      <c r="AT4063" s="436"/>
      <c r="AU4063" s="436"/>
      <c r="AV4063" s="436"/>
      <c r="AW4063" s="436"/>
      <c r="AX4063" s="436"/>
      <c r="AY4063" s="436"/>
      <c r="AZ4063" s="475"/>
      <c r="BA4063" s="475"/>
      <c r="BF4063" s="1119"/>
      <c r="BG4063" s="1119"/>
      <c r="BH4063" s="1119"/>
    </row>
    <row r="4064" spans="1:60" ht="15.75" customHeight="1">
      <c r="A4064" s="436"/>
      <c r="C4064" s="436"/>
      <c r="D4064" s="436"/>
      <c r="E4064" s="436"/>
      <c r="F4064" s="436"/>
      <c r="H4064" s="467"/>
      <c r="I4064" s="467"/>
      <c r="J4064" s="469"/>
      <c r="AL4064" s="436"/>
      <c r="AM4064" s="436"/>
      <c r="AQ4064" s="436"/>
      <c r="AR4064" s="436"/>
      <c r="AS4064" s="436"/>
      <c r="AT4064" s="436"/>
      <c r="AU4064" s="436"/>
      <c r="AV4064" s="436"/>
      <c r="AW4064" s="436"/>
      <c r="AX4064" s="436"/>
      <c r="AY4064" s="436"/>
      <c r="AZ4064" s="475"/>
      <c r="BA4064" s="475"/>
      <c r="BF4064" s="1119"/>
      <c r="BG4064" s="1119"/>
      <c r="BH4064" s="1119"/>
    </row>
    <row r="4065" spans="1:60" ht="15.75" customHeight="1">
      <c r="A4065" s="436"/>
      <c r="C4065" s="436"/>
      <c r="D4065" s="436"/>
      <c r="E4065" s="436"/>
      <c r="F4065" s="436"/>
      <c r="H4065" s="467"/>
      <c r="I4065" s="467"/>
      <c r="J4065" s="469"/>
      <c r="AL4065" s="436"/>
      <c r="AM4065" s="436"/>
      <c r="AQ4065" s="436"/>
      <c r="AR4065" s="436"/>
      <c r="AS4065" s="436"/>
      <c r="AT4065" s="436"/>
      <c r="AU4065" s="436"/>
      <c r="AV4065" s="436"/>
      <c r="AW4065" s="436"/>
      <c r="AX4065" s="436"/>
      <c r="AY4065" s="436"/>
      <c r="AZ4065" s="475"/>
      <c r="BA4065" s="475"/>
      <c r="BF4065" s="1119"/>
      <c r="BG4065" s="1119"/>
      <c r="BH4065" s="1119"/>
    </row>
    <row r="4066" spans="1:60" ht="15.75" customHeight="1">
      <c r="A4066" s="436"/>
      <c r="C4066" s="436"/>
      <c r="D4066" s="436"/>
      <c r="E4066" s="436"/>
      <c r="F4066" s="436"/>
      <c r="H4066" s="467"/>
      <c r="I4066" s="467"/>
      <c r="J4066" s="469"/>
      <c r="AL4066" s="436"/>
      <c r="AM4066" s="436"/>
      <c r="AQ4066" s="436"/>
      <c r="AR4066" s="436"/>
      <c r="AS4066" s="436"/>
      <c r="AT4066" s="436"/>
      <c r="AU4066" s="436"/>
      <c r="AV4066" s="436"/>
      <c r="AW4066" s="436"/>
      <c r="AX4066" s="436"/>
      <c r="AY4066" s="436"/>
      <c r="AZ4066" s="475"/>
      <c r="BA4066" s="475"/>
      <c r="BF4066" s="1119"/>
      <c r="BG4066" s="1119"/>
      <c r="BH4066" s="1119"/>
    </row>
    <row r="4067" spans="1:60" ht="15.75" customHeight="1">
      <c r="A4067" s="436"/>
      <c r="C4067" s="436"/>
      <c r="D4067" s="436"/>
      <c r="E4067" s="436"/>
      <c r="F4067" s="436"/>
      <c r="H4067" s="467"/>
      <c r="I4067" s="467"/>
      <c r="J4067" s="469"/>
      <c r="AL4067" s="436"/>
      <c r="AM4067" s="436"/>
      <c r="AQ4067" s="436"/>
      <c r="AR4067" s="436"/>
      <c r="AS4067" s="436"/>
      <c r="AT4067" s="436"/>
      <c r="AU4067" s="436"/>
      <c r="AV4067" s="436"/>
      <c r="AW4067" s="436"/>
      <c r="AX4067" s="436"/>
      <c r="AY4067" s="436"/>
      <c r="AZ4067" s="475"/>
      <c r="BA4067" s="475"/>
      <c r="BF4067" s="1119"/>
      <c r="BG4067" s="1119"/>
      <c r="BH4067" s="1119"/>
    </row>
    <row r="4068" spans="1:60" ht="15.75" customHeight="1">
      <c r="A4068" s="436"/>
      <c r="C4068" s="436"/>
      <c r="D4068" s="436"/>
      <c r="E4068" s="436"/>
      <c r="F4068" s="436"/>
      <c r="H4068" s="467"/>
      <c r="I4068" s="467"/>
      <c r="J4068" s="469"/>
      <c r="AL4068" s="436"/>
      <c r="AM4068" s="436"/>
      <c r="AQ4068" s="436"/>
      <c r="AR4068" s="436"/>
      <c r="AS4068" s="436"/>
      <c r="AT4068" s="436"/>
      <c r="AU4068" s="436"/>
      <c r="AV4068" s="436"/>
      <c r="AW4068" s="436"/>
      <c r="AX4068" s="436"/>
      <c r="AY4068" s="436"/>
      <c r="AZ4068" s="475"/>
      <c r="BA4068" s="475"/>
      <c r="BF4068" s="1119"/>
      <c r="BG4068" s="1119"/>
      <c r="BH4068" s="1119"/>
    </row>
    <row r="4069" spans="1:60" ht="15.75" customHeight="1">
      <c r="A4069" s="436"/>
      <c r="C4069" s="436"/>
      <c r="D4069" s="436"/>
      <c r="E4069" s="436"/>
      <c r="F4069" s="436"/>
      <c r="H4069" s="467"/>
      <c r="I4069" s="467"/>
      <c r="J4069" s="469"/>
      <c r="AL4069" s="436"/>
      <c r="AM4069" s="436"/>
      <c r="AQ4069" s="436"/>
      <c r="AR4069" s="436"/>
      <c r="AS4069" s="436"/>
      <c r="AT4069" s="436"/>
      <c r="AU4069" s="436"/>
      <c r="AV4069" s="436"/>
      <c r="AW4069" s="436"/>
      <c r="AX4069" s="436"/>
      <c r="AY4069" s="436"/>
      <c r="AZ4069" s="475"/>
      <c r="BA4069" s="475"/>
      <c r="BF4069" s="1119"/>
      <c r="BG4069" s="1119"/>
      <c r="BH4069" s="1119"/>
    </row>
    <row r="4070" spans="1:60" ht="15.75" customHeight="1">
      <c r="A4070" s="436"/>
      <c r="C4070" s="436"/>
      <c r="D4070" s="436"/>
      <c r="E4070" s="436"/>
      <c r="F4070" s="436"/>
      <c r="H4070" s="467"/>
      <c r="I4070" s="467"/>
      <c r="J4070" s="469"/>
      <c r="AL4070" s="436"/>
      <c r="AM4070" s="436"/>
      <c r="AQ4070" s="436"/>
      <c r="AR4070" s="436"/>
      <c r="AS4070" s="436"/>
      <c r="AT4070" s="436"/>
      <c r="AU4070" s="436"/>
      <c r="AV4070" s="436"/>
      <c r="AW4070" s="436"/>
      <c r="AX4070" s="436"/>
      <c r="AY4070" s="436"/>
      <c r="AZ4070" s="475"/>
      <c r="BA4070" s="475"/>
      <c r="BF4070" s="1119"/>
      <c r="BG4070" s="1119"/>
      <c r="BH4070" s="1119"/>
    </row>
    <row r="4071" spans="1:60" ht="15.75" customHeight="1">
      <c r="A4071" s="436"/>
      <c r="C4071" s="436"/>
      <c r="D4071" s="436"/>
      <c r="E4071" s="436"/>
      <c r="F4071" s="436"/>
      <c r="H4071" s="467"/>
      <c r="I4071" s="467"/>
      <c r="J4071" s="469"/>
      <c r="AL4071" s="436"/>
      <c r="AM4071" s="436"/>
      <c r="AQ4071" s="436"/>
      <c r="AR4071" s="436"/>
      <c r="AS4071" s="436"/>
      <c r="AT4071" s="436"/>
      <c r="AU4071" s="436"/>
      <c r="AV4071" s="436"/>
      <c r="AW4071" s="436"/>
      <c r="AX4071" s="436"/>
      <c r="AY4071" s="436"/>
      <c r="AZ4071" s="475"/>
      <c r="BA4071" s="475"/>
      <c r="BF4071" s="1119"/>
      <c r="BG4071" s="1119"/>
      <c r="BH4071" s="1119"/>
    </row>
    <row r="4072" spans="1:60" ht="15.75" customHeight="1">
      <c r="A4072" s="436"/>
      <c r="C4072" s="436"/>
      <c r="D4072" s="436"/>
      <c r="E4072" s="436"/>
      <c r="F4072" s="436"/>
      <c r="H4072" s="467"/>
      <c r="I4072" s="467"/>
      <c r="J4072" s="469"/>
      <c r="AL4072" s="436"/>
      <c r="AM4072" s="436"/>
      <c r="AQ4072" s="436"/>
      <c r="AR4072" s="436"/>
      <c r="AS4072" s="436"/>
      <c r="AT4072" s="436"/>
      <c r="AU4072" s="436"/>
      <c r="AV4072" s="436"/>
      <c r="AW4072" s="436"/>
      <c r="AX4072" s="436"/>
      <c r="AY4072" s="436"/>
      <c r="AZ4072" s="475"/>
      <c r="BA4072" s="475"/>
      <c r="BF4072" s="1119"/>
      <c r="BG4072" s="1119"/>
      <c r="BH4072" s="1119"/>
    </row>
    <row r="4073" spans="1:60" ht="15.75" customHeight="1">
      <c r="A4073" s="436"/>
      <c r="C4073" s="436"/>
      <c r="D4073" s="436"/>
      <c r="E4073" s="436"/>
      <c r="F4073" s="436"/>
      <c r="H4073" s="467"/>
      <c r="I4073" s="467"/>
      <c r="J4073" s="469"/>
      <c r="AL4073" s="436"/>
      <c r="AM4073" s="436"/>
      <c r="AQ4073" s="436"/>
      <c r="AR4073" s="436"/>
      <c r="AS4073" s="436"/>
      <c r="AT4073" s="436"/>
      <c r="AU4073" s="436"/>
      <c r="AV4073" s="436"/>
      <c r="AW4073" s="436"/>
      <c r="AX4073" s="436"/>
      <c r="AY4073" s="436"/>
      <c r="AZ4073" s="475"/>
      <c r="BA4073" s="475"/>
      <c r="BF4073" s="1119"/>
      <c r="BG4073" s="1119"/>
      <c r="BH4073" s="1119"/>
    </row>
    <row r="4074" spans="1:60" ht="15.75" customHeight="1">
      <c r="A4074" s="436"/>
      <c r="C4074" s="436"/>
      <c r="D4074" s="436"/>
      <c r="E4074" s="436"/>
      <c r="F4074" s="436"/>
      <c r="H4074" s="467"/>
      <c r="I4074" s="467"/>
      <c r="J4074" s="469"/>
      <c r="AL4074" s="436"/>
      <c r="AM4074" s="436"/>
      <c r="AQ4074" s="436"/>
      <c r="AR4074" s="436"/>
      <c r="AS4074" s="436"/>
      <c r="AT4074" s="436"/>
      <c r="AU4074" s="436"/>
      <c r="AV4074" s="436"/>
      <c r="AW4074" s="436"/>
      <c r="AX4074" s="436"/>
      <c r="AY4074" s="436"/>
      <c r="AZ4074" s="475"/>
      <c r="BA4074" s="475"/>
      <c r="BF4074" s="1119"/>
      <c r="BG4074" s="1119"/>
      <c r="BH4074" s="1119"/>
    </row>
    <row r="4075" spans="1:60" ht="15.75" customHeight="1">
      <c r="A4075" s="436"/>
      <c r="C4075" s="436"/>
      <c r="D4075" s="436"/>
      <c r="E4075" s="436"/>
      <c r="F4075" s="436"/>
      <c r="H4075" s="467"/>
      <c r="I4075" s="467"/>
      <c r="J4075" s="469"/>
      <c r="AL4075" s="436"/>
      <c r="AM4075" s="436"/>
      <c r="AQ4075" s="436"/>
      <c r="AR4075" s="436"/>
      <c r="AS4075" s="436"/>
      <c r="AT4075" s="436"/>
      <c r="AU4075" s="436"/>
      <c r="AV4075" s="436"/>
      <c r="AW4075" s="436"/>
      <c r="AX4075" s="436"/>
      <c r="AY4075" s="436"/>
      <c r="AZ4075" s="475"/>
      <c r="BA4075" s="475"/>
      <c r="BF4075" s="1119"/>
      <c r="BG4075" s="1119"/>
      <c r="BH4075" s="1119"/>
    </row>
    <row r="4076" spans="1:60" ht="15.75" customHeight="1">
      <c r="A4076" s="436"/>
      <c r="C4076" s="436"/>
      <c r="D4076" s="436"/>
      <c r="E4076" s="436"/>
      <c r="F4076" s="436"/>
      <c r="H4076" s="467"/>
      <c r="I4076" s="467"/>
      <c r="J4076" s="469"/>
      <c r="AL4076" s="436"/>
      <c r="AM4076" s="436"/>
      <c r="AQ4076" s="436"/>
      <c r="AR4076" s="436"/>
      <c r="AS4076" s="436"/>
      <c r="AT4076" s="436"/>
      <c r="AU4076" s="436"/>
      <c r="AV4076" s="436"/>
      <c r="AW4076" s="436"/>
      <c r="AX4076" s="436"/>
      <c r="AY4076" s="436"/>
      <c r="AZ4076" s="475"/>
      <c r="BA4076" s="475"/>
      <c r="BF4076" s="1119"/>
      <c r="BG4076" s="1119"/>
      <c r="BH4076" s="1119"/>
    </row>
    <row r="4077" spans="1:60" ht="15.75" customHeight="1">
      <c r="A4077" s="436"/>
      <c r="C4077" s="436"/>
      <c r="D4077" s="436"/>
      <c r="E4077" s="436"/>
      <c r="F4077" s="436"/>
      <c r="H4077" s="467"/>
      <c r="I4077" s="467"/>
      <c r="J4077" s="469"/>
      <c r="AL4077" s="436"/>
      <c r="AM4077" s="436"/>
      <c r="AQ4077" s="436"/>
      <c r="AR4077" s="436"/>
      <c r="AS4077" s="436"/>
      <c r="AT4077" s="436"/>
      <c r="AU4077" s="436"/>
      <c r="AV4077" s="436"/>
      <c r="AW4077" s="436"/>
      <c r="AX4077" s="436"/>
      <c r="AY4077" s="436"/>
      <c r="AZ4077" s="475"/>
      <c r="BA4077" s="475"/>
      <c r="BF4077" s="1119"/>
      <c r="BG4077" s="1119"/>
      <c r="BH4077" s="1119"/>
    </row>
    <row r="4078" spans="1:60" ht="15.75" customHeight="1">
      <c r="A4078" s="436"/>
      <c r="C4078" s="436"/>
      <c r="D4078" s="436"/>
      <c r="E4078" s="436"/>
      <c r="F4078" s="436"/>
      <c r="H4078" s="467"/>
      <c r="I4078" s="467"/>
      <c r="J4078" s="469"/>
      <c r="AL4078" s="436"/>
      <c r="AM4078" s="436"/>
      <c r="AQ4078" s="436"/>
      <c r="AR4078" s="436"/>
      <c r="AS4078" s="436"/>
      <c r="AT4078" s="436"/>
      <c r="AU4078" s="436"/>
      <c r="AV4078" s="436"/>
      <c r="AW4078" s="436"/>
      <c r="AX4078" s="436"/>
      <c r="AY4078" s="436"/>
      <c r="AZ4078" s="475"/>
      <c r="BA4078" s="475"/>
      <c r="BF4078" s="1119"/>
      <c r="BG4078" s="1119"/>
      <c r="BH4078" s="1119"/>
    </row>
    <row r="4079" spans="1:60" ht="15.75" customHeight="1">
      <c r="A4079" s="436"/>
      <c r="C4079" s="436"/>
      <c r="D4079" s="436"/>
      <c r="E4079" s="436"/>
      <c r="F4079" s="436"/>
      <c r="H4079" s="467"/>
      <c r="I4079" s="467"/>
      <c r="J4079" s="469"/>
      <c r="AL4079" s="436"/>
      <c r="AM4079" s="436"/>
      <c r="AQ4079" s="436"/>
      <c r="AR4079" s="436"/>
      <c r="AS4079" s="436"/>
      <c r="AT4079" s="436"/>
      <c r="AU4079" s="436"/>
      <c r="AV4079" s="436"/>
      <c r="AW4079" s="436"/>
      <c r="AX4079" s="436"/>
      <c r="AY4079" s="436"/>
      <c r="AZ4079" s="475"/>
      <c r="BA4079" s="475"/>
      <c r="BF4079" s="1119"/>
      <c r="BG4079" s="1119"/>
      <c r="BH4079" s="1119"/>
    </row>
    <row r="4080" spans="1:60" ht="15.75" customHeight="1">
      <c r="A4080" s="436"/>
      <c r="C4080" s="436"/>
      <c r="D4080" s="436"/>
      <c r="E4080" s="436"/>
      <c r="F4080" s="436"/>
      <c r="H4080" s="467"/>
      <c r="I4080" s="467"/>
      <c r="J4080" s="469"/>
      <c r="AL4080" s="436"/>
      <c r="AM4080" s="436"/>
      <c r="AQ4080" s="436"/>
      <c r="AR4080" s="436"/>
      <c r="AS4080" s="436"/>
      <c r="AT4080" s="436"/>
      <c r="AU4080" s="436"/>
      <c r="AV4080" s="436"/>
      <c r="AW4080" s="436"/>
      <c r="AX4080" s="436"/>
      <c r="AY4080" s="436"/>
      <c r="AZ4080" s="475"/>
      <c r="BA4080" s="475"/>
      <c r="BF4080" s="1119"/>
      <c r="BG4080" s="1119"/>
      <c r="BH4080" s="1119"/>
    </row>
    <row r="4081" spans="1:60" ht="15.75" customHeight="1">
      <c r="A4081" s="436"/>
      <c r="C4081" s="436"/>
      <c r="D4081" s="436"/>
      <c r="E4081" s="436"/>
      <c r="F4081" s="436"/>
      <c r="H4081" s="467"/>
      <c r="I4081" s="467"/>
      <c r="J4081" s="469"/>
      <c r="AL4081" s="436"/>
      <c r="AM4081" s="436"/>
      <c r="AQ4081" s="436"/>
      <c r="AR4081" s="436"/>
      <c r="AS4081" s="436"/>
      <c r="AT4081" s="436"/>
      <c r="AU4081" s="436"/>
      <c r="AV4081" s="436"/>
      <c r="AW4081" s="436"/>
      <c r="AX4081" s="436"/>
      <c r="AY4081" s="436"/>
      <c r="AZ4081" s="475"/>
      <c r="BA4081" s="475"/>
      <c r="BF4081" s="1119"/>
      <c r="BG4081" s="1119"/>
      <c r="BH4081" s="1119"/>
    </row>
    <row r="4082" spans="1:60" ht="15.75" customHeight="1">
      <c r="A4082" s="436"/>
      <c r="C4082" s="436"/>
      <c r="D4082" s="436"/>
      <c r="E4082" s="436"/>
      <c r="F4082" s="436"/>
      <c r="H4082" s="467"/>
      <c r="I4082" s="467"/>
      <c r="J4082" s="469"/>
      <c r="AL4082" s="436"/>
      <c r="AM4082" s="436"/>
      <c r="AQ4082" s="436"/>
      <c r="AR4082" s="436"/>
      <c r="AS4082" s="436"/>
      <c r="AT4082" s="436"/>
      <c r="AU4082" s="436"/>
      <c r="AV4082" s="436"/>
      <c r="AW4082" s="436"/>
      <c r="AX4082" s="436"/>
      <c r="AY4082" s="436"/>
      <c r="AZ4082" s="475"/>
      <c r="BA4082" s="475"/>
      <c r="BF4082" s="1119"/>
      <c r="BG4082" s="1119"/>
      <c r="BH4082" s="1119"/>
    </row>
    <row r="4083" spans="1:60" ht="15.75" customHeight="1">
      <c r="A4083" s="436"/>
      <c r="C4083" s="436"/>
      <c r="D4083" s="436"/>
      <c r="E4083" s="436"/>
      <c r="F4083" s="436"/>
      <c r="H4083" s="467"/>
      <c r="I4083" s="467"/>
      <c r="J4083" s="469"/>
      <c r="AL4083" s="436"/>
      <c r="AM4083" s="436"/>
      <c r="AQ4083" s="436"/>
      <c r="AR4083" s="436"/>
      <c r="AS4083" s="436"/>
      <c r="AT4083" s="436"/>
      <c r="AU4083" s="436"/>
      <c r="AV4083" s="436"/>
      <c r="AW4083" s="436"/>
      <c r="AX4083" s="436"/>
      <c r="AY4083" s="436"/>
      <c r="AZ4083" s="475"/>
      <c r="BA4083" s="475"/>
      <c r="BF4083" s="1119"/>
      <c r="BG4083" s="1119"/>
      <c r="BH4083" s="1119"/>
    </row>
    <row r="4084" spans="1:60" ht="15.75" customHeight="1">
      <c r="A4084" s="436"/>
      <c r="C4084" s="436"/>
      <c r="D4084" s="436"/>
      <c r="E4084" s="436"/>
      <c r="F4084" s="436"/>
      <c r="H4084" s="467"/>
      <c r="I4084" s="467"/>
      <c r="J4084" s="469"/>
      <c r="AL4084" s="436"/>
      <c r="AM4084" s="436"/>
      <c r="AQ4084" s="436"/>
      <c r="AR4084" s="436"/>
      <c r="AS4084" s="436"/>
      <c r="AT4084" s="436"/>
      <c r="AU4084" s="436"/>
      <c r="AV4084" s="436"/>
      <c r="AW4084" s="436"/>
      <c r="AX4084" s="436"/>
      <c r="AY4084" s="436"/>
      <c r="AZ4084" s="475"/>
      <c r="BA4084" s="475"/>
      <c r="BF4084" s="1119"/>
      <c r="BG4084" s="1119"/>
      <c r="BH4084" s="1119"/>
    </row>
    <row r="4085" spans="1:60" ht="15.75" customHeight="1">
      <c r="A4085" s="436"/>
      <c r="C4085" s="436"/>
      <c r="D4085" s="436"/>
      <c r="E4085" s="436"/>
      <c r="F4085" s="436"/>
      <c r="H4085" s="467"/>
      <c r="I4085" s="467"/>
      <c r="J4085" s="469"/>
      <c r="AL4085" s="436"/>
      <c r="AM4085" s="436"/>
      <c r="AQ4085" s="436"/>
      <c r="AR4085" s="436"/>
      <c r="AS4085" s="436"/>
      <c r="AT4085" s="436"/>
      <c r="AU4085" s="436"/>
      <c r="AV4085" s="436"/>
      <c r="AW4085" s="436"/>
      <c r="AX4085" s="436"/>
      <c r="AY4085" s="436"/>
      <c r="AZ4085" s="475"/>
      <c r="BA4085" s="475"/>
      <c r="BF4085" s="1119"/>
      <c r="BG4085" s="1119"/>
      <c r="BH4085" s="1119"/>
    </row>
    <row r="4086" spans="1:60" ht="15.75" customHeight="1">
      <c r="A4086" s="436"/>
      <c r="C4086" s="436"/>
      <c r="D4086" s="436"/>
      <c r="E4086" s="436"/>
      <c r="F4086" s="436"/>
      <c r="H4086" s="467"/>
      <c r="I4086" s="467"/>
      <c r="J4086" s="469"/>
      <c r="AL4086" s="436"/>
      <c r="AM4086" s="436"/>
      <c r="AQ4086" s="436"/>
      <c r="AR4086" s="436"/>
      <c r="AS4086" s="436"/>
      <c r="AT4086" s="436"/>
      <c r="AU4086" s="436"/>
      <c r="AV4086" s="436"/>
      <c r="AW4086" s="436"/>
      <c r="AX4086" s="436"/>
      <c r="AY4086" s="436"/>
      <c r="AZ4086" s="475"/>
      <c r="BA4086" s="475"/>
      <c r="BF4086" s="1119"/>
      <c r="BG4086" s="1119"/>
      <c r="BH4086" s="1119"/>
    </row>
    <row r="4087" spans="1:60" ht="15.75" customHeight="1">
      <c r="A4087" s="436"/>
      <c r="C4087" s="436"/>
      <c r="D4087" s="436"/>
      <c r="E4087" s="436"/>
      <c r="F4087" s="436"/>
      <c r="H4087" s="467"/>
      <c r="I4087" s="467"/>
      <c r="J4087" s="469"/>
      <c r="AL4087" s="436"/>
      <c r="AM4087" s="436"/>
      <c r="AQ4087" s="436"/>
      <c r="AR4087" s="436"/>
      <c r="AS4087" s="436"/>
      <c r="AT4087" s="436"/>
      <c r="AU4087" s="436"/>
      <c r="AV4087" s="436"/>
      <c r="AW4087" s="436"/>
      <c r="AX4087" s="436"/>
      <c r="AY4087" s="436"/>
      <c r="AZ4087" s="475"/>
      <c r="BA4087" s="475"/>
      <c r="BF4087" s="1119"/>
      <c r="BG4087" s="1119"/>
      <c r="BH4087" s="1119"/>
    </row>
    <row r="4088" spans="1:60" ht="15.75" customHeight="1">
      <c r="A4088" s="436"/>
      <c r="C4088" s="436"/>
      <c r="D4088" s="436"/>
      <c r="E4088" s="436"/>
      <c r="F4088" s="436"/>
      <c r="H4088" s="467"/>
      <c r="I4088" s="467"/>
      <c r="J4088" s="469"/>
      <c r="AL4088" s="436"/>
      <c r="AM4088" s="436"/>
      <c r="AQ4088" s="436"/>
      <c r="AR4088" s="436"/>
      <c r="AS4088" s="436"/>
      <c r="AT4088" s="436"/>
      <c r="AU4088" s="436"/>
      <c r="AV4088" s="436"/>
      <c r="AW4088" s="436"/>
      <c r="AX4088" s="436"/>
      <c r="AY4088" s="436"/>
      <c r="AZ4088" s="475"/>
      <c r="BA4088" s="475"/>
      <c r="BF4088" s="1119"/>
      <c r="BG4088" s="1119"/>
      <c r="BH4088" s="1119"/>
    </row>
    <row r="4089" spans="1:60" ht="15.75" customHeight="1">
      <c r="A4089" s="436"/>
      <c r="C4089" s="436"/>
      <c r="D4089" s="436"/>
      <c r="E4089" s="436"/>
      <c r="F4089" s="436"/>
      <c r="H4089" s="467"/>
      <c r="I4089" s="467"/>
      <c r="J4089" s="469"/>
      <c r="AL4089" s="436"/>
      <c r="AM4089" s="436"/>
      <c r="AQ4089" s="436"/>
      <c r="AR4089" s="436"/>
      <c r="AS4089" s="436"/>
      <c r="AT4089" s="436"/>
      <c r="AU4089" s="436"/>
      <c r="AV4089" s="436"/>
      <c r="AW4089" s="436"/>
      <c r="AX4089" s="436"/>
      <c r="AY4089" s="436"/>
      <c r="AZ4089" s="475"/>
      <c r="BA4089" s="475"/>
      <c r="BF4089" s="1119"/>
      <c r="BG4089" s="1119"/>
      <c r="BH4089" s="1119"/>
    </row>
    <row r="4090" spans="1:60" ht="15.75" customHeight="1">
      <c r="A4090" s="436"/>
      <c r="C4090" s="436"/>
      <c r="D4090" s="436"/>
      <c r="E4090" s="436"/>
      <c r="F4090" s="436"/>
      <c r="H4090" s="467"/>
      <c r="I4090" s="467"/>
      <c r="J4090" s="469"/>
      <c r="AL4090" s="436"/>
      <c r="AM4090" s="436"/>
      <c r="AQ4090" s="436"/>
      <c r="AR4090" s="436"/>
      <c r="AS4090" s="436"/>
      <c r="AT4090" s="436"/>
      <c r="AU4090" s="436"/>
      <c r="AV4090" s="436"/>
      <c r="AW4090" s="436"/>
      <c r="AX4090" s="436"/>
      <c r="AY4090" s="436"/>
      <c r="AZ4090" s="475"/>
      <c r="BA4090" s="475"/>
      <c r="BF4090" s="1119"/>
      <c r="BG4090" s="1119"/>
      <c r="BH4090" s="1119"/>
    </row>
    <row r="4091" spans="1:60" ht="15.75" customHeight="1">
      <c r="A4091" s="436"/>
      <c r="C4091" s="436"/>
      <c r="D4091" s="436"/>
      <c r="E4091" s="436"/>
      <c r="F4091" s="436"/>
      <c r="H4091" s="467"/>
      <c r="I4091" s="467"/>
      <c r="J4091" s="469"/>
      <c r="AL4091" s="436"/>
      <c r="AM4091" s="436"/>
      <c r="AQ4091" s="436"/>
      <c r="AR4091" s="436"/>
      <c r="AS4091" s="436"/>
      <c r="AT4091" s="436"/>
      <c r="AU4091" s="436"/>
      <c r="AV4091" s="436"/>
      <c r="AW4091" s="436"/>
      <c r="AX4091" s="436"/>
      <c r="AY4091" s="436"/>
      <c r="AZ4091" s="475"/>
      <c r="BA4091" s="475"/>
      <c r="BF4091" s="1119"/>
      <c r="BG4091" s="1119"/>
      <c r="BH4091" s="1119"/>
    </row>
    <row r="4092" spans="1:60" ht="15.75" customHeight="1">
      <c r="A4092" s="436"/>
      <c r="C4092" s="436"/>
      <c r="D4092" s="436"/>
      <c r="E4092" s="436"/>
      <c r="F4092" s="436"/>
      <c r="H4092" s="467"/>
      <c r="I4092" s="467"/>
      <c r="J4092" s="469"/>
      <c r="AL4092" s="436"/>
      <c r="AM4092" s="436"/>
      <c r="AQ4092" s="436"/>
      <c r="AR4092" s="436"/>
      <c r="AS4092" s="436"/>
      <c r="AT4092" s="436"/>
      <c r="AU4092" s="436"/>
      <c r="AV4092" s="436"/>
      <c r="AW4092" s="436"/>
      <c r="AX4092" s="436"/>
      <c r="AY4092" s="436"/>
      <c r="AZ4092" s="475"/>
      <c r="BA4092" s="475"/>
      <c r="BF4092" s="1119"/>
      <c r="BG4092" s="1119"/>
      <c r="BH4092" s="1119"/>
    </row>
    <row r="4093" spans="1:60" ht="15.75" customHeight="1">
      <c r="A4093" s="436"/>
      <c r="C4093" s="436"/>
      <c r="D4093" s="436"/>
      <c r="E4093" s="436"/>
      <c r="F4093" s="436"/>
      <c r="H4093" s="467"/>
      <c r="I4093" s="467"/>
      <c r="J4093" s="469"/>
      <c r="AL4093" s="436"/>
      <c r="AM4093" s="436"/>
      <c r="AQ4093" s="436"/>
      <c r="AR4093" s="436"/>
      <c r="AS4093" s="436"/>
      <c r="AT4093" s="436"/>
      <c r="AU4093" s="436"/>
      <c r="AV4093" s="436"/>
      <c r="AW4093" s="436"/>
      <c r="AX4093" s="436"/>
      <c r="AY4093" s="436"/>
      <c r="AZ4093" s="475"/>
      <c r="BA4093" s="475"/>
      <c r="BF4093" s="1119"/>
      <c r="BG4093" s="1119"/>
      <c r="BH4093" s="1119"/>
    </row>
    <row r="4094" spans="1:60" ht="15.75" customHeight="1">
      <c r="A4094" s="436"/>
      <c r="C4094" s="436"/>
      <c r="D4094" s="436"/>
      <c r="E4094" s="436"/>
      <c r="F4094" s="436"/>
      <c r="H4094" s="467"/>
      <c r="I4094" s="467"/>
      <c r="J4094" s="469"/>
      <c r="AL4094" s="436"/>
      <c r="AM4094" s="436"/>
      <c r="AQ4094" s="436"/>
      <c r="AR4094" s="436"/>
      <c r="AS4094" s="436"/>
      <c r="AT4094" s="436"/>
      <c r="AU4094" s="436"/>
      <c r="AV4094" s="436"/>
      <c r="AW4094" s="436"/>
      <c r="AX4094" s="436"/>
      <c r="AY4094" s="436"/>
      <c r="AZ4094" s="475"/>
      <c r="BA4094" s="475"/>
      <c r="BF4094" s="1119"/>
      <c r="BG4094" s="1119"/>
      <c r="BH4094" s="1119"/>
    </row>
    <row r="4095" spans="1:60" ht="15.75" customHeight="1">
      <c r="A4095" s="436"/>
      <c r="C4095" s="436"/>
      <c r="D4095" s="436"/>
      <c r="E4095" s="436"/>
      <c r="F4095" s="436"/>
      <c r="H4095" s="467"/>
      <c r="I4095" s="467"/>
      <c r="J4095" s="469"/>
      <c r="AL4095" s="436"/>
      <c r="AM4095" s="436"/>
      <c r="AQ4095" s="436"/>
      <c r="AR4095" s="436"/>
      <c r="AS4095" s="436"/>
      <c r="AT4095" s="436"/>
      <c r="AU4095" s="436"/>
      <c r="AV4095" s="436"/>
      <c r="AW4095" s="436"/>
      <c r="AX4095" s="436"/>
      <c r="AY4095" s="436"/>
      <c r="AZ4095" s="475"/>
      <c r="BA4095" s="475"/>
      <c r="BF4095" s="1119"/>
      <c r="BG4095" s="1119"/>
      <c r="BH4095" s="1119"/>
    </row>
    <row r="4096" spans="1:60" ht="15.75" customHeight="1">
      <c r="A4096" s="436"/>
      <c r="C4096" s="436"/>
      <c r="D4096" s="436"/>
      <c r="E4096" s="436"/>
      <c r="F4096" s="436"/>
      <c r="H4096" s="467"/>
      <c r="I4096" s="467"/>
      <c r="J4096" s="469"/>
      <c r="AL4096" s="436"/>
      <c r="AM4096" s="436"/>
      <c r="AQ4096" s="436"/>
      <c r="AR4096" s="436"/>
      <c r="AS4096" s="436"/>
      <c r="AT4096" s="436"/>
      <c r="AU4096" s="436"/>
      <c r="AV4096" s="436"/>
      <c r="AW4096" s="436"/>
      <c r="AX4096" s="436"/>
      <c r="AY4096" s="436"/>
      <c r="AZ4096" s="475"/>
      <c r="BA4096" s="475"/>
      <c r="BF4096" s="1119"/>
      <c r="BG4096" s="1119"/>
      <c r="BH4096" s="1119"/>
    </row>
    <row r="4097" spans="1:60" ht="15.75" customHeight="1">
      <c r="A4097" s="436"/>
      <c r="C4097" s="436"/>
      <c r="D4097" s="436"/>
      <c r="E4097" s="436"/>
      <c r="F4097" s="436"/>
      <c r="H4097" s="467"/>
      <c r="I4097" s="467"/>
      <c r="J4097" s="469"/>
      <c r="AL4097" s="436"/>
      <c r="AM4097" s="436"/>
      <c r="AQ4097" s="436"/>
      <c r="AR4097" s="436"/>
      <c r="AS4097" s="436"/>
      <c r="AT4097" s="436"/>
      <c r="AU4097" s="436"/>
      <c r="AV4097" s="436"/>
      <c r="AW4097" s="436"/>
      <c r="AX4097" s="436"/>
      <c r="AY4097" s="436"/>
      <c r="AZ4097" s="475"/>
      <c r="BA4097" s="475"/>
      <c r="BF4097" s="1119"/>
      <c r="BG4097" s="1119"/>
      <c r="BH4097" s="1119"/>
    </row>
    <row r="4098" spans="1:60" ht="15.75" customHeight="1">
      <c r="A4098" s="436"/>
      <c r="C4098" s="436"/>
      <c r="D4098" s="436"/>
      <c r="E4098" s="436"/>
      <c r="F4098" s="436"/>
      <c r="H4098" s="467"/>
      <c r="I4098" s="467"/>
      <c r="J4098" s="469"/>
      <c r="AL4098" s="436"/>
      <c r="AM4098" s="436"/>
      <c r="AQ4098" s="436"/>
      <c r="AR4098" s="436"/>
      <c r="AS4098" s="436"/>
      <c r="AT4098" s="436"/>
      <c r="AU4098" s="436"/>
      <c r="AV4098" s="436"/>
      <c r="AW4098" s="436"/>
      <c r="AX4098" s="436"/>
      <c r="AY4098" s="436"/>
      <c r="AZ4098" s="475"/>
      <c r="BA4098" s="475"/>
      <c r="BF4098" s="1119"/>
      <c r="BG4098" s="1119"/>
      <c r="BH4098" s="1119"/>
    </row>
    <row r="4099" spans="1:60" ht="15.75" customHeight="1">
      <c r="A4099" s="436"/>
      <c r="C4099" s="436"/>
      <c r="D4099" s="436"/>
      <c r="E4099" s="436"/>
      <c r="F4099" s="436"/>
      <c r="H4099" s="467"/>
      <c r="I4099" s="467"/>
      <c r="J4099" s="469"/>
      <c r="AL4099" s="436"/>
      <c r="AM4099" s="436"/>
      <c r="AQ4099" s="436"/>
      <c r="AR4099" s="436"/>
      <c r="AS4099" s="436"/>
      <c r="AT4099" s="436"/>
      <c r="AU4099" s="436"/>
      <c r="AV4099" s="436"/>
      <c r="AW4099" s="436"/>
      <c r="AX4099" s="436"/>
      <c r="AY4099" s="436"/>
      <c r="AZ4099" s="475"/>
      <c r="BA4099" s="475"/>
      <c r="BF4099" s="1119"/>
      <c r="BG4099" s="1119"/>
      <c r="BH4099" s="1119"/>
    </row>
    <row r="4100" spans="1:60" ht="15.75" customHeight="1">
      <c r="A4100" s="436"/>
      <c r="C4100" s="436"/>
      <c r="D4100" s="436"/>
      <c r="E4100" s="436"/>
      <c r="F4100" s="436"/>
      <c r="H4100" s="467"/>
      <c r="I4100" s="467"/>
      <c r="J4100" s="469"/>
      <c r="AL4100" s="436"/>
      <c r="AM4100" s="436"/>
      <c r="AQ4100" s="436"/>
      <c r="AR4100" s="436"/>
      <c r="AS4100" s="436"/>
      <c r="AT4100" s="436"/>
      <c r="AU4100" s="436"/>
      <c r="AV4100" s="436"/>
      <c r="AW4100" s="436"/>
      <c r="AX4100" s="436"/>
      <c r="AY4100" s="436"/>
      <c r="AZ4100" s="475"/>
      <c r="BA4100" s="475"/>
      <c r="BF4100" s="1119"/>
      <c r="BG4100" s="1119"/>
      <c r="BH4100" s="1119"/>
    </row>
    <row r="4101" spans="1:60" ht="15.75" customHeight="1">
      <c r="A4101" s="436"/>
      <c r="C4101" s="436"/>
      <c r="D4101" s="436"/>
      <c r="E4101" s="436"/>
      <c r="F4101" s="436"/>
      <c r="H4101" s="467"/>
      <c r="I4101" s="467"/>
      <c r="J4101" s="469"/>
      <c r="AL4101" s="436"/>
      <c r="AM4101" s="436"/>
      <c r="AQ4101" s="436"/>
      <c r="AR4101" s="436"/>
      <c r="AS4101" s="436"/>
      <c r="AT4101" s="436"/>
      <c r="AU4101" s="436"/>
      <c r="AV4101" s="436"/>
      <c r="AW4101" s="436"/>
      <c r="AX4101" s="436"/>
      <c r="AY4101" s="436"/>
      <c r="AZ4101" s="475"/>
      <c r="BA4101" s="475"/>
      <c r="BF4101" s="1119"/>
      <c r="BG4101" s="1119"/>
      <c r="BH4101" s="1119"/>
    </row>
    <row r="4102" spans="1:60" ht="15.75" customHeight="1">
      <c r="A4102" s="436"/>
      <c r="C4102" s="436"/>
      <c r="D4102" s="436"/>
      <c r="E4102" s="436"/>
      <c r="F4102" s="436"/>
      <c r="H4102" s="467"/>
      <c r="I4102" s="467"/>
      <c r="J4102" s="469"/>
      <c r="AL4102" s="436"/>
      <c r="AM4102" s="436"/>
      <c r="AQ4102" s="436"/>
      <c r="AR4102" s="436"/>
      <c r="AS4102" s="436"/>
      <c r="AT4102" s="436"/>
      <c r="AU4102" s="436"/>
      <c r="AV4102" s="436"/>
      <c r="AW4102" s="436"/>
      <c r="AX4102" s="436"/>
      <c r="AY4102" s="436"/>
      <c r="AZ4102" s="475"/>
      <c r="BA4102" s="475"/>
      <c r="BF4102" s="1119"/>
      <c r="BG4102" s="1119"/>
      <c r="BH4102" s="1119"/>
    </row>
    <row r="4103" spans="1:60" ht="15.75" customHeight="1">
      <c r="A4103" s="436"/>
      <c r="C4103" s="436"/>
      <c r="D4103" s="436"/>
      <c r="E4103" s="436"/>
      <c r="F4103" s="436"/>
      <c r="H4103" s="467"/>
      <c r="I4103" s="467"/>
      <c r="J4103" s="469"/>
      <c r="AL4103" s="436"/>
      <c r="AM4103" s="436"/>
      <c r="AQ4103" s="436"/>
      <c r="AR4103" s="436"/>
      <c r="AS4103" s="436"/>
      <c r="AT4103" s="436"/>
      <c r="AU4103" s="436"/>
      <c r="AV4103" s="436"/>
      <c r="AW4103" s="436"/>
      <c r="AX4103" s="436"/>
      <c r="AY4103" s="436"/>
      <c r="AZ4103" s="475"/>
      <c r="BA4103" s="475"/>
      <c r="BF4103" s="1119"/>
      <c r="BG4103" s="1119"/>
      <c r="BH4103" s="1119"/>
    </row>
    <row r="4104" spans="1:60" ht="15.75" customHeight="1">
      <c r="A4104" s="436"/>
      <c r="C4104" s="436"/>
      <c r="D4104" s="436"/>
      <c r="E4104" s="436"/>
      <c r="F4104" s="436"/>
      <c r="H4104" s="467"/>
      <c r="I4104" s="467"/>
      <c r="J4104" s="469"/>
      <c r="AL4104" s="436"/>
      <c r="AM4104" s="436"/>
      <c r="AQ4104" s="436"/>
      <c r="AR4104" s="436"/>
      <c r="AS4104" s="436"/>
      <c r="AT4104" s="436"/>
      <c r="AU4104" s="436"/>
      <c r="AV4104" s="436"/>
      <c r="AW4104" s="436"/>
      <c r="AX4104" s="436"/>
      <c r="AY4104" s="436"/>
      <c r="AZ4104" s="475"/>
      <c r="BA4104" s="475"/>
      <c r="BF4104" s="1119"/>
      <c r="BG4104" s="1119"/>
      <c r="BH4104" s="1119"/>
    </row>
    <row r="4105" spans="1:60" ht="15.75" customHeight="1">
      <c r="A4105" s="436"/>
      <c r="C4105" s="436"/>
      <c r="D4105" s="436"/>
      <c r="E4105" s="436"/>
      <c r="F4105" s="436"/>
      <c r="H4105" s="467"/>
      <c r="I4105" s="467"/>
      <c r="J4105" s="469"/>
      <c r="AL4105" s="436"/>
      <c r="AM4105" s="436"/>
      <c r="AQ4105" s="436"/>
      <c r="AR4105" s="436"/>
      <c r="AS4105" s="436"/>
      <c r="AT4105" s="436"/>
      <c r="AU4105" s="436"/>
      <c r="AV4105" s="436"/>
      <c r="AW4105" s="436"/>
      <c r="AX4105" s="436"/>
      <c r="AY4105" s="436"/>
      <c r="AZ4105" s="475"/>
      <c r="BA4105" s="475"/>
      <c r="BF4105" s="1119"/>
      <c r="BG4105" s="1119"/>
      <c r="BH4105" s="1119"/>
    </row>
    <row r="4106" spans="1:60" ht="15.75" customHeight="1">
      <c r="A4106" s="436"/>
      <c r="C4106" s="436"/>
      <c r="D4106" s="436"/>
      <c r="E4106" s="436"/>
      <c r="F4106" s="436"/>
      <c r="H4106" s="467"/>
      <c r="I4106" s="467"/>
      <c r="J4106" s="469"/>
      <c r="AL4106" s="436"/>
      <c r="AM4106" s="436"/>
      <c r="AQ4106" s="436"/>
      <c r="AR4106" s="436"/>
      <c r="AS4106" s="436"/>
      <c r="AT4106" s="436"/>
      <c r="AU4106" s="436"/>
      <c r="AV4106" s="436"/>
      <c r="AW4106" s="436"/>
      <c r="AX4106" s="436"/>
      <c r="AY4106" s="436"/>
      <c r="AZ4106" s="475"/>
      <c r="BA4106" s="475"/>
      <c r="BF4106" s="1119"/>
      <c r="BG4106" s="1119"/>
      <c r="BH4106" s="1119"/>
    </row>
    <row r="4107" spans="1:60" ht="15.75" customHeight="1">
      <c r="A4107" s="436"/>
      <c r="C4107" s="436"/>
      <c r="D4107" s="436"/>
      <c r="E4107" s="436"/>
      <c r="F4107" s="436"/>
      <c r="H4107" s="467"/>
      <c r="I4107" s="467"/>
      <c r="J4107" s="469"/>
      <c r="AL4107" s="436"/>
      <c r="AM4107" s="436"/>
      <c r="AQ4107" s="436"/>
      <c r="AR4107" s="436"/>
      <c r="AS4107" s="436"/>
      <c r="AT4107" s="436"/>
      <c r="AU4107" s="436"/>
      <c r="AV4107" s="436"/>
      <c r="AW4107" s="436"/>
      <c r="AX4107" s="436"/>
      <c r="AY4107" s="436"/>
      <c r="AZ4107" s="475"/>
      <c r="BA4107" s="475"/>
      <c r="BF4107" s="1119"/>
      <c r="BG4107" s="1119"/>
      <c r="BH4107" s="1119"/>
    </row>
    <row r="4108" spans="1:60" ht="15.75" customHeight="1">
      <c r="A4108" s="436"/>
      <c r="C4108" s="436"/>
      <c r="D4108" s="436"/>
      <c r="E4108" s="436"/>
      <c r="F4108" s="436"/>
      <c r="H4108" s="467"/>
      <c r="I4108" s="467"/>
      <c r="J4108" s="469"/>
      <c r="AL4108" s="436"/>
      <c r="AM4108" s="436"/>
      <c r="AQ4108" s="436"/>
      <c r="AR4108" s="436"/>
      <c r="AS4108" s="436"/>
      <c r="AT4108" s="436"/>
      <c r="AU4108" s="436"/>
      <c r="AV4108" s="436"/>
      <c r="AW4108" s="436"/>
      <c r="AX4108" s="436"/>
      <c r="AY4108" s="436"/>
      <c r="AZ4108" s="475"/>
      <c r="BA4108" s="475"/>
      <c r="BF4108" s="1119"/>
      <c r="BG4108" s="1119"/>
      <c r="BH4108" s="1119"/>
    </row>
    <row r="4109" spans="1:60" ht="15.75" customHeight="1">
      <c r="A4109" s="436"/>
      <c r="C4109" s="436"/>
      <c r="D4109" s="436"/>
      <c r="E4109" s="436"/>
      <c r="F4109" s="436"/>
      <c r="H4109" s="467"/>
      <c r="I4109" s="467"/>
      <c r="J4109" s="469"/>
      <c r="AL4109" s="436"/>
      <c r="AM4109" s="436"/>
      <c r="AQ4109" s="436"/>
      <c r="AR4109" s="436"/>
      <c r="AS4109" s="436"/>
      <c r="AT4109" s="436"/>
      <c r="AU4109" s="436"/>
      <c r="AV4109" s="436"/>
      <c r="AW4109" s="436"/>
      <c r="AX4109" s="436"/>
      <c r="AY4109" s="436"/>
      <c r="AZ4109" s="475"/>
      <c r="BA4109" s="475"/>
      <c r="BF4109" s="1119"/>
      <c r="BG4109" s="1119"/>
      <c r="BH4109" s="1119"/>
    </row>
    <row r="4110" spans="1:60" ht="15.75" customHeight="1">
      <c r="A4110" s="436"/>
      <c r="C4110" s="436"/>
      <c r="D4110" s="436"/>
      <c r="E4110" s="436"/>
      <c r="F4110" s="436"/>
      <c r="H4110" s="467"/>
      <c r="I4110" s="467"/>
      <c r="J4110" s="469"/>
      <c r="AL4110" s="436"/>
      <c r="AM4110" s="436"/>
      <c r="AQ4110" s="436"/>
      <c r="AR4110" s="436"/>
      <c r="AS4110" s="436"/>
      <c r="AT4110" s="436"/>
      <c r="AU4110" s="436"/>
      <c r="AV4110" s="436"/>
      <c r="AW4110" s="436"/>
      <c r="AX4110" s="436"/>
      <c r="AY4110" s="436"/>
      <c r="AZ4110" s="475"/>
      <c r="BA4110" s="475"/>
      <c r="BF4110" s="1119"/>
      <c r="BG4110" s="1119"/>
      <c r="BH4110" s="1119"/>
    </row>
    <row r="4111" spans="1:60" ht="15.75" customHeight="1">
      <c r="A4111" s="436"/>
      <c r="C4111" s="436"/>
      <c r="D4111" s="436"/>
      <c r="E4111" s="436"/>
      <c r="F4111" s="436"/>
      <c r="H4111" s="467"/>
      <c r="I4111" s="467"/>
      <c r="J4111" s="469"/>
      <c r="AL4111" s="436"/>
      <c r="AM4111" s="436"/>
      <c r="AQ4111" s="436"/>
      <c r="AR4111" s="436"/>
      <c r="AS4111" s="436"/>
      <c r="AT4111" s="436"/>
      <c r="AU4111" s="436"/>
      <c r="AV4111" s="436"/>
      <c r="AW4111" s="436"/>
      <c r="AX4111" s="436"/>
      <c r="AY4111" s="436"/>
      <c r="AZ4111" s="475"/>
      <c r="BA4111" s="475"/>
      <c r="BF4111" s="1119"/>
      <c r="BG4111" s="1119"/>
      <c r="BH4111" s="1119"/>
    </row>
    <row r="4112" spans="1:60" ht="15.75" customHeight="1">
      <c r="A4112" s="436"/>
      <c r="C4112" s="436"/>
      <c r="D4112" s="436"/>
      <c r="E4112" s="436"/>
      <c r="F4112" s="436"/>
      <c r="H4112" s="467"/>
      <c r="I4112" s="467"/>
      <c r="J4112" s="469"/>
      <c r="AL4112" s="436"/>
      <c r="AM4112" s="436"/>
      <c r="AQ4112" s="436"/>
      <c r="AR4112" s="436"/>
      <c r="AS4112" s="436"/>
      <c r="AT4112" s="436"/>
      <c r="AU4112" s="436"/>
      <c r="AV4112" s="436"/>
      <c r="AW4112" s="436"/>
      <c r="AX4112" s="436"/>
      <c r="AY4112" s="436"/>
      <c r="AZ4112" s="475"/>
      <c r="BA4112" s="475"/>
      <c r="BF4112" s="1119"/>
      <c r="BG4112" s="1119"/>
      <c r="BH4112" s="1119"/>
    </row>
    <row r="4113" spans="1:60" ht="15.75" customHeight="1">
      <c r="A4113" s="436"/>
      <c r="C4113" s="436"/>
      <c r="D4113" s="436"/>
      <c r="E4113" s="436"/>
      <c r="F4113" s="436"/>
      <c r="H4113" s="467"/>
      <c r="I4113" s="467"/>
      <c r="J4113" s="469"/>
      <c r="AL4113" s="436"/>
      <c r="AM4113" s="436"/>
      <c r="AQ4113" s="436"/>
      <c r="AR4113" s="436"/>
      <c r="AS4113" s="436"/>
      <c r="AT4113" s="436"/>
      <c r="AU4113" s="436"/>
      <c r="AV4113" s="436"/>
      <c r="AW4113" s="436"/>
      <c r="AX4113" s="436"/>
      <c r="AY4113" s="436"/>
      <c r="AZ4113" s="475"/>
      <c r="BA4113" s="475"/>
      <c r="BF4113" s="1119"/>
      <c r="BG4113" s="1119"/>
      <c r="BH4113" s="1119"/>
    </row>
    <row r="4114" spans="1:60" ht="15.75" customHeight="1">
      <c r="A4114" s="436"/>
      <c r="C4114" s="436"/>
      <c r="D4114" s="436"/>
      <c r="E4114" s="436"/>
      <c r="F4114" s="436"/>
      <c r="H4114" s="467"/>
      <c r="I4114" s="467"/>
      <c r="J4114" s="469"/>
      <c r="AL4114" s="436"/>
      <c r="AM4114" s="436"/>
      <c r="AQ4114" s="436"/>
      <c r="AR4114" s="436"/>
      <c r="AS4114" s="436"/>
      <c r="AT4114" s="436"/>
      <c r="AU4114" s="436"/>
      <c r="AV4114" s="436"/>
      <c r="AW4114" s="436"/>
      <c r="AX4114" s="436"/>
      <c r="AY4114" s="436"/>
      <c r="AZ4114" s="475"/>
      <c r="BA4114" s="475"/>
      <c r="BF4114" s="1119"/>
      <c r="BG4114" s="1119"/>
      <c r="BH4114" s="1119"/>
    </row>
    <row r="4115" spans="1:60" ht="15.75" customHeight="1">
      <c r="A4115" s="436"/>
      <c r="C4115" s="436"/>
      <c r="D4115" s="436"/>
      <c r="E4115" s="436"/>
      <c r="F4115" s="436"/>
      <c r="H4115" s="467"/>
      <c r="I4115" s="467"/>
      <c r="J4115" s="469"/>
      <c r="AL4115" s="436"/>
      <c r="AM4115" s="436"/>
      <c r="AQ4115" s="436"/>
      <c r="AR4115" s="436"/>
      <c r="AS4115" s="436"/>
      <c r="AT4115" s="436"/>
      <c r="AU4115" s="436"/>
      <c r="AV4115" s="436"/>
      <c r="AW4115" s="436"/>
      <c r="AX4115" s="436"/>
      <c r="AY4115" s="436"/>
      <c r="AZ4115" s="475"/>
      <c r="BA4115" s="475"/>
      <c r="BF4115" s="1119"/>
      <c r="BG4115" s="1119"/>
      <c r="BH4115" s="1119"/>
    </row>
    <row r="4116" spans="1:60" ht="15.75" customHeight="1">
      <c r="A4116" s="436"/>
      <c r="C4116" s="436"/>
      <c r="D4116" s="436"/>
      <c r="E4116" s="436"/>
      <c r="F4116" s="436"/>
      <c r="H4116" s="467"/>
      <c r="I4116" s="467"/>
      <c r="J4116" s="469"/>
      <c r="AL4116" s="436"/>
      <c r="AM4116" s="436"/>
      <c r="AQ4116" s="436"/>
      <c r="AR4116" s="436"/>
      <c r="AS4116" s="436"/>
      <c r="AT4116" s="436"/>
      <c r="AU4116" s="436"/>
      <c r="AV4116" s="436"/>
      <c r="AW4116" s="436"/>
      <c r="AX4116" s="436"/>
      <c r="AY4116" s="436"/>
      <c r="AZ4116" s="475"/>
      <c r="BA4116" s="475"/>
      <c r="BF4116" s="1119"/>
      <c r="BG4116" s="1119"/>
      <c r="BH4116" s="1119"/>
    </row>
    <row r="4117" spans="1:60" ht="15.75" customHeight="1">
      <c r="A4117" s="436"/>
      <c r="C4117" s="436"/>
      <c r="D4117" s="436"/>
      <c r="E4117" s="436"/>
      <c r="F4117" s="436"/>
      <c r="H4117" s="467"/>
      <c r="I4117" s="467"/>
      <c r="J4117" s="469"/>
      <c r="AL4117" s="436"/>
      <c r="AM4117" s="436"/>
      <c r="AQ4117" s="436"/>
      <c r="AR4117" s="436"/>
      <c r="AS4117" s="436"/>
      <c r="AT4117" s="436"/>
      <c r="AU4117" s="436"/>
      <c r="AV4117" s="436"/>
      <c r="AW4117" s="436"/>
      <c r="AX4117" s="436"/>
      <c r="AY4117" s="436"/>
      <c r="AZ4117" s="475"/>
      <c r="BA4117" s="475"/>
      <c r="BF4117" s="1119"/>
      <c r="BG4117" s="1119"/>
      <c r="BH4117" s="1119"/>
    </row>
    <row r="4118" spans="1:60" ht="15.75" customHeight="1">
      <c r="A4118" s="436"/>
      <c r="C4118" s="436"/>
      <c r="D4118" s="436"/>
      <c r="E4118" s="436"/>
      <c r="F4118" s="436"/>
      <c r="H4118" s="467"/>
      <c r="I4118" s="467"/>
      <c r="J4118" s="469"/>
      <c r="AL4118" s="436"/>
      <c r="AM4118" s="436"/>
      <c r="AQ4118" s="436"/>
      <c r="AR4118" s="436"/>
      <c r="AS4118" s="436"/>
      <c r="AT4118" s="436"/>
      <c r="AU4118" s="436"/>
      <c r="AV4118" s="436"/>
      <c r="AW4118" s="436"/>
      <c r="AX4118" s="436"/>
      <c r="AY4118" s="436"/>
      <c r="AZ4118" s="475"/>
      <c r="BA4118" s="475"/>
      <c r="BF4118" s="1119"/>
      <c r="BG4118" s="1119"/>
      <c r="BH4118" s="1119"/>
    </row>
    <row r="4119" spans="1:60" ht="15.75" customHeight="1">
      <c r="A4119" s="436"/>
      <c r="C4119" s="436"/>
      <c r="D4119" s="436"/>
      <c r="E4119" s="436"/>
      <c r="F4119" s="436"/>
      <c r="H4119" s="467"/>
      <c r="I4119" s="467"/>
      <c r="J4119" s="469"/>
      <c r="AL4119" s="436"/>
      <c r="AM4119" s="436"/>
      <c r="AQ4119" s="436"/>
      <c r="AR4119" s="436"/>
      <c r="AS4119" s="436"/>
      <c r="AT4119" s="436"/>
      <c r="AU4119" s="436"/>
      <c r="AV4119" s="436"/>
      <c r="AW4119" s="436"/>
      <c r="AX4119" s="436"/>
      <c r="AY4119" s="436"/>
      <c r="AZ4119" s="475"/>
      <c r="BA4119" s="475"/>
      <c r="BF4119" s="1119"/>
      <c r="BG4119" s="1119"/>
      <c r="BH4119" s="1119"/>
    </row>
    <row r="4120" spans="1:60" ht="15.75" customHeight="1">
      <c r="A4120" s="436"/>
      <c r="C4120" s="436"/>
      <c r="D4120" s="436"/>
      <c r="E4120" s="436"/>
      <c r="F4120" s="436"/>
      <c r="H4120" s="467"/>
      <c r="I4120" s="467"/>
      <c r="J4120" s="469"/>
      <c r="AL4120" s="436"/>
      <c r="AM4120" s="436"/>
      <c r="AQ4120" s="436"/>
      <c r="AR4120" s="436"/>
      <c r="AS4120" s="436"/>
      <c r="AT4120" s="436"/>
      <c r="AU4120" s="436"/>
      <c r="AV4120" s="436"/>
      <c r="AW4120" s="436"/>
      <c r="AX4120" s="436"/>
      <c r="AY4120" s="436"/>
      <c r="AZ4120" s="475"/>
      <c r="BA4120" s="475"/>
      <c r="BF4120" s="1119"/>
      <c r="BG4120" s="1119"/>
      <c r="BH4120" s="1119"/>
    </row>
    <row r="4121" spans="1:60" ht="15.75" customHeight="1">
      <c r="A4121" s="436"/>
      <c r="C4121" s="436"/>
      <c r="D4121" s="436"/>
      <c r="E4121" s="436"/>
      <c r="F4121" s="436"/>
      <c r="H4121" s="467"/>
      <c r="I4121" s="467"/>
      <c r="J4121" s="469"/>
      <c r="AL4121" s="436"/>
      <c r="AM4121" s="436"/>
      <c r="AQ4121" s="436"/>
      <c r="AR4121" s="436"/>
      <c r="AS4121" s="436"/>
      <c r="AT4121" s="436"/>
      <c r="AU4121" s="436"/>
      <c r="AV4121" s="436"/>
      <c r="AW4121" s="436"/>
      <c r="AX4121" s="436"/>
      <c r="AY4121" s="436"/>
      <c r="AZ4121" s="475"/>
      <c r="BA4121" s="475"/>
      <c r="BF4121" s="1119"/>
      <c r="BG4121" s="1119"/>
      <c r="BH4121" s="1119"/>
    </row>
    <row r="4122" spans="1:60" ht="15.75" customHeight="1">
      <c r="A4122" s="436"/>
      <c r="C4122" s="436"/>
      <c r="D4122" s="436"/>
      <c r="E4122" s="436"/>
      <c r="F4122" s="436"/>
      <c r="H4122" s="467"/>
      <c r="I4122" s="467"/>
      <c r="J4122" s="469"/>
      <c r="AL4122" s="436"/>
      <c r="AM4122" s="436"/>
      <c r="AQ4122" s="436"/>
      <c r="AR4122" s="436"/>
      <c r="AS4122" s="436"/>
      <c r="AT4122" s="436"/>
      <c r="AU4122" s="436"/>
      <c r="AV4122" s="436"/>
      <c r="AW4122" s="436"/>
      <c r="AX4122" s="436"/>
      <c r="AY4122" s="436"/>
      <c r="AZ4122" s="475"/>
      <c r="BA4122" s="475"/>
      <c r="BF4122" s="1119"/>
      <c r="BG4122" s="1119"/>
      <c r="BH4122" s="1119"/>
    </row>
    <row r="4123" spans="1:60" ht="15.75" customHeight="1">
      <c r="A4123" s="436"/>
      <c r="C4123" s="436"/>
      <c r="D4123" s="436"/>
      <c r="E4123" s="436"/>
      <c r="F4123" s="436"/>
      <c r="H4123" s="467"/>
      <c r="I4123" s="467"/>
      <c r="J4123" s="469"/>
      <c r="AL4123" s="436"/>
      <c r="AM4123" s="436"/>
      <c r="AQ4123" s="436"/>
      <c r="AR4123" s="436"/>
      <c r="AS4123" s="436"/>
      <c r="AT4123" s="436"/>
      <c r="AU4123" s="436"/>
      <c r="AV4123" s="436"/>
      <c r="AW4123" s="436"/>
      <c r="AX4123" s="436"/>
      <c r="AY4123" s="436"/>
      <c r="AZ4123" s="475"/>
      <c r="BA4123" s="475"/>
      <c r="BF4123" s="1119"/>
      <c r="BG4123" s="1119"/>
      <c r="BH4123" s="1119"/>
    </row>
    <row r="4124" spans="1:60" ht="15.75" customHeight="1">
      <c r="A4124" s="436"/>
      <c r="C4124" s="436"/>
      <c r="D4124" s="436"/>
      <c r="E4124" s="436"/>
      <c r="F4124" s="436"/>
      <c r="H4124" s="467"/>
      <c r="I4124" s="467"/>
      <c r="J4124" s="469"/>
      <c r="AL4124" s="436"/>
      <c r="AM4124" s="436"/>
      <c r="AQ4124" s="436"/>
      <c r="AR4124" s="436"/>
      <c r="AS4124" s="436"/>
      <c r="AT4124" s="436"/>
      <c r="AU4124" s="436"/>
      <c r="AV4124" s="436"/>
      <c r="AW4124" s="436"/>
      <c r="AX4124" s="436"/>
      <c r="AY4124" s="436"/>
      <c r="AZ4124" s="475"/>
      <c r="BA4124" s="475"/>
      <c r="BF4124" s="1119"/>
      <c r="BG4124" s="1119"/>
      <c r="BH4124" s="1119"/>
    </row>
    <row r="4125" spans="1:60" ht="15.75" customHeight="1">
      <c r="A4125" s="436"/>
      <c r="C4125" s="436"/>
      <c r="D4125" s="436"/>
      <c r="E4125" s="436"/>
      <c r="F4125" s="436"/>
      <c r="H4125" s="467"/>
      <c r="I4125" s="467"/>
      <c r="J4125" s="469"/>
      <c r="AL4125" s="436"/>
      <c r="AM4125" s="436"/>
      <c r="AQ4125" s="436"/>
      <c r="AR4125" s="436"/>
      <c r="AS4125" s="436"/>
      <c r="AT4125" s="436"/>
      <c r="AU4125" s="436"/>
      <c r="AV4125" s="436"/>
      <c r="AW4125" s="436"/>
      <c r="AX4125" s="436"/>
      <c r="AY4125" s="436"/>
      <c r="AZ4125" s="475"/>
      <c r="BA4125" s="475"/>
      <c r="BF4125" s="1119"/>
      <c r="BG4125" s="1119"/>
      <c r="BH4125" s="1119"/>
    </row>
    <row r="4126" spans="1:60" ht="15.75" customHeight="1">
      <c r="A4126" s="436"/>
      <c r="C4126" s="436"/>
      <c r="D4126" s="436"/>
      <c r="E4126" s="436"/>
      <c r="F4126" s="436"/>
      <c r="H4126" s="467"/>
      <c r="I4126" s="467"/>
      <c r="J4126" s="469"/>
      <c r="AL4126" s="436"/>
      <c r="AM4126" s="436"/>
      <c r="AQ4126" s="436"/>
      <c r="AR4126" s="436"/>
      <c r="AS4126" s="436"/>
      <c r="AT4126" s="436"/>
      <c r="AU4126" s="436"/>
      <c r="AV4126" s="436"/>
      <c r="AW4126" s="436"/>
      <c r="AX4126" s="436"/>
      <c r="AY4126" s="436"/>
      <c r="AZ4126" s="475"/>
      <c r="BA4126" s="475"/>
      <c r="BF4126" s="1119"/>
      <c r="BG4126" s="1119"/>
      <c r="BH4126" s="1119"/>
    </row>
    <row r="4127" spans="1:60" ht="15.75" customHeight="1">
      <c r="A4127" s="436"/>
      <c r="C4127" s="436"/>
      <c r="D4127" s="436"/>
      <c r="E4127" s="436"/>
      <c r="F4127" s="436"/>
      <c r="H4127" s="467"/>
      <c r="I4127" s="467"/>
      <c r="J4127" s="469"/>
      <c r="AL4127" s="436"/>
      <c r="AM4127" s="436"/>
      <c r="AQ4127" s="436"/>
      <c r="AR4127" s="436"/>
      <c r="AS4127" s="436"/>
      <c r="AT4127" s="436"/>
      <c r="AU4127" s="436"/>
      <c r="AV4127" s="436"/>
      <c r="AW4127" s="436"/>
      <c r="AX4127" s="436"/>
      <c r="AY4127" s="436"/>
      <c r="AZ4127" s="475"/>
      <c r="BA4127" s="475"/>
      <c r="BF4127" s="1119"/>
      <c r="BG4127" s="1119"/>
      <c r="BH4127" s="1119"/>
    </row>
    <row r="4128" spans="1:60" ht="15.75" customHeight="1">
      <c r="A4128" s="436"/>
      <c r="C4128" s="436"/>
      <c r="D4128" s="436"/>
      <c r="E4128" s="436"/>
      <c r="F4128" s="436"/>
      <c r="H4128" s="467"/>
      <c r="I4128" s="467"/>
      <c r="J4128" s="469"/>
      <c r="AL4128" s="436"/>
      <c r="AM4128" s="436"/>
      <c r="AQ4128" s="436"/>
      <c r="AR4128" s="436"/>
      <c r="AS4128" s="436"/>
      <c r="AT4128" s="436"/>
      <c r="AU4128" s="436"/>
      <c r="AV4128" s="436"/>
      <c r="AW4128" s="436"/>
      <c r="AX4128" s="436"/>
      <c r="AY4128" s="436"/>
      <c r="AZ4128" s="475"/>
      <c r="BA4128" s="475"/>
      <c r="BF4128" s="1119"/>
      <c r="BG4128" s="1119"/>
      <c r="BH4128" s="1119"/>
    </row>
    <row r="4129" spans="1:60" ht="15.75" customHeight="1">
      <c r="A4129" s="436"/>
      <c r="C4129" s="436"/>
      <c r="D4129" s="436"/>
      <c r="E4129" s="436"/>
      <c r="F4129" s="436"/>
      <c r="H4129" s="467"/>
      <c r="I4129" s="467"/>
      <c r="J4129" s="469"/>
      <c r="AL4129" s="436"/>
      <c r="AM4129" s="436"/>
      <c r="AQ4129" s="436"/>
      <c r="AR4129" s="436"/>
      <c r="AS4129" s="436"/>
      <c r="AT4129" s="436"/>
      <c r="AU4129" s="436"/>
      <c r="AV4129" s="436"/>
      <c r="AW4129" s="436"/>
      <c r="AX4129" s="436"/>
      <c r="AY4129" s="436"/>
      <c r="AZ4129" s="475"/>
      <c r="BA4129" s="475"/>
      <c r="BF4129" s="1119"/>
      <c r="BG4129" s="1119"/>
      <c r="BH4129" s="1119"/>
    </row>
    <row r="4130" spans="1:60" ht="15.75" customHeight="1">
      <c r="A4130" s="436"/>
      <c r="C4130" s="436"/>
      <c r="D4130" s="436"/>
      <c r="E4130" s="436"/>
      <c r="F4130" s="436"/>
      <c r="H4130" s="467"/>
      <c r="I4130" s="467"/>
      <c r="J4130" s="469"/>
      <c r="AL4130" s="436"/>
      <c r="AM4130" s="436"/>
      <c r="AQ4130" s="436"/>
      <c r="AR4130" s="436"/>
      <c r="AS4130" s="436"/>
      <c r="AT4130" s="436"/>
      <c r="AU4130" s="436"/>
      <c r="AV4130" s="436"/>
      <c r="AW4130" s="436"/>
      <c r="AX4130" s="436"/>
      <c r="AY4130" s="436"/>
      <c r="AZ4130" s="475"/>
      <c r="BA4130" s="475"/>
      <c r="BF4130" s="1119"/>
      <c r="BG4130" s="1119"/>
      <c r="BH4130" s="1119"/>
    </row>
    <row r="4131" spans="1:60" ht="15.75" customHeight="1">
      <c r="A4131" s="436"/>
      <c r="C4131" s="436"/>
      <c r="D4131" s="436"/>
      <c r="E4131" s="436"/>
      <c r="F4131" s="436"/>
      <c r="H4131" s="467"/>
      <c r="I4131" s="467"/>
      <c r="J4131" s="469"/>
      <c r="AL4131" s="436"/>
      <c r="AM4131" s="436"/>
      <c r="AQ4131" s="436"/>
      <c r="AR4131" s="436"/>
      <c r="AS4131" s="436"/>
      <c r="AT4131" s="436"/>
      <c r="AU4131" s="436"/>
      <c r="AV4131" s="436"/>
      <c r="AW4131" s="436"/>
      <c r="AX4131" s="436"/>
      <c r="AY4131" s="436"/>
      <c r="AZ4131" s="475"/>
      <c r="BA4131" s="475"/>
      <c r="BF4131" s="1119"/>
      <c r="BG4131" s="1119"/>
      <c r="BH4131" s="1119"/>
    </row>
    <row r="4132" spans="1:60" ht="15.75" customHeight="1">
      <c r="A4132" s="436"/>
      <c r="C4132" s="436"/>
      <c r="D4132" s="436"/>
      <c r="E4132" s="436"/>
      <c r="F4132" s="436"/>
      <c r="H4132" s="467"/>
      <c r="I4132" s="467"/>
      <c r="J4132" s="469"/>
      <c r="AL4132" s="436"/>
      <c r="AM4132" s="436"/>
      <c r="AQ4132" s="436"/>
      <c r="AR4132" s="436"/>
      <c r="AS4132" s="436"/>
      <c r="AT4132" s="436"/>
      <c r="AU4132" s="436"/>
      <c r="AV4132" s="436"/>
      <c r="AW4132" s="436"/>
      <c r="AX4132" s="436"/>
      <c r="AY4132" s="436"/>
      <c r="AZ4132" s="475"/>
      <c r="BA4132" s="475"/>
      <c r="BF4132" s="1119"/>
      <c r="BG4132" s="1119"/>
      <c r="BH4132" s="1119"/>
    </row>
    <row r="4133" spans="1:60" ht="15.75" customHeight="1">
      <c r="A4133" s="436"/>
      <c r="C4133" s="436"/>
      <c r="D4133" s="436"/>
      <c r="E4133" s="436"/>
      <c r="F4133" s="436"/>
      <c r="H4133" s="467"/>
      <c r="I4133" s="467"/>
      <c r="J4133" s="469"/>
      <c r="AL4133" s="436"/>
      <c r="AM4133" s="436"/>
      <c r="AQ4133" s="436"/>
      <c r="AR4133" s="436"/>
      <c r="AS4133" s="436"/>
      <c r="AT4133" s="436"/>
      <c r="AU4133" s="436"/>
      <c r="AV4133" s="436"/>
      <c r="AW4133" s="436"/>
      <c r="AX4133" s="436"/>
      <c r="AY4133" s="436"/>
      <c r="AZ4133" s="475"/>
      <c r="BA4133" s="475"/>
      <c r="BF4133" s="1119"/>
      <c r="BG4133" s="1119"/>
      <c r="BH4133" s="1119"/>
    </row>
    <row r="4134" spans="1:60" ht="15.75" customHeight="1">
      <c r="A4134" s="436"/>
      <c r="C4134" s="436"/>
      <c r="D4134" s="436"/>
      <c r="E4134" s="436"/>
      <c r="F4134" s="436"/>
      <c r="H4134" s="467"/>
      <c r="I4134" s="467"/>
      <c r="J4134" s="469"/>
      <c r="AL4134" s="436"/>
      <c r="AM4134" s="436"/>
      <c r="AQ4134" s="436"/>
      <c r="AR4134" s="436"/>
      <c r="AS4134" s="436"/>
      <c r="AT4134" s="436"/>
      <c r="AU4134" s="436"/>
      <c r="AV4134" s="436"/>
      <c r="AW4134" s="436"/>
      <c r="AX4134" s="436"/>
      <c r="AY4134" s="436"/>
      <c r="AZ4134" s="475"/>
      <c r="BA4134" s="475"/>
      <c r="BF4134" s="1119"/>
      <c r="BG4134" s="1119"/>
      <c r="BH4134" s="1119"/>
    </row>
    <row r="4135" spans="1:60" ht="15.75" customHeight="1">
      <c r="A4135" s="436"/>
      <c r="C4135" s="436"/>
      <c r="D4135" s="436"/>
      <c r="E4135" s="436"/>
      <c r="F4135" s="436"/>
      <c r="H4135" s="467"/>
      <c r="I4135" s="467"/>
      <c r="J4135" s="469"/>
      <c r="AL4135" s="436"/>
      <c r="AM4135" s="436"/>
      <c r="AQ4135" s="436"/>
      <c r="AR4135" s="436"/>
      <c r="AS4135" s="436"/>
      <c r="AT4135" s="436"/>
      <c r="AU4135" s="436"/>
      <c r="AV4135" s="436"/>
      <c r="AW4135" s="436"/>
      <c r="AX4135" s="436"/>
      <c r="AY4135" s="436"/>
      <c r="AZ4135" s="475"/>
      <c r="BA4135" s="475"/>
      <c r="BF4135" s="1119"/>
      <c r="BG4135" s="1119"/>
      <c r="BH4135" s="1119"/>
    </row>
    <row r="4136" spans="1:60" ht="15.75" customHeight="1">
      <c r="A4136" s="436"/>
      <c r="C4136" s="436"/>
      <c r="D4136" s="436"/>
      <c r="E4136" s="436"/>
      <c r="F4136" s="436"/>
      <c r="H4136" s="467"/>
      <c r="I4136" s="467"/>
      <c r="J4136" s="469"/>
      <c r="AL4136" s="436"/>
      <c r="AM4136" s="436"/>
      <c r="AQ4136" s="436"/>
      <c r="AR4136" s="436"/>
      <c r="AS4136" s="436"/>
      <c r="AT4136" s="436"/>
      <c r="AU4136" s="436"/>
      <c r="AV4136" s="436"/>
      <c r="AW4136" s="436"/>
      <c r="AX4136" s="436"/>
      <c r="AY4136" s="436"/>
      <c r="AZ4136" s="475"/>
      <c r="BA4136" s="475"/>
      <c r="BF4136" s="1119"/>
      <c r="BG4136" s="1119"/>
      <c r="BH4136" s="1119"/>
    </row>
    <row r="4137" spans="1:60" ht="15.75" customHeight="1">
      <c r="A4137" s="436"/>
      <c r="C4137" s="436"/>
      <c r="D4137" s="436"/>
      <c r="E4137" s="436"/>
      <c r="F4137" s="436"/>
      <c r="H4137" s="467"/>
      <c r="I4137" s="467"/>
      <c r="J4137" s="469"/>
      <c r="AL4137" s="436"/>
      <c r="AM4137" s="436"/>
      <c r="AQ4137" s="436"/>
      <c r="AR4137" s="436"/>
      <c r="AS4137" s="436"/>
      <c r="AT4137" s="436"/>
      <c r="AU4137" s="436"/>
      <c r="AV4137" s="436"/>
      <c r="AW4137" s="436"/>
      <c r="AX4137" s="436"/>
      <c r="AY4137" s="436"/>
      <c r="AZ4137" s="475"/>
      <c r="BA4137" s="475"/>
      <c r="BF4137" s="1119"/>
      <c r="BG4137" s="1119"/>
      <c r="BH4137" s="1119"/>
    </row>
    <row r="4138" spans="1:60" ht="15.75" customHeight="1">
      <c r="A4138" s="436"/>
      <c r="C4138" s="436"/>
      <c r="D4138" s="436"/>
      <c r="E4138" s="436"/>
      <c r="F4138" s="436"/>
      <c r="H4138" s="467"/>
      <c r="I4138" s="467"/>
      <c r="J4138" s="469"/>
      <c r="AL4138" s="436"/>
      <c r="AM4138" s="436"/>
      <c r="AQ4138" s="436"/>
      <c r="AR4138" s="436"/>
      <c r="AS4138" s="436"/>
      <c r="AT4138" s="436"/>
      <c r="AU4138" s="436"/>
      <c r="AV4138" s="436"/>
      <c r="AW4138" s="436"/>
      <c r="AX4138" s="436"/>
      <c r="AY4138" s="436"/>
      <c r="AZ4138" s="475"/>
      <c r="BA4138" s="475"/>
      <c r="BF4138" s="1119"/>
      <c r="BG4138" s="1119"/>
      <c r="BH4138" s="1119"/>
    </row>
    <row r="4139" spans="1:60" ht="15.75" customHeight="1">
      <c r="A4139" s="436"/>
      <c r="C4139" s="436"/>
      <c r="D4139" s="436"/>
      <c r="E4139" s="436"/>
      <c r="F4139" s="436"/>
      <c r="H4139" s="467"/>
      <c r="I4139" s="467"/>
      <c r="J4139" s="469"/>
      <c r="AL4139" s="436"/>
      <c r="AM4139" s="436"/>
      <c r="AQ4139" s="436"/>
      <c r="AR4139" s="436"/>
      <c r="AS4139" s="436"/>
      <c r="AT4139" s="436"/>
      <c r="AU4139" s="436"/>
      <c r="AV4139" s="436"/>
      <c r="AW4139" s="436"/>
      <c r="AX4139" s="436"/>
      <c r="AY4139" s="436"/>
      <c r="AZ4139" s="475"/>
      <c r="BA4139" s="475"/>
      <c r="BF4139" s="1119"/>
      <c r="BG4139" s="1119"/>
      <c r="BH4139" s="1119"/>
    </row>
    <row r="4140" spans="1:60" ht="15.75" customHeight="1">
      <c r="A4140" s="436"/>
      <c r="C4140" s="436"/>
      <c r="D4140" s="436"/>
      <c r="E4140" s="436"/>
      <c r="F4140" s="436"/>
      <c r="H4140" s="467"/>
      <c r="I4140" s="467"/>
      <c r="J4140" s="469"/>
      <c r="AL4140" s="436"/>
      <c r="AM4140" s="436"/>
      <c r="AQ4140" s="436"/>
      <c r="AR4140" s="436"/>
      <c r="AS4140" s="436"/>
      <c r="AT4140" s="436"/>
      <c r="AU4140" s="436"/>
      <c r="AV4140" s="436"/>
      <c r="AW4140" s="436"/>
      <c r="AX4140" s="436"/>
      <c r="AY4140" s="436"/>
      <c r="AZ4140" s="475"/>
      <c r="BA4140" s="475"/>
      <c r="BF4140" s="1119"/>
      <c r="BG4140" s="1119"/>
      <c r="BH4140" s="1119"/>
    </row>
    <row r="4141" spans="1:60" ht="15.75" customHeight="1">
      <c r="A4141" s="436"/>
      <c r="C4141" s="436"/>
      <c r="D4141" s="436"/>
      <c r="E4141" s="436"/>
      <c r="F4141" s="436"/>
      <c r="H4141" s="467"/>
      <c r="I4141" s="467"/>
      <c r="J4141" s="469"/>
      <c r="AL4141" s="436"/>
      <c r="AM4141" s="436"/>
      <c r="AQ4141" s="436"/>
      <c r="AR4141" s="436"/>
      <c r="AS4141" s="436"/>
      <c r="AT4141" s="436"/>
      <c r="AU4141" s="436"/>
      <c r="AV4141" s="436"/>
      <c r="AW4141" s="436"/>
      <c r="AX4141" s="436"/>
      <c r="AY4141" s="436"/>
      <c r="AZ4141" s="475"/>
      <c r="BA4141" s="475"/>
      <c r="BF4141" s="1119"/>
      <c r="BG4141" s="1119"/>
      <c r="BH4141" s="1119"/>
    </row>
    <row r="4142" spans="1:60" ht="15.75" customHeight="1">
      <c r="A4142" s="436"/>
      <c r="C4142" s="436"/>
      <c r="D4142" s="436"/>
      <c r="E4142" s="436"/>
      <c r="F4142" s="436"/>
      <c r="H4142" s="467"/>
      <c r="I4142" s="467"/>
      <c r="J4142" s="469"/>
      <c r="AL4142" s="436"/>
      <c r="AM4142" s="436"/>
      <c r="AQ4142" s="436"/>
      <c r="AR4142" s="436"/>
      <c r="AS4142" s="436"/>
      <c r="AT4142" s="436"/>
      <c r="AU4142" s="436"/>
      <c r="AV4142" s="436"/>
      <c r="AW4142" s="436"/>
      <c r="AX4142" s="436"/>
      <c r="AY4142" s="436"/>
      <c r="AZ4142" s="475"/>
      <c r="BA4142" s="475"/>
      <c r="BF4142" s="1119"/>
      <c r="BG4142" s="1119"/>
      <c r="BH4142" s="1119"/>
    </row>
    <row r="4143" spans="1:60" ht="15.75" customHeight="1">
      <c r="A4143" s="436"/>
      <c r="C4143" s="436"/>
      <c r="D4143" s="436"/>
      <c r="E4143" s="436"/>
      <c r="F4143" s="436"/>
      <c r="H4143" s="467"/>
      <c r="I4143" s="467"/>
      <c r="J4143" s="469"/>
      <c r="AL4143" s="436"/>
      <c r="AM4143" s="436"/>
      <c r="AQ4143" s="436"/>
      <c r="AR4143" s="436"/>
      <c r="AS4143" s="436"/>
      <c r="AT4143" s="436"/>
      <c r="AU4143" s="436"/>
      <c r="AV4143" s="436"/>
      <c r="AW4143" s="436"/>
      <c r="AX4143" s="436"/>
      <c r="AY4143" s="436"/>
      <c r="AZ4143" s="475"/>
      <c r="BA4143" s="475"/>
      <c r="BF4143" s="1119"/>
      <c r="BG4143" s="1119"/>
      <c r="BH4143" s="1119"/>
    </row>
    <row r="4144" spans="1:60" ht="15.75" customHeight="1">
      <c r="A4144" s="436"/>
      <c r="C4144" s="436"/>
      <c r="D4144" s="436"/>
      <c r="E4144" s="436"/>
      <c r="F4144" s="436"/>
      <c r="H4144" s="467"/>
      <c r="I4144" s="467"/>
      <c r="J4144" s="469"/>
      <c r="AL4144" s="436"/>
      <c r="AM4144" s="436"/>
      <c r="AQ4144" s="436"/>
      <c r="AR4144" s="436"/>
      <c r="AS4144" s="436"/>
      <c r="AT4144" s="436"/>
      <c r="AU4144" s="436"/>
      <c r="AV4144" s="436"/>
      <c r="AW4144" s="436"/>
      <c r="AX4144" s="436"/>
      <c r="AY4144" s="436"/>
      <c r="AZ4144" s="475"/>
      <c r="BA4144" s="475"/>
      <c r="BF4144" s="1119"/>
      <c r="BG4144" s="1119"/>
      <c r="BH4144" s="1119"/>
    </row>
    <row r="4145" spans="1:60" ht="15.75" customHeight="1">
      <c r="A4145" s="436"/>
      <c r="C4145" s="436"/>
      <c r="D4145" s="436"/>
      <c r="E4145" s="436"/>
      <c r="F4145" s="436"/>
      <c r="H4145" s="467"/>
      <c r="I4145" s="467"/>
      <c r="J4145" s="469"/>
      <c r="AL4145" s="436"/>
      <c r="AM4145" s="436"/>
      <c r="AQ4145" s="436"/>
      <c r="AR4145" s="436"/>
      <c r="AS4145" s="436"/>
      <c r="AT4145" s="436"/>
      <c r="AU4145" s="436"/>
      <c r="AV4145" s="436"/>
      <c r="AW4145" s="436"/>
      <c r="AX4145" s="436"/>
      <c r="AY4145" s="436"/>
      <c r="AZ4145" s="475"/>
      <c r="BA4145" s="475"/>
      <c r="BF4145" s="1119"/>
      <c r="BG4145" s="1119"/>
      <c r="BH4145" s="1119"/>
    </row>
    <row r="4146" spans="1:60" ht="15.75" customHeight="1">
      <c r="A4146" s="436"/>
      <c r="C4146" s="436"/>
      <c r="D4146" s="436"/>
      <c r="E4146" s="436"/>
      <c r="F4146" s="436"/>
      <c r="H4146" s="467"/>
      <c r="I4146" s="467"/>
      <c r="J4146" s="469"/>
      <c r="AL4146" s="436"/>
      <c r="AM4146" s="436"/>
      <c r="AQ4146" s="436"/>
      <c r="AR4146" s="436"/>
      <c r="AS4146" s="436"/>
      <c r="AT4146" s="436"/>
      <c r="AU4146" s="436"/>
      <c r="AV4146" s="436"/>
      <c r="AW4146" s="436"/>
      <c r="AX4146" s="436"/>
      <c r="AY4146" s="436"/>
      <c r="AZ4146" s="475"/>
      <c r="BA4146" s="475"/>
      <c r="BF4146" s="1119"/>
      <c r="BG4146" s="1119"/>
      <c r="BH4146" s="1119"/>
    </row>
    <row r="4147" spans="1:60" ht="15.75" customHeight="1">
      <c r="A4147" s="436"/>
      <c r="C4147" s="436"/>
      <c r="D4147" s="436"/>
      <c r="E4147" s="436"/>
      <c r="F4147" s="436"/>
      <c r="H4147" s="467"/>
      <c r="I4147" s="467"/>
      <c r="J4147" s="469"/>
      <c r="AL4147" s="436"/>
      <c r="AM4147" s="436"/>
      <c r="AQ4147" s="436"/>
      <c r="AR4147" s="436"/>
      <c r="AS4147" s="436"/>
      <c r="AT4147" s="436"/>
      <c r="AU4147" s="436"/>
      <c r="AV4147" s="436"/>
      <c r="AW4147" s="436"/>
      <c r="AX4147" s="436"/>
      <c r="AY4147" s="436"/>
      <c r="AZ4147" s="475"/>
      <c r="BA4147" s="475"/>
      <c r="BF4147" s="1119"/>
      <c r="BG4147" s="1119"/>
      <c r="BH4147" s="1119"/>
    </row>
    <row r="4148" spans="1:60" ht="15.75" customHeight="1">
      <c r="A4148" s="436"/>
      <c r="C4148" s="436"/>
      <c r="D4148" s="436"/>
      <c r="E4148" s="436"/>
      <c r="F4148" s="436"/>
      <c r="H4148" s="467"/>
      <c r="I4148" s="467"/>
      <c r="J4148" s="469"/>
      <c r="AL4148" s="436"/>
      <c r="AM4148" s="436"/>
      <c r="AQ4148" s="436"/>
      <c r="AR4148" s="436"/>
      <c r="AS4148" s="436"/>
      <c r="AT4148" s="436"/>
      <c r="AU4148" s="436"/>
      <c r="AV4148" s="436"/>
      <c r="AW4148" s="436"/>
      <c r="AX4148" s="436"/>
      <c r="AY4148" s="436"/>
      <c r="AZ4148" s="475"/>
      <c r="BA4148" s="475"/>
      <c r="BF4148" s="1119"/>
      <c r="BG4148" s="1119"/>
      <c r="BH4148" s="1119"/>
    </row>
    <row r="4149" spans="1:60" ht="15.75" customHeight="1">
      <c r="A4149" s="436"/>
      <c r="C4149" s="436"/>
      <c r="D4149" s="436"/>
      <c r="E4149" s="436"/>
      <c r="F4149" s="436"/>
      <c r="H4149" s="467"/>
      <c r="I4149" s="467"/>
      <c r="J4149" s="469"/>
      <c r="AL4149" s="436"/>
      <c r="AM4149" s="436"/>
      <c r="AQ4149" s="436"/>
      <c r="AR4149" s="436"/>
      <c r="AS4149" s="436"/>
      <c r="AT4149" s="436"/>
      <c r="AU4149" s="436"/>
      <c r="AV4149" s="436"/>
      <c r="AW4149" s="436"/>
      <c r="AX4149" s="436"/>
      <c r="AY4149" s="436"/>
      <c r="AZ4149" s="475"/>
      <c r="BA4149" s="475"/>
      <c r="BF4149" s="1119"/>
      <c r="BG4149" s="1119"/>
      <c r="BH4149" s="1119"/>
    </row>
    <row r="4150" spans="1:60" ht="15.75" customHeight="1">
      <c r="A4150" s="436"/>
      <c r="C4150" s="436"/>
      <c r="D4150" s="436"/>
      <c r="E4150" s="436"/>
      <c r="F4150" s="436"/>
      <c r="H4150" s="467"/>
      <c r="I4150" s="467"/>
      <c r="J4150" s="469"/>
      <c r="AL4150" s="436"/>
      <c r="AM4150" s="436"/>
      <c r="AQ4150" s="436"/>
      <c r="AR4150" s="436"/>
      <c r="AS4150" s="436"/>
      <c r="AT4150" s="436"/>
      <c r="AU4150" s="436"/>
      <c r="AV4150" s="436"/>
      <c r="AW4150" s="436"/>
      <c r="AX4150" s="436"/>
      <c r="AY4150" s="436"/>
      <c r="AZ4150" s="475"/>
      <c r="BA4150" s="475"/>
      <c r="BF4150" s="1119"/>
      <c r="BG4150" s="1119"/>
      <c r="BH4150" s="1119"/>
    </row>
    <row r="4151" spans="1:60" ht="15.75" customHeight="1">
      <c r="A4151" s="436"/>
      <c r="C4151" s="436"/>
      <c r="D4151" s="436"/>
      <c r="E4151" s="436"/>
      <c r="F4151" s="436"/>
      <c r="H4151" s="467"/>
      <c r="I4151" s="467"/>
      <c r="J4151" s="469"/>
      <c r="AL4151" s="436"/>
      <c r="AM4151" s="436"/>
      <c r="AQ4151" s="436"/>
      <c r="AR4151" s="436"/>
      <c r="AS4151" s="436"/>
      <c r="AT4151" s="436"/>
      <c r="AU4151" s="436"/>
      <c r="AV4151" s="436"/>
      <c r="AW4151" s="436"/>
      <c r="AX4151" s="436"/>
      <c r="AY4151" s="436"/>
      <c r="AZ4151" s="475"/>
      <c r="BA4151" s="475"/>
      <c r="BF4151" s="1119"/>
      <c r="BG4151" s="1119"/>
      <c r="BH4151" s="1119"/>
    </row>
    <row r="4152" spans="1:60" ht="15.75" customHeight="1">
      <c r="A4152" s="436"/>
      <c r="C4152" s="436"/>
      <c r="D4152" s="436"/>
      <c r="E4152" s="436"/>
      <c r="F4152" s="436"/>
      <c r="H4152" s="467"/>
      <c r="I4152" s="467"/>
      <c r="J4152" s="469"/>
      <c r="AL4152" s="436"/>
      <c r="AM4152" s="436"/>
      <c r="AQ4152" s="436"/>
      <c r="AR4152" s="436"/>
      <c r="AS4152" s="436"/>
      <c r="AT4152" s="436"/>
      <c r="AU4152" s="436"/>
      <c r="AV4152" s="436"/>
      <c r="AW4152" s="436"/>
      <c r="AX4152" s="436"/>
      <c r="AY4152" s="436"/>
      <c r="AZ4152" s="475"/>
      <c r="BA4152" s="475"/>
      <c r="BF4152" s="1119"/>
      <c r="BG4152" s="1119"/>
      <c r="BH4152" s="1119"/>
    </row>
    <row r="4153" spans="1:60" ht="15.75" customHeight="1">
      <c r="A4153" s="436"/>
      <c r="C4153" s="436"/>
      <c r="D4153" s="436"/>
      <c r="E4153" s="436"/>
      <c r="F4153" s="436"/>
      <c r="H4153" s="467"/>
      <c r="I4153" s="467"/>
      <c r="J4153" s="469"/>
      <c r="AL4153" s="436"/>
      <c r="AM4153" s="436"/>
      <c r="AQ4153" s="436"/>
      <c r="AR4153" s="436"/>
      <c r="AS4153" s="436"/>
      <c r="AT4153" s="436"/>
      <c r="AU4153" s="436"/>
      <c r="AV4153" s="436"/>
      <c r="AW4153" s="436"/>
      <c r="AX4153" s="436"/>
      <c r="AY4153" s="436"/>
      <c r="AZ4153" s="475"/>
      <c r="BA4153" s="475"/>
      <c r="BF4153" s="1119"/>
      <c r="BG4153" s="1119"/>
      <c r="BH4153" s="1119"/>
    </row>
    <row r="4154" spans="1:60" ht="15.75" customHeight="1">
      <c r="A4154" s="436"/>
      <c r="C4154" s="436"/>
      <c r="D4154" s="436"/>
      <c r="E4154" s="436"/>
      <c r="F4154" s="436"/>
      <c r="H4154" s="467"/>
      <c r="I4154" s="467"/>
      <c r="J4154" s="469"/>
      <c r="AL4154" s="436"/>
      <c r="AM4154" s="436"/>
      <c r="AQ4154" s="436"/>
      <c r="AR4154" s="436"/>
      <c r="AS4154" s="436"/>
      <c r="AT4154" s="436"/>
      <c r="AU4154" s="436"/>
      <c r="AV4154" s="436"/>
      <c r="AW4154" s="436"/>
      <c r="AX4154" s="436"/>
      <c r="AY4154" s="436"/>
      <c r="AZ4154" s="475"/>
      <c r="BA4154" s="475"/>
      <c r="BF4154" s="1119"/>
      <c r="BG4154" s="1119"/>
      <c r="BH4154" s="1119"/>
    </row>
    <row r="4155" spans="1:60" ht="15.75" customHeight="1">
      <c r="A4155" s="436"/>
      <c r="C4155" s="436"/>
      <c r="D4155" s="436"/>
      <c r="E4155" s="436"/>
      <c r="F4155" s="436"/>
      <c r="H4155" s="467"/>
      <c r="I4155" s="467"/>
      <c r="J4155" s="469"/>
      <c r="AL4155" s="436"/>
      <c r="AM4155" s="436"/>
      <c r="AQ4155" s="436"/>
      <c r="AR4155" s="436"/>
      <c r="AS4155" s="436"/>
      <c r="AT4155" s="436"/>
      <c r="AU4155" s="436"/>
      <c r="AV4155" s="436"/>
      <c r="AW4155" s="436"/>
      <c r="AX4155" s="436"/>
      <c r="AY4155" s="436"/>
      <c r="AZ4155" s="475"/>
      <c r="BA4155" s="475"/>
      <c r="BF4155" s="1119"/>
      <c r="BG4155" s="1119"/>
      <c r="BH4155" s="1119"/>
    </row>
    <row r="4156" spans="1:60" ht="15.75" customHeight="1">
      <c r="A4156" s="436"/>
      <c r="C4156" s="436"/>
      <c r="D4156" s="436"/>
      <c r="E4156" s="436"/>
      <c r="F4156" s="436"/>
      <c r="H4156" s="467"/>
      <c r="I4156" s="467"/>
      <c r="J4156" s="469"/>
      <c r="AL4156" s="436"/>
      <c r="AM4156" s="436"/>
      <c r="AQ4156" s="436"/>
      <c r="AR4156" s="436"/>
      <c r="AS4156" s="436"/>
      <c r="AT4156" s="436"/>
      <c r="AU4156" s="436"/>
      <c r="AV4156" s="436"/>
      <c r="AW4156" s="436"/>
      <c r="AX4156" s="436"/>
      <c r="AY4156" s="436"/>
      <c r="AZ4156" s="475"/>
      <c r="BA4156" s="475"/>
      <c r="BF4156" s="1119"/>
      <c r="BG4156" s="1119"/>
      <c r="BH4156" s="1119"/>
    </row>
    <row r="4157" spans="1:60" ht="15.75" customHeight="1">
      <c r="A4157" s="436"/>
      <c r="C4157" s="436"/>
      <c r="D4157" s="436"/>
      <c r="E4157" s="436"/>
      <c r="F4157" s="436"/>
      <c r="H4157" s="467"/>
      <c r="I4157" s="467"/>
      <c r="J4157" s="469"/>
      <c r="AL4157" s="436"/>
      <c r="AM4157" s="436"/>
      <c r="AQ4157" s="436"/>
      <c r="AR4157" s="436"/>
      <c r="AS4157" s="436"/>
      <c r="AT4157" s="436"/>
      <c r="AU4157" s="436"/>
      <c r="AV4157" s="436"/>
      <c r="AW4157" s="436"/>
      <c r="AX4157" s="436"/>
      <c r="AY4157" s="436"/>
      <c r="AZ4157" s="475"/>
      <c r="BA4157" s="475"/>
      <c r="BF4157" s="1119"/>
      <c r="BG4157" s="1119"/>
      <c r="BH4157" s="1119"/>
    </row>
    <row r="4158" spans="1:60" ht="15.75" customHeight="1">
      <c r="A4158" s="436"/>
      <c r="C4158" s="436"/>
      <c r="D4158" s="436"/>
      <c r="E4158" s="436"/>
      <c r="F4158" s="436"/>
      <c r="H4158" s="467"/>
      <c r="I4158" s="467"/>
      <c r="J4158" s="469"/>
      <c r="AL4158" s="436"/>
      <c r="AM4158" s="436"/>
      <c r="AQ4158" s="436"/>
      <c r="AR4158" s="436"/>
      <c r="AS4158" s="436"/>
      <c r="AT4158" s="436"/>
      <c r="AU4158" s="436"/>
      <c r="AV4158" s="436"/>
      <c r="AW4158" s="436"/>
      <c r="AX4158" s="436"/>
      <c r="AY4158" s="436"/>
      <c r="AZ4158" s="475"/>
      <c r="BA4158" s="475"/>
      <c r="BF4158" s="1119"/>
      <c r="BG4158" s="1119"/>
      <c r="BH4158" s="1119"/>
    </row>
    <row r="4159" spans="1:60" ht="15.75" customHeight="1">
      <c r="A4159" s="436"/>
      <c r="C4159" s="436"/>
      <c r="D4159" s="436"/>
      <c r="E4159" s="436"/>
      <c r="F4159" s="436"/>
      <c r="H4159" s="467"/>
      <c r="I4159" s="467"/>
      <c r="J4159" s="469"/>
      <c r="AL4159" s="436"/>
      <c r="AM4159" s="436"/>
      <c r="AQ4159" s="436"/>
      <c r="AR4159" s="436"/>
      <c r="AS4159" s="436"/>
      <c r="AT4159" s="436"/>
      <c r="AU4159" s="436"/>
      <c r="AV4159" s="436"/>
      <c r="AW4159" s="436"/>
      <c r="AX4159" s="436"/>
      <c r="AY4159" s="436"/>
      <c r="AZ4159" s="475"/>
      <c r="BA4159" s="475"/>
      <c r="BF4159" s="1119"/>
      <c r="BG4159" s="1119"/>
      <c r="BH4159" s="1119"/>
    </row>
    <row r="4160" spans="1:60" ht="15.75" customHeight="1">
      <c r="A4160" s="436"/>
      <c r="C4160" s="436"/>
      <c r="D4160" s="436"/>
      <c r="E4160" s="436"/>
      <c r="F4160" s="436"/>
      <c r="H4160" s="467"/>
      <c r="I4160" s="467"/>
      <c r="J4160" s="469"/>
      <c r="AL4160" s="436"/>
      <c r="AM4160" s="436"/>
      <c r="AQ4160" s="436"/>
      <c r="AR4160" s="436"/>
      <c r="AS4160" s="436"/>
      <c r="AT4160" s="436"/>
      <c r="AU4160" s="436"/>
      <c r="AV4160" s="436"/>
      <c r="AW4160" s="436"/>
      <c r="AX4160" s="436"/>
      <c r="AY4160" s="436"/>
      <c r="AZ4160" s="475"/>
      <c r="BA4160" s="475"/>
      <c r="BF4160" s="1119"/>
      <c r="BG4160" s="1119"/>
      <c r="BH4160" s="1119"/>
    </row>
    <row r="4161" spans="1:60" ht="15.75" customHeight="1">
      <c r="A4161" s="436"/>
      <c r="C4161" s="436"/>
      <c r="D4161" s="436"/>
      <c r="E4161" s="436"/>
      <c r="F4161" s="436"/>
      <c r="H4161" s="467"/>
      <c r="I4161" s="467"/>
      <c r="J4161" s="469"/>
      <c r="AL4161" s="436"/>
      <c r="AM4161" s="436"/>
      <c r="AQ4161" s="436"/>
      <c r="AR4161" s="436"/>
      <c r="AS4161" s="436"/>
      <c r="AT4161" s="436"/>
      <c r="AU4161" s="436"/>
      <c r="AV4161" s="436"/>
      <c r="AW4161" s="436"/>
      <c r="AX4161" s="436"/>
      <c r="AY4161" s="436"/>
      <c r="AZ4161" s="475"/>
      <c r="BA4161" s="475"/>
      <c r="BF4161" s="1119"/>
      <c r="BG4161" s="1119"/>
      <c r="BH4161" s="1119"/>
    </row>
    <row r="4162" spans="1:60" ht="15.75" customHeight="1">
      <c r="A4162" s="436"/>
      <c r="C4162" s="436"/>
      <c r="D4162" s="436"/>
      <c r="E4162" s="436"/>
      <c r="F4162" s="436"/>
      <c r="H4162" s="467"/>
      <c r="I4162" s="467"/>
      <c r="J4162" s="469"/>
      <c r="AL4162" s="436"/>
      <c r="AM4162" s="436"/>
      <c r="AQ4162" s="436"/>
      <c r="AR4162" s="436"/>
      <c r="AS4162" s="436"/>
      <c r="AT4162" s="436"/>
      <c r="AU4162" s="436"/>
      <c r="AV4162" s="436"/>
      <c r="AW4162" s="436"/>
      <c r="AX4162" s="436"/>
      <c r="AY4162" s="436"/>
      <c r="AZ4162" s="475"/>
      <c r="BA4162" s="475"/>
      <c r="BF4162" s="1119"/>
      <c r="BG4162" s="1119"/>
      <c r="BH4162" s="1119"/>
    </row>
    <row r="4163" spans="1:60" ht="15.75" customHeight="1">
      <c r="A4163" s="436"/>
      <c r="C4163" s="436"/>
      <c r="D4163" s="436"/>
      <c r="E4163" s="436"/>
      <c r="F4163" s="436"/>
      <c r="H4163" s="467"/>
      <c r="I4163" s="467"/>
      <c r="J4163" s="469"/>
      <c r="AL4163" s="436"/>
      <c r="AM4163" s="436"/>
      <c r="AQ4163" s="436"/>
      <c r="AR4163" s="436"/>
      <c r="AS4163" s="436"/>
      <c r="AT4163" s="436"/>
      <c r="AU4163" s="436"/>
      <c r="AV4163" s="436"/>
      <c r="AW4163" s="436"/>
      <c r="AX4163" s="436"/>
      <c r="AY4163" s="436"/>
      <c r="AZ4163" s="475"/>
      <c r="BA4163" s="475"/>
      <c r="BF4163" s="1119"/>
      <c r="BG4163" s="1119"/>
      <c r="BH4163" s="1119"/>
    </row>
    <row r="4164" spans="1:60" ht="15.75" customHeight="1">
      <c r="A4164" s="436"/>
      <c r="C4164" s="436"/>
      <c r="D4164" s="436"/>
      <c r="E4164" s="436"/>
      <c r="F4164" s="436"/>
      <c r="H4164" s="467"/>
      <c r="I4164" s="467"/>
      <c r="J4164" s="469"/>
      <c r="AL4164" s="436"/>
      <c r="AM4164" s="436"/>
      <c r="AQ4164" s="436"/>
      <c r="AR4164" s="436"/>
      <c r="AS4164" s="436"/>
      <c r="AT4164" s="436"/>
      <c r="AU4164" s="436"/>
      <c r="AV4164" s="436"/>
      <c r="AW4164" s="436"/>
      <c r="AX4164" s="436"/>
      <c r="AY4164" s="436"/>
      <c r="AZ4164" s="475"/>
      <c r="BA4164" s="475"/>
      <c r="BF4164" s="1119"/>
      <c r="BG4164" s="1119"/>
      <c r="BH4164" s="1119"/>
    </row>
    <row r="4165" spans="1:60" ht="15.75" customHeight="1">
      <c r="A4165" s="436"/>
      <c r="C4165" s="436"/>
      <c r="D4165" s="436"/>
      <c r="E4165" s="436"/>
      <c r="F4165" s="436"/>
      <c r="H4165" s="467"/>
      <c r="I4165" s="467"/>
      <c r="J4165" s="469"/>
      <c r="AL4165" s="436"/>
      <c r="AM4165" s="436"/>
      <c r="AQ4165" s="436"/>
      <c r="AR4165" s="436"/>
      <c r="AS4165" s="436"/>
      <c r="AT4165" s="436"/>
      <c r="AU4165" s="436"/>
      <c r="AV4165" s="436"/>
      <c r="AW4165" s="436"/>
      <c r="AX4165" s="436"/>
      <c r="AY4165" s="436"/>
      <c r="AZ4165" s="475"/>
      <c r="BA4165" s="475"/>
      <c r="BF4165" s="1119"/>
      <c r="BG4165" s="1119"/>
      <c r="BH4165" s="1119"/>
    </row>
    <row r="4166" spans="1:60" ht="15.75" customHeight="1">
      <c r="A4166" s="436"/>
      <c r="C4166" s="436"/>
      <c r="D4166" s="436"/>
      <c r="E4166" s="436"/>
      <c r="F4166" s="436"/>
      <c r="H4166" s="467"/>
      <c r="I4166" s="467"/>
      <c r="J4166" s="469"/>
      <c r="AL4166" s="436"/>
      <c r="AM4166" s="436"/>
      <c r="AQ4166" s="436"/>
      <c r="AR4166" s="436"/>
      <c r="AS4166" s="436"/>
      <c r="AT4166" s="436"/>
      <c r="AU4166" s="436"/>
      <c r="AV4166" s="436"/>
      <c r="AW4166" s="436"/>
      <c r="AX4166" s="436"/>
      <c r="AY4166" s="436"/>
      <c r="AZ4166" s="475"/>
      <c r="BA4166" s="475"/>
      <c r="BF4166" s="1119"/>
      <c r="BG4166" s="1119"/>
      <c r="BH4166" s="1119"/>
    </row>
    <row r="4167" spans="1:60" ht="15.75" customHeight="1">
      <c r="A4167" s="436"/>
      <c r="C4167" s="436"/>
      <c r="D4167" s="436"/>
      <c r="E4167" s="436"/>
      <c r="F4167" s="436"/>
      <c r="H4167" s="467"/>
      <c r="I4167" s="467"/>
      <c r="J4167" s="469"/>
      <c r="AL4167" s="436"/>
      <c r="AM4167" s="436"/>
      <c r="AQ4167" s="436"/>
      <c r="AR4167" s="436"/>
      <c r="AS4167" s="436"/>
      <c r="AT4167" s="436"/>
      <c r="AU4167" s="436"/>
      <c r="AV4167" s="436"/>
      <c r="AW4167" s="436"/>
      <c r="AX4167" s="436"/>
      <c r="AY4167" s="436"/>
      <c r="AZ4167" s="475"/>
      <c r="BA4167" s="475"/>
      <c r="BF4167" s="1119"/>
      <c r="BG4167" s="1119"/>
      <c r="BH4167" s="1119"/>
    </row>
    <row r="4168" spans="1:60" ht="15.75" customHeight="1">
      <c r="A4168" s="436"/>
      <c r="C4168" s="436"/>
      <c r="D4168" s="436"/>
      <c r="E4168" s="436"/>
      <c r="F4168" s="436"/>
      <c r="H4168" s="467"/>
      <c r="I4168" s="467"/>
      <c r="J4168" s="469"/>
      <c r="AL4168" s="436"/>
      <c r="AM4168" s="436"/>
      <c r="AQ4168" s="436"/>
      <c r="AR4168" s="436"/>
      <c r="AS4168" s="436"/>
      <c r="AT4168" s="436"/>
      <c r="AU4168" s="436"/>
      <c r="AV4168" s="436"/>
      <c r="AW4168" s="436"/>
      <c r="AX4168" s="436"/>
      <c r="AY4168" s="436"/>
      <c r="AZ4168" s="475"/>
      <c r="BA4168" s="475"/>
      <c r="BF4168" s="1119"/>
      <c r="BG4168" s="1119"/>
      <c r="BH4168" s="1119"/>
    </row>
    <row r="4169" spans="1:60" ht="15.75" customHeight="1">
      <c r="A4169" s="436"/>
      <c r="C4169" s="436"/>
      <c r="D4169" s="436"/>
      <c r="E4169" s="436"/>
      <c r="F4169" s="436"/>
      <c r="H4169" s="467"/>
      <c r="I4169" s="467"/>
      <c r="J4169" s="469"/>
      <c r="AL4169" s="436"/>
      <c r="AM4169" s="436"/>
      <c r="AQ4169" s="436"/>
      <c r="AR4169" s="436"/>
      <c r="AS4169" s="436"/>
      <c r="AT4169" s="436"/>
      <c r="AU4169" s="436"/>
      <c r="AV4169" s="436"/>
      <c r="AW4169" s="436"/>
      <c r="AX4169" s="436"/>
      <c r="AY4169" s="436"/>
      <c r="AZ4169" s="475"/>
      <c r="BA4169" s="475"/>
      <c r="BF4169" s="1119"/>
      <c r="BG4169" s="1119"/>
      <c r="BH4169" s="1119"/>
    </row>
    <row r="4170" spans="1:60" ht="15.75" customHeight="1">
      <c r="A4170" s="436"/>
      <c r="C4170" s="436"/>
      <c r="D4170" s="436"/>
      <c r="E4170" s="436"/>
      <c r="F4170" s="436"/>
      <c r="H4170" s="467"/>
      <c r="I4170" s="467"/>
      <c r="J4170" s="469"/>
      <c r="AL4170" s="436"/>
      <c r="AM4170" s="436"/>
      <c r="AQ4170" s="436"/>
      <c r="AR4170" s="436"/>
      <c r="AS4170" s="436"/>
      <c r="AT4170" s="436"/>
      <c r="AU4170" s="436"/>
      <c r="AV4170" s="436"/>
      <c r="AW4170" s="436"/>
      <c r="AX4170" s="436"/>
      <c r="AY4170" s="436"/>
      <c r="AZ4170" s="475"/>
      <c r="BA4170" s="475"/>
      <c r="BF4170" s="1119"/>
      <c r="BG4170" s="1119"/>
      <c r="BH4170" s="1119"/>
    </row>
    <row r="4171" spans="1:60" ht="15.75" customHeight="1">
      <c r="A4171" s="436"/>
      <c r="C4171" s="436"/>
      <c r="D4171" s="436"/>
      <c r="E4171" s="436"/>
      <c r="F4171" s="436"/>
      <c r="H4171" s="467"/>
      <c r="I4171" s="467"/>
      <c r="J4171" s="469"/>
      <c r="AL4171" s="436"/>
      <c r="AM4171" s="436"/>
      <c r="AQ4171" s="436"/>
      <c r="AR4171" s="436"/>
      <c r="AS4171" s="436"/>
      <c r="AT4171" s="436"/>
      <c r="AU4171" s="436"/>
      <c r="AV4171" s="436"/>
      <c r="AW4171" s="436"/>
      <c r="AX4171" s="436"/>
      <c r="AY4171" s="436"/>
      <c r="AZ4171" s="475"/>
      <c r="BA4171" s="475"/>
      <c r="BF4171" s="1119"/>
      <c r="BG4171" s="1119"/>
      <c r="BH4171" s="1119"/>
    </row>
    <row r="4172" spans="1:60" ht="15.75" customHeight="1">
      <c r="A4172" s="436"/>
      <c r="C4172" s="436"/>
      <c r="D4172" s="436"/>
      <c r="E4172" s="436"/>
      <c r="F4172" s="436"/>
      <c r="H4172" s="467"/>
      <c r="I4172" s="467"/>
      <c r="J4172" s="469"/>
      <c r="AL4172" s="436"/>
      <c r="AM4172" s="436"/>
      <c r="AQ4172" s="436"/>
      <c r="AR4172" s="436"/>
      <c r="AS4172" s="436"/>
      <c r="AT4172" s="436"/>
      <c r="AU4172" s="436"/>
      <c r="AV4172" s="436"/>
      <c r="AW4172" s="436"/>
      <c r="AX4172" s="436"/>
      <c r="AY4172" s="436"/>
      <c r="AZ4172" s="475"/>
      <c r="BA4172" s="475"/>
      <c r="BF4172" s="1119"/>
      <c r="BG4172" s="1119"/>
      <c r="BH4172" s="1119"/>
    </row>
    <row r="4173" spans="1:60" ht="15.75" customHeight="1">
      <c r="A4173" s="436"/>
      <c r="C4173" s="436"/>
      <c r="D4173" s="436"/>
      <c r="E4173" s="436"/>
      <c r="F4173" s="436"/>
      <c r="H4173" s="467"/>
      <c r="I4173" s="467"/>
      <c r="J4173" s="469"/>
      <c r="AL4173" s="436"/>
      <c r="AM4173" s="436"/>
      <c r="AQ4173" s="436"/>
      <c r="AR4173" s="436"/>
      <c r="AS4173" s="436"/>
      <c r="AT4173" s="436"/>
      <c r="AU4173" s="436"/>
      <c r="AV4173" s="436"/>
      <c r="AW4173" s="436"/>
      <c r="AX4173" s="436"/>
      <c r="AY4173" s="436"/>
      <c r="AZ4173" s="475"/>
      <c r="BA4173" s="475"/>
      <c r="BF4173" s="1119"/>
      <c r="BG4173" s="1119"/>
      <c r="BH4173" s="1119"/>
    </row>
    <row r="4174" spans="1:60" ht="15.75" customHeight="1">
      <c r="A4174" s="436"/>
      <c r="C4174" s="436"/>
      <c r="D4174" s="436"/>
      <c r="E4174" s="436"/>
      <c r="F4174" s="436"/>
      <c r="H4174" s="467"/>
      <c r="I4174" s="467"/>
      <c r="J4174" s="469"/>
      <c r="AL4174" s="436"/>
      <c r="AM4174" s="436"/>
      <c r="AQ4174" s="436"/>
      <c r="AR4174" s="436"/>
      <c r="AS4174" s="436"/>
      <c r="AT4174" s="436"/>
      <c r="AU4174" s="436"/>
      <c r="AV4174" s="436"/>
      <c r="AW4174" s="436"/>
      <c r="AX4174" s="436"/>
      <c r="AY4174" s="436"/>
      <c r="AZ4174" s="475"/>
      <c r="BA4174" s="475"/>
      <c r="BF4174" s="1119"/>
      <c r="BG4174" s="1119"/>
      <c r="BH4174" s="1119"/>
    </row>
    <row r="4175" spans="1:60" ht="15.75" customHeight="1">
      <c r="A4175" s="436"/>
      <c r="C4175" s="436"/>
      <c r="D4175" s="436"/>
      <c r="E4175" s="436"/>
      <c r="F4175" s="436"/>
      <c r="H4175" s="467"/>
      <c r="I4175" s="467"/>
      <c r="J4175" s="469"/>
      <c r="AL4175" s="436"/>
      <c r="AM4175" s="436"/>
      <c r="AQ4175" s="436"/>
      <c r="AR4175" s="436"/>
      <c r="AS4175" s="436"/>
      <c r="AT4175" s="436"/>
      <c r="AU4175" s="436"/>
      <c r="AV4175" s="436"/>
      <c r="AW4175" s="436"/>
      <c r="AX4175" s="436"/>
      <c r="AY4175" s="436"/>
      <c r="AZ4175" s="475"/>
      <c r="BA4175" s="475"/>
      <c r="BF4175" s="1119"/>
      <c r="BG4175" s="1119"/>
      <c r="BH4175" s="1119"/>
    </row>
    <row r="4176" spans="1:60" ht="15.75" customHeight="1">
      <c r="A4176" s="436"/>
      <c r="C4176" s="436"/>
      <c r="D4176" s="436"/>
      <c r="E4176" s="436"/>
      <c r="F4176" s="436"/>
      <c r="H4176" s="467"/>
      <c r="I4176" s="467"/>
      <c r="J4176" s="469"/>
      <c r="AL4176" s="436"/>
      <c r="AM4176" s="436"/>
      <c r="AQ4176" s="436"/>
      <c r="AR4176" s="436"/>
      <c r="AS4176" s="436"/>
      <c r="AT4176" s="436"/>
      <c r="AU4176" s="436"/>
      <c r="AV4176" s="436"/>
      <c r="AW4176" s="436"/>
      <c r="AX4176" s="436"/>
      <c r="AY4176" s="436"/>
      <c r="AZ4176" s="475"/>
      <c r="BA4176" s="475"/>
      <c r="BF4176" s="1119"/>
      <c r="BG4176" s="1119"/>
      <c r="BH4176" s="1119"/>
    </row>
    <row r="4177" spans="1:60" ht="15.75" customHeight="1">
      <c r="A4177" s="436"/>
      <c r="C4177" s="436"/>
      <c r="D4177" s="436"/>
      <c r="E4177" s="436"/>
      <c r="F4177" s="436"/>
      <c r="H4177" s="467"/>
      <c r="I4177" s="467"/>
      <c r="J4177" s="469"/>
      <c r="AL4177" s="436"/>
      <c r="AM4177" s="436"/>
      <c r="AQ4177" s="436"/>
      <c r="AR4177" s="436"/>
      <c r="AS4177" s="436"/>
      <c r="AT4177" s="436"/>
      <c r="AU4177" s="436"/>
      <c r="AV4177" s="436"/>
      <c r="AW4177" s="436"/>
      <c r="AX4177" s="436"/>
      <c r="AY4177" s="436"/>
      <c r="AZ4177" s="475"/>
      <c r="BA4177" s="475"/>
      <c r="BF4177" s="1119"/>
      <c r="BG4177" s="1119"/>
      <c r="BH4177" s="1119"/>
    </row>
    <row r="4178" spans="1:60" ht="15.75" customHeight="1">
      <c r="A4178" s="436"/>
      <c r="C4178" s="436"/>
      <c r="D4178" s="436"/>
      <c r="E4178" s="436"/>
      <c r="F4178" s="436"/>
      <c r="H4178" s="467"/>
      <c r="I4178" s="467"/>
      <c r="J4178" s="469"/>
      <c r="AL4178" s="436"/>
      <c r="AM4178" s="436"/>
      <c r="AQ4178" s="436"/>
      <c r="AR4178" s="436"/>
      <c r="AS4178" s="436"/>
      <c r="AT4178" s="436"/>
      <c r="AU4178" s="436"/>
      <c r="AV4178" s="436"/>
      <c r="AW4178" s="436"/>
      <c r="AX4178" s="436"/>
      <c r="AY4178" s="436"/>
      <c r="AZ4178" s="475"/>
      <c r="BA4178" s="475"/>
      <c r="BF4178" s="1119"/>
      <c r="BG4178" s="1119"/>
      <c r="BH4178" s="1119"/>
    </row>
    <row r="4179" spans="1:60" ht="15.75" customHeight="1">
      <c r="A4179" s="436"/>
      <c r="C4179" s="436"/>
      <c r="D4179" s="436"/>
      <c r="E4179" s="436"/>
      <c r="F4179" s="436"/>
      <c r="H4179" s="467"/>
      <c r="I4179" s="467"/>
      <c r="J4179" s="469"/>
      <c r="AL4179" s="436"/>
      <c r="AM4179" s="436"/>
      <c r="AQ4179" s="436"/>
      <c r="AR4179" s="436"/>
      <c r="AS4179" s="436"/>
      <c r="AT4179" s="436"/>
      <c r="AU4179" s="436"/>
      <c r="AV4179" s="436"/>
      <c r="AW4179" s="436"/>
      <c r="AX4179" s="436"/>
      <c r="AY4179" s="436"/>
      <c r="AZ4179" s="475"/>
      <c r="BA4179" s="475"/>
      <c r="BF4179" s="1119"/>
      <c r="BG4179" s="1119"/>
      <c r="BH4179" s="1119"/>
    </row>
    <row r="4180" spans="1:60" ht="15.75" customHeight="1">
      <c r="A4180" s="436"/>
      <c r="C4180" s="436"/>
      <c r="D4180" s="436"/>
      <c r="E4180" s="436"/>
      <c r="F4180" s="436"/>
      <c r="H4180" s="467"/>
      <c r="I4180" s="467"/>
      <c r="J4180" s="469"/>
      <c r="AL4180" s="436"/>
      <c r="AM4180" s="436"/>
      <c r="AQ4180" s="436"/>
      <c r="AR4180" s="436"/>
      <c r="AS4180" s="436"/>
      <c r="AT4180" s="436"/>
      <c r="AU4180" s="436"/>
      <c r="AV4180" s="436"/>
      <c r="AW4180" s="436"/>
      <c r="AX4180" s="436"/>
      <c r="AY4180" s="436"/>
      <c r="AZ4180" s="475"/>
      <c r="BA4180" s="475"/>
      <c r="BF4180" s="1119"/>
      <c r="BG4180" s="1119"/>
      <c r="BH4180" s="1119"/>
    </row>
    <row r="4181" spans="1:60" ht="15.75" customHeight="1">
      <c r="A4181" s="436"/>
      <c r="C4181" s="436"/>
      <c r="D4181" s="436"/>
      <c r="E4181" s="436"/>
      <c r="F4181" s="436"/>
      <c r="H4181" s="467"/>
      <c r="I4181" s="467"/>
      <c r="J4181" s="469"/>
      <c r="AL4181" s="436"/>
      <c r="AM4181" s="436"/>
      <c r="AQ4181" s="436"/>
      <c r="AR4181" s="436"/>
      <c r="AS4181" s="436"/>
      <c r="AT4181" s="436"/>
      <c r="AU4181" s="436"/>
      <c r="AV4181" s="436"/>
      <c r="AW4181" s="436"/>
      <c r="AX4181" s="436"/>
      <c r="AY4181" s="436"/>
      <c r="AZ4181" s="475"/>
      <c r="BA4181" s="475"/>
      <c r="BF4181" s="1119"/>
      <c r="BG4181" s="1119"/>
      <c r="BH4181" s="1119"/>
    </row>
    <row r="4182" spans="1:60" ht="15.75" customHeight="1">
      <c r="A4182" s="436"/>
      <c r="C4182" s="436"/>
      <c r="D4182" s="436"/>
      <c r="E4182" s="436"/>
      <c r="F4182" s="436"/>
      <c r="H4182" s="467"/>
      <c r="I4182" s="467"/>
      <c r="J4182" s="469"/>
      <c r="AL4182" s="436"/>
      <c r="AM4182" s="436"/>
      <c r="AQ4182" s="436"/>
      <c r="AR4182" s="436"/>
      <c r="AS4182" s="436"/>
      <c r="AT4182" s="436"/>
      <c r="AU4182" s="436"/>
      <c r="AV4182" s="436"/>
      <c r="AW4182" s="436"/>
      <c r="AX4182" s="436"/>
      <c r="AY4182" s="436"/>
      <c r="AZ4182" s="475"/>
      <c r="BA4182" s="475"/>
      <c r="BF4182" s="1119"/>
      <c r="BG4182" s="1119"/>
      <c r="BH4182" s="1119"/>
    </row>
    <row r="4183" spans="1:60" ht="15.75" customHeight="1">
      <c r="A4183" s="436"/>
      <c r="C4183" s="436"/>
      <c r="D4183" s="436"/>
      <c r="E4183" s="436"/>
      <c r="F4183" s="436"/>
      <c r="H4183" s="467"/>
      <c r="I4183" s="467"/>
      <c r="J4183" s="469"/>
      <c r="AL4183" s="436"/>
      <c r="AM4183" s="436"/>
      <c r="AQ4183" s="436"/>
      <c r="AR4183" s="436"/>
      <c r="AS4183" s="436"/>
      <c r="AT4183" s="436"/>
      <c r="AU4183" s="436"/>
      <c r="AV4183" s="436"/>
      <c r="AW4183" s="436"/>
      <c r="AX4183" s="436"/>
      <c r="AY4183" s="436"/>
      <c r="AZ4183" s="475"/>
      <c r="BA4183" s="475"/>
      <c r="BF4183" s="1119"/>
      <c r="BG4183" s="1119"/>
      <c r="BH4183" s="1119"/>
    </row>
    <row r="4184" spans="1:60" ht="15.75" customHeight="1">
      <c r="A4184" s="436"/>
      <c r="C4184" s="436"/>
      <c r="D4184" s="436"/>
      <c r="E4184" s="436"/>
      <c r="F4184" s="436"/>
      <c r="H4184" s="467"/>
      <c r="I4184" s="467"/>
      <c r="J4184" s="469"/>
      <c r="AL4184" s="436"/>
      <c r="AM4184" s="436"/>
      <c r="AQ4184" s="436"/>
      <c r="AR4184" s="436"/>
      <c r="AS4184" s="436"/>
      <c r="AT4184" s="436"/>
      <c r="AU4184" s="436"/>
      <c r="AV4184" s="436"/>
      <c r="AW4184" s="436"/>
      <c r="AX4184" s="436"/>
      <c r="AY4184" s="436"/>
      <c r="AZ4184" s="475"/>
      <c r="BA4184" s="475"/>
      <c r="BF4184" s="1119"/>
      <c r="BG4184" s="1119"/>
      <c r="BH4184" s="1119"/>
    </row>
    <row r="4185" spans="1:60" ht="15.75" customHeight="1">
      <c r="A4185" s="436"/>
      <c r="C4185" s="436"/>
      <c r="D4185" s="436"/>
      <c r="E4185" s="436"/>
      <c r="F4185" s="436"/>
      <c r="H4185" s="467"/>
      <c r="I4185" s="467"/>
      <c r="J4185" s="469"/>
      <c r="AL4185" s="436"/>
      <c r="AM4185" s="436"/>
      <c r="AQ4185" s="436"/>
      <c r="AR4185" s="436"/>
      <c r="AS4185" s="436"/>
      <c r="AT4185" s="436"/>
      <c r="AU4185" s="436"/>
      <c r="AV4185" s="436"/>
      <c r="AW4185" s="436"/>
      <c r="AX4185" s="436"/>
      <c r="AY4185" s="436"/>
      <c r="AZ4185" s="475"/>
      <c r="BA4185" s="475"/>
      <c r="BF4185" s="1119"/>
      <c r="BG4185" s="1119"/>
      <c r="BH4185" s="1119"/>
    </row>
    <row r="4186" spans="1:60" ht="15.75" customHeight="1">
      <c r="A4186" s="436"/>
      <c r="C4186" s="436"/>
      <c r="D4186" s="436"/>
      <c r="E4186" s="436"/>
      <c r="F4186" s="436"/>
      <c r="H4186" s="467"/>
      <c r="I4186" s="467"/>
      <c r="J4186" s="469"/>
      <c r="AL4186" s="436"/>
      <c r="AM4186" s="436"/>
      <c r="AQ4186" s="436"/>
      <c r="AR4186" s="436"/>
      <c r="AS4186" s="436"/>
      <c r="AT4186" s="436"/>
      <c r="AU4186" s="436"/>
      <c r="AV4186" s="436"/>
      <c r="AW4186" s="436"/>
      <c r="AX4186" s="436"/>
      <c r="AY4186" s="436"/>
      <c r="AZ4186" s="475"/>
      <c r="BA4186" s="475"/>
      <c r="BF4186" s="1119"/>
      <c r="BG4186" s="1119"/>
      <c r="BH4186" s="1119"/>
    </row>
    <row r="4187" spans="1:60" ht="15.75" customHeight="1">
      <c r="A4187" s="436"/>
      <c r="C4187" s="436"/>
      <c r="D4187" s="436"/>
      <c r="E4187" s="436"/>
      <c r="F4187" s="436"/>
      <c r="H4187" s="467"/>
      <c r="I4187" s="467"/>
      <c r="J4187" s="469"/>
      <c r="AL4187" s="436"/>
      <c r="AM4187" s="436"/>
      <c r="AQ4187" s="436"/>
      <c r="AR4187" s="436"/>
      <c r="AS4187" s="436"/>
      <c r="AT4187" s="436"/>
      <c r="AU4187" s="436"/>
      <c r="AV4187" s="436"/>
      <c r="AW4187" s="436"/>
      <c r="AX4187" s="436"/>
      <c r="AY4187" s="436"/>
      <c r="AZ4187" s="475"/>
      <c r="BA4187" s="475"/>
      <c r="BF4187" s="1119"/>
      <c r="BG4187" s="1119"/>
      <c r="BH4187" s="1119"/>
    </row>
    <row r="4188" spans="1:60" ht="15.75" customHeight="1">
      <c r="A4188" s="436"/>
      <c r="C4188" s="436"/>
      <c r="D4188" s="436"/>
      <c r="E4188" s="436"/>
      <c r="F4188" s="436"/>
      <c r="H4188" s="467"/>
      <c r="I4188" s="467"/>
      <c r="J4188" s="469"/>
      <c r="AL4188" s="436"/>
      <c r="AM4188" s="436"/>
      <c r="AQ4188" s="436"/>
      <c r="AR4188" s="436"/>
      <c r="AS4188" s="436"/>
      <c r="AT4188" s="436"/>
      <c r="AU4188" s="436"/>
      <c r="AV4188" s="436"/>
      <c r="AW4188" s="436"/>
      <c r="AX4188" s="436"/>
      <c r="AY4188" s="436"/>
      <c r="AZ4188" s="475"/>
      <c r="BA4188" s="475"/>
      <c r="BF4188" s="1119"/>
      <c r="BG4188" s="1119"/>
      <c r="BH4188" s="1119"/>
    </row>
    <row r="4189" spans="1:60" ht="15.75" customHeight="1">
      <c r="A4189" s="436"/>
      <c r="C4189" s="436"/>
      <c r="D4189" s="436"/>
      <c r="E4189" s="436"/>
      <c r="F4189" s="436"/>
      <c r="H4189" s="467"/>
      <c r="I4189" s="467"/>
      <c r="J4189" s="469"/>
      <c r="AL4189" s="436"/>
      <c r="AM4189" s="436"/>
      <c r="AQ4189" s="436"/>
      <c r="AR4189" s="436"/>
      <c r="AS4189" s="436"/>
      <c r="AT4189" s="436"/>
      <c r="AU4189" s="436"/>
      <c r="AV4189" s="436"/>
      <c r="AW4189" s="436"/>
      <c r="AX4189" s="436"/>
      <c r="AY4189" s="436"/>
      <c r="AZ4189" s="475"/>
      <c r="BA4189" s="475"/>
      <c r="BF4189" s="1119"/>
      <c r="BG4189" s="1119"/>
      <c r="BH4189" s="1119"/>
    </row>
    <row r="4190" spans="1:60" ht="15.75" customHeight="1">
      <c r="A4190" s="436"/>
      <c r="C4190" s="436"/>
      <c r="D4190" s="436"/>
      <c r="E4190" s="436"/>
      <c r="F4190" s="436"/>
      <c r="H4190" s="467"/>
      <c r="I4190" s="467"/>
      <c r="J4190" s="469"/>
      <c r="AL4190" s="436"/>
      <c r="AM4190" s="436"/>
      <c r="AQ4190" s="436"/>
      <c r="AR4190" s="436"/>
      <c r="AS4190" s="436"/>
      <c r="AT4190" s="436"/>
      <c r="AU4190" s="436"/>
      <c r="AV4190" s="436"/>
      <c r="AW4190" s="436"/>
      <c r="AX4190" s="436"/>
      <c r="AY4190" s="436"/>
      <c r="AZ4190" s="475"/>
      <c r="BA4190" s="475"/>
      <c r="BF4190" s="1119"/>
      <c r="BG4190" s="1119"/>
      <c r="BH4190" s="1119"/>
    </row>
    <row r="4191" spans="1:60" ht="15.75" customHeight="1">
      <c r="A4191" s="436"/>
      <c r="C4191" s="436"/>
      <c r="D4191" s="436"/>
      <c r="E4191" s="436"/>
      <c r="F4191" s="436"/>
      <c r="H4191" s="467"/>
      <c r="I4191" s="467"/>
      <c r="J4191" s="469"/>
      <c r="AL4191" s="436"/>
      <c r="AM4191" s="436"/>
      <c r="AQ4191" s="436"/>
      <c r="AR4191" s="436"/>
      <c r="AS4191" s="436"/>
      <c r="AT4191" s="436"/>
      <c r="AU4191" s="436"/>
      <c r="AV4191" s="436"/>
      <c r="AW4191" s="436"/>
      <c r="AX4191" s="436"/>
      <c r="AY4191" s="436"/>
      <c r="AZ4191" s="475"/>
      <c r="BA4191" s="475"/>
      <c r="BF4191" s="1119"/>
      <c r="BG4191" s="1119"/>
      <c r="BH4191" s="1119"/>
    </row>
    <row r="4192" spans="1:60" ht="15.75" customHeight="1">
      <c r="A4192" s="436"/>
      <c r="C4192" s="436"/>
      <c r="D4192" s="436"/>
      <c r="E4192" s="436"/>
      <c r="F4192" s="436"/>
      <c r="H4192" s="467"/>
      <c r="I4192" s="467"/>
      <c r="J4192" s="469"/>
      <c r="AL4192" s="436"/>
      <c r="AM4192" s="436"/>
      <c r="AQ4192" s="436"/>
      <c r="AR4192" s="436"/>
      <c r="AS4192" s="436"/>
      <c r="AT4192" s="436"/>
      <c r="AU4192" s="436"/>
      <c r="AV4192" s="436"/>
      <c r="AW4192" s="436"/>
      <c r="AX4192" s="436"/>
      <c r="AY4192" s="436"/>
      <c r="AZ4192" s="475"/>
      <c r="BA4192" s="475"/>
      <c r="BF4192" s="1119"/>
      <c r="BG4192" s="1119"/>
      <c r="BH4192" s="1119"/>
    </row>
    <row r="4193" spans="1:60" ht="15.75" customHeight="1">
      <c r="A4193" s="436"/>
      <c r="C4193" s="436"/>
      <c r="D4193" s="436"/>
      <c r="E4193" s="436"/>
      <c r="F4193" s="436"/>
      <c r="H4193" s="467"/>
      <c r="I4193" s="467"/>
      <c r="J4193" s="469"/>
      <c r="AL4193" s="436"/>
      <c r="AM4193" s="436"/>
      <c r="AQ4193" s="436"/>
      <c r="AR4193" s="436"/>
      <c r="AS4193" s="436"/>
      <c r="AT4193" s="436"/>
      <c r="AU4193" s="436"/>
      <c r="AV4193" s="436"/>
      <c r="AW4193" s="436"/>
      <c r="AX4193" s="436"/>
      <c r="AY4193" s="436"/>
      <c r="AZ4193" s="475"/>
      <c r="BA4193" s="475"/>
      <c r="BF4193" s="1119"/>
      <c r="BG4193" s="1119"/>
      <c r="BH4193" s="1119"/>
    </row>
    <row r="4194" spans="1:60" ht="15.75" customHeight="1">
      <c r="A4194" s="436"/>
      <c r="C4194" s="436"/>
      <c r="D4194" s="436"/>
      <c r="E4194" s="436"/>
      <c r="F4194" s="436"/>
      <c r="H4194" s="467"/>
      <c r="I4194" s="467"/>
      <c r="J4194" s="469"/>
      <c r="AL4194" s="436"/>
      <c r="AM4194" s="436"/>
      <c r="AQ4194" s="436"/>
      <c r="AR4194" s="436"/>
      <c r="AS4194" s="436"/>
      <c r="AT4194" s="436"/>
      <c r="AU4194" s="436"/>
      <c r="AV4194" s="436"/>
      <c r="AW4194" s="436"/>
      <c r="AX4194" s="436"/>
      <c r="AY4194" s="436"/>
      <c r="AZ4194" s="475"/>
      <c r="BA4194" s="475"/>
      <c r="BF4194" s="1119"/>
      <c r="BG4194" s="1119"/>
      <c r="BH4194" s="1119"/>
    </row>
    <row r="4195" spans="1:60" ht="15.75" customHeight="1">
      <c r="A4195" s="436"/>
      <c r="C4195" s="436"/>
      <c r="D4195" s="436"/>
      <c r="E4195" s="436"/>
      <c r="F4195" s="436"/>
      <c r="H4195" s="467"/>
      <c r="I4195" s="467"/>
      <c r="J4195" s="469"/>
      <c r="AL4195" s="436"/>
      <c r="AM4195" s="436"/>
      <c r="AQ4195" s="436"/>
      <c r="AR4195" s="436"/>
      <c r="AS4195" s="436"/>
      <c r="AT4195" s="436"/>
      <c r="AU4195" s="436"/>
      <c r="AV4195" s="436"/>
      <c r="AW4195" s="436"/>
      <c r="AX4195" s="436"/>
      <c r="AY4195" s="436"/>
      <c r="AZ4195" s="475"/>
      <c r="BA4195" s="475"/>
      <c r="BF4195" s="1119"/>
      <c r="BG4195" s="1119"/>
      <c r="BH4195" s="1119"/>
    </row>
    <row r="4196" spans="1:60" ht="15.75" customHeight="1">
      <c r="A4196" s="436"/>
      <c r="C4196" s="436"/>
      <c r="D4196" s="436"/>
      <c r="E4196" s="436"/>
      <c r="F4196" s="436"/>
      <c r="H4196" s="467"/>
      <c r="I4196" s="467"/>
      <c r="J4196" s="469"/>
      <c r="AL4196" s="436"/>
      <c r="AM4196" s="436"/>
      <c r="AQ4196" s="436"/>
      <c r="AR4196" s="436"/>
      <c r="AS4196" s="436"/>
      <c r="AT4196" s="436"/>
      <c r="AU4196" s="436"/>
      <c r="AV4196" s="436"/>
      <c r="AW4196" s="436"/>
      <c r="AX4196" s="436"/>
      <c r="AY4196" s="436"/>
      <c r="AZ4196" s="475"/>
      <c r="BA4196" s="475"/>
      <c r="BF4196" s="1119"/>
      <c r="BG4196" s="1119"/>
      <c r="BH4196" s="1119"/>
    </row>
    <row r="4197" spans="1:60" ht="15.75" customHeight="1">
      <c r="A4197" s="436"/>
      <c r="C4197" s="436"/>
      <c r="D4197" s="436"/>
      <c r="E4197" s="436"/>
      <c r="F4197" s="436"/>
      <c r="H4197" s="467"/>
      <c r="I4197" s="467"/>
      <c r="J4197" s="469"/>
      <c r="AL4197" s="436"/>
      <c r="AM4197" s="436"/>
      <c r="AQ4197" s="436"/>
      <c r="AR4197" s="436"/>
      <c r="AS4197" s="436"/>
      <c r="AT4197" s="436"/>
      <c r="AU4197" s="436"/>
      <c r="AV4197" s="436"/>
      <c r="AW4197" s="436"/>
      <c r="AX4197" s="436"/>
      <c r="AY4197" s="436"/>
      <c r="AZ4197" s="475"/>
      <c r="BA4197" s="475"/>
      <c r="BF4197" s="1119"/>
      <c r="BG4197" s="1119"/>
      <c r="BH4197" s="1119"/>
    </row>
    <row r="4198" spans="1:60" ht="15.75" customHeight="1">
      <c r="A4198" s="436"/>
      <c r="C4198" s="436"/>
      <c r="D4198" s="436"/>
      <c r="E4198" s="436"/>
      <c r="F4198" s="436"/>
      <c r="H4198" s="467"/>
      <c r="I4198" s="467"/>
      <c r="J4198" s="469"/>
      <c r="AL4198" s="436"/>
      <c r="AM4198" s="436"/>
      <c r="AQ4198" s="436"/>
      <c r="AR4198" s="436"/>
      <c r="AS4198" s="436"/>
      <c r="AT4198" s="436"/>
      <c r="AU4198" s="436"/>
      <c r="AV4198" s="436"/>
      <c r="AW4198" s="436"/>
      <c r="AX4198" s="436"/>
      <c r="AY4198" s="436"/>
      <c r="AZ4198" s="475"/>
      <c r="BA4198" s="475"/>
      <c r="BF4198" s="1119"/>
      <c r="BG4198" s="1119"/>
      <c r="BH4198" s="1119"/>
    </row>
    <row r="4199" spans="1:60" ht="15.75" customHeight="1">
      <c r="A4199" s="436"/>
      <c r="C4199" s="436"/>
      <c r="D4199" s="436"/>
      <c r="E4199" s="436"/>
      <c r="F4199" s="436"/>
      <c r="H4199" s="467"/>
      <c r="I4199" s="467"/>
      <c r="J4199" s="469"/>
      <c r="AL4199" s="436"/>
      <c r="AM4199" s="436"/>
      <c r="AQ4199" s="436"/>
      <c r="AR4199" s="436"/>
      <c r="AS4199" s="436"/>
      <c r="AT4199" s="436"/>
      <c r="AU4199" s="436"/>
      <c r="AV4199" s="436"/>
      <c r="AW4199" s="436"/>
      <c r="AX4199" s="436"/>
      <c r="AY4199" s="436"/>
      <c r="AZ4199" s="475"/>
      <c r="BA4199" s="475"/>
      <c r="BF4199" s="1119"/>
      <c r="BG4199" s="1119"/>
      <c r="BH4199" s="1119"/>
    </row>
    <row r="4200" spans="1:60" ht="15.75" customHeight="1">
      <c r="A4200" s="436"/>
      <c r="C4200" s="436"/>
      <c r="D4200" s="436"/>
      <c r="E4200" s="436"/>
      <c r="F4200" s="436"/>
      <c r="H4200" s="467"/>
      <c r="I4200" s="467"/>
      <c r="J4200" s="469"/>
      <c r="AL4200" s="436"/>
      <c r="AM4200" s="436"/>
      <c r="AQ4200" s="436"/>
      <c r="AR4200" s="436"/>
      <c r="AS4200" s="436"/>
      <c r="AT4200" s="436"/>
      <c r="AU4200" s="436"/>
      <c r="AV4200" s="436"/>
      <c r="AW4200" s="436"/>
      <c r="AX4200" s="436"/>
      <c r="AY4200" s="436"/>
      <c r="AZ4200" s="475"/>
      <c r="BA4200" s="475"/>
      <c r="BF4200" s="1119"/>
      <c r="BG4200" s="1119"/>
      <c r="BH4200" s="1119"/>
    </row>
    <row r="4201" spans="1:60" ht="15.75" customHeight="1">
      <c r="A4201" s="436"/>
      <c r="C4201" s="436"/>
      <c r="D4201" s="436"/>
      <c r="E4201" s="436"/>
      <c r="F4201" s="436"/>
      <c r="H4201" s="467"/>
      <c r="I4201" s="467"/>
      <c r="J4201" s="469"/>
      <c r="AL4201" s="436"/>
      <c r="AM4201" s="436"/>
      <c r="AQ4201" s="436"/>
      <c r="AR4201" s="436"/>
      <c r="AS4201" s="436"/>
      <c r="AT4201" s="436"/>
      <c r="AU4201" s="436"/>
      <c r="AV4201" s="436"/>
      <c r="AW4201" s="436"/>
      <c r="AX4201" s="436"/>
      <c r="AY4201" s="436"/>
      <c r="AZ4201" s="475"/>
      <c r="BA4201" s="475"/>
      <c r="BF4201" s="1119"/>
      <c r="BG4201" s="1119"/>
      <c r="BH4201" s="1119"/>
    </row>
    <row r="4202" spans="1:60" ht="15.75" customHeight="1">
      <c r="A4202" s="436"/>
      <c r="C4202" s="436"/>
      <c r="D4202" s="436"/>
      <c r="E4202" s="436"/>
      <c r="F4202" s="436"/>
      <c r="H4202" s="467"/>
      <c r="I4202" s="467"/>
      <c r="J4202" s="469"/>
      <c r="AL4202" s="436"/>
      <c r="AM4202" s="436"/>
      <c r="AQ4202" s="436"/>
      <c r="AR4202" s="436"/>
      <c r="AS4202" s="436"/>
      <c r="AT4202" s="436"/>
      <c r="AU4202" s="436"/>
      <c r="AV4202" s="436"/>
      <c r="AW4202" s="436"/>
      <c r="AX4202" s="436"/>
      <c r="AY4202" s="436"/>
      <c r="AZ4202" s="475"/>
      <c r="BA4202" s="475"/>
      <c r="BF4202" s="1119"/>
      <c r="BG4202" s="1119"/>
      <c r="BH4202" s="1119"/>
    </row>
    <row r="4203" spans="1:60" ht="15.75" customHeight="1">
      <c r="A4203" s="436"/>
      <c r="C4203" s="436"/>
      <c r="D4203" s="436"/>
      <c r="E4203" s="436"/>
      <c r="F4203" s="436"/>
      <c r="H4203" s="467"/>
      <c r="I4203" s="467"/>
      <c r="J4203" s="469"/>
      <c r="AL4203" s="436"/>
      <c r="AM4203" s="436"/>
      <c r="AQ4203" s="436"/>
      <c r="AR4203" s="436"/>
      <c r="AS4203" s="436"/>
      <c r="AT4203" s="436"/>
      <c r="AU4203" s="436"/>
      <c r="AV4203" s="436"/>
      <c r="AW4203" s="436"/>
      <c r="AX4203" s="436"/>
      <c r="AY4203" s="436"/>
      <c r="AZ4203" s="475"/>
      <c r="BA4203" s="475"/>
      <c r="BF4203" s="1119"/>
      <c r="BG4203" s="1119"/>
      <c r="BH4203" s="1119"/>
    </row>
    <row r="4204" spans="1:60" ht="15.75" customHeight="1">
      <c r="A4204" s="436"/>
      <c r="C4204" s="436"/>
      <c r="D4204" s="436"/>
      <c r="E4204" s="436"/>
      <c r="F4204" s="436"/>
      <c r="H4204" s="467"/>
      <c r="I4204" s="467"/>
      <c r="J4204" s="469"/>
      <c r="AL4204" s="436"/>
      <c r="AM4204" s="436"/>
      <c r="AQ4204" s="436"/>
      <c r="AR4204" s="436"/>
      <c r="AS4204" s="436"/>
      <c r="AT4204" s="436"/>
      <c r="AU4204" s="436"/>
      <c r="AV4204" s="436"/>
      <c r="AW4204" s="436"/>
      <c r="AX4204" s="436"/>
      <c r="AY4204" s="436"/>
      <c r="AZ4204" s="475"/>
      <c r="BA4204" s="475"/>
      <c r="BF4204" s="1119"/>
      <c r="BG4204" s="1119"/>
      <c r="BH4204" s="1119"/>
    </row>
    <row r="4205" spans="1:60" ht="15.75" customHeight="1">
      <c r="A4205" s="436"/>
      <c r="C4205" s="436"/>
      <c r="D4205" s="436"/>
      <c r="E4205" s="436"/>
      <c r="F4205" s="436"/>
      <c r="H4205" s="467"/>
      <c r="I4205" s="467"/>
      <c r="J4205" s="469"/>
      <c r="AL4205" s="436"/>
      <c r="AM4205" s="436"/>
      <c r="AQ4205" s="436"/>
      <c r="AR4205" s="436"/>
      <c r="AS4205" s="436"/>
      <c r="AT4205" s="436"/>
      <c r="AU4205" s="436"/>
      <c r="AV4205" s="436"/>
      <c r="AW4205" s="436"/>
      <c r="AX4205" s="436"/>
      <c r="AY4205" s="436"/>
      <c r="AZ4205" s="475"/>
      <c r="BA4205" s="475"/>
      <c r="BF4205" s="1119"/>
      <c r="BG4205" s="1119"/>
      <c r="BH4205" s="1119"/>
    </row>
    <row r="4206" spans="1:60" ht="15.75" customHeight="1">
      <c r="A4206" s="436"/>
      <c r="C4206" s="436"/>
      <c r="D4206" s="436"/>
      <c r="E4206" s="436"/>
      <c r="F4206" s="436"/>
      <c r="H4206" s="467"/>
      <c r="I4206" s="467"/>
      <c r="J4206" s="469"/>
      <c r="AL4206" s="436"/>
      <c r="AM4206" s="436"/>
      <c r="AQ4206" s="436"/>
      <c r="AR4206" s="436"/>
      <c r="AS4206" s="436"/>
      <c r="AT4206" s="436"/>
      <c r="AU4206" s="436"/>
      <c r="AV4206" s="436"/>
      <c r="AW4206" s="436"/>
      <c r="AX4206" s="436"/>
      <c r="AY4206" s="436"/>
      <c r="AZ4206" s="475"/>
      <c r="BA4206" s="475"/>
      <c r="BF4206" s="1119"/>
      <c r="BG4206" s="1119"/>
      <c r="BH4206" s="1119"/>
    </row>
    <row r="4207" spans="1:60" ht="15.75" customHeight="1">
      <c r="A4207" s="436"/>
      <c r="C4207" s="436"/>
      <c r="D4207" s="436"/>
      <c r="E4207" s="436"/>
      <c r="F4207" s="436"/>
      <c r="H4207" s="467"/>
      <c r="I4207" s="467"/>
      <c r="J4207" s="469"/>
      <c r="AL4207" s="436"/>
      <c r="AM4207" s="436"/>
      <c r="AQ4207" s="436"/>
      <c r="AR4207" s="436"/>
      <c r="AS4207" s="436"/>
      <c r="AT4207" s="436"/>
      <c r="AU4207" s="436"/>
      <c r="AV4207" s="436"/>
      <c r="AW4207" s="436"/>
      <c r="AX4207" s="436"/>
      <c r="AY4207" s="436"/>
      <c r="AZ4207" s="475"/>
      <c r="BA4207" s="475"/>
      <c r="BF4207" s="1119"/>
      <c r="BG4207" s="1119"/>
      <c r="BH4207" s="1119"/>
    </row>
    <row r="4208" spans="1:60" ht="15.75" customHeight="1">
      <c r="A4208" s="436"/>
      <c r="C4208" s="436"/>
      <c r="D4208" s="436"/>
      <c r="E4208" s="436"/>
      <c r="F4208" s="436"/>
      <c r="H4208" s="467"/>
      <c r="I4208" s="467"/>
      <c r="J4208" s="469"/>
      <c r="AL4208" s="436"/>
      <c r="AM4208" s="436"/>
      <c r="AQ4208" s="436"/>
      <c r="AR4208" s="436"/>
      <c r="AS4208" s="436"/>
      <c r="AT4208" s="436"/>
      <c r="AU4208" s="436"/>
      <c r="AV4208" s="436"/>
      <c r="AW4208" s="436"/>
      <c r="AX4208" s="436"/>
      <c r="AY4208" s="436"/>
      <c r="AZ4208" s="475"/>
      <c r="BA4208" s="475"/>
      <c r="BF4208" s="1119"/>
      <c r="BG4208" s="1119"/>
      <c r="BH4208" s="1119"/>
    </row>
    <row r="4209" spans="1:60" ht="15.75" customHeight="1">
      <c r="A4209" s="436"/>
      <c r="C4209" s="436"/>
      <c r="D4209" s="436"/>
      <c r="E4209" s="436"/>
      <c r="F4209" s="436"/>
      <c r="H4209" s="467"/>
      <c r="I4209" s="467"/>
      <c r="J4209" s="469"/>
      <c r="AL4209" s="436"/>
      <c r="AM4209" s="436"/>
      <c r="AQ4209" s="436"/>
      <c r="AR4209" s="436"/>
      <c r="AS4209" s="436"/>
      <c r="AT4209" s="436"/>
      <c r="AU4209" s="436"/>
      <c r="AV4209" s="436"/>
      <c r="AW4209" s="436"/>
      <c r="AX4209" s="436"/>
      <c r="AY4209" s="436"/>
      <c r="AZ4209" s="475"/>
      <c r="BA4209" s="475"/>
      <c r="BF4209" s="1119"/>
      <c r="BG4209" s="1119"/>
      <c r="BH4209" s="1119"/>
    </row>
    <row r="4210" spans="1:60" ht="15.75" customHeight="1">
      <c r="A4210" s="436"/>
      <c r="C4210" s="436"/>
      <c r="D4210" s="436"/>
      <c r="E4210" s="436"/>
      <c r="F4210" s="436"/>
      <c r="H4210" s="467"/>
      <c r="I4210" s="467"/>
      <c r="J4210" s="469"/>
      <c r="AL4210" s="436"/>
      <c r="AM4210" s="436"/>
      <c r="AQ4210" s="436"/>
      <c r="AR4210" s="436"/>
      <c r="AS4210" s="436"/>
      <c r="AT4210" s="436"/>
      <c r="AU4210" s="436"/>
      <c r="AV4210" s="436"/>
      <c r="AW4210" s="436"/>
      <c r="AX4210" s="436"/>
      <c r="AY4210" s="436"/>
      <c r="AZ4210" s="475"/>
      <c r="BA4210" s="475"/>
      <c r="BF4210" s="1119"/>
      <c r="BG4210" s="1119"/>
      <c r="BH4210" s="1119"/>
    </row>
    <row r="4211" spans="1:60" ht="15.75" customHeight="1">
      <c r="A4211" s="436"/>
      <c r="C4211" s="436"/>
      <c r="D4211" s="436"/>
      <c r="E4211" s="436"/>
      <c r="F4211" s="436"/>
      <c r="H4211" s="467"/>
      <c r="I4211" s="467"/>
      <c r="J4211" s="469"/>
      <c r="AL4211" s="436"/>
      <c r="AM4211" s="436"/>
      <c r="AQ4211" s="436"/>
      <c r="AR4211" s="436"/>
      <c r="AS4211" s="436"/>
      <c r="AT4211" s="436"/>
      <c r="AU4211" s="436"/>
      <c r="AV4211" s="436"/>
      <c r="AW4211" s="436"/>
      <c r="AX4211" s="436"/>
      <c r="AY4211" s="436"/>
      <c r="AZ4211" s="475"/>
      <c r="BA4211" s="475"/>
      <c r="BF4211" s="1119"/>
      <c r="BG4211" s="1119"/>
      <c r="BH4211" s="1119"/>
    </row>
    <row r="4212" spans="1:60" ht="15.75" customHeight="1">
      <c r="A4212" s="436"/>
      <c r="C4212" s="436"/>
      <c r="D4212" s="436"/>
      <c r="E4212" s="436"/>
      <c r="F4212" s="436"/>
      <c r="H4212" s="467"/>
      <c r="I4212" s="467"/>
      <c r="J4212" s="469"/>
      <c r="AL4212" s="436"/>
      <c r="AM4212" s="436"/>
      <c r="AQ4212" s="436"/>
      <c r="AR4212" s="436"/>
      <c r="AS4212" s="436"/>
      <c r="AT4212" s="436"/>
      <c r="AU4212" s="436"/>
      <c r="AV4212" s="436"/>
      <c r="AW4212" s="436"/>
      <c r="AX4212" s="436"/>
      <c r="AY4212" s="436"/>
      <c r="AZ4212" s="475"/>
      <c r="BA4212" s="475"/>
      <c r="BF4212" s="1119"/>
      <c r="BG4212" s="1119"/>
      <c r="BH4212" s="1119"/>
    </row>
    <row r="4213" spans="1:60" ht="15.75" customHeight="1">
      <c r="A4213" s="436"/>
      <c r="C4213" s="436"/>
      <c r="D4213" s="436"/>
      <c r="E4213" s="436"/>
      <c r="F4213" s="436"/>
      <c r="H4213" s="467"/>
      <c r="I4213" s="467"/>
      <c r="J4213" s="469"/>
      <c r="AL4213" s="436"/>
      <c r="AM4213" s="436"/>
      <c r="AQ4213" s="436"/>
      <c r="AR4213" s="436"/>
      <c r="AS4213" s="436"/>
      <c r="AT4213" s="436"/>
      <c r="AU4213" s="436"/>
      <c r="AV4213" s="436"/>
      <c r="AW4213" s="436"/>
      <c r="AX4213" s="436"/>
      <c r="AY4213" s="436"/>
      <c r="AZ4213" s="475"/>
      <c r="BA4213" s="475"/>
      <c r="BF4213" s="1119"/>
      <c r="BG4213" s="1119"/>
      <c r="BH4213" s="1119"/>
    </row>
    <row r="4214" spans="1:60" ht="15.75" customHeight="1">
      <c r="A4214" s="436"/>
      <c r="C4214" s="436"/>
      <c r="D4214" s="436"/>
      <c r="E4214" s="436"/>
      <c r="F4214" s="436"/>
      <c r="H4214" s="467"/>
      <c r="I4214" s="467"/>
      <c r="J4214" s="469"/>
      <c r="AL4214" s="436"/>
      <c r="AM4214" s="436"/>
      <c r="AQ4214" s="436"/>
      <c r="AR4214" s="436"/>
      <c r="AS4214" s="436"/>
      <c r="AT4214" s="436"/>
      <c r="AU4214" s="436"/>
      <c r="AV4214" s="436"/>
      <c r="AW4214" s="436"/>
      <c r="AX4214" s="436"/>
      <c r="AY4214" s="436"/>
      <c r="AZ4214" s="475"/>
      <c r="BA4214" s="475"/>
      <c r="BF4214" s="1119"/>
      <c r="BG4214" s="1119"/>
      <c r="BH4214" s="1119"/>
    </row>
    <row r="4215" spans="1:60" ht="15.75" customHeight="1">
      <c r="A4215" s="436"/>
      <c r="C4215" s="436"/>
      <c r="D4215" s="436"/>
      <c r="E4215" s="436"/>
      <c r="F4215" s="436"/>
      <c r="H4215" s="467"/>
      <c r="I4215" s="467"/>
      <c r="J4215" s="469"/>
      <c r="AL4215" s="436"/>
      <c r="AM4215" s="436"/>
      <c r="AQ4215" s="436"/>
      <c r="AR4215" s="436"/>
      <c r="AS4215" s="436"/>
      <c r="AT4215" s="436"/>
      <c r="AU4215" s="436"/>
      <c r="AV4215" s="436"/>
      <c r="AW4215" s="436"/>
      <c r="AX4215" s="436"/>
      <c r="AY4215" s="436"/>
      <c r="AZ4215" s="475"/>
      <c r="BA4215" s="475"/>
      <c r="BF4215" s="1119"/>
      <c r="BG4215" s="1119"/>
      <c r="BH4215" s="1119"/>
    </row>
    <row r="4216" spans="1:60" ht="15.75" customHeight="1">
      <c r="A4216" s="436"/>
      <c r="C4216" s="436"/>
      <c r="D4216" s="436"/>
      <c r="E4216" s="436"/>
      <c r="F4216" s="436"/>
      <c r="H4216" s="467"/>
      <c r="I4216" s="467"/>
      <c r="J4216" s="469"/>
      <c r="AL4216" s="436"/>
      <c r="AM4216" s="436"/>
      <c r="AQ4216" s="436"/>
      <c r="AR4216" s="436"/>
      <c r="AS4216" s="436"/>
      <c r="AT4216" s="436"/>
      <c r="AU4216" s="436"/>
      <c r="AV4216" s="436"/>
      <c r="AW4216" s="436"/>
      <c r="AX4216" s="436"/>
      <c r="AY4216" s="436"/>
      <c r="AZ4216" s="475"/>
      <c r="BA4216" s="475"/>
      <c r="BF4216" s="1119"/>
      <c r="BG4216" s="1119"/>
      <c r="BH4216" s="1119"/>
    </row>
    <row r="4217" spans="1:60" ht="15.75" customHeight="1">
      <c r="A4217" s="436"/>
      <c r="C4217" s="436"/>
      <c r="D4217" s="436"/>
      <c r="E4217" s="436"/>
      <c r="F4217" s="436"/>
      <c r="H4217" s="467"/>
      <c r="I4217" s="467"/>
      <c r="J4217" s="469"/>
      <c r="AL4217" s="436"/>
      <c r="AM4217" s="436"/>
      <c r="AQ4217" s="436"/>
      <c r="AR4217" s="436"/>
      <c r="AS4217" s="436"/>
      <c r="AT4217" s="436"/>
      <c r="AU4217" s="436"/>
      <c r="AV4217" s="436"/>
      <c r="AW4217" s="436"/>
      <c r="AX4217" s="436"/>
      <c r="AY4217" s="436"/>
      <c r="AZ4217" s="475"/>
      <c r="BA4217" s="475"/>
      <c r="BF4217" s="1119"/>
      <c r="BG4217" s="1119"/>
      <c r="BH4217" s="1119"/>
    </row>
    <row r="4218" spans="1:60" ht="15.75" customHeight="1">
      <c r="A4218" s="436"/>
      <c r="C4218" s="436"/>
      <c r="D4218" s="436"/>
      <c r="E4218" s="436"/>
      <c r="F4218" s="436"/>
      <c r="H4218" s="467"/>
      <c r="I4218" s="467"/>
      <c r="J4218" s="469"/>
      <c r="AL4218" s="436"/>
      <c r="AM4218" s="436"/>
      <c r="AQ4218" s="436"/>
      <c r="AR4218" s="436"/>
      <c r="AS4218" s="436"/>
      <c r="AT4218" s="436"/>
      <c r="AU4218" s="436"/>
      <c r="AV4218" s="436"/>
      <c r="AW4218" s="436"/>
      <c r="AX4218" s="436"/>
      <c r="AY4218" s="436"/>
      <c r="AZ4218" s="475"/>
      <c r="BA4218" s="475"/>
      <c r="BF4218" s="1119"/>
      <c r="BG4218" s="1119"/>
      <c r="BH4218" s="1119"/>
    </row>
    <row r="4219" spans="1:60" ht="15.75" customHeight="1">
      <c r="A4219" s="436"/>
      <c r="C4219" s="436"/>
      <c r="D4219" s="436"/>
      <c r="E4219" s="436"/>
      <c r="F4219" s="436"/>
      <c r="H4219" s="467"/>
      <c r="I4219" s="467"/>
      <c r="J4219" s="469"/>
      <c r="AL4219" s="436"/>
      <c r="AM4219" s="436"/>
      <c r="AQ4219" s="436"/>
      <c r="AR4219" s="436"/>
      <c r="AS4219" s="436"/>
      <c r="AT4219" s="436"/>
      <c r="AU4219" s="436"/>
      <c r="AV4219" s="436"/>
      <c r="AW4219" s="436"/>
      <c r="AX4219" s="436"/>
      <c r="AY4219" s="436"/>
      <c r="AZ4219" s="475"/>
      <c r="BA4219" s="475"/>
      <c r="BF4219" s="1119"/>
      <c r="BG4219" s="1119"/>
      <c r="BH4219" s="1119"/>
    </row>
    <row r="4220" spans="1:60" ht="15.75" customHeight="1">
      <c r="A4220" s="436"/>
      <c r="C4220" s="436"/>
      <c r="D4220" s="436"/>
      <c r="E4220" s="436"/>
      <c r="F4220" s="436"/>
      <c r="H4220" s="467"/>
      <c r="I4220" s="467"/>
      <c r="J4220" s="469"/>
      <c r="AL4220" s="436"/>
      <c r="AM4220" s="436"/>
      <c r="AQ4220" s="436"/>
      <c r="AR4220" s="436"/>
      <c r="AS4220" s="436"/>
      <c r="AT4220" s="436"/>
      <c r="AU4220" s="436"/>
      <c r="AV4220" s="436"/>
      <c r="AW4220" s="436"/>
      <c r="AX4220" s="436"/>
      <c r="AY4220" s="436"/>
      <c r="AZ4220" s="475"/>
      <c r="BA4220" s="475"/>
      <c r="BF4220" s="1119"/>
      <c r="BG4220" s="1119"/>
      <c r="BH4220" s="1119"/>
    </row>
    <row r="4221" spans="1:60" ht="15.75" customHeight="1">
      <c r="A4221" s="436"/>
      <c r="C4221" s="436"/>
      <c r="D4221" s="436"/>
      <c r="E4221" s="436"/>
      <c r="F4221" s="436"/>
      <c r="H4221" s="467"/>
      <c r="I4221" s="467"/>
      <c r="J4221" s="469"/>
      <c r="AL4221" s="436"/>
      <c r="AM4221" s="436"/>
      <c r="AQ4221" s="436"/>
      <c r="AR4221" s="436"/>
      <c r="AS4221" s="436"/>
      <c r="AT4221" s="436"/>
      <c r="AU4221" s="436"/>
      <c r="AV4221" s="436"/>
      <c r="AW4221" s="436"/>
      <c r="AX4221" s="436"/>
      <c r="AY4221" s="436"/>
      <c r="AZ4221" s="475"/>
      <c r="BA4221" s="475"/>
      <c r="BF4221" s="1119"/>
      <c r="BG4221" s="1119"/>
      <c r="BH4221" s="1119"/>
    </row>
    <row r="4222" spans="1:60" ht="15.75" customHeight="1">
      <c r="A4222" s="436"/>
      <c r="C4222" s="436"/>
      <c r="D4222" s="436"/>
      <c r="E4222" s="436"/>
      <c r="F4222" s="436"/>
      <c r="H4222" s="467"/>
      <c r="I4222" s="467"/>
      <c r="J4222" s="469"/>
      <c r="AL4222" s="436"/>
      <c r="AM4222" s="436"/>
      <c r="AQ4222" s="436"/>
      <c r="AR4222" s="436"/>
      <c r="AS4222" s="436"/>
      <c r="AT4222" s="436"/>
      <c r="AU4222" s="436"/>
      <c r="AV4222" s="436"/>
      <c r="AW4222" s="436"/>
      <c r="AX4222" s="436"/>
      <c r="AY4222" s="436"/>
      <c r="AZ4222" s="475"/>
      <c r="BA4222" s="475"/>
      <c r="BF4222" s="1119"/>
      <c r="BG4222" s="1119"/>
      <c r="BH4222" s="1119"/>
    </row>
    <row r="4223" spans="1:60" ht="15.75" customHeight="1">
      <c r="A4223" s="436"/>
      <c r="C4223" s="436"/>
      <c r="D4223" s="436"/>
      <c r="E4223" s="436"/>
      <c r="F4223" s="436"/>
      <c r="H4223" s="467"/>
      <c r="I4223" s="467"/>
      <c r="J4223" s="469"/>
      <c r="AL4223" s="436"/>
      <c r="AM4223" s="436"/>
      <c r="AQ4223" s="436"/>
      <c r="AR4223" s="436"/>
      <c r="AS4223" s="436"/>
      <c r="AT4223" s="436"/>
      <c r="AU4223" s="436"/>
      <c r="AV4223" s="436"/>
      <c r="AW4223" s="436"/>
      <c r="AX4223" s="436"/>
      <c r="AY4223" s="436"/>
      <c r="AZ4223" s="475"/>
      <c r="BA4223" s="475"/>
      <c r="BF4223" s="1119"/>
      <c r="BG4223" s="1119"/>
      <c r="BH4223" s="1119"/>
    </row>
    <row r="4224" spans="1:60" ht="15.75" customHeight="1">
      <c r="A4224" s="436"/>
      <c r="C4224" s="436"/>
      <c r="D4224" s="436"/>
      <c r="E4224" s="436"/>
      <c r="F4224" s="436"/>
      <c r="H4224" s="467"/>
      <c r="I4224" s="467"/>
      <c r="J4224" s="469"/>
      <c r="AL4224" s="436"/>
      <c r="AM4224" s="436"/>
      <c r="AQ4224" s="436"/>
      <c r="AR4224" s="436"/>
      <c r="AS4224" s="436"/>
      <c r="AT4224" s="436"/>
      <c r="AU4224" s="436"/>
      <c r="AV4224" s="436"/>
      <c r="AW4224" s="436"/>
      <c r="AX4224" s="436"/>
      <c r="AY4224" s="436"/>
      <c r="AZ4224" s="475"/>
      <c r="BA4224" s="475"/>
      <c r="BF4224" s="1119"/>
      <c r="BG4224" s="1119"/>
      <c r="BH4224" s="1119"/>
    </row>
    <row r="4225" spans="1:60" ht="15.75" customHeight="1">
      <c r="A4225" s="436"/>
      <c r="C4225" s="436"/>
      <c r="D4225" s="436"/>
      <c r="E4225" s="436"/>
      <c r="F4225" s="436"/>
      <c r="H4225" s="467"/>
      <c r="I4225" s="467"/>
      <c r="J4225" s="469"/>
      <c r="AL4225" s="436"/>
      <c r="AM4225" s="436"/>
      <c r="AQ4225" s="436"/>
      <c r="AR4225" s="436"/>
      <c r="AS4225" s="436"/>
      <c r="AT4225" s="436"/>
      <c r="AU4225" s="436"/>
      <c r="AV4225" s="436"/>
      <c r="AW4225" s="436"/>
      <c r="AX4225" s="436"/>
      <c r="AY4225" s="436"/>
      <c r="AZ4225" s="475"/>
      <c r="BA4225" s="475"/>
      <c r="BF4225" s="1119"/>
      <c r="BG4225" s="1119"/>
      <c r="BH4225" s="1119"/>
    </row>
    <row r="4226" spans="1:60" ht="15.75" customHeight="1">
      <c r="A4226" s="436"/>
      <c r="C4226" s="436"/>
      <c r="D4226" s="436"/>
      <c r="E4226" s="436"/>
      <c r="F4226" s="436"/>
      <c r="H4226" s="467"/>
      <c r="I4226" s="467"/>
      <c r="J4226" s="469"/>
      <c r="AL4226" s="436"/>
      <c r="AM4226" s="436"/>
      <c r="AQ4226" s="436"/>
      <c r="AR4226" s="436"/>
      <c r="AS4226" s="436"/>
      <c r="AT4226" s="436"/>
      <c r="AU4226" s="436"/>
      <c r="AV4226" s="436"/>
      <c r="AW4226" s="436"/>
      <c r="AX4226" s="436"/>
      <c r="AY4226" s="436"/>
      <c r="AZ4226" s="475"/>
      <c r="BA4226" s="475"/>
      <c r="BF4226" s="1119"/>
      <c r="BG4226" s="1119"/>
      <c r="BH4226" s="1119"/>
    </row>
    <row r="4227" spans="1:60" ht="15.75" customHeight="1">
      <c r="A4227" s="436"/>
      <c r="C4227" s="436"/>
      <c r="D4227" s="436"/>
      <c r="E4227" s="436"/>
      <c r="F4227" s="436"/>
      <c r="H4227" s="467"/>
      <c r="I4227" s="467"/>
      <c r="J4227" s="469"/>
      <c r="AL4227" s="436"/>
      <c r="AM4227" s="436"/>
      <c r="AQ4227" s="436"/>
      <c r="AR4227" s="436"/>
      <c r="AS4227" s="436"/>
      <c r="AT4227" s="436"/>
      <c r="AU4227" s="436"/>
      <c r="AV4227" s="436"/>
      <c r="AW4227" s="436"/>
      <c r="AX4227" s="436"/>
      <c r="AY4227" s="436"/>
      <c r="AZ4227" s="475"/>
      <c r="BA4227" s="475"/>
      <c r="BF4227" s="1119"/>
      <c r="BG4227" s="1119"/>
      <c r="BH4227" s="1119"/>
    </row>
    <row r="4228" spans="1:60" ht="15.75" customHeight="1">
      <c r="A4228" s="436"/>
      <c r="C4228" s="436"/>
      <c r="D4228" s="436"/>
      <c r="E4228" s="436"/>
      <c r="F4228" s="436"/>
      <c r="H4228" s="467"/>
      <c r="I4228" s="467"/>
      <c r="J4228" s="469"/>
      <c r="AL4228" s="436"/>
      <c r="AM4228" s="436"/>
      <c r="AQ4228" s="436"/>
      <c r="AR4228" s="436"/>
      <c r="AS4228" s="436"/>
      <c r="AT4228" s="436"/>
      <c r="AU4228" s="436"/>
      <c r="AV4228" s="436"/>
      <c r="AW4228" s="436"/>
      <c r="AX4228" s="436"/>
      <c r="AY4228" s="436"/>
      <c r="AZ4228" s="475"/>
      <c r="BA4228" s="475"/>
      <c r="BF4228" s="1119"/>
      <c r="BG4228" s="1119"/>
      <c r="BH4228" s="1119"/>
    </row>
    <row r="4229" spans="1:60" ht="15.75" customHeight="1">
      <c r="A4229" s="436"/>
      <c r="C4229" s="436"/>
      <c r="D4229" s="436"/>
      <c r="E4229" s="436"/>
      <c r="F4229" s="436"/>
      <c r="H4229" s="467"/>
      <c r="I4229" s="467"/>
      <c r="J4229" s="469"/>
      <c r="AL4229" s="436"/>
      <c r="AM4229" s="436"/>
      <c r="AQ4229" s="436"/>
      <c r="AR4229" s="436"/>
      <c r="AS4229" s="436"/>
      <c r="AT4229" s="436"/>
      <c r="AU4229" s="436"/>
      <c r="AV4229" s="436"/>
      <c r="AW4229" s="436"/>
      <c r="AX4229" s="436"/>
      <c r="AY4229" s="436"/>
      <c r="AZ4229" s="475"/>
      <c r="BA4229" s="475"/>
      <c r="BF4229" s="1119"/>
      <c r="BG4229" s="1119"/>
      <c r="BH4229" s="1119"/>
    </row>
    <row r="4230" spans="1:60" ht="15.75" customHeight="1">
      <c r="A4230" s="436"/>
      <c r="C4230" s="436"/>
      <c r="D4230" s="436"/>
      <c r="E4230" s="436"/>
      <c r="F4230" s="436"/>
      <c r="H4230" s="467"/>
      <c r="I4230" s="467"/>
      <c r="J4230" s="469"/>
      <c r="AL4230" s="436"/>
      <c r="AM4230" s="436"/>
      <c r="AQ4230" s="436"/>
      <c r="AR4230" s="436"/>
      <c r="AS4230" s="436"/>
      <c r="AT4230" s="436"/>
      <c r="AU4230" s="436"/>
      <c r="AV4230" s="436"/>
      <c r="AW4230" s="436"/>
      <c r="AX4230" s="436"/>
      <c r="AY4230" s="436"/>
      <c r="AZ4230" s="475"/>
      <c r="BA4230" s="475"/>
      <c r="BF4230" s="1119"/>
      <c r="BG4230" s="1119"/>
      <c r="BH4230" s="1119"/>
    </row>
    <row r="4231" spans="1:60" ht="15.75" customHeight="1">
      <c r="A4231" s="436"/>
      <c r="C4231" s="436"/>
      <c r="D4231" s="436"/>
      <c r="E4231" s="436"/>
      <c r="F4231" s="436"/>
      <c r="H4231" s="467"/>
      <c r="I4231" s="467"/>
      <c r="J4231" s="469"/>
      <c r="AL4231" s="436"/>
      <c r="AM4231" s="436"/>
      <c r="AQ4231" s="436"/>
      <c r="AR4231" s="436"/>
      <c r="AS4231" s="436"/>
      <c r="AT4231" s="436"/>
      <c r="AU4231" s="436"/>
      <c r="AV4231" s="436"/>
      <c r="AW4231" s="436"/>
      <c r="AX4231" s="436"/>
      <c r="AY4231" s="436"/>
      <c r="AZ4231" s="475"/>
      <c r="BA4231" s="475"/>
      <c r="BF4231" s="1119"/>
      <c r="BG4231" s="1119"/>
      <c r="BH4231" s="1119"/>
    </row>
    <row r="4232" spans="1:60" ht="15.75" customHeight="1">
      <c r="A4232" s="436"/>
      <c r="C4232" s="436"/>
      <c r="D4232" s="436"/>
      <c r="E4232" s="436"/>
      <c r="F4232" s="436"/>
      <c r="H4232" s="467"/>
      <c r="I4232" s="467"/>
      <c r="J4232" s="469"/>
      <c r="AL4232" s="436"/>
      <c r="AM4232" s="436"/>
      <c r="AQ4232" s="436"/>
      <c r="AR4232" s="436"/>
      <c r="AS4232" s="436"/>
      <c r="AT4232" s="436"/>
      <c r="AU4232" s="436"/>
      <c r="AV4232" s="436"/>
      <c r="AW4232" s="436"/>
      <c r="AX4232" s="436"/>
      <c r="AY4232" s="436"/>
      <c r="AZ4232" s="475"/>
      <c r="BA4232" s="475"/>
      <c r="BF4232" s="1119"/>
      <c r="BG4232" s="1119"/>
      <c r="BH4232" s="1119"/>
    </row>
    <row r="4233" spans="1:60" ht="15.75" customHeight="1">
      <c r="A4233" s="436"/>
      <c r="C4233" s="436"/>
      <c r="D4233" s="436"/>
      <c r="E4233" s="436"/>
      <c r="F4233" s="436"/>
      <c r="H4233" s="467"/>
      <c r="I4233" s="467"/>
      <c r="J4233" s="469"/>
      <c r="AL4233" s="436"/>
      <c r="AM4233" s="436"/>
      <c r="AQ4233" s="436"/>
      <c r="AR4233" s="436"/>
      <c r="AS4233" s="436"/>
      <c r="AT4233" s="436"/>
      <c r="AU4233" s="436"/>
      <c r="AV4233" s="436"/>
      <c r="AW4233" s="436"/>
      <c r="AX4233" s="436"/>
      <c r="AY4233" s="436"/>
      <c r="AZ4233" s="475"/>
      <c r="BA4233" s="475"/>
      <c r="BF4233" s="1119"/>
      <c r="BG4233" s="1119"/>
      <c r="BH4233" s="1119"/>
    </row>
    <row r="4234" spans="1:60" ht="15.75" customHeight="1">
      <c r="A4234" s="436"/>
      <c r="C4234" s="436"/>
      <c r="D4234" s="436"/>
      <c r="E4234" s="436"/>
      <c r="F4234" s="436"/>
      <c r="H4234" s="467"/>
      <c r="I4234" s="467"/>
      <c r="J4234" s="469"/>
      <c r="AL4234" s="436"/>
      <c r="AM4234" s="436"/>
      <c r="AQ4234" s="436"/>
      <c r="AR4234" s="436"/>
      <c r="AS4234" s="436"/>
      <c r="AT4234" s="436"/>
      <c r="AU4234" s="436"/>
      <c r="AV4234" s="436"/>
      <c r="AW4234" s="436"/>
      <c r="AX4234" s="436"/>
      <c r="AY4234" s="436"/>
      <c r="AZ4234" s="475"/>
      <c r="BA4234" s="475"/>
      <c r="BF4234" s="1119"/>
      <c r="BG4234" s="1119"/>
      <c r="BH4234" s="1119"/>
    </row>
    <row r="4235" spans="1:60" ht="15.75" customHeight="1">
      <c r="A4235" s="436"/>
      <c r="C4235" s="436"/>
      <c r="D4235" s="436"/>
      <c r="E4235" s="436"/>
      <c r="F4235" s="436"/>
      <c r="H4235" s="467"/>
      <c r="I4235" s="467"/>
      <c r="J4235" s="469"/>
      <c r="AL4235" s="436"/>
      <c r="AM4235" s="436"/>
      <c r="AQ4235" s="436"/>
      <c r="AR4235" s="436"/>
      <c r="AS4235" s="436"/>
      <c r="AT4235" s="436"/>
      <c r="AU4235" s="436"/>
      <c r="AV4235" s="436"/>
      <c r="AW4235" s="436"/>
      <c r="AX4235" s="436"/>
      <c r="AY4235" s="436"/>
      <c r="AZ4235" s="475"/>
      <c r="BA4235" s="475"/>
      <c r="BF4235" s="1119"/>
      <c r="BG4235" s="1119"/>
      <c r="BH4235" s="1119"/>
    </row>
    <row r="4236" spans="1:60" ht="15.75" customHeight="1">
      <c r="A4236" s="436"/>
      <c r="C4236" s="436"/>
      <c r="D4236" s="436"/>
      <c r="E4236" s="436"/>
      <c r="F4236" s="436"/>
      <c r="H4236" s="467"/>
      <c r="I4236" s="467"/>
      <c r="J4236" s="469"/>
      <c r="AL4236" s="436"/>
      <c r="AM4236" s="436"/>
      <c r="AQ4236" s="436"/>
      <c r="AR4236" s="436"/>
      <c r="AS4236" s="436"/>
      <c r="AT4236" s="436"/>
      <c r="AU4236" s="436"/>
      <c r="AV4236" s="436"/>
      <c r="AW4236" s="436"/>
      <c r="AX4236" s="436"/>
      <c r="AY4236" s="436"/>
      <c r="AZ4236" s="475"/>
      <c r="BA4236" s="475"/>
      <c r="BF4236" s="1119"/>
      <c r="BG4236" s="1119"/>
      <c r="BH4236" s="1119"/>
    </row>
    <row r="4237" spans="1:60" ht="15.75" customHeight="1">
      <c r="A4237" s="436"/>
      <c r="C4237" s="436"/>
      <c r="D4237" s="436"/>
      <c r="E4237" s="436"/>
      <c r="F4237" s="436"/>
      <c r="H4237" s="467"/>
      <c r="I4237" s="467"/>
      <c r="J4237" s="469"/>
      <c r="AL4237" s="436"/>
      <c r="AM4237" s="436"/>
      <c r="AQ4237" s="436"/>
      <c r="AR4237" s="436"/>
      <c r="AS4237" s="436"/>
      <c r="AT4237" s="436"/>
      <c r="AU4237" s="436"/>
      <c r="AV4237" s="436"/>
      <c r="AW4237" s="436"/>
      <c r="AX4237" s="436"/>
      <c r="AY4237" s="436"/>
      <c r="AZ4237" s="475"/>
      <c r="BA4237" s="475"/>
      <c r="BF4237" s="1119"/>
      <c r="BG4237" s="1119"/>
      <c r="BH4237" s="1119"/>
    </row>
    <row r="4238" spans="1:60" ht="15.75" customHeight="1">
      <c r="A4238" s="436"/>
      <c r="C4238" s="436"/>
      <c r="D4238" s="436"/>
      <c r="E4238" s="436"/>
      <c r="F4238" s="436"/>
      <c r="H4238" s="467"/>
      <c r="I4238" s="467"/>
      <c r="J4238" s="469"/>
      <c r="AL4238" s="436"/>
      <c r="AM4238" s="436"/>
      <c r="AQ4238" s="436"/>
      <c r="AR4238" s="436"/>
      <c r="AS4238" s="436"/>
      <c r="AT4238" s="436"/>
      <c r="AU4238" s="436"/>
      <c r="AV4238" s="436"/>
      <c r="AW4238" s="436"/>
      <c r="AX4238" s="436"/>
      <c r="AY4238" s="436"/>
      <c r="AZ4238" s="475"/>
      <c r="BA4238" s="475"/>
      <c r="BF4238" s="1119"/>
      <c r="BG4238" s="1119"/>
      <c r="BH4238" s="1119"/>
    </row>
    <row r="4239" spans="1:60" ht="15.75" customHeight="1">
      <c r="A4239" s="436"/>
      <c r="C4239" s="436"/>
      <c r="D4239" s="436"/>
      <c r="E4239" s="436"/>
      <c r="F4239" s="436"/>
      <c r="H4239" s="467"/>
      <c r="I4239" s="467"/>
      <c r="J4239" s="469"/>
      <c r="AL4239" s="436"/>
      <c r="AM4239" s="436"/>
      <c r="AQ4239" s="436"/>
      <c r="AR4239" s="436"/>
      <c r="AS4239" s="436"/>
      <c r="AT4239" s="436"/>
      <c r="AU4239" s="436"/>
      <c r="AV4239" s="436"/>
      <c r="AW4239" s="436"/>
      <c r="AX4239" s="436"/>
      <c r="AY4239" s="436"/>
      <c r="AZ4239" s="475"/>
      <c r="BA4239" s="475"/>
      <c r="BF4239" s="1119"/>
      <c r="BG4239" s="1119"/>
      <c r="BH4239" s="1119"/>
    </row>
    <row r="4240" spans="1:60" ht="15.75" customHeight="1">
      <c r="A4240" s="436"/>
      <c r="C4240" s="436"/>
      <c r="D4240" s="436"/>
      <c r="E4240" s="436"/>
      <c r="F4240" s="436"/>
      <c r="H4240" s="467"/>
      <c r="I4240" s="467"/>
      <c r="J4240" s="469"/>
      <c r="AL4240" s="436"/>
      <c r="AM4240" s="436"/>
      <c r="AQ4240" s="436"/>
      <c r="AR4240" s="436"/>
      <c r="AS4240" s="436"/>
      <c r="AT4240" s="436"/>
      <c r="AU4240" s="436"/>
      <c r="AV4240" s="436"/>
      <c r="AW4240" s="436"/>
      <c r="AX4240" s="436"/>
      <c r="AY4240" s="436"/>
      <c r="AZ4240" s="475"/>
      <c r="BA4240" s="475"/>
      <c r="BF4240" s="1119"/>
      <c r="BG4240" s="1119"/>
      <c r="BH4240" s="1119"/>
    </row>
    <row r="4241" spans="1:60" ht="15.75" customHeight="1">
      <c r="A4241" s="436"/>
      <c r="C4241" s="436"/>
      <c r="D4241" s="436"/>
      <c r="E4241" s="436"/>
      <c r="F4241" s="436"/>
      <c r="H4241" s="467"/>
      <c r="I4241" s="467"/>
      <c r="J4241" s="469"/>
      <c r="AL4241" s="436"/>
      <c r="AM4241" s="436"/>
      <c r="AQ4241" s="436"/>
      <c r="AR4241" s="436"/>
      <c r="AS4241" s="436"/>
      <c r="AT4241" s="436"/>
      <c r="AU4241" s="436"/>
      <c r="AV4241" s="436"/>
      <c r="AW4241" s="436"/>
      <c r="AX4241" s="436"/>
      <c r="AY4241" s="436"/>
      <c r="AZ4241" s="475"/>
      <c r="BA4241" s="475"/>
      <c r="BF4241" s="1119"/>
      <c r="BG4241" s="1119"/>
      <c r="BH4241" s="1119"/>
    </row>
    <row r="4242" spans="1:60" ht="15.75" customHeight="1">
      <c r="A4242" s="436"/>
      <c r="C4242" s="436"/>
      <c r="D4242" s="436"/>
      <c r="E4242" s="436"/>
      <c r="F4242" s="436"/>
      <c r="H4242" s="467"/>
      <c r="I4242" s="467"/>
      <c r="J4242" s="469"/>
      <c r="AL4242" s="436"/>
      <c r="AM4242" s="436"/>
      <c r="AQ4242" s="436"/>
      <c r="AR4242" s="436"/>
      <c r="AS4242" s="436"/>
      <c r="AT4242" s="436"/>
      <c r="AU4242" s="436"/>
      <c r="AV4242" s="436"/>
      <c r="AW4242" s="436"/>
      <c r="AX4242" s="436"/>
      <c r="AY4242" s="436"/>
      <c r="AZ4242" s="475"/>
      <c r="BA4242" s="475"/>
      <c r="BF4242" s="1119"/>
      <c r="BG4242" s="1119"/>
      <c r="BH4242" s="1119"/>
    </row>
    <row r="4243" spans="1:60" ht="15.75" customHeight="1">
      <c r="A4243" s="436"/>
      <c r="C4243" s="436"/>
      <c r="D4243" s="436"/>
      <c r="E4243" s="436"/>
      <c r="F4243" s="436"/>
      <c r="H4243" s="467"/>
      <c r="I4243" s="467"/>
      <c r="J4243" s="469"/>
      <c r="AL4243" s="436"/>
      <c r="AM4243" s="436"/>
      <c r="AQ4243" s="436"/>
      <c r="AR4243" s="436"/>
      <c r="AS4243" s="436"/>
      <c r="AT4243" s="436"/>
      <c r="AU4243" s="436"/>
      <c r="AV4243" s="436"/>
      <c r="AW4243" s="436"/>
      <c r="AX4243" s="436"/>
      <c r="AY4243" s="436"/>
      <c r="AZ4243" s="475"/>
      <c r="BA4243" s="475"/>
      <c r="BF4243" s="1119"/>
      <c r="BG4243" s="1119"/>
      <c r="BH4243" s="1119"/>
    </row>
    <row r="4244" spans="1:60" ht="15.75" customHeight="1">
      <c r="A4244" s="436"/>
      <c r="C4244" s="436"/>
      <c r="D4244" s="436"/>
      <c r="E4244" s="436"/>
      <c r="F4244" s="436"/>
      <c r="H4244" s="467"/>
      <c r="I4244" s="467"/>
      <c r="J4244" s="469"/>
      <c r="AL4244" s="436"/>
      <c r="AM4244" s="436"/>
      <c r="AQ4244" s="436"/>
      <c r="AR4244" s="436"/>
      <c r="AS4244" s="436"/>
      <c r="AT4244" s="436"/>
      <c r="AU4244" s="436"/>
      <c r="AV4244" s="436"/>
      <c r="AW4244" s="436"/>
      <c r="AX4244" s="436"/>
      <c r="AY4244" s="436"/>
      <c r="AZ4244" s="475"/>
      <c r="BA4244" s="475"/>
      <c r="BF4244" s="1119"/>
      <c r="BG4244" s="1119"/>
      <c r="BH4244" s="1119"/>
    </row>
    <row r="4245" spans="1:60" ht="15.75" customHeight="1">
      <c r="A4245" s="436"/>
      <c r="C4245" s="436"/>
      <c r="D4245" s="436"/>
      <c r="E4245" s="436"/>
      <c r="F4245" s="436"/>
      <c r="H4245" s="467"/>
      <c r="I4245" s="467"/>
      <c r="J4245" s="469"/>
      <c r="AL4245" s="436"/>
      <c r="AM4245" s="436"/>
      <c r="AQ4245" s="436"/>
      <c r="AR4245" s="436"/>
      <c r="AS4245" s="436"/>
      <c r="AT4245" s="436"/>
      <c r="AU4245" s="436"/>
      <c r="AV4245" s="436"/>
      <c r="AW4245" s="436"/>
      <c r="AX4245" s="436"/>
      <c r="AY4245" s="436"/>
      <c r="AZ4245" s="475"/>
      <c r="BA4245" s="475"/>
      <c r="BF4245" s="1119"/>
      <c r="BG4245" s="1119"/>
      <c r="BH4245" s="1119"/>
    </row>
    <row r="4246" spans="1:60" ht="15.75" customHeight="1">
      <c r="A4246" s="436"/>
      <c r="C4246" s="436"/>
      <c r="D4246" s="436"/>
      <c r="E4246" s="436"/>
      <c r="F4246" s="436"/>
      <c r="H4246" s="467"/>
      <c r="I4246" s="467"/>
      <c r="J4246" s="469"/>
      <c r="AL4246" s="436"/>
      <c r="AM4246" s="436"/>
      <c r="AQ4246" s="436"/>
      <c r="AR4246" s="436"/>
      <c r="AS4246" s="436"/>
      <c r="AT4246" s="436"/>
      <c r="AU4246" s="436"/>
      <c r="AV4246" s="436"/>
      <c r="AW4246" s="436"/>
      <c r="AX4246" s="436"/>
      <c r="AY4246" s="436"/>
      <c r="AZ4246" s="475"/>
      <c r="BA4246" s="475"/>
      <c r="BF4246" s="1119"/>
      <c r="BG4246" s="1119"/>
      <c r="BH4246" s="1119"/>
    </row>
    <row r="4247" spans="1:60" ht="15.75" customHeight="1">
      <c r="A4247" s="436"/>
      <c r="C4247" s="436"/>
      <c r="D4247" s="436"/>
      <c r="E4247" s="436"/>
      <c r="F4247" s="436"/>
      <c r="H4247" s="467"/>
      <c r="I4247" s="467"/>
      <c r="J4247" s="469"/>
      <c r="AL4247" s="436"/>
      <c r="AM4247" s="436"/>
      <c r="AQ4247" s="436"/>
      <c r="AR4247" s="436"/>
      <c r="AS4247" s="436"/>
      <c r="AT4247" s="436"/>
      <c r="AU4247" s="436"/>
      <c r="AV4247" s="436"/>
      <c r="AW4247" s="436"/>
      <c r="AX4247" s="436"/>
      <c r="AY4247" s="436"/>
      <c r="AZ4247" s="475"/>
      <c r="BA4247" s="475"/>
      <c r="BF4247" s="1119"/>
      <c r="BG4247" s="1119"/>
      <c r="BH4247" s="1119"/>
    </row>
    <row r="4248" spans="1:60" ht="15.75" customHeight="1">
      <c r="A4248" s="436"/>
      <c r="C4248" s="436"/>
      <c r="D4248" s="436"/>
      <c r="E4248" s="436"/>
      <c r="F4248" s="436"/>
      <c r="H4248" s="467"/>
      <c r="I4248" s="467"/>
      <c r="J4248" s="469"/>
      <c r="AL4248" s="436"/>
      <c r="AM4248" s="436"/>
      <c r="AQ4248" s="436"/>
      <c r="AR4248" s="436"/>
      <c r="AS4248" s="436"/>
      <c r="AT4248" s="436"/>
      <c r="AU4248" s="436"/>
      <c r="AV4248" s="436"/>
      <c r="AW4248" s="436"/>
      <c r="AX4248" s="436"/>
      <c r="AY4248" s="436"/>
      <c r="AZ4248" s="475"/>
      <c r="BA4248" s="475"/>
      <c r="BF4248" s="1119"/>
      <c r="BG4248" s="1119"/>
      <c r="BH4248" s="1119"/>
    </row>
    <row r="4249" spans="1:60" ht="15.75" customHeight="1">
      <c r="A4249" s="436"/>
      <c r="C4249" s="436"/>
      <c r="D4249" s="436"/>
      <c r="E4249" s="436"/>
      <c r="F4249" s="436"/>
      <c r="H4249" s="467"/>
      <c r="I4249" s="467"/>
      <c r="J4249" s="469"/>
      <c r="AL4249" s="436"/>
      <c r="AM4249" s="436"/>
      <c r="AQ4249" s="436"/>
      <c r="AR4249" s="436"/>
      <c r="AS4249" s="436"/>
      <c r="AT4249" s="436"/>
      <c r="AU4249" s="436"/>
      <c r="AV4249" s="436"/>
      <c r="AW4249" s="436"/>
      <c r="AX4249" s="436"/>
      <c r="AY4249" s="436"/>
      <c r="AZ4249" s="475"/>
      <c r="BA4249" s="475"/>
      <c r="BF4249" s="1119"/>
      <c r="BG4249" s="1119"/>
      <c r="BH4249" s="1119"/>
    </row>
    <row r="4250" spans="1:60" ht="15.75" customHeight="1">
      <c r="A4250" s="436"/>
      <c r="C4250" s="436"/>
      <c r="D4250" s="436"/>
      <c r="E4250" s="436"/>
      <c r="F4250" s="436"/>
      <c r="H4250" s="467"/>
      <c r="I4250" s="467"/>
      <c r="J4250" s="469"/>
      <c r="AL4250" s="436"/>
      <c r="AM4250" s="436"/>
      <c r="AQ4250" s="436"/>
      <c r="AR4250" s="436"/>
      <c r="AS4250" s="436"/>
      <c r="AT4250" s="436"/>
      <c r="AU4250" s="436"/>
      <c r="AV4250" s="436"/>
      <c r="AW4250" s="436"/>
      <c r="AX4250" s="436"/>
      <c r="AY4250" s="436"/>
      <c r="AZ4250" s="475"/>
      <c r="BA4250" s="475"/>
      <c r="BF4250" s="1119"/>
      <c r="BG4250" s="1119"/>
      <c r="BH4250" s="1119"/>
    </row>
    <row r="4251" spans="1:60" ht="15.75" customHeight="1">
      <c r="A4251" s="436"/>
      <c r="C4251" s="436"/>
      <c r="D4251" s="436"/>
      <c r="E4251" s="436"/>
      <c r="F4251" s="436"/>
      <c r="H4251" s="467"/>
      <c r="I4251" s="467"/>
      <c r="J4251" s="469"/>
      <c r="AL4251" s="436"/>
      <c r="AM4251" s="436"/>
      <c r="AQ4251" s="436"/>
      <c r="AR4251" s="436"/>
      <c r="AS4251" s="436"/>
      <c r="AT4251" s="436"/>
      <c r="AU4251" s="436"/>
      <c r="AV4251" s="436"/>
      <c r="AW4251" s="436"/>
      <c r="AX4251" s="436"/>
      <c r="AY4251" s="436"/>
      <c r="AZ4251" s="475"/>
      <c r="BA4251" s="475"/>
      <c r="BF4251" s="1119"/>
      <c r="BG4251" s="1119"/>
      <c r="BH4251" s="1119"/>
    </row>
    <row r="4252" spans="1:60" ht="15.75" customHeight="1">
      <c r="A4252" s="436"/>
      <c r="C4252" s="436"/>
      <c r="D4252" s="436"/>
      <c r="E4252" s="436"/>
      <c r="F4252" s="436"/>
      <c r="H4252" s="467"/>
      <c r="I4252" s="467"/>
      <c r="J4252" s="469"/>
      <c r="AL4252" s="436"/>
      <c r="AM4252" s="436"/>
      <c r="AQ4252" s="436"/>
      <c r="AR4252" s="436"/>
      <c r="AS4252" s="436"/>
      <c r="AT4252" s="436"/>
      <c r="AU4252" s="436"/>
      <c r="AV4252" s="436"/>
      <c r="AW4252" s="436"/>
      <c r="AX4252" s="436"/>
      <c r="AY4252" s="436"/>
      <c r="AZ4252" s="475"/>
      <c r="BA4252" s="475"/>
      <c r="BF4252" s="1119"/>
      <c r="BG4252" s="1119"/>
      <c r="BH4252" s="1119"/>
    </row>
    <row r="4253" spans="1:60" ht="15.75" customHeight="1">
      <c r="A4253" s="436"/>
      <c r="C4253" s="436"/>
      <c r="D4253" s="436"/>
      <c r="E4253" s="436"/>
      <c r="F4253" s="436"/>
      <c r="H4253" s="467"/>
      <c r="I4253" s="467"/>
      <c r="J4253" s="469"/>
      <c r="AL4253" s="436"/>
      <c r="AM4253" s="436"/>
      <c r="AQ4253" s="436"/>
      <c r="AR4253" s="436"/>
      <c r="AS4253" s="436"/>
      <c r="AT4253" s="436"/>
      <c r="AU4253" s="436"/>
      <c r="AV4253" s="436"/>
      <c r="AW4253" s="436"/>
      <c r="AX4253" s="436"/>
      <c r="AY4253" s="436"/>
      <c r="AZ4253" s="475"/>
      <c r="BA4253" s="475"/>
      <c r="BF4253" s="1119"/>
      <c r="BG4253" s="1119"/>
      <c r="BH4253" s="1119"/>
    </row>
    <row r="4254" spans="1:60" ht="15.75" customHeight="1">
      <c r="A4254" s="436"/>
      <c r="C4254" s="436"/>
      <c r="D4254" s="436"/>
      <c r="E4254" s="436"/>
      <c r="F4254" s="436"/>
      <c r="H4254" s="467"/>
      <c r="I4254" s="467"/>
      <c r="J4254" s="469"/>
      <c r="AL4254" s="436"/>
      <c r="AM4254" s="436"/>
      <c r="AQ4254" s="436"/>
      <c r="AR4254" s="436"/>
      <c r="AS4254" s="436"/>
      <c r="AT4254" s="436"/>
      <c r="AU4254" s="436"/>
      <c r="AV4254" s="436"/>
      <c r="AW4254" s="436"/>
      <c r="AX4254" s="436"/>
      <c r="AY4254" s="436"/>
      <c r="AZ4254" s="475"/>
      <c r="BA4254" s="475"/>
      <c r="BF4254" s="1119"/>
      <c r="BG4254" s="1119"/>
      <c r="BH4254" s="1119"/>
    </row>
    <row r="4255" spans="1:60" ht="15.75" customHeight="1">
      <c r="A4255" s="436"/>
      <c r="C4255" s="436"/>
      <c r="D4255" s="436"/>
      <c r="E4255" s="436"/>
      <c r="F4255" s="436"/>
      <c r="H4255" s="467"/>
      <c r="I4255" s="467"/>
      <c r="J4255" s="469"/>
      <c r="AL4255" s="436"/>
      <c r="AM4255" s="436"/>
      <c r="AQ4255" s="436"/>
      <c r="AR4255" s="436"/>
      <c r="AS4255" s="436"/>
      <c r="AT4255" s="436"/>
      <c r="AU4255" s="436"/>
      <c r="AV4255" s="436"/>
      <c r="AW4255" s="436"/>
      <c r="AX4255" s="436"/>
      <c r="AY4255" s="436"/>
      <c r="AZ4255" s="475"/>
      <c r="BA4255" s="475"/>
      <c r="BF4255" s="1119"/>
      <c r="BG4255" s="1119"/>
      <c r="BH4255" s="1119"/>
    </row>
    <row r="4256" spans="1:60" ht="15.75" customHeight="1">
      <c r="A4256" s="436"/>
      <c r="C4256" s="436"/>
      <c r="D4256" s="436"/>
      <c r="E4256" s="436"/>
      <c r="F4256" s="436"/>
      <c r="H4256" s="467"/>
      <c r="I4256" s="467"/>
      <c r="J4256" s="469"/>
      <c r="AL4256" s="436"/>
      <c r="AM4256" s="436"/>
      <c r="AQ4256" s="436"/>
      <c r="AR4256" s="436"/>
      <c r="AS4256" s="436"/>
      <c r="AT4256" s="436"/>
      <c r="AU4256" s="436"/>
      <c r="AV4256" s="436"/>
      <c r="AW4256" s="436"/>
      <c r="AX4256" s="436"/>
      <c r="AY4256" s="436"/>
      <c r="AZ4256" s="475"/>
      <c r="BA4256" s="475"/>
      <c r="BF4256" s="1119"/>
      <c r="BG4256" s="1119"/>
      <c r="BH4256" s="1119"/>
    </row>
    <row r="4257" spans="1:60" ht="15.75" customHeight="1">
      <c r="A4257" s="436"/>
      <c r="C4257" s="436"/>
      <c r="D4257" s="436"/>
      <c r="E4257" s="436"/>
      <c r="F4257" s="436"/>
      <c r="H4257" s="467"/>
      <c r="I4257" s="467"/>
      <c r="J4257" s="469"/>
      <c r="AL4257" s="436"/>
      <c r="AM4257" s="436"/>
      <c r="AQ4257" s="436"/>
      <c r="AR4257" s="436"/>
      <c r="AS4257" s="436"/>
      <c r="AT4257" s="436"/>
      <c r="AU4257" s="436"/>
      <c r="AV4257" s="436"/>
      <c r="AW4257" s="436"/>
      <c r="AX4257" s="436"/>
      <c r="AY4257" s="436"/>
      <c r="AZ4257" s="475"/>
      <c r="BA4257" s="475"/>
      <c r="BF4257" s="1119"/>
      <c r="BG4257" s="1119"/>
      <c r="BH4257" s="1119"/>
    </row>
    <row r="4258" spans="1:60" ht="15.75" customHeight="1">
      <c r="A4258" s="436"/>
      <c r="C4258" s="436"/>
      <c r="D4258" s="436"/>
      <c r="E4258" s="436"/>
      <c r="F4258" s="436"/>
      <c r="H4258" s="467"/>
      <c r="I4258" s="467"/>
      <c r="J4258" s="469"/>
      <c r="AL4258" s="436"/>
      <c r="AM4258" s="436"/>
      <c r="AQ4258" s="436"/>
      <c r="AR4258" s="436"/>
      <c r="AS4258" s="436"/>
      <c r="AT4258" s="436"/>
      <c r="AU4258" s="436"/>
      <c r="AV4258" s="436"/>
      <c r="AW4258" s="436"/>
      <c r="AX4258" s="436"/>
      <c r="AY4258" s="436"/>
      <c r="AZ4258" s="475"/>
      <c r="BA4258" s="475"/>
      <c r="BF4258" s="1119"/>
      <c r="BG4258" s="1119"/>
      <c r="BH4258" s="1119"/>
    </row>
    <row r="4259" spans="1:60" ht="15.75" customHeight="1">
      <c r="A4259" s="436"/>
      <c r="C4259" s="436"/>
      <c r="D4259" s="436"/>
      <c r="E4259" s="436"/>
      <c r="F4259" s="436"/>
      <c r="H4259" s="467"/>
      <c r="I4259" s="467"/>
      <c r="J4259" s="469"/>
      <c r="AL4259" s="436"/>
      <c r="AM4259" s="436"/>
      <c r="AQ4259" s="436"/>
      <c r="AR4259" s="436"/>
      <c r="AS4259" s="436"/>
      <c r="AT4259" s="436"/>
      <c r="AU4259" s="436"/>
      <c r="AV4259" s="436"/>
      <c r="AW4259" s="436"/>
      <c r="AX4259" s="436"/>
      <c r="AY4259" s="436"/>
      <c r="AZ4259" s="475"/>
      <c r="BA4259" s="475"/>
      <c r="BF4259" s="1119"/>
      <c r="BG4259" s="1119"/>
      <c r="BH4259" s="1119"/>
    </row>
    <row r="4260" spans="1:60" ht="15.75" customHeight="1">
      <c r="A4260" s="436"/>
      <c r="C4260" s="436"/>
      <c r="D4260" s="436"/>
      <c r="E4260" s="436"/>
      <c r="F4260" s="436"/>
      <c r="H4260" s="467"/>
      <c r="I4260" s="467"/>
      <c r="J4260" s="469"/>
      <c r="AL4260" s="436"/>
      <c r="AM4260" s="436"/>
      <c r="AQ4260" s="436"/>
      <c r="AR4260" s="436"/>
      <c r="AS4260" s="436"/>
      <c r="AT4260" s="436"/>
      <c r="AU4260" s="436"/>
      <c r="AV4260" s="436"/>
      <c r="AW4260" s="436"/>
      <c r="AX4260" s="436"/>
      <c r="AY4260" s="436"/>
      <c r="AZ4260" s="475"/>
      <c r="BA4260" s="475"/>
      <c r="BF4260" s="1119"/>
      <c r="BG4260" s="1119"/>
      <c r="BH4260" s="1119"/>
    </row>
    <row r="4261" spans="1:60" ht="15.75" customHeight="1">
      <c r="A4261" s="436"/>
      <c r="C4261" s="436"/>
      <c r="D4261" s="436"/>
      <c r="E4261" s="436"/>
      <c r="F4261" s="436"/>
      <c r="H4261" s="467"/>
      <c r="I4261" s="467"/>
      <c r="J4261" s="469"/>
      <c r="AL4261" s="436"/>
      <c r="AM4261" s="436"/>
      <c r="AQ4261" s="436"/>
      <c r="AR4261" s="436"/>
      <c r="AS4261" s="436"/>
      <c r="AT4261" s="436"/>
      <c r="AU4261" s="436"/>
      <c r="AV4261" s="436"/>
      <c r="AW4261" s="436"/>
      <c r="AX4261" s="436"/>
      <c r="AY4261" s="436"/>
      <c r="AZ4261" s="475"/>
      <c r="BA4261" s="475"/>
      <c r="BF4261" s="1119"/>
      <c r="BG4261" s="1119"/>
      <c r="BH4261" s="1119"/>
    </row>
    <row r="4262" spans="1:60" ht="15.75" customHeight="1">
      <c r="A4262" s="436"/>
      <c r="C4262" s="436"/>
      <c r="D4262" s="436"/>
      <c r="E4262" s="436"/>
      <c r="F4262" s="436"/>
      <c r="H4262" s="467"/>
      <c r="I4262" s="467"/>
      <c r="J4262" s="469"/>
      <c r="AL4262" s="436"/>
      <c r="AM4262" s="436"/>
      <c r="AQ4262" s="436"/>
      <c r="AR4262" s="436"/>
      <c r="AS4262" s="436"/>
      <c r="AT4262" s="436"/>
      <c r="AU4262" s="436"/>
      <c r="AV4262" s="436"/>
      <c r="AW4262" s="436"/>
      <c r="AX4262" s="436"/>
      <c r="AY4262" s="436"/>
      <c r="AZ4262" s="475"/>
      <c r="BA4262" s="475"/>
      <c r="BF4262" s="1119"/>
      <c r="BG4262" s="1119"/>
      <c r="BH4262" s="1119"/>
    </row>
    <row r="4263" spans="1:60" ht="15.75" customHeight="1">
      <c r="A4263" s="436"/>
      <c r="C4263" s="436"/>
      <c r="D4263" s="436"/>
      <c r="E4263" s="436"/>
      <c r="F4263" s="436"/>
      <c r="H4263" s="467"/>
      <c r="I4263" s="467"/>
      <c r="J4263" s="469"/>
      <c r="AL4263" s="436"/>
      <c r="AM4263" s="436"/>
      <c r="AQ4263" s="436"/>
      <c r="AR4263" s="436"/>
      <c r="AS4263" s="436"/>
      <c r="AT4263" s="436"/>
      <c r="AU4263" s="436"/>
      <c r="AV4263" s="436"/>
      <c r="AW4263" s="436"/>
      <c r="AX4263" s="436"/>
      <c r="AY4263" s="436"/>
      <c r="AZ4263" s="475"/>
      <c r="BA4263" s="475"/>
      <c r="BF4263" s="1119"/>
      <c r="BG4263" s="1119"/>
      <c r="BH4263" s="1119"/>
    </row>
    <row r="4264" spans="1:60" ht="15.75" customHeight="1">
      <c r="A4264" s="436"/>
      <c r="C4264" s="436"/>
      <c r="D4264" s="436"/>
      <c r="E4264" s="436"/>
      <c r="F4264" s="436"/>
      <c r="H4264" s="467"/>
      <c r="I4264" s="467"/>
      <c r="J4264" s="469"/>
      <c r="AL4264" s="436"/>
      <c r="AM4264" s="436"/>
      <c r="AQ4264" s="436"/>
      <c r="AR4264" s="436"/>
      <c r="AS4264" s="436"/>
      <c r="AT4264" s="436"/>
      <c r="AU4264" s="436"/>
      <c r="AV4264" s="436"/>
      <c r="AW4264" s="436"/>
      <c r="AX4264" s="436"/>
      <c r="AY4264" s="436"/>
      <c r="AZ4264" s="475"/>
      <c r="BA4264" s="475"/>
      <c r="BF4264" s="1119"/>
      <c r="BG4264" s="1119"/>
      <c r="BH4264" s="1119"/>
    </row>
    <row r="4265" spans="1:60" ht="15.75" customHeight="1">
      <c r="A4265" s="436"/>
      <c r="C4265" s="436"/>
      <c r="D4265" s="436"/>
      <c r="E4265" s="436"/>
      <c r="F4265" s="436"/>
      <c r="H4265" s="467"/>
      <c r="I4265" s="467"/>
      <c r="J4265" s="469"/>
      <c r="AL4265" s="436"/>
      <c r="AM4265" s="436"/>
      <c r="AQ4265" s="436"/>
      <c r="AR4265" s="436"/>
      <c r="AS4265" s="436"/>
      <c r="AT4265" s="436"/>
      <c r="AU4265" s="436"/>
      <c r="AV4265" s="436"/>
      <c r="AW4265" s="436"/>
      <c r="AX4265" s="436"/>
      <c r="AY4265" s="436"/>
      <c r="AZ4265" s="475"/>
      <c r="BA4265" s="475"/>
      <c r="BF4265" s="1119"/>
      <c r="BG4265" s="1119"/>
      <c r="BH4265" s="1119"/>
    </row>
    <row r="4266" spans="1:60" ht="15.75" customHeight="1">
      <c r="A4266" s="436"/>
      <c r="C4266" s="436"/>
      <c r="D4266" s="436"/>
      <c r="E4266" s="436"/>
      <c r="F4266" s="436"/>
      <c r="H4266" s="467"/>
      <c r="I4266" s="467"/>
      <c r="J4266" s="469"/>
      <c r="AL4266" s="436"/>
      <c r="AM4266" s="436"/>
      <c r="AQ4266" s="436"/>
      <c r="AR4266" s="436"/>
      <c r="AS4266" s="436"/>
      <c r="AT4266" s="436"/>
      <c r="AU4266" s="436"/>
      <c r="AV4266" s="436"/>
      <c r="AW4266" s="436"/>
      <c r="AX4266" s="436"/>
      <c r="AY4266" s="436"/>
      <c r="AZ4266" s="475"/>
      <c r="BA4266" s="475"/>
      <c r="BF4266" s="1119"/>
      <c r="BG4266" s="1119"/>
      <c r="BH4266" s="1119"/>
    </row>
    <row r="4267" spans="1:60" ht="15.75" customHeight="1">
      <c r="A4267" s="436"/>
      <c r="C4267" s="436"/>
      <c r="D4267" s="436"/>
      <c r="E4267" s="436"/>
      <c r="F4267" s="436"/>
      <c r="H4267" s="467"/>
      <c r="I4267" s="467"/>
      <c r="J4267" s="469"/>
      <c r="AL4267" s="436"/>
      <c r="AM4267" s="436"/>
      <c r="AQ4267" s="436"/>
      <c r="AR4267" s="436"/>
      <c r="AS4267" s="436"/>
      <c r="AT4267" s="436"/>
      <c r="AU4267" s="436"/>
      <c r="AV4267" s="436"/>
      <c r="AW4267" s="436"/>
      <c r="AX4267" s="436"/>
      <c r="AY4267" s="436"/>
      <c r="AZ4267" s="475"/>
      <c r="BA4267" s="475"/>
      <c r="BF4267" s="1119"/>
      <c r="BG4267" s="1119"/>
      <c r="BH4267" s="1119"/>
    </row>
    <row r="4268" spans="1:60" ht="15.75" customHeight="1">
      <c r="A4268" s="436"/>
      <c r="C4268" s="436"/>
      <c r="D4268" s="436"/>
      <c r="E4268" s="436"/>
      <c r="F4268" s="436"/>
      <c r="H4268" s="467"/>
      <c r="I4268" s="467"/>
      <c r="J4268" s="469"/>
      <c r="AL4268" s="436"/>
      <c r="AM4268" s="436"/>
      <c r="AQ4268" s="436"/>
      <c r="AR4268" s="436"/>
      <c r="AS4268" s="436"/>
      <c r="AT4268" s="436"/>
      <c r="AU4268" s="436"/>
      <c r="AV4268" s="436"/>
      <c r="AW4268" s="436"/>
      <c r="AX4268" s="436"/>
      <c r="AY4268" s="436"/>
      <c r="AZ4268" s="475"/>
      <c r="BA4268" s="475"/>
      <c r="BF4268" s="1119"/>
      <c r="BG4268" s="1119"/>
      <c r="BH4268" s="1119"/>
    </row>
    <row r="4269" spans="1:60" ht="15.75" customHeight="1">
      <c r="A4269" s="436"/>
      <c r="C4269" s="436"/>
      <c r="D4269" s="436"/>
      <c r="E4269" s="436"/>
      <c r="F4269" s="436"/>
      <c r="H4269" s="467"/>
      <c r="I4269" s="467"/>
      <c r="J4269" s="469"/>
      <c r="AL4269" s="436"/>
      <c r="AM4269" s="436"/>
      <c r="AQ4269" s="436"/>
      <c r="AR4269" s="436"/>
      <c r="AS4269" s="436"/>
      <c r="AT4269" s="436"/>
      <c r="AU4269" s="436"/>
      <c r="AV4269" s="436"/>
      <c r="AW4269" s="436"/>
      <c r="AX4269" s="436"/>
      <c r="AY4269" s="436"/>
      <c r="AZ4269" s="475"/>
      <c r="BA4269" s="475"/>
      <c r="BF4269" s="1119"/>
      <c r="BG4269" s="1119"/>
      <c r="BH4269" s="1119"/>
    </row>
    <row r="4270" spans="1:60" ht="15.75" customHeight="1">
      <c r="A4270" s="436"/>
      <c r="C4270" s="436"/>
      <c r="D4270" s="436"/>
      <c r="E4270" s="436"/>
      <c r="F4270" s="436"/>
      <c r="H4270" s="467"/>
      <c r="I4270" s="467"/>
      <c r="J4270" s="469"/>
      <c r="AL4270" s="436"/>
      <c r="AM4270" s="436"/>
      <c r="AQ4270" s="436"/>
      <c r="AR4270" s="436"/>
      <c r="AS4270" s="436"/>
      <c r="AT4270" s="436"/>
      <c r="AU4270" s="436"/>
      <c r="AV4270" s="436"/>
      <c r="AW4270" s="436"/>
      <c r="AX4270" s="436"/>
      <c r="AY4270" s="436"/>
      <c r="AZ4270" s="475"/>
      <c r="BA4270" s="475"/>
      <c r="BF4270" s="1119"/>
      <c r="BG4270" s="1119"/>
      <c r="BH4270" s="1119"/>
    </row>
    <row r="4271" spans="1:60" ht="15.75" customHeight="1">
      <c r="A4271" s="436"/>
      <c r="C4271" s="436"/>
      <c r="D4271" s="436"/>
      <c r="E4271" s="436"/>
      <c r="F4271" s="436"/>
      <c r="H4271" s="467"/>
      <c r="I4271" s="467"/>
      <c r="J4271" s="469"/>
      <c r="AL4271" s="436"/>
      <c r="AM4271" s="436"/>
      <c r="AQ4271" s="436"/>
      <c r="AR4271" s="436"/>
      <c r="AS4271" s="436"/>
      <c r="AT4271" s="436"/>
      <c r="AU4271" s="436"/>
      <c r="AV4271" s="436"/>
      <c r="AW4271" s="436"/>
      <c r="AX4271" s="436"/>
      <c r="AY4271" s="436"/>
      <c r="AZ4271" s="475"/>
      <c r="BA4271" s="475"/>
      <c r="BF4271" s="1119"/>
      <c r="BG4271" s="1119"/>
      <c r="BH4271" s="1119"/>
    </row>
    <row r="4272" spans="1:60" ht="15.75" customHeight="1">
      <c r="A4272" s="436"/>
      <c r="C4272" s="436"/>
      <c r="D4272" s="436"/>
      <c r="E4272" s="436"/>
      <c r="F4272" s="436"/>
      <c r="H4272" s="467"/>
      <c r="I4272" s="467"/>
      <c r="J4272" s="469"/>
      <c r="AL4272" s="436"/>
      <c r="AM4272" s="436"/>
      <c r="AQ4272" s="436"/>
      <c r="AR4272" s="436"/>
      <c r="AS4272" s="436"/>
      <c r="AT4272" s="436"/>
      <c r="AU4272" s="436"/>
      <c r="AV4272" s="436"/>
      <c r="AW4272" s="436"/>
      <c r="AX4272" s="436"/>
      <c r="AY4272" s="436"/>
      <c r="AZ4272" s="475"/>
      <c r="BA4272" s="475"/>
      <c r="BF4272" s="1119"/>
      <c r="BG4272" s="1119"/>
      <c r="BH4272" s="1119"/>
    </row>
    <row r="4273" spans="1:60" ht="15.75" customHeight="1">
      <c r="A4273" s="436"/>
      <c r="C4273" s="436"/>
      <c r="D4273" s="436"/>
      <c r="E4273" s="436"/>
      <c r="F4273" s="436"/>
      <c r="H4273" s="467"/>
      <c r="I4273" s="467"/>
      <c r="J4273" s="469"/>
      <c r="AL4273" s="436"/>
      <c r="AM4273" s="436"/>
      <c r="AQ4273" s="436"/>
      <c r="AR4273" s="436"/>
      <c r="AS4273" s="436"/>
      <c r="AT4273" s="436"/>
      <c r="AU4273" s="436"/>
      <c r="AV4273" s="436"/>
      <c r="AW4273" s="436"/>
      <c r="AX4273" s="436"/>
      <c r="AY4273" s="436"/>
      <c r="AZ4273" s="475"/>
      <c r="BA4273" s="475"/>
      <c r="BF4273" s="1119"/>
      <c r="BG4273" s="1119"/>
      <c r="BH4273" s="1119"/>
    </row>
    <row r="4274" spans="1:60" ht="15.75" customHeight="1">
      <c r="A4274" s="436"/>
      <c r="C4274" s="436"/>
      <c r="D4274" s="436"/>
      <c r="E4274" s="436"/>
      <c r="F4274" s="436"/>
      <c r="H4274" s="467"/>
      <c r="I4274" s="467"/>
      <c r="J4274" s="469"/>
      <c r="AL4274" s="436"/>
      <c r="AM4274" s="436"/>
      <c r="AQ4274" s="436"/>
      <c r="AR4274" s="436"/>
      <c r="AS4274" s="436"/>
      <c r="AT4274" s="436"/>
      <c r="AU4274" s="436"/>
      <c r="AV4274" s="436"/>
      <c r="AW4274" s="436"/>
      <c r="AX4274" s="436"/>
      <c r="AY4274" s="436"/>
      <c r="AZ4274" s="475"/>
      <c r="BA4274" s="475"/>
      <c r="BF4274" s="1119"/>
      <c r="BG4274" s="1119"/>
      <c r="BH4274" s="1119"/>
    </row>
    <row r="4275" spans="1:60" ht="15.75" customHeight="1">
      <c r="A4275" s="436"/>
      <c r="C4275" s="436"/>
      <c r="D4275" s="436"/>
      <c r="E4275" s="436"/>
      <c r="F4275" s="436"/>
      <c r="H4275" s="467"/>
      <c r="I4275" s="467"/>
      <c r="J4275" s="469"/>
      <c r="AL4275" s="436"/>
      <c r="AM4275" s="436"/>
      <c r="AQ4275" s="436"/>
      <c r="AR4275" s="436"/>
      <c r="AS4275" s="436"/>
      <c r="AT4275" s="436"/>
      <c r="AU4275" s="436"/>
      <c r="AV4275" s="436"/>
      <c r="AW4275" s="436"/>
      <c r="AX4275" s="436"/>
      <c r="AY4275" s="436"/>
      <c r="AZ4275" s="475"/>
      <c r="BA4275" s="475"/>
      <c r="BF4275" s="1119"/>
      <c r="BG4275" s="1119"/>
      <c r="BH4275" s="1119"/>
    </row>
    <row r="4276" spans="1:60" ht="15.75" customHeight="1">
      <c r="A4276" s="436"/>
      <c r="C4276" s="436"/>
      <c r="D4276" s="436"/>
      <c r="E4276" s="436"/>
      <c r="F4276" s="436"/>
      <c r="H4276" s="467"/>
      <c r="I4276" s="467"/>
      <c r="J4276" s="469"/>
      <c r="AL4276" s="436"/>
      <c r="AM4276" s="436"/>
      <c r="AQ4276" s="436"/>
      <c r="AR4276" s="436"/>
      <c r="AS4276" s="436"/>
      <c r="AT4276" s="436"/>
      <c r="AU4276" s="436"/>
      <c r="AV4276" s="436"/>
      <c r="AW4276" s="436"/>
      <c r="AX4276" s="436"/>
      <c r="AY4276" s="436"/>
      <c r="AZ4276" s="475"/>
      <c r="BA4276" s="475"/>
      <c r="BF4276" s="1119"/>
      <c r="BG4276" s="1119"/>
      <c r="BH4276" s="1119"/>
    </row>
    <row r="4277" spans="1:60" ht="15.75" customHeight="1">
      <c r="A4277" s="436"/>
      <c r="C4277" s="436"/>
      <c r="D4277" s="436"/>
      <c r="E4277" s="436"/>
      <c r="F4277" s="436"/>
      <c r="H4277" s="467"/>
      <c r="I4277" s="467"/>
      <c r="J4277" s="469"/>
      <c r="AL4277" s="436"/>
      <c r="AM4277" s="436"/>
      <c r="AQ4277" s="436"/>
      <c r="AR4277" s="436"/>
      <c r="AS4277" s="436"/>
      <c r="AT4277" s="436"/>
      <c r="AU4277" s="436"/>
      <c r="AV4277" s="436"/>
      <c r="AW4277" s="436"/>
      <c r="AX4277" s="436"/>
      <c r="AY4277" s="436"/>
      <c r="AZ4277" s="475"/>
      <c r="BA4277" s="475"/>
      <c r="BF4277" s="1119"/>
      <c r="BG4277" s="1119"/>
      <c r="BH4277" s="1119"/>
    </row>
    <row r="4278" spans="1:60" ht="15.75" customHeight="1">
      <c r="A4278" s="436"/>
      <c r="C4278" s="436"/>
      <c r="D4278" s="436"/>
      <c r="E4278" s="436"/>
      <c r="F4278" s="436"/>
      <c r="H4278" s="467"/>
      <c r="I4278" s="467"/>
      <c r="J4278" s="469"/>
      <c r="AL4278" s="436"/>
      <c r="AM4278" s="436"/>
      <c r="AQ4278" s="436"/>
      <c r="AR4278" s="436"/>
      <c r="AS4278" s="436"/>
      <c r="AT4278" s="436"/>
      <c r="AU4278" s="436"/>
      <c r="AV4278" s="436"/>
      <c r="AW4278" s="436"/>
      <c r="AX4278" s="436"/>
      <c r="AY4278" s="436"/>
      <c r="AZ4278" s="475"/>
      <c r="BA4278" s="475"/>
      <c r="BF4278" s="1119"/>
      <c r="BG4278" s="1119"/>
      <c r="BH4278" s="1119"/>
    </row>
    <row r="4279" spans="1:60" ht="15.75" customHeight="1">
      <c r="A4279" s="436"/>
      <c r="C4279" s="436"/>
      <c r="D4279" s="436"/>
      <c r="E4279" s="436"/>
      <c r="F4279" s="436"/>
      <c r="H4279" s="467"/>
      <c r="I4279" s="467"/>
      <c r="J4279" s="469"/>
      <c r="AL4279" s="436"/>
      <c r="AM4279" s="436"/>
      <c r="AQ4279" s="436"/>
      <c r="AR4279" s="436"/>
      <c r="AS4279" s="436"/>
      <c r="AT4279" s="436"/>
      <c r="AU4279" s="436"/>
      <c r="AV4279" s="436"/>
      <c r="AW4279" s="436"/>
      <c r="AX4279" s="436"/>
      <c r="AY4279" s="436"/>
      <c r="AZ4279" s="475"/>
      <c r="BA4279" s="475"/>
      <c r="BF4279" s="1119"/>
      <c r="BG4279" s="1119"/>
      <c r="BH4279" s="1119"/>
    </row>
    <row r="4280" spans="1:60" ht="15.75" customHeight="1">
      <c r="A4280" s="436"/>
      <c r="C4280" s="436"/>
      <c r="D4280" s="436"/>
      <c r="E4280" s="436"/>
      <c r="F4280" s="436"/>
      <c r="H4280" s="467"/>
      <c r="I4280" s="467"/>
      <c r="J4280" s="469"/>
      <c r="AL4280" s="436"/>
      <c r="AM4280" s="436"/>
      <c r="AQ4280" s="436"/>
      <c r="AR4280" s="436"/>
      <c r="AS4280" s="436"/>
      <c r="AT4280" s="436"/>
      <c r="AU4280" s="436"/>
      <c r="AV4280" s="436"/>
      <c r="AW4280" s="436"/>
      <c r="AX4280" s="436"/>
      <c r="AY4280" s="436"/>
      <c r="AZ4280" s="475"/>
      <c r="BA4280" s="475"/>
      <c r="BF4280" s="1119"/>
      <c r="BG4280" s="1119"/>
      <c r="BH4280" s="1119"/>
    </row>
    <row r="4281" spans="1:60" ht="15.75" customHeight="1">
      <c r="A4281" s="436"/>
      <c r="C4281" s="436"/>
      <c r="D4281" s="436"/>
      <c r="E4281" s="436"/>
      <c r="F4281" s="436"/>
      <c r="H4281" s="467"/>
      <c r="I4281" s="467"/>
      <c r="J4281" s="469"/>
      <c r="AL4281" s="436"/>
      <c r="AM4281" s="436"/>
      <c r="AQ4281" s="436"/>
      <c r="AR4281" s="436"/>
      <c r="AS4281" s="436"/>
      <c r="AT4281" s="436"/>
      <c r="AU4281" s="436"/>
      <c r="AV4281" s="436"/>
      <c r="AW4281" s="436"/>
      <c r="AX4281" s="436"/>
      <c r="AY4281" s="436"/>
      <c r="AZ4281" s="475"/>
      <c r="BA4281" s="475"/>
      <c r="BF4281" s="1119"/>
      <c r="BG4281" s="1119"/>
      <c r="BH4281" s="1119"/>
    </row>
    <row r="4282" spans="1:60" ht="15.75" customHeight="1">
      <c r="A4282" s="436"/>
      <c r="C4282" s="436"/>
      <c r="D4282" s="436"/>
      <c r="E4282" s="436"/>
      <c r="F4282" s="436"/>
      <c r="H4282" s="467"/>
      <c r="I4282" s="467"/>
      <c r="J4282" s="469"/>
      <c r="AL4282" s="436"/>
      <c r="AM4282" s="436"/>
      <c r="AQ4282" s="436"/>
      <c r="AR4282" s="436"/>
      <c r="AS4282" s="436"/>
      <c r="AT4282" s="436"/>
      <c r="AU4282" s="436"/>
      <c r="AV4282" s="436"/>
      <c r="AW4282" s="436"/>
      <c r="AX4282" s="436"/>
      <c r="AY4282" s="436"/>
      <c r="AZ4282" s="475"/>
      <c r="BA4282" s="475"/>
      <c r="BF4282" s="1119"/>
      <c r="BG4282" s="1119"/>
      <c r="BH4282" s="1119"/>
    </row>
    <row r="4283" spans="1:60" ht="15.75" customHeight="1">
      <c r="A4283" s="436"/>
      <c r="C4283" s="436"/>
      <c r="D4283" s="436"/>
      <c r="E4283" s="436"/>
      <c r="F4283" s="436"/>
      <c r="H4283" s="467"/>
      <c r="I4283" s="467"/>
      <c r="J4283" s="469"/>
      <c r="AL4283" s="436"/>
      <c r="AM4283" s="436"/>
      <c r="AQ4283" s="436"/>
      <c r="AR4283" s="436"/>
      <c r="AS4283" s="436"/>
      <c r="AT4283" s="436"/>
      <c r="AU4283" s="436"/>
      <c r="AV4283" s="436"/>
      <c r="AW4283" s="436"/>
      <c r="AX4283" s="436"/>
      <c r="AY4283" s="436"/>
      <c r="AZ4283" s="475"/>
      <c r="BA4283" s="475"/>
      <c r="BF4283" s="1119"/>
      <c r="BG4283" s="1119"/>
      <c r="BH4283" s="1119"/>
    </row>
    <row r="4284" spans="1:60" ht="15.75" customHeight="1">
      <c r="A4284" s="436"/>
      <c r="C4284" s="436"/>
      <c r="D4284" s="436"/>
      <c r="E4284" s="436"/>
      <c r="F4284" s="436"/>
      <c r="H4284" s="467"/>
      <c r="I4284" s="467"/>
      <c r="J4284" s="469"/>
      <c r="AL4284" s="436"/>
      <c r="AM4284" s="436"/>
      <c r="AQ4284" s="436"/>
      <c r="AR4284" s="436"/>
      <c r="AS4284" s="436"/>
      <c r="AT4284" s="436"/>
      <c r="AU4284" s="436"/>
      <c r="AV4284" s="436"/>
      <c r="AW4284" s="436"/>
      <c r="AX4284" s="436"/>
      <c r="AY4284" s="436"/>
      <c r="AZ4284" s="475"/>
      <c r="BA4284" s="475"/>
      <c r="BF4284" s="1119"/>
      <c r="BG4284" s="1119"/>
      <c r="BH4284" s="1119"/>
    </row>
    <row r="4285" spans="1:60" ht="15.75" customHeight="1">
      <c r="A4285" s="436"/>
      <c r="C4285" s="436"/>
      <c r="D4285" s="436"/>
      <c r="E4285" s="436"/>
      <c r="F4285" s="436"/>
      <c r="H4285" s="467"/>
      <c r="I4285" s="467"/>
      <c r="J4285" s="469"/>
      <c r="AL4285" s="436"/>
      <c r="AM4285" s="436"/>
      <c r="AQ4285" s="436"/>
      <c r="AR4285" s="436"/>
      <c r="AS4285" s="436"/>
      <c r="AT4285" s="436"/>
      <c r="AU4285" s="436"/>
      <c r="AV4285" s="436"/>
      <c r="AW4285" s="436"/>
      <c r="AX4285" s="436"/>
      <c r="AY4285" s="436"/>
      <c r="AZ4285" s="475"/>
      <c r="BA4285" s="475"/>
      <c r="BF4285" s="1119"/>
      <c r="BG4285" s="1119"/>
      <c r="BH4285" s="1119"/>
    </row>
    <row r="4286" spans="1:60" ht="15.75" customHeight="1">
      <c r="A4286" s="436"/>
      <c r="C4286" s="436"/>
      <c r="D4286" s="436"/>
      <c r="E4286" s="436"/>
      <c r="F4286" s="436"/>
      <c r="H4286" s="467"/>
      <c r="I4286" s="467"/>
      <c r="J4286" s="469"/>
      <c r="AL4286" s="436"/>
      <c r="AM4286" s="436"/>
      <c r="AQ4286" s="436"/>
      <c r="AR4286" s="436"/>
      <c r="AS4286" s="436"/>
      <c r="AT4286" s="436"/>
      <c r="AU4286" s="436"/>
      <c r="AV4286" s="436"/>
      <c r="AW4286" s="436"/>
      <c r="AX4286" s="436"/>
      <c r="AY4286" s="436"/>
      <c r="AZ4286" s="475"/>
      <c r="BA4286" s="475"/>
      <c r="BF4286" s="1119"/>
      <c r="BG4286" s="1119"/>
      <c r="BH4286" s="1119"/>
    </row>
    <row r="4287" spans="1:60" ht="15.75" customHeight="1">
      <c r="A4287" s="436"/>
      <c r="C4287" s="436"/>
      <c r="D4287" s="436"/>
      <c r="E4287" s="436"/>
      <c r="F4287" s="436"/>
      <c r="H4287" s="467"/>
      <c r="I4287" s="467"/>
      <c r="J4287" s="469"/>
      <c r="AL4287" s="436"/>
      <c r="AM4287" s="436"/>
      <c r="AQ4287" s="436"/>
      <c r="AR4287" s="436"/>
      <c r="AS4287" s="436"/>
      <c r="AT4287" s="436"/>
      <c r="AU4287" s="436"/>
      <c r="AV4287" s="436"/>
      <c r="AW4287" s="436"/>
      <c r="AX4287" s="436"/>
      <c r="AY4287" s="436"/>
      <c r="AZ4287" s="475"/>
      <c r="BA4287" s="475"/>
      <c r="BF4287" s="1119"/>
      <c r="BG4287" s="1119"/>
      <c r="BH4287" s="1119"/>
    </row>
    <row r="4288" spans="1:60" ht="15.75" customHeight="1">
      <c r="A4288" s="436"/>
      <c r="C4288" s="436"/>
      <c r="D4288" s="436"/>
      <c r="E4288" s="436"/>
      <c r="F4288" s="436"/>
      <c r="H4288" s="467"/>
      <c r="I4288" s="467"/>
      <c r="J4288" s="469"/>
      <c r="AL4288" s="436"/>
      <c r="AM4288" s="436"/>
      <c r="AQ4288" s="436"/>
      <c r="AR4288" s="436"/>
      <c r="AS4288" s="436"/>
      <c r="AT4288" s="436"/>
      <c r="AU4288" s="436"/>
      <c r="AV4288" s="436"/>
      <c r="AW4288" s="436"/>
      <c r="AX4288" s="436"/>
      <c r="AY4288" s="436"/>
      <c r="AZ4288" s="475"/>
      <c r="BA4288" s="475"/>
      <c r="BF4288" s="1119"/>
      <c r="BG4288" s="1119"/>
      <c r="BH4288" s="1119"/>
    </row>
    <row r="4289" spans="1:60" ht="15.75" customHeight="1">
      <c r="A4289" s="436"/>
      <c r="C4289" s="436"/>
      <c r="D4289" s="436"/>
      <c r="E4289" s="436"/>
      <c r="F4289" s="436"/>
      <c r="H4289" s="467"/>
      <c r="I4289" s="467"/>
      <c r="J4289" s="469"/>
      <c r="AL4289" s="436"/>
      <c r="AM4289" s="436"/>
      <c r="AQ4289" s="436"/>
      <c r="AR4289" s="436"/>
      <c r="AS4289" s="436"/>
      <c r="AT4289" s="436"/>
      <c r="AU4289" s="436"/>
      <c r="AV4289" s="436"/>
      <c r="AW4289" s="436"/>
      <c r="AX4289" s="436"/>
      <c r="AY4289" s="436"/>
      <c r="AZ4289" s="475"/>
      <c r="BA4289" s="475"/>
      <c r="BF4289" s="1119"/>
      <c r="BG4289" s="1119"/>
      <c r="BH4289" s="1119"/>
    </row>
    <row r="4290" spans="1:60" ht="15.75" customHeight="1">
      <c r="A4290" s="436"/>
      <c r="C4290" s="436"/>
      <c r="D4290" s="436"/>
      <c r="E4290" s="436"/>
      <c r="F4290" s="436"/>
      <c r="H4290" s="467"/>
      <c r="I4290" s="467"/>
      <c r="J4290" s="469"/>
      <c r="AL4290" s="436"/>
      <c r="AM4290" s="436"/>
      <c r="AQ4290" s="436"/>
      <c r="AR4290" s="436"/>
      <c r="AS4290" s="436"/>
      <c r="AT4290" s="436"/>
      <c r="AU4290" s="436"/>
      <c r="AV4290" s="436"/>
      <c r="AW4290" s="436"/>
      <c r="AX4290" s="436"/>
      <c r="AY4290" s="436"/>
      <c r="AZ4290" s="475"/>
      <c r="BA4290" s="475"/>
      <c r="BF4290" s="1119"/>
      <c r="BG4290" s="1119"/>
      <c r="BH4290" s="1119"/>
    </row>
    <row r="4291" spans="1:60" ht="15.75" customHeight="1">
      <c r="A4291" s="436"/>
      <c r="C4291" s="436"/>
      <c r="D4291" s="436"/>
      <c r="E4291" s="436"/>
      <c r="F4291" s="436"/>
      <c r="H4291" s="467"/>
      <c r="I4291" s="467"/>
      <c r="J4291" s="469"/>
      <c r="AL4291" s="436"/>
      <c r="AM4291" s="436"/>
      <c r="AQ4291" s="436"/>
      <c r="AR4291" s="436"/>
      <c r="AS4291" s="436"/>
      <c r="AT4291" s="436"/>
      <c r="AU4291" s="436"/>
      <c r="AV4291" s="436"/>
      <c r="AW4291" s="436"/>
      <c r="AX4291" s="436"/>
      <c r="AY4291" s="436"/>
      <c r="AZ4291" s="475"/>
      <c r="BA4291" s="475"/>
      <c r="BF4291" s="1119"/>
      <c r="BG4291" s="1119"/>
      <c r="BH4291" s="1119"/>
    </row>
    <row r="4292" spans="1:60" ht="15.75" customHeight="1">
      <c r="A4292" s="436"/>
      <c r="C4292" s="436"/>
      <c r="D4292" s="436"/>
      <c r="E4292" s="436"/>
      <c r="F4292" s="436"/>
      <c r="H4292" s="467"/>
      <c r="I4292" s="467"/>
      <c r="J4292" s="469"/>
      <c r="AL4292" s="436"/>
      <c r="AM4292" s="436"/>
      <c r="AQ4292" s="436"/>
      <c r="AR4292" s="436"/>
      <c r="AS4292" s="436"/>
      <c r="AT4292" s="436"/>
      <c r="AU4292" s="436"/>
      <c r="AV4292" s="436"/>
      <c r="AW4292" s="436"/>
      <c r="AX4292" s="436"/>
      <c r="AY4292" s="436"/>
      <c r="AZ4292" s="475"/>
      <c r="BA4292" s="475"/>
      <c r="BF4292" s="1119"/>
      <c r="BG4292" s="1119"/>
      <c r="BH4292" s="1119"/>
    </row>
    <row r="4293" spans="1:60" ht="15.75" customHeight="1">
      <c r="A4293" s="436"/>
      <c r="C4293" s="436"/>
      <c r="D4293" s="436"/>
      <c r="E4293" s="436"/>
      <c r="F4293" s="436"/>
      <c r="H4293" s="467"/>
      <c r="I4293" s="467"/>
      <c r="J4293" s="469"/>
      <c r="AL4293" s="436"/>
      <c r="AM4293" s="436"/>
      <c r="AQ4293" s="436"/>
      <c r="AR4293" s="436"/>
      <c r="AS4293" s="436"/>
      <c r="AT4293" s="436"/>
      <c r="AU4293" s="436"/>
      <c r="AV4293" s="436"/>
      <c r="AW4293" s="436"/>
      <c r="AX4293" s="436"/>
      <c r="AY4293" s="436"/>
      <c r="AZ4293" s="475"/>
      <c r="BA4293" s="475"/>
      <c r="BF4293" s="1119"/>
      <c r="BG4293" s="1119"/>
      <c r="BH4293" s="1119"/>
    </row>
    <row r="4294" spans="1:60" ht="15.75" customHeight="1">
      <c r="A4294" s="436"/>
      <c r="C4294" s="436"/>
      <c r="D4294" s="436"/>
      <c r="E4294" s="436"/>
      <c r="F4294" s="436"/>
      <c r="H4294" s="467"/>
      <c r="I4294" s="467"/>
      <c r="J4294" s="469"/>
      <c r="AL4294" s="436"/>
      <c r="AM4294" s="436"/>
      <c r="AQ4294" s="436"/>
      <c r="AR4294" s="436"/>
      <c r="AS4294" s="436"/>
      <c r="AT4294" s="436"/>
      <c r="AU4294" s="436"/>
      <c r="AV4294" s="436"/>
      <c r="AW4294" s="436"/>
      <c r="AX4294" s="436"/>
      <c r="AY4294" s="436"/>
      <c r="AZ4294" s="475"/>
      <c r="BA4294" s="475"/>
      <c r="BF4294" s="1119"/>
      <c r="BG4294" s="1119"/>
      <c r="BH4294" s="1119"/>
    </row>
    <row r="4295" spans="1:60" ht="15.75" customHeight="1">
      <c r="A4295" s="436"/>
      <c r="C4295" s="436"/>
      <c r="D4295" s="436"/>
      <c r="E4295" s="436"/>
      <c r="F4295" s="436"/>
      <c r="H4295" s="467"/>
      <c r="I4295" s="467"/>
      <c r="J4295" s="469"/>
      <c r="AL4295" s="436"/>
      <c r="AM4295" s="436"/>
      <c r="AQ4295" s="436"/>
      <c r="AR4295" s="436"/>
      <c r="AS4295" s="436"/>
      <c r="AT4295" s="436"/>
      <c r="AU4295" s="436"/>
      <c r="AV4295" s="436"/>
      <c r="AW4295" s="436"/>
      <c r="AX4295" s="436"/>
      <c r="AY4295" s="436"/>
      <c r="AZ4295" s="475"/>
      <c r="BA4295" s="475"/>
      <c r="BF4295" s="1119"/>
      <c r="BG4295" s="1119"/>
      <c r="BH4295" s="1119"/>
    </row>
    <row r="4296" spans="1:60" ht="15.75" customHeight="1">
      <c r="A4296" s="436"/>
      <c r="C4296" s="436"/>
      <c r="D4296" s="436"/>
      <c r="E4296" s="436"/>
      <c r="F4296" s="436"/>
      <c r="H4296" s="467"/>
      <c r="I4296" s="467"/>
      <c r="J4296" s="469"/>
      <c r="AL4296" s="436"/>
      <c r="AM4296" s="436"/>
      <c r="AQ4296" s="436"/>
      <c r="AR4296" s="436"/>
      <c r="AS4296" s="436"/>
      <c r="AT4296" s="436"/>
      <c r="AU4296" s="436"/>
      <c r="AV4296" s="436"/>
      <c r="AW4296" s="436"/>
      <c r="AX4296" s="436"/>
      <c r="AY4296" s="436"/>
      <c r="AZ4296" s="475"/>
      <c r="BA4296" s="475"/>
      <c r="BF4296" s="1119"/>
      <c r="BG4296" s="1119"/>
      <c r="BH4296" s="1119"/>
    </row>
    <row r="4297" spans="1:60" ht="15.75" customHeight="1">
      <c r="A4297" s="436"/>
      <c r="C4297" s="436"/>
      <c r="D4297" s="436"/>
      <c r="E4297" s="436"/>
      <c r="F4297" s="436"/>
      <c r="H4297" s="467"/>
      <c r="I4297" s="467"/>
      <c r="J4297" s="469"/>
      <c r="AL4297" s="436"/>
      <c r="AM4297" s="436"/>
      <c r="AQ4297" s="436"/>
      <c r="AR4297" s="436"/>
      <c r="AS4297" s="436"/>
      <c r="AT4297" s="436"/>
      <c r="AU4297" s="436"/>
      <c r="AV4297" s="436"/>
      <c r="AW4297" s="436"/>
      <c r="AX4297" s="436"/>
      <c r="AY4297" s="436"/>
      <c r="AZ4297" s="475"/>
      <c r="BA4297" s="475"/>
      <c r="BF4297" s="1119"/>
      <c r="BG4297" s="1119"/>
      <c r="BH4297" s="1119"/>
    </row>
    <row r="4298" spans="1:60" ht="15.75" customHeight="1">
      <c r="A4298" s="436"/>
      <c r="C4298" s="436"/>
      <c r="D4298" s="436"/>
      <c r="E4298" s="436"/>
      <c r="F4298" s="436"/>
      <c r="H4298" s="467"/>
      <c r="I4298" s="467"/>
      <c r="J4298" s="469"/>
      <c r="AL4298" s="436"/>
      <c r="AM4298" s="436"/>
      <c r="AQ4298" s="436"/>
      <c r="AR4298" s="436"/>
      <c r="AS4298" s="436"/>
      <c r="AT4298" s="436"/>
      <c r="AU4298" s="436"/>
      <c r="AV4298" s="436"/>
      <c r="AW4298" s="436"/>
      <c r="AX4298" s="436"/>
      <c r="AY4298" s="436"/>
      <c r="AZ4298" s="475"/>
      <c r="BA4298" s="475"/>
      <c r="BF4298" s="1119"/>
      <c r="BG4298" s="1119"/>
      <c r="BH4298" s="1119"/>
    </row>
    <row r="4299" spans="1:60" ht="15.75" customHeight="1">
      <c r="A4299" s="436"/>
      <c r="C4299" s="436"/>
      <c r="D4299" s="436"/>
      <c r="E4299" s="436"/>
      <c r="F4299" s="436"/>
      <c r="H4299" s="467"/>
      <c r="I4299" s="467"/>
      <c r="J4299" s="469"/>
      <c r="AL4299" s="436"/>
      <c r="AM4299" s="436"/>
      <c r="AQ4299" s="436"/>
      <c r="AR4299" s="436"/>
      <c r="AS4299" s="436"/>
      <c r="AT4299" s="436"/>
      <c r="AU4299" s="436"/>
      <c r="AV4299" s="436"/>
      <c r="AW4299" s="436"/>
      <c r="AX4299" s="436"/>
      <c r="AY4299" s="436"/>
      <c r="AZ4299" s="475"/>
      <c r="BA4299" s="475"/>
      <c r="BF4299" s="1119"/>
      <c r="BG4299" s="1119"/>
      <c r="BH4299" s="1119"/>
    </row>
    <row r="4300" spans="1:60" ht="15.75" customHeight="1">
      <c r="A4300" s="436"/>
      <c r="C4300" s="436"/>
      <c r="D4300" s="436"/>
      <c r="E4300" s="436"/>
      <c r="F4300" s="436"/>
      <c r="H4300" s="467"/>
      <c r="I4300" s="467"/>
      <c r="J4300" s="469"/>
      <c r="AL4300" s="436"/>
      <c r="AM4300" s="436"/>
      <c r="AQ4300" s="436"/>
      <c r="AR4300" s="436"/>
      <c r="AS4300" s="436"/>
      <c r="AT4300" s="436"/>
      <c r="AU4300" s="436"/>
      <c r="AV4300" s="436"/>
      <c r="AW4300" s="436"/>
      <c r="AX4300" s="436"/>
      <c r="AY4300" s="436"/>
      <c r="AZ4300" s="475"/>
      <c r="BA4300" s="475"/>
      <c r="BF4300" s="1119"/>
      <c r="BG4300" s="1119"/>
      <c r="BH4300" s="1119"/>
    </row>
    <row r="4301" spans="1:60" ht="15.75" customHeight="1">
      <c r="A4301" s="436"/>
      <c r="C4301" s="436"/>
      <c r="D4301" s="436"/>
      <c r="E4301" s="436"/>
      <c r="F4301" s="436"/>
      <c r="H4301" s="467"/>
      <c r="I4301" s="467"/>
      <c r="J4301" s="469"/>
      <c r="AL4301" s="436"/>
      <c r="AM4301" s="436"/>
      <c r="AQ4301" s="436"/>
      <c r="AR4301" s="436"/>
      <c r="AS4301" s="436"/>
      <c r="AT4301" s="436"/>
      <c r="AU4301" s="436"/>
      <c r="AV4301" s="436"/>
      <c r="AW4301" s="436"/>
      <c r="AX4301" s="436"/>
      <c r="AY4301" s="436"/>
      <c r="AZ4301" s="475"/>
      <c r="BA4301" s="475"/>
      <c r="BF4301" s="1119"/>
      <c r="BG4301" s="1119"/>
      <c r="BH4301" s="1119"/>
    </row>
    <row r="4302" spans="1:60" ht="15.75" customHeight="1">
      <c r="A4302" s="436"/>
      <c r="C4302" s="436"/>
      <c r="D4302" s="436"/>
      <c r="E4302" s="436"/>
      <c r="F4302" s="436"/>
      <c r="H4302" s="467"/>
      <c r="I4302" s="467"/>
      <c r="J4302" s="469"/>
      <c r="AL4302" s="436"/>
      <c r="AM4302" s="436"/>
      <c r="AQ4302" s="436"/>
      <c r="AR4302" s="436"/>
      <c r="AS4302" s="436"/>
      <c r="AT4302" s="436"/>
      <c r="AU4302" s="436"/>
      <c r="AV4302" s="436"/>
      <c r="AW4302" s="436"/>
      <c r="AX4302" s="436"/>
      <c r="AY4302" s="436"/>
      <c r="AZ4302" s="475"/>
      <c r="BA4302" s="475"/>
      <c r="BF4302" s="1119"/>
      <c r="BG4302" s="1119"/>
      <c r="BH4302" s="1119"/>
    </row>
    <row r="4303" spans="1:60" ht="15.75" customHeight="1">
      <c r="A4303" s="436"/>
      <c r="C4303" s="436"/>
      <c r="D4303" s="436"/>
      <c r="E4303" s="436"/>
      <c r="F4303" s="436"/>
      <c r="H4303" s="467"/>
      <c r="I4303" s="467"/>
      <c r="J4303" s="469"/>
      <c r="AL4303" s="436"/>
      <c r="AM4303" s="436"/>
      <c r="AQ4303" s="436"/>
      <c r="AR4303" s="436"/>
      <c r="AS4303" s="436"/>
      <c r="AT4303" s="436"/>
      <c r="AU4303" s="436"/>
      <c r="AV4303" s="436"/>
      <c r="AW4303" s="436"/>
      <c r="AX4303" s="436"/>
      <c r="AY4303" s="436"/>
      <c r="AZ4303" s="475"/>
      <c r="BA4303" s="475"/>
      <c r="BF4303" s="1119"/>
      <c r="BG4303" s="1119"/>
      <c r="BH4303" s="1119"/>
    </row>
    <row r="4304" spans="1:60" ht="15.75" customHeight="1">
      <c r="A4304" s="436"/>
      <c r="C4304" s="436"/>
      <c r="D4304" s="436"/>
      <c r="E4304" s="436"/>
      <c r="F4304" s="436"/>
      <c r="H4304" s="467"/>
      <c r="I4304" s="467"/>
      <c r="J4304" s="469"/>
      <c r="AL4304" s="436"/>
      <c r="AM4304" s="436"/>
      <c r="AQ4304" s="436"/>
      <c r="AR4304" s="436"/>
      <c r="AS4304" s="436"/>
      <c r="AT4304" s="436"/>
      <c r="AU4304" s="436"/>
      <c r="AV4304" s="436"/>
      <c r="AW4304" s="436"/>
      <c r="AX4304" s="436"/>
      <c r="AY4304" s="436"/>
      <c r="AZ4304" s="475"/>
      <c r="BA4304" s="475"/>
      <c r="BF4304" s="1119"/>
      <c r="BG4304" s="1119"/>
      <c r="BH4304" s="1119"/>
    </row>
    <row r="4305" spans="1:60" ht="15.75" customHeight="1">
      <c r="A4305" s="436"/>
      <c r="C4305" s="436"/>
      <c r="D4305" s="436"/>
      <c r="E4305" s="436"/>
      <c r="F4305" s="436"/>
      <c r="H4305" s="467"/>
      <c r="I4305" s="467"/>
      <c r="J4305" s="469"/>
      <c r="AL4305" s="436"/>
      <c r="AM4305" s="436"/>
      <c r="AQ4305" s="436"/>
      <c r="AR4305" s="436"/>
      <c r="AS4305" s="436"/>
      <c r="AT4305" s="436"/>
      <c r="AU4305" s="436"/>
      <c r="AV4305" s="436"/>
      <c r="AW4305" s="436"/>
      <c r="AX4305" s="436"/>
      <c r="AY4305" s="436"/>
      <c r="AZ4305" s="475"/>
      <c r="BA4305" s="475"/>
      <c r="BF4305" s="1119"/>
      <c r="BG4305" s="1119"/>
      <c r="BH4305" s="1119"/>
    </row>
    <row r="4306" spans="1:60" ht="15.75" customHeight="1">
      <c r="A4306" s="436"/>
      <c r="C4306" s="436"/>
      <c r="D4306" s="436"/>
      <c r="E4306" s="436"/>
      <c r="F4306" s="436"/>
      <c r="H4306" s="467"/>
      <c r="I4306" s="467"/>
      <c r="J4306" s="469"/>
      <c r="AL4306" s="436"/>
      <c r="AM4306" s="436"/>
      <c r="AQ4306" s="436"/>
      <c r="AR4306" s="436"/>
      <c r="AS4306" s="436"/>
      <c r="AT4306" s="436"/>
      <c r="AU4306" s="436"/>
      <c r="AV4306" s="436"/>
      <c r="AW4306" s="436"/>
      <c r="AX4306" s="436"/>
      <c r="AY4306" s="436"/>
      <c r="AZ4306" s="475"/>
      <c r="BA4306" s="475"/>
      <c r="BF4306" s="1119"/>
      <c r="BG4306" s="1119"/>
      <c r="BH4306" s="1119"/>
    </row>
    <row r="4307" spans="1:60" ht="15.75" customHeight="1">
      <c r="A4307" s="436"/>
      <c r="C4307" s="436"/>
      <c r="D4307" s="436"/>
      <c r="E4307" s="436"/>
      <c r="F4307" s="436"/>
      <c r="H4307" s="467"/>
      <c r="I4307" s="467"/>
      <c r="J4307" s="469"/>
      <c r="AL4307" s="436"/>
      <c r="AM4307" s="436"/>
      <c r="AQ4307" s="436"/>
      <c r="AR4307" s="436"/>
      <c r="AS4307" s="436"/>
      <c r="AT4307" s="436"/>
      <c r="AU4307" s="436"/>
      <c r="AV4307" s="436"/>
      <c r="AW4307" s="436"/>
      <c r="AX4307" s="436"/>
      <c r="AY4307" s="436"/>
      <c r="AZ4307" s="475"/>
      <c r="BA4307" s="475"/>
      <c r="BF4307" s="1119"/>
      <c r="BG4307" s="1119"/>
      <c r="BH4307" s="1119"/>
    </row>
    <row r="4308" spans="1:60" ht="15.75" customHeight="1">
      <c r="A4308" s="436"/>
      <c r="C4308" s="436"/>
      <c r="D4308" s="436"/>
      <c r="E4308" s="436"/>
      <c r="F4308" s="436"/>
      <c r="H4308" s="467"/>
      <c r="I4308" s="467"/>
      <c r="J4308" s="469"/>
      <c r="AL4308" s="436"/>
      <c r="AM4308" s="436"/>
      <c r="AQ4308" s="436"/>
      <c r="AR4308" s="436"/>
      <c r="AS4308" s="436"/>
      <c r="AT4308" s="436"/>
      <c r="AU4308" s="436"/>
      <c r="AV4308" s="436"/>
      <c r="AW4308" s="436"/>
      <c r="AX4308" s="436"/>
      <c r="AY4308" s="436"/>
      <c r="AZ4308" s="475"/>
      <c r="BA4308" s="475"/>
      <c r="BF4308" s="1119"/>
      <c r="BG4308" s="1119"/>
      <c r="BH4308" s="1119"/>
    </row>
    <row r="4309" spans="1:60" ht="15.75" customHeight="1">
      <c r="A4309" s="436"/>
      <c r="C4309" s="436"/>
      <c r="D4309" s="436"/>
      <c r="E4309" s="436"/>
      <c r="F4309" s="436"/>
      <c r="H4309" s="467"/>
      <c r="I4309" s="467"/>
      <c r="J4309" s="469"/>
      <c r="AL4309" s="436"/>
      <c r="AM4309" s="436"/>
      <c r="AQ4309" s="436"/>
      <c r="AR4309" s="436"/>
      <c r="AS4309" s="436"/>
      <c r="AT4309" s="436"/>
      <c r="AU4309" s="436"/>
      <c r="AV4309" s="436"/>
      <c r="AW4309" s="436"/>
      <c r="AX4309" s="436"/>
      <c r="AY4309" s="436"/>
      <c r="AZ4309" s="475"/>
      <c r="BA4309" s="475"/>
      <c r="BF4309" s="1119"/>
      <c r="BG4309" s="1119"/>
      <c r="BH4309" s="1119"/>
    </row>
    <row r="4310" spans="1:60" ht="15.75" customHeight="1">
      <c r="A4310" s="436"/>
      <c r="C4310" s="436"/>
      <c r="D4310" s="436"/>
      <c r="E4310" s="436"/>
      <c r="F4310" s="436"/>
      <c r="H4310" s="467"/>
      <c r="I4310" s="467"/>
      <c r="J4310" s="469"/>
      <c r="AL4310" s="436"/>
      <c r="AM4310" s="436"/>
      <c r="AQ4310" s="436"/>
      <c r="AR4310" s="436"/>
      <c r="AS4310" s="436"/>
      <c r="AT4310" s="436"/>
      <c r="AU4310" s="436"/>
      <c r="AV4310" s="436"/>
      <c r="AW4310" s="436"/>
      <c r="AX4310" s="436"/>
      <c r="AY4310" s="436"/>
      <c r="AZ4310" s="475"/>
      <c r="BA4310" s="475"/>
      <c r="BF4310" s="1119"/>
      <c r="BG4310" s="1119"/>
      <c r="BH4310" s="1119"/>
    </row>
    <row r="4311" spans="1:60" ht="15.75" customHeight="1">
      <c r="A4311" s="436"/>
      <c r="C4311" s="436"/>
      <c r="D4311" s="436"/>
      <c r="E4311" s="436"/>
      <c r="F4311" s="436"/>
      <c r="H4311" s="467"/>
      <c r="I4311" s="467"/>
      <c r="J4311" s="469"/>
      <c r="AL4311" s="436"/>
      <c r="AM4311" s="436"/>
      <c r="AQ4311" s="436"/>
      <c r="AR4311" s="436"/>
      <c r="AS4311" s="436"/>
      <c r="AT4311" s="436"/>
      <c r="AU4311" s="436"/>
      <c r="AV4311" s="436"/>
      <c r="AW4311" s="436"/>
      <c r="AX4311" s="436"/>
      <c r="AY4311" s="436"/>
      <c r="AZ4311" s="475"/>
      <c r="BA4311" s="475"/>
      <c r="BF4311" s="1119"/>
      <c r="BG4311" s="1119"/>
      <c r="BH4311" s="1119"/>
    </row>
    <row r="4312" spans="1:60" ht="15.75" customHeight="1">
      <c r="A4312" s="436"/>
      <c r="C4312" s="436"/>
      <c r="D4312" s="436"/>
      <c r="E4312" s="436"/>
      <c r="F4312" s="436"/>
      <c r="H4312" s="467"/>
      <c r="I4312" s="467"/>
      <c r="J4312" s="469"/>
      <c r="AL4312" s="436"/>
      <c r="AM4312" s="436"/>
      <c r="AQ4312" s="436"/>
      <c r="AR4312" s="436"/>
      <c r="AS4312" s="436"/>
      <c r="AT4312" s="436"/>
      <c r="AU4312" s="436"/>
      <c r="AV4312" s="436"/>
      <c r="AW4312" s="436"/>
      <c r="AX4312" s="436"/>
      <c r="AY4312" s="436"/>
      <c r="AZ4312" s="475"/>
      <c r="BA4312" s="475"/>
      <c r="BF4312" s="1119"/>
      <c r="BG4312" s="1119"/>
      <c r="BH4312" s="1119"/>
    </row>
    <row r="4313" spans="1:60" ht="15.75" customHeight="1">
      <c r="A4313" s="436"/>
      <c r="C4313" s="436"/>
      <c r="D4313" s="436"/>
      <c r="E4313" s="436"/>
      <c r="F4313" s="436"/>
      <c r="H4313" s="467"/>
      <c r="I4313" s="467"/>
      <c r="J4313" s="469"/>
      <c r="AL4313" s="436"/>
      <c r="AM4313" s="436"/>
      <c r="AQ4313" s="436"/>
      <c r="AR4313" s="436"/>
      <c r="AS4313" s="436"/>
      <c r="AT4313" s="436"/>
      <c r="AU4313" s="436"/>
      <c r="AV4313" s="436"/>
      <c r="AW4313" s="436"/>
      <c r="AX4313" s="436"/>
      <c r="AY4313" s="436"/>
      <c r="AZ4313" s="475"/>
      <c r="BA4313" s="475"/>
      <c r="BF4313" s="1119"/>
      <c r="BG4313" s="1119"/>
      <c r="BH4313" s="1119"/>
    </row>
    <row r="4314" spans="1:60" ht="15.75" customHeight="1">
      <c r="A4314" s="436"/>
      <c r="C4314" s="436"/>
      <c r="D4314" s="436"/>
      <c r="E4314" s="436"/>
      <c r="F4314" s="436"/>
      <c r="H4314" s="467"/>
      <c r="I4314" s="467"/>
      <c r="J4314" s="469"/>
      <c r="AL4314" s="436"/>
      <c r="AM4314" s="436"/>
      <c r="AQ4314" s="436"/>
      <c r="AR4314" s="436"/>
      <c r="AS4314" s="436"/>
      <c r="AT4314" s="436"/>
      <c r="AU4314" s="436"/>
      <c r="AV4314" s="436"/>
      <c r="AW4314" s="436"/>
      <c r="AX4314" s="436"/>
      <c r="AY4314" s="436"/>
      <c r="AZ4314" s="475"/>
      <c r="BA4314" s="475"/>
      <c r="BF4314" s="1119"/>
      <c r="BG4314" s="1119"/>
      <c r="BH4314" s="1119"/>
    </row>
    <row r="4315" spans="1:60" ht="15.75" customHeight="1">
      <c r="A4315" s="436"/>
      <c r="C4315" s="436"/>
      <c r="D4315" s="436"/>
      <c r="E4315" s="436"/>
      <c r="F4315" s="436"/>
      <c r="H4315" s="467"/>
      <c r="I4315" s="467"/>
      <c r="J4315" s="469"/>
      <c r="AL4315" s="436"/>
      <c r="AM4315" s="436"/>
      <c r="AQ4315" s="436"/>
      <c r="AR4315" s="436"/>
      <c r="AS4315" s="436"/>
      <c r="AT4315" s="436"/>
      <c r="AU4315" s="436"/>
      <c r="AV4315" s="436"/>
      <c r="AW4315" s="436"/>
      <c r="AX4315" s="436"/>
      <c r="AY4315" s="436"/>
      <c r="AZ4315" s="475"/>
      <c r="BA4315" s="475"/>
      <c r="BF4315" s="1119"/>
      <c r="BG4315" s="1119"/>
      <c r="BH4315" s="1119"/>
    </row>
    <row r="4316" spans="1:60" ht="15.75" customHeight="1">
      <c r="A4316" s="436"/>
      <c r="C4316" s="436"/>
      <c r="D4316" s="436"/>
      <c r="E4316" s="436"/>
      <c r="F4316" s="436"/>
      <c r="H4316" s="467"/>
      <c r="I4316" s="467"/>
      <c r="J4316" s="469"/>
      <c r="AL4316" s="436"/>
      <c r="AM4316" s="436"/>
      <c r="AQ4316" s="436"/>
      <c r="AR4316" s="436"/>
      <c r="AS4316" s="436"/>
      <c r="AT4316" s="436"/>
      <c r="AU4316" s="436"/>
      <c r="AV4316" s="436"/>
      <c r="AW4316" s="436"/>
      <c r="AX4316" s="436"/>
      <c r="AY4316" s="436"/>
      <c r="AZ4316" s="475"/>
      <c r="BA4316" s="475"/>
      <c r="BF4316" s="1119"/>
      <c r="BG4316" s="1119"/>
      <c r="BH4316" s="1119"/>
    </row>
    <row r="4317" spans="1:60" ht="15.75" customHeight="1">
      <c r="A4317" s="436"/>
      <c r="C4317" s="436"/>
      <c r="D4317" s="436"/>
      <c r="E4317" s="436"/>
      <c r="F4317" s="436"/>
      <c r="H4317" s="467"/>
      <c r="I4317" s="467"/>
      <c r="J4317" s="469"/>
      <c r="AL4317" s="436"/>
      <c r="AM4317" s="436"/>
      <c r="AQ4317" s="436"/>
      <c r="AR4317" s="436"/>
      <c r="AS4317" s="436"/>
      <c r="AT4317" s="436"/>
      <c r="AU4317" s="436"/>
      <c r="AV4317" s="436"/>
      <c r="AW4317" s="436"/>
      <c r="AX4317" s="436"/>
      <c r="AY4317" s="436"/>
      <c r="AZ4317" s="475"/>
      <c r="BA4317" s="475"/>
      <c r="BF4317" s="1119"/>
      <c r="BG4317" s="1119"/>
      <c r="BH4317" s="1119"/>
    </row>
    <row r="4318" spans="1:60" ht="15.75" customHeight="1">
      <c r="A4318" s="436"/>
      <c r="C4318" s="436"/>
      <c r="D4318" s="436"/>
      <c r="E4318" s="436"/>
      <c r="F4318" s="436"/>
      <c r="H4318" s="467"/>
      <c r="I4318" s="467"/>
      <c r="J4318" s="469"/>
      <c r="AL4318" s="436"/>
      <c r="AM4318" s="436"/>
      <c r="AQ4318" s="436"/>
      <c r="AR4318" s="436"/>
      <c r="AS4318" s="436"/>
      <c r="AT4318" s="436"/>
      <c r="AU4318" s="436"/>
      <c r="AV4318" s="436"/>
      <c r="AW4318" s="436"/>
      <c r="AX4318" s="436"/>
      <c r="AY4318" s="436"/>
      <c r="AZ4318" s="475"/>
      <c r="BA4318" s="475"/>
      <c r="BF4318" s="1119"/>
      <c r="BG4318" s="1119"/>
      <c r="BH4318" s="1119"/>
    </row>
    <row r="4319" spans="1:60" ht="15.75" customHeight="1">
      <c r="A4319" s="436"/>
      <c r="C4319" s="436"/>
      <c r="D4319" s="436"/>
      <c r="E4319" s="436"/>
      <c r="F4319" s="436"/>
      <c r="H4319" s="467"/>
      <c r="I4319" s="467"/>
      <c r="J4319" s="469"/>
      <c r="AL4319" s="436"/>
      <c r="AM4319" s="436"/>
      <c r="AQ4319" s="436"/>
      <c r="AR4319" s="436"/>
      <c r="AS4319" s="436"/>
      <c r="AT4319" s="436"/>
      <c r="AU4319" s="436"/>
      <c r="AV4319" s="436"/>
      <c r="AW4319" s="436"/>
      <c r="AX4319" s="436"/>
      <c r="AY4319" s="436"/>
      <c r="AZ4319" s="475"/>
      <c r="BA4319" s="475"/>
      <c r="BF4319" s="1119"/>
      <c r="BG4319" s="1119"/>
      <c r="BH4319" s="1119"/>
    </row>
    <row r="4320" spans="1:60" ht="15.75" customHeight="1">
      <c r="A4320" s="436"/>
      <c r="C4320" s="436"/>
      <c r="D4320" s="436"/>
      <c r="E4320" s="436"/>
      <c r="F4320" s="436"/>
      <c r="H4320" s="467"/>
      <c r="I4320" s="467"/>
      <c r="J4320" s="469"/>
      <c r="AL4320" s="436"/>
      <c r="AM4320" s="436"/>
      <c r="AQ4320" s="436"/>
      <c r="AR4320" s="436"/>
      <c r="AS4320" s="436"/>
      <c r="AT4320" s="436"/>
      <c r="AU4320" s="436"/>
      <c r="AV4320" s="436"/>
      <c r="AW4320" s="436"/>
      <c r="AX4320" s="436"/>
      <c r="AY4320" s="436"/>
      <c r="AZ4320" s="475"/>
      <c r="BA4320" s="475"/>
      <c r="BF4320" s="1119"/>
      <c r="BG4320" s="1119"/>
      <c r="BH4320" s="1119"/>
    </row>
    <row r="4321" spans="1:60" ht="15.75" customHeight="1">
      <c r="A4321" s="436"/>
      <c r="C4321" s="436"/>
      <c r="D4321" s="436"/>
      <c r="E4321" s="436"/>
      <c r="F4321" s="436"/>
      <c r="H4321" s="467"/>
      <c r="I4321" s="467"/>
      <c r="J4321" s="469"/>
      <c r="AL4321" s="436"/>
      <c r="AM4321" s="436"/>
      <c r="AQ4321" s="436"/>
      <c r="AR4321" s="436"/>
      <c r="AS4321" s="436"/>
      <c r="AT4321" s="436"/>
      <c r="AU4321" s="436"/>
      <c r="AV4321" s="436"/>
      <c r="AW4321" s="436"/>
      <c r="AX4321" s="436"/>
      <c r="AY4321" s="436"/>
      <c r="AZ4321" s="475"/>
      <c r="BA4321" s="475"/>
      <c r="BF4321" s="1119"/>
      <c r="BG4321" s="1119"/>
      <c r="BH4321" s="1119"/>
    </row>
    <row r="4322" spans="1:60" ht="15.75" customHeight="1">
      <c r="A4322" s="436"/>
      <c r="C4322" s="436"/>
      <c r="D4322" s="436"/>
      <c r="E4322" s="436"/>
      <c r="F4322" s="436"/>
      <c r="H4322" s="467"/>
      <c r="I4322" s="467"/>
      <c r="J4322" s="469"/>
      <c r="AL4322" s="436"/>
      <c r="AM4322" s="436"/>
      <c r="AQ4322" s="436"/>
      <c r="AR4322" s="436"/>
      <c r="AS4322" s="436"/>
      <c r="AT4322" s="436"/>
      <c r="AU4322" s="436"/>
      <c r="AV4322" s="436"/>
      <c r="AW4322" s="436"/>
      <c r="AX4322" s="436"/>
      <c r="AY4322" s="436"/>
      <c r="AZ4322" s="475"/>
      <c r="BA4322" s="475"/>
      <c r="BF4322" s="1119"/>
      <c r="BG4322" s="1119"/>
      <c r="BH4322" s="1119"/>
    </row>
    <row r="4323" spans="1:60" ht="15.75" customHeight="1">
      <c r="A4323" s="436"/>
      <c r="C4323" s="436"/>
      <c r="D4323" s="436"/>
      <c r="E4323" s="436"/>
      <c r="F4323" s="436"/>
      <c r="H4323" s="467"/>
      <c r="I4323" s="467"/>
      <c r="J4323" s="469"/>
      <c r="AL4323" s="436"/>
      <c r="AM4323" s="436"/>
      <c r="AQ4323" s="436"/>
      <c r="AR4323" s="436"/>
      <c r="AS4323" s="436"/>
      <c r="AT4323" s="436"/>
      <c r="AU4323" s="436"/>
      <c r="AV4323" s="436"/>
      <c r="AW4323" s="436"/>
      <c r="AX4323" s="436"/>
      <c r="AY4323" s="436"/>
      <c r="AZ4323" s="475"/>
      <c r="BA4323" s="475"/>
      <c r="BF4323" s="1119"/>
      <c r="BG4323" s="1119"/>
      <c r="BH4323" s="1119"/>
    </row>
    <row r="4324" spans="1:60" ht="15.75" customHeight="1">
      <c r="A4324" s="436"/>
      <c r="C4324" s="436"/>
      <c r="D4324" s="436"/>
      <c r="E4324" s="436"/>
      <c r="F4324" s="436"/>
      <c r="H4324" s="467"/>
      <c r="I4324" s="467"/>
      <c r="J4324" s="469"/>
      <c r="AL4324" s="436"/>
      <c r="AM4324" s="436"/>
      <c r="AQ4324" s="436"/>
      <c r="AR4324" s="436"/>
      <c r="AS4324" s="436"/>
      <c r="AT4324" s="436"/>
      <c r="AU4324" s="436"/>
      <c r="AV4324" s="436"/>
      <c r="AW4324" s="436"/>
      <c r="AX4324" s="436"/>
      <c r="AY4324" s="436"/>
      <c r="AZ4324" s="475"/>
      <c r="BA4324" s="475"/>
      <c r="BF4324" s="1119"/>
      <c r="BG4324" s="1119"/>
      <c r="BH4324" s="1119"/>
    </row>
    <row r="4325" spans="1:60" ht="15.75" customHeight="1">
      <c r="A4325" s="436"/>
      <c r="C4325" s="436"/>
      <c r="D4325" s="436"/>
      <c r="E4325" s="436"/>
      <c r="F4325" s="436"/>
      <c r="H4325" s="467"/>
      <c r="I4325" s="467"/>
      <c r="J4325" s="469"/>
      <c r="AL4325" s="436"/>
      <c r="AM4325" s="436"/>
      <c r="AQ4325" s="436"/>
      <c r="AR4325" s="436"/>
      <c r="AS4325" s="436"/>
      <c r="AT4325" s="436"/>
      <c r="AU4325" s="436"/>
      <c r="AV4325" s="436"/>
      <c r="AW4325" s="436"/>
      <c r="AX4325" s="436"/>
      <c r="AY4325" s="436"/>
      <c r="AZ4325" s="475"/>
      <c r="BA4325" s="475"/>
      <c r="BF4325" s="1119"/>
      <c r="BG4325" s="1119"/>
      <c r="BH4325" s="1119"/>
    </row>
    <row r="4326" spans="1:60" ht="15.75" customHeight="1">
      <c r="A4326" s="436"/>
      <c r="C4326" s="436"/>
      <c r="D4326" s="436"/>
      <c r="E4326" s="436"/>
      <c r="F4326" s="436"/>
      <c r="H4326" s="467"/>
      <c r="I4326" s="467"/>
      <c r="J4326" s="469"/>
      <c r="AL4326" s="436"/>
      <c r="AM4326" s="436"/>
      <c r="AQ4326" s="436"/>
      <c r="AR4326" s="436"/>
      <c r="AS4326" s="436"/>
      <c r="AT4326" s="436"/>
      <c r="AU4326" s="436"/>
      <c r="AV4326" s="436"/>
      <c r="AW4326" s="436"/>
      <c r="AX4326" s="436"/>
      <c r="AY4326" s="436"/>
      <c r="AZ4326" s="475"/>
      <c r="BA4326" s="475"/>
      <c r="BF4326" s="1119"/>
      <c r="BG4326" s="1119"/>
      <c r="BH4326" s="1119"/>
    </row>
    <row r="4327" spans="1:60" ht="15.75" customHeight="1">
      <c r="A4327" s="436"/>
      <c r="C4327" s="436"/>
      <c r="D4327" s="436"/>
      <c r="E4327" s="436"/>
      <c r="F4327" s="436"/>
      <c r="H4327" s="467"/>
      <c r="I4327" s="467"/>
      <c r="J4327" s="469"/>
      <c r="AL4327" s="436"/>
      <c r="AM4327" s="436"/>
      <c r="AQ4327" s="436"/>
      <c r="AR4327" s="436"/>
      <c r="AS4327" s="436"/>
      <c r="AT4327" s="436"/>
      <c r="AU4327" s="436"/>
      <c r="AV4327" s="436"/>
      <c r="AW4327" s="436"/>
      <c r="AX4327" s="436"/>
      <c r="AY4327" s="436"/>
      <c r="AZ4327" s="475"/>
      <c r="BA4327" s="475"/>
      <c r="BF4327" s="1119"/>
      <c r="BG4327" s="1119"/>
      <c r="BH4327" s="1119"/>
    </row>
    <row r="4328" spans="1:60" ht="15.75" customHeight="1">
      <c r="A4328" s="436"/>
      <c r="C4328" s="436"/>
      <c r="D4328" s="436"/>
      <c r="E4328" s="436"/>
      <c r="F4328" s="436"/>
      <c r="H4328" s="467"/>
      <c r="I4328" s="467"/>
      <c r="J4328" s="469"/>
      <c r="AL4328" s="436"/>
      <c r="AM4328" s="436"/>
      <c r="AQ4328" s="436"/>
      <c r="AR4328" s="436"/>
      <c r="AS4328" s="436"/>
      <c r="AT4328" s="436"/>
      <c r="AU4328" s="436"/>
      <c r="AV4328" s="436"/>
      <c r="AW4328" s="436"/>
      <c r="AX4328" s="436"/>
      <c r="AY4328" s="436"/>
      <c r="AZ4328" s="475"/>
      <c r="BA4328" s="475"/>
      <c r="BF4328" s="1119"/>
      <c r="BG4328" s="1119"/>
      <c r="BH4328" s="1119"/>
    </row>
    <row r="4329" spans="1:60" ht="15.75" customHeight="1">
      <c r="A4329" s="436"/>
      <c r="C4329" s="436"/>
      <c r="D4329" s="436"/>
      <c r="E4329" s="436"/>
      <c r="F4329" s="436"/>
      <c r="H4329" s="467"/>
      <c r="I4329" s="467"/>
      <c r="J4329" s="469"/>
      <c r="AL4329" s="436"/>
      <c r="AM4329" s="436"/>
      <c r="AQ4329" s="436"/>
      <c r="AR4329" s="436"/>
      <c r="AS4329" s="436"/>
      <c r="AT4329" s="436"/>
      <c r="AU4329" s="436"/>
      <c r="AV4329" s="436"/>
      <c r="AW4329" s="436"/>
      <c r="AX4329" s="436"/>
      <c r="AY4329" s="436"/>
      <c r="AZ4329" s="475"/>
      <c r="BA4329" s="475"/>
      <c r="BF4329" s="1119"/>
      <c r="BG4329" s="1119"/>
      <c r="BH4329" s="1119"/>
    </row>
    <row r="4330" spans="1:60" ht="15.75" customHeight="1">
      <c r="A4330" s="436"/>
      <c r="C4330" s="436"/>
      <c r="D4330" s="436"/>
      <c r="E4330" s="436"/>
      <c r="F4330" s="436"/>
      <c r="H4330" s="467"/>
      <c r="I4330" s="467"/>
      <c r="J4330" s="469"/>
      <c r="AL4330" s="436"/>
      <c r="AM4330" s="436"/>
      <c r="AQ4330" s="436"/>
      <c r="AR4330" s="436"/>
      <c r="AS4330" s="436"/>
      <c r="AT4330" s="436"/>
      <c r="AU4330" s="436"/>
      <c r="AV4330" s="436"/>
      <c r="AW4330" s="436"/>
      <c r="AX4330" s="436"/>
      <c r="AY4330" s="436"/>
      <c r="AZ4330" s="475"/>
      <c r="BA4330" s="475"/>
      <c r="BF4330" s="1119"/>
      <c r="BG4330" s="1119"/>
      <c r="BH4330" s="1119"/>
    </row>
    <row r="4331" spans="1:60" ht="15.75" customHeight="1">
      <c r="A4331" s="436"/>
      <c r="C4331" s="436"/>
      <c r="D4331" s="436"/>
      <c r="E4331" s="436"/>
      <c r="F4331" s="436"/>
      <c r="H4331" s="467"/>
      <c r="I4331" s="467"/>
      <c r="J4331" s="469"/>
      <c r="AL4331" s="436"/>
      <c r="AM4331" s="436"/>
      <c r="AQ4331" s="436"/>
      <c r="AR4331" s="436"/>
      <c r="AS4331" s="436"/>
      <c r="AT4331" s="436"/>
      <c r="AU4331" s="436"/>
      <c r="AV4331" s="436"/>
      <c r="AW4331" s="436"/>
      <c r="AX4331" s="436"/>
      <c r="AY4331" s="436"/>
      <c r="AZ4331" s="475"/>
      <c r="BA4331" s="475"/>
      <c r="BF4331" s="1119"/>
      <c r="BG4331" s="1119"/>
      <c r="BH4331" s="1119"/>
    </row>
    <row r="4332" spans="1:60" ht="15.75" customHeight="1">
      <c r="A4332" s="436"/>
      <c r="C4332" s="436"/>
      <c r="D4332" s="436"/>
      <c r="E4332" s="436"/>
      <c r="F4332" s="436"/>
      <c r="H4332" s="467"/>
      <c r="I4332" s="467"/>
      <c r="J4332" s="469"/>
      <c r="AL4332" s="436"/>
      <c r="AM4332" s="436"/>
      <c r="AQ4332" s="436"/>
      <c r="AR4332" s="436"/>
      <c r="AS4332" s="436"/>
      <c r="AT4332" s="436"/>
      <c r="AU4332" s="436"/>
      <c r="AV4332" s="436"/>
      <c r="AW4332" s="436"/>
      <c r="AX4332" s="436"/>
      <c r="AY4332" s="436"/>
      <c r="AZ4332" s="475"/>
      <c r="BA4332" s="475"/>
      <c r="BF4332" s="1119"/>
      <c r="BG4332" s="1119"/>
      <c r="BH4332" s="1119"/>
    </row>
    <row r="4333" spans="1:60" ht="15.75" customHeight="1">
      <c r="A4333" s="436"/>
      <c r="C4333" s="436"/>
      <c r="D4333" s="436"/>
      <c r="E4333" s="436"/>
      <c r="F4333" s="436"/>
      <c r="H4333" s="467"/>
      <c r="I4333" s="467"/>
      <c r="J4333" s="469"/>
      <c r="AL4333" s="436"/>
      <c r="AM4333" s="436"/>
      <c r="AQ4333" s="436"/>
      <c r="AR4333" s="436"/>
      <c r="AS4333" s="436"/>
      <c r="AT4333" s="436"/>
      <c r="AU4333" s="436"/>
      <c r="AV4333" s="436"/>
      <c r="AW4333" s="436"/>
      <c r="AX4333" s="436"/>
      <c r="AY4333" s="436"/>
      <c r="AZ4333" s="475"/>
      <c r="BA4333" s="475"/>
      <c r="BF4333" s="1119"/>
      <c r="BG4333" s="1119"/>
      <c r="BH4333" s="1119"/>
    </row>
    <row r="4334" spans="1:60" ht="15.75" customHeight="1">
      <c r="A4334" s="436"/>
      <c r="C4334" s="436"/>
      <c r="D4334" s="436"/>
      <c r="E4334" s="436"/>
      <c r="F4334" s="436"/>
      <c r="H4334" s="467"/>
      <c r="I4334" s="467"/>
      <c r="J4334" s="469"/>
      <c r="AL4334" s="436"/>
      <c r="AM4334" s="436"/>
      <c r="AQ4334" s="436"/>
      <c r="AR4334" s="436"/>
      <c r="AS4334" s="436"/>
      <c r="AT4334" s="436"/>
      <c r="AU4334" s="436"/>
      <c r="AV4334" s="436"/>
      <c r="AW4334" s="436"/>
      <c r="AX4334" s="436"/>
      <c r="AY4334" s="436"/>
      <c r="AZ4334" s="475"/>
      <c r="BA4334" s="475"/>
      <c r="BF4334" s="1119"/>
      <c r="BG4334" s="1119"/>
      <c r="BH4334" s="1119"/>
    </row>
    <row r="4335" spans="1:60" ht="15.75" customHeight="1">
      <c r="A4335" s="436"/>
      <c r="C4335" s="436"/>
      <c r="D4335" s="436"/>
      <c r="E4335" s="436"/>
      <c r="F4335" s="436"/>
      <c r="H4335" s="467"/>
      <c r="I4335" s="467"/>
      <c r="J4335" s="469"/>
      <c r="AL4335" s="436"/>
      <c r="AM4335" s="436"/>
      <c r="AQ4335" s="436"/>
      <c r="AR4335" s="436"/>
      <c r="AS4335" s="436"/>
      <c r="AT4335" s="436"/>
      <c r="AU4335" s="436"/>
      <c r="AV4335" s="436"/>
      <c r="AW4335" s="436"/>
      <c r="AX4335" s="436"/>
      <c r="AY4335" s="436"/>
      <c r="AZ4335" s="475"/>
      <c r="BA4335" s="475"/>
      <c r="BF4335" s="1119"/>
      <c r="BG4335" s="1119"/>
      <c r="BH4335" s="1119"/>
    </row>
    <row r="4336" spans="1:60" ht="15.75" customHeight="1">
      <c r="A4336" s="436"/>
      <c r="C4336" s="436"/>
      <c r="D4336" s="436"/>
      <c r="E4336" s="436"/>
      <c r="F4336" s="436"/>
      <c r="H4336" s="467"/>
      <c r="I4336" s="467"/>
      <c r="J4336" s="469"/>
      <c r="AL4336" s="436"/>
      <c r="AM4336" s="436"/>
      <c r="AQ4336" s="436"/>
      <c r="AR4336" s="436"/>
      <c r="AS4336" s="436"/>
      <c r="AT4336" s="436"/>
      <c r="AU4336" s="436"/>
      <c r="AV4336" s="436"/>
      <c r="AW4336" s="436"/>
      <c r="AX4336" s="436"/>
      <c r="AY4336" s="436"/>
      <c r="AZ4336" s="475"/>
      <c r="BA4336" s="475"/>
      <c r="BF4336" s="1119"/>
      <c r="BG4336" s="1119"/>
      <c r="BH4336" s="1119"/>
    </row>
    <row r="4337" spans="1:60" ht="15.75" customHeight="1">
      <c r="A4337" s="436"/>
      <c r="C4337" s="436"/>
      <c r="D4337" s="436"/>
      <c r="E4337" s="436"/>
      <c r="F4337" s="436"/>
      <c r="H4337" s="467"/>
      <c r="I4337" s="467"/>
      <c r="J4337" s="469"/>
      <c r="AL4337" s="436"/>
      <c r="AM4337" s="436"/>
      <c r="AQ4337" s="436"/>
      <c r="AR4337" s="436"/>
      <c r="AS4337" s="436"/>
      <c r="AT4337" s="436"/>
      <c r="AU4337" s="436"/>
      <c r="AV4337" s="436"/>
      <c r="AW4337" s="436"/>
      <c r="AX4337" s="436"/>
      <c r="AY4337" s="436"/>
      <c r="AZ4337" s="475"/>
      <c r="BA4337" s="475"/>
      <c r="BF4337" s="1119"/>
      <c r="BG4337" s="1119"/>
      <c r="BH4337" s="1119"/>
    </row>
    <row r="4338" spans="1:60" ht="15.75" customHeight="1">
      <c r="A4338" s="436"/>
      <c r="C4338" s="436"/>
      <c r="D4338" s="436"/>
      <c r="E4338" s="436"/>
      <c r="F4338" s="436"/>
      <c r="H4338" s="467"/>
      <c r="I4338" s="467"/>
      <c r="J4338" s="469"/>
      <c r="AL4338" s="436"/>
      <c r="AM4338" s="436"/>
      <c r="AQ4338" s="436"/>
      <c r="AR4338" s="436"/>
      <c r="AS4338" s="436"/>
      <c r="AT4338" s="436"/>
      <c r="AU4338" s="436"/>
      <c r="AV4338" s="436"/>
      <c r="AW4338" s="436"/>
      <c r="AX4338" s="436"/>
      <c r="AY4338" s="436"/>
      <c r="AZ4338" s="475"/>
      <c r="BA4338" s="475"/>
      <c r="BF4338" s="1119"/>
      <c r="BG4338" s="1119"/>
      <c r="BH4338" s="1119"/>
    </row>
    <row r="4339" spans="1:60" ht="15.75" customHeight="1">
      <c r="A4339" s="436"/>
      <c r="C4339" s="436"/>
      <c r="D4339" s="436"/>
      <c r="E4339" s="436"/>
      <c r="F4339" s="436"/>
      <c r="H4339" s="467"/>
      <c r="I4339" s="467"/>
      <c r="J4339" s="469"/>
      <c r="AL4339" s="436"/>
      <c r="AM4339" s="436"/>
      <c r="AQ4339" s="436"/>
      <c r="AR4339" s="436"/>
      <c r="AS4339" s="436"/>
      <c r="AT4339" s="436"/>
      <c r="AU4339" s="436"/>
      <c r="AV4339" s="436"/>
      <c r="AW4339" s="436"/>
      <c r="AX4339" s="436"/>
      <c r="AY4339" s="436"/>
      <c r="AZ4339" s="475"/>
      <c r="BA4339" s="475"/>
      <c r="BF4339" s="1119"/>
      <c r="BG4339" s="1119"/>
      <c r="BH4339" s="1119"/>
    </row>
    <row r="4340" spans="1:60" ht="15.75" customHeight="1">
      <c r="A4340" s="436"/>
      <c r="C4340" s="436"/>
      <c r="D4340" s="436"/>
      <c r="E4340" s="436"/>
      <c r="F4340" s="436"/>
      <c r="H4340" s="467"/>
      <c r="I4340" s="467"/>
      <c r="J4340" s="469"/>
      <c r="AL4340" s="436"/>
      <c r="AM4340" s="436"/>
      <c r="AQ4340" s="436"/>
      <c r="AR4340" s="436"/>
      <c r="AS4340" s="436"/>
      <c r="AT4340" s="436"/>
      <c r="AU4340" s="436"/>
      <c r="AV4340" s="436"/>
      <c r="AW4340" s="436"/>
      <c r="AX4340" s="436"/>
      <c r="AY4340" s="436"/>
      <c r="AZ4340" s="475"/>
      <c r="BA4340" s="475"/>
      <c r="BF4340" s="1119"/>
      <c r="BG4340" s="1119"/>
      <c r="BH4340" s="1119"/>
    </row>
    <row r="4341" spans="1:60" ht="15.75" customHeight="1">
      <c r="A4341" s="436"/>
      <c r="C4341" s="436"/>
      <c r="D4341" s="436"/>
      <c r="E4341" s="436"/>
      <c r="F4341" s="436"/>
      <c r="H4341" s="467"/>
      <c r="I4341" s="467"/>
      <c r="J4341" s="469"/>
      <c r="AL4341" s="436"/>
      <c r="AM4341" s="436"/>
      <c r="AQ4341" s="436"/>
      <c r="AR4341" s="436"/>
      <c r="AS4341" s="436"/>
      <c r="AT4341" s="436"/>
      <c r="AU4341" s="436"/>
      <c r="AV4341" s="436"/>
      <c r="AW4341" s="436"/>
      <c r="AX4341" s="436"/>
      <c r="AY4341" s="436"/>
      <c r="AZ4341" s="475"/>
      <c r="BA4341" s="475"/>
      <c r="BF4341" s="1119"/>
      <c r="BG4341" s="1119"/>
      <c r="BH4341" s="1119"/>
    </row>
    <row r="4342" spans="1:60" ht="15.75" customHeight="1">
      <c r="A4342" s="436"/>
      <c r="C4342" s="436"/>
      <c r="D4342" s="436"/>
      <c r="E4342" s="436"/>
      <c r="F4342" s="436"/>
      <c r="H4342" s="467"/>
      <c r="I4342" s="467"/>
      <c r="J4342" s="469"/>
      <c r="AL4342" s="436"/>
      <c r="AM4342" s="436"/>
      <c r="AQ4342" s="436"/>
      <c r="AR4342" s="436"/>
      <c r="AS4342" s="436"/>
      <c r="AT4342" s="436"/>
      <c r="AU4342" s="436"/>
      <c r="AV4342" s="436"/>
      <c r="AW4342" s="436"/>
      <c r="AX4342" s="436"/>
      <c r="AY4342" s="436"/>
      <c r="AZ4342" s="475"/>
      <c r="BA4342" s="475"/>
      <c r="BF4342" s="1119"/>
      <c r="BG4342" s="1119"/>
      <c r="BH4342" s="1119"/>
    </row>
    <row r="4343" spans="1:60" ht="15.75" customHeight="1">
      <c r="A4343" s="436"/>
      <c r="C4343" s="436"/>
      <c r="D4343" s="436"/>
      <c r="E4343" s="436"/>
      <c r="F4343" s="436"/>
      <c r="H4343" s="467"/>
      <c r="I4343" s="467"/>
      <c r="J4343" s="469"/>
      <c r="AL4343" s="436"/>
      <c r="AM4343" s="436"/>
      <c r="AQ4343" s="436"/>
      <c r="AR4343" s="436"/>
      <c r="AS4343" s="436"/>
      <c r="AT4343" s="436"/>
      <c r="AU4343" s="436"/>
      <c r="AV4343" s="436"/>
      <c r="AW4343" s="436"/>
      <c r="AX4343" s="436"/>
      <c r="AY4343" s="436"/>
      <c r="AZ4343" s="475"/>
      <c r="BA4343" s="475"/>
      <c r="BF4343" s="1119"/>
      <c r="BG4343" s="1119"/>
      <c r="BH4343" s="1119"/>
    </row>
    <row r="4344" spans="1:60" ht="15.75" customHeight="1">
      <c r="A4344" s="436"/>
      <c r="C4344" s="436"/>
      <c r="D4344" s="436"/>
      <c r="E4344" s="436"/>
      <c r="F4344" s="436"/>
      <c r="H4344" s="467"/>
      <c r="I4344" s="467"/>
      <c r="J4344" s="469"/>
      <c r="AL4344" s="436"/>
      <c r="AM4344" s="436"/>
      <c r="AQ4344" s="436"/>
      <c r="AR4344" s="436"/>
      <c r="AS4344" s="436"/>
      <c r="AT4344" s="436"/>
      <c r="AU4344" s="436"/>
      <c r="AV4344" s="436"/>
      <c r="AW4344" s="436"/>
      <c r="AX4344" s="436"/>
      <c r="AY4344" s="436"/>
      <c r="AZ4344" s="475"/>
      <c r="BA4344" s="475"/>
      <c r="BF4344" s="1119"/>
      <c r="BG4344" s="1119"/>
      <c r="BH4344" s="1119"/>
    </row>
    <row r="4345" spans="1:60" ht="15.75" customHeight="1">
      <c r="A4345" s="436"/>
      <c r="C4345" s="436"/>
      <c r="D4345" s="436"/>
      <c r="E4345" s="436"/>
      <c r="F4345" s="436"/>
      <c r="H4345" s="467"/>
      <c r="I4345" s="467"/>
      <c r="J4345" s="469"/>
      <c r="AL4345" s="436"/>
      <c r="AM4345" s="436"/>
      <c r="AQ4345" s="436"/>
      <c r="AR4345" s="436"/>
      <c r="AS4345" s="436"/>
      <c r="AT4345" s="436"/>
      <c r="AU4345" s="436"/>
      <c r="AV4345" s="436"/>
      <c r="AW4345" s="436"/>
      <c r="AX4345" s="436"/>
      <c r="AY4345" s="436"/>
      <c r="AZ4345" s="475"/>
      <c r="BA4345" s="475"/>
      <c r="BF4345" s="1119"/>
      <c r="BG4345" s="1119"/>
      <c r="BH4345" s="1119"/>
    </row>
    <row r="4346" spans="1:60" ht="15.75" customHeight="1">
      <c r="A4346" s="436"/>
      <c r="C4346" s="436"/>
      <c r="D4346" s="436"/>
      <c r="E4346" s="436"/>
      <c r="F4346" s="436"/>
      <c r="H4346" s="467"/>
      <c r="I4346" s="467"/>
      <c r="J4346" s="469"/>
      <c r="AL4346" s="436"/>
      <c r="AM4346" s="436"/>
      <c r="AQ4346" s="436"/>
      <c r="AR4346" s="436"/>
      <c r="AS4346" s="436"/>
      <c r="AT4346" s="436"/>
      <c r="AU4346" s="436"/>
      <c r="AV4346" s="436"/>
      <c r="AW4346" s="436"/>
      <c r="AX4346" s="436"/>
      <c r="AY4346" s="436"/>
      <c r="AZ4346" s="475"/>
      <c r="BA4346" s="475"/>
      <c r="BF4346" s="1119"/>
      <c r="BG4346" s="1119"/>
      <c r="BH4346" s="1119"/>
    </row>
    <row r="4347" spans="1:60" ht="15.75" customHeight="1">
      <c r="A4347" s="436"/>
      <c r="C4347" s="436"/>
      <c r="D4347" s="436"/>
      <c r="E4347" s="436"/>
      <c r="F4347" s="436"/>
      <c r="H4347" s="467"/>
      <c r="I4347" s="467"/>
      <c r="J4347" s="469"/>
      <c r="AL4347" s="436"/>
      <c r="AM4347" s="436"/>
      <c r="AQ4347" s="436"/>
      <c r="AR4347" s="436"/>
      <c r="AS4347" s="436"/>
      <c r="AT4347" s="436"/>
      <c r="AU4347" s="436"/>
      <c r="AV4347" s="436"/>
      <c r="AW4347" s="436"/>
      <c r="AX4347" s="436"/>
      <c r="AY4347" s="436"/>
      <c r="AZ4347" s="475"/>
      <c r="BA4347" s="475"/>
      <c r="BF4347" s="1119"/>
      <c r="BG4347" s="1119"/>
      <c r="BH4347" s="1119"/>
    </row>
    <row r="4348" spans="1:60" ht="15.75" customHeight="1">
      <c r="A4348" s="436"/>
      <c r="C4348" s="436"/>
      <c r="D4348" s="436"/>
      <c r="E4348" s="436"/>
      <c r="F4348" s="436"/>
      <c r="H4348" s="467"/>
      <c r="I4348" s="467"/>
      <c r="J4348" s="469"/>
      <c r="AL4348" s="436"/>
      <c r="AM4348" s="436"/>
      <c r="AQ4348" s="436"/>
      <c r="AR4348" s="436"/>
      <c r="AS4348" s="436"/>
      <c r="AT4348" s="436"/>
      <c r="AU4348" s="436"/>
      <c r="AV4348" s="436"/>
      <c r="AW4348" s="436"/>
      <c r="AX4348" s="436"/>
      <c r="AY4348" s="436"/>
      <c r="AZ4348" s="475"/>
      <c r="BA4348" s="475"/>
      <c r="BF4348" s="1119"/>
      <c r="BG4348" s="1119"/>
      <c r="BH4348" s="1119"/>
    </row>
    <row r="4349" spans="1:60" ht="15.75" customHeight="1">
      <c r="A4349" s="436"/>
      <c r="C4349" s="436"/>
      <c r="D4349" s="436"/>
      <c r="E4349" s="436"/>
      <c r="F4349" s="436"/>
      <c r="H4349" s="467"/>
      <c r="I4349" s="467"/>
      <c r="J4349" s="469"/>
      <c r="AL4349" s="436"/>
      <c r="AM4349" s="436"/>
      <c r="AQ4349" s="436"/>
      <c r="AR4349" s="436"/>
      <c r="AS4349" s="436"/>
      <c r="AT4349" s="436"/>
      <c r="AU4349" s="436"/>
      <c r="AV4349" s="436"/>
      <c r="AW4349" s="436"/>
      <c r="AX4349" s="436"/>
      <c r="AY4349" s="436"/>
      <c r="AZ4349" s="475"/>
      <c r="BA4349" s="475"/>
      <c r="BF4349" s="1119"/>
      <c r="BG4349" s="1119"/>
      <c r="BH4349" s="1119"/>
    </row>
    <row r="4350" spans="1:60" ht="15.75" customHeight="1">
      <c r="A4350" s="436"/>
      <c r="C4350" s="436"/>
      <c r="D4350" s="436"/>
      <c r="E4350" s="436"/>
      <c r="F4350" s="436"/>
      <c r="H4350" s="467"/>
      <c r="I4350" s="467"/>
      <c r="J4350" s="469"/>
      <c r="AL4350" s="436"/>
      <c r="AM4350" s="436"/>
      <c r="AQ4350" s="436"/>
      <c r="AR4350" s="436"/>
      <c r="AS4350" s="436"/>
      <c r="AT4350" s="436"/>
      <c r="AU4350" s="436"/>
      <c r="AV4350" s="436"/>
      <c r="AW4350" s="436"/>
      <c r="AX4350" s="436"/>
      <c r="AY4350" s="436"/>
      <c r="AZ4350" s="475"/>
      <c r="BA4350" s="475"/>
      <c r="BF4350" s="1119"/>
      <c r="BG4350" s="1119"/>
      <c r="BH4350" s="1119"/>
    </row>
    <row r="4351" spans="1:60" ht="15.75" customHeight="1">
      <c r="A4351" s="436"/>
      <c r="C4351" s="436"/>
      <c r="D4351" s="436"/>
      <c r="E4351" s="436"/>
      <c r="F4351" s="436"/>
      <c r="H4351" s="467"/>
      <c r="I4351" s="467"/>
      <c r="J4351" s="469"/>
      <c r="AL4351" s="436"/>
      <c r="AM4351" s="436"/>
      <c r="AQ4351" s="436"/>
      <c r="AR4351" s="436"/>
      <c r="AS4351" s="436"/>
      <c r="AT4351" s="436"/>
      <c r="AU4351" s="436"/>
      <c r="AV4351" s="436"/>
      <c r="AW4351" s="436"/>
      <c r="AX4351" s="436"/>
      <c r="AY4351" s="436"/>
      <c r="AZ4351" s="475"/>
      <c r="BA4351" s="475"/>
      <c r="BF4351" s="1119"/>
      <c r="BG4351" s="1119"/>
      <c r="BH4351" s="1119"/>
    </row>
    <row r="4352" spans="1:60" ht="15.75" customHeight="1">
      <c r="A4352" s="436"/>
      <c r="C4352" s="436"/>
      <c r="D4352" s="436"/>
      <c r="E4352" s="436"/>
      <c r="F4352" s="436"/>
      <c r="H4352" s="467"/>
      <c r="I4352" s="467"/>
      <c r="J4352" s="469"/>
      <c r="AL4352" s="436"/>
      <c r="AM4352" s="436"/>
      <c r="AQ4352" s="436"/>
      <c r="AR4352" s="436"/>
      <c r="AS4352" s="436"/>
      <c r="AT4352" s="436"/>
      <c r="AU4352" s="436"/>
      <c r="AV4352" s="436"/>
      <c r="AW4352" s="436"/>
      <c r="AX4352" s="436"/>
      <c r="AY4352" s="436"/>
      <c r="AZ4352" s="475"/>
      <c r="BA4352" s="475"/>
      <c r="BF4352" s="1119"/>
      <c r="BG4352" s="1119"/>
      <c r="BH4352" s="1119"/>
    </row>
    <row r="4353" spans="1:60" ht="15.75" customHeight="1">
      <c r="A4353" s="436"/>
      <c r="C4353" s="436"/>
      <c r="D4353" s="436"/>
      <c r="E4353" s="436"/>
      <c r="F4353" s="436"/>
      <c r="H4353" s="467"/>
      <c r="I4353" s="467"/>
      <c r="J4353" s="469"/>
      <c r="AL4353" s="436"/>
      <c r="AM4353" s="436"/>
      <c r="AQ4353" s="436"/>
      <c r="AR4353" s="436"/>
      <c r="AS4353" s="436"/>
      <c r="AT4353" s="436"/>
      <c r="AU4353" s="436"/>
      <c r="AV4353" s="436"/>
      <c r="AW4353" s="436"/>
      <c r="AX4353" s="436"/>
      <c r="AY4353" s="436"/>
      <c r="AZ4353" s="475"/>
      <c r="BA4353" s="475"/>
      <c r="BF4353" s="1119"/>
      <c r="BG4353" s="1119"/>
      <c r="BH4353" s="1119"/>
    </row>
    <row r="4354" spans="1:60" ht="15.75" customHeight="1">
      <c r="A4354" s="436"/>
      <c r="C4354" s="436"/>
      <c r="D4354" s="436"/>
      <c r="E4354" s="436"/>
      <c r="F4354" s="436"/>
      <c r="H4354" s="467"/>
      <c r="I4354" s="467"/>
      <c r="J4354" s="469"/>
      <c r="AL4354" s="436"/>
      <c r="AM4354" s="436"/>
      <c r="AQ4354" s="436"/>
      <c r="AR4354" s="436"/>
      <c r="AS4354" s="436"/>
      <c r="AT4354" s="436"/>
      <c r="AU4354" s="436"/>
      <c r="AV4354" s="436"/>
      <c r="AW4354" s="436"/>
      <c r="AX4354" s="436"/>
      <c r="AY4354" s="436"/>
      <c r="AZ4354" s="475"/>
      <c r="BA4354" s="475"/>
      <c r="BF4354" s="1119"/>
      <c r="BG4354" s="1119"/>
      <c r="BH4354" s="1119"/>
    </row>
    <row r="4355" spans="1:60" ht="15.75" customHeight="1">
      <c r="A4355" s="436"/>
      <c r="C4355" s="436"/>
      <c r="D4355" s="436"/>
      <c r="E4355" s="436"/>
      <c r="F4355" s="436"/>
      <c r="H4355" s="467"/>
      <c r="I4355" s="467"/>
      <c r="J4355" s="469"/>
      <c r="AL4355" s="436"/>
      <c r="AM4355" s="436"/>
      <c r="AQ4355" s="436"/>
      <c r="AR4355" s="436"/>
      <c r="AS4355" s="436"/>
      <c r="AT4355" s="436"/>
      <c r="AU4355" s="436"/>
      <c r="AV4355" s="436"/>
      <c r="AW4355" s="436"/>
      <c r="AX4355" s="436"/>
      <c r="AY4355" s="436"/>
      <c r="AZ4355" s="475"/>
      <c r="BA4355" s="475"/>
      <c r="BF4355" s="1119"/>
      <c r="BG4355" s="1119"/>
      <c r="BH4355" s="1119"/>
    </row>
    <row r="4356" spans="1:60" ht="15.75" customHeight="1">
      <c r="A4356" s="436"/>
      <c r="C4356" s="436"/>
      <c r="D4356" s="436"/>
      <c r="E4356" s="436"/>
      <c r="F4356" s="436"/>
      <c r="H4356" s="467"/>
      <c r="I4356" s="467"/>
      <c r="J4356" s="469"/>
      <c r="AL4356" s="436"/>
      <c r="AM4356" s="436"/>
      <c r="AQ4356" s="436"/>
      <c r="AR4356" s="436"/>
      <c r="AS4356" s="436"/>
      <c r="AT4356" s="436"/>
      <c r="AU4356" s="436"/>
      <c r="AV4356" s="436"/>
      <c r="AW4356" s="436"/>
      <c r="AX4356" s="436"/>
      <c r="AY4356" s="436"/>
      <c r="AZ4356" s="475"/>
      <c r="BA4356" s="475"/>
      <c r="BF4356" s="1119"/>
      <c r="BG4356" s="1119"/>
      <c r="BH4356" s="1119"/>
    </row>
    <row r="4357" spans="1:60" ht="15.75" customHeight="1">
      <c r="A4357" s="436"/>
      <c r="C4357" s="436"/>
      <c r="D4357" s="436"/>
      <c r="E4357" s="436"/>
      <c r="F4357" s="436"/>
      <c r="H4357" s="467"/>
      <c r="I4357" s="467"/>
      <c r="J4357" s="469"/>
      <c r="AL4357" s="436"/>
      <c r="AM4357" s="436"/>
      <c r="AQ4357" s="436"/>
      <c r="AR4357" s="436"/>
      <c r="AS4357" s="436"/>
      <c r="AT4357" s="436"/>
      <c r="AU4357" s="436"/>
      <c r="AV4357" s="436"/>
      <c r="AW4357" s="436"/>
      <c r="AX4357" s="436"/>
      <c r="AY4357" s="436"/>
      <c r="AZ4357" s="475"/>
      <c r="BA4357" s="475"/>
      <c r="BF4357" s="1119"/>
      <c r="BG4357" s="1119"/>
      <c r="BH4357" s="1119"/>
    </row>
    <row r="4358" spans="1:60" ht="15.75" customHeight="1">
      <c r="A4358" s="436"/>
      <c r="C4358" s="436"/>
      <c r="D4358" s="436"/>
      <c r="E4358" s="436"/>
      <c r="F4358" s="436"/>
      <c r="H4358" s="467"/>
      <c r="I4358" s="467"/>
      <c r="J4358" s="469"/>
      <c r="AL4358" s="436"/>
      <c r="AM4358" s="436"/>
      <c r="AQ4358" s="436"/>
      <c r="AR4358" s="436"/>
      <c r="AS4358" s="436"/>
      <c r="AT4358" s="436"/>
      <c r="AU4358" s="436"/>
      <c r="AV4358" s="436"/>
      <c r="AW4358" s="436"/>
      <c r="AX4358" s="436"/>
      <c r="AY4358" s="436"/>
      <c r="AZ4358" s="475"/>
      <c r="BA4358" s="475"/>
      <c r="BF4358" s="1119"/>
      <c r="BG4358" s="1119"/>
      <c r="BH4358" s="1119"/>
    </row>
    <row r="4359" spans="1:60" ht="15.75" customHeight="1">
      <c r="A4359" s="436"/>
      <c r="C4359" s="436"/>
      <c r="D4359" s="436"/>
      <c r="E4359" s="436"/>
      <c r="F4359" s="436"/>
      <c r="H4359" s="467"/>
      <c r="I4359" s="467"/>
      <c r="J4359" s="469"/>
      <c r="AL4359" s="436"/>
      <c r="AM4359" s="436"/>
      <c r="AQ4359" s="436"/>
      <c r="AR4359" s="436"/>
      <c r="AS4359" s="436"/>
      <c r="AT4359" s="436"/>
      <c r="AU4359" s="436"/>
      <c r="AV4359" s="436"/>
      <c r="AW4359" s="436"/>
      <c r="AX4359" s="436"/>
      <c r="AY4359" s="436"/>
      <c r="AZ4359" s="475"/>
      <c r="BA4359" s="475"/>
      <c r="BF4359" s="1119"/>
      <c r="BG4359" s="1119"/>
      <c r="BH4359" s="1119"/>
    </row>
    <row r="4360" spans="1:60" ht="15.75" customHeight="1">
      <c r="A4360" s="436"/>
      <c r="C4360" s="436"/>
      <c r="D4360" s="436"/>
      <c r="E4360" s="436"/>
      <c r="F4360" s="436"/>
      <c r="H4360" s="467"/>
      <c r="I4360" s="467"/>
      <c r="J4360" s="469"/>
      <c r="AL4360" s="436"/>
      <c r="AM4360" s="436"/>
      <c r="AQ4360" s="436"/>
      <c r="AR4360" s="436"/>
      <c r="AS4360" s="436"/>
      <c r="AT4360" s="436"/>
      <c r="AU4360" s="436"/>
      <c r="AV4360" s="436"/>
      <c r="AW4360" s="436"/>
      <c r="AX4360" s="436"/>
      <c r="AY4360" s="436"/>
      <c r="AZ4360" s="475"/>
      <c r="BA4360" s="475"/>
      <c r="BF4360" s="1119"/>
      <c r="BG4360" s="1119"/>
      <c r="BH4360" s="1119"/>
    </row>
    <row r="4361" spans="1:60" ht="15.75" customHeight="1">
      <c r="A4361" s="436"/>
      <c r="C4361" s="436"/>
      <c r="D4361" s="436"/>
      <c r="E4361" s="436"/>
      <c r="F4361" s="436"/>
      <c r="H4361" s="467"/>
      <c r="I4361" s="467"/>
      <c r="J4361" s="469"/>
      <c r="AL4361" s="436"/>
      <c r="AM4361" s="436"/>
      <c r="AQ4361" s="436"/>
      <c r="AR4361" s="436"/>
      <c r="AS4361" s="436"/>
      <c r="AT4361" s="436"/>
      <c r="AU4361" s="436"/>
      <c r="AV4361" s="436"/>
      <c r="AW4361" s="436"/>
      <c r="AX4361" s="436"/>
      <c r="AY4361" s="436"/>
      <c r="AZ4361" s="475"/>
      <c r="BA4361" s="475"/>
      <c r="BF4361" s="1119"/>
      <c r="BG4361" s="1119"/>
      <c r="BH4361" s="1119"/>
    </row>
    <row r="4362" spans="1:60" ht="15.75" customHeight="1">
      <c r="A4362" s="436"/>
      <c r="C4362" s="436"/>
      <c r="D4362" s="436"/>
      <c r="E4362" s="436"/>
      <c r="F4362" s="436"/>
      <c r="H4362" s="467"/>
      <c r="I4362" s="467"/>
      <c r="J4362" s="469"/>
      <c r="AL4362" s="436"/>
      <c r="AM4362" s="436"/>
      <c r="AQ4362" s="436"/>
      <c r="AR4362" s="436"/>
      <c r="AS4362" s="436"/>
      <c r="AT4362" s="436"/>
      <c r="AU4362" s="436"/>
      <c r="AV4362" s="436"/>
      <c r="AW4362" s="436"/>
      <c r="AX4362" s="436"/>
      <c r="AY4362" s="436"/>
      <c r="AZ4362" s="475"/>
      <c r="BA4362" s="475"/>
      <c r="BF4362" s="1119"/>
      <c r="BG4362" s="1119"/>
      <c r="BH4362" s="1119"/>
    </row>
    <row r="4363" spans="1:60" ht="15.75" customHeight="1">
      <c r="A4363" s="436"/>
      <c r="C4363" s="436"/>
      <c r="D4363" s="436"/>
      <c r="E4363" s="436"/>
      <c r="F4363" s="436"/>
      <c r="H4363" s="467"/>
      <c r="I4363" s="467"/>
      <c r="J4363" s="469"/>
      <c r="AL4363" s="436"/>
      <c r="AM4363" s="436"/>
      <c r="AQ4363" s="436"/>
      <c r="AR4363" s="436"/>
      <c r="AS4363" s="436"/>
      <c r="AT4363" s="436"/>
      <c r="AU4363" s="436"/>
      <c r="AV4363" s="436"/>
      <c r="AW4363" s="436"/>
      <c r="AX4363" s="436"/>
      <c r="AY4363" s="436"/>
      <c r="AZ4363" s="475"/>
      <c r="BA4363" s="475"/>
      <c r="BF4363" s="1119"/>
      <c r="BG4363" s="1119"/>
      <c r="BH4363" s="1119"/>
    </row>
    <row r="4364" spans="1:60" ht="15.75" customHeight="1">
      <c r="A4364" s="436"/>
      <c r="C4364" s="436"/>
      <c r="D4364" s="436"/>
      <c r="E4364" s="436"/>
      <c r="F4364" s="436"/>
      <c r="H4364" s="467"/>
      <c r="I4364" s="467"/>
      <c r="J4364" s="469"/>
      <c r="AL4364" s="436"/>
      <c r="AM4364" s="436"/>
      <c r="AQ4364" s="436"/>
      <c r="AR4364" s="436"/>
      <c r="AS4364" s="436"/>
      <c r="AT4364" s="436"/>
      <c r="AU4364" s="436"/>
      <c r="AV4364" s="436"/>
      <c r="AW4364" s="436"/>
      <c r="AX4364" s="436"/>
      <c r="AY4364" s="436"/>
      <c r="AZ4364" s="475"/>
      <c r="BA4364" s="475"/>
      <c r="BF4364" s="1119"/>
      <c r="BG4364" s="1119"/>
      <c r="BH4364" s="1119"/>
    </row>
    <row r="4365" spans="1:60" ht="15.75" customHeight="1">
      <c r="A4365" s="436"/>
      <c r="C4365" s="436"/>
      <c r="D4365" s="436"/>
      <c r="E4365" s="436"/>
      <c r="F4365" s="436"/>
      <c r="H4365" s="467"/>
      <c r="I4365" s="467"/>
      <c r="J4365" s="469"/>
      <c r="AL4365" s="436"/>
      <c r="AM4365" s="436"/>
      <c r="AQ4365" s="436"/>
      <c r="AR4365" s="436"/>
      <c r="AS4365" s="436"/>
      <c r="AT4365" s="436"/>
      <c r="AU4365" s="436"/>
      <c r="AV4365" s="436"/>
      <c r="AW4365" s="436"/>
      <c r="AX4365" s="436"/>
      <c r="AY4365" s="436"/>
      <c r="AZ4365" s="475"/>
      <c r="BA4365" s="475"/>
      <c r="BF4365" s="1119"/>
      <c r="BG4365" s="1119"/>
      <c r="BH4365" s="1119"/>
    </row>
    <row r="4366" spans="1:60" ht="15.75" customHeight="1">
      <c r="A4366" s="436"/>
      <c r="C4366" s="436"/>
      <c r="D4366" s="436"/>
      <c r="E4366" s="436"/>
      <c r="F4366" s="436"/>
      <c r="H4366" s="467"/>
      <c r="I4366" s="467"/>
      <c r="J4366" s="469"/>
      <c r="AL4366" s="436"/>
      <c r="AM4366" s="436"/>
      <c r="AQ4366" s="436"/>
      <c r="AR4366" s="436"/>
      <c r="AS4366" s="436"/>
      <c r="AT4366" s="436"/>
      <c r="AU4366" s="436"/>
      <c r="AV4366" s="436"/>
      <c r="AW4366" s="436"/>
      <c r="AX4366" s="436"/>
      <c r="AY4366" s="436"/>
      <c r="AZ4366" s="475"/>
      <c r="BA4366" s="475"/>
      <c r="BF4366" s="1119"/>
      <c r="BG4366" s="1119"/>
      <c r="BH4366" s="1119"/>
    </row>
    <row r="4367" spans="1:60" ht="15.75" customHeight="1">
      <c r="A4367" s="436"/>
      <c r="C4367" s="436"/>
      <c r="D4367" s="436"/>
      <c r="E4367" s="436"/>
      <c r="F4367" s="436"/>
      <c r="H4367" s="467"/>
      <c r="I4367" s="467"/>
      <c r="J4367" s="469"/>
      <c r="AL4367" s="436"/>
      <c r="AM4367" s="436"/>
      <c r="AQ4367" s="436"/>
      <c r="AR4367" s="436"/>
      <c r="AS4367" s="436"/>
      <c r="AT4367" s="436"/>
      <c r="AU4367" s="436"/>
      <c r="AV4367" s="436"/>
      <c r="AW4367" s="436"/>
      <c r="AX4367" s="436"/>
      <c r="AY4367" s="436"/>
      <c r="AZ4367" s="475"/>
      <c r="BA4367" s="475"/>
      <c r="BF4367" s="1119"/>
      <c r="BG4367" s="1119"/>
      <c r="BH4367" s="1119"/>
    </row>
    <row r="4368" spans="1:60" ht="15.75" customHeight="1">
      <c r="A4368" s="436"/>
      <c r="C4368" s="436"/>
      <c r="D4368" s="436"/>
      <c r="E4368" s="436"/>
      <c r="F4368" s="436"/>
      <c r="H4368" s="467"/>
      <c r="I4368" s="467"/>
      <c r="J4368" s="469"/>
      <c r="AL4368" s="436"/>
      <c r="AM4368" s="436"/>
      <c r="AQ4368" s="436"/>
      <c r="AR4368" s="436"/>
      <c r="AS4368" s="436"/>
      <c r="AT4368" s="436"/>
      <c r="AU4368" s="436"/>
      <c r="AV4368" s="436"/>
      <c r="AW4368" s="436"/>
      <c r="AX4368" s="436"/>
      <c r="AY4368" s="436"/>
      <c r="AZ4368" s="475"/>
      <c r="BA4368" s="475"/>
      <c r="BF4368" s="1119"/>
      <c r="BG4368" s="1119"/>
      <c r="BH4368" s="1119"/>
    </row>
    <row r="4369" spans="1:60" ht="15.75" customHeight="1">
      <c r="A4369" s="436"/>
      <c r="C4369" s="436"/>
      <c r="D4369" s="436"/>
      <c r="E4369" s="436"/>
      <c r="F4369" s="436"/>
      <c r="H4369" s="467"/>
      <c r="I4369" s="467"/>
      <c r="J4369" s="469"/>
      <c r="AL4369" s="436"/>
      <c r="AM4369" s="436"/>
      <c r="AQ4369" s="436"/>
      <c r="AR4369" s="436"/>
      <c r="AS4369" s="436"/>
      <c r="AT4369" s="436"/>
      <c r="AU4369" s="436"/>
      <c r="AV4369" s="436"/>
      <c r="AW4369" s="436"/>
      <c r="AX4369" s="436"/>
      <c r="AY4369" s="436"/>
      <c r="AZ4369" s="475"/>
      <c r="BA4369" s="475"/>
      <c r="BF4369" s="1119"/>
      <c r="BG4369" s="1119"/>
      <c r="BH4369" s="1119"/>
    </row>
    <row r="4370" spans="1:60" ht="15.75" customHeight="1">
      <c r="A4370" s="436"/>
      <c r="C4370" s="436"/>
      <c r="D4370" s="436"/>
      <c r="E4370" s="436"/>
      <c r="F4370" s="436"/>
      <c r="H4370" s="467"/>
      <c r="I4370" s="467"/>
      <c r="J4370" s="469"/>
      <c r="AL4370" s="436"/>
      <c r="AM4370" s="436"/>
      <c r="AQ4370" s="436"/>
      <c r="AR4370" s="436"/>
      <c r="AS4370" s="436"/>
      <c r="AT4370" s="436"/>
      <c r="AU4370" s="436"/>
      <c r="AV4370" s="436"/>
      <c r="AW4370" s="436"/>
      <c r="AX4370" s="436"/>
      <c r="AY4370" s="436"/>
      <c r="AZ4370" s="475"/>
      <c r="BA4370" s="475"/>
      <c r="BF4370" s="1119"/>
      <c r="BG4370" s="1119"/>
      <c r="BH4370" s="1119"/>
    </row>
    <row r="4371" spans="1:60" ht="15.75" customHeight="1">
      <c r="A4371" s="436"/>
      <c r="C4371" s="436"/>
      <c r="D4371" s="436"/>
      <c r="E4371" s="436"/>
      <c r="F4371" s="436"/>
      <c r="H4371" s="467"/>
      <c r="I4371" s="467"/>
      <c r="J4371" s="469"/>
      <c r="AL4371" s="436"/>
      <c r="AM4371" s="436"/>
      <c r="AQ4371" s="436"/>
      <c r="AR4371" s="436"/>
      <c r="AS4371" s="436"/>
      <c r="AT4371" s="436"/>
      <c r="AU4371" s="436"/>
      <c r="AV4371" s="436"/>
      <c r="AW4371" s="436"/>
      <c r="AX4371" s="436"/>
      <c r="AY4371" s="436"/>
      <c r="AZ4371" s="475"/>
      <c r="BA4371" s="475"/>
      <c r="BF4371" s="1119"/>
      <c r="BG4371" s="1119"/>
      <c r="BH4371" s="1119"/>
    </row>
    <row r="4372" spans="1:60" ht="15.75" customHeight="1">
      <c r="A4372" s="436"/>
      <c r="C4372" s="436"/>
      <c r="D4372" s="436"/>
      <c r="E4372" s="436"/>
      <c r="F4372" s="436"/>
      <c r="H4372" s="467"/>
      <c r="I4372" s="467"/>
      <c r="J4372" s="469"/>
      <c r="AL4372" s="436"/>
      <c r="AM4372" s="436"/>
      <c r="AQ4372" s="436"/>
      <c r="AR4372" s="436"/>
      <c r="AS4372" s="436"/>
      <c r="AT4372" s="436"/>
      <c r="AU4372" s="436"/>
      <c r="AV4372" s="436"/>
      <c r="AW4372" s="436"/>
      <c r="AX4372" s="436"/>
      <c r="AY4372" s="436"/>
      <c r="AZ4372" s="475"/>
      <c r="BA4372" s="475"/>
      <c r="BF4372" s="1119"/>
      <c r="BG4372" s="1119"/>
      <c r="BH4372" s="1119"/>
    </row>
    <row r="4373" spans="1:60" ht="15.75" customHeight="1">
      <c r="A4373" s="436"/>
      <c r="C4373" s="436"/>
      <c r="D4373" s="436"/>
      <c r="E4373" s="436"/>
      <c r="F4373" s="436"/>
      <c r="H4373" s="467"/>
      <c r="I4373" s="467"/>
      <c r="J4373" s="469"/>
      <c r="AL4373" s="436"/>
      <c r="AM4373" s="436"/>
      <c r="AQ4373" s="436"/>
      <c r="AR4373" s="436"/>
      <c r="AS4373" s="436"/>
      <c r="AT4373" s="436"/>
      <c r="AU4373" s="436"/>
      <c r="AV4373" s="436"/>
      <c r="AW4373" s="436"/>
      <c r="AX4373" s="436"/>
      <c r="AY4373" s="436"/>
      <c r="AZ4373" s="475"/>
      <c r="BA4373" s="475"/>
      <c r="BF4373" s="1119"/>
      <c r="BG4373" s="1119"/>
      <c r="BH4373" s="1119"/>
    </row>
    <row r="4374" spans="1:60" ht="15.75" customHeight="1">
      <c r="A4374" s="436"/>
      <c r="C4374" s="436"/>
      <c r="D4374" s="436"/>
      <c r="E4374" s="436"/>
      <c r="F4374" s="436"/>
      <c r="H4374" s="467"/>
      <c r="I4374" s="467"/>
      <c r="J4374" s="469"/>
      <c r="AL4374" s="436"/>
      <c r="AM4374" s="436"/>
      <c r="AQ4374" s="436"/>
      <c r="AR4374" s="436"/>
      <c r="AS4374" s="436"/>
      <c r="AT4374" s="436"/>
      <c r="AU4374" s="436"/>
      <c r="AV4374" s="436"/>
      <c r="AW4374" s="436"/>
      <c r="AX4374" s="436"/>
      <c r="AY4374" s="436"/>
      <c r="AZ4374" s="475"/>
      <c r="BA4374" s="475"/>
      <c r="BF4374" s="1119"/>
      <c r="BG4374" s="1119"/>
      <c r="BH4374" s="1119"/>
    </row>
    <row r="4375" spans="1:60" ht="15.75" customHeight="1">
      <c r="A4375" s="436"/>
      <c r="C4375" s="436"/>
      <c r="D4375" s="436"/>
      <c r="E4375" s="436"/>
      <c r="F4375" s="436"/>
      <c r="H4375" s="467"/>
      <c r="I4375" s="467"/>
      <c r="J4375" s="469"/>
      <c r="AL4375" s="436"/>
      <c r="AM4375" s="436"/>
      <c r="AQ4375" s="436"/>
      <c r="AR4375" s="436"/>
      <c r="AS4375" s="436"/>
      <c r="AT4375" s="436"/>
      <c r="AU4375" s="436"/>
      <c r="AV4375" s="436"/>
      <c r="AW4375" s="436"/>
      <c r="AX4375" s="436"/>
      <c r="AY4375" s="436"/>
      <c r="AZ4375" s="475"/>
      <c r="BA4375" s="475"/>
      <c r="BF4375" s="1119"/>
      <c r="BG4375" s="1119"/>
      <c r="BH4375" s="1119"/>
    </row>
    <row r="4376" spans="1:60" ht="15.75" customHeight="1">
      <c r="A4376" s="436"/>
      <c r="C4376" s="436"/>
      <c r="D4376" s="436"/>
      <c r="E4376" s="436"/>
      <c r="F4376" s="436"/>
      <c r="H4376" s="467"/>
      <c r="I4376" s="467"/>
      <c r="J4376" s="469"/>
      <c r="AL4376" s="436"/>
      <c r="AM4376" s="436"/>
      <c r="AQ4376" s="436"/>
      <c r="AR4376" s="436"/>
      <c r="AS4376" s="436"/>
      <c r="AT4376" s="436"/>
      <c r="AU4376" s="436"/>
      <c r="AV4376" s="436"/>
      <c r="AW4376" s="436"/>
      <c r="AX4376" s="436"/>
      <c r="AY4376" s="436"/>
      <c r="AZ4376" s="475"/>
      <c r="BA4376" s="475"/>
      <c r="BF4376" s="1119"/>
      <c r="BG4376" s="1119"/>
      <c r="BH4376" s="1119"/>
    </row>
    <row r="4377" spans="1:60" ht="15.75" customHeight="1">
      <c r="A4377" s="436"/>
      <c r="C4377" s="436"/>
      <c r="D4377" s="436"/>
      <c r="E4377" s="436"/>
      <c r="F4377" s="436"/>
      <c r="H4377" s="467"/>
      <c r="I4377" s="467"/>
      <c r="J4377" s="469"/>
      <c r="AL4377" s="436"/>
      <c r="AM4377" s="436"/>
      <c r="AQ4377" s="436"/>
      <c r="AR4377" s="436"/>
      <c r="AS4377" s="436"/>
      <c r="AT4377" s="436"/>
      <c r="AU4377" s="436"/>
      <c r="AV4377" s="436"/>
      <c r="AW4377" s="436"/>
      <c r="AX4377" s="436"/>
      <c r="AY4377" s="436"/>
      <c r="AZ4377" s="475"/>
      <c r="BA4377" s="475"/>
      <c r="BF4377" s="1119"/>
      <c r="BG4377" s="1119"/>
      <c r="BH4377" s="1119"/>
    </row>
    <row r="4378" spans="1:60" ht="15.75" customHeight="1">
      <c r="A4378" s="436"/>
      <c r="C4378" s="436"/>
      <c r="D4378" s="436"/>
      <c r="E4378" s="436"/>
      <c r="F4378" s="436"/>
      <c r="H4378" s="467"/>
      <c r="I4378" s="467"/>
      <c r="J4378" s="469"/>
      <c r="AL4378" s="436"/>
      <c r="AM4378" s="436"/>
      <c r="AQ4378" s="436"/>
      <c r="AR4378" s="436"/>
      <c r="AS4378" s="436"/>
      <c r="AT4378" s="436"/>
      <c r="AU4378" s="436"/>
      <c r="AV4378" s="436"/>
      <c r="AW4378" s="436"/>
      <c r="AX4378" s="436"/>
      <c r="AY4378" s="436"/>
      <c r="AZ4378" s="475"/>
      <c r="BA4378" s="475"/>
      <c r="BF4378" s="1119"/>
      <c r="BG4378" s="1119"/>
      <c r="BH4378" s="1119"/>
    </row>
    <row r="4379" spans="1:60" ht="15.75" customHeight="1">
      <c r="A4379" s="436"/>
      <c r="C4379" s="436"/>
      <c r="D4379" s="436"/>
      <c r="E4379" s="436"/>
      <c r="F4379" s="436"/>
      <c r="H4379" s="467"/>
      <c r="I4379" s="467"/>
      <c r="J4379" s="469"/>
      <c r="AL4379" s="436"/>
      <c r="AM4379" s="436"/>
      <c r="AQ4379" s="436"/>
      <c r="AR4379" s="436"/>
      <c r="AS4379" s="436"/>
      <c r="AT4379" s="436"/>
      <c r="AU4379" s="436"/>
      <c r="AV4379" s="436"/>
      <c r="AW4379" s="436"/>
      <c r="AX4379" s="436"/>
      <c r="AY4379" s="436"/>
      <c r="AZ4379" s="475"/>
      <c r="BA4379" s="475"/>
      <c r="BF4379" s="1119"/>
      <c r="BG4379" s="1119"/>
      <c r="BH4379" s="1119"/>
    </row>
    <row r="4380" spans="1:60" ht="15.75" customHeight="1">
      <c r="A4380" s="436"/>
      <c r="C4380" s="436"/>
      <c r="D4380" s="436"/>
      <c r="E4380" s="436"/>
      <c r="F4380" s="436"/>
      <c r="H4380" s="467"/>
      <c r="I4380" s="467"/>
      <c r="J4380" s="469"/>
      <c r="AL4380" s="436"/>
      <c r="AM4380" s="436"/>
      <c r="AQ4380" s="436"/>
      <c r="AR4380" s="436"/>
      <c r="AS4380" s="436"/>
      <c r="AT4380" s="436"/>
      <c r="AU4380" s="436"/>
      <c r="AV4380" s="436"/>
      <c r="AW4380" s="436"/>
      <c r="AX4380" s="436"/>
      <c r="AY4380" s="436"/>
      <c r="AZ4380" s="475"/>
      <c r="BA4380" s="475"/>
      <c r="BF4380" s="1119"/>
      <c r="BG4380" s="1119"/>
      <c r="BH4380" s="1119"/>
    </row>
    <row r="4381" spans="1:60" ht="15.75" customHeight="1">
      <c r="A4381" s="436"/>
      <c r="C4381" s="436"/>
      <c r="D4381" s="436"/>
      <c r="E4381" s="436"/>
      <c r="F4381" s="436"/>
      <c r="H4381" s="467"/>
      <c r="I4381" s="467"/>
      <c r="J4381" s="469"/>
      <c r="AL4381" s="436"/>
      <c r="AM4381" s="436"/>
      <c r="AQ4381" s="436"/>
      <c r="AR4381" s="436"/>
      <c r="AS4381" s="436"/>
      <c r="AT4381" s="436"/>
      <c r="AU4381" s="436"/>
      <c r="AV4381" s="436"/>
      <c r="AW4381" s="436"/>
      <c r="AX4381" s="436"/>
      <c r="AY4381" s="436"/>
      <c r="AZ4381" s="475"/>
      <c r="BA4381" s="475"/>
      <c r="BF4381" s="1119"/>
      <c r="BG4381" s="1119"/>
      <c r="BH4381" s="1119"/>
    </row>
    <row r="4382" spans="1:60" ht="15.75" customHeight="1">
      <c r="A4382" s="436"/>
      <c r="C4382" s="436"/>
      <c r="D4382" s="436"/>
      <c r="E4382" s="436"/>
      <c r="F4382" s="436"/>
      <c r="H4382" s="467"/>
      <c r="I4382" s="467"/>
      <c r="J4382" s="469"/>
      <c r="AL4382" s="436"/>
      <c r="AM4382" s="436"/>
      <c r="AQ4382" s="436"/>
      <c r="AR4382" s="436"/>
      <c r="AS4382" s="436"/>
      <c r="AT4382" s="436"/>
      <c r="AU4382" s="436"/>
      <c r="AV4382" s="436"/>
      <c r="AW4382" s="436"/>
      <c r="AX4382" s="436"/>
      <c r="AY4382" s="436"/>
      <c r="AZ4382" s="475"/>
      <c r="BA4382" s="475"/>
      <c r="BF4382" s="1119"/>
      <c r="BG4382" s="1119"/>
      <c r="BH4382" s="1119"/>
    </row>
    <row r="4383" spans="1:60" ht="15.75" customHeight="1">
      <c r="A4383" s="436"/>
      <c r="C4383" s="436"/>
      <c r="D4383" s="436"/>
      <c r="E4383" s="436"/>
      <c r="F4383" s="436"/>
      <c r="H4383" s="467"/>
      <c r="I4383" s="467"/>
      <c r="J4383" s="469"/>
      <c r="AL4383" s="436"/>
      <c r="AM4383" s="436"/>
      <c r="AQ4383" s="436"/>
      <c r="AR4383" s="436"/>
      <c r="AS4383" s="436"/>
      <c r="AT4383" s="436"/>
      <c r="AU4383" s="436"/>
      <c r="AV4383" s="436"/>
      <c r="AW4383" s="436"/>
      <c r="AX4383" s="436"/>
      <c r="AY4383" s="436"/>
      <c r="AZ4383" s="475"/>
      <c r="BA4383" s="475"/>
      <c r="BF4383" s="1119"/>
      <c r="BG4383" s="1119"/>
      <c r="BH4383" s="1119"/>
    </row>
    <row r="4384" spans="1:60" ht="15.75" customHeight="1">
      <c r="A4384" s="436"/>
      <c r="C4384" s="436"/>
      <c r="D4384" s="436"/>
      <c r="E4384" s="436"/>
      <c r="F4384" s="436"/>
      <c r="H4384" s="467"/>
      <c r="I4384" s="467"/>
      <c r="J4384" s="469"/>
      <c r="AL4384" s="436"/>
      <c r="AM4384" s="436"/>
      <c r="AQ4384" s="436"/>
      <c r="AR4384" s="436"/>
      <c r="AS4384" s="436"/>
      <c r="AT4384" s="436"/>
      <c r="AU4384" s="436"/>
      <c r="AV4384" s="436"/>
      <c r="AW4384" s="436"/>
      <c r="AX4384" s="436"/>
      <c r="AY4384" s="436"/>
      <c r="AZ4384" s="475"/>
      <c r="BA4384" s="475"/>
      <c r="BF4384" s="1119"/>
      <c r="BG4384" s="1119"/>
      <c r="BH4384" s="1119"/>
    </row>
    <row r="4385" spans="1:60" ht="15.75" customHeight="1">
      <c r="A4385" s="436"/>
      <c r="C4385" s="436"/>
      <c r="D4385" s="436"/>
      <c r="E4385" s="436"/>
      <c r="F4385" s="436"/>
      <c r="H4385" s="467"/>
      <c r="I4385" s="467"/>
      <c r="J4385" s="469"/>
      <c r="AL4385" s="436"/>
      <c r="AM4385" s="436"/>
      <c r="AQ4385" s="436"/>
      <c r="AR4385" s="436"/>
      <c r="AS4385" s="436"/>
      <c r="AT4385" s="436"/>
      <c r="AU4385" s="436"/>
      <c r="AV4385" s="436"/>
      <c r="AW4385" s="436"/>
      <c r="AX4385" s="436"/>
      <c r="AY4385" s="436"/>
      <c r="AZ4385" s="475"/>
      <c r="BA4385" s="475"/>
      <c r="BF4385" s="1119"/>
      <c r="BG4385" s="1119"/>
      <c r="BH4385" s="1119"/>
    </row>
    <row r="4386" spans="1:60" ht="15.75" customHeight="1">
      <c r="A4386" s="436"/>
      <c r="C4386" s="436"/>
      <c r="D4386" s="436"/>
      <c r="E4386" s="436"/>
      <c r="F4386" s="436"/>
      <c r="H4386" s="467"/>
      <c r="I4386" s="467"/>
      <c r="J4386" s="469"/>
      <c r="AL4386" s="436"/>
      <c r="AM4386" s="436"/>
      <c r="AQ4386" s="436"/>
      <c r="AR4386" s="436"/>
      <c r="AS4386" s="436"/>
      <c r="AT4386" s="436"/>
      <c r="AU4386" s="436"/>
      <c r="AV4386" s="436"/>
      <c r="AW4386" s="436"/>
      <c r="AX4386" s="436"/>
      <c r="AY4386" s="436"/>
      <c r="AZ4386" s="475"/>
      <c r="BA4386" s="475"/>
      <c r="BF4386" s="1119"/>
      <c r="BG4386" s="1119"/>
      <c r="BH4386" s="1119"/>
    </row>
    <row r="4387" spans="1:60" ht="15.75" customHeight="1">
      <c r="A4387" s="436"/>
      <c r="C4387" s="436"/>
      <c r="D4387" s="436"/>
      <c r="E4387" s="436"/>
      <c r="F4387" s="436"/>
      <c r="H4387" s="467"/>
      <c r="I4387" s="467"/>
      <c r="J4387" s="469"/>
      <c r="AL4387" s="436"/>
      <c r="AM4387" s="436"/>
      <c r="AQ4387" s="436"/>
      <c r="AR4387" s="436"/>
      <c r="AS4387" s="436"/>
      <c r="AT4387" s="436"/>
      <c r="AU4387" s="436"/>
      <c r="AV4387" s="436"/>
      <c r="AW4387" s="436"/>
      <c r="AX4387" s="436"/>
      <c r="AY4387" s="436"/>
      <c r="AZ4387" s="475"/>
      <c r="BA4387" s="475"/>
      <c r="BF4387" s="1119"/>
      <c r="BG4387" s="1119"/>
      <c r="BH4387" s="1119"/>
    </row>
    <row r="4388" spans="1:60" ht="15.75" customHeight="1">
      <c r="A4388" s="436"/>
      <c r="C4388" s="436"/>
      <c r="D4388" s="436"/>
      <c r="E4388" s="436"/>
      <c r="F4388" s="436"/>
      <c r="H4388" s="467"/>
      <c r="I4388" s="467"/>
      <c r="J4388" s="469"/>
      <c r="AL4388" s="436"/>
      <c r="AM4388" s="436"/>
      <c r="AQ4388" s="436"/>
      <c r="AR4388" s="436"/>
      <c r="AS4388" s="436"/>
      <c r="AT4388" s="436"/>
      <c r="AU4388" s="436"/>
      <c r="AV4388" s="436"/>
      <c r="AW4388" s="436"/>
      <c r="AX4388" s="436"/>
      <c r="AY4388" s="436"/>
      <c r="AZ4388" s="475"/>
      <c r="BA4388" s="475"/>
      <c r="BF4388" s="1119"/>
      <c r="BG4388" s="1119"/>
      <c r="BH4388" s="1119"/>
    </row>
    <row r="4389" spans="1:60" ht="15.75" customHeight="1">
      <c r="A4389" s="436"/>
      <c r="C4389" s="436"/>
      <c r="D4389" s="436"/>
      <c r="E4389" s="436"/>
      <c r="F4389" s="436"/>
      <c r="H4389" s="467"/>
      <c r="I4389" s="467"/>
      <c r="J4389" s="469"/>
      <c r="AL4389" s="436"/>
      <c r="AM4389" s="436"/>
      <c r="AQ4389" s="436"/>
      <c r="AR4389" s="436"/>
      <c r="AS4389" s="436"/>
      <c r="AT4389" s="436"/>
      <c r="AU4389" s="436"/>
      <c r="AV4389" s="436"/>
      <c r="AW4389" s="436"/>
      <c r="AX4389" s="436"/>
      <c r="AY4389" s="436"/>
      <c r="AZ4389" s="475"/>
      <c r="BA4389" s="475"/>
      <c r="BF4389" s="1119"/>
      <c r="BG4389" s="1119"/>
      <c r="BH4389" s="1119"/>
    </row>
    <row r="4390" spans="1:60" ht="15.75" customHeight="1">
      <c r="A4390" s="436"/>
      <c r="C4390" s="436"/>
      <c r="D4390" s="436"/>
      <c r="E4390" s="436"/>
      <c r="F4390" s="436"/>
      <c r="H4390" s="467"/>
      <c r="I4390" s="467"/>
      <c r="J4390" s="469"/>
      <c r="AL4390" s="436"/>
      <c r="AM4390" s="436"/>
      <c r="AQ4390" s="436"/>
      <c r="AR4390" s="436"/>
      <c r="AS4390" s="436"/>
      <c r="AT4390" s="436"/>
      <c r="AU4390" s="436"/>
      <c r="AV4390" s="436"/>
      <c r="AW4390" s="436"/>
      <c r="AX4390" s="436"/>
      <c r="AY4390" s="436"/>
      <c r="AZ4390" s="475"/>
      <c r="BA4390" s="475"/>
      <c r="BF4390" s="1119"/>
      <c r="BG4390" s="1119"/>
      <c r="BH4390" s="1119"/>
    </row>
    <row r="4391" spans="1:60" ht="15.75" customHeight="1">
      <c r="A4391" s="436"/>
      <c r="C4391" s="436"/>
      <c r="D4391" s="436"/>
      <c r="E4391" s="436"/>
      <c r="F4391" s="436"/>
      <c r="H4391" s="467"/>
      <c r="I4391" s="467"/>
      <c r="J4391" s="469"/>
      <c r="AL4391" s="436"/>
      <c r="AM4391" s="436"/>
      <c r="AQ4391" s="436"/>
      <c r="AR4391" s="436"/>
      <c r="AS4391" s="436"/>
      <c r="AT4391" s="436"/>
      <c r="AU4391" s="436"/>
      <c r="AV4391" s="436"/>
      <c r="AW4391" s="436"/>
      <c r="AX4391" s="436"/>
      <c r="AY4391" s="436"/>
      <c r="AZ4391" s="475"/>
      <c r="BA4391" s="475"/>
      <c r="BF4391" s="1119"/>
      <c r="BG4391" s="1119"/>
      <c r="BH4391" s="1119"/>
    </row>
    <row r="4392" spans="1:60" ht="15.75" customHeight="1">
      <c r="A4392" s="436"/>
      <c r="C4392" s="436"/>
      <c r="D4392" s="436"/>
      <c r="E4392" s="436"/>
      <c r="F4392" s="436"/>
      <c r="H4392" s="467"/>
      <c r="I4392" s="467"/>
      <c r="J4392" s="469"/>
      <c r="AL4392" s="436"/>
      <c r="AM4392" s="436"/>
      <c r="AQ4392" s="436"/>
      <c r="AR4392" s="436"/>
      <c r="AS4392" s="436"/>
      <c r="AT4392" s="436"/>
      <c r="AU4392" s="436"/>
      <c r="AV4392" s="436"/>
      <c r="AW4392" s="436"/>
      <c r="AX4392" s="436"/>
      <c r="AY4392" s="436"/>
      <c r="AZ4392" s="475"/>
      <c r="BA4392" s="475"/>
      <c r="BF4392" s="1119"/>
      <c r="BG4392" s="1119"/>
      <c r="BH4392" s="1119"/>
    </row>
    <row r="4393" spans="1:60" ht="15.75" customHeight="1">
      <c r="A4393" s="436"/>
      <c r="C4393" s="436"/>
      <c r="D4393" s="436"/>
      <c r="E4393" s="436"/>
      <c r="F4393" s="436"/>
      <c r="H4393" s="467"/>
      <c r="I4393" s="467"/>
      <c r="J4393" s="469"/>
      <c r="AL4393" s="436"/>
      <c r="AM4393" s="436"/>
      <c r="AQ4393" s="436"/>
      <c r="AR4393" s="436"/>
      <c r="AS4393" s="436"/>
      <c r="AT4393" s="436"/>
      <c r="AU4393" s="436"/>
      <c r="AV4393" s="436"/>
      <c r="AW4393" s="436"/>
      <c r="AX4393" s="436"/>
      <c r="AY4393" s="436"/>
      <c r="AZ4393" s="475"/>
      <c r="BA4393" s="475"/>
      <c r="BF4393" s="1119"/>
      <c r="BG4393" s="1119"/>
      <c r="BH4393" s="1119"/>
    </row>
    <row r="4394" spans="1:60" ht="15.75" customHeight="1">
      <c r="A4394" s="436"/>
      <c r="C4394" s="436"/>
      <c r="D4394" s="436"/>
      <c r="E4394" s="436"/>
      <c r="F4394" s="436"/>
      <c r="H4394" s="467"/>
      <c r="I4394" s="467"/>
      <c r="J4394" s="469"/>
      <c r="AL4394" s="436"/>
      <c r="AM4394" s="436"/>
      <c r="AQ4394" s="436"/>
      <c r="AR4394" s="436"/>
      <c r="AS4394" s="436"/>
      <c r="AT4394" s="436"/>
      <c r="AU4394" s="436"/>
      <c r="AV4394" s="436"/>
      <c r="AW4394" s="436"/>
      <c r="AX4394" s="436"/>
      <c r="AY4394" s="436"/>
      <c r="AZ4394" s="475"/>
      <c r="BA4394" s="475"/>
      <c r="BF4394" s="1119"/>
      <c r="BG4394" s="1119"/>
      <c r="BH4394" s="1119"/>
    </row>
    <row r="4395" spans="1:60" ht="15.75" customHeight="1">
      <c r="A4395" s="436"/>
      <c r="C4395" s="436"/>
      <c r="D4395" s="436"/>
      <c r="E4395" s="436"/>
      <c r="F4395" s="436"/>
      <c r="H4395" s="467"/>
      <c r="I4395" s="467"/>
      <c r="J4395" s="469"/>
      <c r="AL4395" s="436"/>
      <c r="AM4395" s="436"/>
      <c r="AQ4395" s="436"/>
      <c r="AR4395" s="436"/>
      <c r="AS4395" s="436"/>
      <c r="AT4395" s="436"/>
      <c r="AU4395" s="436"/>
      <c r="AV4395" s="436"/>
      <c r="AW4395" s="436"/>
      <c r="AX4395" s="436"/>
      <c r="AY4395" s="436"/>
      <c r="AZ4395" s="475"/>
      <c r="BA4395" s="475"/>
      <c r="BF4395" s="1119"/>
      <c r="BG4395" s="1119"/>
      <c r="BH4395" s="1119"/>
    </row>
    <row r="4396" spans="1:60" ht="15.75" customHeight="1">
      <c r="A4396" s="436"/>
      <c r="C4396" s="436"/>
      <c r="D4396" s="436"/>
      <c r="E4396" s="436"/>
      <c r="F4396" s="436"/>
      <c r="H4396" s="467"/>
      <c r="I4396" s="467"/>
      <c r="J4396" s="469"/>
      <c r="AL4396" s="436"/>
      <c r="AM4396" s="436"/>
      <c r="AQ4396" s="436"/>
      <c r="AR4396" s="436"/>
      <c r="AS4396" s="436"/>
      <c r="AT4396" s="436"/>
      <c r="AU4396" s="436"/>
      <c r="AV4396" s="436"/>
      <c r="AW4396" s="436"/>
      <c r="AX4396" s="436"/>
      <c r="AY4396" s="436"/>
      <c r="AZ4396" s="475"/>
      <c r="BA4396" s="475"/>
      <c r="BF4396" s="1119"/>
      <c r="BG4396" s="1119"/>
      <c r="BH4396" s="1119"/>
    </row>
    <row r="4397" spans="1:60" ht="15.75" customHeight="1">
      <c r="A4397" s="436"/>
      <c r="C4397" s="436"/>
      <c r="D4397" s="436"/>
      <c r="E4397" s="436"/>
      <c r="F4397" s="436"/>
      <c r="H4397" s="467"/>
      <c r="I4397" s="467"/>
      <c r="J4397" s="469"/>
      <c r="AL4397" s="436"/>
      <c r="AM4397" s="436"/>
      <c r="AQ4397" s="436"/>
      <c r="AR4397" s="436"/>
      <c r="AS4397" s="436"/>
      <c r="AT4397" s="436"/>
      <c r="AU4397" s="436"/>
      <c r="AV4397" s="436"/>
      <c r="AW4397" s="436"/>
      <c r="AX4397" s="436"/>
      <c r="AY4397" s="436"/>
      <c r="AZ4397" s="475"/>
      <c r="BA4397" s="475"/>
      <c r="BF4397" s="1119"/>
      <c r="BG4397" s="1119"/>
      <c r="BH4397" s="1119"/>
    </row>
    <row r="4398" spans="1:60" ht="15.75" customHeight="1">
      <c r="A4398" s="436"/>
      <c r="C4398" s="436"/>
      <c r="D4398" s="436"/>
      <c r="E4398" s="436"/>
      <c r="F4398" s="436"/>
      <c r="H4398" s="467"/>
      <c r="I4398" s="467"/>
      <c r="J4398" s="469"/>
      <c r="AL4398" s="436"/>
      <c r="AM4398" s="436"/>
      <c r="AQ4398" s="436"/>
      <c r="AR4398" s="436"/>
      <c r="AS4398" s="436"/>
      <c r="AT4398" s="436"/>
      <c r="AU4398" s="436"/>
      <c r="AV4398" s="436"/>
      <c r="AW4398" s="436"/>
      <c r="AX4398" s="436"/>
      <c r="AY4398" s="436"/>
      <c r="AZ4398" s="475"/>
      <c r="BA4398" s="475"/>
      <c r="BF4398" s="1119"/>
      <c r="BG4398" s="1119"/>
      <c r="BH4398" s="1119"/>
    </row>
    <row r="4399" spans="1:60" ht="15.75" customHeight="1">
      <c r="A4399" s="436"/>
      <c r="C4399" s="436"/>
      <c r="D4399" s="436"/>
      <c r="E4399" s="436"/>
      <c r="F4399" s="436"/>
      <c r="H4399" s="467"/>
      <c r="I4399" s="467"/>
      <c r="J4399" s="469"/>
      <c r="AL4399" s="436"/>
      <c r="AM4399" s="436"/>
      <c r="AQ4399" s="436"/>
      <c r="AR4399" s="436"/>
      <c r="AS4399" s="436"/>
      <c r="AT4399" s="436"/>
      <c r="AU4399" s="436"/>
      <c r="AV4399" s="436"/>
      <c r="AW4399" s="436"/>
      <c r="AX4399" s="436"/>
      <c r="AY4399" s="436"/>
      <c r="AZ4399" s="475"/>
      <c r="BA4399" s="475"/>
      <c r="BF4399" s="1119"/>
      <c r="BG4399" s="1119"/>
      <c r="BH4399" s="1119"/>
    </row>
    <row r="4400" spans="1:60" ht="15.75" customHeight="1">
      <c r="A4400" s="436"/>
      <c r="C4400" s="436"/>
      <c r="D4400" s="436"/>
      <c r="E4400" s="436"/>
      <c r="F4400" s="436"/>
      <c r="H4400" s="467"/>
      <c r="I4400" s="467"/>
      <c r="J4400" s="469"/>
      <c r="AL4400" s="436"/>
      <c r="AM4400" s="436"/>
      <c r="AQ4400" s="436"/>
      <c r="AR4400" s="436"/>
      <c r="AS4400" s="436"/>
      <c r="AT4400" s="436"/>
      <c r="AU4400" s="436"/>
      <c r="AV4400" s="436"/>
      <c r="AW4400" s="436"/>
      <c r="AX4400" s="436"/>
      <c r="AY4400" s="436"/>
      <c r="AZ4400" s="475"/>
      <c r="BA4400" s="475"/>
      <c r="BF4400" s="1119"/>
      <c r="BG4400" s="1119"/>
      <c r="BH4400" s="1119"/>
    </row>
    <row r="4401" spans="1:60" ht="15.75" customHeight="1">
      <c r="A4401" s="436"/>
      <c r="C4401" s="436"/>
      <c r="D4401" s="436"/>
      <c r="E4401" s="436"/>
      <c r="F4401" s="436"/>
      <c r="H4401" s="467"/>
      <c r="I4401" s="467"/>
      <c r="J4401" s="469"/>
      <c r="AL4401" s="436"/>
      <c r="AM4401" s="436"/>
      <c r="AQ4401" s="436"/>
      <c r="AR4401" s="436"/>
      <c r="AS4401" s="436"/>
      <c r="AT4401" s="436"/>
      <c r="AU4401" s="436"/>
      <c r="AV4401" s="436"/>
      <c r="AW4401" s="436"/>
      <c r="AX4401" s="436"/>
      <c r="AY4401" s="436"/>
      <c r="AZ4401" s="475"/>
      <c r="BA4401" s="475"/>
      <c r="BF4401" s="1119"/>
      <c r="BG4401" s="1119"/>
      <c r="BH4401" s="1119"/>
    </row>
    <row r="4402" spans="1:60" ht="15.75" customHeight="1">
      <c r="A4402" s="436"/>
      <c r="C4402" s="436"/>
      <c r="D4402" s="436"/>
      <c r="E4402" s="436"/>
      <c r="F4402" s="436"/>
      <c r="H4402" s="467"/>
      <c r="I4402" s="467"/>
      <c r="J4402" s="469"/>
      <c r="AL4402" s="436"/>
      <c r="AM4402" s="436"/>
      <c r="AQ4402" s="436"/>
      <c r="AR4402" s="436"/>
      <c r="AS4402" s="436"/>
      <c r="AT4402" s="436"/>
      <c r="AU4402" s="436"/>
      <c r="AV4402" s="436"/>
      <c r="AW4402" s="436"/>
      <c r="AX4402" s="436"/>
      <c r="AY4402" s="436"/>
      <c r="AZ4402" s="475"/>
      <c r="BA4402" s="475"/>
      <c r="BF4402" s="1119"/>
      <c r="BG4402" s="1119"/>
      <c r="BH4402" s="1119"/>
    </row>
    <row r="4403" spans="1:60" ht="15.75" customHeight="1">
      <c r="A4403" s="436"/>
      <c r="C4403" s="436"/>
      <c r="D4403" s="436"/>
      <c r="E4403" s="436"/>
      <c r="F4403" s="436"/>
      <c r="H4403" s="467"/>
      <c r="I4403" s="467"/>
      <c r="J4403" s="469"/>
      <c r="AL4403" s="436"/>
      <c r="AM4403" s="436"/>
      <c r="AQ4403" s="436"/>
      <c r="AR4403" s="436"/>
      <c r="AS4403" s="436"/>
      <c r="AT4403" s="436"/>
      <c r="AU4403" s="436"/>
      <c r="AV4403" s="436"/>
      <c r="AW4403" s="436"/>
      <c r="AX4403" s="436"/>
      <c r="AY4403" s="436"/>
      <c r="AZ4403" s="475"/>
      <c r="BA4403" s="475"/>
      <c r="BF4403" s="1119"/>
      <c r="BG4403" s="1119"/>
      <c r="BH4403" s="1119"/>
    </row>
    <row r="4404" spans="1:60" ht="15.75" customHeight="1">
      <c r="A4404" s="436"/>
      <c r="C4404" s="436"/>
      <c r="D4404" s="436"/>
      <c r="E4404" s="436"/>
      <c r="F4404" s="436"/>
      <c r="H4404" s="467"/>
      <c r="I4404" s="467"/>
      <c r="J4404" s="469"/>
      <c r="AL4404" s="436"/>
      <c r="AM4404" s="436"/>
      <c r="AQ4404" s="436"/>
      <c r="AR4404" s="436"/>
      <c r="AS4404" s="436"/>
      <c r="AT4404" s="436"/>
      <c r="AU4404" s="436"/>
      <c r="AV4404" s="436"/>
      <c r="AW4404" s="436"/>
      <c r="AX4404" s="436"/>
      <c r="AY4404" s="436"/>
      <c r="AZ4404" s="475"/>
      <c r="BA4404" s="475"/>
      <c r="BF4404" s="1119"/>
      <c r="BG4404" s="1119"/>
      <c r="BH4404" s="1119"/>
    </row>
    <row r="4405" spans="1:60" ht="15.75" customHeight="1">
      <c r="A4405" s="436"/>
      <c r="C4405" s="436"/>
      <c r="D4405" s="436"/>
      <c r="E4405" s="436"/>
      <c r="F4405" s="436"/>
      <c r="H4405" s="467"/>
      <c r="I4405" s="467"/>
      <c r="J4405" s="469"/>
      <c r="AL4405" s="436"/>
      <c r="AM4405" s="436"/>
      <c r="AQ4405" s="436"/>
      <c r="AR4405" s="436"/>
      <c r="AS4405" s="436"/>
      <c r="AT4405" s="436"/>
      <c r="AU4405" s="436"/>
      <c r="AV4405" s="436"/>
      <c r="AW4405" s="436"/>
      <c r="AX4405" s="436"/>
      <c r="AY4405" s="436"/>
      <c r="AZ4405" s="475"/>
      <c r="BA4405" s="475"/>
      <c r="BF4405" s="1119"/>
      <c r="BG4405" s="1119"/>
      <c r="BH4405" s="1119"/>
    </row>
    <row r="4406" spans="1:60" ht="15.75" customHeight="1">
      <c r="A4406" s="436"/>
      <c r="C4406" s="436"/>
      <c r="D4406" s="436"/>
      <c r="E4406" s="436"/>
      <c r="F4406" s="436"/>
      <c r="H4406" s="467"/>
      <c r="I4406" s="467"/>
      <c r="J4406" s="469"/>
      <c r="AL4406" s="436"/>
      <c r="AM4406" s="436"/>
      <c r="AQ4406" s="436"/>
      <c r="AR4406" s="436"/>
      <c r="AS4406" s="436"/>
      <c r="AT4406" s="436"/>
      <c r="AU4406" s="436"/>
      <c r="AV4406" s="436"/>
      <c r="AW4406" s="436"/>
      <c r="AX4406" s="436"/>
      <c r="AY4406" s="436"/>
      <c r="AZ4406" s="475"/>
      <c r="BA4406" s="475"/>
      <c r="BF4406" s="1119"/>
      <c r="BG4406" s="1119"/>
      <c r="BH4406" s="1119"/>
    </row>
    <row r="4407" spans="1:60" ht="15.75" customHeight="1">
      <c r="A4407" s="436"/>
      <c r="C4407" s="436"/>
      <c r="D4407" s="436"/>
      <c r="E4407" s="436"/>
      <c r="F4407" s="436"/>
      <c r="H4407" s="467"/>
      <c r="I4407" s="467"/>
      <c r="J4407" s="469"/>
      <c r="AL4407" s="436"/>
      <c r="AM4407" s="436"/>
      <c r="AQ4407" s="436"/>
      <c r="AR4407" s="436"/>
      <c r="AS4407" s="436"/>
      <c r="AT4407" s="436"/>
      <c r="AU4407" s="436"/>
      <c r="AV4407" s="436"/>
      <c r="AW4407" s="436"/>
      <c r="AX4407" s="436"/>
      <c r="AY4407" s="436"/>
      <c r="AZ4407" s="475"/>
      <c r="BA4407" s="475"/>
      <c r="BF4407" s="1119"/>
      <c r="BG4407" s="1119"/>
      <c r="BH4407" s="1119"/>
    </row>
    <row r="4408" spans="1:60" ht="15.75" customHeight="1">
      <c r="A4408" s="436"/>
      <c r="C4408" s="436"/>
      <c r="D4408" s="436"/>
      <c r="E4408" s="436"/>
      <c r="F4408" s="436"/>
      <c r="H4408" s="467"/>
      <c r="I4408" s="467"/>
      <c r="J4408" s="469"/>
      <c r="AL4408" s="436"/>
      <c r="AM4408" s="436"/>
      <c r="AQ4408" s="436"/>
      <c r="AR4408" s="436"/>
      <c r="AS4408" s="436"/>
      <c r="AT4408" s="436"/>
      <c r="AU4408" s="436"/>
      <c r="AV4408" s="436"/>
      <c r="AW4408" s="436"/>
      <c r="AX4408" s="436"/>
      <c r="AY4408" s="436"/>
      <c r="AZ4408" s="475"/>
      <c r="BA4408" s="475"/>
      <c r="BF4408" s="1119"/>
      <c r="BG4408" s="1119"/>
      <c r="BH4408" s="1119"/>
    </row>
    <row r="4409" spans="1:60" ht="15.75" customHeight="1">
      <c r="A4409" s="436"/>
      <c r="C4409" s="436"/>
      <c r="D4409" s="436"/>
      <c r="E4409" s="436"/>
      <c r="F4409" s="436"/>
      <c r="H4409" s="467"/>
      <c r="I4409" s="467"/>
      <c r="J4409" s="469"/>
      <c r="AL4409" s="436"/>
      <c r="AM4409" s="436"/>
      <c r="AQ4409" s="436"/>
      <c r="AR4409" s="436"/>
      <c r="AS4409" s="436"/>
      <c r="AT4409" s="436"/>
      <c r="AU4409" s="436"/>
      <c r="AV4409" s="436"/>
      <c r="AW4409" s="436"/>
      <c r="AX4409" s="436"/>
      <c r="AY4409" s="436"/>
      <c r="AZ4409" s="475"/>
      <c r="BA4409" s="475"/>
      <c r="BF4409" s="1119"/>
      <c r="BG4409" s="1119"/>
      <c r="BH4409" s="1119"/>
    </row>
    <row r="4410" spans="1:60" ht="15.75" customHeight="1">
      <c r="A4410" s="436"/>
      <c r="C4410" s="436"/>
      <c r="D4410" s="436"/>
      <c r="E4410" s="436"/>
      <c r="F4410" s="436"/>
      <c r="H4410" s="467"/>
      <c r="I4410" s="467"/>
      <c r="J4410" s="469"/>
      <c r="AL4410" s="436"/>
      <c r="AM4410" s="436"/>
      <c r="AQ4410" s="436"/>
      <c r="AR4410" s="436"/>
      <c r="AS4410" s="436"/>
      <c r="AT4410" s="436"/>
      <c r="AU4410" s="436"/>
      <c r="AV4410" s="436"/>
      <c r="AW4410" s="436"/>
      <c r="AX4410" s="436"/>
      <c r="AY4410" s="436"/>
      <c r="AZ4410" s="475"/>
      <c r="BA4410" s="475"/>
      <c r="BF4410" s="1119"/>
      <c r="BG4410" s="1119"/>
      <c r="BH4410" s="1119"/>
    </row>
    <row r="4411" spans="1:60" ht="15.75" customHeight="1">
      <c r="A4411" s="436"/>
      <c r="C4411" s="436"/>
      <c r="D4411" s="436"/>
      <c r="E4411" s="436"/>
      <c r="F4411" s="436"/>
      <c r="H4411" s="467"/>
      <c r="I4411" s="467"/>
      <c r="J4411" s="469"/>
      <c r="AL4411" s="436"/>
      <c r="AM4411" s="436"/>
      <c r="AQ4411" s="436"/>
      <c r="AR4411" s="436"/>
      <c r="AS4411" s="436"/>
      <c r="AT4411" s="436"/>
      <c r="AU4411" s="436"/>
      <c r="AV4411" s="436"/>
      <c r="AW4411" s="436"/>
      <c r="AX4411" s="436"/>
      <c r="AY4411" s="436"/>
      <c r="AZ4411" s="475"/>
      <c r="BA4411" s="475"/>
      <c r="BF4411" s="1119"/>
      <c r="BG4411" s="1119"/>
      <c r="BH4411" s="1119"/>
    </row>
    <row r="4412" spans="1:60" ht="15.75" customHeight="1">
      <c r="A4412" s="436"/>
      <c r="C4412" s="436"/>
      <c r="D4412" s="436"/>
      <c r="E4412" s="436"/>
      <c r="F4412" s="436"/>
      <c r="H4412" s="467"/>
      <c r="I4412" s="467"/>
      <c r="J4412" s="469"/>
      <c r="AL4412" s="436"/>
      <c r="AM4412" s="436"/>
      <c r="AQ4412" s="436"/>
      <c r="AR4412" s="436"/>
      <c r="AS4412" s="436"/>
      <c r="AT4412" s="436"/>
      <c r="AU4412" s="436"/>
      <c r="AV4412" s="436"/>
      <c r="AW4412" s="436"/>
      <c r="AX4412" s="436"/>
      <c r="AY4412" s="436"/>
      <c r="AZ4412" s="475"/>
      <c r="BA4412" s="475"/>
      <c r="BF4412" s="1119"/>
      <c r="BG4412" s="1119"/>
      <c r="BH4412" s="1119"/>
    </row>
    <row r="4413" spans="1:60" ht="15.75" customHeight="1">
      <c r="A4413" s="436"/>
      <c r="C4413" s="436"/>
      <c r="D4413" s="436"/>
      <c r="E4413" s="436"/>
      <c r="F4413" s="436"/>
      <c r="H4413" s="467"/>
      <c r="I4413" s="467"/>
      <c r="J4413" s="469"/>
      <c r="AL4413" s="436"/>
      <c r="AM4413" s="436"/>
      <c r="AQ4413" s="436"/>
      <c r="AR4413" s="436"/>
      <c r="AS4413" s="436"/>
      <c r="AT4413" s="436"/>
      <c r="AU4413" s="436"/>
      <c r="AV4413" s="436"/>
      <c r="AW4413" s="436"/>
      <c r="AX4413" s="436"/>
      <c r="AY4413" s="436"/>
      <c r="AZ4413" s="475"/>
      <c r="BA4413" s="475"/>
      <c r="BF4413" s="1119"/>
      <c r="BG4413" s="1119"/>
      <c r="BH4413" s="1119"/>
    </row>
    <row r="4414" spans="1:60" ht="15.75" customHeight="1">
      <c r="A4414" s="436"/>
      <c r="C4414" s="436"/>
      <c r="D4414" s="436"/>
      <c r="E4414" s="436"/>
      <c r="F4414" s="436"/>
      <c r="H4414" s="467"/>
      <c r="I4414" s="467"/>
      <c r="J4414" s="469"/>
      <c r="AL4414" s="436"/>
      <c r="AM4414" s="436"/>
      <c r="AQ4414" s="436"/>
      <c r="AR4414" s="436"/>
      <c r="AS4414" s="436"/>
      <c r="AT4414" s="436"/>
      <c r="AU4414" s="436"/>
      <c r="AV4414" s="436"/>
      <c r="AW4414" s="436"/>
      <c r="AX4414" s="436"/>
      <c r="AY4414" s="436"/>
      <c r="AZ4414" s="475"/>
      <c r="BA4414" s="475"/>
      <c r="BF4414" s="1119"/>
      <c r="BG4414" s="1119"/>
      <c r="BH4414" s="1119"/>
    </row>
    <row r="4415" spans="1:60" ht="15.75" customHeight="1">
      <c r="A4415" s="436"/>
      <c r="C4415" s="436"/>
      <c r="D4415" s="436"/>
      <c r="E4415" s="436"/>
      <c r="F4415" s="436"/>
      <c r="H4415" s="467"/>
      <c r="I4415" s="467"/>
      <c r="J4415" s="469"/>
      <c r="AL4415" s="436"/>
      <c r="AM4415" s="436"/>
      <c r="AQ4415" s="436"/>
      <c r="AR4415" s="436"/>
      <c r="AS4415" s="436"/>
      <c r="AT4415" s="436"/>
      <c r="AU4415" s="436"/>
      <c r="AV4415" s="436"/>
      <c r="AW4415" s="436"/>
      <c r="AX4415" s="436"/>
      <c r="AY4415" s="436"/>
      <c r="AZ4415" s="475"/>
      <c r="BA4415" s="475"/>
      <c r="BF4415" s="1119"/>
      <c r="BG4415" s="1119"/>
      <c r="BH4415" s="1119"/>
    </row>
    <row r="4416" spans="1:60" ht="15.75" customHeight="1">
      <c r="A4416" s="436"/>
      <c r="C4416" s="436"/>
      <c r="D4416" s="436"/>
      <c r="E4416" s="436"/>
      <c r="F4416" s="436"/>
      <c r="H4416" s="467"/>
      <c r="I4416" s="467"/>
      <c r="J4416" s="469"/>
      <c r="AL4416" s="436"/>
      <c r="AM4416" s="436"/>
      <c r="AQ4416" s="436"/>
      <c r="AR4416" s="436"/>
      <c r="AS4416" s="436"/>
      <c r="AT4416" s="436"/>
      <c r="AU4416" s="436"/>
      <c r="AV4416" s="436"/>
      <c r="AW4416" s="436"/>
      <c r="AX4416" s="436"/>
      <c r="AY4416" s="436"/>
      <c r="AZ4416" s="475"/>
      <c r="BA4416" s="475"/>
      <c r="BF4416" s="1119"/>
      <c r="BG4416" s="1119"/>
      <c r="BH4416" s="1119"/>
    </row>
    <row r="4417" spans="1:60" ht="15.75" customHeight="1">
      <c r="A4417" s="436"/>
      <c r="C4417" s="436"/>
      <c r="D4417" s="436"/>
      <c r="E4417" s="436"/>
      <c r="F4417" s="436"/>
      <c r="H4417" s="467"/>
      <c r="I4417" s="467"/>
      <c r="J4417" s="469"/>
      <c r="AL4417" s="436"/>
      <c r="AM4417" s="436"/>
      <c r="AQ4417" s="436"/>
      <c r="AR4417" s="436"/>
      <c r="AS4417" s="436"/>
      <c r="AT4417" s="436"/>
      <c r="AU4417" s="436"/>
      <c r="AV4417" s="436"/>
      <c r="AW4417" s="436"/>
      <c r="AX4417" s="436"/>
      <c r="AY4417" s="436"/>
      <c r="AZ4417" s="475"/>
      <c r="BA4417" s="475"/>
      <c r="BF4417" s="1119"/>
      <c r="BG4417" s="1119"/>
      <c r="BH4417" s="1119"/>
    </row>
    <row r="4418" spans="1:60" ht="15.75" customHeight="1">
      <c r="A4418" s="436"/>
      <c r="C4418" s="436"/>
      <c r="D4418" s="436"/>
      <c r="E4418" s="436"/>
      <c r="F4418" s="436"/>
      <c r="H4418" s="467"/>
      <c r="I4418" s="467"/>
      <c r="J4418" s="469"/>
      <c r="AL4418" s="436"/>
      <c r="AM4418" s="436"/>
      <c r="AQ4418" s="436"/>
      <c r="AR4418" s="436"/>
      <c r="AS4418" s="436"/>
      <c r="AT4418" s="436"/>
      <c r="AU4418" s="436"/>
      <c r="AV4418" s="436"/>
      <c r="AW4418" s="436"/>
      <c r="AX4418" s="436"/>
      <c r="AY4418" s="436"/>
      <c r="AZ4418" s="475"/>
      <c r="BA4418" s="475"/>
      <c r="BF4418" s="1119"/>
      <c r="BG4418" s="1119"/>
      <c r="BH4418" s="1119"/>
    </row>
    <row r="4419" spans="1:60" ht="15.75" customHeight="1">
      <c r="A4419" s="436"/>
      <c r="C4419" s="436"/>
      <c r="D4419" s="436"/>
      <c r="E4419" s="436"/>
      <c r="F4419" s="436"/>
      <c r="H4419" s="467"/>
      <c r="I4419" s="467"/>
      <c r="J4419" s="469"/>
      <c r="AL4419" s="436"/>
      <c r="AM4419" s="436"/>
      <c r="AQ4419" s="436"/>
      <c r="AR4419" s="436"/>
      <c r="AS4419" s="436"/>
      <c r="AT4419" s="436"/>
      <c r="AU4419" s="436"/>
      <c r="AV4419" s="436"/>
      <c r="AW4419" s="436"/>
      <c r="AX4419" s="436"/>
      <c r="AY4419" s="436"/>
      <c r="AZ4419" s="475"/>
      <c r="BA4419" s="475"/>
      <c r="BF4419" s="1119"/>
      <c r="BG4419" s="1119"/>
      <c r="BH4419" s="1119"/>
    </row>
    <row r="4420" spans="1:60" ht="15.75" customHeight="1">
      <c r="A4420" s="436"/>
      <c r="C4420" s="436"/>
      <c r="D4420" s="436"/>
      <c r="E4420" s="436"/>
      <c r="F4420" s="436"/>
      <c r="H4420" s="467"/>
      <c r="I4420" s="467"/>
      <c r="J4420" s="469"/>
      <c r="AL4420" s="436"/>
      <c r="AM4420" s="436"/>
      <c r="AQ4420" s="436"/>
      <c r="AR4420" s="436"/>
      <c r="AS4420" s="436"/>
      <c r="AT4420" s="436"/>
      <c r="AU4420" s="436"/>
      <c r="AV4420" s="436"/>
      <c r="AW4420" s="436"/>
      <c r="AX4420" s="436"/>
      <c r="AY4420" s="436"/>
      <c r="AZ4420" s="475"/>
      <c r="BA4420" s="475"/>
      <c r="BF4420" s="1119"/>
      <c r="BG4420" s="1119"/>
      <c r="BH4420" s="1119"/>
    </row>
    <row r="4421" spans="1:60" ht="15.75" customHeight="1">
      <c r="A4421" s="436"/>
      <c r="C4421" s="436"/>
      <c r="D4421" s="436"/>
      <c r="E4421" s="436"/>
      <c r="F4421" s="436"/>
      <c r="H4421" s="467"/>
      <c r="I4421" s="467"/>
      <c r="J4421" s="469"/>
      <c r="AL4421" s="436"/>
      <c r="AM4421" s="436"/>
      <c r="AQ4421" s="436"/>
      <c r="AR4421" s="436"/>
      <c r="AS4421" s="436"/>
      <c r="AT4421" s="436"/>
      <c r="AU4421" s="436"/>
      <c r="AV4421" s="436"/>
      <c r="AW4421" s="436"/>
      <c r="AX4421" s="436"/>
      <c r="AY4421" s="436"/>
      <c r="AZ4421" s="475"/>
      <c r="BA4421" s="475"/>
      <c r="BF4421" s="1119"/>
      <c r="BG4421" s="1119"/>
      <c r="BH4421" s="1119"/>
    </row>
    <row r="4422" spans="1:60" ht="15.75" customHeight="1">
      <c r="A4422" s="436"/>
      <c r="C4422" s="436"/>
      <c r="D4422" s="436"/>
      <c r="E4422" s="436"/>
      <c r="F4422" s="436"/>
      <c r="H4422" s="467"/>
      <c r="I4422" s="467"/>
      <c r="J4422" s="469"/>
      <c r="AL4422" s="436"/>
      <c r="AM4422" s="436"/>
      <c r="AQ4422" s="436"/>
      <c r="AR4422" s="436"/>
      <c r="AS4422" s="436"/>
      <c r="AT4422" s="436"/>
      <c r="AU4422" s="436"/>
      <c r="AV4422" s="436"/>
      <c r="AW4422" s="436"/>
      <c r="AX4422" s="436"/>
      <c r="AY4422" s="436"/>
      <c r="AZ4422" s="475"/>
      <c r="BA4422" s="475"/>
      <c r="BF4422" s="1119"/>
      <c r="BG4422" s="1119"/>
      <c r="BH4422" s="1119"/>
    </row>
    <row r="4423" spans="1:60" ht="15.75" customHeight="1">
      <c r="A4423" s="436"/>
      <c r="C4423" s="436"/>
      <c r="D4423" s="436"/>
      <c r="E4423" s="436"/>
      <c r="F4423" s="436"/>
      <c r="H4423" s="467"/>
      <c r="I4423" s="467"/>
      <c r="J4423" s="469"/>
      <c r="AL4423" s="436"/>
      <c r="AM4423" s="436"/>
      <c r="AQ4423" s="436"/>
      <c r="AR4423" s="436"/>
      <c r="AS4423" s="436"/>
      <c r="AT4423" s="436"/>
      <c r="AU4423" s="436"/>
      <c r="AV4423" s="436"/>
      <c r="AW4423" s="436"/>
      <c r="AX4423" s="436"/>
      <c r="AY4423" s="436"/>
      <c r="AZ4423" s="475"/>
      <c r="BA4423" s="475"/>
      <c r="BF4423" s="1119"/>
      <c r="BG4423" s="1119"/>
      <c r="BH4423" s="1119"/>
    </row>
    <row r="4424" spans="1:60" ht="15.75" customHeight="1">
      <c r="A4424" s="436"/>
      <c r="C4424" s="436"/>
      <c r="D4424" s="436"/>
      <c r="E4424" s="436"/>
      <c r="F4424" s="436"/>
      <c r="H4424" s="467"/>
      <c r="I4424" s="467"/>
      <c r="J4424" s="469"/>
      <c r="AL4424" s="436"/>
      <c r="AM4424" s="436"/>
      <c r="AQ4424" s="436"/>
      <c r="AR4424" s="436"/>
      <c r="AS4424" s="436"/>
      <c r="AT4424" s="436"/>
      <c r="AU4424" s="436"/>
      <c r="AV4424" s="436"/>
      <c r="AW4424" s="436"/>
      <c r="AX4424" s="436"/>
      <c r="AY4424" s="436"/>
      <c r="AZ4424" s="475"/>
      <c r="BA4424" s="475"/>
      <c r="BF4424" s="1119"/>
      <c r="BG4424" s="1119"/>
      <c r="BH4424" s="1119"/>
    </row>
    <row r="4425" spans="1:60" ht="15.75" customHeight="1">
      <c r="A4425" s="436"/>
      <c r="C4425" s="436"/>
      <c r="D4425" s="436"/>
      <c r="E4425" s="436"/>
      <c r="F4425" s="436"/>
      <c r="H4425" s="467"/>
      <c r="I4425" s="467"/>
      <c r="J4425" s="469"/>
      <c r="AL4425" s="436"/>
      <c r="AM4425" s="436"/>
      <c r="AQ4425" s="436"/>
      <c r="AR4425" s="436"/>
      <c r="AS4425" s="436"/>
      <c r="AT4425" s="436"/>
      <c r="AU4425" s="436"/>
      <c r="AV4425" s="436"/>
      <c r="AW4425" s="436"/>
      <c r="AX4425" s="436"/>
      <c r="AY4425" s="436"/>
      <c r="AZ4425" s="475"/>
      <c r="BA4425" s="475"/>
      <c r="BF4425" s="1119"/>
      <c r="BG4425" s="1119"/>
      <c r="BH4425" s="1119"/>
    </row>
    <row r="4426" spans="1:60" ht="15.75" customHeight="1">
      <c r="A4426" s="436"/>
      <c r="C4426" s="436"/>
      <c r="D4426" s="436"/>
      <c r="E4426" s="436"/>
      <c r="F4426" s="436"/>
      <c r="H4426" s="467"/>
      <c r="I4426" s="467"/>
      <c r="J4426" s="469"/>
      <c r="AL4426" s="436"/>
      <c r="AM4426" s="436"/>
      <c r="AQ4426" s="436"/>
      <c r="AR4426" s="436"/>
      <c r="AS4426" s="436"/>
      <c r="AT4426" s="436"/>
      <c r="AU4426" s="436"/>
      <c r="AV4426" s="436"/>
      <c r="AW4426" s="436"/>
      <c r="AX4426" s="436"/>
      <c r="AY4426" s="436"/>
      <c r="AZ4426" s="475"/>
      <c r="BA4426" s="475"/>
      <c r="BF4426" s="1119"/>
      <c r="BG4426" s="1119"/>
      <c r="BH4426" s="1119"/>
    </row>
    <row r="4427" spans="1:60" ht="15.75" customHeight="1">
      <c r="A4427" s="436"/>
      <c r="C4427" s="436"/>
      <c r="D4427" s="436"/>
      <c r="E4427" s="436"/>
      <c r="F4427" s="436"/>
      <c r="H4427" s="467"/>
      <c r="I4427" s="467"/>
      <c r="J4427" s="469"/>
      <c r="AL4427" s="436"/>
      <c r="AM4427" s="436"/>
      <c r="AQ4427" s="436"/>
      <c r="AR4427" s="436"/>
      <c r="AS4427" s="436"/>
      <c r="AT4427" s="436"/>
      <c r="AU4427" s="436"/>
      <c r="AV4427" s="436"/>
      <c r="AW4427" s="436"/>
      <c r="AX4427" s="436"/>
      <c r="AY4427" s="436"/>
      <c r="AZ4427" s="475"/>
      <c r="BA4427" s="475"/>
      <c r="BF4427" s="1119"/>
      <c r="BG4427" s="1119"/>
      <c r="BH4427" s="1119"/>
    </row>
    <row r="4428" spans="1:60" ht="15.75" customHeight="1">
      <c r="A4428" s="436"/>
      <c r="C4428" s="436"/>
      <c r="D4428" s="436"/>
      <c r="E4428" s="436"/>
      <c r="F4428" s="436"/>
      <c r="H4428" s="467"/>
      <c r="I4428" s="467"/>
      <c r="J4428" s="469"/>
      <c r="AL4428" s="436"/>
      <c r="AM4428" s="436"/>
      <c r="AQ4428" s="436"/>
      <c r="AR4428" s="436"/>
      <c r="AS4428" s="436"/>
      <c r="AT4428" s="436"/>
      <c r="AU4428" s="436"/>
      <c r="AV4428" s="436"/>
      <c r="AW4428" s="436"/>
      <c r="AX4428" s="436"/>
      <c r="AY4428" s="436"/>
      <c r="AZ4428" s="475"/>
      <c r="BA4428" s="475"/>
      <c r="BF4428" s="1119"/>
      <c r="BG4428" s="1119"/>
      <c r="BH4428" s="1119"/>
    </row>
    <row r="4429" spans="1:60" ht="15.75" customHeight="1">
      <c r="A4429" s="436"/>
      <c r="C4429" s="436"/>
      <c r="D4429" s="436"/>
      <c r="E4429" s="436"/>
      <c r="F4429" s="436"/>
      <c r="H4429" s="467"/>
      <c r="I4429" s="467"/>
      <c r="J4429" s="469"/>
      <c r="AL4429" s="436"/>
      <c r="AM4429" s="436"/>
      <c r="AQ4429" s="436"/>
      <c r="AR4429" s="436"/>
      <c r="AS4429" s="436"/>
      <c r="AT4429" s="436"/>
      <c r="AU4429" s="436"/>
      <c r="AV4429" s="436"/>
      <c r="AW4429" s="436"/>
      <c r="AX4429" s="436"/>
      <c r="AY4429" s="436"/>
      <c r="AZ4429" s="475"/>
      <c r="BA4429" s="475"/>
      <c r="BF4429" s="1119"/>
      <c r="BG4429" s="1119"/>
      <c r="BH4429" s="1119"/>
    </row>
    <row r="4430" spans="1:60" ht="15.75" customHeight="1">
      <c r="A4430" s="436"/>
      <c r="C4430" s="436"/>
      <c r="D4430" s="436"/>
      <c r="E4430" s="436"/>
      <c r="F4430" s="436"/>
      <c r="H4430" s="467"/>
      <c r="I4430" s="467"/>
      <c r="J4430" s="469"/>
      <c r="AL4430" s="436"/>
      <c r="AM4430" s="436"/>
      <c r="AQ4430" s="436"/>
      <c r="AR4430" s="436"/>
      <c r="AS4430" s="436"/>
      <c r="AT4430" s="436"/>
      <c r="AU4430" s="436"/>
      <c r="AV4430" s="436"/>
      <c r="AW4430" s="436"/>
      <c r="AX4430" s="436"/>
      <c r="AY4430" s="436"/>
      <c r="AZ4430" s="475"/>
      <c r="BA4430" s="475"/>
      <c r="BF4430" s="1119"/>
      <c r="BG4430" s="1119"/>
      <c r="BH4430" s="1119"/>
    </row>
    <row r="4431" spans="1:60" ht="15.75" customHeight="1">
      <c r="A4431" s="436"/>
      <c r="C4431" s="436"/>
      <c r="D4431" s="436"/>
      <c r="E4431" s="436"/>
      <c r="F4431" s="436"/>
      <c r="H4431" s="467"/>
      <c r="I4431" s="467"/>
      <c r="J4431" s="469"/>
      <c r="AL4431" s="436"/>
      <c r="AM4431" s="436"/>
      <c r="AQ4431" s="436"/>
      <c r="AR4431" s="436"/>
      <c r="AS4431" s="436"/>
      <c r="AT4431" s="436"/>
      <c r="AU4431" s="436"/>
      <c r="AV4431" s="436"/>
      <c r="AW4431" s="436"/>
      <c r="AX4431" s="436"/>
      <c r="AY4431" s="436"/>
      <c r="AZ4431" s="475"/>
      <c r="BA4431" s="475"/>
      <c r="BF4431" s="1119"/>
      <c r="BG4431" s="1119"/>
      <c r="BH4431" s="1119"/>
    </row>
    <row r="4432" spans="1:60" ht="15.75" customHeight="1">
      <c r="A4432" s="436"/>
      <c r="C4432" s="436"/>
      <c r="D4432" s="436"/>
      <c r="E4432" s="436"/>
      <c r="F4432" s="436"/>
      <c r="H4432" s="467"/>
      <c r="I4432" s="467"/>
      <c r="J4432" s="469"/>
      <c r="AL4432" s="436"/>
      <c r="AM4432" s="436"/>
      <c r="AQ4432" s="436"/>
      <c r="AR4432" s="436"/>
      <c r="AS4432" s="436"/>
      <c r="AT4432" s="436"/>
      <c r="AU4432" s="436"/>
      <c r="AV4432" s="436"/>
      <c r="AW4432" s="436"/>
      <c r="AX4432" s="436"/>
      <c r="AY4432" s="436"/>
      <c r="AZ4432" s="475"/>
      <c r="BA4432" s="475"/>
      <c r="BF4432" s="1119"/>
      <c r="BG4432" s="1119"/>
      <c r="BH4432" s="1119"/>
    </row>
    <row r="4433" spans="1:60" ht="15.75" customHeight="1">
      <c r="A4433" s="436"/>
      <c r="C4433" s="436"/>
      <c r="D4433" s="436"/>
      <c r="E4433" s="436"/>
      <c r="F4433" s="436"/>
      <c r="H4433" s="467"/>
      <c r="I4433" s="467"/>
      <c r="J4433" s="469"/>
      <c r="AL4433" s="436"/>
      <c r="AM4433" s="436"/>
      <c r="AQ4433" s="436"/>
      <c r="AR4433" s="436"/>
      <c r="AS4433" s="436"/>
      <c r="AT4433" s="436"/>
      <c r="AU4433" s="436"/>
      <c r="AV4433" s="436"/>
      <c r="AW4433" s="436"/>
      <c r="AX4433" s="436"/>
      <c r="AY4433" s="436"/>
      <c r="AZ4433" s="475"/>
      <c r="BA4433" s="475"/>
      <c r="BF4433" s="1119"/>
      <c r="BG4433" s="1119"/>
      <c r="BH4433" s="1119"/>
    </row>
    <row r="4434" spans="1:60" ht="15.75" customHeight="1">
      <c r="A4434" s="436"/>
      <c r="C4434" s="436"/>
      <c r="D4434" s="436"/>
      <c r="E4434" s="436"/>
      <c r="F4434" s="436"/>
      <c r="H4434" s="467"/>
      <c r="I4434" s="467"/>
      <c r="J4434" s="469"/>
      <c r="AL4434" s="436"/>
      <c r="AM4434" s="436"/>
      <c r="AQ4434" s="436"/>
      <c r="AR4434" s="436"/>
      <c r="AS4434" s="436"/>
      <c r="AT4434" s="436"/>
      <c r="AU4434" s="436"/>
      <c r="AV4434" s="436"/>
      <c r="AW4434" s="436"/>
      <c r="AX4434" s="436"/>
      <c r="AY4434" s="436"/>
      <c r="AZ4434" s="475"/>
      <c r="BA4434" s="475"/>
      <c r="BF4434" s="1119"/>
      <c r="BG4434" s="1119"/>
      <c r="BH4434" s="1119"/>
    </row>
    <row r="4435" spans="1:60" ht="15.75" customHeight="1">
      <c r="A4435" s="436"/>
      <c r="C4435" s="436"/>
      <c r="D4435" s="436"/>
      <c r="E4435" s="436"/>
      <c r="F4435" s="436"/>
      <c r="H4435" s="467"/>
      <c r="I4435" s="467"/>
      <c r="J4435" s="469"/>
      <c r="AL4435" s="436"/>
      <c r="AM4435" s="436"/>
      <c r="AQ4435" s="436"/>
      <c r="AR4435" s="436"/>
      <c r="AS4435" s="436"/>
      <c r="AT4435" s="436"/>
      <c r="AU4435" s="436"/>
      <c r="AV4435" s="436"/>
      <c r="AW4435" s="436"/>
      <c r="AX4435" s="436"/>
      <c r="AY4435" s="436"/>
      <c r="AZ4435" s="475"/>
      <c r="BA4435" s="475"/>
      <c r="BF4435" s="1119"/>
      <c r="BG4435" s="1119"/>
      <c r="BH4435" s="1119"/>
    </row>
    <row r="4436" spans="1:60" ht="15.75" customHeight="1">
      <c r="A4436" s="436"/>
      <c r="C4436" s="436"/>
      <c r="D4436" s="436"/>
      <c r="E4436" s="436"/>
      <c r="F4436" s="436"/>
      <c r="H4436" s="467"/>
      <c r="I4436" s="467"/>
      <c r="J4436" s="469"/>
      <c r="AL4436" s="436"/>
      <c r="AM4436" s="436"/>
      <c r="AQ4436" s="436"/>
      <c r="AR4436" s="436"/>
      <c r="AS4436" s="436"/>
      <c r="AT4436" s="436"/>
      <c r="AU4436" s="436"/>
      <c r="AV4436" s="436"/>
      <c r="AW4436" s="436"/>
      <c r="AX4436" s="436"/>
      <c r="AY4436" s="436"/>
      <c r="AZ4436" s="475"/>
      <c r="BA4436" s="475"/>
      <c r="BF4436" s="1119"/>
      <c r="BG4436" s="1119"/>
      <c r="BH4436" s="1119"/>
    </row>
    <row r="4437" spans="1:60" ht="15.75" customHeight="1">
      <c r="A4437" s="436"/>
      <c r="C4437" s="436"/>
      <c r="D4437" s="436"/>
      <c r="E4437" s="436"/>
      <c r="F4437" s="436"/>
      <c r="H4437" s="467"/>
      <c r="I4437" s="467"/>
      <c r="J4437" s="469"/>
      <c r="AL4437" s="436"/>
      <c r="AM4437" s="436"/>
      <c r="AQ4437" s="436"/>
      <c r="AR4437" s="436"/>
      <c r="AS4437" s="436"/>
      <c r="AT4437" s="436"/>
      <c r="AU4437" s="436"/>
      <c r="AV4437" s="436"/>
      <c r="AW4437" s="436"/>
      <c r="AX4437" s="436"/>
      <c r="AY4437" s="436"/>
      <c r="AZ4437" s="475"/>
      <c r="BA4437" s="475"/>
      <c r="BF4437" s="1119"/>
      <c r="BG4437" s="1119"/>
      <c r="BH4437" s="1119"/>
    </row>
    <row r="4438" spans="1:60" ht="15.75" customHeight="1">
      <c r="A4438" s="436"/>
      <c r="C4438" s="436"/>
      <c r="D4438" s="436"/>
      <c r="E4438" s="436"/>
      <c r="F4438" s="436"/>
      <c r="H4438" s="467"/>
      <c r="I4438" s="467"/>
      <c r="J4438" s="469"/>
      <c r="AL4438" s="436"/>
      <c r="AM4438" s="436"/>
      <c r="AQ4438" s="436"/>
      <c r="AR4438" s="436"/>
      <c r="AS4438" s="436"/>
      <c r="AT4438" s="436"/>
      <c r="AU4438" s="436"/>
      <c r="AV4438" s="436"/>
      <c r="AW4438" s="436"/>
      <c r="AX4438" s="436"/>
      <c r="AY4438" s="436"/>
      <c r="AZ4438" s="475"/>
      <c r="BA4438" s="475"/>
      <c r="BF4438" s="1119"/>
      <c r="BG4438" s="1119"/>
      <c r="BH4438" s="1119"/>
    </row>
    <row r="4439" spans="1:60" ht="15.75" customHeight="1">
      <c r="A4439" s="436"/>
      <c r="C4439" s="436"/>
      <c r="D4439" s="436"/>
      <c r="E4439" s="436"/>
      <c r="F4439" s="436"/>
      <c r="H4439" s="467"/>
      <c r="I4439" s="467"/>
      <c r="J4439" s="469"/>
      <c r="AL4439" s="436"/>
      <c r="AM4439" s="436"/>
      <c r="AQ4439" s="436"/>
      <c r="AR4439" s="436"/>
      <c r="AS4439" s="436"/>
      <c r="AT4439" s="436"/>
      <c r="AU4439" s="436"/>
      <c r="AV4439" s="436"/>
      <c r="AW4439" s="436"/>
      <c r="AX4439" s="436"/>
      <c r="AY4439" s="436"/>
      <c r="AZ4439" s="475"/>
      <c r="BA4439" s="475"/>
      <c r="BF4439" s="1119"/>
      <c r="BG4439" s="1119"/>
      <c r="BH4439" s="1119"/>
    </row>
    <row r="4440" spans="1:60" ht="15.75" customHeight="1">
      <c r="A4440" s="436"/>
      <c r="C4440" s="436"/>
      <c r="D4440" s="436"/>
      <c r="E4440" s="436"/>
      <c r="F4440" s="436"/>
      <c r="H4440" s="467"/>
      <c r="I4440" s="467"/>
      <c r="J4440" s="469"/>
      <c r="AL4440" s="436"/>
      <c r="AM4440" s="436"/>
      <c r="AQ4440" s="436"/>
      <c r="AR4440" s="436"/>
      <c r="AS4440" s="436"/>
      <c r="AT4440" s="436"/>
      <c r="AU4440" s="436"/>
      <c r="AV4440" s="436"/>
      <c r="AW4440" s="436"/>
      <c r="AX4440" s="436"/>
      <c r="AY4440" s="436"/>
      <c r="AZ4440" s="475"/>
      <c r="BA4440" s="475"/>
      <c r="BF4440" s="1119"/>
      <c r="BG4440" s="1119"/>
      <c r="BH4440" s="1119"/>
    </row>
    <row r="4441" spans="1:60" ht="15.75" customHeight="1">
      <c r="A4441" s="436"/>
      <c r="C4441" s="436"/>
      <c r="D4441" s="436"/>
      <c r="E4441" s="436"/>
      <c r="F4441" s="436"/>
      <c r="H4441" s="467"/>
      <c r="I4441" s="467"/>
      <c r="J4441" s="469"/>
      <c r="AL4441" s="436"/>
      <c r="AM4441" s="436"/>
      <c r="AQ4441" s="436"/>
      <c r="AR4441" s="436"/>
      <c r="AS4441" s="436"/>
      <c r="AT4441" s="436"/>
      <c r="AU4441" s="436"/>
      <c r="AV4441" s="436"/>
      <c r="AW4441" s="436"/>
      <c r="AX4441" s="436"/>
      <c r="AY4441" s="436"/>
      <c r="AZ4441" s="475"/>
      <c r="BA4441" s="475"/>
      <c r="BF4441" s="1119"/>
      <c r="BG4441" s="1119"/>
      <c r="BH4441" s="1119"/>
    </row>
    <row r="4442" spans="1:60" ht="15.75" customHeight="1">
      <c r="A4442" s="436"/>
      <c r="C4442" s="436"/>
      <c r="D4442" s="436"/>
      <c r="E4442" s="436"/>
      <c r="F4442" s="436"/>
      <c r="H4442" s="467"/>
      <c r="I4442" s="467"/>
      <c r="J4442" s="469"/>
      <c r="AL4442" s="436"/>
      <c r="AM4442" s="436"/>
      <c r="AQ4442" s="436"/>
      <c r="AR4442" s="436"/>
      <c r="AS4442" s="436"/>
      <c r="AT4442" s="436"/>
      <c r="AU4442" s="436"/>
      <c r="AV4442" s="436"/>
      <c r="AW4442" s="436"/>
      <c r="AX4442" s="436"/>
      <c r="AY4442" s="436"/>
      <c r="AZ4442" s="475"/>
      <c r="BA4442" s="475"/>
      <c r="BF4442" s="1119"/>
      <c r="BG4442" s="1119"/>
      <c r="BH4442" s="1119"/>
    </row>
    <row r="4443" spans="1:60" ht="15.75" customHeight="1">
      <c r="A4443" s="436"/>
      <c r="C4443" s="436"/>
      <c r="D4443" s="436"/>
      <c r="E4443" s="436"/>
      <c r="F4443" s="436"/>
      <c r="H4443" s="467"/>
      <c r="I4443" s="467"/>
      <c r="J4443" s="469"/>
      <c r="AL4443" s="436"/>
      <c r="AM4443" s="436"/>
      <c r="AQ4443" s="436"/>
      <c r="AR4443" s="436"/>
      <c r="AS4443" s="436"/>
      <c r="AT4443" s="436"/>
      <c r="AU4443" s="436"/>
      <c r="AV4443" s="436"/>
      <c r="AW4443" s="436"/>
      <c r="AX4443" s="436"/>
      <c r="AY4443" s="436"/>
      <c r="AZ4443" s="475"/>
      <c r="BA4443" s="475"/>
      <c r="BF4443" s="1119"/>
      <c r="BG4443" s="1119"/>
      <c r="BH4443" s="1119"/>
    </row>
    <row r="4444" spans="1:60" ht="15.75" customHeight="1">
      <c r="A4444" s="436"/>
      <c r="C4444" s="436"/>
      <c r="D4444" s="436"/>
      <c r="E4444" s="436"/>
      <c r="F4444" s="436"/>
      <c r="H4444" s="467"/>
      <c r="I4444" s="467"/>
      <c r="J4444" s="469"/>
      <c r="AL4444" s="436"/>
      <c r="AM4444" s="436"/>
      <c r="AQ4444" s="436"/>
      <c r="AR4444" s="436"/>
      <c r="AS4444" s="436"/>
      <c r="AT4444" s="436"/>
      <c r="AU4444" s="436"/>
      <c r="AV4444" s="436"/>
      <c r="AW4444" s="436"/>
      <c r="AX4444" s="436"/>
      <c r="AY4444" s="436"/>
      <c r="AZ4444" s="475"/>
      <c r="BA4444" s="475"/>
      <c r="BF4444" s="1119"/>
      <c r="BG4444" s="1119"/>
      <c r="BH4444" s="1119"/>
    </row>
    <row r="4445" spans="1:60" ht="15.75" customHeight="1">
      <c r="A4445" s="436"/>
      <c r="C4445" s="436"/>
      <c r="D4445" s="436"/>
      <c r="E4445" s="436"/>
      <c r="F4445" s="436"/>
      <c r="H4445" s="467"/>
      <c r="I4445" s="467"/>
      <c r="J4445" s="469"/>
      <c r="AL4445" s="436"/>
      <c r="AM4445" s="436"/>
      <c r="AQ4445" s="436"/>
      <c r="AR4445" s="436"/>
      <c r="AS4445" s="436"/>
      <c r="AT4445" s="436"/>
      <c r="AU4445" s="436"/>
      <c r="AV4445" s="436"/>
      <c r="AW4445" s="436"/>
      <c r="AX4445" s="436"/>
      <c r="AY4445" s="436"/>
      <c r="AZ4445" s="475"/>
      <c r="BA4445" s="475"/>
      <c r="BF4445" s="1119"/>
      <c r="BG4445" s="1119"/>
      <c r="BH4445" s="1119"/>
    </row>
    <row r="4446" spans="1:60" ht="15.75" customHeight="1">
      <c r="A4446" s="436"/>
      <c r="C4446" s="436"/>
      <c r="D4446" s="436"/>
      <c r="E4446" s="436"/>
      <c r="F4446" s="436"/>
      <c r="H4446" s="467"/>
      <c r="I4446" s="467"/>
      <c r="J4446" s="469"/>
      <c r="AL4446" s="436"/>
      <c r="AM4446" s="436"/>
      <c r="AQ4446" s="436"/>
      <c r="AR4446" s="436"/>
      <c r="AS4446" s="436"/>
      <c r="AT4446" s="436"/>
      <c r="AU4446" s="436"/>
      <c r="AV4446" s="436"/>
      <c r="AW4446" s="436"/>
      <c r="AX4446" s="436"/>
      <c r="AY4446" s="436"/>
      <c r="AZ4446" s="475"/>
      <c r="BA4446" s="475"/>
      <c r="BF4446" s="1119"/>
      <c r="BG4446" s="1119"/>
      <c r="BH4446" s="1119"/>
    </row>
    <row r="4447" spans="1:60" ht="15.75" customHeight="1">
      <c r="A4447" s="436"/>
      <c r="C4447" s="436"/>
      <c r="D4447" s="436"/>
      <c r="E4447" s="436"/>
      <c r="F4447" s="436"/>
      <c r="H4447" s="467"/>
      <c r="I4447" s="467"/>
      <c r="J4447" s="469"/>
      <c r="AL4447" s="436"/>
      <c r="AM4447" s="436"/>
      <c r="AQ4447" s="436"/>
      <c r="AR4447" s="436"/>
      <c r="AS4447" s="436"/>
      <c r="AT4447" s="436"/>
      <c r="AU4447" s="436"/>
      <c r="AV4447" s="436"/>
      <c r="AW4447" s="436"/>
      <c r="AX4447" s="436"/>
      <c r="AY4447" s="436"/>
      <c r="AZ4447" s="475"/>
      <c r="BA4447" s="475"/>
      <c r="BF4447" s="1119"/>
      <c r="BG4447" s="1119"/>
      <c r="BH4447" s="1119"/>
    </row>
    <row r="4448" spans="1:60" ht="15.75" customHeight="1">
      <c r="A4448" s="436"/>
      <c r="C4448" s="436"/>
      <c r="D4448" s="436"/>
      <c r="E4448" s="436"/>
      <c r="F4448" s="436"/>
      <c r="H4448" s="467"/>
      <c r="I4448" s="467"/>
      <c r="J4448" s="469"/>
      <c r="AL4448" s="436"/>
      <c r="AM4448" s="436"/>
      <c r="AQ4448" s="436"/>
      <c r="AR4448" s="436"/>
      <c r="AS4448" s="436"/>
      <c r="AT4448" s="436"/>
      <c r="AU4448" s="436"/>
      <c r="AV4448" s="436"/>
      <c r="AW4448" s="436"/>
      <c r="AX4448" s="436"/>
      <c r="AY4448" s="436"/>
      <c r="AZ4448" s="475"/>
      <c r="BA4448" s="475"/>
      <c r="BF4448" s="1119"/>
      <c r="BG4448" s="1119"/>
      <c r="BH4448" s="1119"/>
    </row>
    <row r="4449" spans="1:60" ht="15.75" customHeight="1">
      <c r="A4449" s="436"/>
      <c r="C4449" s="436"/>
      <c r="D4449" s="436"/>
      <c r="E4449" s="436"/>
      <c r="F4449" s="436"/>
      <c r="H4449" s="467"/>
      <c r="I4449" s="467"/>
      <c r="J4449" s="469"/>
      <c r="AL4449" s="436"/>
      <c r="AM4449" s="436"/>
      <c r="AQ4449" s="436"/>
      <c r="AR4449" s="436"/>
      <c r="AS4449" s="436"/>
      <c r="AT4449" s="436"/>
      <c r="AU4449" s="436"/>
      <c r="AV4449" s="436"/>
      <c r="AW4449" s="436"/>
      <c r="AX4449" s="436"/>
      <c r="AY4449" s="436"/>
      <c r="AZ4449" s="475"/>
      <c r="BA4449" s="475"/>
      <c r="BF4449" s="1119"/>
      <c r="BG4449" s="1119"/>
      <c r="BH4449" s="1119"/>
    </row>
    <row r="4450" spans="1:60" ht="15.75" customHeight="1">
      <c r="A4450" s="436"/>
      <c r="C4450" s="436"/>
      <c r="D4450" s="436"/>
      <c r="E4450" s="436"/>
      <c r="F4450" s="436"/>
      <c r="H4450" s="467"/>
      <c r="I4450" s="467"/>
      <c r="J4450" s="469"/>
      <c r="AL4450" s="436"/>
      <c r="AM4450" s="436"/>
      <c r="AQ4450" s="436"/>
      <c r="AR4450" s="436"/>
      <c r="AS4450" s="436"/>
      <c r="AT4450" s="436"/>
      <c r="AU4450" s="436"/>
      <c r="AV4450" s="436"/>
      <c r="AW4450" s="436"/>
      <c r="AX4450" s="436"/>
      <c r="AY4450" s="436"/>
      <c r="AZ4450" s="475"/>
      <c r="BA4450" s="475"/>
      <c r="BF4450" s="1119"/>
      <c r="BG4450" s="1119"/>
      <c r="BH4450" s="1119"/>
    </row>
    <row r="4451" spans="1:60" ht="15.75" customHeight="1">
      <c r="A4451" s="436"/>
      <c r="C4451" s="436"/>
      <c r="D4451" s="436"/>
      <c r="E4451" s="436"/>
      <c r="F4451" s="436"/>
      <c r="H4451" s="467"/>
      <c r="I4451" s="467"/>
      <c r="J4451" s="469"/>
      <c r="AL4451" s="436"/>
      <c r="AM4451" s="436"/>
      <c r="AQ4451" s="436"/>
      <c r="AR4451" s="436"/>
      <c r="AS4451" s="436"/>
      <c r="AT4451" s="436"/>
      <c r="AU4451" s="436"/>
      <c r="AV4451" s="436"/>
      <c r="AW4451" s="436"/>
      <c r="AX4451" s="436"/>
      <c r="AY4451" s="436"/>
      <c r="AZ4451" s="475"/>
      <c r="BA4451" s="475"/>
      <c r="BF4451" s="1119"/>
      <c r="BG4451" s="1119"/>
      <c r="BH4451" s="1119"/>
    </row>
    <row r="4452" spans="1:60" ht="15.75" customHeight="1">
      <c r="A4452" s="436"/>
      <c r="C4452" s="436"/>
      <c r="D4452" s="436"/>
      <c r="E4452" s="436"/>
      <c r="F4452" s="436"/>
      <c r="H4452" s="467"/>
      <c r="I4452" s="467"/>
      <c r="J4452" s="469"/>
      <c r="AL4452" s="436"/>
      <c r="AM4452" s="436"/>
      <c r="AQ4452" s="436"/>
      <c r="AR4452" s="436"/>
      <c r="AS4452" s="436"/>
      <c r="AT4452" s="436"/>
      <c r="AU4452" s="436"/>
      <c r="AV4452" s="436"/>
      <c r="AW4452" s="436"/>
      <c r="AX4452" s="436"/>
      <c r="AY4452" s="436"/>
      <c r="AZ4452" s="475"/>
      <c r="BA4452" s="475"/>
      <c r="BF4452" s="1119"/>
      <c r="BG4452" s="1119"/>
      <c r="BH4452" s="1119"/>
    </row>
    <row r="4453" spans="1:60" ht="15.75" customHeight="1">
      <c r="A4453" s="436"/>
      <c r="C4453" s="436"/>
      <c r="D4453" s="436"/>
      <c r="E4453" s="436"/>
      <c r="F4453" s="436"/>
      <c r="H4453" s="467"/>
      <c r="I4453" s="467"/>
      <c r="J4453" s="469"/>
      <c r="AL4453" s="436"/>
      <c r="AM4453" s="436"/>
      <c r="AQ4453" s="436"/>
      <c r="AR4453" s="436"/>
      <c r="AS4453" s="436"/>
      <c r="AT4453" s="436"/>
      <c r="AU4453" s="436"/>
      <c r="AV4453" s="436"/>
      <c r="AW4453" s="436"/>
      <c r="AX4453" s="436"/>
      <c r="AY4453" s="436"/>
      <c r="AZ4453" s="475"/>
      <c r="BA4453" s="475"/>
      <c r="BF4453" s="1119"/>
      <c r="BG4453" s="1119"/>
      <c r="BH4453" s="1119"/>
    </row>
    <row r="4454" spans="1:60" ht="15.75" customHeight="1">
      <c r="A4454" s="436"/>
      <c r="C4454" s="436"/>
      <c r="D4454" s="436"/>
      <c r="E4454" s="436"/>
      <c r="F4454" s="436"/>
      <c r="H4454" s="467"/>
      <c r="I4454" s="467"/>
      <c r="J4454" s="469"/>
      <c r="AL4454" s="436"/>
      <c r="AM4454" s="436"/>
      <c r="AQ4454" s="436"/>
      <c r="AR4454" s="436"/>
      <c r="AS4454" s="436"/>
      <c r="AT4454" s="436"/>
      <c r="AU4454" s="436"/>
      <c r="AV4454" s="436"/>
      <c r="AW4454" s="436"/>
      <c r="AX4454" s="436"/>
      <c r="AY4454" s="436"/>
      <c r="AZ4454" s="475"/>
      <c r="BA4454" s="475"/>
      <c r="BF4454" s="1119"/>
      <c r="BG4454" s="1119"/>
      <c r="BH4454" s="1119"/>
    </row>
    <row r="4455" spans="1:60" ht="15.75" customHeight="1">
      <c r="A4455" s="436"/>
      <c r="C4455" s="436"/>
      <c r="D4455" s="436"/>
      <c r="E4455" s="436"/>
      <c r="F4455" s="436"/>
      <c r="H4455" s="467"/>
      <c r="I4455" s="467"/>
      <c r="J4455" s="469"/>
      <c r="AL4455" s="436"/>
      <c r="AM4455" s="436"/>
      <c r="AQ4455" s="436"/>
      <c r="AR4455" s="436"/>
      <c r="AS4455" s="436"/>
      <c r="AT4455" s="436"/>
      <c r="AU4455" s="436"/>
      <c r="AV4455" s="436"/>
      <c r="AW4455" s="436"/>
      <c r="AX4455" s="436"/>
      <c r="AY4455" s="436"/>
      <c r="AZ4455" s="475"/>
      <c r="BA4455" s="475"/>
      <c r="BF4455" s="1119"/>
      <c r="BG4455" s="1119"/>
      <c r="BH4455" s="1119"/>
    </row>
    <row r="4456" spans="1:60" ht="15.75" customHeight="1">
      <c r="A4456" s="436"/>
      <c r="C4456" s="436"/>
      <c r="D4456" s="436"/>
      <c r="E4456" s="436"/>
      <c r="F4456" s="436"/>
      <c r="H4456" s="467"/>
      <c r="I4456" s="467"/>
      <c r="J4456" s="469"/>
      <c r="AL4456" s="436"/>
      <c r="AM4456" s="436"/>
      <c r="AQ4456" s="436"/>
      <c r="AR4456" s="436"/>
      <c r="AS4456" s="436"/>
      <c r="AT4456" s="436"/>
      <c r="AU4456" s="436"/>
      <c r="AV4456" s="436"/>
      <c r="AW4456" s="436"/>
      <c r="AX4456" s="436"/>
      <c r="AY4456" s="436"/>
      <c r="AZ4456" s="475"/>
      <c r="BA4456" s="475"/>
      <c r="BF4456" s="1119"/>
      <c r="BG4456" s="1119"/>
      <c r="BH4456" s="1119"/>
    </row>
    <row r="4457" spans="1:60" ht="15.75" customHeight="1">
      <c r="A4457" s="436"/>
      <c r="C4457" s="436"/>
      <c r="D4457" s="436"/>
      <c r="E4457" s="436"/>
      <c r="F4457" s="436"/>
      <c r="H4457" s="467"/>
      <c r="I4457" s="467"/>
      <c r="J4457" s="469"/>
      <c r="AL4457" s="436"/>
      <c r="AM4457" s="436"/>
      <c r="AQ4457" s="436"/>
      <c r="AR4457" s="436"/>
      <c r="AS4457" s="436"/>
      <c r="AT4457" s="436"/>
      <c r="AU4457" s="436"/>
      <c r="AV4457" s="436"/>
      <c r="AW4457" s="436"/>
      <c r="AX4457" s="436"/>
      <c r="AY4457" s="436"/>
      <c r="AZ4457" s="475"/>
      <c r="BA4457" s="475"/>
      <c r="BF4457" s="1119"/>
      <c r="BG4457" s="1119"/>
      <c r="BH4457" s="1119"/>
    </row>
    <row r="4458" spans="1:60" ht="15.75" customHeight="1">
      <c r="A4458" s="436"/>
      <c r="C4458" s="436"/>
      <c r="D4458" s="436"/>
      <c r="E4458" s="436"/>
      <c r="F4458" s="436"/>
      <c r="H4458" s="467"/>
      <c r="I4458" s="467"/>
      <c r="J4458" s="469"/>
      <c r="AL4458" s="436"/>
      <c r="AM4458" s="436"/>
      <c r="AQ4458" s="436"/>
      <c r="AR4458" s="436"/>
      <c r="AS4458" s="436"/>
      <c r="AT4458" s="436"/>
      <c r="AU4458" s="436"/>
      <c r="AV4458" s="436"/>
      <c r="AW4458" s="436"/>
      <c r="AX4458" s="436"/>
      <c r="AY4458" s="436"/>
      <c r="AZ4458" s="475"/>
      <c r="BA4458" s="475"/>
      <c r="BF4458" s="1119"/>
      <c r="BG4458" s="1119"/>
      <c r="BH4458" s="1119"/>
    </row>
    <row r="4459" spans="1:60" ht="15.75" customHeight="1">
      <c r="A4459" s="436"/>
      <c r="C4459" s="436"/>
      <c r="D4459" s="436"/>
      <c r="E4459" s="436"/>
      <c r="F4459" s="436"/>
      <c r="H4459" s="467"/>
      <c r="I4459" s="467"/>
      <c r="J4459" s="469"/>
      <c r="AL4459" s="436"/>
      <c r="AM4459" s="436"/>
      <c r="AQ4459" s="436"/>
      <c r="AR4459" s="436"/>
      <c r="AS4459" s="436"/>
      <c r="AT4459" s="436"/>
      <c r="AU4459" s="436"/>
      <c r="AV4459" s="436"/>
      <c r="AW4459" s="436"/>
      <c r="AX4459" s="436"/>
      <c r="AY4459" s="436"/>
      <c r="AZ4459" s="475"/>
      <c r="BA4459" s="475"/>
      <c r="BF4459" s="1119"/>
      <c r="BG4459" s="1119"/>
      <c r="BH4459" s="1119"/>
    </row>
    <row r="4460" spans="1:60" ht="15.75" customHeight="1">
      <c r="A4460" s="436"/>
      <c r="C4460" s="436"/>
      <c r="D4460" s="436"/>
      <c r="E4460" s="436"/>
      <c r="F4460" s="436"/>
      <c r="H4460" s="467"/>
      <c r="I4460" s="467"/>
      <c r="J4460" s="469"/>
      <c r="AL4460" s="436"/>
      <c r="AM4460" s="436"/>
      <c r="AQ4460" s="436"/>
      <c r="AR4460" s="436"/>
      <c r="AS4460" s="436"/>
      <c r="AT4460" s="436"/>
      <c r="AU4460" s="436"/>
      <c r="AV4460" s="436"/>
      <c r="AW4460" s="436"/>
      <c r="AX4460" s="436"/>
      <c r="AY4460" s="436"/>
      <c r="AZ4460" s="475"/>
      <c r="BA4460" s="475"/>
      <c r="BF4460" s="1119"/>
      <c r="BG4460" s="1119"/>
      <c r="BH4460" s="1119"/>
    </row>
    <row r="4461" spans="1:60" ht="15.75" customHeight="1">
      <c r="A4461" s="436"/>
      <c r="C4461" s="436"/>
      <c r="D4461" s="436"/>
      <c r="E4461" s="436"/>
      <c r="F4461" s="436"/>
      <c r="H4461" s="467"/>
      <c r="I4461" s="467"/>
      <c r="J4461" s="469"/>
      <c r="AL4461" s="436"/>
      <c r="AM4461" s="436"/>
      <c r="AQ4461" s="436"/>
      <c r="AR4461" s="436"/>
      <c r="AS4461" s="436"/>
      <c r="AT4461" s="436"/>
      <c r="AU4461" s="436"/>
      <c r="AV4461" s="436"/>
      <c r="AW4461" s="436"/>
      <c r="AX4461" s="436"/>
      <c r="AY4461" s="436"/>
      <c r="AZ4461" s="475"/>
      <c r="BA4461" s="475"/>
      <c r="BF4461" s="1119"/>
      <c r="BG4461" s="1119"/>
      <c r="BH4461" s="1119"/>
    </row>
    <row r="4462" spans="1:60" ht="15.75" customHeight="1">
      <c r="A4462" s="436"/>
      <c r="C4462" s="436"/>
      <c r="D4462" s="436"/>
      <c r="E4462" s="436"/>
      <c r="F4462" s="436"/>
      <c r="H4462" s="467"/>
      <c r="I4462" s="467"/>
      <c r="J4462" s="469"/>
      <c r="AL4462" s="436"/>
      <c r="AM4462" s="436"/>
      <c r="AQ4462" s="436"/>
      <c r="AR4462" s="436"/>
      <c r="AS4462" s="436"/>
      <c r="AT4462" s="436"/>
      <c r="AU4462" s="436"/>
      <c r="AV4462" s="436"/>
      <c r="AW4462" s="436"/>
      <c r="AX4462" s="436"/>
      <c r="AY4462" s="436"/>
      <c r="AZ4462" s="475"/>
      <c r="BA4462" s="475"/>
      <c r="BF4462" s="1119"/>
      <c r="BG4462" s="1119"/>
      <c r="BH4462" s="1119"/>
    </row>
    <row r="4463" spans="1:60" ht="15.75" customHeight="1">
      <c r="A4463" s="436"/>
      <c r="C4463" s="436"/>
      <c r="D4463" s="436"/>
      <c r="E4463" s="436"/>
      <c r="F4463" s="436"/>
      <c r="H4463" s="467"/>
      <c r="I4463" s="467"/>
      <c r="J4463" s="469"/>
      <c r="AL4463" s="436"/>
      <c r="AM4463" s="436"/>
      <c r="AQ4463" s="436"/>
      <c r="AR4463" s="436"/>
      <c r="AS4463" s="436"/>
      <c r="AT4463" s="436"/>
      <c r="AU4463" s="436"/>
      <c r="AV4463" s="436"/>
      <c r="AW4463" s="436"/>
      <c r="AX4463" s="436"/>
      <c r="AY4463" s="436"/>
      <c r="AZ4463" s="475"/>
      <c r="BA4463" s="475"/>
      <c r="BF4463" s="1119"/>
      <c r="BG4463" s="1119"/>
      <c r="BH4463" s="1119"/>
    </row>
    <row r="4464" spans="1:60" ht="15.75" customHeight="1">
      <c r="A4464" s="436"/>
      <c r="C4464" s="436"/>
      <c r="D4464" s="436"/>
      <c r="E4464" s="436"/>
      <c r="F4464" s="436"/>
      <c r="H4464" s="467"/>
      <c r="I4464" s="467"/>
      <c r="J4464" s="469"/>
      <c r="AL4464" s="436"/>
      <c r="AM4464" s="436"/>
      <c r="AQ4464" s="436"/>
      <c r="AR4464" s="436"/>
      <c r="AS4464" s="436"/>
      <c r="AT4464" s="436"/>
      <c r="AU4464" s="436"/>
      <c r="AV4464" s="436"/>
      <c r="AW4464" s="436"/>
      <c r="AX4464" s="436"/>
      <c r="AY4464" s="436"/>
      <c r="AZ4464" s="475"/>
      <c r="BA4464" s="475"/>
      <c r="BF4464" s="1119"/>
      <c r="BG4464" s="1119"/>
      <c r="BH4464" s="1119"/>
    </row>
    <row r="4465" spans="1:60" ht="15.75" customHeight="1">
      <c r="A4465" s="436"/>
      <c r="C4465" s="436"/>
      <c r="D4465" s="436"/>
      <c r="E4465" s="436"/>
      <c r="F4465" s="436"/>
      <c r="H4465" s="467"/>
      <c r="I4465" s="467"/>
      <c r="J4465" s="469"/>
      <c r="AL4465" s="436"/>
      <c r="AM4465" s="436"/>
      <c r="AQ4465" s="436"/>
      <c r="AR4465" s="436"/>
      <c r="AS4465" s="436"/>
      <c r="AT4465" s="436"/>
      <c r="AU4465" s="436"/>
      <c r="AV4465" s="436"/>
      <c r="AW4465" s="436"/>
      <c r="AX4465" s="436"/>
      <c r="AY4465" s="436"/>
      <c r="AZ4465" s="475"/>
      <c r="BA4465" s="475"/>
      <c r="BF4465" s="1119"/>
      <c r="BG4465" s="1119"/>
      <c r="BH4465" s="1119"/>
    </row>
    <row r="4466" spans="1:60" ht="15.75" customHeight="1">
      <c r="A4466" s="436"/>
      <c r="C4466" s="436"/>
      <c r="D4466" s="436"/>
      <c r="E4466" s="436"/>
      <c r="F4466" s="436"/>
      <c r="H4466" s="467"/>
      <c r="I4466" s="467"/>
      <c r="J4466" s="469"/>
      <c r="AL4466" s="436"/>
      <c r="AM4466" s="436"/>
      <c r="AQ4466" s="436"/>
      <c r="AR4466" s="436"/>
      <c r="AS4466" s="436"/>
      <c r="AT4466" s="436"/>
      <c r="AU4466" s="436"/>
      <c r="AV4466" s="436"/>
      <c r="AW4466" s="436"/>
      <c r="AX4466" s="436"/>
      <c r="AY4466" s="436"/>
      <c r="AZ4466" s="475"/>
      <c r="BA4466" s="475"/>
      <c r="BF4466" s="1119"/>
      <c r="BG4466" s="1119"/>
      <c r="BH4466" s="1119"/>
    </row>
    <row r="4467" spans="1:60" ht="15.75" customHeight="1">
      <c r="A4467" s="436"/>
      <c r="C4467" s="436"/>
      <c r="D4467" s="436"/>
      <c r="E4467" s="436"/>
      <c r="F4467" s="436"/>
      <c r="H4467" s="467"/>
      <c r="I4467" s="467"/>
      <c r="J4467" s="469"/>
      <c r="AL4467" s="436"/>
      <c r="AM4467" s="436"/>
      <c r="AQ4467" s="436"/>
      <c r="AR4467" s="436"/>
      <c r="AS4467" s="436"/>
      <c r="AT4467" s="436"/>
      <c r="AU4467" s="436"/>
      <c r="AV4467" s="436"/>
      <c r="AW4467" s="436"/>
      <c r="AX4467" s="436"/>
      <c r="AY4467" s="436"/>
      <c r="AZ4467" s="475"/>
      <c r="BA4467" s="475"/>
      <c r="BF4467" s="1119"/>
      <c r="BG4467" s="1119"/>
      <c r="BH4467" s="1119"/>
    </row>
    <row r="4468" spans="1:60" ht="15.75" customHeight="1">
      <c r="A4468" s="436"/>
      <c r="C4468" s="436"/>
      <c r="D4468" s="436"/>
      <c r="E4468" s="436"/>
      <c r="F4468" s="436"/>
      <c r="H4468" s="467"/>
      <c r="I4468" s="467"/>
      <c r="J4468" s="469"/>
      <c r="AL4468" s="436"/>
      <c r="AM4468" s="436"/>
      <c r="AQ4468" s="436"/>
      <c r="AR4468" s="436"/>
      <c r="AS4468" s="436"/>
      <c r="AT4468" s="436"/>
      <c r="AU4468" s="436"/>
      <c r="AV4468" s="436"/>
      <c r="AW4468" s="436"/>
      <c r="AX4468" s="436"/>
      <c r="AY4468" s="436"/>
      <c r="AZ4468" s="475"/>
      <c r="BA4468" s="475"/>
      <c r="BF4468" s="1119"/>
      <c r="BG4468" s="1119"/>
      <c r="BH4468" s="1119"/>
    </row>
    <row r="4469" spans="1:60" ht="15.75" customHeight="1">
      <c r="A4469" s="436"/>
      <c r="C4469" s="436"/>
      <c r="D4469" s="436"/>
      <c r="E4469" s="436"/>
      <c r="F4469" s="436"/>
      <c r="H4469" s="467"/>
      <c r="I4469" s="467"/>
      <c r="J4469" s="469"/>
      <c r="AL4469" s="436"/>
      <c r="AM4469" s="436"/>
      <c r="AQ4469" s="436"/>
      <c r="AR4469" s="436"/>
      <c r="AS4469" s="436"/>
      <c r="AT4469" s="436"/>
      <c r="AU4469" s="436"/>
      <c r="AV4469" s="436"/>
      <c r="AW4469" s="436"/>
      <c r="AX4469" s="436"/>
      <c r="AY4469" s="436"/>
      <c r="AZ4469" s="475"/>
      <c r="BA4469" s="475"/>
      <c r="BF4469" s="1119"/>
      <c r="BG4469" s="1119"/>
      <c r="BH4469" s="1119"/>
    </row>
    <row r="4470" spans="1:60" ht="15.75" customHeight="1">
      <c r="A4470" s="436"/>
      <c r="C4470" s="436"/>
      <c r="D4470" s="436"/>
      <c r="E4470" s="436"/>
      <c r="F4470" s="436"/>
      <c r="H4470" s="467"/>
      <c r="I4470" s="467"/>
      <c r="J4470" s="469"/>
      <c r="AL4470" s="436"/>
      <c r="AM4470" s="436"/>
      <c r="AQ4470" s="436"/>
      <c r="AR4470" s="436"/>
      <c r="AS4470" s="436"/>
      <c r="AT4470" s="436"/>
      <c r="AU4470" s="436"/>
      <c r="AV4470" s="436"/>
      <c r="AW4470" s="436"/>
      <c r="AX4470" s="436"/>
      <c r="AY4470" s="436"/>
      <c r="AZ4470" s="475"/>
      <c r="BA4470" s="475"/>
      <c r="BF4470" s="1119"/>
      <c r="BG4470" s="1119"/>
      <c r="BH4470" s="1119"/>
    </row>
    <row r="4471" spans="1:60" ht="15.75" customHeight="1">
      <c r="A4471" s="436"/>
      <c r="C4471" s="436"/>
      <c r="D4471" s="436"/>
      <c r="E4471" s="436"/>
      <c r="F4471" s="436"/>
      <c r="H4471" s="467"/>
      <c r="I4471" s="467"/>
      <c r="J4471" s="469"/>
      <c r="AL4471" s="436"/>
      <c r="AM4471" s="436"/>
      <c r="AQ4471" s="436"/>
      <c r="AR4471" s="436"/>
      <c r="AS4471" s="436"/>
      <c r="AT4471" s="436"/>
      <c r="AU4471" s="436"/>
      <c r="AV4471" s="436"/>
      <c r="AW4471" s="436"/>
      <c r="AX4471" s="436"/>
      <c r="AY4471" s="436"/>
      <c r="AZ4471" s="475"/>
      <c r="BA4471" s="475"/>
      <c r="BF4471" s="1119"/>
      <c r="BG4471" s="1119"/>
      <c r="BH4471" s="1119"/>
    </row>
    <row r="4472" spans="1:60" ht="15.75" customHeight="1">
      <c r="A4472" s="436"/>
      <c r="C4472" s="436"/>
      <c r="D4472" s="436"/>
      <c r="E4472" s="436"/>
      <c r="F4472" s="436"/>
      <c r="H4472" s="467"/>
      <c r="I4472" s="467"/>
      <c r="J4472" s="469"/>
      <c r="AL4472" s="436"/>
      <c r="AM4472" s="436"/>
      <c r="AQ4472" s="436"/>
      <c r="AR4472" s="436"/>
      <c r="AS4472" s="436"/>
      <c r="AT4472" s="436"/>
      <c r="AU4472" s="436"/>
      <c r="AV4472" s="436"/>
      <c r="AW4472" s="436"/>
      <c r="AX4472" s="436"/>
      <c r="AY4472" s="436"/>
      <c r="AZ4472" s="475"/>
      <c r="BA4472" s="475"/>
      <c r="BF4472" s="1119"/>
      <c r="BG4472" s="1119"/>
      <c r="BH4472" s="1119"/>
    </row>
    <row r="4473" spans="1:60" ht="15.75" customHeight="1">
      <c r="A4473" s="436"/>
      <c r="C4473" s="436"/>
      <c r="D4473" s="436"/>
      <c r="E4473" s="436"/>
      <c r="F4473" s="436"/>
      <c r="H4473" s="467"/>
      <c r="I4473" s="467"/>
      <c r="J4473" s="469"/>
      <c r="AL4473" s="436"/>
      <c r="AM4473" s="436"/>
      <c r="AQ4473" s="436"/>
      <c r="AR4473" s="436"/>
      <c r="AS4473" s="436"/>
      <c r="AT4473" s="436"/>
      <c r="AU4473" s="436"/>
      <c r="AV4473" s="436"/>
      <c r="AW4473" s="436"/>
      <c r="AX4473" s="436"/>
      <c r="AY4473" s="436"/>
      <c r="AZ4473" s="475"/>
      <c r="BA4473" s="475"/>
      <c r="BF4473" s="1119"/>
      <c r="BG4473" s="1119"/>
      <c r="BH4473" s="1119"/>
    </row>
    <row r="4474" spans="1:60" ht="15.75" customHeight="1">
      <c r="A4474" s="436"/>
      <c r="C4474" s="436"/>
      <c r="D4474" s="436"/>
      <c r="E4474" s="436"/>
      <c r="F4474" s="436"/>
      <c r="H4474" s="467"/>
      <c r="I4474" s="467"/>
      <c r="J4474" s="469"/>
      <c r="AL4474" s="436"/>
      <c r="AM4474" s="436"/>
      <c r="AQ4474" s="436"/>
      <c r="AR4474" s="436"/>
      <c r="AS4474" s="436"/>
      <c r="AT4474" s="436"/>
      <c r="AU4474" s="436"/>
      <c r="AV4474" s="436"/>
      <c r="AW4474" s="436"/>
      <c r="AX4474" s="436"/>
      <c r="AY4474" s="436"/>
      <c r="AZ4474" s="475"/>
      <c r="BA4474" s="475"/>
      <c r="BF4474" s="1119"/>
      <c r="BG4474" s="1119"/>
      <c r="BH4474" s="1119"/>
    </row>
    <row r="4475" spans="1:60" ht="15.75" customHeight="1">
      <c r="A4475" s="436"/>
      <c r="C4475" s="436"/>
      <c r="D4475" s="436"/>
      <c r="E4475" s="436"/>
      <c r="F4475" s="436"/>
      <c r="H4475" s="467"/>
      <c r="I4475" s="467"/>
      <c r="J4475" s="469"/>
      <c r="AL4475" s="436"/>
      <c r="AM4475" s="436"/>
      <c r="AQ4475" s="436"/>
      <c r="AR4475" s="436"/>
      <c r="AS4475" s="436"/>
      <c r="AT4475" s="436"/>
      <c r="AU4475" s="436"/>
      <c r="AV4475" s="436"/>
      <c r="AW4475" s="436"/>
      <c r="AX4475" s="436"/>
      <c r="AY4475" s="436"/>
      <c r="AZ4475" s="475"/>
      <c r="BA4475" s="475"/>
      <c r="BF4475" s="1119"/>
      <c r="BG4475" s="1119"/>
      <c r="BH4475" s="1119"/>
    </row>
    <row r="4476" spans="1:60" ht="15.75" customHeight="1">
      <c r="A4476" s="436"/>
      <c r="C4476" s="436"/>
      <c r="D4476" s="436"/>
      <c r="E4476" s="436"/>
      <c r="F4476" s="436"/>
      <c r="H4476" s="467"/>
      <c r="I4476" s="467"/>
      <c r="J4476" s="469"/>
      <c r="AL4476" s="436"/>
      <c r="AM4476" s="436"/>
      <c r="AQ4476" s="436"/>
      <c r="AR4476" s="436"/>
      <c r="AS4476" s="436"/>
      <c r="AT4476" s="436"/>
      <c r="AU4476" s="436"/>
      <c r="AV4476" s="436"/>
      <c r="AW4476" s="436"/>
      <c r="AX4476" s="436"/>
      <c r="AY4476" s="436"/>
      <c r="AZ4476" s="475"/>
      <c r="BA4476" s="475"/>
      <c r="BF4476" s="1119"/>
      <c r="BG4476" s="1119"/>
      <c r="BH4476" s="1119"/>
    </row>
    <row r="4477" spans="1:60" ht="15.75" customHeight="1">
      <c r="A4477" s="436"/>
      <c r="C4477" s="436"/>
      <c r="D4477" s="436"/>
      <c r="E4477" s="436"/>
      <c r="F4477" s="436"/>
      <c r="H4477" s="467"/>
      <c r="I4477" s="467"/>
      <c r="J4477" s="469"/>
      <c r="AL4477" s="436"/>
      <c r="AM4477" s="436"/>
      <c r="AQ4477" s="436"/>
      <c r="AR4477" s="436"/>
      <c r="AS4477" s="436"/>
      <c r="AT4477" s="436"/>
      <c r="AU4477" s="436"/>
      <c r="AV4477" s="436"/>
      <c r="AW4477" s="436"/>
      <c r="AX4477" s="436"/>
      <c r="AY4477" s="436"/>
      <c r="AZ4477" s="475"/>
      <c r="BA4477" s="475"/>
      <c r="BF4477" s="1119"/>
      <c r="BG4477" s="1119"/>
      <c r="BH4477" s="1119"/>
    </row>
    <row r="4478" spans="1:60" ht="15.75" customHeight="1">
      <c r="A4478" s="436"/>
      <c r="C4478" s="436"/>
      <c r="D4478" s="436"/>
      <c r="E4478" s="436"/>
      <c r="F4478" s="436"/>
      <c r="H4478" s="467"/>
      <c r="I4478" s="467"/>
      <c r="J4478" s="469"/>
      <c r="AL4478" s="436"/>
      <c r="AM4478" s="436"/>
      <c r="AQ4478" s="436"/>
      <c r="AR4478" s="436"/>
      <c r="AS4478" s="436"/>
      <c r="AT4478" s="436"/>
      <c r="AU4478" s="436"/>
      <c r="AV4478" s="436"/>
      <c r="AW4478" s="436"/>
      <c r="AX4478" s="436"/>
      <c r="AY4478" s="436"/>
      <c r="AZ4478" s="475"/>
      <c r="BA4478" s="475"/>
      <c r="BF4478" s="1119"/>
      <c r="BG4478" s="1119"/>
      <c r="BH4478" s="1119"/>
    </row>
    <row r="4479" spans="1:60" ht="15.75" customHeight="1">
      <c r="A4479" s="436"/>
      <c r="C4479" s="436"/>
      <c r="D4479" s="436"/>
      <c r="E4479" s="436"/>
      <c r="F4479" s="436"/>
      <c r="H4479" s="467"/>
      <c r="I4479" s="467"/>
      <c r="J4479" s="469"/>
      <c r="AL4479" s="436"/>
      <c r="AM4479" s="436"/>
      <c r="AQ4479" s="436"/>
      <c r="AR4479" s="436"/>
      <c r="AS4479" s="436"/>
      <c r="AT4479" s="436"/>
      <c r="AU4479" s="436"/>
      <c r="AV4479" s="436"/>
      <c r="AW4479" s="436"/>
      <c r="AX4479" s="436"/>
      <c r="AY4479" s="436"/>
      <c r="AZ4479" s="475"/>
      <c r="BA4479" s="475"/>
      <c r="BF4479" s="1119"/>
      <c r="BG4479" s="1119"/>
      <c r="BH4479" s="1119"/>
    </row>
    <row r="4480" spans="1:60" ht="15.75" customHeight="1">
      <c r="A4480" s="436"/>
      <c r="C4480" s="436"/>
      <c r="D4480" s="436"/>
      <c r="E4480" s="436"/>
      <c r="F4480" s="436"/>
      <c r="H4480" s="467"/>
      <c r="I4480" s="467"/>
      <c r="J4480" s="469"/>
      <c r="AL4480" s="436"/>
      <c r="AM4480" s="436"/>
      <c r="AQ4480" s="436"/>
      <c r="AR4480" s="436"/>
      <c r="AS4480" s="436"/>
      <c r="AT4480" s="436"/>
      <c r="AU4480" s="436"/>
      <c r="AV4480" s="436"/>
      <c r="AW4480" s="436"/>
      <c r="AX4480" s="436"/>
      <c r="AY4480" s="436"/>
      <c r="AZ4480" s="475"/>
      <c r="BA4480" s="475"/>
      <c r="BF4480" s="1119"/>
      <c r="BG4480" s="1119"/>
      <c r="BH4480" s="1119"/>
    </row>
    <row r="4481" spans="1:60" ht="15.75" customHeight="1">
      <c r="A4481" s="436"/>
      <c r="C4481" s="436"/>
      <c r="D4481" s="436"/>
      <c r="E4481" s="436"/>
      <c r="F4481" s="436"/>
      <c r="H4481" s="467"/>
      <c r="I4481" s="467"/>
      <c r="J4481" s="469"/>
      <c r="AL4481" s="436"/>
      <c r="AM4481" s="436"/>
      <c r="AQ4481" s="436"/>
      <c r="AR4481" s="436"/>
      <c r="AS4481" s="436"/>
      <c r="AT4481" s="436"/>
      <c r="AU4481" s="436"/>
      <c r="AV4481" s="436"/>
      <c r="AW4481" s="436"/>
      <c r="AX4481" s="436"/>
      <c r="AY4481" s="436"/>
      <c r="AZ4481" s="475"/>
      <c r="BA4481" s="475"/>
      <c r="BF4481" s="1119"/>
      <c r="BG4481" s="1119"/>
      <c r="BH4481" s="1119"/>
    </row>
    <row r="4482" spans="1:60" ht="15.75" customHeight="1">
      <c r="A4482" s="436"/>
      <c r="C4482" s="436"/>
      <c r="D4482" s="436"/>
      <c r="E4482" s="436"/>
      <c r="F4482" s="436"/>
      <c r="H4482" s="467"/>
      <c r="I4482" s="467"/>
      <c r="J4482" s="469"/>
      <c r="AL4482" s="436"/>
      <c r="AM4482" s="436"/>
      <c r="AQ4482" s="436"/>
      <c r="AR4482" s="436"/>
      <c r="AS4482" s="436"/>
      <c r="AT4482" s="436"/>
      <c r="AU4482" s="436"/>
      <c r="AV4482" s="436"/>
      <c r="AW4482" s="436"/>
      <c r="AX4482" s="436"/>
      <c r="AY4482" s="436"/>
      <c r="AZ4482" s="475"/>
      <c r="BA4482" s="475"/>
      <c r="BF4482" s="1119"/>
      <c r="BG4482" s="1119"/>
      <c r="BH4482" s="1119"/>
    </row>
    <row r="4483" spans="1:60" ht="15.75" customHeight="1">
      <c r="A4483" s="436"/>
      <c r="C4483" s="436"/>
      <c r="D4483" s="436"/>
      <c r="E4483" s="436"/>
      <c r="F4483" s="436"/>
      <c r="H4483" s="467"/>
      <c r="I4483" s="467"/>
      <c r="J4483" s="469"/>
      <c r="AL4483" s="436"/>
      <c r="AM4483" s="436"/>
      <c r="AQ4483" s="436"/>
      <c r="AR4483" s="436"/>
      <c r="AS4483" s="436"/>
      <c r="AT4483" s="436"/>
      <c r="AU4483" s="436"/>
      <c r="AV4483" s="436"/>
      <c r="AW4483" s="436"/>
      <c r="AX4483" s="436"/>
      <c r="AY4483" s="436"/>
      <c r="AZ4483" s="475"/>
      <c r="BA4483" s="475"/>
      <c r="BF4483" s="1119"/>
      <c r="BG4483" s="1119"/>
      <c r="BH4483" s="1119"/>
    </row>
    <row r="4484" spans="1:60" ht="15.75" customHeight="1">
      <c r="A4484" s="436"/>
      <c r="C4484" s="436"/>
      <c r="D4484" s="436"/>
      <c r="E4484" s="436"/>
      <c r="F4484" s="436"/>
      <c r="H4484" s="467"/>
      <c r="I4484" s="467"/>
      <c r="J4484" s="469"/>
      <c r="AL4484" s="436"/>
      <c r="AM4484" s="436"/>
      <c r="AQ4484" s="436"/>
      <c r="AR4484" s="436"/>
      <c r="AS4484" s="436"/>
      <c r="AT4484" s="436"/>
      <c r="AU4484" s="436"/>
      <c r="AV4484" s="436"/>
      <c r="AW4484" s="436"/>
      <c r="AX4484" s="436"/>
      <c r="AY4484" s="436"/>
      <c r="AZ4484" s="475"/>
      <c r="BA4484" s="475"/>
      <c r="BF4484" s="1119"/>
      <c r="BG4484" s="1119"/>
      <c r="BH4484" s="1119"/>
    </row>
    <row r="4485" spans="1:60" ht="15.75" customHeight="1">
      <c r="A4485" s="436"/>
      <c r="C4485" s="436"/>
      <c r="D4485" s="436"/>
      <c r="E4485" s="436"/>
      <c r="F4485" s="436"/>
      <c r="H4485" s="467"/>
      <c r="I4485" s="467"/>
      <c r="J4485" s="469"/>
      <c r="AL4485" s="436"/>
      <c r="AM4485" s="436"/>
      <c r="AQ4485" s="436"/>
      <c r="AR4485" s="436"/>
      <c r="AS4485" s="436"/>
      <c r="AT4485" s="436"/>
      <c r="AU4485" s="436"/>
      <c r="AV4485" s="436"/>
      <c r="AW4485" s="436"/>
      <c r="AX4485" s="436"/>
      <c r="AY4485" s="436"/>
      <c r="AZ4485" s="475"/>
      <c r="BA4485" s="475"/>
      <c r="BF4485" s="1119"/>
      <c r="BG4485" s="1119"/>
      <c r="BH4485" s="1119"/>
    </row>
    <row r="4486" spans="1:60" ht="15.75" customHeight="1">
      <c r="A4486" s="436"/>
      <c r="C4486" s="436"/>
      <c r="D4486" s="436"/>
      <c r="E4486" s="436"/>
      <c r="F4486" s="436"/>
      <c r="H4486" s="467"/>
      <c r="I4486" s="467"/>
      <c r="J4486" s="469"/>
      <c r="AL4486" s="436"/>
      <c r="AM4486" s="436"/>
      <c r="AQ4486" s="436"/>
      <c r="AR4486" s="436"/>
      <c r="AS4486" s="436"/>
      <c r="AT4486" s="436"/>
      <c r="AU4486" s="436"/>
      <c r="AV4486" s="436"/>
      <c r="AW4486" s="436"/>
      <c r="AX4486" s="436"/>
      <c r="AY4486" s="436"/>
      <c r="AZ4486" s="475"/>
      <c r="BA4486" s="475"/>
      <c r="BF4486" s="1119"/>
      <c r="BG4486" s="1119"/>
      <c r="BH4486" s="1119"/>
    </row>
    <row r="4487" spans="1:60" ht="15.75" customHeight="1">
      <c r="A4487" s="436"/>
      <c r="C4487" s="436"/>
      <c r="D4487" s="436"/>
      <c r="E4487" s="436"/>
      <c r="F4487" s="436"/>
      <c r="H4487" s="467"/>
      <c r="I4487" s="467"/>
      <c r="J4487" s="469"/>
      <c r="AL4487" s="436"/>
      <c r="AM4487" s="436"/>
      <c r="AQ4487" s="436"/>
      <c r="AR4487" s="436"/>
      <c r="AS4487" s="436"/>
      <c r="AT4487" s="436"/>
      <c r="AU4487" s="436"/>
      <c r="AV4487" s="436"/>
      <c r="AW4487" s="436"/>
      <c r="AX4487" s="436"/>
      <c r="AY4487" s="436"/>
      <c r="AZ4487" s="475"/>
      <c r="BA4487" s="475"/>
      <c r="BF4487" s="1119"/>
      <c r="BG4487" s="1119"/>
      <c r="BH4487" s="1119"/>
    </row>
    <row r="4488" spans="1:60" ht="15.75" customHeight="1">
      <c r="A4488" s="436"/>
      <c r="C4488" s="436"/>
      <c r="D4488" s="436"/>
      <c r="E4488" s="436"/>
      <c r="F4488" s="436"/>
      <c r="H4488" s="467"/>
      <c r="I4488" s="467"/>
      <c r="J4488" s="469"/>
      <c r="AL4488" s="436"/>
      <c r="AM4488" s="436"/>
      <c r="AQ4488" s="436"/>
      <c r="AR4488" s="436"/>
      <c r="AS4488" s="436"/>
      <c r="AT4488" s="436"/>
      <c r="AU4488" s="436"/>
      <c r="AV4488" s="436"/>
      <c r="AW4488" s="436"/>
      <c r="AX4488" s="436"/>
      <c r="AY4488" s="436"/>
      <c r="AZ4488" s="475"/>
      <c r="BA4488" s="475"/>
      <c r="BF4488" s="1119"/>
      <c r="BG4488" s="1119"/>
      <c r="BH4488" s="1119"/>
    </row>
    <row r="4489" spans="1:60" ht="15.75" customHeight="1">
      <c r="A4489" s="436"/>
      <c r="C4489" s="436"/>
      <c r="D4489" s="436"/>
      <c r="E4489" s="436"/>
      <c r="F4489" s="436"/>
      <c r="H4489" s="467"/>
      <c r="I4489" s="467"/>
      <c r="J4489" s="469"/>
      <c r="AL4489" s="436"/>
      <c r="AM4489" s="436"/>
      <c r="AQ4489" s="436"/>
      <c r="AR4489" s="436"/>
      <c r="AS4489" s="436"/>
      <c r="AT4489" s="436"/>
      <c r="AU4489" s="436"/>
      <c r="AV4489" s="436"/>
      <c r="AW4489" s="436"/>
      <c r="AX4489" s="436"/>
      <c r="AY4489" s="436"/>
      <c r="AZ4489" s="475"/>
      <c r="BA4489" s="475"/>
      <c r="BF4489" s="1119"/>
      <c r="BG4489" s="1119"/>
      <c r="BH4489" s="1119"/>
    </row>
    <row r="4490" spans="1:60" ht="15.75" customHeight="1">
      <c r="A4490" s="436"/>
      <c r="C4490" s="436"/>
      <c r="D4490" s="436"/>
      <c r="E4490" s="436"/>
      <c r="F4490" s="436"/>
      <c r="H4490" s="467"/>
      <c r="I4490" s="467"/>
      <c r="J4490" s="469"/>
      <c r="AL4490" s="436"/>
      <c r="AM4490" s="436"/>
      <c r="AQ4490" s="436"/>
      <c r="AR4490" s="436"/>
      <c r="AS4490" s="436"/>
      <c r="AT4490" s="436"/>
      <c r="AU4490" s="436"/>
      <c r="AV4490" s="436"/>
      <c r="AW4490" s="436"/>
      <c r="AX4490" s="436"/>
      <c r="AY4490" s="436"/>
      <c r="AZ4490" s="475"/>
      <c r="BA4490" s="475"/>
      <c r="BF4490" s="1119"/>
      <c r="BG4490" s="1119"/>
      <c r="BH4490" s="1119"/>
    </row>
    <row r="4491" spans="1:60" ht="15.75" customHeight="1">
      <c r="A4491" s="436"/>
      <c r="C4491" s="436"/>
      <c r="D4491" s="436"/>
      <c r="E4491" s="436"/>
      <c r="F4491" s="436"/>
      <c r="H4491" s="467"/>
      <c r="I4491" s="467"/>
      <c r="J4491" s="469"/>
      <c r="AL4491" s="436"/>
      <c r="AM4491" s="436"/>
      <c r="AQ4491" s="436"/>
      <c r="AR4491" s="436"/>
      <c r="AS4491" s="436"/>
      <c r="AT4491" s="436"/>
      <c r="AU4491" s="436"/>
      <c r="AV4491" s="436"/>
      <c r="AW4491" s="436"/>
      <c r="AX4491" s="436"/>
      <c r="AY4491" s="436"/>
      <c r="AZ4491" s="475"/>
      <c r="BA4491" s="475"/>
      <c r="BF4491" s="1119"/>
      <c r="BG4491" s="1119"/>
      <c r="BH4491" s="1119"/>
    </row>
    <row r="4492" spans="1:60" ht="15.75" customHeight="1">
      <c r="A4492" s="436"/>
      <c r="C4492" s="436"/>
      <c r="D4492" s="436"/>
      <c r="E4492" s="436"/>
      <c r="F4492" s="436"/>
      <c r="H4492" s="467"/>
      <c r="I4492" s="467"/>
      <c r="J4492" s="469"/>
      <c r="AL4492" s="436"/>
      <c r="AM4492" s="436"/>
      <c r="AQ4492" s="436"/>
      <c r="AR4492" s="436"/>
      <c r="AS4492" s="436"/>
      <c r="AT4492" s="436"/>
      <c r="AU4492" s="436"/>
      <c r="AV4492" s="436"/>
      <c r="AW4492" s="436"/>
      <c r="AX4492" s="436"/>
      <c r="AY4492" s="436"/>
      <c r="AZ4492" s="475"/>
      <c r="BA4492" s="475"/>
      <c r="BF4492" s="1119"/>
      <c r="BG4492" s="1119"/>
      <c r="BH4492" s="1119"/>
    </row>
    <row r="4493" spans="1:60" ht="15.75" customHeight="1">
      <c r="A4493" s="436"/>
      <c r="C4493" s="436"/>
      <c r="D4493" s="436"/>
      <c r="E4493" s="436"/>
      <c r="F4493" s="436"/>
      <c r="H4493" s="467"/>
      <c r="I4493" s="467"/>
      <c r="J4493" s="469"/>
      <c r="AL4493" s="436"/>
      <c r="AM4493" s="436"/>
      <c r="AQ4493" s="436"/>
      <c r="AR4493" s="436"/>
      <c r="AS4493" s="436"/>
      <c r="AT4493" s="436"/>
      <c r="AU4493" s="436"/>
      <c r="AV4493" s="436"/>
      <c r="AW4493" s="436"/>
      <c r="AX4493" s="436"/>
      <c r="AY4493" s="436"/>
      <c r="AZ4493" s="475"/>
      <c r="BA4493" s="475"/>
      <c r="BF4493" s="1119"/>
      <c r="BG4493" s="1119"/>
      <c r="BH4493" s="1119"/>
    </row>
    <row r="4494" spans="1:60" ht="15.75" customHeight="1">
      <c r="A4494" s="436"/>
      <c r="C4494" s="436"/>
      <c r="D4494" s="436"/>
      <c r="E4494" s="436"/>
      <c r="F4494" s="436"/>
      <c r="H4494" s="467"/>
      <c r="I4494" s="467"/>
      <c r="J4494" s="469"/>
      <c r="AL4494" s="436"/>
      <c r="AM4494" s="436"/>
      <c r="AQ4494" s="436"/>
      <c r="AR4494" s="436"/>
      <c r="AS4494" s="436"/>
      <c r="AT4494" s="436"/>
      <c r="AU4494" s="436"/>
      <c r="AV4494" s="436"/>
      <c r="AW4494" s="436"/>
      <c r="AX4494" s="436"/>
      <c r="AY4494" s="436"/>
      <c r="AZ4494" s="475"/>
      <c r="BA4494" s="475"/>
      <c r="BF4494" s="1119"/>
      <c r="BG4494" s="1119"/>
      <c r="BH4494" s="1119"/>
    </row>
    <row r="4495" spans="1:60" ht="15.75" customHeight="1">
      <c r="A4495" s="436"/>
      <c r="C4495" s="436"/>
      <c r="D4495" s="436"/>
      <c r="E4495" s="436"/>
      <c r="F4495" s="436"/>
      <c r="H4495" s="467"/>
      <c r="I4495" s="467"/>
      <c r="J4495" s="469"/>
      <c r="AL4495" s="436"/>
      <c r="AM4495" s="436"/>
      <c r="AQ4495" s="436"/>
      <c r="AR4495" s="436"/>
      <c r="AS4495" s="436"/>
      <c r="AT4495" s="436"/>
      <c r="AU4495" s="436"/>
      <c r="AV4495" s="436"/>
      <c r="AW4495" s="436"/>
      <c r="AX4495" s="436"/>
      <c r="AY4495" s="436"/>
      <c r="AZ4495" s="475"/>
      <c r="BA4495" s="475"/>
      <c r="BF4495" s="1119"/>
      <c r="BG4495" s="1119"/>
      <c r="BH4495" s="1119"/>
    </row>
    <row r="4496" spans="1:60" ht="15.75" customHeight="1">
      <c r="A4496" s="436"/>
      <c r="C4496" s="436"/>
      <c r="D4496" s="436"/>
      <c r="E4496" s="436"/>
      <c r="F4496" s="436"/>
      <c r="H4496" s="467"/>
      <c r="I4496" s="467"/>
      <c r="J4496" s="469"/>
      <c r="AL4496" s="436"/>
      <c r="AM4496" s="436"/>
      <c r="AQ4496" s="436"/>
      <c r="AR4496" s="436"/>
      <c r="AS4496" s="436"/>
      <c r="AT4496" s="436"/>
      <c r="AU4496" s="436"/>
      <c r="AV4496" s="436"/>
      <c r="AW4496" s="436"/>
      <c r="AX4496" s="436"/>
      <c r="AY4496" s="436"/>
      <c r="AZ4496" s="475"/>
      <c r="BA4496" s="475"/>
      <c r="BF4496" s="1119"/>
      <c r="BG4496" s="1119"/>
      <c r="BH4496" s="1119"/>
    </row>
    <row r="4497" spans="1:60" ht="15.75" customHeight="1">
      <c r="A4497" s="436"/>
      <c r="C4497" s="436"/>
      <c r="D4497" s="436"/>
      <c r="E4497" s="436"/>
      <c r="F4497" s="436"/>
      <c r="H4497" s="467"/>
      <c r="I4497" s="467"/>
      <c r="J4497" s="469"/>
      <c r="AL4497" s="436"/>
      <c r="AM4497" s="436"/>
      <c r="AQ4497" s="436"/>
      <c r="AR4497" s="436"/>
      <c r="AS4497" s="436"/>
      <c r="AT4497" s="436"/>
      <c r="AU4497" s="436"/>
      <c r="AV4497" s="436"/>
      <c r="AW4497" s="436"/>
      <c r="AX4497" s="436"/>
      <c r="AY4497" s="436"/>
      <c r="AZ4497" s="475"/>
      <c r="BA4497" s="475"/>
      <c r="BF4497" s="1119"/>
      <c r="BG4497" s="1119"/>
      <c r="BH4497" s="1119"/>
    </row>
    <row r="4498" spans="1:60" ht="15.75" customHeight="1">
      <c r="A4498" s="436"/>
      <c r="C4498" s="436"/>
      <c r="D4498" s="436"/>
      <c r="E4498" s="436"/>
      <c r="F4498" s="436"/>
      <c r="H4498" s="467"/>
      <c r="I4498" s="467"/>
      <c r="J4498" s="469"/>
      <c r="AL4498" s="436"/>
      <c r="AM4498" s="436"/>
      <c r="AQ4498" s="436"/>
      <c r="AR4498" s="436"/>
      <c r="AS4498" s="436"/>
      <c r="AT4498" s="436"/>
      <c r="AU4498" s="436"/>
      <c r="AV4498" s="436"/>
      <c r="AW4498" s="436"/>
      <c r="AX4498" s="436"/>
      <c r="AY4498" s="436"/>
      <c r="AZ4498" s="475"/>
      <c r="BA4498" s="475"/>
      <c r="BF4498" s="1119"/>
      <c r="BG4498" s="1119"/>
      <c r="BH4498" s="1119"/>
    </row>
    <row r="4499" spans="1:60" ht="15.75" customHeight="1">
      <c r="A4499" s="436"/>
      <c r="C4499" s="436"/>
      <c r="D4499" s="436"/>
      <c r="E4499" s="436"/>
      <c r="F4499" s="436"/>
      <c r="H4499" s="467"/>
      <c r="I4499" s="467"/>
      <c r="J4499" s="469"/>
      <c r="AL4499" s="436"/>
      <c r="AM4499" s="436"/>
      <c r="AQ4499" s="436"/>
      <c r="AR4499" s="436"/>
      <c r="AS4499" s="436"/>
      <c r="AT4499" s="436"/>
      <c r="AU4499" s="436"/>
      <c r="AV4499" s="436"/>
      <c r="AW4499" s="436"/>
      <c r="AX4499" s="436"/>
      <c r="AY4499" s="436"/>
      <c r="AZ4499" s="475"/>
      <c r="BA4499" s="475"/>
      <c r="BF4499" s="1119"/>
      <c r="BG4499" s="1119"/>
      <c r="BH4499" s="1119"/>
    </row>
    <row r="4500" spans="1:60" ht="15.75" customHeight="1">
      <c r="A4500" s="436"/>
      <c r="C4500" s="436"/>
      <c r="D4500" s="436"/>
      <c r="E4500" s="436"/>
      <c r="F4500" s="436"/>
      <c r="H4500" s="467"/>
      <c r="I4500" s="467"/>
      <c r="J4500" s="469"/>
      <c r="AL4500" s="436"/>
      <c r="AM4500" s="436"/>
      <c r="AQ4500" s="436"/>
      <c r="AR4500" s="436"/>
      <c r="AS4500" s="436"/>
      <c r="AT4500" s="436"/>
      <c r="AU4500" s="436"/>
      <c r="AV4500" s="436"/>
      <c r="AW4500" s="436"/>
      <c r="AX4500" s="436"/>
      <c r="AY4500" s="436"/>
      <c r="AZ4500" s="475"/>
      <c r="BA4500" s="475"/>
      <c r="BF4500" s="1119"/>
      <c r="BG4500" s="1119"/>
      <c r="BH4500" s="1119"/>
    </row>
    <row r="4501" spans="1:60" ht="15.75" customHeight="1">
      <c r="A4501" s="436"/>
      <c r="C4501" s="436"/>
      <c r="D4501" s="436"/>
      <c r="E4501" s="436"/>
      <c r="F4501" s="436"/>
      <c r="H4501" s="467"/>
      <c r="I4501" s="467"/>
      <c r="J4501" s="469"/>
      <c r="AL4501" s="436"/>
      <c r="AM4501" s="436"/>
      <c r="AQ4501" s="436"/>
      <c r="AR4501" s="436"/>
      <c r="AS4501" s="436"/>
      <c r="AT4501" s="436"/>
      <c r="AU4501" s="436"/>
      <c r="AV4501" s="436"/>
      <c r="AW4501" s="436"/>
      <c r="AX4501" s="436"/>
      <c r="AY4501" s="436"/>
      <c r="AZ4501" s="475"/>
      <c r="BA4501" s="475"/>
      <c r="BF4501" s="1119"/>
      <c r="BG4501" s="1119"/>
      <c r="BH4501" s="1119"/>
    </row>
    <row r="4502" spans="1:60" ht="15.75" customHeight="1">
      <c r="A4502" s="436"/>
      <c r="C4502" s="436"/>
      <c r="D4502" s="436"/>
      <c r="E4502" s="436"/>
      <c r="F4502" s="436"/>
      <c r="H4502" s="467"/>
      <c r="I4502" s="467"/>
      <c r="J4502" s="469"/>
      <c r="AL4502" s="436"/>
      <c r="AM4502" s="436"/>
      <c r="AQ4502" s="436"/>
      <c r="AR4502" s="436"/>
      <c r="AS4502" s="436"/>
      <c r="AT4502" s="436"/>
      <c r="AU4502" s="436"/>
      <c r="AV4502" s="436"/>
      <c r="AW4502" s="436"/>
      <c r="AX4502" s="436"/>
      <c r="AY4502" s="436"/>
      <c r="AZ4502" s="475"/>
      <c r="BA4502" s="475"/>
      <c r="BF4502" s="1119"/>
      <c r="BG4502" s="1119"/>
      <c r="BH4502" s="1119"/>
    </row>
    <row r="4503" spans="1:60" ht="15.75" customHeight="1">
      <c r="A4503" s="436"/>
      <c r="C4503" s="436"/>
      <c r="D4503" s="436"/>
      <c r="E4503" s="436"/>
      <c r="F4503" s="436"/>
      <c r="H4503" s="467"/>
      <c r="I4503" s="467"/>
      <c r="J4503" s="469"/>
      <c r="AL4503" s="436"/>
      <c r="AM4503" s="436"/>
      <c r="AQ4503" s="436"/>
      <c r="AR4503" s="436"/>
      <c r="AS4503" s="436"/>
      <c r="AT4503" s="436"/>
      <c r="AU4503" s="436"/>
      <c r="AV4503" s="436"/>
      <c r="AW4503" s="436"/>
      <c r="AX4503" s="436"/>
      <c r="AY4503" s="436"/>
      <c r="AZ4503" s="475"/>
      <c r="BA4503" s="475"/>
      <c r="BF4503" s="1119"/>
      <c r="BG4503" s="1119"/>
      <c r="BH4503" s="1119"/>
    </row>
    <row r="4504" spans="1:60" ht="15.75" customHeight="1">
      <c r="A4504" s="436"/>
      <c r="C4504" s="436"/>
      <c r="D4504" s="436"/>
      <c r="E4504" s="436"/>
      <c r="F4504" s="436"/>
      <c r="H4504" s="467"/>
      <c r="I4504" s="467"/>
      <c r="J4504" s="469"/>
      <c r="AL4504" s="436"/>
      <c r="AM4504" s="436"/>
      <c r="AQ4504" s="436"/>
      <c r="AR4504" s="436"/>
      <c r="AS4504" s="436"/>
      <c r="AT4504" s="436"/>
      <c r="AU4504" s="436"/>
      <c r="AV4504" s="436"/>
      <c r="AW4504" s="436"/>
      <c r="AX4504" s="436"/>
      <c r="AY4504" s="436"/>
      <c r="AZ4504" s="475"/>
      <c r="BA4504" s="475"/>
      <c r="BF4504" s="1119"/>
      <c r="BG4504" s="1119"/>
      <c r="BH4504" s="1119"/>
    </row>
    <row r="4505" spans="1:60" ht="15.75" customHeight="1">
      <c r="A4505" s="436"/>
      <c r="C4505" s="436"/>
      <c r="D4505" s="436"/>
      <c r="E4505" s="436"/>
      <c r="F4505" s="436"/>
      <c r="H4505" s="467"/>
      <c r="I4505" s="467"/>
      <c r="J4505" s="469"/>
      <c r="AL4505" s="436"/>
      <c r="AM4505" s="436"/>
      <c r="AQ4505" s="436"/>
      <c r="AR4505" s="436"/>
      <c r="AS4505" s="436"/>
      <c r="AT4505" s="436"/>
      <c r="AU4505" s="436"/>
      <c r="AV4505" s="436"/>
      <c r="AW4505" s="436"/>
      <c r="AX4505" s="436"/>
      <c r="AY4505" s="436"/>
      <c r="AZ4505" s="475"/>
      <c r="BA4505" s="475"/>
      <c r="BF4505" s="1119"/>
      <c r="BG4505" s="1119"/>
      <c r="BH4505" s="1119"/>
    </row>
    <row r="4506" spans="1:60" ht="15.75" customHeight="1">
      <c r="A4506" s="436"/>
      <c r="C4506" s="436"/>
      <c r="D4506" s="436"/>
      <c r="E4506" s="436"/>
      <c r="F4506" s="436"/>
      <c r="H4506" s="467"/>
      <c r="I4506" s="467"/>
      <c r="J4506" s="469"/>
      <c r="AL4506" s="436"/>
      <c r="AM4506" s="436"/>
      <c r="AQ4506" s="436"/>
      <c r="AR4506" s="436"/>
      <c r="AS4506" s="436"/>
      <c r="AT4506" s="436"/>
      <c r="AU4506" s="436"/>
      <c r="AV4506" s="436"/>
      <c r="AW4506" s="436"/>
      <c r="AX4506" s="436"/>
      <c r="AY4506" s="436"/>
      <c r="AZ4506" s="475"/>
      <c r="BA4506" s="475"/>
      <c r="BF4506" s="1119"/>
      <c r="BG4506" s="1119"/>
      <c r="BH4506" s="1119"/>
    </row>
    <row r="4507" spans="1:60" ht="15.75" customHeight="1">
      <c r="A4507" s="436"/>
      <c r="C4507" s="436"/>
      <c r="D4507" s="436"/>
      <c r="E4507" s="436"/>
      <c r="F4507" s="436"/>
      <c r="H4507" s="467"/>
      <c r="I4507" s="467"/>
      <c r="J4507" s="469"/>
      <c r="AL4507" s="436"/>
      <c r="AM4507" s="436"/>
      <c r="AQ4507" s="436"/>
      <c r="AR4507" s="436"/>
      <c r="AS4507" s="436"/>
      <c r="AT4507" s="436"/>
      <c r="AU4507" s="436"/>
      <c r="AV4507" s="436"/>
      <c r="AW4507" s="436"/>
      <c r="AX4507" s="436"/>
      <c r="AY4507" s="436"/>
      <c r="AZ4507" s="475"/>
      <c r="BA4507" s="475"/>
      <c r="BF4507" s="1119"/>
      <c r="BG4507" s="1119"/>
      <c r="BH4507" s="1119"/>
    </row>
    <row r="4508" spans="1:60" ht="15.75" customHeight="1">
      <c r="A4508" s="436"/>
      <c r="C4508" s="436"/>
      <c r="D4508" s="436"/>
      <c r="E4508" s="436"/>
      <c r="F4508" s="436"/>
      <c r="H4508" s="467"/>
      <c r="I4508" s="467"/>
      <c r="J4508" s="469"/>
      <c r="AL4508" s="436"/>
      <c r="AM4508" s="436"/>
      <c r="AQ4508" s="436"/>
      <c r="AR4508" s="436"/>
      <c r="AS4508" s="436"/>
      <c r="AT4508" s="436"/>
      <c r="AU4508" s="436"/>
      <c r="AV4508" s="436"/>
      <c r="AW4508" s="436"/>
      <c r="AX4508" s="436"/>
      <c r="AY4508" s="436"/>
      <c r="AZ4508" s="475"/>
      <c r="BA4508" s="475"/>
      <c r="BF4508" s="1119"/>
      <c r="BG4508" s="1119"/>
      <c r="BH4508" s="1119"/>
    </row>
    <row r="4509" spans="1:60" ht="15.75" customHeight="1">
      <c r="A4509" s="436"/>
      <c r="C4509" s="436"/>
      <c r="D4509" s="436"/>
      <c r="E4509" s="436"/>
      <c r="F4509" s="436"/>
      <c r="H4509" s="467"/>
      <c r="I4509" s="467"/>
      <c r="J4509" s="469"/>
      <c r="AL4509" s="436"/>
      <c r="AM4509" s="436"/>
      <c r="AQ4509" s="436"/>
      <c r="AR4509" s="436"/>
      <c r="AS4509" s="436"/>
      <c r="AT4509" s="436"/>
      <c r="AU4509" s="436"/>
      <c r="AV4509" s="436"/>
      <c r="AW4509" s="436"/>
      <c r="AX4509" s="436"/>
      <c r="AY4509" s="436"/>
      <c r="AZ4509" s="475"/>
      <c r="BA4509" s="475"/>
      <c r="BF4509" s="1119"/>
      <c r="BG4509" s="1119"/>
      <c r="BH4509" s="1119"/>
    </row>
    <row r="4510" spans="1:60" ht="15.75" customHeight="1">
      <c r="A4510" s="436"/>
      <c r="C4510" s="436"/>
      <c r="D4510" s="436"/>
      <c r="E4510" s="436"/>
      <c r="F4510" s="436"/>
      <c r="H4510" s="467"/>
      <c r="I4510" s="467"/>
      <c r="J4510" s="469"/>
      <c r="AL4510" s="436"/>
      <c r="AM4510" s="436"/>
      <c r="AQ4510" s="436"/>
      <c r="AR4510" s="436"/>
      <c r="AS4510" s="436"/>
      <c r="AT4510" s="436"/>
      <c r="AU4510" s="436"/>
      <c r="AV4510" s="436"/>
      <c r="AW4510" s="436"/>
      <c r="AX4510" s="436"/>
      <c r="AY4510" s="436"/>
      <c r="AZ4510" s="475"/>
      <c r="BA4510" s="475"/>
      <c r="BF4510" s="1119"/>
      <c r="BG4510" s="1119"/>
      <c r="BH4510" s="1119"/>
    </row>
    <row r="4511" spans="1:60" ht="15.75" customHeight="1">
      <c r="A4511" s="436"/>
      <c r="C4511" s="436"/>
      <c r="D4511" s="436"/>
      <c r="E4511" s="436"/>
      <c r="F4511" s="436"/>
      <c r="H4511" s="467"/>
      <c r="I4511" s="467"/>
      <c r="J4511" s="469"/>
      <c r="AL4511" s="436"/>
      <c r="AM4511" s="436"/>
      <c r="AQ4511" s="436"/>
      <c r="AR4511" s="436"/>
      <c r="AS4511" s="436"/>
      <c r="AT4511" s="436"/>
      <c r="AU4511" s="436"/>
      <c r="AV4511" s="436"/>
      <c r="AW4511" s="436"/>
      <c r="AX4511" s="436"/>
      <c r="AY4511" s="436"/>
      <c r="AZ4511" s="475"/>
      <c r="BA4511" s="475"/>
      <c r="BF4511" s="1119"/>
      <c r="BG4511" s="1119"/>
      <c r="BH4511" s="1119"/>
    </row>
    <row r="4512" spans="1:60" ht="15.75" customHeight="1">
      <c r="A4512" s="436"/>
      <c r="C4512" s="436"/>
      <c r="D4512" s="436"/>
      <c r="E4512" s="436"/>
      <c r="F4512" s="436"/>
      <c r="H4512" s="467"/>
      <c r="I4512" s="467"/>
      <c r="J4512" s="469"/>
      <c r="AL4512" s="436"/>
      <c r="AM4512" s="436"/>
      <c r="AQ4512" s="436"/>
      <c r="AR4512" s="436"/>
      <c r="AS4512" s="436"/>
      <c r="AT4512" s="436"/>
      <c r="AU4512" s="436"/>
      <c r="AV4512" s="436"/>
      <c r="AW4512" s="436"/>
      <c r="AX4512" s="436"/>
      <c r="AY4512" s="436"/>
      <c r="AZ4512" s="475"/>
      <c r="BA4512" s="475"/>
      <c r="BF4512" s="1119"/>
      <c r="BG4512" s="1119"/>
      <c r="BH4512" s="1119"/>
    </row>
    <row r="4513" spans="1:60" ht="15.75" customHeight="1">
      <c r="A4513" s="436"/>
      <c r="C4513" s="436"/>
      <c r="D4513" s="436"/>
      <c r="E4513" s="436"/>
      <c r="F4513" s="436"/>
      <c r="H4513" s="467"/>
      <c r="I4513" s="467"/>
      <c r="J4513" s="469"/>
      <c r="AL4513" s="436"/>
      <c r="AM4513" s="436"/>
      <c r="AQ4513" s="436"/>
      <c r="AR4513" s="436"/>
      <c r="AS4513" s="436"/>
      <c r="AT4513" s="436"/>
      <c r="AU4513" s="436"/>
      <c r="AV4513" s="436"/>
      <c r="AW4513" s="436"/>
      <c r="AX4513" s="436"/>
      <c r="AY4513" s="436"/>
      <c r="AZ4513" s="475"/>
      <c r="BA4513" s="475"/>
      <c r="BF4513" s="1119"/>
      <c r="BG4513" s="1119"/>
      <c r="BH4513" s="1119"/>
    </row>
    <row r="4514" spans="1:60" ht="15.75" customHeight="1">
      <c r="A4514" s="436"/>
      <c r="C4514" s="436"/>
      <c r="D4514" s="436"/>
      <c r="E4514" s="436"/>
      <c r="F4514" s="436"/>
      <c r="H4514" s="467"/>
      <c r="I4514" s="467"/>
      <c r="J4514" s="469"/>
      <c r="AL4514" s="436"/>
      <c r="AM4514" s="436"/>
      <c r="AQ4514" s="436"/>
      <c r="AR4514" s="436"/>
      <c r="AS4514" s="436"/>
      <c r="AT4514" s="436"/>
      <c r="AU4514" s="436"/>
      <c r="AV4514" s="436"/>
      <c r="AW4514" s="436"/>
      <c r="AX4514" s="436"/>
      <c r="AY4514" s="436"/>
      <c r="AZ4514" s="475"/>
      <c r="BA4514" s="475"/>
      <c r="BF4514" s="1119"/>
      <c r="BG4514" s="1119"/>
      <c r="BH4514" s="1119"/>
    </row>
    <row r="4515" spans="1:60" ht="15.75" customHeight="1">
      <c r="A4515" s="436"/>
      <c r="C4515" s="436"/>
      <c r="D4515" s="436"/>
      <c r="E4515" s="436"/>
      <c r="F4515" s="436"/>
      <c r="H4515" s="467"/>
      <c r="I4515" s="467"/>
      <c r="J4515" s="469"/>
      <c r="AL4515" s="436"/>
      <c r="AM4515" s="436"/>
      <c r="AQ4515" s="436"/>
      <c r="AR4515" s="436"/>
      <c r="AS4515" s="436"/>
      <c r="AT4515" s="436"/>
      <c r="AU4515" s="436"/>
      <c r="AV4515" s="436"/>
      <c r="AW4515" s="436"/>
      <c r="AX4515" s="436"/>
      <c r="AY4515" s="436"/>
      <c r="AZ4515" s="475"/>
      <c r="BA4515" s="475"/>
      <c r="BF4515" s="1119"/>
      <c r="BG4515" s="1119"/>
      <c r="BH4515" s="1119"/>
    </row>
    <row r="4516" spans="1:60" ht="15.75" customHeight="1">
      <c r="A4516" s="436"/>
      <c r="C4516" s="436"/>
      <c r="D4516" s="436"/>
      <c r="E4516" s="436"/>
      <c r="F4516" s="436"/>
      <c r="H4516" s="467"/>
      <c r="I4516" s="467"/>
      <c r="J4516" s="469"/>
      <c r="AL4516" s="436"/>
      <c r="AM4516" s="436"/>
      <c r="AQ4516" s="436"/>
      <c r="AR4516" s="436"/>
      <c r="AS4516" s="436"/>
      <c r="AT4516" s="436"/>
      <c r="AU4516" s="436"/>
      <c r="AV4516" s="436"/>
      <c r="AW4516" s="436"/>
      <c r="AX4516" s="436"/>
      <c r="AY4516" s="436"/>
      <c r="AZ4516" s="475"/>
      <c r="BA4516" s="475"/>
      <c r="BF4516" s="1119"/>
      <c r="BG4516" s="1119"/>
      <c r="BH4516" s="1119"/>
    </row>
    <row r="4517" spans="1:60" ht="15.75" customHeight="1">
      <c r="A4517" s="436"/>
      <c r="C4517" s="436"/>
      <c r="D4517" s="436"/>
      <c r="E4517" s="436"/>
      <c r="F4517" s="436"/>
      <c r="H4517" s="467"/>
      <c r="I4517" s="467"/>
      <c r="J4517" s="469"/>
      <c r="AL4517" s="436"/>
      <c r="AM4517" s="436"/>
      <c r="AQ4517" s="436"/>
      <c r="AR4517" s="436"/>
      <c r="AS4517" s="436"/>
      <c r="AT4517" s="436"/>
      <c r="AU4517" s="436"/>
      <c r="AV4517" s="436"/>
      <c r="AW4517" s="436"/>
      <c r="AX4517" s="436"/>
      <c r="AY4517" s="436"/>
      <c r="AZ4517" s="475"/>
      <c r="BA4517" s="475"/>
      <c r="BF4517" s="1119"/>
      <c r="BG4517" s="1119"/>
      <c r="BH4517" s="1119"/>
    </row>
    <row r="4518" spans="1:60" ht="15.75" customHeight="1">
      <c r="A4518" s="436"/>
      <c r="C4518" s="436"/>
      <c r="D4518" s="436"/>
      <c r="E4518" s="436"/>
      <c r="F4518" s="436"/>
      <c r="H4518" s="467"/>
      <c r="I4518" s="467"/>
      <c r="J4518" s="469"/>
      <c r="AL4518" s="436"/>
      <c r="AM4518" s="436"/>
      <c r="AQ4518" s="436"/>
      <c r="AR4518" s="436"/>
      <c r="AS4518" s="436"/>
      <c r="AT4518" s="436"/>
      <c r="AU4518" s="436"/>
      <c r="AV4518" s="436"/>
      <c r="AW4518" s="436"/>
      <c r="AX4518" s="436"/>
      <c r="AY4518" s="436"/>
      <c r="AZ4518" s="475"/>
      <c r="BA4518" s="475"/>
      <c r="BF4518" s="1119"/>
      <c r="BG4518" s="1119"/>
      <c r="BH4518" s="1119"/>
    </row>
    <row r="4519" spans="1:60" ht="15.75" customHeight="1">
      <c r="A4519" s="436"/>
      <c r="C4519" s="436"/>
      <c r="D4519" s="436"/>
      <c r="E4519" s="436"/>
      <c r="F4519" s="436"/>
      <c r="H4519" s="467"/>
      <c r="I4519" s="467"/>
      <c r="J4519" s="469"/>
      <c r="AL4519" s="436"/>
      <c r="AM4519" s="436"/>
      <c r="AQ4519" s="436"/>
      <c r="AR4519" s="436"/>
      <c r="AS4519" s="436"/>
      <c r="AT4519" s="436"/>
      <c r="AU4519" s="436"/>
      <c r="AV4519" s="436"/>
      <c r="AW4519" s="436"/>
      <c r="AX4519" s="436"/>
      <c r="AY4519" s="436"/>
      <c r="AZ4519" s="475"/>
      <c r="BA4519" s="475"/>
      <c r="BF4519" s="1119"/>
      <c r="BG4519" s="1119"/>
      <c r="BH4519" s="1119"/>
    </row>
    <row r="4520" spans="1:60" ht="15.75" customHeight="1">
      <c r="A4520" s="436"/>
      <c r="C4520" s="436"/>
      <c r="D4520" s="436"/>
      <c r="E4520" s="436"/>
      <c r="F4520" s="436"/>
      <c r="H4520" s="467"/>
      <c r="I4520" s="467"/>
      <c r="J4520" s="469"/>
      <c r="AL4520" s="436"/>
      <c r="AM4520" s="436"/>
      <c r="AQ4520" s="436"/>
      <c r="AR4520" s="436"/>
      <c r="AS4520" s="436"/>
      <c r="AT4520" s="436"/>
      <c r="AU4520" s="436"/>
      <c r="AV4520" s="436"/>
      <c r="AW4520" s="436"/>
      <c r="AX4520" s="436"/>
      <c r="AY4520" s="436"/>
      <c r="AZ4520" s="475"/>
      <c r="BA4520" s="475"/>
      <c r="BF4520" s="1119"/>
      <c r="BG4520" s="1119"/>
      <c r="BH4520" s="1119"/>
    </row>
    <row r="4521" spans="1:60" ht="15.75" customHeight="1">
      <c r="A4521" s="436"/>
      <c r="C4521" s="436"/>
      <c r="D4521" s="436"/>
      <c r="E4521" s="436"/>
      <c r="F4521" s="436"/>
      <c r="H4521" s="467"/>
      <c r="I4521" s="467"/>
      <c r="J4521" s="469"/>
      <c r="AL4521" s="436"/>
      <c r="AM4521" s="436"/>
      <c r="AQ4521" s="436"/>
      <c r="AR4521" s="436"/>
      <c r="AS4521" s="436"/>
      <c r="AT4521" s="436"/>
      <c r="AU4521" s="436"/>
      <c r="AV4521" s="436"/>
      <c r="AW4521" s="436"/>
      <c r="AX4521" s="436"/>
      <c r="AY4521" s="436"/>
      <c r="AZ4521" s="475"/>
      <c r="BA4521" s="475"/>
      <c r="BF4521" s="1119"/>
      <c r="BG4521" s="1119"/>
      <c r="BH4521" s="1119"/>
    </row>
    <row r="4522" spans="1:60" ht="15.75" customHeight="1">
      <c r="A4522" s="436"/>
      <c r="C4522" s="436"/>
      <c r="D4522" s="436"/>
      <c r="E4522" s="436"/>
      <c r="F4522" s="436"/>
      <c r="H4522" s="467"/>
      <c r="I4522" s="467"/>
      <c r="J4522" s="469"/>
      <c r="AL4522" s="436"/>
      <c r="AM4522" s="436"/>
      <c r="AQ4522" s="436"/>
      <c r="AR4522" s="436"/>
      <c r="AS4522" s="436"/>
      <c r="AT4522" s="436"/>
      <c r="AU4522" s="436"/>
      <c r="AV4522" s="436"/>
      <c r="AW4522" s="436"/>
      <c r="AX4522" s="436"/>
      <c r="AY4522" s="436"/>
      <c r="AZ4522" s="475"/>
      <c r="BA4522" s="475"/>
      <c r="BF4522" s="1119"/>
      <c r="BG4522" s="1119"/>
      <c r="BH4522" s="1119"/>
    </row>
    <row r="4523" spans="1:60" ht="15.75" customHeight="1">
      <c r="A4523" s="436"/>
      <c r="C4523" s="436"/>
      <c r="D4523" s="436"/>
      <c r="E4523" s="436"/>
      <c r="F4523" s="436"/>
      <c r="H4523" s="467"/>
      <c r="I4523" s="467"/>
      <c r="J4523" s="469"/>
      <c r="AL4523" s="436"/>
      <c r="AM4523" s="436"/>
      <c r="AQ4523" s="436"/>
      <c r="AR4523" s="436"/>
      <c r="AS4523" s="436"/>
      <c r="AT4523" s="436"/>
      <c r="AU4523" s="436"/>
      <c r="AV4523" s="436"/>
      <c r="AW4523" s="436"/>
      <c r="AX4523" s="436"/>
      <c r="AY4523" s="436"/>
      <c r="AZ4523" s="475"/>
      <c r="BA4523" s="475"/>
      <c r="BF4523" s="1119"/>
      <c r="BG4523" s="1119"/>
      <c r="BH4523" s="1119"/>
    </row>
    <row r="4524" spans="1:60" ht="15.75" customHeight="1">
      <c r="A4524" s="436"/>
      <c r="C4524" s="436"/>
      <c r="D4524" s="436"/>
      <c r="E4524" s="436"/>
      <c r="F4524" s="436"/>
      <c r="H4524" s="467"/>
      <c r="I4524" s="467"/>
      <c r="J4524" s="469"/>
      <c r="AL4524" s="436"/>
      <c r="AM4524" s="436"/>
      <c r="AQ4524" s="436"/>
      <c r="AR4524" s="436"/>
      <c r="AS4524" s="436"/>
      <c r="AT4524" s="436"/>
      <c r="AU4524" s="436"/>
      <c r="AV4524" s="436"/>
      <c r="AW4524" s="436"/>
      <c r="AX4524" s="436"/>
      <c r="AY4524" s="436"/>
      <c r="AZ4524" s="475"/>
      <c r="BA4524" s="475"/>
      <c r="BF4524" s="1119"/>
      <c r="BG4524" s="1119"/>
      <c r="BH4524" s="1119"/>
    </row>
    <row r="4525" spans="1:60" ht="15.75" customHeight="1">
      <c r="A4525" s="436"/>
      <c r="C4525" s="436"/>
      <c r="D4525" s="436"/>
      <c r="E4525" s="436"/>
      <c r="F4525" s="436"/>
      <c r="H4525" s="467"/>
      <c r="I4525" s="467"/>
      <c r="J4525" s="469"/>
      <c r="AL4525" s="436"/>
      <c r="AM4525" s="436"/>
      <c r="AQ4525" s="436"/>
      <c r="AR4525" s="436"/>
      <c r="AS4525" s="436"/>
      <c r="AT4525" s="436"/>
      <c r="AU4525" s="436"/>
      <c r="AV4525" s="436"/>
      <c r="AW4525" s="436"/>
      <c r="AX4525" s="436"/>
      <c r="AY4525" s="436"/>
      <c r="AZ4525" s="475"/>
      <c r="BA4525" s="475"/>
      <c r="BF4525" s="1119"/>
      <c r="BG4525" s="1119"/>
      <c r="BH4525" s="1119"/>
    </row>
    <row r="4526" spans="1:60" ht="15.75" customHeight="1">
      <c r="A4526" s="436"/>
      <c r="C4526" s="436"/>
      <c r="D4526" s="436"/>
      <c r="E4526" s="436"/>
      <c r="F4526" s="436"/>
      <c r="H4526" s="467"/>
      <c r="I4526" s="467"/>
      <c r="J4526" s="469"/>
      <c r="AL4526" s="436"/>
      <c r="AM4526" s="436"/>
      <c r="AQ4526" s="436"/>
      <c r="AR4526" s="436"/>
      <c r="AS4526" s="436"/>
      <c r="AT4526" s="436"/>
      <c r="AU4526" s="436"/>
      <c r="AV4526" s="436"/>
      <c r="AW4526" s="436"/>
      <c r="AX4526" s="436"/>
      <c r="AY4526" s="436"/>
      <c r="AZ4526" s="475"/>
      <c r="BA4526" s="475"/>
      <c r="BF4526" s="1119"/>
      <c r="BG4526" s="1119"/>
      <c r="BH4526" s="1119"/>
    </row>
    <row r="4527" spans="1:60" ht="15.75" customHeight="1">
      <c r="A4527" s="436"/>
      <c r="C4527" s="436"/>
      <c r="D4527" s="436"/>
      <c r="E4527" s="436"/>
      <c r="F4527" s="436"/>
      <c r="H4527" s="467"/>
      <c r="I4527" s="467"/>
      <c r="J4527" s="469"/>
      <c r="AL4527" s="436"/>
      <c r="AM4527" s="436"/>
      <c r="AQ4527" s="436"/>
      <c r="AR4527" s="436"/>
      <c r="AS4527" s="436"/>
      <c r="AT4527" s="436"/>
      <c r="AU4527" s="436"/>
      <c r="AV4527" s="436"/>
      <c r="AW4527" s="436"/>
      <c r="AX4527" s="436"/>
      <c r="AY4527" s="436"/>
      <c r="AZ4527" s="475"/>
      <c r="BA4527" s="475"/>
      <c r="BF4527" s="1119"/>
      <c r="BG4527" s="1119"/>
      <c r="BH4527" s="1119"/>
    </row>
    <row r="4528" spans="1:60" ht="15.75" customHeight="1">
      <c r="A4528" s="436"/>
      <c r="C4528" s="436"/>
      <c r="D4528" s="436"/>
      <c r="E4528" s="436"/>
      <c r="F4528" s="436"/>
      <c r="H4528" s="467"/>
      <c r="I4528" s="467"/>
      <c r="J4528" s="469"/>
      <c r="AL4528" s="436"/>
      <c r="AM4528" s="436"/>
      <c r="AQ4528" s="436"/>
      <c r="AR4528" s="436"/>
      <c r="AS4528" s="436"/>
      <c r="AT4528" s="436"/>
      <c r="AU4528" s="436"/>
      <c r="AV4528" s="436"/>
      <c r="AW4528" s="436"/>
      <c r="AX4528" s="436"/>
      <c r="AY4528" s="436"/>
      <c r="AZ4528" s="475"/>
      <c r="BA4528" s="475"/>
      <c r="BF4528" s="1119"/>
      <c r="BG4528" s="1119"/>
      <c r="BH4528" s="1119"/>
    </row>
    <row r="4529" spans="1:60" ht="15.75" customHeight="1">
      <c r="A4529" s="436"/>
      <c r="C4529" s="436"/>
      <c r="D4529" s="436"/>
      <c r="E4529" s="436"/>
      <c r="F4529" s="436"/>
      <c r="H4529" s="467"/>
      <c r="I4529" s="467"/>
      <c r="J4529" s="469"/>
      <c r="AL4529" s="436"/>
      <c r="AM4529" s="436"/>
      <c r="AQ4529" s="436"/>
      <c r="AR4529" s="436"/>
      <c r="AS4529" s="436"/>
      <c r="AT4529" s="436"/>
      <c r="AU4529" s="436"/>
      <c r="AV4529" s="436"/>
      <c r="AW4529" s="436"/>
      <c r="AX4529" s="436"/>
      <c r="AY4529" s="436"/>
      <c r="AZ4529" s="475"/>
      <c r="BA4529" s="475"/>
      <c r="BF4529" s="1119"/>
      <c r="BG4529" s="1119"/>
      <c r="BH4529" s="1119"/>
    </row>
    <row r="4530" spans="1:60" ht="15.75" customHeight="1">
      <c r="A4530" s="436"/>
      <c r="C4530" s="436"/>
      <c r="D4530" s="436"/>
      <c r="E4530" s="436"/>
      <c r="F4530" s="436"/>
      <c r="H4530" s="467"/>
      <c r="I4530" s="467"/>
      <c r="J4530" s="469"/>
      <c r="AL4530" s="436"/>
      <c r="AM4530" s="436"/>
      <c r="AQ4530" s="436"/>
      <c r="AR4530" s="436"/>
      <c r="AS4530" s="436"/>
      <c r="AT4530" s="436"/>
      <c r="AU4530" s="436"/>
      <c r="AV4530" s="436"/>
      <c r="AW4530" s="436"/>
      <c r="AX4530" s="436"/>
      <c r="AY4530" s="436"/>
      <c r="AZ4530" s="475"/>
      <c r="BA4530" s="475"/>
      <c r="BF4530" s="1119"/>
      <c r="BG4530" s="1119"/>
      <c r="BH4530" s="1119"/>
    </row>
    <row r="4531" spans="1:60" ht="15.75" customHeight="1">
      <c r="A4531" s="436"/>
      <c r="C4531" s="436"/>
      <c r="D4531" s="436"/>
      <c r="E4531" s="436"/>
      <c r="F4531" s="436"/>
      <c r="H4531" s="467"/>
      <c r="I4531" s="467"/>
      <c r="J4531" s="469"/>
      <c r="AL4531" s="436"/>
      <c r="AM4531" s="436"/>
      <c r="AQ4531" s="436"/>
      <c r="AR4531" s="436"/>
      <c r="AS4531" s="436"/>
      <c r="AT4531" s="436"/>
      <c r="AU4531" s="436"/>
      <c r="AV4531" s="436"/>
      <c r="AW4531" s="436"/>
      <c r="AX4531" s="436"/>
      <c r="AY4531" s="436"/>
      <c r="AZ4531" s="475"/>
      <c r="BA4531" s="475"/>
      <c r="BF4531" s="1119"/>
      <c r="BG4531" s="1119"/>
      <c r="BH4531" s="1119"/>
    </row>
    <row r="4532" spans="1:60" ht="15.75" customHeight="1">
      <c r="A4532" s="436"/>
      <c r="C4532" s="436"/>
      <c r="D4532" s="436"/>
      <c r="E4532" s="436"/>
      <c r="F4532" s="436"/>
      <c r="H4532" s="467"/>
      <c r="I4532" s="467"/>
      <c r="J4532" s="469"/>
      <c r="AL4532" s="436"/>
      <c r="AM4532" s="436"/>
      <c r="AQ4532" s="436"/>
      <c r="AR4532" s="436"/>
      <c r="AS4532" s="436"/>
      <c r="AT4532" s="436"/>
      <c r="AU4532" s="436"/>
      <c r="AV4532" s="436"/>
      <c r="AW4532" s="436"/>
      <c r="AX4532" s="436"/>
      <c r="AY4532" s="436"/>
      <c r="AZ4532" s="475"/>
      <c r="BA4532" s="475"/>
      <c r="BF4532" s="1119"/>
      <c r="BG4532" s="1119"/>
      <c r="BH4532" s="1119"/>
    </row>
    <row r="4533" spans="1:60" ht="15.75" customHeight="1">
      <c r="A4533" s="436"/>
      <c r="C4533" s="436"/>
      <c r="D4533" s="436"/>
      <c r="E4533" s="436"/>
      <c r="F4533" s="436"/>
      <c r="H4533" s="467"/>
      <c r="I4533" s="467"/>
      <c r="J4533" s="469"/>
      <c r="AL4533" s="436"/>
      <c r="AM4533" s="436"/>
      <c r="AQ4533" s="436"/>
      <c r="AR4533" s="436"/>
      <c r="AS4533" s="436"/>
      <c r="AT4533" s="436"/>
      <c r="AU4533" s="436"/>
      <c r="AV4533" s="436"/>
      <c r="AW4533" s="436"/>
      <c r="AX4533" s="436"/>
      <c r="AY4533" s="436"/>
      <c r="AZ4533" s="475"/>
      <c r="BA4533" s="475"/>
      <c r="BF4533" s="1119"/>
      <c r="BG4533" s="1119"/>
      <c r="BH4533" s="1119"/>
    </row>
    <row r="4534" spans="1:60" ht="15.75" customHeight="1">
      <c r="A4534" s="436"/>
      <c r="C4534" s="436"/>
      <c r="D4534" s="436"/>
      <c r="E4534" s="436"/>
      <c r="F4534" s="436"/>
      <c r="H4534" s="467"/>
      <c r="I4534" s="467"/>
      <c r="J4534" s="469"/>
      <c r="AL4534" s="436"/>
      <c r="AM4534" s="436"/>
      <c r="AQ4534" s="436"/>
      <c r="AR4534" s="436"/>
      <c r="AS4534" s="436"/>
      <c r="AT4534" s="436"/>
      <c r="AU4534" s="436"/>
      <c r="AV4534" s="436"/>
      <c r="AW4534" s="436"/>
      <c r="AX4534" s="436"/>
      <c r="AY4534" s="436"/>
      <c r="AZ4534" s="475"/>
      <c r="BA4534" s="475"/>
      <c r="BF4534" s="1119"/>
      <c r="BG4534" s="1119"/>
      <c r="BH4534" s="1119"/>
    </row>
    <row r="4535" spans="1:60" ht="15.75" customHeight="1">
      <c r="A4535" s="436"/>
      <c r="C4535" s="436"/>
      <c r="D4535" s="436"/>
      <c r="E4535" s="436"/>
      <c r="F4535" s="436"/>
      <c r="H4535" s="467"/>
      <c r="I4535" s="467"/>
      <c r="J4535" s="469"/>
      <c r="AL4535" s="436"/>
      <c r="AM4535" s="436"/>
      <c r="AQ4535" s="436"/>
      <c r="AR4535" s="436"/>
      <c r="AS4535" s="436"/>
      <c r="AT4535" s="436"/>
      <c r="AU4535" s="436"/>
      <c r="AV4535" s="436"/>
      <c r="AW4535" s="436"/>
      <c r="AX4535" s="436"/>
      <c r="AY4535" s="436"/>
      <c r="AZ4535" s="475"/>
      <c r="BA4535" s="475"/>
      <c r="BF4535" s="1119"/>
      <c r="BG4535" s="1119"/>
      <c r="BH4535" s="1119"/>
    </row>
    <row r="4536" spans="1:60" ht="15.75" customHeight="1">
      <c r="A4536" s="436"/>
      <c r="C4536" s="436"/>
      <c r="D4536" s="436"/>
      <c r="E4536" s="436"/>
      <c r="F4536" s="436"/>
      <c r="H4536" s="467"/>
      <c r="I4536" s="467"/>
      <c r="J4536" s="469"/>
      <c r="AL4536" s="436"/>
      <c r="AM4536" s="436"/>
      <c r="AQ4536" s="436"/>
      <c r="AR4536" s="436"/>
      <c r="AS4536" s="436"/>
      <c r="AT4536" s="436"/>
      <c r="AU4536" s="436"/>
      <c r="AV4536" s="436"/>
      <c r="AW4536" s="436"/>
      <c r="AX4536" s="436"/>
      <c r="AY4536" s="436"/>
      <c r="AZ4536" s="475"/>
      <c r="BA4536" s="475"/>
      <c r="BF4536" s="1119"/>
      <c r="BG4536" s="1119"/>
      <c r="BH4536" s="1119"/>
    </row>
    <row r="4537" spans="1:60" ht="15.75" customHeight="1">
      <c r="A4537" s="436"/>
      <c r="C4537" s="436"/>
      <c r="D4537" s="436"/>
      <c r="E4537" s="436"/>
      <c r="F4537" s="436"/>
      <c r="H4537" s="467"/>
      <c r="I4537" s="467"/>
      <c r="J4537" s="469"/>
      <c r="AL4537" s="436"/>
      <c r="AM4537" s="436"/>
      <c r="AQ4537" s="436"/>
      <c r="AR4537" s="436"/>
      <c r="AS4537" s="436"/>
      <c r="AT4537" s="436"/>
      <c r="AU4537" s="436"/>
      <c r="AV4537" s="436"/>
      <c r="AW4537" s="436"/>
      <c r="AX4537" s="436"/>
      <c r="AY4537" s="436"/>
      <c r="AZ4537" s="475"/>
      <c r="BA4537" s="475"/>
      <c r="BF4537" s="1119"/>
      <c r="BG4537" s="1119"/>
      <c r="BH4537" s="1119"/>
    </row>
    <row r="4538" spans="1:60" ht="15.75" customHeight="1">
      <c r="A4538" s="436"/>
      <c r="C4538" s="436"/>
      <c r="D4538" s="436"/>
      <c r="E4538" s="436"/>
      <c r="F4538" s="436"/>
      <c r="H4538" s="467"/>
      <c r="I4538" s="467"/>
      <c r="J4538" s="469"/>
      <c r="AL4538" s="436"/>
      <c r="AM4538" s="436"/>
      <c r="AQ4538" s="436"/>
      <c r="AR4538" s="436"/>
      <c r="AS4538" s="436"/>
      <c r="AT4538" s="436"/>
      <c r="AU4538" s="436"/>
      <c r="AV4538" s="436"/>
      <c r="AW4538" s="436"/>
      <c r="AX4538" s="436"/>
      <c r="AY4538" s="436"/>
      <c r="AZ4538" s="475"/>
      <c r="BA4538" s="475"/>
      <c r="BF4538" s="1119"/>
      <c r="BG4538" s="1119"/>
      <c r="BH4538" s="1119"/>
    </row>
    <row r="4539" spans="1:60" ht="15.75" customHeight="1">
      <c r="A4539" s="436"/>
      <c r="C4539" s="436"/>
      <c r="D4539" s="436"/>
      <c r="E4539" s="436"/>
      <c r="F4539" s="436"/>
      <c r="H4539" s="467"/>
      <c r="I4539" s="467"/>
      <c r="J4539" s="469"/>
      <c r="AL4539" s="436"/>
      <c r="AM4539" s="436"/>
      <c r="AQ4539" s="436"/>
      <c r="AR4539" s="436"/>
      <c r="AS4539" s="436"/>
      <c r="AT4539" s="436"/>
      <c r="AU4539" s="436"/>
      <c r="AV4539" s="436"/>
      <c r="AW4539" s="436"/>
      <c r="AX4539" s="436"/>
      <c r="AY4539" s="436"/>
      <c r="AZ4539" s="475"/>
      <c r="BA4539" s="475"/>
      <c r="BF4539" s="1119"/>
      <c r="BG4539" s="1119"/>
      <c r="BH4539" s="1119"/>
    </row>
    <row r="4540" spans="1:60" ht="15.75" customHeight="1">
      <c r="A4540" s="436"/>
      <c r="C4540" s="436"/>
      <c r="D4540" s="436"/>
      <c r="E4540" s="436"/>
      <c r="F4540" s="436"/>
      <c r="H4540" s="467"/>
      <c r="I4540" s="467"/>
      <c r="J4540" s="469"/>
      <c r="AL4540" s="436"/>
      <c r="AM4540" s="436"/>
      <c r="AQ4540" s="436"/>
      <c r="AR4540" s="436"/>
      <c r="AS4540" s="436"/>
      <c r="AT4540" s="436"/>
      <c r="AU4540" s="436"/>
      <c r="AV4540" s="436"/>
      <c r="AW4540" s="436"/>
      <c r="AX4540" s="436"/>
      <c r="AY4540" s="436"/>
      <c r="AZ4540" s="475"/>
      <c r="BA4540" s="475"/>
      <c r="BF4540" s="1119"/>
      <c r="BG4540" s="1119"/>
      <c r="BH4540" s="1119"/>
    </row>
    <row r="4541" spans="1:60" ht="15.75" customHeight="1">
      <c r="A4541" s="436"/>
      <c r="C4541" s="436"/>
      <c r="D4541" s="436"/>
      <c r="E4541" s="436"/>
      <c r="F4541" s="436"/>
      <c r="H4541" s="467"/>
      <c r="I4541" s="467"/>
      <c r="J4541" s="469"/>
      <c r="AL4541" s="436"/>
      <c r="AM4541" s="436"/>
      <c r="AQ4541" s="436"/>
      <c r="AR4541" s="436"/>
      <c r="AS4541" s="436"/>
      <c r="AT4541" s="436"/>
      <c r="AU4541" s="436"/>
      <c r="AV4541" s="436"/>
      <c r="AW4541" s="436"/>
      <c r="AX4541" s="436"/>
      <c r="AY4541" s="436"/>
      <c r="AZ4541" s="475"/>
      <c r="BA4541" s="475"/>
      <c r="BF4541" s="1119"/>
      <c r="BG4541" s="1119"/>
      <c r="BH4541" s="1119"/>
    </row>
    <row r="4542" spans="1:60" ht="15.75" customHeight="1">
      <c r="A4542" s="436"/>
      <c r="C4542" s="436"/>
      <c r="D4542" s="436"/>
      <c r="E4542" s="436"/>
      <c r="F4542" s="436"/>
      <c r="H4542" s="467"/>
      <c r="I4542" s="467"/>
      <c r="J4542" s="469"/>
      <c r="AL4542" s="436"/>
      <c r="AM4542" s="436"/>
      <c r="AQ4542" s="436"/>
      <c r="AR4542" s="436"/>
      <c r="AS4542" s="436"/>
      <c r="AT4542" s="436"/>
      <c r="AU4542" s="436"/>
      <c r="AV4542" s="436"/>
      <c r="AW4542" s="436"/>
      <c r="AX4542" s="436"/>
      <c r="AY4542" s="436"/>
      <c r="AZ4542" s="475"/>
      <c r="BA4542" s="475"/>
      <c r="BF4542" s="1119"/>
      <c r="BG4542" s="1119"/>
      <c r="BH4542" s="1119"/>
    </row>
    <row r="4543" spans="1:60" ht="15.75" customHeight="1">
      <c r="A4543" s="436"/>
      <c r="C4543" s="436"/>
      <c r="D4543" s="436"/>
      <c r="E4543" s="436"/>
      <c r="F4543" s="436"/>
      <c r="H4543" s="467"/>
      <c r="I4543" s="467"/>
      <c r="J4543" s="469"/>
      <c r="AL4543" s="436"/>
      <c r="AM4543" s="436"/>
      <c r="AQ4543" s="436"/>
      <c r="AR4543" s="436"/>
      <c r="AS4543" s="436"/>
      <c r="AT4543" s="436"/>
      <c r="AU4543" s="436"/>
      <c r="AV4543" s="436"/>
      <c r="AW4543" s="436"/>
      <c r="AX4543" s="436"/>
      <c r="AY4543" s="436"/>
      <c r="AZ4543" s="475"/>
      <c r="BA4543" s="475"/>
      <c r="BF4543" s="1119"/>
      <c r="BG4543" s="1119"/>
      <c r="BH4543" s="1119"/>
    </row>
    <row r="4544" spans="1:60" ht="15.75" customHeight="1">
      <c r="A4544" s="436"/>
      <c r="C4544" s="436"/>
      <c r="D4544" s="436"/>
      <c r="E4544" s="436"/>
      <c r="F4544" s="436"/>
      <c r="H4544" s="467"/>
      <c r="I4544" s="467"/>
      <c r="J4544" s="469"/>
      <c r="AL4544" s="436"/>
      <c r="AM4544" s="436"/>
      <c r="AQ4544" s="436"/>
      <c r="AR4544" s="436"/>
      <c r="AS4544" s="436"/>
      <c r="AT4544" s="436"/>
      <c r="AU4544" s="436"/>
      <c r="AV4544" s="436"/>
      <c r="AW4544" s="436"/>
      <c r="AX4544" s="436"/>
      <c r="AY4544" s="436"/>
      <c r="AZ4544" s="475"/>
      <c r="BA4544" s="475"/>
      <c r="BF4544" s="1119"/>
      <c r="BG4544" s="1119"/>
      <c r="BH4544" s="1119"/>
    </row>
    <row r="4545" spans="1:60" ht="15.75" customHeight="1">
      <c r="A4545" s="436"/>
      <c r="C4545" s="436"/>
      <c r="D4545" s="436"/>
      <c r="E4545" s="436"/>
      <c r="F4545" s="436"/>
      <c r="H4545" s="467"/>
      <c r="I4545" s="467"/>
      <c r="J4545" s="469"/>
      <c r="AL4545" s="436"/>
      <c r="AM4545" s="436"/>
      <c r="AQ4545" s="436"/>
      <c r="AR4545" s="436"/>
      <c r="AS4545" s="436"/>
      <c r="AT4545" s="436"/>
      <c r="AU4545" s="436"/>
      <c r="AV4545" s="436"/>
      <c r="AW4545" s="436"/>
      <c r="AX4545" s="436"/>
      <c r="AY4545" s="436"/>
      <c r="AZ4545" s="475"/>
      <c r="BA4545" s="475"/>
      <c r="BF4545" s="1119"/>
      <c r="BG4545" s="1119"/>
      <c r="BH4545" s="1119"/>
    </row>
    <row r="4546" spans="1:60" ht="15.75" customHeight="1">
      <c r="A4546" s="436"/>
      <c r="C4546" s="436"/>
      <c r="D4546" s="436"/>
      <c r="E4546" s="436"/>
      <c r="F4546" s="436"/>
      <c r="H4546" s="467"/>
      <c r="I4546" s="467"/>
      <c r="J4546" s="469"/>
      <c r="AL4546" s="436"/>
      <c r="AM4546" s="436"/>
      <c r="AQ4546" s="436"/>
      <c r="AR4546" s="436"/>
      <c r="AS4546" s="436"/>
      <c r="AT4546" s="436"/>
      <c r="AU4546" s="436"/>
      <c r="AV4546" s="436"/>
      <c r="AW4546" s="436"/>
      <c r="AX4546" s="436"/>
      <c r="AY4546" s="436"/>
      <c r="AZ4546" s="475"/>
      <c r="BA4546" s="475"/>
      <c r="BF4546" s="1119"/>
      <c r="BG4546" s="1119"/>
      <c r="BH4546" s="1119"/>
    </row>
    <row r="4547" spans="1:60" ht="15.75" customHeight="1">
      <c r="A4547" s="436"/>
      <c r="C4547" s="436"/>
      <c r="D4547" s="436"/>
      <c r="E4547" s="436"/>
      <c r="F4547" s="436"/>
      <c r="H4547" s="467"/>
      <c r="I4547" s="467"/>
      <c r="J4547" s="469"/>
      <c r="AL4547" s="436"/>
      <c r="AM4547" s="436"/>
      <c r="AQ4547" s="436"/>
      <c r="AR4547" s="436"/>
      <c r="AS4547" s="436"/>
      <c r="AT4547" s="436"/>
      <c r="AU4547" s="436"/>
      <c r="AV4547" s="436"/>
      <c r="AW4547" s="436"/>
      <c r="AX4547" s="436"/>
      <c r="AY4547" s="436"/>
      <c r="AZ4547" s="475"/>
      <c r="BA4547" s="475"/>
      <c r="BF4547" s="1119"/>
      <c r="BG4547" s="1119"/>
      <c r="BH4547" s="1119"/>
    </row>
    <row r="4548" spans="1:60" ht="15.75" customHeight="1">
      <c r="A4548" s="436"/>
      <c r="C4548" s="436"/>
      <c r="D4548" s="436"/>
      <c r="E4548" s="436"/>
      <c r="F4548" s="436"/>
      <c r="H4548" s="467"/>
      <c r="I4548" s="467"/>
      <c r="J4548" s="469"/>
      <c r="AL4548" s="436"/>
      <c r="AM4548" s="436"/>
      <c r="AQ4548" s="436"/>
      <c r="AR4548" s="436"/>
      <c r="AS4548" s="436"/>
      <c r="AT4548" s="436"/>
      <c r="AU4548" s="436"/>
      <c r="AV4548" s="436"/>
      <c r="AW4548" s="436"/>
      <c r="AX4548" s="436"/>
      <c r="AY4548" s="436"/>
      <c r="AZ4548" s="475"/>
      <c r="BA4548" s="475"/>
      <c r="BF4548" s="1119"/>
      <c r="BG4548" s="1119"/>
      <c r="BH4548" s="1119"/>
    </row>
    <row r="4549" spans="1:60" ht="15.75" customHeight="1">
      <c r="A4549" s="436"/>
      <c r="C4549" s="436"/>
      <c r="D4549" s="436"/>
      <c r="E4549" s="436"/>
      <c r="F4549" s="436"/>
      <c r="H4549" s="467"/>
      <c r="I4549" s="467"/>
      <c r="J4549" s="469"/>
      <c r="AL4549" s="436"/>
      <c r="AM4549" s="436"/>
      <c r="AQ4549" s="436"/>
      <c r="AR4549" s="436"/>
      <c r="AS4549" s="436"/>
      <c r="AT4549" s="436"/>
      <c r="AU4549" s="436"/>
      <c r="AV4549" s="436"/>
      <c r="AW4549" s="436"/>
      <c r="AX4549" s="436"/>
      <c r="AY4549" s="436"/>
      <c r="AZ4549" s="475"/>
      <c r="BA4549" s="475"/>
      <c r="BF4549" s="1119"/>
      <c r="BG4549" s="1119"/>
      <c r="BH4549" s="1119"/>
    </row>
    <row r="4550" spans="1:60" ht="15.75" customHeight="1">
      <c r="A4550" s="436"/>
      <c r="C4550" s="436"/>
      <c r="D4550" s="436"/>
      <c r="E4550" s="436"/>
      <c r="F4550" s="436"/>
      <c r="H4550" s="467"/>
      <c r="I4550" s="467"/>
      <c r="J4550" s="469"/>
      <c r="AL4550" s="436"/>
      <c r="AM4550" s="436"/>
      <c r="AQ4550" s="436"/>
      <c r="AR4550" s="436"/>
      <c r="AS4550" s="436"/>
      <c r="AT4550" s="436"/>
      <c r="AU4550" s="436"/>
      <c r="AV4550" s="436"/>
      <c r="AW4550" s="436"/>
      <c r="AX4550" s="436"/>
      <c r="AY4550" s="436"/>
      <c r="AZ4550" s="475"/>
      <c r="BA4550" s="475"/>
      <c r="BF4550" s="1119"/>
      <c r="BG4550" s="1119"/>
      <c r="BH4550" s="1119"/>
    </row>
    <row r="4551" spans="1:60" ht="15.75" customHeight="1">
      <c r="A4551" s="436"/>
      <c r="C4551" s="436"/>
      <c r="D4551" s="436"/>
      <c r="E4551" s="436"/>
      <c r="F4551" s="436"/>
      <c r="H4551" s="467"/>
      <c r="I4551" s="467"/>
      <c r="J4551" s="469"/>
      <c r="AL4551" s="436"/>
      <c r="AM4551" s="436"/>
      <c r="AQ4551" s="436"/>
      <c r="AR4551" s="436"/>
      <c r="AS4551" s="436"/>
      <c r="AT4551" s="436"/>
      <c r="AU4551" s="436"/>
      <c r="AV4551" s="436"/>
      <c r="AW4551" s="436"/>
      <c r="AX4551" s="436"/>
      <c r="AY4551" s="436"/>
      <c r="AZ4551" s="475"/>
      <c r="BA4551" s="475"/>
      <c r="BF4551" s="1119"/>
      <c r="BG4551" s="1119"/>
      <c r="BH4551" s="1119"/>
    </row>
    <row r="4552" spans="1:60" ht="15.75" customHeight="1">
      <c r="A4552" s="436"/>
      <c r="C4552" s="436"/>
      <c r="D4552" s="436"/>
      <c r="E4552" s="436"/>
      <c r="F4552" s="436"/>
      <c r="H4552" s="467"/>
      <c r="I4552" s="467"/>
      <c r="J4552" s="469"/>
      <c r="AL4552" s="436"/>
      <c r="AM4552" s="436"/>
      <c r="AQ4552" s="436"/>
      <c r="AR4552" s="436"/>
      <c r="AS4552" s="436"/>
      <c r="AT4552" s="436"/>
      <c r="AU4552" s="436"/>
      <c r="AV4552" s="436"/>
      <c r="AW4552" s="436"/>
      <c r="AX4552" s="436"/>
      <c r="AY4552" s="436"/>
      <c r="AZ4552" s="475"/>
      <c r="BA4552" s="475"/>
      <c r="BF4552" s="1119"/>
      <c r="BG4552" s="1119"/>
      <c r="BH4552" s="1119"/>
    </row>
    <row r="4553" spans="1:60" ht="15.75" customHeight="1">
      <c r="A4553" s="436"/>
      <c r="C4553" s="436"/>
      <c r="D4553" s="436"/>
      <c r="E4553" s="436"/>
      <c r="F4553" s="436"/>
      <c r="H4553" s="467"/>
      <c r="I4553" s="467"/>
      <c r="J4553" s="469"/>
      <c r="AL4553" s="436"/>
      <c r="AM4553" s="436"/>
      <c r="AQ4553" s="436"/>
      <c r="AR4553" s="436"/>
      <c r="AS4553" s="436"/>
      <c r="AT4553" s="436"/>
      <c r="AU4553" s="436"/>
      <c r="AV4553" s="436"/>
      <c r="AW4553" s="436"/>
      <c r="AX4553" s="436"/>
      <c r="AY4553" s="436"/>
      <c r="AZ4553" s="475"/>
      <c r="BA4553" s="475"/>
      <c r="BF4553" s="1119"/>
      <c r="BG4553" s="1119"/>
      <c r="BH4553" s="1119"/>
    </row>
    <row r="4554" spans="1:60" ht="15.75" customHeight="1">
      <c r="A4554" s="436"/>
      <c r="C4554" s="436"/>
      <c r="D4554" s="436"/>
      <c r="E4554" s="436"/>
      <c r="F4554" s="436"/>
      <c r="H4554" s="467"/>
      <c r="I4554" s="467"/>
      <c r="J4554" s="469"/>
      <c r="AL4554" s="436"/>
      <c r="AM4554" s="436"/>
      <c r="AQ4554" s="436"/>
      <c r="AR4554" s="436"/>
      <c r="AS4554" s="436"/>
      <c r="AT4554" s="436"/>
      <c r="AU4554" s="436"/>
      <c r="AV4554" s="436"/>
      <c r="AW4554" s="436"/>
      <c r="AX4554" s="436"/>
      <c r="AY4554" s="436"/>
      <c r="AZ4554" s="475"/>
      <c r="BA4554" s="475"/>
      <c r="BF4554" s="1119"/>
      <c r="BG4554" s="1119"/>
      <c r="BH4554" s="1119"/>
    </row>
    <row r="4555" spans="1:60" ht="15.75" customHeight="1">
      <c r="A4555" s="436"/>
      <c r="C4555" s="436"/>
      <c r="D4555" s="436"/>
      <c r="E4555" s="436"/>
      <c r="F4555" s="436"/>
      <c r="H4555" s="467"/>
      <c r="I4555" s="467"/>
      <c r="J4555" s="469"/>
      <c r="AL4555" s="436"/>
      <c r="AM4555" s="436"/>
      <c r="AQ4555" s="436"/>
      <c r="AR4555" s="436"/>
      <c r="AS4555" s="436"/>
      <c r="AT4555" s="436"/>
      <c r="AU4555" s="436"/>
      <c r="AV4555" s="436"/>
      <c r="AW4555" s="436"/>
      <c r="AX4555" s="436"/>
      <c r="AY4555" s="436"/>
      <c r="AZ4555" s="475"/>
      <c r="BA4555" s="475"/>
      <c r="BF4555" s="1119"/>
      <c r="BG4555" s="1119"/>
      <c r="BH4555" s="1119"/>
    </row>
    <row r="4556" spans="1:60" ht="15.75" customHeight="1">
      <c r="A4556" s="436"/>
      <c r="C4556" s="436"/>
      <c r="D4556" s="436"/>
      <c r="E4556" s="436"/>
      <c r="F4556" s="436"/>
      <c r="H4556" s="467"/>
      <c r="I4556" s="467"/>
      <c r="J4556" s="469"/>
      <c r="AL4556" s="436"/>
      <c r="AM4556" s="436"/>
      <c r="AQ4556" s="436"/>
      <c r="AR4556" s="436"/>
      <c r="AS4556" s="436"/>
      <c r="AT4556" s="436"/>
      <c r="AU4556" s="436"/>
      <c r="AV4556" s="436"/>
      <c r="AW4556" s="436"/>
      <c r="AX4556" s="436"/>
      <c r="AY4556" s="436"/>
      <c r="AZ4556" s="475"/>
      <c r="BA4556" s="475"/>
      <c r="BF4556" s="1119"/>
      <c r="BG4556" s="1119"/>
      <c r="BH4556" s="1119"/>
    </row>
    <row r="4557" spans="1:60" ht="15.75" customHeight="1">
      <c r="A4557" s="436"/>
      <c r="C4557" s="436"/>
      <c r="D4557" s="436"/>
      <c r="E4557" s="436"/>
      <c r="F4557" s="436"/>
      <c r="H4557" s="467"/>
      <c r="I4557" s="467"/>
      <c r="J4557" s="469"/>
      <c r="AL4557" s="436"/>
      <c r="AM4557" s="436"/>
      <c r="AQ4557" s="436"/>
      <c r="AR4557" s="436"/>
      <c r="AS4557" s="436"/>
      <c r="AT4557" s="436"/>
      <c r="AU4557" s="436"/>
      <c r="AV4557" s="436"/>
      <c r="AW4557" s="436"/>
      <c r="AX4557" s="436"/>
      <c r="AY4557" s="436"/>
      <c r="AZ4557" s="475"/>
      <c r="BA4557" s="475"/>
      <c r="BF4557" s="1119"/>
      <c r="BG4557" s="1119"/>
      <c r="BH4557" s="1119"/>
    </row>
    <row r="4558" spans="1:60" ht="15.75" customHeight="1">
      <c r="A4558" s="436"/>
      <c r="C4558" s="436"/>
      <c r="D4558" s="436"/>
      <c r="E4558" s="436"/>
      <c r="F4558" s="436"/>
      <c r="H4558" s="467"/>
      <c r="I4558" s="467"/>
      <c r="J4558" s="469"/>
      <c r="AL4558" s="436"/>
      <c r="AM4558" s="436"/>
      <c r="AQ4558" s="436"/>
      <c r="AR4558" s="436"/>
      <c r="AS4558" s="436"/>
      <c r="AT4558" s="436"/>
      <c r="AU4558" s="436"/>
      <c r="AV4558" s="436"/>
      <c r="AW4558" s="436"/>
      <c r="AX4558" s="436"/>
      <c r="AY4558" s="436"/>
      <c r="AZ4558" s="475"/>
      <c r="BA4558" s="475"/>
      <c r="BF4558" s="1119"/>
      <c r="BG4558" s="1119"/>
      <c r="BH4558" s="1119"/>
    </row>
    <row r="4559" spans="1:60" ht="15.75" customHeight="1">
      <c r="A4559" s="436"/>
      <c r="C4559" s="436"/>
      <c r="D4559" s="436"/>
      <c r="E4559" s="436"/>
      <c r="F4559" s="436"/>
      <c r="H4559" s="467"/>
      <c r="I4559" s="467"/>
      <c r="J4559" s="469"/>
      <c r="AL4559" s="436"/>
      <c r="AM4559" s="436"/>
      <c r="AQ4559" s="436"/>
      <c r="AR4559" s="436"/>
      <c r="AS4559" s="436"/>
      <c r="AT4559" s="436"/>
      <c r="AU4559" s="436"/>
      <c r="AV4559" s="436"/>
      <c r="AW4559" s="436"/>
      <c r="AX4559" s="436"/>
      <c r="AY4559" s="436"/>
      <c r="AZ4559" s="475"/>
      <c r="BA4559" s="475"/>
      <c r="BF4559" s="1119"/>
      <c r="BG4559" s="1119"/>
      <c r="BH4559" s="1119"/>
    </row>
    <row r="4560" spans="1:60" ht="15.75" customHeight="1">
      <c r="A4560" s="436"/>
      <c r="C4560" s="436"/>
      <c r="D4560" s="436"/>
      <c r="E4560" s="436"/>
      <c r="F4560" s="436"/>
      <c r="H4560" s="467"/>
      <c r="I4560" s="467"/>
      <c r="J4560" s="469"/>
      <c r="AL4560" s="436"/>
      <c r="AM4560" s="436"/>
      <c r="AQ4560" s="436"/>
      <c r="AR4560" s="436"/>
      <c r="AS4560" s="436"/>
      <c r="AT4560" s="436"/>
      <c r="AU4560" s="436"/>
      <c r="AV4560" s="436"/>
      <c r="AW4560" s="436"/>
      <c r="AX4560" s="436"/>
      <c r="AY4560" s="436"/>
      <c r="AZ4560" s="475"/>
      <c r="BA4560" s="475"/>
      <c r="BF4560" s="1119"/>
      <c r="BG4560" s="1119"/>
      <c r="BH4560" s="1119"/>
    </row>
    <row r="4561" spans="1:60" ht="15.75" customHeight="1">
      <c r="A4561" s="436"/>
      <c r="C4561" s="436"/>
      <c r="D4561" s="436"/>
      <c r="E4561" s="436"/>
      <c r="F4561" s="436"/>
      <c r="H4561" s="467"/>
      <c r="I4561" s="467"/>
      <c r="J4561" s="469"/>
      <c r="AL4561" s="436"/>
      <c r="AM4561" s="436"/>
      <c r="AQ4561" s="436"/>
      <c r="AR4561" s="436"/>
      <c r="AS4561" s="436"/>
      <c r="AT4561" s="436"/>
      <c r="AU4561" s="436"/>
      <c r="AV4561" s="436"/>
      <c r="AW4561" s="436"/>
      <c r="AX4561" s="436"/>
      <c r="AY4561" s="436"/>
      <c r="AZ4561" s="475"/>
      <c r="BA4561" s="475"/>
      <c r="BF4561" s="1119"/>
      <c r="BG4561" s="1119"/>
      <c r="BH4561" s="1119"/>
    </row>
    <row r="4562" spans="1:60" ht="15.75" customHeight="1">
      <c r="A4562" s="436"/>
      <c r="C4562" s="436"/>
      <c r="D4562" s="436"/>
      <c r="E4562" s="436"/>
      <c r="F4562" s="436"/>
      <c r="H4562" s="467"/>
      <c r="I4562" s="467"/>
      <c r="J4562" s="469"/>
      <c r="AL4562" s="436"/>
      <c r="AM4562" s="436"/>
      <c r="AQ4562" s="436"/>
      <c r="AR4562" s="436"/>
      <c r="AS4562" s="436"/>
      <c r="AT4562" s="436"/>
      <c r="AU4562" s="436"/>
      <c r="AV4562" s="436"/>
      <c r="AW4562" s="436"/>
      <c r="AX4562" s="436"/>
      <c r="AY4562" s="436"/>
      <c r="AZ4562" s="475"/>
      <c r="BA4562" s="475"/>
      <c r="BF4562" s="1119"/>
      <c r="BG4562" s="1119"/>
      <c r="BH4562" s="1119"/>
    </row>
    <row r="4563" spans="1:60" ht="15.75" customHeight="1">
      <c r="A4563" s="436"/>
      <c r="C4563" s="436"/>
      <c r="D4563" s="436"/>
      <c r="E4563" s="436"/>
      <c r="F4563" s="436"/>
      <c r="H4563" s="467"/>
      <c r="I4563" s="467"/>
      <c r="J4563" s="469"/>
      <c r="AL4563" s="436"/>
      <c r="AM4563" s="436"/>
      <c r="AQ4563" s="436"/>
      <c r="AR4563" s="436"/>
      <c r="AS4563" s="436"/>
      <c r="AT4563" s="436"/>
      <c r="AU4563" s="436"/>
      <c r="AV4563" s="436"/>
      <c r="AW4563" s="436"/>
      <c r="AX4563" s="436"/>
      <c r="AY4563" s="436"/>
      <c r="AZ4563" s="475"/>
      <c r="BA4563" s="475"/>
      <c r="BF4563" s="1119"/>
      <c r="BG4563" s="1119"/>
      <c r="BH4563" s="1119"/>
    </row>
    <row r="4564" spans="1:60" ht="15.75" customHeight="1">
      <c r="A4564" s="436"/>
      <c r="C4564" s="436"/>
      <c r="D4564" s="436"/>
      <c r="E4564" s="436"/>
      <c r="F4564" s="436"/>
      <c r="H4564" s="467"/>
      <c r="I4564" s="467"/>
      <c r="J4564" s="469"/>
      <c r="AL4564" s="436"/>
      <c r="AM4564" s="436"/>
      <c r="AQ4564" s="436"/>
      <c r="AR4564" s="436"/>
      <c r="AS4564" s="436"/>
      <c r="AT4564" s="436"/>
      <c r="AU4564" s="436"/>
      <c r="AV4564" s="436"/>
      <c r="AW4564" s="436"/>
      <c r="AX4564" s="436"/>
      <c r="AY4564" s="436"/>
      <c r="AZ4564" s="475"/>
      <c r="BA4564" s="475"/>
      <c r="BF4564" s="1119"/>
      <c r="BG4564" s="1119"/>
      <c r="BH4564" s="1119"/>
    </row>
    <row r="4565" spans="1:60" ht="15.75" customHeight="1">
      <c r="A4565" s="436"/>
      <c r="C4565" s="436"/>
      <c r="D4565" s="436"/>
      <c r="E4565" s="436"/>
      <c r="F4565" s="436"/>
      <c r="H4565" s="467"/>
      <c r="I4565" s="467"/>
      <c r="J4565" s="469"/>
      <c r="AL4565" s="436"/>
      <c r="AM4565" s="436"/>
      <c r="AQ4565" s="436"/>
      <c r="AR4565" s="436"/>
      <c r="AS4565" s="436"/>
      <c r="AT4565" s="436"/>
      <c r="AU4565" s="436"/>
      <c r="AV4565" s="436"/>
      <c r="AW4565" s="436"/>
      <c r="AX4565" s="436"/>
      <c r="AY4565" s="436"/>
      <c r="AZ4565" s="475"/>
      <c r="BA4565" s="475"/>
      <c r="BF4565" s="1119"/>
      <c r="BG4565" s="1119"/>
      <c r="BH4565" s="1119"/>
    </row>
    <row r="4566" spans="1:60" ht="15.75" customHeight="1">
      <c r="A4566" s="436"/>
      <c r="C4566" s="436"/>
      <c r="D4566" s="436"/>
      <c r="E4566" s="436"/>
      <c r="F4566" s="436"/>
      <c r="H4566" s="467"/>
      <c r="I4566" s="467"/>
      <c r="J4566" s="469"/>
      <c r="AL4566" s="436"/>
      <c r="AM4566" s="436"/>
      <c r="AQ4566" s="436"/>
      <c r="AR4566" s="436"/>
      <c r="AS4566" s="436"/>
      <c r="AT4566" s="436"/>
      <c r="AU4566" s="436"/>
      <c r="AV4566" s="436"/>
      <c r="AW4566" s="436"/>
      <c r="AX4566" s="436"/>
      <c r="AY4566" s="436"/>
      <c r="AZ4566" s="475"/>
      <c r="BA4566" s="475"/>
      <c r="BF4566" s="1119"/>
      <c r="BG4566" s="1119"/>
      <c r="BH4566" s="1119"/>
    </row>
    <row r="4567" spans="1:60" ht="15.75" customHeight="1">
      <c r="A4567" s="436"/>
      <c r="C4567" s="436"/>
      <c r="D4567" s="436"/>
      <c r="E4567" s="436"/>
      <c r="F4567" s="436"/>
      <c r="H4567" s="467"/>
      <c r="I4567" s="467"/>
      <c r="J4567" s="469"/>
      <c r="AL4567" s="436"/>
      <c r="AM4567" s="436"/>
      <c r="AQ4567" s="436"/>
      <c r="AR4567" s="436"/>
      <c r="AS4567" s="436"/>
      <c r="AT4567" s="436"/>
      <c r="AU4567" s="436"/>
      <c r="AV4567" s="436"/>
      <c r="AW4567" s="436"/>
      <c r="AX4567" s="436"/>
      <c r="AY4567" s="436"/>
      <c r="AZ4567" s="475"/>
      <c r="BA4567" s="475"/>
      <c r="BF4567" s="1119"/>
      <c r="BG4567" s="1119"/>
      <c r="BH4567" s="1119"/>
    </row>
    <row r="4568" spans="1:60" ht="15.75" customHeight="1">
      <c r="A4568" s="436"/>
      <c r="C4568" s="436"/>
      <c r="D4568" s="436"/>
      <c r="E4568" s="436"/>
      <c r="F4568" s="436"/>
      <c r="H4568" s="467"/>
      <c r="I4568" s="467"/>
      <c r="J4568" s="469"/>
      <c r="AL4568" s="436"/>
      <c r="AM4568" s="436"/>
      <c r="AQ4568" s="436"/>
      <c r="AR4568" s="436"/>
      <c r="AS4568" s="436"/>
      <c r="AT4568" s="436"/>
      <c r="AU4568" s="436"/>
      <c r="AV4568" s="436"/>
      <c r="AW4568" s="436"/>
      <c r="AX4568" s="436"/>
      <c r="AY4568" s="436"/>
      <c r="AZ4568" s="475"/>
      <c r="BA4568" s="475"/>
      <c r="BF4568" s="1119"/>
      <c r="BG4568" s="1119"/>
      <c r="BH4568" s="1119"/>
    </row>
    <row r="4569" spans="1:60" ht="15.75" customHeight="1">
      <c r="A4569" s="436"/>
      <c r="C4569" s="436"/>
      <c r="D4569" s="436"/>
      <c r="E4569" s="436"/>
      <c r="F4569" s="436"/>
      <c r="H4569" s="467"/>
      <c r="I4569" s="467"/>
      <c r="J4569" s="469"/>
      <c r="AL4569" s="436"/>
      <c r="AM4569" s="436"/>
      <c r="AQ4569" s="436"/>
      <c r="AR4569" s="436"/>
      <c r="AS4569" s="436"/>
      <c r="AT4569" s="436"/>
      <c r="AU4569" s="436"/>
      <c r="AV4569" s="436"/>
      <c r="AW4569" s="436"/>
      <c r="AX4569" s="436"/>
      <c r="AY4569" s="436"/>
      <c r="AZ4569" s="475"/>
      <c r="BA4569" s="475"/>
      <c r="BF4569" s="1119"/>
      <c r="BG4569" s="1119"/>
      <c r="BH4569" s="1119"/>
    </row>
    <row r="4570" spans="1:60" ht="15.75" customHeight="1">
      <c r="A4570" s="436"/>
      <c r="C4570" s="436"/>
      <c r="D4570" s="436"/>
      <c r="E4570" s="436"/>
      <c r="F4570" s="436"/>
      <c r="H4570" s="467"/>
      <c r="I4570" s="467"/>
      <c r="J4570" s="469"/>
      <c r="AL4570" s="436"/>
      <c r="AM4570" s="436"/>
      <c r="AQ4570" s="436"/>
      <c r="AR4570" s="436"/>
      <c r="AS4570" s="436"/>
      <c r="AT4570" s="436"/>
      <c r="AU4570" s="436"/>
      <c r="AV4570" s="436"/>
      <c r="AW4570" s="436"/>
      <c r="AX4570" s="436"/>
      <c r="AY4570" s="436"/>
      <c r="AZ4570" s="475"/>
      <c r="BA4570" s="475"/>
      <c r="BF4570" s="1119"/>
      <c r="BG4570" s="1119"/>
      <c r="BH4570" s="1119"/>
    </row>
    <row r="4571" spans="1:60" ht="15.75" customHeight="1">
      <c r="A4571" s="436"/>
      <c r="C4571" s="436"/>
      <c r="D4571" s="436"/>
      <c r="E4571" s="436"/>
      <c r="F4571" s="436"/>
      <c r="H4571" s="467"/>
      <c r="I4571" s="467"/>
      <c r="J4571" s="469"/>
      <c r="AL4571" s="436"/>
      <c r="AM4571" s="436"/>
      <c r="AQ4571" s="436"/>
      <c r="AR4571" s="436"/>
      <c r="AS4571" s="436"/>
      <c r="AT4571" s="436"/>
      <c r="AU4571" s="436"/>
      <c r="AV4571" s="436"/>
      <c r="AW4571" s="436"/>
      <c r="AX4571" s="436"/>
      <c r="AY4571" s="436"/>
      <c r="AZ4571" s="475"/>
      <c r="BA4571" s="475"/>
      <c r="BF4571" s="1119"/>
      <c r="BG4571" s="1119"/>
      <c r="BH4571" s="1119"/>
    </row>
    <row r="4572" spans="1:60" ht="15.75" customHeight="1">
      <c r="A4572" s="436"/>
      <c r="C4572" s="436"/>
      <c r="D4572" s="436"/>
      <c r="E4572" s="436"/>
      <c r="F4572" s="436"/>
      <c r="H4572" s="467"/>
      <c r="I4572" s="467"/>
      <c r="J4572" s="469"/>
      <c r="AL4572" s="436"/>
      <c r="AM4572" s="436"/>
      <c r="AQ4572" s="436"/>
      <c r="AR4572" s="436"/>
      <c r="AS4572" s="436"/>
      <c r="AT4572" s="436"/>
      <c r="AU4572" s="436"/>
      <c r="AV4572" s="436"/>
      <c r="AW4572" s="436"/>
      <c r="AX4572" s="436"/>
      <c r="AY4572" s="436"/>
      <c r="AZ4572" s="475"/>
      <c r="BA4572" s="475"/>
      <c r="BF4572" s="1119"/>
      <c r="BG4572" s="1119"/>
      <c r="BH4572" s="1119"/>
    </row>
    <row r="4573" spans="1:60" ht="15.75" customHeight="1">
      <c r="A4573" s="436"/>
      <c r="C4573" s="436"/>
      <c r="D4573" s="436"/>
      <c r="E4573" s="436"/>
      <c r="F4573" s="436"/>
      <c r="H4573" s="467"/>
      <c r="I4573" s="467"/>
      <c r="J4573" s="469"/>
      <c r="AL4573" s="436"/>
      <c r="AM4573" s="436"/>
      <c r="AQ4573" s="436"/>
      <c r="AR4573" s="436"/>
      <c r="AS4573" s="436"/>
      <c r="AT4573" s="436"/>
      <c r="AU4573" s="436"/>
      <c r="AV4573" s="436"/>
      <c r="AW4573" s="436"/>
      <c r="AX4573" s="436"/>
      <c r="AY4573" s="436"/>
      <c r="AZ4573" s="475"/>
      <c r="BA4573" s="475"/>
      <c r="BF4573" s="1119"/>
      <c r="BG4573" s="1119"/>
      <c r="BH4573" s="1119"/>
    </row>
    <row r="4574" spans="1:60" ht="15.75" customHeight="1">
      <c r="A4574" s="436"/>
      <c r="C4574" s="436"/>
      <c r="D4574" s="436"/>
      <c r="E4574" s="436"/>
      <c r="F4574" s="436"/>
      <c r="H4574" s="467"/>
      <c r="I4574" s="467"/>
      <c r="J4574" s="469"/>
      <c r="AL4574" s="436"/>
      <c r="AM4574" s="436"/>
      <c r="AQ4574" s="436"/>
      <c r="AR4574" s="436"/>
      <c r="AS4574" s="436"/>
      <c r="AT4574" s="436"/>
      <c r="AU4574" s="436"/>
      <c r="AV4574" s="436"/>
      <c r="AW4574" s="436"/>
      <c r="AX4574" s="436"/>
      <c r="AY4574" s="436"/>
      <c r="AZ4574" s="475"/>
      <c r="BA4574" s="475"/>
      <c r="BF4574" s="1119"/>
      <c r="BG4574" s="1119"/>
      <c r="BH4574" s="1119"/>
    </row>
    <row r="4575" spans="1:60" ht="15.75" customHeight="1">
      <c r="A4575" s="436"/>
      <c r="C4575" s="436"/>
      <c r="D4575" s="436"/>
      <c r="E4575" s="436"/>
      <c r="F4575" s="436"/>
      <c r="H4575" s="467"/>
      <c r="I4575" s="467"/>
      <c r="J4575" s="469"/>
      <c r="AL4575" s="436"/>
      <c r="AM4575" s="436"/>
      <c r="AQ4575" s="436"/>
      <c r="AR4575" s="436"/>
      <c r="AS4575" s="436"/>
      <c r="AT4575" s="436"/>
      <c r="AU4575" s="436"/>
      <c r="AV4575" s="436"/>
      <c r="AW4575" s="436"/>
      <c r="AX4575" s="436"/>
      <c r="AY4575" s="436"/>
      <c r="AZ4575" s="475"/>
      <c r="BA4575" s="475"/>
      <c r="BF4575" s="1119"/>
      <c r="BG4575" s="1119"/>
      <c r="BH4575" s="1119"/>
    </row>
    <row r="4576" spans="1:60" ht="15.75" customHeight="1">
      <c r="A4576" s="436"/>
      <c r="C4576" s="436"/>
      <c r="D4576" s="436"/>
      <c r="E4576" s="436"/>
      <c r="F4576" s="436"/>
      <c r="H4576" s="467"/>
      <c r="I4576" s="467"/>
      <c r="J4576" s="469"/>
      <c r="AL4576" s="436"/>
      <c r="AM4576" s="436"/>
      <c r="AQ4576" s="436"/>
      <c r="AR4576" s="436"/>
      <c r="AS4576" s="436"/>
      <c r="AT4576" s="436"/>
      <c r="AU4576" s="436"/>
      <c r="AV4576" s="436"/>
      <c r="AW4576" s="436"/>
      <c r="AX4576" s="436"/>
      <c r="AY4576" s="436"/>
      <c r="AZ4576" s="475"/>
      <c r="BA4576" s="475"/>
      <c r="BF4576" s="1119"/>
      <c r="BG4576" s="1119"/>
      <c r="BH4576" s="1119"/>
    </row>
    <row r="4577" spans="1:60" ht="15.75" customHeight="1">
      <c r="A4577" s="436"/>
      <c r="C4577" s="436"/>
      <c r="D4577" s="436"/>
      <c r="E4577" s="436"/>
      <c r="F4577" s="436"/>
      <c r="H4577" s="467"/>
      <c r="I4577" s="467"/>
      <c r="J4577" s="469"/>
      <c r="AL4577" s="436"/>
      <c r="AM4577" s="436"/>
      <c r="AQ4577" s="436"/>
      <c r="AR4577" s="436"/>
      <c r="AS4577" s="436"/>
      <c r="AT4577" s="436"/>
      <c r="AU4577" s="436"/>
      <c r="AV4577" s="436"/>
      <c r="AW4577" s="436"/>
      <c r="AX4577" s="436"/>
      <c r="AY4577" s="436"/>
      <c r="AZ4577" s="475"/>
      <c r="BA4577" s="475"/>
      <c r="BF4577" s="1119"/>
      <c r="BG4577" s="1119"/>
      <c r="BH4577" s="1119"/>
    </row>
    <row r="4578" spans="1:60" ht="15.75" customHeight="1">
      <c r="A4578" s="436"/>
      <c r="C4578" s="436"/>
      <c r="D4578" s="436"/>
      <c r="E4578" s="436"/>
      <c r="F4578" s="436"/>
      <c r="H4578" s="467"/>
      <c r="I4578" s="467"/>
      <c r="J4578" s="469"/>
      <c r="AL4578" s="436"/>
      <c r="AM4578" s="436"/>
      <c r="AQ4578" s="436"/>
      <c r="AR4578" s="436"/>
      <c r="AS4578" s="436"/>
      <c r="AT4578" s="436"/>
      <c r="AU4578" s="436"/>
      <c r="AV4578" s="436"/>
      <c r="AW4578" s="436"/>
      <c r="AX4578" s="436"/>
      <c r="AY4578" s="436"/>
      <c r="AZ4578" s="475"/>
      <c r="BA4578" s="475"/>
      <c r="BF4578" s="1119"/>
      <c r="BG4578" s="1119"/>
      <c r="BH4578" s="1119"/>
    </row>
    <row r="4579" spans="1:60" ht="15.75" customHeight="1">
      <c r="A4579" s="436"/>
      <c r="C4579" s="436"/>
      <c r="D4579" s="436"/>
      <c r="E4579" s="436"/>
      <c r="F4579" s="436"/>
      <c r="H4579" s="467"/>
      <c r="I4579" s="467"/>
      <c r="J4579" s="469"/>
      <c r="AL4579" s="436"/>
      <c r="AM4579" s="436"/>
      <c r="AQ4579" s="436"/>
      <c r="AR4579" s="436"/>
      <c r="AS4579" s="436"/>
      <c r="AT4579" s="436"/>
      <c r="AU4579" s="436"/>
      <c r="AV4579" s="436"/>
      <c r="AW4579" s="436"/>
      <c r="AX4579" s="436"/>
      <c r="AY4579" s="436"/>
      <c r="AZ4579" s="475"/>
      <c r="BA4579" s="475"/>
      <c r="BF4579" s="1119"/>
      <c r="BG4579" s="1119"/>
      <c r="BH4579" s="1119"/>
    </row>
    <row r="4580" spans="1:60" ht="15.75" customHeight="1">
      <c r="A4580" s="436"/>
      <c r="C4580" s="436"/>
      <c r="D4580" s="436"/>
      <c r="E4580" s="436"/>
      <c r="F4580" s="436"/>
      <c r="H4580" s="467"/>
      <c r="I4580" s="467"/>
      <c r="J4580" s="469"/>
      <c r="AL4580" s="436"/>
      <c r="AM4580" s="436"/>
      <c r="AQ4580" s="436"/>
      <c r="AR4580" s="436"/>
      <c r="AS4580" s="436"/>
      <c r="AT4580" s="436"/>
      <c r="AU4580" s="436"/>
      <c r="AV4580" s="436"/>
      <c r="AW4580" s="436"/>
      <c r="AX4580" s="436"/>
      <c r="AY4580" s="436"/>
      <c r="AZ4580" s="475"/>
      <c r="BA4580" s="475"/>
      <c r="BF4580" s="1119"/>
      <c r="BG4580" s="1119"/>
      <c r="BH4580" s="1119"/>
    </row>
    <row r="4581" spans="1:60" ht="15.75" customHeight="1">
      <c r="A4581" s="436"/>
      <c r="C4581" s="436"/>
      <c r="D4581" s="436"/>
      <c r="E4581" s="436"/>
      <c r="F4581" s="436"/>
      <c r="H4581" s="467"/>
      <c r="I4581" s="467"/>
      <c r="J4581" s="469"/>
      <c r="AL4581" s="436"/>
      <c r="AM4581" s="436"/>
      <c r="AQ4581" s="436"/>
      <c r="AR4581" s="436"/>
      <c r="AS4581" s="436"/>
      <c r="AT4581" s="436"/>
      <c r="AU4581" s="436"/>
      <c r="AV4581" s="436"/>
      <c r="AW4581" s="436"/>
      <c r="AX4581" s="436"/>
      <c r="AY4581" s="436"/>
      <c r="AZ4581" s="475"/>
      <c r="BA4581" s="475"/>
      <c r="BF4581" s="1119"/>
      <c r="BG4581" s="1119"/>
      <c r="BH4581" s="1119"/>
    </row>
    <row r="4582" spans="1:60" ht="15.75" customHeight="1">
      <c r="A4582" s="436"/>
      <c r="C4582" s="436"/>
      <c r="D4582" s="436"/>
      <c r="E4582" s="436"/>
      <c r="F4582" s="436"/>
      <c r="H4582" s="467"/>
      <c r="I4582" s="467"/>
      <c r="J4582" s="469"/>
      <c r="AL4582" s="436"/>
      <c r="AM4582" s="436"/>
      <c r="AQ4582" s="436"/>
      <c r="AR4582" s="436"/>
      <c r="AS4582" s="436"/>
      <c r="AT4582" s="436"/>
      <c r="AU4582" s="436"/>
      <c r="AV4582" s="436"/>
      <c r="AW4582" s="436"/>
      <c r="AX4582" s="436"/>
      <c r="AY4582" s="436"/>
      <c r="AZ4582" s="475"/>
      <c r="BA4582" s="475"/>
      <c r="BF4582" s="1119"/>
      <c r="BG4582" s="1119"/>
      <c r="BH4582" s="1119"/>
    </row>
    <row r="4583" spans="1:60" ht="15.75" customHeight="1">
      <c r="A4583" s="436"/>
      <c r="C4583" s="436"/>
      <c r="D4583" s="436"/>
      <c r="E4583" s="436"/>
      <c r="F4583" s="436"/>
      <c r="H4583" s="467"/>
      <c r="I4583" s="467"/>
      <c r="J4583" s="469"/>
      <c r="AL4583" s="436"/>
      <c r="AM4583" s="436"/>
      <c r="AQ4583" s="436"/>
      <c r="AR4583" s="436"/>
      <c r="AS4583" s="436"/>
      <c r="AT4583" s="436"/>
      <c r="AU4583" s="436"/>
      <c r="AV4583" s="436"/>
      <c r="AW4583" s="436"/>
      <c r="AX4583" s="436"/>
      <c r="AY4583" s="436"/>
      <c r="AZ4583" s="475"/>
      <c r="BA4583" s="475"/>
      <c r="BF4583" s="1119"/>
      <c r="BG4583" s="1119"/>
      <c r="BH4583" s="1119"/>
    </row>
    <row r="4584" spans="1:60" ht="15.75" customHeight="1">
      <c r="A4584" s="436"/>
      <c r="C4584" s="436"/>
      <c r="D4584" s="436"/>
      <c r="E4584" s="436"/>
      <c r="F4584" s="436"/>
      <c r="H4584" s="467"/>
      <c r="I4584" s="467"/>
      <c r="J4584" s="469"/>
      <c r="AL4584" s="436"/>
      <c r="AM4584" s="436"/>
      <c r="AQ4584" s="436"/>
      <c r="AR4584" s="436"/>
      <c r="AS4584" s="436"/>
      <c r="AT4584" s="436"/>
      <c r="AU4584" s="436"/>
      <c r="AV4584" s="436"/>
      <c r="AW4584" s="436"/>
      <c r="AX4584" s="436"/>
      <c r="AY4584" s="436"/>
      <c r="AZ4584" s="475"/>
      <c r="BA4584" s="475"/>
      <c r="BF4584" s="1119"/>
      <c r="BG4584" s="1119"/>
      <c r="BH4584" s="1119"/>
    </row>
    <row r="4585" spans="1:60" ht="15.75" customHeight="1">
      <c r="A4585" s="436"/>
      <c r="C4585" s="436"/>
      <c r="D4585" s="436"/>
      <c r="E4585" s="436"/>
      <c r="F4585" s="436"/>
      <c r="H4585" s="467"/>
      <c r="I4585" s="467"/>
      <c r="J4585" s="469"/>
      <c r="AL4585" s="436"/>
      <c r="AM4585" s="436"/>
      <c r="AQ4585" s="436"/>
      <c r="AR4585" s="436"/>
      <c r="AS4585" s="436"/>
      <c r="AT4585" s="436"/>
      <c r="AU4585" s="436"/>
      <c r="AV4585" s="436"/>
      <c r="AW4585" s="436"/>
      <c r="AX4585" s="436"/>
      <c r="AY4585" s="436"/>
      <c r="AZ4585" s="475"/>
      <c r="BA4585" s="475"/>
      <c r="BF4585" s="1119"/>
      <c r="BG4585" s="1119"/>
      <c r="BH4585" s="1119"/>
    </row>
    <row r="4586" spans="1:60" ht="15.75" customHeight="1">
      <c r="A4586" s="436"/>
      <c r="C4586" s="436"/>
      <c r="D4586" s="436"/>
      <c r="E4586" s="436"/>
      <c r="F4586" s="436"/>
      <c r="H4586" s="467"/>
      <c r="I4586" s="467"/>
      <c r="J4586" s="469"/>
      <c r="AL4586" s="436"/>
      <c r="AM4586" s="436"/>
      <c r="AQ4586" s="436"/>
      <c r="AR4586" s="436"/>
      <c r="AS4586" s="436"/>
      <c r="AT4586" s="436"/>
      <c r="AU4586" s="436"/>
      <c r="AV4586" s="436"/>
      <c r="AW4586" s="436"/>
      <c r="AX4586" s="436"/>
      <c r="AY4586" s="436"/>
      <c r="AZ4586" s="475"/>
      <c r="BA4586" s="475"/>
      <c r="BF4586" s="1119"/>
      <c r="BG4586" s="1119"/>
      <c r="BH4586" s="1119"/>
    </row>
    <row r="4587" spans="1:60" ht="15.75" customHeight="1">
      <c r="A4587" s="436"/>
      <c r="C4587" s="436"/>
      <c r="D4587" s="436"/>
      <c r="E4587" s="436"/>
      <c r="F4587" s="436"/>
      <c r="H4587" s="467"/>
      <c r="I4587" s="467"/>
      <c r="J4587" s="469"/>
      <c r="AL4587" s="436"/>
      <c r="AM4587" s="436"/>
      <c r="AQ4587" s="436"/>
      <c r="AR4587" s="436"/>
      <c r="AS4587" s="436"/>
      <c r="AT4587" s="436"/>
      <c r="AU4587" s="436"/>
      <c r="AV4587" s="436"/>
      <c r="AW4587" s="436"/>
      <c r="AX4587" s="436"/>
      <c r="AY4587" s="436"/>
      <c r="AZ4587" s="475"/>
      <c r="BA4587" s="475"/>
      <c r="BF4587" s="1119"/>
      <c r="BG4587" s="1119"/>
      <c r="BH4587" s="1119"/>
    </row>
    <row r="4588" spans="1:60" ht="15.75" customHeight="1">
      <c r="A4588" s="436"/>
      <c r="C4588" s="436"/>
      <c r="D4588" s="436"/>
      <c r="E4588" s="436"/>
      <c r="F4588" s="436"/>
      <c r="H4588" s="467"/>
      <c r="I4588" s="467"/>
      <c r="J4588" s="469"/>
      <c r="AL4588" s="436"/>
      <c r="AM4588" s="436"/>
      <c r="AQ4588" s="436"/>
      <c r="AR4588" s="436"/>
      <c r="AS4588" s="436"/>
      <c r="AT4588" s="436"/>
      <c r="AU4588" s="436"/>
      <c r="AV4588" s="436"/>
      <c r="AW4588" s="436"/>
      <c r="AX4588" s="436"/>
      <c r="AY4588" s="436"/>
      <c r="AZ4588" s="475"/>
      <c r="BA4588" s="475"/>
      <c r="BF4588" s="1119"/>
      <c r="BG4588" s="1119"/>
      <c r="BH4588" s="1119"/>
    </row>
    <row r="4589" spans="1:60" ht="15.75" customHeight="1">
      <c r="A4589" s="436"/>
      <c r="C4589" s="436"/>
      <c r="D4589" s="436"/>
      <c r="E4589" s="436"/>
      <c r="F4589" s="436"/>
      <c r="H4589" s="467"/>
      <c r="I4589" s="467"/>
      <c r="J4589" s="469"/>
      <c r="AL4589" s="436"/>
      <c r="AM4589" s="436"/>
      <c r="AQ4589" s="436"/>
      <c r="AR4589" s="436"/>
      <c r="AS4589" s="436"/>
      <c r="AT4589" s="436"/>
      <c r="AU4589" s="436"/>
      <c r="AV4589" s="436"/>
      <c r="AW4589" s="436"/>
      <c r="AX4589" s="436"/>
      <c r="AY4589" s="436"/>
      <c r="AZ4589" s="475"/>
      <c r="BA4589" s="475"/>
      <c r="BF4589" s="1119"/>
      <c r="BG4589" s="1119"/>
      <c r="BH4589" s="1119"/>
    </row>
    <row r="4590" spans="1:60" ht="15.75" customHeight="1">
      <c r="A4590" s="436"/>
      <c r="C4590" s="436"/>
      <c r="D4590" s="436"/>
      <c r="E4590" s="436"/>
      <c r="F4590" s="436"/>
      <c r="H4590" s="467"/>
      <c r="I4590" s="467"/>
      <c r="J4590" s="469"/>
      <c r="AL4590" s="436"/>
      <c r="AM4590" s="436"/>
      <c r="AQ4590" s="436"/>
      <c r="AR4590" s="436"/>
      <c r="AS4590" s="436"/>
      <c r="AT4590" s="436"/>
      <c r="AU4590" s="436"/>
      <c r="AV4590" s="436"/>
      <c r="AW4590" s="436"/>
      <c r="AX4590" s="436"/>
      <c r="AY4590" s="436"/>
      <c r="AZ4590" s="475"/>
      <c r="BA4590" s="475"/>
      <c r="BF4590" s="1119"/>
      <c r="BG4590" s="1119"/>
      <c r="BH4590" s="1119"/>
    </row>
    <row r="4591" spans="1:60" ht="15.75" customHeight="1">
      <c r="A4591" s="436"/>
      <c r="C4591" s="436"/>
      <c r="D4591" s="436"/>
      <c r="E4591" s="436"/>
      <c r="F4591" s="436"/>
      <c r="H4591" s="467"/>
      <c r="I4591" s="467"/>
      <c r="J4591" s="469"/>
      <c r="AL4591" s="436"/>
      <c r="AM4591" s="436"/>
      <c r="AQ4591" s="436"/>
      <c r="AR4591" s="436"/>
      <c r="AS4591" s="436"/>
      <c r="AT4591" s="436"/>
      <c r="AU4591" s="436"/>
      <c r="AV4591" s="436"/>
      <c r="AW4591" s="436"/>
      <c r="AX4591" s="436"/>
      <c r="AY4591" s="436"/>
      <c r="AZ4591" s="475"/>
      <c r="BA4591" s="475"/>
      <c r="BF4591" s="1119"/>
      <c r="BG4591" s="1119"/>
      <c r="BH4591" s="1119"/>
    </row>
    <row r="4592" spans="1:60" ht="15.75" customHeight="1">
      <c r="A4592" s="436"/>
      <c r="C4592" s="436"/>
      <c r="D4592" s="436"/>
      <c r="E4592" s="436"/>
      <c r="F4592" s="436"/>
      <c r="H4592" s="467"/>
      <c r="I4592" s="467"/>
      <c r="J4592" s="469"/>
      <c r="AL4592" s="436"/>
      <c r="AM4592" s="436"/>
      <c r="AQ4592" s="436"/>
      <c r="AR4592" s="436"/>
      <c r="AS4592" s="436"/>
      <c r="AT4592" s="436"/>
      <c r="AU4592" s="436"/>
      <c r="AV4592" s="436"/>
      <c r="AW4592" s="436"/>
      <c r="AX4592" s="436"/>
      <c r="AY4592" s="436"/>
      <c r="AZ4592" s="475"/>
      <c r="BA4592" s="475"/>
      <c r="BF4592" s="1119"/>
      <c r="BG4592" s="1119"/>
      <c r="BH4592" s="1119"/>
    </row>
    <row r="4593" spans="1:60" ht="15.75" customHeight="1">
      <c r="A4593" s="436"/>
      <c r="C4593" s="436"/>
      <c r="D4593" s="436"/>
      <c r="E4593" s="436"/>
      <c r="F4593" s="436"/>
      <c r="H4593" s="467"/>
      <c r="I4593" s="467"/>
      <c r="J4593" s="469"/>
      <c r="AL4593" s="436"/>
      <c r="AM4593" s="436"/>
      <c r="AQ4593" s="436"/>
      <c r="AR4593" s="436"/>
      <c r="AS4593" s="436"/>
      <c r="AT4593" s="436"/>
      <c r="AU4593" s="436"/>
      <c r="AV4593" s="436"/>
      <c r="AW4593" s="436"/>
      <c r="AX4593" s="436"/>
      <c r="AY4593" s="436"/>
      <c r="AZ4593" s="475"/>
      <c r="BA4593" s="475"/>
      <c r="BF4593" s="1119"/>
      <c r="BG4593" s="1119"/>
      <c r="BH4593" s="1119"/>
    </row>
    <row r="4594" spans="1:60" ht="15.75" customHeight="1">
      <c r="A4594" s="436"/>
      <c r="C4594" s="436"/>
      <c r="D4594" s="436"/>
      <c r="E4594" s="436"/>
      <c r="F4594" s="436"/>
      <c r="H4594" s="467"/>
      <c r="I4594" s="467"/>
      <c r="J4594" s="469"/>
      <c r="AL4594" s="436"/>
      <c r="AM4594" s="436"/>
      <c r="AQ4594" s="436"/>
      <c r="AR4594" s="436"/>
      <c r="AS4594" s="436"/>
      <c r="AT4594" s="436"/>
      <c r="AU4594" s="436"/>
      <c r="AV4594" s="436"/>
      <c r="AW4594" s="436"/>
      <c r="AX4594" s="436"/>
      <c r="AY4594" s="436"/>
      <c r="AZ4594" s="475"/>
      <c r="BA4594" s="475"/>
      <c r="BF4594" s="1119"/>
      <c r="BG4594" s="1119"/>
      <c r="BH4594" s="1119"/>
    </row>
    <row r="4595" spans="1:60" ht="15.75" customHeight="1">
      <c r="A4595" s="436"/>
      <c r="C4595" s="436"/>
      <c r="D4595" s="436"/>
      <c r="E4595" s="436"/>
      <c r="F4595" s="436"/>
      <c r="H4595" s="467"/>
      <c r="I4595" s="467"/>
      <c r="J4595" s="469"/>
      <c r="AL4595" s="436"/>
      <c r="AM4595" s="436"/>
      <c r="AQ4595" s="436"/>
      <c r="AR4595" s="436"/>
      <c r="AS4595" s="436"/>
      <c r="AT4595" s="436"/>
      <c r="AU4595" s="436"/>
      <c r="AV4595" s="436"/>
      <c r="AW4595" s="436"/>
      <c r="AX4595" s="436"/>
      <c r="AY4595" s="436"/>
      <c r="AZ4595" s="475"/>
      <c r="BA4595" s="475"/>
      <c r="BF4595" s="1119"/>
      <c r="BG4595" s="1119"/>
      <c r="BH4595" s="1119"/>
    </row>
    <row r="4596" spans="1:60" ht="15.75" customHeight="1">
      <c r="A4596" s="436"/>
      <c r="C4596" s="436"/>
      <c r="D4596" s="436"/>
      <c r="E4596" s="436"/>
      <c r="F4596" s="436"/>
      <c r="H4596" s="467"/>
      <c r="I4596" s="467"/>
      <c r="J4596" s="469"/>
      <c r="AL4596" s="436"/>
      <c r="AM4596" s="436"/>
      <c r="AQ4596" s="436"/>
      <c r="AR4596" s="436"/>
      <c r="AS4596" s="436"/>
      <c r="AT4596" s="436"/>
      <c r="AU4596" s="436"/>
      <c r="AV4596" s="436"/>
      <c r="AW4596" s="436"/>
      <c r="AX4596" s="436"/>
      <c r="AY4596" s="436"/>
      <c r="AZ4596" s="475"/>
      <c r="BA4596" s="475"/>
      <c r="BF4596" s="1119"/>
      <c r="BG4596" s="1119"/>
      <c r="BH4596" s="1119"/>
    </row>
    <row r="4597" spans="1:60" ht="15.75" customHeight="1">
      <c r="A4597" s="436"/>
      <c r="C4597" s="436"/>
      <c r="D4597" s="436"/>
      <c r="E4597" s="436"/>
      <c r="F4597" s="436"/>
      <c r="H4597" s="467"/>
      <c r="I4597" s="467"/>
      <c r="J4597" s="469"/>
      <c r="AL4597" s="436"/>
      <c r="AM4597" s="436"/>
      <c r="AQ4597" s="436"/>
      <c r="AR4597" s="436"/>
      <c r="AS4597" s="436"/>
      <c r="AT4597" s="436"/>
      <c r="AU4597" s="436"/>
      <c r="AV4597" s="436"/>
      <c r="AW4597" s="436"/>
      <c r="AX4597" s="436"/>
      <c r="AY4597" s="436"/>
      <c r="AZ4597" s="475"/>
      <c r="BA4597" s="475"/>
      <c r="BF4597" s="1119"/>
      <c r="BG4597" s="1119"/>
      <c r="BH4597" s="1119"/>
    </row>
    <row r="4598" spans="1:60" ht="15.75" customHeight="1">
      <c r="A4598" s="436"/>
      <c r="C4598" s="436"/>
      <c r="D4598" s="436"/>
      <c r="E4598" s="436"/>
      <c r="F4598" s="436"/>
      <c r="H4598" s="467"/>
      <c r="I4598" s="467"/>
      <c r="J4598" s="469"/>
      <c r="AL4598" s="436"/>
      <c r="AM4598" s="436"/>
      <c r="AQ4598" s="436"/>
      <c r="AR4598" s="436"/>
      <c r="AS4598" s="436"/>
      <c r="AT4598" s="436"/>
      <c r="AU4598" s="436"/>
      <c r="AV4598" s="436"/>
      <c r="AW4598" s="436"/>
      <c r="AX4598" s="436"/>
      <c r="AY4598" s="436"/>
      <c r="AZ4598" s="475"/>
      <c r="BA4598" s="475"/>
      <c r="BF4598" s="1119"/>
      <c r="BG4598" s="1119"/>
      <c r="BH4598" s="1119"/>
    </row>
    <row r="4599" spans="1:60" ht="15.75" customHeight="1">
      <c r="A4599" s="436"/>
      <c r="C4599" s="436"/>
      <c r="D4599" s="436"/>
      <c r="E4599" s="436"/>
      <c r="F4599" s="436"/>
      <c r="H4599" s="467"/>
      <c r="I4599" s="467"/>
      <c r="J4599" s="469"/>
      <c r="AL4599" s="436"/>
      <c r="AM4599" s="436"/>
      <c r="AQ4599" s="436"/>
      <c r="AR4599" s="436"/>
      <c r="AS4599" s="436"/>
      <c r="AT4599" s="436"/>
      <c r="AU4599" s="436"/>
      <c r="AV4599" s="436"/>
      <c r="AW4599" s="436"/>
      <c r="AX4599" s="436"/>
      <c r="AY4599" s="436"/>
      <c r="AZ4599" s="475"/>
      <c r="BA4599" s="475"/>
      <c r="BF4599" s="1119"/>
      <c r="BG4599" s="1119"/>
      <c r="BH4599" s="1119"/>
    </row>
    <row r="4600" spans="1:60" ht="15.75" customHeight="1">
      <c r="A4600" s="436"/>
      <c r="C4600" s="436"/>
      <c r="D4600" s="436"/>
      <c r="E4600" s="436"/>
      <c r="F4600" s="436"/>
      <c r="H4600" s="467"/>
      <c r="I4600" s="467"/>
      <c r="J4600" s="469"/>
      <c r="AL4600" s="436"/>
      <c r="AM4600" s="436"/>
      <c r="AQ4600" s="436"/>
      <c r="AR4600" s="436"/>
      <c r="AS4600" s="436"/>
      <c r="AT4600" s="436"/>
      <c r="AU4600" s="436"/>
      <c r="AV4600" s="436"/>
      <c r="AW4600" s="436"/>
      <c r="AX4600" s="436"/>
      <c r="AY4600" s="436"/>
      <c r="AZ4600" s="475"/>
      <c r="BA4600" s="475"/>
      <c r="BF4600" s="1119"/>
      <c r="BG4600" s="1119"/>
      <c r="BH4600" s="1119"/>
    </row>
    <row r="4601" spans="1:60" ht="15.75" customHeight="1">
      <c r="A4601" s="436"/>
      <c r="C4601" s="436"/>
      <c r="D4601" s="436"/>
      <c r="E4601" s="436"/>
      <c r="F4601" s="436"/>
      <c r="H4601" s="467"/>
      <c r="I4601" s="467"/>
      <c r="J4601" s="469"/>
      <c r="AL4601" s="436"/>
      <c r="AM4601" s="436"/>
      <c r="AQ4601" s="436"/>
      <c r="AR4601" s="436"/>
      <c r="AS4601" s="436"/>
      <c r="AT4601" s="436"/>
      <c r="AU4601" s="436"/>
      <c r="AV4601" s="436"/>
      <c r="AW4601" s="436"/>
      <c r="AX4601" s="436"/>
      <c r="AY4601" s="436"/>
      <c r="AZ4601" s="475"/>
      <c r="BA4601" s="475"/>
      <c r="BF4601" s="1119"/>
      <c r="BG4601" s="1119"/>
      <c r="BH4601" s="1119"/>
    </row>
    <row r="4602" spans="1:60" ht="15.75" customHeight="1">
      <c r="A4602" s="436"/>
      <c r="C4602" s="436"/>
      <c r="D4602" s="436"/>
      <c r="E4602" s="436"/>
      <c r="F4602" s="436"/>
      <c r="H4602" s="467"/>
      <c r="I4602" s="467"/>
      <c r="J4602" s="469"/>
      <c r="AL4602" s="436"/>
      <c r="AM4602" s="436"/>
      <c r="AQ4602" s="436"/>
      <c r="AR4602" s="436"/>
      <c r="AS4602" s="436"/>
      <c r="AT4602" s="436"/>
      <c r="AU4602" s="436"/>
      <c r="AV4602" s="436"/>
      <c r="AW4602" s="436"/>
      <c r="AX4602" s="436"/>
      <c r="AY4602" s="436"/>
      <c r="AZ4602" s="475"/>
      <c r="BA4602" s="475"/>
      <c r="BF4602" s="1119"/>
      <c r="BG4602" s="1119"/>
      <c r="BH4602" s="1119"/>
    </row>
    <row r="4603" spans="1:60" ht="15.75" customHeight="1">
      <c r="A4603" s="436"/>
      <c r="C4603" s="436"/>
      <c r="D4603" s="436"/>
      <c r="E4603" s="436"/>
      <c r="F4603" s="436"/>
      <c r="H4603" s="467"/>
      <c r="I4603" s="467"/>
      <c r="J4603" s="469"/>
      <c r="AL4603" s="436"/>
      <c r="AM4603" s="436"/>
      <c r="AQ4603" s="436"/>
      <c r="AR4603" s="436"/>
      <c r="AS4603" s="436"/>
      <c r="AT4603" s="436"/>
      <c r="AU4603" s="436"/>
      <c r="AV4603" s="436"/>
      <c r="AW4603" s="436"/>
      <c r="AX4603" s="436"/>
      <c r="AY4603" s="436"/>
      <c r="AZ4603" s="475"/>
      <c r="BA4603" s="475"/>
      <c r="BF4603" s="1119"/>
      <c r="BG4603" s="1119"/>
      <c r="BH4603" s="1119"/>
    </row>
    <row r="4604" spans="1:60" ht="15.75" customHeight="1">
      <c r="A4604" s="436"/>
      <c r="C4604" s="436"/>
      <c r="D4604" s="436"/>
      <c r="E4604" s="436"/>
      <c r="F4604" s="436"/>
      <c r="H4604" s="467"/>
      <c r="I4604" s="467"/>
      <c r="J4604" s="469"/>
      <c r="AL4604" s="436"/>
      <c r="AM4604" s="436"/>
      <c r="AQ4604" s="436"/>
      <c r="AR4604" s="436"/>
      <c r="AS4604" s="436"/>
      <c r="AT4604" s="436"/>
      <c r="AU4604" s="436"/>
      <c r="AV4604" s="436"/>
      <c r="AW4604" s="436"/>
      <c r="AX4604" s="436"/>
      <c r="AY4604" s="436"/>
      <c r="AZ4604" s="475"/>
      <c r="BA4604" s="475"/>
      <c r="BF4604" s="1119"/>
      <c r="BG4604" s="1119"/>
      <c r="BH4604" s="1119"/>
    </row>
    <row r="4605" spans="1:60" ht="15.75" customHeight="1">
      <c r="A4605" s="436"/>
      <c r="C4605" s="436"/>
      <c r="D4605" s="436"/>
      <c r="E4605" s="436"/>
      <c r="F4605" s="436"/>
      <c r="H4605" s="467"/>
      <c r="I4605" s="467"/>
      <c r="J4605" s="469"/>
      <c r="AL4605" s="436"/>
      <c r="AM4605" s="436"/>
      <c r="AQ4605" s="436"/>
      <c r="AR4605" s="436"/>
      <c r="AS4605" s="436"/>
      <c r="AT4605" s="436"/>
      <c r="AU4605" s="436"/>
      <c r="AV4605" s="436"/>
      <c r="AW4605" s="436"/>
      <c r="AX4605" s="436"/>
      <c r="AY4605" s="436"/>
      <c r="AZ4605" s="475"/>
      <c r="BA4605" s="475"/>
      <c r="BF4605" s="1119"/>
      <c r="BG4605" s="1119"/>
      <c r="BH4605" s="1119"/>
    </row>
    <row r="4606" spans="1:60" ht="15.75" customHeight="1">
      <c r="A4606" s="436"/>
      <c r="C4606" s="436"/>
      <c r="D4606" s="436"/>
      <c r="E4606" s="436"/>
      <c r="F4606" s="436"/>
      <c r="H4606" s="467"/>
      <c r="I4606" s="467"/>
      <c r="J4606" s="469"/>
      <c r="AL4606" s="436"/>
      <c r="AM4606" s="436"/>
      <c r="AQ4606" s="436"/>
      <c r="AR4606" s="436"/>
      <c r="AS4606" s="436"/>
      <c r="AT4606" s="436"/>
      <c r="AU4606" s="436"/>
      <c r="AV4606" s="436"/>
      <c r="AW4606" s="436"/>
      <c r="AX4606" s="436"/>
      <c r="AY4606" s="436"/>
      <c r="AZ4606" s="475"/>
      <c r="BA4606" s="475"/>
      <c r="BF4606" s="1119"/>
      <c r="BG4606" s="1119"/>
      <c r="BH4606" s="1119"/>
    </row>
    <row r="4607" spans="1:60" ht="15.75" customHeight="1">
      <c r="A4607" s="436"/>
      <c r="C4607" s="436"/>
      <c r="D4607" s="436"/>
      <c r="E4607" s="436"/>
      <c r="F4607" s="436"/>
      <c r="H4607" s="467"/>
      <c r="I4607" s="467"/>
      <c r="J4607" s="469"/>
      <c r="AL4607" s="436"/>
      <c r="AM4607" s="436"/>
      <c r="AQ4607" s="436"/>
      <c r="AR4607" s="436"/>
      <c r="AS4607" s="436"/>
      <c r="AT4607" s="436"/>
      <c r="AU4607" s="436"/>
      <c r="AV4607" s="436"/>
      <c r="AW4607" s="436"/>
      <c r="AX4607" s="436"/>
      <c r="AY4607" s="436"/>
      <c r="AZ4607" s="475"/>
      <c r="BA4607" s="475"/>
      <c r="BF4607" s="1119"/>
      <c r="BG4607" s="1119"/>
      <c r="BH4607" s="1119"/>
    </row>
    <row r="4608" spans="1:60" ht="15.75" customHeight="1">
      <c r="A4608" s="436"/>
      <c r="C4608" s="436"/>
      <c r="D4608" s="436"/>
      <c r="E4608" s="436"/>
      <c r="F4608" s="436"/>
      <c r="H4608" s="467"/>
      <c r="I4608" s="467"/>
      <c r="J4608" s="469"/>
      <c r="AL4608" s="436"/>
      <c r="AM4608" s="436"/>
      <c r="AQ4608" s="436"/>
      <c r="AR4608" s="436"/>
      <c r="AS4608" s="436"/>
      <c r="AT4608" s="436"/>
      <c r="AU4608" s="436"/>
      <c r="AV4608" s="436"/>
      <c r="AW4608" s="436"/>
      <c r="AX4608" s="436"/>
      <c r="AY4608" s="436"/>
      <c r="AZ4608" s="475"/>
      <c r="BA4608" s="475"/>
      <c r="BF4608" s="1119"/>
      <c r="BG4608" s="1119"/>
      <c r="BH4608" s="1119"/>
    </row>
    <row r="4609" spans="1:60" ht="15.75" customHeight="1">
      <c r="A4609" s="436"/>
      <c r="C4609" s="436"/>
      <c r="D4609" s="436"/>
      <c r="E4609" s="436"/>
      <c r="F4609" s="436"/>
      <c r="H4609" s="467"/>
      <c r="I4609" s="467"/>
      <c r="J4609" s="469"/>
      <c r="AL4609" s="436"/>
      <c r="AM4609" s="436"/>
      <c r="AQ4609" s="436"/>
      <c r="AR4609" s="436"/>
      <c r="AS4609" s="436"/>
      <c r="AT4609" s="436"/>
      <c r="AU4609" s="436"/>
      <c r="AV4609" s="436"/>
      <c r="AW4609" s="436"/>
      <c r="AX4609" s="436"/>
      <c r="AY4609" s="436"/>
      <c r="AZ4609" s="475"/>
      <c r="BA4609" s="475"/>
      <c r="BF4609" s="1119"/>
      <c r="BG4609" s="1119"/>
      <c r="BH4609" s="1119"/>
    </row>
    <row r="4610" spans="1:60" ht="15.75" customHeight="1">
      <c r="A4610" s="436"/>
      <c r="C4610" s="436"/>
      <c r="D4610" s="436"/>
      <c r="E4610" s="436"/>
      <c r="F4610" s="436"/>
      <c r="H4610" s="467"/>
      <c r="I4610" s="467"/>
      <c r="J4610" s="469"/>
      <c r="AL4610" s="436"/>
      <c r="AM4610" s="436"/>
      <c r="AQ4610" s="436"/>
      <c r="AR4610" s="436"/>
      <c r="AS4610" s="436"/>
      <c r="AT4610" s="436"/>
      <c r="AU4610" s="436"/>
      <c r="AV4610" s="436"/>
      <c r="AW4610" s="436"/>
      <c r="AX4610" s="436"/>
      <c r="AY4610" s="436"/>
      <c r="AZ4610" s="475"/>
      <c r="BA4610" s="475"/>
      <c r="BF4610" s="1119"/>
      <c r="BG4610" s="1119"/>
      <c r="BH4610" s="1119"/>
    </row>
    <row r="4611" spans="1:60" ht="15.75" customHeight="1">
      <c r="A4611" s="436"/>
      <c r="C4611" s="436"/>
      <c r="D4611" s="436"/>
      <c r="E4611" s="436"/>
      <c r="F4611" s="436"/>
      <c r="H4611" s="467"/>
      <c r="I4611" s="467"/>
      <c r="J4611" s="469"/>
      <c r="AL4611" s="436"/>
      <c r="AM4611" s="436"/>
      <c r="AQ4611" s="436"/>
      <c r="AR4611" s="436"/>
      <c r="AS4611" s="436"/>
      <c r="AT4611" s="436"/>
      <c r="AU4611" s="436"/>
      <c r="AV4611" s="436"/>
      <c r="AW4611" s="436"/>
      <c r="AX4611" s="436"/>
      <c r="AY4611" s="436"/>
      <c r="AZ4611" s="475"/>
      <c r="BA4611" s="475"/>
      <c r="BF4611" s="1119"/>
      <c r="BG4611" s="1119"/>
      <c r="BH4611" s="1119"/>
    </row>
    <row r="4612" spans="1:60" ht="15.75" customHeight="1">
      <c r="A4612" s="436"/>
      <c r="C4612" s="436"/>
      <c r="D4612" s="436"/>
      <c r="E4612" s="436"/>
      <c r="F4612" s="436"/>
      <c r="H4612" s="467"/>
      <c r="I4612" s="467"/>
      <c r="J4612" s="469"/>
      <c r="AL4612" s="436"/>
      <c r="AM4612" s="436"/>
      <c r="AQ4612" s="436"/>
      <c r="AR4612" s="436"/>
      <c r="AS4612" s="436"/>
      <c r="AT4612" s="436"/>
      <c r="AU4612" s="436"/>
      <c r="AV4612" s="436"/>
      <c r="AW4612" s="436"/>
      <c r="AX4612" s="436"/>
      <c r="AY4612" s="436"/>
      <c r="AZ4612" s="475"/>
      <c r="BA4612" s="475"/>
      <c r="BF4612" s="1119"/>
      <c r="BG4612" s="1119"/>
      <c r="BH4612" s="1119"/>
    </row>
    <row r="4613" spans="1:60" ht="15.75" customHeight="1">
      <c r="A4613" s="436"/>
      <c r="C4613" s="436"/>
      <c r="D4613" s="436"/>
      <c r="E4613" s="436"/>
      <c r="F4613" s="436"/>
      <c r="H4613" s="467"/>
      <c r="I4613" s="467"/>
      <c r="J4613" s="469"/>
      <c r="AL4613" s="436"/>
      <c r="AM4613" s="436"/>
      <c r="AQ4613" s="436"/>
      <c r="AR4613" s="436"/>
      <c r="AS4613" s="436"/>
      <c r="AT4613" s="436"/>
      <c r="AU4613" s="436"/>
      <c r="AV4613" s="436"/>
      <c r="AW4613" s="436"/>
      <c r="AX4613" s="436"/>
      <c r="AY4613" s="436"/>
      <c r="AZ4613" s="475"/>
      <c r="BA4613" s="475"/>
      <c r="BF4613" s="1119"/>
      <c r="BG4613" s="1119"/>
      <c r="BH4613" s="1119"/>
    </row>
    <row r="4614" spans="1:60" ht="15.75" customHeight="1">
      <c r="A4614" s="436"/>
      <c r="C4614" s="436"/>
      <c r="D4614" s="436"/>
      <c r="E4614" s="436"/>
      <c r="F4614" s="436"/>
      <c r="H4614" s="467"/>
      <c r="I4614" s="467"/>
      <c r="J4614" s="469"/>
      <c r="AL4614" s="436"/>
      <c r="AM4614" s="436"/>
      <c r="AQ4614" s="436"/>
      <c r="AR4614" s="436"/>
      <c r="AS4614" s="436"/>
      <c r="AT4614" s="436"/>
      <c r="AU4614" s="436"/>
      <c r="AV4614" s="436"/>
      <c r="AW4614" s="436"/>
      <c r="AX4614" s="436"/>
      <c r="AY4614" s="436"/>
      <c r="AZ4614" s="475"/>
      <c r="BA4614" s="475"/>
      <c r="BF4614" s="1119"/>
      <c r="BG4614" s="1119"/>
      <c r="BH4614" s="1119"/>
    </row>
    <row r="4615" spans="1:60" ht="15.75" customHeight="1">
      <c r="A4615" s="436"/>
      <c r="C4615" s="436"/>
      <c r="D4615" s="436"/>
      <c r="E4615" s="436"/>
      <c r="F4615" s="436"/>
      <c r="H4615" s="467"/>
      <c r="I4615" s="467"/>
      <c r="J4615" s="469"/>
      <c r="AL4615" s="436"/>
      <c r="AM4615" s="436"/>
      <c r="AQ4615" s="436"/>
      <c r="AR4615" s="436"/>
      <c r="AS4615" s="436"/>
      <c r="AT4615" s="436"/>
      <c r="AU4615" s="436"/>
      <c r="AV4615" s="436"/>
      <c r="AW4615" s="436"/>
      <c r="AX4615" s="436"/>
      <c r="AY4615" s="436"/>
      <c r="AZ4615" s="475"/>
      <c r="BA4615" s="475"/>
      <c r="BF4615" s="1119"/>
      <c r="BG4615" s="1119"/>
      <c r="BH4615" s="1119"/>
    </row>
    <row r="4616" spans="1:60" ht="15.75" customHeight="1">
      <c r="A4616" s="436"/>
      <c r="C4616" s="436"/>
      <c r="D4616" s="436"/>
      <c r="E4616" s="436"/>
      <c r="F4616" s="436"/>
      <c r="H4616" s="467"/>
      <c r="I4616" s="467"/>
      <c r="J4616" s="469"/>
      <c r="AL4616" s="436"/>
      <c r="AM4616" s="436"/>
      <c r="AQ4616" s="436"/>
      <c r="AR4616" s="436"/>
      <c r="AS4616" s="436"/>
      <c r="AT4616" s="436"/>
      <c r="AU4616" s="436"/>
      <c r="AV4616" s="436"/>
      <c r="AW4616" s="436"/>
      <c r="AX4616" s="436"/>
      <c r="AY4616" s="436"/>
      <c r="AZ4616" s="475"/>
      <c r="BA4616" s="475"/>
      <c r="BF4616" s="1119"/>
      <c r="BG4616" s="1119"/>
      <c r="BH4616" s="1119"/>
    </row>
    <row r="4617" spans="1:60" ht="15.75" customHeight="1">
      <c r="A4617" s="436"/>
      <c r="C4617" s="436"/>
      <c r="D4617" s="436"/>
      <c r="E4617" s="436"/>
      <c r="F4617" s="436"/>
      <c r="H4617" s="467"/>
      <c r="I4617" s="467"/>
      <c r="J4617" s="469"/>
      <c r="AL4617" s="436"/>
      <c r="AM4617" s="436"/>
      <c r="AQ4617" s="436"/>
      <c r="AR4617" s="436"/>
      <c r="AS4617" s="436"/>
      <c r="AT4617" s="436"/>
      <c r="AU4617" s="436"/>
      <c r="AV4617" s="436"/>
      <c r="AW4617" s="436"/>
      <c r="AX4617" s="436"/>
      <c r="AY4617" s="436"/>
      <c r="AZ4617" s="475"/>
      <c r="BA4617" s="475"/>
      <c r="BF4617" s="1119"/>
      <c r="BG4617" s="1119"/>
      <c r="BH4617" s="1119"/>
    </row>
    <row r="4618" spans="1:60" ht="15.75" customHeight="1">
      <c r="A4618" s="436"/>
      <c r="C4618" s="436"/>
      <c r="D4618" s="436"/>
      <c r="E4618" s="436"/>
      <c r="F4618" s="436"/>
      <c r="H4618" s="467"/>
      <c r="I4618" s="467"/>
      <c r="J4618" s="469"/>
      <c r="AL4618" s="436"/>
      <c r="AM4618" s="436"/>
      <c r="AQ4618" s="436"/>
      <c r="AR4618" s="436"/>
      <c r="AS4618" s="436"/>
      <c r="AT4618" s="436"/>
      <c r="AU4618" s="436"/>
      <c r="AV4618" s="436"/>
      <c r="AW4618" s="436"/>
      <c r="AX4618" s="436"/>
      <c r="AY4618" s="436"/>
      <c r="AZ4618" s="475"/>
      <c r="BA4618" s="475"/>
      <c r="BF4618" s="1119"/>
      <c r="BG4618" s="1119"/>
      <c r="BH4618" s="1119"/>
    </row>
    <row r="4619" spans="1:60" ht="15.75" customHeight="1">
      <c r="A4619" s="436"/>
      <c r="C4619" s="436"/>
      <c r="D4619" s="436"/>
      <c r="E4619" s="436"/>
      <c r="F4619" s="436"/>
      <c r="H4619" s="467"/>
      <c r="I4619" s="467"/>
      <c r="J4619" s="469"/>
      <c r="AL4619" s="436"/>
      <c r="AM4619" s="436"/>
      <c r="AQ4619" s="436"/>
      <c r="AR4619" s="436"/>
      <c r="AS4619" s="436"/>
      <c r="AT4619" s="436"/>
      <c r="AU4619" s="436"/>
      <c r="AV4619" s="436"/>
      <c r="AW4619" s="436"/>
      <c r="AX4619" s="436"/>
      <c r="AY4619" s="436"/>
      <c r="AZ4619" s="475"/>
      <c r="BA4619" s="475"/>
      <c r="BF4619" s="1119"/>
      <c r="BG4619" s="1119"/>
      <c r="BH4619" s="1119"/>
    </row>
    <row r="4620" spans="1:60" ht="15.75" customHeight="1">
      <c r="A4620" s="436"/>
      <c r="C4620" s="436"/>
      <c r="D4620" s="436"/>
      <c r="E4620" s="436"/>
      <c r="F4620" s="436"/>
      <c r="H4620" s="467"/>
      <c r="I4620" s="467"/>
      <c r="J4620" s="469"/>
      <c r="AL4620" s="436"/>
      <c r="AM4620" s="436"/>
      <c r="AQ4620" s="436"/>
      <c r="AR4620" s="436"/>
      <c r="AS4620" s="436"/>
      <c r="AT4620" s="436"/>
      <c r="AU4620" s="436"/>
      <c r="AV4620" s="436"/>
      <c r="AW4620" s="436"/>
      <c r="AX4620" s="436"/>
      <c r="AY4620" s="436"/>
      <c r="AZ4620" s="475"/>
      <c r="BA4620" s="475"/>
      <c r="BF4620" s="1119"/>
      <c r="BG4620" s="1119"/>
      <c r="BH4620" s="1119"/>
    </row>
    <row r="4621" spans="1:60" ht="15.75" customHeight="1">
      <c r="A4621" s="436"/>
      <c r="C4621" s="436"/>
      <c r="D4621" s="436"/>
      <c r="E4621" s="436"/>
      <c r="F4621" s="436"/>
      <c r="H4621" s="467"/>
      <c r="I4621" s="467"/>
      <c r="J4621" s="469"/>
      <c r="AL4621" s="436"/>
      <c r="AM4621" s="436"/>
      <c r="AQ4621" s="436"/>
      <c r="AR4621" s="436"/>
      <c r="AS4621" s="436"/>
      <c r="AT4621" s="436"/>
      <c r="AU4621" s="436"/>
      <c r="AV4621" s="436"/>
      <c r="AW4621" s="436"/>
      <c r="AX4621" s="436"/>
      <c r="AY4621" s="436"/>
      <c r="AZ4621" s="475"/>
      <c r="BA4621" s="475"/>
      <c r="BF4621" s="1119"/>
      <c r="BG4621" s="1119"/>
      <c r="BH4621" s="1119"/>
    </row>
    <row r="4622" spans="1:60" ht="15.75" customHeight="1">
      <c r="A4622" s="436"/>
      <c r="C4622" s="436"/>
      <c r="D4622" s="436"/>
      <c r="E4622" s="436"/>
      <c r="F4622" s="436"/>
      <c r="H4622" s="467"/>
      <c r="I4622" s="467"/>
      <c r="J4622" s="469"/>
      <c r="AL4622" s="436"/>
      <c r="AM4622" s="436"/>
      <c r="AQ4622" s="436"/>
      <c r="AR4622" s="436"/>
      <c r="AS4622" s="436"/>
      <c r="AT4622" s="436"/>
      <c r="AU4622" s="436"/>
      <c r="AV4622" s="436"/>
      <c r="AW4622" s="436"/>
      <c r="AX4622" s="436"/>
      <c r="AY4622" s="436"/>
      <c r="AZ4622" s="475"/>
      <c r="BA4622" s="475"/>
      <c r="BF4622" s="1119"/>
      <c r="BG4622" s="1119"/>
      <c r="BH4622" s="1119"/>
    </row>
    <row r="4623" spans="1:60" ht="15.75" customHeight="1">
      <c r="A4623" s="436"/>
      <c r="C4623" s="436"/>
      <c r="D4623" s="436"/>
      <c r="E4623" s="436"/>
      <c r="F4623" s="436"/>
      <c r="H4623" s="467"/>
      <c r="I4623" s="467"/>
      <c r="J4623" s="469"/>
      <c r="AL4623" s="436"/>
      <c r="AM4623" s="436"/>
      <c r="AQ4623" s="436"/>
      <c r="AR4623" s="436"/>
      <c r="AS4623" s="436"/>
      <c r="AT4623" s="436"/>
      <c r="AU4623" s="436"/>
      <c r="AV4623" s="436"/>
      <c r="AW4623" s="436"/>
      <c r="AX4623" s="436"/>
      <c r="AY4623" s="436"/>
      <c r="AZ4623" s="475"/>
      <c r="BA4623" s="475"/>
      <c r="BF4623" s="1119"/>
      <c r="BG4623" s="1119"/>
      <c r="BH4623" s="1119"/>
    </row>
    <row r="4624" spans="1:60" ht="15.75" customHeight="1">
      <c r="A4624" s="436"/>
      <c r="C4624" s="436"/>
      <c r="D4624" s="436"/>
      <c r="E4624" s="436"/>
      <c r="F4624" s="436"/>
      <c r="H4624" s="467"/>
      <c r="I4624" s="467"/>
      <c r="J4624" s="469"/>
      <c r="AL4624" s="436"/>
      <c r="AM4624" s="436"/>
      <c r="AQ4624" s="436"/>
      <c r="AR4624" s="436"/>
      <c r="AS4624" s="436"/>
      <c r="AT4624" s="436"/>
      <c r="AU4624" s="436"/>
      <c r="AV4624" s="436"/>
      <c r="AW4624" s="436"/>
      <c r="AX4624" s="436"/>
      <c r="AY4624" s="436"/>
      <c r="AZ4624" s="475"/>
      <c r="BA4624" s="475"/>
      <c r="BF4624" s="1119"/>
      <c r="BG4624" s="1119"/>
      <c r="BH4624" s="1119"/>
    </row>
    <row r="4625" spans="1:60" ht="15.75" customHeight="1">
      <c r="A4625" s="436"/>
      <c r="C4625" s="436"/>
      <c r="D4625" s="436"/>
      <c r="E4625" s="436"/>
      <c r="F4625" s="436"/>
      <c r="H4625" s="467"/>
      <c r="I4625" s="467"/>
      <c r="J4625" s="469"/>
      <c r="AL4625" s="436"/>
      <c r="AM4625" s="436"/>
      <c r="AQ4625" s="436"/>
      <c r="AR4625" s="436"/>
      <c r="AS4625" s="436"/>
      <c r="AT4625" s="436"/>
      <c r="AU4625" s="436"/>
      <c r="AV4625" s="436"/>
      <c r="AW4625" s="436"/>
      <c r="AX4625" s="436"/>
      <c r="AY4625" s="436"/>
      <c r="AZ4625" s="475"/>
      <c r="BA4625" s="475"/>
      <c r="BF4625" s="1119"/>
      <c r="BG4625" s="1119"/>
      <c r="BH4625" s="1119"/>
    </row>
    <row r="4626" spans="1:60" ht="15.75" customHeight="1">
      <c r="A4626" s="436"/>
      <c r="C4626" s="436"/>
      <c r="D4626" s="436"/>
      <c r="E4626" s="436"/>
      <c r="F4626" s="436"/>
      <c r="H4626" s="467"/>
      <c r="I4626" s="467"/>
      <c r="J4626" s="469"/>
      <c r="AL4626" s="436"/>
      <c r="AM4626" s="436"/>
      <c r="AQ4626" s="436"/>
      <c r="AR4626" s="436"/>
      <c r="AS4626" s="436"/>
      <c r="AT4626" s="436"/>
      <c r="AU4626" s="436"/>
      <c r="AV4626" s="436"/>
      <c r="AW4626" s="436"/>
      <c r="AX4626" s="436"/>
      <c r="AY4626" s="436"/>
      <c r="AZ4626" s="475"/>
      <c r="BA4626" s="475"/>
      <c r="BF4626" s="1119"/>
      <c r="BG4626" s="1119"/>
      <c r="BH4626" s="1119"/>
    </row>
    <row r="4627" spans="1:60" ht="15.75" customHeight="1">
      <c r="A4627" s="436"/>
      <c r="C4627" s="436"/>
      <c r="D4627" s="436"/>
      <c r="E4627" s="436"/>
      <c r="F4627" s="436"/>
      <c r="H4627" s="467"/>
      <c r="I4627" s="467"/>
      <c r="J4627" s="469"/>
      <c r="AL4627" s="436"/>
      <c r="AM4627" s="436"/>
      <c r="AQ4627" s="436"/>
      <c r="AR4627" s="436"/>
      <c r="AS4627" s="436"/>
      <c r="AT4627" s="436"/>
      <c r="AU4627" s="436"/>
      <c r="AV4627" s="436"/>
      <c r="AW4627" s="436"/>
      <c r="AX4627" s="436"/>
      <c r="AY4627" s="436"/>
      <c r="AZ4627" s="475"/>
      <c r="BA4627" s="475"/>
      <c r="BF4627" s="1119"/>
      <c r="BG4627" s="1119"/>
      <c r="BH4627" s="1119"/>
    </row>
    <row r="4628" spans="1:60" ht="15.75" customHeight="1">
      <c r="A4628" s="436"/>
      <c r="C4628" s="436"/>
      <c r="D4628" s="436"/>
      <c r="E4628" s="436"/>
      <c r="F4628" s="436"/>
      <c r="H4628" s="467"/>
      <c r="I4628" s="467"/>
      <c r="J4628" s="469"/>
      <c r="AL4628" s="436"/>
      <c r="AM4628" s="436"/>
      <c r="AQ4628" s="436"/>
      <c r="AR4628" s="436"/>
      <c r="AS4628" s="436"/>
      <c r="AT4628" s="436"/>
      <c r="AU4628" s="436"/>
      <c r="AV4628" s="436"/>
      <c r="AW4628" s="436"/>
      <c r="AX4628" s="436"/>
      <c r="AY4628" s="436"/>
      <c r="AZ4628" s="475"/>
      <c r="BA4628" s="475"/>
      <c r="BF4628" s="1119"/>
      <c r="BG4628" s="1119"/>
      <c r="BH4628" s="1119"/>
    </row>
    <row r="4629" spans="1:60" ht="15.75" customHeight="1">
      <c r="A4629" s="436"/>
      <c r="C4629" s="436"/>
      <c r="D4629" s="436"/>
      <c r="E4629" s="436"/>
      <c r="F4629" s="436"/>
      <c r="H4629" s="467"/>
      <c r="I4629" s="467"/>
      <c r="J4629" s="469"/>
      <c r="AL4629" s="436"/>
      <c r="AM4629" s="436"/>
      <c r="AQ4629" s="436"/>
      <c r="AR4629" s="436"/>
      <c r="AS4629" s="436"/>
      <c r="AT4629" s="436"/>
      <c r="AU4629" s="436"/>
      <c r="AV4629" s="436"/>
      <c r="AW4629" s="436"/>
      <c r="AX4629" s="436"/>
      <c r="AY4629" s="436"/>
      <c r="AZ4629" s="475"/>
      <c r="BA4629" s="475"/>
      <c r="BF4629" s="1119"/>
      <c r="BG4629" s="1119"/>
      <c r="BH4629" s="1119"/>
    </row>
    <row r="4630" spans="1:60" ht="15.75" customHeight="1">
      <c r="A4630" s="436"/>
      <c r="C4630" s="436"/>
      <c r="D4630" s="436"/>
      <c r="E4630" s="436"/>
      <c r="F4630" s="436"/>
      <c r="H4630" s="467"/>
      <c r="I4630" s="467"/>
      <c r="J4630" s="469"/>
      <c r="AL4630" s="436"/>
      <c r="AM4630" s="436"/>
      <c r="AQ4630" s="436"/>
      <c r="AR4630" s="436"/>
      <c r="AS4630" s="436"/>
      <c r="AT4630" s="436"/>
      <c r="AU4630" s="436"/>
      <c r="AV4630" s="436"/>
      <c r="AW4630" s="436"/>
      <c r="AX4630" s="436"/>
      <c r="AY4630" s="436"/>
      <c r="AZ4630" s="475"/>
      <c r="BA4630" s="475"/>
      <c r="BF4630" s="1119"/>
      <c r="BG4630" s="1119"/>
      <c r="BH4630" s="1119"/>
    </row>
    <row r="4631" spans="1:60" ht="15.75" customHeight="1">
      <c r="A4631" s="436"/>
      <c r="C4631" s="436"/>
      <c r="D4631" s="436"/>
      <c r="E4631" s="436"/>
      <c r="F4631" s="436"/>
      <c r="H4631" s="467"/>
      <c r="I4631" s="467"/>
      <c r="J4631" s="469"/>
      <c r="AL4631" s="436"/>
      <c r="AM4631" s="436"/>
      <c r="AQ4631" s="436"/>
      <c r="AR4631" s="436"/>
      <c r="AS4631" s="436"/>
      <c r="AT4631" s="436"/>
      <c r="AU4631" s="436"/>
      <c r="AV4631" s="436"/>
      <c r="AW4631" s="436"/>
      <c r="AX4631" s="436"/>
      <c r="AY4631" s="436"/>
      <c r="AZ4631" s="475"/>
      <c r="BA4631" s="475"/>
      <c r="BF4631" s="1119"/>
      <c r="BG4631" s="1119"/>
      <c r="BH4631" s="1119"/>
    </row>
    <row r="4632" spans="1:60" ht="15.75" customHeight="1">
      <c r="A4632" s="436"/>
      <c r="C4632" s="436"/>
      <c r="D4632" s="436"/>
      <c r="E4632" s="436"/>
      <c r="F4632" s="436"/>
      <c r="H4632" s="467"/>
      <c r="I4632" s="467"/>
      <c r="J4632" s="469"/>
      <c r="AL4632" s="436"/>
      <c r="AM4632" s="436"/>
      <c r="AQ4632" s="436"/>
      <c r="AR4632" s="436"/>
      <c r="AS4632" s="436"/>
      <c r="AT4632" s="436"/>
      <c r="AU4632" s="436"/>
      <c r="AV4632" s="436"/>
      <c r="AW4632" s="436"/>
      <c r="AX4632" s="436"/>
      <c r="AY4632" s="436"/>
      <c r="AZ4632" s="475"/>
      <c r="BA4632" s="475"/>
      <c r="BF4632" s="1119"/>
      <c r="BG4632" s="1119"/>
      <c r="BH4632" s="1119"/>
    </row>
    <row r="4633" spans="1:60" ht="15.75" customHeight="1">
      <c r="A4633" s="436"/>
      <c r="C4633" s="436"/>
      <c r="D4633" s="436"/>
      <c r="E4633" s="436"/>
      <c r="F4633" s="436"/>
      <c r="H4633" s="467"/>
      <c r="I4633" s="467"/>
      <c r="J4633" s="469"/>
      <c r="AL4633" s="436"/>
      <c r="AM4633" s="436"/>
      <c r="AQ4633" s="436"/>
      <c r="AR4633" s="436"/>
      <c r="AS4633" s="436"/>
      <c r="AT4633" s="436"/>
      <c r="AU4633" s="436"/>
      <c r="AV4633" s="436"/>
      <c r="AW4633" s="436"/>
      <c r="AX4633" s="436"/>
      <c r="AY4633" s="436"/>
      <c r="AZ4633" s="475"/>
      <c r="BA4633" s="475"/>
      <c r="BF4633" s="1119"/>
      <c r="BG4633" s="1119"/>
      <c r="BH4633" s="1119"/>
    </row>
    <row r="4634" spans="1:60" ht="15.75" customHeight="1">
      <c r="A4634" s="436"/>
      <c r="C4634" s="436"/>
      <c r="D4634" s="436"/>
      <c r="E4634" s="436"/>
      <c r="F4634" s="436"/>
      <c r="H4634" s="467"/>
      <c r="I4634" s="467"/>
      <c r="J4634" s="469"/>
      <c r="AL4634" s="436"/>
      <c r="AM4634" s="436"/>
      <c r="AQ4634" s="436"/>
      <c r="AR4634" s="436"/>
      <c r="AS4634" s="436"/>
      <c r="AT4634" s="436"/>
      <c r="AU4634" s="436"/>
      <c r="AV4634" s="436"/>
      <c r="AW4634" s="436"/>
      <c r="AX4634" s="436"/>
      <c r="AY4634" s="436"/>
      <c r="AZ4634" s="475"/>
      <c r="BA4634" s="475"/>
      <c r="BF4634" s="1119"/>
      <c r="BG4634" s="1119"/>
      <c r="BH4634" s="1119"/>
    </row>
    <row r="4635" spans="1:60" ht="15.75" customHeight="1">
      <c r="A4635" s="436"/>
      <c r="C4635" s="436"/>
      <c r="D4635" s="436"/>
      <c r="E4635" s="436"/>
      <c r="F4635" s="436"/>
      <c r="H4635" s="467"/>
      <c r="I4635" s="467"/>
      <c r="J4635" s="469"/>
      <c r="AL4635" s="436"/>
      <c r="AM4635" s="436"/>
      <c r="AQ4635" s="436"/>
      <c r="AR4635" s="436"/>
      <c r="AS4635" s="436"/>
      <c r="AT4635" s="436"/>
      <c r="AU4635" s="436"/>
      <c r="AV4635" s="436"/>
      <c r="AW4635" s="436"/>
      <c r="AX4635" s="436"/>
      <c r="AY4635" s="436"/>
      <c r="AZ4635" s="475"/>
      <c r="BA4635" s="475"/>
      <c r="BF4635" s="1119"/>
      <c r="BG4635" s="1119"/>
      <c r="BH4635" s="1119"/>
    </row>
    <row r="4636" spans="1:60" ht="15.75" customHeight="1">
      <c r="A4636" s="436"/>
      <c r="C4636" s="436"/>
      <c r="D4636" s="436"/>
      <c r="E4636" s="436"/>
      <c r="F4636" s="436"/>
      <c r="H4636" s="467"/>
      <c r="I4636" s="467"/>
      <c r="J4636" s="469"/>
      <c r="AL4636" s="436"/>
      <c r="AM4636" s="436"/>
      <c r="AQ4636" s="436"/>
      <c r="AR4636" s="436"/>
      <c r="AS4636" s="436"/>
      <c r="AT4636" s="436"/>
      <c r="AU4636" s="436"/>
      <c r="AV4636" s="436"/>
      <c r="AW4636" s="436"/>
      <c r="AX4636" s="436"/>
      <c r="AY4636" s="436"/>
      <c r="AZ4636" s="475"/>
      <c r="BA4636" s="475"/>
      <c r="BF4636" s="1119"/>
      <c r="BG4636" s="1119"/>
      <c r="BH4636" s="1119"/>
    </row>
    <row r="4637" spans="1:60" ht="15.75" customHeight="1">
      <c r="A4637" s="436"/>
      <c r="C4637" s="436"/>
      <c r="D4637" s="436"/>
      <c r="E4637" s="436"/>
      <c r="F4637" s="436"/>
      <c r="H4637" s="467"/>
      <c r="I4637" s="467"/>
      <c r="J4637" s="469"/>
      <c r="AL4637" s="436"/>
      <c r="AM4637" s="436"/>
      <c r="AQ4637" s="436"/>
      <c r="AR4637" s="436"/>
      <c r="AS4637" s="436"/>
      <c r="AT4637" s="436"/>
      <c r="AU4637" s="436"/>
      <c r="AV4637" s="436"/>
      <c r="AW4637" s="436"/>
      <c r="AX4637" s="436"/>
      <c r="AY4637" s="436"/>
      <c r="AZ4637" s="475"/>
      <c r="BA4637" s="475"/>
      <c r="BF4637" s="1119"/>
      <c r="BG4637" s="1119"/>
      <c r="BH4637" s="1119"/>
    </row>
    <row r="4638" spans="1:60" ht="15.75" customHeight="1">
      <c r="A4638" s="436"/>
      <c r="C4638" s="436"/>
      <c r="D4638" s="436"/>
      <c r="E4638" s="436"/>
      <c r="F4638" s="436"/>
      <c r="H4638" s="467"/>
      <c r="I4638" s="467"/>
      <c r="J4638" s="469"/>
      <c r="AL4638" s="436"/>
      <c r="AM4638" s="436"/>
      <c r="AQ4638" s="436"/>
      <c r="AR4638" s="436"/>
      <c r="AS4638" s="436"/>
      <c r="AT4638" s="436"/>
      <c r="AU4638" s="436"/>
      <c r="AV4638" s="436"/>
      <c r="AW4638" s="436"/>
      <c r="AX4638" s="436"/>
      <c r="AY4638" s="436"/>
      <c r="AZ4638" s="475"/>
      <c r="BA4638" s="475"/>
      <c r="BF4638" s="1119"/>
      <c r="BG4638" s="1119"/>
      <c r="BH4638" s="1119"/>
    </row>
    <row r="4639" spans="1:60" ht="15.75" customHeight="1">
      <c r="A4639" s="436"/>
      <c r="C4639" s="436"/>
      <c r="D4639" s="436"/>
      <c r="E4639" s="436"/>
      <c r="F4639" s="436"/>
      <c r="H4639" s="467"/>
      <c r="I4639" s="467"/>
      <c r="J4639" s="469"/>
      <c r="AL4639" s="436"/>
      <c r="AM4639" s="436"/>
      <c r="AQ4639" s="436"/>
      <c r="AR4639" s="436"/>
      <c r="AS4639" s="436"/>
      <c r="AT4639" s="436"/>
      <c r="AU4639" s="436"/>
      <c r="AV4639" s="436"/>
      <c r="AW4639" s="436"/>
      <c r="AX4639" s="436"/>
      <c r="AY4639" s="436"/>
      <c r="AZ4639" s="475"/>
      <c r="BA4639" s="475"/>
      <c r="BF4639" s="1119"/>
      <c r="BG4639" s="1119"/>
      <c r="BH4639" s="1119"/>
    </row>
    <row r="4640" spans="1:60" ht="15.75" customHeight="1">
      <c r="A4640" s="436"/>
      <c r="C4640" s="436"/>
      <c r="D4640" s="436"/>
      <c r="E4640" s="436"/>
      <c r="F4640" s="436"/>
      <c r="H4640" s="467"/>
      <c r="I4640" s="467"/>
      <c r="J4640" s="469"/>
      <c r="AL4640" s="436"/>
      <c r="AM4640" s="436"/>
      <c r="AQ4640" s="436"/>
      <c r="AR4640" s="436"/>
      <c r="AS4640" s="436"/>
      <c r="AT4640" s="436"/>
      <c r="AU4640" s="436"/>
      <c r="AV4640" s="436"/>
      <c r="AW4640" s="436"/>
      <c r="AX4640" s="436"/>
      <c r="AY4640" s="436"/>
      <c r="AZ4640" s="475"/>
      <c r="BA4640" s="475"/>
      <c r="BF4640" s="1119"/>
      <c r="BG4640" s="1119"/>
      <c r="BH4640" s="1119"/>
    </row>
    <row r="4641" spans="1:60" ht="15.75" customHeight="1">
      <c r="A4641" s="436"/>
      <c r="C4641" s="436"/>
      <c r="D4641" s="436"/>
      <c r="E4641" s="436"/>
      <c r="F4641" s="436"/>
      <c r="H4641" s="467"/>
      <c r="I4641" s="467"/>
      <c r="J4641" s="469"/>
      <c r="AL4641" s="436"/>
      <c r="AM4641" s="436"/>
      <c r="AQ4641" s="436"/>
      <c r="AR4641" s="436"/>
      <c r="AS4641" s="436"/>
      <c r="AT4641" s="436"/>
      <c r="AU4641" s="436"/>
      <c r="AV4641" s="436"/>
      <c r="AW4641" s="436"/>
      <c r="AX4641" s="436"/>
      <c r="AY4641" s="436"/>
      <c r="AZ4641" s="475"/>
      <c r="BA4641" s="475"/>
      <c r="BF4641" s="1119"/>
      <c r="BG4641" s="1119"/>
      <c r="BH4641" s="1119"/>
    </row>
    <row r="4642" spans="1:60" ht="15.75" customHeight="1">
      <c r="A4642" s="436"/>
      <c r="C4642" s="436"/>
      <c r="D4642" s="436"/>
      <c r="E4642" s="436"/>
      <c r="F4642" s="436"/>
      <c r="H4642" s="467"/>
      <c r="I4642" s="467"/>
      <c r="J4642" s="469"/>
      <c r="AL4642" s="436"/>
      <c r="AM4642" s="436"/>
      <c r="AQ4642" s="436"/>
      <c r="AR4642" s="436"/>
      <c r="AS4642" s="436"/>
      <c r="AT4642" s="436"/>
      <c r="AU4642" s="436"/>
      <c r="AV4642" s="436"/>
      <c r="AW4642" s="436"/>
      <c r="AX4642" s="436"/>
      <c r="AY4642" s="436"/>
      <c r="AZ4642" s="475"/>
      <c r="BA4642" s="475"/>
      <c r="BF4642" s="1119"/>
      <c r="BG4642" s="1119"/>
      <c r="BH4642" s="1119"/>
    </row>
    <row r="4643" spans="1:60" ht="15.75" customHeight="1">
      <c r="A4643" s="436"/>
      <c r="C4643" s="436"/>
      <c r="D4643" s="436"/>
      <c r="E4643" s="436"/>
      <c r="F4643" s="436"/>
      <c r="H4643" s="467"/>
      <c r="I4643" s="467"/>
      <c r="J4643" s="469"/>
      <c r="AL4643" s="436"/>
      <c r="AM4643" s="436"/>
      <c r="AQ4643" s="436"/>
      <c r="AR4643" s="436"/>
      <c r="AS4643" s="436"/>
      <c r="AT4643" s="436"/>
      <c r="AU4643" s="436"/>
      <c r="AV4643" s="436"/>
      <c r="AW4643" s="436"/>
      <c r="AX4643" s="436"/>
      <c r="AY4643" s="436"/>
      <c r="AZ4643" s="475"/>
      <c r="BA4643" s="475"/>
      <c r="BF4643" s="1119"/>
      <c r="BG4643" s="1119"/>
      <c r="BH4643" s="1119"/>
    </row>
    <row r="4644" spans="1:60" ht="15.75" customHeight="1">
      <c r="A4644" s="436"/>
      <c r="C4644" s="436"/>
      <c r="D4644" s="436"/>
      <c r="E4644" s="436"/>
      <c r="F4644" s="436"/>
      <c r="H4644" s="467"/>
      <c r="I4644" s="467"/>
      <c r="J4644" s="469"/>
      <c r="AL4644" s="436"/>
      <c r="AM4644" s="436"/>
      <c r="AQ4644" s="436"/>
      <c r="AR4644" s="436"/>
      <c r="AS4644" s="436"/>
      <c r="AT4644" s="436"/>
      <c r="AU4644" s="436"/>
      <c r="AV4644" s="436"/>
      <c r="AW4644" s="436"/>
      <c r="AX4644" s="436"/>
      <c r="AY4644" s="436"/>
      <c r="AZ4644" s="475"/>
      <c r="BA4644" s="475"/>
      <c r="BF4644" s="1119"/>
      <c r="BG4644" s="1119"/>
      <c r="BH4644" s="1119"/>
    </row>
    <row r="4645" spans="1:60" ht="15.75" customHeight="1">
      <c r="A4645" s="436"/>
      <c r="C4645" s="436"/>
      <c r="D4645" s="436"/>
      <c r="E4645" s="436"/>
      <c r="F4645" s="436"/>
      <c r="H4645" s="467"/>
      <c r="I4645" s="467"/>
      <c r="J4645" s="469"/>
      <c r="AL4645" s="436"/>
      <c r="AM4645" s="436"/>
      <c r="AQ4645" s="436"/>
      <c r="AR4645" s="436"/>
      <c r="AS4645" s="436"/>
      <c r="AT4645" s="436"/>
      <c r="AU4645" s="436"/>
      <c r="AV4645" s="436"/>
      <c r="AW4645" s="436"/>
      <c r="AX4645" s="436"/>
      <c r="AY4645" s="436"/>
      <c r="AZ4645" s="475"/>
      <c r="BA4645" s="475"/>
      <c r="BF4645" s="1119"/>
      <c r="BG4645" s="1119"/>
      <c r="BH4645" s="1119"/>
    </row>
    <row r="4646" spans="1:60" ht="15.75" customHeight="1">
      <c r="A4646" s="436"/>
      <c r="C4646" s="436"/>
      <c r="D4646" s="436"/>
      <c r="E4646" s="436"/>
      <c r="F4646" s="436"/>
      <c r="H4646" s="467"/>
      <c r="I4646" s="467"/>
      <c r="J4646" s="469"/>
      <c r="AL4646" s="436"/>
      <c r="AM4646" s="436"/>
      <c r="AQ4646" s="436"/>
      <c r="AR4646" s="436"/>
      <c r="AS4646" s="436"/>
      <c r="AT4646" s="436"/>
      <c r="AU4646" s="436"/>
      <c r="AV4646" s="436"/>
      <c r="AW4646" s="436"/>
      <c r="AX4646" s="436"/>
      <c r="AY4646" s="436"/>
      <c r="AZ4646" s="475"/>
      <c r="BA4646" s="475"/>
      <c r="BF4646" s="1119"/>
      <c r="BG4646" s="1119"/>
      <c r="BH4646" s="1119"/>
    </row>
    <row r="4647" spans="1:60" ht="15.75" customHeight="1">
      <c r="A4647" s="436"/>
      <c r="C4647" s="436"/>
      <c r="D4647" s="436"/>
      <c r="E4647" s="436"/>
      <c r="F4647" s="436"/>
      <c r="H4647" s="467"/>
      <c r="I4647" s="467"/>
      <c r="J4647" s="469"/>
      <c r="AL4647" s="436"/>
      <c r="AM4647" s="436"/>
      <c r="AQ4647" s="436"/>
      <c r="AR4647" s="436"/>
      <c r="AS4647" s="436"/>
      <c r="AT4647" s="436"/>
      <c r="AU4647" s="436"/>
      <c r="AV4647" s="436"/>
      <c r="AW4647" s="436"/>
      <c r="AX4647" s="436"/>
      <c r="AY4647" s="436"/>
      <c r="AZ4647" s="475"/>
      <c r="BA4647" s="475"/>
      <c r="BF4647" s="1119"/>
      <c r="BG4647" s="1119"/>
      <c r="BH4647" s="1119"/>
    </row>
    <row r="4648" spans="1:60" ht="15.75" customHeight="1">
      <c r="A4648" s="436"/>
      <c r="C4648" s="436"/>
      <c r="D4648" s="436"/>
      <c r="E4648" s="436"/>
      <c r="F4648" s="436"/>
      <c r="H4648" s="467"/>
      <c r="I4648" s="467"/>
      <c r="J4648" s="469"/>
      <c r="AL4648" s="436"/>
      <c r="AM4648" s="436"/>
      <c r="AQ4648" s="436"/>
      <c r="AR4648" s="436"/>
      <c r="AS4648" s="436"/>
      <c r="AT4648" s="436"/>
      <c r="AU4648" s="436"/>
      <c r="AV4648" s="436"/>
      <c r="AW4648" s="436"/>
      <c r="AX4648" s="436"/>
      <c r="AY4648" s="436"/>
      <c r="AZ4648" s="475"/>
      <c r="BA4648" s="475"/>
      <c r="BF4648" s="1119"/>
      <c r="BG4648" s="1119"/>
      <c r="BH4648" s="1119"/>
    </row>
    <row r="4649" spans="1:60" ht="15.75" customHeight="1">
      <c r="A4649" s="436"/>
      <c r="C4649" s="436"/>
      <c r="D4649" s="436"/>
      <c r="E4649" s="436"/>
      <c r="F4649" s="436"/>
      <c r="H4649" s="467"/>
      <c r="I4649" s="467"/>
      <c r="J4649" s="469"/>
      <c r="AL4649" s="436"/>
      <c r="AM4649" s="436"/>
      <c r="AQ4649" s="436"/>
      <c r="AR4649" s="436"/>
      <c r="AS4649" s="436"/>
      <c r="AT4649" s="436"/>
      <c r="AU4649" s="436"/>
      <c r="AV4649" s="436"/>
      <c r="AW4649" s="436"/>
      <c r="AX4649" s="436"/>
      <c r="AY4649" s="436"/>
      <c r="AZ4649" s="475"/>
      <c r="BA4649" s="475"/>
      <c r="BF4649" s="1119"/>
      <c r="BG4649" s="1119"/>
      <c r="BH4649" s="1119"/>
    </row>
    <row r="4650" spans="1:60" ht="15.75" customHeight="1">
      <c r="A4650" s="436"/>
      <c r="C4650" s="436"/>
      <c r="D4650" s="436"/>
      <c r="E4650" s="436"/>
      <c r="F4650" s="436"/>
      <c r="H4650" s="467"/>
      <c r="I4650" s="467"/>
      <c r="J4650" s="469"/>
      <c r="AL4650" s="436"/>
      <c r="AM4650" s="436"/>
      <c r="AQ4650" s="436"/>
      <c r="AR4650" s="436"/>
      <c r="AS4650" s="436"/>
      <c r="AT4650" s="436"/>
      <c r="AU4650" s="436"/>
      <c r="AV4650" s="436"/>
      <c r="AW4650" s="436"/>
      <c r="AX4650" s="436"/>
      <c r="AY4650" s="436"/>
      <c r="AZ4650" s="475"/>
      <c r="BA4650" s="475"/>
      <c r="BF4650" s="1119"/>
      <c r="BG4650" s="1119"/>
      <c r="BH4650" s="1119"/>
    </row>
    <row r="4651" spans="1:60" ht="15.75" customHeight="1">
      <c r="A4651" s="436"/>
      <c r="C4651" s="436"/>
      <c r="D4651" s="436"/>
      <c r="E4651" s="436"/>
      <c r="F4651" s="436"/>
      <c r="H4651" s="467"/>
      <c r="I4651" s="467"/>
      <c r="J4651" s="469"/>
      <c r="AL4651" s="436"/>
      <c r="AM4651" s="436"/>
      <c r="AQ4651" s="436"/>
      <c r="AR4651" s="436"/>
      <c r="AS4651" s="436"/>
      <c r="AT4651" s="436"/>
      <c r="AU4651" s="436"/>
      <c r="AV4651" s="436"/>
      <c r="AW4651" s="436"/>
      <c r="AX4651" s="436"/>
      <c r="AY4651" s="436"/>
      <c r="AZ4651" s="475"/>
      <c r="BA4651" s="475"/>
      <c r="BF4651" s="1119"/>
      <c r="BG4651" s="1119"/>
      <c r="BH4651" s="1119"/>
    </row>
    <row r="4652" spans="1:60" ht="15.75" customHeight="1">
      <c r="A4652" s="436"/>
      <c r="C4652" s="436"/>
      <c r="D4652" s="436"/>
      <c r="E4652" s="436"/>
      <c r="F4652" s="436"/>
      <c r="H4652" s="467"/>
      <c r="I4652" s="467"/>
      <c r="J4652" s="469"/>
      <c r="AL4652" s="436"/>
      <c r="AM4652" s="436"/>
      <c r="AQ4652" s="436"/>
      <c r="AR4652" s="436"/>
      <c r="AS4652" s="436"/>
      <c r="AT4652" s="436"/>
      <c r="AU4652" s="436"/>
      <c r="AV4652" s="436"/>
      <c r="AW4652" s="436"/>
      <c r="AX4652" s="436"/>
      <c r="AY4652" s="436"/>
      <c r="AZ4652" s="475"/>
      <c r="BA4652" s="475"/>
      <c r="BF4652" s="1119"/>
      <c r="BG4652" s="1119"/>
      <c r="BH4652" s="1119"/>
    </row>
    <row r="4653" spans="1:60" ht="15.75" customHeight="1">
      <c r="A4653" s="436"/>
      <c r="C4653" s="436"/>
      <c r="D4653" s="436"/>
      <c r="E4653" s="436"/>
      <c r="F4653" s="436"/>
      <c r="H4653" s="467"/>
      <c r="I4653" s="467"/>
      <c r="J4653" s="469"/>
      <c r="AL4653" s="436"/>
      <c r="AM4653" s="436"/>
      <c r="AQ4653" s="436"/>
      <c r="AR4653" s="436"/>
      <c r="AS4653" s="436"/>
      <c r="AT4653" s="436"/>
      <c r="AU4653" s="436"/>
      <c r="AV4653" s="436"/>
      <c r="AW4653" s="436"/>
      <c r="AX4653" s="436"/>
      <c r="AY4653" s="436"/>
      <c r="AZ4653" s="475"/>
      <c r="BA4653" s="475"/>
      <c r="BF4653" s="1119"/>
      <c r="BG4653" s="1119"/>
      <c r="BH4653" s="1119"/>
    </row>
    <row r="4654" spans="1:60" ht="15.75" customHeight="1">
      <c r="A4654" s="436"/>
      <c r="C4654" s="436"/>
      <c r="D4654" s="436"/>
      <c r="E4654" s="436"/>
      <c r="F4654" s="436"/>
      <c r="H4654" s="467"/>
      <c r="I4654" s="467"/>
      <c r="J4654" s="469"/>
      <c r="AL4654" s="436"/>
      <c r="AM4654" s="436"/>
      <c r="AQ4654" s="436"/>
      <c r="AR4654" s="436"/>
      <c r="AS4654" s="436"/>
      <c r="AT4654" s="436"/>
      <c r="AU4654" s="436"/>
      <c r="AV4654" s="436"/>
      <c r="AW4654" s="436"/>
      <c r="AX4654" s="436"/>
      <c r="AY4654" s="436"/>
      <c r="AZ4654" s="475"/>
      <c r="BA4654" s="475"/>
      <c r="BF4654" s="1119"/>
      <c r="BG4654" s="1119"/>
      <c r="BH4654" s="1119"/>
    </row>
    <row r="4655" spans="1:60" ht="15.75" customHeight="1">
      <c r="A4655" s="436"/>
      <c r="C4655" s="436"/>
      <c r="D4655" s="436"/>
      <c r="E4655" s="436"/>
      <c r="F4655" s="436"/>
      <c r="H4655" s="467"/>
      <c r="I4655" s="467"/>
      <c r="J4655" s="469"/>
      <c r="AL4655" s="436"/>
      <c r="AM4655" s="436"/>
      <c r="AQ4655" s="436"/>
      <c r="AR4655" s="436"/>
      <c r="AS4655" s="436"/>
      <c r="AT4655" s="436"/>
      <c r="AU4655" s="436"/>
      <c r="AV4655" s="436"/>
      <c r="AW4655" s="436"/>
      <c r="AX4655" s="436"/>
      <c r="AY4655" s="436"/>
      <c r="AZ4655" s="475"/>
      <c r="BA4655" s="475"/>
      <c r="BF4655" s="1119"/>
      <c r="BG4655" s="1119"/>
      <c r="BH4655" s="1119"/>
    </row>
    <row r="4656" spans="1:60" ht="15.75" customHeight="1">
      <c r="A4656" s="436"/>
      <c r="C4656" s="436"/>
      <c r="D4656" s="436"/>
      <c r="E4656" s="436"/>
      <c r="F4656" s="436"/>
      <c r="H4656" s="467"/>
      <c r="I4656" s="467"/>
      <c r="J4656" s="469"/>
      <c r="AL4656" s="436"/>
      <c r="AM4656" s="436"/>
      <c r="AQ4656" s="436"/>
      <c r="AR4656" s="436"/>
      <c r="AS4656" s="436"/>
      <c r="AT4656" s="436"/>
      <c r="AU4656" s="436"/>
      <c r="AV4656" s="436"/>
      <c r="AW4656" s="436"/>
      <c r="AX4656" s="436"/>
      <c r="AY4656" s="436"/>
      <c r="AZ4656" s="475"/>
      <c r="BA4656" s="475"/>
      <c r="BF4656" s="1119"/>
      <c r="BG4656" s="1119"/>
      <c r="BH4656" s="1119"/>
    </row>
    <row r="4657" spans="1:60" ht="15.75" customHeight="1">
      <c r="A4657" s="436"/>
      <c r="C4657" s="436"/>
      <c r="D4657" s="436"/>
      <c r="E4657" s="436"/>
      <c r="F4657" s="436"/>
      <c r="H4657" s="467"/>
      <c r="I4657" s="467"/>
      <c r="J4657" s="469"/>
      <c r="AL4657" s="436"/>
      <c r="AM4657" s="436"/>
      <c r="AQ4657" s="436"/>
      <c r="AR4657" s="436"/>
      <c r="AS4657" s="436"/>
      <c r="AT4657" s="436"/>
      <c r="AU4657" s="436"/>
      <c r="AV4657" s="436"/>
      <c r="AW4657" s="436"/>
      <c r="AX4657" s="436"/>
      <c r="AY4657" s="436"/>
      <c r="AZ4657" s="475"/>
      <c r="BA4657" s="475"/>
      <c r="BF4657" s="1119"/>
      <c r="BG4657" s="1119"/>
      <c r="BH4657" s="1119"/>
    </row>
    <row r="4658" spans="1:60" ht="15.75" customHeight="1">
      <c r="A4658" s="436"/>
      <c r="C4658" s="436"/>
      <c r="D4658" s="436"/>
      <c r="E4658" s="436"/>
      <c r="F4658" s="436"/>
      <c r="H4658" s="467"/>
      <c r="I4658" s="467"/>
      <c r="J4658" s="469"/>
      <c r="AL4658" s="436"/>
      <c r="AM4658" s="436"/>
      <c r="AQ4658" s="436"/>
      <c r="AR4658" s="436"/>
      <c r="AS4658" s="436"/>
      <c r="AT4658" s="436"/>
      <c r="AU4658" s="436"/>
      <c r="AV4658" s="436"/>
      <c r="AW4658" s="436"/>
      <c r="AX4658" s="436"/>
      <c r="AY4658" s="436"/>
      <c r="AZ4658" s="475"/>
      <c r="BA4658" s="475"/>
      <c r="BF4658" s="1119"/>
      <c r="BG4658" s="1119"/>
      <c r="BH4658" s="1119"/>
    </row>
    <row r="4659" spans="1:60" ht="15.75" customHeight="1">
      <c r="A4659" s="436"/>
      <c r="C4659" s="436"/>
      <c r="D4659" s="436"/>
      <c r="E4659" s="436"/>
      <c r="F4659" s="436"/>
      <c r="H4659" s="467"/>
      <c r="I4659" s="467"/>
      <c r="J4659" s="469"/>
      <c r="AL4659" s="436"/>
      <c r="AM4659" s="436"/>
      <c r="AQ4659" s="436"/>
      <c r="AR4659" s="436"/>
      <c r="AS4659" s="436"/>
      <c r="AT4659" s="436"/>
      <c r="AU4659" s="436"/>
      <c r="AV4659" s="436"/>
      <c r="AW4659" s="436"/>
      <c r="AX4659" s="436"/>
      <c r="AY4659" s="436"/>
      <c r="AZ4659" s="475"/>
      <c r="BA4659" s="475"/>
      <c r="BF4659" s="1119"/>
      <c r="BG4659" s="1119"/>
      <c r="BH4659" s="1119"/>
    </row>
    <row r="4660" spans="1:60" ht="15.75" customHeight="1">
      <c r="A4660" s="436"/>
      <c r="C4660" s="436"/>
      <c r="D4660" s="436"/>
      <c r="E4660" s="436"/>
      <c r="F4660" s="436"/>
      <c r="H4660" s="467"/>
      <c r="I4660" s="467"/>
      <c r="J4660" s="469"/>
      <c r="AL4660" s="436"/>
      <c r="AM4660" s="436"/>
      <c r="AQ4660" s="436"/>
      <c r="AR4660" s="436"/>
      <c r="AS4660" s="436"/>
      <c r="AT4660" s="436"/>
      <c r="AU4660" s="436"/>
      <c r="AV4660" s="436"/>
      <c r="AW4660" s="436"/>
      <c r="AX4660" s="436"/>
      <c r="AY4660" s="436"/>
      <c r="AZ4660" s="475"/>
      <c r="BA4660" s="475"/>
      <c r="BF4660" s="1119"/>
      <c r="BG4660" s="1119"/>
      <c r="BH4660" s="1119"/>
    </row>
    <row r="4661" spans="1:60" ht="15.75" customHeight="1">
      <c r="A4661" s="436"/>
      <c r="C4661" s="436"/>
      <c r="D4661" s="436"/>
      <c r="E4661" s="436"/>
      <c r="F4661" s="436"/>
      <c r="H4661" s="467"/>
      <c r="I4661" s="467"/>
      <c r="J4661" s="469"/>
      <c r="AL4661" s="436"/>
      <c r="AM4661" s="436"/>
      <c r="AQ4661" s="436"/>
      <c r="AR4661" s="436"/>
      <c r="AS4661" s="436"/>
      <c r="AT4661" s="436"/>
      <c r="AU4661" s="436"/>
      <c r="AV4661" s="436"/>
      <c r="AW4661" s="436"/>
      <c r="AX4661" s="436"/>
      <c r="AY4661" s="436"/>
      <c r="AZ4661" s="475"/>
      <c r="BA4661" s="475"/>
      <c r="BF4661" s="1119"/>
      <c r="BG4661" s="1119"/>
      <c r="BH4661" s="1119"/>
    </row>
    <row r="4662" spans="1:60" ht="15.75" customHeight="1">
      <c r="A4662" s="436"/>
      <c r="C4662" s="436"/>
      <c r="D4662" s="436"/>
      <c r="E4662" s="436"/>
      <c r="F4662" s="436"/>
      <c r="H4662" s="467"/>
      <c r="I4662" s="467"/>
      <c r="J4662" s="469"/>
      <c r="AL4662" s="436"/>
      <c r="AM4662" s="436"/>
      <c r="AQ4662" s="436"/>
      <c r="AR4662" s="436"/>
      <c r="AS4662" s="436"/>
      <c r="AT4662" s="436"/>
      <c r="AU4662" s="436"/>
      <c r="AV4662" s="436"/>
      <c r="AW4662" s="436"/>
      <c r="AX4662" s="436"/>
      <c r="AY4662" s="436"/>
      <c r="AZ4662" s="475"/>
      <c r="BA4662" s="475"/>
      <c r="BF4662" s="1119"/>
      <c r="BG4662" s="1119"/>
      <c r="BH4662" s="1119"/>
    </row>
    <row r="4663" spans="1:60" ht="15.75" customHeight="1">
      <c r="A4663" s="436"/>
      <c r="C4663" s="436"/>
      <c r="D4663" s="436"/>
      <c r="E4663" s="436"/>
      <c r="F4663" s="436"/>
      <c r="H4663" s="467"/>
      <c r="I4663" s="467"/>
      <c r="J4663" s="469"/>
      <c r="AL4663" s="436"/>
      <c r="AM4663" s="436"/>
      <c r="AQ4663" s="436"/>
      <c r="AR4663" s="436"/>
      <c r="AS4663" s="436"/>
      <c r="AT4663" s="436"/>
      <c r="AU4663" s="436"/>
      <c r="AV4663" s="436"/>
      <c r="AW4663" s="436"/>
      <c r="AX4663" s="436"/>
      <c r="AY4663" s="436"/>
      <c r="AZ4663" s="475"/>
      <c r="BA4663" s="475"/>
      <c r="BF4663" s="1119"/>
      <c r="BG4663" s="1119"/>
      <c r="BH4663" s="1119"/>
    </row>
    <row r="4664" spans="1:60" ht="15.75" customHeight="1">
      <c r="A4664" s="436"/>
      <c r="C4664" s="436"/>
      <c r="D4664" s="436"/>
      <c r="E4664" s="436"/>
      <c r="F4664" s="436"/>
      <c r="H4664" s="467"/>
      <c r="I4664" s="467"/>
      <c r="J4664" s="469"/>
      <c r="AL4664" s="436"/>
      <c r="AM4664" s="436"/>
      <c r="AQ4664" s="436"/>
      <c r="AR4664" s="436"/>
      <c r="AS4664" s="436"/>
      <c r="AT4664" s="436"/>
      <c r="AU4664" s="436"/>
      <c r="AV4664" s="436"/>
      <c r="AW4664" s="436"/>
      <c r="AX4664" s="436"/>
      <c r="AY4664" s="436"/>
      <c r="AZ4664" s="475"/>
      <c r="BA4664" s="475"/>
      <c r="BF4664" s="1119"/>
      <c r="BG4664" s="1119"/>
      <c r="BH4664" s="1119"/>
    </row>
    <row r="4665" spans="1:60" ht="15.75" customHeight="1">
      <c r="A4665" s="436"/>
      <c r="C4665" s="436"/>
      <c r="D4665" s="436"/>
      <c r="E4665" s="436"/>
      <c r="F4665" s="436"/>
      <c r="H4665" s="467"/>
      <c r="I4665" s="467"/>
      <c r="J4665" s="469"/>
      <c r="AL4665" s="436"/>
      <c r="AM4665" s="436"/>
      <c r="AQ4665" s="436"/>
      <c r="AR4665" s="436"/>
      <c r="AS4665" s="436"/>
      <c r="AT4665" s="436"/>
      <c r="AU4665" s="436"/>
      <c r="AV4665" s="436"/>
      <c r="AW4665" s="436"/>
      <c r="AX4665" s="436"/>
      <c r="AY4665" s="436"/>
      <c r="AZ4665" s="475"/>
      <c r="BA4665" s="475"/>
      <c r="BF4665" s="1119"/>
      <c r="BG4665" s="1119"/>
      <c r="BH4665" s="1119"/>
    </row>
    <row r="4666" spans="1:60" ht="15.75" customHeight="1">
      <c r="A4666" s="436"/>
      <c r="C4666" s="436"/>
      <c r="D4666" s="436"/>
      <c r="E4666" s="436"/>
      <c r="F4666" s="436"/>
      <c r="H4666" s="467"/>
      <c r="I4666" s="467"/>
      <c r="J4666" s="469"/>
      <c r="AL4666" s="436"/>
      <c r="AM4666" s="436"/>
      <c r="AQ4666" s="436"/>
      <c r="AR4666" s="436"/>
      <c r="AS4666" s="436"/>
      <c r="AT4666" s="436"/>
      <c r="AU4666" s="436"/>
      <c r="AV4666" s="436"/>
      <c r="AW4666" s="436"/>
      <c r="AX4666" s="436"/>
      <c r="AY4666" s="436"/>
      <c r="AZ4666" s="475"/>
      <c r="BA4666" s="475"/>
      <c r="BF4666" s="1119"/>
      <c r="BG4666" s="1119"/>
      <c r="BH4666" s="1119"/>
    </row>
    <row r="4667" spans="1:60" ht="15.75" customHeight="1">
      <c r="A4667" s="436"/>
      <c r="C4667" s="436"/>
      <c r="D4667" s="436"/>
      <c r="E4667" s="436"/>
      <c r="F4667" s="436"/>
      <c r="H4667" s="467"/>
      <c r="I4667" s="467"/>
      <c r="J4667" s="469"/>
      <c r="AL4667" s="436"/>
      <c r="AM4667" s="436"/>
      <c r="AQ4667" s="436"/>
      <c r="AR4667" s="436"/>
      <c r="AS4667" s="436"/>
      <c r="AT4667" s="436"/>
      <c r="AU4667" s="436"/>
      <c r="AV4667" s="436"/>
      <c r="AW4667" s="436"/>
      <c r="AX4667" s="436"/>
      <c r="AY4667" s="436"/>
      <c r="AZ4667" s="475"/>
      <c r="BA4667" s="475"/>
      <c r="BF4667" s="1119"/>
      <c r="BG4667" s="1119"/>
      <c r="BH4667" s="1119"/>
    </row>
    <row r="4668" spans="1:60" ht="15.75" customHeight="1">
      <c r="A4668" s="436"/>
      <c r="C4668" s="436"/>
      <c r="D4668" s="436"/>
      <c r="E4668" s="436"/>
      <c r="F4668" s="436"/>
      <c r="H4668" s="467"/>
      <c r="I4668" s="467"/>
      <c r="J4668" s="469"/>
      <c r="AL4668" s="436"/>
      <c r="AM4668" s="436"/>
      <c r="AQ4668" s="436"/>
      <c r="AR4668" s="436"/>
      <c r="AS4668" s="436"/>
      <c r="AT4668" s="436"/>
      <c r="AU4668" s="436"/>
      <c r="AV4668" s="436"/>
      <c r="AW4668" s="436"/>
      <c r="AX4668" s="436"/>
      <c r="AY4668" s="436"/>
      <c r="AZ4668" s="475"/>
      <c r="BA4668" s="475"/>
      <c r="BF4668" s="1119"/>
      <c r="BG4668" s="1119"/>
      <c r="BH4668" s="1119"/>
    </row>
    <row r="4669" spans="1:60" ht="15.75" customHeight="1">
      <c r="A4669" s="436"/>
      <c r="C4669" s="436"/>
      <c r="D4669" s="436"/>
      <c r="E4669" s="436"/>
      <c r="F4669" s="436"/>
      <c r="H4669" s="467"/>
      <c r="I4669" s="467"/>
      <c r="J4669" s="469"/>
      <c r="AL4669" s="436"/>
      <c r="AM4669" s="436"/>
      <c r="AQ4669" s="436"/>
      <c r="AR4669" s="436"/>
      <c r="AS4669" s="436"/>
      <c r="AT4669" s="436"/>
      <c r="AU4669" s="436"/>
      <c r="AV4669" s="436"/>
      <c r="AW4669" s="436"/>
      <c r="AX4669" s="436"/>
      <c r="AY4669" s="436"/>
      <c r="AZ4669" s="475"/>
      <c r="BA4669" s="475"/>
      <c r="BF4669" s="1119"/>
      <c r="BG4669" s="1119"/>
      <c r="BH4669" s="1119"/>
    </row>
    <row r="4670" spans="1:60" ht="15.75" customHeight="1">
      <c r="A4670" s="436"/>
      <c r="C4670" s="436"/>
      <c r="D4670" s="436"/>
      <c r="E4670" s="436"/>
      <c r="F4670" s="436"/>
      <c r="H4670" s="467"/>
      <c r="I4670" s="467"/>
      <c r="J4670" s="469"/>
      <c r="AL4670" s="436"/>
      <c r="AM4670" s="436"/>
      <c r="AQ4670" s="436"/>
      <c r="AR4670" s="436"/>
      <c r="AS4670" s="436"/>
      <c r="AT4670" s="436"/>
      <c r="AU4670" s="436"/>
      <c r="AV4670" s="436"/>
      <c r="AW4670" s="436"/>
      <c r="AX4670" s="436"/>
      <c r="AY4670" s="436"/>
      <c r="AZ4670" s="475"/>
      <c r="BA4670" s="475"/>
      <c r="BF4670" s="1119"/>
      <c r="BG4670" s="1119"/>
      <c r="BH4670" s="1119"/>
    </row>
    <row r="4671" spans="1:60" ht="15.75" customHeight="1">
      <c r="A4671" s="436"/>
      <c r="C4671" s="436"/>
      <c r="D4671" s="436"/>
      <c r="E4671" s="436"/>
      <c r="F4671" s="436"/>
      <c r="H4671" s="467"/>
      <c r="I4671" s="467"/>
      <c r="J4671" s="469"/>
      <c r="AL4671" s="436"/>
      <c r="AM4671" s="436"/>
      <c r="AQ4671" s="436"/>
      <c r="AR4671" s="436"/>
      <c r="AS4671" s="436"/>
      <c r="AT4671" s="436"/>
      <c r="AU4671" s="436"/>
      <c r="AV4671" s="436"/>
      <c r="AW4671" s="436"/>
      <c r="AX4671" s="436"/>
      <c r="AY4671" s="436"/>
      <c r="AZ4671" s="475"/>
      <c r="BA4671" s="475"/>
      <c r="BF4671" s="1119"/>
      <c r="BG4671" s="1119"/>
      <c r="BH4671" s="1119"/>
    </row>
    <row r="4672" spans="1:60" ht="15.75" customHeight="1">
      <c r="A4672" s="436"/>
      <c r="C4672" s="436"/>
      <c r="D4672" s="436"/>
      <c r="E4672" s="436"/>
      <c r="F4672" s="436"/>
      <c r="H4672" s="467"/>
      <c r="I4672" s="467"/>
      <c r="J4672" s="469"/>
      <c r="AL4672" s="436"/>
      <c r="AM4672" s="436"/>
      <c r="AQ4672" s="436"/>
      <c r="AR4672" s="436"/>
      <c r="AS4672" s="436"/>
      <c r="AT4672" s="436"/>
      <c r="AU4672" s="436"/>
      <c r="AV4672" s="436"/>
      <c r="AW4672" s="436"/>
      <c r="AX4672" s="436"/>
      <c r="AY4672" s="436"/>
      <c r="AZ4672" s="475"/>
      <c r="BA4672" s="475"/>
      <c r="BF4672" s="1119"/>
      <c r="BG4672" s="1119"/>
      <c r="BH4672" s="1119"/>
    </row>
    <row r="4673" spans="1:60" ht="15.75" customHeight="1">
      <c r="A4673" s="436"/>
      <c r="C4673" s="436"/>
      <c r="D4673" s="436"/>
      <c r="E4673" s="436"/>
      <c r="F4673" s="436"/>
      <c r="H4673" s="467"/>
      <c r="I4673" s="467"/>
      <c r="J4673" s="469"/>
      <c r="AL4673" s="436"/>
      <c r="AM4673" s="436"/>
      <c r="AQ4673" s="436"/>
      <c r="AR4673" s="436"/>
      <c r="AS4673" s="436"/>
      <c r="AT4673" s="436"/>
      <c r="AU4673" s="436"/>
      <c r="AV4673" s="436"/>
      <c r="AW4673" s="436"/>
      <c r="AX4673" s="436"/>
      <c r="AY4673" s="436"/>
      <c r="AZ4673" s="475"/>
      <c r="BA4673" s="475"/>
      <c r="BF4673" s="1119"/>
      <c r="BG4673" s="1119"/>
      <c r="BH4673" s="1119"/>
    </row>
    <row r="4674" spans="1:60" ht="15.75" customHeight="1">
      <c r="A4674" s="436"/>
      <c r="C4674" s="436"/>
      <c r="D4674" s="436"/>
      <c r="E4674" s="436"/>
      <c r="F4674" s="436"/>
      <c r="H4674" s="467"/>
      <c r="I4674" s="467"/>
      <c r="J4674" s="469"/>
      <c r="AL4674" s="436"/>
      <c r="AM4674" s="436"/>
      <c r="AQ4674" s="436"/>
      <c r="AR4674" s="436"/>
      <c r="AS4674" s="436"/>
      <c r="AT4674" s="436"/>
      <c r="AU4674" s="436"/>
      <c r="AV4674" s="436"/>
      <c r="AW4674" s="436"/>
      <c r="AX4674" s="436"/>
      <c r="AY4674" s="436"/>
      <c r="AZ4674" s="475"/>
      <c r="BA4674" s="475"/>
      <c r="BF4674" s="1119"/>
      <c r="BG4674" s="1119"/>
      <c r="BH4674" s="1119"/>
    </row>
    <row r="4675" spans="1:60" ht="15.75" customHeight="1">
      <c r="A4675" s="436"/>
      <c r="C4675" s="436"/>
      <c r="D4675" s="436"/>
      <c r="E4675" s="436"/>
      <c r="F4675" s="436"/>
      <c r="H4675" s="467"/>
      <c r="I4675" s="467"/>
      <c r="J4675" s="469"/>
      <c r="AL4675" s="436"/>
      <c r="AM4675" s="436"/>
      <c r="AQ4675" s="436"/>
      <c r="AR4675" s="436"/>
      <c r="AS4675" s="436"/>
      <c r="AT4675" s="436"/>
      <c r="AU4675" s="436"/>
      <c r="AV4675" s="436"/>
      <c r="AW4675" s="436"/>
      <c r="AX4675" s="436"/>
      <c r="AY4675" s="436"/>
      <c r="AZ4675" s="475"/>
      <c r="BA4675" s="475"/>
      <c r="BF4675" s="1119"/>
      <c r="BG4675" s="1119"/>
      <c r="BH4675" s="1119"/>
    </row>
    <row r="4676" spans="1:60" ht="15.75" customHeight="1">
      <c r="A4676" s="436"/>
      <c r="C4676" s="436"/>
      <c r="D4676" s="436"/>
      <c r="E4676" s="436"/>
      <c r="F4676" s="436"/>
      <c r="H4676" s="467"/>
      <c r="I4676" s="467"/>
      <c r="J4676" s="469"/>
      <c r="AL4676" s="436"/>
      <c r="AM4676" s="436"/>
      <c r="AQ4676" s="436"/>
      <c r="AR4676" s="436"/>
      <c r="AS4676" s="436"/>
      <c r="AT4676" s="436"/>
      <c r="AU4676" s="436"/>
      <c r="AV4676" s="436"/>
      <c r="AW4676" s="436"/>
      <c r="AX4676" s="436"/>
      <c r="AY4676" s="436"/>
      <c r="AZ4676" s="475"/>
      <c r="BA4676" s="475"/>
      <c r="BF4676" s="1119"/>
      <c r="BG4676" s="1119"/>
      <c r="BH4676" s="1119"/>
    </row>
    <row r="4677" spans="1:60" ht="15.75" customHeight="1">
      <c r="A4677" s="436"/>
      <c r="C4677" s="436"/>
      <c r="D4677" s="436"/>
      <c r="E4677" s="436"/>
      <c r="F4677" s="436"/>
      <c r="H4677" s="467"/>
      <c r="I4677" s="467"/>
      <c r="J4677" s="469"/>
      <c r="AL4677" s="436"/>
      <c r="AM4677" s="436"/>
      <c r="AQ4677" s="436"/>
      <c r="AR4677" s="436"/>
      <c r="AS4677" s="436"/>
      <c r="AT4677" s="436"/>
      <c r="AU4677" s="436"/>
      <c r="AV4677" s="436"/>
      <c r="AW4677" s="436"/>
      <c r="AX4677" s="436"/>
      <c r="AY4677" s="436"/>
      <c r="AZ4677" s="475"/>
      <c r="BA4677" s="475"/>
      <c r="BF4677" s="1119"/>
      <c r="BG4677" s="1119"/>
      <c r="BH4677" s="1119"/>
    </row>
    <row r="4678" spans="1:60" ht="15.75" customHeight="1">
      <c r="A4678" s="436"/>
      <c r="C4678" s="436"/>
      <c r="D4678" s="436"/>
      <c r="E4678" s="436"/>
      <c r="F4678" s="436"/>
      <c r="H4678" s="467"/>
      <c r="I4678" s="467"/>
      <c r="J4678" s="469"/>
      <c r="AL4678" s="436"/>
      <c r="AM4678" s="436"/>
      <c r="AQ4678" s="436"/>
      <c r="AR4678" s="436"/>
      <c r="AS4678" s="436"/>
      <c r="AT4678" s="436"/>
      <c r="AU4678" s="436"/>
      <c r="AV4678" s="436"/>
      <c r="AW4678" s="436"/>
      <c r="AX4678" s="436"/>
      <c r="AY4678" s="436"/>
      <c r="AZ4678" s="475"/>
      <c r="BA4678" s="475"/>
      <c r="BF4678" s="1119"/>
      <c r="BG4678" s="1119"/>
      <c r="BH4678" s="1119"/>
    </row>
    <row r="4679" spans="1:60" ht="15.75" customHeight="1">
      <c r="A4679" s="436"/>
      <c r="C4679" s="436"/>
      <c r="D4679" s="436"/>
      <c r="E4679" s="436"/>
      <c r="F4679" s="436"/>
      <c r="H4679" s="467"/>
      <c r="I4679" s="467"/>
      <c r="J4679" s="469"/>
      <c r="AL4679" s="436"/>
      <c r="AM4679" s="436"/>
      <c r="AQ4679" s="436"/>
      <c r="AR4679" s="436"/>
      <c r="AS4679" s="436"/>
      <c r="AT4679" s="436"/>
      <c r="AU4679" s="436"/>
      <c r="AV4679" s="436"/>
      <c r="AW4679" s="436"/>
      <c r="AX4679" s="436"/>
      <c r="AY4679" s="436"/>
      <c r="AZ4679" s="475"/>
      <c r="BA4679" s="475"/>
      <c r="BF4679" s="1119"/>
      <c r="BG4679" s="1119"/>
      <c r="BH4679" s="1119"/>
    </row>
    <row r="4680" spans="1:60" ht="15.75" customHeight="1">
      <c r="A4680" s="436"/>
      <c r="C4680" s="436"/>
      <c r="D4680" s="436"/>
      <c r="E4680" s="436"/>
      <c r="F4680" s="436"/>
      <c r="H4680" s="467"/>
      <c r="I4680" s="467"/>
      <c r="J4680" s="469"/>
      <c r="AL4680" s="436"/>
      <c r="AM4680" s="436"/>
      <c r="AQ4680" s="436"/>
      <c r="AR4680" s="436"/>
      <c r="AS4680" s="436"/>
      <c r="AT4680" s="436"/>
      <c r="AU4680" s="436"/>
      <c r="AV4680" s="436"/>
      <c r="AW4680" s="436"/>
      <c r="AX4680" s="436"/>
      <c r="AY4680" s="436"/>
      <c r="AZ4680" s="475"/>
      <c r="BA4680" s="475"/>
      <c r="BF4680" s="1119"/>
      <c r="BG4680" s="1119"/>
      <c r="BH4680" s="1119"/>
    </row>
    <row r="4681" spans="1:60" ht="15.75" customHeight="1">
      <c r="A4681" s="436"/>
      <c r="C4681" s="436"/>
      <c r="D4681" s="436"/>
      <c r="E4681" s="436"/>
      <c r="F4681" s="436"/>
      <c r="H4681" s="467"/>
      <c r="I4681" s="467"/>
      <c r="J4681" s="469"/>
      <c r="AL4681" s="436"/>
      <c r="AM4681" s="436"/>
      <c r="AQ4681" s="436"/>
      <c r="AR4681" s="436"/>
      <c r="AS4681" s="436"/>
      <c r="AT4681" s="436"/>
      <c r="AU4681" s="436"/>
      <c r="AV4681" s="436"/>
      <c r="AW4681" s="436"/>
      <c r="AX4681" s="436"/>
      <c r="AY4681" s="436"/>
      <c r="AZ4681" s="475"/>
      <c r="BA4681" s="475"/>
      <c r="BF4681" s="1119"/>
      <c r="BG4681" s="1119"/>
      <c r="BH4681" s="1119"/>
    </row>
    <row r="4682" spans="1:60" ht="15.75" customHeight="1">
      <c r="A4682" s="436"/>
      <c r="C4682" s="436"/>
      <c r="D4682" s="436"/>
      <c r="E4682" s="436"/>
      <c r="F4682" s="436"/>
      <c r="H4682" s="467"/>
      <c r="I4682" s="467"/>
      <c r="J4682" s="469"/>
      <c r="AL4682" s="436"/>
      <c r="AM4682" s="436"/>
      <c r="AQ4682" s="436"/>
      <c r="AR4682" s="436"/>
      <c r="AS4682" s="436"/>
      <c r="AT4682" s="436"/>
      <c r="AU4682" s="436"/>
      <c r="AV4682" s="436"/>
      <c r="AW4682" s="436"/>
      <c r="AX4682" s="436"/>
      <c r="AY4682" s="436"/>
      <c r="AZ4682" s="475"/>
      <c r="BA4682" s="475"/>
      <c r="BF4682" s="1119"/>
      <c r="BG4682" s="1119"/>
      <c r="BH4682" s="1119"/>
    </row>
    <row r="4683" spans="1:60" ht="15.75" customHeight="1">
      <c r="A4683" s="436"/>
      <c r="C4683" s="436"/>
      <c r="D4683" s="436"/>
      <c r="E4683" s="436"/>
      <c r="F4683" s="436"/>
      <c r="H4683" s="467"/>
      <c r="I4683" s="467"/>
      <c r="J4683" s="469"/>
      <c r="AL4683" s="436"/>
      <c r="AM4683" s="436"/>
      <c r="AQ4683" s="436"/>
      <c r="AR4683" s="436"/>
      <c r="AS4683" s="436"/>
      <c r="AT4683" s="436"/>
      <c r="AU4683" s="436"/>
      <c r="AV4683" s="436"/>
      <c r="AW4683" s="436"/>
      <c r="AX4683" s="436"/>
      <c r="AY4683" s="436"/>
      <c r="AZ4683" s="475"/>
      <c r="BA4683" s="475"/>
      <c r="BF4683" s="1119"/>
      <c r="BG4683" s="1119"/>
      <c r="BH4683" s="1119"/>
    </row>
    <row r="4684" spans="1:60" ht="15.75" customHeight="1">
      <c r="A4684" s="436"/>
      <c r="C4684" s="436"/>
      <c r="D4684" s="436"/>
      <c r="E4684" s="436"/>
      <c r="F4684" s="436"/>
      <c r="H4684" s="467"/>
      <c r="I4684" s="467"/>
      <c r="J4684" s="469"/>
      <c r="AL4684" s="436"/>
      <c r="AM4684" s="436"/>
      <c r="AQ4684" s="436"/>
      <c r="AR4684" s="436"/>
      <c r="AS4684" s="436"/>
      <c r="AT4684" s="436"/>
      <c r="AU4684" s="436"/>
      <c r="AV4684" s="436"/>
      <c r="AW4684" s="436"/>
      <c r="AX4684" s="436"/>
      <c r="AY4684" s="436"/>
      <c r="AZ4684" s="475"/>
      <c r="BA4684" s="475"/>
      <c r="BF4684" s="1119"/>
      <c r="BG4684" s="1119"/>
      <c r="BH4684" s="1119"/>
    </row>
    <row r="4685" spans="1:60" ht="15.75" customHeight="1">
      <c r="A4685" s="436"/>
      <c r="C4685" s="436"/>
      <c r="D4685" s="436"/>
      <c r="E4685" s="436"/>
      <c r="F4685" s="436"/>
      <c r="H4685" s="467"/>
      <c r="I4685" s="467"/>
      <c r="J4685" s="469"/>
      <c r="AL4685" s="436"/>
      <c r="AM4685" s="436"/>
      <c r="AQ4685" s="436"/>
      <c r="AR4685" s="436"/>
      <c r="AS4685" s="436"/>
      <c r="AT4685" s="436"/>
      <c r="AU4685" s="436"/>
      <c r="AV4685" s="436"/>
      <c r="AW4685" s="436"/>
      <c r="AX4685" s="436"/>
      <c r="AY4685" s="436"/>
      <c r="AZ4685" s="475"/>
      <c r="BA4685" s="475"/>
      <c r="BF4685" s="1119"/>
      <c r="BG4685" s="1119"/>
      <c r="BH4685" s="1119"/>
    </row>
    <row r="4686" spans="1:60" ht="15.75" customHeight="1">
      <c r="A4686" s="436"/>
      <c r="C4686" s="436"/>
      <c r="D4686" s="436"/>
      <c r="E4686" s="436"/>
      <c r="F4686" s="436"/>
      <c r="H4686" s="467"/>
      <c r="I4686" s="467"/>
      <c r="J4686" s="469"/>
      <c r="AL4686" s="436"/>
      <c r="AM4686" s="436"/>
      <c r="AQ4686" s="436"/>
      <c r="AR4686" s="436"/>
      <c r="AS4686" s="436"/>
      <c r="AT4686" s="436"/>
      <c r="AU4686" s="436"/>
      <c r="AV4686" s="436"/>
      <c r="AW4686" s="436"/>
      <c r="AX4686" s="436"/>
      <c r="AY4686" s="436"/>
      <c r="AZ4686" s="475"/>
      <c r="BA4686" s="475"/>
      <c r="BF4686" s="1119"/>
      <c r="BG4686" s="1119"/>
      <c r="BH4686" s="1119"/>
    </row>
    <row r="4687" spans="1:60" ht="15.75" customHeight="1">
      <c r="A4687" s="436"/>
      <c r="C4687" s="436"/>
      <c r="D4687" s="436"/>
      <c r="E4687" s="436"/>
      <c r="F4687" s="436"/>
      <c r="H4687" s="467"/>
      <c r="I4687" s="467"/>
      <c r="J4687" s="469"/>
      <c r="AL4687" s="436"/>
      <c r="AM4687" s="436"/>
      <c r="AQ4687" s="436"/>
      <c r="AR4687" s="436"/>
      <c r="AS4687" s="436"/>
      <c r="AT4687" s="436"/>
      <c r="AU4687" s="436"/>
      <c r="AV4687" s="436"/>
      <c r="AW4687" s="436"/>
      <c r="AX4687" s="436"/>
      <c r="AY4687" s="436"/>
      <c r="AZ4687" s="475"/>
      <c r="BA4687" s="475"/>
      <c r="BF4687" s="1119"/>
      <c r="BG4687" s="1119"/>
      <c r="BH4687" s="1119"/>
    </row>
    <row r="4688" spans="1:60" ht="15.75" customHeight="1">
      <c r="A4688" s="436"/>
      <c r="C4688" s="436"/>
      <c r="D4688" s="436"/>
      <c r="E4688" s="436"/>
      <c r="F4688" s="436"/>
      <c r="H4688" s="467"/>
      <c r="I4688" s="467"/>
      <c r="J4688" s="469"/>
      <c r="AL4688" s="436"/>
      <c r="AM4688" s="436"/>
      <c r="AQ4688" s="436"/>
      <c r="AR4688" s="436"/>
      <c r="AS4688" s="436"/>
      <c r="AT4688" s="436"/>
      <c r="AU4688" s="436"/>
      <c r="AV4688" s="436"/>
      <c r="AW4688" s="436"/>
      <c r="AX4688" s="436"/>
      <c r="AY4688" s="436"/>
      <c r="AZ4688" s="475"/>
      <c r="BA4688" s="475"/>
      <c r="BF4688" s="1119"/>
      <c r="BG4688" s="1119"/>
      <c r="BH4688" s="1119"/>
    </row>
    <row r="4689" spans="1:60" ht="15.75" customHeight="1">
      <c r="A4689" s="436"/>
      <c r="C4689" s="436"/>
      <c r="D4689" s="436"/>
      <c r="E4689" s="436"/>
      <c r="F4689" s="436"/>
      <c r="H4689" s="467"/>
      <c r="I4689" s="467"/>
      <c r="J4689" s="469"/>
      <c r="AL4689" s="436"/>
      <c r="AM4689" s="436"/>
      <c r="AQ4689" s="436"/>
      <c r="AR4689" s="436"/>
      <c r="AS4689" s="436"/>
      <c r="AT4689" s="436"/>
      <c r="AU4689" s="436"/>
      <c r="AV4689" s="436"/>
      <c r="AW4689" s="436"/>
      <c r="AX4689" s="436"/>
      <c r="AY4689" s="436"/>
      <c r="AZ4689" s="475"/>
      <c r="BA4689" s="475"/>
      <c r="BF4689" s="1119"/>
      <c r="BG4689" s="1119"/>
      <c r="BH4689" s="1119"/>
    </row>
    <row r="4690" spans="1:60" ht="15.75" customHeight="1">
      <c r="A4690" s="436"/>
      <c r="C4690" s="436"/>
      <c r="D4690" s="436"/>
      <c r="E4690" s="436"/>
      <c r="F4690" s="436"/>
      <c r="H4690" s="467"/>
      <c r="I4690" s="467"/>
      <c r="J4690" s="469"/>
      <c r="AL4690" s="436"/>
      <c r="AM4690" s="436"/>
      <c r="AQ4690" s="436"/>
      <c r="AR4690" s="436"/>
      <c r="AS4690" s="436"/>
      <c r="AT4690" s="436"/>
      <c r="AU4690" s="436"/>
      <c r="AV4690" s="436"/>
      <c r="AW4690" s="436"/>
      <c r="AX4690" s="436"/>
      <c r="AY4690" s="436"/>
      <c r="AZ4690" s="475"/>
      <c r="BA4690" s="475"/>
      <c r="BF4690" s="1119"/>
      <c r="BG4690" s="1119"/>
      <c r="BH4690" s="1119"/>
    </row>
    <row r="4691" spans="1:60" ht="15.75" customHeight="1">
      <c r="A4691" s="436"/>
      <c r="C4691" s="436"/>
      <c r="D4691" s="436"/>
      <c r="E4691" s="436"/>
      <c r="F4691" s="436"/>
      <c r="H4691" s="467"/>
      <c r="I4691" s="467"/>
      <c r="J4691" s="469"/>
      <c r="AL4691" s="436"/>
      <c r="AM4691" s="436"/>
      <c r="AQ4691" s="436"/>
      <c r="AR4691" s="436"/>
      <c r="AS4691" s="436"/>
      <c r="AT4691" s="436"/>
      <c r="AU4691" s="436"/>
      <c r="AV4691" s="436"/>
      <c r="AW4691" s="436"/>
      <c r="AX4691" s="436"/>
      <c r="AY4691" s="436"/>
      <c r="AZ4691" s="475"/>
      <c r="BA4691" s="475"/>
      <c r="BF4691" s="1119"/>
      <c r="BG4691" s="1119"/>
      <c r="BH4691" s="1119"/>
    </row>
    <row r="4692" spans="1:60" ht="15.75" customHeight="1">
      <c r="A4692" s="436"/>
      <c r="C4692" s="436"/>
      <c r="D4692" s="436"/>
      <c r="E4692" s="436"/>
      <c r="F4692" s="436"/>
      <c r="H4692" s="467"/>
      <c r="I4692" s="467"/>
      <c r="J4692" s="469"/>
      <c r="AL4692" s="436"/>
      <c r="AM4692" s="436"/>
      <c r="AQ4692" s="436"/>
      <c r="AR4692" s="436"/>
      <c r="AS4692" s="436"/>
      <c r="AT4692" s="436"/>
      <c r="AU4692" s="436"/>
      <c r="AV4692" s="436"/>
      <c r="AW4692" s="436"/>
      <c r="AX4692" s="436"/>
      <c r="AY4692" s="436"/>
      <c r="AZ4692" s="475"/>
      <c r="BA4692" s="475"/>
      <c r="BF4692" s="1119"/>
      <c r="BG4692" s="1119"/>
      <c r="BH4692" s="1119"/>
    </row>
    <row r="4693" spans="1:60" ht="15.75" customHeight="1">
      <c r="A4693" s="436"/>
      <c r="C4693" s="436"/>
      <c r="D4693" s="436"/>
      <c r="E4693" s="436"/>
      <c r="F4693" s="436"/>
      <c r="H4693" s="467"/>
      <c r="I4693" s="467"/>
      <c r="J4693" s="469"/>
      <c r="AL4693" s="436"/>
      <c r="AM4693" s="436"/>
      <c r="AQ4693" s="436"/>
      <c r="AR4693" s="436"/>
      <c r="AS4693" s="436"/>
      <c r="AT4693" s="436"/>
      <c r="AU4693" s="436"/>
      <c r="AV4693" s="436"/>
      <c r="AW4693" s="436"/>
      <c r="AX4693" s="436"/>
      <c r="AY4693" s="436"/>
      <c r="AZ4693" s="475"/>
      <c r="BA4693" s="475"/>
      <c r="BF4693" s="1119"/>
      <c r="BG4693" s="1119"/>
      <c r="BH4693" s="1119"/>
    </row>
    <row r="4694" spans="1:60" ht="15.75" customHeight="1">
      <c r="A4694" s="436"/>
      <c r="C4694" s="436"/>
      <c r="D4694" s="436"/>
      <c r="E4694" s="436"/>
      <c r="F4694" s="436"/>
      <c r="H4694" s="467"/>
      <c r="I4694" s="467"/>
      <c r="J4694" s="469"/>
      <c r="AL4694" s="436"/>
      <c r="AM4694" s="436"/>
      <c r="AQ4694" s="436"/>
      <c r="AR4694" s="436"/>
      <c r="AS4694" s="436"/>
      <c r="AT4694" s="436"/>
      <c r="AU4694" s="436"/>
      <c r="AV4694" s="436"/>
      <c r="AW4694" s="436"/>
      <c r="AX4694" s="436"/>
      <c r="AY4694" s="436"/>
      <c r="AZ4694" s="475"/>
      <c r="BA4694" s="475"/>
      <c r="BF4694" s="1119"/>
      <c r="BG4694" s="1119"/>
      <c r="BH4694" s="1119"/>
    </row>
    <row r="4695" spans="1:60" ht="15.75" customHeight="1">
      <c r="A4695" s="436"/>
      <c r="C4695" s="436"/>
      <c r="D4695" s="436"/>
      <c r="E4695" s="436"/>
      <c r="F4695" s="436"/>
      <c r="H4695" s="467"/>
      <c r="I4695" s="467"/>
      <c r="J4695" s="469"/>
      <c r="AL4695" s="436"/>
      <c r="AM4695" s="436"/>
      <c r="AQ4695" s="436"/>
      <c r="AR4695" s="436"/>
      <c r="AS4695" s="436"/>
      <c r="AT4695" s="436"/>
      <c r="AU4695" s="436"/>
      <c r="AV4695" s="436"/>
      <c r="AW4695" s="436"/>
      <c r="AX4695" s="436"/>
      <c r="AY4695" s="436"/>
      <c r="AZ4695" s="475"/>
      <c r="BA4695" s="475"/>
      <c r="BF4695" s="1119"/>
      <c r="BG4695" s="1119"/>
      <c r="BH4695" s="1119"/>
    </row>
    <row r="4696" spans="1:60" ht="15.75" customHeight="1">
      <c r="A4696" s="436"/>
      <c r="C4696" s="436"/>
      <c r="D4696" s="436"/>
      <c r="E4696" s="436"/>
      <c r="F4696" s="436"/>
      <c r="H4696" s="467"/>
      <c r="I4696" s="467"/>
      <c r="J4696" s="469"/>
      <c r="AL4696" s="436"/>
      <c r="AM4696" s="436"/>
      <c r="AQ4696" s="436"/>
      <c r="AR4696" s="436"/>
      <c r="AS4696" s="436"/>
      <c r="AT4696" s="436"/>
      <c r="AU4696" s="436"/>
      <c r="AV4696" s="436"/>
      <c r="AW4696" s="436"/>
      <c r="AX4696" s="436"/>
      <c r="AY4696" s="436"/>
      <c r="AZ4696" s="475"/>
      <c r="BA4696" s="475"/>
      <c r="BF4696" s="1119"/>
      <c r="BG4696" s="1119"/>
      <c r="BH4696" s="1119"/>
    </row>
    <row r="4697" spans="1:60" ht="15.75" customHeight="1">
      <c r="A4697" s="436"/>
      <c r="C4697" s="436"/>
      <c r="D4697" s="436"/>
      <c r="E4697" s="436"/>
      <c r="F4697" s="436"/>
      <c r="H4697" s="467"/>
      <c r="I4697" s="467"/>
      <c r="J4697" s="469"/>
      <c r="AL4697" s="436"/>
      <c r="AM4697" s="436"/>
      <c r="AQ4697" s="436"/>
      <c r="AR4697" s="436"/>
      <c r="AS4697" s="436"/>
      <c r="AT4697" s="436"/>
      <c r="AU4697" s="436"/>
      <c r="AV4697" s="436"/>
      <c r="AW4697" s="436"/>
      <c r="AX4697" s="436"/>
      <c r="AY4697" s="436"/>
      <c r="AZ4697" s="475"/>
      <c r="BA4697" s="475"/>
      <c r="BF4697" s="1119"/>
      <c r="BG4697" s="1119"/>
      <c r="BH4697" s="1119"/>
    </row>
    <row r="4698" spans="1:60" ht="15.75" customHeight="1">
      <c r="A4698" s="436"/>
      <c r="C4698" s="436"/>
      <c r="D4698" s="436"/>
      <c r="E4698" s="436"/>
      <c r="F4698" s="436"/>
      <c r="H4698" s="467"/>
      <c r="I4698" s="467"/>
      <c r="J4698" s="469"/>
      <c r="AL4698" s="436"/>
      <c r="AM4698" s="436"/>
      <c r="AQ4698" s="436"/>
      <c r="AR4698" s="436"/>
      <c r="AS4698" s="436"/>
      <c r="AT4698" s="436"/>
      <c r="AU4698" s="436"/>
      <c r="AV4698" s="436"/>
      <c r="AW4698" s="436"/>
      <c r="AX4698" s="436"/>
      <c r="AY4698" s="436"/>
      <c r="AZ4698" s="475"/>
      <c r="BA4698" s="475"/>
      <c r="BF4698" s="1119"/>
      <c r="BG4698" s="1119"/>
      <c r="BH4698" s="1119"/>
    </row>
    <row r="4699" spans="1:60" ht="15.75" customHeight="1">
      <c r="A4699" s="436"/>
      <c r="C4699" s="436"/>
      <c r="D4699" s="436"/>
      <c r="E4699" s="436"/>
      <c r="F4699" s="436"/>
      <c r="H4699" s="467"/>
      <c r="I4699" s="467"/>
      <c r="J4699" s="469"/>
      <c r="AL4699" s="436"/>
      <c r="AM4699" s="436"/>
      <c r="AQ4699" s="436"/>
      <c r="AR4699" s="436"/>
      <c r="AS4699" s="436"/>
      <c r="AT4699" s="436"/>
      <c r="AU4699" s="436"/>
      <c r="AV4699" s="436"/>
      <c r="AW4699" s="436"/>
      <c r="AX4699" s="436"/>
      <c r="AY4699" s="436"/>
      <c r="AZ4699" s="475"/>
      <c r="BA4699" s="475"/>
      <c r="BF4699" s="1119"/>
      <c r="BG4699" s="1119"/>
      <c r="BH4699" s="1119"/>
    </row>
    <row r="4700" spans="1:60" ht="15.75" customHeight="1">
      <c r="A4700" s="436"/>
      <c r="C4700" s="436"/>
      <c r="D4700" s="436"/>
      <c r="E4700" s="436"/>
      <c r="F4700" s="436"/>
      <c r="H4700" s="467"/>
      <c r="I4700" s="467"/>
      <c r="J4700" s="469"/>
      <c r="AL4700" s="436"/>
      <c r="AM4700" s="436"/>
      <c r="AQ4700" s="436"/>
      <c r="AR4700" s="436"/>
      <c r="AS4700" s="436"/>
      <c r="AT4700" s="436"/>
      <c r="AU4700" s="436"/>
      <c r="AV4700" s="436"/>
      <c r="AW4700" s="436"/>
      <c r="AX4700" s="436"/>
      <c r="AY4700" s="436"/>
      <c r="AZ4700" s="475"/>
      <c r="BA4700" s="475"/>
      <c r="BF4700" s="1119"/>
      <c r="BG4700" s="1119"/>
      <c r="BH4700" s="1119"/>
    </row>
    <row r="4701" spans="1:60" ht="15.75" customHeight="1">
      <c r="A4701" s="436"/>
      <c r="C4701" s="436"/>
      <c r="D4701" s="436"/>
      <c r="E4701" s="436"/>
      <c r="F4701" s="436"/>
      <c r="H4701" s="467"/>
      <c r="I4701" s="467"/>
      <c r="J4701" s="469"/>
      <c r="AL4701" s="436"/>
      <c r="AM4701" s="436"/>
      <c r="AQ4701" s="436"/>
      <c r="AR4701" s="436"/>
      <c r="AS4701" s="436"/>
      <c r="AT4701" s="436"/>
      <c r="AU4701" s="436"/>
      <c r="AV4701" s="436"/>
      <c r="AW4701" s="436"/>
      <c r="AX4701" s="436"/>
      <c r="AY4701" s="436"/>
      <c r="AZ4701" s="475"/>
      <c r="BA4701" s="475"/>
      <c r="BF4701" s="1119"/>
      <c r="BG4701" s="1119"/>
      <c r="BH4701" s="1119"/>
    </row>
    <row r="4702" spans="1:60" ht="15.75" customHeight="1">
      <c r="A4702" s="436"/>
      <c r="C4702" s="436"/>
      <c r="D4702" s="436"/>
      <c r="E4702" s="436"/>
      <c r="F4702" s="436"/>
      <c r="H4702" s="467"/>
      <c r="I4702" s="467"/>
      <c r="J4702" s="469"/>
      <c r="AL4702" s="436"/>
      <c r="AM4702" s="436"/>
      <c r="AQ4702" s="436"/>
      <c r="AR4702" s="436"/>
      <c r="AS4702" s="436"/>
      <c r="AT4702" s="436"/>
      <c r="AU4702" s="436"/>
      <c r="AV4702" s="436"/>
      <c r="AW4702" s="436"/>
      <c r="AX4702" s="436"/>
      <c r="AY4702" s="436"/>
      <c r="AZ4702" s="475"/>
      <c r="BA4702" s="475"/>
      <c r="BF4702" s="1119"/>
      <c r="BG4702" s="1119"/>
      <c r="BH4702" s="1119"/>
    </row>
    <row r="4703" spans="1:60" ht="15.75" customHeight="1">
      <c r="A4703" s="436"/>
      <c r="C4703" s="436"/>
      <c r="D4703" s="436"/>
      <c r="E4703" s="436"/>
      <c r="F4703" s="436"/>
      <c r="H4703" s="467"/>
      <c r="I4703" s="467"/>
      <c r="J4703" s="469"/>
      <c r="AL4703" s="436"/>
      <c r="AM4703" s="436"/>
      <c r="AQ4703" s="436"/>
      <c r="AR4703" s="436"/>
      <c r="AS4703" s="436"/>
      <c r="AT4703" s="436"/>
      <c r="AU4703" s="436"/>
      <c r="AV4703" s="436"/>
      <c r="AW4703" s="436"/>
      <c r="AX4703" s="436"/>
      <c r="AY4703" s="436"/>
      <c r="AZ4703" s="475"/>
      <c r="BA4703" s="475"/>
      <c r="BF4703" s="1119"/>
      <c r="BG4703" s="1119"/>
      <c r="BH4703" s="1119"/>
    </row>
    <row r="4704" spans="1:60" ht="15.75" customHeight="1">
      <c r="A4704" s="436"/>
      <c r="C4704" s="436"/>
      <c r="D4704" s="436"/>
      <c r="E4704" s="436"/>
      <c r="F4704" s="436"/>
      <c r="H4704" s="467"/>
      <c r="I4704" s="467"/>
      <c r="J4704" s="469"/>
      <c r="AL4704" s="436"/>
      <c r="AM4704" s="436"/>
      <c r="AQ4704" s="436"/>
      <c r="AR4704" s="436"/>
      <c r="AS4704" s="436"/>
      <c r="AT4704" s="436"/>
      <c r="AU4704" s="436"/>
      <c r="AV4704" s="436"/>
      <c r="AW4704" s="436"/>
      <c r="AX4704" s="436"/>
      <c r="AY4704" s="436"/>
      <c r="AZ4704" s="475"/>
      <c r="BA4704" s="475"/>
      <c r="BF4704" s="1119"/>
      <c r="BG4704" s="1119"/>
      <c r="BH4704" s="1119"/>
    </row>
    <row r="4705" spans="1:60" ht="15.75" customHeight="1">
      <c r="A4705" s="436"/>
      <c r="C4705" s="436"/>
      <c r="D4705" s="436"/>
      <c r="E4705" s="436"/>
      <c r="F4705" s="436"/>
      <c r="H4705" s="467"/>
      <c r="I4705" s="467"/>
      <c r="J4705" s="469"/>
      <c r="AL4705" s="436"/>
      <c r="AM4705" s="436"/>
      <c r="AQ4705" s="436"/>
      <c r="AR4705" s="436"/>
      <c r="AS4705" s="436"/>
      <c r="AT4705" s="436"/>
      <c r="AU4705" s="436"/>
      <c r="AV4705" s="436"/>
      <c r="AW4705" s="436"/>
      <c r="AX4705" s="436"/>
      <c r="AY4705" s="436"/>
      <c r="AZ4705" s="475"/>
      <c r="BA4705" s="475"/>
      <c r="BF4705" s="1119"/>
      <c r="BG4705" s="1119"/>
      <c r="BH4705" s="1119"/>
    </row>
    <row r="4706" spans="1:60" ht="15.75" customHeight="1">
      <c r="A4706" s="436"/>
      <c r="C4706" s="436"/>
      <c r="D4706" s="436"/>
      <c r="E4706" s="436"/>
      <c r="F4706" s="436"/>
      <c r="H4706" s="467"/>
      <c r="I4706" s="467"/>
      <c r="J4706" s="469"/>
      <c r="AL4706" s="436"/>
      <c r="AM4706" s="436"/>
      <c r="AQ4706" s="436"/>
      <c r="AR4706" s="436"/>
      <c r="AS4706" s="436"/>
      <c r="AT4706" s="436"/>
      <c r="AU4706" s="436"/>
      <c r="AV4706" s="436"/>
      <c r="AW4706" s="436"/>
      <c r="AX4706" s="436"/>
      <c r="AY4706" s="436"/>
      <c r="AZ4706" s="475"/>
      <c r="BA4706" s="475"/>
      <c r="BF4706" s="1119"/>
      <c r="BG4706" s="1119"/>
      <c r="BH4706" s="1119"/>
    </row>
    <row r="4707" spans="1:60" ht="15.75" customHeight="1">
      <c r="A4707" s="436"/>
      <c r="C4707" s="436"/>
      <c r="D4707" s="436"/>
      <c r="E4707" s="436"/>
      <c r="F4707" s="436"/>
      <c r="H4707" s="467"/>
      <c r="I4707" s="467"/>
      <c r="J4707" s="469"/>
      <c r="AL4707" s="436"/>
      <c r="AM4707" s="436"/>
      <c r="AQ4707" s="436"/>
      <c r="AR4707" s="436"/>
      <c r="AS4707" s="436"/>
      <c r="AT4707" s="436"/>
      <c r="AU4707" s="436"/>
      <c r="AV4707" s="436"/>
      <c r="AW4707" s="436"/>
      <c r="AX4707" s="436"/>
      <c r="AY4707" s="436"/>
      <c r="AZ4707" s="475"/>
      <c r="BA4707" s="475"/>
      <c r="BF4707" s="1119"/>
      <c r="BG4707" s="1119"/>
      <c r="BH4707" s="1119"/>
    </row>
    <row r="4708" spans="1:60" ht="15.75" customHeight="1">
      <c r="A4708" s="436"/>
      <c r="C4708" s="436"/>
      <c r="D4708" s="436"/>
      <c r="E4708" s="436"/>
      <c r="F4708" s="436"/>
      <c r="H4708" s="467"/>
      <c r="I4708" s="467"/>
      <c r="J4708" s="469"/>
      <c r="AL4708" s="436"/>
      <c r="AM4708" s="436"/>
      <c r="AQ4708" s="436"/>
      <c r="AR4708" s="436"/>
      <c r="AS4708" s="436"/>
      <c r="AT4708" s="436"/>
      <c r="AU4708" s="436"/>
      <c r="AV4708" s="436"/>
      <c r="AW4708" s="436"/>
      <c r="AX4708" s="436"/>
      <c r="AY4708" s="436"/>
      <c r="AZ4708" s="475"/>
      <c r="BA4708" s="475"/>
      <c r="BF4708" s="1119"/>
      <c r="BG4708" s="1119"/>
      <c r="BH4708" s="1119"/>
    </row>
    <row r="4709" spans="1:60" ht="15.75" customHeight="1">
      <c r="A4709" s="436"/>
      <c r="C4709" s="436"/>
      <c r="D4709" s="436"/>
      <c r="E4709" s="436"/>
      <c r="F4709" s="436"/>
      <c r="H4709" s="467"/>
      <c r="I4709" s="467"/>
      <c r="J4709" s="469"/>
      <c r="AL4709" s="436"/>
      <c r="AM4709" s="436"/>
      <c r="AQ4709" s="436"/>
      <c r="AR4709" s="436"/>
      <c r="AS4709" s="436"/>
      <c r="AT4709" s="436"/>
      <c r="AU4709" s="436"/>
      <c r="AV4709" s="436"/>
      <c r="AW4709" s="436"/>
      <c r="AX4709" s="436"/>
      <c r="AY4709" s="436"/>
      <c r="AZ4709" s="475"/>
      <c r="BA4709" s="475"/>
      <c r="BF4709" s="1119"/>
      <c r="BG4709" s="1119"/>
      <c r="BH4709" s="1119"/>
    </row>
    <row r="4710" spans="1:60" ht="15.75" customHeight="1">
      <c r="A4710" s="436"/>
      <c r="C4710" s="436"/>
      <c r="D4710" s="436"/>
      <c r="E4710" s="436"/>
      <c r="F4710" s="436"/>
      <c r="H4710" s="467"/>
      <c r="I4710" s="467"/>
      <c r="J4710" s="469"/>
      <c r="AL4710" s="436"/>
      <c r="AM4710" s="436"/>
      <c r="AQ4710" s="436"/>
      <c r="AR4710" s="436"/>
      <c r="AS4710" s="436"/>
      <c r="AT4710" s="436"/>
      <c r="AU4710" s="436"/>
      <c r="AV4710" s="436"/>
      <c r="AW4710" s="436"/>
      <c r="AX4710" s="436"/>
      <c r="AY4710" s="436"/>
      <c r="AZ4710" s="475"/>
      <c r="BA4710" s="475"/>
      <c r="BF4710" s="1119"/>
      <c r="BG4710" s="1119"/>
      <c r="BH4710" s="1119"/>
    </row>
    <row r="4711" spans="1:60" ht="15.75" customHeight="1">
      <c r="A4711" s="436"/>
      <c r="C4711" s="436"/>
      <c r="D4711" s="436"/>
      <c r="E4711" s="436"/>
      <c r="F4711" s="436"/>
      <c r="H4711" s="467"/>
      <c r="I4711" s="467"/>
      <c r="J4711" s="469"/>
      <c r="AL4711" s="436"/>
      <c r="AM4711" s="436"/>
      <c r="AQ4711" s="436"/>
      <c r="AR4711" s="436"/>
      <c r="AS4711" s="436"/>
      <c r="AT4711" s="436"/>
      <c r="AU4711" s="436"/>
      <c r="AV4711" s="436"/>
      <c r="AW4711" s="436"/>
      <c r="AX4711" s="436"/>
      <c r="AY4711" s="436"/>
      <c r="AZ4711" s="475"/>
      <c r="BA4711" s="475"/>
      <c r="BF4711" s="1119"/>
      <c r="BG4711" s="1119"/>
      <c r="BH4711" s="1119"/>
    </row>
    <row r="4712" spans="1:60" ht="15.75" customHeight="1">
      <c r="A4712" s="436"/>
      <c r="C4712" s="436"/>
      <c r="D4712" s="436"/>
      <c r="E4712" s="436"/>
      <c r="F4712" s="436"/>
      <c r="H4712" s="467"/>
      <c r="I4712" s="467"/>
      <c r="J4712" s="469"/>
      <c r="AL4712" s="436"/>
      <c r="AM4712" s="436"/>
      <c r="AQ4712" s="436"/>
      <c r="AR4712" s="436"/>
      <c r="AS4712" s="436"/>
      <c r="AT4712" s="436"/>
      <c r="AU4712" s="436"/>
      <c r="AV4712" s="436"/>
      <c r="AW4712" s="436"/>
      <c r="AX4712" s="436"/>
      <c r="AY4712" s="436"/>
      <c r="AZ4712" s="475"/>
      <c r="BA4712" s="475"/>
      <c r="BF4712" s="1119"/>
      <c r="BG4712" s="1119"/>
      <c r="BH4712" s="1119"/>
    </row>
    <row r="4713" spans="1:60" ht="15.75" customHeight="1">
      <c r="A4713" s="436"/>
      <c r="C4713" s="436"/>
      <c r="D4713" s="436"/>
      <c r="E4713" s="436"/>
      <c r="F4713" s="436"/>
      <c r="H4713" s="467"/>
      <c r="I4713" s="467"/>
      <c r="J4713" s="469"/>
      <c r="AL4713" s="436"/>
      <c r="AM4713" s="436"/>
      <c r="AQ4713" s="436"/>
      <c r="AR4713" s="436"/>
      <c r="AS4713" s="436"/>
      <c r="AT4713" s="436"/>
      <c r="AU4713" s="436"/>
      <c r="AV4713" s="436"/>
      <c r="AW4713" s="436"/>
      <c r="AX4713" s="436"/>
      <c r="AY4713" s="436"/>
      <c r="AZ4713" s="475"/>
      <c r="BA4713" s="475"/>
      <c r="BF4713" s="1119"/>
      <c r="BG4713" s="1119"/>
      <c r="BH4713" s="1119"/>
    </row>
    <row r="4714" spans="1:60" ht="15.75" customHeight="1">
      <c r="A4714" s="436"/>
      <c r="C4714" s="436"/>
      <c r="D4714" s="436"/>
      <c r="E4714" s="436"/>
      <c r="F4714" s="436"/>
      <c r="H4714" s="467"/>
      <c r="I4714" s="467"/>
      <c r="J4714" s="469"/>
      <c r="AL4714" s="436"/>
      <c r="AM4714" s="436"/>
      <c r="AQ4714" s="436"/>
      <c r="AR4714" s="436"/>
      <c r="AS4714" s="436"/>
      <c r="AT4714" s="436"/>
      <c r="AU4714" s="436"/>
      <c r="AV4714" s="436"/>
      <c r="AW4714" s="436"/>
      <c r="AX4714" s="436"/>
      <c r="AY4714" s="436"/>
      <c r="AZ4714" s="475"/>
      <c r="BA4714" s="475"/>
      <c r="BF4714" s="1119"/>
      <c r="BG4714" s="1119"/>
      <c r="BH4714" s="1119"/>
    </row>
    <row r="4715" spans="1:60" ht="15.75" customHeight="1">
      <c r="A4715" s="436"/>
      <c r="C4715" s="436"/>
      <c r="D4715" s="436"/>
      <c r="E4715" s="436"/>
      <c r="F4715" s="436"/>
      <c r="H4715" s="467"/>
      <c r="I4715" s="467"/>
      <c r="J4715" s="469"/>
      <c r="AL4715" s="436"/>
      <c r="AM4715" s="436"/>
      <c r="AQ4715" s="436"/>
      <c r="AR4715" s="436"/>
      <c r="AS4715" s="436"/>
      <c r="AT4715" s="436"/>
      <c r="AU4715" s="436"/>
      <c r="AV4715" s="436"/>
      <c r="AW4715" s="436"/>
      <c r="AX4715" s="436"/>
      <c r="AY4715" s="436"/>
      <c r="AZ4715" s="475"/>
      <c r="BA4715" s="475"/>
      <c r="BF4715" s="1119"/>
      <c r="BG4715" s="1119"/>
      <c r="BH4715" s="1119"/>
    </row>
    <row r="4716" spans="1:60" ht="15.75" customHeight="1">
      <c r="A4716" s="436"/>
      <c r="C4716" s="436"/>
      <c r="D4716" s="436"/>
      <c r="E4716" s="436"/>
      <c r="F4716" s="436"/>
      <c r="H4716" s="467"/>
      <c r="I4716" s="467"/>
      <c r="J4716" s="469"/>
      <c r="AL4716" s="436"/>
      <c r="AM4716" s="436"/>
      <c r="AQ4716" s="436"/>
      <c r="AR4716" s="436"/>
      <c r="AS4716" s="436"/>
      <c r="AT4716" s="436"/>
      <c r="AU4716" s="436"/>
      <c r="AV4716" s="436"/>
      <c r="AW4716" s="436"/>
      <c r="AX4716" s="436"/>
      <c r="AY4716" s="436"/>
      <c r="AZ4716" s="475"/>
      <c r="BA4716" s="475"/>
      <c r="BF4716" s="1119"/>
      <c r="BG4716" s="1119"/>
      <c r="BH4716" s="1119"/>
    </row>
    <row r="4717" spans="1:60" ht="15.75" customHeight="1">
      <c r="A4717" s="436"/>
      <c r="C4717" s="436"/>
      <c r="D4717" s="436"/>
      <c r="E4717" s="436"/>
      <c r="F4717" s="436"/>
      <c r="H4717" s="467"/>
      <c r="I4717" s="467"/>
      <c r="J4717" s="469"/>
      <c r="AL4717" s="436"/>
      <c r="AM4717" s="436"/>
      <c r="AQ4717" s="436"/>
      <c r="AR4717" s="436"/>
      <c r="AS4717" s="436"/>
      <c r="AT4717" s="436"/>
      <c r="AU4717" s="436"/>
      <c r="AV4717" s="436"/>
      <c r="AW4717" s="436"/>
      <c r="AX4717" s="436"/>
      <c r="AY4717" s="436"/>
      <c r="AZ4717" s="475"/>
      <c r="BA4717" s="475"/>
      <c r="BF4717" s="1119"/>
      <c r="BG4717" s="1119"/>
      <c r="BH4717" s="1119"/>
    </row>
    <row r="4718" spans="1:60" ht="15.75" customHeight="1">
      <c r="A4718" s="436"/>
      <c r="C4718" s="436"/>
      <c r="D4718" s="436"/>
      <c r="E4718" s="436"/>
      <c r="F4718" s="436"/>
      <c r="H4718" s="467"/>
      <c r="I4718" s="467"/>
      <c r="J4718" s="469"/>
      <c r="AL4718" s="436"/>
      <c r="AM4718" s="436"/>
      <c r="AQ4718" s="436"/>
      <c r="AR4718" s="436"/>
      <c r="AS4718" s="436"/>
      <c r="AT4718" s="436"/>
      <c r="AU4718" s="436"/>
      <c r="AV4718" s="436"/>
      <c r="AW4718" s="436"/>
      <c r="AX4718" s="436"/>
      <c r="AY4718" s="436"/>
      <c r="AZ4718" s="475"/>
      <c r="BA4718" s="475"/>
      <c r="BF4718" s="1119"/>
      <c r="BG4718" s="1119"/>
      <c r="BH4718" s="1119"/>
    </row>
    <row r="4719" spans="1:60" ht="15.75" customHeight="1">
      <c r="A4719" s="436"/>
      <c r="C4719" s="436"/>
      <c r="D4719" s="436"/>
      <c r="E4719" s="436"/>
      <c r="F4719" s="436"/>
      <c r="H4719" s="467"/>
      <c r="I4719" s="467"/>
      <c r="J4719" s="469"/>
      <c r="AL4719" s="436"/>
      <c r="AM4719" s="436"/>
      <c r="AQ4719" s="436"/>
      <c r="AR4719" s="436"/>
      <c r="AS4719" s="436"/>
      <c r="AT4719" s="436"/>
      <c r="AU4719" s="436"/>
      <c r="AV4719" s="436"/>
      <c r="AW4719" s="436"/>
      <c r="AX4719" s="436"/>
      <c r="AY4719" s="436"/>
      <c r="AZ4719" s="475"/>
      <c r="BA4719" s="475"/>
      <c r="BF4719" s="1119"/>
      <c r="BG4719" s="1119"/>
      <c r="BH4719" s="1119"/>
    </row>
    <row r="4720" spans="1:60" ht="15.75" customHeight="1">
      <c r="A4720" s="436"/>
      <c r="C4720" s="436"/>
      <c r="D4720" s="436"/>
      <c r="E4720" s="436"/>
      <c r="F4720" s="436"/>
      <c r="H4720" s="467"/>
      <c r="I4720" s="467"/>
      <c r="J4720" s="469"/>
      <c r="AL4720" s="436"/>
      <c r="AM4720" s="436"/>
      <c r="AQ4720" s="436"/>
      <c r="AR4720" s="436"/>
      <c r="AS4720" s="436"/>
      <c r="AT4720" s="436"/>
      <c r="AU4720" s="436"/>
      <c r="AV4720" s="436"/>
      <c r="AW4720" s="436"/>
      <c r="AX4720" s="436"/>
      <c r="AY4720" s="436"/>
      <c r="AZ4720" s="475"/>
      <c r="BA4720" s="475"/>
      <c r="BF4720" s="1119"/>
      <c r="BG4720" s="1119"/>
      <c r="BH4720" s="1119"/>
    </row>
    <row r="4721" spans="1:60" ht="15.75" customHeight="1">
      <c r="A4721" s="436"/>
      <c r="C4721" s="436"/>
      <c r="D4721" s="436"/>
      <c r="E4721" s="436"/>
      <c r="F4721" s="436"/>
      <c r="H4721" s="467"/>
      <c r="I4721" s="467"/>
      <c r="J4721" s="469"/>
      <c r="AL4721" s="436"/>
      <c r="AM4721" s="436"/>
      <c r="AQ4721" s="436"/>
      <c r="AR4721" s="436"/>
      <c r="AS4721" s="436"/>
      <c r="AT4721" s="436"/>
      <c r="AU4721" s="436"/>
      <c r="AV4721" s="436"/>
      <c r="AW4721" s="436"/>
      <c r="AX4721" s="436"/>
      <c r="AY4721" s="436"/>
      <c r="AZ4721" s="475"/>
      <c r="BA4721" s="475"/>
      <c r="BF4721" s="1119"/>
      <c r="BG4721" s="1119"/>
      <c r="BH4721" s="1119"/>
    </row>
    <row r="4722" spans="1:60" ht="15.75" customHeight="1">
      <c r="A4722" s="436"/>
      <c r="C4722" s="436"/>
      <c r="D4722" s="436"/>
      <c r="E4722" s="436"/>
      <c r="F4722" s="436"/>
      <c r="H4722" s="467"/>
      <c r="I4722" s="467"/>
      <c r="J4722" s="469"/>
      <c r="AL4722" s="436"/>
      <c r="AM4722" s="436"/>
      <c r="AQ4722" s="436"/>
      <c r="AR4722" s="436"/>
      <c r="AS4722" s="436"/>
      <c r="AT4722" s="436"/>
      <c r="AU4722" s="436"/>
      <c r="AV4722" s="436"/>
      <c r="AW4722" s="436"/>
      <c r="AX4722" s="436"/>
      <c r="AY4722" s="436"/>
      <c r="AZ4722" s="475"/>
      <c r="BA4722" s="475"/>
      <c r="BF4722" s="1119"/>
      <c r="BG4722" s="1119"/>
      <c r="BH4722" s="1119"/>
    </row>
    <row r="4723" spans="1:60" ht="15.75" customHeight="1">
      <c r="A4723" s="436"/>
      <c r="C4723" s="436"/>
      <c r="D4723" s="436"/>
      <c r="E4723" s="436"/>
      <c r="F4723" s="436"/>
      <c r="H4723" s="467"/>
      <c r="I4723" s="467"/>
      <c r="J4723" s="469"/>
      <c r="AL4723" s="436"/>
      <c r="AM4723" s="436"/>
      <c r="AQ4723" s="436"/>
      <c r="AR4723" s="436"/>
      <c r="AS4723" s="436"/>
      <c r="AT4723" s="436"/>
      <c r="AU4723" s="436"/>
      <c r="AV4723" s="436"/>
      <c r="AW4723" s="436"/>
      <c r="AX4723" s="436"/>
      <c r="AY4723" s="436"/>
      <c r="AZ4723" s="475"/>
      <c r="BA4723" s="475"/>
      <c r="BF4723" s="1119"/>
      <c r="BG4723" s="1119"/>
      <c r="BH4723" s="1119"/>
    </row>
    <row r="4724" spans="1:60" ht="15.75" customHeight="1">
      <c r="A4724" s="436"/>
      <c r="C4724" s="436"/>
      <c r="D4724" s="436"/>
      <c r="E4724" s="436"/>
      <c r="F4724" s="436"/>
      <c r="H4724" s="467"/>
      <c r="I4724" s="467"/>
      <c r="J4724" s="469"/>
      <c r="AL4724" s="436"/>
      <c r="AM4724" s="436"/>
      <c r="AQ4724" s="436"/>
      <c r="AR4724" s="436"/>
      <c r="AS4724" s="436"/>
      <c r="AT4724" s="436"/>
      <c r="AU4724" s="436"/>
      <c r="AV4724" s="436"/>
      <c r="AW4724" s="436"/>
      <c r="AX4724" s="436"/>
      <c r="AY4724" s="436"/>
      <c r="AZ4724" s="475"/>
      <c r="BA4724" s="475"/>
      <c r="BF4724" s="1119"/>
      <c r="BG4724" s="1119"/>
      <c r="BH4724" s="1119"/>
    </row>
    <row r="4725" spans="1:60" ht="15.75" customHeight="1">
      <c r="A4725" s="436"/>
      <c r="C4725" s="436"/>
      <c r="D4725" s="436"/>
      <c r="E4725" s="436"/>
      <c r="F4725" s="436"/>
      <c r="H4725" s="467"/>
      <c r="I4725" s="467"/>
      <c r="J4725" s="469"/>
      <c r="AL4725" s="436"/>
      <c r="AM4725" s="436"/>
      <c r="AQ4725" s="436"/>
      <c r="AR4725" s="436"/>
      <c r="AS4725" s="436"/>
      <c r="AT4725" s="436"/>
      <c r="AU4725" s="436"/>
      <c r="AV4725" s="436"/>
      <c r="AW4725" s="436"/>
      <c r="AX4725" s="436"/>
      <c r="AY4725" s="436"/>
      <c r="AZ4725" s="475"/>
      <c r="BA4725" s="475"/>
      <c r="BF4725" s="1119"/>
      <c r="BG4725" s="1119"/>
      <c r="BH4725" s="1119"/>
    </row>
    <row r="4726" spans="1:60" ht="15.75" customHeight="1">
      <c r="A4726" s="436"/>
      <c r="C4726" s="436"/>
      <c r="D4726" s="436"/>
      <c r="E4726" s="436"/>
      <c r="F4726" s="436"/>
      <c r="H4726" s="467"/>
      <c r="I4726" s="467"/>
      <c r="J4726" s="469"/>
      <c r="AL4726" s="436"/>
      <c r="AM4726" s="436"/>
      <c r="AQ4726" s="436"/>
      <c r="AR4726" s="436"/>
      <c r="AS4726" s="436"/>
      <c r="AT4726" s="436"/>
      <c r="AU4726" s="436"/>
      <c r="AV4726" s="436"/>
      <c r="AW4726" s="436"/>
      <c r="AX4726" s="436"/>
      <c r="AY4726" s="436"/>
      <c r="AZ4726" s="475"/>
      <c r="BA4726" s="475"/>
      <c r="BF4726" s="1119"/>
      <c r="BG4726" s="1119"/>
      <c r="BH4726" s="1119"/>
    </row>
    <row r="4727" spans="1:60" ht="15.75" customHeight="1">
      <c r="A4727" s="436"/>
      <c r="C4727" s="436"/>
      <c r="D4727" s="436"/>
      <c r="E4727" s="436"/>
      <c r="F4727" s="436"/>
      <c r="H4727" s="467"/>
      <c r="I4727" s="467"/>
      <c r="J4727" s="469"/>
      <c r="AL4727" s="436"/>
      <c r="AM4727" s="436"/>
      <c r="AQ4727" s="436"/>
      <c r="AR4727" s="436"/>
      <c r="AS4727" s="436"/>
      <c r="AT4727" s="436"/>
      <c r="AU4727" s="436"/>
      <c r="AV4727" s="436"/>
      <c r="AW4727" s="436"/>
      <c r="AX4727" s="436"/>
      <c r="AY4727" s="436"/>
      <c r="AZ4727" s="475"/>
      <c r="BA4727" s="475"/>
      <c r="BF4727" s="1119"/>
      <c r="BG4727" s="1119"/>
      <c r="BH4727" s="1119"/>
    </row>
    <row r="4728" spans="1:60" ht="15.75" customHeight="1">
      <c r="A4728" s="436"/>
      <c r="C4728" s="436"/>
      <c r="D4728" s="436"/>
      <c r="E4728" s="436"/>
      <c r="F4728" s="436"/>
      <c r="H4728" s="467"/>
      <c r="I4728" s="467"/>
      <c r="J4728" s="469"/>
      <c r="AL4728" s="436"/>
      <c r="AM4728" s="436"/>
      <c r="AQ4728" s="436"/>
      <c r="AR4728" s="436"/>
      <c r="AS4728" s="436"/>
      <c r="AT4728" s="436"/>
      <c r="AU4728" s="436"/>
      <c r="AV4728" s="436"/>
      <c r="AW4728" s="436"/>
      <c r="AX4728" s="436"/>
      <c r="AY4728" s="436"/>
      <c r="AZ4728" s="475"/>
      <c r="BA4728" s="475"/>
      <c r="BF4728" s="1119"/>
      <c r="BG4728" s="1119"/>
      <c r="BH4728" s="1119"/>
    </row>
    <row r="4729" spans="1:60" ht="15.75" customHeight="1">
      <c r="A4729" s="436"/>
      <c r="C4729" s="436"/>
      <c r="D4729" s="436"/>
      <c r="E4729" s="436"/>
      <c r="F4729" s="436"/>
      <c r="H4729" s="467"/>
      <c r="I4729" s="467"/>
      <c r="J4729" s="469"/>
      <c r="AL4729" s="436"/>
      <c r="AM4729" s="436"/>
      <c r="AQ4729" s="436"/>
      <c r="AR4729" s="436"/>
      <c r="AS4729" s="436"/>
      <c r="AT4729" s="436"/>
      <c r="AU4729" s="436"/>
      <c r="AV4729" s="436"/>
      <c r="AW4729" s="436"/>
      <c r="AX4729" s="436"/>
      <c r="AY4729" s="436"/>
      <c r="AZ4729" s="475"/>
      <c r="BA4729" s="475"/>
      <c r="BF4729" s="1119"/>
      <c r="BG4729" s="1119"/>
      <c r="BH4729" s="1119"/>
    </row>
    <row r="4730" spans="1:60" ht="15.75" customHeight="1">
      <c r="A4730" s="436"/>
      <c r="C4730" s="436"/>
      <c r="D4730" s="436"/>
      <c r="E4730" s="436"/>
      <c r="F4730" s="436"/>
      <c r="H4730" s="467"/>
      <c r="I4730" s="467"/>
      <c r="J4730" s="469"/>
      <c r="AL4730" s="436"/>
      <c r="AM4730" s="436"/>
      <c r="AQ4730" s="436"/>
      <c r="AR4730" s="436"/>
      <c r="AS4730" s="436"/>
      <c r="AT4730" s="436"/>
      <c r="AU4730" s="436"/>
      <c r="AV4730" s="436"/>
      <c r="AW4730" s="436"/>
      <c r="AX4730" s="436"/>
      <c r="AY4730" s="436"/>
      <c r="AZ4730" s="475"/>
      <c r="BA4730" s="475"/>
      <c r="BF4730" s="1119"/>
      <c r="BG4730" s="1119"/>
      <c r="BH4730" s="1119"/>
    </row>
    <row r="4731" spans="1:60" ht="15.75" customHeight="1">
      <c r="A4731" s="436"/>
      <c r="C4731" s="436"/>
      <c r="D4731" s="436"/>
      <c r="E4731" s="436"/>
      <c r="F4731" s="436"/>
      <c r="H4731" s="467"/>
      <c r="I4731" s="467"/>
      <c r="J4731" s="469"/>
      <c r="AL4731" s="436"/>
      <c r="AM4731" s="436"/>
      <c r="AQ4731" s="436"/>
      <c r="AR4731" s="436"/>
      <c r="AS4731" s="436"/>
      <c r="AT4731" s="436"/>
      <c r="AU4731" s="436"/>
      <c r="AV4731" s="436"/>
      <c r="AW4731" s="436"/>
      <c r="AX4731" s="436"/>
      <c r="AY4731" s="436"/>
      <c r="AZ4731" s="475"/>
      <c r="BA4731" s="475"/>
      <c r="BF4731" s="1119"/>
      <c r="BG4731" s="1119"/>
      <c r="BH4731" s="1119"/>
    </row>
    <row r="4732" spans="1:60" ht="15.75" customHeight="1">
      <c r="A4732" s="436"/>
      <c r="C4732" s="436"/>
      <c r="D4732" s="436"/>
      <c r="E4732" s="436"/>
      <c r="F4732" s="436"/>
      <c r="H4732" s="467"/>
      <c r="I4732" s="467"/>
      <c r="J4732" s="469"/>
      <c r="AL4732" s="436"/>
      <c r="AM4732" s="436"/>
      <c r="AQ4732" s="436"/>
      <c r="AR4732" s="436"/>
      <c r="AS4732" s="436"/>
      <c r="AT4732" s="436"/>
      <c r="AU4732" s="436"/>
      <c r="AV4732" s="436"/>
      <c r="AW4732" s="436"/>
      <c r="AX4732" s="436"/>
      <c r="AY4732" s="436"/>
      <c r="AZ4732" s="475"/>
      <c r="BA4732" s="475"/>
      <c r="BF4732" s="1119"/>
      <c r="BG4732" s="1119"/>
      <c r="BH4732" s="1119"/>
    </row>
    <row r="4733" spans="1:60" ht="15.75" customHeight="1">
      <c r="A4733" s="436"/>
      <c r="C4733" s="436"/>
      <c r="D4733" s="436"/>
      <c r="E4733" s="436"/>
      <c r="F4733" s="436"/>
      <c r="H4733" s="467"/>
      <c r="I4733" s="467"/>
      <c r="J4733" s="469"/>
      <c r="AL4733" s="436"/>
      <c r="AM4733" s="436"/>
      <c r="AQ4733" s="436"/>
      <c r="AR4733" s="436"/>
      <c r="AS4733" s="436"/>
      <c r="AT4733" s="436"/>
      <c r="AU4733" s="436"/>
      <c r="AV4733" s="436"/>
      <c r="AW4733" s="436"/>
      <c r="AX4733" s="436"/>
      <c r="AY4733" s="436"/>
      <c r="AZ4733" s="475"/>
      <c r="BA4733" s="475"/>
      <c r="BF4733" s="1119"/>
      <c r="BG4733" s="1119"/>
      <c r="BH4733" s="1119"/>
    </row>
    <row r="4734" spans="1:60" ht="15.75" customHeight="1">
      <c r="A4734" s="436"/>
      <c r="C4734" s="436"/>
      <c r="D4734" s="436"/>
      <c r="E4734" s="436"/>
      <c r="F4734" s="436"/>
      <c r="H4734" s="467"/>
      <c r="I4734" s="467"/>
      <c r="J4734" s="469"/>
      <c r="AL4734" s="436"/>
      <c r="AM4734" s="436"/>
      <c r="AQ4734" s="436"/>
      <c r="AR4734" s="436"/>
      <c r="AS4734" s="436"/>
      <c r="AT4734" s="436"/>
      <c r="AU4734" s="436"/>
      <c r="AV4734" s="436"/>
      <c r="AW4734" s="436"/>
      <c r="AX4734" s="436"/>
      <c r="AY4734" s="436"/>
      <c r="AZ4734" s="475"/>
      <c r="BA4734" s="475"/>
      <c r="BF4734" s="1119"/>
      <c r="BG4734" s="1119"/>
      <c r="BH4734" s="1119"/>
    </row>
    <row r="4735" spans="1:60" ht="15.75" customHeight="1">
      <c r="A4735" s="436"/>
      <c r="C4735" s="436"/>
      <c r="D4735" s="436"/>
      <c r="E4735" s="436"/>
      <c r="F4735" s="436"/>
      <c r="H4735" s="467"/>
      <c r="I4735" s="467"/>
      <c r="J4735" s="469"/>
      <c r="AL4735" s="436"/>
      <c r="AM4735" s="436"/>
      <c r="AQ4735" s="436"/>
      <c r="AR4735" s="436"/>
      <c r="AS4735" s="436"/>
      <c r="AT4735" s="436"/>
      <c r="AU4735" s="436"/>
      <c r="AV4735" s="436"/>
      <c r="AW4735" s="436"/>
      <c r="AX4735" s="436"/>
      <c r="AY4735" s="436"/>
      <c r="AZ4735" s="475"/>
      <c r="BA4735" s="475"/>
      <c r="BF4735" s="1119"/>
      <c r="BG4735" s="1119"/>
      <c r="BH4735" s="1119"/>
    </row>
    <row r="4736" spans="1:60" ht="15.75" customHeight="1">
      <c r="A4736" s="436"/>
      <c r="C4736" s="436"/>
      <c r="D4736" s="436"/>
      <c r="E4736" s="436"/>
      <c r="F4736" s="436"/>
      <c r="H4736" s="467"/>
      <c r="I4736" s="467"/>
      <c r="J4736" s="469"/>
      <c r="AL4736" s="436"/>
      <c r="AM4736" s="436"/>
      <c r="AQ4736" s="436"/>
      <c r="AR4736" s="436"/>
      <c r="AS4736" s="436"/>
      <c r="AT4736" s="436"/>
      <c r="AU4736" s="436"/>
      <c r="AV4736" s="436"/>
      <c r="AW4736" s="436"/>
      <c r="AX4736" s="436"/>
      <c r="AY4736" s="436"/>
      <c r="AZ4736" s="475"/>
      <c r="BA4736" s="475"/>
      <c r="BF4736" s="1119"/>
      <c r="BG4736" s="1119"/>
      <c r="BH4736" s="1119"/>
    </row>
    <row r="4737" spans="1:60" ht="15.75" customHeight="1">
      <c r="A4737" s="436"/>
      <c r="C4737" s="436"/>
      <c r="D4737" s="436"/>
      <c r="E4737" s="436"/>
      <c r="F4737" s="436"/>
      <c r="H4737" s="467"/>
      <c r="I4737" s="467"/>
      <c r="J4737" s="469"/>
      <c r="AL4737" s="436"/>
      <c r="AM4737" s="436"/>
      <c r="AQ4737" s="436"/>
      <c r="AR4737" s="436"/>
      <c r="AS4737" s="436"/>
      <c r="AT4737" s="436"/>
      <c r="AU4737" s="436"/>
      <c r="AV4737" s="436"/>
      <c r="AW4737" s="436"/>
      <c r="AX4737" s="436"/>
      <c r="AY4737" s="436"/>
      <c r="AZ4737" s="475"/>
      <c r="BA4737" s="475"/>
      <c r="BF4737" s="1119"/>
      <c r="BG4737" s="1119"/>
      <c r="BH4737" s="1119"/>
    </row>
    <row r="4738" spans="1:60" ht="15.75" customHeight="1">
      <c r="A4738" s="436"/>
      <c r="C4738" s="436"/>
      <c r="D4738" s="436"/>
      <c r="E4738" s="436"/>
      <c r="F4738" s="436"/>
      <c r="H4738" s="467"/>
      <c r="I4738" s="467"/>
      <c r="J4738" s="469"/>
      <c r="AL4738" s="436"/>
      <c r="AM4738" s="436"/>
      <c r="AQ4738" s="436"/>
      <c r="AR4738" s="436"/>
      <c r="AS4738" s="436"/>
      <c r="AT4738" s="436"/>
      <c r="AU4738" s="436"/>
      <c r="AV4738" s="436"/>
      <c r="AW4738" s="436"/>
      <c r="AX4738" s="436"/>
      <c r="AY4738" s="436"/>
      <c r="AZ4738" s="475"/>
      <c r="BA4738" s="475"/>
      <c r="BF4738" s="1119"/>
      <c r="BG4738" s="1119"/>
      <c r="BH4738" s="1119"/>
    </row>
    <row r="4739" spans="1:60" ht="15.75" customHeight="1">
      <c r="A4739" s="436"/>
      <c r="C4739" s="436"/>
      <c r="D4739" s="436"/>
      <c r="E4739" s="436"/>
      <c r="F4739" s="436"/>
      <c r="H4739" s="467"/>
      <c r="I4739" s="467"/>
      <c r="J4739" s="469"/>
      <c r="AL4739" s="436"/>
      <c r="AM4739" s="436"/>
      <c r="AQ4739" s="436"/>
      <c r="AR4739" s="436"/>
      <c r="AS4739" s="436"/>
      <c r="AT4739" s="436"/>
      <c r="AU4739" s="436"/>
      <c r="AV4739" s="436"/>
      <c r="AW4739" s="436"/>
      <c r="AX4739" s="436"/>
      <c r="AY4739" s="436"/>
      <c r="AZ4739" s="475"/>
      <c r="BA4739" s="475"/>
      <c r="BF4739" s="1119"/>
      <c r="BG4739" s="1119"/>
      <c r="BH4739" s="1119"/>
    </row>
    <row r="4740" spans="1:60" ht="15.75" customHeight="1">
      <c r="A4740" s="436"/>
      <c r="C4740" s="436"/>
      <c r="D4740" s="436"/>
      <c r="E4740" s="436"/>
      <c r="F4740" s="436"/>
      <c r="H4740" s="467"/>
      <c r="I4740" s="467"/>
      <c r="J4740" s="469"/>
      <c r="AL4740" s="436"/>
      <c r="AM4740" s="436"/>
      <c r="AQ4740" s="436"/>
      <c r="AR4740" s="436"/>
      <c r="AS4740" s="436"/>
      <c r="AT4740" s="436"/>
      <c r="AU4740" s="436"/>
      <c r="AV4740" s="436"/>
      <c r="AW4740" s="436"/>
      <c r="AX4740" s="436"/>
      <c r="AY4740" s="436"/>
      <c r="AZ4740" s="475"/>
      <c r="BA4740" s="475"/>
      <c r="BF4740" s="1119"/>
      <c r="BG4740" s="1119"/>
      <c r="BH4740" s="1119"/>
    </row>
    <row r="4741" spans="1:60" ht="15.75" customHeight="1">
      <c r="A4741" s="436"/>
      <c r="C4741" s="436"/>
      <c r="D4741" s="436"/>
      <c r="E4741" s="436"/>
      <c r="F4741" s="436"/>
      <c r="H4741" s="467"/>
      <c r="I4741" s="467"/>
      <c r="J4741" s="469"/>
      <c r="AL4741" s="436"/>
      <c r="AM4741" s="436"/>
      <c r="AQ4741" s="436"/>
      <c r="AR4741" s="436"/>
      <c r="AS4741" s="436"/>
      <c r="AT4741" s="436"/>
      <c r="AU4741" s="436"/>
      <c r="AV4741" s="436"/>
      <c r="AW4741" s="436"/>
      <c r="AX4741" s="436"/>
      <c r="AY4741" s="436"/>
      <c r="AZ4741" s="475"/>
      <c r="BA4741" s="475"/>
      <c r="BF4741" s="1119"/>
      <c r="BG4741" s="1119"/>
      <c r="BH4741" s="1119"/>
    </row>
    <row r="4742" spans="1:60" ht="15.75" customHeight="1">
      <c r="A4742" s="436"/>
      <c r="C4742" s="436"/>
      <c r="D4742" s="436"/>
      <c r="E4742" s="436"/>
      <c r="F4742" s="436"/>
      <c r="H4742" s="467"/>
      <c r="I4742" s="467"/>
      <c r="J4742" s="469"/>
      <c r="AL4742" s="436"/>
      <c r="AM4742" s="436"/>
      <c r="AQ4742" s="436"/>
      <c r="AR4742" s="436"/>
      <c r="AS4742" s="436"/>
      <c r="AT4742" s="436"/>
      <c r="AU4742" s="436"/>
      <c r="AV4742" s="436"/>
      <c r="AW4742" s="436"/>
      <c r="AX4742" s="436"/>
      <c r="AY4742" s="436"/>
      <c r="AZ4742" s="475"/>
      <c r="BA4742" s="475"/>
      <c r="BF4742" s="1119"/>
      <c r="BG4742" s="1119"/>
      <c r="BH4742" s="1119"/>
    </row>
    <row r="4743" spans="1:60" ht="15.75" customHeight="1">
      <c r="A4743" s="436"/>
      <c r="C4743" s="436"/>
      <c r="D4743" s="436"/>
      <c r="E4743" s="436"/>
      <c r="F4743" s="436"/>
      <c r="H4743" s="467"/>
      <c r="I4743" s="467"/>
      <c r="J4743" s="469"/>
      <c r="AL4743" s="436"/>
      <c r="AM4743" s="436"/>
      <c r="AQ4743" s="436"/>
      <c r="AR4743" s="436"/>
      <c r="AS4743" s="436"/>
      <c r="AT4743" s="436"/>
      <c r="AU4743" s="436"/>
      <c r="AV4743" s="436"/>
      <c r="AW4743" s="436"/>
      <c r="AX4743" s="436"/>
      <c r="AY4743" s="436"/>
      <c r="AZ4743" s="475"/>
      <c r="BA4743" s="475"/>
      <c r="BF4743" s="1119"/>
      <c r="BG4743" s="1119"/>
      <c r="BH4743" s="1119"/>
    </row>
    <row r="4744" spans="1:60" ht="15.75" customHeight="1">
      <c r="A4744" s="436"/>
      <c r="C4744" s="436"/>
      <c r="D4744" s="436"/>
      <c r="E4744" s="436"/>
      <c r="F4744" s="436"/>
      <c r="H4744" s="467"/>
      <c r="I4744" s="467"/>
      <c r="J4744" s="469"/>
      <c r="AL4744" s="436"/>
      <c r="AM4744" s="436"/>
      <c r="AQ4744" s="436"/>
      <c r="AR4744" s="436"/>
      <c r="AS4744" s="436"/>
      <c r="AT4744" s="436"/>
      <c r="AU4744" s="436"/>
      <c r="AV4744" s="436"/>
      <c r="AW4744" s="436"/>
      <c r="AX4744" s="436"/>
      <c r="AY4744" s="436"/>
      <c r="AZ4744" s="475"/>
      <c r="BA4744" s="475"/>
      <c r="BF4744" s="1119"/>
      <c r="BG4744" s="1119"/>
      <c r="BH4744" s="1119"/>
    </row>
    <row r="4745" spans="1:60" ht="15.75" customHeight="1">
      <c r="A4745" s="436"/>
      <c r="C4745" s="436"/>
      <c r="D4745" s="436"/>
      <c r="E4745" s="436"/>
      <c r="F4745" s="436"/>
      <c r="H4745" s="467"/>
      <c r="I4745" s="467"/>
      <c r="J4745" s="469"/>
      <c r="AL4745" s="436"/>
      <c r="AM4745" s="436"/>
      <c r="AQ4745" s="436"/>
      <c r="AR4745" s="436"/>
      <c r="AS4745" s="436"/>
      <c r="AT4745" s="436"/>
      <c r="AU4745" s="436"/>
      <c r="AV4745" s="436"/>
      <c r="AW4745" s="436"/>
      <c r="AX4745" s="436"/>
      <c r="AY4745" s="436"/>
      <c r="AZ4745" s="475"/>
      <c r="BA4745" s="475"/>
      <c r="BF4745" s="1119"/>
      <c r="BG4745" s="1119"/>
      <c r="BH4745" s="1119"/>
    </row>
    <row r="4746" spans="1:60" ht="15.75" customHeight="1">
      <c r="A4746" s="436"/>
      <c r="C4746" s="436"/>
      <c r="D4746" s="436"/>
      <c r="E4746" s="436"/>
      <c r="F4746" s="436"/>
      <c r="H4746" s="467"/>
      <c r="I4746" s="467"/>
      <c r="J4746" s="469"/>
      <c r="AL4746" s="436"/>
      <c r="AM4746" s="436"/>
      <c r="AQ4746" s="436"/>
      <c r="AR4746" s="436"/>
      <c r="AS4746" s="436"/>
      <c r="AT4746" s="436"/>
      <c r="AU4746" s="436"/>
      <c r="AV4746" s="436"/>
      <c r="AW4746" s="436"/>
      <c r="AX4746" s="436"/>
      <c r="AY4746" s="436"/>
      <c r="AZ4746" s="475"/>
      <c r="BA4746" s="475"/>
      <c r="BF4746" s="1119"/>
      <c r="BG4746" s="1119"/>
      <c r="BH4746" s="1119"/>
    </row>
    <row r="4747" spans="1:60" ht="15.75" customHeight="1">
      <c r="A4747" s="436"/>
      <c r="C4747" s="436"/>
      <c r="D4747" s="436"/>
      <c r="E4747" s="436"/>
      <c r="F4747" s="436"/>
      <c r="H4747" s="467"/>
      <c r="I4747" s="467"/>
      <c r="J4747" s="469"/>
      <c r="AL4747" s="436"/>
      <c r="AM4747" s="436"/>
      <c r="AQ4747" s="436"/>
      <c r="AR4747" s="436"/>
      <c r="AS4747" s="436"/>
      <c r="AT4747" s="436"/>
      <c r="AU4747" s="436"/>
      <c r="AV4747" s="436"/>
      <c r="AW4747" s="436"/>
      <c r="AX4747" s="436"/>
      <c r="AY4747" s="436"/>
      <c r="AZ4747" s="475"/>
      <c r="BA4747" s="475"/>
      <c r="BF4747" s="1119"/>
      <c r="BG4747" s="1119"/>
      <c r="BH4747" s="1119"/>
    </row>
    <row r="4748" spans="1:60" ht="15.75" customHeight="1">
      <c r="A4748" s="436"/>
      <c r="C4748" s="436"/>
      <c r="D4748" s="436"/>
      <c r="E4748" s="436"/>
      <c r="F4748" s="436"/>
      <c r="H4748" s="467"/>
      <c r="I4748" s="467"/>
      <c r="J4748" s="469"/>
      <c r="AL4748" s="436"/>
      <c r="AM4748" s="436"/>
      <c r="AQ4748" s="436"/>
      <c r="AR4748" s="436"/>
      <c r="AS4748" s="436"/>
      <c r="AT4748" s="436"/>
      <c r="AU4748" s="436"/>
      <c r="AV4748" s="436"/>
      <c r="AW4748" s="436"/>
      <c r="AX4748" s="436"/>
      <c r="AY4748" s="436"/>
      <c r="AZ4748" s="475"/>
      <c r="BA4748" s="475"/>
      <c r="BF4748" s="1119"/>
      <c r="BG4748" s="1119"/>
      <c r="BH4748" s="1119"/>
    </row>
    <row r="4749" spans="1:60" ht="15.75" customHeight="1">
      <c r="A4749" s="436"/>
      <c r="C4749" s="436"/>
      <c r="D4749" s="436"/>
      <c r="E4749" s="436"/>
      <c r="F4749" s="436"/>
      <c r="H4749" s="467"/>
      <c r="I4749" s="467"/>
      <c r="J4749" s="469"/>
      <c r="AL4749" s="436"/>
      <c r="AM4749" s="436"/>
      <c r="AQ4749" s="436"/>
      <c r="AR4749" s="436"/>
      <c r="AS4749" s="436"/>
      <c r="AT4749" s="436"/>
      <c r="AU4749" s="436"/>
      <c r="AV4749" s="436"/>
      <c r="AW4749" s="436"/>
      <c r="AX4749" s="436"/>
      <c r="AY4749" s="436"/>
      <c r="AZ4749" s="475"/>
      <c r="BA4749" s="475"/>
      <c r="BF4749" s="1119"/>
      <c r="BG4749" s="1119"/>
      <c r="BH4749" s="1119"/>
    </row>
    <row r="4750" spans="1:60" ht="15.75" customHeight="1">
      <c r="A4750" s="436"/>
      <c r="C4750" s="436"/>
      <c r="D4750" s="436"/>
      <c r="E4750" s="436"/>
      <c r="F4750" s="436"/>
      <c r="H4750" s="467"/>
      <c r="I4750" s="467"/>
      <c r="J4750" s="469"/>
      <c r="AL4750" s="436"/>
      <c r="AM4750" s="436"/>
      <c r="AQ4750" s="436"/>
      <c r="AR4750" s="436"/>
      <c r="AS4750" s="436"/>
      <c r="AT4750" s="436"/>
      <c r="AU4750" s="436"/>
      <c r="AV4750" s="436"/>
      <c r="AW4750" s="436"/>
      <c r="AX4750" s="436"/>
      <c r="AY4750" s="436"/>
      <c r="AZ4750" s="475"/>
      <c r="BA4750" s="475"/>
      <c r="BF4750" s="1119"/>
      <c r="BG4750" s="1119"/>
      <c r="BH4750" s="1119"/>
    </row>
    <row r="4751" spans="1:60" ht="15.75" customHeight="1">
      <c r="A4751" s="436"/>
      <c r="C4751" s="436"/>
      <c r="D4751" s="436"/>
      <c r="E4751" s="436"/>
      <c r="F4751" s="436"/>
      <c r="H4751" s="467"/>
      <c r="I4751" s="467"/>
      <c r="J4751" s="469"/>
      <c r="AL4751" s="436"/>
      <c r="AM4751" s="436"/>
      <c r="AQ4751" s="436"/>
      <c r="AR4751" s="436"/>
      <c r="AS4751" s="436"/>
      <c r="AT4751" s="436"/>
      <c r="AU4751" s="436"/>
      <c r="AV4751" s="436"/>
      <c r="AW4751" s="436"/>
      <c r="AX4751" s="436"/>
      <c r="AY4751" s="436"/>
      <c r="AZ4751" s="475"/>
      <c r="BA4751" s="475"/>
      <c r="BF4751" s="1119"/>
      <c r="BG4751" s="1119"/>
      <c r="BH4751" s="1119"/>
    </row>
    <row r="4752" spans="1:60" ht="15.75" customHeight="1">
      <c r="A4752" s="436"/>
      <c r="C4752" s="436"/>
      <c r="D4752" s="436"/>
      <c r="E4752" s="436"/>
      <c r="F4752" s="436"/>
      <c r="H4752" s="467"/>
      <c r="I4752" s="467"/>
      <c r="J4752" s="469"/>
      <c r="AL4752" s="436"/>
      <c r="AM4752" s="436"/>
      <c r="AQ4752" s="436"/>
      <c r="AR4752" s="436"/>
      <c r="AS4752" s="436"/>
      <c r="AT4752" s="436"/>
      <c r="AU4752" s="436"/>
      <c r="AV4752" s="436"/>
      <c r="AW4752" s="436"/>
      <c r="AX4752" s="436"/>
      <c r="AY4752" s="436"/>
      <c r="AZ4752" s="475"/>
      <c r="BA4752" s="475"/>
      <c r="BF4752" s="1119"/>
      <c r="BG4752" s="1119"/>
      <c r="BH4752" s="1119"/>
    </row>
    <row r="4753" spans="1:60" ht="15.75" customHeight="1">
      <c r="A4753" s="436"/>
      <c r="C4753" s="436"/>
      <c r="D4753" s="436"/>
      <c r="E4753" s="436"/>
      <c r="F4753" s="436"/>
      <c r="H4753" s="467"/>
      <c r="I4753" s="467"/>
      <c r="J4753" s="469"/>
      <c r="AL4753" s="436"/>
      <c r="AM4753" s="436"/>
      <c r="AQ4753" s="436"/>
      <c r="AR4753" s="436"/>
      <c r="AS4753" s="436"/>
      <c r="AT4753" s="436"/>
      <c r="AU4753" s="436"/>
      <c r="AV4753" s="436"/>
      <c r="AW4753" s="436"/>
      <c r="AX4753" s="436"/>
      <c r="AY4753" s="436"/>
      <c r="AZ4753" s="475"/>
      <c r="BA4753" s="475"/>
      <c r="BF4753" s="1119"/>
      <c r="BG4753" s="1119"/>
      <c r="BH4753" s="1119"/>
    </row>
    <row r="4754" spans="1:60" ht="15.75" customHeight="1">
      <c r="A4754" s="436"/>
      <c r="C4754" s="436"/>
      <c r="D4754" s="436"/>
      <c r="E4754" s="436"/>
      <c r="F4754" s="436"/>
      <c r="H4754" s="467"/>
      <c r="I4754" s="467"/>
      <c r="J4754" s="469"/>
      <c r="AL4754" s="436"/>
      <c r="AM4754" s="436"/>
      <c r="AQ4754" s="436"/>
      <c r="AR4754" s="436"/>
      <c r="AS4754" s="436"/>
      <c r="AT4754" s="436"/>
      <c r="AU4754" s="436"/>
      <c r="AV4754" s="436"/>
      <c r="AW4754" s="436"/>
      <c r="AX4754" s="436"/>
      <c r="AY4754" s="436"/>
      <c r="AZ4754" s="475"/>
      <c r="BA4754" s="475"/>
      <c r="BF4754" s="1119"/>
      <c r="BG4754" s="1119"/>
      <c r="BH4754" s="1119"/>
    </row>
    <row r="4755" spans="1:60" ht="15.75" customHeight="1">
      <c r="A4755" s="436"/>
      <c r="C4755" s="436"/>
      <c r="D4755" s="436"/>
      <c r="E4755" s="436"/>
      <c r="F4755" s="436"/>
      <c r="H4755" s="467"/>
      <c r="I4755" s="467"/>
      <c r="J4755" s="469"/>
      <c r="AL4755" s="436"/>
      <c r="AM4755" s="436"/>
      <c r="AQ4755" s="436"/>
      <c r="AR4755" s="436"/>
      <c r="AS4755" s="436"/>
      <c r="AT4755" s="436"/>
      <c r="AU4755" s="436"/>
      <c r="AV4755" s="436"/>
      <c r="AW4755" s="436"/>
      <c r="AX4755" s="436"/>
      <c r="AY4755" s="436"/>
      <c r="AZ4755" s="475"/>
      <c r="BA4755" s="475"/>
      <c r="BF4755" s="1119"/>
      <c r="BG4755" s="1119"/>
      <c r="BH4755" s="1119"/>
    </row>
    <row r="4756" spans="1:60" ht="15.75" customHeight="1">
      <c r="A4756" s="436"/>
      <c r="C4756" s="436"/>
      <c r="D4756" s="436"/>
      <c r="E4756" s="436"/>
      <c r="F4756" s="436"/>
      <c r="H4756" s="467"/>
      <c r="I4756" s="467"/>
      <c r="J4756" s="469"/>
      <c r="AL4756" s="436"/>
      <c r="AM4756" s="436"/>
      <c r="AQ4756" s="436"/>
      <c r="AR4756" s="436"/>
      <c r="AS4756" s="436"/>
      <c r="AT4756" s="436"/>
      <c r="AU4756" s="436"/>
      <c r="AV4756" s="436"/>
      <c r="AW4756" s="436"/>
      <c r="AX4756" s="436"/>
      <c r="AY4756" s="436"/>
      <c r="AZ4756" s="475"/>
      <c r="BA4756" s="475"/>
      <c r="BF4756" s="1119"/>
      <c r="BG4756" s="1119"/>
      <c r="BH4756" s="1119"/>
    </row>
    <row r="4757" spans="1:60" ht="15.75" customHeight="1">
      <c r="A4757" s="436"/>
      <c r="C4757" s="436"/>
      <c r="D4757" s="436"/>
      <c r="E4757" s="436"/>
      <c r="F4757" s="436"/>
      <c r="H4757" s="467"/>
      <c r="I4757" s="467"/>
      <c r="J4757" s="469"/>
      <c r="AL4757" s="436"/>
      <c r="AM4757" s="436"/>
      <c r="AQ4757" s="436"/>
      <c r="AR4757" s="436"/>
      <c r="AS4757" s="436"/>
      <c r="AT4757" s="436"/>
      <c r="AU4757" s="436"/>
      <c r="AV4757" s="436"/>
      <c r="AW4757" s="436"/>
      <c r="AX4757" s="436"/>
      <c r="AY4757" s="436"/>
      <c r="AZ4757" s="475"/>
      <c r="BA4757" s="475"/>
      <c r="BF4757" s="1119"/>
      <c r="BG4757" s="1119"/>
      <c r="BH4757" s="1119"/>
    </row>
    <row r="4758" spans="1:60" ht="15.75" customHeight="1">
      <c r="A4758" s="436"/>
      <c r="C4758" s="436"/>
      <c r="D4758" s="436"/>
      <c r="E4758" s="436"/>
      <c r="F4758" s="436"/>
      <c r="H4758" s="467"/>
      <c r="I4758" s="467"/>
      <c r="J4758" s="469"/>
      <c r="AL4758" s="436"/>
      <c r="AM4758" s="436"/>
      <c r="AQ4758" s="436"/>
      <c r="AR4758" s="436"/>
      <c r="AS4758" s="436"/>
      <c r="AT4758" s="436"/>
      <c r="AU4758" s="436"/>
      <c r="AV4758" s="436"/>
      <c r="AW4758" s="436"/>
      <c r="AX4758" s="436"/>
      <c r="AY4758" s="436"/>
      <c r="AZ4758" s="475"/>
      <c r="BA4758" s="475"/>
      <c r="BF4758" s="1119"/>
      <c r="BG4758" s="1119"/>
      <c r="BH4758" s="1119"/>
    </row>
    <row r="4759" spans="1:60" ht="15.75" customHeight="1">
      <c r="A4759" s="436"/>
      <c r="C4759" s="436"/>
      <c r="D4759" s="436"/>
      <c r="E4759" s="436"/>
      <c r="F4759" s="436"/>
      <c r="H4759" s="467"/>
      <c r="I4759" s="467"/>
      <c r="J4759" s="469"/>
      <c r="AL4759" s="436"/>
      <c r="AM4759" s="436"/>
      <c r="AQ4759" s="436"/>
      <c r="AR4759" s="436"/>
      <c r="AS4759" s="436"/>
      <c r="AT4759" s="436"/>
      <c r="AU4759" s="436"/>
      <c r="AV4759" s="436"/>
      <c r="AW4759" s="436"/>
      <c r="AX4759" s="436"/>
      <c r="AY4759" s="436"/>
      <c r="AZ4759" s="475"/>
      <c r="BA4759" s="475"/>
      <c r="BF4759" s="1119"/>
      <c r="BG4759" s="1119"/>
      <c r="BH4759" s="1119"/>
    </row>
    <row r="4760" spans="1:60" ht="15.75" customHeight="1">
      <c r="A4760" s="436"/>
      <c r="C4760" s="436"/>
      <c r="D4760" s="436"/>
      <c r="E4760" s="436"/>
      <c r="F4760" s="436"/>
      <c r="H4760" s="467"/>
      <c r="I4760" s="467"/>
      <c r="J4760" s="469"/>
      <c r="AL4760" s="436"/>
      <c r="AM4760" s="436"/>
      <c r="AQ4760" s="436"/>
      <c r="AR4760" s="436"/>
      <c r="AS4760" s="436"/>
      <c r="AT4760" s="436"/>
      <c r="AU4760" s="436"/>
      <c r="AV4760" s="436"/>
      <c r="AW4760" s="436"/>
      <c r="AX4760" s="436"/>
      <c r="AY4760" s="436"/>
      <c r="AZ4760" s="475"/>
      <c r="BA4760" s="475"/>
      <c r="BF4760" s="1119"/>
      <c r="BG4760" s="1119"/>
      <c r="BH4760" s="1119"/>
    </row>
    <row r="4761" spans="1:60" ht="15.75" customHeight="1">
      <c r="A4761" s="436"/>
      <c r="C4761" s="436"/>
      <c r="D4761" s="436"/>
      <c r="E4761" s="436"/>
      <c r="F4761" s="436"/>
      <c r="H4761" s="467"/>
      <c r="I4761" s="467"/>
      <c r="J4761" s="469"/>
      <c r="AL4761" s="436"/>
      <c r="AM4761" s="436"/>
      <c r="AQ4761" s="436"/>
      <c r="AR4761" s="436"/>
      <c r="AS4761" s="436"/>
      <c r="AT4761" s="436"/>
      <c r="AU4761" s="436"/>
      <c r="AV4761" s="436"/>
      <c r="AW4761" s="436"/>
      <c r="AX4761" s="436"/>
      <c r="AY4761" s="436"/>
      <c r="AZ4761" s="475"/>
      <c r="BA4761" s="475"/>
      <c r="BF4761" s="1119"/>
      <c r="BG4761" s="1119"/>
      <c r="BH4761" s="1119"/>
    </row>
    <row r="4762" spans="1:60" ht="15.75" customHeight="1">
      <c r="A4762" s="436"/>
      <c r="C4762" s="436"/>
      <c r="D4762" s="436"/>
      <c r="E4762" s="436"/>
      <c r="F4762" s="436"/>
      <c r="H4762" s="467"/>
      <c r="I4762" s="467"/>
      <c r="J4762" s="469"/>
      <c r="AL4762" s="436"/>
      <c r="AM4762" s="436"/>
      <c r="AQ4762" s="436"/>
      <c r="AR4762" s="436"/>
      <c r="AS4762" s="436"/>
      <c r="AT4762" s="436"/>
      <c r="AU4762" s="436"/>
      <c r="AV4762" s="436"/>
      <c r="AW4762" s="436"/>
      <c r="AX4762" s="436"/>
      <c r="AY4762" s="436"/>
      <c r="AZ4762" s="475"/>
      <c r="BA4762" s="475"/>
      <c r="BF4762" s="1119"/>
      <c r="BG4762" s="1119"/>
      <c r="BH4762" s="1119"/>
    </row>
    <row r="4763" spans="1:60" ht="15.75" customHeight="1">
      <c r="A4763" s="436"/>
      <c r="C4763" s="436"/>
      <c r="D4763" s="436"/>
      <c r="E4763" s="436"/>
      <c r="F4763" s="436"/>
      <c r="H4763" s="467"/>
      <c r="I4763" s="467"/>
      <c r="J4763" s="469"/>
      <c r="AL4763" s="436"/>
      <c r="AM4763" s="436"/>
      <c r="AQ4763" s="436"/>
      <c r="AR4763" s="436"/>
      <c r="AS4763" s="436"/>
      <c r="AT4763" s="436"/>
      <c r="AU4763" s="436"/>
      <c r="AV4763" s="436"/>
      <c r="AW4763" s="436"/>
      <c r="AX4763" s="436"/>
      <c r="AY4763" s="436"/>
      <c r="AZ4763" s="475"/>
      <c r="BA4763" s="475"/>
      <c r="BF4763" s="1119"/>
      <c r="BG4763" s="1119"/>
      <c r="BH4763" s="1119"/>
    </row>
    <row r="4764" spans="1:60" ht="15.75" customHeight="1">
      <c r="A4764" s="436"/>
      <c r="C4764" s="436"/>
      <c r="D4764" s="436"/>
      <c r="E4764" s="436"/>
      <c r="F4764" s="436"/>
      <c r="H4764" s="467"/>
      <c r="I4764" s="467"/>
      <c r="J4764" s="469"/>
      <c r="AL4764" s="436"/>
      <c r="AM4764" s="436"/>
      <c r="AQ4764" s="436"/>
      <c r="AR4764" s="436"/>
      <c r="AS4764" s="436"/>
      <c r="AT4764" s="436"/>
      <c r="AU4764" s="436"/>
      <c r="AV4764" s="436"/>
      <c r="AW4764" s="436"/>
      <c r="AX4764" s="436"/>
      <c r="AY4764" s="436"/>
      <c r="AZ4764" s="475"/>
      <c r="BA4764" s="475"/>
      <c r="BF4764" s="1119"/>
      <c r="BG4764" s="1119"/>
      <c r="BH4764" s="1119"/>
    </row>
    <row r="4765" spans="1:60" ht="15.75" customHeight="1">
      <c r="A4765" s="436"/>
      <c r="C4765" s="436"/>
      <c r="D4765" s="436"/>
      <c r="E4765" s="436"/>
      <c r="F4765" s="436"/>
      <c r="H4765" s="467"/>
      <c r="I4765" s="467"/>
      <c r="J4765" s="469"/>
      <c r="AL4765" s="436"/>
      <c r="AM4765" s="436"/>
      <c r="AQ4765" s="436"/>
      <c r="AR4765" s="436"/>
      <c r="AS4765" s="436"/>
      <c r="AT4765" s="436"/>
      <c r="AU4765" s="436"/>
      <c r="AV4765" s="436"/>
      <c r="AW4765" s="436"/>
      <c r="AX4765" s="436"/>
      <c r="AY4765" s="436"/>
      <c r="AZ4765" s="475"/>
      <c r="BA4765" s="475"/>
      <c r="BF4765" s="1119"/>
      <c r="BG4765" s="1119"/>
      <c r="BH4765" s="1119"/>
    </row>
    <row r="4766" spans="1:60" ht="15.75" customHeight="1">
      <c r="A4766" s="436"/>
      <c r="C4766" s="436"/>
      <c r="D4766" s="436"/>
      <c r="E4766" s="436"/>
      <c r="F4766" s="436"/>
      <c r="H4766" s="467"/>
      <c r="I4766" s="467"/>
      <c r="J4766" s="469"/>
      <c r="AL4766" s="436"/>
      <c r="AM4766" s="436"/>
      <c r="AQ4766" s="436"/>
      <c r="AR4766" s="436"/>
      <c r="AS4766" s="436"/>
      <c r="AT4766" s="436"/>
      <c r="AU4766" s="436"/>
      <c r="AV4766" s="436"/>
      <c r="AW4766" s="436"/>
      <c r="AX4766" s="436"/>
      <c r="AY4766" s="436"/>
      <c r="AZ4766" s="475"/>
      <c r="BA4766" s="475"/>
      <c r="BF4766" s="1119"/>
      <c r="BG4766" s="1119"/>
      <c r="BH4766" s="1119"/>
    </row>
    <row r="4767" spans="1:60" ht="15.75" customHeight="1">
      <c r="A4767" s="436"/>
      <c r="C4767" s="436"/>
      <c r="D4767" s="436"/>
      <c r="E4767" s="436"/>
      <c r="F4767" s="436"/>
      <c r="H4767" s="467"/>
      <c r="I4767" s="467"/>
      <c r="J4767" s="469"/>
      <c r="AL4767" s="436"/>
      <c r="AM4767" s="436"/>
      <c r="AQ4767" s="436"/>
      <c r="AR4767" s="436"/>
      <c r="AS4767" s="436"/>
      <c r="AT4767" s="436"/>
      <c r="AU4767" s="436"/>
      <c r="AV4767" s="436"/>
      <c r="AW4767" s="436"/>
      <c r="AX4767" s="436"/>
      <c r="AY4767" s="436"/>
      <c r="AZ4767" s="475"/>
      <c r="BA4767" s="475"/>
      <c r="BF4767" s="1119"/>
      <c r="BG4767" s="1119"/>
      <c r="BH4767" s="1119"/>
    </row>
    <row r="4768" spans="1:60" ht="15.75" customHeight="1">
      <c r="A4768" s="436"/>
      <c r="C4768" s="436"/>
      <c r="D4768" s="436"/>
      <c r="E4768" s="436"/>
      <c r="F4768" s="436"/>
      <c r="H4768" s="467"/>
      <c r="I4768" s="467"/>
      <c r="J4768" s="469"/>
      <c r="AL4768" s="436"/>
      <c r="AM4768" s="436"/>
      <c r="AQ4768" s="436"/>
      <c r="AR4768" s="436"/>
      <c r="AS4768" s="436"/>
      <c r="AT4768" s="436"/>
      <c r="AU4768" s="436"/>
      <c r="AV4768" s="436"/>
      <c r="AW4768" s="436"/>
      <c r="AX4768" s="436"/>
      <c r="AY4768" s="436"/>
      <c r="AZ4768" s="475"/>
      <c r="BA4768" s="475"/>
      <c r="BF4768" s="1119"/>
      <c r="BG4768" s="1119"/>
      <c r="BH4768" s="1119"/>
    </row>
    <row r="4769" spans="1:60" ht="15.75" customHeight="1">
      <c r="A4769" s="436"/>
      <c r="C4769" s="436"/>
      <c r="D4769" s="436"/>
      <c r="E4769" s="436"/>
      <c r="F4769" s="436"/>
      <c r="H4769" s="467"/>
      <c r="I4769" s="467"/>
      <c r="J4769" s="469"/>
      <c r="AL4769" s="436"/>
      <c r="AM4769" s="436"/>
      <c r="AQ4769" s="436"/>
      <c r="AR4769" s="436"/>
      <c r="AS4769" s="436"/>
      <c r="AT4769" s="436"/>
      <c r="AU4769" s="436"/>
      <c r="AV4769" s="436"/>
      <c r="AW4769" s="436"/>
      <c r="AX4769" s="436"/>
      <c r="AY4769" s="436"/>
      <c r="AZ4769" s="475"/>
      <c r="BA4769" s="475"/>
      <c r="BF4769" s="1119"/>
      <c r="BG4769" s="1119"/>
      <c r="BH4769" s="1119"/>
    </row>
    <row r="4770" spans="1:60" ht="15.75" customHeight="1">
      <c r="A4770" s="436"/>
      <c r="C4770" s="436"/>
      <c r="D4770" s="436"/>
      <c r="E4770" s="436"/>
      <c r="F4770" s="436"/>
      <c r="H4770" s="467"/>
      <c r="I4770" s="467"/>
      <c r="J4770" s="469"/>
      <c r="AL4770" s="436"/>
      <c r="AM4770" s="436"/>
      <c r="AQ4770" s="436"/>
      <c r="AR4770" s="436"/>
      <c r="AS4770" s="436"/>
      <c r="AT4770" s="436"/>
      <c r="AU4770" s="436"/>
      <c r="AV4770" s="436"/>
      <c r="AW4770" s="436"/>
      <c r="AX4770" s="436"/>
      <c r="AY4770" s="436"/>
      <c r="AZ4770" s="475"/>
      <c r="BA4770" s="475"/>
      <c r="BF4770" s="1119"/>
      <c r="BG4770" s="1119"/>
      <c r="BH4770" s="1119"/>
    </row>
    <row r="4771" spans="1:60" ht="15.75" customHeight="1">
      <c r="A4771" s="436"/>
      <c r="C4771" s="436"/>
      <c r="D4771" s="436"/>
      <c r="E4771" s="436"/>
      <c r="F4771" s="436"/>
      <c r="H4771" s="467"/>
      <c r="I4771" s="467"/>
      <c r="J4771" s="469"/>
      <c r="AL4771" s="436"/>
      <c r="AM4771" s="436"/>
      <c r="AQ4771" s="436"/>
      <c r="AR4771" s="436"/>
      <c r="AS4771" s="436"/>
      <c r="AT4771" s="436"/>
      <c r="AU4771" s="436"/>
      <c r="AV4771" s="436"/>
      <c r="AW4771" s="436"/>
      <c r="AX4771" s="436"/>
      <c r="AY4771" s="436"/>
      <c r="AZ4771" s="475"/>
      <c r="BA4771" s="475"/>
      <c r="BF4771" s="1119"/>
      <c r="BG4771" s="1119"/>
      <c r="BH4771" s="1119"/>
    </row>
    <row r="4772" spans="1:60" ht="15.75" customHeight="1">
      <c r="A4772" s="436"/>
      <c r="C4772" s="436"/>
      <c r="D4772" s="436"/>
      <c r="E4772" s="436"/>
      <c r="F4772" s="436"/>
      <c r="H4772" s="467"/>
      <c r="I4772" s="467"/>
      <c r="J4772" s="469"/>
      <c r="AL4772" s="436"/>
      <c r="AM4772" s="436"/>
      <c r="AQ4772" s="436"/>
      <c r="AR4772" s="436"/>
      <c r="AS4772" s="436"/>
      <c r="AT4772" s="436"/>
      <c r="AU4772" s="436"/>
      <c r="AV4772" s="436"/>
      <c r="AW4772" s="436"/>
      <c r="AX4772" s="436"/>
      <c r="AY4772" s="436"/>
      <c r="AZ4772" s="475"/>
      <c r="BA4772" s="475"/>
      <c r="BF4772" s="1119"/>
      <c r="BG4772" s="1119"/>
      <c r="BH4772" s="1119"/>
    </row>
    <row r="4773" spans="1:60" ht="15.75" customHeight="1">
      <c r="A4773" s="436"/>
      <c r="C4773" s="436"/>
      <c r="D4773" s="436"/>
      <c r="E4773" s="436"/>
      <c r="F4773" s="436"/>
      <c r="H4773" s="467"/>
      <c r="I4773" s="467"/>
      <c r="J4773" s="469"/>
      <c r="AL4773" s="436"/>
      <c r="AM4773" s="436"/>
      <c r="AQ4773" s="436"/>
      <c r="AR4773" s="436"/>
      <c r="AS4773" s="436"/>
      <c r="AT4773" s="436"/>
      <c r="AU4773" s="436"/>
      <c r="AV4773" s="436"/>
      <c r="AW4773" s="436"/>
      <c r="AX4773" s="436"/>
      <c r="AY4773" s="436"/>
      <c r="AZ4773" s="475"/>
      <c r="BA4773" s="475"/>
      <c r="BF4773" s="1119"/>
      <c r="BG4773" s="1119"/>
      <c r="BH4773" s="1119"/>
    </row>
    <row r="4774" spans="1:60" ht="15.75" customHeight="1">
      <c r="A4774" s="436"/>
      <c r="C4774" s="436"/>
      <c r="D4774" s="436"/>
      <c r="E4774" s="436"/>
      <c r="F4774" s="436"/>
      <c r="H4774" s="467"/>
      <c r="I4774" s="467"/>
      <c r="J4774" s="469"/>
      <c r="AL4774" s="436"/>
      <c r="AM4774" s="436"/>
      <c r="AQ4774" s="436"/>
      <c r="AR4774" s="436"/>
      <c r="AS4774" s="436"/>
      <c r="AT4774" s="436"/>
      <c r="AU4774" s="436"/>
      <c r="AV4774" s="436"/>
      <c r="AW4774" s="436"/>
      <c r="AX4774" s="436"/>
      <c r="AY4774" s="436"/>
      <c r="AZ4774" s="475"/>
      <c r="BA4774" s="475"/>
      <c r="BF4774" s="1119"/>
      <c r="BG4774" s="1119"/>
      <c r="BH4774" s="1119"/>
    </row>
    <row r="4775" spans="1:60" ht="15.75" customHeight="1">
      <c r="A4775" s="436"/>
      <c r="C4775" s="436"/>
      <c r="D4775" s="436"/>
      <c r="E4775" s="436"/>
      <c r="F4775" s="436"/>
      <c r="H4775" s="467"/>
      <c r="I4775" s="467"/>
      <c r="J4775" s="469"/>
      <c r="AL4775" s="436"/>
      <c r="AM4775" s="436"/>
      <c r="AQ4775" s="436"/>
      <c r="AR4775" s="436"/>
      <c r="AS4775" s="436"/>
      <c r="AT4775" s="436"/>
      <c r="AU4775" s="436"/>
      <c r="AV4775" s="436"/>
      <c r="AW4775" s="436"/>
      <c r="AX4775" s="436"/>
      <c r="AY4775" s="436"/>
      <c r="AZ4775" s="475"/>
      <c r="BA4775" s="475"/>
      <c r="BF4775" s="1119"/>
      <c r="BG4775" s="1119"/>
      <c r="BH4775" s="1119"/>
    </row>
    <row r="4776" spans="1:60" ht="15.75" customHeight="1">
      <c r="A4776" s="436"/>
      <c r="C4776" s="436"/>
      <c r="D4776" s="436"/>
      <c r="E4776" s="436"/>
      <c r="F4776" s="436"/>
      <c r="H4776" s="467"/>
      <c r="I4776" s="467"/>
      <c r="J4776" s="469"/>
      <c r="AL4776" s="436"/>
      <c r="AM4776" s="436"/>
      <c r="AQ4776" s="436"/>
      <c r="AR4776" s="436"/>
      <c r="AS4776" s="436"/>
      <c r="AT4776" s="436"/>
      <c r="AU4776" s="436"/>
      <c r="AV4776" s="436"/>
      <c r="AW4776" s="436"/>
      <c r="AX4776" s="436"/>
      <c r="AY4776" s="436"/>
      <c r="AZ4776" s="475"/>
      <c r="BA4776" s="475"/>
      <c r="BF4776" s="1119"/>
      <c r="BG4776" s="1119"/>
      <c r="BH4776" s="1119"/>
    </row>
    <row r="4777" spans="1:60" ht="15.75" customHeight="1">
      <c r="A4777" s="436"/>
      <c r="C4777" s="436"/>
      <c r="D4777" s="436"/>
      <c r="E4777" s="436"/>
      <c r="F4777" s="436"/>
      <c r="H4777" s="467"/>
      <c r="I4777" s="467"/>
      <c r="J4777" s="469"/>
      <c r="AL4777" s="436"/>
      <c r="AM4777" s="436"/>
      <c r="AQ4777" s="436"/>
      <c r="AR4777" s="436"/>
      <c r="AS4777" s="436"/>
      <c r="AT4777" s="436"/>
      <c r="AU4777" s="436"/>
      <c r="AV4777" s="436"/>
      <c r="AW4777" s="436"/>
      <c r="AX4777" s="436"/>
      <c r="AY4777" s="436"/>
      <c r="AZ4777" s="475"/>
      <c r="BA4777" s="475"/>
      <c r="BF4777" s="1119"/>
      <c r="BG4777" s="1119"/>
      <c r="BH4777" s="1119"/>
    </row>
    <row r="4778" spans="1:60" ht="15.75" customHeight="1">
      <c r="A4778" s="436"/>
      <c r="C4778" s="436"/>
      <c r="D4778" s="436"/>
      <c r="E4778" s="436"/>
      <c r="F4778" s="436"/>
      <c r="H4778" s="467"/>
      <c r="I4778" s="467"/>
      <c r="J4778" s="469"/>
      <c r="AL4778" s="436"/>
      <c r="AM4778" s="436"/>
      <c r="AQ4778" s="436"/>
      <c r="AR4778" s="436"/>
      <c r="AS4778" s="436"/>
      <c r="AT4778" s="436"/>
      <c r="AU4778" s="436"/>
      <c r="AV4778" s="436"/>
      <c r="AW4778" s="436"/>
      <c r="AX4778" s="436"/>
      <c r="AY4778" s="436"/>
      <c r="AZ4778" s="475"/>
      <c r="BA4778" s="475"/>
      <c r="BF4778" s="1119"/>
      <c r="BG4778" s="1119"/>
      <c r="BH4778" s="1119"/>
    </row>
    <row r="4779" spans="1:60" ht="15.75" customHeight="1">
      <c r="A4779" s="436"/>
      <c r="C4779" s="436"/>
      <c r="D4779" s="436"/>
      <c r="E4779" s="436"/>
      <c r="F4779" s="436"/>
      <c r="H4779" s="467"/>
      <c r="I4779" s="467"/>
      <c r="J4779" s="469"/>
      <c r="AL4779" s="436"/>
      <c r="AM4779" s="436"/>
      <c r="AQ4779" s="436"/>
      <c r="AR4779" s="436"/>
      <c r="AS4779" s="436"/>
      <c r="AT4779" s="436"/>
      <c r="AU4779" s="436"/>
      <c r="AV4779" s="436"/>
      <c r="AW4779" s="436"/>
      <c r="AX4779" s="436"/>
      <c r="AY4779" s="436"/>
      <c r="AZ4779" s="475"/>
      <c r="BA4779" s="475"/>
      <c r="BF4779" s="1119"/>
      <c r="BG4779" s="1119"/>
      <c r="BH4779" s="1119"/>
    </row>
    <row r="4780" spans="1:60" ht="15.75" customHeight="1">
      <c r="A4780" s="436"/>
      <c r="C4780" s="436"/>
      <c r="D4780" s="436"/>
      <c r="E4780" s="436"/>
      <c r="F4780" s="436"/>
      <c r="H4780" s="467"/>
      <c r="I4780" s="467"/>
      <c r="J4780" s="469"/>
      <c r="AL4780" s="436"/>
      <c r="AM4780" s="436"/>
      <c r="AQ4780" s="436"/>
      <c r="AR4780" s="436"/>
      <c r="AS4780" s="436"/>
      <c r="AT4780" s="436"/>
      <c r="AU4780" s="436"/>
      <c r="AV4780" s="436"/>
      <c r="AW4780" s="436"/>
      <c r="AX4780" s="436"/>
      <c r="AY4780" s="436"/>
      <c r="AZ4780" s="475"/>
      <c r="BA4780" s="475"/>
      <c r="BF4780" s="1119"/>
      <c r="BG4780" s="1119"/>
      <c r="BH4780" s="1119"/>
    </row>
    <row r="4781" spans="1:60" ht="15.75" customHeight="1">
      <c r="A4781" s="436"/>
      <c r="C4781" s="436"/>
      <c r="D4781" s="436"/>
      <c r="E4781" s="436"/>
      <c r="F4781" s="436"/>
      <c r="H4781" s="467"/>
      <c r="I4781" s="467"/>
      <c r="J4781" s="469"/>
      <c r="AL4781" s="436"/>
      <c r="AM4781" s="436"/>
      <c r="AQ4781" s="436"/>
      <c r="AR4781" s="436"/>
      <c r="AS4781" s="436"/>
      <c r="AT4781" s="436"/>
      <c r="AU4781" s="436"/>
      <c r="AV4781" s="436"/>
      <c r="AW4781" s="436"/>
      <c r="AX4781" s="436"/>
      <c r="AY4781" s="436"/>
      <c r="AZ4781" s="475"/>
      <c r="BA4781" s="475"/>
      <c r="BF4781" s="1119"/>
      <c r="BG4781" s="1119"/>
      <c r="BH4781" s="1119"/>
    </row>
    <row r="4782" spans="1:60" ht="15.75" customHeight="1">
      <c r="A4782" s="436"/>
      <c r="C4782" s="436"/>
      <c r="D4782" s="436"/>
      <c r="E4782" s="436"/>
      <c r="F4782" s="436"/>
      <c r="H4782" s="467"/>
      <c r="I4782" s="467"/>
      <c r="J4782" s="469"/>
      <c r="AL4782" s="436"/>
      <c r="AM4782" s="436"/>
      <c r="AQ4782" s="436"/>
      <c r="AR4782" s="436"/>
      <c r="AS4782" s="436"/>
      <c r="AT4782" s="436"/>
      <c r="AU4782" s="436"/>
      <c r="AV4782" s="436"/>
      <c r="AW4782" s="436"/>
      <c r="AX4782" s="436"/>
      <c r="AY4782" s="436"/>
      <c r="AZ4782" s="475"/>
      <c r="BA4782" s="475"/>
      <c r="BF4782" s="1119"/>
      <c r="BG4782" s="1119"/>
      <c r="BH4782" s="1119"/>
    </row>
    <row r="4783" spans="1:60" ht="15.75" customHeight="1">
      <c r="A4783" s="436"/>
      <c r="C4783" s="436"/>
      <c r="D4783" s="436"/>
      <c r="E4783" s="436"/>
      <c r="F4783" s="436"/>
      <c r="H4783" s="467"/>
      <c r="I4783" s="467"/>
      <c r="J4783" s="469"/>
      <c r="AL4783" s="436"/>
      <c r="AM4783" s="436"/>
      <c r="AQ4783" s="436"/>
      <c r="AR4783" s="436"/>
      <c r="AS4783" s="436"/>
      <c r="AT4783" s="436"/>
      <c r="AU4783" s="436"/>
      <c r="AV4783" s="436"/>
      <c r="AW4783" s="436"/>
      <c r="AX4783" s="436"/>
      <c r="AY4783" s="436"/>
      <c r="AZ4783" s="475"/>
      <c r="BA4783" s="475"/>
      <c r="BF4783" s="1119"/>
      <c r="BG4783" s="1119"/>
      <c r="BH4783" s="1119"/>
    </row>
    <row r="4784" spans="1:60" ht="15.75" customHeight="1">
      <c r="A4784" s="436"/>
      <c r="C4784" s="436"/>
      <c r="D4784" s="436"/>
      <c r="E4784" s="436"/>
      <c r="F4784" s="436"/>
      <c r="H4784" s="467"/>
      <c r="I4784" s="467"/>
      <c r="J4784" s="469"/>
      <c r="AL4784" s="436"/>
      <c r="AM4784" s="436"/>
      <c r="AQ4784" s="436"/>
      <c r="AR4784" s="436"/>
      <c r="AS4784" s="436"/>
      <c r="AT4784" s="436"/>
      <c r="AU4784" s="436"/>
      <c r="AV4784" s="436"/>
      <c r="AW4784" s="436"/>
      <c r="AX4784" s="436"/>
      <c r="AY4784" s="436"/>
      <c r="AZ4784" s="475"/>
      <c r="BA4784" s="475"/>
      <c r="BF4784" s="1119"/>
      <c r="BG4784" s="1119"/>
      <c r="BH4784" s="1119"/>
    </row>
    <row r="4785" spans="1:60" ht="15.75" customHeight="1">
      <c r="A4785" s="436"/>
      <c r="C4785" s="436"/>
      <c r="D4785" s="436"/>
      <c r="E4785" s="436"/>
      <c r="F4785" s="436"/>
      <c r="H4785" s="467"/>
      <c r="I4785" s="467"/>
      <c r="J4785" s="469"/>
      <c r="AL4785" s="436"/>
      <c r="AM4785" s="436"/>
      <c r="AQ4785" s="436"/>
      <c r="AR4785" s="436"/>
      <c r="AS4785" s="436"/>
      <c r="AT4785" s="436"/>
      <c r="AU4785" s="436"/>
      <c r="AV4785" s="436"/>
      <c r="AW4785" s="436"/>
      <c r="AX4785" s="436"/>
      <c r="AY4785" s="436"/>
      <c r="AZ4785" s="475"/>
      <c r="BA4785" s="475"/>
      <c r="BF4785" s="1119"/>
      <c r="BG4785" s="1119"/>
      <c r="BH4785" s="1119"/>
    </row>
    <row r="4786" spans="1:60" ht="15.75" customHeight="1">
      <c r="A4786" s="436"/>
      <c r="C4786" s="436"/>
      <c r="D4786" s="436"/>
      <c r="E4786" s="436"/>
      <c r="F4786" s="436"/>
      <c r="H4786" s="467"/>
      <c r="I4786" s="467"/>
      <c r="J4786" s="469"/>
      <c r="AL4786" s="436"/>
      <c r="AM4786" s="436"/>
      <c r="AQ4786" s="436"/>
      <c r="AR4786" s="436"/>
      <c r="AS4786" s="436"/>
      <c r="AT4786" s="436"/>
      <c r="AU4786" s="436"/>
      <c r="AV4786" s="436"/>
      <c r="AW4786" s="436"/>
      <c r="AX4786" s="436"/>
      <c r="AY4786" s="436"/>
      <c r="AZ4786" s="475"/>
      <c r="BA4786" s="475"/>
      <c r="BF4786" s="1119"/>
      <c r="BG4786" s="1119"/>
      <c r="BH4786" s="1119"/>
    </row>
    <row r="4787" spans="1:60" ht="15.75" customHeight="1">
      <c r="A4787" s="436"/>
      <c r="C4787" s="436"/>
      <c r="D4787" s="436"/>
      <c r="E4787" s="436"/>
      <c r="F4787" s="436"/>
      <c r="H4787" s="467"/>
      <c r="I4787" s="467"/>
      <c r="J4787" s="469"/>
      <c r="AL4787" s="436"/>
      <c r="AM4787" s="436"/>
      <c r="AQ4787" s="436"/>
      <c r="AR4787" s="436"/>
      <c r="AS4787" s="436"/>
      <c r="AT4787" s="436"/>
      <c r="AU4787" s="436"/>
      <c r="AV4787" s="436"/>
      <c r="AW4787" s="436"/>
      <c r="AX4787" s="436"/>
      <c r="AY4787" s="436"/>
      <c r="AZ4787" s="475"/>
      <c r="BA4787" s="475"/>
      <c r="BF4787" s="1119"/>
      <c r="BG4787" s="1119"/>
      <c r="BH4787" s="1119"/>
    </row>
    <row r="4788" spans="1:60" ht="15.75" customHeight="1">
      <c r="A4788" s="436"/>
      <c r="C4788" s="436"/>
      <c r="D4788" s="436"/>
      <c r="E4788" s="436"/>
      <c r="F4788" s="436"/>
      <c r="H4788" s="467"/>
      <c r="I4788" s="467"/>
      <c r="J4788" s="469"/>
      <c r="AL4788" s="436"/>
      <c r="AM4788" s="436"/>
      <c r="AQ4788" s="436"/>
      <c r="AR4788" s="436"/>
      <c r="AS4788" s="436"/>
      <c r="AT4788" s="436"/>
      <c r="AU4788" s="436"/>
      <c r="AV4788" s="436"/>
      <c r="AW4788" s="436"/>
      <c r="AX4788" s="436"/>
      <c r="AY4788" s="436"/>
      <c r="AZ4788" s="475"/>
      <c r="BA4788" s="475"/>
      <c r="BF4788" s="1119"/>
      <c r="BG4788" s="1119"/>
      <c r="BH4788" s="1119"/>
    </row>
    <row r="4789" spans="1:60" ht="15.75" customHeight="1">
      <c r="A4789" s="436"/>
      <c r="C4789" s="436"/>
      <c r="D4789" s="436"/>
      <c r="E4789" s="436"/>
      <c r="F4789" s="436"/>
      <c r="H4789" s="467"/>
      <c r="I4789" s="467"/>
      <c r="J4789" s="469"/>
      <c r="AL4789" s="436"/>
      <c r="AM4789" s="436"/>
      <c r="AQ4789" s="436"/>
      <c r="AR4789" s="436"/>
      <c r="AS4789" s="436"/>
      <c r="AT4789" s="436"/>
      <c r="AU4789" s="436"/>
      <c r="AV4789" s="436"/>
      <c r="AW4789" s="436"/>
      <c r="AX4789" s="436"/>
      <c r="AY4789" s="436"/>
      <c r="AZ4789" s="475"/>
      <c r="BA4789" s="475"/>
      <c r="BF4789" s="1119"/>
      <c r="BG4789" s="1119"/>
      <c r="BH4789" s="1119"/>
    </row>
    <row r="4790" spans="1:60" ht="15.75" customHeight="1">
      <c r="A4790" s="436"/>
      <c r="C4790" s="436"/>
      <c r="D4790" s="436"/>
      <c r="E4790" s="436"/>
      <c r="F4790" s="436"/>
      <c r="H4790" s="467"/>
      <c r="I4790" s="467"/>
      <c r="J4790" s="469"/>
      <c r="AL4790" s="436"/>
      <c r="AM4790" s="436"/>
      <c r="AQ4790" s="436"/>
      <c r="AR4790" s="436"/>
      <c r="AS4790" s="436"/>
      <c r="AT4790" s="436"/>
      <c r="AU4790" s="436"/>
      <c r="AV4790" s="436"/>
      <c r="AW4790" s="436"/>
      <c r="AX4790" s="436"/>
      <c r="AY4790" s="436"/>
      <c r="AZ4790" s="475"/>
      <c r="BA4790" s="475"/>
      <c r="BF4790" s="1119"/>
      <c r="BG4790" s="1119"/>
      <c r="BH4790" s="1119"/>
    </row>
    <row r="4791" spans="1:60" ht="15.75" customHeight="1">
      <c r="A4791" s="436"/>
      <c r="C4791" s="436"/>
      <c r="D4791" s="436"/>
      <c r="E4791" s="436"/>
      <c r="F4791" s="436"/>
      <c r="H4791" s="467"/>
      <c r="I4791" s="467"/>
      <c r="J4791" s="469"/>
      <c r="AL4791" s="436"/>
      <c r="AM4791" s="436"/>
      <c r="AQ4791" s="436"/>
      <c r="AR4791" s="436"/>
      <c r="AS4791" s="436"/>
      <c r="AT4791" s="436"/>
      <c r="AU4791" s="436"/>
      <c r="AV4791" s="436"/>
      <c r="AW4791" s="436"/>
      <c r="AX4791" s="436"/>
      <c r="AY4791" s="436"/>
      <c r="AZ4791" s="475"/>
      <c r="BA4791" s="475"/>
      <c r="BF4791" s="1119"/>
      <c r="BG4791" s="1119"/>
      <c r="BH4791" s="1119"/>
    </row>
    <row r="4792" spans="1:60" ht="15.75" customHeight="1">
      <c r="A4792" s="436"/>
      <c r="C4792" s="436"/>
      <c r="D4792" s="436"/>
      <c r="E4792" s="436"/>
      <c r="F4792" s="436"/>
      <c r="H4792" s="467"/>
      <c r="I4792" s="467"/>
      <c r="J4792" s="469"/>
      <c r="AL4792" s="436"/>
      <c r="AM4792" s="436"/>
      <c r="AQ4792" s="436"/>
      <c r="AR4792" s="436"/>
      <c r="AS4792" s="436"/>
      <c r="AT4792" s="436"/>
      <c r="AU4792" s="436"/>
      <c r="AV4792" s="436"/>
      <c r="AW4792" s="436"/>
      <c r="AX4792" s="436"/>
      <c r="AY4792" s="436"/>
      <c r="AZ4792" s="475"/>
      <c r="BA4792" s="475"/>
      <c r="BF4792" s="1119"/>
      <c r="BG4792" s="1119"/>
      <c r="BH4792" s="1119"/>
    </row>
    <row r="4793" spans="1:60" ht="15.75" customHeight="1">
      <c r="A4793" s="436"/>
      <c r="C4793" s="436"/>
      <c r="D4793" s="436"/>
      <c r="E4793" s="436"/>
      <c r="F4793" s="436"/>
      <c r="H4793" s="467"/>
      <c r="I4793" s="467"/>
      <c r="J4793" s="469"/>
      <c r="AL4793" s="436"/>
      <c r="AM4793" s="436"/>
      <c r="AQ4793" s="436"/>
      <c r="AR4793" s="436"/>
      <c r="AS4793" s="436"/>
      <c r="AT4793" s="436"/>
      <c r="AU4793" s="436"/>
      <c r="AV4793" s="436"/>
      <c r="AW4793" s="436"/>
      <c r="AX4793" s="436"/>
      <c r="AY4793" s="436"/>
      <c r="AZ4793" s="475"/>
      <c r="BA4793" s="475"/>
      <c r="BF4793" s="1119"/>
      <c r="BG4793" s="1119"/>
      <c r="BH4793" s="1119"/>
    </row>
    <row r="4794" spans="1:60" ht="15.75" customHeight="1">
      <c r="A4794" s="436"/>
      <c r="C4794" s="436"/>
      <c r="D4794" s="436"/>
      <c r="E4794" s="436"/>
      <c r="F4794" s="436"/>
      <c r="H4794" s="467"/>
      <c r="I4794" s="467"/>
      <c r="J4794" s="469"/>
      <c r="AL4794" s="436"/>
      <c r="AM4794" s="436"/>
      <c r="AQ4794" s="436"/>
      <c r="AR4794" s="436"/>
      <c r="AS4794" s="436"/>
      <c r="AT4794" s="436"/>
      <c r="AU4794" s="436"/>
      <c r="AV4794" s="436"/>
      <c r="AW4794" s="436"/>
      <c r="AX4794" s="436"/>
      <c r="AY4794" s="436"/>
      <c r="AZ4794" s="475"/>
      <c r="BA4794" s="475"/>
      <c r="BF4794" s="1119"/>
      <c r="BG4794" s="1119"/>
      <c r="BH4794" s="1119"/>
    </row>
    <row r="4795" spans="1:60" ht="15.75" customHeight="1">
      <c r="A4795" s="436"/>
      <c r="C4795" s="436"/>
      <c r="D4795" s="436"/>
      <c r="E4795" s="436"/>
      <c r="F4795" s="436"/>
      <c r="H4795" s="467"/>
      <c r="I4795" s="467"/>
      <c r="J4795" s="469"/>
      <c r="AL4795" s="436"/>
      <c r="AM4795" s="436"/>
      <c r="AQ4795" s="436"/>
      <c r="AR4795" s="436"/>
      <c r="AS4795" s="436"/>
      <c r="AT4795" s="436"/>
      <c r="AU4795" s="436"/>
      <c r="AV4795" s="436"/>
      <c r="AW4795" s="436"/>
      <c r="AX4795" s="436"/>
      <c r="AY4795" s="436"/>
      <c r="AZ4795" s="475"/>
      <c r="BA4795" s="475"/>
      <c r="BF4795" s="1119"/>
      <c r="BG4795" s="1119"/>
      <c r="BH4795" s="1119"/>
    </row>
    <row r="4796" spans="1:60" ht="15.75" customHeight="1">
      <c r="A4796" s="436"/>
      <c r="C4796" s="436"/>
      <c r="D4796" s="436"/>
      <c r="E4796" s="436"/>
      <c r="F4796" s="436"/>
      <c r="H4796" s="467"/>
      <c r="I4796" s="467"/>
      <c r="J4796" s="469"/>
      <c r="AL4796" s="436"/>
      <c r="AM4796" s="436"/>
      <c r="AQ4796" s="436"/>
      <c r="AR4796" s="436"/>
      <c r="AS4796" s="436"/>
      <c r="AT4796" s="436"/>
      <c r="AU4796" s="436"/>
      <c r="AV4796" s="436"/>
      <c r="AW4796" s="436"/>
      <c r="AX4796" s="436"/>
      <c r="AY4796" s="436"/>
      <c r="AZ4796" s="475"/>
      <c r="BA4796" s="475"/>
      <c r="BF4796" s="1119"/>
      <c r="BG4796" s="1119"/>
      <c r="BH4796" s="1119"/>
    </row>
    <row r="4797" spans="1:60" ht="15.75" customHeight="1">
      <c r="A4797" s="436"/>
      <c r="C4797" s="436"/>
      <c r="D4797" s="436"/>
      <c r="E4797" s="436"/>
      <c r="F4797" s="436"/>
      <c r="H4797" s="467"/>
      <c r="I4797" s="467"/>
      <c r="J4797" s="469"/>
      <c r="AL4797" s="436"/>
      <c r="AM4797" s="436"/>
      <c r="AQ4797" s="436"/>
      <c r="AR4797" s="436"/>
      <c r="AS4797" s="436"/>
      <c r="AT4797" s="436"/>
      <c r="AU4797" s="436"/>
      <c r="AV4797" s="436"/>
      <c r="AW4797" s="436"/>
      <c r="AX4797" s="436"/>
      <c r="AY4797" s="436"/>
      <c r="AZ4797" s="475"/>
      <c r="BA4797" s="475"/>
      <c r="BF4797" s="1119"/>
      <c r="BG4797" s="1119"/>
      <c r="BH4797" s="1119"/>
    </row>
    <row r="4798" spans="1:60" ht="15.75" customHeight="1">
      <c r="A4798" s="436"/>
      <c r="C4798" s="436"/>
      <c r="D4798" s="436"/>
      <c r="E4798" s="436"/>
      <c r="F4798" s="436"/>
      <c r="H4798" s="467"/>
      <c r="I4798" s="467"/>
      <c r="J4798" s="469"/>
      <c r="AL4798" s="436"/>
      <c r="AM4798" s="436"/>
      <c r="AQ4798" s="436"/>
      <c r="AR4798" s="436"/>
      <c r="AS4798" s="436"/>
      <c r="AT4798" s="436"/>
      <c r="AU4798" s="436"/>
      <c r="AV4798" s="436"/>
      <c r="AW4798" s="436"/>
      <c r="AX4798" s="436"/>
      <c r="AY4798" s="436"/>
      <c r="AZ4798" s="475"/>
      <c r="BA4798" s="475"/>
      <c r="BF4798" s="1119"/>
      <c r="BG4798" s="1119"/>
      <c r="BH4798" s="1119"/>
    </row>
    <row r="4799" spans="1:60" ht="15.75" customHeight="1">
      <c r="A4799" s="436"/>
      <c r="C4799" s="436"/>
      <c r="D4799" s="436"/>
      <c r="E4799" s="436"/>
      <c r="F4799" s="436"/>
      <c r="H4799" s="467"/>
      <c r="I4799" s="467"/>
      <c r="J4799" s="469"/>
      <c r="AL4799" s="436"/>
      <c r="AM4799" s="436"/>
      <c r="AQ4799" s="436"/>
      <c r="AR4799" s="436"/>
      <c r="AS4799" s="436"/>
      <c r="AT4799" s="436"/>
      <c r="AU4799" s="436"/>
      <c r="AV4799" s="436"/>
      <c r="AW4799" s="436"/>
      <c r="AX4799" s="436"/>
      <c r="AY4799" s="436"/>
      <c r="AZ4799" s="475"/>
      <c r="BA4799" s="475"/>
      <c r="BF4799" s="1119"/>
      <c r="BG4799" s="1119"/>
      <c r="BH4799" s="1119"/>
    </row>
    <row r="4800" spans="1:60" ht="15.75" customHeight="1">
      <c r="A4800" s="436"/>
      <c r="C4800" s="436"/>
      <c r="D4800" s="436"/>
      <c r="E4800" s="436"/>
      <c r="F4800" s="436"/>
      <c r="H4800" s="467"/>
      <c r="I4800" s="467"/>
      <c r="J4800" s="469"/>
      <c r="AL4800" s="436"/>
      <c r="AM4800" s="436"/>
      <c r="AQ4800" s="436"/>
      <c r="AR4800" s="436"/>
      <c r="AS4800" s="436"/>
      <c r="AT4800" s="436"/>
      <c r="AU4800" s="436"/>
      <c r="AV4800" s="436"/>
      <c r="AW4800" s="436"/>
      <c r="AX4800" s="436"/>
      <c r="AY4800" s="436"/>
      <c r="AZ4800" s="475"/>
      <c r="BA4800" s="475"/>
      <c r="BF4800" s="1119"/>
      <c r="BG4800" s="1119"/>
      <c r="BH4800" s="1119"/>
    </row>
    <row r="4801" spans="1:60" ht="15.75" customHeight="1">
      <c r="A4801" s="436"/>
      <c r="C4801" s="436"/>
      <c r="D4801" s="436"/>
      <c r="E4801" s="436"/>
      <c r="F4801" s="436"/>
      <c r="H4801" s="467"/>
      <c r="I4801" s="467"/>
      <c r="J4801" s="469"/>
      <c r="AL4801" s="436"/>
      <c r="AM4801" s="436"/>
      <c r="AQ4801" s="436"/>
      <c r="AR4801" s="436"/>
      <c r="AS4801" s="436"/>
      <c r="AT4801" s="436"/>
      <c r="AU4801" s="436"/>
      <c r="AV4801" s="436"/>
      <c r="AW4801" s="436"/>
      <c r="AX4801" s="436"/>
      <c r="AY4801" s="436"/>
      <c r="AZ4801" s="475"/>
      <c r="BA4801" s="475"/>
      <c r="BF4801" s="1119"/>
      <c r="BG4801" s="1119"/>
      <c r="BH4801" s="1119"/>
    </row>
    <row r="4802" spans="1:60" ht="15.75" customHeight="1">
      <c r="A4802" s="436"/>
      <c r="C4802" s="436"/>
      <c r="D4802" s="436"/>
      <c r="E4802" s="436"/>
      <c r="F4802" s="436"/>
      <c r="H4802" s="467"/>
      <c r="I4802" s="467"/>
      <c r="J4802" s="469"/>
      <c r="AL4802" s="436"/>
      <c r="AM4802" s="436"/>
      <c r="AQ4802" s="436"/>
      <c r="AR4802" s="436"/>
      <c r="AS4802" s="436"/>
      <c r="AT4802" s="436"/>
      <c r="AU4802" s="436"/>
      <c r="AV4802" s="436"/>
      <c r="AW4802" s="436"/>
      <c r="AX4802" s="436"/>
      <c r="AY4802" s="436"/>
      <c r="AZ4802" s="475"/>
      <c r="BA4802" s="475"/>
      <c r="BF4802" s="1119"/>
      <c r="BG4802" s="1119"/>
      <c r="BH4802" s="1119"/>
    </row>
    <row r="4803" spans="1:60" ht="15.75" customHeight="1">
      <c r="A4803" s="436"/>
      <c r="C4803" s="436"/>
      <c r="D4803" s="436"/>
      <c r="E4803" s="436"/>
      <c r="F4803" s="436"/>
      <c r="H4803" s="467"/>
      <c r="I4803" s="467"/>
      <c r="J4803" s="469"/>
      <c r="AL4803" s="436"/>
      <c r="AM4803" s="436"/>
      <c r="AQ4803" s="436"/>
      <c r="AR4803" s="436"/>
      <c r="AS4803" s="436"/>
      <c r="AT4803" s="436"/>
      <c r="AU4803" s="436"/>
      <c r="AV4803" s="436"/>
      <c r="AW4803" s="436"/>
      <c r="AX4803" s="436"/>
      <c r="AY4803" s="436"/>
      <c r="AZ4803" s="475"/>
      <c r="BA4803" s="475"/>
      <c r="BF4803" s="1119"/>
      <c r="BG4803" s="1119"/>
      <c r="BH4803" s="1119"/>
    </row>
    <row r="4804" spans="1:60" ht="15.75" customHeight="1">
      <c r="A4804" s="436"/>
      <c r="C4804" s="436"/>
      <c r="D4804" s="436"/>
      <c r="E4804" s="436"/>
      <c r="F4804" s="436"/>
      <c r="H4804" s="467"/>
      <c r="I4804" s="467"/>
      <c r="J4804" s="469"/>
      <c r="AL4804" s="436"/>
      <c r="AM4804" s="436"/>
      <c r="AQ4804" s="436"/>
      <c r="AR4804" s="436"/>
      <c r="AS4804" s="436"/>
      <c r="AT4804" s="436"/>
      <c r="AU4804" s="436"/>
      <c r="AV4804" s="436"/>
      <c r="AW4804" s="436"/>
      <c r="AX4804" s="436"/>
      <c r="AY4804" s="436"/>
      <c r="AZ4804" s="475"/>
      <c r="BA4804" s="475"/>
      <c r="BF4804" s="1119"/>
      <c r="BG4804" s="1119"/>
      <c r="BH4804" s="1119"/>
    </row>
    <row r="4805" spans="1:60" ht="15.75" customHeight="1">
      <c r="A4805" s="436"/>
      <c r="C4805" s="436"/>
      <c r="D4805" s="436"/>
      <c r="E4805" s="436"/>
      <c r="F4805" s="436"/>
      <c r="H4805" s="467"/>
      <c r="I4805" s="467"/>
      <c r="J4805" s="469"/>
      <c r="AL4805" s="436"/>
      <c r="AM4805" s="436"/>
      <c r="AQ4805" s="436"/>
      <c r="AR4805" s="436"/>
      <c r="AS4805" s="436"/>
      <c r="AT4805" s="436"/>
      <c r="AU4805" s="436"/>
      <c r="AV4805" s="436"/>
      <c r="AW4805" s="436"/>
      <c r="AX4805" s="436"/>
      <c r="AY4805" s="436"/>
      <c r="AZ4805" s="475"/>
      <c r="BA4805" s="475"/>
      <c r="BF4805" s="1119"/>
      <c r="BG4805" s="1119"/>
      <c r="BH4805" s="1119"/>
    </row>
    <row r="4806" spans="1:60" ht="15.75" customHeight="1">
      <c r="A4806" s="436"/>
      <c r="C4806" s="436"/>
      <c r="D4806" s="436"/>
      <c r="E4806" s="436"/>
      <c r="F4806" s="436"/>
      <c r="H4806" s="467"/>
      <c r="I4806" s="467"/>
      <c r="J4806" s="469"/>
      <c r="AL4806" s="436"/>
      <c r="AM4806" s="436"/>
      <c r="AQ4806" s="436"/>
      <c r="AR4806" s="436"/>
      <c r="AS4806" s="436"/>
      <c r="AT4806" s="436"/>
      <c r="AU4806" s="436"/>
      <c r="AV4806" s="436"/>
      <c r="AW4806" s="436"/>
      <c r="AX4806" s="436"/>
      <c r="AY4806" s="436"/>
      <c r="AZ4806" s="475"/>
      <c r="BA4806" s="475"/>
      <c r="BF4806" s="1119"/>
      <c r="BG4806" s="1119"/>
      <c r="BH4806" s="1119"/>
    </row>
    <row r="4807" spans="1:60" ht="15.75" customHeight="1">
      <c r="A4807" s="436"/>
      <c r="C4807" s="436"/>
      <c r="D4807" s="436"/>
      <c r="E4807" s="436"/>
      <c r="F4807" s="436"/>
      <c r="H4807" s="467"/>
      <c r="I4807" s="467"/>
      <c r="J4807" s="469"/>
      <c r="AL4807" s="436"/>
      <c r="AM4807" s="436"/>
      <c r="AQ4807" s="436"/>
      <c r="AR4807" s="436"/>
      <c r="AS4807" s="436"/>
      <c r="AT4807" s="436"/>
      <c r="AU4807" s="436"/>
      <c r="AV4807" s="436"/>
      <c r="AW4807" s="436"/>
      <c r="AX4807" s="436"/>
      <c r="AY4807" s="436"/>
      <c r="AZ4807" s="475"/>
      <c r="BA4807" s="475"/>
      <c r="BF4807" s="1119"/>
      <c r="BG4807" s="1119"/>
      <c r="BH4807" s="1119"/>
    </row>
    <row r="4808" spans="1:60" ht="15.75" customHeight="1">
      <c r="A4808" s="436"/>
      <c r="C4808" s="436"/>
      <c r="D4808" s="436"/>
      <c r="E4808" s="436"/>
      <c r="F4808" s="436"/>
      <c r="H4808" s="467"/>
      <c r="I4808" s="467"/>
      <c r="J4808" s="469"/>
      <c r="AL4808" s="436"/>
      <c r="AM4808" s="436"/>
      <c r="AQ4808" s="436"/>
      <c r="AR4808" s="436"/>
      <c r="AS4808" s="436"/>
      <c r="AT4808" s="436"/>
      <c r="AU4808" s="436"/>
      <c r="AV4808" s="436"/>
      <c r="AW4808" s="436"/>
      <c r="AX4808" s="436"/>
      <c r="AY4808" s="436"/>
      <c r="AZ4808" s="475"/>
      <c r="BA4808" s="475"/>
      <c r="BF4808" s="1119"/>
      <c r="BG4808" s="1119"/>
      <c r="BH4808" s="1119"/>
    </row>
    <row r="4809" spans="1:60" ht="15.75" customHeight="1">
      <c r="A4809" s="436"/>
      <c r="C4809" s="436"/>
      <c r="D4809" s="436"/>
      <c r="E4809" s="436"/>
      <c r="F4809" s="436"/>
      <c r="H4809" s="467"/>
      <c r="I4809" s="467"/>
      <c r="J4809" s="469"/>
      <c r="AL4809" s="436"/>
      <c r="AM4809" s="436"/>
      <c r="AQ4809" s="436"/>
      <c r="AR4809" s="436"/>
      <c r="AS4809" s="436"/>
      <c r="AT4809" s="436"/>
      <c r="AU4809" s="436"/>
      <c r="AV4809" s="436"/>
      <c r="AW4809" s="436"/>
      <c r="AX4809" s="436"/>
      <c r="AY4809" s="436"/>
      <c r="AZ4809" s="475"/>
      <c r="BA4809" s="475"/>
      <c r="BF4809" s="1119"/>
      <c r="BG4809" s="1119"/>
      <c r="BH4809" s="1119"/>
    </row>
    <row r="4810" spans="1:60" ht="15.75" customHeight="1">
      <c r="A4810" s="436"/>
      <c r="C4810" s="436"/>
      <c r="D4810" s="436"/>
      <c r="E4810" s="436"/>
      <c r="F4810" s="436"/>
      <c r="H4810" s="467"/>
      <c r="I4810" s="467"/>
      <c r="J4810" s="469"/>
      <c r="AL4810" s="436"/>
      <c r="AM4810" s="436"/>
      <c r="AQ4810" s="436"/>
      <c r="AR4810" s="436"/>
      <c r="AS4810" s="436"/>
      <c r="AT4810" s="436"/>
      <c r="AU4810" s="436"/>
      <c r="AV4810" s="436"/>
      <c r="AW4810" s="436"/>
      <c r="AX4810" s="436"/>
      <c r="AY4810" s="436"/>
      <c r="AZ4810" s="475"/>
      <c r="BA4810" s="475"/>
      <c r="BF4810" s="1119"/>
      <c r="BG4810" s="1119"/>
      <c r="BH4810" s="1119"/>
    </row>
    <row r="4811" spans="1:60" ht="15.75" customHeight="1">
      <c r="A4811" s="436"/>
      <c r="C4811" s="436"/>
      <c r="D4811" s="436"/>
      <c r="E4811" s="436"/>
      <c r="F4811" s="436"/>
      <c r="H4811" s="467"/>
      <c r="I4811" s="467"/>
      <c r="J4811" s="469"/>
      <c r="AL4811" s="436"/>
      <c r="AM4811" s="436"/>
      <c r="AQ4811" s="436"/>
      <c r="AR4811" s="436"/>
      <c r="AS4811" s="436"/>
      <c r="AT4811" s="436"/>
      <c r="AU4811" s="436"/>
      <c r="AV4811" s="436"/>
      <c r="AW4811" s="436"/>
      <c r="AX4811" s="436"/>
      <c r="AY4811" s="436"/>
      <c r="AZ4811" s="475"/>
      <c r="BA4811" s="475"/>
      <c r="BF4811" s="1119"/>
      <c r="BG4811" s="1119"/>
      <c r="BH4811" s="1119"/>
    </row>
    <row r="4812" spans="1:60" ht="15.75" customHeight="1">
      <c r="A4812" s="436"/>
      <c r="C4812" s="436"/>
      <c r="D4812" s="436"/>
      <c r="E4812" s="436"/>
      <c r="F4812" s="436"/>
      <c r="H4812" s="467"/>
      <c r="I4812" s="467"/>
      <c r="J4812" s="469"/>
      <c r="AL4812" s="436"/>
      <c r="AM4812" s="436"/>
      <c r="AQ4812" s="436"/>
      <c r="AR4812" s="436"/>
      <c r="AS4812" s="436"/>
      <c r="AT4812" s="436"/>
      <c r="AU4812" s="436"/>
      <c r="AV4812" s="436"/>
      <c r="AW4812" s="436"/>
      <c r="AX4812" s="436"/>
      <c r="AY4812" s="436"/>
      <c r="AZ4812" s="475"/>
      <c r="BA4812" s="475"/>
      <c r="BF4812" s="1119"/>
      <c r="BG4812" s="1119"/>
      <c r="BH4812" s="1119"/>
    </row>
    <row r="4813" spans="1:60" ht="15.75" customHeight="1">
      <c r="A4813" s="436"/>
      <c r="C4813" s="436"/>
      <c r="D4813" s="436"/>
      <c r="E4813" s="436"/>
      <c r="F4813" s="436"/>
      <c r="H4813" s="467"/>
      <c r="I4813" s="467"/>
      <c r="J4813" s="469"/>
      <c r="AL4813" s="436"/>
      <c r="AM4813" s="436"/>
      <c r="AQ4813" s="436"/>
      <c r="AR4813" s="436"/>
      <c r="AS4813" s="436"/>
      <c r="AT4813" s="436"/>
      <c r="AU4813" s="436"/>
      <c r="AV4813" s="436"/>
      <c r="AW4813" s="436"/>
      <c r="AX4813" s="436"/>
      <c r="AY4813" s="436"/>
      <c r="AZ4813" s="475"/>
      <c r="BA4813" s="475"/>
      <c r="BF4813" s="1119"/>
      <c r="BG4813" s="1119"/>
      <c r="BH4813" s="1119"/>
    </row>
    <row r="4814" spans="1:60" ht="15.75" customHeight="1">
      <c r="A4814" s="436"/>
      <c r="C4814" s="436"/>
      <c r="D4814" s="436"/>
      <c r="E4814" s="436"/>
      <c r="F4814" s="436"/>
      <c r="H4814" s="467"/>
      <c r="I4814" s="467"/>
      <c r="J4814" s="469"/>
      <c r="AL4814" s="436"/>
      <c r="AM4814" s="436"/>
      <c r="AQ4814" s="436"/>
      <c r="AR4814" s="436"/>
      <c r="AS4814" s="436"/>
      <c r="AT4814" s="436"/>
      <c r="AU4814" s="436"/>
      <c r="AV4814" s="436"/>
      <c r="AW4814" s="436"/>
      <c r="AX4814" s="436"/>
      <c r="AY4814" s="436"/>
      <c r="AZ4814" s="475"/>
      <c r="BA4814" s="475"/>
      <c r="BF4814" s="1119"/>
      <c r="BG4814" s="1119"/>
      <c r="BH4814" s="1119"/>
    </row>
    <row r="4815" spans="1:60" ht="15.75" customHeight="1">
      <c r="A4815" s="436"/>
      <c r="C4815" s="436"/>
      <c r="D4815" s="436"/>
      <c r="E4815" s="436"/>
      <c r="F4815" s="436"/>
      <c r="H4815" s="467"/>
      <c r="I4815" s="467"/>
      <c r="J4815" s="469"/>
      <c r="AL4815" s="436"/>
      <c r="AM4815" s="436"/>
      <c r="AQ4815" s="436"/>
      <c r="AR4815" s="436"/>
      <c r="AS4815" s="436"/>
      <c r="AT4815" s="436"/>
      <c r="AU4815" s="436"/>
      <c r="AV4815" s="436"/>
      <c r="AW4815" s="436"/>
      <c r="AX4815" s="436"/>
      <c r="AY4815" s="436"/>
      <c r="AZ4815" s="475"/>
      <c r="BA4815" s="475"/>
      <c r="BF4815" s="1119"/>
      <c r="BG4815" s="1119"/>
      <c r="BH4815" s="1119"/>
    </row>
    <row r="4816" spans="1:60" ht="15.75" customHeight="1">
      <c r="A4816" s="436"/>
      <c r="C4816" s="436"/>
      <c r="D4816" s="436"/>
      <c r="E4816" s="436"/>
      <c r="F4816" s="436"/>
      <c r="H4816" s="467"/>
      <c r="I4816" s="467"/>
      <c r="J4816" s="469"/>
      <c r="AL4816" s="436"/>
      <c r="AM4816" s="436"/>
      <c r="AQ4816" s="436"/>
      <c r="AR4816" s="436"/>
      <c r="AS4816" s="436"/>
      <c r="AT4816" s="436"/>
      <c r="AU4816" s="436"/>
      <c r="AV4816" s="436"/>
      <c r="AW4816" s="436"/>
      <c r="AX4816" s="436"/>
      <c r="AY4816" s="436"/>
      <c r="AZ4816" s="475"/>
      <c r="BA4816" s="475"/>
      <c r="BF4816" s="1119"/>
      <c r="BG4816" s="1119"/>
      <c r="BH4816" s="1119"/>
    </row>
    <row r="4817" spans="1:60" ht="15.75" customHeight="1">
      <c r="A4817" s="436"/>
      <c r="C4817" s="436"/>
      <c r="D4817" s="436"/>
      <c r="E4817" s="436"/>
      <c r="F4817" s="436"/>
      <c r="H4817" s="467"/>
      <c r="I4817" s="467"/>
      <c r="J4817" s="469"/>
      <c r="AL4817" s="436"/>
      <c r="AM4817" s="436"/>
      <c r="AQ4817" s="436"/>
      <c r="AR4817" s="436"/>
      <c r="AS4817" s="436"/>
      <c r="AT4817" s="436"/>
      <c r="AU4817" s="436"/>
      <c r="AV4817" s="436"/>
      <c r="AW4817" s="436"/>
      <c r="AX4817" s="436"/>
      <c r="AY4817" s="436"/>
      <c r="AZ4817" s="475"/>
      <c r="BA4817" s="475"/>
      <c r="BF4817" s="1119"/>
      <c r="BG4817" s="1119"/>
      <c r="BH4817" s="1119"/>
    </row>
    <row r="4818" spans="1:60" ht="15.75" customHeight="1">
      <c r="A4818" s="436"/>
      <c r="C4818" s="436"/>
      <c r="D4818" s="436"/>
      <c r="E4818" s="436"/>
      <c r="F4818" s="436"/>
      <c r="H4818" s="467"/>
      <c r="I4818" s="467"/>
      <c r="J4818" s="469"/>
      <c r="AL4818" s="436"/>
      <c r="AM4818" s="436"/>
      <c r="AQ4818" s="436"/>
      <c r="AR4818" s="436"/>
      <c r="AS4818" s="436"/>
      <c r="AT4818" s="436"/>
      <c r="AU4818" s="436"/>
      <c r="AV4818" s="436"/>
      <c r="AW4818" s="436"/>
      <c r="AX4818" s="436"/>
      <c r="AY4818" s="436"/>
      <c r="AZ4818" s="475"/>
      <c r="BA4818" s="475"/>
      <c r="BF4818" s="1119"/>
      <c r="BG4818" s="1119"/>
      <c r="BH4818" s="1119"/>
    </row>
    <row r="4819" spans="1:60" ht="15.75" customHeight="1">
      <c r="A4819" s="436"/>
      <c r="C4819" s="436"/>
      <c r="D4819" s="436"/>
      <c r="E4819" s="436"/>
      <c r="F4819" s="436"/>
      <c r="H4819" s="467"/>
      <c r="I4819" s="467"/>
      <c r="J4819" s="469"/>
      <c r="AL4819" s="436"/>
      <c r="AM4819" s="436"/>
      <c r="AQ4819" s="436"/>
      <c r="AR4819" s="436"/>
      <c r="AS4819" s="436"/>
      <c r="AT4819" s="436"/>
      <c r="AU4819" s="436"/>
      <c r="AV4819" s="436"/>
      <c r="AW4819" s="436"/>
      <c r="AX4819" s="436"/>
      <c r="AY4819" s="436"/>
      <c r="AZ4819" s="475"/>
      <c r="BA4819" s="475"/>
      <c r="BF4819" s="1119"/>
      <c r="BG4819" s="1119"/>
      <c r="BH4819" s="1119"/>
    </row>
    <row r="4820" spans="1:60" ht="15.75" customHeight="1">
      <c r="A4820" s="436"/>
      <c r="C4820" s="436"/>
      <c r="D4820" s="436"/>
      <c r="E4820" s="436"/>
      <c r="F4820" s="436"/>
      <c r="H4820" s="467"/>
      <c r="I4820" s="467"/>
      <c r="J4820" s="469"/>
      <c r="AL4820" s="436"/>
      <c r="AM4820" s="436"/>
      <c r="AQ4820" s="436"/>
      <c r="AR4820" s="436"/>
      <c r="AS4820" s="436"/>
      <c r="AT4820" s="436"/>
      <c r="AU4820" s="436"/>
      <c r="AV4820" s="436"/>
      <c r="AW4820" s="436"/>
      <c r="AX4820" s="436"/>
      <c r="AY4820" s="436"/>
      <c r="AZ4820" s="475"/>
      <c r="BA4820" s="475"/>
      <c r="BF4820" s="1119"/>
      <c r="BG4820" s="1119"/>
      <c r="BH4820" s="1119"/>
    </row>
    <row r="4821" spans="1:60" ht="15.75" customHeight="1">
      <c r="A4821" s="436"/>
      <c r="C4821" s="436"/>
      <c r="D4821" s="436"/>
      <c r="E4821" s="436"/>
      <c r="F4821" s="436"/>
      <c r="H4821" s="467"/>
      <c r="I4821" s="467"/>
      <c r="J4821" s="469"/>
      <c r="AL4821" s="436"/>
      <c r="AM4821" s="436"/>
      <c r="AQ4821" s="436"/>
      <c r="AR4821" s="436"/>
      <c r="AS4821" s="436"/>
      <c r="AT4821" s="436"/>
      <c r="AU4821" s="436"/>
      <c r="AV4821" s="436"/>
      <c r="AW4821" s="436"/>
      <c r="AX4821" s="436"/>
      <c r="AY4821" s="436"/>
      <c r="AZ4821" s="475"/>
      <c r="BA4821" s="475"/>
      <c r="BF4821" s="1119"/>
      <c r="BG4821" s="1119"/>
      <c r="BH4821" s="1119"/>
    </row>
    <row r="4822" spans="1:60" ht="15.75" customHeight="1">
      <c r="A4822" s="436"/>
      <c r="C4822" s="436"/>
      <c r="D4822" s="436"/>
      <c r="E4822" s="436"/>
      <c r="F4822" s="436"/>
      <c r="H4822" s="467"/>
      <c r="I4822" s="467"/>
      <c r="J4822" s="469"/>
      <c r="AL4822" s="436"/>
      <c r="AM4822" s="436"/>
      <c r="AQ4822" s="436"/>
      <c r="AR4822" s="436"/>
      <c r="AS4822" s="436"/>
      <c r="AT4822" s="436"/>
      <c r="AU4822" s="436"/>
      <c r="AV4822" s="436"/>
      <c r="AW4822" s="436"/>
      <c r="AX4822" s="436"/>
      <c r="AY4822" s="436"/>
      <c r="AZ4822" s="475"/>
      <c r="BA4822" s="475"/>
      <c r="BF4822" s="1119"/>
      <c r="BG4822" s="1119"/>
      <c r="BH4822" s="1119"/>
    </row>
    <row r="4823" spans="1:60" ht="15.75" customHeight="1">
      <c r="A4823" s="436"/>
      <c r="C4823" s="436"/>
      <c r="D4823" s="436"/>
      <c r="E4823" s="436"/>
      <c r="F4823" s="436"/>
      <c r="H4823" s="467"/>
      <c r="I4823" s="467"/>
      <c r="J4823" s="469"/>
      <c r="AL4823" s="436"/>
      <c r="AM4823" s="436"/>
      <c r="AQ4823" s="436"/>
      <c r="AR4823" s="436"/>
      <c r="AS4823" s="436"/>
      <c r="AT4823" s="436"/>
      <c r="AU4823" s="436"/>
      <c r="AV4823" s="436"/>
      <c r="AW4823" s="436"/>
      <c r="AX4823" s="436"/>
      <c r="AY4823" s="436"/>
      <c r="AZ4823" s="475"/>
      <c r="BA4823" s="475"/>
      <c r="BF4823" s="1119"/>
      <c r="BG4823" s="1119"/>
      <c r="BH4823" s="1119"/>
    </row>
    <row r="4824" spans="1:60" ht="15.75" customHeight="1">
      <c r="A4824" s="436"/>
      <c r="C4824" s="436"/>
      <c r="D4824" s="436"/>
      <c r="E4824" s="436"/>
      <c r="F4824" s="436"/>
      <c r="H4824" s="467"/>
      <c r="I4824" s="467"/>
      <c r="J4824" s="469"/>
      <c r="AL4824" s="436"/>
      <c r="AM4824" s="436"/>
      <c r="AQ4824" s="436"/>
      <c r="AR4824" s="436"/>
      <c r="AS4824" s="436"/>
      <c r="AT4824" s="436"/>
      <c r="AU4824" s="436"/>
      <c r="AV4824" s="436"/>
      <c r="AW4824" s="436"/>
      <c r="AX4824" s="436"/>
      <c r="AY4824" s="436"/>
      <c r="AZ4824" s="475"/>
      <c r="BA4824" s="475"/>
      <c r="BF4824" s="1119"/>
      <c r="BG4824" s="1119"/>
      <c r="BH4824" s="1119"/>
    </row>
    <row r="4825" spans="1:60" ht="15.75" customHeight="1">
      <c r="A4825" s="436"/>
      <c r="C4825" s="436"/>
      <c r="D4825" s="436"/>
      <c r="E4825" s="436"/>
      <c r="F4825" s="436"/>
      <c r="H4825" s="467"/>
      <c r="I4825" s="467"/>
      <c r="J4825" s="469"/>
      <c r="AL4825" s="436"/>
      <c r="AM4825" s="436"/>
      <c r="AQ4825" s="436"/>
      <c r="AR4825" s="436"/>
      <c r="AS4825" s="436"/>
      <c r="AT4825" s="436"/>
      <c r="AU4825" s="436"/>
      <c r="AV4825" s="436"/>
      <c r="AW4825" s="436"/>
      <c r="AX4825" s="436"/>
      <c r="AY4825" s="436"/>
      <c r="AZ4825" s="475"/>
      <c r="BA4825" s="475"/>
      <c r="BF4825" s="1119"/>
      <c r="BG4825" s="1119"/>
      <c r="BH4825" s="1119"/>
    </row>
    <row r="4826" spans="1:60" ht="15.75" customHeight="1">
      <c r="A4826" s="436"/>
      <c r="C4826" s="436"/>
      <c r="D4826" s="436"/>
      <c r="E4826" s="436"/>
      <c r="F4826" s="436"/>
      <c r="H4826" s="467"/>
      <c r="I4826" s="467"/>
      <c r="J4826" s="469"/>
      <c r="AL4826" s="436"/>
      <c r="AM4826" s="436"/>
      <c r="AQ4826" s="436"/>
      <c r="AR4826" s="436"/>
      <c r="AS4826" s="436"/>
      <c r="AT4826" s="436"/>
      <c r="AU4826" s="436"/>
      <c r="AV4826" s="436"/>
      <c r="AW4826" s="436"/>
      <c r="AX4826" s="436"/>
      <c r="AY4826" s="436"/>
      <c r="AZ4826" s="475"/>
      <c r="BA4826" s="475"/>
      <c r="BF4826" s="1119"/>
      <c r="BG4826" s="1119"/>
      <c r="BH4826" s="1119"/>
    </row>
    <row r="4827" spans="1:60" ht="15.75" customHeight="1">
      <c r="A4827" s="436"/>
      <c r="C4827" s="436"/>
      <c r="D4827" s="436"/>
      <c r="E4827" s="436"/>
      <c r="F4827" s="436"/>
      <c r="H4827" s="467"/>
      <c r="I4827" s="467"/>
      <c r="J4827" s="469"/>
      <c r="AL4827" s="436"/>
      <c r="AM4827" s="436"/>
      <c r="AQ4827" s="436"/>
      <c r="AR4827" s="436"/>
      <c r="AS4827" s="436"/>
      <c r="AT4827" s="436"/>
      <c r="AU4827" s="436"/>
      <c r="AV4827" s="436"/>
      <c r="AW4827" s="436"/>
      <c r="AX4827" s="436"/>
      <c r="AY4827" s="436"/>
      <c r="AZ4827" s="475"/>
      <c r="BA4827" s="475"/>
      <c r="BF4827" s="1119"/>
      <c r="BG4827" s="1119"/>
      <c r="BH4827" s="1119"/>
    </row>
    <row r="4828" spans="1:60" ht="15.75" customHeight="1">
      <c r="A4828" s="436"/>
      <c r="C4828" s="436"/>
      <c r="D4828" s="436"/>
      <c r="E4828" s="436"/>
      <c r="F4828" s="436"/>
      <c r="H4828" s="467"/>
      <c r="I4828" s="467"/>
      <c r="J4828" s="469"/>
      <c r="AL4828" s="436"/>
      <c r="AM4828" s="436"/>
      <c r="AQ4828" s="436"/>
      <c r="AR4828" s="436"/>
      <c r="AS4828" s="436"/>
      <c r="AT4828" s="436"/>
      <c r="AU4828" s="436"/>
      <c r="AV4828" s="436"/>
      <c r="AW4828" s="436"/>
      <c r="AX4828" s="436"/>
      <c r="AY4828" s="436"/>
      <c r="AZ4828" s="475"/>
      <c r="BA4828" s="475"/>
      <c r="BF4828" s="1119"/>
      <c r="BG4828" s="1119"/>
      <c r="BH4828" s="1119"/>
    </row>
    <row r="4829" spans="1:60" ht="15.75" customHeight="1">
      <c r="A4829" s="436"/>
      <c r="C4829" s="436"/>
      <c r="D4829" s="436"/>
      <c r="E4829" s="436"/>
      <c r="F4829" s="436"/>
      <c r="H4829" s="467"/>
      <c r="I4829" s="467"/>
      <c r="J4829" s="469"/>
      <c r="AL4829" s="436"/>
      <c r="AM4829" s="436"/>
      <c r="AQ4829" s="436"/>
      <c r="AR4829" s="436"/>
      <c r="AS4829" s="436"/>
      <c r="AT4829" s="436"/>
      <c r="AU4829" s="436"/>
      <c r="AV4829" s="436"/>
      <c r="AW4829" s="436"/>
      <c r="AX4829" s="436"/>
      <c r="AY4829" s="436"/>
      <c r="AZ4829" s="475"/>
      <c r="BA4829" s="475"/>
      <c r="BF4829" s="1119"/>
      <c r="BG4829" s="1119"/>
      <c r="BH4829" s="1119"/>
    </row>
    <row r="4830" spans="1:60" ht="15.75" customHeight="1">
      <c r="A4830" s="436"/>
      <c r="C4830" s="436"/>
      <c r="D4830" s="436"/>
      <c r="E4830" s="436"/>
      <c r="F4830" s="436"/>
      <c r="H4830" s="467"/>
      <c r="I4830" s="467"/>
      <c r="J4830" s="469"/>
      <c r="AL4830" s="436"/>
      <c r="AM4830" s="436"/>
      <c r="AQ4830" s="436"/>
      <c r="AR4830" s="436"/>
      <c r="AS4830" s="436"/>
      <c r="AT4830" s="436"/>
      <c r="AU4830" s="436"/>
      <c r="AV4830" s="436"/>
      <c r="AW4830" s="436"/>
      <c r="AX4830" s="436"/>
      <c r="AY4830" s="436"/>
      <c r="AZ4830" s="475"/>
      <c r="BA4830" s="475"/>
      <c r="BF4830" s="1119"/>
      <c r="BG4830" s="1119"/>
      <c r="BH4830" s="1119"/>
    </row>
    <row r="4831" spans="1:60" ht="15.75" customHeight="1">
      <c r="A4831" s="436"/>
      <c r="C4831" s="436"/>
      <c r="D4831" s="436"/>
      <c r="E4831" s="436"/>
      <c r="F4831" s="436"/>
      <c r="H4831" s="467"/>
      <c r="I4831" s="467"/>
      <c r="J4831" s="469"/>
      <c r="AL4831" s="436"/>
      <c r="AM4831" s="436"/>
      <c r="AQ4831" s="436"/>
      <c r="AR4831" s="436"/>
      <c r="AS4831" s="436"/>
      <c r="AT4831" s="436"/>
      <c r="AU4831" s="436"/>
      <c r="AV4831" s="436"/>
      <c r="AW4831" s="436"/>
      <c r="AX4831" s="436"/>
      <c r="AY4831" s="436"/>
      <c r="AZ4831" s="475"/>
      <c r="BA4831" s="475"/>
      <c r="BF4831" s="1119"/>
      <c r="BG4831" s="1119"/>
      <c r="BH4831" s="1119"/>
    </row>
    <row r="4832" spans="1:60" ht="15.75" customHeight="1">
      <c r="A4832" s="436"/>
      <c r="C4832" s="436"/>
      <c r="D4832" s="436"/>
      <c r="E4832" s="436"/>
      <c r="F4832" s="436"/>
      <c r="H4832" s="467"/>
      <c r="I4832" s="467"/>
      <c r="J4832" s="469"/>
      <c r="AL4832" s="436"/>
      <c r="AM4832" s="436"/>
      <c r="AQ4832" s="436"/>
      <c r="AR4832" s="436"/>
      <c r="AS4832" s="436"/>
      <c r="AT4832" s="436"/>
      <c r="AU4832" s="436"/>
      <c r="AV4832" s="436"/>
      <c r="AW4832" s="436"/>
      <c r="AX4832" s="436"/>
      <c r="AY4832" s="436"/>
      <c r="AZ4832" s="475"/>
      <c r="BA4832" s="475"/>
      <c r="BF4832" s="1119"/>
      <c r="BG4832" s="1119"/>
      <c r="BH4832" s="1119"/>
    </row>
    <row r="4833" spans="1:60" ht="15.75" customHeight="1">
      <c r="A4833" s="436"/>
      <c r="C4833" s="436"/>
      <c r="D4833" s="436"/>
      <c r="E4833" s="436"/>
      <c r="F4833" s="436"/>
      <c r="H4833" s="467"/>
      <c r="I4833" s="467"/>
      <c r="J4833" s="469"/>
      <c r="AL4833" s="436"/>
      <c r="AM4833" s="436"/>
      <c r="AQ4833" s="436"/>
      <c r="AR4833" s="436"/>
      <c r="AS4833" s="436"/>
      <c r="AT4833" s="436"/>
      <c r="AU4833" s="436"/>
      <c r="AV4833" s="436"/>
      <c r="AW4833" s="436"/>
      <c r="AX4833" s="436"/>
      <c r="AY4833" s="436"/>
      <c r="AZ4833" s="475"/>
      <c r="BA4833" s="475"/>
      <c r="BF4833" s="1119"/>
      <c r="BG4833" s="1119"/>
      <c r="BH4833" s="1119"/>
    </row>
    <row r="4834" spans="1:60" ht="15.75" customHeight="1">
      <c r="A4834" s="436"/>
      <c r="C4834" s="436"/>
      <c r="D4834" s="436"/>
      <c r="E4834" s="436"/>
      <c r="F4834" s="436"/>
      <c r="H4834" s="467"/>
      <c r="I4834" s="467"/>
      <c r="J4834" s="469"/>
      <c r="AL4834" s="436"/>
      <c r="AM4834" s="436"/>
      <c r="AQ4834" s="436"/>
      <c r="AR4834" s="436"/>
      <c r="AS4834" s="436"/>
      <c r="AT4834" s="436"/>
      <c r="AU4834" s="436"/>
      <c r="AV4834" s="436"/>
      <c r="AW4834" s="436"/>
      <c r="AX4834" s="436"/>
      <c r="AY4834" s="436"/>
      <c r="AZ4834" s="475"/>
      <c r="BA4834" s="475"/>
      <c r="BF4834" s="1119"/>
      <c r="BG4834" s="1119"/>
      <c r="BH4834" s="1119"/>
    </row>
    <row r="4835" spans="1:60" ht="15.75" customHeight="1">
      <c r="A4835" s="436"/>
      <c r="C4835" s="436"/>
      <c r="D4835" s="436"/>
      <c r="E4835" s="436"/>
      <c r="F4835" s="436"/>
      <c r="H4835" s="467"/>
      <c r="I4835" s="467"/>
      <c r="J4835" s="469"/>
      <c r="AL4835" s="436"/>
      <c r="AM4835" s="436"/>
      <c r="AQ4835" s="436"/>
      <c r="AR4835" s="436"/>
      <c r="AS4835" s="436"/>
      <c r="AT4835" s="436"/>
      <c r="AU4835" s="436"/>
      <c r="AV4835" s="436"/>
      <c r="AW4835" s="436"/>
      <c r="AX4835" s="436"/>
      <c r="AY4835" s="436"/>
      <c r="AZ4835" s="475"/>
      <c r="BA4835" s="475"/>
      <c r="BF4835" s="1119"/>
      <c r="BG4835" s="1119"/>
      <c r="BH4835" s="1119"/>
    </row>
    <row r="4836" spans="1:60" ht="15.75" customHeight="1">
      <c r="A4836" s="436"/>
      <c r="C4836" s="436"/>
      <c r="D4836" s="436"/>
      <c r="E4836" s="436"/>
      <c r="F4836" s="436"/>
      <c r="H4836" s="467"/>
      <c r="I4836" s="467"/>
      <c r="J4836" s="469"/>
      <c r="AL4836" s="436"/>
      <c r="AM4836" s="436"/>
      <c r="AQ4836" s="436"/>
      <c r="AR4836" s="436"/>
      <c r="AS4836" s="436"/>
      <c r="AT4836" s="436"/>
      <c r="AU4836" s="436"/>
      <c r="AV4836" s="436"/>
      <c r="AW4836" s="436"/>
      <c r="AX4836" s="436"/>
      <c r="AY4836" s="436"/>
      <c r="AZ4836" s="475"/>
      <c r="BA4836" s="475"/>
      <c r="BF4836" s="1119"/>
      <c r="BG4836" s="1119"/>
      <c r="BH4836" s="1119"/>
    </row>
    <row r="4837" spans="1:60" ht="15.75" customHeight="1">
      <c r="A4837" s="436"/>
      <c r="C4837" s="436"/>
      <c r="D4837" s="436"/>
      <c r="E4837" s="436"/>
      <c r="F4837" s="436"/>
      <c r="H4837" s="467"/>
      <c r="I4837" s="467"/>
      <c r="J4837" s="469"/>
      <c r="AL4837" s="436"/>
      <c r="AM4837" s="436"/>
      <c r="AQ4837" s="436"/>
      <c r="AR4837" s="436"/>
      <c r="AS4837" s="436"/>
      <c r="AT4837" s="436"/>
      <c r="AU4837" s="436"/>
      <c r="AV4837" s="436"/>
      <c r="AW4837" s="436"/>
      <c r="AX4837" s="436"/>
      <c r="AY4837" s="436"/>
      <c r="AZ4837" s="475"/>
      <c r="BA4837" s="475"/>
      <c r="BF4837" s="1119"/>
      <c r="BG4837" s="1119"/>
      <c r="BH4837" s="1119"/>
    </row>
    <row r="4838" spans="1:60" ht="15.75" customHeight="1">
      <c r="A4838" s="436"/>
      <c r="C4838" s="436"/>
      <c r="D4838" s="436"/>
      <c r="E4838" s="436"/>
      <c r="F4838" s="436"/>
      <c r="H4838" s="467"/>
      <c r="I4838" s="467"/>
      <c r="J4838" s="469"/>
      <c r="AL4838" s="436"/>
      <c r="AM4838" s="436"/>
      <c r="AQ4838" s="436"/>
      <c r="AR4838" s="436"/>
      <c r="AS4838" s="436"/>
      <c r="AT4838" s="436"/>
      <c r="AU4838" s="436"/>
      <c r="AV4838" s="436"/>
      <c r="AW4838" s="436"/>
      <c r="AX4838" s="436"/>
      <c r="AY4838" s="436"/>
      <c r="AZ4838" s="475"/>
      <c r="BA4838" s="475"/>
      <c r="BF4838" s="1119"/>
      <c r="BG4838" s="1119"/>
      <c r="BH4838" s="1119"/>
    </row>
    <row r="4839" spans="1:60" ht="15.75" customHeight="1">
      <c r="A4839" s="436"/>
      <c r="C4839" s="436"/>
      <c r="D4839" s="436"/>
      <c r="E4839" s="436"/>
      <c r="F4839" s="436"/>
      <c r="H4839" s="467"/>
      <c r="I4839" s="467"/>
      <c r="J4839" s="469"/>
      <c r="AL4839" s="436"/>
      <c r="AM4839" s="436"/>
      <c r="AQ4839" s="436"/>
      <c r="AR4839" s="436"/>
      <c r="AS4839" s="436"/>
      <c r="AT4839" s="436"/>
      <c r="AU4839" s="436"/>
      <c r="AV4839" s="436"/>
      <c r="AW4839" s="436"/>
      <c r="AX4839" s="436"/>
      <c r="AY4839" s="436"/>
      <c r="AZ4839" s="475"/>
      <c r="BA4839" s="475"/>
      <c r="BF4839" s="1119"/>
      <c r="BG4839" s="1119"/>
      <c r="BH4839" s="1119"/>
    </row>
    <row r="4840" spans="1:60" ht="15.75" customHeight="1">
      <c r="A4840" s="436"/>
      <c r="C4840" s="436"/>
      <c r="D4840" s="436"/>
      <c r="E4840" s="436"/>
      <c r="F4840" s="436"/>
      <c r="H4840" s="467"/>
      <c r="I4840" s="467"/>
      <c r="J4840" s="469"/>
      <c r="AL4840" s="436"/>
      <c r="AM4840" s="436"/>
      <c r="AQ4840" s="436"/>
      <c r="AR4840" s="436"/>
      <c r="AS4840" s="436"/>
      <c r="AT4840" s="436"/>
      <c r="AU4840" s="436"/>
      <c r="AV4840" s="436"/>
      <c r="AW4840" s="436"/>
      <c r="AX4840" s="436"/>
      <c r="AY4840" s="436"/>
      <c r="AZ4840" s="475"/>
      <c r="BA4840" s="475"/>
      <c r="BF4840" s="1119"/>
      <c r="BG4840" s="1119"/>
      <c r="BH4840" s="1119"/>
    </row>
    <row r="4841" spans="1:60" ht="15.75" customHeight="1">
      <c r="A4841" s="436"/>
      <c r="C4841" s="436"/>
      <c r="D4841" s="436"/>
      <c r="E4841" s="436"/>
      <c r="F4841" s="436"/>
      <c r="H4841" s="467"/>
      <c r="I4841" s="467"/>
      <c r="J4841" s="469"/>
      <c r="AL4841" s="436"/>
      <c r="AM4841" s="436"/>
      <c r="AQ4841" s="436"/>
      <c r="AR4841" s="436"/>
      <c r="AS4841" s="436"/>
      <c r="AT4841" s="436"/>
      <c r="AU4841" s="436"/>
      <c r="AV4841" s="436"/>
      <c r="AW4841" s="436"/>
      <c r="AX4841" s="436"/>
      <c r="AY4841" s="436"/>
      <c r="AZ4841" s="475"/>
      <c r="BA4841" s="475"/>
      <c r="BF4841" s="1119"/>
      <c r="BG4841" s="1119"/>
      <c r="BH4841" s="1119"/>
    </row>
    <row r="4842" spans="1:60" ht="15.75" customHeight="1">
      <c r="A4842" s="436"/>
      <c r="C4842" s="436"/>
      <c r="D4842" s="436"/>
      <c r="E4842" s="436"/>
      <c r="F4842" s="436"/>
      <c r="H4842" s="467"/>
      <c r="I4842" s="467"/>
      <c r="J4842" s="469"/>
      <c r="AL4842" s="436"/>
      <c r="AM4842" s="436"/>
      <c r="AQ4842" s="436"/>
      <c r="AR4842" s="436"/>
      <c r="AS4842" s="436"/>
      <c r="AT4842" s="436"/>
      <c r="AU4842" s="436"/>
      <c r="AV4842" s="436"/>
      <c r="AW4842" s="436"/>
      <c r="AX4842" s="436"/>
      <c r="AY4842" s="436"/>
      <c r="AZ4842" s="475"/>
      <c r="BA4842" s="475"/>
      <c r="BF4842" s="1119"/>
      <c r="BG4842" s="1119"/>
      <c r="BH4842" s="1119"/>
    </row>
    <row r="4843" spans="1:60" ht="15.75" customHeight="1">
      <c r="A4843" s="436"/>
      <c r="C4843" s="436"/>
      <c r="D4843" s="436"/>
      <c r="E4843" s="436"/>
      <c r="F4843" s="436"/>
      <c r="H4843" s="467"/>
      <c r="I4843" s="467"/>
      <c r="J4843" s="469"/>
      <c r="AL4843" s="436"/>
      <c r="AM4843" s="436"/>
      <c r="AQ4843" s="436"/>
      <c r="AR4843" s="436"/>
      <c r="AS4843" s="436"/>
      <c r="AT4843" s="436"/>
      <c r="AU4843" s="436"/>
      <c r="AV4843" s="436"/>
      <c r="AW4843" s="436"/>
      <c r="AX4843" s="436"/>
      <c r="AY4843" s="436"/>
      <c r="AZ4843" s="475"/>
      <c r="BA4843" s="475"/>
      <c r="BF4843" s="1119"/>
      <c r="BG4843" s="1119"/>
      <c r="BH4843" s="1119"/>
    </row>
    <row r="4844" spans="1:60" ht="15.75" customHeight="1">
      <c r="A4844" s="436"/>
      <c r="C4844" s="436"/>
      <c r="D4844" s="436"/>
      <c r="E4844" s="436"/>
      <c r="F4844" s="436"/>
      <c r="H4844" s="467"/>
      <c r="I4844" s="467"/>
      <c r="J4844" s="469"/>
      <c r="AL4844" s="436"/>
      <c r="AM4844" s="436"/>
      <c r="AQ4844" s="436"/>
      <c r="AR4844" s="436"/>
      <c r="AS4844" s="436"/>
      <c r="AT4844" s="436"/>
      <c r="AU4844" s="436"/>
      <c r="AV4844" s="436"/>
      <c r="AW4844" s="436"/>
      <c r="AX4844" s="436"/>
      <c r="AY4844" s="436"/>
      <c r="AZ4844" s="475"/>
      <c r="BA4844" s="475"/>
      <c r="BF4844" s="1119"/>
      <c r="BG4844" s="1119"/>
      <c r="BH4844" s="1119"/>
    </row>
    <row r="4845" spans="1:60" ht="15.75" customHeight="1">
      <c r="A4845" s="436"/>
      <c r="C4845" s="436"/>
      <c r="D4845" s="436"/>
      <c r="E4845" s="436"/>
      <c r="F4845" s="436"/>
      <c r="H4845" s="467"/>
      <c r="I4845" s="467"/>
      <c r="J4845" s="469"/>
      <c r="AL4845" s="436"/>
      <c r="AM4845" s="436"/>
      <c r="AQ4845" s="436"/>
      <c r="AR4845" s="436"/>
      <c r="AS4845" s="436"/>
      <c r="AT4845" s="436"/>
      <c r="AU4845" s="436"/>
      <c r="AV4845" s="436"/>
      <c r="AW4845" s="436"/>
      <c r="AX4845" s="436"/>
      <c r="AY4845" s="436"/>
      <c r="AZ4845" s="475"/>
      <c r="BA4845" s="475"/>
      <c r="BF4845" s="1119"/>
      <c r="BG4845" s="1119"/>
      <c r="BH4845" s="1119"/>
    </row>
    <row r="4846" spans="1:60" ht="15.75" customHeight="1">
      <c r="A4846" s="436"/>
      <c r="C4846" s="436"/>
      <c r="D4846" s="436"/>
      <c r="E4846" s="436"/>
      <c r="F4846" s="436"/>
      <c r="H4846" s="467"/>
      <c r="I4846" s="467"/>
      <c r="J4846" s="469"/>
      <c r="AL4846" s="436"/>
      <c r="AM4846" s="436"/>
      <c r="AQ4846" s="436"/>
      <c r="AR4846" s="436"/>
      <c r="AS4846" s="436"/>
      <c r="AT4846" s="436"/>
      <c r="AU4846" s="436"/>
      <c r="AV4846" s="436"/>
      <c r="AW4846" s="436"/>
      <c r="AX4846" s="436"/>
      <c r="AY4846" s="436"/>
      <c r="AZ4846" s="475"/>
      <c r="BA4846" s="475"/>
      <c r="BF4846" s="1119"/>
      <c r="BG4846" s="1119"/>
      <c r="BH4846" s="1119"/>
    </row>
    <row r="4847" spans="1:60" ht="15.75" customHeight="1">
      <c r="A4847" s="436"/>
      <c r="C4847" s="436"/>
      <c r="D4847" s="436"/>
      <c r="E4847" s="436"/>
      <c r="F4847" s="436"/>
      <c r="H4847" s="467"/>
      <c r="I4847" s="467"/>
      <c r="J4847" s="469"/>
      <c r="AL4847" s="436"/>
      <c r="AM4847" s="436"/>
      <c r="AQ4847" s="436"/>
      <c r="AR4847" s="436"/>
      <c r="AS4847" s="436"/>
      <c r="AT4847" s="436"/>
      <c r="AU4847" s="436"/>
      <c r="AV4847" s="436"/>
      <c r="AW4847" s="436"/>
      <c r="AX4847" s="436"/>
      <c r="AY4847" s="436"/>
      <c r="AZ4847" s="475"/>
      <c r="BA4847" s="475"/>
      <c r="BF4847" s="1119"/>
      <c r="BG4847" s="1119"/>
      <c r="BH4847" s="1119"/>
    </row>
    <row r="4848" spans="1:60" ht="15.75" customHeight="1">
      <c r="A4848" s="436"/>
      <c r="C4848" s="436"/>
      <c r="D4848" s="436"/>
      <c r="E4848" s="436"/>
      <c r="F4848" s="436"/>
      <c r="H4848" s="467"/>
      <c r="I4848" s="467"/>
      <c r="J4848" s="469"/>
      <c r="AL4848" s="436"/>
      <c r="AM4848" s="436"/>
      <c r="AQ4848" s="436"/>
      <c r="AR4848" s="436"/>
      <c r="AS4848" s="436"/>
      <c r="AT4848" s="436"/>
      <c r="AU4848" s="436"/>
      <c r="AV4848" s="436"/>
      <c r="AW4848" s="436"/>
      <c r="AX4848" s="436"/>
      <c r="AY4848" s="436"/>
      <c r="AZ4848" s="475"/>
      <c r="BA4848" s="475"/>
      <c r="BF4848" s="1119"/>
      <c r="BG4848" s="1119"/>
      <c r="BH4848" s="1119"/>
    </row>
    <row r="4849" spans="1:60" ht="15.75" customHeight="1">
      <c r="A4849" s="436"/>
      <c r="C4849" s="436"/>
      <c r="D4849" s="436"/>
      <c r="E4849" s="436"/>
      <c r="F4849" s="436"/>
      <c r="H4849" s="467"/>
      <c r="I4849" s="467"/>
      <c r="J4849" s="469"/>
      <c r="AL4849" s="436"/>
      <c r="AM4849" s="436"/>
      <c r="AQ4849" s="436"/>
      <c r="AR4849" s="436"/>
      <c r="AS4849" s="436"/>
      <c r="AT4849" s="436"/>
      <c r="AU4849" s="436"/>
      <c r="AV4849" s="436"/>
      <c r="AW4849" s="436"/>
      <c r="AX4849" s="436"/>
      <c r="AY4849" s="436"/>
      <c r="AZ4849" s="475"/>
      <c r="BA4849" s="475"/>
      <c r="BF4849" s="1119"/>
      <c r="BG4849" s="1119"/>
      <c r="BH4849" s="1119"/>
    </row>
    <row r="4850" spans="1:60" ht="15.75" customHeight="1">
      <c r="A4850" s="436"/>
      <c r="C4850" s="436"/>
      <c r="D4850" s="436"/>
      <c r="E4850" s="436"/>
      <c r="F4850" s="436"/>
      <c r="H4850" s="467"/>
      <c r="I4850" s="467"/>
      <c r="J4850" s="469"/>
      <c r="AL4850" s="436"/>
      <c r="AM4850" s="436"/>
      <c r="AQ4850" s="436"/>
      <c r="AR4850" s="436"/>
      <c r="AS4850" s="436"/>
      <c r="AT4850" s="436"/>
      <c r="AU4850" s="436"/>
      <c r="AV4850" s="436"/>
      <c r="AW4850" s="436"/>
      <c r="AX4850" s="436"/>
      <c r="AY4850" s="436"/>
      <c r="AZ4850" s="475"/>
      <c r="BA4850" s="475"/>
      <c r="BF4850" s="1119"/>
      <c r="BG4850" s="1119"/>
      <c r="BH4850" s="1119"/>
    </row>
    <row r="4851" spans="1:60" ht="15.75" customHeight="1">
      <c r="A4851" s="436"/>
      <c r="C4851" s="436"/>
      <c r="D4851" s="436"/>
      <c r="E4851" s="436"/>
      <c r="F4851" s="436"/>
      <c r="H4851" s="467"/>
      <c r="I4851" s="467"/>
      <c r="J4851" s="469"/>
      <c r="AL4851" s="436"/>
      <c r="AM4851" s="436"/>
      <c r="AQ4851" s="436"/>
      <c r="AR4851" s="436"/>
      <c r="AS4851" s="436"/>
      <c r="AT4851" s="436"/>
      <c r="AU4851" s="436"/>
      <c r="AV4851" s="436"/>
      <c r="AW4851" s="436"/>
      <c r="AX4851" s="436"/>
      <c r="AY4851" s="436"/>
      <c r="AZ4851" s="475"/>
      <c r="BA4851" s="475"/>
      <c r="BF4851" s="1119"/>
      <c r="BG4851" s="1119"/>
      <c r="BH4851" s="1119"/>
    </row>
    <row r="4852" spans="1:60" ht="15.75" customHeight="1">
      <c r="A4852" s="436"/>
      <c r="C4852" s="436"/>
      <c r="D4852" s="436"/>
      <c r="E4852" s="436"/>
      <c r="F4852" s="436"/>
      <c r="H4852" s="467"/>
      <c r="I4852" s="467"/>
      <c r="J4852" s="469"/>
      <c r="AL4852" s="436"/>
      <c r="AM4852" s="436"/>
      <c r="AQ4852" s="436"/>
      <c r="AR4852" s="436"/>
      <c r="AS4852" s="436"/>
      <c r="AT4852" s="436"/>
      <c r="AU4852" s="436"/>
      <c r="AV4852" s="436"/>
      <c r="AW4852" s="436"/>
      <c r="AX4852" s="436"/>
      <c r="AY4852" s="436"/>
      <c r="AZ4852" s="475"/>
      <c r="BA4852" s="475"/>
      <c r="BF4852" s="1119"/>
      <c r="BG4852" s="1119"/>
      <c r="BH4852" s="1119"/>
    </row>
    <row r="4853" spans="1:60" ht="15.75" customHeight="1">
      <c r="A4853" s="436"/>
      <c r="C4853" s="436"/>
      <c r="D4853" s="436"/>
      <c r="E4853" s="436"/>
      <c r="F4853" s="436"/>
      <c r="H4853" s="467"/>
      <c r="I4853" s="467"/>
      <c r="J4853" s="469"/>
      <c r="AL4853" s="436"/>
      <c r="AM4853" s="436"/>
      <c r="AQ4853" s="436"/>
      <c r="AR4853" s="436"/>
      <c r="AS4853" s="436"/>
      <c r="AT4853" s="436"/>
      <c r="AU4853" s="436"/>
      <c r="AV4853" s="436"/>
      <c r="AW4853" s="436"/>
      <c r="AX4853" s="436"/>
      <c r="AY4853" s="436"/>
      <c r="AZ4853" s="475"/>
      <c r="BA4853" s="475"/>
      <c r="BF4853" s="1119"/>
      <c r="BG4853" s="1119"/>
      <c r="BH4853" s="1119"/>
    </row>
    <row r="4854" spans="1:60" ht="15.75" customHeight="1">
      <c r="A4854" s="436"/>
      <c r="C4854" s="436"/>
      <c r="D4854" s="436"/>
      <c r="E4854" s="436"/>
      <c r="F4854" s="436"/>
      <c r="H4854" s="467"/>
      <c r="I4854" s="467"/>
      <c r="J4854" s="469"/>
      <c r="AL4854" s="436"/>
      <c r="AM4854" s="436"/>
      <c r="AQ4854" s="436"/>
      <c r="AR4854" s="436"/>
      <c r="AS4854" s="436"/>
      <c r="AT4854" s="436"/>
      <c r="AU4854" s="436"/>
      <c r="AV4854" s="436"/>
      <c r="AW4854" s="436"/>
      <c r="AX4854" s="436"/>
      <c r="AY4854" s="436"/>
      <c r="AZ4854" s="475"/>
      <c r="BA4854" s="475"/>
      <c r="BF4854" s="1119"/>
      <c r="BG4854" s="1119"/>
      <c r="BH4854" s="1119"/>
    </row>
    <row r="4855" spans="1:60" ht="15.75" customHeight="1">
      <c r="A4855" s="436"/>
      <c r="C4855" s="436"/>
      <c r="D4855" s="436"/>
      <c r="E4855" s="436"/>
      <c r="F4855" s="436"/>
      <c r="H4855" s="467"/>
      <c r="I4855" s="467"/>
      <c r="J4855" s="469"/>
      <c r="AL4855" s="436"/>
      <c r="AM4855" s="436"/>
      <c r="AQ4855" s="436"/>
      <c r="AR4855" s="436"/>
      <c r="AS4855" s="436"/>
      <c r="AT4855" s="436"/>
      <c r="AU4855" s="436"/>
      <c r="AV4855" s="436"/>
      <c r="AW4855" s="436"/>
      <c r="AX4855" s="436"/>
      <c r="AY4855" s="436"/>
      <c r="AZ4855" s="475"/>
      <c r="BA4855" s="475"/>
      <c r="BF4855" s="1119"/>
      <c r="BG4855" s="1119"/>
      <c r="BH4855" s="1119"/>
    </row>
    <row r="4856" spans="1:60" ht="15.75" customHeight="1">
      <c r="A4856" s="436"/>
      <c r="C4856" s="436"/>
      <c r="D4856" s="436"/>
      <c r="E4856" s="436"/>
      <c r="F4856" s="436"/>
      <c r="H4856" s="467"/>
      <c r="I4856" s="467"/>
      <c r="J4856" s="469"/>
      <c r="AL4856" s="436"/>
      <c r="AM4856" s="436"/>
      <c r="AQ4856" s="436"/>
      <c r="AR4856" s="436"/>
      <c r="AS4856" s="436"/>
      <c r="AT4856" s="436"/>
      <c r="AU4856" s="436"/>
      <c r="AV4856" s="436"/>
      <c r="AW4856" s="436"/>
      <c r="AX4856" s="436"/>
      <c r="AY4856" s="436"/>
      <c r="AZ4856" s="475"/>
      <c r="BA4856" s="475"/>
      <c r="BF4856" s="1119"/>
      <c r="BG4856" s="1119"/>
      <c r="BH4856" s="1119"/>
    </row>
    <row r="4857" spans="1:60" ht="15.75" customHeight="1">
      <c r="A4857" s="436"/>
      <c r="C4857" s="436"/>
      <c r="D4857" s="436"/>
      <c r="E4857" s="436"/>
      <c r="F4857" s="436"/>
      <c r="H4857" s="467"/>
      <c r="I4857" s="467"/>
      <c r="J4857" s="469"/>
      <c r="AL4857" s="436"/>
      <c r="AM4857" s="436"/>
      <c r="AQ4857" s="436"/>
      <c r="AR4857" s="436"/>
      <c r="AS4857" s="436"/>
      <c r="AT4857" s="436"/>
      <c r="AU4857" s="436"/>
      <c r="AV4857" s="436"/>
      <c r="AW4857" s="436"/>
      <c r="AX4857" s="436"/>
      <c r="AY4857" s="436"/>
      <c r="AZ4857" s="475"/>
      <c r="BA4857" s="475"/>
      <c r="BF4857" s="1119"/>
      <c r="BG4857" s="1119"/>
      <c r="BH4857" s="1119"/>
    </row>
    <row r="4858" spans="1:60" ht="15.75" customHeight="1">
      <c r="A4858" s="436"/>
      <c r="C4858" s="436"/>
      <c r="D4858" s="436"/>
      <c r="E4858" s="436"/>
      <c r="F4858" s="436"/>
      <c r="H4858" s="467"/>
      <c r="I4858" s="467"/>
      <c r="J4858" s="469"/>
      <c r="AL4858" s="436"/>
      <c r="AM4858" s="436"/>
      <c r="AQ4858" s="436"/>
      <c r="AR4858" s="436"/>
      <c r="AS4858" s="436"/>
      <c r="AT4858" s="436"/>
      <c r="AU4858" s="436"/>
      <c r="AV4858" s="436"/>
      <c r="AW4858" s="436"/>
      <c r="AX4858" s="436"/>
      <c r="AY4858" s="436"/>
      <c r="AZ4858" s="475"/>
      <c r="BA4858" s="475"/>
      <c r="BF4858" s="1119"/>
      <c r="BG4858" s="1119"/>
      <c r="BH4858" s="1119"/>
    </row>
    <row r="4859" spans="1:60" ht="15.75" customHeight="1">
      <c r="A4859" s="436"/>
      <c r="C4859" s="436"/>
      <c r="D4859" s="436"/>
      <c r="E4859" s="436"/>
      <c r="F4859" s="436"/>
      <c r="H4859" s="467"/>
      <c r="I4859" s="467"/>
      <c r="J4859" s="469"/>
      <c r="AL4859" s="436"/>
      <c r="AM4859" s="436"/>
      <c r="AQ4859" s="436"/>
      <c r="AR4859" s="436"/>
      <c r="AS4859" s="436"/>
      <c r="AT4859" s="436"/>
      <c r="AU4859" s="436"/>
      <c r="AV4859" s="436"/>
      <c r="AW4859" s="436"/>
      <c r="AX4859" s="436"/>
      <c r="AY4859" s="436"/>
      <c r="AZ4859" s="475"/>
      <c r="BA4859" s="475"/>
      <c r="BF4859" s="1119"/>
      <c r="BG4859" s="1119"/>
      <c r="BH4859" s="1119"/>
    </row>
    <row r="4860" spans="1:60" ht="15.75" customHeight="1">
      <c r="A4860" s="436"/>
      <c r="C4860" s="436"/>
      <c r="D4860" s="436"/>
      <c r="E4860" s="436"/>
      <c r="F4860" s="436"/>
      <c r="H4860" s="467"/>
      <c r="I4860" s="467"/>
      <c r="J4860" s="469"/>
      <c r="AL4860" s="436"/>
      <c r="AM4860" s="436"/>
      <c r="AQ4860" s="436"/>
      <c r="AR4860" s="436"/>
      <c r="AS4860" s="436"/>
      <c r="AT4860" s="436"/>
      <c r="AU4860" s="436"/>
      <c r="AV4860" s="436"/>
      <c r="AW4860" s="436"/>
      <c r="AX4860" s="436"/>
      <c r="AY4860" s="436"/>
      <c r="AZ4860" s="475"/>
      <c r="BA4860" s="475"/>
      <c r="BF4860" s="1119"/>
      <c r="BG4860" s="1119"/>
      <c r="BH4860" s="1119"/>
    </row>
    <row r="4861" spans="1:60" ht="15.75" customHeight="1">
      <c r="A4861" s="436"/>
      <c r="C4861" s="436"/>
      <c r="D4861" s="436"/>
      <c r="E4861" s="436"/>
      <c r="F4861" s="436"/>
      <c r="H4861" s="467"/>
      <c r="I4861" s="467"/>
      <c r="J4861" s="469"/>
      <c r="AL4861" s="436"/>
      <c r="AM4861" s="436"/>
      <c r="AQ4861" s="436"/>
      <c r="AR4861" s="436"/>
      <c r="AS4861" s="436"/>
      <c r="AT4861" s="436"/>
      <c r="AU4861" s="436"/>
      <c r="AV4861" s="436"/>
      <c r="AW4861" s="436"/>
      <c r="AX4861" s="436"/>
      <c r="AY4861" s="436"/>
      <c r="AZ4861" s="475"/>
      <c r="BA4861" s="475"/>
      <c r="BF4861" s="1119"/>
      <c r="BG4861" s="1119"/>
      <c r="BH4861" s="1119"/>
    </row>
    <row r="4862" spans="1:60" ht="15.75" customHeight="1">
      <c r="A4862" s="436"/>
      <c r="C4862" s="436"/>
      <c r="D4862" s="436"/>
      <c r="E4862" s="436"/>
      <c r="F4862" s="436"/>
      <c r="H4862" s="467"/>
      <c r="I4862" s="467"/>
      <c r="J4862" s="469"/>
      <c r="AL4862" s="436"/>
      <c r="AM4862" s="436"/>
      <c r="AQ4862" s="436"/>
      <c r="AR4862" s="436"/>
      <c r="AS4862" s="436"/>
      <c r="AT4862" s="436"/>
      <c r="AU4862" s="436"/>
      <c r="AV4862" s="436"/>
      <c r="AW4862" s="436"/>
      <c r="AX4862" s="436"/>
      <c r="AY4862" s="436"/>
      <c r="AZ4862" s="475"/>
      <c r="BA4862" s="475"/>
      <c r="BF4862" s="1119"/>
      <c r="BG4862" s="1119"/>
      <c r="BH4862" s="1119"/>
    </row>
    <row r="4863" spans="1:60" ht="15.75" customHeight="1">
      <c r="A4863" s="436"/>
      <c r="C4863" s="436"/>
      <c r="D4863" s="436"/>
      <c r="E4863" s="436"/>
      <c r="F4863" s="436"/>
      <c r="H4863" s="467"/>
      <c r="I4863" s="467"/>
      <c r="J4863" s="469"/>
      <c r="AL4863" s="436"/>
      <c r="AM4863" s="436"/>
      <c r="AQ4863" s="436"/>
      <c r="AR4863" s="436"/>
      <c r="AS4863" s="436"/>
      <c r="AT4863" s="436"/>
      <c r="AU4863" s="436"/>
      <c r="AV4863" s="436"/>
      <c r="AW4863" s="436"/>
      <c r="AX4863" s="436"/>
      <c r="AY4863" s="436"/>
      <c r="AZ4863" s="475"/>
      <c r="BA4863" s="475"/>
      <c r="BF4863" s="1119"/>
      <c r="BG4863" s="1119"/>
      <c r="BH4863" s="1119"/>
    </row>
    <row r="4864" spans="1:60" ht="15.75" customHeight="1">
      <c r="A4864" s="436"/>
      <c r="C4864" s="436"/>
      <c r="D4864" s="436"/>
      <c r="E4864" s="436"/>
      <c r="F4864" s="436"/>
      <c r="H4864" s="467"/>
      <c r="I4864" s="467"/>
      <c r="J4864" s="469"/>
      <c r="AL4864" s="436"/>
      <c r="AM4864" s="436"/>
      <c r="AQ4864" s="436"/>
      <c r="AR4864" s="436"/>
      <c r="AS4864" s="436"/>
      <c r="AT4864" s="436"/>
      <c r="AU4864" s="436"/>
      <c r="AV4864" s="436"/>
      <c r="AW4864" s="436"/>
      <c r="AX4864" s="436"/>
      <c r="AY4864" s="436"/>
      <c r="AZ4864" s="475"/>
      <c r="BA4864" s="475"/>
      <c r="BF4864" s="1119"/>
      <c r="BG4864" s="1119"/>
      <c r="BH4864" s="1119"/>
    </row>
    <row r="4865" spans="1:60" ht="15.75" customHeight="1">
      <c r="A4865" s="436"/>
      <c r="C4865" s="436"/>
      <c r="D4865" s="436"/>
      <c r="E4865" s="436"/>
      <c r="F4865" s="436"/>
      <c r="H4865" s="467"/>
      <c r="I4865" s="467"/>
      <c r="J4865" s="469"/>
      <c r="AL4865" s="436"/>
      <c r="AM4865" s="436"/>
      <c r="AQ4865" s="436"/>
      <c r="AR4865" s="436"/>
      <c r="AS4865" s="436"/>
      <c r="AT4865" s="436"/>
      <c r="AU4865" s="436"/>
      <c r="AV4865" s="436"/>
      <c r="AW4865" s="436"/>
      <c r="AX4865" s="436"/>
      <c r="AY4865" s="436"/>
      <c r="AZ4865" s="475"/>
      <c r="BA4865" s="475"/>
      <c r="BF4865" s="1119"/>
      <c r="BG4865" s="1119"/>
      <c r="BH4865" s="1119"/>
    </row>
    <row r="4866" spans="1:60" ht="15.75" customHeight="1">
      <c r="A4866" s="436"/>
      <c r="C4866" s="436"/>
      <c r="D4866" s="436"/>
      <c r="E4866" s="436"/>
      <c r="F4866" s="436"/>
      <c r="H4866" s="467"/>
      <c r="I4866" s="467"/>
      <c r="J4866" s="469"/>
      <c r="AL4866" s="436"/>
      <c r="AM4866" s="436"/>
      <c r="AQ4866" s="436"/>
      <c r="AR4866" s="436"/>
      <c r="AS4866" s="436"/>
      <c r="AT4866" s="436"/>
      <c r="AU4866" s="436"/>
      <c r="AV4866" s="436"/>
      <c r="AW4866" s="436"/>
      <c r="AX4866" s="436"/>
      <c r="AY4866" s="436"/>
      <c r="AZ4866" s="475"/>
      <c r="BA4866" s="475"/>
      <c r="BF4866" s="1119"/>
      <c r="BG4866" s="1119"/>
      <c r="BH4866" s="1119"/>
    </row>
    <row r="4867" spans="1:60" ht="15.75" customHeight="1">
      <c r="A4867" s="436"/>
      <c r="C4867" s="436"/>
      <c r="D4867" s="436"/>
      <c r="E4867" s="436"/>
      <c r="F4867" s="436"/>
      <c r="H4867" s="467"/>
      <c r="I4867" s="467"/>
      <c r="J4867" s="469"/>
      <c r="AL4867" s="436"/>
      <c r="AM4867" s="436"/>
      <c r="AQ4867" s="436"/>
      <c r="AR4867" s="436"/>
      <c r="AS4867" s="436"/>
      <c r="AT4867" s="436"/>
      <c r="AU4867" s="436"/>
      <c r="AV4867" s="436"/>
      <c r="AW4867" s="436"/>
      <c r="AX4867" s="436"/>
      <c r="AY4867" s="436"/>
      <c r="AZ4867" s="475"/>
      <c r="BA4867" s="475"/>
      <c r="BF4867" s="1119"/>
      <c r="BG4867" s="1119"/>
      <c r="BH4867" s="1119"/>
    </row>
    <row r="4868" spans="1:60" ht="15.75" customHeight="1">
      <c r="A4868" s="436"/>
      <c r="C4868" s="436"/>
      <c r="D4868" s="436"/>
      <c r="E4868" s="436"/>
      <c r="F4868" s="436"/>
      <c r="H4868" s="467"/>
      <c r="I4868" s="467"/>
      <c r="J4868" s="469"/>
      <c r="AL4868" s="436"/>
      <c r="AM4868" s="436"/>
      <c r="AQ4868" s="436"/>
      <c r="AR4868" s="436"/>
      <c r="AS4868" s="436"/>
      <c r="AT4868" s="436"/>
      <c r="AU4868" s="436"/>
      <c r="AV4868" s="436"/>
      <c r="AW4868" s="436"/>
      <c r="AX4868" s="436"/>
      <c r="AY4868" s="436"/>
      <c r="AZ4868" s="475"/>
      <c r="BA4868" s="475"/>
      <c r="BF4868" s="1119"/>
      <c r="BG4868" s="1119"/>
      <c r="BH4868" s="1119"/>
    </row>
    <row r="4869" spans="1:60" ht="15.75" customHeight="1">
      <c r="A4869" s="436"/>
      <c r="C4869" s="436"/>
      <c r="D4869" s="436"/>
      <c r="E4869" s="436"/>
      <c r="F4869" s="436"/>
      <c r="H4869" s="467"/>
      <c r="I4869" s="467"/>
      <c r="J4869" s="469"/>
      <c r="AL4869" s="436"/>
      <c r="AM4869" s="436"/>
      <c r="AQ4869" s="436"/>
      <c r="AR4869" s="436"/>
      <c r="AS4869" s="436"/>
      <c r="AT4869" s="436"/>
      <c r="AU4869" s="436"/>
      <c r="AV4869" s="436"/>
      <c r="AW4869" s="436"/>
      <c r="AX4869" s="436"/>
      <c r="AY4869" s="436"/>
      <c r="AZ4869" s="475"/>
      <c r="BA4869" s="475"/>
      <c r="BF4869" s="1119"/>
      <c r="BG4869" s="1119"/>
      <c r="BH4869" s="1119"/>
    </row>
    <row r="4870" spans="1:60" ht="15.75" customHeight="1">
      <c r="A4870" s="436"/>
      <c r="C4870" s="436"/>
      <c r="D4870" s="436"/>
      <c r="E4870" s="436"/>
      <c r="F4870" s="436"/>
      <c r="H4870" s="467"/>
      <c r="I4870" s="467"/>
      <c r="J4870" s="469"/>
      <c r="AL4870" s="436"/>
      <c r="AM4870" s="436"/>
      <c r="AQ4870" s="436"/>
      <c r="AR4870" s="436"/>
      <c r="AS4870" s="436"/>
      <c r="AT4870" s="436"/>
      <c r="AU4870" s="436"/>
      <c r="AV4870" s="436"/>
      <c r="AW4870" s="436"/>
      <c r="AX4870" s="436"/>
      <c r="AY4870" s="436"/>
      <c r="AZ4870" s="475"/>
      <c r="BA4870" s="475"/>
      <c r="BF4870" s="1119"/>
      <c r="BG4870" s="1119"/>
      <c r="BH4870" s="1119"/>
    </row>
    <row r="4871" spans="1:60" ht="15.75" customHeight="1">
      <c r="A4871" s="436"/>
      <c r="C4871" s="436"/>
      <c r="D4871" s="436"/>
      <c r="E4871" s="436"/>
      <c r="F4871" s="436"/>
      <c r="H4871" s="467"/>
      <c r="I4871" s="467"/>
      <c r="J4871" s="469"/>
      <c r="AL4871" s="436"/>
      <c r="AM4871" s="436"/>
      <c r="AQ4871" s="436"/>
      <c r="AR4871" s="436"/>
      <c r="AS4871" s="436"/>
      <c r="AT4871" s="436"/>
      <c r="AU4871" s="436"/>
      <c r="AV4871" s="436"/>
      <c r="AW4871" s="436"/>
      <c r="AX4871" s="436"/>
      <c r="AY4871" s="436"/>
      <c r="AZ4871" s="475"/>
      <c r="BA4871" s="475"/>
      <c r="BF4871" s="1119"/>
      <c r="BG4871" s="1119"/>
      <c r="BH4871" s="1119"/>
    </row>
    <row r="4872" spans="1:60" ht="15.75" customHeight="1">
      <c r="A4872" s="436"/>
      <c r="C4872" s="436"/>
      <c r="D4872" s="436"/>
      <c r="E4872" s="436"/>
      <c r="F4872" s="436"/>
      <c r="H4872" s="467"/>
      <c r="I4872" s="467"/>
      <c r="J4872" s="469"/>
      <c r="AL4872" s="436"/>
      <c r="AM4872" s="436"/>
      <c r="AQ4872" s="436"/>
      <c r="AR4872" s="436"/>
      <c r="AS4872" s="436"/>
      <c r="AT4872" s="436"/>
      <c r="AU4872" s="436"/>
      <c r="AV4872" s="436"/>
      <c r="AW4872" s="436"/>
      <c r="AX4872" s="436"/>
      <c r="AY4872" s="436"/>
      <c r="AZ4872" s="475"/>
      <c r="BA4872" s="475"/>
      <c r="BF4872" s="1119"/>
      <c r="BG4872" s="1119"/>
      <c r="BH4872" s="1119"/>
    </row>
    <row r="4873" spans="1:60" ht="15.75" customHeight="1">
      <c r="A4873" s="436"/>
      <c r="C4873" s="436"/>
      <c r="D4873" s="436"/>
      <c r="E4873" s="436"/>
      <c r="F4873" s="436"/>
      <c r="H4873" s="467"/>
      <c r="I4873" s="467"/>
      <c r="J4873" s="469"/>
      <c r="AL4873" s="436"/>
      <c r="AM4873" s="436"/>
      <c r="AQ4873" s="436"/>
      <c r="AR4873" s="436"/>
      <c r="AS4873" s="436"/>
      <c r="AT4873" s="436"/>
      <c r="AU4873" s="436"/>
      <c r="AV4873" s="436"/>
      <c r="AW4873" s="436"/>
      <c r="AX4873" s="436"/>
      <c r="AY4873" s="436"/>
      <c r="AZ4873" s="475"/>
      <c r="BA4873" s="475"/>
      <c r="BF4873" s="1119"/>
      <c r="BG4873" s="1119"/>
      <c r="BH4873" s="1119"/>
    </row>
    <row r="4874" spans="1:60" ht="15.75" customHeight="1">
      <c r="A4874" s="436"/>
      <c r="C4874" s="436"/>
      <c r="D4874" s="436"/>
      <c r="E4874" s="436"/>
      <c r="F4874" s="436"/>
      <c r="H4874" s="467"/>
      <c r="I4874" s="467"/>
      <c r="J4874" s="469"/>
      <c r="AL4874" s="436"/>
      <c r="AM4874" s="436"/>
      <c r="AQ4874" s="436"/>
      <c r="AR4874" s="436"/>
      <c r="AS4874" s="436"/>
      <c r="AT4874" s="436"/>
      <c r="AU4874" s="436"/>
      <c r="AV4874" s="436"/>
      <c r="AW4874" s="436"/>
      <c r="AX4874" s="436"/>
      <c r="AY4874" s="436"/>
      <c r="AZ4874" s="475"/>
      <c r="BA4874" s="475"/>
      <c r="BF4874" s="1119"/>
      <c r="BG4874" s="1119"/>
      <c r="BH4874" s="1119"/>
    </row>
    <row r="4875" spans="1:60" ht="15.75" customHeight="1">
      <c r="A4875" s="436"/>
      <c r="C4875" s="436"/>
      <c r="D4875" s="436"/>
      <c r="E4875" s="436"/>
      <c r="F4875" s="436"/>
      <c r="H4875" s="467"/>
      <c r="I4875" s="467"/>
      <c r="J4875" s="469"/>
      <c r="AL4875" s="436"/>
      <c r="AM4875" s="436"/>
      <c r="AQ4875" s="436"/>
      <c r="AR4875" s="436"/>
      <c r="AS4875" s="436"/>
      <c r="AT4875" s="436"/>
      <c r="AU4875" s="436"/>
      <c r="AV4875" s="436"/>
      <c r="AW4875" s="436"/>
      <c r="AX4875" s="436"/>
      <c r="AY4875" s="436"/>
      <c r="AZ4875" s="475"/>
      <c r="BA4875" s="475"/>
      <c r="BF4875" s="1119"/>
      <c r="BG4875" s="1119"/>
      <c r="BH4875" s="1119"/>
    </row>
    <row r="4876" spans="1:60" ht="15.75" customHeight="1">
      <c r="A4876" s="436"/>
      <c r="C4876" s="436"/>
      <c r="D4876" s="436"/>
      <c r="E4876" s="436"/>
      <c r="F4876" s="436"/>
      <c r="H4876" s="467"/>
      <c r="I4876" s="467"/>
      <c r="J4876" s="469"/>
      <c r="AL4876" s="436"/>
      <c r="AM4876" s="436"/>
      <c r="AQ4876" s="436"/>
      <c r="AR4876" s="436"/>
      <c r="AS4876" s="436"/>
      <c r="AT4876" s="436"/>
      <c r="AU4876" s="436"/>
      <c r="AV4876" s="436"/>
      <c r="AW4876" s="436"/>
      <c r="AX4876" s="436"/>
      <c r="AY4876" s="436"/>
      <c r="AZ4876" s="475"/>
      <c r="BA4876" s="475"/>
      <c r="BF4876" s="1119"/>
      <c r="BG4876" s="1119"/>
      <c r="BH4876" s="1119"/>
    </row>
    <row r="4877" spans="1:60" ht="15.75" customHeight="1">
      <c r="A4877" s="436"/>
      <c r="C4877" s="436"/>
      <c r="D4877" s="436"/>
      <c r="E4877" s="436"/>
      <c r="F4877" s="436"/>
      <c r="H4877" s="467"/>
      <c r="I4877" s="467"/>
      <c r="J4877" s="469"/>
      <c r="AL4877" s="436"/>
      <c r="AM4877" s="436"/>
      <c r="AQ4877" s="436"/>
      <c r="AR4877" s="436"/>
      <c r="AS4877" s="436"/>
      <c r="AT4877" s="436"/>
      <c r="AU4877" s="436"/>
      <c r="AV4877" s="436"/>
      <c r="AW4877" s="436"/>
      <c r="AX4877" s="436"/>
      <c r="AY4877" s="436"/>
      <c r="AZ4877" s="475"/>
      <c r="BA4877" s="475"/>
      <c r="BF4877" s="1119"/>
      <c r="BG4877" s="1119"/>
      <c r="BH4877" s="1119"/>
    </row>
    <row r="4878" spans="1:60" ht="15.75" customHeight="1">
      <c r="A4878" s="436"/>
      <c r="C4878" s="436"/>
      <c r="D4878" s="436"/>
      <c r="E4878" s="436"/>
      <c r="F4878" s="436"/>
      <c r="H4878" s="467"/>
      <c r="I4878" s="467"/>
      <c r="J4878" s="469"/>
      <c r="AL4878" s="436"/>
      <c r="AM4878" s="436"/>
      <c r="AQ4878" s="436"/>
      <c r="AR4878" s="436"/>
      <c r="AS4878" s="436"/>
      <c r="AT4878" s="436"/>
      <c r="AU4878" s="436"/>
      <c r="AV4878" s="436"/>
      <c r="AW4878" s="436"/>
      <c r="AX4878" s="436"/>
      <c r="AY4878" s="436"/>
      <c r="AZ4878" s="475"/>
      <c r="BA4878" s="475"/>
      <c r="BF4878" s="1119"/>
      <c r="BG4878" s="1119"/>
      <c r="BH4878" s="1119"/>
    </row>
    <row r="4879" spans="1:60" ht="15.75" customHeight="1">
      <c r="A4879" s="436"/>
      <c r="C4879" s="436"/>
      <c r="D4879" s="436"/>
      <c r="E4879" s="436"/>
      <c r="F4879" s="436"/>
      <c r="H4879" s="467"/>
      <c r="I4879" s="467"/>
      <c r="J4879" s="469"/>
      <c r="AL4879" s="436"/>
      <c r="AM4879" s="436"/>
      <c r="AQ4879" s="436"/>
      <c r="AR4879" s="436"/>
      <c r="AS4879" s="436"/>
      <c r="AT4879" s="436"/>
      <c r="AU4879" s="436"/>
      <c r="AV4879" s="436"/>
      <c r="AW4879" s="436"/>
      <c r="AX4879" s="436"/>
      <c r="AY4879" s="436"/>
      <c r="AZ4879" s="475"/>
      <c r="BA4879" s="475"/>
      <c r="BF4879" s="1119"/>
      <c r="BG4879" s="1119"/>
      <c r="BH4879" s="1119"/>
    </row>
    <row r="4880" spans="1:60" ht="15.75" customHeight="1">
      <c r="A4880" s="436"/>
      <c r="C4880" s="436"/>
      <c r="D4880" s="436"/>
      <c r="E4880" s="436"/>
      <c r="F4880" s="436"/>
      <c r="H4880" s="467"/>
      <c r="I4880" s="467"/>
      <c r="J4880" s="469"/>
      <c r="AL4880" s="436"/>
      <c r="AM4880" s="436"/>
      <c r="AQ4880" s="436"/>
      <c r="AR4880" s="436"/>
      <c r="AS4880" s="436"/>
      <c r="AT4880" s="436"/>
      <c r="AU4880" s="436"/>
      <c r="AV4880" s="436"/>
      <c r="AW4880" s="436"/>
      <c r="AX4880" s="436"/>
      <c r="AY4880" s="436"/>
      <c r="AZ4880" s="475"/>
      <c r="BA4880" s="475"/>
      <c r="BF4880" s="1119"/>
      <c r="BG4880" s="1119"/>
      <c r="BH4880" s="1119"/>
    </row>
    <row r="4881" spans="1:60" ht="15.75" customHeight="1">
      <c r="A4881" s="436"/>
      <c r="C4881" s="436"/>
      <c r="D4881" s="436"/>
      <c r="E4881" s="436"/>
      <c r="F4881" s="436"/>
      <c r="H4881" s="467"/>
      <c r="I4881" s="467"/>
      <c r="J4881" s="469"/>
      <c r="AL4881" s="436"/>
      <c r="AM4881" s="436"/>
      <c r="AQ4881" s="436"/>
      <c r="AR4881" s="436"/>
      <c r="AS4881" s="436"/>
      <c r="AT4881" s="436"/>
      <c r="AU4881" s="436"/>
      <c r="AV4881" s="436"/>
      <c r="AW4881" s="436"/>
      <c r="AX4881" s="436"/>
      <c r="AY4881" s="436"/>
      <c r="AZ4881" s="475"/>
      <c r="BA4881" s="475"/>
      <c r="BF4881" s="1119"/>
      <c r="BG4881" s="1119"/>
      <c r="BH4881" s="1119"/>
    </row>
    <row r="4882" spans="1:60" ht="15.75" customHeight="1">
      <c r="A4882" s="436"/>
      <c r="C4882" s="436"/>
      <c r="D4882" s="436"/>
      <c r="E4882" s="436"/>
      <c r="F4882" s="436"/>
      <c r="H4882" s="467"/>
      <c r="I4882" s="467"/>
      <c r="J4882" s="469"/>
      <c r="AL4882" s="436"/>
      <c r="AM4882" s="436"/>
      <c r="AQ4882" s="436"/>
      <c r="AR4882" s="436"/>
      <c r="AS4882" s="436"/>
      <c r="AT4882" s="436"/>
      <c r="AU4882" s="436"/>
      <c r="AV4882" s="436"/>
      <c r="AW4882" s="436"/>
      <c r="AX4882" s="436"/>
      <c r="AY4882" s="436"/>
      <c r="AZ4882" s="475"/>
      <c r="BA4882" s="475"/>
      <c r="BF4882" s="1119"/>
      <c r="BG4882" s="1119"/>
      <c r="BH4882" s="1119"/>
    </row>
    <row r="4883" spans="1:60" ht="15.75" customHeight="1">
      <c r="A4883" s="436"/>
      <c r="C4883" s="436"/>
      <c r="D4883" s="436"/>
      <c r="E4883" s="436"/>
      <c r="F4883" s="436"/>
      <c r="H4883" s="467"/>
      <c r="I4883" s="467"/>
      <c r="J4883" s="469"/>
      <c r="AL4883" s="436"/>
      <c r="AM4883" s="436"/>
      <c r="AQ4883" s="436"/>
      <c r="AR4883" s="436"/>
      <c r="AS4883" s="436"/>
      <c r="AT4883" s="436"/>
      <c r="AU4883" s="436"/>
      <c r="AV4883" s="436"/>
      <c r="AW4883" s="436"/>
      <c r="AX4883" s="436"/>
      <c r="AY4883" s="436"/>
      <c r="AZ4883" s="475"/>
      <c r="BA4883" s="475"/>
      <c r="BF4883" s="1119"/>
      <c r="BG4883" s="1119"/>
      <c r="BH4883" s="1119"/>
    </row>
    <row r="4884" spans="1:60" ht="15.75" customHeight="1">
      <c r="A4884" s="436"/>
      <c r="C4884" s="436"/>
      <c r="D4884" s="436"/>
      <c r="E4884" s="436"/>
      <c r="F4884" s="436"/>
      <c r="H4884" s="467"/>
      <c r="I4884" s="467"/>
      <c r="J4884" s="469"/>
      <c r="AL4884" s="436"/>
      <c r="AM4884" s="436"/>
      <c r="AQ4884" s="436"/>
      <c r="AR4884" s="436"/>
      <c r="AS4884" s="436"/>
      <c r="AT4884" s="436"/>
      <c r="AU4884" s="436"/>
      <c r="AV4884" s="436"/>
      <c r="AW4884" s="436"/>
      <c r="AX4884" s="436"/>
      <c r="AY4884" s="436"/>
      <c r="AZ4884" s="475"/>
      <c r="BA4884" s="475"/>
      <c r="BF4884" s="1119"/>
      <c r="BG4884" s="1119"/>
      <c r="BH4884" s="1119"/>
    </row>
    <row r="4885" spans="1:60" ht="15.75" customHeight="1">
      <c r="A4885" s="436"/>
      <c r="C4885" s="436"/>
      <c r="D4885" s="436"/>
      <c r="E4885" s="436"/>
      <c r="F4885" s="436"/>
      <c r="H4885" s="467"/>
      <c r="I4885" s="467"/>
      <c r="J4885" s="469"/>
      <c r="AL4885" s="436"/>
      <c r="AM4885" s="436"/>
      <c r="AQ4885" s="436"/>
      <c r="AR4885" s="436"/>
      <c r="AS4885" s="436"/>
      <c r="AT4885" s="436"/>
      <c r="AU4885" s="436"/>
      <c r="AV4885" s="436"/>
      <c r="AW4885" s="436"/>
      <c r="AX4885" s="436"/>
      <c r="AY4885" s="436"/>
      <c r="AZ4885" s="475"/>
      <c r="BA4885" s="475"/>
      <c r="BF4885" s="1119"/>
      <c r="BG4885" s="1119"/>
      <c r="BH4885" s="1119"/>
    </row>
    <row r="4886" spans="1:60" ht="15.75" customHeight="1">
      <c r="A4886" s="436"/>
      <c r="C4886" s="436"/>
      <c r="D4886" s="436"/>
      <c r="E4886" s="436"/>
      <c r="F4886" s="436"/>
      <c r="H4886" s="467"/>
      <c r="I4886" s="467"/>
      <c r="J4886" s="469"/>
      <c r="AL4886" s="436"/>
      <c r="AM4886" s="436"/>
      <c r="AQ4886" s="436"/>
      <c r="AR4886" s="436"/>
      <c r="AS4886" s="436"/>
      <c r="AT4886" s="436"/>
      <c r="AU4886" s="436"/>
      <c r="AV4886" s="436"/>
      <c r="AW4886" s="436"/>
      <c r="AX4886" s="436"/>
      <c r="AY4886" s="436"/>
      <c r="AZ4886" s="475"/>
      <c r="BA4886" s="475"/>
      <c r="BF4886" s="1119"/>
      <c r="BG4886" s="1119"/>
      <c r="BH4886" s="1119"/>
    </row>
    <row r="4887" spans="1:60" ht="15.75" customHeight="1">
      <c r="A4887" s="436"/>
      <c r="C4887" s="436"/>
      <c r="D4887" s="436"/>
      <c r="E4887" s="436"/>
      <c r="F4887" s="436"/>
      <c r="H4887" s="467"/>
      <c r="I4887" s="467"/>
      <c r="J4887" s="469"/>
      <c r="AL4887" s="436"/>
      <c r="AM4887" s="436"/>
      <c r="AQ4887" s="436"/>
      <c r="AR4887" s="436"/>
      <c r="AS4887" s="436"/>
      <c r="AT4887" s="436"/>
      <c r="AU4887" s="436"/>
      <c r="AV4887" s="436"/>
      <c r="AW4887" s="436"/>
      <c r="AX4887" s="436"/>
      <c r="AY4887" s="436"/>
      <c r="AZ4887" s="475"/>
      <c r="BA4887" s="475"/>
      <c r="BF4887" s="1119"/>
      <c r="BG4887" s="1119"/>
      <c r="BH4887" s="1119"/>
    </row>
    <row r="4888" spans="1:60" ht="15.75" customHeight="1">
      <c r="A4888" s="436"/>
      <c r="C4888" s="436"/>
      <c r="D4888" s="436"/>
      <c r="E4888" s="436"/>
      <c r="F4888" s="436"/>
      <c r="H4888" s="467"/>
      <c r="I4888" s="467"/>
      <c r="J4888" s="469"/>
      <c r="AL4888" s="436"/>
      <c r="AM4888" s="436"/>
      <c r="AQ4888" s="436"/>
      <c r="AR4888" s="436"/>
      <c r="AS4888" s="436"/>
      <c r="AT4888" s="436"/>
      <c r="AU4888" s="436"/>
      <c r="AV4888" s="436"/>
      <c r="AW4888" s="436"/>
      <c r="AX4888" s="436"/>
      <c r="AY4888" s="436"/>
      <c r="AZ4888" s="475"/>
      <c r="BA4888" s="475"/>
      <c r="BF4888" s="1119"/>
      <c r="BG4888" s="1119"/>
      <c r="BH4888" s="1119"/>
    </row>
    <row r="4889" spans="1:60" ht="15.75" customHeight="1">
      <c r="A4889" s="436"/>
      <c r="C4889" s="436"/>
      <c r="D4889" s="436"/>
      <c r="E4889" s="436"/>
      <c r="F4889" s="436"/>
      <c r="H4889" s="467"/>
      <c r="I4889" s="467"/>
      <c r="J4889" s="469"/>
      <c r="AL4889" s="436"/>
      <c r="AM4889" s="436"/>
      <c r="AQ4889" s="436"/>
      <c r="AR4889" s="436"/>
      <c r="AS4889" s="436"/>
      <c r="AT4889" s="436"/>
      <c r="AU4889" s="436"/>
      <c r="AV4889" s="436"/>
      <c r="AW4889" s="436"/>
      <c r="AX4889" s="436"/>
      <c r="AY4889" s="436"/>
      <c r="AZ4889" s="475"/>
      <c r="BA4889" s="475"/>
      <c r="BF4889" s="1119"/>
      <c r="BG4889" s="1119"/>
      <c r="BH4889" s="1119"/>
    </row>
    <row r="4890" spans="1:60" ht="15.75" customHeight="1">
      <c r="A4890" s="436"/>
      <c r="C4890" s="436"/>
      <c r="D4890" s="436"/>
      <c r="E4890" s="436"/>
      <c r="F4890" s="436"/>
      <c r="H4890" s="467"/>
      <c r="I4890" s="467"/>
      <c r="J4890" s="469"/>
      <c r="AL4890" s="436"/>
      <c r="AM4890" s="436"/>
      <c r="AQ4890" s="436"/>
      <c r="AR4890" s="436"/>
      <c r="AS4890" s="436"/>
      <c r="AT4890" s="436"/>
      <c r="AU4890" s="436"/>
      <c r="AV4890" s="436"/>
      <c r="AW4890" s="436"/>
      <c r="AX4890" s="436"/>
      <c r="AY4890" s="436"/>
      <c r="AZ4890" s="475"/>
      <c r="BA4890" s="475"/>
      <c r="BF4890" s="1119"/>
      <c r="BG4890" s="1119"/>
      <c r="BH4890" s="1119"/>
    </row>
    <row r="4891" spans="1:60" ht="15.75" customHeight="1">
      <c r="A4891" s="436"/>
      <c r="C4891" s="436"/>
      <c r="D4891" s="436"/>
      <c r="E4891" s="436"/>
      <c r="F4891" s="436"/>
      <c r="H4891" s="467"/>
      <c r="I4891" s="467"/>
      <c r="J4891" s="469"/>
      <c r="AL4891" s="436"/>
      <c r="AM4891" s="436"/>
      <c r="AQ4891" s="436"/>
      <c r="AR4891" s="436"/>
      <c r="AS4891" s="436"/>
      <c r="AT4891" s="436"/>
      <c r="AU4891" s="436"/>
      <c r="AV4891" s="436"/>
      <c r="AW4891" s="436"/>
      <c r="AX4891" s="436"/>
      <c r="AY4891" s="436"/>
      <c r="AZ4891" s="475"/>
      <c r="BA4891" s="475"/>
      <c r="BF4891" s="1119"/>
      <c r="BG4891" s="1119"/>
      <c r="BH4891" s="1119"/>
    </row>
    <row r="4892" spans="1:60" ht="15.75" customHeight="1">
      <c r="A4892" s="436"/>
      <c r="C4892" s="436"/>
      <c r="D4892" s="436"/>
      <c r="E4892" s="436"/>
      <c r="F4892" s="436"/>
      <c r="H4892" s="467"/>
      <c r="I4892" s="467"/>
      <c r="J4892" s="469"/>
      <c r="AL4892" s="436"/>
      <c r="AM4892" s="436"/>
      <c r="AQ4892" s="436"/>
      <c r="AR4892" s="436"/>
      <c r="AS4892" s="436"/>
      <c r="AT4892" s="436"/>
      <c r="AU4892" s="436"/>
      <c r="AV4892" s="436"/>
      <c r="AW4892" s="436"/>
      <c r="AX4892" s="436"/>
      <c r="AY4892" s="436"/>
      <c r="AZ4892" s="475"/>
      <c r="BA4892" s="475"/>
      <c r="BF4892" s="1119"/>
      <c r="BG4892" s="1119"/>
      <c r="BH4892" s="1119"/>
    </row>
    <row r="4893" spans="1:60" ht="15.75" customHeight="1">
      <c r="A4893" s="436"/>
      <c r="C4893" s="436"/>
      <c r="D4893" s="436"/>
      <c r="E4893" s="436"/>
      <c r="F4893" s="436"/>
      <c r="H4893" s="467"/>
      <c r="I4893" s="467"/>
      <c r="J4893" s="469"/>
      <c r="AL4893" s="436"/>
      <c r="AM4893" s="436"/>
      <c r="AQ4893" s="436"/>
      <c r="AR4893" s="436"/>
      <c r="AS4893" s="436"/>
      <c r="AT4893" s="436"/>
      <c r="AU4893" s="436"/>
      <c r="AV4893" s="436"/>
      <c r="AW4893" s="436"/>
      <c r="AX4893" s="436"/>
      <c r="AY4893" s="436"/>
      <c r="AZ4893" s="475"/>
      <c r="BA4893" s="475"/>
      <c r="BF4893" s="1119"/>
      <c r="BG4893" s="1119"/>
      <c r="BH4893" s="1119"/>
    </row>
    <row r="4894" spans="1:60" ht="15.75" customHeight="1">
      <c r="A4894" s="436"/>
      <c r="C4894" s="436"/>
      <c r="D4894" s="436"/>
      <c r="E4894" s="436"/>
      <c r="F4894" s="436"/>
      <c r="H4894" s="467"/>
      <c r="I4894" s="467"/>
      <c r="J4894" s="469"/>
      <c r="AL4894" s="436"/>
      <c r="AM4894" s="436"/>
      <c r="AQ4894" s="436"/>
      <c r="AR4894" s="436"/>
      <c r="AS4894" s="436"/>
      <c r="AT4894" s="436"/>
      <c r="AU4894" s="436"/>
      <c r="AV4894" s="436"/>
      <c r="AW4894" s="436"/>
      <c r="AX4894" s="436"/>
      <c r="AY4894" s="436"/>
      <c r="AZ4894" s="475"/>
      <c r="BA4894" s="475"/>
      <c r="BF4894" s="1119"/>
      <c r="BG4894" s="1119"/>
      <c r="BH4894" s="1119"/>
    </row>
    <row r="4895" spans="1:60" ht="15.75" customHeight="1">
      <c r="A4895" s="436"/>
      <c r="C4895" s="436"/>
      <c r="D4895" s="436"/>
      <c r="E4895" s="436"/>
      <c r="F4895" s="436"/>
      <c r="H4895" s="467"/>
      <c r="I4895" s="467"/>
      <c r="J4895" s="469"/>
      <c r="AL4895" s="436"/>
      <c r="AM4895" s="436"/>
      <c r="AQ4895" s="436"/>
      <c r="AR4895" s="436"/>
      <c r="AS4895" s="436"/>
      <c r="AT4895" s="436"/>
      <c r="AU4895" s="436"/>
      <c r="AV4895" s="436"/>
      <c r="AW4895" s="436"/>
      <c r="AX4895" s="436"/>
      <c r="AY4895" s="436"/>
      <c r="AZ4895" s="475"/>
      <c r="BA4895" s="475"/>
      <c r="BF4895" s="1119"/>
      <c r="BG4895" s="1119"/>
      <c r="BH4895" s="1119"/>
    </row>
    <row r="4896" spans="1:60" ht="15.75" customHeight="1">
      <c r="A4896" s="436"/>
      <c r="C4896" s="436"/>
      <c r="D4896" s="436"/>
      <c r="E4896" s="436"/>
      <c r="F4896" s="436"/>
      <c r="H4896" s="467"/>
      <c r="I4896" s="467"/>
      <c r="J4896" s="469"/>
      <c r="AL4896" s="436"/>
      <c r="AM4896" s="436"/>
      <c r="AQ4896" s="436"/>
      <c r="AR4896" s="436"/>
      <c r="AS4896" s="436"/>
      <c r="AT4896" s="436"/>
      <c r="AU4896" s="436"/>
      <c r="AV4896" s="436"/>
      <c r="AW4896" s="436"/>
      <c r="AX4896" s="436"/>
      <c r="AY4896" s="436"/>
      <c r="AZ4896" s="475"/>
      <c r="BA4896" s="475"/>
      <c r="BF4896" s="1119"/>
      <c r="BG4896" s="1119"/>
      <c r="BH4896" s="1119"/>
    </row>
    <row r="4897" spans="1:60" ht="15.75" customHeight="1">
      <c r="A4897" s="436"/>
      <c r="C4897" s="436"/>
      <c r="D4897" s="436"/>
      <c r="E4897" s="436"/>
      <c r="F4897" s="436"/>
      <c r="H4897" s="467"/>
      <c r="I4897" s="467"/>
      <c r="J4897" s="469"/>
      <c r="AL4897" s="436"/>
      <c r="AM4897" s="436"/>
      <c r="AQ4897" s="436"/>
      <c r="AR4897" s="436"/>
      <c r="AS4897" s="436"/>
      <c r="AT4897" s="436"/>
      <c r="AU4897" s="436"/>
      <c r="AV4897" s="436"/>
      <c r="AW4897" s="436"/>
      <c r="AX4897" s="436"/>
      <c r="AY4897" s="436"/>
      <c r="AZ4897" s="475"/>
      <c r="BA4897" s="475"/>
      <c r="BF4897" s="1119"/>
      <c r="BG4897" s="1119"/>
      <c r="BH4897" s="1119"/>
    </row>
    <row r="4898" spans="1:60" ht="15.75" customHeight="1">
      <c r="A4898" s="436"/>
      <c r="C4898" s="436"/>
      <c r="D4898" s="436"/>
      <c r="E4898" s="436"/>
      <c r="F4898" s="436"/>
      <c r="H4898" s="467"/>
      <c r="I4898" s="467"/>
      <c r="J4898" s="469"/>
      <c r="AL4898" s="436"/>
      <c r="AM4898" s="436"/>
      <c r="AQ4898" s="436"/>
      <c r="AR4898" s="436"/>
      <c r="AS4898" s="436"/>
      <c r="AT4898" s="436"/>
      <c r="AU4898" s="436"/>
      <c r="AV4898" s="436"/>
      <c r="AW4898" s="436"/>
      <c r="AX4898" s="436"/>
      <c r="AY4898" s="436"/>
      <c r="AZ4898" s="475"/>
      <c r="BA4898" s="475"/>
      <c r="BF4898" s="1119"/>
      <c r="BG4898" s="1119"/>
      <c r="BH4898" s="1119"/>
    </row>
    <row r="4899" spans="1:60" ht="15.75" customHeight="1">
      <c r="A4899" s="436"/>
      <c r="C4899" s="436"/>
      <c r="D4899" s="436"/>
      <c r="E4899" s="436"/>
      <c r="F4899" s="436"/>
      <c r="H4899" s="467"/>
      <c r="I4899" s="467"/>
      <c r="J4899" s="469"/>
      <c r="AL4899" s="436"/>
      <c r="AM4899" s="436"/>
      <c r="AQ4899" s="436"/>
      <c r="AR4899" s="436"/>
      <c r="AS4899" s="436"/>
      <c r="AT4899" s="436"/>
      <c r="AU4899" s="436"/>
      <c r="AV4899" s="436"/>
      <c r="AW4899" s="436"/>
      <c r="AX4899" s="436"/>
      <c r="AY4899" s="436"/>
      <c r="AZ4899" s="475"/>
      <c r="BA4899" s="475"/>
      <c r="BF4899" s="1119"/>
      <c r="BG4899" s="1119"/>
      <c r="BH4899" s="1119"/>
    </row>
    <row r="4900" spans="1:60" ht="15.75" customHeight="1">
      <c r="A4900" s="436"/>
      <c r="C4900" s="436"/>
      <c r="D4900" s="436"/>
      <c r="E4900" s="436"/>
      <c r="F4900" s="436"/>
      <c r="H4900" s="467"/>
      <c r="I4900" s="467"/>
      <c r="J4900" s="469"/>
      <c r="AL4900" s="436"/>
      <c r="AM4900" s="436"/>
      <c r="AQ4900" s="436"/>
      <c r="AR4900" s="436"/>
      <c r="AS4900" s="436"/>
      <c r="AT4900" s="436"/>
      <c r="AU4900" s="436"/>
      <c r="AV4900" s="436"/>
      <c r="AW4900" s="436"/>
      <c r="AX4900" s="436"/>
      <c r="AY4900" s="436"/>
      <c r="AZ4900" s="475"/>
      <c r="BA4900" s="475"/>
      <c r="BF4900" s="1119"/>
      <c r="BG4900" s="1119"/>
      <c r="BH4900" s="1119"/>
    </row>
    <row r="4901" spans="1:60" ht="15.75" customHeight="1">
      <c r="A4901" s="436"/>
      <c r="C4901" s="436"/>
      <c r="D4901" s="436"/>
      <c r="E4901" s="436"/>
      <c r="F4901" s="436"/>
      <c r="H4901" s="467"/>
      <c r="I4901" s="467"/>
      <c r="J4901" s="469"/>
      <c r="AL4901" s="436"/>
      <c r="AM4901" s="436"/>
      <c r="AQ4901" s="436"/>
      <c r="AR4901" s="436"/>
      <c r="AS4901" s="436"/>
      <c r="AT4901" s="436"/>
      <c r="AU4901" s="436"/>
      <c r="AV4901" s="436"/>
      <c r="AW4901" s="436"/>
      <c r="AX4901" s="436"/>
      <c r="AY4901" s="436"/>
      <c r="AZ4901" s="475"/>
      <c r="BA4901" s="475"/>
      <c r="BF4901" s="1119"/>
      <c r="BG4901" s="1119"/>
      <c r="BH4901" s="1119"/>
    </row>
    <row r="4902" spans="1:60" ht="15.75" customHeight="1">
      <c r="A4902" s="436"/>
      <c r="C4902" s="436"/>
      <c r="D4902" s="436"/>
      <c r="E4902" s="436"/>
      <c r="F4902" s="436"/>
      <c r="H4902" s="467"/>
      <c r="I4902" s="467"/>
      <c r="J4902" s="469"/>
      <c r="AL4902" s="436"/>
      <c r="AM4902" s="436"/>
      <c r="AQ4902" s="436"/>
      <c r="AR4902" s="436"/>
      <c r="AS4902" s="436"/>
      <c r="AT4902" s="436"/>
      <c r="AU4902" s="436"/>
      <c r="AV4902" s="436"/>
      <c r="AW4902" s="436"/>
      <c r="AX4902" s="436"/>
      <c r="AY4902" s="436"/>
      <c r="AZ4902" s="475"/>
      <c r="BA4902" s="475"/>
      <c r="BF4902" s="1119"/>
      <c r="BG4902" s="1119"/>
      <c r="BH4902" s="1119"/>
    </row>
    <row r="4903" spans="1:60" ht="15.75" customHeight="1">
      <c r="A4903" s="436"/>
      <c r="C4903" s="436"/>
      <c r="D4903" s="436"/>
      <c r="E4903" s="436"/>
      <c r="F4903" s="436"/>
      <c r="H4903" s="467"/>
      <c r="I4903" s="467"/>
      <c r="J4903" s="469"/>
      <c r="AL4903" s="436"/>
      <c r="AM4903" s="436"/>
      <c r="AQ4903" s="436"/>
      <c r="AR4903" s="436"/>
      <c r="AS4903" s="436"/>
      <c r="AT4903" s="436"/>
      <c r="AU4903" s="436"/>
      <c r="AV4903" s="436"/>
      <c r="AW4903" s="436"/>
      <c r="AX4903" s="436"/>
      <c r="AY4903" s="436"/>
      <c r="AZ4903" s="475"/>
      <c r="BA4903" s="475"/>
      <c r="BF4903" s="1119"/>
      <c r="BG4903" s="1119"/>
      <c r="BH4903" s="1119"/>
    </row>
    <row r="4904" spans="1:60" ht="15.75" customHeight="1">
      <c r="A4904" s="436"/>
      <c r="C4904" s="436"/>
      <c r="D4904" s="436"/>
      <c r="E4904" s="436"/>
      <c r="F4904" s="436"/>
      <c r="H4904" s="467"/>
      <c r="I4904" s="467"/>
      <c r="J4904" s="469"/>
      <c r="AL4904" s="436"/>
      <c r="AM4904" s="436"/>
      <c r="AQ4904" s="436"/>
      <c r="AR4904" s="436"/>
      <c r="AS4904" s="436"/>
      <c r="AT4904" s="436"/>
      <c r="AU4904" s="436"/>
      <c r="AV4904" s="436"/>
      <c r="AW4904" s="436"/>
      <c r="AX4904" s="436"/>
      <c r="AY4904" s="436"/>
      <c r="AZ4904" s="475"/>
      <c r="BA4904" s="475"/>
      <c r="BF4904" s="1119"/>
      <c r="BG4904" s="1119"/>
      <c r="BH4904" s="1119"/>
    </row>
    <row r="4905" spans="1:60" ht="15.75" customHeight="1">
      <c r="A4905" s="436"/>
      <c r="C4905" s="436"/>
      <c r="D4905" s="436"/>
      <c r="E4905" s="436"/>
      <c r="F4905" s="436"/>
      <c r="H4905" s="467"/>
      <c r="I4905" s="467"/>
      <c r="J4905" s="469"/>
      <c r="AL4905" s="436"/>
      <c r="AM4905" s="436"/>
      <c r="AQ4905" s="436"/>
      <c r="AR4905" s="436"/>
      <c r="AS4905" s="436"/>
      <c r="AT4905" s="436"/>
      <c r="AU4905" s="436"/>
      <c r="AV4905" s="436"/>
      <c r="AW4905" s="436"/>
      <c r="AX4905" s="436"/>
      <c r="AY4905" s="436"/>
      <c r="AZ4905" s="475"/>
      <c r="BA4905" s="475"/>
      <c r="BF4905" s="1119"/>
      <c r="BG4905" s="1119"/>
      <c r="BH4905" s="1119"/>
    </row>
    <row r="4906" spans="1:60" ht="15.75" customHeight="1">
      <c r="A4906" s="436"/>
      <c r="C4906" s="436"/>
      <c r="D4906" s="436"/>
      <c r="E4906" s="436"/>
      <c r="F4906" s="436"/>
      <c r="H4906" s="467"/>
      <c r="I4906" s="467"/>
      <c r="J4906" s="469"/>
      <c r="AL4906" s="436"/>
      <c r="AM4906" s="436"/>
      <c r="AQ4906" s="436"/>
      <c r="AR4906" s="436"/>
      <c r="AS4906" s="436"/>
      <c r="AT4906" s="436"/>
      <c r="AU4906" s="436"/>
      <c r="AV4906" s="436"/>
      <c r="AW4906" s="436"/>
      <c r="AX4906" s="436"/>
      <c r="AY4906" s="436"/>
      <c r="AZ4906" s="475"/>
      <c r="BA4906" s="475"/>
      <c r="BF4906" s="1119"/>
      <c r="BG4906" s="1119"/>
      <c r="BH4906" s="1119"/>
    </row>
    <row r="4907" spans="1:60" ht="15.75" customHeight="1">
      <c r="A4907" s="436"/>
      <c r="C4907" s="436"/>
      <c r="D4907" s="436"/>
      <c r="E4907" s="436"/>
      <c r="F4907" s="436"/>
      <c r="H4907" s="467"/>
      <c r="I4907" s="467"/>
      <c r="J4907" s="469"/>
      <c r="AL4907" s="436"/>
      <c r="AM4907" s="436"/>
      <c r="AQ4907" s="436"/>
      <c r="AR4907" s="436"/>
      <c r="AS4907" s="436"/>
      <c r="AT4907" s="436"/>
      <c r="AU4907" s="436"/>
      <c r="AV4907" s="436"/>
      <c r="AW4907" s="436"/>
      <c r="AX4907" s="436"/>
      <c r="AY4907" s="436"/>
      <c r="AZ4907" s="475"/>
      <c r="BA4907" s="475"/>
      <c r="BF4907" s="1119"/>
      <c r="BG4907" s="1119"/>
      <c r="BH4907" s="1119"/>
    </row>
    <row r="4908" spans="1:60" ht="15.75" customHeight="1">
      <c r="A4908" s="436"/>
      <c r="C4908" s="436"/>
      <c r="D4908" s="436"/>
      <c r="E4908" s="436"/>
      <c r="F4908" s="436"/>
      <c r="H4908" s="467"/>
      <c r="I4908" s="467"/>
      <c r="J4908" s="469"/>
      <c r="AL4908" s="436"/>
      <c r="AM4908" s="436"/>
      <c r="AQ4908" s="436"/>
      <c r="AR4908" s="436"/>
      <c r="AS4908" s="436"/>
      <c r="AT4908" s="436"/>
      <c r="AU4908" s="436"/>
      <c r="AV4908" s="436"/>
      <c r="AW4908" s="436"/>
      <c r="AX4908" s="436"/>
      <c r="AY4908" s="436"/>
      <c r="AZ4908" s="475"/>
      <c r="BA4908" s="475"/>
      <c r="BF4908" s="1119"/>
      <c r="BG4908" s="1119"/>
      <c r="BH4908" s="1119"/>
    </row>
    <row r="4909" spans="1:60" ht="15.75" customHeight="1">
      <c r="A4909" s="436"/>
      <c r="C4909" s="436"/>
      <c r="D4909" s="436"/>
      <c r="E4909" s="436"/>
      <c r="F4909" s="436"/>
      <c r="H4909" s="467"/>
      <c r="I4909" s="467"/>
      <c r="J4909" s="469"/>
      <c r="AL4909" s="436"/>
      <c r="AM4909" s="436"/>
      <c r="AQ4909" s="436"/>
      <c r="AR4909" s="436"/>
      <c r="AS4909" s="436"/>
      <c r="AT4909" s="436"/>
      <c r="AU4909" s="436"/>
      <c r="AV4909" s="436"/>
      <c r="AW4909" s="436"/>
      <c r="AX4909" s="436"/>
      <c r="AY4909" s="436"/>
      <c r="AZ4909" s="475"/>
      <c r="BA4909" s="475"/>
      <c r="BF4909" s="1119"/>
      <c r="BG4909" s="1119"/>
      <c r="BH4909" s="1119"/>
    </row>
    <row r="4910" spans="1:60" ht="15.75" customHeight="1">
      <c r="A4910" s="436"/>
      <c r="C4910" s="436"/>
      <c r="D4910" s="436"/>
      <c r="E4910" s="436"/>
      <c r="F4910" s="436"/>
      <c r="H4910" s="467"/>
      <c r="I4910" s="467"/>
      <c r="J4910" s="469"/>
      <c r="AL4910" s="436"/>
      <c r="AM4910" s="436"/>
      <c r="AQ4910" s="436"/>
      <c r="AR4910" s="436"/>
      <c r="AS4910" s="436"/>
      <c r="AT4910" s="436"/>
      <c r="AU4910" s="436"/>
      <c r="AV4910" s="436"/>
      <c r="AW4910" s="436"/>
      <c r="AX4910" s="436"/>
      <c r="AY4910" s="436"/>
      <c r="AZ4910" s="475"/>
      <c r="BA4910" s="475"/>
      <c r="BF4910" s="1119"/>
      <c r="BG4910" s="1119"/>
      <c r="BH4910" s="1119"/>
    </row>
    <row r="4911" spans="1:60" ht="15.75" customHeight="1">
      <c r="A4911" s="436"/>
      <c r="C4911" s="436"/>
      <c r="D4911" s="436"/>
      <c r="E4911" s="436"/>
      <c r="F4911" s="436"/>
      <c r="H4911" s="467"/>
      <c r="I4911" s="467"/>
      <c r="J4911" s="469"/>
      <c r="AL4911" s="436"/>
      <c r="AM4911" s="436"/>
      <c r="AQ4911" s="436"/>
      <c r="AR4911" s="436"/>
      <c r="AS4911" s="436"/>
      <c r="AT4911" s="436"/>
      <c r="AU4911" s="436"/>
      <c r="AV4911" s="436"/>
      <c r="AW4911" s="436"/>
      <c r="AX4911" s="436"/>
      <c r="AY4911" s="436"/>
      <c r="AZ4911" s="475"/>
      <c r="BA4911" s="475"/>
      <c r="BF4911" s="1119"/>
      <c r="BG4911" s="1119"/>
      <c r="BH4911" s="1119"/>
    </row>
    <row r="4912" spans="1:60" ht="15.75" customHeight="1">
      <c r="A4912" s="436"/>
      <c r="C4912" s="436"/>
      <c r="D4912" s="436"/>
      <c r="E4912" s="436"/>
      <c r="F4912" s="436"/>
      <c r="H4912" s="467"/>
      <c r="I4912" s="467"/>
      <c r="J4912" s="469"/>
      <c r="AL4912" s="436"/>
      <c r="AM4912" s="436"/>
      <c r="AQ4912" s="436"/>
      <c r="AR4912" s="436"/>
      <c r="AS4912" s="436"/>
      <c r="AT4912" s="436"/>
      <c r="AU4912" s="436"/>
      <c r="AV4912" s="436"/>
      <c r="AW4912" s="436"/>
      <c r="AX4912" s="436"/>
      <c r="AY4912" s="436"/>
      <c r="AZ4912" s="475"/>
      <c r="BA4912" s="475"/>
      <c r="BF4912" s="1119"/>
      <c r="BG4912" s="1119"/>
      <c r="BH4912" s="1119"/>
    </row>
    <row r="4913" spans="1:60" ht="15.75" customHeight="1">
      <c r="A4913" s="436"/>
      <c r="C4913" s="436"/>
      <c r="D4913" s="436"/>
      <c r="E4913" s="436"/>
      <c r="F4913" s="436"/>
      <c r="H4913" s="467"/>
      <c r="I4913" s="467"/>
      <c r="J4913" s="469"/>
      <c r="AL4913" s="436"/>
      <c r="AM4913" s="436"/>
      <c r="AQ4913" s="436"/>
      <c r="AR4913" s="436"/>
      <c r="AS4913" s="436"/>
      <c r="AT4913" s="436"/>
      <c r="AU4913" s="436"/>
      <c r="AV4913" s="436"/>
      <c r="AW4913" s="436"/>
      <c r="AX4913" s="436"/>
      <c r="AY4913" s="436"/>
      <c r="AZ4913" s="475"/>
      <c r="BA4913" s="475"/>
      <c r="BF4913" s="1119"/>
      <c r="BG4913" s="1119"/>
      <c r="BH4913" s="1119"/>
    </row>
    <row r="4914" spans="1:60" ht="15.75" customHeight="1">
      <c r="A4914" s="436"/>
      <c r="C4914" s="436"/>
      <c r="D4914" s="436"/>
      <c r="E4914" s="436"/>
      <c r="F4914" s="436"/>
      <c r="H4914" s="467"/>
      <c r="I4914" s="467"/>
      <c r="J4914" s="469"/>
      <c r="AL4914" s="436"/>
      <c r="AM4914" s="436"/>
      <c r="AQ4914" s="436"/>
      <c r="AR4914" s="436"/>
      <c r="AS4914" s="436"/>
      <c r="AT4914" s="436"/>
      <c r="AU4914" s="436"/>
      <c r="AV4914" s="436"/>
      <c r="AW4914" s="436"/>
      <c r="AX4914" s="436"/>
      <c r="AY4914" s="436"/>
      <c r="AZ4914" s="475"/>
      <c r="BA4914" s="475"/>
      <c r="BF4914" s="1119"/>
      <c r="BG4914" s="1119"/>
      <c r="BH4914" s="1119"/>
    </row>
    <row r="4915" spans="1:60" ht="15.75" customHeight="1">
      <c r="A4915" s="436"/>
      <c r="C4915" s="436"/>
      <c r="D4915" s="436"/>
      <c r="E4915" s="436"/>
      <c r="F4915" s="436"/>
      <c r="H4915" s="467"/>
      <c r="I4915" s="467"/>
      <c r="J4915" s="469"/>
      <c r="AL4915" s="436"/>
      <c r="AM4915" s="436"/>
      <c r="AQ4915" s="436"/>
      <c r="AR4915" s="436"/>
      <c r="AS4915" s="436"/>
      <c r="AT4915" s="436"/>
      <c r="AU4915" s="436"/>
      <c r="AV4915" s="436"/>
      <c r="AW4915" s="436"/>
      <c r="AX4915" s="436"/>
      <c r="AY4915" s="436"/>
      <c r="AZ4915" s="475"/>
      <c r="BA4915" s="475"/>
      <c r="BF4915" s="1119"/>
      <c r="BG4915" s="1119"/>
      <c r="BH4915" s="1119"/>
    </row>
    <row r="4916" spans="1:60" ht="15.75" customHeight="1">
      <c r="A4916" s="436"/>
      <c r="C4916" s="436"/>
      <c r="D4916" s="436"/>
      <c r="E4916" s="436"/>
      <c r="F4916" s="436"/>
      <c r="H4916" s="467"/>
      <c r="I4916" s="467"/>
      <c r="J4916" s="469"/>
      <c r="AL4916" s="436"/>
      <c r="AM4916" s="436"/>
      <c r="AQ4916" s="436"/>
      <c r="AR4916" s="436"/>
      <c r="AS4916" s="436"/>
      <c r="AT4916" s="436"/>
      <c r="AU4916" s="436"/>
      <c r="AV4916" s="436"/>
      <c r="AW4916" s="436"/>
      <c r="AX4916" s="436"/>
      <c r="AY4916" s="436"/>
      <c r="AZ4916" s="475"/>
      <c r="BA4916" s="475"/>
      <c r="BF4916" s="1119"/>
      <c r="BG4916" s="1119"/>
      <c r="BH4916" s="1119"/>
    </row>
    <row r="4917" spans="1:60" ht="15.75" customHeight="1">
      <c r="A4917" s="436"/>
      <c r="C4917" s="436"/>
      <c r="D4917" s="436"/>
      <c r="E4917" s="436"/>
      <c r="F4917" s="436"/>
      <c r="H4917" s="467"/>
      <c r="I4917" s="467"/>
      <c r="J4917" s="469"/>
      <c r="AL4917" s="436"/>
      <c r="AM4917" s="436"/>
      <c r="AQ4917" s="436"/>
      <c r="AR4917" s="436"/>
      <c r="AS4917" s="436"/>
      <c r="AT4917" s="436"/>
      <c r="AU4917" s="436"/>
      <c r="AV4917" s="436"/>
      <c r="AW4917" s="436"/>
      <c r="AX4917" s="436"/>
      <c r="AY4917" s="436"/>
      <c r="AZ4917" s="475"/>
      <c r="BA4917" s="475"/>
      <c r="BF4917" s="1119"/>
      <c r="BG4917" s="1119"/>
      <c r="BH4917" s="1119"/>
    </row>
    <row r="4918" spans="1:60" ht="15.75" customHeight="1">
      <c r="A4918" s="436"/>
      <c r="C4918" s="436"/>
      <c r="D4918" s="436"/>
      <c r="E4918" s="436"/>
      <c r="F4918" s="436"/>
      <c r="H4918" s="467"/>
      <c r="I4918" s="467"/>
      <c r="J4918" s="469"/>
      <c r="AL4918" s="436"/>
      <c r="AM4918" s="436"/>
      <c r="AQ4918" s="436"/>
      <c r="AR4918" s="436"/>
      <c r="AS4918" s="436"/>
      <c r="AT4918" s="436"/>
      <c r="AU4918" s="436"/>
      <c r="AV4918" s="436"/>
      <c r="AW4918" s="436"/>
      <c r="AX4918" s="436"/>
      <c r="AY4918" s="436"/>
      <c r="AZ4918" s="475"/>
      <c r="BA4918" s="475"/>
      <c r="BF4918" s="1119"/>
      <c r="BG4918" s="1119"/>
      <c r="BH4918" s="1119"/>
    </row>
    <row r="4919" spans="1:60" ht="15.75" customHeight="1">
      <c r="A4919" s="436"/>
      <c r="C4919" s="436"/>
      <c r="D4919" s="436"/>
      <c r="E4919" s="436"/>
      <c r="F4919" s="436"/>
      <c r="H4919" s="467"/>
      <c r="I4919" s="467"/>
      <c r="J4919" s="469"/>
      <c r="AL4919" s="436"/>
      <c r="AM4919" s="436"/>
      <c r="AQ4919" s="436"/>
      <c r="AR4919" s="436"/>
      <c r="AS4919" s="436"/>
      <c r="AT4919" s="436"/>
      <c r="AU4919" s="436"/>
      <c r="AV4919" s="436"/>
      <c r="AW4919" s="436"/>
      <c r="AX4919" s="436"/>
      <c r="AY4919" s="436"/>
      <c r="AZ4919" s="475"/>
      <c r="BA4919" s="475"/>
      <c r="BF4919" s="1119"/>
      <c r="BG4919" s="1119"/>
      <c r="BH4919" s="1119"/>
    </row>
    <row r="4920" spans="1:60" ht="15.75" customHeight="1">
      <c r="A4920" s="436"/>
      <c r="C4920" s="436"/>
      <c r="D4920" s="436"/>
      <c r="E4920" s="436"/>
      <c r="F4920" s="436"/>
      <c r="H4920" s="467"/>
      <c r="I4920" s="467"/>
      <c r="J4920" s="469"/>
      <c r="AL4920" s="436"/>
      <c r="AM4920" s="436"/>
      <c r="AQ4920" s="436"/>
      <c r="AR4920" s="436"/>
      <c r="AS4920" s="436"/>
      <c r="AT4920" s="436"/>
      <c r="AU4920" s="436"/>
      <c r="AV4920" s="436"/>
      <c r="AW4920" s="436"/>
      <c r="AX4920" s="436"/>
      <c r="AY4920" s="436"/>
      <c r="AZ4920" s="475"/>
      <c r="BA4920" s="475"/>
      <c r="BF4920" s="1119"/>
      <c r="BG4920" s="1119"/>
      <c r="BH4920" s="1119"/>
    </row>
    <row r="4921" spans="1:60" ht="15.75" customHeight="1">
      <c r="A4921" s="436"/>
      <c r="C4921" s="436"/>
      <c r="D4921" s="436"/>
      <c r="E4921" s="436"/>
      <c r="F4921" s="436"/>
      <c r="H4921" s="467"/>
      <c r="I4921" s="467"/>
      <c r="J4921" s="469"/>
      <c r="AL4921" s="436"/>
      <c r="AM4921" s="436"/>
      <c r="AQ4921" s="436"/>
      <c r="AR4921" s="436"/>
      <c r="AS4921" s="436"/>
      <c r="AT4921" s="436"/>
      <c r="AU4921" s="436"/>
      <c r="AV4921" s="436"/>
      <c r="AW4921" s="436"/>
      <c r="AX4921" s="436"/>
      <c r="AY4921" s="436"/>
      <c r="AZ4921" s="475"/>
      <c r="BA4921" s="475"/>
      <c r="BF4921" s="1119"/>
      <c r="BG4921" s="1119"/>
      <c r="BH4921" s="1119"/>
    </row>
    <row r="4922" spans="1:60" ht="15.75" customHeight="1">
      <c r="A4922" s="436"/>
      <c r="C4922" s="436"/>
      <c r="D4922" s="436"/>
      <c r="E4922" s="436"/>
      <c r="F4922" s="436"/>
      <c r="H4922" s="467"/>
      <c r="I4922" s="467"/>
      <c r="J4922" s="469"/>
      <c r="AL4922" s="436"/>
      <c r="AM4922" s="436"/>
      <c r="AQ4922" s="436"/>
      <c r="AR4922" s="436"/>
      <c r="AS4922" s="436"/>
      <c r="AT4922" s="436"/>
      <c r="AU4922" s="436"/>
      <c r="AV4922" s="436"/>
      <c r="AW4922" s="436"/>
      <c r="AX4922" s="436"/>
      <c r="AY4922" s="436"/>
      <c r="AZ4922" s="475"/>
      <c r="BA4922" s="475"/>
      <c r="BF4922" s="1119"/>
      <c r="BG4922" s="1119"/>
      <c r="BH4922" s="1119"/>
    </row>
    <row r="4923" spans="1:60" ht="15.75" customHeight="1">
      <c r="A4923" s="436"/>
      <c r="C4923" s="436"/>
      <c r="D4923" s="436"/>
      <c r="E4923" s="436"/>
      <c r="F4923" s="436"/>
      <c r="H4923" s="467"/>
      <c r="I4923" s="467"/>
      <c r="J4923" s="469"/>
      <c r="AL4923" s="436"/>
      <c r="AM4923" s="436"/>
      <c r="AQ4923" s="436"/>
      <c r="AR4923" s="436"/>
      <c r="AS4923" s="436"/>
      <c r="AT4923" s="436"/>
      <c r="AU4923" s="436"/>
      <c r="AV4923" s="436"/>
      <c r="AW4923" s="436"/>
      <c r="AX4923" s="436"/>
      <c r="AY4923" s="436"/>
      <c r="AZ4923" s="475"/>
      <c r="BA4923" s="475"/>
      <c r="BF4923" s="1119"/>
      <c r="BG4923" s="1119"/>
      <c r="BH4923" s="1119"/>
    </row>
    <row r="4924" spans="1:60" ht="15.75" customHeight="1">
      <c r="A4924" s="436"/>
      <c r="C4924" s="436"/>
      <c r="D4924" s="436"/>
      <c r="E4924" s="436"/>
      <c r="F4924" s="436"/>
      <c r="H4924" s="467"/>
      <c r="I4924" s="467"/>
      <c r="J4924" s="469"/>
      <c r="AL4924" s="436"/>
      <c r="AM4924" s="436"/>
      <c r="AQ4924" s="436"/>
      <c r="AR4924" s="436"/>
      <c r="AS4924" s="436"/>
      <c r="AT4924" s="436"/>
      <c r="AU4924" s="436"/>
      <c r="AV4924" s="436"/>
      <c r="AW4924" s="436"/>
      <c r="AX4924" s="436"/>
      <c r="AY4924" s="436"/>
      <c r="AZ4924" s="475"/>
      <c r="BA4924" s="475"/>
      <c r="BF4924" s="1119"/>
      <c r="BG4924" s="1119"/>
      <c r="BH4924" s="1119"/>
    </row>
    <row r="4925" spans="1:60" ht="15.75" customHeight="1">
      <c r="A4925" s="436"/>
      <c r="C4925" s="436"/>
      <c r="D4925" s="436"/>
      <c r="E4925" s="436"/>
      <c r="F4925" s="436"/>
      <c r="H4925" s="467"/>
      <c r="I4925" s="467"/>
      <c r="J4925" s="469"/>
      <c r="AL4925" s="436"/>
      <c r="AM4925" s="436"/>
      <c r="AQ4925" s="436"/>
      <c r="AR4925" s="436"/>
      <c r="AS4925" s="436"/>
      <c r="AT4925" s="436"/>
      <c r="AU4925" s="436"/>
      <c r="AV4925" s="436"/>
      <c r="AW4925" s="436"/>
      <c r="AX4925" s="436"/>
      <c r="AY4925" s="436"/>
      <c r="AZ4925" s="475"/>
      <c r="BA4925" s="475"/>
      <c r="BF4925" s="1119"/>
      <c r="BG4925" s="1119"/>
      <c r="BH4925" s="1119"/>
    </row>
    <row r="4926" spans="1:60" ht="15.75" customHeight="1">
      <c r="A4926" s="436"/>
      <c r="C4926" s="436"/>
      <c r="D4926" s="436"/>
      <c r="E4926" s="436"/>
      <c r="F4926" s="436"/>
      <c r="H4926" s="467"/>
      <c r="I4926" s="467"/>
      <c r="J4926" s="469"/>
      <c r="AL4926" s="436"/>
      <c r="AM4926" s="436"/>
      <c r="AQ4926" s="436"/>
      <c r="AR4926" s="436"/>
      <c r="AS4926" s="436"/>
      <c r="AT4926" s="436"/>
      <c r="AU4926" s="436"/>
      <c r="AV4926" s="436"/>
      <c r="AW4926" s="436"/>
      <c r="AX4926" s="436"/>
      <c r="AY4926" s="436"/>
      <c r="AZ4926" s="475"/>
      <c r="BA4926" s="475"/>
      <c r="BF4926" s="1119"/>
      <c r="BG4926" s="1119"/>
      <c r="BH4926" s="1119"/>
    </row>
    <row r="4927" spans="1:60" ht="15.75" customHeight="1">
      <c r="A4927" s="436"/>
      <c r="C4927" s="436"/>
      <c r="D4927" s="436"/>
      <c r="E4927" s="436"/>
      <c r="F4927" s="436"/>
      <c r="H4927" s="467"/>
      <c r="I4927" s="467"/>
      <c r="J4927" s="469"/>
      <c r="AL4927" s="436"/>
      <c r="AM4927" s="436"/>
      <c r="AQ4927" s="436"/>
      <c r="AR4927" s="436"/>
      <c r="AS4927" s="436"/>
      <c r="AT4927" s="436"/>
      <c r="AU4927" s="436"/>
      <c r="AV4927" s="436"/>
      <c r="AW4927" s="436"/>
      <c r="AX4927" s="436"/>
      <c r="AY4927" s="436"/>
      <c r="AZ4927" s="475"/>
      <c r="BA4927" s="475"/>
      <c r="BF4927" s="1119"/>
      <c r="BG4927" s="1119"/>
      <c r="BH4927" s="1119"/>
    </row>
    <row r="4928" spans="1:60" ht="15.75" customHeight="1">
      <c r="A4928" s="436"/>
      <c r="C4928" s="436"/>
      <c r="D4928" s="436"/>
      <c r="E4928" s="436"/>
      <c r="F4928" s="436"/>
      <c r="H4928" s="467"/>
      <c r="I4928" s="467"/>
      <c r="J4928" s="469"/>
      <c r="AL4928" s="436"/>
      <c r="AM4928" s="436"/>
      <c r="AQ4928" s="436"/>
      <c r="AR4928" s="436"/>
      <c r="AS4928" s="436"/>
      <c r="AT4928" s="436"/>
      <c r="AU4928" s="436"/>
      <c r="AV4928" s="436"/>
      <c r="AW4928" s="436"/>
      <c r="AX4928" s="436"/>
      <c r="AY4928" s="436"/>
      <c r="AZ4928" s="475"/>
      <c r="BA4928" s="475"/>
      <c r="BF4928" s="1119"/>
      <c r="BG4928" s="1119"/>
      <c r="BH4928" s="1119"/>
    </row>
    <row r="4929" spans="1:60" ht="15.75" customHeight="1">
      <c r="A4929" s="436"/>
      <c r="C4929" s="436"/>
      <c r="D4929" s="436"/>
      <c r="E4929" s="436"/>
      <c r="F4929" s="436"/>
      <c r="H4929" s="467"/>
      <c r="I4929" s="467"/>
      <c r="J4929" s="469"/>
      <c r="AL4929" s="436"/>
      <c r="AM4929" s="436"/>
      <c r="AQ4929" s="436"/>
      <c r="AR4929" s="436"/>
      <c r="AS4929" s="436"/>
      <c r="AT4929" s="436"/>
      <c r="AU4929" s="436"/>
      <c r="AV4929" s="436"/>
      <c r="AW4929" s="436"/>
      <c r="AX4929" s="436"/>
      <c r="AY4929" s="436"/>
      <c r="AZ4929" s="475"/>
      <c r="BA4929" s="475"/>
      <c r="BF4929" s="1119"/>
      <c r="BG4929" s="1119"/>
      <c r="BH4929" s="1119"/>
    </row>
    <row r="4930" spans="1:60" ht="15.75" customHeight="1">
      <c r="A4930" s="436"/>
      <c r="C4930" s="436"/>
      <c r="D4930" s="436"/>
      <c r="E4930" s="436"/>
      <c r="F4930" s="436"/>
      <c r="H4930" s="467"/>
      <c r="I4930" s="467"/>
      <c r="J4930" s="469"/>
      <c r="AL4930" s="436"/>
      <c r="AM4930" s="436"/>
      <c r="AQ4930" s="436"/>
      <c r="AR4930" s="436"/>
      <c r="AS4930" s="436"/>
      <c r="AT4930" s="436"/>
      <c r="AU4930" s="436"/>
      <c r="AV4930" s="436"/>
      <c r="AW4930" s="436"/>
      <c r="AX4930" s="436"/>
      <c r="AY4930" s="436"/>
      <c r="AZ4930" s="475"/>
      <c r="BA4930" s="475"/>
      <c r="BF4930" s="1119"/>
      <c r="BG4930" s="1119"/>
      <c r="BH4930" s="1119"/>
    </row>
    <row r="4931" spans="1:60" ht="15.75" customHeight="1">
      <c r="A4931" s="436"/>
      <c r="C4931" s="436"/>
      <c r="D4931" s="436"/>
      <c r="E4931" s="436"/>
      <c r="F4931" s="436"/>
      <c r="H4931" s="467"/>
      <c r="I4931" s="467"/>
      <c r="J4931" s="469"/>
      <c r="AL4931" s="436"/>
      <c r="AM4931" s="436"/>
      <c r="AQ4931" s="436"/>
      <c r="AR4931" s="436"/>
      <c r="AS4931" s="436"/>
      <c r="AT4931" s="436"/>
      <c r="AU4931" s="436"/>
      <c r="AV4931" s="436"/>
      <c r="AW4931" s="436"/>
      <c r="AX4931" s="436"/>
      <c r="AY4931" s="436"/>
      <c r="AZ4931" s="475"/>
      <c r="BA4931" s="475"/>
      <c r="BF4931" s="1119"/>
      <c r="BG4931" s="1119"/>
      <c r="BH4931" s="1119"/>
    </row>
    <row r="4932" spans="1:60" ht="15.75" customHeight="1">
      <c r="A4932" s="436"/>
      <c r="C4932" s="436"/>
      <c r="D4932" s="436"/>
      <c r="E4932" s="436"/>
      <c r="F4932" s="436"/>
      <c r="H4932" s="467"/>
      <c r="I4932" s="467"/>
      <c r="J4932" s="469"/>
      <c r="AL4932" s="436"/>
      <c r="AM4932" s="436"/>
      <c r="AQ4932" s="436"/>
      <c r="AR4932" s="436"/>
      <c r="AS4932" s="436"/>
      <c r="AT4932" s="436"/>
      <c r="AU4932" s="436"/>
      <c r="AV4932" s="436"/>
      <c r="AW4932" s="436"/>
      <c r="AX4932" s="436"/>
      <c r="AY4932" s="436"/>
      <c r="AZ4932" s="475"/>
      <c r="BA4932" s="475"/>
      <c r="BF4932" s="1119"/>
      <c r="BG4932" s="1119"/>
      <c r="BH4932" s="1119"/>
    </row>
    <row r="4933" spans="1:60" ht="15.75" customHeight="1">
      <c r="A4933" s="436"/>
      <c r="C4933" s="436"/>
      <c r="D4933" s="436"/>
      <c r="E4933" s="436"/>
      <c r="F4933" s="436"/>
      <c r="H4933" s="467"/>
      <c r="I4933" s="467"/>
      <c r="J4933" s="469"/>
      <c r="AL4933" s="436"/>
      <c r="AM4933" s="436"/>
      <c r="AQ4933" s="436"/>
      <c r="AR4933" s="436"/>
      <c r="AS4933" s="436"/>
      <c r="AT4933" s="436"/>
      <c r="AU4933" s="436"/>
      <c r="AV4933" s="436"/>
      <c r="AW4933" s="436"/>
      <c r="AX4933" s="436"/>
      <c r="AY4933" s="436"/>
      <c r="AZ4933" s="475"/>
      <c r="BA4933" s="475"/>
      <c r="BF4933" s="1119"/>
      <c r="BG4933" s="1119"/>
      <c r="BH4933" s="1119"/>
    </row>
    <row r="4934" spans="1:60" ht="15.75" customHeight="1">
      <c r="A4934" s="436"/>
      <c r="C4934" s="436"/>
      <c r="D4934" s="436"/>
      <c r="E4934" s="436"/>
      <c r="F4934" s="436"/>
      <c r="H4934" s="467"/>
      <c r="I4934" s="467"/>
      <c r="J4934" s="469"/>
      <c r="AL4934" s="436"/>
      <c r="AM4934" s="436"/>
      <c r="AQ4934" s="436"/>
      <c r="AR4934" s="436"/>
      <c r="AS4934" s="436"/>
      <c r="AT4934" s="436"/>
      <c r="AU4934" s="436"/>
      <c r="AV4934" s="436"/>
      <c r="AW4934" s="436"/>
      <c r="AX4934" s="436"/>
      <c r="AY4934" s="436"/>
      <c r="AZ4934" s="475"/>
      <c r="BA4934" s="475"/>
      <c r="BF4934" s="1119"/>
      <c r="BG4934" s="1119"/>
      <c r="BH4934" s="1119"/>
    </row>
    <row r="4935" spans="1:60" ht="15.75" customHeight="1">
      <c r="A4935" s="436"/>
      <c r="C4935" s="436"/>
      <c r="D4935" s="436"/>
      <c r="E4935" s="436"/>
      <c r="F4935" s="436"/>
      <c r="H4935" s="467"/>
      <c r="I4935" s="467"/>
      <c r="J4935" s="469"/>
      <c r="AL4935" s="436"/>
      <c r="AM4935" s="436"/>
      <c r="AQ4935" s="436"/>
      <c r="AR4935" s="436"/>
      <c r="AS4935" s="436"/>
      <c r="AT4935" s="436"/>
      <c r="AU4935" s="436"/>
      <c r="AV4935" s="436"/>
      <c r="AW4935" s="436"/>
      <c r="AX4935" s="436"/>
      <c r="AY4935" s="436"/>
      <c r="AZ4935" s="475"/>
      <c r="BA4935" s="475"/>
      <c r="BF4935" s="1119"/>
      <c r="BG4935" s="1119"/>
      <c r="BH4935" s="1119"/>
    </row>
    <row r="4936" spans="1:60" ht="15.75" customHeight="1">
      <c r="A4936" s="436"/>
      <c r="C4936" s="436"/>
      <c r="D4936" s="436"/>
      <c r="E4936" s="436"/>
      <c r="F4936" s="436"/>
      <c r="H4936" s="467"/>
      <c r="I4936" s="467"/>
      <c r="J4936" s="469"/>
      <c r="AL4936" s="436"/>
      <c r="AM4936" s="436"/>
      <c r="AQ4936" s="436"/>
      <c r="AR4936" s="436"/>
      <c r="AS4936" s="436"/>
      <c r="AT4936" s="436"/>
      <c r="AU4936" s="436"/>
      <c r="AV4936" s="436"/>
      <c r="AW4936" s="436"/>
      <c r="AX4936" s="436"/>
      <c r="AY4936" s="436"/>
      <c r="AZ4936" s="475"/>
      <c r="BA4936" s="475"/>
      <c r="BF4936" s="1119"/>
      <c r="BG4936" s="1119"/>
      <c r="BH4936" s="1119"/>
    </row>
    <row r="4937" spans="1:60" ht="15.75" customHeight="1">
      <c r="A4937" s="436"/>
      <c r="C4937" s="436"/>
      <c r="D4937" s="436"/>
      <c r="E4937" s="436"/>
      <c r="F4937" s="436"/>
      <c r="H4937" s="467"/>
      <c r="I4937" s="467"/>
      <c r="J4937" s="469"/>
      <c r="AL4937" s="436"/>
      <c r="AM4937" s="436"/>
      <c r="AQ4937" s="436"/>
      <c r="AR4937" s="436"/>
      <c r="AS4937" s="436"/>
      <c r="AT4937" s="436"/>
      <c r="AU4937" s="436"/>
      <c r="AV4937" s="436"/>
      <c r="AW4937" s="436"/>
      <c r="AX4937" s="436"/>
      <c r="AY4937" s="436"/>
      <c r="AZ4937" s="475"/>
      <c r="BA4937" s="475"/>
      <c r="BF4937" s="1119"/>
      <c r="BG4937" s="1119"/>
      <c r="BH4937" s="1119"/>
    </row>
    <row r="4938" spans="1:60" ht="15.75" customHeight="1">
      <c r="A4938" s="436"/>
      <c r="C4938" s="436"/>
      <c r="D4938" s="436"/>
      <c r="E4938" s="436"/>
      <c r="F4938" s="436"/>
      <c r="H4938" s="467"/>
      <c r="I4938" s="467"/>
      <c r="J4938" s="469"/>
      <c r="AL4938" s="436"/>
      <c r="AM4938" s="436"/>
      <c r="AQ4938" s="436"/>
      <c r="AR4938" s="436"/>
      <c r="AS4938" s="436"/>
      <c r="AT4938" s="436"/>
      <c r="AU4938" s="436"/>
      <c r="AV4938" s="436"/>
      <c r="AW4938" s="436"/>
      <c r="AX4938" s="436"/>
      <c r="AY4938" s="436"/>
      <c r="AZ4938" s="475"/>
      <c r="BA4938" s="475"/>
      <c r="BF4938" s="1119"/>
      <c r="BG4938" s="1119"/>
      <c r="BH4938" s="1119"/>
    </row>
    <row r="4939" spans="1:60" ht="15.75" customHeight="1">
      <c r="A4939" s="436"/>
      <c r="C4939" s="436"/>
      <c r="D4939" s="436"/>
      <c r="E4939" s="436"/>
      <c r="F4939" s="436"/>
      <c r="H4939" s="467"/>
      <c r="I4939" s="467"/>
      <c r="J4939" s="469"/>
      <c r="AL4939" s="436"/>
      <c r="AM4939" s="436"/>
      <c r="AQ4939" s="436"/>
      <c r="AR4939" s="436"/>
      <c r="AS4939" s="436"/>
      <c r="AT4939" s="436"/>
      <c r="AU4939" s="436"/>
      <c r="AV4939" s="436"/>
      <c r="AW4939" s="436"/>
      <c r="AX4939" s="436"/>
      <c r="AY4939" s="436"/>
      <c r="AZ4939" s="475"/>
      <c r="BA4939" s="475"/>
      <c r="BF4939" s="1119"/>
      <c r="BG4939" s="1119"/>
      <c r="BH4939" s="1119"/>
    </row>
    <row r="4940" spans="1:60" ht="15.75" customHeight="1">
      <c r="A4940" s="436"/>
      <c r="C4940" s="436"/>
      <c r="D4940" s="436"/>
      <c r="E4940" s="436"/>
      <c r="F4940" s="436"/>
      <c r="H4940" s="467"/>
      <c r="I4940" s="467"/>
      <c r="J4940" s="469"/>
      <c r="AL4940" s="436"/>
      <c r="AM4940" s="436"/>
      <c r="AQ4940" s="436"/>
      <c r="AR4940" s="436"/>
      <c r="AS4940" s="436"/>
      <c r="AT4940" s="436"/>
      <c r="AU4940" s="436"/>
      <c r="AV4940" s="436"/>
      <c r="AW4940" s="436"/>
      <c r="AX4940" s="436"/>
      <c r="AY4940" s="436"/>
      <c r="AZ4940" s="475"/>
      <c r="BA4940" s="475"/>
      <c r="BF4940" s="1119"/>
      <c r="BG4940" s="1119"/>
      <c r="BH4940" s="1119"/>
    </row>
    <row r="4941" spans="1:60" ht="15.75" customHeight="1">
      <c r="A4941" s="436"/>
      <c r="C4941" s="436"/>
      <c r="D4941" s="436"/>
      <c r="E4941" s="436"/>
      <c r="F4941" s="436"/>
      <c r="H4941" s="467"/>
      <c r="I4941" s="467"/>
      <c r="J4941" s="469"/>
      <c r="AL4941" s="436"/>
      <c r="AM4941" s="436"/>
      <c r="AQ4941" s="436"/>
      <c r="AR4941" s="436"/>
      <c r="AS4941" s="436"/>
      <c r="AT4941" s="436"/>
      <c r="AU4941" s="436"/>
      <c r="AV4941" s="436"/>
      <c r="AW4941" s="436"/>
      <c r="AX4941" s="436"/>
      <c r="AY4941" s="436"/>
      <c r="AZ4941" s="475"/>
      <c r="BA4941" s="475"/>
      <c r="BF4941" s="1119"/>
      <c r="BG4941" s="1119"/>
      <c r="BH4941" s="1119"/>
    </row>
    <row r="4942" spans="1:60" ht="15.75" customHeight="1">
      <c r="A4942" s="436"/>
      <c r="C4942" s="436"/>
      <c r="D4942" s="436"/>
      <c r="E4942" s="436"/>
      <c r="F4942" s="436"/>
      <c r="H4942" s="467"/>
      <c r="I4942" s="467"/>
      <c r="J4942" s="469"/>
      <c r="AL4942" s="436"/>
      <c r="AM4942" s="436"/>
      <c r="AQ4942" s="436"/>
      <c r="AR4942" s="436"/>
      <c r="AS4942" s="436"/>
      <c r="AT4942" s="436"/>
      <c r="AU4942" s="436"/>
      <c r="AV4942" s="436"/>
      <c r="AW4942" s="436"/>
      <c r="AX4942" s="436"/>
      <c r="AY4942" s="436"/>
      <c r="AZ4942" s="475"/>
      <c r="BA4942" s="475"/>
      <c r="BF4942" s="1119"/>
      <c r="BG4942" s="1119"/>
      <c r="BH4942" s="1119"/>
    </row>
    <row r="4943" spans="1:60" ht="15.75" customHeight="1">
      <c r="A4943" s="436"/>
      <c r="C4943" s="436"/>
      <c r="D4943" s="436"/>
      <c r="E4943" s="436"/>
      <c r="F4943" s="436"/>
      <c r="H4943" s="467"/>
      <c r="I4943" s="467"/>
      <c r="J4943" s="469"/>
      <c r="AL4943" s="436"/>
      <c r="AM4943" s="436"/>
      <c r="AQ4943" s="436"/>
      <c r="AR4943" s="436"/>
      <c r="AS4943" s="436"/>
      <c r="AT4943" s="436"/>
      <c r="AU4943" s="436"/>
      <c r="AV4943" s="436"/>
      <c r="AW4943" s="436"/>
      <c r="AX4943" s="436"/>
      <c r="AY4943" s="436"/>
      <c r="AZ4943" s="475"/>
      <c r="BA4943" s="475"/>
      <c r="BF4943" s="1119"/>
      <c r="BG4943" s="1119"/>
      <c r="BH4943" s="1119"/>
    </row>
    <row r="4944" spans="1:60" ht="15.75" customHeight="1">
      <c r="A4944" s="436"/>
      <c r="C4944" s="436"/>
      <c r="D4944" s="436"/>
      <c r="E4944" s="436"/>
      <c r="F4944" s="436"/>
      <c r="H4944" s="467"/>
      <c r="I4944" s="467"/>
      <c r="J4944" s="469"/>
      <c r="AL4944" s="436"/>
      <c r="AM4944" s="436"/>
      <c r="AQ4944" s="436"/>
      <c r="AR4944" s="436"/>
      <c r="AS4944" s="436"/>
      <c r="AT4944" s="436"/>
      <c r="AU4944" s="436"/>
      <c r="AV4944" s="436"/>
      <c r="AW4944" s="436"/>
      <c r="AX4944" s="436"/>
      <c r="AY4944" s="436"/>
      <c r="AZ4944" s="475"/>
      <c r="BA4944" s="475"/>
      <c r="BF4944" s="1119"/>
      <c r="BG4944" s="1119"/>
      <c r="BH4944" s="1119"/>
    </row>
    <row r="4945" spans="1:60" ht="15.75" customHeight="1">
      <c r="A4945" s="436"/>
      <c r="C4945" s="436"/>
      <c r="D4945" s="436"/>
      <c r="E4945" s="436"/>
      <c r="F4945" s="436"/>
      <c r="H4945" s="467"/>
      <c r="I4945" s="467"/>
      <c r="J4945" s="469"/>
      <c r="AL4945" s="436"/>
      <c r="AM4945" s="436"/>
      <c r="AQ4945" s="436"/>
      <c r="AR4945" s="436"/>
      <c r="AS4945" s="436"/>
      <c r="AT4945" s="436"/>
      <c r="AU4945" s="436"/>
      <c r="AV4945" s="436"/>
      <c r="AW4945" s="436"/>
      <c r="AX4945" s="436"/>
      <c r="AY4945" s="436"/>
      <c r="AZ4945" s="475"/>
      <c r="BA4945" s="475"/>
      <c r="BF4945" s="1119"/>
      <c r="BG4945" s="1119"/>
      <c r="BH4945" s="1119"/>
    </row>
    <row r="4946" spans="1:60" ht="15.75" customHeight="1">
      <c r="A4946" s="436"/>
      <c r="C4946" s="436"/>
      <c r="D4946" s="436"/>
      <c r="E4946" s="436"/>
      <c r="F4946" s="436"/>
      <c r="H4946" s="467"/>
      <c r="I4946" s="467"/>
      <c r="J4946" s="469"/>
      <c r="AL4946" s="436"/>
      <c r="AM4946" s="436"/>
      <c r="AQ4946" s="436"/>
      <c r="AR4946" s="436"/>
      <c r="AS4946" s="436"/>
      <c r="AT4946" s="436"/>
      <c r="AU4946" s="436"/>
      <c r="AV4946" s="436"/>
      <c r="AW4946" s="436"/>
      <c r="AX4946" s="436"/>
      <c r="AY4946" s="436"/>
      <c r="AZ4946" s="475"/>
      <c r="BA4946" s="475"/>
      <c r="BF4946" s="1119"/>
      <c r="BG4946" s="1119"/>
      <c r="BH4946" s="1119"/>
    </row>
    <row r="4947" spans="1:60" ht="15.75" customHeight="1">
      <c r="A4947" s="436"/>
      <c r="C4947" s="436"/>
      <c r="D4947" s="436"/>
      <c r="E4947" s="436"/>
      <c r="F4947" s="436"/>
      <c r="H4947" s="467"/>
      <c r="I4947" s="467"/>
      <c r="J4947" s="469"/>
      <c r="AL4947" s="436"/>
      <c r="AM4947" s="436"/>
      <c r="AQ4947" s="436"/>
      <c r="AR4947" s="436"/>
      <c r="AS4947" s="436"/>
      <c r="AT4947" s="436"/>
      <c r="AU4947" s="436"/>
      <c r="AV4947" s="436"/>
      <c r="AW4947" s="436"/>
      <c r="AX4947" s="436"/>
      <c r="AY4947" s="436"/>
      <c r="AZ4947" s="475"/>
      <c r="BA4947" s="475"/>
      <c r="BF4947" s="1119"/>
      <c r="BG4947" s="1119"/>
      <c r="BH4947" s="1119"/>
    </row>
    <row r="4948" spans="1:60" ht="15.75" customHeight="1">
      <c r="A4948" s="436"/>
      <c r="C4948" s="436"/>
      <c r="D4948" s="436"/>
      <c r="E4948" s="436"/>
      <c r="F4948" s="436"/>
      <c r="H4948" s="467"/>
      <c r="I4948" s="467"/>
      <c r="J4948" s="469"/>
      <c r="AL4948" s="436"/>
      <c r="AM4948" s="436"/>
      <c r="AQ4948" s="436"/>
      <c r="AR4948" s="436"/>
      <c r="AS4948" s="436"/>
      <c r="AT4948" s="436"/>
      <c r="AU4948" s="436"/>
      <c r="AV4948" s="436"/>
      <c r="AW4948" s="436"/>
      <c r="AX4948" s="436"/>
      <c r="AY4948" s="436"/>
      <c r="AZ4948" s="475"/>
      <c r="BA4948" s="475"/>
      <c r="BF4948" s="1119"/>
      <c r="BG4948" s="1119"/>
      <c r="BH4948" s="1119"/>
    </row>
    <row r="4949" spans="1:60" ht="15.75" customHeight="1">
      <c r="A4949" s="436"/>
      <c r="C4949" s="436"/>
      <c r="D4949" s="436"/>
      <c r="E4949" s="436"/>
      <c r="F4949" s="436"/>
      <c r="H4949" s="467"/>
      <c r="I4949" s="467"/>
      <c r="J4949" s="469"/>
      <c r="AL4949" s="436"/>
      <c r="AM4949" s="436"/>
      <c r="AQ4949" s="436"/>
      <c r="AR4949" s="436"/>
      <c r="AS4949" s="436"/>
      <c r="AT4949" s="436"/>
      <c r="AU4949" s="436"/>
      <c r="AV4949" s="436"/>
      <c r="AW4949" s="436"/>
      <c r="AX4949" s="436"/>
      <c r="AY4949" s="436"/>
      <c r="AZ4949" s="475"/>
      <c r="BA4949" s="475"/>
      <c r="BF4949" s="1119"/>
      <c r="BG4949" s="1119"/>
      <c r="BH4949" s="1119"/>
    </row>
    <row r="4950" spans="1:60" ht="15.75" customHeight="1">
      <c r="A4950" s="436"/>
      <c r="C4950" s="436"/>
      <c r="D4950" s="436"/>
      <c r="E4950" s="436"/>
      <c r="F4950" s="436"/>
      <c r="H4950" s="467"/>
      <c r="I4950" s="467"/>
      <c r="J4950" s="469"/>
      <c r="AL4950" s="436"/>
      <c r="AM4950" s="436"/>
      <c r="AQ4950" s="436"/>
      <c r="AR4950" s="436"/>
      <c r="AS4950" s="436"/>
      <c r="AT4950" s="436"/>
      <c r="AU4950" s="436"/>
      <c r="AV4950" s="436"/>
      <c r="AW4950" s="436"/>
      <c r="AX4950" s="436"/>
      <c r="AY4950" s="436"/>
      <c r="AZ4950" s="475"/>
      <c r="BA4950" s="475"/>
      <c r="BF4950" s="1119"/>
      <c r="BG4950" s="1119"/>
      <c r="BH4950" s="1119"/>
    </row>
    <row r="4951" spans="1:60" ht="15.75" customHeight="1">
      <c r="A4951" s="436"/>
      <c r="C4951" s="436"/>
      <c r="D4951" s="436"/>
      <c r="E4951" s="436"/>
      <c r="F4951" s="436"/>
      <c r="H4951" s="467"/>
      <c r="I4951" s="467"/>
      <c r="J4951" s="469"/>
      <c r="AL4951" s="436"/>
      <c r="AM4951" s="436"/>
      <c r="AQ4951" s="436"/>
      <c r="AR4951" s="436"/>
      <c r="AS4951" s="436"/>
      <c r="AT4951" s="436"/>
      <c r="AU4951" s="436"/>
      <c r="AV4951" s="436"/>
      <c r="AW4951" s="436"/>
      <c r="AX4951" s="436"/>
      <c r="AY4951" s="436"/>
      <c r="AZ4951" s="475"/>
      <c r="BA4951" s="475"/>
      <c r="BF4951" s="1119"/>
      <c r="BG4951" s="1119"/>
      <c r="BH4951" s="1119"/>
    </row>
    <row r="4952" spans="1:60" ht="15.75" customHeight="1">
      <c r="A4952" s="436"/>
      <c r="C4952" s="436"/>
      <c r="D4952" s="436"/>
      <c r="E4952" s="436"/>
      <c r="F4952" s="436"/>
      <c r="H4952" s="467"/>
      <c r="I4952" s="467"/>
      <c r="J4952" s="469"/>
      <c r="AL4952" s="436"/>
      <c r="AM4952" s="436"/>
      <c r="AQ4952" s="436"/>
      <c r="AR4952" s="436"/>
      <c r="AS4952" s="436"/>
      <c r="AT4952" s="436"/>
      <c r="AU4952" s="436"/>
      <c r="AV4952" s="436"/>
      <c r="AW4952" s="436"/>
      <c r="AX4952" s="436"/>
      <c r="AY4952" s="436"/>
      <c r="AZ4952" s="475"/>
      <c r="BA4952" s="475"/>
      <c r="BF4952" s="1119"/>
      <c r="BG4952" s="1119"/>
      <c r="BH4952" s="1119"/>
    </row>
    <row r="4953" spans="1:60" ht="15.75" customHeight="1">
      <c r="A4953" s="436"/>
      <c r="C4953" s="436"/>
      <c r="D4953" s="436"/>
      <c r="E4953" s="436"/>
      <c r="F4953" s="436"/>
      <c r="H4953" s="467"/>
      <c r="I4953" s="467"/>
      <c r="J4953" s="469"/>
      <c r="AL4953" s="436"/>
      <c r="AM4953" s="436"/>
      <c r="AQ4953" s="436"/>
      <c r="AR4953" s="436"/>
      <c r="AS4953" s="436"/>
      <c r="AT4953" s="436"/>
      <c r="AU4953" s="436"/>
      <c r="AV4953" s="436"/>
      <c r="AW4953" s="436"/>
      <c r="AX4953" s="436"/>
      <c r="AY4953" s="436"/>
      <c r="AZ4953" s="475"/>
      <c r="BA4953" s="475"/>
      <c r="BF4953" s="1119"/>
      <c r="BG4953" s="1119"/>
      <c r="BH4953" s="1119"/>
    </row>
    <row r="4954" spans="1:60" ht="15.75" customHeight="1">
      <c r="A4954" s="436"/>
      <c r="C4954" s="436"/>
      <c r="D4954" s="436"/>
      <c r="E4954" s="436"/>
      <c r="F4954" s="436"/>
      <c r="H4954" s="467"/>
      <c r="I4954" s="467"/>
      <c r="J4954" s="469"/>
      <c r="AL4954" s="436"/>
      <c r="AM4954" s="436"/>
      <c r="AQ4954" s="436"/>
      <c r="AR4954" s="436"/>
      <c r="AS4954" s="436"/>
      <c r="AT4954" s="436"/>
      <c r="AU4954" s="436"/>
      <c r="AV4954" s="436"/>
      <c r="AW4954" s="436"/>
      <c r="AX4954" s="436"/>
      <c r="AY4954" s="436"/>
      <c r="AZ4954" s="475"/>
      <c r="BA4954" s="475"/>
      <c r="BF4954" s="1119"/>
      <c r="BG4954" s="1119"/>
      <c r="BH4954" s="1119"/>
    </row>
    <row r="4955" spans="1:60" ht="15.75" customHeight="1">
      <c r="A4955" s="436"/>
      <c r="C4955" s="436"/>
      <c r="D4955" s="436"/>
      <c r="E4955" s="436"/>
      <c r="F4955" s="436"/>
      <c r="H4955" s="467"/>
      <c r="I4955" s="467"/>
      <c r="J4955" s="469"/>
      <c r="AL4955" s="436"/>
      <c r="AM4955" s="436"/>
      <c r="AQ4955" s="436"/>
      <c r="AR4955" s="436"/>
      <c r="AS4955" s="436"/>
      <c r="AT4955" s="436"/>
      <c r="AU4955" s="436"/>
      <c r="AV4955" s="436"/>
      <c r="AW4955" s="436"/>
      <c r="AX4955" s="436"/>
      <c r="AY4955" s="436"/>
      <c r="AZ4955" s="475"/>
      <c r="BA4955" s="475"/>
      <c r="BF4955" s="1119"/>
      <c r="BG4955" s="1119"/>
      <c r="BH4955" s="1119"/>
    </row>
    <row r="4956" spans="1:60" ht="15.75" customHeight="1">
      <c r="BF4956" s="1119"/>
      <c r="BG4956" s="1119"/>
      <c r="BH4956" s="1119"/>
    </row>
    <row r="4957" spans="1:60" ht="15.75" customHeight="1">
      <c r="BF4957" s="1119"/>
      <c r="BG4957" s="1119"/>
      <c r="BH4957" s="1119"/>
    </row>
    <row r="4958" spans="1:60" ht="15.75" customHeight="1">
      <c r="BF4958" s="1119"/>
      <c r="BG4958" s="1119"/>
      <c r="BH4958" s="1119"/>
    </row>
    <row r="4959" spans="1:60" ht="15.75" customHeight="1">
      <c r="BF4959" s="1119"/>
      <c r="BG4959" s="1119"/>
      <c r="BH4959" s="1119"/>
    </row>
    <row r="4960" spans="1:60" ht="15.75" customHeight="1">
      <c r="BF4960" s="1119"/>
      <c r="BG4960" s="1119"/>
      <c r="BH4960" s="1119"/>
    </row>
    <row r="4961" spans="58:60" ht="15.75" customHeight="1">
      <c r="BF4961" s="1119"/>
      <c r="BG4961" s="1119"/>
      <c r="BH4961" s="1119"/>
    </row>
    <row r="4962" spans="58:60" ht="15.75" customHeight="1">
      <c r="BF4962" s="1119"/>
      <c r="BG4962" s="1119"/>
      <c r="BH4962" s="1119"/>
    </row>
    <row r="4963" spans="58:60" ht="15.75" customHeight="1">
      <c r="BF4963" s="1119"/>
      <c r="BG4963" s="1119"/>
      <c r="BH4963" s="1119"/>
    </row>
    <row r="4964" spans="58:60" ht="15.75" customHeight="1">
      <c r="BF4964" s="1119"/>
      <c r="BG4964" s="1119"/>
      <c r="BH4964" s="1119"/>
    </row>
    <row r="4965" spans="58:60" ht="15.75" customHeight="1">
      <c r="BF4965" s="1119"/>
      <c r="BG4965" s="1119"/>
      <c r="BH4965" s="1119"/>
    </row>
    <row r="4966" spans="58:60" ht="15.75" customHeight="1">
      <c r="BF4966" s="1119"/>
      <c r="BG4966" s="1119"/>
      <c r="BH4966" s="1119"/>
    </row>
    <row r="4967" spans="58:60" ht="15.75" customHeight="1">
      <c r="BF4967" s="1119"/>
      <c r="BG4967" s="1119"/>
      <c r="BH4967" s="1119"/>
    </row>
    <row r="4968" spans="58:60" ht="15.75" customHeight="1">
      <c r="BF4968" s="1119"/>
      <c r="BG4968" s="1119"/>
      <c r="BH4968" s="1119"/>
    </row>
    <row r="4969" spans="58:60" ht="15.75" customHeight="1">
      <c r="BF4969" s="1119"/>
      <c r="BG4969" s="1119"/>
      <c r="BH4969" s="1119"/>
    </row>
    <row r="4970" spans="58:60" ht="15.75" customHeight="1">
      <c r="BF4970" s="1119"/>
      <c r="BG4970" s="1119"/>
      <c r="BH4970" s="1119"/>
    </row>
    <row r="4971" spans="58:60" ht="15.75" customHeight="1">
      <c r="BF4971" s="1119"/>
      <c r="BG4971" s="1119"/>
      <c r="BH4971" s="1119"/>
    </row>
    <row r="4972" spans="58:60" ht="15.75" customHeight="1">
      <c r="BF4972" s="1119"/>
      <c r="BG4972" s="1119"/>
      <c r="BH4972" s="1119"/>
    </row>
    <row r="4973" spans="58:60" ht="15.75" customHeight="1">
      <c r="BF4973" s="1119"/>
      <c r="BG4973" s="1119"/>
      <c r="BH4973" s="1119"/>
    </row>
    <row r="4974" spans="58:60" ht="15.75" customHeight="1">
      <c r="BF4974" s="1119"/>
      <c r="BG4974" s="1119"/>
      <c r="BH4974" s="1119"/>
    </row>
    <row r="4975" spans="58:60" ht="15.75" customHeight="1">
      <c r="BF4975" s="1119"/>
      <c r="BG4975" s="1119"/>
      <c r="BH4975" s="1119"/>
    </row>
    <row r="4976" spans="58:60" ht="15.75" customHeight="1">
      <c r="BF4976" s="1119"/>
      <c r="BG4976" s="1119"/>
      <c r="BH4976" s="1119"/>
    </row>
    <row r="4977" spans="58:60" ht="15.75" customHeight="1">
      <c r="BF4977" s="1119"/>
      <c r="BG4977" s="1119"/>
      <c r="BH4977" s="1119"/>
    </row>
    <row r="4978" spans="58:60" ht="15.75" customHeight="1">
      <c r="BF4978" s="1119"/>
      <c r="BG4978" s="1119"/>
      <c r="BH4978" s="1119"/>
    </row>
  </sheetData>
  <autoFilter ref="A2:BA821">
    <filterColumn colId="13" showButton="0"/>
    <filterColumn colId="14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8" showButton="0"/>
    <filterColumn colId="29" showButton="0"/>
    <filterColumn colId="39" showButton="0"/>
    <filterColumn colId="40" showButton="0"/>
    <filterColumn colId="42" showButton="0"/>
    <filterColumn colId="43" showButton="0"/>
    <filterColumn colId="45" showButton="0"/>
    <filterColumn colId="46" showButton="0"/>
  </autoFilter>
  <mergeCells count="13">
    <mergeCell ref="A1:BA1"/>
    <mergeCell ref="L657:M657"/>
    <mergeCell ref="A317:A318"/>
    <mergeCell ref="A310:A311"/>
    <mergeCell ref="AT2:AV2"/>
    <mergeCell ref="N2:P2"/>
    <mergeCell ref="T2:V2"/>
    <mergeCell ref="W2:Y2"/>
    <mergeCell ref="Z2:AB2"/>
    <mergeCell ref="AC2:AE2"/>
    <mergeCell ref="AN2:AP2"/>
    <mergeCell ref="AQ2:AS2"/>
    <mergeCell ref="A415:A416"/>
  </mergeCells>
  <phoneticPr fontId="0" type="noConversion"/>
  <conditionalFormatting sqref="AQ303 AQ307 AQ305 AQ355 AQ359 AQ357">
    <cfRule type="cellIs" dxfId="35" priority="5" stopIfTrue="1" operator="notBetween">
      <formula>-0.36</formula>
      <formula>0.36</formula>
    </cfRule>
  </conditionalFormatting>
  <printOptions horizontalCentered="1" gridLines="1"/>
  <pageMargins left="0.39370078740157483" right="0.39370078740157483" top="0.98425196850393704" bottom="1.1811023622047245" header="0.31496062992125984" footer="0.31496062992125984"/>
  <pageSetup paperSize="8" scale="54" fitToHeight="0" orientation="landscape" cellComments="asDisplayed" r:id="rId1"/>
  <headerFooter alignWithMargins="0">
    <oddHeader>&amp;L&amp;G&amp;C
LAYOUT AND EQUIPMENT
EP11 
KP11+813 - KP30+900
&amp;R&amp;G</oddHeader>
    <oddFooter>&amp;L
&amp;F&amp;C&amp;G
&amp;D&amp;R
Pag &amp;P of &amp;N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9"/>
    <pageSetUpPr fitToPage="1"/>
  </sheetPr>
  <dimension ref="A1:BM2168"/>
  <sheetViews>
    <sheetView zoomScale="70" zoomScaleNormal="70" zoomScaleSheetLayoutView="70" workbookViewId="0">
      <pane xSplit="11" ySplit="3" topLeftCell="L4" activePane="bottomRight" state="frozen"/>
      <selection activeCell="C20" sqref="C20"/>
      <selection pane="topRight" activeCell="C20" sqref="C20"/>
      <selection pane="bottomLeft" activeCell="C20" sqref="C20"/>
      <selection pane="bottomRight" activeCell="C20" sqref="C20"/>
    </sheetView>
  </sheetViews>
  <sheetFormatPr baseColWidth="10" defaultColWidth="11.42578125" defaultRowHeight="15.75" customHeight="1"/>
  <cols>
    <col min="1" max="1" width="24.7109375" style="462" customWidth="1"/>
    <col min="2" max="2" width="10" style="462" customWidth="1"/>
    <col min="3" max="3" width="13.140625" style="466" hidden="1" customWidth="1"/>
    <col min="4" max="4" width="13.85546875" style="462" hidden="1" customWidth="1"/>
    <col min="5" max="5" width="10.85546875" style="462" hidden="1" customWidth="1"/>
    <col min="6" max="7" width="9.85546875" style="462" hidden="1" customWidth="1"/>
    <col min="8" max="8" width="22.5703125" style="462" customWidth="1"/>
    <col min="9" max="9" width="15.5703125" style="462" customWidth="1"/>
    <col min="10" max="10" width="13.140625" style="466" hidden="1" customWidth="1"/>
    <col min="11" max="11" width="15.85546875" style="462" customWidth="1"/>
    <col min="12" max="12" width="16.140625" style="462" customWidth="1"/>
    <col min="13" max="13" width="15.85546875" style="462" customWidth="1"/>
    <col min="14" max="16" width="9.140625" style="462" customWidth="1"/>
    <col min="17" max="19" width="9.42578125" style="462" customWidth="1"/>
    <col min="20" max="20" width="7" style="462" customWidth="1"/>
    <col min="21" max="22" width="6.85546875" style="462" customWidth="1"/>
    <col min="23" max="23" width="6.42578125" style="462" customWidth="1"/>
    <col min="24" max="25" width="6.85546875" style="462" customWidth="1"/>
    <col min="26" max="28" width="7.42578125" style="462" customWidth="1"/>
    <col min="29" max="29" width="9.85546875" style="462" customWidth="1"/>
    <col min="30" max="30" width="10" style="462" customWidth="1"/>
    <col min="31" max="31" width="7.42578125" style="462" customWidth="1"/>
    <col min="32" max="32" width="11.140625" style="462" customWidth="1"/>
    <col min="33" max="33" width="12.85546875" style="462" customWidth="1"/>
    <col min="34" max="34" width="10.140625" style="462" customWidth="1"/>
    <col min="35" max="35" width="10.42578125" style="462" customWidth="1"/>
    <col min="36" max="36" width="11.85546875" style="462" customWidth="1"/>
    <col min="37" max="39" width="11.42578125" style="462" customWidth="1"/>
    <col min="40" max="40" width="8.28515625" style="436" customWidth="1"/>
    <col min="41" max="42" width="6.85546875" style="436" hidden="1" customWidth="1"/>
    <col min="43" max="48" width="6.85546875" style="312" hidden="1" customWidth="1"/>
    <col min="49" max="49" width="9.5703125" style="312" hidden="1" customWidth="1"/>
    <col min="50" max="50" width="10.85546875" style="312" hidden="1" customWidth="1"/>
    <col min="51" max="52" width="9" style="312" hidden="1" customWidth="1"/>
    <col min="53" max="53" width="14.5703125" style="462" hidden="1" customWidth="1"/>
    <col min="54" max="54" width="11.42578125" style="462" customWidth="1"/>
    <col min="55" max="55" width="54.85546875" style="436" customWidth="1"/>
    <col min="56" max="56" width="15.85546875" style="436" customWidth="1"/>
    <col min="57" max="57" width="2.85546875" style="312" customWidth="1"/>
    <col min="58" max="58" width="45.85546875" style="312" customWidth="1"/>
    <col min="59" max="59" width="19.140625" style="312" customWidth="1"/>
    <col min="60" max="60" width="4.85546875" style="436" customWidth="1"/>
    <col min="61" max="61" width="22.85546875" style="436" customWidth="1"/>
    <col min="62" max="64" width="11.42578125" style="436" customWidth="1"/>
    <col min="65" max="65" width="13.42578125" style="436" customWidth="1"/>
    <col min="66" max="16384" width="11.42578125" style="462"/>
  </cols>
  <sheetData>
    <row r="1" spans="1:65" ht="36" customHeight="1" thickBot="1">
      <c r="A1" s="1235" t="s">
        <v>470</v>
      </c>
      <c r="B1" s="1236"/>
      <c r="C1" s="1236"/>
      <c r="D1" s="1236"/>
      <c r="E1" s="1236"/>
      <c r="F1" s="1236"/>
      <c r="G1" s="1236"/>
      <c r="H1" s="1236"/>
      <c r="I1" s="1236"/>
      <c r="J1" s="1236"/>
      <c r="K1" s="1236"/>
      <c r="L1" s="1236"/>
      <c r="M1" s="1236"/>
      <c r="N1" s="1236"/>
      <c r="O1" s="1236"/>
      <c r="P1" s="1236"/>
      <c r="Q1" s="1236"/>
      <c r="R1" s="1236"/>
      <c r="S1" s="1236"/>
      <c r="T1" s="1236"/>
      <c r="U1" s="1236"/>
      <c r="V1" s="1236"/>
      <c r="W1" s="1236"/>
      <c r="X1" s="1236"/>
      <c r="Y1" s="1236"/>
      <c r="Z1" s="1236"/>
      <c r="AA1" s="1236"/>
      <c r="AB1" s="1236"/>
      <c r="AC1" s="1236"/>
      <c r="AD1" s="1236"/>
      <c r="AE1" s="1236"/>
      <c r="AF1" s="1236"/>
      <c r="AG1" s="1236"/>
      <c r="AH1" s="1236"/>
      <c r="AI1" s="1236"/>
      <c r="AJ1" s="1236"/>
      <c r="AK1" s="1236"/>
      <c r="AL1" s="1236"/>
      <c r="AM1" s="1236"/>
      <c r="AN1" s="1236"/>
      <c r="AO1" s="1236"/>
      <c r="AP1" s="1236"/>
      <c r="AQ1" s="1236"/>
      <c r="AR1" s="1236"/>
      <c r="AS1" s="1236"/>
      <c r="AT1" s="1236"/>
      <c r="AU1" s="1236"/>
      <c r="AV1" s="1236"/>
      <c r="AW1" s="1236"/>
      <c r="AX1" s="1236"/>
      <c r="AY1" s="1236"/>
      <c r="AZ1" s="1236"/>
      <c r="BA1" s="1236"/>
      <c r="BC1" s="418"/>
    </row>
    <row r="2" spans="1:65" ht="41.25" customHeight="1" thickBot="1">
      <c r="A2" s="517" t="s">
        <v>1594</v>
      </c>
      <c r="B2" s="517" t="s">
        <v>460</v>
      </c>
      <c r="C2" s="518" t="s">
        <v>3013</v>
      </c>
      <c r="D2" s="517" t="s">
        <v>1595</v>
      </c>
      <c r="E2" s="517" t="s">
        <v>662</v>
      </c>
      <c r="F2" s="517" t="s">
        <v>461</v>
      </c>
      <c r="G2" s="517" t="s">
        <v>3016</v>
      </c>
      <c r="H2" s="517" t="s">
        <v>464</v>
      </c>
      <c r="I2" s="517" t="s">
        <v>463</v>
      </c>
      <c r="J2" s="518" t="s">
        <v>975</v>
      </c>
      <c r="K2" s="517" t="s">
        <v>1600</v>
      </c>
      <c r="L2" s="517" t="s">
        <v>465</v>
      </c>
      <c r="M2" s="517" t="s">
        <v>462</v>
      </c>
      <c r="N2" s="1237" t="s">
        <v>466</v>
      </c>
      <c r="O2" s="1238"/>
      <c r="P2" s="1239"/>
      <c r="Q2" s="517" t="s">
        <v>661</v>
      </c>
      <c r="R2" s="517" t="s">
        <v>663</v>
      </c>
      <c r="S2" s="517" t="s">
        <v>664</v>
      </c>
      <c r="T2" s="1237" t="s">
        <v>471</v>
      </c>
      <c r="U2" s="1238"/>
      <c r="V2" s="1239"/>
      <c r="W2" s="1237" t="s">
        <v>2628</v>
      </c>
      <c r="X2" s="1238"/>
      <c r="Y2" s="1239"/>
      <c r="Z2" s="1237" t="s">
        <v>1596</v>
      </c>
      <c r="AA2" s="1238"/>
      <c r="AB2" s="1239"/>
      <c r="AC2" s="1237" t="s">
        <v>665</v>
      </c>
      <c r="AD2" s="1238"/>
      <c r="AE2" s="1239"/>
      <c r="AF2" s="517" t="s">
        <v>666</v>
      </c>
      <c r="AG2" s="517" t="s">
        <v>3015</v>
      </c>
      <c r="AH2" s="517" t="s">
        <v>667</v>
      </c>
      <c r="AI2" s="517" t="s">
        <v>668</v>
      </c>
      <c r="AJ2" s="517" t="s">
        <v>669</v>
      </c>
      <c r="AK2" s="517" t="s">
        <v>467</v>
      </c>
      <c r="AL2" s="517" t="s">
        <v>468</v>
      </c>
      <c r="AM2" s="1123" t="s">
        <v>671</v>
      </c>
      <c r="AN2" s="1237" t="s">
        <v>2627</v>
      </c>
      <c r="AO2" s="1238"/>
      <c r="AP2" s="1239"/>
      <c r="AQ2" s="1237" t="s">
        <v>472</v>
      </c>
      <c r="AR2" s="1238"/>
      <c r="AS2" s="1239"/>
      <c r="AT2" s="1237" t="s">
        <v>670</v>
      </c>
      <c r="AU2" s="1238"/>
      <c r="AV2" s="1239"/>
      <c r="AW2" s="517" t="s">
        <v>1597</v>
      </c>
      <c r="AX2" s="517" t="s">
        <v>1598</v>
      </c>
      <c r="AY2" s="1123" t="s">
        <v>1599</v>
      </c>
      <c r="AZ2" s="1123" t="s">
        <v>2723</v>
      </c>
      <c r="BA2" s="517" t="s">
        <v>3011</v>
      </c>
      <c r="BC2" s="455" t="s">
        <v>976</v>
      </c>
      <c r="BD2" s="456"/>
      <c r="BE2" s="421"/>
      <c r="BF2" s="457" t="s">
        <v>976</v>
      </c>
      <c r="BG2" s="458"/>
      <c r="BH2" s="459"/>
      <c r="BI2" s="463" t="s">
        <v>977</v>
      </c>
      <c r="BJ2" s="464" t="s">
        <v>926</v>
      </c>
      <c r="BK2" s="464" t="s">
        <v>927</v>
      </c>
      <c r="BL2" s="464" t="s">
        <v>928</v>
      </c>
      <c r="BM2" s="465" t="s">
        <v>198</v>
      </c>
    </row>
    <row r="3" spans="1:65" ht="15.75" customHeight="1">
      <c r="D3" s="467"/>
      <c r="E3" s="467"/>
      <c r="F3" s="468"/>
      <c r="I3" s="467"/>
      <c r="J3" s="469"/>
      <c r="K3" s="312"/>
      <c r="N3" s="470" t="s">
        <v>123</v>
      </c>
      <c r="O3" s="470" t="s">
        <v>124</v>
      </c>
      <c r="P3" s="470" t="s">
        <v>125</v>
      </c>
      <c r="T3" s="470" t="s">
        <v>126</v>
      </c>
      <c r="U3" s="470" t="s">
        <v>127</v>
      </c>
      <c r="V3" s="470" t="s">
        <v>128</v>
      </c>
      <c r="W3" s="470" t="s">
        <v>129</v>
      </c>
      <c r="X3" s="470" t="s">
        <v>130</v>
      </c>
      <c r="Y3" s="470" t="s">
        <v>131</v>
      </c>
      <c r="Z3" s="471" t="s">
        <v>132</v>
      </c>
      <c r="AA3" s="472" t="s">
        <v>133</v>
      </c>
      <c r="AB3" s="471" t="s">
        <v>134</v>
      </c>
      <c r="AC3" s="471" t="s">
        <v>135</v>
      </c>
      <c r="AD3" s="472" t="s">
        <v>136</v>
      </c>
      <c r="AE3" s="471" t="s">
        <v>137</v>
      </c>
      <c r="AN3" s="470" t="s">
        <v>129</v>
      </c>
      <c r="AO3" s="470" t="s">
        <v>130</v>
      </c>
      <c r="AP3" s="470" t="s">
        <v>131</v>
      </c>
      <c r="AQ3" s="470" t="s">
        <v>645</v>
      </c>
      <c r="AR3" s="470" t="s">
        <v>646</v>
      </c>
      <c r="AS3" s="470" t="s">
        <v>647</v>
      </c>
      <c r="AT3" s="470" t="s">
        <v>648</v>
      </c>
      <c r="AU3" s="470" t="s">
        <v>649</v>
      </c>
      <c r="AV3" s="470" t="s">
        <v>650</v>
      </c>
      <c r="AW3" s="462"/>
      <c r="AX3" s="462"/>
      <c r="AY3" s="462"/>
      <c r="AZ3" s="462"/>
      <c r="BC3" s="473"/>
      <c r="BD3" s="460"/>
      <c r="BE3" s="421"/>
      <c r="BF3" s="473"/>
      <c r="BG3" s="460"/>
      <c r="BI3" s="474"/>
      <c r="BJ3" s="475"/>
      <c r="BK3" s="475"/>
      <c r="BL3" s="475"/>
      <c r="BM3" s="476"/>
    </row>
    <row r="4" spans="1:65" ht="15.75" hidden="1" customHeight="1">
      <c r="A4" s="291"/>
      <c r="B4" s="291"/>
      <c r="C4" s="383"/>
      <c r="D4" s="391"/>
      <c r="E4" s="289"/>
      <c r="F4" s="289"/>
      <c r="G4" s="292">
        <v>64.8</v>
      </c>
      <c r="H4" s="291"/>
      <c r="I4" s="291"/>
      <c r="J4" s="288"/>
      <c r="K4" s="1121"/>
      <c r="L4" s="1121"/>
      <c r="M4" s="1121"/>
      <c r="N4" s="291"/>
      <c r="O4" s="291"/>
      <c r="P4" s="291"/>
      <c r="Q4" s="1121"/>
      <c r="R4" s="1121"/>
      <c r="S4" s="1121"/>
      <c r="T4" s="1121"/>
      <c r="U4" s="1121"/>
      <c r="V4" s="1121"/>
      <c r="W4" s="1121"/>
      <c r="X4" s="1121"/>
      <c r="Y4" s="1121"/>
      <c r="Z4" s="1121"/>
      <c r="AA4" s="1121"/>
      <c r="AB4" s="1121"/>
      <c r="AC4" s="1121"/>
      <c r="AD4" s="1121"/>
      <c r="AE4" s="1121"/>
      <c r="AF4" s="1121"/>
      <c r="AG4" s="1121"/>
      <c r="AH4" s="1121"/>
      <c r="AI4" s="1121"/>
      <c r="AJ4" s="477"/>
      <c r="AK4" s="1121"/>
      <c r="AL4" s="1121"/>
      <c r="AM4" s="1121"/>
      <c r="AN4" s="1121"/>
      <c r="AO4" s="1121"/>
      <c r="AP4" s="1121"/>
      <c r="AQ4" s="1121"/>
      <c r="AR4" s="1121"/>
      <c r="AS4" s="1121"/>
      <c r="AT4" s="1121"/>
      <c r="AU4" s="1121"/>
      <c r="AV4" s="1121"/>
      <c r="AW4" s="1121"/>
      <c r="AX4" s="1121"/>
      <c r="AY4" s="1121"/>
      <c r="AZ4" s="1121"/>
      <c r="BA4" s="477"/>
      <c r="BC4" s="478" t="s">
        <v>985</v>
      </c>
      <c r="BD4" s="479"/>
      <c r="BE4" s="421"/>
      <c r="BF4" s="478" t="s">
        <v>1002</v>
      </c>
      <c r="BG4" s="479"/>
      <c r="BI4" s="480" t="s">
        <v>929</v>
      </c>
      <c r="BJ4" s="415">
        <v>20400</v>
      </c>
      <c r="BK4" s="415">
        <v>21050</v>
      </c>
      <c r="BL4" s="475">
        <v>2</v>
      </c>
      <c r="BM4" s="476">
        <f>+(BK4-BJ4)*BL4/1000</f>
        <v>1.3</v>
      </c>
    </row>
    <row r="5" spans="1:65" s="467" customFormat="1" ht="15.75" customHeight="1">
      <c r="A5" s="291"/>
      <c r="B5" s="287" t="s">
        <v>2513</v>
      </c>
      <c r="C5" s="288">
        <v>18031.8</v>
      </c>
      <c r="D5" s="391"/>
      <c r="E5" s="289"/>
      <c r="F5" s="289">
        <v>0</v>
      </c>
      <c r="G5" s="292"/>
      <c r="H5" s="291" t="s">
        <v>143</v>
      </c>
      <c r="I5" s="291"/>
      <c r="J5" s="288"/>
      <c r="K5" s="1121"/>
      <c r="L5" s="1121" t="s">
        <v>882</v>
      </c>
      <c r="M5" s="1121" t="s">
        <v>2675</v>
      </c>
      <c r="N5" s="291"/>
      <c r="O5" s="291"/>
      <c r="P5" s="291"/>
      <c r="Q5" s="1121"/>
      <c r="R5" s="1121"/>
      <c r="S5" s="1121"/>
      <c r="T5" s="1121"/>
      <c r="U5" s="1121"/>
      <c r="V5" s="1121"/>
      <c r="W5" s="1121"/>
      <c r="X5" s="1121"/>
      <c r="Y5" s="1121"/>
      <c r="Z5" s="1121"/>
      <c r="AA5" s="1121"/>
      <c r="AB5" s="1121"/>
      <c r="AC5" s="1121"/>
      <c r="AD5" s="1121"/>
      <c r="AE5" s="1121"/>
      <c r="AF5" s="1121"/>
      <c r="AG5" s="1121"/>
      <c r="AH5" s="1121"/>
      <c r="AI5" s="1121"/>
      <c r="AJ5" s="477"/>
      <c r="AK5" s="1121"/>
      <c r="AL5" s="1121" t="s">
        <v>898</v>
      </c>
      <c r="AM5" s="1121" t="s">
        <v>1228</v>
      </c>
      <c r="AN5" s="1121"/>
      <c r="AO5" s="1121"/>
      <c r="AP5" s="1121"/>
      <c r="AQ5" s="1121"/>
      <c r="AR5" s="1121"/>
      <c r="AS5" s="1121"/>
      <c r="AT5" s="1121"/>
      <c r="AU5" s="1121"/>
      <c r="AV5" s="1121"/>
      <c r="AW5" s="315" t="s">
        <v>2630</v>
      </c>
      <c r="AX5" s="315" t="s">
        <v>1639</v>
      </c>
      <c r="AY5" s="1121">
        <v>3.8</v>
      </c>
      <c r="AZ5" s="1121"/>
      <c r="BA5" s="477"/>
      <c r="BB5" s="462"/>
      <c r="BC5" s="481" t="s">
        <v>980</v>
      </c>
      <c r="BD5" s="483"/>
      <c r="BE5" s="421"/>
      <c r="BF5" s="478"/>
      <c r="BG5" s="479"/>
      <c r="BH5" s="436"/>
      <c r="BI5" s="480"/>
      <c r="BJ5" s="415"/>
      <c r="BK5" s="415"/>
      <c r="BL5" s="418"/>
      <c r="BM5" s="476">
        <f>+(BK5-BJ5)*BL5/1000</f>
        <v>0</v>
      </c>
    </row>
    <row r="6" spans="1:65" ht="15.75" customHeight="1" thickBot="1">
      <c r="A6" s="291"/>
      <c r="B6" s="291"/>
      <c r="C6" s="383"/>
      <c r="D6" s="391"/>
      <c r="E6" s="289"/>
      <c r="F6" s="289"/>
      <c r="G6" s="292">
        <v>59.2</v>
      </c>
      <c r="H6" s="291"/>
      <c r="I6" s="291"/>
      <c r="J6" s="288"/>
      <c r="K6" s="1121"/>
      <c r="L6" s="1121"/>
      <c r="M6" s="1121"/>
      <c r="N6" s="291"/>
      <c r="O6" s="291"/>
      <c r="P6" s="291"/>
      <c r="Q6" s="1121"/>
      <c r="R6" s="1121"/>
      <c r="S6" s="1121"/>
      <c r="T6" s="1121"/>
      <c r="U6" s="1121"/>
      <c r="V6" s="1121"/>
      <c r="W6" s="1121"/>
      <c r="X6" s="1121"/>
      <c r="Y6" s="1121"/>
      <c r="Z6" s="1121"/>
      <c r="AA6" s="1121"/>
      <c r="AB6" s="1121"/>
      <c r="AC6" s="1121"/>
      <c r="AD6" s="1121"/>
      <c r="AE6" s="1121"/>
      <c r="AF6" s="1121"/>
      <c r="AG6" s="1121"/>
      <c r="AH6" s="1121"/>
      <c r="AI6" s="1121"/>
      <c r="AJ6" s="477"/>
      <c r="AK6" s="1121"/>
      <c r="AL6" s="1121"/>
      <c r="AM6" s="1121"/>
      <c r="AN6" s="1121"/>
      <c r="AO6" s="1121"/>
      <c r="AP6" s="1121"/>
      <c r="AQ6" s="1121"/>
      <c r="AR6" s="1121"/>
      <c r="AS6" s="1121"/>
      <c r="AT6" s="1121"/>
      <c r="AU6" s="1121"/>
      <c r="AV6" s="1121"/>
      <c r="AW6" s="1121"/>
      <c r="AX6" s="1121"/>
      <c r="AY6" s="1121" t="s">
        <v>695</v>
      </c>
      <c r="AZ6" s="1121"/>
      <c r="BA6" s="477"/>
      <c r="BC6" s="481" t="s">
        <v>978</v>
      </c>
      <c r="BD6" s="484"/>
      <c r="BE6" s="421"/>
      <c r="BF6" s="485" t="s">
        <v>888</v>
      </c>
      <c r="BG6" s="461"/>
      <c r="BI6" s="486" t="s">
        <v>973</v>
      </c>
      <c r="BJ6" s="487"/>
      <c r="BK6" s="487"/>
      <c r="BL6" s="487"/>
      <c r="BM6" s="488">
        <f>SUM(BM4:BM5)</f>
        <v>1.3</v>
      </c>
    </row>
    <row r="7" spans="1:65" s="467" customFormat="1" ht="15.75" customHeight="1">
      <c r="A7" s="1084"/>
      <c r="B7" s="1084"/>
      <c r="C7" s="1085"/>
      <c r="D7" s="1086"/>
      <c r="E7" s="1087"/>
      <c r="F7" s="1087"/>
      <c r="G7" s="1088"/>
      <c r="H7" s="1084"/>
      <c r="I7" s="1084"/>
      <c r="J7" s="1089"/>
      <c r="K7" s="1090"/>
      <c r="L7" s="1090"/>
      <c r="M7" s="1090"/>
      <c r="N7" s="1084"/>
      <c r="O7" s="1084"/>
      <c r="P7" s="1084"/>
      <c r="Q7" s="1090"/>
      <c r="R7" s="1090"/>
      <c r="S7" s="1090"/>
      <c r="T7" s="1090"/>
      <c r="U7" s="1090"/>
      <c r="V7" s="1090"/>
      <c r="W7" s="1090"/>
      <c r="X7" s="1090"/>
      <c r="Y7" s="1090"/>
      <c r="Z7" s="1090"/>
      <c r="AA7" s="1090"/>
      <c r="AB7" s="1090"/>
      <c r="AC7" s="1090"/>
      <c r="AD7" s="1090"/>
      <c r="AE7" s="1090"/>
      <c r="AF7" s="1090"/>
      <c r="AG7" s="1090"/>
      <c r="AH7" s="1090"/>
      <c r="AI7" s="1090"/>
      <c r="AJ7" s="1091"/>
      <c r="AK7" s="1090"/>
      <c r="AL7" s="1090"/>
      <c r="AM7" s="1090"/>
      <c r="AN7" s="1090"/>
      <c r="AO7" s="1121"/>
      <c r="AP7" s="1121"/>
      <c r="AQ7" s="1121"/>
      <c r="AR7" s="1121"/>
      <c r="AS7" s="1121"/>
      <c r="AT7" s="1121"/>
      <c r="AU7" s="1121"/>
      <c r="AV7" s="1121"/>
      <c r="AW7" s="1121"/>
      <c r="AX7" s="1121"/>
      <c r="AY7" s="1121" t="s">
        <v>695</v>
      </c>
      <c r="AZ7" s="1121"/>
      <c r="BA7" s="477"/>
      <c r="BB7" s="462"/>
      <c r="BC7" s="481" t="s">
        <v>982</v>
      </c>
      <c r="BD7" s="489"/>
      <c r="BE7" s="421"/>
      <c r="BF7" s="478" t="s">
        <v>1051</v>
      </c>
      <c r="BG7" s="479" t="s">
        <v>1050</v>
      </c>
      <c r="BH7" s="436"/>
      <c r="BI7" s="312"/>
      <c r="BJ7" s="312"/>
      <c r="BK7" s="312"/>
      <c r="BL7" s="312"/>
      <c r="BM7" s="312"/>
    </row>
    <row r="8" spans="1:65" ht="38.25" customHeight="1">
      <c r="A8" s="291"/>
      <c r="B8" s="291"/>
      <c r="C8" s="383"/>
      <c r="D8" s="391"/>
      <c r="E8" s="289"/>
      <c r="F8" s="289"/>
      <c r="G8" s="292">
        <v>57</v>
      </c>
      <c r="H8" s="291"/>
      <c r="I8" s="291" t="s">
        <v>2668</v>
      </c>
      <c r="J8" s="288">
        <f>C9-9.5</f>
        <v>20395.5</v>
      </c>
      <c r="K8" s="1121" t="s">
        <v>658</v>
      </c>
      <c r="L8" s="1121"/>
      <c r="M8" s="1121"/>
      <c r="N8" s="1121"/>
      <c r="O8" s="1121"/>
      <c r="P8" s="1121"/>
      <c r="Q8" s="1121"/>
      <c r="R8" s="1121"/>
      <c r="S8" s="1121"/>
      <c r="T8" s="971"/>
      <c r="U8" s="1121"/>
      <c r="V8" s="1121"/>
      <c r="W8" s="1121"/>
      <c r="X8" s="1121"/>
      <c r="Y8" s="1121"/>
      <c r="Z8" s="1121"/>
      <c r="AA8" s="1121"/>
      <c r="AB8" s="1121"/>
      <c r="AC8" s="1121"/>
      <c r="AD8" s="1121"/>
      <c r="AE8" s="1121"/>
      <c r="AF8" s="1121"/>
      <c r="AG8" s="1121"/>
      <c r="AH8" s="1121"/>
      <c r="AI8" s="1121"/>
      <c r="AJ8" s="1121"/>
      <c r="AK8" s="1121"/>
      <c r="AL8" s="1121"/>
      <c r="AM8" s="1121"/>
      <c r="AN8" s="1121"/>
      <c r="AO8" s="1121"/>
      <c r="AP8" s="1121"/>
      <c r="AQ8" s="1121"/>
      <c r="AR8" s="1121"/>
      <c r="AS8" s="1121"/>
      <c r="AT8" s="1121"/>
      <c r="AU8" s="1121"/>
      <c r="AV8" s="1121"/>
      <c r="AW8" s="1121" t="s">
        <v>2631</v>
      </c>
      <c r="AX8" s="1121" t="s">
        <v>1639</v>
      </c>
      <c r="AY8" s="1121"/>
      <c r="AZ8" s="1121">
        <v>2.5</v>
      </c>
      <c r="BA8" s="1121"/>
      <c r="BC8" s="485" t="s">
        <v>984</v>
      </c>
      <c r="BD8" s="461"/>
      <c r="BE8" s="421"/>
      <c r="BF8" s="478"/>
      <c r="BG8" s="479"/>
      <c r="BI8" s="494" t="s">
        <v>932</v>
      </c>
      <c r="BJ8" s="494" t="s">
        <v>926</v>
      </c>
      <c r="BK8" s="494" t="s">
        <v>927</v>
      </c>
      <c r="BL8" s="494" t="s">
        <v>928</v>
      </c>
      <c r="BM8" s="494" t="s">
        <v>198</v>
      </c>
    </row>
    <row r="9" spans="1:65" ht="15.75" customHeight="1">
      <c r="A9" s="340"/>
      <c r="B9" s="287" t="s">
        <v>2466</v>
      </c>
      <c r="C9" s="288">
        <v>20405</v>
      </c>
      <c r="D9" s="1121"/>
      <c r="E9" s="1121"/>
      <c r="F9" s="289">
        <v>5000</v>
      </c>
      <c r="G9" s="292"/>
      <c r="H9" s="291"/>
      <c r="I9" s="291" t="s">
        <v>1223</v>
      </c>
      <c r="J9" s="288">
        <f>C9-7.5</f>
        <v>20397.5</v>
      </c>
      <c r="K9" s="1121" t="s">
        <v>658</v>
      </c>
      <c r="L9" s="1121" t="s">
        <v>882</v>
      </c>
      <c r="M9" s="1121" t="s">
        <v>2675</v>
      </c>
      <c r="N9" s="1121" t="s">
        <v>145</v>
      </c>
      <c r="O9" s="1121"/>
      <c r="P9" s="1121"/>
      <c r="Q9" s="975"/>
      <c r="R9" s="452"/>
      <c r="S9" s="452"/>
      <c r="T9" s="1121">
        <v>30</v>
      </c>
      <c r="U9" s="1121"/>
      <c r="V9" s="1121"/>
      <c r="W9" s="1121">
        <v>1.4</v>
      </c>
      <c r="X9" s="1121"/>
      <c r="Y9" s="1121"/>
      <c r="Z9" s="1121"/>
      <c r="AA9" s="1121"/>
      <c r="AB9" s="1121"/>
      <c r="AC9" s="1121"/>
      <c r="AD9" s="1121"/>
      <c r="AE9" s="1121"/>
      <c r="AF9" s="1121"/>
      <c r="AG9" s="452"/>
      <c r="AH9" s="452"/>
      <c r="AI9" s="975"/>
      <c r="AJ9" s="971"/>
      <c r="AK9" s="1121"/>
      <c r="AL9" s="1121" t="s">
        <v>898</v>
      </c>
      <c r="AM9" s="1121" t="s">
        <v>1228</v>
      </c>
      <c r="AN9" s="1121">
        <v>5.5</v>
      </c>
      <c r="AO9" s="1121"/>
      <c r="AP9" s="1121"/>
      <c r="AQ9" s="1121"/>
      <c r="AR9" s="1121"/>
      <c r="AS9" s="1121"/>
      <c r="AT9" s="1121" t="e">
        <f>+ab($T$9,#REF!,$T$11,$G$8,$G$10, -1*$F$9,1200)</f>
        <v>#VALUE!</v>
      </c>
      <c r="AU9" s="1121"/>
      <c r="AV9" s="1121"/>
      <c r="AW9" s="315" t="s">
        <v>2631</v>
      </c>
      <c r="AX9" s="315" t="s">
        <v>1639</v>
      </c>
      <c r="AY9" s="1121">
        <v>3.8</v>
      </c>
      <c r="AZ9" s="1121">
        <v>2.5</v>
      </c>
      <c r="BA9" s="971"/>
      <c r="BC9" s="478" t="s">
        <v>987</v>
      </c>
      <c r="BD9" s="479" t="s">
        <v>138</v>
      </c>
      <c r="BE9" s="421"/>
      <c r="BF9" s="485" t="s">
        <v>869</v>
      </c>
      <c r="BG9" s="461"/>
      <c r="BI9" s="490"/>
      <c r="BJ9" s="490"/>
      <c r="BK9" s="490"/>
      <c r="BL9" s="491"/>
      <c r="BM9" s="491">
        <f>SUM(BM10:BM11)+SUM(BM16:BM24)</f>
        <v>0</v>
      </c>
    </row>
    <row r="10" spans="1:65" ht="15.75" customHeight="1">
      <c r="A10" s="340"/>
      <c r="B10" s="287"/>
      <c r="C10" s="288"/>
      <c r="D10" s="1121"/>
      <c r="E10" s="1121"/>
      <c r="F10" s="289"/>
      <c r="G10" s="292">
        <v>50</v>
      </c>
      <c r="H10" s="291"/>
      <c r="I10" s="291"/>
      <c r="J10" s="288">
        <f>C11-7.5</f>
        <v>20447.5</v>
      </c>
      <c r="K10" s="1121" t="s">
        <v>658</v>
      </c>
      <c r="L10" s="1121"/>
      <c r="M10" s="1121"/>
      <c r="N10" s="1121"/>
      <c r="O10" s="1121"/>
      <c r="P10" s="1121"/>
      <c r="Q10" s="975"/>
      <c r="R10" s="452"/>
      <c r="S10" s="452"/>
      <c r="T10" s="1121"/>
      <c r="U10" s="1121"/>
      <c r="V10" s="1121"/>
      <c r="W10" s="1121"/>
      <c r="X10" s="1121"/>
      <c r="Y10" s="1121"/>
      <c r="Z10" s="1121"/>
      <c r="AA10" s="1121"/>
      <c r="AB10" s="1121"/>
      <c r="AC10" s="1121"/>
      <c r="AD10" s="1121"/>
      <c r="AE10" s="1121"/>
      <c r="AF10" s="1121"/>
      <c r="AG10" s="452"/>
      <c r="AH10" s="452"/>
      <c r="AI10" s="975"/>
      <c r="AJ10" s="971"/>
      <c r="AK10" s="1121"/>
      <c r="AL10" s="1121"/>
      <c r="AM10" s="1121"/>
      <c r="AN10" s="1121"/>
      <c r="AO10" s="1121"/>
      <c r="AP10" s="1121"/>
      <c r="AQ10" s="315">
        <f>+FL_2($T$11,$T$9,$G$10,1200,9.28, -1*$F$11)</f>
        <v>0.29994332203126028</v>
      </c>
      <c r="AR10" s="1121"/>
      <c r="AS10" s="1121"/>
      <c r="AT10" s="1121"/>
      <c r="AU10" s="1121"/>
      <c r="AV10" s="1121"/>
      <c r="AW10" s="1121" t="s">
        <v>2631</v>
      </c>
      <c r="AX10" s="1121" t="s">
        <v>1639</v>
      </c>
      <c r="AY10" s="1121"/>
      <c r="AZ10" s="1121">
        <v>2.5</v>
      </c>
      <c r="BA10" s="971"/>
      <c r="BC10" s="478" t="s">
        <v>991</v>
      </c>
      <c r="BD10" s="479" t="s">
        <v>956</v>
      </c>
      <c r="BE10" s="421"/>
      <c r="BF10" s="478" t="s">
        <v>1026</v>
      </c>
      <c r="BG10" s="479" t="s">
        <v>674</v>
      </c>
      <c r="BI10" s="480"/>
      <c r="BJ10" s="415"/>
      <c r="BK10" s="415"/>
      <c r="BL10" s="418"/>
      <c r="BM10" s="476">
        <f t="shared" ref="BM10:BM11" si="0">+(BK10-BJ10)*BL10/1000</f>
        <v>0</v>
      </c>
    </row>
    <row r="11" spans="1:65" ht="15.75" customHeight="1">
      <c r="A11" s="340"/>
      <c r="B11" s="287" t="s">
        <v>2467</v>
      </c>
      <c r="C11" s="288">
        <f>C9+G10</f>
        <v>20455</v>
      </c>
      <c r="D11" s="1121"/>
      <c r="E11" s="1121"/>
      <c r="F11" s="289">
        <v>1000</v>
      </c>
      <c r="G11" s="292"/>
      <c r="H11" s="291"/>
      <c r="I11" s="291" t="s">
        <v>954</v>
      </c>
      <c r="J11" s="288"/>
      <c r="K11" s="1121"/>
      <c r="L11" s="1121" t="s">
        <v>880</v>
      </c>
      <c r="M11" s="1121" t="s">
        <v>2676</v>
      </c>
      <c r="N11" s="1121" t="s">
        <v>145</v>
      </c>
      <c r="O11" s="1121"/>
      <c r="P11" s="1121"/>
      <c r="Q11" s="975"/>
      <c r="R11" s="452"/>
      <c r="S11" s="452"/>
      <c r="T11" s="1121">
        <v>30</v>
      </c>
      <c r="U11" s="1121"/>
      <c r="V11" s="1121"/>
      <c r="W11" s="1121">
        <v>1.4</v>
      </c>
      <c r="X11" s="1121"/>
      <c r="Y11" s="1121"/>
      <c r="Z11" s="1121"/>
      <c r="AA11" s="1121"/>
      <c r="AB11" s="1121"/>
      <c r="AC11" s="1121" t="str">
        <f t="shared" ref="AC11:AC23" si="1">IF(OR(AT11&gt;8,AT11&lt;-8),"PH",IF(OR(AT11&gt;5,AT11&lt;-5),"PH-Q",IF(OR(AT11&gt;1,AT11&lt;-1),"PH-C")))</f>
        <v>PH-C</v>
      </c>
      <c r="AD11" s="1121"/>
      <c r="AE11" s="1121"/>
      <c r="AF11" s="1121"/>
      <c r="AG11" s="452"/>
      <c r="AH11" s="452"/>
      <c r="AI11" s="975"/>
      <c r="AJ11" s="971"/>
      <c r="AK11" s="1121"/>
      <c r="AL11" s="1121" t="s">
        <v>897</v>
      </c>
      <c r="AM11" s="1121" t="s">
        <v>1228</v>
      </c>
      <c r="AN11" s="1121">
        <v>5.5</v>
      </c>
      <c r="AO11" s="1121"/>
      <c r="AP11" s="1121"/>
      <c r="AQ11" s="315"/>
      <c r="AR11" s="1121"/>
      <c r="AS11" s="1121"/>
      <c r="AT11" s="1121">
        <f>+ab($T$11,$T$9,$T$13,$G$10,$G$12, -1*$F$11,1200)</f>
        <v>-3.9502786950815176</v>
      </c>
      <c r="AU11" s="1121"/>
      <c r="AV11" s="1121"/>
      <c r="AW11" s="315" t="s">
        <v>2631</v>
      </c>
      <c r="AX11" s="315" t="s">
        <v>1639</v>
      </c>
      <c r="AY11" s="1121">
        <v>3.3</v>
      </c>
      <c r="AZ11" s="1121"/>
      <c r="BA11" s="971"/>
      <c r="BC11" s="478" t="s">
        <v>993</v>
      </c>
      <c r="BD11" s="479" t="s">
        <v>954</v>
      </c>
      <c r="BE11" s="421"/>
      <c r="BF11" s="478" t="s">
        <v>1027</v>
      </c>
      <c r="BG11" s="479" t="s">
        <v>675</v>
      </c>
      <c r="BI11" s="480"/>
      <c r="BJ11" s="495"/>
      <c r="BK11" s="495"/>
      <c r="BL11" s="496"/>
      <c r="BM11" s="497">
        <f t="shared" si="0"/>
        <v>0</v>
      </c>
    </row>
    <row r="12" spans="1:65" ht="15.75" customHeight="1">
      <c r="A12" s="340"/>
      <c r="B12" s="287"/>
      <c r="C12" s="288"/>
      <c r="D12" s="1121"/>
      <c r="E12" s="1121"/>
      <c r="F12" s="289"/>
      <c r="G12" s="292">
        <v>47</v>
      </c>
      <c r="H12" s="291"/>
      <c r="I12" s="291"/>
      <c r="J12" s="288">
        <f>C13-7.5</f>
        <v>20494.5</v>
      </c>
      <c r="K12" s="1121" t="s">
        <v>658</v>
      </c>
      <c r="L12" s="1121"/>
      <c r="M12" s="1121"/>
      <c r="N12" s="1121"/>
      <c r="O12" s="1121"/>
      <c r="P12" s="1121"/>
      <c r="Q12" s="975"/>
      <c r="R12" s="452"/>
      <c r="S12" s="452"/>
      <c r="T12" s="1121"/>
      <c r="U12" s="1121"/>
      <c r="V12" s="1121"/>
      <c r="W12" s="1121"/>
      <c r="X12" s="1121"/>
      <c r="Y12" s="1121"/>
      <c r="Z12" s="1121"/>
      <c r="AA12" s="1121"/>
      <c r="AB12" s="1121"/>
      <c r="AC12" s="1121"/>
      <c r="AD12" s="1121"/>
      <c r="AE12" s="1121"/>
      <c r="AF12" s="1121"/>
      <c r="AG12" s="452"/>
      <c r="AH12" s="452"/>
      <c r="AI12" s="975"/>
      <c r="AJ12" s="971"/>
      <c r="AK12" s="1121"/>
      <c r="AL12" s="1121"/>
      <c r="AM12" s="1121"/>
      <c r="AN12" s="1121"/>
      <c r="AO12" s="1121"/>
      <c r="AP12" s="1121"/>
      <c r="AQ12" s="315">
        <f>+FL_1($T$13,$T$11,$G$12,1200,9.28, -1*$F$13)</f>
        <v>0.51353666666666664</v>
      </c>
      <c r="AR12" s="1121"/>
      <c r="AS12" s="1121"/>
      <c r="AT12" s="1121"/>
      <c r="AU12" s="1121"/>
      <c r="AV12" s="1121"/>
      <c r="AW12" s="1121" t="s">
        <v>2631</v>
      </c>
      <c r="AX12" s="1121" t="s">
        <v>1639</v>
      </c>
      <c r="AY12" s="1121"/>
      <c r="AZ12" s="1121">
        <v>2.5</v>
      </c>
      <c r="BA12" s="971"/>
      <c r="BC12" s="478" t="s">
        <v>1605</v>
      </c>
      <c r="BD12" s="479" t="s">
        <v>1059</v>
      </c>
      <c r="BE12" s="421"/>
      <c r="BF12" s="478" t="s">
        <v>1028</v>
      </c>
      <c r="BG12" s="479" t="s">
        <v>916</v>
      </c>
      <c r="BI12" s="498" t="s">
        <v>1084</v>
      </c>
      <c r="BJ12" s="418"/>
      <c r="BK12" s="418"/>
      <c r="BL12" s="418"/>
      <c r="BM12" s="499">
        <f>SUM(BM10:BM11)</f>
        <v>0</v>
      </c>
    </row>
    <row r="13" spans="1:65" ht="15.75" customHeight="1">
      <c r="A13" s="340"/>
      <c r="B13" s="501" t="s">
        <v>2468</v>
      </c>
      <c r="C13" s="288">
        <f>C11+G12</f>
        <v>20502</v>
      </c>
      <c r="D13" s="1121"/>
      <c r="E13" s="1121"/>
      <c r="F13" s="289">
        <v>0</v>
      </c>
      <c r="G13" s="292"/>
      <c r="H13" s="291"/>
      <c r="I13" s="291" t="s">
        <v>2617</v>
      </c>
      <c r="J13" s="288"/>
      <c r="K13" s="1121"/>
      <c r="L13" s="1121" t="s">
        <v>880</v>
      </c>
      <c r="M13" s="1121" t="s">
        <v>2676</v>
      </c>
      <c r="N13" s="1121" t="s">
        <v>145</v>
      </c>
      <c r="O13" s="1121"/>
      <c r="P13" s="1121"/>
      <c r="Q13" s="975"/>
      <c r="R13" s="452"/>
      <c r="S13" s="452"/>
      <c r="T13" s="1121">
        <v>30</v>
      </c>
      <c r="U13" s="1121"/>
      <c r="V13" s="1121"/>
      <c r="W13" s="1121">
        <v>1.4</v>
      </c>
      <c r="X13" s="1121"/>
      <c r="Y13" s="1121"/>
      <c r="Z13" s="1121"/>
      <c r="AA13" s="1121"/>
      <c r="AB13" s="1121"/>
      <c r="AC13" s="1121" t="str">
        <f t="shared" si="1"/>
        <v>PH</v>
      </c>
      <c r="AD13" s="1121"/>
      <c r="AE13" s="1121"/>
      <c r="AF13" s="1121"/>
      <c r="AG13" s="452"/>
      <c r="AH13" s="452"/>
      <c r="AI13" s="975"/>
      <c r="AJ13" s="971"/>
      <c r="AK13" s="1121"/>
      <c r="AL13" s="1121" t="s">
        <v>897</v>
      </c>
      <c r="AM13" s="1121" t="s">
        <v>1228</v>
      </c>
      <c r="AN13" s="1121">
        <v>5.5</v>
      </c>
      <c r="AO13" s="1121"/>
      <c r="AP13" s="1121"/>
      <c r="AQ13" s="315"/>
      <c r="AR13" s="1121"/>
      <c r="AS13" s="1121"/>
      <c r="AT13" s="315">
        <f>+ab($T$13,$T$11,$T$15,$G$12,$G$14, -1*$F$13,1200)</f>
        <v>17.649429644994168</v>
      </c>
      <c r="AU13" s="1121"/>
      <c r="AV13" s="1121"/>
      <c r="AW13" s="315" t="s">
        <v>2631</v>
      </c>
      <c r="AX13" s="315" t="s">
        <v>1639</v>
      </c>
      <c r="AY13" s="1121">
        <v>3.3</v>
      </c>
      <c r="AZ13" s="1121"/>
      <c r="BA13" s="971"/>
      <c r="BC13" s="478" t="s">
        <v>1039</v>
      </c>
      <c r="BD13" s="479" t="s">
        <v>143</v>
      </c>
      <c r="BE13" s="421"/>
      <c r="BF13" s="478" t="s">
        <v>1029</v>
      </c>
      <c r="BG13" s="479" t="s">
        <v>917</v>
      </c>
      <c r="BI13" s="480"/>
      <c r="BJ13" s="418"/>
      <c r="BK13" s="418"/>
      <c r="BL13" s="418"/>
      <c r="BM13" s="500"/>
    </row>
    <row r="14" spans="1:65" ht="15.75" customHeight="1" thickBot="1">
      <c r="A14" s="340"/>
      <c r="B14" s="287"/>
      <c r="C14" s="288"/>
      <c r="D14" s="1121"/>
      <c r="E14" s="1121"/>
      <c r="F14" s="289"/>
      <c r="G14" s="292">
        <v>57</v>
      </c>
      <c r="H14" s="291"/>
      <c r="I14" s="294"/>
      <c r="J14" s="288"/>
      <c r="K14" s="1121"/>
      <c r="L14" s="1121"/>
      <c r="M14" s="1121"/>
      <c r="N14" s="1121"/>
      <c r="O14" s="1121"/>
      <c r="P14" s="1121"/>
      <c r="Q14" s="975"/>
      <c r="R14" s="452"/>
      <c r="S14" s="452"/>
      <c r="T14" s="1121"/>
      <c r="U14" s="1121"/>
      <c r="V14" s="1121"/>
      <c r="W14" s="1121"/>
      <c r="X14" s="1121"/>
      <c r="Y14" s="1121"/>
      <c r="Z14" s="1121"/>
      <c r="AA14" s="1121"/>
      <c r="AB14" s="1121"/>
      <c r="AC14" s="1121"/>
      <c r="AD14" s="1121"/>
      <c r="AE14" s="1121"/>
      <c r="AF14" s="1121"/>
      <c r="AG14" s="452"/>
      <c r="AH14" s="452"/>
      <c r="AI14" s="975"/>
      <c r="AJ14" s="971"/>
      <c r="AK14" s="1121"/>
      <c r="AL14" s="1121"/>
      <c r="AM14" s="1121"/>
      <c r="AN14" s="1121"/>
      <c r="AO14" s="1121"/>
      <c r="AP14" s="1121"/>
      <c r="AQ14" s="315">
        <f>+FL_2($T$15,$T$13,$G$14,1200,9.28, -1*$F$15)</f>
        <v>-0.38571007922807016</v>
      </c>
      <c r="AR14" s="1121"/>
      <c r="AS14" s="1121"/>
      <c r="AT14" s="315"/>
      <c r="AU14" s="1121"/>
      <c r="AV14" s="1121"/>
      <c r="AW14" s="1121"/>
      <c r="AX14" s="1121"/>
      <c r="AY14" s="1121" t="s">
        <v>695</v>
      </c>
      <c r="AZ14" s="1121"/>
      <c r="BA14" s="971"/>
      <c r="BC14" s="478" t="s">
        <v>1040</v>
      </c>
      <c r="BD14" s="479" t="s">
        <v>142</v>
      </c>
      <c r="BE14" s="421"/>
      <c r="BF14" s="478" t="s">
        <v>1030</v>
      </c>
      <c r="BG14" s="479" t="s">
        <v>918</v>
      </c>
      <c r="BI14" s="486" t="s">
        <v>1086</v>
      </c>
      <c r="BJ14" s="487"/>
      <c r="BK14" s="487"/>
      <c r="BL14" s="487"/>
      <c r="BM14" s="488">
        <f>SUM(BK10:BK11)/1000-SUM(BJ10:BJ11)/1000</f>
        <v>0</v>
      </c>
    </row>
    <row r="15" spans="1:65" ht="15.75" customHeight="1" thickBot="1">
      <c r="A15" s="340"/>
      <c r="B15" s="501" t="s">
        <v>2469</v>
      </c>
      <c r="C15" s="288">
        <f>C13+G14</f>
        <v>20559</v>
      </c>
      <c r="D15" s="1121"/>
      <c r="E15" s="1121"/>
      <c r="F15" s="289">
        <v>0</v>
      </c>
      <c r="G15" s="292"/>
      <c r="H15" s="291"/>
      <c r="I15" s="291" t="s">
        <v>954</v>
      </c>
      <c r="J15" s="288"/>
      <c r="K15" s="1121"/>
      <c r="L15" s="1121" t="s">
        <v>880</v>
      </c>
      <c r="M15" s="1121" t="s">
        <v>2676</v>
      </c>
      <c r="N15" s="1121" t="s">
        <v>144</v>
      </c>
      <c r="O15" s="1121"/>
      <c r="P15" s="1121"/>
      <c r="Q15" s="975"/>
      <c r="R15" s="452"/>
      <c r="S15" s="452"/>
      <c r="T15" s="1121">
        <v>-30</v>
      </c>
      <c r="U15" s="1121"/>
      <c r="V15" s="1121"/>
      <c r="W15" s="1121">
        <v>1.4</v>
      </c>
      <c r="X15" s="1121"/>
      <c r="Y15" s="1121"/>
      <c r="Z15" s="1121"/>
      <c r="AA15" s="1121"/>
      <c r="AB15" s="1121"/>
      <c r="AC15" s="1121" t="str">
        <f t="shared" si="1"/>
        <v>PH</v>
      </c>
      <c r="AD15" s="1121"/>
      <c r="AE15" s="1121"/>
      <c r="AF15" s="1121"/>
      <c r="AG15" s="452"/>
      <c r="AH15" s="452"/>
      <c r="AI15" s="975"/>
      <c r="AJ15" s="971"/>
      <c r="AK15" s="1121"/>
      <c r="AL15" s="1121" t="s">
        <v>897</v>
      </c>
      <c r="AM15" s="1121" t="s">
        <v>1228</v>
      </c>
      <c r="AN15" s="1121">
        <v>5.5</v>
      </c>
      <c r="AO15" s="1121"/>
      <c r="AP15" s="1121"/>
      <c r="AQ15" s="315"/>
      <c r="AR15" s="1121"/>
      <c r="AS15" s="1121"/>
      <c r="AT15" s="315">
        <f>+ab($T$15,$T$13,$T$17,$G$14,$G$16, -1*$F$15,1200)</f>
        <v>-8.9604892431614651</v>
      </c>
      <c r="AU15" s="1121"/>
      <c r="AV15" s="1121"/>
      <c r="AW15" s="315" t="s">
        <v>2631</v>
      </c>
      <c r="AX15" s="315" t="s">
        <v>1639</v>
      </c>
      <c r="AY15" s="1121">
        <v>3.3</v>
      </c>
      <c r="AZ15" s="1121"/>
      <c r="BA15" s="971"/>
      <c r="BC15" s="478" t="s">
        <v>2048</v>
      </c>
      <c r="BD15" s="479" t="s">
        <v>2016</v>
      </c>
      <c r="BE15" s="421"/>
      <c r="BF15" s="478"/>
      <c r="BG15" s="479"/>
      <c r="BI15" s="312"/>
      <c r="BJ15" s="312"/>
      <c r="BK15" s="312"/>
      <c r="BL15" s="312"/>
      <c r="BM15" s="312"/>
    </row>
    <row r="16" spans="1:65" ht="15.75" customHeight="1">
      <c r="A16" s="340"/>
      <c r="B16" s="287"/>
      <c r="C16" s="288"/>
      <c r="D16" s="1121"/>
      <c r="E16" s="1121"/>
      <c r="F16" s="289"/>
      <c r="G16" s="292">
        <v>56</v>
      </c>
      <c r="H16" s="291"/>
      <c r="I16" s="294"/>
      <c r="J16" s="288">
        <f>C15+7.5</f>
        <v>20566.5</v>
      </c>
      <c r="K16" s="1121" t="s">
        <v>658</v>
      </c>
      <c r="L16" s="1121"/>
      <c r="M16" s="1121"/>
      <c r="N16" s="1121"/>
      <c r="O16" s="1121"/>
      <c r="P16" s="1121"/>
      <c r="Q16" s="975"/>
      <c r="R16" s="452"/>
      <c r="S16" s="452"/>
      <c r="T16" s="1121"/>
      <c r="U16" s="1121"/>
      <c r="V16" s="1121"/>
      <c r="W16" s="1121"/>
      <c r="X16" s="1121"/>
      <c r="Y16" s="1121"/>
      <c r="Z16" s="1121"/>
      <c r="AA16" s="1121"/>
      <c r="AB16" s="1121"/>
      <c r="AC16" s="1121"/>
      <c r="AD16" s="1121"/>
      <c r="AE16" s="1121"/>
      <c r="AF16" s="1121"/>
      <c r="AG16" s="452"/>
      <c r="AH16" s="452"/>
      <c r="AI16" s="975"/>
      <c r="AJ16" s="971"/>
      <c r="AK16" s="1121"/>
      <c r="AL16" s="1121"/>
      <c r="AM16" s="1121"/>
      <c r="AN16" s="1121"/>
      <c r="AO16" s="1121"/>
      <c r="AP16" s="1121"/>
      <c r="AQ16" s="315">
        <f>+FL_1($T$17,$T$15,$G$16,1200,9.28, -1*$F$17)</f>
        <v>0.37736815714285715</v>
      </c>
      <c r="AR16" s="1121"/>
      <c r="AS16" s="1121"/>
      <c r="AT16" s="315"/>
      <c r="AU16" s="1121"/>
      <c r="AV16" s="1121"/>
      <c r="AW16" s="1121" t="s">
        <v>2631</v>
      </c>
      <c r="AX16" s="1121" t="s">
        <v>1639</v>
      </c>
      <c r="AY16" s="1121"/>
      <c r="AZ16" s="1121">
        <v>2.5</v>
      </c>
      <c r="BA16" s="971"/>
      <c r="BC16" s="478"/>
      <c r="BD16" s="479"/>
      <c r="BF16" s="485" t="s">
        <v>1003</v>
      </c>
      <c r="BG16" s="461"/>
      <c r="BI16" s="502"/>
      <c r="BJ16" s="503"/>
      <c r="BK16" s="503"/>
      <c r="BL16" s="504"/>
      <c r="BM16" s="505">
        <f t="shared" ref="BM16:BM23" si="2">+(BK16-BJ16)*BL16/1000</f>
        <v>0</v>
      </c>
    </row>
    <row r="17" spans="1:65" ht="15.75" customHeight="1">
      <c r="A17" s="340"/>
      <c r="B17" s="501" t="s">
        <v>2470</v>
      </c>
      <c r="C17" s="288">
        <f>C15+G16</f>
        <v>20615</v>
      </c>
      <c r="D17" s="1121"/>
      <c r="E17" s="1121"/>
      <c r="F17" s="289">
        <v>0</v>
      </c>
      <c r="G17" s="292"/>
      <c r="H17" s="1121"/>
      <c r="I17" s="291"/>
      <c r="J17" s="383"/>
      <c r="K17" s="291"/>
      <c r="L17" s="1121" t="s">
        <v>880</v>
      </c>
      <c r="M17" s="1121" t="s">
        <v>2676</v>
      </c>
      <c r="N17" s="1121" t="s">
        <v>145</v>
      </c>
      <c r="O17" s="1121"/>
      <c r="P17" s="1121"/>
      <c r="Q17" s="975"/>
      <c r="R17" s="452"/>
      <c r="S17" s="452"/>
      <c r="T17" s="1121">
        <v>30</v>
      </c>
      <c r="U17" s="1121"/>
      <c r="V17" s="1121"/>
      <c r="W17" s="1121">
        <v>1.4</v>
      </c>
      <c r="X17" s="1121"/>
      <c r="Y17" s="1121"/>
      <c r="Z17" s="1121"/>
      <c r="AA17" s="1121"/>
      <c r="AB17" s="1121"/>
      <c r="AC17" s="1121" t="str">
        <f t="shared" si="1"/>
        <v>PH</v>
      </c>
      <c r="AD17" s="1121"/>
      <c r="AE17" s="1121"/>
      <c r="AF17" s="1121"/>
      <c r="AG17" s="452"/>
      <c r="AH17" s="452"/>
      <c r="AI17" s="975"/>
      <c r="AJ17" s="971"/>
      <c r="AK17" s="1121"/>
      <c r="AL17" s="1121" t="s">
        <v>897</v>
      </c>
      <c r="AM17" s="1121" t="s">
        <v>1228</v>
      </c>
      <c r="AN17" s="1121">
        <v>5.5</v>
      </c>
      <c r="AO17" s="1121"/>
      <c r="AP17" s="1121"/>
      <c r="AQ17" s="315"/>
      <c r="AR17" s="1121"/>
      <c r="AS17" s="1121"/>
      <c r="AT17" s="315">
        <f>+ab($T$17,$T$15,$T$19,$G$16,$G$18, -1*$F$17,1200)</f>
        <v>8.8831013076179417</v>
      </c>
      <c r="AU17" s="1121"/>
      <c r="AV17" s="1121"/>
      <c r="AW17" s="315" t="s">
        <v>2631</v>
      </c>
      <c r="AX17" s="315" t="s">
        <v>1639</v>
      </c>
      <c r="AY17" s="1121">
        <v>3.3</v>
      </c>
      <c r="AZ17" s="1121"/>
      <c r="BA17" s="971"/>
      <c r="BC17" s="485" t="s">
        <v>994</v>
      </c>
      <c r="BD17" s="461"/>
      <c r="BF17" s="478" t="s">
        <v>1020</v>
      </c>
      <c r="BG17" s="479" t="s">
        <v>960</v>
      </c>
      <c r="BI17" s="480"/>
      <c r="BJ17" s="415"/>
      <c r="BK17" s="415"/>
      <c r="BL17" s="475"/>
      <c r="BM17" s="476">
        <f t="shared" si="2"/>
        <v>0</v>
      </c>
    </row>
    <row r="18" spans="1:65" ht="15.75" customHeight="1">
      <c r="A18" s="340"/>
      <c r="B18" s="287"/>
      <c r="C18" s="288"/>
      <c r="D18" s="1121"/>
      <c r="E18" s="1121"/>
      <c r="F18" s="289"/>
      <c r="G18" s="292">
        <v>56</v>
      </c>
      <c r="H18" s="291"/>
      <c r="I18" s="291"/>
      <c r="J18" s="288"/>
      <c r="K18" s="1121"/>
      <c r="L18" s="1121"/>
      <c r="M18" s="1121"/>
      <c r="N18" s="1121"/>
      <c r="O18" s="1121"/>
      <c r="P18" s="1121"/>
      <c r="Q18" s="452"/>
      <c r="R18" s="452"/>
      <c r="S18" s="452"/>
      <c r="T18" s="1121"/>
      <c r="U18" s="1121"/>
      <c r="V18" s="1121"/>
      <c r="W18" s="1121"/>
      <c r="X18" s="1121"/>
      <c r="Y18" s="1121"/>
      <c r="Z18" s="1121"/>
      <c r="AA18" s="1121"/>
      <c r="AB18" s="1121"/>
      <c r="AC18" s="1121"/>
      <c r="AD18" s="1121"/>
      <c r="AE18" s="1121"/>
      <c r="AF18" s="1121"/>
      <c r="AG18" s="452"/>
      <c r="AH18" s="452"/>
      <c r="AI18" s="452"/>
      <c r="AJ18" s="971"/>
      <c r="AK18" s="1121"/>
      <c r="AL18" s="1121"/>
      <c r="AM18" s="1121"/>
      <c r="AN18" s="1121"/>
      <c r="AO18" s="1121"/>
      <c r="AP18" s="1121"/>
      <c r="AQ18" s="315">
        <f>+FL_2($T$19,$T$17,$G$18,1200,9.28, -1*$F$19)</f>
        <v>-0.37736815714285715</v>
      </c>
      <c r="AR18" s="1121"/>
      <c r="AS18" s="1121"/>
      <c r="AT18" s="315"/>
      <c r="AU18" s="1121"/>
      <c r="AV18" s="1121"/>
      <c r="AW18" s="1121"/>
      <c r="AX18" s="1121"/>
      <c r="AY18" s="1121" t="s">
        <v>695</v>
      </c>
      <c r="AZ18" s="1121"/>
      <c r="BA18" s="971"/>
      <c r="BC18" s="478" t="s">
        <v>995</v>
      </c>
      <c r="BD18" s="479" t="s">
        <v>656</v>
      </c>
      <c r="BF18" s="478" t="s">
        <v>1021</v>
      </c>
      <c r="BG18" s="479" t="s">
        <v>959</v>
      </c>
      <c r="BI18" s="480"/>
      <c r="BJ18" s="415"/>
      <c r="BK18" s="415"/>
      <c r="BL18" s="475"/>
      <c r="BM18" s="476">
        <f t="shared" si="2"/>
        <v>0</v>
      </c>
    </row>
    <row r="19" spans="1:65" ht="15.75" customHeight="1">
      <c r="A19" s="340"/>
      <c r="B19" s="501" t="s">
        <v>2471</v>
      </c>
      <c r="C19" s="288">
        <f>C17+G18</f>
        <v>20671</v>
      </c>
      <c r="D19" s="1121"/>
      <c r="E19" s="1121"/>
      <c r="F19" s="289">
        <v>0</v>
      </c>
      <c r="G19" s="292"/>
      <c r="H19" s="291"/>
      <c r="I19" s="291"/>
      <c r="J19" s="288"/>
      <c r="K19" s="1121"/>
      <c r="L19" s="1121" t="s">
        <v>880</v>
      </c>
      <c r="M19" s="1121" t="s">
        <v>2676</v>
      </c>
      <c r="N19" s="1121" t="s">
        <v>144</v>
      </c>
      <c r="O19" s="1121"/>
      <c r="P19" s="1121"/>
      <c r="Q19" s="452"/>
      <c r="R19" s="452"/>
      <c r="S19" s="452"/>
      <c r="T19" s="1121">
        <v>-30</v>
      </c>
      <c r="U19" s="1121"/>
      <c r="V19" s="1121"/>
      <c r="W19" s="1121">
        <v>1.4</v>
      </c>
      <c r="X19" s="1121"/>
      <c r="Y19" s="1121"/>
      <c r="Z19" s="1121"/>
      <c r="AA19" s="1121"/>
      <c r="AB19" s="1121"/>
      <c r="AC19" s="1121" t="str">
        <f t="shared" si="1"/>
        <v>PH</v>
      </c>
      <c r="AD19" s="1121"/>
      <c r="AE19" s="1121"/>
      <c r="AF19" s="1121"/>
      <c r="AG19" s="452"/>
      <c r="AH19" s="452"/>
      <c r="AI19" s="452"/>
      <c r="AJ19" s="971"/>
      <c r="AK19" s="1121"/>
      <c r="AL19" s="1121" t="s">
        <v>897</v>
      </c>
      <c r="AM19" s="1121" t="s">
        <v>1228</v>
      </c>
      <c r="AN19" s="1121">
        <v>5.5</v>
      </c>
      <c r="AO19" s="1121"/>
      <c r="AP19" s="1121"/>
      <c r="AQ19" s="315"/>
      <c r="AR19" s="1121"/>
      <c r="AS19" s="1121"/>
      <c r="AT19" s="315">
        <f>+ab($T$19,$T$17,$T$21,$G$18,$G$20, -1*$F$19,1200)</f>
        <v>-8.9604892431614651</v>
      </c>
      <c r="AU19" s="1121"/>
      <c r="AV19" s="1121"/>
      <c r="AW19" s="315" t="s">
        <v>2631</v>
      </c>
      <c r="AX19" s="315" t="s">
        <v>1639</v>
      </c>
      <c r="AY19" s="1121">
        <v>3.3</v>
      </c>
      <c r="AZ19" s="1121"/>
      <c r="BA19" s="971"/>
      <c r="BC19" s="478" t="s">
        <v>996</v>
      </c>
      <c r="BD19" s="479" t="s">
        <v>657</v>
      </c>
      <c r="BF19" s="478" t="s">
        <v>1022</v>
      </c>
      <c r="BG19" s="479" t="s">
        <v>963</v>
      </c>
      <c r="BI19" s="480"/>
      <c r="BJ19" s="415"/>
      <c r="BK19" s="415"/>
      <c r="BL19" s="475"/>
      <c r="BM19" s="476">
        <f t="shared" si="2"/>
        <v>0</v>
      </c>
    </row>
    <row r="20" spans="1:65" ht="15.75" customHeight="1">
      <c r="A20" s="340"/>
      <c r="B20" s="287"/>
      <c r="C20" s="288"/>
      <c r="D20" s="1121"/>
      <c r="E20" s="1121"/>
      <c r="F20" s="289"/>
      <c r="G20" s="292">
        <v>57</v>
      </c>
      <c r="H20" s="291"/>
      <c r="I20" s="291"/>
      <c r="J20" s="383"/>
      <c r="K20" s="291"/>
      <c r="L20" s="1121"/>
      <c r="M20" s="1121"/>
      <c r="N20" s="1121"/>
      <c r="O20" s="1121"/>
      <c r="P20" s="1121"/>
      <c r="Q20" s="452"/>
      <c r="R20" s="452"/>
      <c r="S20" s="1121"/>
      <c r="T20" s="1121"/>
      <c r="U20" s="1121"/>
      <c r="V20" s="1121"/>
      <c r="W20" s="1121"/>
      <c r="X20" s="1121"/>
      <c r="Y20" s="1121"/>
      <c r="Z20" s="1121"/>
      <c r="AA20" s="1121"/>
      <c r="AB20" s="1121"/>
      <c r="AC20" s="1121"/>
      <c r="AD20" s="1121"/>
      <c r="AE20" s="1121"/>
      <c r="AF20" s="1121"/>
      <c r="AG20" s="452"/>
      <c r="AH20" s="452"/>
      <c r="AI20" s="452"/>
      <c r="AJ20" s="971"/>
      <c r="AK20" s="1121"/>
      <c r="AL20" s="1121"/>
      <c r="AM20" s="1121"/>
      <c r="AN20" s="1121"/>
      <c r="AO20" s="1121"/>
      <c r="AP20" s="1121"/>
      <c r="AQ20" s="315">
        <f>+FL_1($T$21,$T$19,$G$20,1200,9.28, -1*$F$21)</f>
        <v>0.38571007922807016</v>
      </c>
      <c r="AR20" s="1121"/>
      <c r="AS20" s="1121"/>
      <c r="AT20" s="315"/>
      <c r="AU20" s="1121"/>
      <c r="AV20" s="1121"/>
      <c r="AW20" s="1121"/>
      <c r="AX20" s="1121"/>
      <c r="AY20" s="1121" t="s">
        <v>695</v>
      </c>
      <c r="AZ20" s="1121"/>
      <c r="BA20" s="971"/>
      <c r="BC20" s="478" t="s">
        <v>997</v>
      </c>
      <c r="BD20" s="479" t="s">
        <v>912</v>
      </c>
      <c r="BF20" s="478" t="s">
        <v>1591</v>
      </c>
      <c r="BG20" s="479" t="s">
        <v>1592</v>
      </c>
      <c r="BI20" s="480"/>
      <c r="BJ20" s="415"/>
      <c r="BK20" s="415"/>
      <c r="BL20" s="475"/>
      <c r="BM20" s="476">
        <f t="shared" si="2"/>
        <v>0</v>
      </c>
    </row>
    <row r="21" spans="1:65" ht="15.75" customHeight="1">
      <c r="A21" s="340"/>
      <c r="B21" s="501" t="s">
        <v>2472</v>
      </c>
      <c r="C21" s="288">
        <f>C19+G20</f>
        <v>20728</v>
      </c>
      <c r="D21" s="1121"/>
      <c r="E21" s="289"/>
      <c r="F21" s="289">
        <v>0</v>
      </c>
      <c r="G21" s="292"/>
      <c r="H21" s="1121"/>
      <c r="I21" s="291" t="s">
        <v>2617</v>
      </c>
      <c r="J21" s="288">
        <f>C21+7.5</f>
        <v>20735.5</v>
      </c>
      <c r="K21" s="1121" t="s">
        <v>658</v>
      </c>
      <c r="L21" s="1121" t="s">
        <v>880</v>
      </c>
      <c r="M21" s="1121" t="s">
        <v>2676</v>
      </c>
      <c r="N21" s="1121" t="s">
        <v>145</v>
      </c>
      <c r="O21" s="1121"/>
      <c r="P21" s="1121"/>
      <c r="Q21" s="452"/>
      <c r="R21" s="452"/>
      <c r="S21" s="1121"/>
      <c r="T21" s="1121">
        <v>30</v>
      </c>
      <c r="U21" s="1121"/>
      <c r="V21" s="1121"/>
      <c r="W21" s="1121">
        <v>1.4</v>
      </c>
      <c r="X21" s="1121"/>
      <c r="Y21" s="1121"/>
      <c r="Z21" s="1121"/>
      <c r="AA21" s="1121"/>
      <c r="AB21" s="1121"/>
      <c r="AC21" s="1121" t="str">
        <f t="shared" si="1"/>
        <v>PH</v>
      </c>
      <c r="AD21" s="1121"/>
      <c r="AE21" s="1121"/>
      <c r="AF21" s="1121"/>
      <c r="AG21" s="1121"/>
      <c r="AH21" s="1121"/>
      <c r="AI21" s="1121"/>
      <c r="AJ21" s="971"/>
      <c r="AK21" s="1121"/>
      <c r="AL21" s="1121" t="s">
        <v>897</v>
      </c>
      <c r="AM21" s="1121" t="s">
        <v>1228</v>
      </c>
      <c r="AN21" s="1121">
        <v>5.5</v>
      </c>
      <c r="AO21" s="1121"/>
      <c r="AP21" s="1121"/>
      <c r="AQ21" s="315"/>
      <c r="AR21" s="1121"/>
      <c r="AS21" s="1121"/>
      <c r="AT21" s="315">
        <f>+ab($T$21,$T$19,$T$23,$G$20,$G$22, -1*$F$21,1200)</f>
        <v>8.9604423469548546</v>
      </c>
      <c r="AU21" s="1121"/>
      <c r="AV21" s="1121"/>
      <c r="AW21" s="315" t="s">
        <v>2631</v>
      </c>
      <c r="AX21" s="315" t="s">
        <v>1639</v>
      </c>
      <c r="AY21" s="1121">
        <v>3.3</v>
      </c>
      <c r="AZ21" s="1121">
        <v>2.5</v>
      </c>
      <c r="BA21" s="971"/>
      <c r="BC21" s="478" t="s">
        <v>998</v>
      </c>
      <c r="BD21" s="479" t="s">
        <v>911</v>
      </c>
      <c r="BF21" s="478" t="s">
        <v>1005</v>
      </c>
      <c r="BG21" s="479" t="s">
        <v>961</v>
      </c>
      <c r="BI21" s="480"/>
      <c r="BJ21" s="415"/>
      <c r="BK21" s="415"/>
      <c r="BL21" s="475"/>
      <c r="BM21" s="476">
        <f t="shared" si="2"/>
        <v>0</v>
      </c>
    </row>
    <row r="22" spans="1:65" ht="15.75" customHeight="1">
      <c r="A22" s="340"/>
      <c r="B22" s="287"/>
      <c r="C22" s="288"/>
      <c r="D22" s="1121"/>
      <c r="E22" s="1121"/>
      <c r="F22" s="289"/>
      <c r="G22" s="292">
        <v>56</v>
      </c>
      <c r="H22" s="291"/>
      <c r="I22" s="382"/>
      <c r="J22" s="288">
        <f>C23-7.5</f>
        <v>20776.5</v>
      </c>
      <c r="K22" s="1121" t="s">
        <v>653</v>
      </c>
      <c r="L22" s="1121"/>
      <c r="M22" s="1121"/>
      <c r="N22" s="1121"/>
      <c r="O22" s="1121"/>
      <c r="P22" s="1121"/>
      <c r="Q22" s="452"/>
      <c r="R22" s="452"/>
      <c r="S22" s="1121"/>
      <c r="T22" s="971"/>
      <c r="U22" s="1121"/>
      <c r="V22" s="1121"/>
      <c r="W22" s="1121"/>
      <c r="X22" s="1121"/>
      <c r="Y22" s="1121"/>
      <c r="Z22" s="1121"/>
      <c r="AA22" s="1121"/>
      <c r="AB22" s="1121"/>
      <c r="AC22" s="1121"/>
      <c r="AD22" s="1121"/>
      <c r="AE22" s="1121"/>
      <c r="AF22" s="1121"/>
      <c r="AG22" s="1121"/>
      <c r="AH22" s="1121"/>
      <c r="AI22" s="1121"/>
      <c r="AJ22" s="971"/>
      <c r="AK22" s="1121"/>
      <c r="AL22" s="1121"/>
      <c r="AM22" s="1121"/>
      <c r="AN22" s="1121"/>
      <c r="AO22" s="1121"/>
      <c r="AP22" s="1121"/>
      <c r="AQ22" s="315">
        <f>+FL_1($T$23,$T$21,$G$22,1200,9.28, -1*$F$23)</f>
        <v>0.30292973811015445</v>
      </c>
      <c r="AR22" s="1121"/>
      <c r="AS22" s="1121"/>
      <c r="AT22" s="315"/>
      <c r="AU22" s="1121"/>
      <c r="AV22" s="1121"/>
      <c r="AW22" s="1121" t="s">
        <v>2634</v>
      </c>
      <c r="AX22" s="1121" t="s">
        <v>1639</v>
      </c>
      <c r="AY22" s="1121"/>
      <c r="AZ22" s="1121">
        <v>2.5</v>
      </c>
      <c r="BA22" s="971"/>
      <c r="BC22" s="478" t="s">
        <v>1604</v>
      </c>
      <c r="BD22" s="479" t="s">
        <v>1081</v>
      </c>
      <c r="BF22" s="478" t="s">
        <v>1602</v>
      </c>
      <c r="BG22" s="479" t="s">
        <v>1603</v>
      </c>
      <c r="BI22" s="480"/>
      <c r="BJ22" s="415"/>
      <c r="BK22" s="415"/>
      <c r="BL22" s="418"/>
      <c r="BM22" s="476">
        <f t="shared" si="2"/>
        <v>0</v>
      </c>
    </row>
    <row r="23" spans="1:65" ht="15.75" customHeight="1">
      <c r="A23" s="340"/>
      <c r="B23" s="501" t="s">
        <v>2473</v>
      </c>
      <c r="C23" s="288">
        <f>C21+G22</f>
        <v>20784</v>
      </c>
      <c r="D23" s="1121"/>
      <c r="E23" s="1121"/>
      <c r="F23" s="289">
        <v>-3000</v>
      </c>
      <c r="G23" s="292"/>
      <c r="H23" s="1121" t="s">
        <v>138</v>
      </c>
      <c r="I23" s="289" t="s">
        <v>657</v>
      </c>
      <c r="J23" s="288"/>
      <c r="K23" s="1121"/>
      <c r="L23" s="1121" t="s">
        <v>880</v>
      </c>
      <c r="M23" s="1121" t="s">
        <v>2676</v>
      </c>
      <c r="N23" s="1121" t="s">
        <v>144</v>
      </c>
      <c r="O23" s="1121"/>
      <c r="P23" s="1121"/>
      <c r="Q23" s="452">
        <v>0</v>
      </c>
      <c r="R23" s="452">
        <v>0</v>
      </c>
      <c r="S23" s="1121"/>
      <c r="T23" s="1121">
        <v>-30</v>
      </c>
      <c r="U23" s="1121"/>
      <c r="V23" s="1121"/>
      <c r="W23" s="1121">
        <v>1.4</v>
      </c>
      <c r="X23" s="1121"/>
      <c r="Y23" s="1121"/>
      <c r="Z23" s="1121"/>
      <c r="AA23" s="1121"/>
      <c r="AB23" s="1121"/>
      <c r="AC23" s="1121" t="str">
        <f t="shared" si="1"/>
        <v>PH</v>
      </c>
      <c r="AD23" s="1121"/>
      <c r="AE23" s="1121"/>
      <c r="AF23" s="1121"/>
      <c r="AG23" s="1121"/>
      <c r="AH23" s="1121"/>
      <c r="AI23" s="1121"/>
      <c r="AJ23" s="971"/>
      <c r="AK23" s="1121"/>
      <c r="AL23" s="1121" t="s">
        <v>897</v>
      </c>
      <c r="AM23" s="1121" t="s">
        <v>1228</v>
      </c>
      <c r="AN23" s="1121">
        <v>5.5</v>
      </c>
      <c r="AO23" s="1121"/>
      <c r="AP23" s="1121"/>
      <c r="AQ23" s="315"/>
      <c r="AR23" s="1121"/>
      <c r="AS23" s="1121"/>
      <c r="AT23" s="315">
        <f>+ab($T$23,$T$21,$U$25,$G$22,$G$24, -1*$F$23,1200)</f>
        <v>81.291577496051602</v>
      </c>
      <c r="AU23" s="1121"/>
      <c r="AV23" s="1121"/>
      <c r="AW23" s="315" t="s">
        <v>2634</v>
      </c>
      <c r="AX23" s="315" t="s">
        <v>1639</v>
      </c>
      <c r="AY23" s="1121">
        <v>3.3</v>
      </c>
      <c r="AZ23" s="1121"/>
      <c r="BA23" s="971"/>
      <c r="BC23" s="478" t="s">
        <v>1041</v>
      </c>
      <c r="BD23" s="479" t="s">
        <v>1224</v>
      </c>
      <c r="BF23" s="478" t="s">
        <v>1368</v>
      </c>
      <c r="BG23" s="479" t="s">
        <v>1590</v>
      </c>
      <c r="BI23" s="480"/>
      <c r="BJ23" s="415"/>
      <c r="BK23" s="415"/>
      <c r="BL23" s="418"/>
      <c r="BM23" s="476">
        <f t="shared" si="2"/>
        <v>0</v>
      </c>
    </row>
    <row r="24" spans="1:65" ht="15.75" customHeight="1">
      <c r="A24" s="340"/>
      <c r="B24" s="287"/>
      <c r="C24" s="288"/>
      <c r="D24" s="1121"/>
      <c r="E24" s="1121"/>
      <c r="F24" s="289"/>
      <c r="G24" s="292">
        <v>55</v>
      </c>
      <c r="H24" s="291"/>
      <c r="I24" s="385">
        <v>413</v>
      </c>
      <c r="J24" s="288"/>
      <c r="K24" s="1121"/>
      <c r="L24" s="1121"/>
      <c r="M24" s="1121"/>
      <c r="N24" s="1121"/>
      <c r="O24" s="1121"/>
      <c r="P24" s="1121"/>
      <c r="Q24" s="452"/>
      <c r="R24" s="452"/>
      <c r="S24" s="1121">
        <v>55.59</v>
      </c>
      <c r="T24" s="971"/>
      <c r="U24" s="1121"/>
      <c r="V24" s="1121"/>
      <c r="W24" s="1121"/>
      <c r="X24" s="1121"/>
      <c r="Y24" s="1121"/>
      <c r="Z24" s="1121"/>
      <c r="AA24" s="1121"/>
      <c r="AB24" s="1121"/>
      <c r="AC24" s="1121"/>
      <c r="AD24" s="1121"/>
      <c r="AE24" s="1121"/>
      <c r="AF24" s="1121"/>
      <c r="AG24" s="1121"/>
      <c r="AH24" s="1121"/>
      <c r="AI24" s="1121"/>
      <c r="AJ24" s="1121"/>
      <c r="AK24" s="1121"/>
      <c r="AL24" s="1121"/>
      <c r="AM24" s="1121"/>
      <c r="AN24" s="1121"/>
      <c r="AO24" s="1121"/>
      <c r="AP24" s="1121"/>
      <c r="AQ24" s="315">
        <f>+FL_1($U$25,$T$23,$G$24,1200,9.28, -1*$F$25)</f>
        <v>0.22661443636363635</v>
      </c>
      <c r="AR24" s="1121"/>
      <c r="AS24" s="1121"/>
      <c r="AT24" s="315"/>
      <c r="AU24" s="1121"/>
      <c r="AV24" s="1121"/>
      <c r="AW24" s="1121"/>
      <c r="AX24" s="1121"/>
      <c r="AY24" s="1121" t="s">
        <v>695</v>
      </c>
      <c r="AZ24" s="1121"/>
      <c r="BA24" s="1121"/>
      <c r="BC24" s="478" t="s">
        <v>1044</v>
      </c>
      <c r="BD24" s="479" t="s">
        <v>1223</v>
      </c>
      <c r="BF24" s="478" t="s">
        <v>1369</v>
      </c>
      <c r="BG24" s="479" t="s">
        <v>1593</v>
      </c>
      <c r="BI24" s="474"/>
      <c r="BJ24" s="475"/>
      <c r="BK24" s="475"/>
      <c r="BL24" s="475"/>
      <c r="BM24" s="476"/>
    </row>
    <row r="25" spans="1:65" ht="15.75" customHeight="1">
      <c r="A25" s="340" t="s">
        <v>3233</v>
      </c>
      <c r="B25" s="287" t="s">
        <v>2474</v>
      </c>
      <c r="C25" s="288">
        <f>C23+G24</f>
        <v>20839</v>
      </c>
      <c r="D25" s="1121"/>
      <c r="E25" s="1121"/>
      <c r="F25" s="289">
        <v>0</v>
      </c>
      <c r="G25" s="292"/>
      <c r="H25" s="291" t="s">
        <v>651</v>
      </c>
      <c r="I25" s="294" t="s">
        <v>2016</v>
      </c>
      <c r="J25" s="288"/>
      <c r="K25" s="1121"/>
      <c r="L25" s="1121" t="s">
        <v>880</v>
      </c>
      <c r="M25" s="1121" t="s">
        <v>2676</v>
      </c>
      <c r="N25" s="1121" t="s">
        <v>140</v>
      </c>
      <c r="O25" s="1121" t="s">
        <v>145</v>
      </c>
      <c r="P25" s="1121"/>
      <c r="Q25" s="452" t="s">
        <v>2949</v>
      </c>
      <c r="R25" s="452">
        <v>0</v>
      </c>
      <c r="S25" s="1121"/>
      <c r="T25" s="971">
        <v>55</v>
      </c>
      <c r="U25" s="1121">
        <v>10</v>
      </c>
      <c r="V25" s="1121"/>
      <c r="W25" s="1121">
        <v>1.4</v>
      </c>
      <c r="X25" s="1121">
        <v>2.2999999999999998</v>
      </c>
      <c r="Y25" s="1121"/>
      <c r="Z25" s="1121">
        <v>0.6</v>
      </c>
      <c r="AA25" s="1121"/>
      <c r="AB25" s="1121"/>
      <c r="AC25" s="1121"/>
      <c r="AD25" s="1121" t="s">
        <v>1704</v>
      </c>
      <c r="AE25" s="1121"/>
      <c r="AF25" s="1121">
        <v>6000</v>
      </c>
      <c r="AG25" s="288">
        <v>20840.060000000001</v>
      </c>
      <c r="AH25" s="1121">
        <v>2147</v>
      </c>
      <c r="AI25" s="1121">
        <v>523</v>
      </c>
      <c r="AJ25" s="1121" t="s">
        <v>3231</v>
      </c>
      <c r="AK25" s="1121"/>
      <c r="AL25" s="1121" t="s">
        <v>897</v>
      </c>
      <c r="AM25" s="1121" t="s">
        <v>1228</v>
      </c>
      <c r="AN25" s="1121">
        <v>5.5</v>
      </c>
      <c r="AO25" s="1121"/>
      <c r="AP25" s="1121"/>
      <c r="AQ25" s="315"/>
      <c r="AR25" s="1121"/>
      <c r="AS25" s="1121"/>
      <c r="AT25" s="315">
        <f>+ab($U$25,$T$23,$T$29,$G$24,$G$26, -1*$F$25,1200)</f>
        <v>7.9640679561248264</v>
      </c>
      <c r="AU25" s="1121"/>
      <c r="AV25" s="1121"/>
      <c r="AW25" s="315" t="s">
        <v>2634</v>
      </c>
      <c r="AX25" s="315" t="s">
        <v>1639</v>
      </c>
      <c r="AY25" s="1121">
        <v>3.3</v>
      </c>
      <c r="AZ25" s="1121"/>
      <c r="BA25" s="1121"/>
      <c r="BC25" s="478" t="s">
        <v>1042</v>
      </c>
      <c r="BD25" s="479" t="s">
        <v>1225</v>
      </c>
      <c r="BE25" s="421"/>
      <c r="BF25" s="478" t="s">
        <v>1365</v>
      </c>
      <c r="BG25" s="479" t="s">
        <v>944</v>
      </c>
      <c r="BI25" s="474" t="s">
        <v>934</v>
      </c>
      <c r="BJ25" s="475"/>
      <c r="BK25" s="475"/>
      <c r="BL25" s="475"/>
      <c r="BM25" s="476">
        <f>SUM(BM16:BM24)</f>
        <v>0</v>
      </c>
    </row>
    <row r="26" spans="1:65" ht="15.75" customHeight="1">
      <c r="A26" s="340"/>
      <c r="B26" s="287"/>
      <c r="C26" s="288"/>
      <c r="D26" s="1121"/>
      <c r="E26" s="1121"/>
      <c r="F26" s="289"/>
      <c r="G26" s="292">
        <v>12</v>
      </c>
      <c r="H26" s="291"/>
      <c r="I26" s="294"/>
      <c r="J26" s="288"/>
      <c r="K26" s="1121" t="s">
        <v>653</v>
      </c>
      <c r="L26" s="1121"/>
      <c r="M26" s="1121"/>
      <c r="N26" s="1121"/>
      <c r="O26" s="1121"/>
      <c r="P26" s="1121"/>
      <c r="Q26" s="452"/>
      <c r="R26" s="452"/>
      <c r="S26" s="1121">
        <v>63.41</v>
      </c>
      <c r="T26" s="971"/>
      <c r="U26" s="1121"/>
      <c r="V26" s="1121"/>
      <c r="W26" s="1121"/>
      <c r="X26" s="1121"/>
      <c r="Y26" s="1121"/>
      <c r="Z26" s="1121"/>
      <c r="AA26" s="1121"/>
      <c r="AB26" s="1121"/>
      <c r="AC26" s="1121"/>
      <c r="AD26" s="1121"/>
      <c r="AE26" s="1121"/>
      <c r="AF26" s="1121"/>
      <c r="AG26" s="288"/>
      <c r="AH26" s="1121"/>
      <c r="AI26" s="1121"/>
      <c r="AJ26" s="1121" t="s">
        <v>3002</v>
      </c>
      <c r="AK26" s="1121"/>
      <c r="AL26" s="1121"/>
      <c r="AM26" s="1121"/>
      <c r="AN26" s="1121"/>
      <c r="AO26" s="1121"/>
      <c r="AP26" s="1121"/>
      <c r="AQ26" s="315">
        <f>+FL_1($T$29,$U$25,$G$26,1200,9.28, -1*$F$29)</f>
        <v>0.10012022799999745</v>
      </c>
      <c r="AR26" s="1121"/>
      <c r="AS26" s="1121"/>
      <c r="AT26" s="315"/>
      <c r="AU26" s="1121"/>
      <c r="AV26" s="1121"/>
      <c r="AW26" s="1121" t="s">
        <v>2634</v>
      </c>
      <c r="AX26" s="1121" t="s">
        <v>1639</v>
      </c>
      <c r="AY26" s="1121"/>
      <c r="AZ26" s="1121">
        <v>2.5</v>
      </c>
      <c r="BA26" s="1121"/>
      <c r="BC26" s="478" t="s">
        <v>1043</v>
      </c>
      <c r="BD26" s="479" t="s">
        <v>1226</v>
      </c>
      <c r="BE26" s="421"/>
      <c r="BF26" s="478"/>
      <c r="BG26" s="479"/>
      <c r="BI26" s="474"/>
      <c r="BJ26" s="475"/>
      <c r="BK26" s="475"/>
      <c r="BL26" s="475"/>
      <c r="BM26" s="476"/>
    </row>
    <row r="27" spans="1:65" ht="15.75" customHeight="1">
      <c r="A27" s="340"/>
      <c r="B27" s="287" t="s">
        <v>2727</v>
      </c>
      <c r="C27" s="288">
        <f>C25+G26</f>
        <v>20851</v>
      </c>
      <c r="D27" s="1121"/>
      <c r="E27" s="1121"/>
      <c r="F27" s="289">
        <v>0</v>
      </c>
      <c r="G27" s="292"/>
      <c r="H27" s="291" t="s">
        <v>2728</v>
      </c>
      <c r="I27" s="287" t="s">
        <v>657</v>
      </c>
      <c r="J27" s="288">
        <f>C27-7.5</f>
        <v>20843.5</v>
      </c>
      <c r="K27" s="1121"/>
      <c r="L27" s="1121" t="s">
        <v>231</v>
      </c>
      <c r="M27" s="1121" t="s">
        <v>2672</v>
      </c>
      <c r="N27" s="1121"/>
      <c r="O27" s="1121"/>
      <c r="P27" s="1121"/>
      <c r="Q27" s="291"/>
      <c r="R27" s="291"/>
      <c r="S27" s="1121"/>
      <c r="T27" s="971"/>
      <c r="U27" s="1121"/>
      <c r="V27" s="1121"/>
      <c r="W27" s="1121"/>
      <c r="X27" s="1121"/>
      <c r="Y27" s="1121"/>
      <c r="Z27" s="1121"/>
      <c r="AA27" s="1121"/>
      <c r="AB27" s="1121"/>
      <c r="AC27" s="1121"/>
      <c r="AD27" s="1121"/>
      <c r="AE27" s="1121"/>
      <c r="AF27" s="1121"/>
      <c r="AG27" s="288"/>
      <c r="AH27" s="1121"/>
      <c r="AI27" s="1121"/>
      <c r="AJ27" s="971"/>
      <c r="AK27" s="1121"/>
      <c r="AL27" s="1121"/>
      <c r="AM27" s="1121" t="s">
        <v>1228</v>
      </c>
      <c r="AN27" s="1121"/>
      <c r="AO27" s="1121"/>
      <c r="AP27" s="1121"/>
      <c r="AQ27" s="315"/>
      <c r="AR27" s="1121"/>
      <c r="AS27" s="1121"/>
      <c r="AT27" s="315"/>
      <c r="AU27" s="1121"/>
      <c r="AV27" s="1121"/>
      <c r="AW27" s="315" t="s">
        <v>2634</v>
      </c>
      <c r="AX27" s="315" t="s">
        <v>1639</v>
      </c>
      <c r="AY27" s="1121">
        <v>3.4</v>
      </c>
      <c r="AZ27" s="1121"/>
      <c r="BA27" s="971"/>
      <c r="BC27" s="478" t="s">
        <v>1045</v>
      </c>
      <c r="BD27" s="479" t="s">
        <v>1004</v>
      </c>
      <c r="BE27" s="421"/>
      <c r="BF27" s="478" t="s">
        <v>1008</v>
      </c>
      <c r="BG27" s="479" t="s">
        <v>967</v>
      </c>
      <c r="BI27" s="480"/>
      <c r="BJ27" s="418"/>
      <c r="BK27" s="418"/>
      <c r="BL27" s="418"/>
      <c r="BM27" s="500"/>
    </row>
    <row r="28" spans="1:65" ht="15.75" customHeight="1" thickBot="1">
      <c r="A28" s="340"/>
      <c r="B28" s="287"/>
      <c r="C28" s="288"/>
      <c r="D28" s="1130"/>
      <c r="E28" s="1121"/>
      <c r="F28" s="289"/>
      <c r="G28" s="292">
        <v>52</v>
      </c>
      <c r="H28" s="291"/>
      <c r="I28" s="294">
        <f>SUM('HR Track 1'!G396:G416)</f>
        <v>582</v>
      </c>
      <c r="J28" s="288"/>
      <c r="K28" s="1121" t="s">
        <v>653</v>
      </c>
      <c r="L28" s="1121"/>
      <c r="M28" s="1121"/>
      <c r="N28" s="1121"/>
      <c r="O28" s="1121"/>
      <c r="P28" s="1121"/>
      <c r="Q28" s="291"/>
      <c r="R28" s="291"/>
      <c r="S28" s="1121"/>
      <c r="T28" s="971"/>
      <c r="U28" s="1121"/>
      <c r="V28" s="1121"/>
      <c r="W28" s="1121"/>
      <c r="X28" s="1121"/>
      <c r="Y28" s="1121"/>
      <c r="Z28" s="1121"/>
      <c r="AA28" s="1121"/>
      <c r="AB28" s="1121"/>
      <c r="AC28" s="1121"/>
      <c r="AD28" s="1121"/>
      <c r="AE28" s="1121"/>
      <c r="AF28" s="1121"/>
      <c r="AG28" s="288"/>
      <c r="AH28" s="1121"/>
      <c r="AI28" s="1121"/>
      <c r="AJ28" s="971"/>
      <c r="AK28" s="1121"/>
      <c r="AL28" s="1121"/>
      <c r="AM28" s="1121"/>
      <c r="AN28" s="1121"/>
      <c r="AO28" s="1121"/>
      <c r="AP28" s="1121"/>
      <c r="AQ28" s="315"/>
      <c r="AR28" s="1121"/>
      <c r="AS28" s="1121"/>
      <c r="AT28" s="315"/>
      <c r="AU28" s="1121"/>
      <c r="AV28" s="1121"/>
      <c r="AW28" s="1121" t="s">
        <v>2634</v>
      </c>
      <c r="AX28" s="1121" t="s">
        <v>1639</v>
      </c>
      <c r="AY28" s="1121"/>
      <c r="AZ28" s="1121">
        <v>2.5</v>
      </c>
      <c r="BA28" s="971"/>
      <c r="BC28" s="478"/>
      <c r="BD28" s="479"/>
      <c r="BE28" s="436"/>
      <c r="BF28" s="478" t="s">
        <v>1009</v>
      </c>
      <c r="BG28" s="479" t="s">
        <v>1006</v>
      </c>
      <c r="BI28" s="486" t="s">
        <v>1085</v>
      </c>
      <c r="BJ28" s="487"/>
      <c r="BK28" s="487"/>
      <c r="BL28" s="487"/>
      <c r="BM28" s="506">
        <f>SUM(BK16:BK23)-SUM(BJ16:BJ23)</f>
        <v>0</v>
      </c>
    </row>
    <row r="29" spans="1:65" ht="15.75" customHeight="1">
      <c r="A29" s="340"/>
      <c r="B29" s="287" t="s">
        <v>2475</v>
      </c>
      <c r="C29" s="288">
        <f>C27+G28</f>
        <v>20903</v>
      </c>
      <c r="D29" s="1121"/>
      <c r="E29" s="1121"/>
      <c r="F29" s="289">
        <v>0</v>
      </c>
      <c r="G29" s="292"/>
      <c r="H29" s="1121" t="s">
        <v>3263</v>
      </c>
      <c r="I29" s="291" t="s">
        <v>657</v>
      </c>
      <c r="J29" s="288">
        <f>C29-7.5</f>
        <v>20895.5</v>
      </c>
      <c r="K29" s="1121"/>
      <c r="L29" s="1121" t="s">
        <v>882</v>
      </c>
      <c r="M29" s="1121" t="s">
        <v>2675</v>
      </c>
      <c r="N29" s="1121" t="s">
        <v>144</v>
      </c>
      <c r="O29" s="1121" t="s">
        <v>140</v>
      </c>
      <c r="P29" s="1121"/>
      <c r="Q29" s="452" t="s">
        <v>2950</v>
      </c>
      <c r="R29" s="452">
        <v>0</v>
      </c>
      <c r="S29" s="1121"/>
      <c r="T29" s="971">
        <v>-10</v>
      </c>
      <c r="U29" s="1121">
        <v>-55</v>
      </c>
      <c r="V29" s="1121"/>
      <c r="W29" s="1121">
        <v>1.4</v>
      </c>
      <c r="X29" s="1121">
        <v>2.2999999999999998</v>
      </c>
      <c r="Y29" s="1121"/>
      <c r="Z29" s="1121"/>
      <c r="AA29" s="1121">
        <v>0.6</v>
      </c>
      <c r="AB29" s="1121"/>
      <c r="AC29" s="1121" t="s">
        <v>1700</v>
      </c>
      <c r="AD29" s="1121"/>
      <c r="AE29" s="1121"/>
      <c r="AF29" s="1121">
        <v>5900</v>
      </c>
      <c r="AG29" s="288">
        <v>20903.47</v>
      </c>
      <c r="AH29" s="1121">
        <v>2167</v>
      </c>
      <c r="AI29" s="1121">
        <v>575</v>
      </c>
      <c r="AJ29" s="971"/>
      <c r="AK29" s="1121"/>
      <c r="AL29" s="1121" t="s">
        <v>898</v>
      </c>
      <c r="AM29" s="1121" t="s">
        <v>1228</v>
      </c>
      <c r="AN29" s="1121">
        <v>5.5</v>
      </c>
      <c r="AO29" s="1121"/>
      <c r="AP29" s="1121"/>
      <c r="AQ29" s="315"/>
      <c r="AR29" s="1121"/>
      <c r="AS29" s="1121"/>
      <c r="AT29" s="315">
        <f>+ab($T$29,$U$25,$U$31,$G$26,$G$30, -1*$F$29,1200)</f>
        <v>-12.767780679293127</v>
      </c>
      <c r="AU29" s="1121"/>
      <c r="AV29" s="1121"/>
      <c r="AW29" s="315" t="s">
        <v>2634</v>
      </c>
      <c r="AX29" s="315" t="s">
        <v>1639</v>
      </c>
      <c r="AY29" s="1121">
        <v>3.8</v>
      </c>
      <c r="AZ29" s="1121"/>
      <c r="BA29" s="971"/>
      <c r="BC29" s="478"/>
      <c r="BD29" s="479"/>
      <c r="BE29" s="436"/>
      <c r="BF29" s="478"/>
      <c r="BG29" s="479"/>
      <c r="BI29" s="490"/>
      <c r="BJ29" s="490"/>
      <c r="BK29" s="490"/>
      <c r="BL29" s="490"/>
      <c r="BM29" s="507"/>
    </row>
    <row r="30" spans="1:65" ht="15.75" customHeight="1">
      <c r="A30" s="340"/>
      <c r="B30" s="287"/>
      <c r="C30" s="288"/>
      <c r="D30" s="1121"/>
      <c r="E30" s="1121"/>
      <c r="F30" s="289"/>
      <c r="G30" s="292">
        <v>53</v>
      </c>
      <c r="H30" s="291"/>
      <c r="I30" s="294">
        <f>21145-C29</f>
        <v>242</v>
      </c>
      <c r="J30" s="288"/>
      <c r="K30" s="1121"/>
      <c r="L30" s="1121"/>
      <c r="M30" s="1121"/>
      <c r="N30" s="1121"/>
      <c r="O30" s="1121"/>
      <c r="P30" s="1121"/>
      <c r="Q30" s="452"/>
      <c r="R30" s="452"/>
      <c r="S30" s="1121">
        <f>+AG31-AG29</f>
        <v>50.029999999998836</v>
      </c>
      <c r="T30" s="971"/>
      <c r="U30" s="1121"/>
      <c r="V30" s="1121"/>
      <c r="W30" s="1121"/>
      <c r="X30" s="1121"/>
      <c r="Y30" s="1121"/>
      <c r="Z30" s="1121"/>
      <c r="AA30" s="1121"/>
      <c r="AB30" s="1121"/>
      <c r="AC30" s="1121"/>
      <c r="AD30" s="1121"/>
      <c r="AE30" s="1121"/>
      <c r="AF30" s="1121"/>
      <c r="AG30" s="288"/>
      <c r="AH30" s="1121"/>
      <c r="AI30" s="1121"/>
      <c r="AJ30" s="971"/>
      <c r="AK30" s="1121"/>
      <c r="AL30" s="1121"/>
      <c r="AM30" s="1121"/>
      <c r="AN30" s="1121"/>
      <c r="AO30" s="1121"/>
      <c r="AP30" s="1121"/>
      <c r="AQ30" s="315">
        <f>+FL_2($U$31,$T$29,$G$30,1200,9.28, -1*$F$31)</f>
        <v>-0.2</v>
      </c>
      <c r="AR30" s="1121"/>
      <c r="AS30" s="1121"/>
      <c r="AT30" s="315"/>
      <c r="AU30" s="1121"/>
      <c r="AV30" s="1121"/>
      <c r="AW30" s="315"/>
      <c r="AX30" s="315"/>
      <c r="AY30" s="1121" t="s">
        <v>695</v>
      </c>
      <c r="AZ30" s="1121"/>
      <c r="BA30" s="971"/>
      <c r="BC30" s="478"/>
      <c r="BD30" s="479"/>
      <c r="BE30" s="436"/>
      <c r="BF30" s="478"/>
      <c r="BG30" s="479"/>
      <c r="BI30" s="490"/>
      <c r="BJ30" s="490"/>
      <c r="BK30" s="490"/>
      <c r="BL30" s="490"/>
      <c r="BM30" s="507"/>
    </row>
    <row r="31" spans="1:65" ht="15.75" customHeight="1">
      <c r="A31" s="340"/>
      <c r="B31" s="287" t="s">
        <v>2561</v>
      </c>
      <c r="C31" s="288">
        <f>C29+G30</f>
        <v>20956</v>
      </c>
      <c r="D31" s="1121"/>
      <c r="E31" s="1121"/>
      <c r="F31" s="289">
        <v>1000</v>
      </c>
      <c r="G31" s="292"/>
      <c r="H31" s="291" t="s">
        <v>2523</v>
      </c>
      <c r="I31" s="294" t="s">
        <v>656</v>
      </c>
      <c r="J31" s="288"/>
      <c r="K31" s="1121"/>
      <c r="L31" s="1121" t="s">
        <v>230</v>
      </c>
      <c r="M31" s="1121" t="s">
        <v>2671</v>
      </c>
      <c r="N31" s="1121" t="s">
        <v>140</v>
      </c>
      <c r="O31" s="1121" t="s">
        <v>144</v>
      </c>
      <c r="P31" s="1121"/>
      <c r="Q31" s="452">
        <v>0</v>
      </c>
      <c r="R31" s="452">
        <v>2000</v>
      </c>
      <c r="S31" s="1121"/>
      <c r="T31" s="971">
        <v>0</v>
      </c>
      <c r="U31" s="1121">
        <v>-20</v>
      </c>
      <c r="V31" s="1121"/>
      <c r="W31" s="1121">
        <v>2.2999999999999998</v>
      </c>
      <c r="X31" s="1121">
        <v>1.4</v>
      </c>
      <c r="Y31" s="1121"/>
      <c r="Z31" s="1121">
        <v>0.5</v>
      </c>
      <c r="AA31" s="1121"/>
      <c r="AB31" s="1121"/>
      <c r="AC31" s="1121"/>
      <c r="AD31" s="1121" t="s">
        <v>2963</v>
      </c>
      <c r="AE31" s="1121"/>
      <c r="AF31" s="1121">
        <v>6000</v>
      </c>
      <c r="AG31" s="288">
        <v>20953.5</v>
      </c>
      <c r="AH31" s="1121">
        <v>2643</v>
      </c>
      <c r="AI31" s="1121">
        <v>490</v>
      </c>
      <c r="AJ31" s="971"/>
      <c r="AK31" s="1121"/>
      <c r="AL31" s="1121"/>
      <c r="AM31" s="1121" t="s">
        <v>1228</v>
      </c>
      <c r="AN31" s="1121">
        <v>5.5</v>
      </c>
      <c r="AO31" s="1121"/>
      <c r="AP31" s="1121"/>
      <c r="AQ31" s="315"/>
      <c r="AR31" s="1121"/>
      <c r="AS31" s="1121"/>
      <c r="AT31" s="315">
        <f>+ab($U$31,$T$29,$U$33,$G$30,$G$32, -1*$F$31,1200)</f>
        <v>-4.0190635557252898</v>
      </c>
      <c r="AU31" s="1121"/>
      <c r="AV31" s="1121"/>
      <c r="AW31" s="315" t="s">
        <v>2634</v>
      </c>
      <c r="AX31" s="315" t="s">
        <v>1639</v>
      </c>
      <c r="AY31" s="1121">
        <v>3.4</v>
      </c>
      <c r="AZ31" s="1121"/>
      <c r="BA31" s="1025" t="s">
        <v>3012</v>
      </c>
      <c r="BC31" s="485" t="s">
        <v>999</v>
      </c>
      <c r="BD31" s="461"/>
      <c r="BE31" s="436"/>
      <c r="BF31" s="478" t="s">
        <v>1010</v>
      </c>
      <c r="BG31" s="479" t="s">
        <v>962</v>
      </c>
    </row>
    <row r="32" spans="1:65" ht="15.75" customHeight="1">
      <c r="A32" s="340"/>
      <c r="B32" s="287"/>
      <c r="C32" s="288"/>
      <c r="D32" s="1121"/>
      <c r="E32" s="1121"/>
      <c r="F32" s="289"/>
      <c r="G32" s="292">
        <v>41</v>
      </c>
      <c r="H32" s="291"/>
      <c r="I32" s="294"/>
      <c r="J32" s="288">
        <f>C31+7.5</f>
        <v>20963.5</v>
      </c>
      <c r="K32" s="1121" t="s">
        <v>653</v>
      </c>
      <c r="L32" s="1121"/>
      <c r="M32" s="1121"/>
      <c r="N32" s="291"/>
      <c r="O32" s="1121"/>
      <c r="P32" s="1121"/>
      <c r="Q32" s="452"/>
      <c r="R32" s="452"/>
      <c r="S32" s="291">
        <f>+AG33-AG31</f>
        <v>44.360000000000582</v>
      </c>
      <c r="T32" s="972"/>
      <c r="U32" s="1121"/>
      <c r="V32" s="1121"/>
      <c r="W32" s="1121"/>
      <c r="X32" s="1121"/>
      <c r="Y32" s="1121"/>
      <c r="Z32" s="1121"/>
      <c r="AA32" s="1121"/>
      <c r="AB32" s="1121"/>
      <c r="AC32" s="1121"/>
      <c r="AD32" s="1121"/>
      <c r="AE32" s="1121"/>
      <c r="AF32" s="1121"/>
      <c r="AG32" s="288"/>
      <c r="AH32" s="1121"/>
      <c r="AI32" s="1121"/>
      <c r="AJ32" s="971"/>
      <c r="AK32" s="1121"/>
      <c r="AL32" s="1121"/>
      <c r="AM32" s="1121"/>
      <c r="AN32" s="1121"/>
      <c r="AO32" s="1121"/>
      <c r="AP32" s="1121"/>
      <c r="AQ32" s="315">
        <f>+FL_2($U$33,$U$31,$G$32,1200,9.28, -1*$F$33)</f>
        <v>-0.25</v>
      </c>
      <c r="AR32" s="1121"/>
      <c r="AS32" s="1121"/>
      <c r="AT32" s="315"/>
      <c r="AU32" s="1121"/>
      <c r="AV32" s="1121"/>
      <c r="AW32" s="315" t="s">
        <v>2634</v>
      </c>
      <c r="AX32" s="315" t="s">
        <v>1639</v>
      </c>
      <c r="AY32" s="1121" t="s">
        <v>695</v>
      </c>
      <c r="AZ32" s="1121">
        <v>2.5</v>
      </c>
      <c r="BA32" s="971"/>
      <c r="BC32" s="478" t="s">
        <v>1046</v>
      </c>
      <c r="BD32" s="479" t="s">
        <v>653</v>
      </c>
      <c r="BE32" s="436"/>
      <c r="BF32" s="478" t="s">
        <v>1011</v>
      </c>
      <c r="BG32" s="479" t="s">
        <v>971</v>
      </c>
    </row>
    <row r="33" spans="1:65" ht="15.75" customHeight="1">
      <c r="A33" s="340"/>
      <c r="B33" s="287" t="s">
        <v>2476</v>
      </c>
      <c r="C33" s="288">
        <f>C31+G32</f>
        <v>20997</v>
      </c>
      <c r="D33" s="1121"/>
      <c r="E33" s="1121"/>
      <c r="F33" s="289">
        <v>850</v>
      </c>
      <c r="G33" s="292"/>
      <c r="H33" s="291" t="s">
        <v>651</v>
      </c>
      <c r="I33" s="294"/>
      <c r="J33" s="288"/>
      <c r="K33" s="1121"/>
      <c r="L33" s="1121" t="s">
        <v>231</v>
      </c>
      <c r="M33" s="1121" t="s">
        <v>2672</v>
      </c>
      <c r="N33" s="1121" t="s">
        <v>140</v>
      </c>
      <c r="O33" s="1121" t="s">
        <v>144</v>
      </c>
      <c r="P33" s="1121" t="s">
        <v>140</v>
      </c>
      <c r="Q33" s="452" t="s">
        <v>2951</v>
      </c>
      <c r="R33" s="452">
        <v>2127.66</v>
      </c>
      <c r="S33" s="1121"/>
      <c r="T33" s="971">
        <v>-15</v>
      </c>
      <c r="U33" s="1121">
        <v>-25</v>
      </c>
      <c r="V33" s="1121">
        <v>-50</v>
      </c>
      <c r="W33" s="1121">
        <v>1.5</v>
      </c>
      <c r="X33" s="1121">
        <v>2</v>
      </c>
      <c r="Y33" s="1121">
        <v>2.2999999999999998</v>
      </c>
      <c r="Z33" s="1121">
        <v>0.5</v>
      </c>
      <c r="AA33" s="1121"/>
      <c r="AB33" s="1121">
        <v>0.65</v>
      </c>
      <c r="AC33" s="1121"/>
      <c r="AD33" s="1121" t="s">
        <v>1704</v>
      </c>
      <c r="AE33" s="1121"/>
      <c r="AF33" s="1121">
        <v>6000</v>
      </c>
      <c r="AG33" s="288">
        <v>20997.86</v>
      </c>
      <c r="AH33" s="291">
        <v>2182</v>
      </c>
      <c r="AI33" s="291">
        <v>647</v>
      </c>
      <c r="AJ33" s="971"/>
      <c r="AK33" s="1121"/>
      <c r="AL33" s="1121"/>
      <c r="AM33" s="1121" t="s">
        <v>1228</v>
      </c>
      <c r="AN33" s="1121">
        <v>5.5</v>
      </c>
      <c r="AO33" s="1121"/>
      <c r="AP33" s="1121"/>
      <c r="AQ33" s="315"/>
      <c r="AR33" s="1121"/>
      <c r="AS33" s="1121"/>
      <c r="AT33" s="315">
        <f>+ab($U$33,$U$31,$U$37,$G$32,$G$34, -1*$F$33,1200)</f>
        <v>-8.0124321774411733</v>
      </c>
      <c r="AU33" s="1121"/>
      <c r="AV33" s="1121"/>
      <c r="AW33" s="315" t="s">
        <v>2634</v>
      </c>
      <c r="AX33" s="315" t="s">
        <v>1639</v>
      </c>
      <c r="AY33" s="1121">
        <v>3.4</v>
      </c>
      <c r="AZ33" s="1121"/>
      <c r="BA33" s="971"/>
      <c r="BC33" s="478" t="s">
        <v>1047</v>
      </c>
      <c r="BD33" s="479" t="s">
        <v>658</v>
      </c>
      <c r="BE33" s="436"/>
      <c r="BF33" s="478" t="s">
        <v>1012</v>
      </c>
      <c r="BG33" s="479" t="s">
        <v>966</v>
      </c>
    </row>
    <row r="34" spans="1:65" ht="15.75" customHeight="1">
      <c r="A34" s="340"/>
      <c r="B34" s="287"/>
      <c r="C34" s="288"/>
      <c r="D34" s="1121"/>
      <c r="E34" s="1121"/>
      <c r="F34" s="289"/>
      <c r="G34" s="292">
        <v>8</v>
      </c>
      <c r="H34" s="291"/>
      <c r="I34" s="294"/>
      <c r="J34" s="288"/>
      <c r="K34" s="1121"/>
      <c r="L34" s="1121"/>
      <c r="M34" s="1121"/>
      <c r="N34" s="1121"/>
      <c r="O34" s="1121"/>
      <c r="P34" s="1121"/>
      <c r="Q34" s="452"/>
      <c r="R34" s="452"/>
      <c r="S34" s="1121">
        <v>40.409999999999997</v>
      </c>
      <c r="T34" s="971"/>
      <c r="U34" s="1121"/>
      <c r="V34" s="1121"/>
      <c r="W34" s="1121"/>
      <c r="X34" s="1121"/>
      <c r="Y34" s="1121"/>
      <c r="Z34" s="1121"/>
      <c r="AA34" s="1121"/>
      <c r="AB34" s="1121"/>
      <c r="AC34" s="1121"/>
      <c r="AD34" s="1121"/>
      <c r="AE34" s="1121"/>
      <c r="AF34" s="1121"/>
      <c r="AG34" s="288"/>
      <c r="AH34" s="1121"/>
      <c r="AI34" s="1121"/>
      <c r="AJ34" s="971"/>
      <c r="AK34" s="1121"/>
      <c r="AL34" s="1121"/>
      <c r="AM34" s="1121"/>
      <c r="AN34" s="1121"/>
      <c r="AO34" s="1121"/>
      <c r="AP34" s="1121"/>
      <c r="AQ34" s="315">
        <f>+FL_2($U$37,($U$33+G36),$G$34,1200,9.28,- 1*$F$35)</f>
        <v>-0.30000000000000016</v>
      </c>
      <c r="AR34" s="1121"/>
      <c r="AS34" s="1121"/>
      <c r="AT34" s="315"/>
      <c r="AU34" s="1121"/>
      <c r="AV34" s="1121"/>
      <c r="AW34" s="1121"/>
      <c r="AX34" s="1121"/>
      <c r="AY34" s="1121" t="s">
        <v>695</v>
      </c>
      <c r="AZ34" s="1121"/>
      <c r="BA34" s="971"/>
      <c r="BC34" s="478" t="s">
        <v>1049</v>
      </c>
      <c r="BD34" s="479" t="s">
        <v>654</v>
      </c>
      <c r="BE34" s="436"/>
      <c r="BF34" s="478" t="s">
        <v>1013</v>
      </c>
      <c r="BG34" s="479" t="s">
        <v>1007</v>
      </c>
    </row>
    <row r="35" spans="1:65" ht="15.75" customHeight="1">
      <c r="A35" s="340"/>
      <c r="B35" s="287" t="s">
        <v>2477</v>
      </c>
      <c r="C35" s="288">
        <f>C33+G34</f>
        <v>21005</v>
      </c>
      <c r="D35" s="1121"/>
      <c r="E35" s="1121"/>
      <c r="F35" s="289">
        <v>750</v>
      </c>
      <c r="G35" s="292"/>
      <c r="H35" s="291"/>
      <c r="I35" s="294"/>
      <c r="J35" s="288"/>
      <c r="K35" s="1121"/>
      <c r="L35" s="1121" t="s">
        <v>882</v>
      </c>
      <c r="M35" s="1121" t="s">
        <v>2675</v>
      </c>
      <c r="N35" s="1121"/>
      <c r="O35" s="1121"/>
      <c r="P35" s="1121"/>
      <c r="Q35" s="291"/>
      <c r="R35" s="291"/>
      <c r="S35" s="1121"/>
      <c r="T35" s="971"/>
      <c r="U35" s="1121"/>
      <c r="V35" s="1121"/>
      <c r="W35" s="1121"/>
      <c r="X35" s="1121"/>
      <c r="Y35" s="1121"/>
      <c r="Z35" s="1121"/>
      <c r="AA35" s="1121"/>
      <c r="AB35" s="1121"/>
      <c r="AC35" s="1121"/>
      <c r="AD35" s="1121"/>
      <c r="AE35" s="1121"/>
      <c r="AF35" s="1121"/>
      <c r="AG35" s="288"/>
      <c r="AH35" s="1121"/>
      <c r="AI35" s="1121"/>
      <c r="AJ35" s="971"/>
      <c r="AK35" s="1121"/>
      <c r="AL35" s="1121" t="s">
        <v>2518</v>
      </c>
      <c r="AM35" s="1121" t="s">
        <v>1228</v>
      </c>
      <c r="AN35" s="1121">
        <v>5.5</v>
      </c>
      <c r="AO35" s="1121"/>
      <c r="AP35" s="1121"/>
      <c r="AQ35" s="315"/>
      <c r="AR35" s="1121"/>
      <c r="AS35" s="1121"/>
      <c r="AT35" s="315"/>
      <c r="AU35" s="1121"/>
      <c r="AV35" s="1121"/>
      <c r="AW35" s="315" t="s">
        <v>2634</v>
      </c>
      <c r="AX35" s="315" t="s">
        <v>1639</v>
      </c>
      <c r="AY35" s="1121">
        <v>3.8</v>
      </c>
      <c r="AZ35" s="1121"/>
      <c r="BA35" s="971"/>
      <c r="BC35" s="478" t="s">
        <v>1048</v>
      </c>
      <c r="BD35" s="479" t="s">
        <v>659</v>
      </c>
      <c r="BE35" s="436"/>
      <c r="BF35" s="478" t="s">
        <v>1014</v>
      </c>
      <c r="BG35" s="479" t="s">
        <v>970</v>
      </c>
    </row>
    <row r="36" spans="1:65" ht="15.75" customHeight="1">
      <c r="A36" s="340"/>
      <c r="B36" s="287"/>
      <c r="C36" s="288"/>
      <c r="D36" s="1121"/>
      <c r="E36" s="1121"/>
      <c r="F36" s="289"/>
      <c r="G36" s="292">
        <v>32.5</v>
      </c>
      <c r="H36" s="291"/>
      <c r="I36" s="294"/>
      <c r="J36" s="288"/>
      <c r="K36" s="1121"/>
      <c r="L36" s="1121"/>
      <c r="M36" s="1121"/>
      <c r="N36" s="1121"/>
      <c r="O36" s="291"/>
      <c r="P36" s="1121"/>
      <c r="Q36" s="291"/>
      <c r="R36" s="291"/>
      <c r="S36" s="1121"/>
      <c r="T36" s="972"/>
      <c r="U36" s="1121"/>
      <c r="V36" s="1121"/>
      <c r="W36" s="291"/>
      <c r="X36" s="1121"/>
      <c r="Y36" s="1121"/>
      <c r="Z36" s="1121"/>
      <c r="AA36" s="1121"/>
      <c r="AB36" s="1121"/>
      <c r="AC36" s="1121"/>
      <c r="AD36" s="1121"/>
      <c r="AE36" s="1121"/>
      <c r="AF36" s="1121"/>
      <c r="AG36" s="288"/>
      <c r="AH36" s="1121"/>
      <c r="AI36" s="1121"/>
      <c r="AJ36" s="971"/>
      <c r="AK36" s="1121"/>
      <c r="AL36" s="1121"/>
      <c r="AM36" s="1121"/>
      <c r="AN36" s="1121"/>
      <c r="AO36" s="1121"/>
      <c r="AP36" s="1121"/>
      <c r="AQ36" s="315"/>
      <c r="AR36" s="1121"/>
      <c r="AS36" s="1121"/>
      <c r="AT36" s="315"/>
      <c r="AU36" s="1121"/>
      <c r="AV36" s="1121"/>
      <c r="AW36" s="1121"/>
      <c r="AX36" s="1121"/>
      <c r="AY36" s="1121" t="s">
        <v>695</v>
      </c>
      <c r="AZ36" s="1121"/>
      <c r="BA36" s="971"/>
      <c r="BC36" s="478" t="s">
        <v>1608</v>
      </c>
      <c r="BD36" s="479" t="s">
        <v>1055</v>
      </c>
      <c r="BE36" s="436"/>
      <c r="BF36" s="478"/>
      <c r="BG36" s="479"/>
    </row>
    <row r="37" spans="1:65" ht="15.75" customHeight="1">
      <c r="A37" s="340"/>
      <c r="B37" s="287" t="s">
        <v>2556</v>
      </c>
      <c r="C37" s="288">
        <f>C35+G36</f>
        <v>21037.5</v>
      </c>
      <c r="D37" s="1121"/>
      <c r="E37" s="1121"/>
      <c r="F37" s="289">
        <v>0</v>
      </c>
      <c r="G37" s="292"/>
      <c r="H37" s="291" t="s">
        <v>2168</v>
      </c>
      <c r="I37" s="291" t="s">
        <v>656</v>
      </c>
      <c r="J37" s="288"/>
      <c r="K37" s="1121"/>
      <c r="L37" s="287" t="s">
        <v>1056</v>
      </c>
      <c r="M37" s="287" t="s">
        <v>1614</v>
      </c>
      <c r="N37" s="1121" t="s">
        <v>145</v>
      </c>
      <c r="O37" s="1121" t="s">
        <v>144</v>
      </c>
      <c r="P37" s="1121"/>
      <c r="Q37" s="452" t="s">
        <v>2952</v>
      </c>
      <c r="R37" s="452">
        <v>0</v>
      </c>
      <c r="S37" s="1121"/>
      <c r="T37" s="971">
        <v>-15</v>
      </c>
      <c r="U37" s="1121">
        <v>-30</v>
      </c>
      <c r="V37" s="1121"/>
      <c r="W37" s="1121">
        <v>1.4</v>
      </c>
      <c r="X37" s="1121">
        <v>2.2999999999999998</v>
      </c>
      <c r="Y37" s="1121"/>
      <c r="Z37" s="1121"/>
      <c r="AA37" s="1121"/>
      <c r="AB37" s="1121"/>
      <c r="AC37" s="1121" t="s">
        <v>2968</v>
      </c>
      <c r="AD37" s="1121" t="s">
        <v>1710</v>
      </c>
      <c r="AE37" s="1121"/>
      <c r="AF37" s="1121">
        <v>5900</v>
      </c>
      <c r="AG37" s="288">
        <v>21038.27</v>
      </c>
      <c r="AH37" s="1121">
        <v>2192</v>
      </c>
      <c r="AI37" s="1121">
        <v>662</v>
      </c>
      <c r="AJ37" s="971"/>
      <c r="AK37" s="1121"/>
      <c r="AL37" s="1121"/>
      <c r="AM37" s="1121" t="s">
        <v>1228</v>
      </c>
      <c r="AN37" s="1121">
        <v>5.5</v>
      </c>
      <c r="AO37" s="1121"/>
      <c r="AP37" s="1121"/>
      <c r="AQ37" s="315"/>
      <c r="AR37" s="1121"/>
      <c r="AS37" s="1121"/>
      <c r="AT37" s="315">
        <f>+ab($U$37,$U$33,$T$41,$G$36,$G$38, -1*$F$37,1200)</f>
        <v>-6.0044238856673724</v>
      </c>
      <c r="AU37" s="1121"/>
      <c r="AV37" s="1121"/>
      <c r="AW37" s="315" t="s">
        <v>2634</v>
      </c>
      <c r="AX37" s="315" t="s">
        <v>1639</v>
      </c>
      <c r="AY37" s="1121">
        <v>3.4</v>
      </c>
      <c r="AZ37" s="1121"/>
      <c r="BA37" s="971"/>
      <c r="BC37" s="478" t="s">
        <v>1607</v>
      </c>
      <c r="BD37" s="479" t="s">
        <v>1060</v>
      </c>
      <c r="BE37" s="436"/>
      <c r="BF37" s="485" t="s">
        <v>1015</v>
      </c>
      <c r="BG37" s="461"/>
    </row>
    <row r="38" spans="1:65" ht="15.75" customHeight="1">
      <c r="A38" s="340"/>
      <c r="B38" s="287"/>
      <c r="C38" s="288"/>
      <c r="D38" s="1121"/>
      <c r="E38" s="1121"/>
      <c r="F38" s="289"/>
      <c r="G38" s="292">
        <v>16.5</v>
      </c>
      <c r="H38" s="291"/>
      <c r="I38" s="294"/>
      <c r="J38" s="288">
        <f>C37+7.5</f>
        <v>21045</v>
      </c>
      <c r="K38" s="1121" t="s">
        <v>653</v>
      </c>
      <c r="L38" s="1121"/>
      <c r="M38" s="1121"/>
      <c r="N38" s="1121"/>
      <c r="O38" s="1121"/>
      <c r="P38" s="1121"/>
      <c r="Q38" s="452"/>
      <c r="R38" s="452"/>
      <c r="S38" s="1121"/>
      <c r="T38" s="971"/>
      <c r="U38" s="1121"/>
      <c r="V38" s="1121"/>
      <c r="W38" s="1121"/>
      <c r="X38" s="1121"/>
      <c r="Y38" s="1121"/>
      <c r="Z38" s="1121"/>
      <c r="AA38" s="1121"/>
      <c r="AB38" s="1121"/>
      <c r="AC38" s="1121"/>
      <c r="AD38" s="1121"/>
      <c r="AE38" s="1121"/>
      <c r="AF38" s="1121"/>
      <c r="AG38" s="288"/>
      <c r="AH38" s="1121"/>
      <c r="AI38" s="1121"/>
      <c r="AJ38" s="971"/>
      <c r="AK38" s="1121"/>
      <c r="AL38" s="1121"/>
      <c r="AM38" s="1121"/>
      <c r="AN38" s="1121"/>
      <c r="AO38" s="1121"/>
      <c r="AP38" s="1121"/>
      <c r="AQ38" s="315">
        <f>+FL_2($T$41,$U$37,$G$38,1200,9.28, -1*$F$39)</f>
        <v>-0.30023919163635843</v>
      </c>
      <c r="AR38" s="1121"/>
      <c r="AS38" s="1121"/>
      <c r="AT38" s="315"/>
      <c r="AU38" s="1121"/>
      <c r="AV38" s="1121"/>
      <c r="AW38" s="1121" t="s">
        <v>2634</v>
      </c>
      <c r="AX38" s="1121" t="s">
        <v>1639</v>
      </c>
      <c r="AY38" s="1121"/>
      <c r="AZ38" s="1121">
        <v>2.5</v>
      </c>
      <c r="BA38" s="971"/>
      <c r="BC38" s="478" t="s">
        <v>1609</v>
      </c>
      <c r="BD38" s="479" t="s">
        <v>1606</v>
      </c>
      <c r="BE38" s="436"/>
      <c r="BF38" s="478" t="s">
        <v>1016</v>
      </c>
      <c r="BG38" s="479" t="s">
        <v>1001</v>
      </c>
    </row>
    <row r="39" spans="1:65" ht="15.75" customHeight="1">
      <c r="A39" s="340"/>
      <c r="B39" s="287" t="s">
        <v>2557</v>
      </c>
      <c r="C39" s="288">
        <f>C37+G38</f>
        <v>21054</v>
      </c>
      <c r="D39" s="1121"/>
      <c r="E39" s="1121"/>
      <c r="F39" s="289">
        <v>0</v>
      </c>
      <c r="G39" s="292"/>
      <c r="H39" s="291"/>
      <c r="I39" s="294"/>
      <c r="J39" s="288"/>
      <c r="K39" s="1121"/>
      <c r="L39" s="1121"/>
      <c r="M39" s="1121"/>
      <c r="N39" s="1121"/>
      <c r="O39" s="1121"/>
      <c r="P39" s="1121"/>
      <c r="Q39" s="291"/>
      <c r="R39" s="291"/>
      <c r="S39" s="1121"/>
      <c r="T39" s="971"/>
      <c r="U39" s="1121"/>
      <c r="V39" s="1121"/>
      <c r="W39" s="1121"/>
      <c r="X39" s="1121"/>
      <c r="Y39" s="1121"/>
      <c r="Z39" s="1121"/>
      <c r="AA39" s="1121"/>
      <c r="AB39" s="1121"/>
      <c r="AC39" s="1121"/>
      <c r="AD39" s="1121"/>
      <c r="AE39" s="1121"/>
      <c r="AF39" s="1121"/>
      <c r="AG39" s="288"/>
      <c r="AH39" s="1121"/>
      <c r="AI39" s="1121"/>
      <c r="AJ39" s="971"/>
      <c r="AK39" s="1121"/>
      <c r="AL39" s="1121"/>
      <c r="AM39" s="1121"/>
      <c r="AN39" s="1121"/>
      <c r="AO39" s="1121"/>
      <c r="AP39" s="1121"/>
      <c r="AQ39" s="1121"/>
      <c r="AR39" s="1121"/>
      <c r="AS39" s="1121"/>
      <c r="AT39" s="315"/>
      <c r="AU39" s="1121"/>
      <c r="AV39" s="1121"/>
      <c r="AW39" s="315"/>
      <c r="AX39" s="315"/>
      <c r="AY39" s="1121" t="s">
        <v>695</v>
      </c>
      <c r="AZ39" s="1121"/>
      <c r="BA39" s="971"/>
      <c r="BC39" s="478"/>
      <c r="BD39" s="476"/>
      <c r="BE39" s="436"/>
      <c r="BF39" s="478" t="s">
        <v>1017</v>
      </c>
      <c r="BG39" s="479" t="s">
        <v>1684</v>
      </c>
    </row>
    <row r="40" spans="1:65" ht="15.75" customHeight="1">
      <c r="A40" s="340"/>
      <c r="B40" s="287"/>
      <c r="C40" s="288"/>
      <c r="D40" s="1121"/>
      <c r="E40" s="1121"/>
      <c r="F40" s="289"/>
      <c r="G40" s="292">
        <v>10</v>
      </c>
      <c r="H40" s="291"/>
      <c r="I40" s="294"/>
      <c r="J40" s="288"/>
      <c r="K40" s="1121"/>
      <c r="L40" s="1121"/>
      <c r="M40" s="1121"/>
      <c r="N40" s="1121"/>
      <c r="O40" s="1121"/>
      <c r="P40" s="1121"/>
      <c r="Q40" s="291"/>
      <c r="R40" s="291"/>
      <c r="S40" s="1121">
        <f>21064.13-21038.27</f>
        <v>25.860000000000582</v>
      </c>
      <c r="T40" s="971"/>
      <c r="U40" s="1121"/>
      <c r="V40" s="1121"/>
      <c r="W40" s="1121"/>
      <c r="X40" s="1121"/>
      <c r="Y40" s="1121"/>
      <c r="Z40" s="1121"/>
      <c r="AA40" s="1121"/>
      <c r="AB40" s="1121"/>
      <c r="AC40" s="1121"/>
      <c r="AD40" s="1121"/>
      <c r="AE40" s="1121"/>
      <c r="AF40" s="1121"/>
      <c r="AG40" s="288"/>
      <c r="AH40" s="1121"/>
      <c r="AI40" s="1121"/>
      <c r="AJ40" s="971"/>
      <c r="AK40" s="1121"/>
      <c r="AL40" s="1121"/>
      <c r="AM40" s="1121"/>
      <c r="AN40" s="1121"/>
      <c r="AO40" s="1121"/>
      <c r="AP40" s="1121"/>
      <c r="AQ40" s="1121"/>
      <c r="AR40" s="1121"/>
      <c r="AS40" s="1121"/>
      <c r="AT40" s="315"/>
      <c r="AU40" s="1121"/>
      <c r="AV40" s="1121"/>
      <c r="AW40" s="1121"/>
      <c r="AX40" s="1121"/>
      <c r="AY40" s="1121" t="s">
        <v>695</v>
      </c>
      <c r="AZ40" s="1121"/>
      <c r="BA40" s="971"/>
      <c r="BC40" s="485" t="s">
        <v>1000</v>
      </c>
      <c r="BD40" s="461"/>
      <c r="BE40" s="436"/>
      <c r="BF40" s="478" t="s">
        <v>1018</v>
      </c>
      <c r="BG40" s="479" t="s">
        <v>1685</v>
      </c>
    </row>
    <row r="41" spans="1:65" ht="15.75" customHeight="1">
      <c r="A41" s="340"/>
      <c r="B41" s="287" t="s">
        <v>2558</v>
      </c>
      <c r="C41" s="288">
        <f>C39+G40</f>
        <v>21064</v>
      </c>
      <c r="D41" s="1121"/>
      <c r="E41" s="1121"/>
      <c r="F41" s="289">
        <v>0</v>
      </c>
      <c r="G41" s="292"/>
      <c r="H41" s="291"/>
      <c r="I41" s="294"/>
      <c r="J41" s="288"/>
      <c r="K41" s="1121"/>
      <c r="L41" s="1121"/>
      <c r="M41" s="1121"/>
      <c r="N41" s="1121" t="s">
        <v>917</v>
      </c>
      <c r="O41" s="1121"/>
      <c r="P41" s="1121"/>
      <c r="Q41" s="452">
        <v>0</v>
      </c>
      <c r="R41" s="452"/>
      <c r="S41" s="1121"/>
      <c r="T41" s="971">
        <v>20</v>
      </c>
      <c r="U41" s="1121"/>
      <c r="V41" s="1121"/>
      <c r="W41" s="1121">
        <v>1.4</v>
      </c>
      <c r="X41" s="1121"/>
      <c r="Y41" s="1121"/>
      <c r="Z41" s="1121"/>
      <c r="AA41" s="1121"/>
      <c r="AB41" s="1121"/>
      <c r="AC41" s="1121" t="s">
        <v>1704</v>
      </c>
      <c r="AD41" s="1121"/>
      <c r="AE41" s="1121"/>
      <c r="AF41" s="1121">
        <v>100</v>
      </c>
      <c r="AG41" s="288" t="s">
        <v>2953</v>
      </c>
      <c r="AH41" s="1121">
        <v>1283</v>
      </c>
      <c r="AI41" s="1121" t="s">
        <v>2954</v>
      </c>
      <c r="AJ41" s="971"/>
      <c r="AK41" s="1121" t="s">
        <v>139</v>
      </c>
      <c r="AL41" s="1121"/>
      <c r="AM41" s="1121"/>
      <c r="AN41" s="1121">
        <v>5.5</v>
      </c>
      <c r="AO41" s="1121"/>
      <c r="AP41" s="1121"/>
      <c r="AQ41" s="1121"/>
      <c r="AR41" s="1121"/>
      <c r="AS41" s="1121"/>
      <c r="AT41" s="315"/>
      <c r="AU41" s="1121"/>
      <c r="AV41" s="1121"/>
      <c r="AW41" s="315"/>
      <c r="AX41" s="315"/>
      <c r="AY41" s="1121" t="s">
        <v>695</v>
      </c>
      <c r="AZ41" s="1121"/>
      <c r="BA41" s="971"/>
      <c r="BC41" s="478" t="s">
        <v>1033</v>
      </c>
      <c r="BD41" s="479" t="s">
        <v>655</v>
      </c>
      <c r="BF41" s="478" t="s">
        <v>1019</v>
      </c>
      <c r="BG41" s="479" t="s">
        <v>141</v>
      </c>
    </row>
    <row r="42" spans="1:65" ht="15.75" customHeight="1">
      <c r="A42" s="340"/>
      <c r="B42" s="287"/>
      <c r="C42" s="288"/>
      <c r="D42" s="1121"/>
      <c r="E42" s="1121"/>
      <c r="F42" s="289"/>
      <c r="G42" s="292">
        <v>28.5</v>
      </c>
      <c r="H42" s="508" t="s">
        <v>2765</v>
      </c>
      <c r="I42" s="294"/>
      <c r="J42" s="288"/>
      <c r="K42" s="1121"/>
      <c r="L42" s="1121"/>
      <c r="M42" s="1121"/>
      <c r="N42" s="1121"/>
      <c r="O42" s="1121"/>
      <c r="P42" s="1121"/>
      <c r="Q42" s="973"/>
      <c r="R42" s="973"/>
      <c r="S42" s="1121"/>
      <c r="T42" s="1121"/>
      <c r="U42" s="1121"/>
      <c r="V42" s="1121"/>
      <c r="W42" s="1121"/>
      <c r="X42" s="1121"/>
      <c r="Y42" s="1121"/>
      <c r="Z42" s="1121"/>
      <c r="AA42" s="1121"/>
      <c r="AB42" s="1121"/>
      <c r="AC42" s="1121"/>
      <c r="AD42" s="1121"/>
      <c r="AE42" s="1121"/>
      <c r="AF42" s="1121"/>
      <c r="AG42" s="1121"/>
      <c r="AH42" s="1121"/>
      <c r="AI42" s="1121"/>
      <c r="AJ42" s="1121"/>
      <c r="AK42" s="1121"/>
      <c r="AL42" s="1121"/>
      <c r="AM42" s="1121"/>
      <c r="AN42" s="1121"/>
      <c r="AO42" s="1121"/>
      <c r="AP42" s="1121"/>
      <c r="AQ42" s="1121"/>
      <c r="AR42" s="1121"/>
      <c r="AS42" s="1121"/>
      <c r="AT42" s="1121"/>
      <c r="AU42" s="1121"/>
      <c r="AV42" s="1121"/>
      <c r="AW42" s="1121"/>
      <c r="AX42" s="1121"/>
      <c r="AY42" s="1121" t="s">
        <v>695</v>
      </c>
      <c r="AZ42" s="1121"/>
      <c r="BA42" s="1121"/>
      <c r="BC42" s="478" t="s">
        <v>1034</v>
      </c>
      <c r="BD42" s="479" t="s">
        <v>139</v>
      </c>
      <c r="BF42" s="480"/>
      <c r="BG42" s="500"/>
    </row>
    <row r="43" spans="1:65" ht="15.75" customHeight="1">
      <c r="A43" s="1092"/>
      <c r="B43" s="1093"/>
      <c r="C43" s="1089"/>
      <c r="D43" s="1093"/>
      <c r="E43" s="1093"/>
      <c r="F43" s="1093"/>
      <c r="G43" s="1093"/>
      <c r="H43" s="1093"/>
      <c r="I43" s="1093"/>
      <c r="J43" s="1089"/>
      <c r="K43" s="1093"/>
      <c r="L43" s="1093"/>
      <c r="M43" s="1093"/>
      <c r="N43" s="1093"/>
      <c r="O43" s="1093"/>
      <c r="P43" s="1093"/>
      <c r="Q43" s="1093"/>
      <c r="R43" s="1093"/>
      <c r="S43" s="1093"/>
      <c r="T43" s="1093"/>
      <c r="U43" s="1090"/>
      <c r="V43" s="1090"/>
      <c r="W43" s="1090"/>
      <c r="X43" s="1090"/>
      <c r="Y43" s="1090"/>
      <c r="Z43" s="1090"/>
      <c r="AA43" s="1090"/>
      <c r="AB43" s="1090"/>
      <c r="AC43" s="1090"/>
      <c r="AD43" s="1090"/>
      <c r="AE43" s="1090"/>
      <c r="AF43" s="1090"/>
      <c r="AG43" s="1090"/>
      <c r="AH43" s="1090"/>
      <c r="AI43" s="1090"/>
      <c r="AJ43" s="1090"/>
      <c r="AK43" s="1090"/>
      <c r="AL43" s="1090"/>
      <c r="AM43" s="1090"/>
      <c r="AN43" s="1090"/>
      <c r="AO43" s="1121"/>
      <c r="AP43" s="1121"/>
      <c r="AQ43" s="1121"/>
      <c r="AR43" s="1121"/>
      <c r="AS43" s="1121"/>
      <c r="AT43" s="1121"/>
      <c r="AU43" s="1121"/>
      <c r="AV43" s="1121"/>
      <c r="AW43" s="1121"/>
      <c r="AX43" s="1121"/>
      <c r="AY43" s="1121" t="s">
        <v>695</v>
      </c>
      <c r="AZ43" s="1121"/>
      <c r="BA43" s="1121"/>
      <c r="BC43" s="478" t="s">
        <v>1035</v>
      </c>
      <c r="BD43" s="479" t="s">
        <v>229</v>
      </c>
      <c r="BF43" s="485" t="s">
        <v>671</v>
      </c>
      <c r="BG43" s="461"/>
    </row>
    <row r="44" spans="1:65" ht="15.75" customHeight="1">
      <c r="A44" s="340"/>
      <c r="B44" s="287"/>
      <c r="C44" s="288"/>
      <c r="D44" s="1121"/>
      <c r="E44" s="1121"/>
      <c r="F44" s="289"/>
      <c r="G44" s="292"/>
      <c r="H44" s="291" t="s">
        <v>2765</v>
      </c>
      <c r="I44" s="294"/>
      <c r="J44" s="288"/>
      <c r="K44" s="1121"/>
      <c r="L44" s="1121"/>
      <c r="M44" s="1121"/>
      <c r="N44" s="1121"/>
      <c r="O44" s="1121"/>
      <c r="P44" s="1121"/>
      <c r="Q44" s="1121"/>
      <c r="R44" s="1121"/>
      <c r="S44" s="1121"/>
      <c r="T44" s="1121"/>
      <c r="U44" s="1121"/>
      <c r="V44" s="1121"/>
      <c r="W44" s="1121"/>
      <c r="X44" s="1121"/>
      <c r="Y44" s="1121"/>
      <c r="Z44" s="1121"/>
      <c r="AA44" s="1121"/>
      <c r="AB44" s="1121"/>
      <c r="AC44" s="1121"/>
      <c r="AD44" s="1121"/>
      <c r="AE44" s="1121"/>
      <c r="AF44" s="1121"/>
      <c r="AG44" s="1121"/>
      <c r="AH44" s="1121"/>
      <c r="AI44" s="1121"/>
      <c r="AJ44" s="1121"/>
      <c r="AK44" s="1121"/>
      <c r="AL44" s="1121"/>
      <c r="AM44" s="1121"/>
      <c r="AN44" s="1121"/>
      <c r="AO44" s="1121"/>
      <c r="AP44" s="1121"/>
      <c r="AQ44" s="1121"/>
      <c r="AR44" s="1121"/>
      <c r="AS44" s="1121"/>
      <c r="AT44" s="1121"/>
      <c r="AU44" s="1121"/>
      <c r="AV44" s="1121"/>
      <c r="AW44" s="1121"/>
      <c r="AX44" s="1121"/>
      <c r="AY44" s="1121" t="s">
        <v>695</v>
      </c>
      <c r="AZ44" s="1121"/>
      <c r="BA44" s="1121"/>
      <c r="BC44" s="478" t="s">
        <v>1037</v>
      </c>
      <c r="BD44" s="479" t="s">
        <v>458</v>
      </c>
      <c r="BF44" s="478" t="s">
        <v>1687</v>
      </c>
      <c r="BG44" s="479" t="s">
        <v>1228</v>
      </c>
    </row>
    <row r="45" spans="1:65" ht="15.75" customHeight="1">
      <c r="A45" s="340"/>
      <c r="B45" s="287"/>
      <c r="C45" s="288"/>
      <c r="D45" s="1121"/>
      <c r="E45" s="1121"/>
      <c r="F45" s="289"/>
      <c r="G45" s="292"/>
      <c r="H45" s="291"/>
      <c r="I45" s="294"/>
      <c r="J45" s="288">
        <f>C46-7.5</f>
        <v>22703.67</v>
      </c>
      <c r="K45" s="1121" t="s">
        <v>653</v>
      </c>
      <c r="L45" s="1121"/>
      <c r="M45" s="1121"/>
      <c r="N45" s="291"/>
      <c r="O45" s="291"/>
      <c r="P45" s="291"/>
      <c r="Q45" s="1121"/>
      <c r="R45" s="1121"/>
      <c r="S45" s="1121"/>
      <c r="T45" s="1121"/>
      <c r="U45" s="1121"/>
      <c r="V45" s="1121"/>
      <c r="W45" s="1121"/>
      <c r="X45" s="1121"/>
      <c r="Y45" s="1121"/>
      <c r="Z45" s="1121"/>
      <c r="AA45" s="1121"/>
      <c r="AB45" s="1121"/>
      <c r="AC45" s="1121"/>
      <c r="AD45" s="1121"/>
      <c r="AE45" s="1121"/>
      <c r="AF45" s="1121"/>
      <c r="AG45" s="1121"/>
      <c r="AH45" s="1121"/>
      <c r="AI45" s="1121"/>
      <c r="AJ45" s="477"/>
      <c r="AK45" s="1121"/>
      <c r="AL45" s="1121"/>
      <c r="AM45" s="1121"/>
      <c r="AN45" s="1121"/>
      <c r="AO45" s="1121"/>
      <c r="AP45" s="1121"/>
      <c r="AQ45" s="1121"/>
      <c r="AR45" s="1121"/>
      <c r="AS45" s="1121"/>
      <c r="AT45" s="1121"/>
      <c r="AU45" s="1121"/>
      <c r="AV45" s="1121"/>
      <c r="AW45" s="1121" t="s">
        <v>2630</v>
      </c>
      <c r="AX45" s="1121" t="s">
        <v>1639</v>
      </c>
      <c r="AY45" s="1121"/>
      <c r="AZ45" s="1121">
        <v>2.5</v>
      </c>
      <c r="BA45" s="477"/>
      <c r="BC45" s="478" t="s">
        <v>1038</v>
      </c>
      <c r="BD45" s="479" t="s">
        <v>905</v>
      </c>
      <c r="BF45" s="478" t="s">
        <v>1688</v>
      </c>
      <c r="BG45" s="479" t="s">
        <v>1690</v>
      </c>
    </row>
    <row r="46" spans="1:65" ht="15.75" customHeight="1" thickBot="1">
      <c r="A46" s="291"/>
      <c r="B46" s="287" t="s">
        <v>2478</v>
      </c>
      <c r="C46" s="288">
        <v>22711.17</v>
      </c>
      <c r="D46" s="391"/>
      <c r="E46" s="289"/>
      <c r="F46" s="289"/>
      <c r="G46" s="289"/>
      <c r="H46" s="291" t="s">
        <v>3262</v>
      </c>
      <c r="I46" s="294" t="s">
        <v>656</v>
      </c>
      <c r="J46" s="288"/>
      <c r="K46" s="1121"/>
      <c r="L46" s="1121" t="s">
        <v>1061</v>
      </c>
      <c r="M46" s="1121" t="s">
        <v>2672</v>
      </c>
      <c r="N46" s="1121"/>
      <c r="O46" s="1121"/>
      <c r="P46" s="291"/>
      <c r="Q46" s="1121"/>
      <c r="R46" s="1121"/>
      <c r="S46" s="1121"/>
      <c r="T46" s="1121"/>
      <c r="U46" s="1121"/>
      <c r="V46" s="1121"/>
      <c r="W46" s="1121"/>
      <c r="X46" s="1121"/>
      <c r="Y46" s="1121"/>
      <c r="Z46" s="1121"/>
      <c r="AA46" s="1121"/>
      <c r="AB46" s="1121"/>
      <c r="AC46" s="1121"/>
      <c r="AD46" s="1121"/>
      <c r="AE46" s="1121"/>
      <c r="AF46" s="1121"/>
      <c r="AG46" s="1121"/>
      <c r="AH46" s="1121"/>
      <c r="AI46" s="1121"/>
      <c r="AJ46" s="477"/>
      <c r="AK46" s="1121"/>
      <c r="AL46" s="1121"/>
      <c r="AM46" s="1121"/>
      <c r="AN46" s="1121"/>
      <c r="AO46" s="1121"/>
      <c r="AP46" s="1121"/>
      <c r="AQ46" s="1121"/>
      <c r="AR46" s="1121"/>
      <c r="AS46" s="1121"/>
      <c r="AT46" s="1121"/>
      <c r="AU46" s="1121"/>
      <c r="AV46" s="1121"/>
      <c r="AW46" s="315" t="s">
        <v>2630</v>
      </c>
      <c r="AX46" s="315" t="s">
        <v>1639</v>
      </c>
      <c r="AY46" s="1121">
        <v>3.4</v>
      </c>
      <c r="AZ46" s="1121"/>
      <c r="BA46" s="477"/>
      <c r="BC46" s="510"/>
      <c r="BD46" s="511"/>
      <c r="BF46" s="478" t="s">
        <v>1689</v>
      </c>
      <c r="BG46" s="479" t="s">
        <v>1691</v>
      </c>
    </row>
    <row r="47" spans="1:65" ht="15.75" customHeight="1" thickBot="1">
      <c r="A47" s="291"/>
      <c r="B47" s="287"/>
      <c r="C47" s="288"/>
      <c r="D47" s="391"/>
      <c r="E47" s="289"/>
      <c r="F47" s="289"/>
      <c r="G47" s="292">
        <v>33.729999999999997</v>
      </c>
      <c r="H47" s="291"/>
      <c r="I47" s="291" t="s">
        <v>2668</v>
      </c>
      <c r="J47" s="288">
        <f>C48-9.5</f>
        <v>22735.399999999998</v>
      </c>
      <c r="K47" s="1121" t="s">
        <v>658</v>
      </c>
      <c r="L47" s="1121"/>
      <c r="M47" s="1121"/>
      <c r="N47" s="291"/>
      <c r="O47" s="291"/>
      <c r="P47" s="291"/>
      <c r="Q47" s="1121"/>
      <c r="R47" s="1121"/>
      <c r="S47" s="1121"/>
      <c r="T47" s="1121"/>
      <c r="U47" s="1121"/>
      <c r="V47" s="1121"/>
      <c r="W47" s="1121"/>
      <c r="X47" s="1121"/>
      <c r="Y47" s="1121"/>
      <c r="Z47" s="1121"/>
      <c r="AA47" s="1121"/>
      <c r="AB47" s="1121"/>
      <c r="AC47" s="1121"/>
      <c r="AD47" s="1121"/>
      <c r="AE47" s="1121"/>
      <c r="AF47" s="1121"/>
      <c r="AG47" s="1121"/>
      <c r="AH47" s="1121"/>
      <c r="AI47" s="1121"/>
      <c r="AJ47" s="477"/>
      <c r="AK47" s="1121"/>
      <c r="AL47" s="1121"/>
      <c r="AM47" s="1121"/>
      <c r="AN47" s="1121"/>
      <c r="AO47" s="1121"/>
      <c r="AP47" s="1121"/>
      <c r="AQ47" s="1121">
        <f>+FL_1($T$48,$T$46,$G$47,1200,9.28,-1*$F$48)</f>
        <v>0.19776544796679513</v>
      </c>
      <c r="AR47" s="1121"/>
      <c r="AS47" s="1121"/>
      <c r="AT47" s="1121"/>
      <c r="AU47" s="1121"/>
      <c r="AV47" s="1121"/>
      <c r="AW47" s="1121" t="s">
        <v>2630</v>
      </c>
      <c r="AX47" s="1121" t="s">
        <v>1639</v>
      </c>
      <c r="AY47" s="1121"/>
      <c r="AZ47" s="1121">
        <v>2.5</v>
      </c>
      <c r="BA47" s="477"/>
      <c r="BC47" s="312"/>
      <c r="BF47" s="510"/>
      <c r="BG47" s="512"/>
      <c r="BH47" s="312"/>
      <c r="BI47" s="312"/>
      <c r="BJ47" s="312"/>
      <c r="BK47" s="312"/>
      <c r="BL47" s="312"/>
      <c r="BM47" s="312"/>
    </row>
    <row r="48" spans="1:65" ht="15.75" customHeight="1">
      <c r="A48" s="291"/>
      <c r="B48" s="287" t="s">
        <v>2479</v>
      </c>
      <c r="C48" s="288">
        <f>C46+G47</f>
        <v>22744.899999999998</v>
      </c>
      <c r="D48" s="391"/>
      <c r="E48" s="289"/>
      <c r="F48" s="289">
        <v>0</v>
      </c>
      <c r="G48" s="289"/>
      <c r="H48" s="291"/>
      <c r="I48" s="291" t="s">
        <v>1223</v>
      </c>
      <c r="J48" s="288">
        <f>C48-7.5</f>
        <v>22737.399999999998</v>
      </c>
      <c r="K48" s="1121" t="s">
        <v>658</v>
      </c>
      <c r="L48" s="1121" t="s">
        <v>882</v>
      </c>
      <c r="M48" s="1121" t="s">
        <v>2675</v>
      </c>
      <c r="N48" s="291" t="s">
        <v>145</v>
      </c>
      <c r="O48" s="291"/>
      <c r="P48" s="291"/>
      <c r="Q48" s="1121">
        <v>0</v>
      </c>
      <c r="R48" s="1121">
        <v>0</v>
      </c>
      <c r="S48" s="1121"/>
      <c r="T48" s="1121">
        <v>15</v>
      </c>
      <c r="U48" s="1121"/>
      <c r="V48" s="1121"/>
      <c r="W48" s="1121">
        <v>1.4</v>
      </c>
      <c r="X48" s="1121"/>
      <c r="Y48" s="1121"/>
      <c r="Z48" s="1121"/>
      <c r="AA48" s="1121"/>
      <c r="AB48" s="1121"/>
      <c r="AC48" s="1121" t="s">
        <v>2963</v>
      </c>
      <c r="AD48" s="1121"/>
      <c r="AE48" s="1121"/>
      <c r="AF48" s="1121">
        <v>6000</v>
      </c>
      <c r="AG48" s="288">
        <v>22744.35</v>
      </c>
      <c r="AH48" s="1121">
        <v>2526</v>
      </c>
      <c r="AI48" s="1121">
        <v>755.00000000000682</v>
      </c>
      <c r="AJ48" s="477"/>
      <c r="AK48" s="1121"/>
      <c r="AL48" s="1121" t="s">
        <v>898</v>
      </c>
      <c r="AM48" s="1121" t="s">
        <v>1228</v>
      </c>
      <c r="AN48" s="1121">
        <v>5.5</v>
      </c>
      <c r="AO48" s="1121"/>
      <c r="AP48" s="1121"/>
      <c r="AQ48" s="1121"/>
      <c r="AR48" s="1121"/>
      <c r="AS48" s="1121"/>
      <c r="AT48" s="1121">
        <f>+ab($T$48,$T$46,$T$50,$G$47,$G$49,-1*$F$48,1200)</f>
        <v>8.5636494637775122</v>
      </c>
      <c r="AU48" s="1121"/>
      <c r="AV48" s="1121"/>
      <c r="AW48" s="315" t="s">
        <v>2630</v>
      </c>
      <c r="AX48" s="315" t="s">
        <v>1639</v>
      </c>
      <c r="AY48" s="1121">
        <v>3.8</v>
      </c>
      <c r="AZ48" s="1121">
        <v>2.5</v>
      </c>
      <c r="BA48" s="477"/>
      <c r="BC48" s="312"/>
      <c r="BH48" s="312"/>
      <c r="BI48" s="312"/>
      <c r="BJ48" s="312"/>
      <c r="BK48" s="312"/>
      <c r="BL48" s="312"/>
      <c r="BM48" s="312"/>
    </row>
    <row r="49" spans="1:65" ht="15.75" customHeight="1">
      <c r="A49" s="291"/>
      <c r="B49" s="287"/>
      <c r="C49" s="288"/>
      <c r="D49" s="391"/>
      <c r="E49" s="289"/>
      <c r="F49" s="289"/>
      <c r="G49" s="292">
        <v>28.1</v>
      </c>
      <c r="H49" s="291"/>
      <c r="I49" s="294"/>
      <c r="J49" s="288"/>
      <c r="K49" s="1121"/>
      <c r="L49" s="1121"/>
      <c r="M49" s="1121"/>
      <c r="N49" s="291"/>
      <c r="O49" s="291"/>
      <c r="P49" s="291"/>
      <c r="Q49" s="1121"/>
      <c r="R49" s="1121"/>
      <c r="S49" s="1121">
        <v>28.180000000000291</v>
      </c>
      <c r="T49" s="1121"/>
      <c r="U49" s="1121"/>
      <c r="V49" s="1121"/>
      <c r="W49" s="1121"/>
      <c r="X49" s="1121"/>
      <c r="Y49" s="1121"/>
      <c r="Z49" s="1121"/>
      <c r="AA49" s="1121"/>
      <c r="AB49" s="1121"/>
      <c r="AC49" s="1121"/>
      <c r="AD49" s="1121"/>
      <c r="AE49" s="1121"/>
      <c r="AF49" s="1121"/>
      <c r="AG49" s="288"/>
      <c r="AH49" s="1121"/>
      <c r="AI49" s="1121"/>
      <c r="AJ49" s="1121"/>
      <c r="AK49" s="1121"/>
      <c r="AL49" s="1121"/>
      <c r="AM49" s="1121"/>
      <c r="AN49" s="1121"/>
      <c r="AO49" s="1121"/>
      <c r="AP49" s="1121"/>
      <c r="AQ49" s="1121">
        <f>+FL_1($T$50,$T$48,$G$49,1200,9.28,-1*$F$50)</f>
        <v>0.15000000000001104</v>
      </c>
      <c r="AR49" s="1121"/>
      <c r="AS49" s="1121"/>
      <c r="AT49" s="1121"/>
      <c r="AU49" s="1121"/>
      <c r="AV49" s="1121"/>
      <c r="AW49" s="1121"/>
      <c r="AX49" s="1121"/>
      <c r="AY49" s="1121" t="s">
        <v>695</v>
      </c>
      <c r="AZ49" s="1121"/>
      <c r="BA49" s="1121"/>
      <c r="BC49" s="312"/>
      <c r="BH49" s="312"/>
      <c r="BI49" s="312"/>
      <c r="BJ49" s="312"/>
      <c r="BK49" s="312"/>
      <c r="BL49" s="312"/>
      <c r="BM49" s="312"/>
    </row>
    <row r="50" spans="1:65" ht="15.75" customHeight="1">
      <c r="A50" s="291"/>
      <c r="B50" s="287" t="s">
        <v>2480</v>
      </c>
      <c r="C50" s="288">
        <f>C48+G49</f>
        <v>22772.999999999996</v>
      </c>
      <c r="D50" s="391"/>
      <c r="E50" s="289"/>
      <c r="F50" s="289">
        <v>0</v>
      </c>
      <c r="G50" s="289"/>
      <c r="H50" s="291" t="s">
        <v>651</v>
      </c>
      <c r="I50" s="294"/>
      <c r="J50" s="288"/>
      <c r="K50" s="1121"/>
      <c r="L50" s="1121" t="s">
        <v>882</v>
      </c>
      <c r="M50" s="1121" t="s">
        <v>2675</v>
      </c>
      <c r="N50" s="1121" t="s">
        <v>144</v>
      </c>
      <c r="O50" s="291"/>
      <c r="P50" s="291"/>
      <c r="Q50" s="1121">
        <v>0</v>
      </c>
      <c r="R50" s="1121">
        <v>900</v>
      </c>
      <c r="S50" s="1121"/>
      <c r="T50" s="399">
        <v>-35</v>
      </c>
      <c r="U50" s="399"/>
      <c r="V50" s="399"/>
      <c r="W50" s="399">
        <v>1.4</v>
      </c>
      <c r="X50" s="399"/>
      <c r="Y50" s="1121"/>
      <c r="Z50" s="1121"/>
      <c r="AA50" s="1121"/>
      <c r="AB50" s="1121"/>
      <c r="AC50" s="1121" t="s">
        <v>2963</v>
      </c>
      <c r="AD50" s="1121"/>
      <c r="AE50" s="1121"/>
      <c r="AF50" s="1121">
        <v>6000</v>
      </c>
      <c r="AG50" s="288">
        <v>22772.53</v>
      </c>
      <c r="AH50" s="1121">
        <v>2442</v>
      </c>
      <c r="AI50" s="1121">
        <v>697.99999999999045</v>
      </c>
      <c r="AJ50" s="1121" t="s">
        <v>3104</v>
      </c>
      <c r="AK50" s="1121"/>
      <c r="AL50" s="1121" t="s">
        <v>898</v>
      </c>
      <c r="AM50" s="1121" t="s">
        <v>1228</v>
      </c>
      <c r="AN50" s="1121">
        <v>5.5</v>
      </c>
      <c r="AO50" s="1121"/>
      <c r="AP50" s="1121"/>
      <c r="AQ50" s="1121"/>
      <c r="AR50" s="1121"/>
      <c r="AS50" s="1121"/>
      <c r="AT50" s="1121">
        <f>+ab($T$50,$T$48,$T$52,$G$49,$G$51,-1*$F$50,1200)</f>
        <v>-10.659667540469261</v>
      </c>
      <c r="AU50" s="1121"/>
      <c r="AV50" s="1121"/>
      <c r="AW50" s="315" t="s">
        <v>2630</v>
      </c>
      <c r="AX50" s="315" t="s">
        <v>1639</v>
      </c>
      <c r="AY50" s="1121">
        <v>3.8</v>
      </c>
      <c r="AZ50" s="1121"/>
      <c r="BA50" s="1121"/>
      <c r="BC50" s="312"/>
      <c r="BE50" s="421"/>
      <c r="BH50" s="312"/>
      <c r="BI50" s="312"/>
      <c r="BJ50" s="312"/>
      <c r="BK50" s="312"/>
      <c r="BL50" s="312"/>
      <c r="BM50" s="312"/>
    </row>
    <row r="51" spans="1:65" ht="15.75" customHeight="1">
      <c r="A51" s="291"/>
      <c r="B51" s="391"/>
      <c r="C51" s="288"/>
      <c r="D51" s="391"/>
      <c r="E51" s="289"/>
      <c r="F51" s="289"/>
      <c r="G51" s="289">
        <v>24</v>
      </c>
      <c r="H51" s="291"/>
      <c r="I51" s="291"/>
      <c r="J51" s="288"/>
      <c r="K51" s="1121"/>
      <c r="L51" s="1121"/>
      <c r="M51" s="1121"/>
      <c r="N51" s="291"/>
      <c r="O51" s="291"/>
      <c r="P51" s="291"/>
      <c r="Q51" s="1121"/>
      <c r="R51" s="1121"/>
      <c r="S51" s="1121">
        <v>24.030000000002474</v>
      </c>
      <c r="T51" s="399"/>
      <c r="U51" s="399"/>
      <c r="V51" s="399"/>
      <c r="W51" s="399"/>
      <c r="X51" s="399"/>
      <c r="Y51" s="1121"/>
      <c r="Z51" s="1121"/>
      <c r="AA51" s="1121"/>
      <c r="AB51" s="1121"/>
      <c r="AC51" s="1121"/>
      <c r="AD51" s="1121"/>
      <c r="AE51" s="1121"/>
      <c r="AF51" s="1121"/>
      <c r="AG51" s="288"/>
      <c r="AH51" s="1121"/>
      <c r="AI51" s="1121"/>
      <c r="AJ51" s="1121" t="s">
        <v>2586</v>
      </c>
      <c r="AK51" s="1121"/>
      <c r="AL51" s="1121"/>
      <c r="AM51" s="1121"/>
      <c r="AN51" s="1121"/>
      <c r="AO51" s="1121"/>
      <c r="AP51" s="1121"/>
      <c r="AQ51" s="1121">
        <f>+FL_1($T$52,$T$50,$G$51,1200,9.28,-1*$F$52)</f>
        <v>-0.27991997926349749</v>
      </c>
      <c r="AR51" s="1121"/>
      <c r="AS51" s="1121"/>
      <c r="AT51" s="1121"/>
      <c r="AU51" s="1121"/>
      <c r="AV51" s="1121"/>
      <c r="AW51" s="1121"/>
      <c r="AX51" s="1121"/>
      <c r="AY51" s="1121"/>
      <c r="AZ51" s="1121"/>
      <c r="BA51" s="1121"/>
      <c r="BC51" s="312"/>
      <c r="BE51" s="421"/>
      <c r="BH51" s="312"/>
      <c r="BI51" s="312"/>
      <c r="BJ51" s="312"/>
      <c r="BK51" s="312"/>
      <c r="BL51" s="312"/>
      <c r="BM51" s="312"/>
    </row>
    <row r="52" spans="1:65" ht="15.75" customHeight="1">
      <c r="A52" s="291"/>
      <c r="B52" s="391" t="s">
        <v>2481</v>
      </c>
      <c r="C52" s="288">
        <f>C50+G51</f>
        <v>22796.999999999996</v>
      </c>
      <c r="D52" s="1121"/>
      <c r="E52" s="1121"/>
      <c r="F52" s="289">
        <v>5000</v>
      </c>
      <c r="G52" s="289"/>
      <c r="H52" s="291"/>
      <c r="I52" s="291"/>
      <c r="J52" s="288"/>
      <c r="K52" s="1121"/>
      <c r="L52" s="1121" t="s">
        <v>880</v>
      </c>
      <c r="M52" s="1121" t="s">
        <v>2676</v>
      </c>
      <c r="N52" s="291" t="s">
        <v>144</v>
      </c>
      <c r="O52" s="1121"/>
      <c r="P52" s="1121"/>
      <c r="Q52" s="1121">
        <v>0</v>
      </c>
      <c r="R52" s="1121">
        <v>0</v>
      </c>
      <c r="S52" s="1121"/>
      <c r="T52" s="399">
        <v>-35</v>
      </c>
      <c r="U52" s="399"/>
      <c r="V52" s="399"/>
      <c r="W52" s="399">
        <v>1.4</v>
      </c>
      <c r="X52" s="399"/>
      <c r="Y52" s="1121"/>
      <c r="Z52" s="1121"/>
      <c r="AA52" s="1121"/>
      <c r="AB52" s="1121"/>
      <c r="AC52" s="1121" t="s">
        <v>1700</v>
      </c>
      <c r="AD52" s="1121"/>
      <c r="AE52" s="1121"/>
      <c r="AF52" s="1121">
        <v>6000</v>
      </c>
      <c r="AG52" s="288">
        <v>22796.560000000001</v>
      </c>
      <c r="AH52" s="1121">
        <v>2501</v>
      </c>
      <c r="AI52" s="1121">
        <v>814.00000000000432</v>
      </c>
      <c r="AJ52" s="1121"/>
      <c r="AK52" s="1121"/>
      <c r="AL52" s="1121" t="s">
        <v>897</v>
      </c>
      <c r="AM52" s="1121" t="s">
        <v>1228</v>
      </c>
      <c r="AN52" s="1121">
        <v>5.5</v>
      </c>
      <c r="AO52" s="1121"/>
      <c r="AP52" s="1121"/>
      <c r="AQ52" s="1121"/>
      <c r="AR52" s="1121"/>
      <c r="AS52" s="1121"/>
      <c r="AT52" s="1121">
        <f>+ab($T$52,$T$50,$T$54,$G$51,$G$53,-1*$F$52,1200)</f>
        <v>-31.200530615899851</v>
      </c>
      <c r="AU52" s="1121"/>
      <c r="AV52" s="1121"/>
      <c r="AW52" s="315" t="s">
        <v>2630</v>
      </c>
      <c r="AX52" s="315" t="s">
        <v>1639</v>
      </c>
      <c r="AY52" s="1121">
        <v>3.3</v>
      </c>
      <c r="AZ52" s="1121"/>
      <c r="BA52" s="1121"/>
      <c r="BC52" s="312"/>
      <c r="BE52" s="421"/>
      <c r="BH52" s="312"/>
      <c r="BI52" s="312"/>
      <c r="BJ52" s="312"/>
      <c r="BK52" s="312"/>
      <c r="BL52" s="312"/>
      <c r="BM52" s="312"/>
    </row>
    <row r="53" spans="1:65" ht="15.75" customHeight="1">
      <c r="A53" s="291"/>
      <c r="B53" s="291"/>
      <c r="C53" s="288"/>
      <c r="D53" s="1121"/>
      <c r="E53" s="1121"/>
      <c r="F53" s="289"/>
      <c r="G53" s="292">
        <v>31.3</v>
      </c>
      <c r="H53" s="291"/>
      <c r="I53" s="294"/>
      <c r="J53" s="288">
        <f>C54-7.5</f>
        <v>22820.799999999996</v>
      </c>
      <c r="K53" s="1121" t="s">
        <v>653</v>
      </c>
      <c r="L53" s="1121"/>
      <c r="M53" s="1121"/>
      <c r="N53" s="1121"/>
      <c r="O53" s="1121"/>
      <c r="P53" s="1121"/>
      <c r="Q53" s="1121"/>
      <c r="R53" s="1121"/>
      <c r="S53" s="1121">
        <v>31.229999999999563</v>
      </c>
      <c r="T53" s="405"/>
      <c r="U53" s="399"/>
      <c r="V53" s="399"/>
      <c r="W53" s="399"/>
      <c r="X53" s="399"/>
      <c r="Y53" s="1121"/>
      <c r="Z53" s="1121"/>
      <c r="AA53" s="1121"/>
      <c r="AB53" s="1121"/>
      <c r="AC53" s="1121"/>
      <c r="AD53" s="1121"/>
      <c r="AE53" s="1121"/>
      <c r="AF53" s="1121"/>
      <c r="AG53" s="288"/>
      <c r="AH53" s="1121"/>
      <c r="AI53" s="1121"/>
      <c r="AJ53" s="1121"/>
      <c r="AK53" s="1121"/>
      <c r="AL53" s="1121"/>
      <c r="AM53" s="1121"/>
      <c r="AN53" s="1121"/>
      <c r="AO53" s="1121"/>
      <c r="AP53" s="1121"/>
      <c r="AQ53" s="1121">
        <f>+FL_1($T$54,$T$52,$G$53,1200,9.28,-1*$F$54)</f>
        <v>-0.21447593894533012</v>
      </c>
      <c r="AR53" s="1121"/>
      <c r="AS53" s="1121"/>
      <c r="AT53" s="1121"/>
      <c r="AU53" s="1121"/>
      <c r="AV53" s="1121"/>
      <c r="AW53" s="1121" t="s">
        <v>2630</v>
      </c>
      <c r="AX53" s="1121" t="s">
        <v>1639</v>
      </c>
      <c r="AY53" s="1121"/>
      <c r="AZ53" s="1121">
        <v>2.5</v>
      </c>
      <c r="BA53" s="1025" t="s">
        <v>3012</v>
      </c>
      <c r="BC53" s="312"/>
      <c r="BE53" s="421"/>
      <c r="BF53" s="421"/>
      <c r="BG53" s="421"/>
      <c r="BH53" s="312"/>
      <c r="BI53" s="312"/>
      <c r="BJ53" s="312"/>
      <c r="BK53" s="312"/>
      <c r="BL53" s="312"/>
      <c r="BM53" s="312"/>
    </row>
    <row r="54" spans="1:65" ht="15.75" customHeight="1">
      <c r="A54" s="340"/>
      <c r="B54" s="391" t="s">
        <v>2482</v>
      </c>
      <c r="C54" s="288">
        <f>C52+G53</f>
        <v>22828.299999999996</v>
      </c>
      <c r="D54" s="1121"/>
      <c r="E54" s="1121"/>
      <c r="F54" s="289">
        <v>3000</v>
      </c>
      <c r="G54" s="292"/>
      <c r="H54" s="291" t="s">
        <v>3268</v>
      </c>
      <c r="I54" s="294" t="s">
        <v>656</v>
      </c>
      <c r="J54" s="288"/>
      <c r="K54" s="1121"/>
      <c r="L54" s="1121" t="s">
        <v>882</v>
      </c>
      <c r="M54" s="1121" t="s">
        <v>2675</v>
      </c>
      <c r="N54" s="1121" t="s">
        <v>3250</v>
      </c>
      <c r="O54" s="1121" t="s">
        <v>3250</v>
      </c>
      <c r="P54" s="1121"/>
      <c r="Q54" s="1121">
        <v>0</v>
      </c>
      <c r="R54" s="1121">
        <v>0</v>
      </c>
      <c r="S54" s="1121"/>
      <c r="T54" s="399">
        <v>-35</v>
      </c>
      <c r="U54" s="399">
        <v>-55</v>
      </c>
      <c r="V54" s="399"/>
      <c r="W54" s="399">
        <v>1.4</v>
      </c>
      <c r="X54" s="399">
        <v>2</v>
      </c>
      <c r="Y54" s="1121"/>
      <c r="Z54" s="1121"/>
      <c r="AA54" s="1121"/>
      <c r="AB54" s="1121"/>
      <c r="AC54" s="1121" t="s">
        <v>482</v>
      </c>
      <c r="AD54" s="1121" t="s">
        <v>2965</v>
      </c>
      <c r="AE54" s="1121"/>
      <c r="AF54" s="1121">
        <v>6700</v>
      </c>
      <c r="AG54" s="288">
        <v>22827.79</v>
      </c>
      <c r="AH54" s="1121">
        <v>1732</v>
      </c>
      <c r="AI54" s="1121">
        <v>1584.9999999999909</v>
      </c>
      <c r="AJ54" s="1121"/>
      <c r="AK54" s="1121"/>
      <c r="AL54" s="1121" t="s">
        <v>2517</v>
      </c>
      <c r="AM54" s="1121" t="s">
        <v>1228</v>
      </c>
      <c r="AN54" s="1121">
        <v>5.5</v>
      </c>
      <c r="AO54" s="1121"/>
      <c r="AP54" s="1121"/>
      <c r="AQ54" s="1121"/>
      <c r="AR54" s="1121"/>
      <c r="AS54" s="1121"/>
      <c r="AT54" s="1121">
        <f>+ab($T$54,$T$52,$T$56,$G$53,$G$55,-1*$F$54,1200)</f>
        <v>-5.4465710957482019</v>
      </c>
      <c r="AU54" s="1121"/>
      <c r="AV54" s="1121"/>
      <c r="AW54" s="1121" t="s">
        <v>2630</v>
      </c>
      <c r="AX54" s="315" t="s">
        <v>1639</v>
      </c>
      <c r="AY54" s="1121">
        <v>3.8</v>
      </c>
      <c r="AZ54" s="1121"/>
      <c r="BA54" s="1121"/>
      <c r="BC54" s="312"/>
      <c r="BD54" s="312"/>
      <c r="BH54" s="312"/>
      <c r="BI54" s="312"/>
      <c r="BJ54" s="312"/>
      <c r="BK54" s="312"/>
      <c r="BL54" s="312"/>
      <c r="BM54" s="312"/>
    </row>
    <row r="55" spans="1:65" ht="15.75" customHeight="1">
      <c r="A55" s="340"/>
      <c r="B55" s="291"/>
      <c r="C55" s="288"/>
      <c r="D55" s="1121"/>
      <c r="E55" s="1121"/>
      <c r="F55" s="289"/>
      <c r="G55" s="292">
        <v>20.8</v>
      </c>
      <c r="H55" s="291"/>
      <c r="I55" s="294"/>
      <c r="J55" s="288"/>
      <c r="K55" s="1121"/>
      <c r="L55" s="1121"/>
      <c r="M55" s="1121"/>
      <c r="N55" s="1121"/>
      <c r="O55" s="1121"/>
      <c r="P55" s="1121"/>
      <c r="Q55" s="1121"/>
      <c r="R55" s="1121"/>
      <c r="S55" s="1121">
        <v>20.860000000000582</v>
      </c>
      <c r="T55" s="405"/>
      <c r="U55" s="399"/>
      <c r="V55" s="399"/>
      <c r="W55" s="399"/>
      <c r="X55" s="399"/>
      <c r="Y55" s="1121"/>
      <c r="Z55" s="1121"/>
      <c r="AA55" s="1121"/>
      <c r="AB55" s="1121"/>
      <c r="AC55" s="1121"/>
      <c r="AD55" s="1121"/>
      <c r="AE55" s="1121"/>
      <c r="AF55" s="1121"/>
      <c r="AG55" s="288"/>
      <c r="AH55" s="1121"/>
      <c r="AI55" s="1121"/>
      <c r="AJ55" s="1121"/>
      <c r="AK55" s="1121"/>
      <c r="AL55" s="1121"/>
      <c r="AM55" s="1121"/>
      <c r="AN55" s="1121"/>
      <c r="AO55" s="1121"/>
      <c r="AP55" s="1121"/>
      <c r="AQ55" s="1121">
        <f>+FL_2($T$56,$T$54,$G$55,1200,9.28,-1*$F$56)</f>
        <v>-0.35000000000000819</v>
      </c>
      <c r="AR55" s="1121"/>
      <c r="AS55" s="1121"/>
      <c r="AT55" s="1121"/>
      <c r="AU55" s="1121"/>
      <c r="AV55" s="1121"/>
      <c r="AW55" s="1121"/>
      <c r="AX55" s="1121"/>
      <c r="AY55" s="1121"/>
      <c r="AZ55" s="1121"/>
      <c r="BA55" s="1121"/>
      <c r="BF55" s="421"/>
      <c r="BG55" s="421"/>
      <c r="BH55" s="312"/>
      <c r="BI55" s="312"/>
      <c r="BJ55" s="312"/>
      <c r="BK55" s="312"/>
      <c r="BL55" s="312"/>
      <c r="BM55" s="312"/>
    </row>
    <row r="56" spans="1:65" ht="15.75" customHeight="1">
      <c r="A56" s="340"/>
      <c r="B56" s="391" t="s">
        <v>2483</v>
      </c>
      <c r="C56" s="288">
        <f>C54+G55</f>
        <v>22849.099999999995</v>
      </c>
      <c r="D56" s="1121"/>
      <c r="E56" s="1121"/>
      <c r="F56" s="289">
        <v>2000</v>
      </c>
      <c r="G56" s="292"/>
      <c r="H56" s="291" t="s">
        <v>651</v>
      </c>
      <c r="I56" s="294"/>
      <c r="J56" s="288"/>
      <c r="K56" s="1121"/>
      <c r="L56" s="1121" t="s">
        <v>882</v>
      </c>
      <c r="M56" s="1121" t="s">
        <v>2675</v>
      </c>
      <c r="N56" s="1121" t="s">
        <v>140</v>
      </c>
      <c r="O56" s="1121" t="s">
        <v>144</v>
      </c>
      <c r="P56" s="1121"/>
      <c r="Q56" s="1121">
        <v>0</v>
      </c>
      <c r="R56" s="1121">
        <v>760</v>
      </c>
      <c r="S56" s="1121"/>
      <c r="T56" s="399">
        <v>20</v>
      </c>
      <c r="U56" s="399">
        <v>-20</v>
      </c>
      <c r="V56" s="399"/>
      <c r="W56" s="399">
        <v>1.4</v>
      </c>
      <c r="X56" s="399">
        <v>2</v>
      </c>
      <c r="Y56" s="1121"/>
      <c r="Z56" s="1121">
        <v>0.3</v>
      </c>
      <c r="AA56" s="1121"/>
      <c r="AB56" s="1121"/>
      <c r="AC56" s="1121"/>
      <c r="AD56" s="1121" t="s">
        <v>3252</v>
      </c>
      <c r="AE56" s="1121"/>
      <c r="AF56" s="1121">
        <v>6000</v>
      </c>
      <c r="AG56" s="288">
        <v>22848.65</v>
      </c>
      <c r="AH56" s="1121">
        <v>2427</v>
      </c>
      <c r="AI56" s="1121">
        <v>697.99999999999045</v>
      </c>
      <c r="AJ56" s="1121"/>
      <c r="AK56" s="1121"/>
      <c r="AL56" s="1121" t="s">
        <v>2518</v>
      </c>
      <c r="AM56" s="1121" t="s">
        <v>1228</v>
      </c>
      <c r="AN56" s="1121">
        <v>5.5</v>
      </c>
      <c r="AO56" s="1121"/>
      <c r="AP56" s="1121"/>
      <c r="AQ56" s="1121"/>
      <c r="AR56" s="1121"/>
      <c r="AS56" s="1121"/>
      <c r="AT56" s="1121">
        <f>+ab($T$56,$T$54,$T$58,$G$55,$G$57,-1*$F$56,1200)</f>
        <v>7.2312502458168515</v>
      </c>
      <c r="AU56" s="1121"/>
      <c r="AV56" s="1121"/>
      <c r="AW56" s="1121" t="s">
        <v>2630</v>
      </c>
      <c r="AX56" s="315" t="s">
        <v>1639</v>
      </c>
      <c r="AY56" s="1121">
        <v>3.8</v>
      </c>
      <c r="AZ56" s="1121"/>
      <c r="BA56" s="1121"/>
      <c r="BF56" s="421"/>
      <c r="BG56" s="421"/>
      <c r="BH56" s="312"/>
      <c r="BI56" s="312"/>
      <c r="BJ56" s="312"/>
      <c r="BK56" s="312"/>
      <c r="BL56" s="312"/>
      <c r="BM56" s="312"/>
    </row>
    <row r="57" spans="1:65" ht="15.75" customHeight="1">
      <c r="A57" s="340"/>
      <c r="B57" s="291"/>
      <c r="C57" s="288"/>
      <c r="D57" s="1121"/>
      <c r="E57" s="1121"/>
      <c r="F57" s="289"/>
      <c r="G57" s="292">
        <v>31</v>
      </c>
      <c r="H57" s="291"/>
      <c r="I57" s="294"/>
      <c r="J57" s="288">
        <f>C58-7.5</f>
        <v>22872.599999999995</v>
      </c>
      <c r="K57" s="1121" t="s">
        <v>658</v>
      </c>
      <c r="L57" s="1121"/>
      <c r="M57" s="1121"/>
      <c r="N57" s="1121"/>
      <c r="O57" s="1121"/>
      <c r="P57" s="1121"/>
      <c r="Q57" s="1121"/>
      <c r="R57" s="1121"/>
      <c r="S57" s="1121">
        <v>30.969999999997526</v>
      </c>
      <c r="T57" s="241"/>
      <c r="U57" s="241"/>
      <c r="V57" s="1121"/>
      <c r="W57" s="1121"/>
      <c r="X57" s="1121"/>
      <c r="Y57" s="1121"/>
      <c r="Z57" s="1121"/>
      <c r="AA57" s="1121"/>
      <c r="AB57" s="1121"/>
      <c r="AC57" s="1121"/>
      <c r="AD57" s="1121"/>
      <c r="AE57" s="1121"/>
      <c r="AF57" s="1121"/>
      <c r="AG57" s="288"/>
      <c r="AH57" s="1121"/>
      <c r="AI57" s="1121"/>
      <c r="AJ57" s="1121"/>
      <c r="AK57" s="1121"/>
      <c r="AL57" s="1121"/>
      <c r="AM57" s="1121"/>
      <c r="AN57" s="1121"/>
      <c r="AO57" s="1121"/>
      <c r="AP57" s="1121"/>
      <c r="AQ57" s="1121">
        <f>+FL_2($T$58,$T$56,$G$57,1200,9.28,-1*$F$58)</f>
        <v>-0.2</v>
      </c>
      <c r="AR57" s="1121"/>
      <c r="AS57" s="1121"/>
      <c r="AT57" s="1121"/>
      <c r="AU57" s="1121"/>
      <c r="AV57" s="1121"/>
      <c r="AW57" s="1121" t="s">
        <v>2630</v>
      </c>
      <c r="AX57" s="1121" t="s">
        <v>1639</v>
      </c>
      <c r="AY57" s="1121"/>
      <c r="AZ57" s="1121">
        <v>2.5</v>
      </c>
      <c r="BA57" s="1121"/>
      <c r="BF57" s="421"/>
      <c r="BG57" s="421"/>
      <c r="BH57" s="312"/>
      <c r="BI57" s="312"/>
      <c r="BJ57" s="312"/>
      <c r="BK57" s="312"/>
      <c r="BL57" s="312"/>
      <c r="BM57" s="312"/>
    </row>
    <row r="58" spans="1:65" ht="15.75" customHeight="1">
      <c r="A58" s="340"/>
      <c r="B58" s="391" t="s">
        <v>2484</v>
      </c>
      <c r="C58" s="288">
        <f>C56+G57</f>
        <v>22880.099999999995</v>
      </c>
      <c r="D58" s="1121"/>
      <c r="E58" s="1121"/>
      <c r="F58" s="289">
        <v>1000</v>
      </c>
      <c r="G58" s="292"/>
      <c r="H58" s="291" t="s">
        <v>2579</v>
      </c>
      <c r="I58" s="294"/>
      <c r="J58" s="288"/>
      <c r="K58" s="1121"/>
      <c r="L58" s="1121" t="s">
        <v>882</v>
      </c>
      <c r="M58" s="1121" t="s">
        <v>2675</v>
      </c>
      <c r="N58" s="1121" t="s">
        <v>144</v>
      </c>
      <c r="O58" s="1121" t="s">
        <v>140</v>
      </c>
      <c r="P58" s="1121"/>
      <c r="Q58" s="1121">
        <v>0</v>
      </c>
      <c r="R58" s="1121">
        <v>900</v>
      </c>
      <c r="S58" s="1121"/>
      <c r="T58" s="1121">
        <v>-20</v>
      </c>
      <c r="U58" s="1121">
        <v>-55</v>
      </c>
      <c r="V58" s="1121"/>
      <c r="W58" s="1121">
        <v>1.4</v>
      </c>
      <c r="X58" s="1121">
        <v>2</v>
      </c>
      <c r="Y58" s="1121"/>
      <c r="Z58" s="1121"/>
      <c r="AA58" s="1121">
        <v>0.45</v>
      </c>
      <c r="AB58" s="1121"/>
      <c r="AC58" s="1121" t="s">
        <v>2995</v>
      </c>
      <c r="AD58" s="1121"/>
      <c r="AE58" s="1121"/>
      <c r="AF58" s="1121">
        <v>6000</v>
      </c>
      <c r="AG58" s="288">
        <v>22879.62</v>
      </c>
      <c r="AH58" s="1121">
        <v>2531</v>
      </c>
      <c r="AI58" s="1121">
        <v>677.99999999998022</v>
      </c>
      <c r="AJ58" s="1121"/>
      <c r="AK58" s="1121"/>
      <c r="AL58" s="1121" t="s">
        <v>2518</v>
      </c>
      <c r="AM58" s="1121" t="s">
        <v>1228</v>
      </c>
      <c r="AN58" s="1121">
        <v>5.5</v>
      </c>
      <c r="AO58" s="1121"/>
      <c r="AP58" s="1121"/>
      <c r="AQ58" s="1121"/>
      <c r="AR58" s="1121"/>
      <c r="AS58" s="1121"/>
      <c r="AT58" s="1121">
        <f>+ab($T$58,$U$56,$T$60,$G$57,$G$59,-1*$F$58,1200)</f>
        <v>-3.7993565805869487</v>
      </c>
      <c r="AU58" s="1121"/>
      <c r="AV58" s="1121"/>
      <c r="AW58" s="1121" t="s">
        <v>2630</v>
      </c>
      <c r="AX58" s="315" t="s">
        <v>1639</v>
      </c>
      <c r="AY58" s="1121">
        <v>3.8</v>
      </c>
      <c r="AZ58" s="1121"/>
      <c r="BA58" s="1121"/>
      <c r="BC58" s="312"/>
      <c r="BD58" s="312"/>
      <c r="BF58" s="421"/>
      <c r="BG58" s="421"/>
    </row>
    <row r="59" spans="1:65" ht="15.75" customHeight="1">
      <c r="A59" s="340"/>
      <c r="B59" s="291"/>
      <c r="C59" s="288"/>
      <c r="D59" s="1121"/>
      <c r="E59" s="1121"/>
      <c r="F59" s="289"/>
      <c r="G59" s="292">
        <v>45.9</v>
      </c>
      <c r="H59" s="291"/>
      <c r="I59" s="294">
        <f>SUM(G47:G59)</f>
        <v>214.83</v>
      </c>
      <c r="J59" s="288"/>
      <c r="K59" s="1121"/>
      <c r="L59" s="1121"/>
      <c r="M59" s="1121"/>
      <c r="N59" s="1121"/>
      <c r="O59" s="1121"/>
      <c r="P59" s="1121"/>
      <c r="Q59" s="1121"/>
      <c r="R59" s="1121"/>
      <c r="S59" s="1121">
        <v>45.960000000002765</v>
      </c>
      <c r="T59" s="1121"/>
      <c r="U59" s="1121"/>
      <c r="V59" s="1121"/>
      <c r="W59" s="1121"/>
      <c r="X59" s="1121"/>
      <c r="Y59" s="1121"/>
      <c r="Z59" s="1121"/>
      <c r="AA59" s="1121"/>
      <c r="AB59" s="1121"/>
      <c r="AC59" s="1121"/>
      <c r="AD59" s="1121"/>
      <c r="AE59" s="1121"/>
      <c r="AF59" s="1121"/>
      <c r="AG59" s="288"/>
      <c r="AH59" s="1121"/>
      <c r="AI59" s="1121"/>
      <c r="AJ59" s="1121"/>
      <c r="AK59" s="1121"/>
      <c r="AL59" s="1121"/>
      <c r="AM59" s="1121"/>
      <c r="AN59" s="1121"/>
      <c r="AO59" s="1121"/>
      <c r="AP59" s="1121"/>
      <c r="AQ59" s="1121">
        <f>+FL_2($T$60,$T$58,$G$59,1200,9.28,-1*$F$60)</f>
        <v>-0.22149148311982575</v>
      </c>
      <c r="AR59" s="1121"/>
      <c r="AS59" s="1121"/>
      <c r="AT59" s="1121"/>
      <c r="AU59" s="1121"/>
      <c r="AV59" s="1121"/>
      <c r="AW59" s="1121"/>
      <c r="AX59" s="1121"/>
      <c r="AY59" s="1121"/>
      <c r="AZ59" s="1121"/>
      <c r="BA59" s="1121"/>
      <c r="BC59" s="312"/>
      <c r="BD59" s="312"/>
    </row>
    <row r="60" spans="1:65" ht="15.75" customHeight="1">
      <c r="A60" s="340"/>
      <c r="B60" s="391" t="s">
        <v>2485</v>
      </c>
      <c r="C60" s="288">
        <f>C58+G59</f>
        <v>22925.999999999996</v>
      </c>
      <c r="D60" s="1121"/>
      <c r="E60" s="1121"/>
      <c r="F60" s="289"/>
      <c r="G60" s="292"/>
      <c r="H60" s="291" t="s">
        <v>3262</v>
      </c>
      <c r="I60" s="291" t="s">
        <v>657</v>
      </c>
      <c r="J60" s="288"/>
      <c r="K60" s="1121"/>
      <c r="L60" s="1121" t="s">
        <v>882</v>
      </c>
      <c r="M60" s="1121" t="s">
        <v>2675</v>
      </c>
      <c r="N60" s="1121" t="s">
        <v>145</v>
      </c>
      <c r="O60" s="1121"/>
      <c r="P60" s="1121"/>
      <c r="Q60" s="1121">
        <v>0</v>
      </c>
      <c r="R60" s="1121">
        <v>0</v>
      </c>
      <c r="S60" s="1121"/>
      <c r="T60" s="1121">
        <v>35</v>
      </c>
      <c r="U60" s="1121"/>
      <c r="V60" s="1121"/>
      <c r="W60" s="1121">
        <v>1.4</v>
      </c>
      <c r="X60" s="1121"/>
      <c r="Y60" s="1121"/>
      <c r="Z60" s="1121"/>
      <c r="AA60" s="1121"/>
      <c r="AB60" s="1121"/>
      <c r="AC60" s="1121" t="s">
        <v>2963</v>
      </c>
      <c r="AD60" s="1121"/>
      <c r="AE60" s="1121"/>
      <c r="AF60" s="1121">
        <v>6000</v>
      </c>
      <c r="AG60" s="288">
        <v>22925.58</v>
      </c>
      <c r="AH60" s="1121">
        <v>2455</v>
      </c>
      <c r="AI60" s="1121">
        <v>653.00000000000296</v>
      </c>
      <c r="AJ60" s="1121"/>
      <c r="AK60" s="1121"/>
      <c r="AL60" s="1121" t="s">
        <v>898</v>
      </c>
      <c r="AM60" s="1121" t="s">
        <v>1228</v>
      </c>
      <c r="AN60" s="1121">
        <v>5.5</v>
      </c>
      <c r="AO60" s="1121"/>
      <c r="AP60" s="1121"/>
      <c r="AQ60" s="1121"/>
      <c r="AR60" s="1121"/>
      <c r="AS60" s="1121"/>
      <c r="AT60" s="1121">
        <f>+ab($T$60,$T$58,$T$62,$G$59,$G$61,-1*$F$60,1200)</f>
        <v>6.9341882538169344</v>
      </c>
      <c r="AU60" s="1121"/>
      <c r="AV60" s="1121"/>
      <c r="AW60" s="1121" t="s">
        <v>2630</v>
      </c>
      <c r="AX60" s="315" t="s">
        <v>1639</v>
      </c>
      <c r="AY60" s="1121">
        <v>3.8</v>
      </c>
      <c r="AZ60" s="1121"/>
      <c r="BA60" s="1121"/>
      <c r="BC60" s="312"/>
      <c r="BD60" s="312"/>
    </row>
    <row r="61" spans="1:65" ht="15.75" customHeight="1">
      <c r="A61" s="340"/>
      <c r="B61" s="291"/>
      <c r="C61" s="288"/>
      <c r="D61" s="1121"/>
      <c r="E61" s="1121"/>
      <c r="F61" s="289"/>
      <c r="G61" s="292">
        <v>45</v>
      </c>
      <c r="H61" s="291"/>
      <c r="I61" s="291"/>
      <c r="J61" s="288">
        <f>C60+7.5</f>
        <v>22933.499999999996</v>
      </c>
      <c r="K61" s="1121" t="s">
        <v>653</v>
      </c>
      <c r="L61" s="1121"/>
      <c r="M61" s="1121"/>
      <c r="N61" s="1121"/>
      <c r="O61" s="1121"/>
      <c r="P61" s="1121"/>
      <c r="Q61" s="1121"/>
      <c r="R61" s="1121"/>
      <c r="S61" s="1121">
        <v>44.969999999997526</v>
      </c>
      <c r="T61" s="1121"/>
      <c r="U61" s="1121"/>
      <c r="V61" s="1121"/>
      <c r="W61" s="1121"/>
      <c r="X61" s="1121"/>
      <c r="Y61" s="1121"/>
      <c r="Z61" s="1121"/>
      <c r="AA61" s="1121"/>
      <c r="AB61" s="1121"/>
      <c r="AC61" s="1121"/>
      <c r="AD61" s="1121"/>
      <c r="AE61" s="1121"/>
      <c r="AF61" s="1121"/>
      <c r="AG61" s="288"/>
      <c r="AH61" s="1121"/>
      <c r="AI61" s="1121"/>
      <c r="AJ61" s="1121"/>
      <c r="AK61" s="1121"/>
      <c r="AL61" s="1121"/>
      <c r="AM61" s="1121"/>
      <c r="AN61" s="1121"/>
      <c r="AO61" s="1121"/>
      <c r="AP61" s="1121"/>
      <c r="AQ61" s="1121">
        <f>+FL_2($T$62,$T$60,$G$61,1200,9.28,-1*$F$62)</f>
        <v>-0.35219954355555555</v>
      </c>
      <c r="AR61" s="1121"/>
      <c r="AS61" s="1121"/>
      <c r="AT61" s="1121"/>
      <c r="AU61" s="1121"/>
      <c r="AV61" s="1121"/>
      <c r="AW61" s="1121" t="s">
        <v>2630</v>
      </c>
      <c r="AX61" s="1121" t="s">
        <v>1639</v>
      </c>
      <c r="AY61" s="1121"/>
      <c r="AZ61" s="1121">
        <v>2.5</v>
      </c>
      <c r="BA61" s="1121"/>
      <c r="BC61" s="312"/>
      <c r="BD61" s="312"/>
    </row>
    <row r="62" spans="1:65" ht="15.75" customHeight="1">
      <c r="A62" s="340"/>
      <c r="B62" s="391" t="s">
        <v>2578</v>
      </c>
      <c r="C62" s="288">
        <f>C60+G61</f>
        <v>22970.999999999996</v>
      </c>
      <c r="D62" s="1121"/>
      <c r="E62" s="1121"/>
      <c r="F62" s="289"/>
      <c r="G62" s="292"/>
      <c r="H62" s="291"/>
      <c r="I62" s="291"/>
      <c r="J62" s="383"/>
      <c r="K62" s="291"/>
      <c r="L62" s="1121" t="s">
        <v>882</v>
      </c>
      <c r="M62" s="1121" t="s">
        <v>2675</v>
      </c>
      <c r="N62" s="1121" t="s">
        <v>144</v>
      </c>
      <c r="O62" s="1121" t="s">
        <v>140</v>
      </c>
      <c r="P62" s="1121"/>
      <c r="Q62" s="1121">
        <v>0</v>
      </c>
      <c r="R62" s="1121">
        <v>0</v>
      </c>
      <c r="S62" s="1121"/>
      <c r="T62" s="1121">
        <v>-35</v>
      </c>
      <c r="U62" s="1121">
        <v>35</v>
      </c>
      <c r="V62" s="1121"/>
      <c r="W62" s="1121">
        <v>2.2999999999999998</v>
      </c>
      <c r="X62" s="1121">
        <v>1.4</v>
      </c>
      <c r="Y62" s="1121"/>
      <c r="AA62" s="1121">
        <v>0.45</v>
      </c>
      <c r="AB62" s="1121"/>
      <c r="AC62" s="1121" t="s">
        <v>2963</v>
      </c>
      <c r="AD62" s="1121"/>
      <c r="AE62" s="1121"/>
      <c r="AF62" s="1121">
        <v>6000</v>
      </c>
      <c r="AG62" s="288">
        <v>22970.55</v>
      </c>
      <c r="AH62" s="1121">
        <v>2481</v>
      </c>
      <c r="AI62" s="1121">
        <v>644.99999999999318</v>
      </c>
      <c r="AJ62" s="1121"/>
      <c r="AK62" s="1121"/>
      <c r="AL62" s="1121" t="s">
        <v>898</v>
      </c>
      <c r="AM62" s="1121" t="s">
        <v>1228</v>
      </c>
      <c r="AN62" s="1121">
        <v>5.5</v>
      </c>
      <c r="AO62" s="1121"/>
      <c r="AP62" s="1121"/>
      <c r="AQ62" s="1121"/>
      <c r="AR62" s="1121"/>
      <c r="AS62" s="1121"/>
      <c r="AT62" s="1121">
        <f>+ab($T$62,$T$60,$T$64,$G$61,$G$63,-1*$F$62,1200)</f>
        <v>-6.4650411729017883</v>
      </c>
      <c r="AU62" s="1121"/>
      <c r="AV62" s="1121"/>
      <c r="AW62" s="315" t="s">
        <v>2630</v>
      </c>
      <c r="AX62" s="315" t="s">
        <v>1639</v>
      </c>
      <c r="AY62" s="1121">
        <v>3.8</v>
      </c>
      <c r="AZ62" s="1121"/>
      <c r="BA62" s="1121"/>
      <c r="BC62" s="312"/>
      <c r="BD62" s="312"/>
    </row>
    <row r="63" spans="1:65" ht="15.75" customHeight="1">
      <c r="A63" s="340"/>
      <c r="B63" s="291"/>
      <c r="C63" s="288"/>
      <c r="D63" s="1121"/>
      <c r="E63" s="1121"/>
      <c r="F63" s="289"/>
      <c r="G63" s="292">
        <v>50</v>
      </c>
      <c r="H63" s="291"/>
      <c r="I63" s="294"/>
      <c r="J63" s="288"/>
      <c r="K63" s="1121"/>
      <c r="L63" s="1121"/>
      <c r="M63" s="1121"/>
      <c r="N63" s="1121"/>
      <c r="O63" s="1121"/>
      <c r="P63" s="1121"/>
      <c r="Q63" s="1121"/>
      <c r="R63" s="1121"/>
      <c r="S63" s="1121">
        <v>50.020000000000437</v>
      </c>
      <c r="T63" s="1121"/>
      <c r="U63" s="1121"/>
      <c r="V63" s="1121"/>
      <c r="W63" s="1121"/>
      <c r="X63" s="1121"/>
      <c r="Y63" s="1121"/>
      <c r="Z63" s="1121"/>
      <c r="AA63" s="1121"/>
      <c r="AB63" s="1121"/>
      <c r="AC63" s="1121"/>
      <c r="AD63" s="1121"/>
      <c r="AE63" s="1121"/>
      <c r="AF63" s="1121"/>
      <c r="AG63" s="288"/>
      <c r="AH63" s="1121"/>
      <c r="AI63" s="1121"/>
      <c r="AJ63" s="1121"/>
      <c r="AK63" s="1121"/>
      <c r="AL63" s="1121"/>
      <c r="AM63" s="1121"/>
      <c r="AN63" s="1121"/>
      <c r="AO63" s="1121"/>
      <c r="AP63" s="1121"/>
      <c r="AQ63" s="1121">
        <f>+FL_1($T$64,$T$62,$G$63,1200,9.28,-1*$F$64)</f>
        <v>0.36839079999999996</v>
      </c>
      <c r="AR63" s="1121"/>
      <c r="AS63" s="1121"/>
      <c r="AT63" s="1121"/>
      <c r="AU63" s="1121"/>
      <c r="AV63" s="1121"/>
      <c r="AW63" s="1121"/>
      <c r="AX63" s="1121"/>
      <c r="AY63" s="1121"/>
      <c r="AZ63" s="1121"/>
      <c r="BA63" s="1121"/>
      <c r="BC63" s="312"/>
      <c r="BD63" s="312"/>
    </row>
    <row r="64" spans="1:65" ht="15.75" customHeight="1">
      <c r="A64" s="340"/>
      <c r="B64" s="287" t="s">
        <v>2486</v>
      </c>
      <c r="C64" s="288">
        <f>C62+G63</f>
        <v>23020.999999999996</v>
      </c>
      <c r="D64" s="1121"/>
      <c r="E64" s="1121"/>
      <c r="F64" s="289"/>
      <c r="G64" s="292"/>
      <c r="H64" s="291" t="s">
        <v>2728</v>
      </c>
      <c r="I64" s="385"/>
      <c r="J64" s="288"/>
      <c r="K64" s="291"/>
      <c r="L64" s="1121" t="s">
        <v>882</v>
      </c>
      <c r="M64" s="1121" t="s">
        <v>2675</v>
      </c>
      <c r="N64" s="1121" t="s">
        <v>145</v>
      </c>
      <c r="O64" s="1121"/>
      <c r="P64" s="1121"/>
      <c r="Q64" s="1121">
        <v>0</v>
      </c>
      <c r="R64" s="1121">
        <v>0</v>
      </c>
      <c r="S64" s="1121"/>
      <c r="T64" s="1121">
        <v>35</v>
      </c>
      <c r="U64" s="1121"/>
      <c r="V64" s="1121"/>
      <c r="W64" s="1121">
        <v>1.4</v>
      </c>
      <c r="X64" s="1121"/>
      <c r="Y64" s="1121"/>
      <c r="Z64" s="1121"/>
      <c r="AA64" s="1121"/>
      <c r="AB64" s="1121"/>
      <c r="AC64" s="1121" t="s">
        <v>2963</v>
      </c>
      <c r="AD64" s="1121"/>
      <c r="AE64" s="1121"/>
      <c r="AF64" s="1121">
        <v>6000</v>
      </c>
      <c r="AG64" s="288">
        <v>23020.57</v>
      </c>
      <c r="AH64" s="1121">
        <v>2486</v>
      </c>
      <c r="AI64" s="1121">
        <v>623.00000000000182</v>
      </c>
      <c r="AJ64" s="1121"/>
      <c r="AK64" s="1121"/>
      <c r="AL64" s="1121" t="s">
        <v>898</v>
      </c>
      <c r="AM64" s="1121" t="s">
        <v>1228</v>
      </c>
      <c r="AN64" s="1121">
        <v>5.5</v>
      </c>
      <c r="AO64" s="1121"/>
      <c r="AP64" s="1121"/>
      <c r="AQ64" s="1121"/>
      <c r="AR64" s="1121"/>
      <c r="AS64" s="1121"/>
      <c r="AT64" s="1121">
        <f>+ab($T$64,$T$62,$T$66,$G$63,$G$65,-1*$F$64,1200)</f>
        <v>6.820891075690624</v>
      </c>
      <c r="AU64" s="1121"/>
      <c r="AV64" s="1121"/>
      <c r="AW64" s="315" t="s">
        <v>2630</v>
      </c>
      <c r="AX64" s="315" t="s">
        <v>1639</v>
      </c>
      <c r="AY64" s="1121">
        <v>3.8</v>
      </c>
      <c r="AZ64" s="1121"/>
      <c r="BA64" s="1121"/>
      <c r="BC64" s="312"/>
      <c r="BD64" s="312"/>
    </row>
    <row r="65" spans="1:56" ht="15.75" customHeight="1">
      <c r="A65" s="340"/>
      <c r="B65" s="287"/>
      <c r="C65" s="288"/>
      <c r="D65" s="1121"/>
      <c r="E65" s="1121"/>
      <c r="F65" s="289"/>
      <c r="G65" s="292">
        <v>50</v>
      </c>
      <c r="H65" s="291"/>
      <c r="I65" s="291"/>
      <c r="J65" s="288">
        <f>C64+7.5</f>
        <v>23028.499999999996</v>
      </c>
      <c r="K65" s="1121" t="s">
        <v>658</v>
      </c>
      <c r="L65" s="1121"/>
      <c r="M65" s="1121"/>
      <c r="N65" s="1121"/>
      <c r="O65" s="1121"/>
      <c r="P65" s="1121"/>
      <c r="Q65" s="1121"/>
      <c r="R65" s="1121"/>
      <c r="S65" s="1121">
        <v>49.959999999999127</v>
      </c>
      <c r="T65" s="1121"/>
      <c r="U65" s="1121"/>
      <c r="V65" s="1121"/>
      <c r="W65" s="1121"/>
      <c r="X65" s="1121"/>
      <c r="Y65" s="1121"/>
      <c r="Z65" s="1121"/>
      <c r="AA65" s="1121"/>
      <c r="AB65" s="1121"/>
      <c r="AC65" s="1121"/>
      <c r="AD65" s="1121"/>
      <c r="AE65" s="1121"/>
      <c r="AF65" s="1121"/>
      <c r="AG65" s="288"/>
      <c r="AH65" s="1121"/>
      <c r="AI65" s="1121"/>
      <c r="AJ65" s="1121"/>
      <c r="AK65" s="1121"/>
      <c r="AL65" s="1121"/>
      <c r="AM65" s="1121"/>
      <c r="AN65" s="1121"/>
      <c r="AO65" s="1121"/>
      <c r="AP65" s="1121"/>
      <c r="AQ65" s="1121">
        <f>+FL_2($T$66,$T$64,$G$65,1200,9.28,-1*$F$66)</f>
        <v>-0.36839079999999996</v>
      </c>
      <c r="AR65" s="1121"/>
      <c r="AS65" s="1121"/>
      <c r="AT65" s="1121"/>
      <c r="AU65" s="1121"/>
      <c r="AV65" s="1121"/>
      <c r="AW65" s="315" t="s">
        <v>2630</v>
      </c>
      <c r="AX65" s="315" t="s">
        <v>1639</v>
      </c>
      <c r="AY65" s="1121"/>
      <c r="AZ65" s="1121">
        <v>2.5</v>
      </c>
      <c r="BA65" s="1121"/>
      <c r="BC65" s="312"/>
      <c r="BD65" s="312"/>
    </row>
    <row r="66" spans="1:56" ht="15.75" customHeight="1">
      <c r="A66" s="340"/>
      <c r="B66" s="287" t="s">
        <v>2540</v>
      </c>
      <c r="C66" s="288">
        <f>C64+G65</f>
        <v>23070.999999999996</v>
      </c>
      <c r="D66" s="1121"/>
      <c r="E66" s="1121"/>
      <c r="F66" s="289"/>
      <c r="G66" s="292"/>
      <c r="H66" s="291" t="s">
        <v>3266</v>
      </c>
      <c r="I66" s="291"/>
      <c r="J66" s="288">
        <f>C66-7.5</f>
        <v>23063.499999999996</v>
      </c>
      <c r="K66" s="1121" t="s">
        <v>658</v>
      </c>
      <c r="L66" s="1121" t="s">
        <v>882</v>
      </c>
      <c r="M66" s="1121" t="s">
        <v>2675</v>
      </c>
      <c r="N66" s="1121" t="s">
        <v>144</v>
      </c>
      <c r="O66" s="1121"/>
      <c r="P66" s="1121"/>
      <c r="Q66" s="1121">
        <v>0</v>
      </c>
      <c r="R66" s="1121">
        <v>0</v>
      </c>
      <c r="S66" s="1121"/>
      <c r="T66" s="1121">
        <v>-35</v>
      </c>
      <c r="U66" s="1121"/>
      <c r="V66" s="1121"/>
      <c r="W66" s="1121">
        <v>1.4</v>
      </c>
      <c r="X66" s="1121"/>
      <c r="Y66" s="1121"/>
      <c r="Z66" s="1121"/>
      <c r="AA66" s="1121"/>
      <c r="AB66" s="1121"/>
      <c r="AC66" s="1121" t="s">
        <v>2963</v>
      </c>
      <c r="AD66" s="1121"/>
      <c r="AE66" s="1121"/>
      <c r="AF66" s="1121">
        <v>6000</v>
      </c>
      <c r="AG66" s="288">
        <v>23070.53</v>
      </c>
      <c r="AH66" s="1121">
        <v>2439</v>
      </c>
      <c r="AI66" s="1121">
        <v>567.999999999995</v>
      </c>
      <c r="AJ66" s="1121"/>
      <c r="AK66" s="1121"/>
      <c r="AL66" s="1121" t="s">
        <v>898</v>
      </c>
      <c r="AM66" s="1121" t="s">
        <v>1228</v>
      </c>
      <c r="AN66" s="1121">
        <v>5.5</v>
      </c>
      <c r="AO66" s="1121"/>
      <c r="AP66" s="1121"/>
      <c r="AQ66" s="1121"/>
      <c r="AR66" s="1121"/>
      <c r="AS66" s="1121"/>
      <c r="AT66" s="1121">
        <f>+ab($T$66,$T$64,$T$68,$G$65,$G$67,-1*$F$66,1200)</f>
        <v>-6.8209152065487553</v>
      </c>
      <c r="AU66" s="1121"/>
      <c r="AV66" s="1121"/>
      <c r="AW66" s="315" t="s">
        <v>2630</v>
      </c>
      <c r="AX66" s="315" t="s">
        <v>1639</v>
      </c>
      <c r="AY66" s="1121">
        <v>3.8</v>
      </c>
      <c r="AZ66" s="1121">
        <v>2.5</v>
      </c>
      <c r="BA66" s="1121"/>
      <c r="BC66" s="312"/>
      <c r="BD66" s="312"/>
    </row>
    <row r="67" spans="1:56" ht="15.75" customHeight="1">
      <c r="A67" s="340"/>
      <c r="B67" s="287"/>
      <c r="C67" s="288"/>
      <c r="D67" s="1121"/>
      <c r="E67" s="1121"/>
      <c r="F67" s="289"/>
      <c r="G67" s="292">
        <v>50</v>
      </c>
      <c r="H67" s="291"/>
      <c r="I67" s="294">
        <f>C68-22679</f>
        <v>441.99999999999636</v>
      </c>
      <c r="J67" s="288"/>
      <c r="K67" s="1121"/>
      <c r="L67" s="1121"/>
      <c r="M67" s="1121"/>
      <c r="N67" s="1121"/>
      <c r="O67" s="1121"/>
      <c r="P67" s="1121"/>
      <c r="Q67" s="1121"/>
      <c r="R67" s="1121"/>
      <c r="S67" s="1121">
        <v>50.190000000002328</v>
      </c>
      <c r="T67" s="1121"/>
      <c r="U67" s="1121"/>
      <c r="V67" s="1121"/>
      <c r="W67" s="1121"/>
      <c r="X67" s="1121"/>
      <c r="Y67" s="1121"/>
      <c r="Z67" s="1121"/>
      <c r="AA67" s="1121"/>
      <c r="AB67" s="1121"/>
      <c r="AC67" s="1121"/>
      <c r="AD67" s="1121"/>
      <c r="AE67" s="1121"/>
      <c r="AF67" s="1121"/>
      <c r="AG67" s="288"/>
      <c r="AH67" s="1121"/>
      <c r="AI67" s="1121"/>
      <c r="AJ67" s="1121"/>
      <c r="AK67" s="1121"/>
      <c r="AL67" s="1121"/>
      <c r="AM67" s="1121"/>
      <c r="AN67" s="1121"/>
      <c r="AO67" s="1121"/>
      <c r="AP67" s="1121"/>
      <c r="AQ67" s="1121">
        <f>+FL_1($T$68,$T$66,$G$67,1200,9.28,-1*$F$68)</f>
        <v>0.36839079999999996</v>
      </c>
      <c r="AR67" s="1121"/>
      <c r="AS67" s="1121"/>
      <c r="AT67" s="1121"/>
      <c r="AU67" s="1121"/>
      <c r="AV67" s="1121"/>
      <c r="AW67" s="1121"/>
      <c r="AX67" s="1121"/>
      <c r="AY67" s="1121"/>
      <c r="AZ67" s="1121"/>
      <c r="BA67" s="1121"/>
      <c r="BC67" s="312"/>
      <c r="BD67" s="312"/>
    </row>
    <row r="68" spans="1:56" ht="15.75" customHeight="1">
      <c r="A68" s="340"/>
      <c r="B68" s="287" t="s">
        <v>2487</v>
      </c>
      <c r="C68" s="288">
        <f>C66+G67</f>
        <v>23120.999999999996</v>
      </c>
      <c r="D68" s="1121"/>
      <c r="E68" s="1121"/>
      <c r="F68" s="289"/>
      <c r="G68" s="292"/>
      <c r="H68" s="291" t="s">
        <v>955</v>
      </c>
      <c r="I68" s="294"/>
      <c r="J68" s="383"/>
      <c r="K68" s="291"/>
      <c r="L68" s="1121" t="s">
        <v>882</v>
      </c>
      <c r="M68" s="1121" t="s">
        <v>2675</v>
      </c>
      <c r="N68" s="1121" t="s">
        <v>145</v>
      </c>
      <c r="O68" s="1121"/>
      <c r="P68" s="1121"/>
      <c r="Q68" s="1121">
        <v>0</v>
      </c>
      <c r="R68" s="1121">
        <v>0</v>
      </c>
      <c r="S68" s="1121"/>
      <c r="T68" s="1121">
        <v>35</v>
      </c>
      <c r="U68" s="1121"/>
      <c r="V68" s="1121"/>
      <c r="W68" s="1121">
        <v>1.4</v>
      </c>
      <c r="X68" s="1121"/>
      <c r="Y68" s="1121"/>
      <c r="Z68" s="1121"/>
      <c r="AA68" s="1121"/>
      <c r="AB68" s="1121"/>
      <c r="AC68" s="1121" t="s">
        <v>2963</v>
      </c>
      <c r="AD68" s="1121"/>
      <c r="AE68" s="1121"/>
      <c r="AF68" s="1121">
        <v>6000</v>
      </c>
      <c r="AG68" s="288">
        <v>23120.720000000001</v>
      </c>
      <c r="AH68" s="1121">
        <v>2568</v>
      </c>
      <c r="AI68" s="1121">
        <v>613.00000000001091</v>
      </c>
      <c r="AJ68" s="1121"/>
      <c r="AK68" s="1121"/>
      <c r="AL68" s="1121" t="s">
        <v>898</v>
      </c>
      <c r="AM68" s="1121" t="s">
        <v>1228</v>
      </c>
      <c r="AN68" s="1121">
        <v>5.5</v>
      </c>
      <c r="AO68" s="1121"/>
      <c r="AP68" s="1121"/>
      <c r="AQ68" s="1121"/>
      <c r="AR68" s="1121"/>
      <c r="AS68" s="1121"/>
      <c r="AT68" s="1121">
        <f>+ab($T$68,$T$66,$T$70,$G$67,$G$69,-1*$F$68,1200)</f>
        <v>6.820891075690624</v>
      </c>
      <c r="AU68" s="1121"/>
      <c r="AV68" s="1121"/>
      <c r="AW68" s="315" t="s">
        <v>2630</v>
      </c>
      <c r="AX68" s="315" t="s">
        <v>1639</v>
      </c>
      <c r="AY68" s="1121">
        <v>3.8</v>
      </c>
      <c r="AZ68" s="1121"/>
      <c r="BA68" s="1121"/>
      <c r="BC68" s="312"/>
      <c r="BD68" s="312"/>
    </row>
    <row r="69" spans="1:56" ht="15.75" customHeight="1">
      <c r="A69" s="340"/>
      <c r="B69" s="287"/>
      <c r="C69" s="288"/>
      <c r="D69" s="1121"/>
      <c r="E69" s="1121"/>
      <c r="F69" s="289"/>
      <c r="G69" s="292">
        <v>50</v>
      </c>
      <c r="H69" s="291"/>
      <c r="I69" s="294">
        <f>23494-C68</f>
        <v>373.00000000000364</v>
      </c>
      <c r="J69" s="288"/>
      <c r="K69" s="1121"/>
      <c r="L69" s="1121"/>
      <c r="M69" s="1121"/>
      <c r="N69" s="1121"/>
      <c r="O69" s="1121"/>
      <c r="P69" s="1121"/>
      <c r="Q69" s="1121"/>
      <c r="R69" s="1121"/>
      <c r="S69" s="1121">
        <v>49.849999999998545</v>
      </c>
      <c r="T69" s="1121"/>
      <c r="U69" s="1121"/>
      <c r="V69" s="1121"/>
      <c r="W69" s="1121"/>
      <c r="X69" s="1121"/>
      <c r="Y69" s="1121"/>
      <c r="Z69" s="1121"/>
      <c r="AA69" s="1121"/>
      <c r="AB69" s="1121"/>
      <c r="AC69" s="1121"/>
      <c r="AD69" s="1121"/>
      <c r="AE69" s="1121"/>
      <c r="AF69" s="1121"/>
      <c r="AG69" s="288"/>
      <c r="AH69" s="1121"/>
      <c r="AI69" s="1121"/>
      <c r="AJ69" s="1121"/>
      <c r="AK69" s="1121"/>
      <c r="AL69" s="1121"/>
      <c r="AM69" s="1121"/>
      <c r="AN69" s="1121"/>
      <c r="AO69" s="1121"/>
      <c r="AP69" s="1121"/>
      <c r="AQ69" s="1121">
        <f>+FL_2($T$70,$T$68,$G$69,1200,9.28,-1*$F$70)</f>
        <v>-0.36839079999999996</v>
      </c>
      <c r="AR69" s="1121"/>
      <c r="AS69" s="1121"/>
      <c r="AT69" s="1121"/>
      <c r="AU69" s="1121"/>
      <c r="AV69" s="1121"/>
      <c r="AW69" s="1121"/>
      <c r="AX69" s="1121"/>
      <c r="AY69" s="1121"/>
      <c r="AZ69" s="1121"/>
      <c r="BA69" s="1121"/>
    </row>
    <row r="70" spans="1:56" ht="15.75" customHeight="1">
      <c r="A70" s="340"/>
      <c r="B70" s="287" t="s">
        <v>2488</v>
      </c>
      <c r="C70" s="288">
        <f>C68+G69</f>
        <v>23170.999999999996</v>
      </c>
      <c r="D70" s="1121"/>
      <c r="E70" s="1121"/>
      <c r="F70" s="289"/>
      <c r="G70" s="292"/>
      <c r="H70" s="291" t="s">
        <v>3267</v>
      </c>
      <c r="I70" s="294"/>
      <c r="J70" s="288"/>
      <c r="K70" s="1121"/>
      <c r="L70" s="1121" t="s">
        <v>882</v>
      </c>
      <c r="M70" s="1121" t="s">
        <v>2675</v>
      </c>
      <c r="N70" s="1121" t="s">
        <v>144</v>
      </c>
      <c r="O70" s="1121"/>
      <c r="P70" s="1121"/>
      <c r="Q70" s="1121">
        <v>0</v>
      </c>
      <c r="R70" s="1121">
        <v>0</v>
      </c>
      <c r="S70" s="1121"/>
      <c r="T70" s="1121">
        <v>-35</v>
      </c>
      <c r="U70" s="1121"/>
      <c r="V70" s="1121"/>
      <c r="W70" s="1121">
        <v>1.4</v>
      </c>
      <c r="X70" s="1121"/>
      <c r="Y70" s="1121"/>
      <c r="Z70" s="1121"/>
      <c r="AA70" s="1121"/>
      <c r="AB70" s="1121"/>
      <c r="AC70" s="1121" t="s">
        <v>2963</v>
      </c>
      <c r="AD70" s="1121"/>
      <c r="AE70" s="1121"/>
      <c r="AF70" s="1121">
        <v>6000</v>
      </c>
      <c r="AG70" s="288">
        <v>23170.57</v>
      </c>
      <c r="AH70" s="1121">
        <v>2520</v>
      </c>
      <c r="AI70" s="1121">
        <v>513.0000000000166</v>
      </c>
      <c r="AJ70" s="1121"/>
      <c r="AK70" s="1121"/>
      <c r="AL70" s="1121" t="s">
        <v>898</v>
      </c>
      <c r="AM70" s="1121" t="s">
        <v>1228</v>
      </c>
      <c r="AN70" s="1121">
        <v>5.5</v>
      </c>
      <c r="AO70" s="1121"/>
      <c r="AP70" s="1121"/>
      <c r="AQ70" s="1121"/>
      <c r="AR70" s="1121"/>
      <c r="AS70" s="1121"/>
      <c r="AT70" s="1121">
        <f>+ab($T$70,$T$68,$T$72,$G$69,$G$71,-1*$F$70,1200)</f>
        <v>-6.0690386396021712</v>
      </c>
      <c r="AU70" s="1121"/>
      <c r="AV70" s="1121"/>
      <c r="AW70" s="315" t="s">
        <v>2630</v>
      </c>
      <c r="AX70" s="315" t="s">
        <v>1639</v>
      </c>
      <c r="AY70" s="1121">
        <v>3.8</v>
      </c>
      <c r="AZ70" s="1121"/>
      <c r="BA70" s="1121"/>
    </row>
    <row r="71" spans="1:56" ht="15.75" customHeight="1">
      <c r="A71" s="340"/>
      <c r="B71" s="287"/>
      <c r="C71" s="288"/>
      <c r="D71" s="1121"/>
      <c r="E71" s="1121"/>
      <c r="F71" s="289"/>
      <c r="G71" s="292">
        <v>40</v>
      </c>
      <c r="H71" s="291"/>
      <c r="I71" s="294"/>
      <c r="J71" s="288">
        <f>C70+7.5</f>
        <v>23178.499999999996</v>
      </c>
      <c r="K71" s="1121" t="s">
        <v>658</v>
      </c>
      <c r="L71" s="1121"/>
      <c r="M71" s="1121"/>
      <c r="N71" s="1121"/>
      <c r="O71" s="1121"/>
      <c r="P71" s="1121"/>
      <c r="Q71" s="1121"/>
      <c r="R71" s="1121"/>
      <c r="S71" s="1121">
        <v>39.979999999999563</v>
      </c>
      <c r="T71" s="1121"/>
      <c r="U71" s="1121"/>
      <c r="V71" s="1121"/>
      <c r="W71" s="1121"/>
      <c r="X71" s="1121"/>
      <c r="Y71" s="1121"/>
      <c r="Z71" s="1121"/>
      <c r="AA71" s="1121"/>
      <c r="AB71" s="1121"/>
      <c r="AC71" s="1121"/>
      <c r="AD71" s="1121"/>
      <c r="AE71" s="1121"/>
      <c r="AF71" s="1121"/>
      <c r="AG71" s="288"/>
      <c r="AH71" s="1121"/>
      <c r="AI71" s="1121"/>
      <c r="AJ71" s="1121"/>
      <c r="AK71" s="1121"/>
      <c r="AL71" s="1121"/>
      <c r="AM71" s="1121"/>
      <c r="AN71" s="1121"/>
      <c r="AO71" s="1121"/>
      <c r="AP71" s="1121"/>
      <c r="AQ71" s="1121">
        <f>+FL_2($T$72,$T$70,$G$71,1200,9.28,-1*$F$72)</f>
        <v>-0.35000000000000125</v>
      </c>
      <c r="AR71" s="1121"/>
      <c r="AS71" s="1121"/>
      <c r="AT71" s="1121"/>
      <c r="AU71" s="1121"/>
      <c r="AV71" s="1121"/>
      <c r="AW71" s="1121" t="s">
        <v>2630</v>
      </c>
      <c r="AX71" s="1121" t="s">
        <v>1639</v>
      </c>
      <c r="AY71" s="1121"/>
      <c r="AZ71" s="1121">
        <v>2.5</v>
      </c>
      <c r="BA71" s="1121"/>
    </row>
    <row r="72" spans="1:56" ht="15.75" customHeight="1">
      <c r="A72" s="340"/>
      <c r="B72" s="287" t="s">
        <v>2489</v>
      </c>
      <c r="C72" s="288">
        <f>C70+G71</f>
        <v>23210.999999999996</v>
      </c>
      <c r="D72" s="1121"/>
      <c r="E72" s="1121"/>
      <c r="F72" s="289"/>
      <c r="G72" s="292"/>
      <c r="H72" s="291"/>
      <c r="I72" s="291"/>
      <c r="J72" s="288"/>
      <c r="K72" s="1121"/>
      <c r="L72" s="1121" t="s">
        <v>882</v>
      </c>
      <c r="M72" s="1121" t="s">
        <v>2675</v>
      </c>
      <c r="N72" s="1121" t="s">
        <v>145</v>
      </c>
      <c r="O72" s="1121"/>
      <c r="P72" s="1121"/>
      <c r="Q72" s="1121">
        <v>0</v>
      </c>
      <c r="R72" s="1121">
        <v>0</v>
      </c>
      <c r="S72" s="1121"/>
      <c r="T72" s="1121">
        <v>35</v>
      </c>
      <c r="U72" s="1121"/>
      <c r="V72" s="1121"/>
      <c r="W72" s="1121">
        <v>1.4</v>
      </c>
      <c r="X72" s="1121"/>
      <c r="Y72" s="1121"/>
      <c r="Z72" s="1121"/>
      <c r="AA72" s="1121"/>
      <c r="AB72" s="1121"/>
      <c r="AC72" s="1121" t="s">
        <v>2963</v>
      </c>
      <c r="AD72" s="1121"/>
      <c r="AE72" s="1121"/>
      <c r="AF72" s="1121">
        <v>6000</v>
      </c>
      <c r="AG72" s="288">
        <v>23210.55</v>
      </c>
      <c r="AH72" s="1121">
        <v>2473</v>
      </c>
      <c r="AI72" s="1121">
        <v>608.00000000001546</v>
      </c>
      <c r="AJ72" s="1121"/>
      <c r="AK72" s="1121"/>
      <c r="AL72" s="1121" t="s">
        <v>898</v>
      </c>
      <c r="AM72" s="1121" t="s">
        <v>1228</v>
      </c>
      <c r="AN72" s="1121">
        <v>5.5</v>
      </c>
      <c r="AO72" s="1121"/>
      <c r="AP72" s="1121"/>
      <c r="AQ72" s="1121"/>
      <c r="AR72" s="1121"/>
      <c r="AS72" s="1121"/>
      <c r="AT72" s="1121">
        <f>+ab($T$72,$T$70,$T$74,$G$71,$G$73,-1*$F$72,1200)</f>
        <v>5.6623025175359789</v>
      </c>
      <c r="AU72" s="1121"/>
      <c r="AV72" s="1121"/>
      <c r="AW72" s="315" t="s">
        <v>2630</v>
      </c>
      <c r="AX72" s="315" t="s">
        <v>1639</v>
      </c>
      <c r="AY72" s="1121">
        <v>3.8</v>
      </c>
      <c r="AZ72" s="1121"/>
      <c r="BA72" s="1121"/>
    </row>
    <row r="73" spans="1:56" ht="15.75" customHeight="1">
      <c r="A73" s="340"/>
      <c r="B73" s="287"/>
      <c r="C73" s="288"/>
      <c r="D73" s="1121"/>
      <c r="E73" s="1121"/>
      <c r="F73" s="289"/>
      <c r="G73" s="292">
        <v>43</v>
      </c>
      <c r="H73" s="291"/>
      <c r="I73" s="291"/>
      <c r="J73" s="288">
        <f>C74-7.5</f>
        <v>23246.499999999996</v>
      </c>
      <c r="K73" s="1121" t="s">
        <v>653</v>
      </c>
      <c r="L73" s="1121"/>
      <c r="M73" s="1121"/>
      <c r="N73" s="1121"/>
      <c r="O73" s="1121"/>
      <c r="P73" s="1121"/>
      <c r="Q73" s="1121"/>
      <c r="R73" s="1121"/>
      <c r="S73" s="1121">
        <v>43.030000000002474</v>
      </c>
      <c r="T73" s="1121"/>
      <c r="U73" s="1121"/>
      <c r="V73" s="1121"/>
      <c r="W73" s="1121"/>
      <c r="X73" s="1121"/>
      <c r="Y73" s="1121"/>
      <c r="Z73" s="1121"/>
      <c r="AA73" s="1121"/>
      <c r="AB73" s="1121"/>
      <c r="AC73" s="1121"/>
      <c r="AD73" s="1121"/>
      <c r="AE73" s="1121"/>
      <c r="AF73" s="1121"/>
      <c r="AG73" s="288"/>
      <c r="AH73" s="1121"/>
      <c r="AI73" s="1121"/>
      <c r="AJ73" s="1121"/>
      <c r="AK73" s="1121"/>
      <c r="AL73" s="1121"/>
      <c r="AM73" s="1121"/>
      <c r="AN73" s="1121"/>
      <c r="AO73" s="1121"/>
      <c r="AP73" s="1121"/>
      <c r="AQ73" s="1121">
        <f>+FL_2($T$74,$T$72,$G$73,1200,9.28,-1*$F$74)</f>
        <v>-0.35007811860465116</v>
      </c>
      <c r="AR73" s="1121"/>
      <c r="AS73" s="1121"/>
      <c r="AT73" s="1121"/>
      <c r="AU73" s="1121"/>
      <c r="AV73" s="1121"/>
      <c r="AW73" s="1121" t="s">
        <v>2630</v>
      </c>
      <c r="AX73" s="1121" t="s">
        <v>1639</v>
      </c>
      <c r="AY73" s="1121"/>
      <c r="AZ73" s="1121">
        <v>2.5</v>
      </c>
      <c r="BA73" s="1121"/>
    </row>
    <row r="74" spans="1:56" ht="15.75" customHeight="1">
      <c r="A74" s="340"/>
      <c r="B74" s="287" t="s">
        <v>2490</v>
      </c>
      <c r="C74" s="288">
        <f>C72+G73</f>
        <v>23253.999999999996</v>
      </c>
      <c r="D74" s="1121"/>
      <c r="E74" s="1121"/>
      <c r="F74" s="289"/>
      <c r="G74" s="292"/>
      <c r="H74" s="291" t="s">
        <v>3264</v>
      </c>
      <c r="I74" s="294" t="s">
        <v>657</v>
      </c>
      <c r="J74" s="288"/>
      <c r="K74" s="1121"/>
      <c r="L74" s="1121" t="s">
        <v>882</v>
      </c>
      <c r="M74" s="1121" t="s">
        <v>2675</v>
      </c>
      <c r="N74" s="1121" t="s">
        <v>144</v>
      </c>
      <c r="O74" s="1121"/>
      <c r="P74" s="1121"/>
      <c r="Q74" s="1121">
        <v>0</v>
      </c>
      <c r="R74" s="1121">
        <v>0</v>
      </c>
      <c r="S74" s="1121"/>
      <c r="T74" s="1121">
        <v>-35</v>
      </c>
      <c r="U74" s="1121"/>
      <c r="V74" s="1121"/>
      <c r="W74" s="1121">
        <v>1.4</v>
      </c>
      <c r="X74" s="1121"/>
      <c r="Y74" s="1121"/>
      <c r="Z74" s="1121"/>
      <c r="AA74" s="1121"/>
      <c r="AB74" s="1121"/>
      <c r="AC74" s="1121" t="s">
        <v>2963</v>
      </c>
      <c r="AD74" s="1121"/>
      <c r="AE74" s="1121"/>
      <c r="AF74" s="1121">
        <v>6000</v>
      </c>
      <c r="AG74" s="288">
        <v>23253.58</v>
      </c>
      <c r="AH74" s="1121">
        <v>2444</v>
      </c>
      <c r="AI74" s="1121">
        <v>522.00000000000273</v>
      </c>
      <c r="AJ74" s="1121"/>
      <c r="AK74" s="1121"/>
      <c r="AL74" s="1121" t="s">
        <v>898</v>
      </c>
      <c r="AM74" s="1121" t="s">
        <v>1228</v>
      </c>
      <c r="AN74" s="1121">
        <v>5.5</v>
      </c>
      <c r="AO74" s="1121"/>
      <c r="AP74" s="1121"/>
      <c r="AQ74" s="1121"/>
      <c r="AR74" s="1121"/>
      <c r="AS74" s="1121"/>
      <c r="AT74" s="1121">
        <f>+ab($T$74,$T$72,$T$76,$G$73,$G$75,-1*$F$74,1200)</f>
        <v>-6.7083657111566364</v>
      </c>
      <c r="AU74" s="1121"/>
      <c r="AV74" s="1121"/>
      <c r="AW74" s="315" t="s">
        <v>2630</v>
      </c>
      <c r="AX74" s="315" t="s">
        <v>1639</v>
      </c>
      <c r="AY74" s="1121">
        <v>3.8</v>
      </c>
      <c r="AZ74" s="1121"/>
      <c r="BA74" s="1121"/>
    </row>
    <row r="75" spans="1:56" ht="15.75" customHeight="1">
      <c r="A75" s="340"/>
      <c r="B75" s="287"/>
      <c r="C75" s="288"/>
      <c r="D75" s="1121"/>
      <c r="E75" s="1121"/>
      <c r="F75" s="289"/>
      <c r="G75" s="292">
        <v>41</v>
      </c>
      <c r="H75" s="291"/>
      <c r="I75" s="294">
        <f>SUM(G75:G87)</f>
        <v>215.8</v>
      </c>
      <c r="J75" s="288">
        <f>C74+7.5</f>
        <v>23261.499999999996</v>
      </c>
      <c r="K75" s="1121" t="s">
        <v>658</v>
      </c>
      <c r="L75" s="1121"/>
      <c r="M75" s="1121"/>
      <c r="N75" s="1121"/>
      <c r="O75" s="1121"/>
      <c r="P75" s="1121"/>
      <c r="Q75" s="1121"/>
      <c r="R75" s="1121"/>
      <c r="S75" s="1121">
        <v>40.879999999997381</v>
      </c>
      <c r="T75" s="1121"/>
      <c r="U75" s="1121"/>
      <c r="V75" s="1121"/>
      <c r="W75" s="1121"/>
      <c r="X75" s="1121"/>
      <c r="Y75" s="1121"/>
      <c r="Z75" s="1121"/>
      <c r="AA75" s="1121"/>
      <c r="AB75" s="1121"/>
      <c r="AC75" s="1121"/>
      <c r="AD75" s="1121"/>
      <c r="AE75" s="1121"/>
      <c r="AF75" s="1121"/>
      <c r="AG75" s="288"/>
      <c r="AH75" s="1121"/>
      <c r="AI75" s="1121"/>
      <c r="AJ75" s="1121"/>
      <c r="AK75" s="1121"/>
      <c r="AL75" s="1121"/>
      <c r="AM75" s="1121"/>
      <c r="AN75" s="1121"/>
      <c r="AO75" s="1121"/>
      <c r="AP75" s="1121"/>
      <c r="AQ75" s="1121">
        <f>+FL_2($T$76,$T$74,$G$75,1200,9.28,-1*$F$76)</f>
        <v>-0.35865248517073173</v>
      </c>
      <c r="AR75" s="1121"/>
      <c r="AS75" s="1121"/>
      <c r="AT75" s="1121"/>
      <c r="AU75" s="1121"/>
      <c r="AV75" s="1121"/>
      <c r="AW75" s="1121" t="s">
        <v>2630</v>
      </c>
      <c r="AX75" s="1121" t="s">
        <v>1639</v>
      </c>
      <c r="AY75" s="1121"/>
      <c r="AZ75" s="1121">
        <v>2.5</v>
      </c>
      <c r="BA75" s="1025" t="s">
        <v>3012</v>
      </c>
    </row>
    <row r="76" spans="1:56" ht="15.75" customHeight="1">
      <c r="A76" s="340"/>
      <c r="B76" s="287" t="s">
        <v>2491</v>
      </c>
      <c r="C76" s="288">
        <f>C74+G75</f>
        <v>23294.999999999996</v>
      </c>
      <c r="D76" s="1121"/>
      <c r="E76" s="1121"/>
      <c r="F76" s="315"/>
      <c r="G76" s="292"/>
      <c r="H76" s="291" t="s">
        <v>651</v>
      </c>
      <c r="I76" s="294"/>
      <c r="J76" s="288"/>
      <c r="K76" s="1121"/>
      <c r="L76" s="1121" t="s">
        <v>882</v>
      </c>
      <c r="M76" s="1121" t="s">
        <v>2675</v>
      </c>
      <c r="N76" s="1121" t="s">
        <v>140</v>
      </c>
      <c r="O76" s="1121" t="s">
        <v>144</v>
      </c>
      <c r="P76" s="1121"/>
      <c r="Q76" s="1121">
        <v>0</v>
      </c>
      <c r="R76" s="1121">
        <v>1000</v>
      </c>
      <c r="S76" s="1121"/>
      <c r="T76" s="1121">
        <v>15</v>
      </c>
      <c r="U76" s="1121">
        <v>-5</v>
      </c>
      <c r="V76" s="1121"/>
      <c r="W76" s="1121">
        <v>1.4</v>
      </c>
      <c r="X76" s="1121">
        <v>2.2999999999999998</v>
      </c>
      <c r="Y76" s="1121"/>
      <c r="Z76" s="1121">
        <v>0.5</v>
      </c>
      <c r="AA76" s="1121"/>
      <c r="AB76" s="1121"/>
      <c r="AC76" s="1121"/>
      <c r="AD76" s="1121" t="s">
        <v>1704</v>
      </c>
      <c r="AE76" s="1121"/>
      <c r="AF76" s="1121">
        <v>6000</v>
      </c>
      <c r="AG76" s="288">
        <v>23294.46</v>
      </c>
      <c r="AH76" s="1121">
        <v>2526</v>
      </c>
      <c r="AI76" s="1121">
        <v>510.00000000000227</v>
      </c>
      <c r="AJ76" s="1121"/>
      <c r="AK76" s="1121"/>
      <c r="AL76" s="1121" t="s">
        <v>898</v>
      </c>
      <c r="AM76" s="1121" t="s">
        <v>1228</v>
      </c>
      <c r="AN76" s="1121">
        <v>5.5</v>
      </c>
      <c r="AO76" s="1121"/>
      <c r="AP76" s="1121"/>
      <c r="AQ76" s="1121"/>
      <c r="AR76" s="1121"/>
      <c r="AS76" s="1121"/>
      <c r="AT76" s="1121">
        <f>+ab($T$76,$T$74,$T$78,$G$75,$G$77,-1*$F$76,1200)</f>
        <v>8.8257360727992591</v>
      </c>
      <c r="AU76" s="1121"/>
      <c r="AV76" s="1121"/>
      <c r="AW76" s="315" t="s">
        <v>2630</v>
      </c>
      <c r="AX76" s="315" t="s">
        <v>1639</v>
      </c>
      <c r="AY76" s="1121">
        <v>3.8</v>
      </c>
      <c r="AZ76" s="1121"/>
      <c r="BA76" s="1121"/>
    </row>
    <row r="77" spans="1:56" ht="15.75" customHeight="1">
      <c r="A77" s="340"/>
      <c r="B77" s="287"/>
      <c r="C77" s="288"/>
      <c r="D77" s="1121"/>
      <c r="E77" s="1121"/>
      <c r="F77" s="315"/>
      <c r="G77" s="292">
        <v>32</v>
      </c>
      <c r="H77" s="291"/>
      <c r="I77" s="294"/>
      <c r="J77" s="288"/>
      <c r="K77" s="1121"/>
      <c r="L77" s="1121"/>
      <c r="M77" s="1121"/>
      <c r="N77" s="1121"/>
      <c r="O77" s="1121"/>
      <c r="P77" s="1121"/>
      <c r="Q77" s="1121"/>
      <c r="R77" s="1121"/>
      <c r="S77" s="1121">
        <v>32.180000000000291</v>
      </c>
      <c r="T77" s="1121"/>
      <c r="U77" s="1121"/>
      <c r="V77" s="1121"/>
      <c r="W77" s="1121"/>
      <c r="X77" s="1121"/>
      <c r="Y77" s="1121"/>
      <c r="Z77" s="1121"/>
      <c r="AA77" s="1121"/>
      <c r="AB77" s="1121"/>
      <c r="AC77" s="1121"/>
      <c r="AD77" s="1121"/>
      <c r="AE77" s="1121"/>
      <c r="AF77" s="1121"/>
      <c r="AG77" s="288"/>
      <c r="AH77" s="1121"/>
      <c r="AI77" s="1121"/>
      <c r="AJ77" s="1121"/>
      <c r="AK77" s="1121"/>
      <c r="AL77" s="1121"/>
      <c r="AM77" s="1121"/>
      <c r="AN77" s="1121"/>
      <c r="AO77" s="1121"/>
      <c r="AP77" s="1121"/>
      <c r="AQ77" s="1121">
        <f>+FL_2($T$78,$U$76,$G$77,1200,9.28,-1*$F$78)</f>
        <v>-0.205300648</v>
      </c>
      <c r="AR77" s="1121"/>
      <c r="AS77" s="1121"/>
      <c r="AT77" s="1121"/>
      <c r="AU77" s="1121"/>
      <c r="AV77" s="1121"/>
      <c r="AW77" s="1121"/>
      <c r="AX77" s="1121"/>
      <c r="AY77" s="1121" t="s">
        <v>695</v>
      </c>
      <c r="AZ77" s="1121"/>
      <c r="BA77" s="1121"/>
    </row>
    <row r="78" spans="1:56" ht="15.75" customHeight="1">
      <c r="A78" s="340"/>
      <c r="B78" s="287" t="s">
        <v>2492</v>
      </c>
      <c r="C78" s="288">
        <f>C76+G77</f>
        <v>23326.999999999996</v>
      </c>
      <c r="D78" s="1121"/>
      <c r="E78" s="1121"/>
      <c r="F78" s="315"/>
      <c r="G78" s="292"/>
      <c r="H78" s="291" t="s">
        <v>651</v>
      </c>
      <c r="I78" s="294"/>
      <c r="J78" s="288"/>
      <c r="K78" s="1121"/>
      <c r="L78" s="1121" t="s">
        <v>880</v>
      </c>
      <c r="M78" s="1121" t="s">
        <v>2676</v>
      </c>
      <c r="N78" s="1121" t="s">
        <v>140</v>
      </c>
      <c r="O78" s="1121" t="s">
        <v>144</v>
      </c>
      <c r="P78" s="1121"/>
      <c r="Q78" s="1121">
        <v>0</v>
      </c>
      <c r="R78" s="1121">
        <v>700</v>
      </c>
      <c r="S78" s="1121"/>
      <c r="T78" s="1121">
        <v>-15</v>
      </c>
      <c r="U78" s="1121">
        <v>-30</v>
      </c>
      <c r="V78" s="1121"/>
      <c r="W78" s="1121">
        <v>1.4</v>
      </c>
      <c r="X78" s="1121">
        <v>2.2999999999999998</v>
      </c>
      <c r="Y78" s="1121"/>
      <c r="Z78" s="1121">
        <v>0.45</v>
      </c>
      <c r="AA78" s="1121"/>
      <c r="AB78" s="1121"/>
      <c r="AC78" s="1121"/>
      <c r="AD78" s="1121" t="s">
        <v>2995</v>
      </c>
      <c r="AE78" s="1121"/>
      <c r="AF78" s="1121">
        <v>6000</v>
      </c>
      <c r="AG78" s="288">
        <v>23326.639999999999</v>
      </c>
      <c r="AH78" s="1121">
        <v>2549</v>
      </c>
      <c r="AI78" s="1121">
        <v>649.00000000001228</v>
      </c>
      <c r="AJ78" s="1121"/>
      <c r="AK78" s="1121"/>
      <c r="AL78" s="1121" t="s">
        <v>897</v>
      </c>
      <c r="AM78" s="1121" t="s">
        <v>1228</v>
      </c>
      <c r="AN78" s="1121">
        <v>5.5</v>
      </c>
      <c r="AO78" s="1121"/>
      <c r="AP78" s="1121"/>
      <c r="AQ78" s="1121"/>
      <c r="AR78" s="1121"/>
      <c r="AS78" s="1121"/>
      <c r="AT78" s="1121">
        <f>+ab($T$78,$T$76,$T$80,$G$77,$G$79,-1*$F$78,1200)</f>
        <v>-19.65899490574969</v>
      </c>
      <c r="AU78" s="1121"/>
      <c r="AV78" s="1121"/>
      <c r="AW78" s="315" t="s">
        <v>2630</v>
      </c>
      <c r="AX78" s="315" t="s">
        <v>1639</v>
      </c>
      <c r="AY78" s="1121">
        <v>3.3</v>
      </c>
      <c r="AZ78" s="1121"/>
      <c r="BA78" s="1121"/>
      <c r="BC78" s="312"/>
    </row>
    <row r="79" spans="1:56" ht="15.75" customHeight="1">
      <c r="A79" s="340"/>
      <c r="B79" s="287"/>
      <c r="C79" s="288"/>
      <c r="D79" s="1121"/>
      <c r="E79" s="1121"/>
      <c r="F79" s="315"/>
      <c r="G79" s="292">
        <v>24.7</v>
      </c>
      <c r="H79" s="291"/>
      <c r="I79" s="294"/>
      <c r="J79" s="288">
        <f>C80-7.5</f>
        <v>23344.199999999997</v>
      </c>
      <c r="K79" s="1121" t="s">
        <v>653</v>
      </c>
      <c r="L79" s="1121"/>
      <c r="M79" s="1121"/>
      <c r="N79" s="1121"/>
      <c r="O79" s="1121"/>
      <c r="P79" s="1121"/>
      <c r="Q79" s="1121"/>
      <c r="R79" s="1121"/>
      <c r="S79" s="1121">
        <v>24.569999999999709</v>
      </c>
      <c r="T79" s="1121"/>
      <c r="U79" s="1121"/>
      <c r="V79" s="1121"/>
      <c r="W79" s="1121"/>
      <c r="X79" s="1121"/>
      <c r="Y79" s="1121"/>
      <c r="Z79" s="1121"/>
      <c r="AA79" s="1121"/>
      <c r="AB79" s="1121"/>
      <c r="AC79" s="1121"/>
      <c r="AD79" s="1121"/>
      <c r="AE79" s="1121"/>
      <c r="AF79" s="1121"/>
      <c r="AG79" s="288"/>
      <c r="AH79" s="1121"/>
      <c r="AI79" s="1121"/>
      <c r="AJ79" s="1121"/>
      <c r="AK79" s="1121"/>
      <c r="AL79" s="1121"/>
      <c r="AM79" s="1121"/>
      <c r="AN79" s="1121"/>
      <c r="AO79" s="1121"/>
      <c r="AP79" s="1121"/>
      <c r="AQ79" s="1121">
        <f>+FL_1($T$80,$T$78,$G$79,1200,9.28,-1*$F$80)</f>
        <v>-9.1024633333333341E-2</v>
      </c>
      <c r="AR79" s="1121"/>
      <c r="AS79" s="1121"/>
      <c r="AT79" s="1121"/>
      <c r="AU79" s="1121"/>
      <c r="AV79" s="1121"/>
      <c r="AW79" s="1121" t="s">
        <v>2630</v>
      </c>
      <c r="AX79" s="1121" t="s">
        <v>1639</v>
      </c>
      <c r="AY79" s="1121"/>
      <c r="AZ79" s="1121">
        <v>2.5</v>
      </c>
      <c r="BA79" s="1121"/>
      <c r="BC79" s="312"/>
    </row>
    <row r="80" spans="1:56" ht="15.75" customHeight="1">
      <c r="A80" s="340"/>
      <c r="B80" s="287" t="s">
        <v>2493</v>
      </c>
      <c r="C80" s="288">
        <f>C78+G79</f>
        <v>23351.699999999997</v>
      </c>
      <c r="D80" s="1121"/>
      <c r="E80" s="1121"/>
      <c r="F80" s="315"/>
      <c r="G80" s="292"/>
      <c r="H80" s="291" t="s">
        <v>3265</v>
      </c>
      <c r="I80" s="294" t="s">
        <v>657</v>
      </c>
      <c r="J80" s="288"/>
      <c r="K80" s="1121"/>
      <c r="L80" s="1121" t="s">
        <v>880</v>
      </c>
      <c r="M80" s="1121" t="s">
        <v>2676</v>
      </c>
      <c r="N80" s="1121" t="s">
        <v>145</v>
      </c>
      <c r="O80" s="1121" t="s">
        <v>144</v>
      </c>
      <c r="P80" s="1121"/>
      <c r="Q80" s="1121">
        <v>0</v>
      </c>
      <c r="R80" s="1121">
        <v>0</v>
      </c>
      <c r="S80" s="1121"/>
      <c r="T80" s="1121">
        <v>-15</v>
      </c>
      <c r="U80" s="1121">
        <v>-30</v>
      </c>
      <c r="V80" s="1121"/>
      <c r="W80" s="1121">
        <v>1.4</v>
      </c>
      <c r="X80" s="1121">
        <v>2.2999999999999998</v>
      </c>
      <c r="Y80" s="1121"/>
      <c r="Z80" s="1121"/>
      <c r="AA80" s="1121"/>
      <c r="AB80" s="1121"/>
      <c r="AC80" s="1121" t="s">
        <v>2968</v>
      </c>
      <c r="AD80" s="1121" t="s">
        <v>1710</v>
      </c>
      <c r="AE80" s="1121"/>
      <c r="AF80" s="1121">
        <v>6000</v>
      </c>
      <c r="AG80" s="288">
        <v>23351.21</v>
      </c>
      <c r="AH80" s="1121">
        <v>2482</v>
      </c>
      <c r="AI80" s="1121">
        <v>635.00000000000227</v>
      </c>
      <c r="AJ80" s="1121"/>
      <c r="AK80" s="1121"/>
      <c r="AL80" s="1121" t="s">
        <v>896</v>
      </c>
      <c r="AM80" s="1121" t="s">
        <v>1228</v>
      </c>
      <c r="AN80" s="1121">
        <v>5.5</v>
      </c>
      <c r="AO80" s="1121"/>
      <c r="AP80" s="1121"/>
      <c r="AQ80" s="1121"/>
      <c r="AR80" s="1121"/>
      <c r="AS80" s="1121"/>
      <c r="AT80" s="1121">
        <f>+ab($T$80,$T$78,$U$82,$G$79,$G$81,-1*$F$80,1200)</f>
        <v>-37.284916582566616</v>
      </c>
      <c r="AU80" s="1121"/>
      <c r="AV80" s="1121"/>
      <c r="AW80" s="315" t="s">
        <v>2630</v>
      </c>
      <c r="AX80" s="315" t="s">
        <v>1639</v>
      </c>
      <c r="AY80" s="1121">
        <v>3.3</v>
      </c>
      <c r="AZ80" s="1121"/>
      <c r="BA80" s="1121"/>
      <c r="BC80" s="312"/>
    </row>
    <row r="81" spans="1:55" ht="15.75" customHeight="1">
      <c r="A81" s="340"/>
      <c r="B81" s="287"/>
      <c r="C81" s="288"/>
      <c r="D81" s="1121"/>
      <c r="E81" s="1121"/>
      <c r="F81" s="315"/>
      <c r="G81" s="292">
        <v>34.1</v>
      </c>
      <c r="H81" s="291"/>
      <c r="I81" s="294">
        <f>23719-C80</f>
        <v>367.30000000000291</v>
      </c>
      <c r="J81" s="288"/>
      <c r="K81" s="1121"/>
      <c r="L81" s="1121"/>
      <c r="M81" s="1121"/>
      <c r="N81" s="1121"/>
      <c r="O81" s="1121"/>
      <c r="P81" s="1121"/>
      <c r="Q81" s="1121"/>
      <c r="R81" s="1121"/>
      <c r="S81" s="1121">
        <v>34.110000000000582</v>
      </c>
      <c r="T81" s="1121"/>
      <c r="U81" s="1121"/>
      <c r="V81" s="1121"/>
      <c r="W81" s="1121"/>
      <c r="X81" s="1121"/>
      <c r="Y81" s="1121"/>
      <c r="Z81" s="1121"/>
      <c r="AA81" s="1121"/>
      <c r="AB81" s="1121"/>
      <c r="AC81" s="1121"/>
      <c r="AD81" s="1121"/>
      <c r="AE81" s="1121"/>
      <c r="AF81" s="1121"/>
      <c r="AG81" s="288"/>
      <c r="AH81" s="1121"/>
      <c r="AI81" s="1121"/>
      <c r="AJ81" s="1121"/>
      <c r="AK81" s="1121"/>
      <c r="AL81" s="1121"/>
      <c r="AM81" s="1121"/>
      <c r="AN81" s="1121"/>
      <c r="AO81" s="1121"/>
      <c r="AP81" s="1121"/>
      <c r="AQ81" s="1121">
        <f>+FL_1($U$82,$T$80,$G$81,1200,9.28,-1*$F$82)</f>
        <v>4.9915533513196483E-2</v>
      </c>
      <c r="AR81" s="1121"/>
      <c r="AS81" s="1121"/>
      <c r="AT81" s="1121"/>
      <c r="AU81" s="1121"/>
      <c r="AV81" s="1121"/>
      <c r="AW81" s="1121"/>
      <c r="AX81" s="1121"/>
      <c r="AY81" s="1121" t="s">
        <v>695</v>
      </c>
      <c r="AZ81" s="1121"/>
      <c r="BA81" s="1121"/>
      <c r="BC81" s="312"/>
    </row>
    <row r="82" spans="1:55" ht="15.75" customHeight="1">
      <c r="A82" s="340"/>
      <c r="B82" s="287" t="s">
        <v>2494</v>
      </c>
      <c r="C82" s="288">
        <f>C80+G81</f>
        <v>23385.799999999996</v>
      </c>
      <c r="D82" s="1121"/>
      <c r="E82" s="1121"/>
      <c r="F82" s="315"/>
      <c r="G82" s="292"/>
      <c r="H82" s="291"/>
      <c r="I82" s="294"/>
      <c r="J82" s="288"/>
      <c r="K82" s="1121"/>
      <c r="L82" s="1121" t="s">
        <v>882</v>
      </c>
      <c r="M82" s="1121" t="s">
        <v>2675</v>
      </c>
      <c r="N82" s="1121" t="s">
        <v>144</v>
      </c>
      <c r="O82" s="1121"/>
      <c r="P82" s="1121"/>
      <c r="Q82" s="1121">
        <v>0</v>
      </c>
      <c r="R82" s="1121">
        <v>0</v>
      </c>
      <c r="S82" s="1121"/>
      <c r="T82" s="241">
        <v>-30</v>
      </c>
      <c r="U82" s="1121"/>
      <c r="V82" s="1121"/>
      <c r="W82" s="1121">
        <v>1.4</v>
      </c>
      <c r="X82" s="1121"/>
      <c r="Y82" s="1121"/>
      <c r="Z82" s="1121"/>
      <c r="AA82" s="1121"/>
      <c r="AB82" s="1121"/>
      <c r="AC82" s="1121" t="s">
        <v>1704</v>
      </c>
      <c r="AD82" s="1121"/>
      <c r="AE82" s="1121"/>
      <c r="AF82" s="1121">
        <v>6000</v>
      </c>
      <c r="AG82" s="288">
        <v>23385.32</v>
      </c>
      <c r="AH82" s="1121">
        <v>2452</v>
      </c>
      <c r="AI82" s="1121">
        <v>697.99999999999045</v>
      </c>
      <c r="AJ82" s="1121"/>
      <c r="AK82" s="1121"/>
      <c r="AL82" s="1121" t="s">
        <v>2518</v>
      </c>
      <c r="AM82" s="1121" t="s">
        <v>1228</v>
      </c>
      <c r="AN82" s="1121">
        <v>5.5</v>
      </c>
      <c r="AO82" s="1121"/>
      <c r="AP82" s="1121"/>
      <c r="AQ82" s="1121"/>
      <c r="AR82" s="1121"/>
      <c r="AS82" s="1121"/>
      <c r="AT82" s="1121">
        <f>+ab($T$84,$T$82,$T$86,$G$79,$G$81,-1*$F$80,1200)</f>
        <v>-15.245715690059997</v>
      </c>
      <c r="AU82" s="1121"/>
      <c r="AV82" s="1121"/>
      <c r="AW82" s="315" t="s">
        <v>2630</v>
      </c>
      <c r="AX82" s="315" t="s">
        <v>1639</v>
      </c>
      <c r="AY82" s="1121">
        <v>3.8</v>
      </c>
      <c r="AZ82" s="1121"/>
      <c r="BA82" s="1121"/>
      <c r="BC82" s="312"/>
    </row>
    <row r="83" spans="1:55" ht="15.75" customHeight="1">
      <c r="A83" s="340"/>
      <c r="B83" s="287"/>
      <c r="C83" s="288"/>
      <c r="D83" s="1121"/>
      <c r="E83" s="1121"/>
      <c r="F83" s="315"/>
      <c r="G83" s="292">
        <v>24.1</v>
      </c>
      <c r="H83" s="291"/>
      <c r="I83" s="294"/>
      <c r="J83" s="288"/>
      <c r="K83" s="1121"/>
      <c r="L83" s="1121"/>
      <c r="M83" s="1121"/>
      <c r="N83" s="1121"/>
      <c r="O83" s="1121"/>
      <c r="P83" s="1121"/>
      <c r="Q83" s="1121"/>
      <c r="R83" s="1121"/>
      <c r="S83" s="1121">
        <v>26.170000000001892</v>
      </c>
      <c r="T83" s="1121"/>
      <c r="U83" s="1121"/>
      <c r="V83" s="1121"/>
      <c r="W83" s="1121"/>
      <c r="X83" s="1121"/>
      <c r="Y83" s="1121"/>
      <c r="Z83" s="1121"/>
      <c r="AA83" s="1121"/>
      <c r="AB83" s="1121"/>
      <c r="AC83" s="1121"/>
      <c r="AD83" s="1121"/>
      <c r="AE83" s="1121"/>
      <c r="AF83" s="1121"/>
      <c r="AG83" s="288"/>
      <c r="AH83" s="1121"/>
      <c r="AI83" s="1121"/>
      <c r="AJ83" s="1121"/>
      <c r="AK83" s="1121"/>
      <c r="AL83" s="1121"/>
      <c r="AM83" s="1121"/>
      <c r="AN83" s="1121"/>
      <c r="AO83" s="1121"/>
      <c r="AP83" s="1121"/>
      <c r="AQ83" s="1121">
        <f>+FL_1($T$84,$T$82,$G$81,1200,9.28,-1*$F$82)</f>
        <v>-0.2112049762463343</v>
      </c>
      <c r="AR83" s="1121"/>
      <c r="AS83" s="1121"/>
      <c r="AT83" s="1121"/>
      <c r="AU83" s="1121"/>
      <c r="AV83" s="1121"/>
      <c r="AW83" s="1121"/>
      <c r="AX83" s="1121"/>
      <c r="AY83" s="1121" t="s">
        <v>695</v>
      </c>
      <c r="AZ83" s="1121"/>
      <c r="BA83" s="1121"/>
      <c r="BC83" s="312"/>
    </row>
    <row r="84" spans="1:55" ht="15.75" customHeight="1">
      <c r="A84" s="340"/>
      <c r="B84" s="287" t="s">
        <v>2495</v>
      </c>
      <c r="C84" s="288">
        <f>C82+G83</f>
        <v>23409.899999999994</v>
      </c>
      <c r="D84" s="1121"/>
      <c r="E84" s="1121"/>
      <c r="F84" s="315"/>
      <c r="G84" s="292"/>
      <c r="H84" s="291"/>
      <c r="I84" s="294"/>
      <c r="J84" s="288"/>
      <c r="K84" s="1121"/>
      <c r="L84" s="1121" t="s">
        <v>882</v>
      </c>
      <c r="M84" s="1121" t="s">
        <v>2675</v>
      </c>
      <c r="N84" s="1121" t="s">
        <v>144</v>
      </c>
      <c r="O84" s="1121"/>
      <c r="P84" s="1121"/>
      <c r="Q84" s="1121">
        <v>0</v>
      </c>
      <c r="R84" s="1121">
        <v>0</v>
      </c>
      <c r="S84" s="1121"/>
      <c r="T84" s="1121">
        <v>-35</v>
      </c>
      <c r="U84" s="1121"/>
      <c r="V84" s="1121"/>
      <c r="W84" s="1121">
        <v>1.4</v>
      </c>
      <c r="X84" s="1121"/>
      <c r="Y84" s="1121"/>
      <c r="Z84" s="1121"/>
      <c r="AA84" s="1121"/>
      <c r="AB84" s="1121"/>
      <c r="AC84" s="1121" t="s">
        <v>2995</v>
      </c>
      <c r="AD84" s="1121"/>
      <c r="AE84" s="1121"/>
      <c r="AF84" s="1121">
        <v>6000</v>
      </c>
      <c r="AG84" s="288">
        <v>23411.49</v>
      </c>
      <c r="AH84" s="1121">
        <v>2460</v>
      </c>
      <c r="AI84" s="1121">
        <v>517.99999999998363</v>
      </c>
      <c r="AJ84" s="1121"/>
      <c r="AK84" s="1121"/>
      <c r="AL84" s="1121" t="s">
        <v>2517</v>
      </c>
      <c r="AM84" s="1121" t="s">
        <v>1228</v>
      </c>
      <c r="AN84" s="1121">
        <v>5.5</v>
      </c>
      <c r="AO84" s="1121"/>
      <c r="AP84" s="1121"/>
      <c r="AQ84" s="1121"/>
      <c r="AR84" s="1121"/>
      <c r="AS84" s="1121"/>
      <c r="AT84" s="1121"/>
      <c r="AU84" s="1121"/>
      <c r="AV84" s="1121"/>
      <c r="AW84" s="315" t="s">
        <v>2630</v>
      </c>
      <c r="AX84" s="315" t="s">
        <v>1639</v>
      </c>
      <c r="AY84" s="1121">
        <v>3.8</v>
      </c>
      <c r="AZ84" s="1121"/>
      <c r="BA84" s="1121"/>
      <c r="BC84" s="312"/>
    </row>
    <row r="85" spans="1:55" ht="15.75" customHeight="1">
      <c r="A85" s="340"/>
      <c r="B85" s="287"/>
      <c r="C85" s="288"/>
      <c r="D85" s="1121"/>
      <c r="E85" s="1121"/>
      <c r="F85" s="315"/>
      <c r="G85" s="292">
        <v>28.1</v>
      </c>
      <c r="H85" s="291"/>
      <c r="I85" s="294"/>
      <c r="J85" s="288"/>
      <c r="K85" s="1121"/>
      <c r="L85" s="1121"/>
      <c r="M85" s="1121"/>
      <c r="N85" s="1121"/>
      <c r="O85" s="1121"/>
      <c r="P85" s="1121"/>
      <c r="Q85" s="1121"/>
      <c r="R85" s="1121"/>
      <c r="S85" s="1121">
        <v>8.7899999999972351</v>
      </c>
      <c r="T85" s="1121"/>
      <c r="U85" s="1121"/>
      <c r="V85" s="1121"/>
      <c r="W85" s="1121"/>
      <c r="X85" s="1121"/>
      <c r="Y85" s="1121"/>
      <c r="Z85" s="1121"/>
      <c r="AA85" s="1121"/>
      <c r="AB85" s="1121"/>
      <c r="AC85" s="1121"/>
      <c r="AD85" s="1121"/>
      <c r="AE85" s="1121"/>
      <c r="AF85" s="1121"/>
      <c r="AG85" s="288"/>
      <c r="AH85" s="1121"/>
      <c r="AI85" s="1121"/>
      <c r="AJ85" s="1121"/>
      <c r="AK85" s="1121"/>
      <c r="AL85" s="1121"/>
      <c r="AM85" s="1121"/>
      <c r="AN85" s="1121"/>
      <c r="AO85" s="1121"/>
      <c r="AP85" s="1121"/>
      <c r="AQ85" s="1121"/>
      <c r="AR85" s="1121"/>
      <c r="AS85" s="1121"/>
      <c r="AT85" s="1121"/>
      <c r="AU85" s="1121"/>
      <c r="AV85" s="1121"/>
      <c r="AW85" s="1121"/>
      <c r="AX85" s="1121"/>
      <c r="AY85" s="1121"/>
      <c r="AZ85" s="1121"/>
      <c r="BA85" s="1121"/>
      <c r="BC85" s="312"/>
    </row>
    <row r="86" spans="1:55" ht="15.75" customHeight="1">
      <c r="A86" s="340"/>
      <c r="B86" s="287" t="s">
        <v>2580</v>
      </c>
      <c r="C86" s="288">
        <f>C84+G85</f>
        <v>23437.999999999993</v>
      </c>
      <c r="D86" s="1121"/>
      <c r="E86" s="1121"/>
      <c r="F86" s="289"/>
      <c r="G86" s="292"/>
      <c r="H86" s="291"/>
      <c r="I86" s="294" t="s">
        <v>1223</v>
      </c>
      <c r="J86" s="288">
        <f>C86+7.5</f>
        <v>23445.499999999993</v>
      </c>
      <c r="K86" s="1121" t="s">
        <v>658</v>
      </c>
      <c r="L86" s="1121" t="s">
        <v>2515</v>
      </c>
      <c r="M86" s="1121" t="s">
        <v>2788</v>
      </c>
      <c r="N86" s="1121"/>
      <c r="O86" s="1121"/>
      <c r="P86" s="1121"/>
      <c r="Q86" s="1121"/>
      <c r="R86" s="1121"/>
      <c r="S86" s="1121"/>
      <c r="T86" s="1121"/>
      <c r="U86" s="1121"/>
      <c r="V86" s="1121"/>
      <c r="W86" s="1121"/>
      <c r="X86" s="1121"/>
      <c r="Y86" s="1121"/>
      <c r="Z86" s="1121"/>
      <c r="AA86" s="1121"/>
      <c r="AB86" s="1121"/>
      <c r="AC86" s="1121"/>
      <c r="AD86" s="1121"/>
      <c r="AE86" s="1121"/>
      <c r="AF86" s="1121"/>
      <c r="AG86" s="288"/>
      <c r="AH86" s="1121"/>
      <c r="AI86" s="1121"/>
      <c r="AJ86" s="1121"/>
      <c r="AK86" s="1121"/>
      <c r="AL86" s="1121" t="s">
        <v>894</v>
      </c>
      <c r="AM86" s="1121" t="s">
        <v>1228</v>
      </c>
      <c r="AN86" s="1121">
        <v>5.5</v>
      </c>
      <c r="AO86" s="1121"/>
      <c r="AP86" s="1121"/>
      <c r="AQ86" s="1121"/>
      <c r="AR86" s="1121"/>
      <c r="AS86" s="1121"/>
      <c r="AT86" s="1121" t="e">
        <f>+ab($T$86,#REF!,$T$88,#REF!,$G$87,-1*$F$86,1200)</f>
        <v>#VALUE!</v>
      </c>
      <c r="AU86" s="1121"/>
      <c r="AV86" s="1121"/>
      <c r="AW86" s="315" t="s">
        <v>2630</v>
      </c>
      <c r="AX86" s="315" t="s">
        <v>1639</v>
      </c>
      <c r="AY86" s="1121">
        <v>5.5</v>
      </c>
      <c r="AZ86" s="1121">
        <v>2.5</v>
      </c>
      <c r="BA86" s="1121"/>
      <c r="BC86" s="312"/>
    </row>
    <row r="87" spans="1:55" ht="15.75" customHeight="1">
      <c r="A87" s="340"/>
      <c r="B87" s="287"/>
      <c r="C87" s="288"/>
      <c r="D87" s="1121"/>
      <c r="E87" s="1121"/>
      <c r="F87" s="289"/>
      <c r="G87" s="292">
        <v>31.8</v>
      </c>
      <c r="H87" s="291"/>
      <c r="I87" s="294" t="s">
        <v>2668</v>
      </c>
      <c r="J87" s="288">
        <f>C86+9.5</f>
        <v>23447.499999999993</v>
      </c>
      <c r="K87" s="1121" t="s">
        <v>658</v>
      </c>
      <c r="L87" s="1121"/>
      <c r="M87" s="1121"/>
      <c r="N87" s="1121"/>
      <c r="O87" s="1121"/>
      <c r="P87" s="1121"/>
      <c r="Q87" s="1121"/>
      <c r="R87" s="1121"/>
      <c r="S87" s="1121"/>
      <c r="T87" s="1121"/>
      <c r="U87" s="1121"/>
      <c r="V87" s="1121"/>
      <c r="W87" s="1121"/>
      <c r="X87" s="1121"/>
      <c r="Y87" s="1121"/>
      <c r="Z87" s="1121"/>
      <c r="AA87" s="1121"/>
      <c r="AB87" s="1121"/>
      <c r="AC87" s="1121"/>
      <c r="AD87" s="1121"/>
      <c r="AE87" s="1121"/>
      <c r="AF87" s="1121"/>
      <c r="AG87" s="1121"/>
      <c r="AH87" s="1121"/>
      <c r="AI87" s="1121"/>
      <c r="AJ87" s="1121"/>
      <c r="AK87" s="1121"/>
      <c r="AL87" s="1121"/>
      <c r="AM87" s="1121"/>
      <c r="AN87" s="1121"/>
      <c r="AO87" s="1121"/>
      <c r="AP87" s="1121"/>
      <c r="AQ87" s="1121"/>
      <c r="AR87" s="1121"/>
      <c r="AS87" s="1121"/>
      <c r="AT87" s="1121"/>
      <c r="AU87" s="1121"/>
      <c r="AV87" s="1121"/>
      <c r="AW87" s="1121" t="s">
        <v>2630</v>
      </c>
      <c r="AX87" s="1121" t="s">
        <v>1639</v>
      </c>
      <c r="AY87" s="1121"/>
      <c r="AZ87" s="1121">
        <v>2.5</v>
      </c>
      <c r="BA87" s="1121"/>
      <c r="BC87" s="312"/>
    </row>
    <row r="88" spans="1:55" ht="15.75" customHeight="1">
      <c r="A88" s="340"/>
      <c r="B88" s="287" t="s">
        <v>2541</v>
      </c>
      <c r="C88" s="288">
        <f>C86+G87</f>
        <v>23469.799999999992</v>
      </c>
      <c r="D88" s="1121"/>
      <c r="E88" s="1121"/>
      <c r="F88" s="289"/>
      <c r="G88" s="292"/>
      <c r="H88" s="291" t="s">
        <v>3262</v>
      </c>
      <c r="I88" s="294" t="s">
        <v>656</v>
      </c>
      <c r="J88" s="288"/>
      <c r="K88" s="1121"/>
      <c r="L88" s="1121" t="s">
        <v>1061</v>
      </c>
      <c r="M88" s="1121" t="s">
        <v>2672</v>
      </c>
      <c r="N88" s="1121"/>
      <c r="O88" s="1121"/>
      <c r="P88" s="1121"/>
      <c r="Q88" s="1121"/>
      <c r="R88" s="1121"/>
      <c r="S88" s="1121"/>
      <c r="T88" s="1121"/>
      <c r="U88" s="1121"/>
      <c r="V88" s="1121"/>
      <c r="W88" s="1121"/>
      <c r="X88" s="1121"/>
      <c r="Y88" s="1121"/>
      <c r="Z88" s="1121"/>
      <c r="AA88" s="1121"/>
      <c r="AB88" s="1121"/>
      <c r="AC88" s="1121"/>
      <c r="AD88" s="1121"/>
      <c r="AE88" s="1121"/>
      <c r="AF88" s="1121"/>
      <c r="AG88" s="1121"/>
      <c r="AH88" s="1121"/>
      <c r="AI88" s="1121"/>
      <c r="AJ88" s="1121"/>
      <c r="AK88" s="1121"/>
      <c r="AL88" s="1121"/>
      <c r="AM88" s="1121" t="s">
        <v>2593</v>
      </c>
      <c r="AN88" s="1121"/>
      <c r="AO88" s="1121"/>
      <c r="AP88" s="1121"/>
      <c r="AQ88" s="1121"/>
      <c r="AR88" s="1121"/>
      <c r="AS88" s="1121"/>
      <c r="AT88" s="1121"/>
      <c r="AU88" s="1121"/>
      <c r="AV88" s="1121"/>
      <c r="AW88" s="315" t="s">
        <v>2630</v>
      </c>
      <c r="AX88" s="315" t="s">
        <v>1639</v>
      </c>
      <c r="AY88" s="1121">
        <v>3.4</v>
      </c>
      <c r="AZ88" s="1121"/>
      <c r="BA88" s="1121"/>
      <c r="BC88" s="312"/>
    </row>
    <row r="89" spans="1:55" ht="15.75" customHeight="1">
      <c r="A89" s="340"/>
      <c r="B89" s="287"/>
      <c r="C89" s="288"/>
      <c r="D89" s="1121"/>
      <c r="E89" s="1121"/>
      <c r="F89" s="289"/>
      <c r="G89" s="292"/>
      <c r="H89" s="291"/>
      <c r="I89" s="294"/>
      <c r="J89" s="288">
        <f>C88+7.5</f>
        <v>23477.299999999992</v>
      </c>
      <c r="K89" s="1121" t="s">
        <v>653</v>
      </c>
      <c r="L89" s="1121"/>
      <c r="M89" s="1121"/>
      <c r="N89" s="1121"/>
      <c r="O89" s="1121"/>
      <c r="P89" s="1121"/>
      <c r="Q89" s="1121"/>
      <c r="R89" s="1121"/>
      <c r="S89" s="1121"/>
      <c r="T89" s="1121"/>
      <c r="U89" s="1121"/>
      <c r="V89" s="1121"/>
      <c r="W89" s="1121"/>
      <c r="X89" s="1121"/>
      <c r="Y89" s="1121"/>
      <c r="Z89" s="1121"/>
      <c r="AA89" s="1121"/>
      <c r="AB89" s="1121"/>
      <c r="AC89" s="1121"/>
      <c r="AD89" s="1121"/>
      <c r="AE89" s="1121"/>
      <c r="AF89" s="1121"/>
      <c r="AG89" s="1121"/>
      <c r="AH89" s="1121"/>
      <c r="AI89" s="1121"/>
      <c r="AJ89" s="1121"/>
      <c r="AK89" s="1121"/>
      <c r="AL89" s="1121"/>
      <c r="AM89" s="1121"/>
      <c r="AN89" s="1121"/>
      <c r="AO89" s="1121"/>
      <c r="AP89" s="1121"/>
      <c r="AQ89" s="1121"/>
      <c r="AR89" s="1121"/>
      <c r="AS89" s="1121"/>
      <c r="AT89" s="1121"/>
      <c r="AU89" s="1121"/>
      <c r="AV89" s="1121"/>
      <c r="AW89" s="1121" t="s">
        <v>2630</v>
      </c>
      <c r="AX89" s="1121" t="s">
        <v>1639</v>
      </c>
      <c r="AY89" s="1121"/>
      <c r="AZ89" s="1121">
        <v>2.5</v>
      </c>
      <c r="BA89" s="1121"/>
      <c r="BC89" s="312"/>
    </row>
    <row r="90" spans="1:55" ht="15.75" customHeight="1">
      <c r="A90" s="340"/>
      <c r="B90" s="287"/>
      <c r="C90" s="288"/>
      <c r="D90" s="1121"/>
      <c r="E90" s="1121"/>
      <c r="F90" s="289"/>
      <c r="G90" s="292"/>
      <c r="H90" s="291" t="s">
        <v>138</v>
      </c>
      <c r="I90" s="294"/>
      <c r="J90" s="288"/>
      <c r="K90" s="1121"/>
      <c r="L90" s="1121"/>
      <c r="M90" s="1121"/>
      <c r="N90" s="1121"/>
      <c r="O90" s="1121"/>
      <c r="P90" s="1121"/>
      <c r="Q90" s="1121"/>
      <c r="R90" s="1121"/>
      <c r="S90" s="1121"/>
      <c r="T90" s="1121"/>
      <c r="U90" s="1121"/>
      <c r="V90" s="1121"/>
      <c r="W90" s="1121"/>
      <c r="X90" s="1121"/>
      <c r="Y90" s="1121"/>
      <c r="Z90" s="1121"/>
      <c r="AA90" s="1121"/>
      <c r="AB90" s="1121"/>
      <c r="AC90" s="1121"/>
      <c r="AD90" s="1121"/>
      <c r="AE90" s="1121"/>
      <c r="AF90" s="1121"/>
      <c r="AG90" s="1121"/>
      <c r="AH90" s="1121"/>
      <c r="AI90" s="1121"/>
      <c r="AJ90" s="1121"/>
      <c r="AK90" s="1121"/>
      <c r="AL90" s="1121"/>
      <c r="AM90" s="1121"/>
      <c r="AN90" s="1121"/>
      <c r="AO90" s="1121"/>
      <c r="AP90" s="1121"/>
      <c r="AQ90" s="1121"/>
      <c r="AR90" s="1121"/>
      <c r="AS90" s="1121"/>
      <c r="AT90" s="1121"/>
      <c r="AU90" s="1121"/>
      <c r="AV90" s="1121"/>
      <c r="AW90" s="1121"/>
      <c r="AX90" s="1121"/>
      <c r="AY90" s="1121"/>
      <c r="AZ90" s="1121"/>
      <c r="BA90" s="1121"/>
      <c r="BC90" s="312"/>
    </row>
    <row r="91" spans="1:55" ht="15.75" customHeight="1">
      <c r="A91" s="415"/>
      <c r="B91" s="509"/>
      <c r="C91" s="424"/>
      <c r="D91" s="418"/>
      <c r="E91" s="418"/>
      <c r="F91" s="419"/>
      <c r="G91" s="420"/>
      <c r="H91" s="421"/>
      <c r="I91" s="425"/>
      <c r="J91" s="424"/>
      <c r="K91" s="418"/>
      <c r="L91" s="418"/>
      <c r="M91" s="418"/>
      <c r="N91" s="418"/>
      <c r="O91" s="418"/>
      <c r="P91" s="418"/>
      <c r="Q91" s="418"/>
      <c r="R91" s="418"/>
      <c r="S91" s="418"/>
      <c r="T91" s="418"/>
      <c r="U91" s="418"/>
      <c r="V91" s="418"/>
      <c r="W91" s="418"/>
      <c r="X91" s="418"/>
      <c r="Y91" s="418"/>
      <c r="Z91" s="418"/>
      <c r="AA91" s="418"/>
      <c r="AB91" s="418"/>
      <c r="AC91" s="418"/>
      <c r="AD91" s="418"/>
      <c r="AE91" s="418"/>
      <c r="AF91" s="418"/>
      <c r="AG91" s="418"/>
      <c r="AH91" s="418"/>
      <c r="AI91" s="418"/>
      <c r="AJ91" s="418"/>
      <c r="AK91" s="418"/>
      <c r="AL91" s="418"/>
      <c r="AM91" s="418"/>
      <c r="AN91" s="418"/>
      <c r="AO91" s="418"/>
      <c r="AP91" s="418"/>
      <c r="AQ91" s="418"/>
      <c r="AR91" s="418"/>
      <c r="AS91" s="418"/>
      <c r="AT91" s="418"/>
      <c r="AU91" s="418"/>
      <c r="AV91" s="418"/>
      <c r="AW91" s="418"/>
      <c r="AX91" s="418"/>
      <c r="AY91" s="418"/>
      <c r="AZ91" s="418"/>
      <c r="BA91" s="418"/>
      <c r="BC91" s="312"/>
    </row>
    <row r="92" spans="1:55" ht="15.75" customHeight="1">
      <c r="A92" s="421"/>
      <c r="B92" s="421"/>
      <c r="C92" s="421"/>
      <c r="D92" s="421"/>
      <c r="E92" s="421"/>
      <c r="F92" s="421"/>
      <c r="G92" s="421"/>
      <c r="H92" s="421"/>
      <c r="I92" s="425"/>
      <c r="J92" s="424"/>
      <c r="K92" s="418"/>
      <c r="L92" s="418"/>
      <c r="M92" s="418"/>
      <c r="N92" s="418"/>
      <c r="O92" s="418"/>
      <c r="P92" s="418"/>
      <c r="Q92" s="418"/>
      <c r="R92" s="418"/>
      <c r="S92" s="418"/>
      <c r="T92" s="418"/>
      <c r="U92" s="418"/>
      <c r="V92" s="418"/>
      <c r="W92" s="418"/>
      <c r="X92" s="418"/>
      <c r="Y92" s="418"/>
      <c r="Z92" s="418"/>
      <c r="AA92" s="418"/>
      <c r="AB92" s="418"/>
      <c r="AC92" s="418"/>
      <c r="AD92" s="418"/>
      <c r="AE92" s="418"/>
      <c r="AF92" s="418"/>
      <c r="AG92" s="418"/>
      <c r="AH92" s="418"/>
      <c r="AI92" s="418"/>
      <c r="AJ92" s="418"/>
      <c r="AK92" s="418"/>
      <c r="AL92" s="418"/>
      <c r="AM92" s="418"/>
      <c r="AN92" s="418"/>
      <c r="AO92" s="418"/>
      <c r="AP92" s="418"/>
      <c r="AQ92" s="418"/>
      <c r="AR92" s="418"/>
      <c r="AS92" s="418"/>
      <c r="AT92" s="418"/>
      <c r="AU92" s="418"/>
      <c r="AV92" s="418"/>
      <c r="AW92" s="418"/>
      <c r="AX92" s="418"/>
      <c r="AY92" s="418"/>
      <c r="AZ92" s="418"/>
      <c r="BA92" s="418"/>
      <c r="BC92" s="312"/>
    </row>
    <row r="93" spans="1:55" ht="15.75" customHeight="1">
      <c r="A93" s="421"/>
      <c r="B93" s="421"/>
      <c r="C93" s="421"/>
      <c r="D93" s="421"/>
      <c r="E93" s="421"/>
      <c r="F93" s="421"/>
      <c r="G93" s="421"/>
      <c r="H93" s="421"/>
      <c r="I93" s="425"/>
      <c r="J93" s="424"/>
      <c r="K93" s="418"/>
      <c r="L93" s="418"/>
      <c r="M93" s="418"/>
      <c r="N93" s="418"/>
      <c r="O93" s="418"/>
      <c r="P93" s="418"/>
      <c r="Q93" s="418"/>
      <c r="R93" s="418"/>
      <c r="S93" s="418"/>
      <c r="T93" s="418"/>
      <c r="U93" s="418"/>
      <c r="V93" s="418"/>
      <c r="W93" s="418"/>
      <c r="X93" s="418"/>
      <c r="Y93" s="418"/>
      <c r="Z93" s="418"/>
      <c r="AA93" s="418"/>
      <c r="AB93" s="418"/>
      <c r="AC93" s="418"/>
      <c r="AD93" s="418"/>
      <c r="AE93" s="418"/>
      <c r="AF93" s="418"/>
      <c r="AG93" s="418"/>
      <c r="AH93" s="418"/>
      <c r="AI93" s="418"/>
      <c r="AJ93" s="418"/>
      <c r="AK93" s="418"/>
      <c r="AL93" s="418"/>
      <c r="AM93" s="418"/>
      <c r="AN93" s="418"/>
      <c r="AO93" s="418"/>
      <c r="AP93" s="418"/>
      <c r="AQ93" s="418"/>
      <c r="AR93" s="418"/>
      <c r="AS93" s="418"/>
      <c r="AT93" s="418"/>
      <c r="AU93" s="418"/>
      <c r="AV93" s="418"/>
      <c r="AW93" s="418"/>
      <c r="AX93" s="418"/>
      <c r="AY93" s="418"/>
      <c r="AZ93" s="418"/>
      <c r="BA93" s="418"/>
      <c r="BC93" s="312"/>
    </row>
    <row r="94" spans="1:55" ht="15.75" customHeight="1">
      <c r="A94" s="421"/>
      <c r="B94" s="421"/>
      <c r="C94" s="421"/>
      <c r="D94" s="421"/>
      <c r="E94" s="421"/>
      <c r="F94" s="421"/>
      <c r="G94" s="421"/>
      <c r="H94" s="421"/>
      <c r="I94" s="425"/>
      <c r="J94" s="424"/>
      <c r="K94" s="418"/>
      <c r="L94" s="418"/>
      <c r="M94" s="418"/>
      <c r="N94" s="418"/>
      <c r="O94" s="418"/>
      <c r="P94" s="418"/>
      <c r="Q94" s="418"/>
      <c r="R94" s="418"/>
      <c r="S94" s="418"/>
      <c r="T94" s="418"/>
      <c r="U94" s="418"/>
      <c r="V94" s="418"/>
      <c r="W94" s="418"/>
      <c r="X94" s="418"/>
      <c r="Y94" s="418"/>
      <c r="Z94" s="418"/>
      <c r="AA94" s="418"/>
      <c r="AB94" s="418"/>
      <c r="AC94" s="418"/>
      <c r="AD94" s="418"/>
      <c r="AE94" s="418"/>
      <c r="AF94" s="418"/>
      <c r="AG94" s="418"/>
      <c r="AH94" s="418"/>
      <c r="AI94" s="418"/>
      <c r="AJ94" s="418"/>
      <c r="AK94" s="418"/>
      <c r="AL94" s="418"/>
      <c r="AM94" s="418"/>
      <c r="AN94" s="418"/>
      <c r="AO94" s="418"/>
      <c r="AP94" s="418"/>
      <c r="AQ94" s="418"/>
      <c r="AR94" s="418"/>
      <c r="AS94" s="418"/>
      <c r="AT94" s="418"/>
      <c r="AU94" s="418"/>
      <c r="AV94" s="418"/>
      <c r="AW94" s="418"/>
      <c r="AX94" s="418"/>
      <c r="AY94" s="418"/>
      <c r="AZ94" s="418"/>
      <c r="BA94" s="418"/>
      <c r="BC94" s="312"/>
    </row>
    <row r="95" spans="1:55" ht="15.75" customHeight="1">
      <c r="A95" s="421"/>
      <c r="B95" s="421"/>
      <c r="C95" s="421"/>
      <c r="D95" s="421"/>
      <c r="E95" s="421"/>
      <c r="F95" s="421"/>
      <c r="G95" s="421"/>
      <c r="H95" s="421"/>
      <c r="I95" s="425"/>
      <c r="J95" s="424"/>
      <c r="K95" s="418"/>
      <c r="L95" s="418"/>
      <c r="M95" s="418"/>
      <c r="N95" s="418"/>
      <c r="O95" s="418"/>
      <c r="P95" s="418"/>
      <c r="Q95" s="418"/>
      <c r="R95" s="418"/>
      <c r="S95" s="418"/>
      <c r="T95" s="418"/>
      <c r="U95" s="418"/>
      <c r="V95" s="418"/>
      <c r="W95" s="418"/>
      <c r="X95" s="418"/>
      <c r="Y95" s="418"/>
      <c r="Z95" s="418"/>
      <c r="AA95" s="418"/>
      <c r="AB95" s="418"/>
      <c r="AC95" s="418"/>
      <c r="AD95" s="418"/>
      <c r="AE95" s="418"/>
      <c r="AF95" s="418"/>
      <c r="AG95" s="418"/>
      <c r="AH95" s="418"/>
      <c r="AI95" s="418"/>
      <c r="AJ95" s="418"/>
      <c r="AK95" s="418"/>
      <c r="AL95" s="418"/>
      <c r="AM95" s="418"/>
      <c r="AN95" s="418"/>
      <c r="AO95" s="418"/>
      <c r="AP95" s="418"/>
      <c r="AQ95" s="418"/>
      <c r="AR95" s="418"/>
      <c r="AS95" s="418"/>
      <c r="AT95" s="418"/>
      <c r="AU95" s="418"/>
      <c r="AV95" s="418"/>
      <c r="AW95" s="418"/>
      <c r="AX95" s="418"/>
      <c r="AY95" s="418"/>
      <c r="AZ95" s="418"/>
      <c r="BA95" s="418"/>
      <c r="BC95" s="312"/>
    </row>
    <row r="96" spans="1:55" ht="15.75" customHeight="1">
      <c r="A96" s="421"/>
      <c r="B96" s="421"/>
      <c r="C96" s="421"/>
      <c r="D96" s="421"/>
      <c r="E96" s="421"/>
      <c r="F96" s="421"/>
      <c r="G96" s="421"/>
      <c r="H96" s="421"/>
      <c r="I96" s="421"/>
      <c r="J96" s="492"/>
      <c r="K96" s="418"/>
      <c r="L96" s="418"/>
      <c r="M96" s="418"/>
      <c r="N96" s="421"/>
      <c r="O96" s="421"/>
      <c r="P96" s="421"/>
      <c r="Q96" s="418"/>
      <c r="R96" s="418"/>
      <c r="S96" s="418"/>
      <c r="T96" s="418"/>
      <c r="U96" s="418"/>
      <c r="V96" s="418"/>
      <c r="W96" s="418"/>
      <c r="X96" s="418"/>
      <c r="Y96" s="418"/>
      <c r="Z96" s="418"/>
      <c r="AA96" s="418"/>
      <c r="AB96" s="418"/>
      <c r="AC96" s="418"/>
      <c r="AD96" s="418"/>
      <c r="AE96" s="418"/>
      <c r="AF96" s="418"/>
      <c r="AG96" s="418"/>
      <c r="AH96" s="418"/>
      <c r="AI96" s="418"/>
      <c r="AJ96" s="493"/>
      <c r="AK96" s="418"/>
      <c r="AL96" s="418"/>
      <c r="AM96" s="418"/>
      <c r="AN96" s="418"/>
      <c r="AO96" s="418"/>
      <c r="AP96" s="418"/>
      <c r="AQ96" s="418"/>
      <c r="AR96" s="418"/>
      <c r="AS96" s="418"/>
      <c r="AT96" s="418"/>
      <c r="AU96" s="418"/>
      <c r="AV96" s="418"/>
      <c r="AW96" s="418"/>
      <c r="AX96" s="418"/>
      <c r="AY96" s="418"/>
      <c r="AZ96" s="418"/>
      <c r="BA96" s="493"/>
      <c r="BC96" s="312"/>
    </row>
    <row r="97" spans="1:55" ht="15.75" customHeight="1">
      <c r="A97" s="421"/>
      <c r="B97" s="421"/>
      <c r="C97" s="421"/>
      <c r="D97" s="421"/>
      <c r="E97" s="421"/>
      <c r="F97" s="421"/>
      <c r="G97" s="421"/>
      <c r="H97" s="421"/>
      <c r="I97" s="421"/>
      <c r="J97" s="492"/>
      <c r="K97" s="418"/>
      <c r="L97" s="418"/>
      <c r="M97" s="418"/>
      <c r="N97" s="421"/>
      <c r="O97" s="421"/>
      <c r="P97" s="421"/>
      <c r="Q97" s="418"/>
      <c r="R97" s="418"/>
      <c r="S97" s="418"/>
      <c r="T97" s="418"/>
      <c r="U97" s="418"/>
      <c r="V97" s="418"/>
      <c r="W97" s="418"/>
      <c r="X97" s="418"/>
      <c r="Y97" s="418"/>
      <c r="Z97" s="418"/>
      <c r="AA97" s="418"/>
      <c r="AB97" s="418"/>
      <c r="AC97" s="418"/>
      <c r="AD97" s="418"/>
      <c r="AE97" s="418"/>
      <c r="AF97" s="418"/>
      <c r="AG97" s="418"/>
      <c r="AH97" s="418"/>
      <c r="AI97" s="418"/>
      <c r="AJ97" s="493"/>
      <c r="AK97" s="418"/>
      <c r="AL97" s="418"/>
      <c r="AM97" s="418"/>
      <c r="AN97" s="418"/>
      <c r="AO97" s="418"/>
      <c r="AP97" s="418"/>
      <c r="AQ97" s="418"/>
      <c r="AR97" s="418"/>
      <c r="AS97" s="418"/>
      <c r="AT97" s="418"/>
      <c r="AU97" s="418"/>
      <c r="AV97" s="418"/>
      <c r="AW97" s="418"/>
      <c r="AX97" s="418"/>
      <c r="AY97" s="418"/>
      <c r="AZ97" s="418"/>
      <c r="BA97" s="493"/>
      <c r="BC97" s="312"/>
    </row>
    <row r="98" spans="1:55" ht="15.75" customHeight="1">
      <c r="A98" s="421"/>
      <c r="B98" s="416"/>
      <c r="C98" s="424"/>
      <c r="D98" s="416"/>
      <c r="E98" s="419"/>
      <c r="F98" s="419"/>
      <c r="G98" s="419"/>
      <c r="H98" s="421"/>
      <c r="I98" s="421"/>
      <c r="J98" s="492"/>
      <c r="K98" s="418"/>
      <c r="L98" s="418"/>
      <c r="M98" s="418"/>
      <c r="N98" s="421"/>
      <c r="O98" s="421"/>
      <c r="P98" s="421"/>
      <c r="Q98" s="418"/>
      <c r="R98" s="418"/>
      <c r="S98" s="418"/>
      <c r="T98" s="418"/>
      <c r="U98" s="418"/>
      <c r="V98" s="418"/>
      <c r="W98" s="418"/>
      <c r="X98" s="418"/>
      <c r="Y98" s="418"/>
      <c r="Z98" s="418"/>
      <c r="AA98" s="418"/>
      <c r="AB98" s="418"/>
      <c r="AC98" s="418"/>
      <c r="AD98" s="418"/>
      <c r="AE98" s="418"/>
      <c r="AF98" s="418"/>
      <c r="AG98" s="418"/>
      <c r="AH98" s="418"/>
      <c r="AI98" s="418"/>
      <c r="AJ98" s="493"/>
      <c r="AK98" s="418"/>
      <c r="AL98" s="418"/>
      <c r="AM98" s="418"/>
      <c r="AN98" s="418"/>
      <c r="AO98" s="418"/>
      <c r="AP98" s="418"/>
      <c r="AQ98" s="418"/>
      <c r="AR98" s="418"/>
      <c r="AS98" s="418"/>
      <c r="AT98" s="418"/>
      <c r="AU98" s="418"/>
      <c r="AV98" s="418"/>
      <c r="AW98" s="418"/>
      <c r="AX98" s="418"/>
      <c r="AY98" s="418"/>
      <c r="AZ98" s="418"/>
      <c r="BA98" s="493"/>
      <c r="BC98" s="312"/>
    </row>
    <row r="99" spans="1:55" ht="15.75" customHeight="1">
      <c r="A99" s="421"/>
      <c r="B99" s="416"/>
      <c r="C99" s="424"/>
      <c r="D99" s="416"/>
      <c r="E99" s="419"/>
      <c r="F99" s="419"/>
      <c r="G99" s="419"/>
      <c r="H99" s="421"/>
      <c r="I99" s="421"/>
      <c r="J99" s="492"/>
      <c r="K99" s="418"/>
      <c r="L99" s="418"/>
      <c r="M99" s="418"/>
      <c r="N99" s="418"/>
      <c r="O99" s="418"/>
      <c r="P99" s="418"/>
      <c r="Q99" s="418"/>
      <c r="R99" s="418"/>
      <c r="S99" s="418"/>
      <c r="T99" s="418"/>
      <c r="U99" s="418"/>
      <c r="V99" s="418"/>
      <c r="W99" s="418"/>
      <c r="X99" s="418"/>
      <c r="Y99" s="418"/>
      <c r="Z99" s="418"/>
      <c r="AA99" s="418"/>
      <c r="AB99" s="418"/>
      <c r="AC99" s="418"/>
      <c r="AD99" s="418"/>
      <c r="AE99" s="418"/>
      <c r="AF99" s="418"/>
      <c r="AG99" s="418"/>
      <c r="AH99" s="418"/>
      <c r="AI99" s="418"/>
      <c r="AJ99" s="418"/>
      <c r="AK99" s="418"/>
      <c r="AL99" s="418"/>
      <c r="AM99" s="418"/>
      <c r="AN99" s="418"/>
      <c r="AO99" s="418"/>
      <c r="AP99" s="418"/>
      <c r="AQ99" s="418"/>
      <c r="AR99" s="418"/>
      <c r="AS99" s="418"/>
      <c r="AT99" s="418"/>
      <c r="AU99" s="418"/>
      <c r="AV99" s="418"/>
      <c r="AW99" s="418"/>
      <c r="AX99" s="418"/>
      <c r="AY99" s="418"/>
      <c r="AZ99" s="418"/>
      <c r="BA99" s="418"/>
      <c r="BC99" s="312"/>
    </row>
    <row r="100" spans="1:55" ht="15.75" customHeight="1">
      <c r="A100" s="415"/>
      <c r="B100" s="509"/>
      <c r="C100" s="424"/>
      <c r="D100" s="418"/>
      <c r="E100" s="418"/>
      <c r="F100" s="419"/>
      <c r="G100" s="420"/>
      <c r="H100" s="421"/>
      <c r="I100" s="425"/>
      <c r="J100" s="424"/>
      <c r="K100" s="418"/>
      <c r="L100" s="418"/>
      <c r="M100" s="418"/>
      <c r="N100" s="418"/>
      <c r="O100" s="418"/>
      <c r="P100" s="418"/>
      <c r="Q100" s="418"/>
      <c r="R100" s="418"/>
      <c r="S100" s="418"/>
      <c r="T100" s="418"/>
      <c r="U100" s="418"/>
      <c r="V100" s="418"/>
      <c r="W100" s="418"/>
      <c r="X100" s="418"/>
      <c r="Y100" s="418"/>
      <c r="Z100" s="418"/>
      <c r="AA100" s="418"/>
      <c r="AB100" s="418"/>
      <c r="AC100" s="418"/>
      <c r="AD100" s="418"/>
      <c r="AE100" s="418"/>
      <c r="AF100" s="418"/>
      <c r="AG100" s="418"/>
      <c r="AH100" s="418"/>
      <c r="AI100" s="418"/>
      <c r="AJ100" s="418"/>
      <c r="AK100" s="418"/>
      <c r="AL100" s="418"/>
      <c r="AM100" s="418"/>
      <c r="AN100" s="418"/>
      <c r="AO100" s="418"/>
      <c r="AP100" s="418"/>
      <c r="AQ100" s="418"/>
      <c r="AR100" s="418"/>
      <c r="AS100" s="418"/>
      <c r="AT100" s="418"/>
      <c r="AU100" s="418"/>
      <c r="AV100" s="418"/>
      <c r="AW100" s="418"/>
      <c r="AX100" s="418"/>
      <c r="AY100" s="418"/>
      <c r="AZ100" s="418"/>
      <c r="BA100" s="418"/>
      <c r="BC100" s="312"/>
    </row>
    <row r="101" spans="1:55" ht="15.75" customHeight="1">
      <c r="A101" s="415"/>
      <c r="B101" s="509"/>
      <c r="C101" s="424"/>
      <c r="D101" s="418"/>
      <c r="E101" s="418"/>
      <c r="F101" s="419"/>
      <c r="G101" s="420"/>
      <c r="H101" s="421"/>
      <c r="I101" s="421"/>
      <c r="J101" s="424"/>
      <c r="K101" s="418"/>
      <c r="L101" s="418"/>
      <c r="M101" s="418"/>
      <c r="N101" s="418"/>
      <c r="O101" s="418"/>
      <c r="P101" s="418"/>
      <c r="Q101" s="418"/>
      <c r="R101" s="418"/>
      <c r="S101" s="418"/>
      <c r="T101" s="418"/>
      <c r="U101" s="418"/>
      <c r="V101" s="418"/>
      <c r="W101" s="418"/>
      <c r="X101" s="418"/>
      <c r="Y101" s="418"/>
      <c r="Z101" s="418"/>
      <c r="AA101" s="418"/>
      <c r="AB101" s="418"/>
      <c r="AC101" s="418"/>
      <c r="AD101" s="418"/>
      <c r="AE101" s="418"/>
      <c r="AF101" s="418"/>
      <c r="AG101" s="418"/>
      <c r="AH101" s="418"/>
      <c r="AI101" s="418"/>
      <c r="AJ101" s="418"/>
      <c r="AK101" s="418"/>
      <c r="AL101" s="418"/>
      <c r="AM101" s="418"/>
      <c r="AN101" s="418"/>
      <c r="AO101" s="418"/>
      <c r="AP101" s="418"/>
      <c r="AQ101" s="418"/>
      <c r="AR101" s="418"/>
      <c r="AS101" s="418"/>
      <c r="AT101" s="418"/>
      <c r="AU101" s="418"/>
      <c r="AV101" s="418"/>
      <c r="AW101" s="418"/>
      <c r="AX101" s="418"/>
      <c r="AY101" s="418"/>
      <c r="AZ101" s="418"/>
      <c r="BA101" s="418"/>
      <c r="BC101" s="312"/>
    </row>
    <row r="102" spans="1:55" ht="15.75" customHeight="1">
      <c r="A102" s="415"/>
      <c r="B102" s="509"/>
      <c r="C102" s="424"/>
      <c r="D102" s="418"/>
      <c r="E102" s="418"/>
      <c r="F102" s="419"/>
      <c r="G102" s="420"/>
      <c r="H102" s="421"/>
      <c r="I102" s="421"/>
      <c r="J102" s="424"/>
      <c r="K102" s="418"/>
      <c r="L102" s="418"/>
      <c r="M102" s="418"/>
      <c r="N102" s="418"/>
      <c r="O102" s="418"/>
      <c r="P102" s="418"/>
      <c r="Q102" s="418"/>
      <c r="R102" s="418"/>
      <c r="S102" s="418"/>
      <c r="T102" s="418"/>
      <c r="U102" s="418"/>
      <c r="V102" s="418"/>
      <c r="W102" s="418"/>
      <c r="X102" s="418"/>
      <c r="Y102" s="418"/>
      <c r="Z102" s="418"/>
      <c r="AA102" s="418"/>
      <c r="AB102" s="418"/>
      <c r="AC102" s="418"/>
      <c r="AD102" s="418"/>
      <c r="AE102" s="418"/>
      <c r="AF102" s="418"/>
      <c r="AG102" s="418"/>
      <c r="AH102" s="418"/>
      <c r="AI102" s="418"/>
      <c r="AJ102" s="418"/>
      <c r="AK102" s="418"/>
      <c r="AL102" s="418"/>
      <c r="AM102" s="418"/>
      <c r="AN102" s="418"/>
      <c r="AO102" s="418"/>
      <c r="AP102" s="418"/>
      <c r="AQ102" s="418"/>
      <c r="AR102" s="418"/>
      <c r="AS102" s="418"/>
      <c r="AT102" s="418"/>
      <c r="AU102" s="418"/>
      <c r="AV102" s="418"/>
      <c r="AW102" s="418"/>
      <c r="AX102" s="418"/>
      <c r="AY102" s="418"/>
      <c r="AZ102" s="418"/>
      <c r="BA102" s="418"/>
      <c r="BC102" s="312"/>
    </row>
    <row r="103" spans="1:55" ht="15.75" customHeight="1">
      <c r="A103" s="415"/>
      <c r="B103" s="509"/>
      <c r="C103" s="424"/>
      <c r="D103" s="418"/>
      <c r="E103" s="418"/>
      <c r="F103" s="419"/>
      <c r="G103" s="420"/>
      <c r="H103" s="421"/>
      <c r="I103" s="421"/>
      <c r="J103" s="424"/>
      <c r="K103" s="418"/>
      <c r="L103" s="418"/>
      <c r="M103" s="418"/>
      <c r="N103" s="418"/>
      <c r="O103" s="418"/>
      <c r="P103" s="418"/>
      <c r="Q103" s="418"/>
      <c r="R103" s="418"/>
      <c r="S103" s="418"/>
      <c r="T103" s="418"/>
      <c r="U103" s="418"/>
      <c r="V103" s="418"/>
      <c r="W103" s="418"/>
      <c r="X103" s="418"/>
      <c r="Y103" s="418"/>
      <c r="Z103" s="418"/>
      <c r="AA103" s="418"/>
      <c r="AB103" s="418"/>
      <c r="AC103" s="418"/>
      <c r="AD103" s="418"/>
      <c r="AE103" s="418"/>
      <c r="AF103" s="418"/>
      <c r="AG103" s="418"/>
      <c r="AH103" s="418"/>
      <c r="AI103" s="418"/>
      <c r="AJ103" s="418"/>
      <c r="AK103" s="418"/>
      <c r="AL103" s="418"/>
      <c r="AM103" s="418"/>
      <c r="AN103" s="418"/>
      <c r="AO103" s="418"/>
      <c r="AP103" s="418"/>
      <c r="AQ103" s="418"/>
      <c r="AR103" s="418"/>
      <c r="AS103" s="418"/>
      <c r="AT103" s="418"/>
      <c r="AU103" s="418"/>
      <c r="AV103" s="418"/>
      <c r="AW103" s="418"/>
      <c r="AX103" s="418"/>
      <c r="AY103" s="418"/>
      <c r="AZ103" s="418"/>
      <c r="BA103" s="418"/>
      <c r="BC103" s="312"/>
    </row>
    <row r="104" spans="1:55" ht="15.75" customHeight="1">
      <c r="A104" s="415"/>
      <c r="B104" s="509"/>
      <c r="C104" s="424"/>
      <c r="D104" s="418"/>
      <c r="E104" s="418"/>
      <c r="F104" s="419"/>
      <c r="G104" s="420"/>
      <c r="H104" s="421"/>
      <c r="I104" s="425"/>
      <c r="J104" s="424"/>
      <c r="K104" s="418"/>
      <c r="L104" s="418"/>
      <c r="M104" s="418"/>
      <c r="N104" s="418"/>
      <c r="O104" s="418"/>
      <c r="P104" s="418"/>
      <c r="Q104" s="418"/>
      <c r="R104" s="418"/>
      <c r="S104" s="418"/>
      <c r="T104" s="418"/>
      <c r="U104" s="418"/>
      <c r="V104" s="418"/>
      <c r="W104" s="418"/>
      <c r="X104" s="418"/>
      <c r="Y104" s="418"/>
      <c r="Z104" s="418"/>
      <c r="AA104" s="418"/>
      <c r="AB104" s="418"/>
      <c r="AC104" s="418"/>
      <c r="AD104" s="418"/>
      <c r="AE104" s="418"/>
      <c r="AF104" s="418"/>
      <c r="AG104" s="418"/>
      <c r="AH104" s="418"/>
      <c r="AI104" s="418"/>
      <c r="AJ104" s="418"/>
      <c r="AK104" s="418"/>
      <c r="AL104" s="418"/>
      <c r="AM104" s="418"/>
      <c r="AN104" s="418"/>
      <c r="AO104" s="418"/>
      <c r="AP104" s="418"/>
      <c r="AQ104" s="418"/>
      <c r="AR104" s="418"/>
      <c r="AS104" s="418"/>
      <c r="AT104" s="418"/>
      <c r="AU104" s="418"/>
      <c r="AV104" s="418"/>
      <c r="AW104" s="418"/>
      <c r="AX104" s="418"/>
      <c r="AY104" s="418"/>
      <c r="AZ104" s="418"/>
      <c r="BA104" s="418"/>
      <c r="BC104" s="312"/>
    </row>
    <row r="105" spans="1:55" ht="15.75" customHeight="1">
      <c r="A105" s="415"/>
      <c r="B105" s="509"/>
      <c r="C105" s="424"/>
      <c r="D105" s="418"/>
      <c r="E105" s="418"/>
      <c r="F105" s="419"/>
      <c r="G105" s="420"/>
      <c r="H105" s="421"/>
      <c r="I105" s="425"/>
      <c r="J105" s="424"/>
      <c r="K105" s="418"/>
      <c r="L105" s="418"/>
      <c r="M105" s="418"/>
      <c r="N105" s="418"/>
      <c r="O105" s="418"/>
      <c r="P105" s="418"/>
      <c r="Q105" s="418"/>
      <c r="R105" s="418"/>
      <c r="S105" s="418"/>
      <c r="T105" s="418"/>
      <c r="U105" s="418"/>
      <c r="V105" s="418"/>
      <c r="W105" s="418"/>
      <c r="X105" s="418"/>
      <c r="Y105" s="418"/>
      <c r="Z105" s="418"/>
      <c r="AA105" s="418"/>
      <c r="AB105" s="418"/>
      <c r="AC105" s="418"/>
      <c r="AD105" s="418"/>
      <c r="AE105" s="418"/>
      <c r="AF105" s="418"/>
      <c r="AG105" s="418"/>
      <c r="AH105" s="418"/>
      <c r="AI105" s="418"/>
      <c r="AJ105" s="418"/>
      <c r="AK105" s="418"/>
      <c r="AL105" s="418"/>
      <c r="AM105" s="418"/>
      <c r="AN105" s="418"/>
      <c r="AO105" s="418"/>
      <c r="AP105" s="418"/>
      <c r="AQ105" s="418"/>
      <c r="AR105" s="418"/>
      <c r="AS105" s="418"/>
      <c r="AT105" s="418"/>
      <c r="AU105" s="418"/>
      <c r="AV105" s="418"/>
      <c r="AW105" s="418"/>
      <c r="AX105" s="418"/>
      <c r="AY105" s="418"/>
      <c r="AZ105" s="418"/>
      <c r="BA105" s="418"/>
      <c r="BC105" s="312"/>
    </row>
    <row r="106" spans="1:55" ht="15.75" customHeight="1">
      <c r="A106" s="415"/>
      <c r="B106" s="509"/>
      <c r="C106" s="424"/>
      <c r="D106" s="418"/>
      <c r="E106" s="418"/>
      <c r="F106" s="419"/>
      <c r="G106" s="420"/>
      <c r="H106" s="421"/>
      <c r="I106" s="421"/>
      <c r="J106" s="424"/>
      <c r="K106" s="418"/>
      <c r="L106" s="418"/>
      <c r="M106" s="418"/>
      <c r="N106" s="418"/>
      <c r="O106" s="418"/>
      <c r="P106" s="418"/>
      <c r="Q106" s="418"/>
      <c r="R106" s="418"/>
      <c r="S106" s="418"/>
      <c r="T106" s="418"/>
      <c r="U106" s="418"/>
      <c r="V106" s="418"/>
      <c r="W106" s="418"/>
      <c r="X106" s="418"/>
      <c r="Y106" s="418"/>
      <c r="Z106" s="418"/>
      <c r="AA106" s="418"/>
      <c r="AB106" s="418"/>
      <c r="AC106" s="418"/>
      <c r="AD106" s="418"/>
      <c r="AE106" s="418"/>
      <c r="AF106" s="418"/>
      <c r="AG106" s="418"/>
      <c r="AH106" s="418"/>
      <c r="AI106" s="418"/>
      <c r="AJ106" s="418"/>
      <c r="AK106" s="418"/>
      <c r="AL106" s="418"/>
      <c r="AM106" s="418"/>
      <c r="AN106" s="418"/>
      <c r="AO106" s="418"/>
      <c r="AP106" s="418"/>
      <c r="AQ106" s="418"/>
      <c r="AR106" s="418"/>
      <c r="AS106" s="418"/>
      <c r="AT106" s="418"/>
      <c r="AU106" s="418"/>
      <c r="AV106" s="418"/>
      <c r="AW106" s="418"/>
      <c r="AX106" s="418"/>
      <c r="AY106" s="418"/>
      <c r="AZ106" s="418"/>
      <c r="BA106" s="418"/>
      <c r="BC106" s="312"/>
    </row>
    <row r="107" spans="1:55" ht="15.75" customHeight="1">
      <c r="A107" s="415"/>
      <c r="B107" s="509"/>
      <c r="C107" s="424"/>
      <c r="D107" s="418"/>
      <c r="E107" s="418"/>
      <c r="F107" s="419"/>
      <c r="G107" s="420"/>
      <c r="H107" s="421"/>
      <c r="I107" s="425"/>
      <c r="J107" s="424"/>
      <c r="K107" s="418"/>
      <c r="L107" s="418"/>
      <c r="M107" s="418"/>
      <c r="N107" s="418"/>
      <c r="O107" s="418"/>
      <c r="P107" s="418"/>
      <c r="Q107" s="418"/>
      <c r="R107" s="418"/>
      <c r="S107" s="418"/>
      <c r="T107" s="418"/>
      <c r="U107" s="418"/>
      <c r="V107" s="418"/>
      <c r="W107" s="418"/>
      <c r="X107" s="418"/>
      <c r="Y107" s="418"/>
      <c r="Z107" s="418"/>
      <c r="AA107" s="418"/>
      <c r="AB107" s="418"/>
      <c r="AC107" s="418"/>
      <c r="AD107" s="418"/>
      <c r="AE107" s="418"/>
      <c r="AF107" s="418"/>
      <c r="AG107" s="418"/>
      <c r="AH107" s="418"/>
      <c r="AI107" s="418"/>
      <c r="AJ107" s="418"/>
      <c r="AK107" s="418"/>
      <c r="AL107" s="418"/>
      <c r="AM107" s="418"/>
      <c r="AN107" s="418"/>
      <c r="AO107" s="418"/>
      <c r="AP107" s="418"/>
      <c r="AQ107" s="418"/>
      <c r="AR107" s="418"/>
      <c r="AS107" s="418"/>
      <c r="AT107" s="418"/>
      <c r="AU107" s="418"/>
      <c r="AV107" s="418"/>
      <c r="AW107" s="418"/>
      <c r="AX107" s="418"/>
      <c r="AY107" s="418"/>
      <c r="AZ107" s="418"/>
      <c r="BA107" s="418"/>
      <c r="BC107" s="312"/>
    </row>
    <row r="108" spans="1:55" ht="15.75" customHeight="1">
      <c r="A108" s="415"/>
      <c r="B108" s="509"/>
      <c r="C108" s="424"/>
      <c r="D108" s="418"/>
      <c r="E108" s="418"/>
      <c r="F108" s="419"/>
      <c r="G108" s="420"/>
      <c r="H108" s="418"/>
      <c r="I108" s="421"/>
      <c r="J108" s="424"/>
      <c r="K108" s="418"/>
      <c r="L108" s="418"/>
      <c r="M108" s="418"/>
      <c r="N108" s="418"/>
      <c r="O108" s="418"/>
      <c r="P108" s="418"/>
      <c r="Q108" s="418"/>
      <c r="R108" s="418"/>
      <c r="S108" s="418"/>
      <c r="T108" s="418"/>
      <c r="U108" s="418"/>
      <c r="V108" s="418"/>
      <c r="W108" s="418"/>
      <c r="X108" s="418"/>
      <c r="Y108" s="418"/>
      <c r="Z108" s="418"/>
      <c r="AA108" s="418"/>
      <c r="AB108" s="418"/>
      <c r="AC108" s="418"/>
      <c r="AD108" s="418"/>
      <c r="AE108" s="418"/>
      <c r="AF108" s="418"/>
      <c r="AG108" s="418"/>
      <c r="AH108" s="418"/>
      <c r="AI108" s="418"/>
      <c r="AJ108" s="418"/>
      <c r="AK108" s="418"/>
      <c r="AL108" s="418"/>
      <c r="AM108" s="418"/>
      <c r="AN108" s="418"/>
      <c r="AO108" s="418"/>
      <c r="AP108" s="418"/>
      <c r="AQ108" s="418"/>
      <c r="AR108" s="418"/>
      <c r="AS108" s="418"/>
      <c r="AT108" s="418"/>
      <c r="AU108" s="418"/>
      <c r="AV108" s="418"/>
      <c r="AW108" s="418"/>
      <c r="AX108" s="418"/>
      <c r="AY108" s="418"/>
      <c r="AZ108" s="418"/>
      <c r="BA108" s="418"/>
      <c r="BC108" s="312"/>
    </row>
    <row r="109" spans="1:55" ht="15.75" customHeight="1">
      <c r="A109" s="415"/>
      <c r="B109" s="509"/>
      <c r="C109" s="424"/>
      <c r="D109" s="418"/>
      <c r="E109" s="418"/>
      <c r="F109" s="419"/>
      <c r="G109" s="420"/>
      <c r="H109" s="421"/>
      <c r="I109" s="425"/>
      <c r="J109" s="424"/>
      <c r="K109" s="418"/>
      <c r="L109" s="418"/>
      <c r="M109" s="418"/>
      <c r="N109" s="418"/>
      <c r="O109" s="418"/>
      <c r="P109" s="418"/>
      <c r="Q109" s="418"/>
      <c r="R109" s="418"/>
      <c r="S109" s="418"/>
      <c r="T109" s="418"/>
      <c r="U109" s="418"/>
      <c r="V109" s="418"/>
      <c r="W109" s="418"/>
      <c r="X109" s="418"/>
      <c r="Y109" s="418"/>
      <c r="Z109" s="418"/>
      <c r="AA109" s="418"/>
      <c r="AB109" s="418"/>
      <c r="AC109" s="418"/>
      <c r="AD109" s="418"/>
      <c r="AE109" s="418"/>
      <c r="AF109" s="418"/>
      <c r="AG109" s="418"/>
      <c r="AH109" s="418"/>
      <c r="AI109" s="418"/>
      <c r="AJ109" s="418"/>
      <c r="AK109" s="418"/>
      <c r="AL109" s="418"/>
      <c r="AM109" s="418"/>
      <c r="AN109" s="418"/>
      <c r="AO109" s="418"/>
      <c r="AP109" s="418"/>
      <c r="AQ109" s="418"/>
      <c r="AR109" s="418"/>
      <c r="AS109" s="418"/>
      <c r="AT109" s="418"/>
      <c r="AU109" s="418"/>
      <c r="AV109" s="418"/>
      <c r="AW109" s="418"/>
      <c r="AX109" s="418"/>
      <c r="AY109" s="418"/>
      <c r="AZ109" s="418"/>
      <c r="BA109" s="418"/>
      <c r="BC109" s="312"/>
    </row>
    <row r="110" spans="1:55" ht="15.75" customHeight="1">
      <c r="A110" s="415"/>
      <c r="B110" s="509"/>
      <c r="C110" s="424"/>
      <c r="D110" s="418"/>
      <c r="E110" s="418"/>
      <c r="F110" s="419"/>
      <c r="G110" s="420"/>
      <c r="H110" s="421"/>
      <c r="I110" s="421"/>
      <c r="J110" s="424"/>
      <c r="K110" s="418"/>
      <c r="L110" s="418"/>
      <c r="M110" s="418"/>
      <c r="N110" s="418"/>
      <c r="O110" s="418"/>
      <c r="P110" s="418"/>
      <c r="Q110" s="418"/>
      <c r="R110" s="418"/>
      <c r="S110" s="418"/>
      <c r="T110" s="418"/>
      <c r="U110" s="418"/>
      <c r="V110" s="418"/>
      <c r="W110" s="418"/>
      <c r="X110" s="418"/>
      <c r="Y110" s="418"/>
      <c r="Z110" s="418"/>
      <c r="AA110" s="418"/>
      <c r="AB110" s="418"/>
      <c r="AC110" s="418"/>
      <c r="AD110" s="418"/>
      <c r="AE110" s="418"/>
      <c r="AF110" s="418"/>
      <c r="AG110" s="418"/>
      <c r="AH110" s="418"/>
      <c r="AI110" s="418"/>
      <c r="AJ110" s="418"/>
      <c r="AK110" s="418"/>
      <c r="AL110" s="418"/>
      <c r="AM110" s="418"/>
      <c r="AN110" s="418"/>
      <c r="AO110" s="418"/>
      <c r="AP110" s="418"/>
      <c r="AQ110" s="418"/>
      <c r="AR110" s="418"/>
      <c r="AS110" s="418"/>
      <c r="AT110" s="418"/>
      <c r="AU110" s="418"/>
      <c r="AV110" s="418"/>
      <c r="AW110" s="418"/>
      <c r="AX110" s="418"/>
      <c r="AY110" s="418"/>
      <c r="AZ110" s="418"/>
      <c r="BA110" s="418"/>
      <c r="BC110" s="312"/>
    </row>
    <row r="111" spans="1:55" ht="15.75" customHeight="1">
      <c r="A111" s="415"/>
      <c r="B111" s="509"/>
      <c r="C111" s="424"/>
      <c r="D111" s="418"/>
      <c r="E111" s="418"/>
      <c r="F111" s="419"/>
      <c r="G111" s="420"/>
      <c r="H111" s="421"/>
      <c r="I111" s="425"/>
      <c r="J111" s="424"/>
      <c r="K111" s="418"/>
      <c r="L111" s="418"/>
      <c r="M111" s="418"/>
      <c r="N111" s="418"/>
      <c r="O111" s="418"/>
      <c r="P111" s="418"/>
      <c r="Q111" s="418"/>
      <c r="R111" s="418"/>
      <c r="S111" s="418"/>
      <c r="T111" s="418"/>
      <c r="U111" s="418"/>
      <c r="V111" s="418"/>
      <c r="W111" s="418"/>
      <c r="X111" s="418"/>
      <c r="Y111" s="418"/>
      <c r="Z111" s="418"/>
      <c r="AA111" s="418"/>
      <c r="AB111" s="418"/>
      <c r="AC111" s="418"/>
      <c r="AD111" s="418"/>
      <c r="AE111" s="418"/>
      <c r="AF111" s="418"/>
      <c r="AG111" s="418"/>
      <c r="AH111" s="418"/>
      <c r="AI111" s="418"/>
      <c r="AJ111" s="418"/>
      <c r="AK111" s="418"/>
      <c r="AL111" s="418"/>
      <c r="AM111" s="418"/>
      <c r="AN111" s="418"/>
      <c r="AO111" s="418"/>
      <c r="AP111" s="418"/>
      <c r="AQ111" s="418"/>
      <c r="AR111" s="418"/>
      <c r="AS111" s="418"/>
      <c r="AT111" s="418"/>
      <c r="AU111" s="418"/>
      <c r="AV111" s="418"/>
      <c r="AW111" s="418"/>
      <c r="AX111" s="418"/>
      <c r="AY111" s="418"/>
      <c r="AZ111" s="418"/>
      <c r="BA111" s="418"/>
      <c r="BC111" s="312"/>
    </row>
    <row r="112" spans="1:55" ht="15.75" customHeight="1">
      <c r="A112" s="415"/>
      <c r="B112" s="509"/>
      <c r="C112" s="424"/>
      <c r="D112" s="418"/>
      <c r="E112" s="418"/>
      <c r="F112" s="419"/>
      <c r="G112" s="420"/>
      <c r="H112" s="418"/>
      <c r="I112" s="419"/>
      <c r="J112" s="424"/>
      <c r="K112" s="418"/>
      <c r="L112" s="418"/>
      <c r="M112" s="418"/>
      <c r="N112" s="418"/>
      <c r="O112" s="418"/>
      <c r="P112" s="418"/>
      <c r="Q112" s="418"/>
      <c r="R112" s="418"/>
      <c r="S112" s="418"/>
      <c r="T112" s="418"/>
      <c r="U112" s="418"/>
      <c r="V112" s="418"/>
      <c r="W112" s="418"/>
      <c r="X112" s="418"/>
      <c r="Y112" s="418"/>
      <c r="Z112" s="418"/>
      <c r="AA112" s="418"/>
      <c r="AB112" s="418"/>
      <c r="AC112" s="418"/>
      <c r="AD112" s="418"/>
      <c r="AE112" s="418"/>
      <c r="AF112" s="418"/>
      <c r="AG112" s="418"/>
      <c r="AH112" s="418"/>
      <c r="AI112" s="418"/>
      <c r="AJ112" s="418"/>
      <c r="AK112" s="418"/>
      <c r="AL112" s="418"/>
      <c r="AM112" s="418"/>
      <c r="AN112" s="418"/>
      <c r="AO112" s="418"/>
      <c r="AP112" s="418"/>
      <c r="AQ112" s="418"/>
      <c r="AR112" s="418"/>
      <c r="AS112" s="418"/>
      <c r="AT112" s="418"/>
      <c r="AU112" s="418"/>
      <c r="AV112" s="418"/>
      <c r="AW112" s="418"/>
      <c r="AX112" s="418"/>
      <c r="AY112" s="418"/>
      <c r="AZ112" s="418"/>
      <c r="BA112" s="418"/>
      <c r="BC112" s="312"/>
    </row>
    <row r="113" spans="1:55" ht="15.75" customHeight="1">
      <c r="A113" s="415"/>
      <c r="B113" s="509"/>
      <c r="C113" s="424"/>
      <c r="D113" s="418"/>
      <c r="E113" s="418"/>
      <c r="F113" s="419"/>
      <c r="G113" s="420"/>
      <c r="H113" s="421"/>
      <c r="I113" s="421"/>
      <c r="J113" s="424"/>
      <c r="K113" s="418"/>
      <c r="L113" s="418"/>
      <c r="M113" s="418"/>
      <c r="N113" s="418"/>
      <c r="O113" s="418"/>
      <c r="P113" s="418"/>
      <c r="Q113" s="418"/>
      <c r="R113" s="418"/>
      <c r="S113" s="418"/>
      <c r="T113" s="418"/>
      <c r="U113" s="418"/>
      <c r="V113" s="418"/>
      <c r="W113" s="418"/>
      <c r="X113" s="418"/>
      <c r="Y113" s="418"/>
      <c r="Z113" s="418"/>
      <c r="AA113" s="418"/>
      <c r="AB113" s="418"/>
      <c r="AC113" s="418"/>
      <c r="AD113" s="418"/>
      <c r="AE113" s="418"/>
      <c r="AF113" s="418"/>
      <c r="AG113" s="418"/>
      <c r="AH113" s="418"/>
      <c r="AI113" s="418"/>
      <c r="AJ113" s="418"/>
      <c r="AK113" s="418"/>
      <c r="AL113" s="418"/>
      <c r="AM113" s="418"/>
      <c r="AN113" s="418"/>
      <c r="AO113" s="418"/>
      <c r="AP113" s="418"/>
      <c r="AQ113" s="418"/>
      <c r="AR113" s="418"/>
      <c r="AS113" s="418"/>
      <c r="AT113" s="418"/>
      <c r="AU113" s="418"/>
      <c r="AV113" s="418"/>
      <c r="AW113" s="418"/>
      <c r="AX113" s="418"/>
      <c r="AY113" s="418"/>
      <c r="AZ113" s="418"/>
      <c r="BA113" s="418"/>
      <c r="BC113" s="312"/>
    </row>
    <row r="114" spans="1:55" ht="15.75" customHeight="1">
      <c r="A114" s="415"/>
      <c r="B114" s="509"/>
      <c r="C114" s="424"/>
      <c r="D114" s="418"/>
      <c r="E114" s="418"/>
      <c r="F114" s="419"/>
      <c r="G114" s="420"/>
      <c r="H114" s="418"/>
      <c r="I114" s="425"/>
      <c r="J114" s="424"/>
      <c r="K114" s="418"/>
      <c r="L114" s="418"/>
      <c r="M114" s="418"/>
      <c r="N114" s="418"/>
      <c r="O114" s="418"/>
      <c r="P114" s="418"/>
      <c r="Q114" s="418"/>
      <c r="R114" s="418"/>
      <c r="S114" s="418"/>
      <c r="T114" s="418"/>
      <c r="U114" s="418"/>
      <c r="V114" s="418"/>
      <c r="W114" s="418"/>
      <c r="X114" s="418"/>
      <c r="Y114" s="418"/>
      <c r="Z114" s="418"/>
      <c r="AA114" s="418"/>
      <c r="AB114" s="418"/>
      <c r="AC114" s="418"/>
      <c r="AD114" s="418"/>
      <c r="AE114" s="418"/>
      <c r="AF114" s="418"/>
      <c r="AG114" s="418"/>
      <c r="AH114" s="418"/>
      <c r="AI114" s="418"/>
      <c r="AJ114" s="418"/>
      <c r="AK114" s="418"/>
      <c r="AL114" s="418"/>
      <c r="AM114" s="418"/>
      <c r="AN114" s="418"/>
      <c r="AO114" s="418"/>
      <c r="AP114" s="418"/>
      <c r="AQ114" s="418"/>
      <c r="AR114" s="418"/>
      <c r="AS114" s="418"/>
      <c r="AT114" s="418"/>
      <c r="AU114" s="418"/>
      <c r="AV114" s="418"/>
      <c r="AW114" s="418"/>
      <c r="AX114" s="418"/>
      <c r="AY114" s="418"/>
      <c r="AZ114" s="418"/>
      <c r="BA114" s="418"/>
      <c r="BC114" s="312"/>
    </row>
    <row r="115" spans="1:55" ht="15.75" customHeight="1">
      <c r="A115" s="415"/>
      <c r="B115" s="509"/>
      <c r="C115" s="424"/>
      <c r="D115" s="418"/>
      <c r="E115" s="418"/>
      <c r="F115" s="419"/>
      <c r="G115" s="420"/>
      <c r="H115" s="421"/>
      <c r="I115" s="425"/>
      <c r="J115" s="424"/>
      <c r="K115" s="418"/>
      <c r="L115" s="418"/>
      <c r="M115" s="418"/>
      <c r="N115" s="418"/>
      <c r="O115" s="418"/>
      <c r="P115" s="418"/>
      <c r="Q115" s="418"/>
      <c r="R115" s="418"/>
      <c r="S115" s="418"/>
      <c r="T115" s="418"/>
      <c r="U115" s="418"/>
      <c r="V115" s="418"/>
      <c r="W115" s="418"/>
      <c r="X115" s="418"/>
      <c r="Y115" s="418"/>
      <c r="Z115" s="418"/>
      <c r="AA115" s="418"/>
      <c r="AB115" s="418"/>
      <c r="AC115" s="418"/>
      <c r="AD115" s="418"/>
      <c r="AE115" s="418"/>
      <c r="AF115" s="418"/>
      <c r="AG115" s="418"/>
      <c r="AH115" s="418"/>
      <c r="AI115" s="418"/>
      <c r="AJ115" s="418"/>
      <c r="AK115" s="418"/>
      <c r="AL115" s="418"/>
      <c r="AM115" s="418"/>
      <c r="AN115" s="418"/>
      <c r="AO115" s="418"/>
      <c r="AP115" s="418"/>
      <c r="AQ115" s="418"/>
      <c r="AR115" s="418"/>
      <c r="AS115" s="418"/>
      <c r="AT115" s="418"/>
      <c r="AU115" s="418"/>
      <c r="AV115" s="418"/>
      <c r="AW115" s="418"/>
      <c r="AX115" s="418"/>
      <c r="AY115" s="418"/>
      <c r="AZ115" s="418"/>
      <c r="BA115" s="418"/>
      <c r="BC115" s="312"/>
    </row>
    <row r="116" spans="1:55" ht="15.75" customHeight="1">
      <c r="A116" s="415"/>
      <c r="B116" s="509"/>
      <c r="C116" s="424"/>
      <c r="D116" s="418"/>
      <c r="E116" s="418"/>
      <c r="F116" s="419"/>
      <c r="G116" s="420"/>
      <c r="H116" s="421"/>
      <c r="I116" s="425"/>
      <c r="J116" s="424"/>
      <c r="K116" s="418"/>
      <c r="L116" s="418"/>
      <c r="M116" s="418"/>
      <c r="N116" s="418"/>
      <c r="O116" s="418"/>
      <c r="P116" s="418"/>
      <c r="Q116" s="418"/>
      <c r="R116" s="418"/>
      <c r="S116" s="418"/>
      <c r="T116" s="418"/>
      <c r="U116" s="418"/>
      <c r="V116" s="418"/>
      <c r="W116" s="418"/>
      <c r="X116" s="418"/>
      <c r="Y116" s="418"/>
      <c r="Z116" s="418"/>
      <c r="AA116" s="418"/>
      <c r="AB116" s="418"/>
      <c r="AC116" s="418"/>
      <c r="AD116" s="418"/>
      <c r="AE116" s="418"/>
      <c r="AF116" s="418"/>
      <c r="AG116" s="418"/>
      <c r="AH116" s="418"/>
      <c r="AI116" s="418"/>
      <c r="AJ116" s="418"/>
      <c r="AK116" s="418"/>
      <c r="AL116" s="418"/>
      <c r="AM116" s="418"/>
      <c r="AN116" s="418"/>
      <c r="AO116" s="418"/>
      <c r="AP116" s="418"/>
      <c r="AQ116" s="418"/>
      <c r="AR116" s="418"/>
      <c r="AS116" s="418"/>
      <c r="AT116" s="418"/>
      <c r="AU116" s="418"/>
      <c r="AV116" s="418"/>
      <c r="AW116" s="418"/>
      <c r="AX116" s="418"/>
      <c r="AY116" s="418"/>
      <c r="AZ116" s="418"/>
      <c r="BA116" s="418"/>
      <c r="BC116" s="312"/>
    </row>
    <row r="117" spans="1:55" ht="15.75" customHeight="1">
      <c r="A117" s="415"/>
      <c r="B117" s="509"/>
      <c r="C117" s="424"/>
      <c r="D117" s="418"/>
      <c r="E117" s="418"/>
      <c r="F117" s="419"/>
      <c r="G117" s="420"/>
      <c r="H117" s="421"/>
      <c r="I117" s="425"/>
      <c r="J117" s="424"/>
      <c r="K117" s="418"/>
      <c r="L117" s="418"/>
      <c r="M117" s="418"/>
      <c r="N117" s="418"/>
      <c r="O117" s="418"/>
      <c r="P117" s="418"/>
      <c r="Q117" s="418"/>
      <c r="R117" s="418"/>
      <c r="S117" s="418"/>
      <c r="T117" s="418"/>
      <c r="U117" s="418"/>
      <c r="V117" s="418"/>
      <c r="W117" s="418"/>
      <c r="X117" s="418"/>
      <c r="Y117" s="418"/>
      <c r="Z117" s="418"/>
      <c r="AA117" s="418"/>
      <c r="AB117" s="418"/>
      <c r="AC117" s="418"/>
      <c r="AD117" s="418"/>
      <c r="AE117" s="418"/>
      <c r="AF117" s="418"/>
      <c r="AG117" s="418"/>
      <c r="AH117" s="418"/>
      <c r="AI117" s="418"/>
      <c r="AJ117" s="418"/>
      <c r="AK117" s="418"/>
      <c r="AL117" s="418"/>
      <c r="AM117" s="418"/>
      <c r="AN117" s="418"/>
      <c r="AO117" s="418"/>
      <c r="AP117" s="418"/>
      <c r="AQ117" s="418"/>
      <c r="AR117" s="418"/>
      <c r="AS117" s="418"/>
      <c r="AT117" s="418"/>
      <c r="AU117" s="418"/>
      <c r="AV117" s="418"/>
      <c r="AW117" s="418"/>
      <c r="AX117" s="418"/>
      <c r="AY117" s="418"/>
      <c r="AZ117" s="418"/>
      <c r="BA117" s="418"/>
      <c r="BC117" s="312"/>
    </row>
    <row r="118" spans="1:55" ht="15.75" customHeight="1">
      <c r="A118" s="415"/>
      <c r="B118" s="509"/>
      <c r="C118" s="424"/>
      <c r="D118" s="418"/>
      <c r="E118" s="418"/>
      <c r="F118" s="419"/>
      <c r="G118" s="420"/>
      <c r="H118" s="421"/>
      <c r="I118" s="421"/>
      <c r="J118" s="424"/>
      <c r="K118" s="418"/>
      <c r="L118" s="418"/>
      <c r="M118" s="418"/>
      <c r="N118" s="418"/>
      <c r="O118" s="418"/>
      <c r="P118" s="418"/>
      <c r="Q118" s="418"/>
      <c r="R118" s="418"/>
      <c r="S118" s="418"/>
      <c r="T118" s="418"/>
      <c r="U118" s="418"/>
      <c r="V118" s="418"/>
      <c r="W118" s="418"/>
      <c r="X118" s="418"/>
      <c r="Y118" s="418"/>
      <c r="Z118" s="418"/>
      <c r="AA118" s="418"/>
      <c r="AB118" s="418"/>
      <c r="AC118" s="418"/>
      <c r="AD118" s="418"/>
      <c r="AE118" s="418"/>
      <c r="AF118" s="418"/>
      <c r="AG118" s="418"/>
      <c r="AH118" s="418"/>
      <c r="AI118" s="418"/>
      <c r="AJ118" s="418"/>
      <c r="AK118" s="418"/>
      <c r="AL118" s="418"/>
      <c r="AM118" s="418"/>
      <c r="AN118" s="418"/>
      <c r="AO118" s="418"/>
      <c r="AP118" s="418"/>
      <c r="AQ118" s="418"/>
      <c r="AR118" s="418"/>
      <c r="AS118" s="418"/>
      <c r="AT118" s="418"/>
      <c r="AU118" s="418"/>
      <c r="AV118" s="418"/>
      <c r="AW118" s="418"/>
      <c r="AX118" s="418"/>
      <c r="AY118" s="418"/>
      <c r="AZ118" s="418"/>
      <c r="BA118" s="418"/>
      <c r="BC118" s="312"/>
    </row>
    <row r="119" spans="1:55" ht="15.75" customHeight="1">
      <c r="A119" s="415"/>
      <c r="B119" s="509"/>
      <c r="C119" s="424"/>
      <c r="D119" s="418"/>
      <c r="E119" s="418"/>
      <c r="F119" s="419"/>
      <c r="G119" s="420"/>
      <c r="H119" s="421"/>
      <c r="I119" s="425"/>
      <c r="J119" s="424"/>
      <c r="K119" s="418"/>
      <c r="L119" s="418"/>
      <c r="M119" s="418"/>
      <c r="N119" s="418"/>
      <c r="O119" s="418"/>
      <c r="P119" s="418"/>
      <c r="Q119" s="418"/>
      <c r="R119" s="418"/>
      <c r="S119" s="418"/>
      <c r="T119" s="418"/>
      <c r="U119" s="418"/>
      <c r="V119" s="418"/>
      <c r="W119" s="418"/>
      <c r="X119" s="418"/>
      <c r="Y119" s="418"/>
      <c r="Z119" s="418"/>
      <c r="AA119" s="418"/>
      <c r="AB119" s="418"/>
      <c r="AC119" s="418"/>
      <c r="AD119" s="418"/>
      <c r="AE119" s="418"/>
      <c r="AF119" s="418"/>
      <c r="AG119" s="418"/>
      <c r="AH119" s="418"/>
      <c r="AI119" s="418"/>
      <c r="AJ119" s="418"/>
      <c r="AK119" s="418"/>
      <c r="AL119" s="418"/>
      <c r="AM119" s="418"/>
      <c r="AN119" s="418"/>
      <c r="AO119" s="418"/>
      <c r="AP119" s="418"/>
      <c r="AQ119" s="418"/>
      <c r="AR119" s="418"/>
      <c r="AS119" s="418"/>
      <c r="AT119" s="418"/>
      <c r="AU119" s="418"/>
      <c r="AV119" s="418"/>
      <c r="AW119" s="418"/>
      <c r="AX119" s="418"/>
      <c r="AY119" s="418"/>
      <c r="AZ119" s="418"/>
      <c r="BA119" s="418"/>
      <c r="BC119" s="312"/>
    </row>
    <row r="120" spans="1:55" ht="15.75" customHeight="1">
      <c r="A120" s="415"/>
      <c r="B120" s="509"/>
      <c r="C120" s="424"/>
      <c r="D120" s="418"/>
      <c r="E120" s="418"/>
      <c r="F120" s="419"/>
      <c r="G120" s="420"/>
      <c r="H120" s="421"/>
      <c r="I120" s="421"/>
      <c r="J120" s="424"/>
      <c r="K120" s="418"/>
      <c r="L120" s="418"/>
      <c r="M120" s="418"/>
      <c r="N120" s="418"/>
      <c r="O120" s="418"/>
      <c r="P120" s="418"/>
      <c r="Q120" s="418"/>
      <c r="R120" s="418"/>
      <c r="S120" s="418"/>
      <c r="T120" s="418"/>
      <c r="U120" s="418"/>
      <c r="V120" s="418"/>
      <c r="W120" s="418"/>
      <c r="X120" s="418"/>
      <c r="Y120" s="418"/>
      <c r="Z120" s="418"/>
      <c r="AA120" s="418"/>
      <c r="AB120" s="418"/>
      <c r="AC120" s="418"/>
      <c r="AD120" s="418"/>
      <c r="AE120" s="418"/>
      <c r="AF120" s="418"/>
      <c r="AG120" s="418"/>
      <c r="AH120" s="418"/>
      <c r="AI120" s="418"/>
      <c r="AJ120" s="418"/>
      <c r="AK120" s="418"/>
      <c r="AL120" s="418"/>
      <c r="AM120" s="418"/>
      <c r="AN120" s="418"/>
      <c r="AO120" s="418"/>
      <c r="AP120" s="418"/>
      <c r="AQ120" s="418"/>
      <c r="AR120" s="418"/>
      <c r="AS120" s="418"/>
      <c r="AT120" s="418"/>
      <c r="AU120" s="418"/>
      <c r="AV120" s="418"/>
      <c r="AW120" s="418"/>
      <c r="AX120" s="418"/>
      <c r="AY120" s="418"/>
      <c r="AZ120" s="418"/>
      <c r="BA120" s="418"/>
      <c r="BC120" s="312"/>
    </row>
    <row r="121" spans="1:55" ht="15.75" customHeight="1">
      <c r="A121" s="415"/>
      <c r="B121" s="509"/>
      <c r="C121" s="424"/>
      <c r="D121" s="418"/>
      <c r="E121" s="418"/>
      <c r="F121" s="419"/>
      <c r="G121" s="420"/>
      <c r="H121" s="421"/>
      <c r="I121" s="425"/>
      <c r="J121" s="424"/>
      <c r="K121" s="418"/>
      <c r="L121" s="418"/>
      <c r="M121" s="418"/>
      <c r="N121" s="418"/>
      <c r="O121" s="418"/>
      <c r="P121" s="418"/>
      <c r="Q121" s="418"/>
      <c r="R121" s="418"/>
      <c r="S121" s="418"/>
      <c r="T121" s="418"/>
      <c r="U121" s="418"/>
      <c r="V121" s="418"/>
      <c r="W121" s="418"/>
      <c r="X121" s="418"/>
      <c r="Y121" s="418"/>
      <c r="Z121" s="418"/>
      <c r="AA121" s="418"/>
      <c r="AB121" s="418"/>
      <c r="AC121" s="418"/>
      <c r="AD121" s="418"/>
      <c r="AE121" s="418"/>
      <c r="AF121" s="418"/>
      <c r="AG121" s="418"/>
      <c r="AH121" s="418"/>
      <c r="AI121" s="418"/>
      <c r="AJ121" s="418"/>
      <c r="AK121" s="418"/>
      <c r="AL121" s="418"/>
      <c r="AM121" s="418"/>
      <c r="AN121" s="418"/>
      <c r="AO121" s="418"/>
      <c r="AP121" s="418"/>
      <c r="AQ121" s="418"/>
      <c r="AR121" s="418"/>
      <c r="AS121" s="418"/>
      <c r="AT121" s="418"/>
      <c r="AU121" s="418"/>
      <c r="AV121" s="418"/>
      <c r="AW121" s="418"/>
      <c r="AX121" s="418"/>
      <c r="AY121" s="418"/>
      <c r="AZ121" s="418"/>
      <c r="BA121" s="418"/>
      <c r="BC121" s="312"/>
    </row>
    <row r="122" spans="1:55" ht="15.75" customHeight="1">
      <c r="A122" s="415"/>
      <c r="B122" s="509"/>
      <c r="C122" s="424"/>
      <c r="D122" s="418"/>
      <c r="E122" s="418"/>
      <c r="F122" s="419"/>
      <c r="G122" s="420"/>
      <c r="H122" s="421"/>
      <c r="I122" s="421"/>
      <c r="J122" s="424"/>
      <c r="K122" s="418"/>
      <c r="L122" s="418"/>
      <c r="M122" s="418"/>
      <c r="N122" s="418"/>
      <c r="O122" s="418"/>
      <c r="P122" s="418"/>
      <c r="Q122" s="418"/>
      <c r="R122" s="418"/>
      <c r="S122" s="418"/>
      <c r="T122" s="418"/>
      <c r="U122" s="418"/>
      <c r="V122" s="418"/>
      <c r="W122" s="418"/>
      <c r="X122" s="418"/>
      <c r="Y122" s="418"/>
      <c r="Z122" s="418"/>
      <c r="AA122" s="418"/>
      <c r="AB122" s="418"/>
      <c r="AC122" s="418"/>
      <c r="AD122" s="418"/>
      <c r="AE122" s="418"/>
      <c r="AF122" s="418"/>
      <c r="AG122" s="418"/>
      <c r="AH122" s="418"/>
      <c r="AI122" s="418"/>
      <c r="AJ122" s="418"/>
      <c r="AK122" s="418"/>
      <c r="AL122" s="418"/>
      <c r="AM122" s="418"/>
      <c r="AN122" s="418"/>
      <c r="AO122" s="418"/>
      <c r="AP122" s="418"/>
      <c r="AQ122" s="418"/>
      <c r="AR122" s="418"/>
      <c r="AS122" s="418"/>
      <c r="AT122" s="418"/>
      <c r="AU122" s="418"/>
      <c r="AV122" s="418"/>
      <c r="AW122" s="418"/>
      <c r="AX122" s="418"/>
      <c r="AY122" s="418"/>
      <c r="AZ122" s="418"/>
      <c r="BA122" s="418"/>
      <c r="BC122" s="312"/>
    </row>
    <row r="123" spans="1:55" ht="15.75" customHeight="1">
      <c r="A123" s="415"/>
      <c r="B123" s="509"/>
      <c r="C123" s="424"/>
      <c r="D123" s="418"/>
      <c r="E123" s="418"/>
      <c r="F123" s="419"/>
      <c r="G123" s="420"/>
      <c r="H123" s="421"/>
      <c r="I123" s="425"/>
      <c r="J123" s="424"/>
      <c r="K123" s="418"/>
      <c r="L123" s="418"/>
      <c r="M123" s="418"/>
      <c r="N123" s="418"/>
      <c r="O123" s="418"/>
      <c r="P123" s="418"/>
      <c r="Q123" s="418"/>
      <c r="R123" s="418"/>
      <c r="S123" s="418"/>
      <c r="T123" s="418"/>
      <c r="U123" s="418"/>
      <c r="V123" s="418"/>
      <c r="W123" s="418"/>
      <c r="X123" s="418"/>
      <c r="Y123" s="418"/>
      <c r="Z123" s="418"/>
      <c r="AA123" s="418"/>
      <c r="AB123" s="418"/>
      <c r="AC123" s="418"/>
      <c r="AD123" s="418"/>
      <c r="AE123" s="418"/>
      <c r="AF123" s="418"/>
      <c r="AG123" s="418"/>
      <c r="AH123" s="418"/>
      <c r="AI123" s="418"/>
      <c r="AJ123" s="418"/>
      <c r="AK123" s="418"/>
      <c r="AL123" s="418"/>
      <c r="AM123" s="418"/>
      <c r="AN123" s="418"/>
      <c r="AO123" s="418"/>
      <c r="AP123" s="418"/>
      <c r="AQ123" s="418"/>
      <c r="AR123" s="418"/>
      <c r="AS123" s="418"/>
      <c r="AT123" s="418"/>
      <c r="AU123" s="418"/>
      <c r="AV123" s="418"/>
      <c r="AW123" s="418"/>
      <c r="AX123" s="418"/>
      <c r="AY123" s="418"/>
      <c r="AZ123" s="418"/>
      <c r="BA123" s="418"/>
      <c r="BC123" s="312"/>
    </row>
    <row r="124" spans="1:55" ht="15.75" customHeight="1">
      <c r="A124" s="415"/>
      <c r="B124" s="509"/>
      <c r="C124" s="424"/>
      <c r="D124" s="418"/>
      <c r="E124" s="418"/>
      <c r="F124" s="419"/>
      <c r="G124" s="420"/>
      <c r="H124" s="421"/>
      <c r="I124" s="421"/>
      <c r="J124" s="424"/>
      <c r="K124" s="418"/>
      <c r="L124" s="418"/>
      <c r="M124" s="418"/>
      <c r="N124" s="418"/>
      <c r="O124" s="418"/>
      <c r="P124" s="418"/>
      <c r="Q124" s="418"/>
      <c r="R124" s="418"/>
      <c r="S124" s="418"/>
      <c r="T124" s="418"/>
      <c r="U124" s="418"/>
      <c r="V124" s="418"/>
      <c r="W124" s="418"/>
      <c r="X124" s="418"/>
      <c r="Y124" s="418"/>
      <c r="Z124" s="418"/>
      <c r="AA124" s="418"/>
      <c r="AB124" s="418"/>
      <c r="AC124" s="418"/>
      <c r="AD124" s="418"/>
      <c r="AE124" s="418"/>
      <c r="AF124" s="418"/>
      <c r="AG124" s="418"/>
      <c r="AH124" s="418"/>
      <c r="AI124" s="418"/>
      <c r="AJ124" s="418"/>
      <c r="AK124" s="418"/>
      <c r="AL124" s="418"/>
      <c r="AM124" s="418"/>
      <c r="AN124" s="418"/>
      <c r="AO124" s="418"/>
      <c r="AP124" s="418"/>
      <c r="AQ124" s="418"/>
      <c r="AR124" s="418"/>
      <c r="AS124" s="418"/>
      <c r="AT124" s="418"/>
      <c r="AU124" s="418"/>
      <c r="AV124" s="418"/>
      <c r="AW124" s="418"/>
      <c r="AX124" s="418"/>
      <c r="AY124" s="418"/>
      <c r="AZ124" s="418"/>
      <c r="BA124" s="418"/>
      <c r="BC124" s="312"/>
    </row>
    <row r="125" spans="1:55" ht="15.75" customHeight="1">
      <c r="A125" s="415"/>
      <c r="B125" s="509"/>
      <c r="C125" s="424"/>
      <c r="D125" s="418"/>
      <c r="E125" s="418"/>
      <c r="F125" s="419"/>
      <c r="G125" s="420"/>
      <c r="H125" s="421"/>
      <c r="I125" s="425"/>
      <c r="J125" s="424"/>
      <c r="K125" s="418"/>
      <c r="L125" s="418"/>
      <c r="M125" s="418"/>
      <c r="N125" s="418"/>
      <c r="O125" s="418"/>
      <c r="P125" s="418"/>
      <c r="Q125" s="418"/>
      <c r="R125" s="418"/>
      <c r="S125" s="418"/>
      <c r="T125" s="418"/>
      <c r="U125" s="418"/>
      <c r="V125" s="418"/>
      <c r="W125" s="418"/>
      <c r="X125" s="418"/>
      <c r="Y125" s="418"/>
      <c r="Z125" s="418"/>
      <c r="AA125" s="418"/>
      <c r="AB125" s="418"/>
      <c r="AC125" s="418"/>
      <c r="AD125" s="418"/>
      <c r="AE125" s="418"/>
      <c r="AF125" s="418"/>
      <c r="AG125" s="418"/>
      <c r="AH125" s="418"/>
      <c r="AI125" s="418"/>
      <c r="AJ125" s="418"/>
      <c r="AK125" s="418"/>
      <c r="AL125" s="418"/>
      <c r="AM125" s="418"/>
      <c r="AN125" s="418"/>
      <c r="AO125" s="418"/>
      <c r="AP125" s="418"/>
      <c r="AQ125" s="418"/>
      <c r="AR125" s="418"/>
      <c r="AS125" s="418"/>
      <c r="AT125" s="418"/>
      <c r="AU125" s="418"/>
      <c r="AV125" s="418"/>
      <c r="AW125" s="418"/>
      <c r="AX125" s="418"/>
      <c r="AY125" s="418"/>
      <c r="AZ125" s="418"/>
      <c r="BA125" s="418"/>
      <c r="BC125" s="312"/>
    </row>
    <row r="126" spans="1:55" ht="15.75" customHeight="1">
      <c r="A126" s="415"/>
      <c r="B126" s="509"/>
      <c r="C126" s="424"/>
      <c r="D126" s="418"/>
      <c r="E126" s="418"/>
      <c r="F126" s="419"/>
      <c r="G126" s="420"/>
      <c r="H126" s="421"/>
      <c r="I126" s="425"/>
      <c r="J126" s="424"/>
      <c r="K126" s="418"/>
      <c r="L126" s="418"/>
      <c r="M126" s="418"/>
      <c r="N126" s="418"/>
      <c r="O126" s="418"/>
      <c r="P126" s="418"/>
      <c r="Q126" s="418"/>
      <c r="R126" s="418"/>
      <c r="S126" s="418"/>
      <c r="T126" s="418"/>
      <c r="U126" s="418"/>
      <c r="V126" s="418"/>
      <c r="W126" s="418"/>
      <c r="X126" s="418"/>
      <c r="Y126" s="418"/>
      <c r="Z126" s="418"/>
      <c r="AA126" s="418"/>
      <c r="AB126" s="418"/>
      <c r="AC126" s="418"/>
      <c r="AD126" s="418"/>
      <c r="AE126" s="418"/>
      <c r="AF126" s="418"/>
      <c r="AG126" s="418"/>
      <c r="AH126" s="418"/>
      <c r="AI126" s="418"/>
      <c r="AJ126" s="418"/>
      <c r="AK126" s="418"/>
      <c r="AL126" s="418"/>
      <c r="AM126" s="418"/>
      <c r="AN126" s="418"/>
      <c r="AO126" s="418"/>
      <c r="AP126" s="418"/>
      <c r="AQ126" s="418"/>
      <c r="AR126" s="418"/>
      <c r="AS126" s="418"/>
      <c r="AT126" s="418"/>
      <c r="AU126" s="418"/>
      <c r="AV126" s="418"/>
      <c r="AW126" s="418"/>
      <c r="AX126" s="418"/>
      <c r="AY126" s="418"/>
      <c r="AZ126" s="418"/>
      <c r="BA126" s="418"/>
      <c r="BC126" s="312"/>
    </row>
    <row r="127" spans="1:55" ht="15.75" customHeight="1">
      <c r="A127" s="415"/>
      <c r="B127" s="509"/>
      <c r="C127" s="424"/>
      <c r="D127" s="418"/>
      <c r="E127" s="418"/>
      <c r="F127" s="419"/>
      <c r="G127" s="420"/>
      <c r="H127" s="421"/>
      <c r="I127" s="425"/>
      <c r="J127" s="424"/>
      <c r="K127" s="418"/>
      <c r="L127" s="418"/>
      <c r="M127" s="418"/>
      <c r="N127" s="418"/>
      <c r="O127" s="418"/>
      <c r="P127" s="418"/>
      <c r="Q127" s="418"/>
      <c r="R127" s="418"/>
      <c r="S127" s="418"/>
      <c r="T127" s="418"/>
      <c r="U127" s="418"/>
      <c r="V127" s="418"/>
      <c r="W127" s="418"/>
      <c r="X127" s="418"/>
      <c r="Y127" s="418"/>
      <c r="Z127" s="418"/>
      <c r="AA127" s="418"/>
      <c r="AB127" s="418"/>
      <c r="AC127" s="418"/>
      <c r="AD127" s="418"/>
      <c r="AE127" s="418"/>
      <c r="AF127" s="418"/>
      <c r="AG127" s="418"/>
      <c r="AH127" s="418"/>
      <c r="AI127" s="418"/>
      <c r="AJ127" s="418"/>
      <c r="AK127" s="418"/>
      <c r="AL127" s="418"/>
      <c r="AM127" s="418"/>
      <c r="AN127" s="418"/>
      <c r="AO127" s="418"/>
      <c r="AP127" s="418"/>
      <c r="AQ127" s="418"/>
      <c r="AR127" s="418"/>
      <c r="AS127" s="418"/>
      <c r="AT127" s="418"/>
      <c r="AU127" s="418"/>
      <c r="AV127" s="418"/>
      <c r="AW127" s="418"/>
      <c r="AX127" s="418"/>
      <c r="AY127" s="418"/>
      <c r="AZ127" s="418"/>
      <c r="BA127" s="418"/>
      <c r="BC127" s="312"/>
    </row>
    <row r="128" spans="1:55" ht="15.75" customHeight="1">
      <c r="A128" s="415"/>
      <c r="B128" s="509"/>
      <c r="C128" s="424"/>
      <c r="D128" s="418"/>
      <c r="E128" s="418"/>
      <c r="F128" s="419"/>
      <c r="G128" s="420"/>
      <c r="H128" s="421"/>
      <c r="I128" s="421"/>
      <c r="J128" s="424"/>
      <c r="K128" s="418"/>
      <c r="L128" s="418"/>
      <c r="M128" s="418"/>
      <c r="N128" s="418"/>
      <c r="O128" s="418"/>
      <c r="P128" s="418"/>
      <c r="Q128" s="418"/>
      <c r="R128" s="418"/>
      <c r="S128" s="418"/>
      <c r="T128" s="418"/>
      <c r="U128" s="418"/>
      <c r="V128" s="418"/>
      <c r="W128" s="418"/>
      <c r="X128" s="418"/>
      <c r="Y128" s="418"/>
      <c r="Z128" s="418"/>
      <c r="AA128" s="418"/>
      <c r="AB128" s="418"/>
      <c r="AC128" s="418"/>
      <c r="AD128" s="418"/>
      <c r="AE128" s="418"/>
      <c r="AF128" s="418"/>
      <c r="AG128" s="418"/>
      <c r="AH128" s="418"/>
      <c r="AI128" s="418"/>
      <c r="AJ128" s="418"/>
      <c r="AK128" s="418"/>
      <c r="AL128" s="418"/>
      <c r="AM128" s="418"/>
      <c r="AN128" s="418"/>
      <c r="AO128" s="418"/>
      <c r="AP128" s="418"/>
      <c r="AQ128" s="418"/>
      <c r="AR128" s="418"/>
      <c r="AS128" s="418"/>
      <c r="AT128" s="418"/>
      <c r="AU128" s="418"/>
      <c r="AV128" s="418"/>
      <c r="AW128" s="418"/>
      <c r="AX128" s="418"/>
      <c r="AY128" s="418"/>
      <c r="AZ128" s="418"/>
      <c r="BA128" s="418"/>
      <c r="BC128" s="312"/>
    </row>
    <row r="129" spans="1:55" ht="15.75" customHeight="1">
      <c r="A129" s="415"/>
      <c r="B129" s="509"/>
      <c r="C129" s="424"/>
      <c r="D129" s="418"/>
      <c r="E129" s="418"/>
      <c r="F129" s="419"/>
      <c r="G129" s="420"/>
      <c r="H129" s="421"/>
      <c r="I129" s="425"/>
      <c r="J129" s="424"/>
      <c r="K129" s="418"/>
      <c r="L129" s="418"/>
      <c r="M129" s="418"/>
      <c r="N129" s="418"/>
      <c r="O129" s="418"/>
      <c r="P129" s="418"/>
      <c r="Q129" s="418"/>
      <c r="R129" s="418"/>
      <c r="S129" s="418"/>
      <c r="T129" s="418"/>
      <c r="U129" s="418"/>
      <c r="V129" s="418"/>
      <c r="W129" s="418"/>
      <c r="X129" s="418"/>
      <c r="Y129" s="418"/>
      <c r="Z129" s="418"/>
      <c r="AA129" s="418"/>
      <c r="AB129" s="418"/>
      <c r="AC129" s="418"/>
      <c r="AD129" s="418"/>
      <c r="AE129" s="418"/>
      <c r="AF129" s="418"/>
      <c r="AG129" s="418"/>
      <c r="AH129" s="418"/>
      <c r="AI129" s="418"/>
      <c r="AJ129" s="418"/>
      <c r="AK129" s="418"/>
      <c r="AL129" s="418"/>
      <c r="AM129" s="418"/>
      <c r="AN129" s="418"/>
      <c r="AO129" s="418"/>
      <c r="AP129" s="418"/>
      <c r="AQ129" s="418"/>
      <c r="AR129" s="418"/>
      <c r="AS129" s="418"/>
      <c r="AT129" s="418"/>
      <c r="AU129" s="418"/>
      <c r="AV129" s="418"/>
      <c r="AW129" s="418"/>
      <c r="AX129" s="418"/>
      <c r="AY129" s="418"/>
      <c r="AZ129" s="418"/>
      <c r="BA129" s="418"/>
      <c r="BC129" s="312"/>
    </row>
    <row r="130" spans="1:55" ht="15.75" customHeight="1">
      <c r="A130" s="415"/>
      <c r="B130" s="509"/>
      <c r="C130" s="424"/>
      <c r="D130" s="418"/>
      <c r="E130" s="418"/>
      <c r="F130" s="419"/>
      <c r="G130" s="420"/>
      <c r="H130" s="421"/>
      <c r="I130" s="425"/>
      <c r="J130" s="424"/>
      <c r="K130" s="418"/>
      <c r="L130" s="418"/>
      <c r="M130" s="418"/>
      <c r="N130" s="418"/>
      <c r="O130" s="418"/>
      <c r="P130" s="418"/>
      <c r="Q130" s="418"/>
      <c r="R130" s="418"/>
      <c r="S130" s="418"/>
      <c r="T130" s="418"/>
      <c r="U130" s="418"/>
      <c r="V130" s="418"/>
      <c r="W130" s="418"/>
      <c r="X130" s="418"/>
      <c r="Y130" s="418"/>
      <c r="Z130" s="418"/>
      <c r="AA130" s="418"/>
      <c r="AB130" s="418"/>
      <c r="AC130" s="418"/>
      <c r="AD130" s="418"/>
      <c r="AE130" s="418"/>
      <c r="AF130" s="418"/>
      <c r="AG130" s="418"/>
      <c r="AH130" s="418"/>
      <c r="AI130" s="418"/>
      <c r="AJ130" s="418"/>
      <c r="AK130" s="418"/>
      <c r="AL130" s="418"/>
      <c r="AM130" s="418"/>
      <c r="AN130" s="418"/>
      <c r="AO130" s="418"/>
      <c r="AP130" s="418"/>
      <c r="AQ130" s="418"/>
      <c r="AR130" s="418"/>
      <c r="AS130" s="418"/>
      <c r="AT130" s="418"/>
      <c r="AU130" s="418"/>
      <c r="AV130" s="418"/>
      <c r="AW130" s="418"/>
      <c r="AX130" s="418"/>
      <c r="AY130" s="418"/>
      <c r="AZ130" s="418"/>
      <c r="BA130" s="418"/>
      <c r="BC130" s="312"/>
    </row>
    <row r="131" spans="1:55" ht="15.75" customHeight="1">
      <c r="A131" s="415"/>
      <c r="B131" s="509"/>
      <c r="C131" s="424"/>
      <c r="D131" s="418"/>
      <c r="E131" s="418"/>
      <c r="F131" s="419"/>
      <c r="G131" s="420"/>
      <c r="H131" s="421"/>
      <c r="I131" s="425"/>
      <c r="J131" s="424"/>
      <c r="K131" s="418"/>
      <c r="L131" s="418"/>
      <c r="M131" s="418"/>
      <c r="N131" s="418"/>
      <c r="O131" s="418"/>
      <c r="P131" s="418"/>
      <c r="Q131" s="418"/>
      <c r="R131" s="418"/>
      <c r="S131" s="418"/>
      <c r="T131" s="418"/>
      <c r="U131" s="418"/>
      <c r="V131" s="418"/>
      <c r="W131" s="418"/>
      <c r="X131" s="418"/>
      <c r="Y131" s="418"/>
      <c r="Z131" s="418"/>
      <c r="AA131" s="418"/>
      <c r="AB131" s="418"/>
      <c r="AC131" s="418"/>
      <c r="AD131" s="418"/>
      <c r="AE131" s="418"/>
      <c r="AF131" s="418"/>
      <c r="AG131" s="418"/>
      <c r="AH131" s="418"/>
      <c r="AI131" s="418"/>
      <c r="AJ131" s="418"/>
      <c r="AK131" s="418"/>
      <c r="AL131" s="418"/>
      <c r="AM131" s="418"/>
      <c r="AN131" s="418"/>
      <c r="AO131" s="418"/>
      <c r="AP131" s="418"/>
      <c r="AQ131" s="418"/>
      <c r="AR131" s="418"/>
      <c r="AS131" s="418"/>
      <c r="AT131" s="418"/>
      <c r="AU131" s="418"/>
      <c r="AV131" s="418"/>
      <c r="AW131" s="418"/>
      <c r="AX131" s="418"/>
      <c r="AY131" s="418"/>
      <c r="AZ131" s="418"/>
      <c r="BA131" s="418"/>
      <c r="BC131" s="312"/>
    </row>
    <row r="132" spans="1:55" ht="15.75" customHeight="1">
      <c r="A132" s="415"/>
      <c r="B132" s="509"/>
      <c r="C132" s="424"/>
      <c r="D132" s="418"/>
      <c r="E132" s="418"/>
      <c r="F132" s="419"/>
      <c r="G132" s="420"/>
      <c r="H132" s="421"/>
      <c r="I132" s="425"/>
      <c r="J132" s="424"/>
      <c r="K132" s="418"/>
      <c r="L132" s="418"/>
      <c r="M132" s="418"/>
      <c r="N132" s="418"/>
      <c r="O132" s="418"/>
      <c r="P132" s="418"/>
      <c r="Q132" s="418"/>
      <c r="R132" s="418"/>
      <c r="S132" s="418"/>
      <c r="T132" s="418"/>
      <c r="U132" s="418"/>
      <c r="V132" s="418"/>
      <c r="W132" s="418"/>
      <c r="X132" s="418"/>
      <c r="Y132" s="418"/>
      <c r="Z132" s="418"/>
      <c r="AA132" s="418"/>
      <c r="AB132" s="418"/>
      <c r="AC132" s="418"/>
      <c r="AD132" s="418"/>
      <c r="AE132" s="418"/>
      <c r="AF132" s="418"/>
      <c r="AG132" s="418"/>
      <c r="AH132" s="418"/>
      <c r="AI132" s="418"/>
      <c r="AJ132" s="418"/>
      <c r="AK132" s="418"/>
      <c r="AL132" s="418"/>
      <c r="AM132" s="418"/>
      <c r="AN132" s="418"/>
      <c r="AO132" s="418"/>
      <c r="AP132" s="418"/>
      <c r="AQ132" s="418"/>
      <c r="AR132" s="418"/>
      <c r="AS132" s="418"/>
      <c r="AT132" s="418"/>
      <c r="AU132" s="418"/>
      <c r="AV132" s="418"/>
      <c r="AW132" s="418"/>
      <c r="AX132" s="418"/>
      <c r="AY132" s="418"/>
      <c r="AZ132" s="418"/>
      <c r="BA132" s="418"/>
      <c r="BC132" s="312"/>
    </row>
    <row r="133" spans="1:55" ht="15.75" customHeight="1">
      <c r="A133" s="415"/>
      <c r="B133" s="509"/>
      <c r="C133" s="424"/>
      <c r="D133" s="418"/>
      <c r="E133" s="418"/>
      <c r="F133" s="419"/>
      <c r="G133" s="420"/>
      <c r="H133" s="421"/>
      <c r="I133" s="425"/>
      <c r="J133" s="424"/>
      <c r="K133" s="418"/>
      <c r="L133" s="418"/>
      <c r="M133" s="418"/>
      <c r="N133" s="418"/>
      <c r="O133" s="418"/>
      <c r="P133" s="418"/>
      <c r="Q133" s="418"/>
      <c r="R133" s="418"/>
      <c r="S133" s="418"/>
      <c r="T133" s="418"/>
      <c r="U133" s="418"/>
      <c r="V133" s="418"/>
      <c r="W133" s="418"/>
      <c r="X133" s="418"/>
      <c r="Y133" s="418"/>
      <c r="Z133" s="418"/>
      <c r="AA133" s="418"/>
      <c r="AB133" s="418"/>
      <c r="AC133" s="418"/>
      <c r="AD133" s="418"/>
      <c r="AE133" s="418"/>
      <c r="AF133" s="418"/>
      <c r="AG133" s="418"/>
      <c r="AH133" s="418"/>
      <c r="AI133" s="418"/>
      <c r="AJ133" s="418"/>
      <c r="AK133" s="418"/>
      <c r="AL133" s="418"/>
      <c r="AM133" s="418"/>
      <c r="AN133" s="418"/>
      <c r="AO133" s="418"/>
      <c r="AP133" s="418"/>
      <c r="AQ133" s="418"/>
      <c r="AR133" s="418"/>
      <c r="AS133" s="418"/>
      <c r="AT133" s="418"/>
      <c r="AU133" s="418"/>
      <c r="AV133" s="418"/>
      <c r="AW133" s="418"/>
      <c r="AX133" s="418"/>
      <c r="AY133" s="418"/>
      <c r="AZ133" s="418"/>
      <c r="BA133" s="418"/>
      <c r="BC133" s="312"/>
    </row>
    <row r="134" spans="1:55" ht="15.75" customHeight="1">
      <c r="A134" s="415"/>
      <c r="B134" s="509"/>
      <c r="C134" s="424"/>
      <c r="D134" s="418"/>
      <c r="E134" s="418"/>
      <c r="F134" s="419"/>
      <c r="G134" s="420"/>
      <c r="H134" s="421"/>
      <c r="I134" s="425"/>
      <c r="J134" s="424"/>
      <c r="K134" s="418"/>
      <c r="L134" s="418"/>
      <c r="M134" s="418"/>
      <c r="N134" s="418"/>
      <c r="O134" s="418"/>
      <c r="P134" s="418"/>
      <c r="Q134" s="418"/>
      <c r="R134" s="418"/>
      <c r="S134" s="418"/>
      <c r="T134" s="418"/>
      <c r="U134" s="418"/>
      <c r="V134" s="418"/>
      <c r="W134" s="418"/>
      <c r="X134" s="418"/>
      <c r="Y134" s="418"/>
      <c r="Z134" s="418"/>
      <c r="AA134" s="418"/>
      <c r="AB134" s="418"/>
      <c r="AC134" s="418"/>
      <c r="AD134" s="418"/>
      <c r="AE134" s="418"/>
      <c r="AF134" s="418"/>
      <c r="AG134" s="418"/>
      <c r="AH134" s="418"/>
      <c r="AI134" s="418"/>
      <c r="AJ134" s="418"/>
      <c r="AK134" s="418"/>
      <c r="AL134" s="418"/>
      <c r="AM134" s="418"/>
      <c r="AN134" s="418"/>
      <c r="AO134" s="418"/>
      <c r="AP134" s="418"/>
      <c r="AQ134" s="418"/>
      <c r="AR134" s="418"/>
      <c r="AS134" s="418"/>
      <c r="AT134" s="418"/>
      <c r="AU134" s="418"/>
      <c r="AV134" s="418"/>
      <c r="AW134" s="418"/>
      <c r="AX134" s="418"/>
      <c r="AY134" s="418"/>
      <c r="AZ134" s="418"/>
      <c r="BA134" s="418"/>
      <c r="BC134" s="312"/>
    </row>
    <row r="135" spans="1:55" ht="15.75" customHeight="1">
      <c r="A135" s="415"/>
      <c r="B135" s="509"/>
      <c r="C135" s="424"/>
      <c r="D135" s="418"/>
      <c r="E135" s="418"/>
      <c r="F135" s="419"/>
      <c r="G135" s="420"/>
      <c r="H135" s="421"/>
      <c r="I135" s="425"/>
      <c r="J135" s="424"/>
      <c r="K135" s="418"/>
      <c r="L135" s="418"/>
      <c r="M135" s="418"/>
      <c r="N135" s="418"/>
      <c r="O135" s="418"/>
      <c r="P135" s="418"/>
      <c r="Q135" s="418"/>
      <c r="R135" s="418"/>
      <c r="S135" s="418"/>
      <c r="T135" s="418"/>
      <c r="U135" s="418"/>
      <c r="V135" s="418"/>
      <c r="W135" s="418"/>
      <c r="X135" s="418"/>
      <c r="Y135" s="418"/>
      <c r="Z135" s="418"/>
      <c r="AA135" s="418"/>
      <c r="AB135" s="418"/>
      <c r="AC135" s="418"/>
      <c r="AD135" s="418"/>
      <c r="AE135" s="418"/>
      <c r="AF135" s="418"/>
      <c r="AG135" s="418"/>
      <c r="AH135" s="418"/>
      <c r="AI135" s="418"/>
      <c r="AJ135" s="418"/>
      <c r="AK135" s="418"/>
      <c r="AL135" s="418"/>
      <c r="AM135" s="418"/>
      <c r="AN135" s="418"/>
      <c r="AO135" s="418"/>
      <c r="AP135" s="418"/>
      <c r="AQ135" s="418"/>
      <c r="AR135" s="418"/>
      <c r="AS135" s="418"/>
      <c r="AT135" s="418"/>
      <c r="AU135" s="418"/>
      <c r="AV135" s="418"/>
      <c r="AW135" s="418"/>
      <c r="AX135" s="418"/>
      <c r="AY135" s="418"/>
      <c r="AZ135" s="418"/>
      <c r="BA135" s="418"/>
      <c r="BC135" s="312"/>
    </row>
    <row r="136" spans="1:55" ht="15.75" customHeight="1">
      <c r="A136" s="415"/>
      <c r="B136" s="509"/>
      <c r="C136" s="424"/>
      <c r="D136" s="418"/>
      <c r="E136" s="418"/>
      <c r="F136" s="419"/>
      <c r="G136" s="420"/>
      <c r="H136" s="421"/>
      <c r="I136" s="425"/>
      <c r="J136" s="424"/>
      <c r="K136" s="418"/>
      <c r="L136" s="418"/>
      <c r="M136" s="418"/>
      <c r="N136" s="418"/>
      <c r="O136" s="418"/>
      <c r="P136" s="418"/>
      <c r="Q136" s="418"/>
      <c r="R136" s="418"/>
      <c r="S136" s="418"/>
      <c r="T136" s="418"/>
      <c r="U136" s="418"/>
      <c r="V136" s="418"/>
      <c r="W136" s="418"/>
      <c r="X136" s="418"/>
      <c r="Y136" s="418"/>
      <c r="Z136" s="418"/>
      <c r="AA136" s="418"/>
      <c r="AB136" s="418"/>
      <c r="AC136" s="418"/>
      <c r="AD136" s="418"/>
      <c r="AE136" s="418"/>
      <c r="AF136" s="418"/>
      <c r="AG136" s="418"/>
      <c r="AH136" s="418"/>
      <c r="AI136" s="418"/>
      <c r="AJ136" s="418"/>
      <c r="AK136" s="418"/>
      <c r="AL136" s="418"/>
      <c r="AM136" s="418"/>
      <c r="AN136" s="418"/>
      <c r="AO136" s="418"/>
      <c r="AP136" s="418"/>
      <c r="AQ136" s="418"/>
      <c r="AR136" s="418"/>
      <c r="AS136" s="418"/>
      <c r="AT136" s="418"/>
      <c r="AU136" s="418"/>
      <c r="AV136" s="418"/>
      <c r="AW136" s="418"/>
      <c r="AX136" s="418"/>
      <c r="AY136" s="418"/>
      <c r="AZ136" s="418"/>
      <c r="BA136" s="418"/>
      <c r="BC136" s="312"/>
    </row>
    <row r="137" spans="1:55" ht="15.75" customHeight="1">
      <c r="A137" s="415"/>
      <c r="B137" s="509"/>
      <c r="C137" s="424"/>
      <c r="D137" s="418"/>
      <c r="E137" s="418"/>
      <c r="F137" s="419"/>
      <c r="G137" s="420"/>
      <c r="H137" s="421"/>
      <c r="I137" s="425"/>
      <c r="J137" s="424"/>
      <c r="K137" s="418"/>
      <c r="L137" s="418"/>
      <c r="M137" s="418"/>
      <c r="N137" s="418"/>
      <c r="O137" s="418"/>
      <c r="P137" s="418"/>
      <c r="Q137" s="418"/>
      <c r="R137" s="418"/>
      <c r="S137" s="418"/>
      <c r="T137" s="418"/>
      <c r="U137" s="418"/>
      <c r="V137" s="418"/>
      <c r="W137" s="418"/>
      <c r="X137" s="418"/>
      <c r="Y137" s="418"/>
      <c r="Z137" s="418"/>
      <c r="AA137" s="418"/>
      <c r="AB137" s="418"/>
      <c r="AC137" s="418"/>
      <c r="AD137" s="418"/>
      <c r="AE137" s="418"/>
      <c r="AF137" s="418"/>
      <c r="AG137" s="418"/>
      <c r="AH137" s="418"/>
      <c r="AI137" s="418"/>
      <c r="AJ137" s="418"/>
      <c r="AK137" s="418"/>
      <c r="AL137" s="418"/>
      <c r="AM137" s="418"/>
      <c r="AN137" s="418"/>
      <c r="AO137" s="418"/>
      <c r="AP137" s="418"/>
      <c r="AQ137" s="418"/>
      <c r="AR137" s="418"/>
      <c r="AS137" s="418"/>
      <c r="AT137" s="418"/>
      <c r="AU137" s="418"/>
      <c r="AV137" s="418"/>
      <c r="AW137" s="418"/>
      <c r="AX137" s="418"/>
      <c r="AY137" s="418"/>
      <c r="AZ137" s="418"/>
      <c r="BA137" s="418"/>
      <c r="BC137" s="312"/>
    </row>
    <row r="138" spans="1:55" ht="15.75" customHeight="1">
      <c r="A138" s="415"/>
      <c r="B138" s="509"/>
      <c r="C138" s="424"/>
      <c r="D138" s="418"/>
      <c r="E138" s="418"/>
      <c r="F138" s="419"/>
      <c r="G138" s="420"/>
      <c r="H138" s="421"/>
      <c r="I138" s="425"/>
      <c r="J138" s="424"/>
      <c r="K138" s="418"/>
      <c r="L138" s="418"/>
      <c r="M138" s="418"/>
      <c r="N138" s="418"/>
      <c r="O138" s="418"/>
      <c r="P138" s="418"/>
      <c r="Q138" s="418"/>
      <c r="R138" s="418"/>
      <c r="S138" s="418"/>
      <c r="T138" s="418"/>
      <c r="U138" s="418"/>
      <c r="V138" s="418"/>
      <c r="W138" s="418"/>
      <c r="X138" s="418"/>
      <c r="Y138" s="418"/>
      <c r="Z138" s="418"/>
      <c r="AA138" s="418"/>
      <c r="AB138" s="418"/>
      <c r="AC138" s="418"/>
      <c r="AD138" s="418"/>
      <c r="AE138" s="418"/>
      <c r="AF138" s="418"/>
      <c r="AG138" s="418"/>
      <c r="AH138" s="418"/>
      <c r="AI138" s="418"/>
      <c r="AJ138" s="418"/>
      <c r="AK138" s="418"/>
      <c r="AL138" s="418"/>
      <c r="AM138" s="418"/>
      <c r="AN138" s="418"/>
      <c r="AO138" s="418"/>
      <c r="AP138" s="418"/>
      <c r="AQ138" s="418"/>
      <c r="AR138" s="418"/>
      <c r="AS138" s="418"/>
      <c r="AT138" s="418"/>
      <c r="AU138" s="418"/>
      <c r="AV138" s="418"/>
      <c r="AW138" s="418"/>
      <c r="AX138" s="418"/>
      <c r="AY138" s="418"/>
      <c r="AZ138" s="418"/>
      <c r="BA138" s="418"/>
      <c r="BC138" s="312"/>
    </row>
    <row r="139" spans="1:55" ht="15.75" customHeight="1">
      <c r="A139" s="415"/>
      <c r="B139" s="509"/>
      <c r="C139" s="424"/>
      <c r="D139" s="418"/>
      <c r="E139" s="418"/>
      <c r="F139" s="419"/>
      <c r="G139" s="420"/>
      <c r="H139" s="421"/>
      <c r="I139" s="425"/>
      <c r="J139" s="424"/>
      <c r="K139" s="418"/>
      <c r="L139" s="418"/>
      <c r="M139" s="418"/>
      <c r="N139" s="418"/>
      <c r="O139" s="418"/>
      <c r="P139" s="418"/>
      <c r="Q139" s="418"/>
      <c r="R139" s="418"/>
      <c r="S139" s="418"/>
      <c r="T139" s="418"/>
      <c r="U139" s="418"/>
      <c r="V139" s="418"/>
      <c r="W139" s="418"/>
      <c r="X139" s="418"/>
      <c r="Y139" s="418"/>
      <c r="Z139" s="418"/>
      <c r="AA139" s="418"/>
      <c r="AB139" s="418"/>
      <c r="AC139" s="418"/>
      <c r="AD139" s="418"/>
      <c r="AE139" s="418"/>
      <c r="AF139" s="418"/>
      <c r="AG139" s="418"/>
      <c r="AH139" s="418"/>
      <c r="AI139" s="418"/>
      <c r="AJ139" s="418"/>
      <c r="AK139" s="418"/>
      <c r="AL139" s="418"/>
      <c r="AM139" s="418"/>
      <c r="AN139" s="418"/>
      <c r="AO139" s="418"/>
      <c r="AP139" s="418"/>
      <c r="AQ139" s="418"/>
      <c r="AR139" s="418"/>
      <c r="AS139" s="418"/>
      <c r="AT139" s="418"/>
      <c r="AU139" s="418"/>
      <c r="AV139" s="418"/>
      <c r="AW139" s="418"/>
      <c r="AX139" s="418"/>
      <c r="AY139" s="418"/>
      <c r="AZ139" s="418"/>
      <c r="BA139" s="418"/>
      <c r="BC139" s="312"/>
    </row>
    <row r="140" spans="1:55" ht="15.75" customHeight="1">
      <c r="A140" s="415"/>
      <c r="B140" s="509"/>
      <c r="C140" s="424"/>
      <c r="D140" s="418"/>
      <c r="E140" s="418"/>
      <c r="F140" s="419"/>
      <c r="G140" s="420"/>
      <c r="H140" s="421"/>
      <c r="I140" s="425"/>
      <c r="J140" s="424"/>
      <c r="K140" s="418"/>
      <c r="L140" s="418"/>
      <c r="M140" s="418"/>
      <c r="N140" s="418"/>
      <c r="O140" s="418"/>
      <c r="P140" s="418"/>
      <c r="Q140" s="418"/>
      <c r="R140" s="418"/>
      <c r="S140" s="418"/>
      <c r="T140" s="418"/>
      <c r="U140" s="418"/>
      <c r="V140" s="418"/>
      <c r="W140" s="418"/>
      <c r="X140" s="418"/>
      <c r="Y140" s="418"/>
      <c r="Z140" s="418"/>
      <c r="AA140" s="418"/>
      <c r="AB140" s="418"/>
      <c r="AC140" s="418"/>
      <c r="AD140" s="418"/>
      <c r="AE140" s="418"/>
      <c r="AF140" s="418"/>
      <c r="AG140" s="418"/>
      <c r="AH140" s="418"/>
      <c r="AI140" s="418"/>
      <c r="AJ140" s="418"/>
      <c r="AK140" s="418"/>
      <c r="AL140" s="418"/>
      <c r="AM140" s="418"/>
      <c r="AN140" s="418"/>
      <c r="AO140" s="418"/>
      <c r="AP140" s="418"/>
      <c r="AQ140" s="418"/>
      <c r="AR140" s="418"/>
      <c r="AS140" s="418"/>
      <c r="AT140" s="418"/>
      <c r="AU140" s="418"/>
      <c r="AV140" s="418"/>
      <c r="AW140" s="418"/>
      <c r="AX140" s="418"/>
      <c r="AY140" s="418"/>
      <c r="AZ140" s="418"/>
      <c r="BA140" s="418"/>
      <c r="BC140" s="312"/>
    </row>
    <row r="141" spans="1:55" ht="15.75" customHeight="1">
      <c r="A141" s="415"/>
      <c r="B141" s="509"/>
      <c r="C141" s="424"/>
      <c r="D141" s="418"/>
      <c r="E141" s="418"/>
      <c r="F141" s="419"/>
      <c r="G141" s="420"/>
      <c r="H141" s="421"/>
      <c r="I141" s="425"/>
      <c r="J141" s="424"/>
      <c r="K141" s="418"/>
      <c r="L141" s="418"/>
      <c r="M141" s="418"/>
      <c r="N141" s="418"/>
      <c r="O141" s="418"/>
      <c r="P141" s="418"/>
      <c r="Q141" s="418"/>
      <c r="R141" s="418"/>
      <c r="S141" s="418"/>
      <c r="T141" s="418"/>
      <c r="U141" s="418"/>
      <c r="V141" s="418"/>
      <c r="W141" s="418"/>
      <c r="X141" s="418"/>
      <c r="Y141" s="418"/>
      <c r="Z141" s="418"/>
      <c r="AA141" s="418"/>
      <c r="AB141" s="418"/>
      <c r="AC141" s="418"/>
      <c r="AD141" s="418"/>
      <c r="AE141" s="418"/>
      <c r="AF141" s="418"/>
      <c r="AG141" s="418"/>
      <c r="AH141" s="418"/>
      <c r="AI141" s="418"/>
      <c r="AJ141" s="418"/>
      <c r="AK141" s="418"/>
      <c r="AL141" s="418"/>
      <c r="AM141" s="418"/>
      <c r="AN141" s="418"/>
      <c r="AO141" s="418"/>
      <c r="AP141" s="418"/>
      <c r="AQ141" s="418"/>
      <c r="AR141" s="418"/>
      <c r="AS141" s="418"/>
      <c r="AT141" s="418"/>
      <c r="AU141" s="418"/>
      <c r="AV141" s="418"/>
      <c r="AW141" s="418"/>
      <c r="AX141" s="418"/>
      <c r="AY141" s="418"/>
      <c r="AZ141" s="418"/>
      <c r="BA141" s="418"/>
      <c r="BC141" s="312"/>
    </row>
    <row r="142" spans="1:55" ht="15.75" customHeight="1">
      <c r="A142" s="415"/>
      <c r="B142" s="509"/>
      <c r="C142" s="424"/>
      <c r="D142" s="418"/>
      <c r="E142" s="418"/>
      <c r="F142" s="419"/>
      <c r="G142" s="420"/>
      <c r="H142" s="421"/>
      <c r="I142" s="425"/>
      <c r="J142" s="424"/>
      <c r="K142" s="418"/>
      <c r="L142" s="418"/>
      <c r="M142" s="418"/>
      <c r="N142" s="418"/>
      <c r="O142" s="418"/>
      <c r="P142" s="418"/>
      <c r="Q142" s="418"/>
      <c r="R142" s="418"/>
      <c r="S142" s="418"/>
      <c r="T142" s="418"/>
      <c r="U142" s="418"/>
      <c r="V142" s="418"/>
      <c r="W142" s="418"/>
      <c r="X142" s="418"/>
      <c r="Y142" s="418"/>
      <c r="Z142" s="418"/>
      <c r="AA142" s="418"/>
      <c r="AB142" s="418"/>
      <c r="AC142" s="418"/>
      <c r="AD142" s="418"/>
      <c r="AE142" s="418"/>
      <c r="AF142" s="418"/>
      <c r="AG142" s="418"/>
      <c r="AH142" s="418"/>
      <c r="AI142" s="418"/>
      <c r="AJ142" s="418"/>
      <c r="AK142" s="418"/>
      <c r="AL142" s="418"/>
      <c r="AM142" s="418"/>
      <c r="AN142" s="418"/>
      <c r="AO142" s="418"/>
      <c r="AP142" s="418"/>
      <c r="AQ142" s="418"/>
      <c r="AR142" s="418"/>
      <c r="AS142" s="418"/>
      <c r="AT142" s="418"/>
      <c r="AU142" s="418"/>
      <c r="AV142" s="418"/>
      <c r="AW142" s="418"/>
      <c r="AX142" s="418"/>
      <c r="AY142" s="418"/>
      <c r="AZ142" s="418"/>
      <c r="BA142" s="418"/>
      <c r="BC142" s="312"/>
    </row>
    <row r="143" spans="1:55" ht="15.75" customHeight="1">
      <c r="A143" s="415"/>
      <c r="B143" s="509"/>
      <c r="C143" s="424"/>
      <c r="D143" s="418"/>
      <c r="E143" s="418"/>
      <c r="F143" s="419"/>
      <c r="G143" s="420"/>
      <c r="H143" s="421"/>
      <c r="I143" s="425"/>
      <c r="J143" s="424"/>
      <c r="K143" s="418"/>
      <c r="L143" s="418"/>
      <c r="M143" s="418"/>
      <c r="N143" s="418"/>
      <c r="O143" s="418"/>
      <c r="P143" s="418"/>
      <c r="Q143" s="418"/>
      <c r="R143" s="418"/>
      <c r="S143" s="418"/>
      <c r="T143" s="418"/>
      <c r="U143" s="418"/>
      <c r="V143" s="418"/>
      <c r="W143" s="418"/>
      <c r="X143" s="418"/>
      <c r="Y143" s="418"/>
      <c r="Z143" s="418"/>
      <c r="AA143" s="418"/>
      <c r="AB143" s="418"/>
      <c r="AC143" s="418"/>
      <c r="AD143" s="418"/>
      <c r="AE143" s="418"/>
      <c r="AF143" s="418"/>
      <c r="AG143" s="418"/>
      <c r="AH143" s="418"/>
      <c r="AI143" s="418"/>
      <c r="AJ143" s="418"/>
      <c r="AK143" s="418"/>
      <c r="AL143" s="418"/>
      <c r="AM143" s="418"/>
      <c r="AN143" s="418"/>
      <c r="AO143" s="418"/>
      <c r="AP143" s="418"/>
      <c r="AQ143" s="418"/>
      <c r="AR143" s="418"/>
      <c r="AS143" s="418"/>
      <c r="AT143" s="418"/>
      <c r="AU143" s="418"/>
      <c r="AV143" s="418"/>
      <c r="AW143" s="418"/>
      <c r="AX143" s="418"/>
      <c r="AY143" s="418"/>
      <c r="AZ143" s="418"/>
      <c r="BA143" s="418"/>
      <c r="BC143" s="312"/>
    </row>
    <row r="144" spans="1:55" ht="15.75" customHeight="1">
      <c r="A144" s="415"/>
      <c r="B144" s="509"/>
      <c r="C144" s="424"/>
      <c r="D144" s="418"/>
      <c r="E144" s="418"/>
      <c r="F144" s="419"/>
      <c r="G144" s="420"/>
      <c r="H144" s="421"/>
      <c r="I144" s="425"/>
      <c r="J144" s="424"/>
      <c r="K144" s="418"/>
      <c r="L144" s="418"/>
      <c r="M144" s="418"/>
      <c r="N144" s="418"/>
      <c r="O144" s="418"/>
      <c r="P144" s="418"/>
      <c r="Q144" s="418"/>
      <c r="R144" s="418"/>
      <c r="S144" s="418"/>
      <c r="T144" s="418"/>
      <c r="U144" s="418"/>
      <c r="V144" s="418"/>
      <c r="W144" s="418"/>
      <c r="X144" s="418"/>
      <c r="Y144" s="418"/>
      <c r="Z144" s="418"/>
      <c r="AA144" s="418"/>
      <c r="AB144" s="418"/>
      <c r="AC144" s="418"/>
      <c r="AD144" s="418"/>
      <c r="AE144" s="418"/>
      <c r="AF144" s="418"/>
      <c r="AG144" s="418"/>
      <c r="AH144" s="418"/>
      <c r="AI144" s="418"/>
      <c r="AJ144" s="418"/>
      <c r="AK144" s="418"/>
      <c r="AL144" s="418"/>
      <c r="AM144" s="418"/>
      <c r="AN144" s="418"/>
      <c r="AO144" s="418"/>
      <c r="AP144" s="418"/>
      <c r="AQ144" s="418"/>
      <c r="AR144" s="418"/>
      <c r="AS144" s="418"/>
      <c r="AT144" s="418"/>
      <c r="AU144" s="418"/>
      <c r="AV144" s="418"/>
      <c r="AW144" s="418"/>
      <c r="AX144" s="418"/>
      <c r="AY144" s="418"/>
      <c r="AZ144" s="418"/>
      <c r="BA144" s="418"/>
      <c r="BC144" s="312"/>
    </row>
    <row r="145" spans="1:55" ht="15.75" customHeight="1">
      <c r="A145" s="421"/>
      <c r="B145" s="416"/>
      <c r="C145" s="424"/>
      <c r="D145" s="416"/>
      <c r="E145" s="419"/>
      <c r="F145" s="419"/>
      <c r="G145" s="419"/>
      <c r="H145" s="421"/>
      <c r="I145" s="421"/>
      <c r="J145" s="492"/>
      <c r="K145" s="418"/>
      <c r="L145" s="418"/>
      <c r="M145" s="418"/>
      <c r="N145" s="421"/>
      <c r="O145" s="421"/>
      <c r="P145" s="421"/>
      <c r="Q145" s="418"/>
      <c r="R145" s="418"/>
      <c r="S145" s="418"/>
      <c r="T145" s="418"/>
      <c r="U145" s="418"/>
      <c r="V145" s="418"/>
      <c r="W145" s="418"/>
      <c r="X145" s="418"/>
      <c r="Y145" s="418"/>
      <c r="Z145" s="418"/>
      <c r="AA145" s="418"/>
      <c r="AB145" s="418"/>
      <c r="AC145" s="418"/>
      <c r="AD145" s="418"/>
      <c r="AE145" s="418"/>
      <c r="AF145" s="418"/>
      <c r="AG145" s="418"/>
      <c r="AH145" s="418"/>
      <c r="AI145" s="418"/>
      <c r="AJ145" s="493"/>
      <c r="AK145" s="418"/>
      <c r="AL145" s="418"/>
      <c r="AM145" s="418"/>
      <c r="AN145" s="418"/>
      <c r="AO145" s="418"/>
      <c r="AP145" s="418"/>
      <c r="AQ145" s="418"/>
      <c r="AR145" s="418"/>
      <c r="AS145" s="418"/>
      <c r="AT145" s="418"/>
      <c r="AU145" s="418"/>
      <c r="AV145" s="418"/>
      <c r="AW145" s="418"/>
      <c r="AX145" s="418"/>
      <c r="AY145" s="418"/>
      <c r="AZ145" s="418"/>
      <c r="BA145" s="493"/>
      <c r="BC145" s="312"/>
    </row>
    <row r="146" spans="1:55" ht="15.75" customHeight="1">
      <c r="A146" s="421"/>
      <c r="B146" s="416"/>
      <c r="C146" s="424"/>
      <c r="D146" s="416"/>
      <c r="E146" s="419"/>
      <c r="F146" s="419"/>
      <c r="G146" s="419"/>
      <c r="H146" s="421"/>
      <c r="I146" s="421"/>
      <c r="J146" s="492"/>
      <c r="K146" s="418"/>
      <c r="L146" s="418"/>
      <c r="M146" s="418"/>
      <c r="N146" s="421"/>
      <c r="O146" s="421"/>
      <c r="P146" s="421"/>
      <c r="Q146" s="418"/>
      <c r="R146" s="418"/>
      <c r="S146" s="418"/>
      <c r="T146" s="418"/>
      <c r="U146" s="418"/>
      <c r="V146" s="418"/>
      <c r="W146" s="418"/>
      <c r="X146" s="418"/>
      <c r="Y146" s="418"/>
      <c r="Z146" s="418"/>
      <c r="AA146" s="418"/>
      <c r="AB146" s="418"/>
      <c r="AC146" s="418"/>
      <c r="AD146" s="418"/>
      <c r="AE146" s="418"/>
      <c r="AF146" s="418"/>
      <c r="AG146" s="418"/>
      <c r="AH146" s="418"/>
      <c r="AI146" s="418"/>
      <c r="AJ146" s="493"/>
      <c r="AK146" s="418"/>
      <c r="AL146" s="418"/>
      <c r="AM146" s="418"/>
      <c r="AN146" s="418"/>
      <c r="AO146" s="418"/>
      <c r="AP146" s="418"/>
      <c r="AQ146" s="418"/>
      <c r="AR146" s="418"/>
      <c r="AS146" s="418"/>
      <c r="AT146" s="418"/>
      <c r="AU146" s="418"/>
      <c r="AV146" s="418"/>
      <c r="AW146" s="418"/>
      <c r="AX146" s="418"/>
      <c r="AY146" s="418"/>
      <c r="AZ146" s="418"/>
      <c r="BA146" s="493"/>
      <c r="BC146" s="312"/>
    </row>
    <row r="147" spans="1:55" ht="15.75" customHeight="1">
      <c r="A147" s="421"/>
      <c r="B147" s="416"/>
      <c r="C147" s="424"/>
      <c r="D147" s="416"/>
      <c r="E147" s="419"/>
      <c r="F147" s="419"/>
      <c r="G147" s="419"/>
      <c r="H147" s="421"/>
      <c r="I147" s="421"/>
      <c r="J147" s="492"/>
      <c r="K147" s="418"/>
      <c r="L147" s="418"/>
      <c r="M147" s="418"/>
      <c r="N147" s="421"/>
      <c r="O147" s="421"/>
      <c r="P147" s="421"/>
      <c r="Q147" s="418"/>
      <c r="R147" s="418"/>
      <c r="S147" s="418"/>
      <c r="T147" s="418"/>
      <c r="U147" s="418"/>
      <c r="V147" s="418"/>
      <c r="W147" s="418"/>
      <c r="X147" s="418"/>
      <c r="Y147" s="418"/>
      <c r="Z147" s="418"/>
      <c r="AA147" s="418"/>
      <c r="AB147" s="418"/>
      <c r="AC147" s="418"/>
      <c r="AD147" s="418"/>
      <c r="AE147" s="418"/>
      <c r="AF147" s="418"/>
      <c r="AG147" s="418"/>
      <c r="AH147" s="418"/>
      <c r="AI147" s="418"/>
      <c r="AJ147" s="493"/>
      <c r="AK147" s="418"/>
      <c r="AL147" s="418"/>
      <c r="AM147" s="418"/>
      <c r="AN147" s="418"/>
      <c r="AO147" s="418"/>
      <c r="AP147" s="418"/>
      <c r="AQ147" s="418"/>
      <c r="AR147" s="418"/>
      <c r="AS147" s="418"/>
      <c r="AT147" s="418"/>
      <c r="AU147" s="418"/>
      <c r="AV147" s="418"/>
      <c r="AW147" s="418"/>
      <c r="AX147" s="418"/>
      <c r="AY147" s="418"/>
      <c r="AZ147" s="418"/>
      <c r="BA147" s="493"/>
      <c r="BC147" s="312"/>
    </row>
    <row r="148" spans="1:55" ht="15.75" customHeight="1">
      <c r="A148" s="421"/>
      <c r="B148" s="416"/>
      <c r="C148" s="424"/>
      <c r="D148" s="416"/>
      <c r="E148" s="419"/>
      <c r="F148" s="419"/>
      <c r="G148" s="419"/>
      <c r="H148" s="421"/>
      <c r="I148" s="421"/>
      <c r="J148" s="492"/>
      <c r="K148" s="418"/>
      <c r="L148" s="418"/>
      <c r="M148" s="418"/>
      <c r="N148" s="421"/>
      <c r="O148" s="421"/>
      <c r="P148" s="421"/>
      <c r="Q148" s="418"/>
      <c r="R148" s="418"/>
      <c r="S148" s="418"/>
      <c r="T148" s="418"/>
      <c r="U148" s="418"/>
      <c r="V148" s="418"/>
      <c r="W148" s="418"/>
      <c r="X148" s="418"/>
      <c r="Y148" s="418"/>
      <c r="Z148" s="418"/>
      <c r="AA148" s="418"/>
      <c r="AB148" s="418"/>
      <c r="AC148" s="418"/>
      <c r="AD148" s="418"/>
      <c r="AE148" s="418"/>
      <c r="AF148" s="418"/>
      <c r="AG148" s="418"/>
      <c r="AH148" s="418"/>
      <c r="AI148" s="418"/>
      <c r="AJ148" s="493"/>
      <c r="AK148" s="418"/>
      <c r="AL148" s="418"/>
      <c r="AM148" s="418"/>
      <c r="AN148" s="418"/>
      <c r="AO148" s="418"/>
      <c r="AP148" s="418"/>
      <c r="AQ148" s="418"/>
      <c r="AR148" s="418"/>
      <c r="AS148" s="418"/>
      <c r="AT148" s="418"/>
      <c r="AU148" s="418"/>
      <c r="AV148" s="418"/>
      <c r="AW148" s="418"/>
      <c r="AX148" s="418"/>
      <c r="AY148" s="418"/>
      <c r="AZ148" s="418"/>
      <c r="BA148" s="493"/>
      <c r="BC148" s="312"/>
    </row>
    <row r="149" spans="1:55" ht="15.75" customHeight="1">
      <c r="A149" s="421"/>
      <c r="B149" s="416"/>
      <c r="C149" s="424"/>
      <c r="D149" s="416"/>
      <c r="E149" s="419"/>
      <c r="F149" s="419"/>
      <c r="G149" s="419"/>
      <c r="H149" s="421"/>
      <c r="I149" s="421"/>
      <c r="J149" s="492"/>
      <c r="K149" s="418"/>
      <c r="L149" s="418"/>
      <c r="M149" s="418"/>
      <c r="N149" s="421"/>
      <c r="O149" s="421"/>
      <c r="P149" s="421"/>
      <c r="Q149" s="418"/>
      <c r="R149" s="418"/>
      <c r="S149" s="418"/>
      <c r="T149" s="418"/>
      <c r="U149" s="418"/>
      <c r="V149" s="418"/>
      <c r="W149" s="418"/>
      <c r="X149" s="418"/>
      <c r="Y149" s="418"/>
      <c r="Z149" s="418"/>
      <c r="AA149" s="418"/>
      <c r="AB149" s="418"/>
      <c r="AC149" s="418"/>
      <c r="AD149" s="418"/>
      <c r="AE149" s="418"/>
      <c r="AF149" s="418"/>
      <c r="AG149" s="418"/>
      <c r="AH149" s="418"/>
      <c r="AI149" s="418"/>
      <c r="AJ149" s="493"/>
      <c r="AK149" s="418"/>
      <c r="AL149" s="418"/>
      <c r="AM149" s="418"/>
      <c r="AN149" s="418"/>
      <c r="AO149" s="418"/>
      <c r="AP149" s="418"/>
      <c r="AQ149" s="418"/>
      <c r="AR149" s="418"/>
      <c r="AS149" s="418"/>
      <c r="AT149" s="418"/>
      <c r="AU149" s="418"/>
      <c r="AV149" s="418"/>
      <c r="AW149" s="418"/>
      <c r="AX149" s="418"/>
      <c r="AY149" s="418"/>
      <c r="AZ149" s="418"/>
      <c r="BA149" s="493"/>
      <c r="BC149" s="312"/>
    </row>
    <row r="150" spans="1:55" ht="15.75" customHeight="1">
      <c r="A150" s="421"/>
      <c r="B150" s="416"/>
      <c r="C150" s="424"/>
      <c r="D150" s="416"/>
      <c r="E150" s="419"/>
      <c r="F150" s="419"/>
      <c r="G150" s="419"/>
      <c r="H150" s="421"/>
      <c r="I150" s="421"/>
      <c r="J150" s="492"/>
      <c r="K150" s="418"/>
      <c r="L150" s="418"/>
      <c r="M150" s="418"/>
      <c r="N150" s="421"/>
      <c r="O150" s="421"/>
      <c r="P150" s="421"/>
      <c r="Q150" s="418"/>
      <c r="R150" s="418"/>
      <c r="S150" s="418"/>
      <c r="T150" s="418"/>
      <c r="U150" s="418"/>
      <c r="V150" s="418"/>
      <c r="W150" s="418"/>
      <c r="X150" s="418"/>
      <c r="Y150" s="418"/>
      <c r="Z150" s="418"/>
      <c r="AA150" s="418"/>
      <c r="AB150" s="418"/>
      <c r="AC150" s="418"/>
      <c r="AD150" s="418"/>
      <c r="AE150" s="418"/>
      <c r="AF150" s="418"/>
      <c r="AG150" s="418"/>
      <c r="AH150" s="418"/>
      <c r="AI150" s="418"/>
      <c r="AJ150" s="493"/>
      <c r="AK150" s="418"/>
      <c r="AL150" s="418"/>
      <c r="AM150" s="418"/>
      <c r="AN150" s="418"/>
      <c r="AO150" s="418"/>
      <c r="AP150" s="418"/>
      <c r="AQ150" s="418"/>
      <c r="AR150" s="418"/>
      <c r="AS150" s="418"/>
      <c r="AT150" s="418"/>
      <c r="AU150" s="418"/>
      <c r="AV150" s="418"/>
      <c r="AW150" s="418"/>
      <c r="AX150" s="418"/>
      <c r="AY150" s="418"/>
      <c r="AZ150" s="418"/>
      <c r="BA150" s="493"/>
      <c r="BC150" s="312"/>
    </row>
    <row r="151" spans="1:55" ht="15.75" customHeight="1">
      <c r="A151" s="421"/>
      <c r="B151" s="416"/>
      <c r="C151" s="424"/>
      <c r="D151" s="416"/>
      <c r="E151" s="419"/>
      <c r="F151" s="419"/>
      <c r="G151" s="419"/>
      <c r="H151" s="421"/>
      <c r="I151" s="421"/>
      <c r="J151" s="492"/>
      <c r="K151" s="418"/>
      <c r="L151" s="418"/>
      <c r="M151" s="418"/>
      <c r="N151" s="421"/>
      <c r="O151" s="421"/>
      <c r="P151" s="421"/>
      <c r="Q151" s="418"/>
      <c r="R151" s="418"/>
      <c r="S151" s="418"/>
      <c r="T151" s="418"/>
      <c r="U151" s="418"/>
      <c r="V151" s="418"/>
      <c r="W151" s="418"/>
      <c r="X151" s="418"/>
      <c r="Y151" s="418"/>
      <c r="Z151" s="418"/>
      <c r="AA151" s="418"/>
      <c r="AB151" s="418"/>
      <c r="AC151" s="418"/>
      <c r="AD151" s="418"/>
      <c r="AE151" s="418"/>
      <c r="AF151" s="418"/>
      <c r="AG151" s="418"/>
      <c r="AH151" s="418"/>
      <c r="AI151" s="418"/>
      <c r="AJ151" s="493"/>
      <c r="AK151" s="418"/>
      <c r="AL151" s="418"/>
      <c r="AM151" s="418"/>
      <c r="AN151" s="418"/>
      <c r="AO151" s="418"/>
      <c r="AP151" s="418"/>
      <c r="AQ151" s="418"/>
      <c r="AR151" s="418"/>
      <c r="AS151" s="418"/>
      <c r="AT151" s="418"/>
      <c r="AU151" s="418"/>
      <c r="AV151" s="418"/>
      <c r="AW151" s="418"/>
      <c r="AX151" s="418"/>
      <c r="AY151" s="418"/>
      <c r="AZ151" s="418"/>
      <c r="BA151" s="493"/>
      <c r="BC151" s="312"/>
    </row>
    <row r="152" spans="1:55" ht="15.75" customHeight="1">
      <c r="A152" s="421"/>
      <c r="B152" s="416"/>
      <c r="C152" s="424"/>
      <c r="D152" s="416"/>
      <c r="E152" s="419"/>
      <c r="F152" s="419"/>
      <c r="G152" s="419"/>
      <c r="H152" s="421"/>
      <c r="I152" s="421"/>
      <c r="J152" s="492"/>
      <c r="K152" s="418"/>
      <c r="L152" s="418"/>
      <c r="M152" s="418"/>
      <c r="N152" s="421"/>
      <c r="O152" s="421"/>
      <c r="P152" s="421"/>
      <c r="Q152" s="418"/>
      <c r="R152" s="418"/>
      <c r="S152" s="418"/>
      <c r="T152" s="418"/>
      <c r="U152" s="418"/>
      <c r="V152" s="418"/>
      <c r="W152" s="418"/>
      <c r="X152" s="418"/>
      <c r="Y152" s="418"/>
      <c r="Z152" s="418"/>
      <c r="AA152" s="418"/>
      <c r="AB152" s="418"/>
      <c r="AC152" s="418"/>
      <c r="AD152" s="418"/>
      <c r="AE152" s="418"/>
      <c r="AF152" s="418"/>
      <c r="AG152" s="418"/>
      <c r="AH152" s="418"/>
      <c r="AI152" s="418"/>
      <c r="AJ152" s="493"/>
      <c r="AK152" s="418"/>
      <c r="AL152" s="418"/>
      <c r="AM152" s="418"/>
      <c r="AN152" s="418"/>
      <c r="AO152" s="418"/>
      <c r="AP152" s="418"/>
      <c r="AQ152" s="418"/>
      <c r="AR152" s="418"/>
      <c r="AS152" s="418"/>
      <c r="AT152" s="418"/>
      <c r="AU152" s="418"/>
      <c r="AV152" s="418"/>
      <c r="AW152" s="418"/>
      <c r="AX152" s="418"/>
      <c r="AY152" s="418"/>
      <c r="AZ152" s="418"/>
      <c r="BA152" s="493"/>
      <c r="BC152" s="312"/>
    </row>
    <row r="153" spans="1:55" ht="15.75" customHeight="1">
      <c r="A153" s="421"/>
      <c r="B153" s="416"/>
      <c r="C153" s="424"/>
      <c r="D153" s="416"/>
      <c r="E153" s="419"/>
      <c r="F153" s="419"/>
      <c r="G153" s="419"/>
      <c r="H153" s="421"/>
      <c r="I153" s="421"/>
      <c r="J153" s="492"/>
      <c r="K153" s="418"/>
      <c r="L153" s="418"/>
      <c r="M153" s="418"/>
      <c r="N153" s="421"/>
      <c r="O153" s="421"/>
      <c r="P153" s="421"/>
      <c r="Q153" s="418"/>
      <c r="R153" s="418"/>
      <c r="S153" s="418"/>
      <c r="T153" s="418"/>
      <c r="U153" s="418"/>
      <c r="V153" s="418"/>
      <c r="W153" s="418"/>
      <c r="X153" s="418"/>
      <c r="Y153" s="418"/>
      <c r="Z153" s="418"/>
      <c r="AA153" s="418"/>
      <c r="AB153" s="418"/>
      <c r="AC153" s="418"/>
      <c r="AD153" s="418"/>
      <c r="AE153" s="418"/>
      <c r="AF153" s="418"/>
      <c r="AG153" s="418"/>
      <c r="AH153" s="418"/>
      <c r="AI153" s="418"/>
      <c r="AJ153" s="493"/>
      <c r="AK153" s="418"/>
      <c r="AL153" s="418"/>
      <c r="AM153" s="418"/>
      <c r="AN153" s="418"/>
      <c r="AO153" s="418"/>
      <c r="AP153" s="418"/>
      <c r="AQ153" s="418"/>
      <c r="AR153" s="418"/>
      <c r="AS153" s="418"/>
      <c r="AT153" s="418"/>
      <c r="AU153" s="418"/>
      <c r="AV153" s="418"/>
      <c r="AW153" s="418"/>
      <c r="AX153" s="418"/>
      <c r="AY153" s="418"/>
      <c r="AZ153" s="418"/>
      <c r="BA153" s="493"/>
      <c r="BC153" s="312"/>
    </row>
    <row r="154" spans="1:55" ht="15.75" customHeight="1">
      <c r="A154" s="421"/>
      <c r="B154" s="416"/>
      <c r="C154" s="424"/>
      <c r="D154" s="416"/>
      <c r="E154" s="419"/>
      <c r="F154" s="419"/>
      <c r="G154" s="419"/>
      <c r="H154" s="421"/>
      <c r="I154" s="421"/>
      <c r="J154" s="492"/>
      <c r="K154" s="418"/>
      <c r="L154" s="418"/>
      <c r="M154" s="418"/>
      <c r="N154" s="421"/>
      <c r="O154" s="421"/>
      <c r="P154" s="421"/>
      <c r="Q154" s="418"/>
      <c r="R154" s="418"/>
      <c r="S154" s="418"/>
      <c r="T154" s="418"/>
      <c r="U154" s="418"/>
      <c r="V154" s="418"/>
      <c r="W154" s="418"/>
      <c r="X154" s="418"/>
      <c r="Y154" s="418"/>
      <c r="Z154" s="418"/>
      <c r="AA154" s="418"/>
      <c r="AB154" s="418"/>
      <c r="AC154" s="418"/>
      <c r="AD154" s="418"/>
      <c r="AE154" s="418"/>
      <c r="AF154" s="418"/>
      <c r="AG154" s="418"/>
      <c r="AH154" s="418"/>
      <c r="AI154" s="418"/>
      <c r="AJ154" s="493"/>
      <c r="AK154" s="418"/>
      <c r="AL154" s="418"/>
      <c r="AM154" s="418"/>
      <c r="AN154" s="418"/>
      <c r="AO154" s="418"/>
      <c r="AP154" s="418"/>
      <c r="AQ154" s="418"/>
      <c r="AR154" s="418"/>
      <c r="AS154" s="418"/>
      <c r="AT154" s="418"/>
      <c r="AU154" s="418"/>
      <c r="AV154" s="418"/>
      <c r="AW154" s="418"/>
      <c r="AX154" s="418"/>
      <c r="AY154" s="418"/>
      <c r="AZ154" s="418"/>
      <c r="BA154" s="493"/>
      <c r="BC154" s="312"/>
    </row>
    <row r="155" spans="1:55" ht="15.75" customHeight="1">
      <c r="A155" s="421"/>
      <c r="B155" s="416"/>
      <c r="C155" s="424"/>
      <c r="D155" s="416"/>
      <c r="E155" s="419"/>
      <c r="F155" s="419"/>
      <c r="G155" s="419"/>
      <c r="H155" s="421"/>
      <c r="I155" s="421"/>
      <c r="J155" s="492"/>
      <c r="K155" s="418"/>
      <c r="L155" s="418"/>
      <c r="M155" s="418"/>
      <c r="N155" s="421"/>
      <c r="O155" s="421"/>
      <c r="P155" s="421"/>
      <c r="Q155" s="418"/>
      <c r="R155" s="418"/>
      <c r="S155" s="418"/>
      <c r="T155" s="418"/>
      <c r="U155" s="418"/>
      <c r="V155" s="418"/>
      <c r="W155" s="418"/>
      <c r="X155" s="418"/>
      <c r="Y155" s="418"/>
      <c r="Z155" s="418"/>
      <c r="AA155" s="418"/>
      <c r="AB155" s="418"/>
      <c r="AC155" s="418"/>
      <c r="AD155" s="418"/>
      <c r="AE155" s="418"/>
      <c r="AF155" s="418"/>
      <c r="AG155" s="418"/>
      <c r="AH155" s="418"/>
      <c r="AI155" s="418"/>
      <c r="AJ155" s="493"/>
      <c r="AK155" s="418"/>
      <c r="AL155" s="418"/>
      <c r="AM155" s="418"/>
      <c r="AN155" s="418"/>
      <c r="AO155" s="418"/>
      <c r="AP155" s="418"/>
      <c r="AQ155" s="418"/>
      <c r="AR155" s="418"/>
      <c r="AS155" s="418"/>
      <c r="AT155" s="418"/>
      <c r="AU155" s="418"/>
      <c r="AV155" s="418"/>
      <c r="AW155" s="418"/>
      <c r="AX155" s="418"/>
      <c r="AY155" s="418"/>
      <c r="AZ155" s="418"/>
      <c r="BA155" s="493"/>
      <c r="BC155" s="312"/>
    </row>
    <row r="156" spans="1:55" ht="15.75" customHeight="1">
      <c r="A156" s="421"/>
      <c r="B156" s="416"/>
      <c r="C156" s="424"/>
      <c r="D156" s="416"/>
      <c r="E156" s="419"/>
      <c r="F156" s="419"/>
      <c r="G156" s="419"/>
      <c r="H156" s="421"/>
      <c r="I156" s="421"/>
      <c r="J156" s="492"/>
      <c r="K156" s="418"/>
      <c r="L156" s="418"/>
      <c r="M156" s="418"/>
      <c r="N156" s="421"/>
      <c r="O156" s="421"/>
      <c r="P156" s="421"/>
      <c r="Q156" s="418"/>
      <c r="R156" s="418"/>
      <c r="S156" s="418"/>
      <c r="T156" s="418"/>
      <c r="U156" s="418"/>
      <c r="V156" s="418"/>
      <c r="W156" s="418"/>
      <c r="X156" s="418"/>
      <c r="Y156" s="418"/>
      <c r="Z156" s="418"/>
      <c r="AA156" s="418"/>
      <c r="AB156" s="418"/>
      <c r="AC156" s="418"/>
      <c r="AD156" s="418"/>
      <c r="AE156" s="418"/>
      <c r="AF156" s="418"/>
      <c r="AG156" s="418"/>
      <c r="AH156" s="418"/>
      <c r="AI156" s="418"/>
      <c r="AJ156" s="493"/>
      <c r="AK156" s="418"/>
      <c r="AL156" s="418"/>
      <c r="AM156" s="418"/>
      <c r="AN156" s="418"/>
      <c r="AO156" s="418"/>
      <c r="AP156" s="418"/>
      <c r="AQ156" s="418"/>
      <c r="AR156" s="418"/>
      <c r="AS156" s="418"/>
      <c r="AT156" s="418"/>
      <c r="AU156" s="418"/>
      <c r="AV156" s="418"/>
      <c r="AW156" s="418"/>
      <c r="AX156" s="418"/>
      <c r="AY156" s="418"/>
      <c r="AZ156" s="418"/>
      <c r="BA156" s="493"/>
      <c r="BC156" s="312"/>
    </row>
    <row r="157" spans="1:55" ht="15.75" customHeight="1">
      <c r="A157" s="421"/>
      <c r="B157" s="416"/>
      <c r="C157" s="424"/>
      <c r="D157" s="416"/>
      <c r="E157" s="419"/>
      <c r="F157" s="419"/>
      <c r="G157" s="419"/>
      <c r="H157" s="421"/>
      <c r="I157" s="421"/>
      <c r="J157" s="492"/>
      <c r="K157" s="418"/>
      <c r="L157" s="418"/>
      <c r="M157" s="418"/>
      <c r="N157" s="421"/>
      <c r="O157" s="421"/>
      <c r="P157" s="421"/>
      <c r="Q157" s="418"/>
      <c r="R157" s="418"/>
      <c r="S157" s="418"/>
      <c r="T157" s="418"/>
      <c r="U157" s="418"/>
      <c r="V157" s="418"/>
      <c r="W157" s="418"/>
      <c r="X157" s="418"/>
      <c r="Y157" s="418"/>
      <c r="Z157" s="418"/>
      <c r="AA157" s="418"/>
      <c r="AB157" s="418"/>
      <c r="AC157" s="418"/>
      <c r="AD157" s="418"/>
      <c r="AE157" s="418"/>
      <c r="AF157" s="418"/>
      <c r="AG157" s="418"/>
      <c r="AH157" s="418"/>
      <c r="AI157" s="418"/>
      <c r="AJ157" s="493"/>
      <c r="AK157" s="418"/>
      <c r="AL157" s="418"/>
      <c r="AM157" s="418"/>
      <c r="AN157" s="418"/>
      <c r="AO157" s="418"/>
      <c r="AP157" s="418"/>
      <c r="AQ157" s="418"/>
      <c r="AR157" s="418"/>
      <c r="AS157" s="418"/>
      <c r="AT157" s="418"/>
      <c r="AU157" s="418"/>
      <c r="AV157" s="418"/>
      <c r="AW157" s="418"/>
      <c r="AX157" s="418"/>
      <c r="AY157" s="418"/>
      <c r="AZ157" s="418"/>
      <c r="BA157" s="493"/>
      <c r="BC157" s="312"/>
    </row>
    <row r="158" spans="1:55" ht="15.75" customHeight="1">
      <c r="A158" s="421"/>
      <c r="B158" s="416"/>
      <c r="C158" s="424"/>
      <c r="D158" s="416"/>
      <c r="E158" s="419"/>
      <c r="F158" s="419"/>
      <c r="G158" s="419"/>
      <c r="H158" s="421"/>
      <c r="I158" s="421"/>
      <c r="J158" s="492"/>
      <c r="K158" s="418"/>
      <c r="L158" s="418"/>
      <c r="M158" s="418"/>
      <c r="N158" s="421"/>
      <c r="O158" s="421"/>
      <c r="P158" s="421"/>
      <c r="Q158" s="418"/>
      <c r="R158" s="418"/>
      <c r="S158" s="418"/>
      <c r="T158" s="418"/>
      <c r="U158" s="418"/>
      <c r="V158" s="418"/>
      <c r="W158" s="418"/>
      <c r="X158" s="418"/>
      <c r="Y158" s="418"/>
      <c r="Z158" s="418"/>
      <c r="AA158" s="418"/>
      <c r="AB158" s="418"/>
      <c r="AC158" s="418"/>
      <c r="AD158" s="418"/>
      <c r="AE158" s="418"/>
      <c r="AF158" s="418"/>
      <c r="AG158" s="418"/>
      <c r="AH158" s="418"/>
      <c r="AI158" s="418"/>
      <c r="AJ158" s="493"/>
      <c r="AK158" s="418"/>
      <c r="AL158" s="418"/>
      <c r="AM158" s="418"/>
      <c r="AN158" s="418"/>
      <c r="AO158" s="418"/>
      <c r="AP158" s="418"/>
      <c r="AQ158" s="418"/>
      <c r="AR158" s="418"/>
      <c r="AS158" s="418"/>
      <c r="AT158" s="418"/>
      <c r="AU158" s="418"/>
      <c r="AV158" s="418"/>
      <c r="AW158" s="418"/>
      <c r="AX158" s="418"/>
      <c r="AY158" s="418"/>
      <c r="AZ158" s="418"/>
      <c r="BA158" s="493"/>
      <c r="BC158" s="312"/>
    </row>
    <row r="159" spans="1:55" ht="15.75" customHeight="1">
      <c r="A159" s="421"/>
      <c r="B159" s="416"/>
      <c r="C159" s="424"/>
      <c r="D159" s="416"/>
      <c r="E159" s="419"/>
      <c r="F159" s="419"/>
      <c r="G159" s="419"/>
      <c r="H159" s="421"/>
      <c r="I159" s="421"/>
      <c r="J159" s="492"/>
      <c r="K159" s="418"/>
      <c r="L159" s="418"/>
      <c r="M159" s="418"/>
      <c r="N159" s="421"/>
      <c r="O159" s="421"/>
      <c r="P159" s="421"/>
      <c r="Q159" s="418"/>
      <c r="R159" s="418"/>
      <c r="S159" s="418"/>
      <c r="T159" s="418"/>
      <c r="U159" s="418"/>
      <c r="V159" s="418"/>
      <c r="W159" s="418"/>
      <c r="X159" s="418"/>
      <c r="Y159" s="418"/>
      <c r="Z159" s="418"/>
      <c r="AA159" s="418"/>
      <c r="AB159" s="418"/>
      <c r="AC159" s="418"/>
      <c r="AD159" s="418"/>
      <c r="AE159" s="418"/>
      <c r="AF159" s="418"/>
      <c r="AG159" s="418"/>
      <c r="AH159" s="418"/>
      <c r="AI159" s="418"/>
      <c r="AJ159" s="493"/>
      <c r="AK159" s="418"/>
      <c r="AL159" s="418"/>
      <c r="AM159" s="418"/>
      <c r="AN159" s="418"/>
      <c r="AO159" s="418"/>
      <c r="AP159" s="418"/>
      <c r="AQ159" s="418"/>
      <c r="AR159" s="418"/>
      <c r="AS159" s="418"/>
      <c r="AT159" s="418"/>
      <c r="AU159" s="418"/>
      <c r="AV159" s="418"/>
      <c r="AW159" s="418"/>
      <c r="AX159" s="418"/>
      <c r="AY159" s="418"/>
      <c r="AZ159" s="418"/>
      <c r="BA159" s="493"/>
      <c r="BC159" s="312"/>
    </row>
    <row r="160" spans="1:55" ht="15.75" customHeight="1">
      <c r="A160" s="421"/>
      <c r="B160" s="416"/>
      <c r="C160" s="424"/>
      <c r="D160" s="416"/>
      <c r="E160" s="419"/>
      <c r="F160" s="419"/>
      <c r="G160" s="419"/>
      <c r="H160" s="421"/>
      <c r="I160" s="421"/>
      <c r="J160" s="492"/>
      <c r="K160" s="418"/>
      <c r="L160" s="418"/>
      <c r="M160" s="418"/>
      <c r="N160" s="421"/>
      <c r="O160" s="421"/>
      <c r="P160" s="421"/>
      <c r="Q160" s="418"/>
      <c r="R160" s="418"/>
      <c r="S160" s="418"/>
      <c r="T160" s="418"/>
      <c r="U160" s="418"/>
      <c r="V160" s="418"/>
      <c r="W160" s="418"/>
      <c r="X160" s="418"/>
      <c r="Y160" s="418"/>
      <c r="Z160" s="418"/>
      <c r="AA160" s="418"/>
      <c r="AB160" s="418"/>
      <c r="AC160" s="418"/>
      <c r="AD160" s="418"/>
      <c r="AE160" s="418"/>
      <c r="AF160" s="418"/>
      <c r="AG160" s="418"/>
      <c r="AH160" s="418"/>
      <c r="AI160" s="418"/>
      <c r="AJ160" s="493"/>
      <c r="AK160" s="418"/>
      <c r="AL160" s="418"/>
      <c r="AM160" s="418"/>
      <c r="AN160" s="418"/>
      <c r="AO160" s="418"/>
      <c r="AP160" s="418"/>
      <c r="AQ160" s="418"/>
      <c r="AR160" s="418"/>
      <c r="AS160" s="418"/>
      <c r="AT160" s="418"/>
      <c r="AU160" s="418"/>
      <c r="AV160" s="418"/>
      <c r="AW160" s="418"/>
      <c r="AX160" s="418"/>
      <c r="AY160" s="418"/>
      <c r="AZ160" s="418"/>
      <c r="BA160" s="493"/>
      <c r="BC160" s="312"/>
    </row>
    <row r="161" spans="1:55" ht="15.75" customHeight="1">
      <c r="A161" s="421"/>
      <c r="B161" s="416"/>
      <c r="C161" s="424"/>
      <c r="D161" s="416"/>
      <c r="E161" s="419"/>
      <c r="F161" s="419"/>
      <c r="G161" s="419"/>
      <c r="H161" s="421"/>
      <c r="I161" s="421"/>
      <c r="J161" s="492"/>
      <c r="K161" s="418"/>
      <c r="L161" s="418"/>
      <c r="M161" s="418"/>
      <c r="N161" s="421"/>
      <c r="O161" s="421"/>
      <c r="P161" s="421"/>
      <c r="Q161" s="418"/>
      <c r="R161" s="418"/>
      <c r="S161" s="418"/>
      <c r="T161" s="418"/>
      <c r="U161" s="418"/>
      <c r="V161" s="418"/>
      <c r="W161" s="418"/>
      <c r="X161" s="418"/>
      <c r="Y161" s="418"/>
      <c r="Z161" s="418"/>
      <c r="AA161" s="418"/>
      <c r="AB161" s="418"/>
      <c r="AC161" s="418"/>
      <c r="AD161" s="418"/>
      <c r="AE161" s="418"/>
      <c r="AF161" s="418"/>
      <c r="AG161" s="418"/>
      <c r="AH161" s="418"/>
      <c r="AI161" s="418"/>
      <c r="AJ161" s="493"/>
      <c r="AK161" s="418"/>
      <c r="AL161" s="418"/>
      <c r="AM161" s="418"/>
      <c r="AN161" s="418"/>
      <c r="AO161" s="418"/>
      <c r="AP161" s="418"/>
      <c r="AQ161" s="418"/>
      <c r="AR161" s="418"/>
      <c r="AS161" s="418"/>
      <c r="AT161" s="418"/>
      <c r="AU161" s="418"/>
      <c r="AV161" s="418"/>
      <c r="AW161" s="418"/>
      <c r="AX161" s="418"/>
      <c r="AY161" s="418"/>
      <c r="AZ161" s="418"/>
      <c r="BA161" s="493"/>
      <c r="BC161" s="312"/>
    </row>
    <row r="162" spans="1:55" ht="15.75" customHeight="1">
      <c r="A162" s="421"/>
      <c r="B162" s="416"/>
      <c r="C162" s="424"/>
      <c r="D162" s="416"/>
      <c r="E162" s="419"/>
      <c r="F162" s="419"/>
      <c r="G162" s="419"/>
      <c r="H162" s="421"/>
      <c r="I162" s="421"/>
      <c r="J162" s="492"/>
      <c r="K162" s="418"/>
      <c r="L162" s="418"/>
      <c r="M162" s="418"/>
      <c r="N162" s="421"/>
      <c r="O162" s="421"/>
      <c r="P162" s="421"/>
      <c r="Q162" s="418"/>
      <c r="R162" s="418"/>
      <c r="S162" s="418"/>
      <c r="T162" s="418"/>
      <c r="U162" s="418"/>
      <c r="V162" s="418"/>
      <c r="W162" s="418"/>
      <c r="X162" s="418"/>
      <c r="Y162" s="418"/>
      <c r="Z162" s="418"/>
      <c r="AA162" s="418"/>
      <c r="AB162" s="418"/>
      <c r="AC162" s="418"/>
      <c r="AD162" s="418"/>
      <c r="AE162" s="418"/>
      <c r="AF162" s="418"/>
      <c r="AG162" s="418"/>
      <c r="AH162" s="418"/>
      <c r="AI162" s="418"/>
      <c r="AJ162" s="493"/>
      <c r="AK162" s="418"/>
      <c r="AL162" s="418"/>
      <c r="AM162" s="418"/>
      <c r="AN162" s="418"/>
      <c r="AO162" s="418"/>
      <c r="AP162" s="418"/>
      <c r="AQ162" s="418"/>
      <c r="AR162" s="418"/>
      <c r="AS162" s="418"/>
      <c r="AT162" s="418"/>
      <c r="AU162" s="418"/>
      <c r="AV162" s="418"/>
      <c r="AW162" s="418"/>
      <c r="AX162" s="418"/>
      <c r="AY162" s="418"/>
      <c r="AZ162" s="418"/>
      <c r="BA162" s="493"/>
      <c r="BC162" s="312"/>
    </row>
    <row r="163" spans="1:55" ht="15.75" customHeight="1">
      <c r="A163" s="421"/>
      <c r="B163" s="416"/>
      <c r="C163" s="424"/>
      <c r="D163" s="416"/>
      <c r="E163" s="419"/>
      <c r="F163" s="419"/>
      <c r="G163" s="419"/>
      <c r="H163" s="421"/>
      <c r="I163" s="421"/>
      <c r="J163" s="492"/>
      <c r="K163" s="418"/>
      <c r="L163" s="418"/>
      <c r="M163" s="418"/>
      <c r="N163" s="421"/>
      <c r="O163" s="421"/>
      <c r="P163" s="421"/>
      <c r="Q163" s="418"/>
      <c r="R163" s="418"/>
      <c r="S163" s="418"/>
      <c r="T163" s="418"/>
      <c r="U163" s="418"/>
      <c r="V163" s="418"/>
      <c r="W163" s="418"/>
      <c r="X163" s="418"/>
      <c r="Y163" s="418"/>
      <c r="Z163" s="418"/>
      <c r="AA163" s="418"/>
      <c r="AB163" s="418"/>
      <c r="AC163" s="418"/>
      <c r="AD163" s="418"/>
      <c r="AE163" s="418"/>
      <c r="AF163" s="418"/>
      <c r="AG163" s="418"/>
      <c r="AH163" s="418"/>
      <c r="AI163" s="418"/>
      <c r="AJ163" s="493"/>
      <c r="AK163" s="418"/>
      <c r="AL163" s="418"/>
      <c r="AM163" s="418"/>
      <c r="AN163" s="418"/>
      <c r="AO163" s="418"/>
      <c r="AP163" s="418"/>
      <c r="AQ163" s="418"/>
      <c r="AR163" s="418"/>
      <c r="AS163" s="418"/>
      <c r="AT163" s="418"/>
      <c r="AU163" s="418"/>
      <c r="AV163" s="418"/>
      <c r="AW163" s="418"/>
      <c r="AX163" s="418"/>
      <c r="AY163" s="418"/>
      <c r="AZ163" s="418"/>
      <c r="BA163" s="493"/>
      <c r="BC163" s="312"/>
    </row>
    <row r="164" spans="1:55" ht="15.75" customHeight="1">
      <c r="A164" s="421"/>
      <c r="B164" s="416"/>
      <c r="C164" s="424"/>
      <c r="D164" s="416"/>
      <c r="E164" s="419"/>
      <c r="F164" s="419"/>
      <c r="G164" s="419"/>
      <c r="H164" s="421"/>
      <c r="I164" s="421"/>
      <c r="J164" s="492"/>
      <c r="K164" s="418"/>
      <c r="L164" s="418"/>
      <c r="M164" s="418"/>
      <c r="N164" s="421"/>
      <c r="O164" s="421"/>
      <c r="P164" s="421"/>
      <c r="Q164" s="418"/>
      <c r="R164" s="418"/>
      <c r="S164" s="418"/>
      <c r="T164" s="418"/>
      <c r="U164" s="418"/>
      <c r="V164" s="418"/>
      <c r="W164" s="418"/>
      <c r="X164" s="418"/>
      <c r="Y164" s="418"/>
      <c r="Z164" s="418"/>
      <c r="AA164" s="418"/>
      <c r="AB164" s="418"/>
      <c r="AC164" s="418"/>
      <c r="AD164" s="418"/>
      <c r="AE164" s="418"/>
      <c r="AF164" s="418"/>
      <c r="AG164" s="418"/>
      <c r="AH164" s="418"/>
      <c r="AI164" s="418"/>
      <c r="AJ164" s="493"/>
      <c r="AK164" s="418"/>
      <c r="AL164" s="418"/>
      <c r="AM164" s="418"/>
      <c r="AN164" s="418"/>
      <c r="AO164" s="418"/>
      <c r="AP164" s="418"/>
      <c r="AQ164" s="418"/>
      <c r="AR164" s="418"/>
      <c r="AS164" s="418"/>
      <c r="AT164" s="418"/>
      <c r="AU164" s="418"/>
      <c r="AV164" s="418"/>
      <c r="AW164" s="418"/>
      <c r="AX164" s="418"/>
      <c r="AY164" s="418"/>
      <c r="AZ164" s="418"/>
      <c r="BA164" s="493"/>
      <c r="BC164" s="312"/>
    </row>
    <row r="165" spans="1:55" ht="15.75" customHeight="1">
      <c r="A165" s="421"/>
      <c r="B165" s="416"/>
      <c r="C165" s="424"/>
      <c r="D165" s="416"/>
      <c r="E165" s="419"/>
      <c r="F165" s="419"/>
      <c r="G165" s="419"/>
      <c r="H165" s="421"/>
      <c r="I165" s="421"/>
      <c r="J165" s="492"/>
      <c r="K165" s="418"/>
      <c r="L165" s="418"/>
      <c r="M165" s="418"/>
      <c r="N165" s="421"/>
      <c r="O165" s="421"/>
      <c r="P165" s="421"/>
      <c r="Q165" s="418"/>
      <c r="R165" s="418"/>
      <c r="S165" s="418"/>
      <c r="T165" s="418"/>
      <c r="U165" s="418"/>
      <c r="V165" s="418"/>
      <c r="W165" s="418"/>
      <c r="X165" s="418"/>
      <c r="Y165" s="418"/>
      <c r="Z165" s="418"/>
      <c r="AA165" s="418"/>
      <c r="AB165" s="418"/>
      <c r="AC165" s="418"/>
      <c r="AD165" s="418"/>
      <c r="AE165" s="418"/>
      <c r="AF165" s="418"/>
      <c r="AG165" s="418"/>
      <c r="AH165" s="418"/>
      <c r="AI165" s="418"/>
      <c r="AJ165" s="493"/>
      <c r="AK165" s="418"/>
      <c r="AL165" s="418"/>
      <c r="AM165" s="418"/>
      <c r="AN165" s="418"/>
      <c r="AO165" s="418"/>
      <c r="AP165" s="418"/>
      <c r="AQ165" s="418"/>
      <c r="AR165" s="418"/>
      <c r="AS165" s="418"/>
      <c r="AT165" s="418"/>
      <c r="AU165" s="418"/>
      <c r="AV165" s="418"/>
      <c r="AW165" s="418"/>
      <c r="AX165" s="418"/>
      <c r="AY165" s="418"/>
      <c r="AZ165" s="418"/>
      <c r="BA165" s="493"/>
      <c r="BC165" s="312"/>
    </row>
    <row r="166" spans="1:55" ht="15.75" customHeight="1">
      <c r="A166" s="421"/>
      <c r="B166" s="416"/>
      <c r="C166" s="424"/>
      <c r="D166" s="416"/>
      <c r="E166" s="419"/>
      <c r="F166" s="419"/>
      <c r="G166" s="419"/>
      <c r="H166" s="421"/>
      <c r="I166" s="421"/>
      <c r="J166" s="492"/>
      <c r="K166" s="418"/>
      <c r="L166" s="418"/>
      <c r="M166" s="418"/>
      <c r="N166" s="421"/>
      <c r="O166" s="421"/>
      <c r="P166" s="421"/>
      <c r="Q166" s="418"/>
      <c r="R166" s="418"/>
      <c r="S166" s="418"/>
      <c r="T166" s="418"/>
      <c r="U166" s="418"/>
      <c r="V166" s="418"/>
      <c r="W166" s="418"/>
      <c r="X166" s="418"/>
      <c r="Y166" s="418"/>
      <c r="Z166" s="418"/>
      <c r="AA166" s="418"/>
      <c r="AB166" s="418"/>
      <c r="AC166" s="418"/>
      <c r="AD166" s="418"/>
      <c r="AE166" s="418"/>
      <c r="AF166" s="418"/>
      <c r="AG166" s="418"/>
      <c r="AH166" s="418"/>
      <c r="AI166" s="418"/>
      <c r="AJ166" s="493"/>
      <c r="AK166" s="418"/>
      <c r="AL166" s="418"/>
      <c r="AM166" s="418"/>
      <c r="AN166" s="418"/>
      <c r="AO166" s="418"/>
      <c r="AP166" s="418"/>
      <c r="AQ166" s="418"/>
      <c r="AR166" s="418"/>
      <c r="AS166" s="418"/>
      <c r="AT166" s="418"/>
      <c r="AU166" s="418"/>
      <c r="AV166" s="418"/>
      <c r="AW166" s="418"/>
      <c r="AX166" s="418"/>
      <c r="AY166" s="418"/>
      <c r="AZ166" s="418"/>
      <c r="BA166" s="493"/>
      <c r="BC166" s="312"/>
    </row>
    <row r="167" spans="1:55" ht="15.75" customHeight="1">
      <c r="A167" s="421"/>
      <c r="B167" s="416"/>
      <c r="C167" s="424"/>
      <c r="D167" s="416"/>
      <c r="E167" s="419"/>
      <c r="F167" s="419"/>
      <c r="G167" s="419"/>
      <c r="H167" s="421"/>
      <c r="I167" s="421"/>
      <c r="J167" s="492"/>
      <c r="K167" s="418"/>
      <c r="L167" s="418"/>
      <c r="M167" s="418"/>
      <c r="N167" s="421"/>
      <c r="O167" s="421"/>
      <c r="P167" s="421"/>
      <c r="Q167" s="418"/>
      <c r="R167" s="418"/>
      <c r="S167" s="418"/>
      <c r="T167" s="418"/>
      <c r="U167" s="418"/>
      <c r="V167" s="418"/>
      <c r="W167" s="418"/>
      <c r="X167" s="418"/>
      <c r="Y167" s="418"/>
      <c r="Z167" s="418"/>
      <c r="AA167" s="418"/>
      <c r="AB167" s="418"/>
      <c r="AC167" s="418"/>
      <c r="AD167" s="418"/>
      <c r="AE167" s="418"/>
      <c r="AF167" s="418"/>
      <c r="AG167" s="418"/>
      <c r="AH167" s="418"/>
      <c r="AI167" s="418"/>
      <c r="AJ167" s="493"/>
      <c r="AK167" s="418"/>
      <c r="AL167" s="418"/>
      <c r="AM167" s="418"/>
      <c r="AN167" s="418"/>
      <c r="AO167" s="418"/>
      <c r="AP167" s="418"/>
      <c r="AQ167" s="418"/>
      <c r="AR167" s="418"/>
      <c r="AS167" s="418"/>
      <c r="AT167" s="418"/>
      <c r="AU167" s="418"/>
      <c r="AV167" s="418"/>
      <c r="AW167" s="418"/>
      <c r="AX167" s="418"/>
      <c r="AY167" s="418"/>
      <c r="AZ167" s="418"/>
      <c r="BA167" s="493"/>
      <c r="BC167" s="312"/>
    </row>
    <row r="168" spans="1:55" ht="15.75" customHeight="1">
      <c r="A168" s="421"/>
      <c r="B168" s="416"/>
      <c r="C168" s="492"/>
      <c r="D168" s="425"/>
      <c r="E168" s="421"/>
      <c r="F168" s="425"/>
      <c r="G168" s="425"/>
      <c r="H168" s="421"/>
      <c r="I168" s="421"/>
      <c r="J168" s="492"/>
      <c r="K168" s="421"/>
      <c r="L168" s="421"/>
      <c r="M168" s="421"/>
      <c r="N168" s="421"/>
      <c r="O168" s="421"/>
      <c r="P168" s="421"/>
      <c r="Q168" s="513"/>
      <c r="R168" s="513"/>
      <c r="S168" s="513"/>
      <c r="T168" s="513"/>
      <c r="U168" s="513"/>
      <c r="V168" s="513"/>
      <c r="W168" s="513"/>
      <c r="X168" s="513"/>
      <c r="Y168" s="513"/>
      <c r="Z168" s="513"/>
      <c r="AA168" s="513"/>
      <c r="AB168" s="513"/>
      <c r="AC168" s="513"/>
      <c r="AD168" s="513"/>
      <c r="AE168" s="513"/>
      <c r="AF168" s="513"/>
      <c r="AG168" s="513"/>
      <c r="AH168" s="513"/>
      <c r="AI168" s="513"/>
      <c r="AJ168" s="513"/>
      <c r="AK168" s="513"/>
      <c r="AL168" s="513"/>
      <c r="AM168" s="513"/>
      <c r="AN168" s="418"/>
      <c r="AO168" s="418"/>
      <c r="AP168" s="418"/>
      <c r="AQ168" s="418"/>
      <c r="AR168" s="418"/>
      <c r="AS168" s="418"/>
      <c r="AT168" s="418"/>
      <c r="AU168" s="418"/>
      <c r="AV168" s="418"/>
      <c r="AW168" s="418"/>
      <c r="AX168" s="418"/>
      <c r="AY168" s="418"/>
      <c r="AZ168" s="418"/>
      <c r="BA168" s="513"/>
      <c r="BC168" s="312"/>
    </row>
    <row r="169" spans="1:55" ht="15.75" customHeight="1">
      <c r="A169" s="421"/>
      <c r="B169" s="421"/>
      <c r="C169" s="492"/>
      <c r="D169" s="425"/>
      <c r="E169" s="421"/>
      <c r="F169" s="425"/>
      <c r="G169" s="425"/>
      <c r="H169" s="421"/>
      <c r="I169" s="421"/>
      <c r="J169" s="492"/>
      <c r="K169" s="421"/>
      <c r="L169" s="421"/>
      <c r="M169" s="421"/>
      <c r="N169" s="421"/>
      <c r="O169" s="421"/>
      <c r="P169" s="421"/>
      <c r="Q169" s="513"/>
      <c r="R169" s="513"/>
      <c r="S169" s="513"/>
      <c r="T169" s="513"/>
      <c r="U169" s="513"/>
      <c r="V169" s="513"/>
      <c r="W169" s="513"/>
      <c r="X169" s="513"/>
      <c r="Y169" s="513"/>
      <c r="Z169" s="513"/>
      <c r="AA169" s="513"/>
      <c r="AB169" s="513"/>
      <c r="AC169" s="513"/>
      <c r="AD169" s="513"/>
      <c r="AE169" s="513"/>
      <c r="AF169" s="513"/>
      <c r="AG169" s="513"/>
      <c r="AH169" s="513"/>
      <c r="AI169" s="513"/>
      <c r="AJ169" s="513"/>
      <c r="AK169" s="513"/>
      <c r="AL169" s="513"/>
      <c r="AM169" s="513"/>
      <c r="AN169" s="418"/>
      <c r="AO169" s="418"/>
      <c r="AP169" s="418"/>
      <c r="AQ169" s="418"/>
      <c r="AR169" s="418"/>
      <c r="AS169" s="418"/>
      <c r="AT169" s="418"/>
      <c r="AU169" s="418"/>
      <c r="AV169" s="418"/>
      <c r="AW169" s="418"/>
      <c r="AX169" s="418"/>
      <c r="AY169" s="418"/>
      <c r="AZ169" s="418"/>
      <c r="BA169" s="513"/>
      <c r="BC169" s="312"/>
    </row>
    <row r="170" spans="1:55" ht="15.75" customHeight="1">
      <c r="A170" s="421"/>
      <c r="B170" s="416"/>
      <c r="C170" s="492"/>
      <c r="D170" s="425"/>
      <c r="E170" s="421"/>
      <c r="F170" s="425"/>
      <c r="G170" s="425"/>
      <c r="H170" s="421"/>
      <c r="I170" s="421"/>
      <c r="J170" s="492"/>
      <c r="K170" s="421"/>
      <c r="L170" s="421"/>
      <c r="M170" s="421"/>
      <c r="N170" s="421"/>
      <c r="O170" s="421"/>
      <c r="P170" s="421"/>
      <c r="Q170" s="513"/>
      <c r="R170" s="513"/>
      <c r="S170" s="513"/>
      <c r="T170" s="513"/>
      <c r="U170" s="513"/>
      <c r="V170" s="513"/>
      <c r="W170" s="513"/>
      <c r="X170" s="513"/>
      <c r="Y170" s="513"/>
      <c r="Z170" s="513"/>
      <c r="AA170" s="513"/>
      <c r="AB170" s="513"/>
      <c r="AC170" s="513"/>
      <c r="AD170" s="513"/>
      <c r="AE170" s="513"/>
      <c r="AF170" s="513"/>
      <c r="AG170" s="513"/>
      <c r="AH170" s="513"/>
      <c r="AI170" s="513"/>
      <c r="AJ170" s="513"/>
      <c r="AK170" s="513"/>
      <c r="AL170" s="513"/>
      <c r="AM170" s="513"/>
      <c r="AN170" s="418"/>
      <c r="AO170" s="418"/>
      <c r="AP170" s="418"/>
      <c r="AQ170" s="418"/>
      <c r="AR170" s="418"/>
      <c r="AS170" s="418"/>
      <c r="AT170" s="418"/>
      <c r="AU170" s="418"/>
      <c r="AV170" s="418"/>
      <c r="AW170" s="418"/>
      <c r="AX170" s="418"/>
      <c r="AY170" s="418"/>
      <c r="AZ170" s="418"/>
      <c r="BA170" s="513"/>
      <c r="BC170" s="312"/>
    </row>
    <row r="171" spans="1:55" ht="15.75" customHeight="1">
      <c r="A171" s="421"/>
      <c r="B171" s="416"/>
      <c r="C171" s="492"/>
      <c r="D171" s="425"/>
      <c r="E171" s="421"/>
      <c r="F171" s="425"/>
      <c r="G171" s="421"/>
      <c r="H171" s="421"/>
      <c r="I171" s="421"/>
      <c r="J171" s="492"/>
      <c r="K171" s="421"/>
      <c r="L171" s="421"/>
      <c r="M171" s="421"/>
      <c r="N171" s="421"/>
      <c r="O171" s="421"/>
      <c r="P171" s="421"/>
      <c r="Q171" s="513"/>
      <c r="R171" s="513"/>
      <c r="S171" s="513"/>
      <c r="T171" s="513"/>
      <c r="U171" s="513"/>
      <c r="V171" s="513"/>
      <c r="W171" s="513"/>
      <c r="X171" s="513"/>
      <c r="Y171" s="513"/>
      <c r="Z171" s="513"/>
      <c r="AA171" s="513"/>
      <c r="AB171" s="513"/>
      <c r="AC171" s="513"/>
      <c r="AD171" s="513"/>
      <c r="AE171" s="513"/>
      <c r="AF171" s="513"/>
      <c r="AG171" s="513"/>
      <c r="AH171" s="513"/>
      <c r="AI171" s="513"/>
      <c r="AJ171" s="513"/>
      <c r="AK171" s="513"/>
      <c r="AL171" s="513"/>
      <c r="AM171" s="513"/>
      <c r="AN171" s="418"/>
      <c r="AO171" s="418"/>
      <c r="AP171" s="418"/>
      <c r="AQ171" s="418"/>
      <c r="AR171" s="418"/>
      <c r="AS171" s="418"/>
      <c r="AT171" s="418"/>
      <c r="AU171" s="418"/>
      <c r="AV171" s="418"/>
      <c r="AW171" s="418"/>
      <c r="AX171" s="418"/>
      <c r="AY171" s="418"/>
      <c r="AZ171" s="418"/>
      <c r="BA171" s="513"/>
      <c r="BC171" s="312"/>
    </row>
    <row r="172" spans="1:55" ht="15.75" customHeight="1">
      <c r="A172" s="421"/>
      <c r="B172" s="416"/>
      <c r="C172" s="492"/>
      <c r="D172" s="425"/>
      <c r="E172" s="421"/>
      <c r="F172" s="425"/>
      <c r="G172" s="425"/>
      <c r="H172" s="421"/>
      <c r="I172" s="421"/>
      <c r="J172" s="492"/>
      <c r="K172" s="421"/>
      <c r="L172" s="421"/>
      <c r="M172" s="421"/>
      <c r="N172" s="421"/>
      <c r="O172" s="421"/>
      <c r="P172" s="421"/>
      <c r="Q172" s="513"/>
      <c r="R172" s="513"/>
      <c r="S172" s="513"/>
      <c r="T172" s="513"/>
      <c r="U172" s="513"/>
      <c r="V172" s="513"/>
      <c r="W172" s="513"/>
      <c r="X172" s="513"/>
      <c r="Y172" s="513"/>
      <c r="Z172" s="513"/>
      <c r="AA172" s="513"/>
      <c r="AB172" s="513"/>
      <c r="AC172" s="513"/>
      <c r="AD172" s="513"/>
      <c r="AE172" s="513"/>
      <c r="AF172" s="513"/>
      <c r="AG172" s="513"/>
      <c r="AH172" s="513"/>
      <c r="AI172" s="513"/>
      <c r="AJ172" s="513"/>
      <c r="AK172" s="513"/>
      <c r="AL172" s="513"/>
      <c r="AM172" s="513"/>
      <c r="AN172" s="418"/>
      <c r="AO172" s="418"/>
      <c r="AP172" s="418"/>
      <c r="AQ172" s="418"/>
      <c r="AR172" s="418"/>
      <c r="AS172" s="418"/>
      <c r="AT172" s="418"/>
      <c r="AU172" s="418"/>
      <c r="AV172" s="418"/>
      <c r="AW172" s="418"/>
      <c r="AX172" s="418"/>
      <c r="AY172" s="418"/>
      <c r="AZ172" s="418"/>
      <c r="BA172" s="513"/>
      <c r="BC172" s="312"/>
    </row>
    <row r="173" spans="1:55" ht="15.75" customHeight="1">
      <c r="A173" s="421"/>
      <c r="B173" s="416"/>
      <c r="C173" s="492"/>
      <c r="D173" s="425"/>
      <c r="E173" s="421"/>
      <c r="F173" s="425"/>
      <c r="G173" s="425"/>
      <c r="H173" s="421"/>
      <c r="I173" s="421"/>
      <c r="J173" s="492"/>
      <c r="K173" s="421"/>
      <c r="L173" s="421"/>
      <c r="M173" s="421"/>
      <c r="N173" s="421"/>
      <c r="O173" s="421"/>
      <c r="P173" s="421"/>
      <c r="Q173" s="513"/>
      <c r="R173" s="513"/>
      <c r="S173" s="513"/>
      <c r="T173" s="513"/>
      <c r="U173" s="513"/>
      <c r="V173" s="513"/>
      <c r="W173" s="513"/>
      <c r="X173" s="513"/>
      <c r="Y173" s="513"/>
      <c r="Z173" s="513"/>
      <c r="AA173" s="513"/>
      <c r="AB173" s="513"/>
      <c r="AC173" s="513"/>
      <c r="AD173" s="513"/>
      <c r="AE173" s="513"/>
      <c r="AF173" s="513"/>
      <c r="AG173" s="513"/>
      <c r="AH173" s="513"/>
      <c r="AI173" s="513"/>
      <c r="AJ173" s="513"/>
      <c r="AK173" s="513"/>
      <c r="AL173" s="513"/>
      <c r="AM173" s="513"/>
      <c r="AN173" s="418"/>
      <c r="AO173" s="418"/>
      <c r="AP173" s="418"/>
      <c r="AQ173" s="418"/>
      <c r="AR173" s="418"/>
      <c r="AS173" s="418"/>
      <c r="AT173" s="418"/>
      <c r="AU173" s="418"/>
      <c r="AV173" s="418"/>
      <c r="AW173" s="418"/>
      <c r="AX173" s="418"/>
      <c r="AY173" s="418"/>
      <c r="AZ173" s="418"/>
      <c r="BA173" s="513"/>
      <c r="BC173" s="312"/>
    </row>
    <row r="174" spans="1:55" ht="15.75" customHeight="1">
      <c r="A174" s="421"/>
      <c r="B174" s="416"/>
      <c r="C174" s="492"/>
      <c r="D174" s="425"/>
      <c r="E174" s="421"/>
      <c r="F174" s="425"/>
      <c r="G174" s="425"/>
      <c r="H174" s="421"/>
      <c r="I174" s="421"/>
      <c r="J174" s="492"/>
      <c r="K174" s="421"/>
      <c r="L174" s="421"/>
      <c r="M174" s="421"/>
      <c r="N174" s="421"/>
      <c r="O174" s="421"/>
      <c r="P174" s="421"/>
      <c r="Q174" s="513"/>
      <c r="R174" s="513"/>
      <c r="S174" s="513"/>
      <c r="T174" s="513"/>
      <c r="U174" s="513"/>
      <c r="V174" s="513"/>
      <c r="W174" s="513"/>
      <c r="X174" s="513"/>
      <c r="Y174" s="513"/>
      <c r="Z174" s="513"/>
      <c r="AA174" s="513"/>
      <c r="AB174" s="513"/>
      <c r="AC174" s="513"/>
      <c r="AD174" s="513"/>
      <c r="AE174" s="513"/>
      <c r="AF174" s="513"/>
      <c r="AG174" s="513"/>
      <c r="AH174" s="513"/>
      <c r="AI174" s="513"/>
      <c r="AJ174" s="513"/>
      <c r="AK174" s="513"/>
      <c r="AL174" s="513"/>
      <c r="AM174" s="513"/>
      <c r="AN174" s="418"/>
      <c r="AO174" s="418"/>
      <c r="AP174" s="418"/>
      <c r="AQ174" s="418"/>
      <c r="AR174" s="418"/>
      <c r="AS174" s="418"/>
      <c r="AT174" s="418"/>
      <c r="AU174" s="418"/>
      <c r="AV174" s="418"/>
      <c r="AW174" s="418"/>
      <c r="AX174" s="418"/>
      <c r="AY174" s="418"/>
      <c r="AZ174" s="418"/>
      <c r="BA174" s="513"/>
      <c r="BC174" s="312"/>
    </row>
    <row r="175" spans="1:55" ht="15.75" customHeight="1">
      <c r="A175" s="421"/>
      <c r="B175" s="416"/>
      <c r="C175" s="492"/>
      <c r="D175" s="425"/>
      <c r="E175" s="421"/>
      <c r="F175" s="425"/>
      <c r="G175" s="421"/>
      <c r="H175" s="421"/>
      <c r="I175" s="421"/>
      <c r="J175" s="492"/>
      <c r="K175" s="421"/>
      <c r="L175" s="421"/>
      <c r="M175" s="421"/>
      <c r="N175" s="421"/>
      <c r="O175" s="421"/>
      <c r="P175" s="421"/>
      <c r="Q175" s="513"/>
      <c r="R175" s="513"/>
      <c r="S175" s="513"/>
      <c r="T175" s="513"/>
      <c r="U175" s="513"/>
      <c r="V175" s="513"/>
      <c r="W175" s="513"/>
      <c r="X175" s="513"/>
      <c r="Y175" s="513"/>
      <c r="Z175" s="513"/>
      <c r="AA175" s="513"/>
      <c r="AB175" s="513"/>
      <c r="AC175" s="513"/>
      <c r="AD175" s="513"/>
      <c r="AE175" s="513"/>
      <c r="AF175" s="513"/>
      <c r="AG175" s="513"/>
      <c r="AH175" s="513"/>
      <c r="AI175" s="513"/>
      <c r="AJ175" s="513"/>
      <c r="AK175" s="513"/>
      <c r="AL175" s="513"/>
      <c r="AM175" s="513"/>
      <c r="AN175" s="418"/>
      <c r="AO175" s="418"/>
      <c r="AP175" s="418"/>
      <c r="AQ175" s="418"/>
      <c r="AR175" s="418"/>
      <c r="AS175" s="418"/>
      <c r="AT175" s="418"/>
      <c r="AU175" s="418"/>
      <c r="AV175" s="418"/>
      <c r="AW175" s="418"/>
      <c r="AX175" s="418"/>
      <c r="AY175" s="418"/>
      <c r="AZ175" s="418"/>
      <c r="BA175" s="513"/>
      <c r="BC175" s="312"/>
    </row>
    <row r="176" spans="1:55" ht="15.75" customHeight="1">
      <c r="A176" s="421"/>
      <c r="B176" s="416"/>
      <c r="C176" s="492"/>
      <c r="D176" s="425"/>
      <c r="E176" s="421"/>
      <c r="F176" s="425"/>
      <c r="G176" s="425"/>
      <c r="H176" s="421"/>
      <c r="I176" s="421"/>
      <c r="J176" s="492"/>
      <c r="K176" s="421"/>
      <c r="L176" s="421"/>
      <c r="M176" s="421"/>
      <c r="N176" s="421"/>
      <c r="O176" s="421"/>
      <c r="P176" s="421"/>
      <c r="Q176" s="513"/>
      <c r="R176" s="513"/>
      <c r="S176" s="513"/>
      <c r="T176" s="513"/>
      <c r="U176" s="513"/>
      <c r="V176" s="513"/>
      <c r="W176" s="513"/>
      <c r="X176" s="513"/>
      <c r="Y176" s="513"/>
      <c r="Z176" s="513"/>
      <c r="AA176" s="513"/>
      <c r="AB176" s="513"/>
      <c r="AC176" s="513"/>
      <c r="AD176" s="513"/>
      <c r="AE176" s="513"/>
      <c r="AF176" s="513"/>
      <c r="AG176" s="513"/>
      <c r="AH176" s="513"/>
      <c r="AI176" s="513"/>
      <c r="AJ176" s="513"/>
      <c r="AK176" s="513"/>
      <c r="AL176" s="513"/>
      <c r="AM176" s="513"/>
      <c r="AN176" s="418"/>
      <c r="AO176" s="418"/>
      <c r="AP176" s="418"/>
      <c r="AQ176" s="418"/>
      <c r="AR176" s="418"/>
      <c r="AS176" s="418"/>
      <c r="AT176" s="418"/>
      <c r="AU176" s="418"/>
      <c r="AV176" s="418"/>
      <c r="AW176" s="418"/>
      <c r="AX176" s="418"/>
      <c r="AY176" s="418"/>
      <c r="AZ176" s="418"/>
      <c r="BA176" s="513"/>
      <c r="BC176" s="312"/>
    </row>
    <row r="177" spans="1:55" ht="15.75" customHeight="1">
      <c r="A177" s="421"/>
      <c r="B177" s="416"/>
      <c r="C177" s="492"/>
      <c r="D177" s="425"/>
      <c r="E177" s="421"/>
      <c r="F177" s="425"/>
      <c r="G177" s="425"/>
      <c r="H177" s="421"/>
      <c r="I177" s="425"/>
      <c r="J177" s="492"/>
      <c r="K177" s="421"/>
      <c r="L177" s="421"/>
      <c r="M177" s="421"/>
      <c r="N177" s="421"/>
      <c r="O177" s="421"/>
      <c r="P177" s="421"/>
      <c r="Q177" s="513"/>
      <c r="R177" s="513"/>
      <c r="S177" s="513"/>
      <c r="T177" s="513"/>
      <c r="U177" s="513"/>
      <c r="V177" s="513"/>
      <c r="W177" s="513"/>
      <c r="X177" s="513"/>
      <c r="Y177" s="513"/>
      <c r="Z177" s="513"/>
      <c r="AA177" s="513"/>
      <c r="AB177" s="513"/>
      <c r="AC177" s="513"/>
      <c r="AD177" s="513"/>
      <c r="AE177" s="513"/>
      <c r="AF177" s="513"/>
      <c r="AG177" s="513"/>
      <c r="AH177" s="513"/>
      <c r="AI177" s="513"/>
      <c r="AJ177" s="513"/>
      <c r="AK177" s="513"/>
      <c r="AL177" s="513"/>
      <c r="AM177" s="513"/>
      <c r="AN177" s="418"/>
      <c r="AO177" s="418"/>
      <c r="AP177" s="418"/>
      <c r="AQ177" s="418"/>
      <c r="AR177" s="418"/>
      <c r="AS177" s="418"/>
      <c r="AT177" s="418"/>
      <c r="AU177" s="418"/>
      <c r="AV177" s="418"/>
      <c r="AW177" s="418"/>
      <c r="AX177" s="418"/>
      <c r="AY177" s="418"/>
      <c r="AZ177" s="418"/>
      <c r="BA177" s="513"/>
      <c r="BC177" s="312"/>
    </row>
    <row r="178" spans="1:55" ht="15.75" customHeight="1">
      <c r="A178" s="421"/>
      <c r="B178" s="416"/>
      <c r="C178" s="492"/>
      <c r="D178" s="425"/>
      <c r="E178" s="421"/>
      <c r="F178" s="425"/>
      <c r="G178" s="425"/>
      <c r="H178" s="421"/>
      <c r="I178" s="421"/>
      <c r="J178" s="492"/>
      <c r="K178" s="421"/>
      <c r="L178" s="421"/>
      <c r="M178" s="421"/>
      <c r="N178" s="421"/>
      <c r="O178" s="421"/>
      <c r="P178" s="421"/>
      <c r="Q178" s="513"/>
      <c r="R178" s="513"/>
      <c r="S178" s="513"/>
      <c r="T178" s="513"/>
      <c r="U178" s="513"/>
      <c r="V178" s="513"/>
      <c r="W178" s="513"/>
      <c r="X178" s="513"/>
      <c r="Y178" s="513"/>
      <c r="Z178" s="513"/>
      <c r="AA178" s="513"/>
      <c r="AB178" s="513"/>
      <c r="AC178" s="513"/>
      <c r="AD178" s="513"/>
      <c r="AE178" s="513"/>
      <c r="AF178" s="513"/>
      <c r="AG178" s="513"/>
      <c r="AH178" s="513"/>
      <c r="AI178" s="513"/>
      <c r="AJ178" s="513"/>
      <c r="AK178" s="513"/>
      <c r="AL178" s="513"/>
      <c r="AM178" s="513"/>
      <c r="AN178" s="418"/>
      <c r="AO178" s="418"/>
      <c r="AP178" s="418"/>
      <c r="AQ178" s="418"/>
      <c r="AR178" s="418"/>
      <c r="AS178" s="418"/>
      <c r="AT178" s="418"/>
      <c r="AU178" s="418"/>
      <c r="AV178" s="418"/>
      <c r="AW178" s="418"/>
      <c r="AX178" s="418"/>
      <c r="AY178" s="418"/>
      <c r="AZ178" s="418"/>
      <c r="BA178" s="513"/>
      <c r="BC178" s="312"/>
    </row>
    <row r="179" spans="1:55" ht="15.75" customHeight="1">
      <c r="A179" s="421"/>
      <c r="B179" s="416"/>
      <c r="C179" s="492"/>
      <c r="D179" s="425"/>
      <c r="E179" s="421"/>
      <c r="F179" s="425"/>
      <c r="G179" s="425"/>
      <c r="H179" s="421"/>
      <c r="I179" s="425"/>
      <c r="J179" s="492"/>
      <c r="K179" s="421"/>
      <c r="L179" s="421"/>
      <c r="M179" s="421"/>
      <c r="N179" s="421"/>
      <c r="O179" s="421"/>
      <c r="P179" s="421"/>
      <c r="Q179" s="513"/>
      <c r="R179" s="513"/>
      <c r="S179" s="513"/>
      <c r="T179" s="513"/>
      <c r="U179" s="513"/>
      <c r="V179" s="513"/>
      <c r="W179" s="513"/>
      <c r="X179" s="513"/>
      <c r="Y179" s="513"/>
      <c r="Z179" s="513"/>
      <c r="AA179" s="513"/>
      <c r="AB179" s="513"/>
      <c r="AC179" s="513"/>
      <c r="AD179" s="513"/>
      <c r="AE179" s="513"/>
      <c r="AF179" s="513"/>
      <c r="AG179" s="513"/>
      <c r="AH179" s="513"/>
      <c r="AI179" s="513"/>
      <c r="AJ179" s="513"/>
      <c r="AK179" s="513"/>
      <c r="AL179" s="513"/>
      <c r="AM179" s="513"/>
      <c r="AN179" s="418"/>
      <c r="AO179" s="418"/>
      <c r="AP179" s="418"/>
      <c r="AQ179" s="418"/>
      <c r="AR179" s="418"/>
      <c r="AS179" s="418"/>
      <c r="AT179" s="418"/>
      <c r="AU179" s="418"/>
      <c r="AV179" s="418"/>
      <c r="AW179" s="418"/>
      <c r="AX179" s="418"/>
      <c r="AY179" s="418"/>
      <c r="AZ179" s="418"/>
      <c r="BA179" s="513"/>
      <c r="BC179" s="312"/>
    </row>
    <row r="180" spans="1:55" ht="15.75" customHeight="1">
      <c r="A180" s="421"/>
      <c r="B180" s="416"/>
      <c r="C180" s="492"/>
      <c r="D180" s="425"/>
      <c r="E180" s="421"/>
      <c r="F180" s="425"/>
      <c r="G180" s="425"/>
      <c r="H180" s="421"/>
      <c r="I180" s="421"/>
      <c r="J180" s="492"/>
      <c r="K180" s="421"/>
      <c r="L180" s="421"/>
      <c r="M180" s="421"/>
      <c r="N180" s="421"/>
      <c r="O180" s="421"/>
      <c r="P180" s="421"/>
      <c r="Q180" s="513"/>
      <c r="R180" s="513"/>
      <c r="S180" s="513"/>
      <c r="T180" s="513"/>
      <c r="U180" s="513"/>
      <c r="V180" s="513"/>
      <c r="W180" s="513"/>
      <c r="X180" s="513"/>
      <c r="Y180" s="513"/>
      <c r="Z180" s="513"/>
      <c r="AA180" s="513"/>
      <c r="AB180" s="513"/>
      <c r="AC180" s="513"/>
      <c r="AD180" s="513"/>
      <c r="AE180" s="513"/>
      <c r="AF180" s="513"/>
      <c r="AG180" s="513"/>
      <c r="AH180" s="513"/>
      <c r="AI180" s="513"/>
      <c r="AJ180" s="513"/>
      <c r="AK180" s="513"/>
      <c r="AL180" s="513"/>
      <c r="AM180" s="513"/>
      <c r="AN180" s="418"/>
      <c r="AO180" s="418"/>
      <c r="AP180" s="418"/>
      <c r="AQ180" s="418"/>
      <c r="AR180" s="418"/>
      <c r="AS180" s="418"/>
      <c r="AT180" s="418"/>
      <c r="AU180" s="418"/>
      <c r="AV180" s="418"/>
      <c r="AW180" s="418"/>
      <c r="AX180" s="418"/>
      <c r="AY180" s="418"/>
      <c r="AZ180" s="418"/>
      <c r="BA180" s="513"/>
      <c r="BC180" s="312"/>
    </row>
    <row r="181" spans="1:55" ht="15.75" customHeight="1">
      <c r="A181" s="421"/>
      <c r="B181" s="421"/>
      <c r="C181" s="492"/>
      <c r="D181" s="425"/>
      <c r="E181" s="421"/>
      <c r="F181" s="425"/>
      <c r="G181" s="421"/>
      <c r="H181" s="421"/>
      <c r="I181" s="421"/>
      <c r="J181" s="492"/>
      <c r="K181" s="421"/>
      <c r="L181" s="421"/>
      <c r="M181" s="421"/>
      <c r="N181" s="421"/>
      <c r="O181" s="421"/>
      <c r="P181" s="421"/>
      <c r="Q181" s="513"/>
      <c r="R181" s="513"/>
      <c r="S181" s="513"/>
      <c r="T181" s="513"/>
      <c r="U181" s="513"/>
      <c r="V181" s="513"/>
      <c r="W181" s="513"/>
      <c r="X181" s="513"/>
      <c r="Y181" s="513"/>
      <c r="Z181" s="513"/>
      <c r="AA181" s="513"/>
      <c r="AB181" s="513"/>
      <c r="AC181" s="513"/>
      <c r="AD181" s="513"/>
      <c r="AE181" s="513"/>
      <c r="AF181" s="513"/>
      <c r="AG181" s="513"/>
      <c r="AH181" s="513"/>
      <c r="AI181" s="513"/>
      <c r="AJ181" s="513"/>
      <c r="AK181" s="513"/>
      <c r="AL181" s="513"/>
      <c r="AM181" s="513"/>
      <c r="AN181" s="418"/>
      <c r="AO181" s="418"/>
      <c r="AP181" s="418"/>
      <c r="AQ181" s="418"/>
      <c r="AR181" s="418"/>
      <c r="AS181" s="418"/>
      <c r="AT181" s="418"/>
      <c r="AU181" s="418"/>
      <c r="AV181" s="418"/>
      <c r="AW181" s="418"/>
      <c r="AX181" s="418"/>
      <c r="AY181" s="418"/>
      <c r="AZ181" s="418"/>
      <c r="BA181" s="513"/>
      <c r="BC181" s="312"/>
    </row>
    <row r="182" spans="1:55" ht="15.75" customHeight="1">
      <c r="A182" s="421"/>
      <c r="B182" s="416"/>
      <c r="C182" s="492"/>
      <c r="D182" s="425"/>
      <c r="E182" s="421"/>
      <c r="F182" s="425"/>
      <c r="G182" s="425"/>
      <c r="H182" s="421"/>
      <c r="I182" s="421"/>
      <c r="J182" s="492"/>
      <c r="K182" s="421"/>
      <c r="L182" s="421"/>
      <c r="M182" s="421"/>
      <c r="N182" s="421"/>
      <c r="O182" s="421"/>
      <c r="P182" s="421"/>
      <c r="Q182" s="513"/>
      <c r="R182" s="513"/>
      <c r="S182" s="513"/>
      <c r="T182" s="513"/>
      <c r="U182" s="513"/>
      <c r="V182" s="513"/>
      <c r="W182" s="513"/>
      <c r="X182" s="513"/>
      <c r="Y182" s="513"/>
      <c r="Z182" s="513"/>
      <c r="AA182" s="513"/>
      <c r="AB182" s="513"/>
      <c r="AC182" s="513"/>
      <c r="AD182" s="513"/>
      <c r="AE182" s="513"/>
      <c r="AF182" s="513"/>
      <c r="AG182" s="513"/>
      <c r="AH182" s="513"/>
      <c r="AI182" s="513"/>
      <c r="AJ182" s="513"/>
      <c r="AK182" s="513"/>
      <c r="AL182" s="513"/>
      <c r="AM182" s="513"/>
      <c r="AN182" s="418"/>
      <c r="AO182" s="418"/>
      <c r="AP182" s="418"/>
      <c r="AQ182" s="418"/>
      <c r="AR182" s="418"/>
      <c r="AS182" s="418"/>
      <c r="AT182" s="418"/>
      <c r="AU182" s="418"/>
      <c r="AV182" s="418"/>
      <c r="AW182" s="418"/>
      <c r="AX182" s="418"/>
      <c r="AY182" s="418"/>
      <c r="AZ182" s="418"/>
      <c r="BA182" s="513"/>
      <c r="BC182" s="312"/>
    </row>
    <row r="183" spans="1:55" ht="15.75" customHeight="1">
      <c r="A183" s="421"/>
      <c r="B183" s="416"/>
      <c r="C183" s="492"/>
      <c r="D183" s="425"/>
      <c r="E183" s="421"/>
      <c r="F183" s="425"/>
      <c r="G183" s="421"/>
      <c r="H183" s="421"/>
      <c r="I183" s="421"/>
      <c r="J183" s="492"/>
      <c r="K183" s="421"/>
      <c r="L183" s="421"/>
      <c r="M183" s="421"/>
      <c r="N183" s="421"/>
      <c r="O183" s="421"/>
      <c r="P183" s="421"/>
      <c r="Q183" s="513"/>
      <c r="R183" s="513"/>
      <c r="S183" s="513"/>
      <c r="T183" s="513"/>
      <c r="U183" s="513"/>
      <c r="V183" s="513"/>
      <c r="W183" s="513"/>
      <c r="X183" s="513"/>
      <c r="Y183" s="513"/>
      <c r="Z183" s="513"/>
      <c r="AA183" s="513"/>
      <c r="AB183" s="513"/>
      <c r="AC183" s="513"/>
      <c r="AD183" s="513"/>
      <c r="AE183" s="513"/>
      <c r="AF183" s="513"/>
      <c r="AG183" s="513"/>
      <c r="AH183" s="513"/>
      <c r="AI183" s="513"/>
      <c r="AJ183" s="513"/>
      <c r="AK183" s="513"/>
      <c r="AL183" s="513"/>
      <c r="AM183" s="513"/>
      <c r="AN183" s="418"/>
      <c r="AO183" s="418"/>
      <c r="AP183" s="418"/>
      <c r="AQ183" s="418"/>
      <c r="AR183" s="418"/>
      <c r="AS183" s="418"/>
      <c r="AT183" s="418"/>
      <c r="AU183" s="418"/>
      <c r="AV183" s="418"/>
      <c r="AW183" s="418"/>
      <c r="AX183" s="418"/>
      <c r="AY183" s="418"/>
      <c r="AZ183" s="418"/>
      <c r="BA183" s="513"/>
      <c r="BC183" s="312"/>
    </row>
    <row r="184" spans="1:55" ht="15.75" customHeight="1">
      <c r="A184" s="421"/>
      <c r="B184" s="416"/>
      <c r="C184" s="492"/>
      <c r="D184" s="425"/>
      <c r="E184" s="421"/>
      <c r="F184" s="425"/>
      <c r="G184" s="425"/>
      <c r="H184" s="421"/>
      <c r="I184" s="421"/>
      <c r="J184" s="492"/>
      <c r="K184" s="421"/>
      <c r="L184" s="421"/>
      <c r="M184" s="421"/>
      <c r="N184" s="421"/>
      <c r="O184" s="421"/>
      <c r="P184" s="421"/>
      <c r="Q184" s="513"/>
      <c r="R184" s="513"/>
      <c r="S184" s="513"/>
      <c r="T184" s="513"/>
      <c r="U184" s="513"/>
      <c r="V184" s="513"/>
      <c r="W184" s="513"/>
      <c r="X184" s="513"/>
      <c r="Y184" s="513"/>
      <c r="Z184" s="513"/>
      <c r="AA184" s="513"/>
      <c r="AB184" s="513"/>
      <c r="AC184" s="513"/>
      <c r="AD184" s="513"/>
      <c r="AE184" s="513"/>
      <c r="AF184" s="513"/>
      <c r="AG184" s="513"/>
      <c r="AH184" s="513"/>
      <c r="AI184" s="513"/>
      <c r="AJ184" s="513"/>
      <c r="AK184" s="513"/>
      <c r="AL184" s="513"/>
      <c r="AM184" s="513"/>
      <c r="AN184" s="418"/>
      <c r="AO184" s="418"/>
      <c r="AP184" s="418"/>
      <c r="AQ184" s="418"/>
      <c r="AR184" s="418"/>
      <c r="AS184" s="418"/>
      <c r="AT184" s="418"/>
      <c r="AU184" s="418"/>
      <c r="AV184" s="418"/>
      <c r="AW184" s="418"/>
      <c r="AX184" s="418"/>
      <c r="AY184" s="418"/>
      <c r="AZ184" s="418"/>
      <c r="BA184" s="513"/>
      <c r="BC184" s="312"/>
    </row>
    <row r="185" spans="1:55" ht="15.75" customHeight="1">
      <c r="A185" s="421"/>
      <c r="B185" s="421"/>
      <c r="C185" s="492"/>
      <c r="D185" s="425"/>
      <c r="E185" s="421"/>
      <c r="F185" s="425"/>
      <c r="G185" s="425"/>
      <c r="H185" s="421"/>
      <c r="I185" s="421"/>
      <c r="J185" s="492"/>
      <c r="K185" s="421"/>
      <c r="L185" s="421"/>
      <c r="M185" s="421"/>
      <c r="N185" s="421"/>
      <c r="O185" s="421"/>
      <c r="P185" s="421"/>
      <c r="Q185" s="513"/>
      <c r="R185" s="513"/>
      <c r="S185" s="513"/>
      <c r="T185" s="513"/>
      <c r="U185" s="513"/>
      <c r="V185" s="513"/>
      <c r="W185" s="513"/>
      <c r="X185" s="513"/>
      <c r="Y185" s="513"/>
      <c r="Z185" s="513"/>
      <c r="AA185" s="513"/>
      <c r="AB185" s="513"/>
      <c r="AC185" s="513"/>
      <c r="AD185" s="513"/>
      <c r="AE185" s="513"/>
      <c r="AF185" s="513"/>
      <c r="AG185" s="513"/>
      <c r="AH185" s="513"/>
      <c r="AI185" s="513"/>
      <c r="AJ185" s="513"/>
      <c r="AK185" s="513"/>
      <c r="AL185" s="513"/>
      <c r="AM185" s="513"/>
      <c r="AN185" s="418"/>
      <c r="AO185" s="418"/>
      <c r="AP185" s="418"/>
      <c r="AQ185" s="418"/>
      <c r="AR185" s="418"/>
      <c r="AS185" s="418"/>
      <c r="AT185" s="418"/>
      <c r="AU185" s="418"/>
      <c r="AV185" s="418"/>
      <c r="AW185" s="418"/>
      <c r="AX185" s="418"/>
      <c r="AY185" s="418"/>
      <c r="AZ185" s="418"/>
      <c r="BA185" s="513"/>
      <c r="BC185" s="312"/>
    </row>
    <row r="186" spans="1:55" ht="15.75" customHeight="1">
      <c r="A186" s="421"/>
      <c r="B186" s="416"/>
      <c r="C186" s="492"/>
      <c r="D186" s="425"/>
      <c r="E186" s="421"/>
      <c r="F186" s="425"/>
      <c r="G186" s="425"/>
      <c r="H186" s="421"/>
      <c r="I186" s="421"/>
      <c r="J186" s="492"/>
      <c r="K186" s="421"/>
      <c r="L186" s="421"/>
      <c r="M186" s="421"/>
      <c r="N186" s="421"/>
      <c r="O186" s="421"/>
      <c r="P186" s="421"/>
      <c r="Q186" s="513"/>
      <c r="R186" s="513"/>
      <c r="S186" s="513"/>
      <c r="T186" s="513"/>
      <c r="U186" s="513"/>
      <c r="V186" s="513"/>
      <c r="W186" s="513"/>
      <c r="X186" s="513"/>
      <c r="Y186" s="513"/>
      <c r="Z186" s="513"/>
      <c r="AA186" s="513"/>
      <c r="AB186" s="513"/>
      <c r="AC186" s="513"/>
      <c r="AD186" s="513"/>
      <c r="AE186" s="513"/>
      <c r="AF186" s="513"/>
      <c r="AG186" s="513"/>
      <c r="AH186" s="513"/>
      <c r="AI186" s="513"/>
      <c r="AJ186" s="513"/>
      <c r="AK186" s="513"/>
      <c r="AL186" s="513"/>
      <c r="AM186" s="513"/>
      <c r="AN186" s="418"/>
      <c r="AO186" s="418"/>
      <c r="AP186" s="418"/>
      <c r="AQ186" s="418"/>
      <c r="AR186" s="418"/>
      <c r="AS186" s="418"/>
      <c r="AT186" s="418"/>
      <c r="AU186" s="418"/>
      <c r="AV186" s="418"/>
      <c r="AW186" s="418"/>
      <c r="AX186" s="418"/>
      <c r="AY186" s="418"/>
      <c r="AZ186" s="418"/>
      <c r="BA186" s="513"/>
      <c r="BC186" s="312"/>
    </row>
    <row r="187" spans="1:55" ht="15.75" customHeight="1">
      <c r="A187" s="421"/>
      <c r="B187" s="421"/>
      <c r="C187" s="492"/>
      <c r="D187" s="425"/>
      <c r="E187" s="421"/>
      <c r="F187" s="425"/>
      <c r="G187" s="421"/>
      <c r="H187" s="421"/>
      <c r="I187" s="421"/>
      <c r="J187" s="492"/>
      <c r="K187" s="421"/>
      <c r="L187" s="421"/>
      <c r="M187" s="421"/>
      <c r="N187" s="421"/>
      <c r="O187" s="421"/>
      <c r="P187" s="421"/>
      <c r="Q187" s="513"/>
      <c r="R187" s="513"/>
      <c r="S187" s="513"/>
      <c r="T187" s="513"/>
      <c r="U187" s="513"/>
      <c r="V187" s="513"/>
      <c r="W187" s="513"/>
      <c r="X187" s="513"/>
      <c r="Y187" s="513"/>
      <c r="Z187" s="513"/>
      <c r="AA187" s="513"/>
      <c r="AB187" s="513"/>
      <c r="AC187" s="513"/>
      <c r="AD187" s="513"/>
      <c r="AE187" s="513"/>
      <c r="AF187" s="513"/>
      <c r="AG187" s="513"/>
      <c r="AH187" s="513"/>
      <c r="AI187" s="513"/>
      <c r="AJ187" s="513"/>
      <c r="AK187" s="513"/>
      <c r="AL187" s="513"/>
      <c r="AM187" s="513"/>
      <c r="AN187" s="418"/>
      <c r="AO187" s="418"/>
      <c r="AP187" s="418"/>
      <c r="AQ187" s="418"/>
      <c r="AR187" s="418"/>
      <c r="AS187" s="418"/>
      <c r="AT187" s="418"/>
      <c r="AU187" s="418"/>
      <c r="AV187" s="418"/>
      <c r="AW187" s="418"/>
      <c r="AX187" s="418"/>
      <c r="AY187" s="418"/>
      <c r="AZ187" s="418"/>
      <c r="BA187" s="513"/>
      <c r="BC187" s="312"/>
    </row>
    <row r="188" spans="1:55" ht="15.75" customHeight="1">
      <c r="A188" s="421"/>
      <c r="B188" s="416"/>
      <c r="C188" s="492"/>
      <c r="D188" s="425"/>
      <c r="E188" s="421"/>
      <c r="F188" s="425"/>
      <c r="G188" s="425"/>
      <c r="H188" s="421"/>
      <c r="I188" s="421"/>
      <c r="J188" s="492"/>
      <c r="K188" s="421"/>
      <c r="L188" s="421"/>
      <c r="M188" s="421"/>
      <c r="N188" s="421"/>
      <c r="O188" s="421"/>
      <c r="P188" s="421"/>
      <c r="Q188" s="513"/>
      <c r="R188" s="513"/>
      <c r="S188" s="513"/>
      <c r="T188" s="513"/>
      <c r="U188" s="513"/>
      <c r="V188" s="513"/>
      <c r="W188" s="513"/>
      <c r="X188" s="513"/>
      <c r="Y188" s="513"/>
      <c r="Z188" s="513"/>
      <c r="AA188" s="513"/>
      <c r="AB188" s="513"/>
      <c r="AC188" s="513"/>
      <c r="AD188" s="513"/>
      <c r="AE188" s="513"/>
      <c r="AF188" s="513"/>
      <c r="AG188" s="513"/>
      <c r="AH188" s="513"/>
      <c r="AI188" s="513"/>
      <c r="AJ188" s="513"/>
      <c r="AK188" s="513"/>
      <c r="AL188" s="513"/>
      <c r="AM188" s="513"/>
      <c r="AN188" s="418"/>
      <c r="AO188" s="418"/>
      <c r="AP188" s="418"/>
      <c r="AQ188" s="418"/>
      <c r="AR188" s="418"/>
      <c r="AS188" s="418"/>
      <c r="AT188" s="418"/>
      <c r="AU188" s="418"/>
      <c r="AV188" s="418"/>
      <c r="AW188" s="418"/>
      <c r="AX188" s="418"/>
      <c r="AY188" s="418"/>
      <c r="AZ188" s="418"/>
      <c r="BA188" s="513"/>
      <c r="BC188" s="312"/>
    </row>
    <row r="189" spans="1:55" ht="15.75" customHeight="1">
      <c r="A189" s="421"/>
      <c r="B189" s="421"/>
      <c r="C189" s="492"/>
      <c r="D189" s="425"/>
      <c r="E189" s="421"/>
      <c r="F189" s="425"/>
      <c r="G189" s="425"/>
      <c r="H189" s="421"/>
      <c r="I189" s="421"/>
      <c r="J189" s="492"/>
      <c r="K189" s="421"/>
      <c r="L189" s="421"/>
      <c r="M189" s="421"/>
      <c r="N189" s="421"/>
      <c r="O189" s="421"/>
      <c r="P189" s="421"/>
      <c r="Q189" s="513"/>
      <c r="R189" s="513"/>
      <c r="S189" s="513"/>
      <c r="T189" s="513"/>
      <c r="U189" s="513"/>
      <c r="V189" s="513"/>
      <c r="W189" s="513"/>
      <c r="X189" s="513"/>
      <c r="Y189" s="513"/>
      <c r="Z189" s="513"/>
      <c r="AA189" s="513"/>
      <c r="AB189" s="513"/>
      <c r="AC189" s="513"/>
      <c r="AD189" s="513"/>
      <c r="AE189" s="513"/>
      <c r="AF189" s="513"/>
      <c r="AG189" s="513"/>
      <c r="AH189" s="513"/>
      <c r="AI189" s="513"/>
      <c r="AJ189" s="513"/>
      <c r="AK189" s="513"/>
      <c r="AL189" s="513"/>
      <c r="AM189" s="513"/>
      <c r="AN189" s="418"/>
      <c r="AO189" s="418"/>
      <c r="AP189" s="418"/>
      <c r="AQ189" s="418"/>
      <c r="AR189" s="418"/>
      <c r="AS189" s="418"/>
      <c r="AT189" s="418"/>
      <c r="AU189" s="418"/>
      <c r="AV189" s="418"/>
      <c r="AW189" s="418"/>
      <c r="AX189" s="418"/>
      <c r="AY189" s="418"/>
      <c r="AZ189" s="418"/>
      <c r="BA189" s="513"/>
      <c r="BC189" s="312"/>
    </row>
    <row r="190" spans="1:55" ht="15.75" customHeight="1">
      <c r="A190" s="421"/>
      <c r="B190" s="416"/>
      <c r="C190" s="492"/>
      <c r="D190" s="425"/>
      <c r="E190" s="421"/>
      <c r="F190" s="425"/>
      <c r="G190" s="425"/>
      <c r="H190" s="421"/>
      <c r="I190" s="421"/>
      <c r="J190" s="492"/>
      <c r="K190" s="421"/>
      <c r="L190" s="421"/>
      <c r="M190" s="421"/>
      <c r="N190" s="421"/>
      <c r="O190" s="421"/>
      <c r="P190" s="421"/>
      <c r="Q190" s="513"/>
      <c r="R190" s="513"/>
      <c r="S190" s="513"/>
      <c r="T190" s="513"/>
      <c r="U190" s="513"/>
      <c r="V190" s="513"/>
      <c r="W190" s="513"/>
      <c r="X190" s="513"/>
      <c r="Y190" s="513"/>
      <c r="Z190" s="513"/>
      <c r="AA190" s="513"/>
      <c r="AB190" s="513"/>
      <c r="AC190" s="513"/>
      <c r="AD190" s="513"/>
      <c r="AE190" s="513"/>
      <c r="AF190" s="513"/>
      <c r="AG190" s="513"/>
      <c r="AH190" s="513"/>
      <c r="AI190" s="513"/>
      <c r="AJ190" s="513"/>
      <c r="AK190" s="513"/>
      <c r="AL190" s="513"/>
      <c r="AM190" s="513"/>
      <c r="AN190" s="418"/>
      <c r="AO190" s="418"/>
      <c r="AP190" s="418"/>
      <c r="AQ190" s="418"/>
      <c r="AR190" s="418"/>
      <c r="AS190" s="418"/>
      <c r="AT190" s="418"/>
      <c r="AU190" s="418"/>
      <c r="AV190" s="418"/>
      <c r="AW190" s="418"/>
      <c r="AX190" s="418"/>
      <c r="AY190" s="418"/>
      <c r="AZ190" s="418"/>
      <c r="BA190" s="513"/>
      <c r="BC190" s="312"/>
    </row>
    <row r="191" spans="1:55" ht="15.75" customHeight="1">
      <c r="A191" s="421"/>
      <c r="B191" s="421"/>
      <c r="C191" s="492"/>
      <c r="D191" s="425"/>
      <c r="E191" s="421"/>
      <c r="F191" s="425"/>
      <c r="G191" s="421"/>
      <c r="H191" s="421"/>
      <c r="I191" s="421"/>
      <c r="J191" s="492"/>
      <c r="K191" s="421"/>
      <c r="L191" s="421"/>
      <c r="M191" s="421"/>
      <c r="N191" s="421"/>
      <c r="O191" s="421"/>
      <c r="P191" s="421"/>
      <c r="Q191" s="513"/>
      <c r="R191" s="513"/>
      <c r="S191" s="513"/>
      <c r="T191" s="513"/>
      <c r="U191" s="513"/>
      <c r="V191" s="513"/>
      <c r="W191" s="513"/>
      <c r="X191" s="513"/>
      <c r="Y191" s="513"/>
      <c r="Z191" s="513"/>
      <c r="AA191" s="513"/>
      <c r="AB191" s="513"/>
      <c r="AC191" s="513"/>
      <c r="AD191" s="513"/>
      <c r="AE191" s="513"/>
      <c r="AF191" s="513"/>
      <c r="AG191" s="513"/>
      <c r="AH191" s="513"/>
      <c r="AI191" s="513"/>
      <c r="AJ191" s="513"/>
      <c r="AK191" s="513"/>
      <c r="AL191" s="513"/>
      <c r="AM191" s="513"/>
      <c r="AN191" s="418"/>
      <c r="AO191" s="418"/>
      <c r="AP191" s="418"/>
      <c r="AQ191" s="418"/>
      <c r="AR191" s="418"/>
      <c r="AS191" s="418"/>
      <c r="AT191" s="418"/>
      <c r="AU191" s="418"/>
      <c r="AV191" s="418"/>
      <c r="AW191" s="418"/>
      <c r="AX191" s="418"/>
      <c r="AY191" s="418"/>
      <c r="AZ191" s="418"/>
      <c r="BA191" s="513"/>
      <c r="BC191" s="312"/>
    </row>
    <row r="192" spans="1:55" ht="15.75" customHeight="1">
      <c r="A192" s="421"/>
      <c r="B192" s="416"/>
      <c r="C192" s="492"/>
      <c r="D192" s="425"/>
      <c r="E192" s="421"/>
      <c r="F192" s="425"/>
      <c r="G192" s="425"/>
      <c r="H192" s="421"/>
      <c r="I192" s="421"/>
      <c r="J192" s="492"/>
      <c r="K192" s="421"/>
      <c r="L192" s="421"/>
      <c r="M192" s="421"/>
      <c r="N192" s="421"/>
      <c r="O192" s="421"/>
      <c r="P192" s="421"/>
      <c r="Q192" s="513"/>
      <c r="R192" s="513"/>
      <c r="S192" s="513"/>
      <c r="T192" s="513"/>
      <c r="U192" s="513"/>
      <c r="V192" s="513"/>
      <c r="W192" s="513"/>
      <c r="X192" s="513"/>
      <c r="Y192" s="513"/>
      <c r="Z192" s="513"/>
      <c r="AA192" s="513"/>
      <c r="AB192" s="513"/>
      <c r="AC192" s="513"/>
      <c r="AD192" s="513"/>
      <c r="AE192" s="513"/>
      <c r="AF192" s="513"/>
      <c r="AG192" s="513"/>
      <c r="AH192" s="513"/>
      <c r="AI192" s="513"/>
      <c r="AJ192" s="513"/>
      <c r="AK192" s="513"/>
      <c r="AL192" s="513"/>
      <c r="AM192" s="513"/>
      <c r="AN192" s="418"/>
      <c r="AO192" s="418"/>
      <c r="AP192" s="418"/>
      <c r="AQ192" s="418"/>
      <c r="AR192" s="418"/>
      <c r="AS192" s="418"/>
      <c r="AT192" s="418"/>
      <c r="AU192" s="418"/>
      <c r="AV192" s="418"/>
      <c r="AW192" s="418"/>
      <c r="AX192" s="418"/>
      <c r="AY192" s="418"/>
      <c r="AZ192" s="418"/>
      <c r="BA192" s="513"/>
      <c r="BC192" s="312"/>
    </row>
    <row r="193" spans="1:55" ht="15.75" customHeight="1">
      <c r="A193" s="421"/>
      <c r="B193" s="421"/>
      <c r="C193" s="492"/>
      <c r="D193" s="425"/>
      <c r="E193" s="421"/>
      <c r="F193" s="425"/>
      <c r="G193" s="425"/>
      <c r="H193" s="421"/>
      <c r="I193" s="421"/>
      <c r="J193" s="492"/>
      <c r="K193" s="421"/>
      <c r="L193" s="421"/>
      <c r="M193" s="421"/>
      <c r="N193" s="421"/>
      <c r="O193" s="421"/>
      <c r="P193" s="421"/>
      <c r="Q193" s="513"/>
      <c r="R193" s="513"/>
      <c r="S193" s="513"/>
      <c r="T193" s="513"/>
      <c r="U193" s="513"/>
      <c r="V193" s="513"/>
      <c r="W193" s="513"/>
      <c r="X193" s="513"/>
      <c r="Y193" s="513"/>
      <c r="Z193" s="513"/>
      <c r="AA193" s="513"/>
      <c r="AB193" s="513"/>
      <c r="AC193" s="513"/>
      <c r="AD193" s="513"/>
      <c r="AE193" s="513"/>
      <c r="AF193" s="513"/>
      <c r="AG193" s="513"/>
      <c r="AH193" s="513"/>
      <c r="AI193" s="513"/>
      <c r="AJ193" s="513"/>
      <c r="AK193" s="513"/>
      <c r="AL193" s="513"/>
      <c r="AM193" s="513"/>
      <c r="AN193" s="418"/>
      <c r="AO193" s="418"/>
      <c r="AP193" s="418"/>
      <c r="AQ193" s="418"/>
      <c r="AR193" s="418"/>
      <c r="AS193" s="418"/>
      <c r="AT193" s="418"/>
      <c r="AU193" s="418"/>
      <c r="AV193" s="418"/>
      <c r="AW193" s="418"/>
      <c r="AX193" s="418"/>
      <c r="AY193" s="418"/>
      <c r="AZ193" s="418"/>
      <c r="BA193" s="513"/>
      <c r="BC193" s="312"/>
    </row>
    <row r="194" spans="1:55" ht="15.75" customHeight="1">
      <c r="A194" s="421"/>
      <c r="B194" s="416"/>
      <c r="C194" s="492"/>
      <c r="D194" s="425"/>
      <c r="E194" s="421"/>
      <c r="F194" s="425"/>
      <c r="G194" s="425"/>
      <c r="H194" s="421"/>
      <c r="I194" s="421"/>
      <c r="J194" s="492"/>
      <c r="K194" s="421"/>
      <c r="L194" s="421"/>
      <c r="M194" s="421"/>
      <c r="N194" s="421"/>
      <c r="O194" s="421"/>
      <c r="P194" s="421"/>
      <c r="Q194" s="513"/>
      <c r="R194" s="513"/>
      <c r="S194" s="513"/>
      <c r="T194" s="513"/>
      <c r="U194" s="513"/>
      <c r="V194" s="513"/>
      <c r="W194" s="513"/>
      <c r="X194" s="513"/>
      <c r="Y194" s="513"/>
      <c r="Z194" s="513"/>
      <c r="AA194" s="513"/>
      <c r="AB194" s="513"/>
      <c r="AC194" s="513"/>
      <c r="AD194" s="513"/>
      <c r="AE194" s="513"/>
      <c r="AF194" s="513"/>
      <c r="AG194" s="513"/>
      <c r="AH194" s="513"/>
      <c r="AI194" s="513"/>
      <c r="AJ194" s="513"/>
      <c r="AK194" s="513"/>
      <c r="AL194" s="513"/>
      <c r="AM194" s="513"/>
      <c r="AN194" s="418"/>
      <c r="AO194" s="418"/>
      <c r="AP194" s="418"/>
      <c r="AQ194" s="418"/>
      <c r="AR194" s="418"/>
      <c r="AS194" s="418"/>
      <c r="AT194" s="418"/>
      <c r="AU194" s="418"/>
      <c r="AV194" s="418"/>
      <c r="AW194" s="418"/>
      <c r="AX194" s="418"/>
      <c r="AY194" s="418"/>
      <c r="AZ194" s="418"/>
      <c r="BA194" s="513"/>
      <c r="BC194" s="312"/>
    </row>
    <row r="195" spans="1:55" ht="15.75" customHeight="1">
      <c r="A195" s="421"/>
      <c r="B195" s="421"/>
      <c r="C195" s="492"/>
      <c r="D195" s="425"/>
      <c r="E195" s="421"/>
      <c r="F195" s="425"/>
      <c r="G195" s="421"/>
      <c r="H195" s="421"/>
      <c r="I195" s="421"/>
      <c r="J195" s="492"/>
      <c r="K195" s="421"/>
      <c r="L195" s="421"/>
      <c r="M195" s="421"/>
      <c r="N195" s="421"/>
      <c r="O195" s="421"/>
      <c r="P195" s="421"/>
      <c r="Q195" s="513"/>
      <c r="R195" s="513"/>
      <c r="S195" s="513"/>
      <c r="T195" s="513"/>
      <c r="U195" s="513"/>
      <c r="V195" s="513"/>
      <c r="W195" s="513"/>
      <c r="X195" s="513"/>
      <c r="Y195" s="513"/>
      <c r="Z195" s="513"/>
      <c r="AA195" s="513"/>
      <c r="AB195" s="513"/>
      <c r="AC195" s="513"/>
      <c r="AD195" s="513"/>
      <c r="AE195" s="513"/>
      <c r="AF195" s="513"/>
      <c r="AG195" s="513"/>
      <c r="AH195" s="513"/>
      <c r="AI195" s="513"/>
      <c r="AJ195" s="513"/>
      <c r="AK195" s="513"/>
      <c r="AL195" s="513"/>
      <c r="AM195" s="513"/>
      <c r="AN195" s="418"/>
      <c r="AO195" s="418"/>
      <c r="AP195" s="418"/>
      <c r="AQ195" s="418"/>
      <c r="AR195" s="418"/>
      <c r="AS195" s="418"/>
      <c r="AT195" s="418"/>
      <c r="AU195" s="418"/>
      <c r="AV195" s="418"/>
      <c r="AW195" s="418"/>
      <c r="AX195" s="418"/>
      <c r="AY195" s="418"/>
      <c r="AZ195" s="418"/>
      <c r="BA195" s="513"/>
      <c r="BC195" s="312"/>
    </row>
    <row r="196" spans="1:55" ht="15.75" customHeight="1">
      <c r="A196" s="421"/>
      <c r="B196" s="416"/>
      <c r="C196" s="492"/>
      <c r="D196" s="425"/>
      <c r="E196" s="421"/>
      <c r="F196" s="425"/>
      <c r="G196" s="425"/>
      <c r="H196" s="421"/>
      <c r="I196" s="421"/>
      <c r="J196" s="492"/>
      <c r="K196" s="421"/>
      <c r="L196" s="421"/>
      <c r="M196" s="421"/>
      <c r="N196" s="421"/>
      <c r="O196" s="421"/>
      <c r="P196" s="421"/>
      <c r="Q196" s="513"/>
      <c r="R196" s="513"/>
      <c r="S196" s="513"/>
      <c r="T196" s="513"/>
      <c r="U196" s="513"/>
      <c r="V196" s="513"/>
      <c r="W196" s="513"/>
      <c r="X196" s="513"/>
      <c r="Y196" s="513"/>
      <c r="Z196" s="513"/>
      <c r="AA196" s="513"/>
      <c r="AB196" s="513"/>
      <c r="AC196" s="513"/>
      <c r="AD196" s="513"/>
      <c r="AE196" s="513"/>
      <c r="AF196" s="513"/>
      <c r="AG196" s="513"/>
      <c r="AH196" s="513"/>
      <c r="AI196" s="513"/>
      <c r="AJ196" s="513"/>
      <c r="AK196" s="513"/>
      <c r="AL196" s="513"/>
      <c r="AM196" s="513"/>
      <c r="AN196" s="418"/>
      <c r="AO196" s="418"/>
      <c r="AP196" s="418"/>
      <c r="AQ196" s="418"/>
      <c r="AR196" s="418"/>
      <c r="AS196" s="418"/>
      <c r="AT196" s="418"/>
      <c r="AU196" s="418"/>
      <c r="AV196" s="418"/>
      <c r="AW196" s="418"/>
      <c r="AX196" s="418"/>
      <c r="AY196" s="418"/>
      <c r="AZ196" s="418"/>
      <c r="BA196" s="513"/>
      <c r="BC196" s="312"/>
    </row>
    <row r="197" spans="1:55" ht="15.75" customHeight="1">
      <c r="A197" s="421"/>
      <c r="B197" s="421"/>
      <c r="C197" s="492"/>
      <c r="D197" s="425"/>
      <c r="E197" s="421"/>
      <c r="F197" s="425"/>
      <c r="G197" s="425"/>
      <c r="H197" s="421"/>
      <c r="I197" s="421"/>
      <c r="J197" s="492"/>
      <c r="K197" s="421"/>
      <c r="L197" s="421"/>
      <c r="M197" s="421"/>
      <c r="N197" s="421"/>
      <c r="O197" s="421"/>
      <c r="P197" s="421"/>
      <c r="Q197" s="513"/>
      <c r="R197" s="513"/>
      <c r="S197" s="513"/>
      <c r="T197" s="513"/>
      <c r="U197" s="513"/>
      <c r="V197" s="513"/>
      <c r="W197" s="513"/>
      <c r="X197" s="513"/>
      <c r="Y197" s="513"/>
      <c r="Z197" s="513"/>
      <c r="AA197" s="513"/>
      <c r="AB197" s="513"/>
      <c r="AC197" s="513"/>
      <c r="AD197" s="513"/>
      <c r="AE197" s="513"/>
      <c r="AF197" s="513"/>
      <c r="AG197" s="513"/>
      <c r="AH197" s="513"/>
      <c r="AI197" s="513"/>
      <c r="AJ197" s="513"/>
      <c r="AK197" s="513"/>
      <c r="AL197" s="513"/>
      <c r="AM197" s="513"/>
      <c r="AN197" s="418"/>
      <c r="AO197" s="418"/>
      <c r="AP197" s="418"/>
      <c r="AQ197" s="418"/>
      <c r="AR197" s="418"/>
      <c r="AS197" s="418"/>
      <c r="AT197" s="418"/>
      <c r="AU197" s="418"/>
      <c r="AV197" s="418"/>
      <c r="AW197" s="418"/>
      <c r="AX197" s="418"/>
      <c r="AY197" s="418"/>
      <c r="AZ197" s="418"/>
      <c r="BA197" s="513"/>
      <c r="BC197" s="312"/>
    </row>
    <row r="198" spans="1:55" ht="15.75" customHeight="1">
      <c r="A198" s="421"/>
      <c r="B198" s="416"/>
      <c r="C198" s="492"/>
      <c r="D198" s="425"/>
      <c r="E198" s="421"/>
      <c r="F198" s="425"/>
      <c r="G198" s="425"/>
      <c r="H198" s="421"/>
      <c r="I198" s="421"/>
      <c r="J198" s="492"/>
      <c r="K198" s="421"/>
      <c r="L198" s="421"/>
      <c r="M198" s="421"/>
      <c r="N198" s="421"/>
      <c r="O198" s="421"/>
      <c r="P198" s="421"/>
      <c r="Q198" s="513"/>
      <c r="R198" s="513"/>
      <c r="S198" s="513"/>
      <c r="T198" s="513"/>
      <c r="U198" s="513"/>
      <c r="V198" s="513"/>
      <c r="W198" s="513"/>
      <c r="X198" s="513"/>
      <c r="Y198" s="513"/>
      <c r="Z198" s="513"/>
      <c r="AA198" s="513"/>
      <c r="AB198" s="513"/>
      <c r="AC198" s="513"/>
      <c r="AD198" s="513"/>
      <c r="AE198" s="513"/>
      <c r="AF198" s="513"/>
      <c r="AG198" s="513"/>
      <c r="AH198" s="513"/>
      <c r="AI198" s="513"/>
      <c r="AJ198" s="513"/>
      <c r="AK198" s="513"/>
      <c r="AL198" s="513"/>
      <c r="AM198" s="513"/>
      <c r="AN198" s="418"/>
      <c r="AO198" s="418"/>
      <c r="AP198" s="418"/>
      <c r="AQ198" s="418"/>
      <c r="AR198" s="418"/>
      <c r="AS198" s="418"/>
      <c r="AT198" s="418"/>
      <c r="AU198" s="418"/>
      <c r="AV198" s="418"/>
      <c r="AW198" s="418"/>
      <c r="AX198" s="418"/>
      <c r="AY198" s="418"/>
      <c r="AZ198" s="418"/>
      <c r="BA198" s="513"/>
      <c r="BC198" s="312"/>
    </row>
    <row r="199" spans="1:55" ht="15.75" customHeight="1">
      <c r="A199" s="421"/>
      <c r="B199" s="416"/>
      <c r="C199" s="492"/>
      <c r="D199" s="425"/>
      <c r="E199" s="421"/>
      <c r="F199" s="425"/>
      <c r="G199" s="421"/>
      <c r="H199" s="421"/>
      <c r="I199" s="421"/>
      <c r="J199" s="492"/>
      <c r="K199" s="421"/>
      <c r="L199" s="421"/>
      <c r="M199" s="421"/>
      <c r="N199" s="421"/>
      <c r="O199" s="421"/>
      <c r="P199" s="421"/>
      <c r="Q199" s="513"/>
      <c r="R199" s="513"/>
      <c r="S199" s="513"/>
      <c r="T199" s="513"/>
      <c r="U199" s="513"/>
      <c r="V199" s="513"/>
      <c r="W199" s="513"/>
      <c r="X199" s="513"/>
      <c r="Y199" s="513"/>
      <c r="Z199" s="513"/>
      <c r="AA199" s="513"/>
      <c r="AB199" s="513"/>
      <c r="AC199" s="513"/>
      <c r="AD199" s="513"/>
      <c r="AE199" s="513"/>
      <c r="AF199" s="513"/>
      <c r="AG199" s="513"/>
      <c r="AH199" s="513"/>
      <c r="AI199" s="513"/>
      <c r="AJ199" s="513"/>
      <c r="AK199" s="513"/>
      <c r="AL199" s="513"/>
      <c r="AM199" s="513"/>
      <c r="AN199" s="418"/>
      <c r="AO199" s="418"/>
      <c r="AP199" s="418"/>
      <c r="AQ199" s="418"/>
      <c r="AR199" s="418"/>
      <c r="AS199" s="418"/>
      <c r="AT199" s="418"/>
      <c r="AU199" s="418"/>
      <c r="AV199" s="418"/>
      <c r="AW199" s="418"/>
      <c r="AX199" s="418"/>
      <c r="AY199" s="418"/>
      <c r="AZ199" s="418"/>
      <c r="BA199" s="513"/>
      <c r="BC199" s="312"/>
    </row>
    <row r="200" spans="1:55" ht="15.75" customHeight="1">
      <c r="A200" s="421"/>
      <c r="B200" s="416"/>
      <c r="C200" s="492"/>
      <c r="D200" s="425"/>
      <c r="E200" s="421"/>
      <c r="F200" s="425"/>
      <c r="G200" s="425"/>
      <c r="H200" s="421"/>
      <c r="I200" s="421"/>
      <c r="J200" s="492"/>
      <c r="K200" s="421"/>
      <c r="L200" s="421"/>
      <c r="M200" s="421"/>
      <c r="N200" s="421"/>
      <c r="O200" s="421"/>
      <c r="P200" s="421"/>
      <c r="Q200" s="513"/>
      <c r="R200" s="513"/>
      <c r="S200" s="513"/>
      <c r="T200" s="513"/>
      <c r="U200" s="513"/>
      <c r="V200" s="513"/>
      <c r="W200" s="513"/>
      <c r="X200" s="513"/>
      <c r="Y200" s="513"/>
      <c r="Z200" s="513"/>
      <c r="AA200" s="513"/>
      <c r="AB200" s="513"/>
      <c r="AC200" s="513"/>
      <c r="AD200" s="513"/>
      <c r="AE200" s="513"/>
      <c r="AF200" s="513"/>
      <c r="AG200" s="513"/>
      <c r="AH200" s="513"/>
      <c r="AI200" s="513"/>
      <c r="AJ200" s="513"/>
      <c r="AK200" s="513"/>
      <c r="AL200" s="513"/>
      <c r="AM200" s="513"/>
      <c r="AN200" s="418"/>
      <c r="AO200" s="418"/>
      <c r="AP200" s="418"/>
      <c r="AQ200" s="418"/>
      <c r="AR200" s="418"/>
      <c r="AS200" s="418"/>
      <c r="AT200" s="418"/>
      <c r="AU200" s="418"/>
      <c r="AV200" s="418"/>
      <c r="AW200" s="418"/>
      <c r="AX200" s="418"/>
      <c r="AY200" s="418"/>
      <c r="AZ200" s="418"/>
      <c r="BA200" s="513"/>
      <c r="BC200" s="312"/>
    </row>
    <row r="201" spans="1:55" ht="15.75" customHeight="1">
      <c r="A201" s="421"/>
      <c r="B201" s="421"/>
      <c r="C201" s="492"/>
      <c r="D201" s="425"/>
      <c r="E201" s="421"/>
      <c r="F201" s="425"/>
      <c r="G201" s="425"/>
      <c r="H201" s="421"/>
      <c r="I201" s="421"/>
      <c r="J201" s="492"/>
      <c r="K201" s="421"/>
      <c r="L201" s="421"/>
      <c r="M201" s="421"/>
      <c r="N201" s="421"/>
      <c r="O201" s="421"/>
      <c r="P201" s="421"/>
      <c r="Q201" s="513"/>
      <c r="R201" s="513"/>
      <c r="S201" s="513"/>
      <c r="T201" s="513"/>
      <c r="U201" s="513"/>
      <c r="V201" s="513"/>
      <c r="W201" s="513"/>
      <c r="X201" s="513"/>
      <c r="Y201" s="513"/>
      <c r="Z201" s="513"/>
      <c r="AA201" s="513"/>
      <c r="AB201" s="513"/>
      <c r="AC201" s="513"/>
      <c r="AD201" s="513"/>
      <c r="AE201" s="513"/>
      <c r="AF201" s="513"/>
      <c r="AG201" s="513"/>
      <c r="AH201" s="513"/>
      <c r="AI201" s="513"/>
      <c r="AJ201" s="513"/>
      <c r="AK201" s="513"/>
      <c r="AL201" s="513"/>
      <c r="AM201" s="513"/>
      <c r="AN201" s="418"/>
      <c r="AO201" s="418"/>
      <c r="AP201" s="418"/>
      <c r="AQ201" s="418"/>
      <c r="AR201" s="418"/>
      <c r="AS201" s="418"/>
      <c r="AT201" s="418"/>
      <c r="AU201" s="418"/>
      <c r="AV201" s="418"/>
      <c r="AW201" s="418"/>
      <c r="AX201" s="418"/>
      <c r="AY201" s="418"/>
      <c r="AZ201" s="418"/>
      <c r="BA201" s="513"/>
      <c r="BC201" s="312"/>
    </row>
    <row r="202" spans="1:55" ht="15.75" customHeight="1">
      <c r="A202" s="421"/>
      <c r="B202" s="416"/>
      <c r="C202" s="492"/>
      <c r="D202" s="425"/>
      <c r="E202" s="421"/>
      <c r="F202" s="425"/>
      <c r="G202" s="425"/>
      <c r="H202" s="421"/>
      <c r="I202" s="421"/>
      <c r="J202" s="492"/>
      <c r="K202" s="421"/>
      <c r="L202" s="421"/>
      <c r="M202" s="421"/>
      <c r="N202" s="421"/>
      <c r="O202" s="421"/>
      <c r="P202" s="421"/>
      <c r="Q202" s="513"/>
      <c r="R202" s="513"/>
      <c r="S202" s="513"/>
      <c r="T202" s="513"/>
      <c r="U202" s="513"/>
      <c r="V202" s="513"/>
      <c r="W202" s="513"/>
      <c r="X202" s="513"/>
      <c r="Y202" s="513"/>
      <c r="Z202" s="513"/>
      <c r="AA202" s="513"/>
      <c r="AB202" s="513"/>
      <c r="AC202" s="513"/>
      <c r="AD202" s="513"/>
      <c r="AE202" s="513"/>
      <c r="AF202" s="513"/>
      <c r="AG202" s="513"/>
      <c r="AH202" s="513"/>
      <c r="AI202" s="513"/>
      <c r="AJ202" s="513"/>
      <c r="AK202" s="513"/>
      <c r="AL202" s="513"/>
      <c r="AM202" s="513"/>
      <c r="AN202" s="418"/>
      <c r="AO202" s="418"/>
      <c r="AP202" s="418"/>
      <c r="AQ202" s="418"/>
      <c r="AR202" s="418"/>
      <c r="AS202" s="418"/>
      <c r="AT202" s="418"/>
      <c r="AU202" s="418"/>
      <c r="AV202" s="418"/>
      <c r="AW202" s="418"/>
      <c r="AX202" s="418"/>
      <c r="AY202" s="418"/>
      <c r="AZ202" s="418"/>
      <c r="BA202" s="513"/>
      <c r="BC202" s="312"/>
    </row>
    <row r="203" spans="1:55" ht="15.75" customHeight="1">
      <c r="A203" s="421"/>
      <c r="B203" s="421"/>
      <c r="C203" s="492"/>
      <c r="D203" s="425"/>
      <c r="E203" s="421"/>
      <c r="F203" s="425"/>
      <c r="G203" s="421"/>
      <c r="H203" s="421"/>
      <c r="I203" s="421"/>
      <c r="J203" s="492"/>
      <c r="K203" s="421"/>
      <c r="L203" s="421"/>
      <c r="M203" s="421"/>
      <c r="N203" s="421"/>
      <c r="O203" s="421"/>
      <c r="P203" s="421"/>
      <c r="Q203" s="513"/>
      <c r="R203" s="513"/>
      <c r="S203" s="513"/>
      <c r="T203" s="513"/>
      <c r="U203" s="513"/>
      <c r="V203" s="513"/>
      <c r="W203" s="513"/>
      <c r="X203" s="513"/>
      <c r="Y203" s="513"/>
      <c r="Z203" s="513"/>
      <c r="AA203" s="513"/>
      <c r="AB203" s="513"/>
      <c r="AC203" s="513"/>
      <c r="AD203" s="513"/>
      <c r="AE203" s="513"/>
      <c r="AF203" s="513"/>
      <c r="AG203" s="513"/>
      <c r="AH203" s="513"/>
      <c r="AI203" s="513"/>
      <c r="AJ203" s="513"/>
      <c r="AK203" s="513"/>
      <c r="AL203" s="513"/>
      <c r="AM203" s="513"/>
      <c r="AN203" s="421"/>
      <c r="AO203" s="421"/>
      <c r="AP203" s="421"/>
      <c r="AQ203" s="421"/>
      <c r="AR203" s="421"/>
      <c r="AS203" s="421"/>
      <c r="AT203" s="421"/>
      <c r="AU203" s="421"/>
      <c r="AV203" s="421"/>
      <c r="AW203" s="421"/>
      <c r="AX203" s="421"/>
      <c r="AY203" s="421"/>
      <c r="AZ203" s="421"/>
      <c r="BA203" s="513"/>
      <c r="BC203" s="312"/>
    </row>
    <row r="204" spans="1:55" ht="15.75" customHeight="1">
      <c r="A204" s="421"/>
      <c r="B204" s="416"/>
      <c r="C204" s="492"/>
      <c r="D204" s="425"/>
      <c r="E204" s="421"/>
      <c r="F204" s="425"/>
      <c r="G204" s="425"/>
      <c r="H204" s="421"/>
      <c r="I204" s="421"/>
      <c r="J204" s="492"/>
      <c r="K204" s="421"/>
      <c r="L204" s="421"/>
      <c r="M204" s="421"/>
      <c r="N204" s="421"/>
      <c r="O204" s="421"/>
      <c r="P204" s="421"/>
      <c r="Q204" s="513"/>
      <c r="R204" s="513"/>
      <c r="S204" s="513"/>
      <c r="T204" s="513"/>
      <c r="U204" s="513"/>
      <c r="V204" s="513"/>
      <c r="W204" s="513"/>
      <c r="X204" s="513"/>
      <c r="Y204" s="513"/>
      <c r="Z204" s="513"/>
      <c r="AA204" s="513"/>
      <c r="AB204" s="513"/>
      <c r="AC204" s="513"/>
      <c r="AD204" s="513"/>
      <c r="AE204" s="513"/>
      <c r="AF204" s="513"/>
      <c r="AG204" s="513"/>
      <c r="AH204" s="513"/>
      <c r="AI204" s="513"/>
      <c r="AJ204" s="513"/>
      <c r="AK204" s="513"/>
      <c r="AL204" s="513"/>
      <c r="AM204" s="513"/>
      <c r="AN204" s="421"/>
      <c r="AO204" s="421"/>
      <c r="AP204" s="421"/>
      <c r="AQ204" s="421"/>
      <c r="AR204" s="421"/>
      <c r="AS204" s="421"/>
      <c r="AT204" s="421"/>
      <c r="AU204" s="421"/>
      <c r="AV204" s="421"/>
      <c r="AW204" s="421"/>
      <c r="AX204" s="421"/>
      <c r="AY204" s="421"/>
      <c r="AZ204" s="421"/>
      <c r="BA204" s="513"/>
      <c r="BC204" s="312"/>
    </row>
    <row r="205" spans="1:55" ht="15.75" customHeight="1">
      <c r="A205" s="421"/>
      <c r="B205" s="421"/>
      <c r="C205" s="492"/>
      <c r="D205" s="425"/>
      <c r="E205" s="421"/>
      <c r="F205" s="425"/>
      <c r="G205" s="425"/>
      <c r="H205" s="421"/>
      <c r="I205" s="421"/>
      <c r="J205" s="492"/>
      <c r="K205" s="421"/>
      <c r="L205" s="421"/>
      <c r="M205" s="421"/>
      <c r="N205" s="421"/>
      <c r="O205" s="421"/>
      <c r="P205" s="421"/>
      <c r="Q205" s="513"/>
      <c r="R205" s="513"/>
      <c r="S205" s="513"/>
      <c r="T205" s="513"/>
      <c r="U205" s="513"/>
      <c r="V205" s="513"/>
      <c r="W205" s="513"/>
      <c r="X205" s="513"/>
      <c r="Y205" s="513"/>
      <c r="Z205" s="513"/>
      <c r="AA205" s="513"/>
      <c r="AB205" s="513"/>
      <c r="AC205" s="513"/>
      <c r="AD205" s="513"/>
      <c r="AE205" s="513"/>
      <c r="AF205" s="513"/>
      <c r="AG205" s="513"/>
      <c r="AH205" s="513"/>
      <c r="AI205" s="513"/>
      <c r="AJ205" s="513"/>
      <c r="AK205" s="513"/>
      <c r="AL205" s="513"/>
      <c r="AM205" s="513"/>
      <c r="AN205" s="421"/>
      <c r="AO205" s="421"/>
      <c r="AP205" s="421"/>
      <c r="AQ205" s="421"/>
      <c r="AR205" s="421"/>
      <c r="AS205" s="421"/>
      <c r="AT205" s="421"/>
      <c r="AU205" s="421"/>
      <c r="AV205" s="421"/>
      <c r="AW205" s="421"/>
      <c r="AX205" s="421"/>
      <c r="AY205" s="421"/>
      <c r="AZ205" s="421"/>
      <c r="BA205" s="513"/>
      <c r="BC205" s="312"/>
    </row>
    <row r="206" spans="1:55" ht="15.75" customHeight="1">
      <c r="A206" s="421"/>
      <c r="B206" s="416"/>
      <c r="C206" s="492"/>
      <c r="D206" s="425"/>
      <c r="E206" s="421"/>
      <c r="F206" s="425"/>
      <c r="G206" s="425"/>
      <c r="H206" s="421"/>
      <c r="I206" s="421"/>
      <c r="J206" s="492"/>
      <c r="K206" s="421"/>
      <c r="L206" s="421"/>
      <c r="M206" s="421"/>
      <c r="N206" s="421"/>
      <c r="O206" s="421"/>
      <c r="P206" s="421"/>
      <c r="Q206" s="513"/>
      <c r="R206" s="513"/>
      <c r="S206" s="513"/>
      <c r="T206" s="513"/>
      <c r="U206" s="513"/>
      <c r="V206" s="513"/>
      <c r="W206" s="513"/>
      <c r="X206" s="513"/>
      <c r="Y206" s="513"/>
      <c r="Z206" s="513"/>
      <c r="AA206" s="513"/>
      <c r="AB206" s="513"/>
      <c r="AC206" s="513"/>
      <c r="AD206" s="513"/>
      <c r="AE206" s="513"/>
      <c r="AF206" s="513"/>
      <c r="AG206" s="513"/>
      <c r="AH206" s="513"/>
      <c r="AI206" s="513"/>
      <c r="AJ206" s="513"/>
      <c r="AK206" s="513"/>
      <c r="AL206" s="513"/>
      <c r="AM206" s="513"/>
      <c r="AN206" s="421"/>
      <c r="AO206" s="421"/>
      <c r="AP206" s="421"/>
      <c r="AQ206" s="421"/>
      <c r="AR206" s="421"/>
      <c r="AS206" s="421"/>
      <c r="AT206" s="421"/>
      <c r="AU206" s="421"/>
      <c r="AV206" s="421"/>
      <c r="AW206" s="421"/>
      <c r="AX206" s="421"/>
      <c r="AY206" s="421"/>
      <c r="AZ206" s="421"/>
      <c r="BA206" s="513"/>
      <c r="BC206" s="312"/>
    </row>
    <row r="207" spans="1:55" ht="15.75" customHeight="1">
      <c r="A207" s="421"/>
      <c r="B207" s="421"/>
      <c r="C207" s="492"/>
      <c r="D207" s="425"/>
      <c r="E207" s="421"/>
      <c r="F207" s="425"/>
      <c r="G207" s="421"/>
      <c r="H207" s="421"/>
      <c r="I207" s="421"/>
      <c r="J207" s="492"/>
      <c r="K207" s="421"/>
      <c r="L207" s="421"/>
      <c r="M207" s="421"/>
      <c r="N207" s="421"/>
      <c r="O207" s="421"/>
      <c r="P207" s="421"/>
      <c r="Q207" s="513"/>
      <c r="R207" s="513"/>
      <c r="S207" s="513"/>
      <c r="T207" s="513"/>
      <c r="U207" s="513"/>
      <c r="V207" s="513"/>
      <c r="W207" s="513"/>
      <c r="X207" s="513"/>
      <c r="Y207" s="513"/>
      <c r="Z207" s="513"/>
      <c r="AA207" s="513"/>
      <c r="AB207" s="513"/>
      <c r="AC207" s="513"/>
      <c r="AD207" s="513"/>
      <c r="AE207" s="513"/>
      <c r="AF207" s="513"/>
      <c r="AG207" s="513"/>
      <c r="AH207" s="513"/>
      <c r="AI207" s="513"/>
      <c r="AJ207" s="513"/>
      <c r="AK207" s="513"/>
      <c r="AL207" s="513"/>
      <c r="AM207" s="513"/>
      <c r="AN207" s="421"/>
      <c r="AO207" s="421"/>
      <c r="AP207" s="421"/>
      <c r="AQ207" s="421"/>
      <c r="AR207" s="421"/>
      <c r="AS207" s="421"/>
      <c r="AT207" s="421"/>
      <c r="AU207" s="421"/>
      <c r="AV207" s="421"/>
      <c r="AW207" s="421"/>
      <c r="AX207" s="421"/>
      <c r="AY207" s="421"/>
      <c r="AZ207" s="421"/>
      <c r="BA207" s="513"/>
      <c r="BC207" s="312"/>
    </row>
    <row r="208" spans="1:55" ht="15.75" customHeight="1">
      <c r="A208" s="421"/>
      <c r="B208" s="416"/>
      <c r="C208" s="492"/>
      <c r="D208" s="425"/>
      <c r="E208" s="421"/>
      <c r="F208" s="425"/>
      <c r="G208" s="425"/>
      <c r="H208" s="421"/>
      <c r="I208" s="421"/>
      <c r="J208" s="492"/>
      <c r="K208" s="421"/>
      <c r="L208" s="421"/>
      <c r="M208" s="421"/>
      <c r="N208" s="421"/>
      <c r="O208" s="421"/>
      <c r="P208" s="421"/>
      <c r="Q208" s="513"/>
      <c r="R208" s="513"/>
      <c r="S208" s="513"/>
      <c r="T208" s="513"/>
      <c r="U208" s="513"/>
      <c r="V208" s="513"/>
      <c r="W208" s="513"/>
      <c r="X208" s="513"/>
      <c r="Y208" s="513"/>
      <c r="Z208" s="513"/>
      <c r="AA208" s="513"/>
      <c r="AB208" s="513"/>
      <c r="AC208" s="513"/>
      <c r="AD208" s="513"/>
      <c r="AE208" s="513"/>
      <c r="AF208" s="513"/>
      <c r="AG208" s="513"/>
      <c r="AH208" s="513"/>
      <c r="AI208" s="513"/>
      <c r="AJ208" s="513"/>
      <c r="AK208" s="513"/>
      <c r="AL208" s="513"/>
      <c r="AM208" s="513"/>
      <c r="AN208" s="418"/>
      <c r="AO208" s="418"/>
      <c r="AP208" s="418"/>
      <c r="AQ208" s="418"/>
      <c r="AR208" s="418"/>
      <c r="AS208" s="418"/>
      <c r="AT208" s="418"/>
      <c r="AU208" s="418"/>
      <c r="AV208" s="418"/>
      <c r="AW208" s="418"/>
      <c r="AX208" s="418"/>
      <c r="AY208" s="418"/>
      <c r="AZ208" s="418"/>
      <c r="BA208" s="513"/>
      <c r="BC208" s="312"/>
    </row>
    <row r="209" spans="1:55" ht="15.75" customHeight="1">
      <c r="A209" s="421"/>
      <c r="B209" s="421"/>
      <c r="C209" s="492"/>
      <c r="D209" s="425"/>
      <c r="E209" s="421"/>
      <c r="F209" s="425"/>
      <c r="G209" s="425"/>
      <c r="H209" s="421"/>
      <c r="I209" s="421"/>
      <c r="J209" s="492"/>
      <c r="K209" s="421"/>
      <c r="L209" s="421"/>
      <c r="M209" s="421"/>
      <c r="N209" s="421"/>
      <c r="O209" s="421"/>
      <c r="P209" s="421"/>
      <c r="Q209" s="513"/>
      <c r="R209" s="513"/>
      <c r="S209" s="513"/>
      <c r="T209" s="513"/>
      <c r="U209" s="513"/>
      <c r="V209" s="513"/>
      <c r="W209" s="513"/>
      <c r="X209" s="513"/>
      <c r="Y209" s="513"/>
      <c r="Z209" s="513"/>
      <c r="AA209" s="513"/>
      <c r="AB209" s="513"/>
      <c r="AC209" s="513"/>
      <c r="AD209" s="513"/>
      <c r="AE209" s="513"/>
      <c r="AF209" s="513"/>
      <c r="AG209" s="513"/>
      <c r="AH209" s="513"/>
      <c r="AI209" s="513"/>
      <c r="AJ209" s="513"/>
      <c r="AK209" s="513"/>
      <c r="AL209" s="513"/>
      <c r="AM209" s="513"/>
      <c r="AN209" s="418"/>
      <c r="AO209" s="418"/>
      <c r="AP209" s="418"/>
      <c r="AQ209" s="418"/>
      <c r="AR209" s="418"/>
      <c r="AS209" s="418"/>
      <c r="AT209" s="418"/>
      <c r="AU209" s="418"/>
      <c r="AV209" s="418"/>
      <c r="AW209" s="418"/>
      <c r="AX209" s="418"/>
      <c r="AY209" s="418"/>
      <c r="AZ209" s="418"/>
      <c r="BA209" s="513"/>
      <c r="BC209" s="312"/>
    </row>
    <row r="210" spans="1:55" ht="15.75" customHeight="1">
      <c r="A210" s="421"/>
      <c r="B210" s="416"/>
      <c r="C210" s="492"/>
      <c r="D210" s="425"/>
      <c r="E210" s="421"/>
      <c r="F210" s="425"/>
      <c r="G210" s="425"/>
      <c r="H210" s="421"/>
      <c r="I210" s="421"/>
      <c r="J210" s="492"/>
      <c r="K210" s="421"/>
      <c r="L210" s="421"/>
      <c r="M210" s="421"/>
      <c r="N210" s="421"/>
      <c r="O210" s="421"/>
      <c r="P210" s="421"/>
      <c r="Q210" s="513"/>
      <c r="R210" s="513"/>
      <c r="S210" s="513"/>
      <c r="T210" s="513"/>
      <c r="U210" s="513"/>
      <c r="V210" s="513"/>
      <c r="W210" s="513"/>
      <c r="X210" s="513"/>
      <c r="Y210" s="513"/>
      <c r="Z210" s="513"/>
      <c r="AA210" s="513"/>
      <c r="AB210" s="513"/>
      <c r="AC210" s="513"/>
      <c r="AD210" s="513"/>
      <c r="AE210" s="513"/>
      <c r="AF210" s="513"/>
      <c r="AG210" s="513"/>
      <c r="AH210" s="513"/>
      <c r="AI210" s="513"/>
      <c r="AJ210" s="513"/>
      <c r="AK210" s="513"/>
      <c r="AL210" s="513"/>
      <c r="AM210" s="513"/>
      <c r="AN210" s="418"/>
      <c r="AO210" s="418"/>
      <c r="AP210" s="418"/>
      <c r="AQ210" s="418"/>
      <c r="AR210" s="418"/>
      <c r="AS210" s="418"/>
      <c r="AT210" s="418"/>
      <c r="AU210" s="418"/>
      <c r="AV210" s="418"/>
      <c r="AW210" s="418"/>
      <c r="AX210" s="418"/>
      <c r="AY210" s="418"/>
      <c r="AZ210" s="418"/>
      <c r="BA210" s="513"/>
      <c r="BC210" s="312"/>
    </row>
    <row r="211" spans="1:55" ht="15.75" customHeight="1">
      <c r="A211" s="421"/>
      <c r="B211" s="416"/>
      <c r="C211" s="492"/>
      <c r="D211" s="425"/>
      <c r="E211" s="421"/>
      <c r="F211" s="425"/>
      <c r="G211" s="421"/>
      <c r="H211" s="421"/>
      <c r="I211" s="421"/>
      <c r="J211" s="492"/>
      <c r="K211" s="421"/>
      <c r="L211" s="421"/>
      <c r="M211" s="421"/>
      <c r="N211" s="421"/>
      <c r="O211" s="421"/>
      <c r="P211" s="421"/>
      <c r="Q211" s="513"/>
      <c r="R211" s="513"/>
      <c r="S211" s="513"/>
      <c r="T211" s="513"/>
      <c r="U211" s="513"/>
      <c r="V211" s="513"/>
      <c r="W211" s="513"/>
      <c r="X211" s="513"/>
      <c r="Y211" s="513"/>
      <c r="Z211" s="513"/>
      <c r="AA211" s="513"/>
      <c r="AB211" s="513"/>
      <c r="AC211" s="513"/>
      <c r="AD211" s="513"/>
      <c r="AE211" s="513"/>
      <c r="AF211" s="513"/>
      <c r="AG211" s="513"/>
      <c r="AH211" s="513"/>
      <c r="AI211" s="513"/>
      <c r="AJ211" s="513"/>
      <c r="AK211" s="513"/>
      <c r="AL211" s="513"/>
      <c r="AM211" s="513"/>
      <c r="AN211" s="418"/>
      <c r="AO211" s="418"/>
      <c r="AP211" s="418"/>
      <c r="AQ211" s="418"/>
      <c r="AR211" s="418"/>
      <c r="AS211" s="418"/>
      <c r="AT211" s="418"/>
      <c r="AU211" s="418"/>
      <c r="AV211" s="418"/>
      <c r="AW211" s="418"/>
      <c r="AX211" s="418"/>
      <c r="AY211" s="418"/>
      <c r="AZ211" s="418"/>
      <c r="BA211" s="513"/>
      <c r="BC211" s="312"/>
    </row>
    <row r="212" spans="1:55" ht="15.75" customHeight="1">
      <c r="A212" s="421"/>
      <c r="B212" s="416"/>
      <c r="C212" s="492"/>
      <c r="D212" s="425"/>
      <c r="E212" s="421"/>
      <c r="F212" s="425"/>
      <c r="G212" s="425"/>
      <c r="H212" s="421"/>
      <c r="I212" s="421"/>
      <c r="J212" s="492"/>
      <c r="K212" s="421"/>
      <c r="L212" s="421"/>
      <c r="M212" s="421"/>
      <c r="N212" s="421"/>
      <c r="O212" s="421"/>
      <c r="P212" s="421"/>
      <c r="Q212" s="513"/>
      <c r="R212" s="513"/>
      <c r="S212" s="513"/>
      <c r="T212" s="513"/>
      <c r="U212" s="513"/>
      <c r="V212" s="513"/>
      <c r="W212" s="513"/>
      <c r="X212" s="513"/>
      <c r="Y212" s="513"/>
      <c r="Z212" s="513"/>
      <c r="AA212" s="513"/>
      <c r="AB212" s="513"/>
      <c r="AC212" s="513"/>
      <c r="AD212" s="513"/>
      <c r="AE212" s="513"/>
      <c r="AF212" s="513"/>
      <c r="AG212" s="513"/>
      <c r="AH212" s="513"/>
      <c r="AI212" s="513"/>
      <c r="AJ212" s="513"/>
      <c r="AK212" s="513"/>
      <c r="AL212" s="513"/>
      <c r="AM212" s="513"/>
      <c r="AN212" s="418"/>
      <c r="AO212" s="418"/>
      <c r="AP212" s="418"/>
      <c r="AQ212" s="418"/>
      <c r="AR212" s="418"/>
      <c r="AS212" s="418"/>
      <c r="AT212" s="418"/>
      <c r="AU212" s="418"/>
      <c r="AV212" s="418"/>
      <c r="AW212" s="418"/>
      <c r="AX212" s="418"/>
      <c r="AY212" s="418"/>
      <c r="AZ212" s="418"/>
      <c r="BA212" s="513"/>
      <c r="BC212" s="312"/>
    </row>
    <row r="213" spans="1:55" ht="15.75" customHeight="1">
      <c r="A213" s="421"/>
      <c r="B213" s="421"/>
      <c r="C213" s="492"/>
      <c r="D213" s="425"/>
      <c r="E213" s="421"/>
      <c r="F213" s="425"/>
      <c r="G213" s="425"/>
      <c r="H213" s="421"/>
      <c r="I213" s="425"/>
      <c r="J213" s="492"/>
      <c r="K213" s="421"/>
      <c r="L213" s="421"/>
      <c r="M213" s="421"/>
      <c r="N213" s="421"/>
      <c r="O213" s="421"/>
      <c r="P213" s="421"/>
      <c r="Q213" s="513"/>
      <c r="R213" s="513"/>
      <c r="S213" s="513"/>
      <c r="T213" s="513"/>
      <c r="U213" s="513"/>
      <c r="V213" s="513"/>
      <c r="W213" s="513"/>
      <c r="X213" s="513"/>
      <c r="Y213" s="513"/>
      <c r="Z213" s="513"/>
      <c r="AA213" s="513"/>
      <c r="AB213" s="513"/>
      <c r="AC213" s="513"/>
      <c r="AD213" s="513"/>
      <c r="AE213" s="513"/>
      <c r="AF213" s="513"/>
      <c r="AG213" s="513"/>
      <c r="AH213" s="513"/>
      <c r="AI213" s="513"/>
      <c r="AJ213" s="513"/>
      <c r="AK213" s="513"/>
      <c r="AL213" s="513"/>
      <c r="AM213" s="513"/>
      <c r="AN213" s="418"/>
      <c r="AO213" s="418"/>
      <c r="AP213" s="418"/>
      <c r="AQ213" s="418"/>
      <c r="AR213" s="418"/>
      <c r="AS213" s="418"/>
      <c r="AT213" s="418"/>
      <c r="AU213" s="418"/>
      <c r="AV213" s="418"/>
      <c r="AW213" s="418"/>
      <c r="AX213" s="418"/>
      <c r="AY213" s="418"/>
      <c r="AZ213" s="418"/>
      <c r="BA213" s="513"/>
      <c r="BC213" s="312"/>
    </row>
    <row r="214" spans="1:55" ht="15.75" customHeight="1">
      <c r="A214" s="421"/>
      <c r="B214" s="416"/>
      <c r="C214" s="492"/>
      <c r="D214" s="425"/>
      <c r="E214" s="421"/>
      <c r="F214" s="425"/>
      <c r="G214" s="425"/>
      <c r="H214" s="421"/>
      <c r="I214" s="421"/>
      <c r="J214" s="492"/>
      <c r="K214" s="421"/>
      <c r="L214" s="421"/>
      <c r="M214" s="421"/>
      <c r="N214" s="421"/>
      <c r="O214" s="421"/>
      <c r="P214" s="421"/>
      <c r="Q214" s="513"/>
      <c r="R214" s="513"/>
      <c r="S214" s="513"/>
      <c r="T214" s="513"/>
      <c r="U214" s="513"/>
      <c r="V214" s="513"/>
      <c r="W214" s="513"/>
      <c r="X214" s="513"/>
      <c r="Y214" s="513"/>
      <c r="Z214" s="513"/>
      <c r="AA214" s="513"/>
      <c r="AB214" s="513"/>
      <c r="AC214" s="513"/>
      <c r="AD214" s="513"/>
      <c r="AE214" s="513"/>
      <c r="AF214" s="513"/>
      <c r="AG214" s="513"/>
      <c r="AH214" s="513"/>
      <c r="AI214" s="513"/>
      <c r="AJ214" s="513"/>
      <c r="AK214" s="513"/>
      <c r="AL214" s="513"/>
      <c r="AM214" s="513"/>
      <c r="AN214" s="418"/>
      <c r="AO214" s="418"/>
      <c r="AP214" s="418"/>
      <c r="AQ214" s="418"/>
      <c r="AR214" s="418"/>
      <c r="AS214" s="418"/>
      <c r="AT214" s="418"/>
      <c r="AU214" s="418"/>
      <c r="AV214" s="418"/>
      <c r="AW214" s="418"/>
      <c r="AX214" s="418"/>
      <c r="AY214" s="418"/>
      <c r="AZ214" s="418"/>
      <c r="BA214" s="513"/>
      <c r="BC214" s="312"/>
    </row>
    <row r="215" spans="1:55" ht="15.75" customHeight="1">
      <c r="A215" s="421"/>
      <c r="B215" s="416"/>
      <c r="C215" s="492"/>
      <c r="D215" s="425"/>
      <c r="E215" s="421"/>
      <c r="F215" s="425"/>
      <c r="G215" s="421"/>
      <c r="H215" s="421"/>
      <c r="I215" s="425"/>
      <c r="J215" s="492"/>
      <c r="K215" s="421"/>
      <c r="L215" s="421"/>
      <c r="M215" s="421"/>
      <c r="N215" s="421"/>
      <c r="O215" s="421"/>
      <c r="P215" s="421"/>
      <c r="Q215" s="513"/>
      <c r="R215" s="513"/>
      <c r="S215" s="513"/>
      <c r="T215" s="513"/>
      <c r="U215" s="513"/>
      <c r="V215" s="513"/>
      <c r="W215" s="513"/>
      <c r="X215" s="513"/>
      <c r="Y215" s="513"/>
      <c r="Z215" s="513"/>
      <c r="AA215" s="513"/>
      <c r="AB215" s="513"/>
      <c r="AC215" s="513"/>
      <c r="AD215" s="513"/>
      <c r="AE215" s="513"/>
      <c r="AF215" s="513"/>
      <c r="AG215" s="513"/>
      <c r="AH215" s="513"/>
      <c r="AI215" s="513"/>
      <c r="AJ215" s="513"/>
      <c r="AK215" s="513"/>
      <c r="AL215" s="513"/>
      <c r="AM215" s="513"/>
      <c r="AN215" s="418"/>
      <c r="AO215" s="418"/>
      <c r="AP215" s="418"/>
      <c r="AQ215" s="418"/>
      <c r="AR215" s="418"/>
      <c r="AS215" s="418"/>
      <c r="AT215" s="418"/>
      <c r="AU215" s="418"/>
      <c r="AV215" s="418"/>
      <c r="AW215" s="418"/>
      <c r="AX215" s="418"/>
      <c r="AY215" s="418"/>
      <c r="AZ215" s="418"/>
      <c r="BA215" s="513"/>
      <c r="BC215" s="312"/>
    </row>
    <row r="216" spans="1:55" ht="15.75" customHeight="1">
      <c r="A216" s="421"/>
      <c r="B216" s="416"/>
      <c r="C216" s="492"/>
      <c r="D216" s="425"/>
      <c r="E216" s="421"/>
      <c r="F216" s="425"/>
      <c r="G216" s="425"/>
      <c r="H216" s="421"/>
      <c r="I216" s="421"/>
      <c r="J216" s="492"/>
      <c r="K216" s="421"/>
      <c r="L216" s="421"/>
      <c r="M216" s="421"/>
      <c r="N216" s="421"/>
      <c r="O216" s="421"/>
      <c r="P216" s="421"/>
      <c r="Q216" s="513"/>
      <c r="R216" s="513"/>
      <c r="S216" s="513"/>
      <c r="T216" s="513"/>
      <c r="U216" s="513"/>
      <c r="V216" s="513"/>
      <c r="W216" s="513"/>
      <c r="X216" s="513"/>
      <c r="Y216" s="513"/>
      <c r="Z216" s="513"/>
      <c r="AA216" s="513"/>
      <c r="AB216" s="513"/>
      <c r="AC216" s="513"/>
      <c r="AD216" s="513"/>
      <c r="AE216" s="513"/>
      <c r="AF216" s="513"/>
      <c r="AG216" s="513"/>
      <c r="AH216" s="513"/>
      <c r="AI216" s="513"/>
      <c r="AJ216" s="513"/>
      <c r="AK216" s="513"/>
      <c r="AL216" s="513"/>
      <c r="AM216" s="513"/>
      <c r="AN216" s="418"/>
      <c r="AO216" s="418"/>
      <c r="AP216" s="418"/>
      <c r="AQ216" s="418"/>
      <c r="AR216" s="418"/>
      <c r="AS216" s="418"/>
      <c r="AT216" s="418"/>
      <c r="AU216" s="418"/>
      <c r="AV216" s="418"/>
      <c r="AW216" s="418"/>
      <c r="AX216" s="418"/>
      <c r="AY216" s="418"/>
      <c r="AZ216" s="418"/>
      <c r="BA216" s="513"/>
      <c r="BC216" s="312"/>
    </row>
    <row r="217" spans="1:55" ht="15.75" customHeight="1">
      <c r="A217" s="421"/>
      <c r="B217" s="416"/>
      <c r="C217" s="492"/>
      <c r="D217" s="425"/>
      <c r="E217" s="421"/>
      <c r="F217" s="425"/>
      <c r="G217" s="425"/>
      <c r="H217" s="421"/>
      <c r="I217" s="425"/>
      <c r="J217" s="492"/>
      <c r="K217" s="421"/>
      <c r="L217" s="421"/>
      <c r="M217" s="421"/>
      <c r="N217" s="421"/>
      <c r="O217" s="421"/>
      <c r="P217" s="421"/>
      <c r="Q217" s="513"/>
      <c r="R217" s="513"/>
      <c r="S217" s="513"/>
      <c r="T217" s="513"/>
      <c r="U217" s="513"/>
      <c r="V217" s="513"/>
      <c r="W217" s="513"/>
      <c r="X217" s="513"/>
      <c r="Y217" s="513"/>
      <c r="Z217" s="513"/>
      <c r="AA217" s="513"/>
      <c r="AB217" s="513"/>
      <c r="AC217" s="513"/>
      <c r="AD217" s="513"/>
      <c r="AE217" s="513"/>
      <c r="AF217" s="513"/>
      <c r="AG217" s="513"/>
      <c r="AH217" s="513"/>
      <c r="AI217" s="513"/>
      <c r="AJ217" s="513"/>
      <c r="AK217" s="513"/>
      <c r="AL217" s="513"/>
      <c r="AM217" s="513"/>
      <c r="AN217" s="418"/>
      <c r="AO217" s="418"/>
      <c r="AP217" s="418"/>
      <c r="AQ217" s="418"/>
      <c r="AR217" s="418"/>
      <c r="AS217" s="418"/>
      <c r="AT217" s="418"/>
      <c r="AU217" s="418"/>
      <c r="AV217" s="418"/>
      <c r="AW217" s="418"/>
      <c r="AX217" s="418"/>
      <c r="AY217" s="418"/>
      <c r="AZ217" s="418"/>
      <c r="BA217" s="513"/>
      <c r="BC217" s="312"/>
    </row>
    <row r="218" spans="1:55" ht="15.75" customHeight="1">
      <c r="A218" s="421"/>
      <c r="B218" s="416"/>
      <c r="C218" s="492"/>
      <c r="D218" s="425"/>
      <c r="E218" s="421"/>
      <c r="F218" s="425"/>
      <c r="G218" s="425"/>
      <c r="H218" s="421"/>
      <c r="I218" s="421"/>
      <c r="J218" s="492"/>
      <c r="K218" s="421"/>
      <c r="L218" s="421"/>
      <c r="M218" s="421"/>
      <c r="N218" s="421"/>
      <c r="O218" s="421"/>
      <c r="P218" s="421"/>
      <c r="Q218" s="513"/>
      <c r="R218" s="513"/>
      <c r="S218" s="513"/>
      <c r="T218" s="513"/>
      <c r="U218" s="513"/>
      <c r="V218" s="513"/>
      <c r="W218" s="513"/>
      <c r="X218" s="513"/>
      <c r="Y218" s="513"/>
      <c r="Z218" s="513"/>
      <c r="AA218" s="513"/>
      <c r="AB218" s="513"/>
      <c r="AC218" s="513"/>
      <c r="AD218" s="513"/>
      <c r="AE218" s="513"/>
      <c r="AF218" s="513"/>
      <c r="AG218" s="513"/>
      <c r="AH218" s="513"/>
      <c r="AI218" s="513"/>
      <c r="AJ218" s="513"/>
      <c r="AK218" s="513"/>
      <c r="AL218" s="513"/>
      <c r="AM218" s="513"/>
      <c r="AN218" s="418"/>
      <c r="AO218" s="418"/>
      <c r="AP218" s="418"/>
      <c r="AQ218" s="418"/>
      <c r="AR218" s="418"/>
      <c r="AS218" s="418"/>
      <c r="AT218" s="418"/>
      <c r="AU218" s="418"/>
      <c r="AV218" s="418"/>
      <c r="AW218" s="418"/>
      <c r="AX218" s="418"/>
      <c r="AY218" s="418"/>
      <c r="AZ218" s="418"/>
      <c r="BA218" s="513"/>
      <c r="BC218" s="312"/>
    </row>
    <row r="219" spans="1:55" ht="15.75" customHeight="1">
      <c r="A219" s="421"/>
      <c r="B219" s="416"/>
      <c r="C219" s="492"/>
      <c r="D219" s="425"/>
      <c r="E219" s="421"/>
      <c r="F219" s="425"/>
      <c r="G219" s="421"/>
      <c r="H219" s="421"/>
      <c r="I219" s="421"/>
      <c r="J219" s="492"/>
      <c r="K219" s="421"/>
      <c r="L219" s="421"/>
      <c r="M219" s="421"/>
      <c r="N219" s="421"/>
      <c r="O219" s="421"/>
      <c r="P219" s="421"/>
      <c r="Q219" s="513"/>
      <c r="R219" s="513"/>
      <c r="S219" s="513"/>
      <c r="T219" s="513"/>
      <c r="U219" s="513"/>
      <c r="V219" s="513"/>
      <c r="W219" s="513"/>
      <c r="X219" s="513"/>
      <c r="Y219" s="513"/>
      <c r="Z219" s="513"/>
      <c r="AA219" s="513"/>
      <c r="AB219" s="513"/>
      <c r="AC219" s="513"/>
      <c r="AD219" s="513"/>
      <c r="AE219" s="513"/>
      <c r="AF219" s="513"/>
      <c r="AG219" s="513"/>
      <c r="AH219" s="513"/>
      <c r="AI219" s="513"/>
      <c r="AJ219" s="513"/>
      <c r="AK219" s="513"/>
      <c r="AL219" s="513"/>
      <c r="AM219" s="513"/>
      <c r="AN219" s="418"/>
      <c r="AO219" s="418"/>
      <c r="AP219" s="418"/>
      <c r="AQ219" s="418"/>
      <c r="AR219" s="418"/>
      <c r="AS219" s="418"/>
      <c r="AT219" s="418"/>
      <c r="AU219" s="418"/>
      <c r="AV219" s="418"/>
      <c r="AW219" s="418"/>
      <c r="AX219" s="418"/>
      <c r="AY219" s="418"/>
      <c r="AZ219" s="418"/>
      <c r="BA219" s="513"/>
      <c r="BC219" s="312"/>
    </row>
    <row r="220" spans="1:55" ht="15.75" customHeight="1">
      <c r="A220" s="421"/>
      <c r="B220" s="416"/>
      <c r="C220" s="492"/>
      <c r="D220" s="425"/>
      <c r="E220" s="421"/>
      <c r="F220" s="425"/>
      <c r="G220" s="425"/>
      <c r="H220" s="421"/>
      <c r="I220" s="421"/>
      <c r="J220" s="492"/>
      <c r="K220" s="421"/>
      <c r="L220" s="421"/>
      <c r="M220" s="421"/>
      <c r="N220" s="421"/>
      <c r="O220" s="421"/>
      <c r="P220" s="421"/>
      <c r="Q220" s="513"/>
      <c r="R220" s="513"/>
      <c r="S220" s="513"/>
      <c r="T220" s="513"/>
      <c r="U220" s="513"/>
      <c r="V220" s="513"/>
      <c r="W220" s="513"/>
      <c r="X220" s="513"/>
      <c r="Y220" s="513"/>
      <c r="Z220" s="513"/>
      <c r="AA220" s="513"/>
      <c r="AB220" s="513"/>
      <c r="AC220" s="513"/>
      <c r="AD220" s="513"/>
      <c r="AE220" s="513"/>
      <c r="AF220" s="513"/>
      <c r="AG220" s="513"/>
      <c r="AH220" s="513"/>
      <c r="AI220" s="513"/>
      <c r="AJ220" s="513"/>
      <c r="AK220" s="513"/>
      <c r="AL220" s="513"/>
      <c r="AM220" s="513"/>
      <c r="AN220" s="418"/>
      <c r="AO220" s="418"/>
      <c r="AP220" s="418"/>
      <c r="AQ220" s="418"/>
      <c r="AR220" s="418"/>
      <c r="AS220" s="418"/>
      <c r="AT220" s="418"/>
      <c r="AU220" s="418"/>
      <c r="AV220" s="418"/>
      <c r="AW220" s="418"/>
      <c r="AX220" s="418"/>
      <c r="AY220" s="418"/>
      <c r="AZ220" s="418"/>
      <c r="BA220" s="513"/>
      <c r="BC220" s="312"/>
    </row>
    <row r="221" spans="1:55" ht="15.75" customHeight="1">
      <c r="A221" s="421"/>
      <c r="B221" s="416"/>
      <c r="C221" s="492"/>
      <c r="D221" s="425"/>
      <c r="E221" s="421"/>
      <c r="F221" s="425"/>
      <c r="G221" s="425"/>
      <c r="H221" s="421"/>
      <c r="I221" s="421"/>
      <c r="J221" s="492"/>
      <c r="K221" s="421"/>
      <c r="L221" s="421"/>
      <c r="M221" s="421"/>
      <c r="N221" s="421"/>
      <c r="O221" s="421"/>
      <c r="P221" s="421"/>
      <c r="Q221" s="513"/>
      <c r="R221" s="513"/>
      <c r="S221" s="513"/>
      <c r="T221" s="513"/>
      <c r="U221" s="513"/>
      <c r="V221" s="513"/>
      <c r="W221" s="513"/>
      <c r="X221" s="513"/>
      <c r="Y221" s="513"/>
      <c r="Z221" s="513"/>
      <c r="AA221" s="513"/>
      <c r="AB221" s="513"/>
      <c r="AC221" s="513"/>
      <c r="AD221" s="513"/>
      <c r="AE221" s="513"/>
      <c r="AF221" s="513"/>
      <c r="AG221" s="513"/>
      <c r="AH221" s="513"/>
      <c r="AI221" s="513"/>
      <c r="AJ221" s="513"/>
      <c r="AK221" s="513"/>
      <c r="AL221" s="513"/>
      <c r="AM221" s="513"/>
      <c r="AN221" s="418"/>
      <c r="AO221" s="418"/>
      <c r="AP221" s="418"/>
      <c r="AQ221" s="418"/>
      <c r="AR221" s="418"/>
      <c r="AS221" s="418"/>
      <c r="AT221" s="418"/>
      <c r="AU221" s="418"/>
      <c r="AV221" s="418"/>
      <c r="AW221" s="418"/>
      <c r="AX221" s="418"/>
      <c r="AY221" s="418"/>
      <c r="AZ221" s="418"/>
      <c r="BA221" s="513"/>
      <c r="BC221" s="312"/>
    </row>
    <row r="222" spans="1:55" ht="15.75" customHeight="1">
      <c r="A222" s="421"/>
      <c r="B222" s="416"/>
      <c r="C222" s="492"/>
      <c r="D222" s="425"/>
      <c r="E222" s="421"/>
      <c r="F222" s="425"/>
      <c r="G222" s="425"/>
      <c r="H222" s="421"/>
      <c r="I222" s="421"/>
      <c r="J222" s="492"/>
      <c r="K222" s="421"/>
      <c r="L222" s="421"/>
      <c r="M222" s="421"/>
      <c r="N222" s="421"/>
      <c r="O222" s="421"/>
      <c r="P222" s="421"/>
      <c r="Q222" s="513"/>
      <c r="R222" s="513"/>
      <c r="S222" s="513"/>
      <c r="T222" s="513"/>
      <c r="U222" s="513"/>
      <c r="V222" s="513"/>
      <c r="W222" s="513"/>
      <c r="X222" s="513"/>
      <c r="Y222" s="513"/>
      <c r="Z222" s="513"/>
      <c r="AA222" s="513"/>
      <c r="AB222" s="513"/>
      <c r="AC222" s="513"/>
      <c r="AD222" s="513"/>
      <c r="AE222" s="513"/>
      <c r="AF222" s="513"/>
      <c r="AG222" s="513"/>
      <c r="AH222" s="513"/>
      <c r="AI222" s="513"/>
      <c r="AJ222" s="513"/>
      <c r="AK222" s="513"/>
      <c r="AL222" s="513"/>
      <c r="AM222" s="513"/>
      <c r="AN222" s="418"/>
      <c r="AO222" s="418"/>
      <c r="AP222" s="418"/>
      <c r="AQ222" s="418"/>
      <c r="AR222" s="418"/>
      <c r="AS222" s="418"/>
      <c r="AT222" s="418"/>
      <c r="AU222" s="418"/>
      <c r="AV222" s="418"/>
      <c r="AW222" s="418"/>
      <c r="AX222" s="418"/>
      <c r="AY222" s="418"/>
      <c r="AZ222" s="418"/>
      <c r="BA222" s="513"/>
      <c r="BC222" s="312"/>
    </row>
    <row r="223" spans="1:55" ht="15.75" customHeight="1">
      <c r="A223" s="421"/>
      <c r="B223" s="416"/>
      <c r="C223" s="492"/>
      <c r="D223" s="425"/>
      <c r="E223" s="421"/>
      <c r="F223" s="425"/>
      <c r="G223" s="421"/>
      <c r="H223" s="421"/>
      <c r="I223" s="421"/>
      <c r="J223" s="492"/>
      <c r="K223" s="421"/>
      <c r="L223" s="421"/>
      <c r="M223" s="421"/>
      <c r="N223" s="421"/>
      <c r="O223" s="421"/>
      <c r="P223" s="421"/>
      <c r="Q223" s="513"/>
      <c r="R223" s="513"/>
      <c r="S223" s="513"/>
      <c r="T223" s="513"/>
      <c r="U223" s="513"/>
      <c r="V223" s="513"/>
      <c r="W223" s="513"/>
      <c r="X223" s="513"/>
      <c r="Y223" s="513"/>
      <c r="Z223" s="513"/>
      <c r="AA223" s="513"/>
      <c r="AB223" s="513"/>
      <c r="AC223" s="513"/>
      <c r="AD223" s="513"/>
      <c r="AE223" s="513"/>
      <c r="AF223" s="513"/>
      <c r="AG223" s="513"/>
      <c r="AH223" s="513"/>
      <c r="AI223" s="513"/>
      <c r="AJ223" s="513"/>
      <c r="AK223" s="513"/>
      <c r="AL223" s="513"/>
      <c r="AM223" s="513"/>
      <c r="AN223" s="418"/>
      <c r="AO223" s="418"/>
      <c r="AP223" s="418"/>
      <c r="AQ223" s="418"/>
      <c r="AR223" s="418"/>
      <c r="AS223" s="418"/>
      <c r="AT223" s="418"/>
      <c r="AU223" s="418"/>
      <c r="AV223" s="418"/>
      <c r="AW223" s="418"/>
      <c r="AX223" s="418"/>
      <c r="AY223" s="418"/>
      <c r="AZ223" s="418"/>
      <c r="BA223" s="513"/>
      <c r="BC223" s="312"/>
    </row>
    <row r="224" spans="1:55" ht="15.75" customHeight="1">
      <c r="A224" s="421"/>
      <c r="B224" s="416"/>
      <c r="C224" s="492"/>
      <c r="D224" s="425"/>
      <c r="E224" s="421"/>
      <c r="F224" s="425"/>
      <c r="G224" s="425"/>
      <c r="H224" s="421"/>
      <c r="I224" s="421"/>
      <c r="J224" s="492"/>
      <c r="K224" s="421"/>
      <c r="L224" s="421"/>
      <c r="M224" s="421"/>
      <c r="N224" s="421"/>
      <c r="O224" s="421"/>
      <c r="P224" s="421"/>
      <c r="Q224" s="513"/>
      <c r="R224" s="513"/>
      <c r="S224" s="513"/>
      <c r="T224" s="513"/>
      <c r="U224" s="513"/>
      <c r="V224" s="513"/>
      <c r="W224" s="513"/>
      <c r="X224" s="513"/>
      <c r="Y224" s="513"/>
      <c r="Z224" s="513"/>
      <c r="AA224" s="513"/>
      <c r="AB224" s="513"/>
      <c r="AC224" s="513"/>
      <c r="AD224" s="513"/>
      <c r="AE224" s="513"/>
      <c r="AF224" s="513"/>
      <c r="AG224" s="513"/>
      <c r="AH224" s="513"/>
      <c r="AI224" s="513"/>
      <c r="AJ224" s="513"/>
      <c r="AK224" s="513"/>
      <c r="AL224" s="513"/>
      <c r="AM224" s="513"/>
      <c r="AN224" s="418"/>
      <c r="AO224" s="418"/>
      <c r="AP224" s="418"/>
      <c r="AQ224" s="418"/>
      <c r="AR224" s="418"/>
      <c r="AS224" s="418"/>
      <c r="AT224" s="418"/>
      <c r="AU224" s="418"/>
      <c r="AV224" s="418"/>
      <c r="AW224" s="418"/>
      <c r="AX224" s="418"/>
      <c r="AY224" s="418"/>
      <c r="AZ224" s="418"/>
      <c r="BA224" s="513"/>
      <c r="BC224" s="312"/>
    </row>
    <row r="225" spans="1:55" ht="15.75" customHeight="1">
      <c r="A225" s="421"/>
      <c r="B225" s="416"/>
      <c r="C225" s="492"/>
      <c r="D225" s="425"/>
      <c r="E225" s="421"/>
      <c r="F225" s="425"/>
      <c r="G225" s="425"/>
      <c r="H225" s="421"/>
      <c r="I225" s="421"/>
      <c r="J225" s="492"/>
      <c r="K225" s="421"/>
      <c r="L225" s="421"/>
      <c r="M225" s="421"/>
      <c r="N225" s="421"/>
      <c r="O225" s="421"/>
      <c r="P225" s="421"/>
      <c r="Q225" s="513"/>
      <c r="R225" s="513"/>
      <c r="S225" s="513"/>
      <c r="T225" s="513"/>
      <c r="U225" s="513"/>
      <c r="V225" s="513"/>
      <c r="W225" s="513"/>
      <c r="X225" s="513"/>
      <c r="Y225" s="513"/>
      <c r="Z225" s="513"/>
      <c r="AA225" s="513"/>
      <c r="AB225" s="513"/>
      <c r="AC225" s="513"/>
      <c r="AD225" s="513"/>
      <c r="AE225" s="513"/>
      <c r="AF225" s="513"/>
      <c r="AG225" s="513"/>
      <c r="AH225" s="513"/>
      <c r="AI225" s="513"/>
      <c r="AJ225" s="513"/>
      <c r="AK225" s="513"/>
      <c r="AL225" s="513"/>
      <c r="AM225" s="513"/>
      <c r="AN225" s="418"/>
      <c r="AO225" s="418"/>
      <c r="AP225" s="418"/>
      <c r="AQ225" s="418"/>
      <c r="AR225" s="418"/>
      <c r="AS225" s="418"/>
      <c r="AT225" s="418"/>
      <c r="AU225" s="418"/>
      <c r="AV225" s="418"/>
      <c r="AW225" s="418"/>
      <c r="AX225" s="418"/>
      <c r="AY225" s="418"/>
      <c r="AZ225" s="418"/>
      <c r="BA225" s="513"/>
      <c r="BC225" s="312"/>
    </row>
    <row r="226" spans="1:55" ht="15.75" customHeight="1">
      <c r="A226" s="421"/>
      <c r="B226" s="416"/>
      <c r="C226" s="492"/>
      <c r="D226" s="425"/>
      <c r="E226" s="421"/>
      <c r="F226" s="425"/>
      <c r="G226" s="425"/>
      <c r="H226" s="421"/>
      <c r="I226" s="421"/>
      <c r="J226" s="492"/>
      <c r="K226" s="421"/>
      <c r="L226" s="421"/>
      <c r="M226" s="421"/>
      <c r="N226" s="421"/>
      <c r="O226" s="421"/>
      <c r="P226" s="421"/>
      <c r="Q226" s="513"/>
      <c r="R226" s="513"/>
      <c r="S226" s="513"/>
      <c r="T226" s="513"/>
      <c r="U226" s="513"/>
      <c r="V226" s="513"/>
      <c r="W226" s="513"/>
      <c r="X226" s="513"/>
      <c r="Y226" s="513"/>
      <c r="Z226" s="513"/>
      <c r="AA226" s="513"/>
      <c r="AB226" s="513"/>
      <c r="AC226" s="513"/>
      <c r="AD226" s="513"/>
      <c r="AE226" s="513"/>
      <c r="AF226" s="513"/>
      <c r="AG226" s="513"/>
      <c r="AH226" s="513"/>
      <c r="AI226" s="513"/>
      <c r="AJ226" s="513"/>
      <c r="AK226" s="513"/>
      <c r="AL226" s="513"/>
      <c r="AM226" s="513"/>
      <c r="AN226" s="418"/>
      <c r="AO226" s="418"/>
      <c r="AP226" s="418"/>
      <c r="AQ226" s="418"/>
      <c r="AR226" s="418"/>
      <c r="AS226" s="418"/>
      <c r="AT226" s="418"/>
      <c r="AU226" s="418"/>
      <c r="AV226" s="418"/>
      <c r="AW226" s="418"/>
      <c r="AX226" s="418"/>
      <c r="AY226" s="418"/>
      <c r="AZ226" s="418"/>
      <c r="BA226" s="513"/>
      <c r="BC226" s="312"/>
    </row>
    <row r="227" spans="1:55" ht="15.75" customHeight="1">
      <c r="A227" s="421"/>
      <c r="B227" s="416"/>
      <c r="C227" s="492"/>
      <c r="D227" s="425"/>
      <c r="E227" s="421"/>
      <c r="F227" s="425"/>
      <c r="G227" s="421"/>
      <c r="H227" s="421"/>
      <c r="I227" s="421"/>
      <c r="J227" s="492"/>
      <c r="K227" s="421"/>
      <c r="L227" s="421"/>
      <c r="M227" s="421"/>
      <c r="N227" s="421"/>
      <c r="O227" s="421"/>
      <c r="P227" s="421"/>
      <c r="Q227" s="513"/>
      <c r="R227" s="513"/>
      <c r="S227" s="513"/>
      <c r="T227" s="513"/>
      <c r="U227" s="513"/>
      <c r="V227" s="513"/>
      <c r="W227" s="513"/>
      <c r="X227" s="513"/>
      <c r="Y227" s="513"/>
      <c r="Z227" s="513"/>
      <c r="AA227" s="513"/>
      <c r="AB227" s="513"/>
      <c r="AC227" s="513"/>
      <c r="AD227" s="513"/>
      <c r="AE227" s="513"/>
      <c r="AF227" s="513"/>
      <c r="AG227" s="513"/>
      <c r="AH227" s="513"/>
      <c r="AI227" s="513"/>
      <c r="AJ227" s="513"/>
      <c r="AK227" s="513"/>
      <c r="AL227" s="513"/>
      <c r="AM227" s="513"/>
      <c r="AN227" s="418"/>
      <c r="AO227" s="418"/>
      <c r="AP227" s="418"/>
      <c r="AQ227" s="418"/>
      <c r="AR227" s="418"/>
      <c r="AS227" s="418"/>
      <c r="AT227" s="418"/>
      <c r="AU227" s="418"/>
      <c r="AV227" s="418"/>
      <c r="AW227" s="418"/>
      <c r="AX227" s="418"/>
      <c r="AY227" s="418"/>
      <c r="AZ227" s="418"/>
      <c r="BA227" s="513"/>
      <c r="BC227" s="312"/>
    </row>
    <row r="228" spans="1:55" ht="15.75" customHeight="1">
      <c r="A228" s="421"/>
      <c r="B228" s="416"/>
      <c r="C228" s="492"/>
      <c r="D228" s="425"/>
      <c r="E228" s="421"/>
      <c r="F228" s="425"/>
      <c r="G228" s="425"/>
      <c r="H228" s="421"/>
      <c r="I228" s="421"/>
      <c r="J228" s="492"/>
      <c r="K228" s="421"/>
      <c r="L228" s="421"/>
      <c r="M228" s="421"/>
      <c r="N228" s="421"/>
      <c r="O228" s="421"/>
      <c r="P228" s="421"/>
      <c r="Q228" s="513"/>
      <c r="R228" s="513"/>
      <c r="S228" s="513"/>
      <c r="T228" s="513"/>
      <c r="U228" s="513"/>
      <c r="V228" s="513"/>
      <c r="W228" s="513"/>
      <c r="X228" s="513"/>
      <c r="Y228" s="513"/>
      <c r="Z228" s="513"/>
      <c r="AA228" s="513"/>
      <c r="AB228" s="513"/>
      <c r="AC228" s="513"/>
      <c r="AD228" s="513"/>
      <c r="AE228" s="513"/>
      <c r="AF228" s="513"/>
      <c r="AG228" s="513"/>
      <c r="AH228" s="513"/>
      <c r="AI228" s="513"/>
      <c r="AJ228" s="513"/>
      <c r="AK228" s="513"/>
      <c r="AL228" s="513"/>
      <c r="AM228" s="513"/>
      <c r="AN228" s="418"/>
      <c r="AO228" s="418"/>
      <c r="AP228" s="418"/>
      <c r="AQ228" s="418"/>
      <c r="AR228" s="418"/>
      <c r="AS228" s="418"/>
      <c r="AT228" s="418"/>
      <c r="AU228" s="418"/>
      <c r="AV228" s="418"/>
      <c r="AW228" s="418"/>
      <c r="AX228" s="418"/>
      <c r="AY228" s="418"/>
      <c r="AZ228" s="418"/>
      <c r="BA228" s="513"/>
      <c r="BC228" s="312"/>
    </row>
    <row r="229" spans="1:55" ht="15.75" customHeight="1">
      <c r="A229" s="421"/>
      <c r="B229" s="416"/>
      <c r="C229" s="492"/>
      <c r="D229" s="425"/>
      <c r="E229" s="421"/>
      <c r="F229" s="425"/>
      <c r="G229" s="421"/>
      <c r="H229" s="421"/>
      <c r="I229" s="421"/>
      <c r="J229" s="492"/>
      <c r="K229" s="421"/>
      <c r="L229" s="421"/>
      <c r="M229" s="421"/>
      <c r="N229" s="421"/>
      <c r="O229" s="421"/>
      <c r="P229" s="421"/>
      <c r="Q229" s="513"/>
      <c r="R229" s="513"/>
      <c r="S229" s="513"/>
      <c r="T229" s="513"/>
      <c r="U229" s="513"/>
      <c r="V229" s="513"/>
      <c r="W229" s="513"/>
      <c r="X229" s="513"/>
      <c r="Y229" s="513"/>
      <c r="Z229" s="513"/>
      <c r="AA229" s="513"/>
      <c r="AB229" s="513"/>
      <c r="AC229" s="513"/>
      <c r="AD229" s="513"/>
      <c r="AE229" s="513"/>
      <c r="AF229" s="513"/>
      <c r="AG229" s="513"/>
      <c r="AH229" s="513"/>
      <c r="AI229" s="513"/>
      <c r="AJ229" s="513"/>
      <c r="AK229" s="513"/>
      <c r="AL229" s="513"/>
      <c r="AM229" s="513"/>
      <c r="AN229" s="418"/>
      <c r="AO229" s="418"/>
      <c r="AP229" s="418"/>
      <c r="AQ229" s="418"/>
      <c r="AR229" s="418"/>
      <c r="AS229" s="418"/>
      <c r="AT229" s="418"/>
      <c r="AU229" s="418"/>
      <c r="AV229" s="418"/>
      <c r="AW229" s="418"/>
      <c r="AX229" s="418"/>
      <c r="AY229" s="418"/>
      <c r="AZ229" s="418"/>
      <c r="BA229" s="513"/>
      <c r="BC229" s="312"/>
    </row>
    <row r="230" spans="1:55" ht="15.75" customHeight="1">
      <c r="A230" s="421"/>
      <c r="B230" s="416"/>
      <c r="C230" s="492"/>
      <c r="D230" s="425"/>
      <c r="E230" s="421"/>
      <c r="F230" s="425"/>
      <c r="G230" s="425"/>
      <c r="H230" s="421"/>
      <c r="I230" s="421"/>
      <c r="J230" s="492"/>
      <c r="K230" s="421"/>
      <c r="L230" s="421"/>
      <c r="M230" s="421"/>
      <c r="N230" s="421"/>
      <c r="O230" s="421"/>
      <c r="P230" s="421"/>
      <c r="Q230" s="513"/>
      <c r="R230" s="513"/>
      <c r="S230" s="513"/>
      <c r="T230" s="513"/>
      <c r="U230" s="513"/>
      <c r="V230" s="513"/>
      <c r="W230" s="513"/>
      <c r="X230" s="513"/>
      <c r="Y230" s="513"/>
      <c r="Z230" s="513"/>
      <c r="AA230" s="513"/>
      <c r="AB230" s="513"/>
      <c r="AC230" s="513"/>
      <c r="AD230" s="513"/>
      <c r="AE230" s="513"/>
      <c r="AF230" s="513"/>
      <c r="AG230" s="513"/>
      <c r="AH230" s="513"/>
      <c r="AI230" s="513"/>
      <c r="AJ230" s="513"/>
      <c r="AK230" s="513"/>
      <c r="AL230" s="513"/>
      <c r="AM230" s="513"/>
      <c r="AN230" s="418"/>
      <c r="AO230" s="418"/>
      <c r="AP230" s="418"/>
      <c r="AQ230" s="418"/>
      <c r="AR230" s="418"/>
      <c r="AS230" s="418"/>
      <c r="AT230" s="418"/>
      <c r="AU230" s="418"/>
      <c r="AV230" s="418"/>
      <c r="AW230" s="418"/>
      <c r="AX230" s="418"/>
      <c r="AY230" s="418"/>
      <c r="AZ230" s="418"/>
      <c r="BA230" s="513"/>
      <c r="BC230" s="312"/>
    </row>
    <row r="231" spans="1:55" ht="15.75" customHeight="1">
      <c r="A231" s="421"/>
      <c r="B231" s="416"/>
      <c r="C231" s="492"/>
      <c r="D231" s="425"/>
      <c r="E231" s="421"/>
      <c r="F231" s="425"/>
      <c r="G231" s="421"/>
      <c r="H231" s="421"/>
      <c r="I231" s="421"/>
      <c r="J231" s="492"/>
      <c r="K231" s="421"/>
      <c r="L231" s="421"/>
      <c r="M231" s="421"/>
      <c r="N231" s="421"/>
      <c r="O231" s="421"/>
      <c r="P231" s="421"/>
      <c r="Q231" s="513"/>
      <c r="R231" s="513"/>
      <c r="S231" s="513"/>
      <c r="T231" s="513"/>
      <c r="U231" s="513"/>
      <c r="V231" s="513"/>
      <c r="W231" s="513"/>
      <c r="X231" s="513"/>
      <c r="Y231" s="513"/>
      <c r="Z231" s="513"/>
      <c r="AA231" s="513"/>
      <c r="AB231" s="513"/>
      <c r="AC231" s="513"/>
      <c r="AD231" s="513"/>
      <c r="AE231" s="513"/>
      <c r="AF231" s="513"/>
      <c r="AG231" s="513"/>
      <c r="AH231" s="513"/>
      <c r="AI231" s="513"/>
      <c r="AJ231" s="513"/>
      <c r="AK231" s="513"/>
      <c r="AL231" s="513"/>
      <c r="AM231" s="513"/>
      <c r="AN231" s="418"/>
      <c r="AO231" s="418"/>
      <c r="AP231" s="418"/>
      <c r="AQ231" s="418"/>
      <c r="AR231" s="418"/>
      <c r="AS231" s="418"/>
      <c r="AT231" s="418"/>
      <c r="AU231" s="418"/>
      <c r="AV231" s="418"/>
      <c r="AW231" s="418"/>
      <c r="AX231" s="418"/>
      <c r="AY231" s="418"/>
      <c r="AZ231" s="418"/>
      <c r="BA231" s="513"/>
      <c r="BC231" s="312"/>
    </row>
    <row r="232" spans="1:55" ht="15.75" customHeight="1">
      <c r="A232" s="421"/>
      <c r="B232" s="416"/>
      <c r="C232" s="492"/>
      <c r="D232" s="425"/>
      <c r="E232" s="421"/>
      <c r="F232" s="425"/>
      <c r="G232" s="425"/>
      <c r="H232" s="421"/>
      <c r="I232" s="421"/>
      <c r="J232" s="492"/>
      <c r="K232" s="421"/>
      <c r="L232" s="421"/>
      <c r="M232" s="421"/>
      <c r="N232" s="421"/>
      <c r="O232" s="421"/>
      <c r="P232" s="421"/>
      <c r="Q232" s="513"/>
      <c r="R232" s="513"/>
      <c r="S232" s="513"/>
      <c r="T232" s="513"/>
      <c r="U232" s="513"/>
      <c r="V232" s="513"/>
      <c r="W232" s="513"/>
      <c r="X232" s="513"/>
      <c r="Y232" s="513"/>
      <c r="Z232" s="513"/>
      <c r="AA232" s="513"/>
      <c r="AB232" s="513"/>
      <c r="AC232" s="513"/>
      <c r="AD232" s="513"/>
      <c r="AE232" s="513"/>
      <c r="AF232" s="513"/>
      <c r="AG232" s="513"/>
      <c r="AH232" s="513"/>
      <c r="AI232" s="513"/>
      <c r="AJ232" s="513"/>
      <c r="AK232" s="513"/>
      <c r="AL232" s="513"/>
      <c r="AM232" s="513"/>
      <c r="AN232" s="418"/>
      <c r="AO232" s="418"/>
      <c r="AP232" s="418"/>
      <c r="AQ232" s="418"/>
      <c r="AR232" s="418"/>
      <c r="AS232" s="418"/>
      <c r="AT232" s="418"/>
      <c r="AU232" s="418"/>
      <c r="AV232" s="418"/>
      <c r="AW232" s="418"/>
      <c r="AX232" s="418"/>
      <c r="AY232" s="418"/>
      <c r="AZ232" s="418"/>
      <c r="BA232" s="513"/>
      <c r="BC232" s="312"/>
    </row>
    <row r="233" spans="1:55" ht="15.75" customHeight="1">
      <c r="A233" s="421"/>
      <c r="B233" s="416"/>
      <c r="C233" s="492"/>
      <c r="D233" s="425"/>
      <c r="E233" s="421"/>
      <c r="F233" s="425"/>
      <c r="G233" s="421"/>
      <c r="H233" s="421"/>
      <c r="I233" s="425"/>
      <c r="J233" s="492"/>
      <c r="K233" s="421"/>
      <c r="L233" s="421"/>
      <c r="M233" s="421"/>
      <c r="N233" s="421"/>
      <c r="O233" s="421"/>
      <c r="P233" s="421"/>
      <c r="Q233" s="513"/>
      <c r="R233" s="513"/>
      <c r="S233" s="513"/>
      <c r="T233" s="513"/>
      <c r="U233" s="513"/>
      <c r="V233" s="513"/>
      <c r="W233" s="513"/>
      <c r="X233" s="513"/>
      <c r="Y233" s="513"/>
      <c r="Z233" s="513"/>
      <c r="AA233" s="513"/>
      <c r="AB233" s="513"/>
      <c r="AC233" s="513"/>
      <c r="AD233" s="513"/>
      <c r="AE233" s="513"/>
      <c r="AF233" s="513"/>
      <c r="AG233" s="513"/>
      <c r="AH233" s="513"/>
      <c r="AI233" s="513"/>
      <c r="AJ233" s="513"/>
      <c r="AK233" s="513"/>
      <c r="AL233" s="513"/>
      <c r="AM233" s="513"/>
      <c r="AN233" s="418"/>
      <c r="AO233" s="418"/>
      <c r="AP233" s="418"/>
      <c r="AQ233" s="418"/>
      <c r="AR233" s="418"/>
      <c r="AS233" s="418"/>
      <c r="AT233" s="418"/>
      <c r="AU233" s="418"/>
      <c r="AV233" s="418"/>
      <c r="AW233" s="418"/>
      <c r="AX233" s="418"/>
      <c r="AY233" s="418"/>
      <c r="AZ233" s="418"/>
      <c r="BA233" s="513"/>
      <c r="BC233" s="312"/>
    </row>
    <row r="234" spans="1:55" ht="15.75" customHeight="1">
      <c r="A234" s="421"/>
      <c r="B234" s="416"/>
      <c r="C234" s="492"/>
      <c r="D234" s="425"/>
      <c r="E234" s="421"/>
      <c r="F234" s="425"/>
      <c r="G234" s="425"/>
      <c r="H234" s="421"/>
      <c r="I234" s="421"/>
      <c r="J234" s="492"/>
      <c r="K234" s="421"/>
      <c r="L234" s="421"/>
      <c r="M234" s="421"/>
      <c r="N234" s="421"/>
      <c r="O234" s="421"/>
      <c r="P234" s="421"/>
      <c r="Q234" s="513"/>
      <c r="R234" s="513"/>
      <c r="S234" s="513"/>
      <c r="T234" s="513"/>
      <c r="U234" s="513"/>
      <c r="V234" s="513"/>
      <c r="W234" s="513"/>
      <c r="X234" s="513"/>
      <c r="Y234" s="513"/>
      <c r="Z234" s="513"/>
      <c r="AA234" s="513"/>
      <c r="AB234" s="513"/>
      <c r="AC234" s="513"/>
      <c r="AD234" s="513"/>
      <c r="AE234" s="513"/>
      <c r="AF234" s="513"/>
      <c r="AG234" s="513"/>
      <c r="AH234" s="513"/>
      <c r="AI234" s="513"/>
      <c r="AJ234" s="513"/>
      <c r="AK234" s="513"/>
      <c r="AL234" s="513"/>
      <c r="AM234" s="513"/>
      <c r="AN234" s="418"/>
      <c r="AO234" s="418"/>
      <c r="AP234" s="418"/>
      <c r="AQ234" s="418"/>
      <c r="AR234" s="418"/>
      <c r="AS234" s="418"/>
      <c r="AT234" s="418"/>
      <c r="AU234" s="418"/>
      <c r="AV234" s="418"/>
      <c r="AW234" s="418"/>
      <c r="AX234" s="418"/>
      <c r="AY234" s="418"/>
      <c r="AZ234" s="418"/>
      <c r="BA234" s="513"/>
      <c r="BC234" s="312"/>
    </row>
    <row r="235" spans="1:55" ht="15.75" customHeight="1">
      <c r="A235" s="421"/>
      <c r="B235" s="416"/>
      <c r="C235" s="492"/>
      <c r="D235" s="425"/>
      <c r="E235" s="421"/>
      <c r="F235" s="425"/>
      <c r="G235" s="421"/>
      <c r="H235" s="421"/>
      <c r="I235" s="421"/>
      <c r="J235" s="492"/>
      <c r="K235" s="421"/>
      <c r="L235" s="421"/>
      <c r="M235" s="421"/>
      <c r="N235" s="421"/>
      <c r="O235" s="421"/>
      <c r="P235" s="421"/>
      <c r="Q235" s="513"/>
      <c r="R235" s="513"/>
      <c r="S235" s="513"/>
      <c r="T235" s="513"/>
      <c r="U235" s="513"/>
      <c r="V235" s="513"/>
      <c r="W235" s="513"/>
      <c r="X235" s="513"/>
      <c r="Y235" s="513"/>
      <c r="Z235" s="513"/>
      <c r="AA235" s="513"/>
      <c r="AB235" s="513"/>
      <c r="AC235" s="513"/>
      <c r="AD235" s="513"/>
      <c r="AE235" s="513"/>
      <c r="AF235" s="513"/>
      <c r="AG235" s="513"/>
      <c r="AH235" s="513"/>
      <c r="AI235" s="513"/>
      <c r="AJ235" s="513"/>
      <c r="AK235" s="513"/>
      <c r="AL235" s="513"/>
      <c r="AM235" s="513"/>
      <c r="AN235" s="418"/>
      <c r="AO235" s="418"/>
      <c r="AP235" s="418"/>
      <c r="AQ235" s="418"/>
      <c r="AR235" s="418"/>
      <c r="AS235" s="418"/>
      <c r="AT235" s="418"/>
      <c r="AU235" s="418"/>
      <c r="AV235" s="418"/>
      <c r="AW235" s="418"/>
      <c r="AX235" s="418"/>
      <c r="AY235" s="418"/>
      <c r="AZ235" s="418"/>
      <c r="BA235" s="513"/>
      <c r="BC235" s="312"/>
    </row>
    <row r="236" spans="1:55" ht="15.75" customHeight="1">
      <c r="A236" s="421"/>
      <c r="B236" s="416"/>
      <c r="C236" s="492"/>
      <c r="D236" s="425"/>
      <c r="E236" s="421"/>
      <c r="F236" s="425"/>
      <c r="G236" s="425"/>
      <c r="H236" s="421"/>
      <c r="I236" s="421"/>
      <c r="J236" s="492"/>
      <c r="K236" s="421"/>
      <c r="L236" s="421"/>
      <c r="M236" s="421"/>
      <c r="N236" s="421"/>
      <c r="O236" s="421"/>
      <c r="P236" s="421"/>
      <c r="Q236" s="513"/>
      <c r="R236" s="513"/>
      <c r="S236" s="513"/>
      <c r="T236" s="513"/>
      <c r="U236" s="513"/>
      <c r="V236" s="513"/>
      <c r="W236" s="513"/>
      <c r="X236" s="513"/>
      <c r="Y236" s="513"/>
      <c r="Z236" s="513"/>
      <c r="AA236" s="513"/>
      <c r="AB236" s="513"/>
      <c r="AC236" s="513"/>
      <c r="AD236" s="513"/>
      <c r="AE236" s="513"/>
      <c r="AF236" s="513"/>
      <c r="AG236" s="513"/>
      <c r="AH236" s="513"/>
      <c r="AI236" s="513"/>
      <c r="AJ236" s="513"/>
      <c r="AK236" s="513"/>
      <c r="AL236" s="513"/>
      <c r="AM236" s="513"/>
      <c r="AN236" s="418"/>
      <c r="AO236" s="418"/>
      <c r="AP236" s="418"/>
      <c r="AQ236" s="418"/>
      <c r="AR236" s="418"/>
      <c r="AS236" s="418"/>
      <c r="AT236" s="418"/>
      <c r="AU236" s="418"/>
      <c r="AV236" s="418"/>
      <c r="AW236" s="418"/>
      <c r="AX236" s="418"/>
      <c r="AY236" s="418"/>
      <c r="AZ236" s="418"/>
      <c r="BA236" s="513"/>
      <c r="BC236" s="312"/>
    </row>
    <row r="237" spans="1:55" ht="15.75" customHeight="1">
      <c r="A237" s="421"/>
      <c r="B237" s="416"/>
      <c r="C237" s="492"/>
      <c r="D237" s="425"/>
      <c r="E237" s="421"/>
      <c r="F237" s="425"/>
      <c r="G237" s="421"/>
      <c r="H237" s="421"/>
      <c r="I237" s="421"/>
      <c r="J237" s="492"/>
      <c r="K237" s="421"/>
      <c r="L237" s="421"/>
      <c r="M237" s="421"/>
      <c r="N237" s="421"/>
      <c r="O237" s="421"/>
      <c r="P237" s="421"/>
      <c r="Q237" s="513"/>
      <c r="R237" s="513"/>
      <c r="S237" s="513"/>
      <c r="T237" s="513"/>
      <c r="U237" s="513"/>
      <c r="V237" s="513"/>
      <c r="W237" s="513"/>
      <c r="X237" s="513"/>
      <c r="Y237" s="513"/>
      <c r="Z237" s="513"/>
      <c r="AA237" s="513"/>
      <c r="AB237" s="513"/>
      <c r="AC237" s="513"/>
      <c r="AD237" s="513"/>
      <c r="AE237" s="513"/>
      <c r="AF237" s="513"/>
      <c r="AG237" s="513"/>
      <c r="AH237" s="513"/>
      <c r="AI237" s="513"/>
      <c r="AJ237" s="513"/>
      <c r="AK237" s="513"/>
      <c r="AL237" s="513"/>
      <c r="AM237" s="513"/>
      <c r="AN237" s="418"/>
      <c r="AO237" s="418"/>
      <c r="AP237" s="418"/>
      <c r="AQ237" s="418"/>
      <c r="AR237" s="418"/>
      <c r="AS237" s="418"/>
      <c r="AT237" s="418"/>
      <c r="AU237" s="418"/>
      <c r="AV237" s="418"/>
      <c r="AW237" s="418"/>
      <c r="AX237" s="418"/>
      <c r="AY237" s="418"/>
      <c r="AZ237" s="418"/>
      <c r="BA237" s="513"/>
      <c r="BC237" s="312"/>
    </row>
    <row r="238" spans="1:55" ht="15.75" customHeight="1">
      <c r="A238" s="421"/>
      <c r="B238" s="416"/>
      <c r="C238" s="492"/>
      <c r="D238" s="425"/>
      <c r="E238" s="421"/>
      <c r="F238" s="425"/>
      <c r="G238" s="425"/>
      <c r="H238" s="421"/>
      <c r="I238" s="421"/>
      <c r="J238" s="492"/>
      <c r="K238" s="421"/>
      <c r="L238" s="421"/>
      <c r="M238" s="421"/>
      <c r="N238" s="421"/>
      <c r="O238" s="421"/>
      <c r="P238" s="421"/>
      <c r="Q238" s="513"/>
      <c r="R238" s="513"/>
      <c r="S238" s="513"/>
      <c r="T238" s="513"/>
      <c r="U238" s="513"/>
      <c r="V238" s="513"/>
      <c r="W238" s="513"/>
      <c r="X238" s="513"/>
      <c r="Y238" s="513"/>
      <c r="Z238" s="513"/>
      <c r="AA238" s="513"/>
      <c r="AB238" s="513"/>
      <c r="AC238" s="513"/>
      <c r="AD238" s="513"/>
      <c r="AE238" s="513"/>
      <c r="AF238" s="513"/>
      <c r="AG238" s="513"/>
      <c r="AH238" s="513"/>
      <c r="AI238" s="513"/>
      <c r="AJ238" s="513"/>
      <c r="AK238" s="513"/>
      <c r="AL238" s="513"/>
      <c r="AM238" s="513"/>
      <c r="AN238" s="418"/>
      <c r="AO238" s="418"/>
      <c r="AP238" s="418"/>
      <c r="AQ238" s="418"/>
      <c r="AR238" s="418"/>
      <c r="AS238" s="418"/>
      <c r="AT238" s="418"/>
      <c r="AU238" s="418"/>
      <c r="AV238" s="418"/>
      <c r="AW238" s="418"/>
      <c r="AX238" s="418"/>
      <c r="AY238" s="418"/>
      <c r="AZ238" s="418"/>
      <c r="BA238" s="513"/>
    </row>
    <row r="239" spans="1:55" ht="15.75" customHeight="1">
      <c r="A239" s="421"/>
      <c r="B239" s="416"/>
      <c r="C239" s="492"/>
      <c r="D239" s="425"/>
      <c r="E239" s="421"/>
      <c r="F239" s="425"/>
      <c r="G239" s="421"/>
      <c r="H239" s="421"/>
      <c r="I239" s="421"/>
      <c r="J239" s="492"/>
      <c r="K239" s="421"/>
      <c r="L239" s="421"/>
      <c r="M239" s="421"/>
      <c r="N239" s="421"/>
      <c r="O239" s="421"/>
      <c r="P239" s="421"/>
      <c r="Q239" s="513"/>
      <c r="R239" s="513"/>
      <c r="S239" s="513"/>
      <c r="T239" s="513"/>
      <c r="U239" s="513"/>
      <c r="V239" s="513"/>
      <c r="W239" s="513"/>
      <c r="X239" s="513"/>
      <c r="Y239" s="513"/>
      <c r="Z239" s="513"/>
      <c r="AA239" s="513"/>
      <c r="AB239" s="513"/>
      <c r="AC239" s="513"/>
      <c r="AD239" s="513"/>
      <c r="AE239" s="513"/>
      <c r="AF239" s="513"/>
      <c r="AG239" s="513"/>
      <c r="AH239" s="513"/>
      <c r="AI239" s="513"/>
      <c r="AJ239" s="513"/>
      <c r="AK239" s="513"/>
      <c r="AL239" s="513"/>
      <c r="AM239" s="513"/>
      <c r="AN239" s="418"/>
      <c r="AO239" s="418"/>
      <c r="AP239" s="418"/>
      <c r="AQ239" s="418"/>
      <c r="AR239" s="418"/>
      <c r="AS239" s="418"/>
      <c r="AT239" s="418"/>
      <c r="AU239" s="418"/>
      <c r="AV239" s="418"/>
      <c r="AW239" s="418"/>
      <c r="AX239" s="418"/>
      <c r="AY239" s="418"/>
      <c r="AZ239" s="418"/>
      <c r="BA239" s="513"/>
    </row>
    <row r="240" spans="1:55" ht="15.75" customHeight="1">
      <c r="A240" s="421"/>
      <c r="B240" s="416"/>
      <c r="C240" s="492"/>
      <c r="D240" s="425"/>
      <c r="E240" s="421"/>
      <c r="F240" s="425"/>
      <c r="G240" s="425"/>
      <c r="H240" s="421"/>
      <c r="I240" s="421"/>
      <c r="J240" s="492"/>
      <c r="K240" s="421"/>
      <c r="L240" s="421"/>
      <c r="M240" s="421"/>
      <c r="N240" s="421"/>
      <c r="O240" s="421"/>
      <c r="P240" s="421"/>
      <c r="Q240" s="513"/>
      <c r="R240" s="513"/>
      <c r="S240" s="513"/>
      <c r="T240" s="513"/>
      <c r="U240" s="513"/>
      <c r="V240" s="513"/>
      <c r="W240" s="513"/>
      <c r="X240" s="513"/>
      <c r="Y240" s="513"/>
      <c r="Z240" s="513"/>
      <c r="AA240" s="513"/>
      <c r="AB240" s="513"/>
      <c r="AC240" s="513"/>
      <c r="AD240" s="513"/>
      <c r="AE240" s="513"/>
      <c r="AF240" s="513"/>
      <c r="AG240" s="513"/>
      <c r="AH240" s="513"/>
      <c r="AI240" s="513"/>
      <c r="AJ240" s="513"/>
      <c r="AK240" s="513"/>
      <c r="AL240" s="513"/>
      <c r="AM240" s="513"/>
      <c r="AN240" s="418"/>
      <c r="AO240" s="418"/>
      <c r="AP240" s="418"/>
      <c r="AQ240" s="418"/>
      <c r="AR240" s="418"/>
      <c r="AS240" s="418"/>
      <c r="AT240" s="418"/>
      <c r="AU240" s="418"/>
      <c r="AV240" s="418"/>
      <c r="AW240" s="418"/>
      <c r="AX240" s="418"/>
      <c r="AY240" s="418"/>
      <c r="AZ240" s="418"/>
      <c r="BA240" s="513"/>
    </row>
    <row r="241" spans="1:53" ht="15.75" customHeight="1">
      <c r="A241" s="421"/>
      <c r="B241" s="416"/>
      <c r="C241" s="492"/>
      <c r="D241" s="425"/>
      <c r="E241" s="421"/>
      <c r="F241" s="425"/>
      <c r="G241" s="421"/>
      <c r="H241" s="421"/>
      <c r="I241" s="421"/>
      <c r="J241" s="492"/>
      <c r="K241" s="421"/>
      <c r="L241" s="421"/>
      <c r="M241" s="421"/>
      <c r="N241" s="421"/>
      <c r="O241" s="421"/>
      <c r="P241" s="421"/>
      <c r="Q241" s="513"/>
      <c r="R241" s="513"/>
      <c r="S241" s="513"/>
      <c r="T241" s="513"/>
      <c r="U241" s="513"/>
      <c r="V241" s="513"/>
      <c r="W241" s="513"/>
      <c r="X241" s="513"/>
      <c r="Y241" s="513"/>
      <c r="Z241" s="513"/>
      <c r="AA241" s="513"/>
      <c r="AB241" s="513"/>
      <c r="AC241" s="513"/>
      <c r="AD241" s="513"/>
      <c r="AE241" s="513"/>
      <c r="AF241" s="513"/>
      <c r="AG241" s="513"/>
      <c r="AH241" s="513"/>
      <c r="AI241" s="513"/>
      <c r="AJ241" s="513"/>
      <c r="AK241" s="513"/>
      <c r="AL241" s="513"/>
      <c r="AM241" s="513"/>
      <c r="AN241" s="418"/>
      <c r="AO241" s="418"/>
      <c r="AP241" s="418"/>
      <c r="AQ241" s="418"/>
      <c r="AR241" s="418"/>
      <c r="AS241" s="418"/>
      <c r="AT241" s="418"/>
      <c r="AU241" s="418"/>
      <c r="AV241" s="418"/>
      <c r="AW241" s="418"/>
      <c r="AX241" s="418"/>
      <c r="AY241" s="418"/>
      <c r="AZ241" s="418"/>
      <c r="BA241" s="513"/>
    </row>
    <row r="242" spans="1:53" ht="15.75" customHeight="1">
      <c r="A242" s="421"/>
      <c r="B242" s="416"/>
      <c r="C242" s="492"/>
      <c r="D242" s="425"/>
      <c r="E242" s="421"/>
      <c r="F242" s="425"/>
      <c r="G242" s="425"/>
      <c r="H242" s="421"/>
      <c r="I242" s="421"/>
      <c r="J242" s="492"/>
      <c r="K242" s="421"/>
      <c r="L242" s="421"/>
      <c r="M242" s="421"/>
      <c r="N242" s="421"/>
      <c r="O242" s="421"/>
      <c r="P242" s="421"/>
      <c r="Q242" s="513"/>
      <c r="R242" s="513"/>
      <c r="S242" s="513"/>
      <c r="T242" s="513"/>
      <c r="U242" s="513"/>
      <c r="V242" s="513"/>
      <c r="W242" s="513"/>
      <c r="X242" s="513"/>
      <c r="Y242" s="513"/>
      <c r="Z242" s="513"/>
      <c r="AA242" s="513"/>
      <c r="AB242" s="513"/>
      <c r="AC242" s="513"/>
      <c r="AD242" s="513"/>
      <c r="AE242" s="513"/>
      <c r="AF242" s="513"/>
      <c r="AG242" s="513"/>
      <c r="AH242" s="513"/>
      <c r="AI242" s="513"/>
      <c r="AJ242" s="513"/>
      <c r="AK242" s="513"/>
      <c r="AL242" s="513"/>
      <c r="AM242" s="513"/>
      <c r="AN242" s="418"/>
      <c r="AO242" s="418"/>
      <c r="AP242" s="418"/>
      <c r="AQ242" s="418"/>
      <c r="AR242" s="418"/>
      <c r="AS242" s="418"/>
      <c r="AT242" s="418"/>
      <c r="AU242" s="418"/>
      <c r="AV242" s="418"/>
      <c r="AW242" s="418"/>
      <c r="AX242" s="418"/>
      <c r="AY242" s="418"/>
      <c r="AZ242" s="418"/>
      <c r="BA242" s="513"/>
    </row>
    <row r="243" spans="1:53" ht="15.75" customHeight="1">
      <c r="A243" s="421"/>
      <c r="B243" s="416"/>
      <c r="C243" s="492"/>
      <c r="D243" s="425"/>
      <c r="E243" s="421"/>
      <c r="F243" s="425"/>
      <c r="G243" s="421"/>
      <c r="H243" s="421"/>
      <c r="I243" s="421"/>
      <c r="J243" s="492"/>
      <c r="K243" s="421"/>
      <c r="L243" s="421"/>
      <c r="M243" s="421"/>
      <c r="N243" s="421"/>
      <c r="O243" s="421"/>
      <c r="P243" s="421"/>
      <c r="Q243" s="513"/>
      <c r="R243" s="513"/>
      <c r="S243" s="513"/>
      <c r="T243" s="513"/>
      <c r="U243" s="513"/>
      <c r="V243" s="513"/>
      <c r="W243" s="513"/>
      <c r="X243" s="513"/>
      <c r="Y243" s="513"/>
      <c r="Z243" s="513"/>
      <c r="AA243" s="513"/>
      <c r="AB243" s="513"/>
      <c r="AC243" s="513"/>
      <c r="AD243" s="513"/>
      <c r="AE243" s="513"/>
      <c r="AF243" s="513"/>
      <c r="AG243" s="513"/>
      <c r="AH243" s="513"/>
      <c r="AI243" s="513"/>
      <c r="AJ243" s="513"/>
      <c r="AK243" s="513"/>
      <c r="AL243" s="513"/>
      <c r="AM243" s="513"/>
      <c r="AN243" s="418"/>
      <c r="AO243" s="418"/>
      <c r="AP243" s="418"/>
      <c r="AQ243" s="418"/>
      <c r="AR243" s="418"/>
      <c r="AS243" s="418"/>
      <c r="AT243" s="418"/>
      <c r="AU243" s="418"/>
      <c r="AV243" s="418"/>
      <c r="AW243" s="418"/>
      <c r="AX243" s="418"/>
      <c r="AY243" s="418"/>
      <c r="AZ243" s="418"/>
      <c r="BA243" s="513"/>
    </row>
    <row r="244" spans="1:53" ht="15.75" customHeight="1">
      <c r="A244" s="421"/>
      <c r="B244" s="416"/>
      <c r="C244" s="492"/>
      <c r="D244" s="425"/>
      <c r="E244" s="421"/>
      <c r="F244" s="425"/>
      <c r="G244" s="425"/>
      <c r="H244" s="421"/>
      <c r="I244" s="421"/>
      <c r="J244" s="492"/>
      <c r="K244" s="421"/>
      <c r="L244" s="421"/>
      <c r="M244" s="421"/>
      <c r="N244" s="421"/>
      <c r="O244" s="421"/>
      <c r="P244" s="421"/>
      <c r="Q244" s="513"/>
      <c r="R244" s="513"/>
      <c r="S244" s="513"/>
      <c r="T244" s="513"/>
      <c r="U244" s="513"/>
      <c r="V244" s="513"/>
      <c r="W244" s="513"/>
      <c r="X244" s="513"/>
      <c r="Y244" s="513"/>
      <c r="Z244" s="513"/>
      <c r="AA244" s="513"/>
      <c r="AB244" s="513"/>
      <c r="AC244" s="513"/>
      <c r="AD244" s="513"/>
      <c r="AE244" s="513"/>
      <c r="AF244" s="513"/>
      <c r="AG244" s="513"/>
      <c r="AH244" s="513"/>
      <c r="AI244" s="513"/>
      <c r="AJ244" s="513"/>
      <c r="AK244" s="513"/>
      <c r="AL244" s="513"/>
      <c r="AM244" s="513"/>
      <c r="AN244" s="418"/>
      <c r="AO244" s="418"/>
      <c r="AP244" s="418"/>
      <c r="AQ244" s="418"/>
      <c r="AR244" s="418"/>
      <c r="AS244" s="418"/>
      <c r="AT244" s="418"/>
      <c r="AU244" s="418"/>
      <c r="AV244" s="418"/>
      <c r="AW244" s="418"/>
      <c r="AX244" s="418"/>
      <c r="AY244" s="418"/>
      <c r="AZ244" s="418"/>
      <c r="BA244" s="513"/>
    </row>
    <row r="245" spans="1:53" ht="15.75" customHeight="1">
      <c r="A245" s="421"/>
      <c r="B245" s="416"/>
      <c r="C245" s="492"/>
      <c r="D245" s="421"/>
      <c r="E245" s="421"/>
      <c r="F245" s="421"/>
      <c r="G245" s="425"/>
      <c r="H245" s="421"/>
      <c r="I245" s="421"/>
      <c r="J245" s="492"/>
      <c r="K245" s="421"/>
      <c r="L245" s="421"/>
      <c r="M245" s="421"/>
      <c r="N245" s="421"/>
      <c r="O245" s="421"/>
      <c r="P245" s="421"/>
      <c r="Q245" s="513"/>
      <c r="R245" s="513"/>
      <c r="S245" s="513"/>
      <c r="T245" s="513"/>
      <c r="U245" s="513"/>
      <c r="V245" s="513"/>
      <c r="W245" s="513"/>
      <c r="X245" s="513"/>
      <c r="Y245" s="513"/>
      <c r="Z245" s="513"/>
      <c r="AA245" s="513"/>
      <c r="AB245" s="513"/>
      <c r="AC245" s="513"/>
      <c r="AD245" s="513"/>
      <c r="AE245" s="513"/>
      <c r="AF245" s="513"/>
      <c r="AG245" s="513"/>
      <c r="AH245" s="513"/>
      <c r="AI245" s="513"/>
      <c r="AJ245" s="513"/>
      <c r="AK245" s="513"/>
      <c r="AL245" s="513"/>
      <c r="AM245" s="513"/>
      <c r="AN245" s="418"/>
      <c r="AO245" s="418"/>
      <c r="AP245" s="418"/>
      <c r="AQ245" s="418"/>
      <c r="AR245" s="418"/>
      <c r="AS245" s="418"/>
      <c r="AT245" s="418"/>
      <c r="AU245" s="418"/>
      <c r="AV245" s="418"/>
      <c r="AW245" s="418"/>
      <c r="AX245" s="418"/>
      <c r="AY245" s="418"/>
      <c r="AZ245" s="418"/>
      <c r="BA245" s="513"/>
    </row>
    <row r="246" spans="1:53" ht="15.75" customHeight="1">
      <c r="A246" s="421"/>
      <c r="B246" s="416"/>
      <c r="C246" s="492"/>
      <c r="D246" s="421"/>
      <c r="E246" s="421"/>
      <c r="F246" s="429"/>
      <c r="G246" s="425"/>
      <c r="H246" s="421"/>
      <c r="I246" s="421"/>
      <c r="J246" s="492"/>
      <c r="K246" s="421"/>
      <c r="L246" s="421"/>
      <c r="M246" s="421"/>
      <c r="N246" s="421"/>
      <c r="O246" s="421"/>
      <c r="P246" s="421"/>
      <c r="Q246" s="513"/>
      <c r="R246" s="513"/>
      <c r="S246" s="513"/>
      <c r="T246" s="513"/>
      <c r="U246" s="513"/>
      <c r="V246" s="513"/>
      <c r="W246" s="513"/>
      <c r="X246" s="513"/>
      <c r="Y246" s="513"/>
      <c r="Z246" s="513"/>
      <c r="AA246" s="513"/>
      <c r="AB246" s="513"/>
      <c r="AC246" s="513"/>
      <c r="AD246" s="513"/>
      <c r="AE246" s="513"/>
      <c r="AF246" s="513"/>
      <c r="AG246" s="513"/>
      <c r="AH246" s="513"/>
      <c r="AI246" s="513"/>
      <c r="AJ246" s="513"/>
      <c r="AK246" s="513"/>
      <c r="AL246" s="513"/>
      <c r="AM246" s="513"/>
      <c r="AN246" s="418"/>
      <c r="AO246" s="418"/>
      <c r="AP246" s="418"/>
      <c r="AQ246" s="418"/>
      <c r="AR246" s="418"/>
      <c r="AS246" s="418"/>
      <c r="AT246" s="418"/>
      <c r="AU246" s="418"/>
      <c r="AV246" s="418"/>
      <c r="AW246" s="418"/>
      <c r="AX246" s="418"/>
      <c r="AY246" s="418"/>
      <c r="AZ246" s="418"/>
      <c r="BA246" s="513"/>
    </row>
    <row r="247" spans="1:53" ht="15.75" customHeight="1">
      <c r="A247" s="421"/>
      <c r="B247" s="416"/>
      <c r="C247" s="492"/>
      <c r="D247" s="421"/>
      <c r="E247" s="421"/>
      <c r="F247" s="429"/>
      <c r="G247" s="425"/>
      <c r="H247" s="421"/>
      <c r="I247" s="421"/>
      <c r="J247" s="492"/>
      <c r="K247" s="421"/>
      <c r="L247" s="421"/>
      <c r="M247" s="421"/>
      <c r="N247" s="421"/>
      <c r="O247" s="421"/>
      <c r="P247" s="421"/>
      <c r="Q247" s="513"/>
      <c r="R247" s="513"/>
      <c r="S247" s="513"/>
      <c r="T247" s="513"/>
      <c r="U247" s="513"/>
      <c r="V247" s="513"/>
      <c r="W247" s="513"/>
      <c r="X247" s="513"/>
      <c r="Y247" s="513"/>
      <c r="Z247" s="513"/>
      <c r="AA247" s="513"/>
      <c r="AB247" s="513"/>
      <c r="AC247" s="513"/>
      <c r="AD247" s="513"/>
      <c r="AE247" s="513"/>
      <c r="AF247" s="513"/>
      <c r="AG247" s="513"/>
      <c r="AH247" s="513"/>
      <c r="AI247" s="513"/>
      <c r="AJ247" s="513"/>
      <c r="AK247" s="513"/>
      <c r="AL247" s="513"/>
      <c r="AM247" s="513"/>
      <c r="AN247" s="418"/>
      <c r="AO247" s="418"/>
      <c r="AP247" s="418"/>
      <c r="AQ247" s="418"/>
      <c r="AR247" s="418"/>
      <c r="AS247" s="418"/>
      <c r="AT247" s="418"/>
      <c r="AU247" s="418"/>
      <c r="AV247" s="418"/>
      <c r="AW247" s="418"/>
      <c r="AX247" s="418"/>
      <c r="AY247" s="418"/>
      <c r="AZ247" s="418"/>
      <c r="BA247" s="513"/>
    </row>
    <row r="248" spans="1:53" ht="15.75" customHeight="1">
      <c r="A248" s="421"/>
      <c r="B248" s="416"/>
      <c r="C248" s="492"/>
      <c r="D248" s="421"/>
      <c r="E248" s="421"/>
      <c r="F248" s="429"/>
      <c r="G248" s="425"/>
      <c r="H248" s="421"/>
      <c r="I248" s="421"/>
      <c r="J248" s="492"/>
      <c r="K248" s="421"/>
      <c r="L248" s="421"/>
      <c r="M248" s="421"/>
      <c r="N248" s="421"/>
      <c r="O248" s="421"/>
      <c r="P248" s="421"/>
      <c r="Q248" s="513"/>
      <c r="R248" s="513"/>
      <c r="S248" s="513"/>
      <c r="T248" s="513"/>
      <c r="U248" s="513"/>
      <c r="V248" s="513"/>
      <c r="W248" s="513"/>
      <c r="X248" s="513"/>
      <c r="Y248" s="513"/>
      <c r="Z248" s="513"/>
      <c r="AA248" s="513"/>
      <c r="AB248" s="513"/>
      <c r="AC248" s="513"/>
      <c r="AD248" s="513"/>
      <c r="AE248" s="513"/>
      <c r="AF248" s="513"/>
      <c r="AG248" s="513"/>
      <c r="AH248" s="513"/>
      <c r="AI248" s="513"/>
      <c r="AJ248" s="513"/>
      <c r="AK248" s="513"/>
      <c r="AL248" s="513"/>
      <c r="AM248" s="513"/>
      <c r="AN248" s="418"/>
      <c r="AO248" s="418"/>
      <c r="AP248" s="418"/>
      <c r="AQ248" s="418"/>
      <c r="AR248" s="418"/>
      <c r="AS248" s="418"/>
      <c r="AT248" s="418"/>
      <c r="AU248" s="418"/>
      <c r="AV248" s="418"/>
      <c r="AW248" s="418"/>
      <c r="AX248" s="418"/>
      <c r="AY248" s="418"/>
      <c r="AZ248" s="418"/>
      <c r="BA248" s="513"/>
    </row>
    <row r="249" spans="1:53" ht="15.75" customHeight="1">
      <c r="A249" s="421"/>
      <c r="B249" s="416"/>
      <c r="C249" s="492"/>
      <c r="D249" s="421"/>
      <c r="E249" s="421"/>
      <c r="F249" s="429"/>
      <c r="G249" s="425"/>
      <c r="H249" s="421"/>
      <c r="I249" s="421"/>
      <c r="J249" s="492"/>
      <c r="K249" s="421"/>
      <c r="L249" s="421"/>
      <c r="M249" s="421"/>
      <c r="N249" s="421"/>
      <c r="O249" s="421"/>
      <c r="P249" s="421"/>
      <c r="Q249" s="513"/>
      <c r="R249" s="513"/>
      <c r="S249" s="513"/>
      <c r="T249" s="513"/>
      <c r="U249" s="513"/>
      <c r="V249" s="513"/>
      <c r="W249" s="513"/>
      <c r="X249" s="513"/>
      <c r="Y249" s="513"/>
      <c r="Z249" s="513"/>
      <c r="AA249" s="513"/>
      <c r="AB249" s="513"/>
      <c r="AC249" s="513"/>
      <c r="AD249" s="513"/>
      <c r="AE249" s="513"/>
      <c r="AF249" s="513"/>
      <c r="AG249" s="513"/>
      <c r="AH249" s="513"/>
      <c r="AI249" s="513"/>
      <c r="AJ249" s="513"/>
      <c r="AK249" s="513"/>
      <c r="AL249" s="513"/>
      <c r="AM249" s="513"/>
      <c r="AN249" s="418"/>
      <c r="AO249" s="418"/>
      <c r="AP249" s="418"/>
      <c r="AQ249" s="418"/>
      <c r="AR249" s="418"/>
      <c r="AS249" s="418"/>
      <c r="AT249" s="418"/>
      <c r="AU249" s="418"/>
      <c r="AV249" s="418"/>
      <c r="AW249" s="418"/>
      <c r="AX249" s="418"/>
      <c r="AY249" s="418"/>
      <c r="AZ249" s="418"/>
      <c r="BA249" s="513"/>
    </row>
    <row r="250" spans="1:53" ht="15.75" customHeight="1">
      <c r="A250" s="467"/>
      <c r="B250" s="514"/>
      <c r="C250" s="492"/>
      <c r="D250" s="467"/>
      <c r="E250" s="467"/>
      <c r="F250" s="467"/>
      <c r="G250" s="515"/>
      <c r="H250" s="421"/>
      <c r="I250" s="467"/>
      <c r="J250" s="469"/>
      <c r="K250" s="467"/>
      <c r="L250" s="467"/>
      <c r="M250" s="467"/>
      <c r="N250" s="467"/>
      <c r="O250" s="467"/>
      <c r="P250" s="467"/>
      <c r="AN250" s="418"/>
      <c r="AO250" s="418"/>
      <c r="AP250" s="418"/>
      <c r="AQ250" s="418"/>
      <c r="AR250" s="418"/>
      <c r="AS250" s="418"/>
      <c r="AT250" s="418"/>
      <c r="AU250" s="418"/>
      <c r="AV250" s="418"/>
      <c r="AW250" s="418"/>
      <c r="AX250" s="418"/>
      <c r="AY250" s="418"/>
      <c r="AZ250" s="418"/>
    </row>
    <row r="251" spans="1:53" ht="15.75" customHeight="1">
      <c r="A251" s="467"/>
      <c r="B251" s="514"/>
      <c r="C251" s="469"/>
      <c r="D251" s="515"/>
      <c r="E251" s="467"/>
      <c r="F251" s="468"/>
      <c r="G251" s="515"/>
      <c r="H251" s="421"/>
      <c r="I251" s="421"/>
      <c r="J251" s="469"/>
      <c r="K251" s="467"/>
      <c r="L251" s="467"/>
      <c r="M251" s="467"/>
      <c r="N251" s="467"/>
      <c r="O251" s="467"/>
      <c r="P251" s="467"/>
      <c r="AN251" s="418"/>
      <c r="AO251" s="418"/>
      <c r="AP251" s="418"/>
      <c r="AQ251" s="418"/>
      <c r="AR251" s="418"/>
      <c r="AS251" s="418"/>
      <c r="AT251" s="418"/>
      <c r="AU251" s="418"/>
      <c r="AV251" s="418"/>
      <c r="AW251" s="418"/>
      <c r="AX251" s="418"/>
      <c r="AY251" s="418"/>
      <c r="AZ251" s="418"/>
    </row>
    <row r="252" spans="1:53" ht="15.75" customHeight="1">
      <c r="A252" s="467"/>
      <c r="B252" s="514"/>
      <c r="C252" s="469"/>
      <c r="D252" s="515"/>
      <c r="E252" s="467"/>
      <c r="F252" s="467"/>
      <c r="G252" s="515"/>
      <c r="H252" s="421"/>
      <c r="I252" s="467"/>
      <c r="J252" s="469"/>
      <c r="K252" s="467"/>
      <c r="L252" s="467"/>
      <c r="M252" s="467"/>
      <c r="N252" s="467"/>
      <c r="O252" s="467"/>
      <c r="P252" s="467"/>
      <c r="AN252" s="418"/>
      <c r="AO252" s="418"/>
      <c r="AP252" s="418"/>
      <c r="AQ252" s="418"/>
      <c r="AR252" s="418"/>
      <c r="AS252" s="418"/>
      <c r="AT252" s="418"/>
      <c r="AU252" s="418"/>
      <c r="AV252" s="418"/>
      <c r="AW252" s="418"/>
      <c r="AX252" s="418"/>
      <c r="AY252" s="418"/>
      <c r="AZ252" s="418"/>
    </row>
    <row r="253" spans="1:53" ht="15.75" customHeight="1">
      <c r="A253" s="467"/>
      <c r="B253" s="514"/>
      <c r="C253" s="469"/>
      <c r="D253" s="515"/>
      <c r="E253" s="467"/>
      <c r="F253" s="468"/>
      <c r="G253" s="467"/>
      <c r="H253" s="467"/>
      <c r="I253" s="421"/>
      <c r="J253" s="469"/>
      <c r="K253" s="467"/>
      <c r="L253" s="467"/>
      <c r="M253" s="467"/>
      <c r="N253" s="467"/>
      <c r="O253" s="467"/>
      <c r="P253" s="467"/>
      <c r="AN253" s="418"/>
      <c r="AO253" s="418"/>
      <c r="AP253" s="418"/>
      <c r="AQ253" s="418"/>
      <c r="AR253" s="418"/>
      <c r="AS253" s="418"/>
      <c r="AT253" s="418"/>
      <c r="AU253" s="418"/>
      <c r="AV253" s="418"/>
      <c r="AW253" s="418"/>
      <c r="AX253" s="418"/>
      <c r="AY253" s="418"/>
      <c r="AZ253" s="418"/>
    </row>
    <row r="254" spans="1:53" ht="15.75" customHeight="1">
      <c r="A254" s="467"/>
      <c r="B254" s="514"/>
      <c r="C254" s="469"/>
      <c r="D254" s="515"/>
      <c r="E254" s="467"/>
      <c r="F254" s="468"/>
      <c r="G254" s="515"/>
      <c r="H254" s="467"/>
      <c r="I254" s="467"/>
      <c r="J254" s="469"/>
      <c r="K254" s="467"/>
      <c r="L254" s="467"/>
      <c r="M254" s="467"/>
      <c r="N254" s="467"/>
      <c r="O254" s="467"/>
      <c r="P254" s="467"/>
      <c r="AN254" s="418"/>
      <c r="AO254" s="418"/>
      <c r="AP254" s="418"/>
      <c r="AQ254" s="418"/>
      <c r="AR254" s="418"/>
      <c r="AS254" s="418"/>
      <c r="AT254" s="418"/>
      <c r="AU254" s="418"/>
      <c r="AV254" s="418"/>
      <c r="AW254" s="418"/>
      <c r="AX254" s="418"/>
      <c r="AY254" s="418"/>
      <c r="AZ254" s="418"/>
    </row>
    <row r="255" spans="1:53" ht="15.75" customHeight="1">
      <c r="A255" s="467"/>
      <c r="B255" s="514"/>
      <c r="C255" s="469"/>
      <c r="D255" s="515"/>
      <c r="E255" s="467"/>
      <c r="F255" s="468"/>
      <c r="G255" s="467"/>
      <c r="H255" s="467"/>
      <c r="I255" s="467"/>
      <c r="J255" s="469"/>
      <c r="K255" s="467"/>
      <c r="L255" s="467"/>
      <c r="M255" s="467"/>
      <c r="N255" s="467"/>
      <c r="O255" s="467"/>
      <c r="P255" s="467"/>
      <c r="AN255" s="418"/>
      <c r="AO255" s="418"/>
      <c r="AP255" s="418"/>
      <c r="AQ255" s="418"/>
      <c r="AR255" s="418"/>
      <c r="AS255" s="418"/>
      <c r="AT255" s="418"/>
      <c r="AU255" s="418"/>
      <c r="AV255" s="418"/>
      <c r="AW255" s="418"/>
      <c r="AX255" s="418"/>
      <c r="AY255" s="418"/>
      <c r="AZ255" s="418"/>
    </row>
    <row r="256" spans="1:53" ht="15.75" customHeight="1">
      <c r="A256" s="467"/>
      <c r="B256" s="514"/>
      <c r="C256" s="469"/>
      <c r="D256" s="421"/>
      <c r="E256" s="467"/>
      <c r="F256" s="468"/>
      <c r="G256" s="467"/>
      <c r="H256" s="467"/>
      <c r="I256" s="467"/>
      <c r="J256" s="469"/>
      <c r="K256" s="467"/>
      <c r="L256" s="467"/>
      <c r="M256" s="467"/>
      <c r="N256" s="467"/>
      <c r="O256" s="467"/>
      <c r="P256" s="467"/>
      <c r="AN256" s="418"/>
      <c r="AO256" s="418"/>
      <c r="AP256" s="418"/>
      <c r="AQ256" s="418"/>
      <c r="AR256" s="418"/>
      <c r="AS256" s="418"/>
      <c r="AT256" s="418"/>
      <c r="AU256" s="418"/>
      <c r="AV256" s="418"/>
      <c r="AW256" s="418"/>
      <c r="AX256" s="418"/>
      <c r="AY256" s="418"/>
      <c r="AZ256" s="418"/>
    </row>
    <row r="257" spans="1:52" ht="15.75" customHeight="1">
      <c r="A257" s="467"/>
      <c r="B257" s="514"/>
      <c r="C257" s="492"/>
      <c r="D257" s="467"/>
      <c r="E257" s="467"/>
      <c r="F257" s="468"/>
      <c r="G257" s="515"/>
      <c r="H257" s="421"/>
      <c r="I257" s="467"/>
      <c r="J257" s="469"/>
      <c r="K257" s="467"/>
      <c r="L257" s="467"/>
      <c r="M257" s="467"/>
      <c r="N257" s="467"/>
      <c r="O257" s="467"/>
      <c r="P257" s="467"/>
      <c r="AN257" s="418"/>
      <c r="AO257" s="418"/>
      <c r="AP257" s="418"/>
      <c r="AQ257" s="418"/>
      <c r="AR257" s="418"/>
      <c r="AS257" s="418"/>
      <c r="AT257" s="418"/>
      <c r="AU257" s="418"/>
      <c r="AV257" s="418"/>
      <c r="AW257" s="418"/>
      <c r="AX257" s="418"/>
      <c r="AY257" s="418"/>
      <c r="AZ257" s="418"/>
    </row>
    <row r="258" spans="1:52" ht="15.75" customHeight="1">
      <c r="A258" s="467"/>
      <c r="B258" s="514"/>
      <c r="C258" s="469"/>
      <c r="D258" s="516"/>
      <c r="E258" s="467"/>
      <c r="F258" s="468"/>
      <c r="G258" s="515"/>
      <c r="H258" s="421"/>
      <c r="I258" s="467"/>
      <c r="J258" s="469"/>
      <c r="K258" s="467"/>
      <c r="L258" s="467"/>
      <c r="M258" s="467"/>
      <c r="N258" s="467"/>
      <c r="O258" s="467"/>
      <c r="P258" s="467"/>
      <c r="AN258" s="418"/>
      <c r="AO258" s="418"/>
      <c r="AP258" s="418"/>
      <c r="AQ258" s="418"/>
      <c r="AR258" s="418"/>
      <c r="AS258" s="418"/>
      <c r="AT258" s="418"/>
      <c r="AU258" s="418"/>
      <c r="AV258" s="418"/>
      <c r="AW258" s="418"/>
      <c r="AX258" s="418"/>
      <c r="AY258" s="418"/>
      <c r="AZ258" s="418"/>
    </row>
    <row r="259" spans="1:52" ht="15.75" customHeight="1">
      <c r="A259" s="467"/>
      <c r="B259" s="514"/>
      <c r="C259" s="469"/>
      <c r="D259" s="515"/>
      <c r="E259" s="467"/>
      <c r="F259" s="468"/>
      <c r="G259" s="515"/>
      <c r="H259" s="421"/>
      <c r="I259" s="467"/>
      <c r="J259" s="469"/>
      <c r="K259" s="467"/>
      <c r="L259" s="467"/>
      <c r="M259" s="467"/>
      <c r="N259" s="467"/>
      <c r="O259" s="467"/>
      <c r="P259" s="467"/>
      <c r="AN259" s="418"/>
      <c r="AO259" s="418"/>
      <c r="AP259" s="418"/>
      <c r="AQ259" s="418"/>
      <c r="AR259" s="418"/>
      <c r="AS259" s="418"/>
      <c r="AT259" s="418"/>
      <c r="AU259" s="418"/>
      <c r="AV259" s="418"/>
      <c r="AW259" s="418"/>
      <c r="AX259" s="418"/>
      <c r="AY259" s="418"/>
      <c r="AZ259" s="418"/>
    </row>
    <row r="260" spans="1:52" ht="15.75" customHeight="1">
      <c r="A260" s="467"/>
      <c r="B260" s="514"/>
      <c r="C260" s="469"/>
      <c r="D260" s="515"/>
      <c r="E260" s="467"/>
      <c r="F260" s="467"/>
      <c r="G260" s="515"/>
      <c r="H260" s="421"/>
      <c r="I260" s="467"/>
      <c r="J260" s="469"/>
      <c r="K260" s="467"/>
      <c r="L260" s="467"/>
      <c r="M260" s="467"/>
      <c r="N260" s="467"/>
      <c r="O260" s="467"/>
      <c r="P260" s="467"/>
      <c r="AN260" s="418"/>
      <c r="AO260" s="418"/>
      <c r="AP260" s="418"/>
      <c r="AQ260" s="418"/>
      <c r="AR260" s="418"/>
      <c r="AS260" s="418"/>
      <c r="AT260" s="418"/>
      <c r="AU260" s="418"/>
      <c r="AV260" s="418"/>
      <c r="AW260" s="418"/>
      <c r="AX260" s="418"/>
      <c r="AY260" s="418"/>
      <c r="AZ260" s="418"/>
    </row>
    <row r="261" spans="1:52" ht="15.75" customHeight="1">
      <c r="A261" s="467"/>
      <c r="B261" s="514"/>
      <c r="C261" s="469"/>
      <c r="D261" s="515"/>
      <c r="E261" s="467"/>
      <c r="F261" s="468"/>
      <c r="G261" s="515"/>
      <c r="H261" s="421"/>
      <c r="I261" s="467"/>
      <c r="J261" s="469"/>
      <c r="K261" s="467"/>
      <c r="L261" s="467"/>
      <c r="M261" s="467"/>
      <c r="N261" s="467"/>
      <c r="O261" s="467"/>
      <c r="P261" s="467"/>
      <c r="AN261" s="418"/>
      <c r="AO261" s="418"/>
      <c r="AP261" s="418"/>
      <c r="AQ261" s="418"/>
      <c r="AR261" s="418"/>
      <c r="AS261" s="418"/>
      <c r="AT261" s="418"/>
      <c r="AU261" s="418"/>
      <c r="AV261" s="418"/>
      <c r="AW261" s="418"/>
      <c r="AX261" s="418"/>
      <c r="AY261" s="418"/>
      <c r="AZ261" s="418"/>
    </row>
    <row r="262" spans="1:52" ht="15.75" customHeight="1">
      <c r="A262" s="467"/>
      <c r="B262" s="514"/>
      <c r="C262" s="469"/>
      <c r="D262" s="515"/>
      <c r="E262" s="467"/>
      <c r="F262" s="467"/>
      <c r="G262" s="515"/>
      <c r="H262" s="421"/>
      <c r="I262" s="421"/>
      <c r="J262" s="469"/>
      <c r="K262" s="467"/>
      <c r="L262" s="467"/>
      <c r="M262" s="467"/>
      <c r="N262" s="467"/>
      <c r="O262" s="467"/>
      <c r="P262" s="467"/>
      <c r="AN262" s="418"/>
      <c r="AO262" s="418"/>
      <c r="AP262" s="418"/>
      <c r="AQ262" s="418"/>
      <c r="AR262" s="418"/>
      <c r="AS262" s="418"/>
      <c r="AT262" s="418"/>
      <c r="AU262" s="418"/>
      <c r="AV262" s="418"/>
      <c r="AW262" s="418"/>
      <c r="AX262" s="418"/>
      <c r="AY262" s="418"/>
      <c r="AZ262" s="418"/>
    </row>
    <row r="263" spans="1:52" ht="15.75" customHeight="1">
      <c r="A263" s="467"/>
      <c r="B263" s="514"/>
      <c r="C263" s="469"/>
      <c r="D263" s="515"/>
      <c r="E263" s="467"/>
      <c r="F263" s="468"/>
      <c r="G263" s="515"/>
      <c r="H263" s="421"/>
      <c r="I263" s="467"/>
      <c r="J263" s="469"/>
      <c r="K263" s="467"/>
      <c r="L263" s="467"/>
      <c r="M263" s="467"/>
      <c r="N263" s="467"/>
      <c r="O263" s="467"/>
      <c r="P263" s="467"/>
      <c r="AN263" s="418"/>
      <c r="AO263" s="418"/>
      <c r="AP263" s="418"/>
      <c r="AQ263" s="418"/>
      <c r="AR263" s="418"/>
      <c r="AS263" s="418"/>
      <c r="AT263" s="418"/>
      <c r="AU263" s="418"/>
      <c r="AV263" s="418"/>
      <c r="AW263" s="418"/>
      <c r="AX263" s="418"/>
      <c r="AY263" s="418"/>
      <c r="AZ263" s="418"/>
    </row>
    <row r="264" spans="1:52" ht="15.75" customHeight="1">
      <c r="A264" s="467"/>
      <c r="B264" s="514"/>
      <c r="C264" s="469"/>
      <c r="D264" s="429"/>
      <c r="E264" s="421"/>
      <c r="F264" s="467"/>
      <c r="G264" s="515"/>
      <c r="H264" s="467"/>
      <c r="I264" s="421"/>
      <c r="J264" s="492"/>
      <c r="K264" s="421"/>
      <c r="L264" s="467"/>
      <c r="M264" s="421"/>
      <c r="N264" s="467"/>
      <c r="O264" s="421"/>
      <c r="P264" s="421"/>
      <c r="AN264" s="418"/>
      <c r="AO264" s="418"/>
      <c r="AP264" s="418"/>
      <c r="AQ264" s="418"/>
      <c r="AR264" s="418"/>
      <c r="AS264" s="418"/>
      <c r="AT264" s="418"/>
      <c r="AU264" s="418"/>
      <c r="AV264" s="418"/>
      <c r="AW264" s="418"/>
      <c r="AX264" s="418"/>
      <c r="AY264" s="418"/>
      <c r="AZ264" s="418"/>
    </row>
    <row r="265" spans="1:52" ht="15.75" customHeight="1">
      <c r="A265" s="467"/>
      <c r="B265" s="467"/>
      <c r="C265" s="469"/>
      <c r="D265" s="467"/>
      <c r="E265" s="467"/>
      <c r="F265" s="467"/>
      <c r="G265" s="467"/>
      <c r="H265" s="467"/>
      <c r="I265" s="467"/>
      <c r="J265" s="469"/>
      <c r="K265" s="467"/>
      <c r="L265" s="467"/>
      <c r="M265" s="467"/>
      <c r="N265" s="467"/>
      <c r="O265" s="467"/>
      <c r="P265" s="467"/>
      <c r="AN265" s="418"/>
      <c r="AO265" s="418"/>
      <c r="AP265" s="418"/>
      <c r="AQ265" s="418"/>
      <c r="AR265" s="418"/>
      <c r="AS265" s="418"/>
      <c r="AT265" s="418"/>
      <c r="AU265" s="418"/>
      <c r="AV265" s="418"/>
      <c r="AW265" s="418"/>
      <c r="AX265" s="418"/>
      <c r="AY265" s="418"/>
      <c r="AZ265" s="418"/>
    </row>
    <row r="266" spans="1:52" ht="15.75" customHeight="1">
      <c r="A266" s="467"/>
      <c r="B266" s="467"/>
      <c r="C266" s="469"/>
      <c r="D266" s="467"/>
      <c r="E266" s="467"/>
      <c r="F266" s="467"/>
      <c r="G266" s="467"/>
      <c r="H266" s="467"/>
      <c r="I266" s="467"/>
      <c r="J266" s="469"/>
      <c r="K266" s="467"/>
      <c r="L266" s="467"/>
      <c r="M266" s="467"/>
      <c r="N266" s="467"/>
      <c r="O266" s="467"/>
      <c r="P266" s="467"/>
      <c r="AN266" s="418"/>
      <c r="AO266" s="418"/>
      <c r="AP266" s="418"/>
      <c r="AQ266" s="418"/>
      <c r="AR266" s="418"/>
      <c r="AS266" s="418"/>
      <c r="AT266" s="418"/>
      <c r="AU266" s="418"/>
      <c r="AV266" s="418"/>
      <c r="AW266" s="418"/>
      <c r="AX266" s="418"/>
      <c r="AY266" s="418"/>
      <c r="AZ266" s="418"/>
    </row>
    <row r="267" spans="1:52" ht="15.75" customHeight="1">
      <c r="A267" s="467"/>
      <c r="B267" s="467"/>
      <c r="C267" s="469"/>
      <c r="D267" s="467"/>
      <c r="E267" s="467"/>
      <c r="F267" s="467"/>
      <c r="G267" s="467"/>
      <c r="H267" s="467"/>
      <c r="I267" s="467"/>
      <c r="J267" s="469"/>
      <c r="K267" s="467"/>
      <c r="L267" s="467"/>
      <c r="M267" s="467"/>
      <c r="N267" s="467"/>
      <c r="O267" s="467"/>
      <c r="P267" s="467"/>
      <c r="AN267" s="418"/>
      <c r="AO267" s="418"/>
      <c r="AP267" s="418"/>
      <c r="AQ267" s="418"/>
      <c r="AR267" s="418"/>
      <c r="AS267" s="418"/>
      <c r="AT267" s="418"/>
      <c r="AU267" s="418"/>
      <c r="AV267" s="418"/>
      <c r="AW267" s="418"/>
      <c r="AX267" s="418"/>
      <c r="AY267" s="418"/>
      <c r="AZ267" s="418"/>
    </row>
    <row r="268" spans="1:52" ht="15.75" customHeight="1">
      <c r="A268" s="467"/>
      <c r="B268" s="467"/>
      <c r="C268" s="469"/>
      <c r="D268" s="467"/>
      <c r="E268" s="467"/>
      <c r="F268" s="467"/>
      <c r="G268" s="467"/>
      <c r="H268" s="467"/>
      <c r="I268" s="467"/>
      <c r="J268" s="469"/>
      <c r="K268" s="467"/>
      <c r="L268" s="467"/>
      <c r="M268" s="467"/>
      <c r="N268" s="467"/>
      <c r="O268" s="467"/>
      <c r="P268" s="467"/>
      <c r="AN268" s="418"/>
      <c r="AO268" s="418"/>
      <c r="AP268" s="418"/>
      <c r="AQ268" s="418"/>
      <c r="AR268" s="418"/>
      <c r="AS268" s="418"/>
      <c r="AT268" s="418"/>
      <c r="AU268" s="418"/>
      <c r="AV268" s="418"/>
      <c r="AW268" s="418"/>
      <c r="AX268" s="418"/>
      <c r="AY268" s="418"/>
      <c r="AZ268" s="418"/>
    </row>
    <row r="269" spans="1:52" ht="15.75" customHeight="1">
      <c r="A269" s="467"/>
      <c r="B269" s="467"/>
      <c r="C269" s="469"/>
      <c r="D269" s="467"/>
      <c r="E269" s="467"/>
      <c r="F269" s="467"/>
      <c r="G269" s="467"/>
      <c r="H269" s="467"/>
      <c r="I269" s="467"/>
      <c r="J269" s="469"/>
      <c r="K269" s="467"/>
      <c r="L269" s="467"/>
      <c r="M269" s="467"/>
      <c r="N269" s="467"/>
      <c r="O269" s="467"/>
      <c r="P269" s="467"/>
      <c r="AN269" s="418"/>
      <c r="AO269" s="418"/>
      <c r="AP269" s="418"/>
      <c r="AQ269" s="418"/>
      <c r="AR269" s="418"/>
      <c r="AS269" s="418"/>
      <c r="AT269" s="418"/>
      <c r="AU269" s="418"/>
      <c r="AV269" s="418"/>
      <c r="AW269" s="418"/>
      <c r="AX269" s="418"/>
      <c r="AY269" s="418"/>
      <c r="AZ269" s="418"/>
    </row>
    <row r="270" spans="1:52" ht="15.75" customHeight="1">
      <c r="A270" s="467"/>
      <c r="B270" s="467"/>
      <c r="C270" s="469"/>
      <c r="D270" s="467"/>
      <c r="E270" s="467"/>
      <c r="F270" s="467"/>
      <c r="G270" s="467"/>
      <c r="H270" s="467"/>
      <c r="I270" s="467"/>
      <c r="J270" s="469"/>
      <c r="K270" s="467"/>
      <c r="L270" s="467"/>
      <c r="M270" s="467"/>
      <c r="N270" s="467"/>
      <c r="O270" s="467"/>
      <c r="P270" s="467"/>
      <c r="AN270" s="418"/>
      <c r="AO270" s="418"/>
      <c r="AP270" s="418"/>
      <c r="AQ270" s="418"/>
      <c r="AR270" s="418"/>
      <c r="AS270" s="418"/>
      <c r="AT270" s="418"/>
      <c r="AU270" s="418"/>
      <c r="AV270" s="418"/>
      <c r="AW270" s="418"/>
      <c r="AX270" s="418"/>
      <c r="AY270" s="418"/>
      <c r="AZ270" s="418"/>
    </row>
    <row r="271" spans="1:52" ht="15.75" customHeight="1">
      <c r="A271" s="467"/>
      <c r="B271" s="467"/>
      <c r="C271" s="469"/>
      <c r="D271" s="467"/>
      <c r="E271" s="467"/>
      <c r="F271" s="467"/>
      <c r="G271" s="467"/>
      <c r="H271" s="467"/>
      <c r="I271" s="467"/>
      <c r="J271" s="469"/>
      <c r="K271" s="467"/>
      <c r="L271" s="467"/>
      <c r="M271" s="467"/>
      <c r="N271" s="467"/>
      <c r="O271" s="467"/>
      <c r="P271" s="467"/>
      <c r="AN271" s="418"/>
      <c r="AO271" s="418"/>
      <c r="AP271" s="418"/>
      <c r="AQ271" s="418"/>
      <c r="AR271" s="418"/>
      <c r="AS271" s="418"/>
      <c r="AT271" s="418"/>
      <c r="AU271" s="418"/>
      <c r="AV271" s="418"/>
      <c r="AW271" s="418"/>
      <c r="AX271" s="418"/>
      <c r="AY271" s="418"/>
      <c r="AZ271" s="418"/>
    </row>
    <row r="272" spans="1:52" ht="15.75" customHeight="1">
      <c r="A272" s="467"/>
      <c r="B272" s="467"/>
      <c r="C272" s="469"/>
      <c r="D272" s="467"/>
      <c r="E272" s="467"/>
      <c r="F272" s="467"/>
      <c r="G272" s="467"/>
      <c r="H272" s="467"/>
      <c r="I272" s="467"/>
      <c r="J272" s="469"/>
      <c r="K272" s="467"/>
      <c r="L272" s="467"/>
      <c r="M272" s="467"/>
      <c r="N272" s="467"/>
      <c r="O272" s="467"/>
      <c r="P272" s="467"/>
      <c r="AN272" s="418"/>
      <c r="AO272" s="418"/>
      <c r="AP272" s="418"/>
      <c r="AQ272" s="418"/>
      <c r="AR272" s="418"/>
      <c r="AS272" s="418"/>
      <c r="AT272" s="418"/>
      <c r="AU272" s="418"/>
      <c r="AV272" s="418"/>
      <c r="AW272" s="418"/>
      <c r="AX272" s="418"/>
      <c r="AY272" s="418"/>
      <c r="AZ272" s="418"/>
    </row>
    <row r="273" spans="1:52" ht="15.75" customHeight="1">
      <c r="A273" s="467"/>
      <c r="B273" s="467"/>
      <c r="C273" s="469"/>
      <c r="D273" s="467"/>
      <c r="E273" s="467"/>
      <c r="F273" s="467"/>
      <c r="G273" s="467"/>
      <c r="H273" s="467"/>
      <c r="I273" s="467"/>
      <c r="J273" s="469"/>
      <c r="K273" s="467"/>
      <c r="L273" s="467"/>
      <c r="M273" s="467"/>
      <c r="N273" s="467"/>
      <c r="O273" s="467"/>
      <c r="P273" s="467"/>
      <c r="AN273" s="418"/>
      <c r="AO273" s="418"/>
      <c r="AP273" s="418"/>
      <c r="AQ273" s="418"/>
      <c r="AR273" s="418"/>
      <c r="AS273" s="418"/>
      <c r="AT273" s="418"/>
      <c r="AU273" s="418"/>
      <c r="AV273" s="418"/>
      <c r="AW273" s="418"/>
      <c r="AX273" s="418"/>
      <c r="AY273" s="418"/>
      <c r="AZ273" s="418"/>
    </row>
    <row r="274" spans="1:52" ht="15.75" customHeight="1">
      <c r="A274" s="467"/>
      <c r="B274" s="467"/>
      <c r="C274" s="469"/>
      <c r="D274" s="467"/>
      <c r="E274" s="467"/>
      <c r="F274" s="467"/>
      <c r="G274" s="467"/>
      <c r="H274" s="467"/>
      <c r="I274" s="467"/>
      <c r="J274" s="469"/>
      <c r="K274" s="467"/>
      <c r="L274" s="467"/>
      <c r="M274" s="467"/>
      <c r="N274" s="467"/>
      <c r="O274" s="467"/>
      <c r="P274" s="467"/>
      <c r="AN274" s="418"/>
      <c r="AO274" s="418"/>
      <c r="AP274" s="418"/>
      <c r="AQ274" s="418"/>
      <c r="AR274" s="418"/>
      <c r="AS274" s="418"/>
      <c r="AT274" s="418"/>
      <c r="AU274" s="418"/>
      <c r="AV274" s="418"/>
      <c r="AW274" s="418"/>
      <c r="AX274" s="418"/>
      <c r="AY274" s="418"/>
      <c r="AZ274" s="418"/>
    </row>
    <row r="275" spans="1:52" ht="15.75" customHeight="1">
      <c r="A275" s="467"/>
      <c r="B275" s="467"/>
      <c r="C275" s="469"/>
      <c r="D275" s="467"/>
      <c r="E275" s="467"/>
      <c r="F275" s="467"/>
      <c r="G275" s="467"/>
      <c r="H275" s="467"/>
      <c r="I275" s="467"/>
      <c r="J275" s="469"/>
      <c r="K275" s="467"/>
      <c r="L275" s="467"/>
      <c r="M275" s="467"/>
      <c r="N275" s="467"/>
      <c r="O275" s="467"/>
      <c r="P275" s="467"/>
      <c r="AN275" s="418"/>
      <c r="AO275" s="418"/>
      <c r="AP275" s="418"/>
      <c r="AQ275" s="418"/>
      <c r="AR275" s="418"/>
      <c r="AS275" s="418"/>
      <c r="AT275" s="418"/>
      <c r="AU275" s="418"/>
      <c r="AV275" s="418"/>
      <c r="AW275" s="418"/>
      <c r="AX275" s="418"/>
      <c r="AY275" s="418"/>
      <c r="AZ275" s="418"/>
    </row>
    <row r="276" spans="1:52" ht="15.75" customHeight="1">
      <c r="AN276" s="418"/>
      <c r="AO276" s="418"/>
      <c r="AP276" s="418"/>
      <c r="AQ276" s="418"/>
      <c r="AR276" s="418"/>
      <c r="AS276" s="418"/>
      <c r="AT276" s="418"/>
      <c r="AU276" s="418"/>
      <c r="AV276" s="418"/>
      <c r="AW276" s="418"/>
      <c r="AX276" s="418"/>
      <c r="AY276" s="418"/>
      <c r="AZ276" s="418"/>
    </row>
    <row r="277" spans="1:52" ht="15.75" customHeight="1">
      <c r="AN277" s="418"/>
      <c r="AO277" s="418"/>
      <c r="AP277" s="418"/>
      <c r="AQ277" s="418"/>
      <c r="AR277" s="418"/>
      <c r="AS277" s="418"/>
      <c r="AT277" s="418"/>
      <c r="AU277" s="418"/>
      <c r="AV277" s="418"/>
      <c r="AW277" s="418"/>
      <c r="AX277" s="418"/>
      <c r="AY277" s="418"/>
      <c r="AZ277" s="418"/>
    </row>
    <row r="278" spans="1:52" ht="15.75" customHeight="1">
      <c r="AN278" s="418"/>
      <c r="AO278" s="418"/>
      <c r="AP278" s="418"/>
      <c r="AQ278" s="418"/>
      <c r="AR278" s="418"/>
      <c r="AS278" s="418"/>
      <c r="AT278" s="418"/>
      <c r="AU278" s="418"/>
      <c r="AV278" s="418"/>
      <c r="AW278" s="418"/>
      <c r="AX278" s="418"/>
      <c r="AY278" s="418"/>
      <c r="AZ278" s="418"/>
    </row>
    <row r="279" spans="1:52" ht="15.75" customHeight="1">
      <c r="AN279" s="418"/>
      <c r="AO279" s="418"/>
      <c r="AP279" s="418"/>
      <c r="AQ279" s="418"/>
      <c r="AR279" s="418"/>
      <c r="AS279" s="418"/>
      <c r="AT279" s="418"/>
      <c r="AU279" s="418"/>
      <c r="AV279" s="418"/>
      <c r="AW279" s="418"/>
      <c r="AX279" s="418"/>
      <c r="AY279" s="418"/>
      <c r="AZ279" s="418"/>
    </row>
    <row r="280" spans="1:52" ht="15.75" customHeight="1">
      <c r="AN280" s="418"/>
      <c r="AO280" s="418"/>
      <c r="AP280" s="418"/>
      <c r="AQ280" s="418"/>
      <c r="AR280" s="418"/>
      <c r="AS280" s="418"/>
      <c r="AT280" s="418"/>
      <c r="AU280" s="418"/>
      <c r="AV280" s="418"/>
      <c r="AW280" s="418"/>
      <c r="AX280" s="418"/>
      <c r="AY280" s="418"/>
      <c r="AZ280" s="418"/>
    </row>
    <row r="281" spans="1:52" ht="15.75" customHeight="1">
      <c r="AN281" s="418"/>
      <c r="AO281" s="418"/>
      <c r="AP281" s="418"/>
      <c r="AQ281" s="418"/>
      <c r="AR281" s="418"/>
      <c r="AS281" s="418"/>
      <c r="AT281" s="418"/>
      <c r="AU281" s="418"/>
      <c r="AV281" s="418"/>
      <c r="AW281" s="418"/>
      <c r="AX281" s="418"/>
      <c r="AY281" s="418"/>
      <c r="AZ281" s="418"/>
    </row>
    <row r="282" spans="1:52" ht="15.75" customHeight="1">
      <c r="AN282" s="418"/>
      <c r="AO282" s="418"/>
      <c r="AP282" s="418"/>
      <c r="AQ282" s="418"/>
      <c r="AR282" s="418"/>
      <c r="AS282" s="418"/>
      <c r="AT282" s="418"/>
      <c r="AU282" s="418"/>
      <c r="AV282" s="418"/>
      <c r="AW282" s="418"/>
      <c r="AX282" s="418"/>
      <c r="AY282" s="418"/>
      <c r="AZ282" s="418"/>
    </row>
    <row r="283" spans="1:52" ht="15.75" customHeight="1">
      <c r="AN283" s="418"/>
      <c r="AO283" s="418"/>
      <c r="AP283" s="418"/>
      <c r="AQ283" s="418"/>
      <c r="AR283" s="418"/>
      <c r="AS283" s="418"/>
      <c r="AT283" s="418"/>
      <c r="AU283" s="418"/>
      <c r="AV283" s="418"/>
      <c r="AW283" s="418"/>
      <c r="AX283" s="418"/>
      <c r="AY283" s="418"/>
      <c r="AZ283" s="418"/>
    </row>
    <row r="284" spans="1:52" ht="15.75" customHeight="1">
      <c r="AN284" s="418"/>
      <c r="AO284" s="418"/>
      <c r="AP284" s="418"/>
      <c r="AQ284" s="418"/>
      <c r="AR284" s="418"/>
      <c r="AS284" s="418"/>
      <c r="AT284" s="418"/>
      <c r="AU284" s="418"/>
      <c r="AV284" s="418"/>
      <c r="AW284" s="418"/>
      <c r="AX284" s="418"/>
      <c r="AY284" s="418"/>
      <c r="AZ284" s="418"/>
    </row>
    <row r="285" spans="1:52" ht="15.75" customHeight="1">
      <c r="AN285" s="418"/>
      <c r="AO285" s="418"/>
      <c r="AP285" s="418"/>
      <c r="AQ285" s="418"/>
      <c r="AR285" s="418"/>
      <c r="AS285" s="418"/>
      <c r="AT285" s="418"/>
      <c r="AU285" s="418"/>
      <c r="AV285" s="418"/>
      <c r="AW285" s="418"/>
      <c r="AX285" s="418"/>
      <c r="AY285" s="418"/>
      <c r="AZ285" s="418"/>
    </row>
    <row r="286" spans="1:52" ht="15.75" customHeight="1">
      <c r="AN286" s="418"/>
      <c r="AO286" s="418"/>
      <c r="AP286" s="418"/>
      <c r="AQ286" s="418"/>
      <c r="AR286" s="418"/>
      <c r="AS286" s="418"/>
      <c r="AT286" s="418"/>
      <c r="AU286" s="418"/>
      <c r="AV286" s="418"/>
      <c r="AW286" s="418"/>
      <c r="AX286" s="418"/>
      <c r="AY286" s="418"/>
      <c r="AZ286" s="418"/>
    </row>
    <row r="287" spans="1:52" ht="15.75" customHeight="1">
      <c r="AN287" s="418"/>
      <c r="AO287" s="418"/>
      <c r="AP287" s="418"/>
      <c r="AQ287" s="418"/>
      <c r="AR287" s="418"/>
      <c r="AS287" s="418"/>
      <c r="AT287" s="418"/>
      <c r="AU287" s="418"/>
      <c r="AV287" s="418"/>
      <c r="AW287" s="418"/>
      <c r="AX287" s="418"/>
      <c r="AY287" s="418"/>
      <c r="AZ287" s="418"/>
    </row>
    <row r="288" spans="1:52" ht="15.75" customHeight="1">
      <c r="AN288" s="418"/>
      <c r="AO288" s="418"/>
      <c r="AP288" s="418"/>
      <c r="AQ288" s="418"/>
      <c r="AR288" s="418"/>
      <c r="AS288" s="418"/>
      <c r="AT288" s="418"/>
      <c r="AU288" s="418"/>
      <c r="AV288" s="418"/>
      <c r="AW288" s="418"/>
      <c r="AX288" s="418"/>
      <c r="AY288" s="418"/>
      <c r="AZ288" s="418"/>
    </row>
    <row r="289" spans="40:52" ht="15.75" customHeight="1">
      <c r="AN289" s="418"/>
      <c r="AO289" s="418"/>
      <c r="AP289" s="418"/>
      <c r="AQ289" s="418"/>
      <c r="AR289" s="418"/>
      <c r="AS289" s="418"/>
      <c r="AT289" s="418"/>
      <c r="AU289" s="418"/>
      <c r="AV289" s="418"/>
      <c r="AW289" s="418"/>
      <c r="AX289" s="418"/>
      <c r="AY289" s="418"/>
      <c r="AZ289" s="418"/>
    </row>
    <row r="290" spans="40:52" ht="15.75" customHeight="1">
      <c r="AN290" s="418"/>
      <c r="AO290" s="418"/>
      <c r="AP290" s="418"/>
      <c r="AQ290" s="418"/>
      <c r="AR290" s="418"/>
      <c r="AS290" s="418"/>
      <c r="AT290" s="418"/>
      <c r="AU290" s="418"/>
      <c r="AV290" s="418"/>
      <c r="AW290" s="418"/>
      <c r="AX290" s="418"/>
      <c r="AY290" s="418"/>
      <c r="AZ290" s="418"/>
    </row>
    <row r="291" spans="40:52" ht="15.75" customHeight="1">
      <c r="AN291" s="418"/>
      <c r="AO291" s="418"/>
      <c r="AP291" s="418"/>
      <c r="AQ291" s="418"/>
      <c r="AR291" s="418"/>
      <c r="AS291" s="418"/>
      <c r="AT291" s="418"/>
      <c r="AU291" s="418"/>
      <c r="AV291" s="418"/>
      <c r="AW291" s="418"/>
      <c r="AX291" s="418"/>
      <c r="AY291" s="418"/>
      <c r="AZ291" s="418"/>
    </row>
    <row r="292" spans="40:52" ht="15.75" customHeight="1">
      <c r="AN292" s="418"/>
      <c r="AO292" s="418"/>
      <c r="AP292" s="418"/>
      <c r="AQ292" s="418"/>
      <c r="AR292" s="418"/>
      <c r="AS292" s="418"/>
      <c r="AT292" s="418"/>
      <c r="AU292" s="418"/>
      <c r="AV292" s="418"/>
      <c r="AW292" s="418"/>
      <c r="AX292" s="418"/>
      <c r="AY292" s="418"/>
      <c r="AZ292" s="418"/>
    </row>
    <row r="293" spans="40:52" ht="15.75" customHeight="1">
      <c r="AN293" s="418"/>
      <c r="AO293" s="418"/>
      <c r="AP293" s="418"/>
      <c r="AQ293" s="418"/>
      <c r="AR293" s="418"/>
      <c r="AS293" s="418"/>
      <c r="AT293" s="418"/>
      <c r="AU293" s="418"/>
      <c r="AV293" s="418"/>
      <c r="AW293" s="418"/>
      <c r="AX293" s="418"/>
      <c r="AY293" s="418"/>
      <c r="AZ293" s="418"/>
    </row>
    <row r="294" spans="40:52" ht="15.75" customHeight="1">
      <c r="AN294" s="418"/>
      <c r="AO294" s="418"/>
      <c r="AP294" s="418"/>
      <c r="AQ294" s="418"/>
      <c r="AR294" s="418"/>
      <c r="AS294" s="418"/>
      <c r="AT294" s="418"/>
      <c r="AU294" s="418"/>
      <c r="AV294" s="418"/>
      <c r="AW294" s="418"/>
      <c r="AX294" s="418"/>
      <c r="AY294" s="418"/>
      <c r="AZ294" s="418"/>
    </row>
    <row r="295" spans="40:52" ht="15.75" customHeight="1">
      <c r="AN295" s="418"/>
      <c r="AO295" s="418"/>
      <c r="AP295" s="418"/>
      <c r="AQ295" s="418"/>
      <c r="AR295" s="418"/>
      <c r="AS295" s="418"/>
      <c r="AT295" s="418"/>
      <c r="AU295" s="418"/>
      <c r="AV295" s="418"/>
      <c r="AW295" s="418"/>
      <c r="AX295" s="418"/>
      <c r="AY295" s="418"/>
      <c r="AZ295" s="418"/>
    </row>
    <row r="296" spans="40:52" ht="15.75" customHeight="1">
      <c r="AN296" s="418"/>
      <c r="AO296" s="418"/>
      <c r="AP296" s="418"/>
      <c r="AQ296" s="418"/>
      <c r="AR296" s="418"/>
      <c r="AS296" s="418"/>
      <c r="AT296" s="418"/>
      <c r="AU296" s="418"/>
      <c r="AV296" s="418"/>
      <c r="AW296" s="418"/>
      <c r="AX296" s="418"/>
      <c r="AY296" s="418"/>
      <c r="AZ296" s="418"/>
    </row>
    <row r="297" spans="40:52" ht="15.75" customHeight="1">
      <c r="AN297" s="418"/>
      <c r="AO297" s="418"/>
      <c r="AP297" s="418"/>
      <c r="AQ297" s="418"/>
      <c r="AR297" s="418"/>
      <c r="AS297" s="418"/>
      <c r="AT297" s="418"/>
      <c r="AU297" s="418"/>
      <c r="AV297" s="418"/>
      <c r="AW297" s="418"/>
      <c r="AX297" s="418"/>
      <c r="AY297" s="418"/>
      <c r="AZ297" s="418"/>
    </row>
    <row r="298" spans="40:52" ht="15.75" customHeight="1">
      <c r="AN298" s="418"/>
      <c r="AO298" s="418"/>
      <c r="AP298" s="418"/>
      <c r="AQ298" s="418"/>
      <c r="AR298" s="418"/>
      <c r="AS298" s="418"/>
      <c r="AT298" s="418"/>
      <c r="AU298" s="418"/>
      <c r="AV298" s="418"/>
      <c r="AW298" s="418"/>
      <c r="AX298" s="418"/>
      <c r="AY298" s="418"/>
      <c r="AZ298" s="418"/>
    </row>
    <row r="299" spans="40:52" ht="15.75" customHeight="1">
      <c r="AN299" s="418"/>
      <c r="AO299" s="418"/>
      <c r="AP299" s="418"/>
      <c r="AQ299" s="418"/>
      <c r="AR299" s="418"/>
      <c r="AS299" s="418"/>
      <c r="AT299" s="418"/>
      <c r="AU299" s="418"/>
      <c r="AV299" s="418"/>
      <c r="AW299" s="418"/>
      <c r="AX299" s="418"/>
      <c r="AY299" s="418"/>
      <c r="AZ299" s="418"/>
    </row>
    <row r="300" spans="40:52" ht="15.75" customHeight="1">
      <c r="AN300" s="418"/>
      <c r="AO300" s="418"/>
      <c r="AP300" s="418"/>
      <c r="AQ300" s="418"/>
      <c r="AR300" s="418"/>
      <c r="AS300" s="418"/>
      <c r="AT300" s="418"/>
      <c r="AU300" s="418"/>
      <c r="AV300" s="418"/>
      <c r="AW300" s="418"/>
      <c r="AX300" s="418"/>
      <c r="AY300" s="418"/>
      <c r="AZ300" s="418"/>
    </row>
    <row r="301" spans="40:52" ht="15.75" customHeight="1">
      <c r="AN301" s="418"/>
      <c r="AO301" s="418"/>
      <c r="AP301" s="418"/>
      <c r="AQ301" s="418"/>
      <c r="AR301" s="418"/>
      <c r="AS301" s="418"/>
      <c r="AT301" s="418"/>
      <c r="AU301" s="418"/>
      <c r="AV301" s="418"/>
      <c r="AW301" s="418"/>
      <c r="AX301" s="418"/>
      <c r="AY301" s="418"/>
      <c r="AZ301" s="418"/>
    </row>
    <row r="302" spans="40:52" ht="15.75" customHeight="1">
      <c r="AN302" s="418"/>
      <c r="AO302" s="418"/>
      <c r="AP302" s="418"/>
      <c r="AQ302" s="418"/>
      <c r="AR302" s="418"/>
      <c r="AS302" s="418"/>
      <c r="AT302" s="418"/>
      <c r="AU302" s="418"/>
      <c r="AV302" s="418"/>
      <c r="AW302" s="418"/>
      <c r="AX302" s="418"/>
      <c r="AY302" s="418"/>
      <c r="AZ302" s="418"/>
    </row>
    <row r="303" spans="40:52" ht="15.75" customHeight="1">
      <c r="AN303" s="418"/>
      <c r="AO303" s="418"/>
      <c r="AP303" s="418"/>
      <c r="AQ303" s="418"/>
      <c r="AR303" s="418"/>
      <c r="AS303" s="418"/>
      <c r="AT303" s="418"/>
      <c r="AU303" s="418"/>
      <c r="AV303" s="418"/>
      <c r="AW303" s="418"/>
      <c r="AX303" s="418"/>
      <c r="AY303" s="418"/>
      <c r="AZ303" s="418"/>
    </row>
    <row r="304" spans="40:52" ht="15.75" customHeight="1">
      <c r="AN304" s="418"/>
      <c r="AO304" s="418"/>
      <c r="AP304" s="418"/>
      <c r="AQ304" s="418"/>
      <c r="AR304" s="418"/>
      <c r="AS304" s="418"/>
      <c r="AT304" s="418"/>
      <c r="AU304" s="418"/>
      <c r="AV304" s="418"/>
      <c r="AW304" s="418"/>
      <c r="AX304" s="418"/>
      <c r="AY304" s="418"/>
      <c r="AZ304" s="418"/>
    </row>
    <row r="305" spans="40:52" ht="15.75" customHeight="1">
      <c r="AN305" s="418"/>
      <c r="AO305" s="418"/>
      <c r="AP305" s="418"/>
      <c r="AQ305" s="418"/>
      <c r="AR305" s="418"/>
      <c r="AS305" s="418"/>
      <c r="AT305" s="418"/>
      <c r="AU305" s="418"/>
      <c r="AV305" s="418"/>
      <c r="AW305" s="418"/>
      <c r="AX305" s="418"/>
      <c r="AY305" s="418"/>
      <c r="AZ305" s="418"/>
    </row>
    <row r="306" spans="40:52" ht="15.75" customHeight="1">
      <c r="AN306" s="418"/>
      <c r="AO306" s="418"/>
      <c r="AP306" s="418"/>
      <c r="AQ306" s="418"/>
      <c r="AR306" s="418"/>
      <c r="AS306" s="418"/>
      <c r="AT306" s="418"/>
      <c r="AU306" s="418"/>
      <c r="AV306" s="418"/>
      <c r="AW306" s="418"/>
      <c r="AX306" s="418"/>
      <c r="AY306" s="418"/>
      <c r="AZ306" s="418"/>
    </row>
    <row r="307" spans="40:52" ht="15.75" customHeight="1">
      <c r="AN307" s="418"/>
      <c r="AO307" s="418"/>
      <c r="AP307" s="418"/>
      <c r="AQ307" s="418"/>
      <c r="AR307" s="418"/>
      <c r="AS307" s="418"/>
      <c r="AT307" s="418"/>
      <c r="AU307" s="418"/>
      <c r="AV307" s="418"/>
      <c r="AW307" s="418"/>
      <c r="AX307" s="418"/>
      <c r="AY307" s="418"/>
      <c r="AZ307" s="418"/>
    </row>
    <row r="308" spans="40:52" ht="15.75" customHeight="1">
      <c r="AN308" s="418"/>
      <c r="AO308" s="418"/>
      <c r="AP308" s="418"/>
      <c r="AQ308" s="418"/>
      <c r="AR308" s="418"/>
      <c r="AS308" s="418"/>
      <c r="AT308" s="418"/>
      <c r="AU308" s="418"/>
      <c r="AV308" s="418"/>
      <c r="AW308" s="418"/>
      <c r="AX308" s="418"/>
      <c r="AY308" s="418"/>
      <c r="AZ308" s="418"/>
    </row>
    <row r="309" spans="40:52" ht="15.75" customHeight="1">
      <c r="AN309" s="418"/>
      <c r="AO309" s="418"/>
      <c r="AP309" s="418"/>
      <c r="AQ309" s="418"/>
      <c r="AR309" s="418"/>
      <c r="AS309" s="418"/>
      <c r="AT309" s="418"/>
      <c r="AU309" s="418"/>
      <c r="AV309" s="418"/>
      <c r="AW309" s="418"/>
      <c r="AX309" s="418"/>
      <c r="AY309" s="418"/>
      <c r="AZ309" s="418"/>
    </row>
    <row r="310" spans="40:52" ht="15.75" customHeight="1">
      <c r="AN310" s="418"/>
      <c r="AO310" s="418"/>
      <c r="AP310" s="418"/>
      <c r="AQ310" s="418"/>
      <c r="AR310" s="418"/>
      <c r="AS310" s="418"/>
      <c r="AT310" s="418"/>
      <c r="AU310" s="418"/>
      <c r="AV310" s="418"/>
      <c r="AW310" s="418"/>
      <c r="AX310" s="418"/>
      <c r="AY310" s="418"/>
      <c r="AZ310" s="418"/>
    </row>
    <row r="311" spans="40:52" ht="15.75" customHeight="1">
      <c r="AN311" s="418"/>
      <c r="AO311" s="418"/>
      <c r="AP311" s="418"/>
      <c r="AQ311" s="418"/>
      <c r="AR311" s="418"/>
      <c r="AS311" s="418"/>
      <c r="AT311" s="418"/>
      <c r="AU311" s="418"/>
      <c r="AV311" s="418"/>
      <c r="AW311" s="418"/>
      <c r="AX311" s="418"/>
      <c r="AY311" s="418"/>
      <c r="AZ311" s="418"/>
    </row>
    <row r="312" spans="40:52" ht="15.75" customHeight="1">
      <c r="AN312" s="418"/>
      <c r="AO312" s="418"/>
      <c r="AP312" s="418"/>
      <c r="AQ312" s="418"/>
      <c r="AR312" s="418"/>
      <c r="AS312" s="418"/>
      <c r="AT312" s="418"/>
      <c r="AU312" s="418"/>
      <c r="AV312" s="418"/>
      <c r="AW312" s="418"/>
      <c r="AX312" s="418"/>
      <c r="AY312" s="418"/>
      <c r="AZ312" s="418"/>
    </row>
    <row r="313" spans="40:52" ht="15.75" customHeight="1">
      <c r="AN313" s="418"/>
      <c r="AO313" s="418"/>
      <c r="AP313" s="418"/>
      <c r="AQ313" s="418"/>
      <c r="AR313" s="418"/>
      <c r="AS313" s="418"/>
      <c r="AT313" s="418"/>
      <c r="AU313" s="418"/>
      <c r="AV313" s="418"/>
      <c r="AW313" s="418"/>
      <c r="AX313" s="418"/>
      <c r="AY313" s="418"/>
      <c r="AZ313" s="418"/>
    </row>
    <row r="314" spans="40:52" ht="15.75" customHeight="1">
      <c r="AN314" s="418"/>
      <c r="AO314" s="418"/>
      <c r="AP314" s="418"/>
      <c r="AQ314" s="418"/>
      <c r="AR314" s="418"/>
      <c r="AS314" s="418"/>
      <c r="AT314" s="418"/>
      <c r="AU314" s="418"/>
      <c r="AV314" s="418"/>
      <c r="AW314" s="418"/>
      <c r="AX314" s="418"/>
      <c r="AY314" s="418"/>
      <c r="AZ314" s="418"/>
    </row>
    <row r="315" spans="40:52" ht="15.75" customHeight="1">
      <c r="AN315" s="418"/>
      <c r="AO315" s="418"/>
      <c r="AP315" s="418"/>
      <c r="AQ315" s="418"/>
      <c r="AR315" s="418"/>
      <c r="AS315" s="418"/>
      <c r="AT315" s="418"/>
      <c r="AU315" s="418"/>
      <c r="AV315" s="418"/>
      <c r="AW315" s="418"/>
      <c r="AX315" s="418"/>
      <c r="AY315" s="418"/>
      <c r="AZ315" s="418"/>
    </row>
    <row r="316" spans="40:52" ht="15.75" customHeight="1">
      <c r="AN316" s="418"/>
      <c r="AO316" s="418"/>
      <c r="AP316" s="418"/>
      <c r="AQ316" s="418"/>
      <c r="AR316" s="418"/>
      <c r="AS316" s="418"/>
      <c r="AT316" s="418"/>
      <c r="AU316" s="418"/>
      <c r="AV316" s="418"/>
      <c r="AW316" s="418"/>
      <c r="AX316" s="418"/>
      <c r="AY316" s="418"/>
      <c r="AZ316" s="418"/>
    </row>
    <row r="317" spans="40:52" ht="15.75" customHeight="1">
      <c r="AN317" s="418"/>
      <c r="AO317" s="418"/>
      <c r="AP317" s="418"/>
      <c r="AQ317" s="418"/>
      <c r="AR317" s="418"/>
      <c r="AS317" s="418"/>
      <c r="AT317" s="418"/>
      <c r="AU317" s="418"/>
      <c r="AV317" s="418"/>
      <c r="AW317" s="418"/>
      <c r="AX317" s="418"/>
      <c r="AY317" s="418"/>
      <c r="AZ317" s="418"/>
    </row>
    <row r="318" spans="40:52" ht="15.75" customHeight="1">
      <c r="AN318" s="418"/>
      <c r="AO318" s="418"/>
      <c r="AP318" s="418"/>
      <c r="AQ318" s="418"/>
      <c r="AR318" s="418"/>
      <c r="AS318" s="418"/>
      <c r="AT318" s="418"/>
      <c r="AU318" s="418"/>
      <c r="AV318" s="418"/>
      <c r="AW318" s="418"/>
      <c r="AX318" s="418"/>
      <c r="AY318" s="418"/>
      <c r="AZ318" s="418"/>
    </row>
    <row r="319" spans="40:52" ht="15.75" customHeight="1">
      <c r="AN319" s="418"/>
      <c r="AO319" s="418"/>
      <c r="AP319" s="418"/>
      <c r="AQ319" s="418"/>
      <c r="AR319" s="418"/>
      <c r="AS319" s="418"/>
      <c r="AT319" s="418"/>
      <c r="AU319" s="418"/>
      <c r="AV319" s="418"/>
      <c r="AW319" s="418"/>
      <c r="AX319" s="418"/>
      <c r="AY319" s="418"/>
      <c r="AZ319" s="418"/>
    </row>
    <row r="320" spans="40:52" ht="15.75" customHeight="1">
      <c r="AN320" s="418"/>
      <c r="AO320" s="418"/>
      <c r="AP320" s="418"/>
      <c r="AQ320" s="418"/>
      <c r="AR320" s="418"/>
      <c r="AS320" s="418"/>
      <c r="AT320" s="418"/>
      <c r="AU320" s="418"/>
      <c r="AV320" s="418"/>
      <c r="AW320" s="418"/>
      <c r="AX320" s="418"/>
      <c r="AY320" s="418"/>
      <c r="AZ320" s="418"/>
    </row>
    <row r="321" spans="40:52" ht="15.75" customHeight="1">
      <c r="AN321" s="418"/>
      <c r="AO321" s="418"/>
      <c r="AP321" s="418"/>
      <c r="AQ321" s="418"/>
      <c r="AR321" s="418"/>
      <c r="AS321" s="418"/>
      <c r="AT321" s="418"/>
      <c r="AU321" s="418"/>
      <c r="AV321" s="418"/>
      <c r="AW321" s="418"/>
      <c r="AX321" s="418"/>
      <c r="AY321" s="418"/>
      <c r="AZ321" s="418"/>
    </row>
    <row r="322" spans="40:52" ht="15.75" customHeight="1">
      <c r="AN322" s="418"/>
      <c r="AO322" s="418"/>
      <c r="AP322" s="418"/>
      <c r="AQ322" s="418"/>
      <c r="AR322" s="418"/>
      <c r="AS322" s="418"/>
      <c r="AT322" s="418"/>
      <c r="AU322" s="418"/>
      <c r="AV322" s="418"/>
      <c r="AW322" s="418"/>
      <c r="AX322" s="418"/>
      <c r="AY322" s="418"/>
      <c r="AZ322" s="418"/>
    </row>
    <row r="323" spans="40:52" ht="15.75" customHeight="1">
      <c r="AN323" s="418"/>
      <c r="AO323" s="418"/>
      <c r="AP323" s="418"/>
      <c r="AQ323" s="418"/>
      <c r="AR323" s="418"/>
      <c r="AS323" s="418"/>
      <c r="AT323" s="418"/>
      <c r="AU323" s="418"/>
      <c r="AV323" s="418"/>
      <c r="AW323" s="418"/>
      <c r="AX323" s="418"/>
      <c r="AY323" s="418"/>
      <c r="AZ323" s="418"/>
    </row>
    <row r="324" spans="40:52" ht="15.75" customHeight="1">
      <c r="AN324" s="418"/>
      <c r="AO324" s="418"/>
      <c r="AP324" s="418"/>
      <c r="AQ324" s="418"/>
      <c r="AR324" s="418"/>
      <c r="AS324" s="418"/>
      <c r="AT324" s="418"/>
      <c r="AU324" s="418"/>
      <c r="AV324" s="418"/>
      <c r="AW324" s="418"/>
      <c r="AX324" s="418"/>
      <c r="AY324" s="418"/>
      <c r="AZ324" s="418"/>
    </row>
    <row r="325" spans="40:52" ht="15.75" customHeight="1">
      <c r="AN325" s="418"/>
      <c r="AO325" s="418"/>
      <c r="AP325" s="418"/>
      <c r="AQ325" s="418"/>
      <c r="AR325" s="418"/>
      <c r="AS325" s="418"/>
      <c r="AT325" s="418"/>
      <c r="AU325" s="418"/>
      <c r="AV325" s="418"/>
      <c r="AW325" s="418"/>
      <c r="AX325" s="418"/>
      <c r="AY325" s="418"/>
      <c r="AZ325" s="418"/>
    </row>
    <row r="326" spans="40:52" ht="15.75" customHeight="1">
      <c r="AN326" s="418"/>
      <c r="AO326" s="418"/>
      <c r="AP326" s="418"/>
      <c r="AQ326" s="418"/>
      <c r="AR326" s="418"/>
      <c r="AS326" s="418"/>
      <c r="AT326" s="418"/>
      <c r="AU326" s="418"/>
      <c r="AV326" s="418"/>
      <c r="AW326" s="418"/>
      <c r="AX326" s="418"/>
      <c r="AY326" s="418"/>
      <c r="AZ326" s="418"/>
    </row>
    <row r="327" spans="40:52" ht="15.75" customHeight="1">
      <c r="AN327" s="418"/>
      <c r="AO327" s="418"/>
      <c r="AP327" s="418"/>
      <c r="AQ327" s="418"/>
      <c r="AR327" s="418"/>
      <c r="AS327" s="418"/>
      <c r="AT327" s="418"/>
      <c r="AU327" s="418"/>
      <c r="AV327" s="418"/>
      <c r="AW327" s="418"/>
      <c r="AX327" s="418"/>
      <c r="AY327" s="418"/>
      <c r="AZ327" s="418"/>
    </row>
    <row r="328" spans="40:52" ht="15.75" customHeight="1">
      <c r="AN328" s="418"/>
      <c r="AO328" s="418"/>
      <c r="AP328" s="418"/>
      <c r="AQ328" s="418"/>
      <c r="AR328" s="418"/>
      <c r="AS328" s="418"/>
      <c r="AT328" s="418"/>
      <c r="AU328" s="418"/>
      <c r="AV328" s="418"/>
      <c r="AW328" s="418"/>
      <c r="AX328" s="418"/>
      <c r="AY328" s="418"/>
      <c r="AZ328" s="418"/>
    </row>
    <row r="329" spans="40:52" ht="15.75" customHeight="1">
      <c r="AN329" s="418"/>
      <c r="AO329" s="418"/>
      <c r="AP329" s="418"/>
      <c r="AQ329" s="418"/>
      <c r="AR329" s="418"/>
      <c r="AS329" s="418"/>
      <c r="AT329" s="418"/>
      <c r="AU329" s="418"/>
      <c r="AV329" s="418"/>
      <c r="AW329" s="418"/>
      <c r="AX329" s="418"/>
      <c r="AY329" s="418"/>
      <c r="AZ329" s="418"/>
    </row>
    <row r="330" spans="40:52" ht="15.75" customHeight="1">
      <c r="AN330" s="418"/>
      <c r="AO330" s="418"/>
      <c r="AP330" s="418"/>
      <c r="AQ330" s="418"/>
      <c r="AR330" s="418"/>
      <c r="AS330" s="418"/>
      <c r="AT330" s="418"/>
      <c r="AU330" s="418"/>
      <c r="AV330" s="418"/>
      <c r="AW330" s="418"/>
      <c r="AX330" s="418"/>
      <c r="AY330" s="418"/>
      <c r="AZ330" s="418"/>
    </row>
    <row r="331" spans="40:52" ht="15.75" customHeight="1">
      <c r="AN331" s="418"/>
      <c r="AO331" s="418"/>
      <c r="AP331" s="418"/>
      <c r="AQ331" s="418"/>
      <c r="AR331" s="418"/>
      <c r="AS331" s="418"/>
      <c r="AT331" s="418"/>
      <c r="AU331" s="418"/>
      <c r="AV331" s="418"/>
      <c r="AW331" s="418"/>
      <c r="AX331" s="418"/>
      <c r="AY331" s="418"/>
      <c r="AZ331" s="418"/>
    </row>
    <row r="332" spans="40:52" ht="15.75" customHeight="1">
      <c r="AN332" s="418"/>
      <c r="AO332" s="418"/>
      <c r="AP332" s="418"/>
      <c r="AQ332" s="418"/>
      <c r="AR332" s="418"/>
      <c r="AS332" s="418"/>
      <c r="AT332" s="418"/>
      <c r="AU332" s="418"/>
      <c r="AV332" s="418"/>
      <c r="AW332" s="418"/>
      <c r="AX332" s="418"/>
      <c r="AY332" s="418"/>
      <c r="AZ332" s="418"/>
    </row>
    <row r="333" spans="40:52" ht="15.75" customHeight="1">
      <c r="AN333" s="418"/>
      <c r="AO333" s="418"/>
      <c r="AP333" s="418"/>
      <c r="AQ333" s="418"/>
      <c r="AR333" s="418"/>
      <c r="AS333" s="418"/>
      <c r="AT333" s="418"/>
      <c r="AU333" s="418"/>
      <c r="AV333" s="418"/>
      <c r="AW333" s="418"/>
      <c r="AX333" s="418"/>
      <c r="AY333" s="418"/>
      <c r="AZ333" s="418"/>
    </row>
    <row r="334" spans="40:52" ht="15.75" customHeight="1">
      <c r="AN334" s="418"/>
      <c r="AO334" s="418"/>
      <c r="AP334" s="418"/>
      <c r="AQ334" s="418"/>
      <c r="AR334" s="418"/>
      <c r="AS334" s="418"/>
      <c r="AT334" s="418"/>
      <c r="AU334" s="418"/>
      <c r="AV334" s="418"/>
      <c r="AW334" s="418"/>
      <c r="AX334" s="418"/>
      <c r="AY334" s="418"/>
      <c r="AZ334" s="418"/>
    </row>
    <row r="335" spans="40:52" ht="15.75" customHeight="1">
      <c r="AN335" s="418"/>
      <c r="AO335" s="418"/>
      <c r="AP335" s="418"/>
      <c r="AQ335" s="418"/>
      <c r="AR335" s="418"/>
      <c r="AS335" s="418"/>
      <c r="AT335" s="418"/>
      <c r="AU335" s="418"/>
      <c r="AV335" s="418"/>
      <c r="AW335" s="418"/>
      <c r="AX335" s="418"/>
      <c r="AY335" s="418"/>
      <c r="AZ335" s="418"/>
    </row>
    <row r="336" spans="40:52" ht="15.75" customHeight="1">
      <c r="AN336" s="418"/>
      <c r="AO336" s="418"/>
      <c r="AP336" s="418"/>
      <c r="AQ336" s="418"/>
      <c r="AR336" s="418"/>
      <c r="AS336" s="418"/>
      <c r="AT336" s="418"/>
      <c r="AU336" s="418"/>
      <c r="AV336" s="418"/>
      <c r="AW336" s="418"/>
      <c r="AX336" s="418"/>
      <c r="AY336" s="418"/>
      <c r="AZ336" s="418"/>
    </row>
    <row r="337" spans="40:52" ht="15.75" customHeight="1">
      <c r="AN337" s="418"/>
      <c r="AO337" s="418"/>
      <c r="AP337" s="418"/>
      <c r="AQ337" s="418"/>
      <c r="AR337" s="418"/>
      <c r="AS337" s="418"/>
      <c r="AT337" s="418"/>
      <c r="AU337" s="418"/>
      <c r="AV337" s="418"/>
      <c r="AW337" s="418"/>
      <c r="AX337" s="418"/>
      <c r="AY337" s="418"/>
      <c r="AZ337" s="418"/>
    </row>
    <row r="338" spans="40:52" ht="15.75" customHeight="1">
      <c r="AN338" s="418"/>
      <c r="AO338" s="418"/>
      <c r="AP338" s="418"/>
      <c r="AQ338" s="418"/>
      <c r="AR338" s="418"/>
      <c r="AS338" s="418"/>
      <c r="AT338" s="418"/>
      <c r="AU338" s="418"/>
      <c r="AV338" s="418"/>
      <c r="AW338" s="418"/>
      <c r="AX338" s="418"/>
      <c r="AY338" s="418"/>
      <c r="AZ338" s="418"/>
    </row>
    <row r="339" spans="40:52" ht="15.75" customHeight="1">
      <c r="AN339" s="418"/>
      <c r="AO339" s="418"/>
      <c r="AP339" s="418"/>
      <c r="AQ339" s="418"/>
      <c r="AR339" s="418"/>
      <c r="AS339" s="418"/>
      <c r="AT339" s="418"/>
      <c r="AU339" s="418"/>
      <c r="AV339" s="418"/>
      <c r="AW339" s="418"/>
      <c r="AX339" s="418"/>
      <c r="AY339" s="418"/>
      <c r="AZ339" s="418"/>
    </row>
    <row r="340" spans="40:52" ht="15.75" customHeight="1">
      <c r="AN340" s="418"/>
      <c r="AO340" s="418"/>
      <c r="AP340" s="418"/>
      <c r="AQ340" s="418"/>
      <c r="AR340" s="418"/>
      <c r="AS340" s="418"/>
      <c r="AT340" s="418"/>
      <c r="AU340" s="418"/>
      <c r="AV340" s="418"/>
      <c r="AW340" s="418"/>
      <c r="AX340" s="418"/>
      <c r="AY340" s="418"/>
      <c r="AZ340" s="418"/>
    </row>
    <row r="341" spans="40:52" ht="15.75" customHeight="1">
      <c r="AN341" s="418"/>
      <c r="AO341" s="418"/>
      <c r="AP341" s="418"/>
      <c r="AQ341" s="418"/>
      <c r="AR341" s="418"/>
      <c r="AS341" s="418"/>
      <c r="AT341" s="418"/>
      <c r="AU341" s="418"/>
      <c r="AV341" s="418"/>
      <c r="AW341" s="418"/>
      <c r="AX341" s="418"/>
      <c r="AY341" s="418"/>
      <c r="AZ341" s="418"/>
    </row>
    <row r="342" spans="40:52" ht="15.75" customHeight="1">
      <c r="AN342" s="418"/>
      <c r="AO342" s="418"/>
      <c r="AP342" s="418"/>
      <c r="AQ342" s="418"/>
      <c r="AR342" s="418"/>
      <c r="AS342" s="418"/>
      <c r="AT342" s="418"/>
      <c r="AU342" s="418"/>
      <c r="AV342" s="418"/>
      <c r="AW342" s="418"/>
      <c r="AX342" s="418"/>
      <c r="AY342" s="418"/>
      <c r="AZ342" s="418"/>
    </row>
    <row r="343" spans="40:52" ht="15.75" customHeight="1">
      <c r="AN343" s="418"/>
      <c r="AO343" s="418"/>
      <c r="AP343" s="418"/>
      <c r="AQ343" s="418"/>
      <c r="AR343" s="418"/>
      <c r="AS343" s="418"/>
      <c r="AT343" s="418"/>
      <c r="AU343" s="418"/>
      <c r="AV343" s="418"/>
      <c r="AW343" s="418"/>
      <c r="AX343" s="418"/>
      <c r="AY343" s="418"/>
      <c r="AZ343" s="418"/>
    </row>
    <row r="344" spans="40:52" ht="15.75" customHeight="1">
      <c r="AN344" s="418"/>
      <c r="AO344" s="418"/>
      <c r="AP344" s="418"/>
      <c r="AQ344" s="418"/>
      <c r="AR344" s="418"/>
      <c r="AS344" s="418"/>
      <c r="AT344" s="418"/>
      <c r="AU344" s="418"/>
      <c r="AV344" s="418"/>
      <c r="AW344" s="418"/>
      <c r="AX344" s="418"/>
      <c r="AY344" s="418"/>
      <c r="AZ344" s="418"/>
    </row>
    <row r="345" spans="40:52" ht="15.75" customHeight="1">
      <c r="AN345" s="418"/>
      <c r="AO345" s="418"/>
      <c r="AP345" s="418"/>
      <c r="AQ345" s="418"/>
      <c r="AR345" s="418"/>
      <c r="AS345" s="418"/>
      <c r="AT345" s="418"/>
      <c r="AU345" s="418"/>
      <c r="AV345" s="418"/>
      <c r="AW345" s="418"/>
      <c r="AX345" s="418"/>
      <c r="AY345" s="418"/>
      <c r="AZ345" s="418"/>
    </row>
    <row r="346" spans="40:52" ht="15.75" customHeight="1">
      <c r="AN346" s="418"/>
      <c r="AO346" s="418"/>
      <c r="AP346" s="418"/>
      <c r="AQ346" s="418"/>
      <c r="AR346" s="418"/>
      <c r="AS346" s="418"/>
      <c r="AT346" s="418"/>
      <c r="AU346" s="418"/>
      <c r="AV346" s="418"/>
      <c r="AW346" s="418"/>
      <c r="AX346" s="418"/>
      <c r="AY346" s="418"/>
      <c r="AZ346" s="418"/>
    </row>
    <row r="347" spans="40:52" ht="15.75" customHeight="1">
      <c r="AN347" s="418"/>
      <c r="AO347" s="418"/>
      <c r="AP347" s="418"/>
      <c r="AQ347" s="418"/>
      <c r="AR347" s="418"/>
      <c r="AS347" s="418"/>
      <c r="AT347" s="418"/>
      <c r="AU347" s="418"/>
      <c r="AV347" s="418"/>
      <c r="AW347" s="418"/>
      <c r="AX347" s="418"/>
      <c r="AY347" s="418"/>
      <c r="AZ347" s="418"/>
    </row>
    <row r="348" spans="40:52" ht="15.75" customHeight="1">
      <c r="AN348" s="418"/>
      <c r="AO348" s="418"/>
      <c r="AP348" s="418"/>
      <c r="AQ348" s="418"/>
      <c r="AR348" s="418"/>
      <c r="AS348" s="418"/>
      <c r="AT348" s="418"/>
      <c r="AU348" s="418"/>
      <c r="AV348" s="418"/>
      <c r="AW348" s="418"/>
      <c r="AX348" s="418"/>
      <c r="AY348" s="418"/>
      <c r="AZ348" s="418"/>
    </row>
    <row r="349" spans="40:52" ht="15.75" customHeight="1">
      <c r="AN349" s="418"/>
      <c r="AO349" s="418"/>
      <c r="AP349" s="418"/>
      <c r="AQ349" s="418"/>
      <c r="AR349" s="418"/>
      <c r="AS349" s="418"/>
      <c r="AT349" s="418"/>
      <c r="AU349" s="418"/>
      <c r="AV349" s="418"/>
      <c r="AW349" s="418"/>
      <c r="AX349" s="418"/>
      <c r="AY349" s="418"/>
      <c r="AZ349" s="418"/>
    </row>
    <row r="350" spans="40:52" ht="15.75" customHeight="1">
      <c r="AN350" s="418"/>
      <c r="AO350" s="418"/>
      <c r="AP350" s="418"/>
      <c r="AQ350" s="418"/>
      <c r="AR350" s="418"/>
      <c r="AS350" s="418"/>
      <c r="AT350" s="418"/>
      <c r="AU350" s="418"/>
      <c r="AV350" s="418"/>
      <c r="AW350" s="418"/>
      <c r="AX350" s="418"/>
      <c r="AY350" s="418"/>
      <c r="AZ350" s="418"/>
    </row>
    <row r="351" spans="40:52" ht="15.75" customHeight="1">
      <c r="AN351" s="418"/>
      <c r="AO351" s="418"/>
      <c r="AP351" s="418"/>
      <c r="AQ351" s="418"/>
      <c r="AR351" s="418"/>
      <c r="AS351" s="418"/>
      <c r="AT351" s="418"/>
      <c r="AU351" s="418"/>
      <c r="AV351" s="418"/>
      <c r="AW351" s="418"/>
      <c r="AX351" s="418"/>
      <c r="AY351" s="418"/>
      <c r="AZ351" s="418"/>
    </row>
    <row r="352" spans="40:52" ht="15.75" customHeight="1">
      <c r="AN352" s="418"/>
      <c r="AO352" s="418"/>
      <c r="AP352" s="418"/>
      <c r="AQ352" s="418"/>
      <c r="AR352" s="418"/>
      <c r="AS352" s="418"/>
      <c r="AT352" s="418"/>
      <c r="AU352" s="418"/>
      <c r="AV352" s="418"/>
      <c r="AW352" s="418"/>
      <c r="AX352" s="418"/>
      <c r="AY352" s="418"/>
      <c r="AZ352" s="418"/>
    </row>
    <row r="353" spans="40:52" ht="15.75" customHeight="1">
      <c r="AN353" s="418"/>
      <c r="AO353" s="418"/>
      <c r="AP353" s="418"/>
      <c r="AQ353" s="418"/>
      <c r="AR353" s="418"/>
      <c r="AS353" s="418"/>
      <c r="AT353" s="418"/>
      <c r="AU353" s="418"/>
      <c r="AV353" s="418"/>
      <c r="AW353" s="418"/>
      <c r="AX353" s="418"/>
      <c r="AY353" s="418"/>
      <c r="AZ353" s="418"/>
    </row>
    <row r="354" spans="40:52" ht="15.75" customHeight="1">
      <c r="AN354" s="418"/>
      <c r="AO354" s="418"/>
      <c r="AP354" s="418"/>
      <c r="AQ354" s="418"/>
      <c r="AR354" s="418"/>
      <c r="AS354" s="418"/>
      <c r="AT354" s="418"/>
      <c r="AU354" s="418"/>
      <c r="AV354" s="418"/>
      <c r="AW354" s="418"/>
      <c r="AX354" s="418"/>
      <c r="AY354" s="418"/>
      <c r="AZ354" s="418"/>
    </row>
    <row r="355" spans="40:52" ht="15.75" customHeight="1">
      <c r="AN355" s="418"/>
      <c r="AO355" s="418"/>
      <c r="AP355" s="418"/>
      <c r="AQ355" s="418"/>
      <c r="AR355" s="418"/>
      <c r="AS355" s="418"/>
      <c r="AT355" s="418"/>
      <c r="AU355" s="418"/>
      <c r="AV355" s="418"/>
      <c r="AW355" s="418"/>
      <c r="AX355" s="418"/>
      <c r="AY355" s="418"/>
      <c r="AZ355" s="418"/>
    </row>
    <row r="356" spans="40:52" ht="15.75" customHeight="1">
      <c r="AN356" s="418"/>
      <c r="AO356" s="418"/>
      <c r="AP356" s="418"/>
      <c r="AQ356" s="418"/>
      <c r="AR356" s="418"/>
      <c r="AS356" s="418"/>
      <c r="AT356" s="418"/>
      <c r="AU356" s="418"/>
      <c r="AV356" s="418"/>
      <c r="AW356" s="418"/>
      <c r="AX356" s="418"/>
      <c r="AY356" s="418"/>
      <c r="AZ356" s="418"/>
    </row>
    <row r="357" spans="40:52" ht="15.75" customHeight="1">
      <c r="AN357" s="418"/>
      <c r="AO357" s="418"/>
      <c r="AP357" s="418"/>
      <c r="AQ357" s="418"/>
      <c r="AR357" s="418"/>
      <c r="AS357" s="418"/>
      <c r="AT357" s="418"/>
      <c r="AU357" s="418"/>
      <c r="AV357" s="418"/>
      <c r="AW357" s="418"/>
      <c r="AX357" s="418"/>
      <c r="AY357" s="418"/>
      <c r="AZ357" s="418"/>
    </row>
    <row r="358" spans="40:52" ht="15.75" customHeight="1">
      <c r="AN358" s="418"/>
      <c r="AO358" s="418"/>
      <c r="AP358" s="418"/>
      <c r="AQ358" s="418"/>
      <c r="AR358" s="418"/>
      <c r="AS358" s="418"/>
      <c r="AT358" s="418"/>
      <c r="AU358" s="418"/>
      <c r="AV358" s="418"/>
      <c r="AW358" s="418"/>
      <c r="AX358" s="418"/>
      <c r="AY358" s="418"/>
      <c r="AZ358" s="418"/>
    </row>
    <row r="359" spans="40:52" ht="15.75" customHeight="1">
      <c r="AN359" s="418"/>
      <c r="AO359" s="418"/>
      <c r="AP359" s="418"/>
      <c r="AQ359" s="418"/>
      <c r="AR359" s="418"/>
      <c r="AS359" s="418"/>
      <c r="AT359" s="418"/>
      <c r="AU359" s="418"/>
      <c r="AV359" s="418"/>
      <c r="AW359" s="418"/>
      <c r="AX359" s="418"/>
      <c r="AY359" s="418"/>
      <c r="AZ359" s="418"/>
    </row>
    <row r="360" spans="40:52" ht="15.75" customHeight="1">
      <c r="AN360" s="418"/>
      <c r="AO360" s="418"/>
      <c r="AP360" s="418"/>
      <c r="AQ360" s="418"/>
      <c r="AR360" s="418"/>
      <c r="AS360" s="418"/>
      <c r="AT360" s="418"/>
      <c r="AU360" s="418"/>
      <c r="AV360" s="418"/>
      <c r="AW360" s="418"/>
      <c r="AX360" s="418"/>
      <c r="AY360" s="418"/>
      <c r="AZ360" s="418"/>
    </row>
    <row r="361" spans="40:52" ht="15.75" customHeight="1">
      <c r="AN361" s="418"/>
      <c r="AO361" s="418"/>
      <c r="AP361" s="418"/>
      <c r="AQ361" s="418"/>
      <c r="AR361" s="418"/>
      <c r="AS361" s="418"/>
      <c r="AT361" s="418"/>
      <c r="AU361" s="418"/>
      <c r="AV361" s="418"/>
      <c r="AW361" s="418"/>
      <c r="AX361" s="418"/>
      <c r="AY361" s="418"/>
      <c r="AZ361" s="418"/>
    </row>
    <row r="362" spans="40:52" ht="15.75" customHeight="1">
      <c r="AN362" s="418"/>
      <c r="AO362" s="418"/>
      <c r="AP362" s="418"/>
      <c r="AQ362" s="418"/>
      <c r="AR362" s="418"/>
      <c r="AS362" s="418"/>
      <c r="AT362" s="418"/>
      <c r="AU362" s="418"/>
      <c r="AV362" s="418"/>
      <c r="AW362" s="418"/>
      <c r="AX362" s="418"/>
      <c r="AY362" s="418"/>
      <c r="AZ362" s="418"/>
    </row>
    <row r="363" spans="40:52" ht="15.75" customHeight="1">
      <c r="AN363" s="418"/>
      <c r="AO363" s="418"/>
      <c r="AP363" s="418"/>
      <c r="AQ363" s="418"/>
      <c r="AR363" s="418"/>
      <c r="AS363" s="418"/>
      <c r="AT363" s="418"/>
      <c r="AU363" s="418"/>
      <c r="AV363" s="418"/>
      <c r="AW363" s="418"/>
      <c r="AX363" s="418"/>
      <c r="AY363" s="418"/>
      <c r="AZ363" s="418"/>
    </row>
    <row r="364" spans="40:52" ht="15.75" customHeight="1">
      <c r="AN364" s="418"/>
      <c r="AO364" s="418"/>
      <c r="AP364" s="418"/>
      <c r="AQ364" s="418"/>
      <c r="AR364" s="418"/>
      <c r="AS364" s="418"/>
      <c r="AT364" s="418"/>
      <c r="AU364" s="418"/>
      <c r="AV364" s="418"/>
      <c r="AW364" s="418"/>
      <c r="AX364" s="418"/>
      <c r="AY364" s="418"/>
      <c r="AZ364" s="418"/>
    </row>
    <row r="365" spans="40:52" ht="15.75" customHeight="1">
      <c r="AN365" s="418"/>
      <c r="AO365" s="418"/>
      <c r="AP365" s="418"/>
      <c r="AQ365" s="418"/>
      <c r="AR365" s="418"/>
      <c r="AS365" s="418"/>
      <c r="AT365" s="418"/>
      <c r="AU365" s="418"/>
      <c r="AV365" s="418"/>
      <c r="AW365" s="418"/>
      <c r="AX365" s="418"/>
      <c r="AY365" s="418"/>
      <c r="AZ365" s="418"/>
    </row>
    <row r="366" spans="40:52" ht="15.75" customHeight="1">
      <c r="AN366" s="418"/>
      <c r="AO366" s="418"/>
      <c r="AP366" s="418"/>
      <c r="AQ366" s="418"/>
      <c r="AR366" s="418"/>
      <c r="AS366" s="418"/>
      <c r="AT366" s="418"/>
      <c r="AU366" s="418"/>
      <c r="AV366" s="418"/>
      <c r="AW366" s="418"/>
      <c r="AX366" s="418"/>
      <c r="AY366" s="418"/>
      <c r="AZ366" s="418"/>
    </row>
    <row r="367" spans="40:52" ht="15.75" customHeight="1">
      <c r="AN367" s="418"/>
      <c r="AO367" s="418"/>
      <c r="AP367" s="418"/>
      <c r="AQ367" s="418"/>
      <c r="AR367" s="418"/>
      <c r="AS367" s="418"/>
      <c r="AT367" s="418"/>
      <c r="AU367" s="418"/>
      <c r="AV367" s="418"/>
      <c r="AW367" s="418"/>
      <c r="AX367" s="418"/>
      <c r="AY367" s="418"/>
      <c r="AZ367" s="418"/>
    </row>
    <row r="368" spans="40:52" ht="15.75" customHeight="1">
      <c r="AN368" s="418"/>
      <c r="AO368" s="418"/>
      <c r="AP368" s="418"/>
      <c r="AQ368" s="418"/>
      <c r="AR368" s="418"/>
      <c r="AS368" s="418"/>
      <c r="AT368" s="418"/>
      <c r="AU368" s="418"/>
      <c r="AV368" s="418"/>
      <c r="AW368" s="418"/>
      <c r="AX368" s="418"/>
      <c r="AY368" s="418"/>
      <c r="AZ368" s="418"/>
    </row>
    <row r="369" spans="40:52" ht="15.75" customHeight="1">
      <c r="AN369" s="418"/>
      <c r="AO369" s="418"/>
      <c r="AP369" s="418"/>
      <c r="AQ369" s="418"/>
      <c r="AR369" s="418"/>
      <c r="AS369" s="418"/>
      <c r="AT369" s="418"/>
      <c r="AU369" s="418"/>
      <c r="AV369" s="418"/>
      <c r="AW369" s="418"/>
      <c r="AX369" s="418"/>
      <c r="AY369" s="418"/>
      <c r="AZ369" s="418"/>
    </row>
    <row r="370" spans="40:52" ht="15.75" customHeight="1">
      <c r="AN370" s="418"/>
      <c r="AO370" s="418"/>
      <c r="AP370" s="418"/>
      <c r="AQ370" s="418"/>
      <c r="AR370" s="418"/>
      <c r="AS370" s="418"/>
      <c r="AT370" s="418"/>
      <c r="AU370" s="418"/>
      <c r="AV370" s="418"/>
      <c r="AW370" s="418"/>
      <c r="AX370" s="418"/>
      <c r="AY370" s="418"/>
      <c r="AZ370" s="418"/>
    </row>
    <row r="371" spans="40:52" ht="15.75" customHeight="1">
      <c r="AN371" s="418"/>
      <c r="AO371" s="418"/>
      <c r="AP371" s="418"/>
      <c r="AQ371" s="418"/>
      <c r="AR371" s="418"/>
      <c r="AS371" s="418"/>
      <c r="AT371" s="418"/>
      <c r="AU371" s="418"/>
      <c r="AV371" s="418"/>
      <c r="AW371" s="418"/>
      <c r="AX371" s="418"/>
      <c r="AY371" s="418"/>
      <c r="AZ371" s="418"/>
    </row>
    <row r="372" spans="40:52" ht="15.75" customHeight="1">
      <c r="AN372" s="418"/>
      <c r="AO372" s="418"/>
      <c r="AP372" s="418"/>
      <c r="AQ372" s="418"/>
      <c r="AR372" s="418"/>
      <c r="AS372" s="418"/>
      <c r="AT372" s="418"/>
      <c r="AU372" s="418"/>
      <c r="AV372" s="418"/>
      <c r="AW372" s="418"/>
      <c r="AX372" s="418"/>
      <c r="AY372" s="418"/>
      <c r="AZ372" s="418"/>
    </row>
    <row r="373" spans="40:52" ht="15.75" customHeight="1">
      <c r="AN373" s="418"/>
      <c r="AO373" s="418"/>
      <c r="AP373" s="418"/>
      <c r="AQ373" s="418"/>
      <c r="AR373" s="418"/>
      <c r="AS373" s="418"/>
      <c r="AT373" s="418"/>
      <c r="AU373" s="418"/>
      <c r="AV373" s="418"/>
      <c r="AW373" s="418"/>
      <c r="AX373" s="418"/>
      <c r="AY373" s="418"/>
      <c r="AZ373" s="418"/>
    </row>
    <row r="374" spans="40:52" ht="15.75" customHeight="1">
      <c r="AN374" s="418"/>
      <c r="AO374" s="418"/>
      <c r="AP374" s="418"/>
      <c r="AQ374" s="418"/>
      <c r="AR374" s="418"/>
      <c r="AS374" s="418"/>
      <c r="AT374" s="418"/>
      <c r="AU374" s="418"/>
      <c r="AV374" s="418"/>
      <c r="AW374" s="418"/>
      <c r="AX374" s="418"/>
      <c r="AY374" s="418"/>
      <c r="AZ374" s="418"/>
    </row>
    <row r="375" spans="40:52" ht="15.75" customHeight="1">
      <c r="AN375" s="418"/>
      <c r="AO375" s="418"/>
      <c r="AP375" s="418"/>
      <c r="AQ375" s="418"/>
      <c r="AR375" s="418"/>
      <c r="AS375" s="418"/>
      <c r="AT375" s="418"/>
      <c r="AU375" s="418"/>
      <c r="AV375" s="418"/>
      <c r="AW375" s="418"/>
      <c r="AX375" s="418"/>
      <c r="AY375" s="418"/>
      <c r="AZ375" s="418"/>
    </row>
    <row r="376" spans="40:52" ht="15.75" customHeight="1">
      <c r="AN376" s="418"/>
      <c r="AO376" s="418"/>
      <c r="AP376" s="418"/>
      <c r="AQ376" s="418"/>
      <c r="AR376" s="418"/>
      <c r="AS376" s="418"/>
      <c r="AT376" s="418"/>
      <c r="AU376" s="418"/>
      <c r="AV376" s="418"/>
      <c r="AW376" s="418"/>
      <c r="AX376" s="418"/>
      <c r="AY376" s="418"/>
      <c r="AZ376" s="418"/>
    </row>
    <row r="377" spans="40:52" ht="15.75" customHeight="1">
      <c r="AN377" s="418"/>
      <c r="AO377" s="418"/>
      <c r="AP377" s="418"/>
      <c r="AQ377" s="418"/>
      <c r="AR377" s="418"/>
      <c r="AS377" s="418"/>
      <c r="AT377" s="418"/>
      <c r="AU377" s="418"/>
      <c r="AV377" s="418"/>
      <c r="AW377" s="418"/>
      <c r="AX377" s="418"/>
      <c r="AY377" s="418"/>
      <c r="AZ377" s="418"/>
    </row>
    <row r="378" spans="40:52" ht="15.75" customHeight="1">
      <c r="AN378" s="418"/>
      <c r="AO378" s="418"/>
      <c r="AP378" s="418"/>
      <c r="AQ378" s="418"/>
      <c r="AR378" s="418"/>
      <c r="AS378" s="418"/>
      <c r="AT378" s="418"/>
      <c r="AU378" s="418"/>
      <c r="AV378" s="418"/>
      <c r="AW378" s="418"/>
      <c r="AX378" s="418"/>
      <c r="AY378" s="418"/>
      <c r="AZ378" s="418"/>
    </row>
    <row r="379" spans="40:52" ht="15.75" customHeight="1">
      <c r="AN379" s="418"/>
      <c r="AO379" s="418"/>
      <c r="AP379" s="418"/>
      <c r="AQ379" s="418"/>
      <c r="AR379" s="418"/>
      <c r="AS379" s="418"/>
      <c r="AT379" s="418"/>
      <c r="AU379" s="418"/>
      <c r="AV379" s="418"/>
      <c r="AW379" s="418"/>
      <c r="AX379" s="418"/>
      <c r="AY379" s="418"/>
      <c r="AZ379" s="418"/>
    </row>
    <row r="380" spans="40:52" ht="15.75" customHeight="1">
      <c r="AN380" s="418"/>
      <c r="AO380" s="418"/>
      <c r="AP380" s="418"/>
      <c r="AQ380" s="418"/>
      <c r="AR380" s="418"/>
      <c r="AS380" s="418"/>
      <c r="AT380" s="418"/>
      <c r="AU380" s="418"/>
      <c r="AV380" s="418"/>
      <c r="AW380" s="418"/>
      <c r="AX380" s="418"/>
      <c r="AY380" s="418"/>
      <c r="AZ380" s="418"/>
    </row>
    <row r="381" spans="40:52" ht="15.75" customHeight="1">
      <c r="AN381" s="418"/>
      <c r="AO381" s="418"/>
      <c r="AP381" s="418"/>
      <c r="AQ381" s="418"/>
      <c r="AR381" s="418"/>
      <c r="AS381" s="418"/>
      <c r="AT381" s="418"/>
      <c r="AU381" s="418"/>
      <c r="AV381" s="418"/>
      <c r="AW381" s="418"/>
      <c r="AX381" s="418"/>
      <c r="AY381" s="418"/>
      <c r="AZ381" s="418"/>
    </row>
    <row r="382" spans="40:52" ht="15.75" customHeight="1">
      <c r="AN382" s="418"/>
      <c r="AO382" s="418"/>
      <c r="AP382" s="418"/>
      <c r="AQ382" s="418"/>
      <c r="AR382" s="418"/>
      <c r="AS382" s="418"/>
      <c r="AT382" s="418"/>
      <c r="AU382" s="418"/>
      <c r="AV382" s="418"/>
      <c r="AW382" s="418"/>
      <c r="AX382" s="418"/>
      <c r="AY382" s="418"/>
      <c r="AZ382" s="418"/>
    </row>
    <row r="383" spans="40:52" ht="15.75" customHeight="1">
      <c r="AN383" s="418"/>
      <c r="AO383" s="418"/>
      <c r="AP383" s="418"/>
      <c r="AQ383" s="418"/>
      <c r="AR383" s="418"/>
      <c r="AS383" s="418"/>
      <c r="AT383" s="418"/>
      <c r="AU383" s="418"/>
      <c r="AV383" s="418"/>
      <c r="AW383" s="418"/>
      <c r="AX383" s="418"/>
      <c r="AY383" s="418"/>
      <c r="AZ383" s="418"/>
    </row>
    <row r="384" spans="40:52" ht="15.75" customHeight="1">
      <c r="AN384" s="418"/>
      <c r="AO384" s="418"/>
      <c r="AP384" s="418"/>
      <c r="AQ384" s="418"/>
      <c r="AR384" s="418"/>
      <c r="AS384" s="418"/>
      <c r="AT384" s="418"/>
      <c r="AU384" s="418"/>
      <c r="AV384" s="418"/>
      <c r="AW384" s="418"/>
      <c r="AX384" s="418"/>
      <c r="AY384" s="418"/>
      <c r="AZ384" s="418"/>
    </row>
    <row r="385" spans="40:52" ht="15.75" customHeight="1">
      <c r="AN385" s="418"/>
      <c r="AO385" s="418"/>
      <c r="AP385" s="418"/>
      <c r="AQ385" s="418"/>
      <c r="AR385" s="418"/>
      <c r="AS385" s="418"/>
      <c r="AT385" s="418"/>
      <c r="AU385" s="418"/>
      <c r="AV385" s="418"/>
      <c r="AW385" s="418"/>
      <c r="AX385" s="418"/>
      <c r="AY385" s="418"/>
      <c r="AZ385" s="418"/>
    </row>
    <row r="386" spans="40:52" ht="15.75" customHeight="1">
      <c r="AN386" s="418"/>
      <c r="AO386" s="418"/>
      <c r="AP386" s="418"/>
      <c r="AQ386" s="418"/>
      <c r="AR386" s="418"/>
      <c r="AS386" s="418"/>
      <c r="AT386" s="418"/>
      <c r="AU386" s="418"/>
      <c r="AV386" s="418"/>
      <c r="AW386" s="418"/>
      <c r="AX386" s="418"/>
      <c r="AY386" s="418"/>
      <c r="AZ386" s="418"/>
    </row>
    <row r="387" spans="40:52" ht="15.75" customHeight="1">
      <c r="AN387" s="418"/>
      <c r="AO387" s="418"/>
      <c r="AP387" s="418"/>
      <c r="AQ387" s="418"/>
      <c r="AR387" s="418"/>
      <c r="AS387" s="418"/>
      <c r="AT387" s="418"/>
      <c r="AU387" s="418"/>
      <c r="AV387" s="418"/>
      <c r="AW387" s="418"/>
      <c r="AX387" s="418"/>
      <c r="AY387" s="418"/>
      <c r="AZ387" s="418"/>
    </row>
    <row r="388" spans="40:52" ht="15.75" customHeight="1">
      <c r="AN388" s="418"/>
      <c r="AO388" s="418"/>
      <c r="AP388" s="418"/>
      <c r="AQ388" s="418"/>
      <c r="AR388" s="418"/>
      <c r="AS388" s="418"/>
      <c r="AT388" s="418"/>
      <c r="AU388" s="418"/>
      <c r="AV388" s="418"/>
      <c r="AW388" s="418"/>
      <c r="AX388" s="418"/>
      <c r="AY388" s="418"/>
      <c r="AZ388" s="418"/>
    </row>
    <row r="389" spans="40:52" ht="15.75" customHeight="1">
      <c r="AN389" s="418"/>
      <c r="AO389" s="418"/>
      <c r="AP389" s="418"/>
      <c r="AQ389" s="418"/>
      <c r="AR389" s="418"/>
      <c r="AS389" s="418"/>
      <c r="AT389" s="418"/>
      <c r="AU389" s="418"/>
      <c r="AV389" s="418"/>
      <c r="AW389" s="418"/>
      <c r="AX389" s="418"/>
      <c r="AY389" s="418"/>
      <c r="AZ389" s="418"/>
    </row>
    <row r="390" spans="40:52" ht="15.75" customHeight="1">
      <c r="AN390" s="418"/>
      <c r="AO390" s="418"/>
      <c r="AP390" s="418"/>
      <c r="AQ390" s="418"/>
      <c r="AR390" s="418"/>
      <c r="AS390" s="418"/>
      <c r="AT390" s="418"/>
      <c r="AU390" s="418"/>
      <c r="AV390" s="418"/>
      <c r="AW390" s="418"/>
      <c r="AX390" s="418"/>
      <c r="AY390" s="418"/>
      <c r="AZ390" s="418"/>
    </row>
    <row r="391" spans="40:52" ht="15.75" customHeight="1">
      <c r="AN391" s="418"/>
      <c r="AO391" s="418"/>
      <c r="AP391" s="418"/>
      <c r="AQ391" s="418"/>
      <c r="AR391" s="418"/>
      <c r="AS391" s="418"/>
      <c r="AT391" s="418"/>
      <c r="AU391" s="418"/>
      <c r="AV391" s="418"/>
      <c r="AW391" s="418"/>
      <c r="AX391" s="418"/>
      <c r="AY391" s="418"/>
      <c r="AZ391" s="418"/>
    </row>
    <row r="392" spans="40:52" ht="15.75" customHeight="1">
      <c r="AN392" s="418"/>
      <c r="AO392" s="418"/>
      <c r="AP392" s="418"/>
      <c r="AQ392" s="418"/>
      <c r="AR392" s="418"/>
      <c r="AS392" s="418"/>
      <c r="AT392" s="418"/>
      <c r="AU392" s="418"/>
      <c r="AV392" s="418"/>
      <c r="AW392" s="418"/>
      <c r="AX392" s="418"/>
      <c r="AY392" s="418"/>
      <c r="AZ392" s="418"/>
    </row>
    <row r="393" spans="40:52" ht="15.75" customHeight="1">
      <c r="AN393" s="418"/>
      <c r="AO393" s="418"/>
      <c r="AP393" s="418"/>
      <c r="AQ393" s="418"/>
      <c r="AR393" s="418"/>
      <c r="AS393" s="418"/>
      <c r="AT393" s="418"/>
      <c r="AU393" s="418"/>
      <c r="AV393" s="418"/>
      <c r="AW393" s="418"/>
      <c r="AX393" s="418"/>
      <c r="AY393" s="418"/>
      <c r="AZ393" s="418"/>
    </row>
    <row r="394" spans="40:52" ht="15.75" customHeight="1">
      <c r="AN394" s="418"/>
      <c r="AO394" s="418"/>
      <c r="AP394" s="418"/>
      <c r="AQ394" s="418"/>
      <c r="AR394" s="418"/>
      <c r="AS394" s="418"/>
      <c r="AT394" s="418"/>
      <c r="AU394" s="418"/>
      <c r="AV394" s="418"/>
      <c r="AW394" s="418"/>
      <c r="AX394" s="418"/>
      <c r="AY394" s="418"/>
      <c r="AZ394" s="418"/>
    </row>
    <row r="395" spans="40:52" ht="15.75" customHeight="1">
      <c r="AN395" s="418"/>
      <c r="AO395" s="418"/>
      <c r="AP395" s="418"/>
      <c r="AQ395" s="418"/>
      <c r="AR395" s="418"/>
      <c r="AS395" s="418"/>
      <c r="AT395" s="418"/>
      <c r="AU395" s="418"/>
      <c r="AV395" s="418"/>
      <c r="AW395" s="418"/>
      <c r="AX395" s="418"/>
      <c r="AY395" s="418"/>
      <c r="AZ395" s="418"/>
    </row>
    <row r="396" spans="40:52" ht="15.75" customHeight="1">
      <c r="AN396" s="418"/>
      <c r="AO396" s="418"/>
      <c r="AP396" s="418"/>
      <c r="AQ396" s="418"/>
      <c r="AR396" s="418"/>
      <c r="AS396" s="418"/>
      <c r="AT396" s="418"/>
      <c r="AU396" s="418"/>
      <c r="AV396" s="418"/>
      <c r="AW396" s="418"/>
      <c r="AX396" s="418"/>
      <c r="AY396" s="418"/>
      <c r="AZ396" s="418"/>
    </row>
    <row r="397" spans="40:52" ht="15.75" customHeight="1">
      <c r="AN397" s="418"/>
      <c r="AO397" s="418"/>
      <c r="AP397" s="418"/>
      <c r="AQ397" s="418"/>
      <c r="AR397" s="418"/>
      <c r="AS397" s="418"/>
      <c r="AT397" s="418"/>
      <c r="AU397" s="418"/>
      <c r="AV397" s="418"/>
      <c r="AW397" s="418"/>
      <c r="AX397" s="418"/>
      <c r="AY397" s="418"/>
      <c r="AZ397" s="418"/>
    </row>
    <row r="398" spans="40:52" ht="15.75" customHeight="1">
      <c r="AN398" s="418"/>
      <c r="AO398" s="418"/>
      <c r="AP398" s="418"/>
      <c r="AQ398" s="418"/>
      <c r="AR398" s="418"/>
      <c r="AS398" s="418"/>
      <c r="AT398" s="418"/>
      <c r="AU398" s="418"/>
      <c r="AV398" s="418"/>
      <c r="AW398" s="418"/>
      <c r="AX398" s="418"/>
      <c r="AY398" s="418"/>
      <c r="AZ398" s="418"/>
    </row>
    <row r="399" spans="40:52" ht="15.75" customHeight="1">
      <c r="AN399" s="418"/>
      <c r="AO399" s="418"/>
      <c r="AP399" s="418"/>
      <c r="AQ399" s="418"/>
      <c r="AR399" s="418"/>
      <c r="AS399" s="418"/>
      <c r="AT399" s="418"/>
      <c r="AU399" s="418"/>
      <c r="AV399" s="418"/>
      <c r="AW399" s="418"/>
      <c r="AX399" s="418"/>
      <c r="AY399" s="418"/>
      <c r="AZ399" s="418"/>
    </row>
    <row r="400" spans="40:52" ht="15.75" customHeight="1">
      <c r="AN400" s="418"/>
      <c r="AO400" s="418"/>
      <c r="AP400" s="418"/>
      <c r="AQ400" s="418"/>
      <c r="AR400" s="418"/>
      <c r="AS400" s="418"/>
      <c r="AT400" s="418"/>
      <c r="AU400" s="418"/>
      <c r="AV400" s="418"/>
      <c r="AW400" s="418"/>
      <c r="AX400" s="418"/>
      <c r="AY400" s="418"/>
      <c r="AZ400" s="418"/>
    </row>
    <row r="401" spans="40:52" ht="15.75" customHeight="1">
      <c r="AN401" s="418"/>
      <c r="AO401" s="418"/>
      <c r="AP401" s="418"/>
      <c r="AQ401" s="418"/>
      <c r="AR401" s="418"/>
      <c r="AS401" s="418"/>
      <c r="AT401" s="418"/>
      <c r="AU401" s="418"/>
      <c r="AV401" s="418"/>
      <c r="AW401" s="418"/>
      <c r="AX401" s="418"/>
      <c r="AY401" s="418"/>
      <c r="AZ401" s="418"/>
    </row>
    <row r="402" spans="40:52" ht="15.75" customHeight="1">
      <c r="AN402" s="418"/>
      <c r="AO402" s="418"/>
      <c r="AP402" s="418"/>
      <c r="AQ402" s="418"/>
      <c r="AR402" s="418"/>
      <c r="AS402" s="418"/>
      <c r="AT402" s="418"/>
      <c r="AU402" s="418"/>
      <c r="AV402" s="418"/>
      <c r="AW402" s="418"/>
      <c r="AX402" s="418"/>
      <c r="AY402" s="418"/>
      <c r="AZ402" s="418"/>
    </row>
    <row r="403" spans="40:52" ht="15.75" customHeight="1">
      <c r="AN403" s="418"/>
      <c r="AO403" s="418"/>
      <c r="AP403" s="418"/>
      <c r="AQ403" s="418"/>
      <c r="AR403" s="418"/>
      <c r="AS403" s="418"/>
      <c r="AT403" s="418"/>
      <c r="AU403" s="418"/>
      <c r="AV403" s="418"/>
      <c r="AW403" s="418"/>
      <c r="AX403" s="418"/>
      <c r="AY403" s="418"/>
      <c r="AZ403" s="418"/>
    </row>
    <row r="404" spans="40:52" ht="15.75" customHeight="1">
      <c r="AN404" s="418"/>
      <c r="AO404" s="418"/>
      <c r="AP404" s="418"/>
      <c r="AQ404" s="418"/>
      <c r="AR404" s="418"/>
      <c r="AS404" s="418"/>
      <c r="AT404" s="418"/>
      <c r="AU404" s="418"/>
      <c r="AV404" s="418"/>
      <c r="AW404" s="418"/>
      <c r="AX404" s="418"/>
      <c r="AY404" s="418"/>
      <c r="AZ404" s="418"/>
    </row>
    <row r="405" spans="40:52" ht="15.75" customHeight="1">
      <c r="AN405" s="418"/>
      <c r="AO405" s="418"/>
      <c r="AP405" s="418"/>
      <c r="AQ405" s="418"/>
      <c r="AR405" s="418"/>
      <c r="AS405" s="418"/>
      <c r="AT405" s="418"/>
      <c r="AU405" s="418"/>
      <c r="AV405" s="418"/>
      <c r="AW405" s="418"/>
      <c r="AX405" s="418"/>
      <c r="AY405" s="418"/>
      <c r="AZ405" s="418"/>
    </row>
    <row r="406" spans="40:52" ht="15.75" customHeight="1">
      <c r="AN406" s="418"/>
      <c r="AO406" s="418"/>
      <c r="AP406" s="418"/>
      <c r="AQ406" s="418"/>
      <c r="AR406" s="418"/>
      <c r="AS406" s="418"/>
      <c r="AT406" s="418"/>
      <c r="AU406" s="418"/>
      <c r="AV406" s="418"/>
      <c r="AW406" s="418"/>
      <c r="AX406" s="418"/>
      <c r="AY406" s="418"/>
      <c r="AZ406" s="418"/>
    </row>
    <row r="407" spans="40:52" ht="15.75" customHeight="1">
      <c r="AN407" s="418"/>
      <c r="AO407" s="418"/>
      <c r="AP407" s="418"/>
      <c r="AQ407" s="418"/>
      <c r="AR407" s="418"/>
      <c r="AS407" s="418"/>
      <c r="AT407" s="418"/>
      <c r="AU407" s="418"/>
      <c r="AV407" s="418"/>
      <c r="AW407" s="418"/>
      <c r="AX407" s="418"/>
      <c r="AY407" s="418"/>
      <c r="AZ407" s="418"/>
    </row>
    <row r="408" spans="40:52" ht="15.75" customHeight="1">
      <c r="AN408" s="418"/>
      <c r="AO408" s="418"/>
      <c r="AP408" s="418"/>
      <c r="AQ408" s="418"/>
      <c r="AR408" s="418"/>
      <c r="AS408" s="418"/>
      <c r="AT408" s="418"/>
      <c r="AU408" s="418"/>
      <c r="AV408" s="418"/>
      <c r="AW408" s="418"/>
      <c r="AX408" s="418"/>
      <c r="AY408" s="418"/>
      <c r="AZ408" s="418"/>
    </row>
    <row r="409" spans="40:52" ht="15.75" customHeight="1">
      <c r="AN409" s="418"/>
      <c r="AO409" s="418"/>
      <c r="AP409" s="418"/>
      <c r="AQ409" s="418"/>
      <c r="AR409" s="418"/>
      <c r="AS409" s="418"/>
      <c r="AT409" s="418"/>
      <c r="AU409" s="418"/>
      <c r="AV409" s="418"/>
      <c r="AW409" s="418"/>
      <c r="AX409" s="418"/>
      <c r="AY409" s="418"/>
      <c r="AZ409" s="418"/>
    </row>
    <row r="410" spans="40:52" ht="15.75" customHeight="1">
      <c r="AN410" s="418"/>
      <c r="AO410" s="418"/>
      <c r="AP410" s="418"/>
      <c r="AQ410" s="418"/>
      <c r="AR410" s="418"/>
      <c r="AS410" s="418"/>
      <c r="AT410" s="418"/>
      <c r="AU410" s="418"/>
      <c r="AV410" s="418"/>
      <c r="AW410" s="418"/>
      <c r="AX410" s="418"/>
      <c r="AY410" s="418"/>
      <c r="AZ410" s="418"/>
    </row>
    <row r="411" spans="40:52" ht="15.75" customHeight="1">
      <c r="AN411" s="418"/>
      <c r="AO411" s="418"/>
      <c r="AP411" s="418"/>
      <c r="AQ411" s="418"/>
      <c r="AR411" s="418"/>
      <c r="AS411" s="418"/>
      <c r="AT411" s="418"/>
      <c r="AU411" s="418"/>
      <c r="AV411" s="418"/>
      <c r="AW411" s="418"/>
      <c r="AX411" s="418"/>
      <c r="AY411" s="418"/>
      <c r="AZ411" s="418"/>
    </row>
    <row r="412" spans="40:52" ht="15.75" customHeight="1">
      <c r="AN412" s="418"/>
      <c r="AO412" s="418"/>
      <c r="AP412" s="418"/>
      <c r="AQ412" s="418"/>
      <c r="AR412" s="418"/>
      <c r="AS412" s="418"/>
      <c r="AT412" s="418"/>
      <c r="AU412" s="418"/>
      <c r="AV412" s="418"/>
      <c r="AW412" s="418"/>
      <c r="AX412" s="418"/>
      <c r="AY412" s="418"/>
      <c r="AZ412" s="418"/>
    </row>
    <row r="413" spans="40:52" ht="15.75" customHeight="1">
      <c r="AN413" s="418"/>
      <c r="AO413" s="418"/>
      <c r="AP413" s="418"/>
      <c r="AQ413" s="418"/>
      <c r="AR413" s="418"/>
      <c r="AS413" s="418"/>
      <c r="AT413" s="418"/>
      <c r="AU413" s="418"/>
      <c r="AV413" s="418"/>
      <c r="AW413" s="418"/>
      <c r="AX413" s="418"/>
      <c r="AY413" s="418"/>
      <c r="AZ413" s="418"/>
    </row>
    <row r="414" spans="40:52" ht="15.75" customHeight="1">
      <c r="AN414" s="418"/>
      <c r="AO414" s="418"/>
      <c r="AP414" s="418"/>
      <c r="AQ414" s="418"/>
      <c r="AR414" s="418"/>
      <c r="AS414" s="418"/>
      <c r="AT414" s="418"/>
      <c r="AU414" s="418"/>
      <c r="AV414" s="418"/>
      <c r="AW414" s="418"/>
      <c r="AX414" s="418"/>
      <c r="AY414" s="418"/>
      <c r="AZ414" s="418"/>
    </row>
    <row r="415" spans="40:52" ht="15.75" customHeight="1">
      <c r="AN415" s="418"/>
      <c r="AO415" s="418"/>
      <c r="AP415" s="418"/>
      <c r="AQ415" s="418"/>
      <c r="AR415" s="418"/>
      <c r="AS415" s="418"/>
      <c r="AT415" s="418"/>
      <c r="AU415" s="418"/>
      <c r="AV415" s="418"/>
      <c r="AW415" s="418"/>
      <c r="AX415" s="418"/>
      <c r="AY415" s="418"/>
      <c r="AZ415" s="418"/>
    </row>
    <row r="416" spans="40:52" ht="15.75" customHeight="1">
      <c r="AN416" s="418"/>
      <c r="AO416" s="418"/>
      <c r="AP416" s="418"/>
      <c r="AQ416" s="418"/>
      <c r="AR416" s="418"/>
      <c r="AS416" s="418"/>
      <c r="AT416" s="418"/>
      <c r="AU416" s="418"/>
      <c r="AV416" s="418"/>
      <c r="AW416" s="418"/>
      <c r="AX416" s="418"/>
      <c r="AY416" s="418"/>
      <c r="AZ416" s="418"/>
    </row>
    <row r="417" spans="40:52" ht="15.75" customHeight="1">
      <c r="AN417" s="418"/>
      <c r="AO417" s="418"/>
      <c r="AP417" s="418"/>
      <c r="AQ417" s="418"/>
      <c r="AR417" s="418"/>
      <c r="AS417" s="418"/>
      <c r="AT417" s="418"/>
      <c r="AU417" s="418"/>
      <c r="AV417" s="418"/>
      <c r="AW417" s="418"/>
      <c r="AX417" s="418"/>
      <c r="AY417" s="418"/>
      <c r="AZ417" s="418"/>
    </row>
    <row r="418" spans="40:52" ht="15.75" customHeight="1">
      <c r="AN418" s="418"/>
      <c r="AO418" s="418"/>
      <c r="AP418" s="418"/>
      <c r="AQ418" s="418"/>
      <c r="AR418" s="418"/>
      <c r="AS418" s="418"/>
      <c r="AT418" s="418"/>
      <c r="AU418" s="418"/>
      <c r="AV418" s="418"/>
      <c r="AW418" s="418"/>
      <c r="AX418" s="418"/>
      <c r="AY418" s="418"/>
      <c r="AZ418" s="418"/>
    </row>
    <row r="419" spans="40:52" ht="15.75" customHeight="1">
      <c r="AN419" s="418"/>
      <c r="AO419" s="418"/>
      <c r="AP419" s="418"/>
      <c r="AQ419" s="418"/>
      <c r="AR419" s="418"/>
      <c r="AS419" s="418"/>
      <c r="AT419" s="418"/>
      <c r="AU419" s="418"/>
      <c r="AV419" s="418"/>
      <c r="AW419" s="418"/>
      <c r="AX419" s="418"/>
      <c r="AY419" s="418"/>
      <c r="AZ419" s="418"/>
    </row>
    <row r="420" spans="40:52" ht="15.75" customHeight="1">
      <c r="AN420" s="418"/>
      <c r="AO420" s="418"/>
      <c r="AP420" s="418"/>
      <c r="AQ420" s="418"/>
      <c r="AR420" s="418"/>
      <c r="AS420" s="418"/>
      <c r="AT420" s="418"/>
      <c r="AU420" s="418"/>
      <c r="AV420" s="418"/>
      <c r="AW420" s="418"/>
      <c r="AX420" s="418"/>
      <c r="AY420" s="418"/>
      <c r="AZ420" s="418"/>
    </row>
    <row r="421" spans="40:52" ht="15.75" customHeight="1">
      <c r="AN421" s="418"/>
      <c r="AO421" s="418"/>
      <c r="AP421" s="418"/>
      <c r="AQ421" s="418"/>
      <c r="AR421" s="418"/>
      <c r="AS421" s="418"/>
      <c r="AT421" s="418"/>
      <c r="AU421" s="418"/>
      <c r="AV421" s="418"/>
      <c r="AW421" s="418"/>
      <c r="AX421" s="418"/>
      <c r="AY421" s="418"/>
      <c r="AZ421" s="418"/>
    </row>
    <row r="422" spans="40:52" ht="15.75" customHeight="1">
      <c r="AN422" s="418"/>
      <c r="AO422" s="418"/>
      <c r="AP422" s="418"/>
      <c r="AQ422" s="418"/>
      <c r="AR422" s="418"/>
      <c r="AS422" s="418"/>
      <c r="AT422" s="418"/>
      <c r="AU422" s="418"/>
      <c r="AV422" s="418"/>
      <c r="AW422" s="418"/>
      <c r="AX422" s="418"/>
      <c r="AY422" s="418"/>
      <c r="AZ422" s="418"/>
    </row>
    <row r="423" spans="40:52" ht="15.75" customHeight="1">
      <c r="AN423" s="418"/>
      <c r="AO423" s="418"/>
      <c r="AP423" s="418"/>
      <c r="AQ423" s="418"/>
      <c r="AR423" s="418"/>
      <c r="AS423" s="418"/>
      <c r="AT423" s="418"/>
      <c r="AU423" s="418"/>
      <c r="AV423" s="418"/>
      <c r="AW423" s="418"/>
      <c r="AX423" s="418"/>
      <c r="AY423" s="418"/>
      <c r="AZ423" s="418"/>
    </row>
    <row r="424" spans="40:52" ht="15.75" customHeight="1">
      <c r="AN424" s="418"/>
      <c r="AO424" s="418"/>
      <c r="AP424" s="418"/>
      <c r="AQ424" s="418"/>
      <c r="AR424" s="418"/>
      <c r="AS424" s="418"/>
      <c r="AT424" s="418"/>
      <c r="AU424" s="418"/>
      <c r="AV424" s="418"/>
      <c r="AW424" s="418"/>
      <c r="AX424" s="418"/>
      <c r="AY424" s="418"/>
      <c r="AZ424" s="418"/>
    </row>
    <row r="425" spans="40:52" ht="15.75" customHeight="1">
      <c r="AN425" s="418"/>
      <c r="AO425" s="418"/>
      <c r="AP425" s="418"/>
      <c r="AQ425" s="418"/>
      <c r="AR425" s="418"/>
      <c r="AS425" s="418"/>
      <c r="AT425" s="418"/>
      <c r="AU425" s="418"/>
      <c r="AV425" s="418"/>
      <c r="AW425" s="418"/>
      <c r="AX425" s="418"/>
      <c r="AY425" s="418"/>
      <c r="AZ425" s="418"/>
    </row>
    <row r="426" spans="40:52" ht="15.75" customHeight="1">
      <c r="AN426" s="418"/>
      <c r="AO426" s="418"/>
      <c r="AP426" s="418"/>
      <c r="AQ426" s="418"/>
      <c r="AR426" s="418"/>
      <c r="AS426" s="418"/>
      <c r="AT426" s="418"/>
      <c r="AU426" s="418"/>
      <c r="AV426" s="418"/>
      <c r="AW426" s="418"/>
      <c r="AX426" s="418"/>
      <c r="AY426" s="418"/>
      <c r="AZ426" s="418"/>
    </row>
    <row r="427" spans="40:52" ht="15.75" customHeight="1">
      <c r="AN427" s="418"/>
      <c r="AO427" s="418"/>
      <c r="AP427" s="418"/>
      <c r="AQ427" s="418"/>
      <c r="AR427" s="418"/>
      <c r="AS427" s="418"/>
      <c r="AT427" s="418"/>
      <c r="AU427" s="418"/>
      <c r="AV427" s="418"/>
      <c r="AW427" s="418"/>
      <c r="AX427" s="418"/>
      <c r="AY427" s="418"/>
      <c r="AZ427" s="418"/>
    </row>
    <row r="428" spans="40:52" ht="15.75" customHeight="1">
      <c r="AN428" s="418"/>
      <c r="AO428" s="418"/>
      <c r="AP428" s="418"/>
      <c r="AQ428" s="418"/>
      <c r="AR428" s="418"/>
      <c r="AS428" s="418"/>
      <c r="AT428" s="418"/>
      <c r="AU428" s="418"/>
      <c r="AV428" s="418"/>
      <c r="AW428" s="418"/>
      <c r="AX428" s="418"/>
      <c r="AY428" s="418"/>
      <c r="AZ428" s="418"/>
    </row>
    <row r="429" spans="40:52" ht="15.75" customHeight="1">
      <c r="AN429" s="418"/>
      <c r="AO429" s="418"/>
      <c r="AP429" s="418"/>
      <c r="AQ429" s="418"/>
      <c r="AR429" s="418"/>
      <c r="AS429" s="418"/>
      <c r="AT429" s="418"/>
      <c r="AU429" s="418"/>
      <c r="AV429" s="418"/>
      <c r="AW429" s="418"/>
      <c r="AX429" s="418"/>
      <c r="AY429" s="418"/>
      <c r="AZ429" s="418"/>
    </row>
    <row r="430" spans="40:52" ht="15.75" customHeight="1">
      <c r="AN430" s="418"/>
      <c r="AO430" s="418"/>
      <c r="AP430" s="418"/>
      <c r="AQ430" s="418"/>
      <c r="AR430" s="418"/>
      <c r="AS430" s="418"/>
      <c r="AT430" s="418"/>
      <c r="AU430" s="418"/>
      <c r="AV430" s="418"/>
      <c r="AW430" s="418"/>
      <c r="AX430" s="418"/>
      <c r="AY430" s="418"/>
      <c r="AZ430" s="418"/>
    </row>
    <row r="431" spans="40:52" ht="15.75" customHeight="1">
      <c r="AN431" s="418"/>
      <c r="AO431" s="418"/>
      <c r="AP431" s="418"/>
      <c r="AQ431" s="418"/>
      <c r="AR431" s="418"/>
      <c r="AS431" s="418"/>
      <c r="AT431" s="418"/>
      <c r="AU431" s="418"/>
      <c r="AV431" s="418"/>
      <c r="AW431" s="418"/>
      <c r="AX431" s="418"/>
      <c r="AY431" s="418"/>
      <c r="AZ431" s="418"/>
    </row>
    <row r="432" spans="40:52" ht="15.75" customHeight="1">
      <c r="AN432" s="418"/>
      <c r="AO432" s="418"/>
      <c r="AP432" s="418"/>
      <c r="AQ432" s="418"/>
      <c r="AR432" s="418"/>
      <c r="AS432" s="418"/>
      <c r="AT432" s="418"/>
      <c r="AU432" s="418"/>
      <c r="AV432" s="418"/>
      <c r="AW432" s="418"/>
      <c r="AX432" s="418"/>
      <c r="AY432" s="418"/>
      <c r="AZ432" s="418"/>
    </row>
    <row r="433" spans="40:52" ht="15.75" customHeight="1">
      <c r="AN433" s="418"/>
      <c r="AO433" s="418"/>
      <c r="AP433" s="418"/>
      <c r="AQ433" s="418"/>
      <c r="AR433" s="418"/>
      <c r="AS433" s="418"/>
      <c r="AT433" s="418"/>
      <c r="AU433" s="418"/>
      <c r="AV433" s="418"/>
      <c r="AW433" s="418"/>
      <c r="AX433" s="418"/>
      <c r="AY433" s="418"/>
      <c r="AZ433" s="418"/>
    </row>
    <row r="434" spans="40:52" ht="15.75" customHeight="1">
      <c r="AN434" s="418"/>
      <c r="AO434" s="418"/>
      <c r="AP434" s="418"/>
      <c r="AQ434" s="418"/>
      <c r="AR434" s="418"/>
      <c r="AS434" s="418"/>
      <c r="AT434" s="418"/>
      <c r="AU434" s="418"/>
      <c r="AV434" s="418"/>
      <c r="AW434" s="418"/>
      <c r="AX434" s="418"/>
      <c r="AY434" s="418"/>
      <c r="AZ434" s="418"/>
    </row>
    <row r="435" spans="40:52" ht="15.75" customHeight="1">
      <c r="AN435" s="418"/>
      <c r="AO435" s="418"/>
      <c r="AP435" s="418"/>
      <c r="AQ435" s="418"/>
      <c r="AR435" s="418"/>
      <c r="AS435" s="418"/>
      <c r="AT435" s="418"/>
      <c r="AU435" s="418"/>
      <c r="AV435" s="418"/>
      <c r="AW435" s="418"/>
      <c r="AX435" s="418"/>
      <c r="AY435" s="418"/>
      <c r="AZ435" s="418"/>
    </row>
    <row r="436" spans="40:52" ht="15.75" customHeight="1">
      <c r="AN436" s="418"/>
      <c r="AO436" s="418"/>
      <c r="AP436" s="418"/>
      <c r="AQ436" s="418"/>
      <c r="AR436" s="418"/>
      <c r="AS436" s="418"/>
      <c r="AT436" s="418"/>
      <c r="AU436" s="418"/>
      <c r="AV436" s="418"/>
      <c r="AW436" s="418"/>
      <c r="AX436" s="418"/>
      <c r="AY436" s="418"/>
      <c r="AZ436" s="418"/>
    </row>
    <row r="437" spans="40:52" ht="15.75" customHeight="1">
      <c r="AN437" s="418"/>
      <c r="AO437" s="418"/>
      <c r="AP437" s="418"/>
      <c r="AQ437" s="418"/>
      <c r="AR437" s="418"/>
      <c r="AS437" s="418"/>
      <c r="AT437" s="418"/>
      <c r="AU437" s="418"/>
      <c r="AV437" s="418"/>
      <c r="AW437" s="418"/>
      <c r="AX437" s="418"/>
      <c r="AY437" s="418"/>
      <c r="AZ437" s="418"/>
    </row>
    <row r="438" spans="40:52" ht="15.75" customHeight="1">
      <c r="AN438" s="418"/>
      <c r="AO438" s="418"/>
      <c r="AP438" s="418"/>
      <c r="AQ438" s="418"/>
      <c r="AR438" s="418"/>
      <c r="AS438" s="418"/>
      <c r="AT438" s="418"/>
      <c r="AU438" s="418"/>
      <c r="AV438" s="418"/>
      <c r="AW438" s="418"/>
      <c r="AX438" s="418"/>
      <c r="AY438" s="418"/>
      <c r="AZ438" s="418"/>
    </row>
    <row r="439" spans="40:52" ht="15.75" customHeight="1">
      <c r="AN439" s="418"/>
      <c r="AO439" s="418"/>
      <c r="AP439" s="418"/>
      <c r="AQ439" s="418"/>
      <c r="AR439" s="418"/>
      <c r="AS439" s="418"/>
      <c r="AT439" s="418"/>
      <c r="AU439" s="418"/>
      <c r="AV439" s="418"/>
      <c r="AW439" s="418"/>
      <c r="AX439" s="418"/>
      <c r="AY439" s="418"/>
      <c r="AZ439" s="418"/>
    </row>
    <row r="440" spans="40:52" ht="15.75" customHeight="1">
      <c r="AN440" s="418"/>
      <c r="AO440" s="418"/>
      <c r="AP440" s="418"/>
      <c r="AQ440" s="418"/>
      <c r="AR440" s="418"/>
      <c r="AS440" s="418"/>
      <c r="AT440" s="418"/>
      <c r="AU440" s="418"/>
      <c r="AV440" s="418"/>
      <c r="AW440" s="418"/>
      <c r="AX440" s="418"/>
      <c r="AY440" s="418"/>
      <c r="AZ440" s="418"/>
    </row>
    <row r="441" spans="40:52" ht="15.75" customHeight="1">
      <c r="AN441" s="418"/>
      <c r="AO441" s="418"/>
      <c r="AP441" s="418"/>
      <c r="AQ441" s="418"/>
      <c r="AR441" s="418"/>
      <c r="AS441" s="418"/>
      <c r="AT441" s="418"/>
      <c r="AU441" s="418"/>
      <c r="AV441" s="418"/>
      <c r="AW441" s="418"/>
      <c r="AX441" s="418"/>
      <c r="AY441" s="418"/>
      <c r="AZ441" s="418"/>
    </row>
    <row r="442" spans="40:52" ht="15.75" customHeight="1">
      <c r="AN442" s="418"/>
      <c r="AO442" s="418"/>
      <c r="AP442" s="418"/>
      <c r="AQ442" s="418"/>
      <c r="AR442" s="418"/>
      <c r="AS442" s="418"/>
      <c r="AT442" s="418"/>
      <c r="AU442" s="418"/>
      <c r="AV442" s="418"/>
      <c r="AW442" s="418"/>
      <c r="AX442" s="418"/>
      <c r="AY442" s="418"/>
      <c r="AZ442" s="418"/>
    </row>
    <row r="443" spans="40:52" ht="15.75" customHeight="1">
      <c r="AN443" s="418"/>
      <c r="AO443" s="418"/>
      <c r="AP443" s="418"/>
      <c r="AQ443" s="418"/>
      <c r="AR443" s="418"/>
      <c r="AS443" s="418"/>
      <c r="AT443" s="418"/>
      <c r="AU443" s="418"/>
      <c r="AV443" s="418"/>
      <c r="AW443" s="418"/>
      <c r="AX443" s="418"/>
      <c r="AY443" s="418"/>
      <c r="AZ443" s="418"/>
    </row>
    <row r="444" spans="40:52" ht="15.75" customHeight="1">
      <c r="AN444" s="418"/>
      <c r="AO444" s="418"/>
      <c r="AP444" s="418"/>
      <c r="AQ444" s="418"/>
      <c r="AR444" s="418"/>
      <c r="AS444" s="418"/>
      <c r="AT444" s="418"/>
      <c r="AU444" s="418"/>
      <c r="AV444" s="418"/>
      <c r="AW444" s="418"/>
      <c r="AX444" s="418"/>
      <c r="AY444" s="418"/>
      <c r="AZ444" s="418"/>
    </row>
    <row r="445" spans="40:52" ht="15.75" customHeight="1">
      <c r="AN445" s="418"/>
      <c r="AO445" s="418"/>
      <c r="AP445" s="418"/>
      <c r="AQ445" s="418"/>
      <c r="AR445" s="418"/>
      <c r="AS445" s="418"/>
      <c r="AT445" s="418"/>
      <c r="AU445" s="418"/>
      <c r="AV445" s="418"/>
      <c r="AW445" s="418"/>
      <c r="AX445" s="418"/>
      <c r="AY445" s="418"/>
      <c r="AZ445" s="418"/>
    </row>
    <row r="446" spans="40:52" ht="15.75" customHeight="1">
      <c r="AN446" s="418"/>
      <c r="AO446" s="418"/>
      <c r="AP446" s="418"/>
      <c r="AQ446" s="418"/>
      <c r="AR446" s="418"/>
      <c r="AS446" s="418"/>
      <c r="AT446" s="418"/>
      <c r="AU446" s="418"/>
      <c r="AV446" s="418"/>
      <c r="AW446" s="418"/>
      <c r="AX446" s="418"/>
      <c r="AY446" s="418"/>
      <c r="AZ446" s="418"/>
    </row>
    <row r="447" spans="40:52" ht="15.75" customHeight="1">
      <c r="AN447" s="418"/>
      <c r="AO447" s="418"/>
      <c r="AP447" s="418"/>
      <c r="AQ447" s="418"/>
      <c r="AR447" s="418"/>
      <c r="AS447" s="418"/>
      <c r="AT447" s="418"/>
      <c r="AU447" s="418"/>
      <c r="AV447" s="418"/>
      <c r="AW447" s="418"/>
      <c r="AX447" s="418"/>
      <c r="AY447" s="418"/>
      <c r="AZ447" s="418"/>
    </row>
    <row r="448" spans="40:52" ht="15.75" customHeight="1">
      <c r="AN448" s="418"/>
      <c r="AO448" s="418"/>
      <c r="AP448" s="418"/>
      <c r="AQ448" s="418"/>
      <c r="AR448" s="418"/>
      <c r="AS448" s="418"/>
      <c r="AT448" s="418"/>
      <c r="AU448" s="418"/>
      <c r="AV448" s="418"/>
      <c r="AW448" s="418"/>
      <c r="AX448" s="418"/>
      <c r="AY448" s="418"/>
      <c r="AZ448" s="418"/>
    </row>
    <row r="449" spans="40:52" ht="15.75" customHeight="1">
      <c r="AN449" s="418"/>
      <c r="AO449" s="418"/>
      <c r="AP449" s="418"/>
      <c r="AQ449" s="418"/>
      <c r="AR449" s="418"/>
      <c r="AS449" s="418"/>
      <c r="AT449" s="418"/>
      <c r="AU449" s="418"/>
      <c r="AV449" s="418"/>
      <c r="AW449" s="418"/>
      <c r="AX449" s="418"/>
      <c r="AY449" s="418"/>
      <c r="AZ449" s="418"/>
    </row>
    <row r="450" spans="40:52" ht="15.75" customHeight="1">
      <c r="AN450" s="418"/>
      <c r="AO450" s="418"/>
      <c r="AP450" s="418"/>
      <c r="AQ450" s="418"/>
      <c r="AR450" s="418"/>
      <c r="AS450" s="418"/>
      <c r="AT450" s="418"/>
      <c r="AU450" s="418"/>
      <c r="AV450" s="418"/>
      <c r="AW450" s="418"/>
      <c r="AX450" s="418"/>
      <c r="AY450" s="418"/>
      <c r="AZ450" s="418"/>
    </row>
    <row r="451" spans="40:52" ht="15.75" customHeight="1">
      <c r="AN451" s="418"/>
      <c r="AO451" s="418"/>
      <c r="AP451" s="418"/>
      <c r="AQ451" s="418"/>
      <c r="AR451" s="418"/>
      <c r="AS451" s="418"/>
      <c r="AT451" s="418"/>
      <c r="AU451" s="418"/>
      <c r="AV451" s="418"/>
      <c r="AW451" s="418"/>
      <c r="AX451" s="418"/>
      <c r="AY451" s="418"/>
      <c r="AZ451" s="418"/>
    </row>
    <row r="452" spans="40:52" ht="15.75" customHeight="1">
      <c r="AN452" s="418"/>
      <c r="AO452" s="418"/>
      <c r="AP452" s="418"/>
      <c r="AQ452" s="418"/>
      <c r="AR452" s="418"/>
      <c r="AS452" s="418"/>
      <c r="AT452" s="418"/>
      <c r="AU452" s="418"/>
      <c r="AV452" s="418"/>
      <c r="AW452" s="418"/>
      <c r="AX452" s="418"/>
      <c r="AY452" s="418"/>
      <c r="AZ452" s="418"/>
    </row>
    <row r="453" spans="40:52" ht="15.75" customHeight="1">
      <c r="AN453" s="418"/>
      <c r="AO453" s="418"/>
      <c r="AP453" s="418"/>
      <c r="AQ453" s="418"/>
      <c r="AR453" s="418"/>
      <c r="AS453" s="418"/>
      <c r="AT453" s="418"/>
      <c r="AU453" s="418"/>
      <c r="AV453" s="418"/>
      <c r="AW453" s="418"/>
      <c r="AX453" s="418"/>
      <c r="AY453" s="418"/>
      <c r="AZ453" s="418"/>
    </row>
    <row r="454" spans="40:52" ht="15.75" customHeight="1">
      <c r="AN454" s="418"/>
      <c r="AO454" s="418"/>
      <c r="AP454" s="418"/>
      <c r="AQ454" s="418"/>
      <c r="AR454" s="418"/>
      <c r="AS454" s="418"/>
      <c r="AT454" s="418"/>
      <c r="AU454" s="418"/>
      <c r="AV454" s="418"/>
      <c r="AW454" s="418"/>
      <c r="AX454" s="418"/>
      <c r="AY454" s="418"/>
      <c r="AZ454" s="418"/>
    </row>
    <row r="455" spans="40:52" ht="15.75" customHeight="1">
      <c r="AN455" s="418"/>
      <c r="AO455" s="418"/>
      <c r="AP455" s="418"/>
      <c r="AQ455" s="418"/>
      <c r="AR455" s="418"/>
      <c r="AS455" s="418"/>
      <c r="AT455" s="418"/>
      <c r="AU455" s="418"/>
      <c r="AV455" s="418"/>
      <c r="AW455" s="418"/>
      <c r="AX455" s="418"/>
      <c r="AY455" s="418"/>
      <c r="AZ455" s="418"/>
    </row>
    <row r="456" spans="40:52" ht="15.75" customHeight="1">
      <c r="AN456" s="418"/>
      <c r="AO456" s="418"/>
      <c r="AP456" s="418"/>
      <c r="AQ456" s="418"/>
      <c r="AR456" s="418"/>
      <c r="AS456" s="418"/>
      <c r="AT456" s="418"/>
      <c r="AU456" s="418"/>
      <c r="AV456" s="418"/>
      <c r="AW456" s="418"/>
      <c r="AX456" s="418"/>
      <c r="AY456" s="418"/>
      <c r="AZ456" s="418"/>
    </row>
    <row r="457" spans="40:52" ht="15.75" customHeight="1">
      <c r="AN457" s="418"/>
      <c r="AO457" s="418"/>
      <c r="AP457" s="418"/>
      <c r="AQ457" s="418"/>
      <c r="AR457" s="418"/>
      <c r="AS457" s="418"/>
      <c r="AT457" s="418"/>
      <c r="AU457" s="418"/>
      <c r="AV457" s="418"/>
      <c r="AW457" s="418"/>
      <c r="AX457" s="418"/>
      <c r="AY457" s="418"/>
      <c r="AZ457" s="418"/>
    </row>
    <row r="458" spans="40:52" ht="15.75" customHeight="1">
      <c r="AN458" s="418"/>
      <c r="AO458" s="418"/>
      <c r="AP458" s="418"/>
      <c r="AQ458" s="418"/>
      <c r="AR458" s="418"/>
      <c r="AS458" s="418"/>
      <c r="AT458" s="418"/>
      <c r="AU458" s="418"/>
      <c r="AV458" s="418"/>
      <c r="AW458" s="418"/>
      <c r="AX458" s="418"/>
      <c r="AY458" s="418"/>
      <c r="AZ458" s="418"/>
    </row>
    <row r="459" spans="40:52" ht="15.75" customHeight="1">
      <c r="AN459" s="418"/>
      <c r="AO459" s="418"/>
      <c r="AP459" s="418"/>
      <c r="AQ459" s="418"/>
      <c r="AR459" s="418"/>
      <c r="AS459" s="418"/>
      <c r="AT459" s="418"/>
      <c r="AU459" s="418"/>
      <c r="AV459" s="418"/>
      <c r="AW459" s="418"/>
      <c r="AX459" s="418"/>
      <c r="AY459" s="418"/>
      <c r="AZ459" s="418"/>
    </row>
    <row r="460" spans="40:52" ht="15.75" customHeight="1">
      <c r="AN460" s="418"/>
      <c r="AO460" s="418"/>
      <c r="AP460" s="418"/>
      <c r="AQ460" s="418"/>
      <c r="AR460" s="418"/>
      <c r="AS460" s="418"/>
      <c r="AT460" s="418"/>
      <c r="AU460" s="418"/>
      <c r="AV460" s="418"/>
      <c r="AW460" s="418"/>
      <c r="AX460" s="418"/>
      <c r="AY460" s="418"/>
      <c r="AZ460" s="418"/>
    </row>
    <row r="461" spans="40:52" ht="15.75" customHeight="1">
      <c r="AN461" s="418"/>
      <c r="AO461" s="418"/>
      <c r="AP461" s="418"/>
      <c r="AQ461" s="418"/>
      <c r="AR461" s="418"/>
      <c r="AS461" s="418"/>
      <c r="AT461" s="418"/>
      <c r="AU461" s="418"/>
      <c r="AV461" s="418"/>
      <c r="AW461" s="418"/>
      <c r="AX461" s="418"/>
      <c r="AY461" s="418"/>
      <c r="AZ461" s="418"/>
    </row>
    <row r="462" spans="40:52" ht="15.75" customHeight="1">
      <c r="AN462" s="418"/>
      <c r="AO462" s="418"/>
      <c r="AP462" s="418"/>
      <c r="AQ462" s="418"/>
      <c r="AR462" s="418"/>
      <c r="AS462" s="418"/>
      <c r="AT462" s="418"/>
      <c r="AU462" s="418"/>
      <c r="AV462" s="418"/>
      <c r="AW462" s="418"/>
      <c r="AX462" s="418"/>
      <c r="AY462" s="418"/>
      <c r="AZ462" s="418"/>
    </row>
    <row r="463" spans="40:52" ht="15.75" customHeight="1">
      <c r="AN463" s="418"/>
      <c r="AO463" s="418"/>
      <c r="AP463" s="418"/>
      <c r="AQ463" s="418"/>
      <c r="AR463" s="418"/>
      <c r="AS463" s="418"/>
      <c r="AT463" s="418"/>
      <c r="AU463" s="418"/>
      <c r="AV463" s="418"/>
      <c r="AW463" s="418"/>
      <c r="AX463" s="418"/>
      <c r="AY463" s="418"/>
      <c r="AZ463" s="418"/>
    </row>
    <row r="464" spans="40:52" ht="15.75" customHeight="1">
      <c r="AN464" s="418"/>
      <c r="AO464" s="418"/>
      <c r="AP464" s="418"/>
      <c r="AQ464" s="418"/>
      <c r="AR464" s="418"/>
      <c r="AS464" s="418"/>
      <c r="AT464" s="418"/>
      <c r="AU464" s="418"/>
      <c r="AV464" s="418"/>
      <c r="AW464" s="418"/>
      <c r="AX464" s="418"/>
      <c r="AY464" s="418"/>
      <c r="AZ464" s="418"/>
    </row>
    <row r="465" spans="40:52" ht="15.75" customHeight="1">
      <c r="AN465" s="418"/>
      <c r="AO465" s="418"/>
      <c r="AP465" s="418"/>
      <c r="AQ465" s="418"/>
      <c r="AR465" s="418"/>
      <c r="AS465" s="418"/>
      <c r="AT465" s="418"/>
      <c r="AU465" s="418"/>
      <c r="AV465" s="418"/>
      <c r="AW465" s="418"/>
      <c r="AX465" s="418"/>
      <c r="AY465" s="418"/>
      <c r="AZ465" s="418"/>
    </row>
    <row r="466" spans="40:52" ht="15.75" customHeight="1">
      <c r="AN466" s="418"/>
      <c r="AO466" s="418"/>
      <c r="AP466" s="418"/>
      <c r="AQ466" s="418"/>
      <c r="AR466" s="418"/>
      <c r="AS466" s="418"/>
      <c r="AT466" s="418"/>
      <c r="AU466" s="418"/>
      <c r="AV466" s="418"/>
      <c r="AW466" s="418"/>
      <c r="AX466" s="418"/>
      <c r="AY466" s="418"/>
      <c r="AZ466" s="418"/>
    </row>
    <row r="467" spans="40:52" ht="15.75" customHeight="1">
      <c r="AN467" s="418"/>
      <c r="AO467" s="418"/>
      <c r="AP467" s="418"/>
      <c r="AQ467" s="418"/>
      <c r="AR467" s="418"/>
      <c r="AS467" s="418"/>
      <c r="AT467" s="418"/>
      <c r="AU467" s="418"/>
      <c r="AV467" s="418"/>
      <c r="AW467" s="418"/>
      <c r="AX467" s="418"/>
      <c r="AY467" s="418"/>
      <c r="AZ467" s="418"/>
    </row>
    <row r="468" spans="40:52" ht="15.75" customHeight="1">
      <c r="AN468" s="418"/>
      <c r="AO468" s="418"/>
      <c r="AP468" s="418"/>
      <c r="AQ468" s="418"/>
      <c r="AR468" s="418"/>
      <c r="AS468" s="418"/>
      <c r="AT468" s="418"/>
      <c r="AU468" s="418"/>
      <c r="AV468" s="418"/>
      <c r="AW468" s="418"/>
      <c r="AX468" s="418"/>
      <c r="AY468" s="418"/>
      <c r="AZ468" s="418"/>
    </row>
    <row r="469" spans="40:52" ht="15.75" customHeight="1">
      <c r="AN469" s="418"/>
      <c r="AO469" s="418"/>
      <c r="AP469" s="418"/>
      <c r="AQ469" s="418"/>
      <c r="AR469" s="418"/>
      <c r="AS469" s="418"/>
      <c r="AT469" s="418"/>
      <c r="AU469" s="418"/>
      <c r="AV469" s="418"/>
      <c r="AW469" s="418"/>
      <c r="AX469" s="418"/>
      <c r="AY469" s="418"/>
      <c r="AZ469" s="418"/>
    </row>
    <row r="470" spans="40:52" ht="15.75" customHeight="1">
      <c r="AN470" s="418"/>
      <c r="AO470" s="418"/>
      <c r="AP470" s="418"/>
      <c r="AQ470" s="418"/>
      <c r="AR470" s="418"/>
      <c r="AS470" s="418"/>
      <c r="AT470" s="418"/>
      <c r="AU470" s="418"/>
      <c r="AV470" s="418"/>
      <c r="AW470" s="418"/>
      <c r="AX470" s="418"/>
      <c r="AY470" s="418"/>
      <c r="AZ470" s="418"/>
    </row>
    <row r="471" spans="40:52" ht="15.75" customHeight="1">
      <c r="AN471" s="418"/>
      <c r="AO471" s="418"/>
      <c r="AP471" s="418"/>
      <c r="AQ471" s="418"/>
      <c r="AR471" s="418"/>
      <c r="AS471" s="418"/>
      <c r="AT471" s="418"/>
      <c r="AU471" s="418"/>
      <c r="AV471" s="418"/>
      <c r="AW471" s="418"/>
      <c r="AX471" s="418"/>
      <c r="AY471" s="418"/>
      <c r="AZ471" s="418"/>
    </row>
    <row r="472" spans="40:52" ht="15.75" customHeight="1">
      <c r="AN472" s="418"/>
      <c r="AO472" s="418"/>
      <c r="AP472" s="418"/>
      <c r="AQ472" s="418"/>
      <c r="AR472" s="418"/>
      <c r="AS472" s="418"/>
      <c r="AT472" s="418"/>
      <c r="AU472" s="418"/>
      <c r="AV472" s="418"/>
      <c r="AW472" s="418"/>
      <c r="AX472" s="418"/>
      <c r="AY472" s="418"/>
      <c r="AZ472" s="418"/>
    </row>
    <row r="473" spans="40:52" ht="15.75" customHeight="1">
      <c r="AN473" s="418"/>
      <c r="AO473" s="418"/>
      <c r="AP473" s="418"/>
      <c r="AQ473" s="418"/>
      <c r="AR473" s="418"/>
      <c r="AS473" s="418"/>
      <c r="AT473" s="418"/>
      <c r="AU473" s="418"/>
      <c r="AV473" s="418"/>
      <c r="AW473" s="418"/>
      <c r="AX473" s="418"/>
      <c r="AY473" s="418"/>
      <c r="AZ473" s="418"/>
    </row>
    <row r="474" spans="40:52" ht="15.75" customHeight="1">
      <c r="AN474" s="418"/>
      <c r="AO474" s="418"/>
      <c r="AP474" s="418"/>
      <c r="AQ474" s="418"/>
      <c r="AR474" s="418"/>
      <c r="AS474" s="418"/>
      <c r="AT474" s="418"/>
      <c r="AU474" s="418"/>
      <c r="AV474" s="418"/>
      <c r="AW474" s="418"/>
      <c r="AX474" s="418"/>
      <c r="AY474" s="418"/>
      <c r="AZ474" s="418"/>
    </row>
    <row r="475" spans="40:52" ht="15.75" customHeight="1">
      <c r="AN475" s="418"/>
      <c r="AO475" s="418"/>
      <c r="AP475" s="418"/>
      <c r="AQ475" s="418"/>
      <c r="AR475" s="418"/>
      <c r="AS475" s="418"/>
      <c r="AT475" s="418"/>
      <c r="AU475" s="418"/>
      <c r="AV475" s="418"/>
      <c r="AW475" s="418"/>
      <c r="AX475" s="418"/>
      <c r="AY475" s="418"/>
      <c r="AZ475" s="418"/>
    </row>
    <row r="476" spans="40:52" ht="15.75" customHeight="1">
      <c r="AN476" s="418"/>
      <c r="AO476" s="418"/>
      <c r="AP476" s="418"/>
      <c r="AQ476" s="418"/>
      <c r="AR476" s="418"/>
      <c r="AS476" s="418"/>
      <c r="AT476" s="418"/>
      <c r="AU476" s="418"/>
      <c r="AV476" s="418"/>
      <c r="AW476" s="418"/>
      <c r="AX476" s="418"/>
      <c r="AY476" s="418"/>
      <c r="AZ476" s="418"/>
    </row>
    <row r="477" spans="40:52" ht="15.75" customHeight="1">
      <c r="AN477" s="418"/>
      <c r="AO477" s="418"/>
      <c r="AP477" s="418"/>
      <c r="AQ477" s="418"/>
      <c r="AR477" s="418"/>
      <c r="AS477" s="418"/>
      <c r="AT477" s="418"/>
      <c r="AU477" s="418"/>
      <c r="AV477" s="418"/>
      <c r="AW477" s="418"/>
      <c r="AX477" s="418"/>
      <c r="AY477" s="418"/>
      <c r="AZ477" s="418"/>
    </row>
    <row r="478" spans="40:52" ht="15.75" customHeight="1">
      <c r="AN478" s="418"/>
      <c r="AO478" s="418"/>
      <c r="AP478" s="418"/>
      <c r="AQ478" s="418"/>
      <c r="AR478" s="418"/>
      <c r="AS478" s="418"/>
      <c r="AT478" s="418"/>
      <c r="AU478" s="418"/>
      <c r="AV478" s="418"/>
      <c r="AW478" s="418"/>
      <c r="AX478" s="418"/>
      <c r="AY478" s="418"/>
      <c r="AZ478" s="418"/>
    </row>
    <row r="479" spans="40:52" ht="15.75" customHeight="1">
      <c r="AN479" s="418"/>
      <c r="AO479" s="418"/>
      <c r="AP479" s="418"/>
      <c r="AQ479" s="418"/>
      <c r="AR479" s="418"/>
      <c r="AS479" s="418"/>
      <c r="AT479" s="418"/>
      <c r="AU479" s="418"/>
      <c r="AV479" s="418"/>
      <c r="AW479" s="418"/>
      <c r="AX479" s="418"/>
      <c r="AY479" s="418"/>
      <c r="AZ479" s="418"/>
    </row>
    <row r="480" spans="40:52" ht="15.75" customHeight="1">
      <c r="AN480" s="418"/>
      <c r="AO480" s="418"/>
      <c r="AP480" s="418"/>
      <c r="AQ480" s="418"/>
      <c r="AR480" s="418"/>
      <c r="AS480" s="418"/>
      <c r="AT480" s="418"/>
      <c r="AU480" s="418"/>
      <c r="AV480" s="418"/>
      <c r="AW480" s="418"/>
      <c r="AX480" s="418"/>
      <c r="AY480" s="418"/>
      <c r="AZ480" s="418"/>
    </row>
    <row r="481" spans="40:52" ht="15.75" customHeight="1">
      <c r="AN481" s="418"/>
      <c r="AO481" s="418"/>
      <c r="AP481" s="418"/>
      <c r="AQ481" s="418"/>
      <c r="AR481" s="418"/>
      <c r="AS481" s="418"/>
      <c r="AT481" s="418"/>
      <c r="AU481" s="418"/>
      <c r="AV481" s="418"/>
      <c r="AW481" s="418"/>
      <c r="AX481" s="418"/>
      <c r="AY481" s="418"/>
      <c r="AZ481" s="418"/>
    </row>
    <row r="482" spans="40:52" ht="15.75" customHeight="1">
      <c r="AN482" s="418"/>
      <c r="AO482" s="418"/>
      <c r="AP482" s="418"/>
      <c r="AQ482" s="418"/>
      <c r="AR482" s="418"/>
      <c r="AS482" s="418"/>
      <c r="AT482" s="418"/>
      <c r="AU482" s="418"/>
      <c r="AV482" s="418"/>
      <c r="AW482" s="418"/>
      <c r="AX482" s="418"/>
      <c r="AY482" s="418"/>
      <c r="AZ482" s="418"/>
    </row>
    <row r="483" spans="40:52" ht="15.75" customHeight="1">
      <c r="AN483" s="418"/>
      <c r="AO483" s="418"/>
      <c r="AP483" s="418"/>
      <c r="AQ483" s="418"/>
      <c r="AR483" s="418"/>
      <c r="AS483" s="418"/>
      <c r="AT483" s="418"/>
      <c r="AU483" s="418"/>
      <c r="AV483" s="418"/>
      <c r="AW483" s="418"/>
      <c r="AX483" s="418"/>
      <c r="AY483" s="418"/>
      <c r="AZ483" s="418"/>
    </row>
    <row r="484" spans="40:52" ht="15.75" customHeight="1">
      <c r="AN484" s="418"/>
      <c r="AO484" s="418"/>
      <c r="AP484" s="418"/>
      <c r="AQ484" s="418"/>
      <c r="AR484" s="418"/>
      <c r="AS484" s="418"/>
      <c r="AT484" s="418"/>
      <c r="AU484" s="418"/>
      <c r="AV484" s="418"/>
      <c r="AW484" s="418"/>
      <c r="AX484" s="418"/>
      <c r="AY484" s="418"/>
      <c r="AZ484" s="418"/>
    </row>
    <row r="485" spans="40:52" ht="15.75" customHeight="1">
      <c r="AN485" s="418"/>
      <c r="AO485" s="418"/>
      <c r="AP485" s="418"/>
      <c r="AQ485" s="418"/>
      <c r="AR485" s="418"/>
      <c r="AS485" s="418"/>
      <c r="AT485" s="418"/>
      <c r="AU485" s="418"/>
      <c r="AV485" s="418"/>
      <c r="AW485" s="418"/>
      <c r="AX485" s="418"/>
      <c r="AY485" s="418"/>
      <c r="AZ485" s="418"/>
    </row>
    <row r="486" spans="40:52" ht="15.75" customHeight="1">
      <c r="AN486" s="418"/>
      <c r="AO486" s="418"/>
      <c r="AP486" s="418"/>
      <c r="AQ486" s="418"/>
      <c r="AR486" s="418"/>
      <c r="AS486" s="418"/>
      <c r="AT486" s="418"/>
      <c r="AU486" s="418"/>
      <c r="AV486" s="418"/>
      <c r="AW486" s="418"/>
      <c r="AX486" s="418"/>
      <c r="AY486" s="418"/>
      <c r="AZ486" s="418"/>
    </row>
    <row r="487" spans="40:52" ht="15.75" customHeight="1">
      <c r="AN487" s="418"/>
      <c r="AO487" s="418"/>
      <c r="AP487" s="418"/>
      <c r="AQ487" s="418"/>
      <c r="AR487" s="418"/>
      <c r="AS487" s="418"/>
      <c r="AT487" s="418"/>
      <c r="AU487" s="418"/>
      <c r="AV487" s="418"/>
      <c r="AW487" s="418"/>
      <c r="AX487" s="418"/>
      <c r="AY487" s="418"/>
      <c r="AZ487" s="418"/>
    </row>
    <row r="488" spans="40:52" ht="15.75" customHeight="1">
      <c r="AN488" s="418"/>
      <c r="AO488" s="418"/>
      <c r="AP488" s="418"/>
      <c r="AQ488" s="418"/>
      <c r="AR488" s="418"/>
      <c r="AS488" s="418"/>
      <c r="AT488" s="418"/>
      <c r="AU488" s="418"/>
      <c r="AV488" s="418"/>
      <c r="AW488" s="418"/>
      <c r="AX488" s="418"/>
      <c r="AY488" s="418"/>
      <c r="AZ488" s="418"/>
    </row>
    <row r="489" spans="40:52" ht="15.75" customHeight="1">
      <c r="AN489" s="418"/>
      <c r="AO489" s="418"/>
      <c r="AP489" s="418"/>
      <c r="AQ489" s="418"/>
      <c r="AR489" s="418"/>
      <c r="AS489" s="418"/>
      <c r="AT489" s="418"/>
      <c r="AU489" s="418"/>
      <c r="AV489" s="418"/>
      <c r="AW489" s="418"/>
      <c r="AX489" s="418"/>
      <c r="AY489" s="418"/>
      <c r="AZ489" s="418"/>
    </row>
    <row r="490" spans="40:52" ht="15.75" customHeight="1">
      <c r="AN490" s="418"/>
      <c r="AO490" s="418"/>
      <c r="AP490" s="418"/>
      <c r="AQ490" s="418"/>
      <c r="AR490" s="418"/>
      <c r="AS490" s="418"/>
      <c r="AT490" s="418"/>
      <c r="AU490" s="418"/>
      <c r="AV490" s="418"/>
      <c r="AW490" s="418"/>
      <c r="AX490" s="418"/>
      <c r="AY490" s="418"/>
      <c r="AZ490" s="418"/>
    </row>
    <row r="491" spans="40:52" ht="15.75" customHeight="1">
      <c r="AN491" s="418"/>
      <c r="AO491" s="418"/>
      <c r="AP491" s="418"/>
      <c r="AQ491" s="418"/>
      <c r="AR491" s="418"/>
      <c r="AS491" s="418"/>
      <c r="AT491" s="418"/>
      <c r="AU491" s="418"/>
      <c r="AV491" s="418"/>
      <c r="AW491" s="418"/>
      <c r="AX491" s="418"/>
      <c r="AY491" s="418"/>
      <c r="AZ491" s="418"/>
    </row>
    <row r="492" spans="40:52" ht="15.75" customHeight="1">
      <c r="AN492" s="418"/>
      <c r="AO492" s="418"/>
      <c r="AP492" s="418"/>
      <c r="AQ492" s="418"/>
      <c r="AR492" s="418"/>
      <c r="AS492" s="418"/>
      <c r="AT492" s="418"/>
      <c r="AU492" s="418"/>
      <c r="AV492" s="418"/>
      <c r="AW492" s="418"/>
      <c r="AX492" s="418"/>
      <c r="AY492" s="418"/>
      <c r="AZ492" s="418"/>
    </row>
    <row r="493" spans="40:52" ht="15.75" customHeight="1">
      <c r="AN493" s="418"/>
      <c r="AO493" s="418"/>
      <c r="AP493" s="418"/>
      <c r="AQ493" s="418"/>
      <c r="AR493" s="418"/>
      <c r="AS493" s="418"/>
      <c r="AT493" s="418"/>
      <c r="AU493" s="418"/>
      <c r="AV493" s="418"/>
      <c r="AW493" s="418"/>
      <c r="AX493" s="418"/>
      <c r="AY493" s="418"/>
      <c r="AZ493" s="418"/>
    </row>
    <row r="494" spans="40:52" ht="15.75" customHeight="1">
      <c r="AN494" s="418"/>
      <c r="AO494" s="418"/>
      <c r="AP494" s="418"/>
      <c r="AQ494" s="418"/>
      <c r="AR494" s="418"/>
      <c r="AS494" s="418"/>
      <c r="AT494" s="418"/>
      <c r="AU494" s="418"/>
      <c r="AV494" s="418"/>
      <c r="AW494" s="418"/>
      <c r="AX494" s="418"/>
      <c r="AY494" s="418"/>
      <c r="AZ494" s="418"/>
    </row>
    <row r="495" spans="40:52" ht="15.75" customHeight="1">
      <c r="AN495" s="418"/>
      <c r="AO495" s="418"/>
      <c r="AP495" s="418"/>
      <c r="AQ495" s="418"/>
      <c r="AR495" s="418"/>
      <c r="AS495" s="418"/>
      <c r="AT495" s="418"/>
      <c r="AU495" s="418"/>
      <c r="AV495" s="418"/>
      <c r="AW495" s="418"/>
      <c r="AX495" s="418"/>
      <c r="AY495" s="418"/>
      <c r="AZ495" s="418"/>
    </row>
    <row r="496" spans="40:52" ht="15.75" customHeight="1">
      <c r="AN496" s="418"/>
      <c r="AO496" s="418"/>
      <c r="AP496" s="418"/>
      <c r="AQ496" s="418"/>
      <c r="AR496" s="418"/>
      <c r="AS496" s="418"/>
      <c r="AT496" s="418"/>
      <c r="AU496" s="418"/>
      <c r="AV496" s="418"/>
      <c r="AW496" s="418"/>
      <c r="AX496" s="418"/>
      <c r="AY496" s="418"/>
      <c r="AZ496" s="418"/>
    </row>
    <row r="497" spans="40:52" ht="15.75" customHeight="1">
      <c r="AN497" s="418"/>
      <c r="AO497" s="418"/>
      <c r="AP497" s="418"/>
      <c r="AQ497" s="418"/>
      <c r="AR497" s="418"/>
      <c r="AS497" s="418"/>
      <c r="AT497" s="418"/>
      <c r="AU497" s="418"/>
      <c r="AV497" s="418"/>
      <c r="AW497" s="418"/>
      <c r="AX497" s="418"/>
      <c r="AY497" s="418"/>
      <c r="AZ497" s="418"/>
    </row>
    <row r="498" spans="40:52" ht="15.75" customHeight="1">
      <c r="AN498" s="418"/>
      <c r="AO498" s="418"/>
      <c r="AP498" s="418"/>
      <c r="AQ498" s="418"/>
      <c r="AR498" s="418"/>
      <c r="AS498" s="418"/>
      <c r="AT498" s="418"/>
      <c r="AU498" s="418"/>
      <c r="AV498" s="418"/>
      <c r="AW498" s="418"/>
      <c r="AX498" s="418"/>
      <c r="AY498" s="418"/>
      <c r="AZ498" s="418"/>
    </row>
    <row r="499" spans="40:52" ht="15.75" customHeight="1">
      <c r="AN499" s="418"/>
      <c r="AO499" s="418"/>
      <c r="AP499" s="418"/>
      <c r="AQ499" s="418"/>
      <c r="AR499" s="418"/>
      <c r="AS499" s="418"/>
      <c r="AT499" s="418"/>
      <c r="AU499" s="418"/>
      <c r="AV499" s="418"/>
      <c r="AW499" s="418"/>
      <c r="AX499" s="418"/>
      <c r="AY499" s="418"/>
      <c r="AZ499" s="418"/>
    </row>
    <row r="500" spans="40:52" ht="15.75" customHeight="1">
      <c r="AN500" s="418"/>
      <c r="AO500" s="418"/>
      <c r="AP500" s="418"/>
      <c r="AQ500" s="418"/>
      <c r="AR500" s="418"/>
      <c r="AS500" s="418"/>
      <c r="AT500" s="418"/>
      <c r="AU500" s="418"/>
      <c r="AV500" s="418"/>
      <c r="AW500" s="418"/>
      <c r="AX500" s="418"/>
      <c r="AY500" s="418"/>
      <c r="AZ500" s="418"/>
    </row>
    <row r="501" spans="40:52" ht="15.75" customHeight="1">
      <c r="AN501" s="418"/>
      <c r="AO501" s="418"/>
      <c r="AP501" s="418"/>
      <c r="AQ501" s="418"/>
      <c r="AR501" s="418"/>
      <c r="AS501" s="418"/>
      <c r="AT501" s="418"/>
      <c r="AU501" s="418"/>
      <c r="AV501" s="418"/>
      <c r="AW501" s="418"/>
      <c r="AX501" s="418"/>
      <c r="AY501" s="418"/>
      <c r="AZ501" s="418"/>
    </row>
    <row r="502" spans="40:52" ht="15.75" customHeight="1">
      <c r="AN502" s="418"/>
      <c r="AO502" s="418"/>
      <c r="AP502" s="418"/>
      <c r="AQ502" s="418"/>
      <c r="AR502" s="418"/>
      <c r="AS502" s="418"/>
      <c r="AT502" s="418"/>
      <c r="AU502" s="418"/>
      <c r="AV502" s="418"/>
      <c r="AW502" s="418"/>
      <c r="AX502" s="418"/>
      <c r="AY502" s="418"/>
      <c r="AZ502" s="418"/>
    </row>
    <row r="503" spans="40:52" ht="15.75" customHeight="1">
      <c r="AN503" s="418"/>
      <c r="AO503" s="418"/>
      <c r="AP503" s="418"/>
      <c r="AQ503" s="418"/>
      <c r="AR503" s="418"/>
      <c r="AS503" s="418"/>
      <c r="AT503" s="418"/>
      <c r="AU503" s="418"/>
      <c r="AV503" s="418"/>
      <c r="AW503" s="418"/>
      <c r="AX503" s="418"/>
      <c r="AY503" s="418"/>
      <c r="AZ503" s="418"/>
    </row>
    <row r="504" spans="40:52" ht="15.75" customHeight="1">
      <c r="AN504" s="418"/>
      <c r="AO504" s="418"/>
      <c r="AP504" s="418"/>
      <c r="AQ504" s="418"/>
      <c r="AR504" s="418"/>
      <c r="AS504" s="418"/>
      <c r="AT504" s="418"/>
      <c r="AU504" s="418"/>
      <c r="AV504" s="418"/>
      <c r="AW504" s="418"/>
      <c r="AX504" s="418"/>
      <c r="AY504" s="418"/>
      <c r="AZ504" s="418"/>
    </row>
    <row r="505" spans="40:52" ht="15.75" customHeight="1">
      <c r="AN505" s="418"/>
      <c r="AO505" s="418"/>
      <c r="AP505" s="418"/>
      <c r="AQ505" s="418"/>
      <c r="AR505" s="418"/>
      <c r="AS505" s="418"/>
      <c r="AT505" s="418"/>
      <c r="AU505" s="418"/>
      <c r="AV505" s="418"/>
      <c r="AW505" s="418"/>
      <c r="AX505" s="418"/>
      <c r="AY505" s="418"/>
      <c r="AZ505" s="418"/>
    </row>
    <row r="506" spans="40:52" ht="15.75" customHeight="1">
      <c r="AN506" s="418"/>
      <c r="AO506" s="418"/>
      <c r="AP506" s="418"/>
      <c r="AQ506" s="419"/>
      <c r="AR506" s="419"/>
      <c r="AS506" s="419"/>
      <c r="AT506" s="419"/>
      <c r="AU506" s="419"/>
      <c r="AV506" s="419"/>
      <c r="AW506" s="419"/>
      <c r="AX506" s="419"/>
      <c r="AY506" s="419"/>
      <c r="AZ506" s="419"/>
    </row>
    <row r="507" spans="40:52" ht="15.75" customHeight="1">
      <c r="AN507" s="418"/>
      <c r="AO507" s="418"/>
      <c r="AP507" s="418"/>
      <c r="AQ507" s="419"/>
      <c r="AR507" s="419"/>
      <c r="AS507" s="419"/>
      <c r="AT507" s="419"/>
      <c r="AU507" s="419"/>
      <c r="AV507" s="419"/>
      <c r="AW507" s="419"/>
      <c r="AX507" s="419"/>
      <c r="AY507" s="419"/>
      <c r="AZ507" s="419"/>
    </row>
    <row r="508" spans="40:52" ht="15.75" customHeight="1">
      <c r="AN508" s="418"/>
      <c r="AO508" s="418"/>
      <c r="AP508" s="418"/>
      <c r="AQ508" s="419"/>
      <c r="AR508" s="419"/>
      <c r="AS508" s="419"/>
      <c r="AT508" s="419"/>
      <c r="AU508" s="419"/>
      <c r="AV508" s="419"/>
      <c r="AW508" s="419"/>
      <c r="AX508" s="419"/>
      <c r="AY508" s="419"/>
      <c r="AZ508" s="419"/>
    </row>
    <row r="509" spans="40:52" ht="15.75" customHeight="1">
      <c r="AN509" s="418"/>
      <c r="AO509" s="418"/>
      <c r="AP509" s="418"/>
      <c r="AQ509" s="419"/>
      <c r="AR509" s="419"/>
      <c r="AS509" s="419"/>
      <c r="AT509" s="419"/>
      <c r="AU509" s="419"/>
      <c r="AV509" s="419"/>
      <c r="AW509" s="419"/>
      <c r="AX509" s="419"/>
      <c r="AY509" s="419"/>
      <c r="AZ509" s="419"/>
    </row>
    <row r="510" spans="40:52" ht="15.75" customHeight="1">
      <c r="AN510" s="418"/>
      <c r="AO510" s="418"/>
      <c r="AP510" s="418"/>
      <c r="AQ510" s="419"/>
      <c r="AR510" s="419"/>
      <c r="AS510" s="419"/>
      <c r="AT510" s="419"/>
      <c r="AU510" s="419"/>
      <c r="AV510" s="419"/>
      <c r="AW510" s="419"/>
      <c r="AX510" s="419"/>
      <c r="AY510" s="419"/>
      <c r="AZ510" s="419"/>
    </row>
    <row r="511" spans="40:52" ht="15.75" customHeight="1">
      <c r="AN511" s="418"/>
      <c r="AO511" s="418"/>
      <c r="AP511" s="418"/>
      <c r="AQ511" s="419"/>
      <c r="AR511" s="419"/>
      <c r="AS511" s="419"/>
      <c r="AT511" s="419"/>
      <c r="AU511" s="419"/>
      <c r="AV511" s="419"/>
      <c r="AW511" s="419"/>
      <c r="AX511" s="419"/>
      <c r="AY511" s="419"/>
      <c r="AZ511" s="419"/>
    </row>
    <row r="512" spans="40:52" ht="15.75" customHeight="1">
      <c r="AN512" s="418"/>
      <c r="AO512" s="418"/>
      <c r="AP512" s="418"/>
      <c r="AQ512" s="419"/>
      <c r="AR512" s="419"/>
      <c r="AS512" s="419"/>
      <c r="AT512" s="419"/>
      <c r="AU512" s="419"/>
      <c r="AV512" s="419"/>
      <c r="AW512" s="419"/>
      <c r="AX512" s="419"/>
      <c r="AY512" s="419"/>
      <c r="AZ512" s="419"/>
    </row>
    <row r="513" spans="40:55" ht="15.75" customHeight="1">
      <c r="AN513" s="418"/>
      <c r="AO513" s="418"/>
      <c r="AP513" s="418"/>
      <c r="AQ513" s="419"/>
      <c r="AR513" s="419"/>
      <c r="AS513" s="419"/>
      <c r="AT513" s="419"/>
      <c r="AU513" s="419"/>
      <c r="AV513" s="419"/>
      <c r="AW513" s="419"/>
      <c r="AX513" s="419"/>
      <c r="AY513" s="419"/>
      <c r="AZ513" s="419"/>
    </row>
    <row r="514" spans="40:55" ht="15.75" customHeight="1">
      <c r="AN514" s="418"/>
      <c r="AO514" s="418"/>
      <c r="AP514" s="418"/>
      <c r="AQ514" s="419"/>
      <c r="AR514" s="419"/>
      <c r="AS514" s="419"/>
      <c r="AT514" s="419"/>
      <c r="AU514" s="419"/>
      <c r="AV514" s="419"/>
      <c r="AW514" s="419"/>
      <c r="AX514" s="419"/>
      <c r="AY514" s="419"/>
      <c r="AZ514" s="419"/>
    </row>
    <row r="515" spans="40:55" ht="15.75" customHeight="1">
      <c r="AN515" s="418"/>
      <c r="AO515" s="418"/>
      <c r="AP515" s="418"/>
      <c r="AQ515" s="419"/>
      <c r="AR515" s="419"/>
      <c r="AS515" s="419"/>
      <c r="AT515" s="419"/>
      <c r="AU515" s="419"/>
      <c r="AV515" s="419"/>
      <c r="AW515" s="419"/>
      <c r="AX515" s="419"/>
      <c r="AY515" s="419"/>
      <c r="AZ515" s="419"/>
    </row>
    <row r="516" spans="40:55" ht="15.75" customHeight="1">
      <c r="AN516" s="418"/>
      <c r="AO516" s="418"/>
      <c r="AP516" s="418"/>
      <c r="AQ516" s="419"/>
      <c r="AR516" s="419"/>
      <c r="AS516" s="419"/>
      <c r="AT516" s="419"/>
      <c r="AU516" s="419"/>
      <c r="AV516" s="419"/>
      <c r="AW516" s="419"/>
      <c r="AX516" s="419"/>
      <c r="AY516" s="419"/>
      <c r="AZ516" s="419"/>
      <c r="BC516" s="312"/>
    </row>
    <row r="517" spans="40:55" ht="15.75" customHeight="1">
      <c r="AN517" s="418"/>
      <c r="AO517" s="418"/>
      <c r="AP517" s="418"/>
      <c r="AQ517" s="419"/>
      <c r="AR517" s="419"/>
      <c r="AS517" s="419"/>
      <c r="AT517" s="419"/>
      <c r="AU517" s="419"/>
      <c r="AV517" s="419"/>
      <c r="AW517" s="419"/>
      <c r="AX517" s="419"/>
      <c r="AY517" s="419"/>
      <c r="AZ517" s="419"/>
      <c r="BC517" s="312"/>
    </row>
    <row r="518" spans="40:55" ht="15.75" customHeight="1">
      <c r="AN518" s="418"/>
      <c r="AO518" s="418"/>
      <c r="AP518" s="418"/>
      <c r="AQ518" s="419"/>
      <c r="AR518" s="419"/>
      <c r="AS518" s="419"/>
      <c r="AT518" s="419"/>
      <c r="AU518" s="419"/>
      <c r="AV518" s="419"/>
      <c r="AW518" s="419"/>
      <c r="AX518" s="419"/>
      <c r="AY518" s="419"/>
      <c r="AZ518" s="419"/>
      <c r="BC518" s="312"/>
    </row>
    <row r="519" spans="40:55" ht="15.75" customHeight="1">
      <c r="AN519" s="418"/>
      <c r="AO519" s="418"/>
      <c r="AP519" s="418"/>
      <c r="AQ519" s="418"/>
      <c r="AR519" s="418"/>
      <c r="AS519" s="418"/>
      <c r="AT519" s="418"/>
      <c r="AU519" s="418"/>
      <c r="AV519" s="418"/>
      <c r="AW519" s="418"/>
      <c r="AX519" s="418"/>
      <c r="AY519" s="418"/>
      <c r="AZ519" s="418"/>
      <c r="BC519" s="312"/>
    </row>
    <row r="520" spans="40:55" ht="15.75" customHeight="1">
      <c r="AN520" s="418"/>
      <c r="AO520" s="418"/>
      <c r="AP520" s="418"/>
      <c r="AQ520" s="418"/>
      <c r="AR520" s="418"/>
      <c r="AS520" s="418"/>
      <c r="AT520" s="418"/>
      <c r="AU520" s="418"/>
      <c r="AV520" s="418"/>
      <c r="AW520" s="418"/>
      <c r="AX520" s="418"/>
      <c r="AY520" s="418"/>
      <c r="AZ520" s="418"/>
      <c r="BC520" s="447"/>
    </row>
    <row r="521" spans="40:55" ht="15.75" customHeight="1">
      <c r="AN521" s="418"/>
      <c r="AO521" s="418"/>
      <c r="AP521" s="418"/>
      <c r="AQ521" s="418"/>
      <c r="AR521" s="418"/>
      <c r="AS521" s="418"/>
      <c r="AT521" s="418"/>
      <c r="AU521" s="418"/>
      <c r="AV521" s="418"/>
      <c r="AW521" s="418"/>
      <c r="AX521" s="418"/>
      <c r="AY521" s="418"/>
      <c r="AZ521" s="418"/>
      <c r="BC521" s="312"/>
    </row>
    <row r="522" spans="40:55" ht="15.75" customHeight="1">
      <c r="AN522" s="418"/>
      <c r="AO522" s="418"/>
      <c r="AP522" s="418"/>
      <c r="AQ522" s="418"/>
      <c r="AR522" s="418"/>
      <c r="AS522" s="418"/>
      <c r="AT522" s="418"/>
      <c r="AU522" s="418"/>
      <c r="AV522" s="418"/>
      <c r="AW522" s="418"/>
      <c r="AX522" s="418"/>
      <c r="AY522" s="418"/>
      <c r="AZ522" s="418"/>
      <c r="BC522" s="312"/>
    </row>
    <row r="523" spans="40:55" ht="15.75" customHeight="1">
      <c r="AN523" s="418"/>
      <c r="AO523" s="418"/>
      <c r="AP523" s="418"/>
      <c r="AQ523" s="418"/>
      <c r="AR523" s="418"/>
      <c r="AS523" s="418"/>
      <c r="AT523" s="418"/>
      <c r="AU523" s="418"/>
      <c r="AV523" s="418"/>
      <c r="AW523" s="418"/>
      <c r="AX523" s="418"/>
      <c r="AY523" s="418"/>
      <c r="AZ523" s="418"/>
      <c r="BC523" s="312"/>
    </row>
    <row r="524" spans="40:55" ht="15.75" customHeight="1">
      <c r="AN524" s="418"/>
      <c r="AO524" s="418"/>
      <c r="AP524" s="418"/>
      <c r="AQ524" s="419"/>
      <c r="AR524" s="419"/>
      <c r="AS524" s="419"/>
      <c r="AT524" s="419"/>
      <c r="AU524" s="419"/>
      <c r="AV524" s="419"/>
      <c r="AW524" s="419"/>
      <c r="AX524" s="419"/>
      <c r="AY524" s="419"/>
      <c r="AZ524" s="419"/>
      <c r="BC524" s="447"/>
    </row>
    <row r="525" spans="40:55" ht="15.75" customHeight="1">
      <c r="AN525" s="418"/>
      <c r="AO525" s="418"/>
      <c r="AP525" s="418"/>
      <c r="AQ525" s="419"/>
      <c r="AR525" s="419"/>
      <c r="AS525" s="419"/>
      <c r="AT525" s="419"/>
      <c r="AU525" s="419"/>
      <c r="AV525" s="419"/>
      <c r="AW525" s="419"/>
      <c r="AX525" s="419"/>
      <c r="AY525" s="419"/>
      <c r="AZ525" s="419"/>
      <c r="BC525" s="312"/>
    </row>
    <row r="526" spans="40:55" ht="15.75" customHeight="1">
      <c r="AN526" s="418"/>
      <c r="AO526" s="418"/>
      <c r="AP526" s="418"/>
      <c r="AQ526" s="419"/>
      <c r="AR526" s="419"/>
      <c r="AS526" s="419"/>
      <c r="AT526" s="419"/>
      <c r="AU526" s="419"/>
      <c r="AV526" s="419"/>
      <c r="AW526" s="419"/>
      <c r="AX526" s="419"/>
      <c r="AY526" s="419"/>
      <c r="AZ526" s="419"/>
      <c r="BC526" s="312"/>
    </row>
    <row r="527" spans="40:55" ht="15.75" customHeight="1">
      <c r="AN527" s="418"/>
      <c r="AO527" s="418"/>
      <c r="AP527" s="418"/>
      <c r="AQ527" s="419"/>
      <c r="AR527" s="419"/>
      <c r="AS527" s="419"/>
      <c r="AT527" s="419"/>
      <c r="AU527" s="419"/>
      <c r="AV527" s="419"/>
      <c r="AW527" s="419"/>
      <c r="AX527" s="419"/>
      <c r="AY527" s="419"/>
      <c r="AZ527" s="419"/>
      <c r="BC527" s="312"/>
    </row>
    <row r="528" spans="40:55" ht="15.75" customHeight="1">
      <c r="AN528" s="418"/>
      <c r="AO528" s="418"/>
      <c r="AP528" s="418"/>
      <c r="AQ528" s="419"/>
      <c r="AR528" s="419"/>
      <c r="AS528" s="419"/>
      <c r="AT528" s="419"/>
      <c r="AU528" s="419"/>
      <c r="AV528" s="419"/>
      <c r="AW528" s="419"/>
      <c r="AX528" s="419"/>
      <c r="AY528" s="419"/>
      <c r="AZ528" s="419"/>
      <c r="BC528" s="312"/>
    </row>
    <row r="529" spans="40:55" ht="15.75" customHeight="1">
      <c r="AN529" s="418"/>
      <c r="AO529" s="418"/>
      <c r="AP529" s="418"/>
      <c r="AQ529" s="418"/>
      <c r="AR529" s="418"/>
      <c r="AS529" s="418"/>
      <c r="AT529" s="418"/>
      <c r="AU529" s="418"/>
      <c r="AV529" s="418"/>
      <c r="AW529" s="418"/>
      <c r="AX529" s="418"/>
      <c r="AY529" s="418"/>
      <c r="AZ529" s="418"/>
      <c r="BC529" s="312"/>
    </row>
    <row r="530" spans="40:55" ht="15.75" customHeight="1">
      <c r="AN530" s="418"/>
      <c r="AO530" s="418"/>
      <c r="AP530" s="418"/>
      <c r="AQ530" s="418"/>
      <c r="AR530" s="418"/>
      <c r="AS530" s="418"/>
      <c r="AT530" s="418"/>
      <c r="AU530" s="418"/>
      <c r="AV530" s="418"/>
      <c r="AW530" s="418"/>
      <c r="AX530" s="418"/>
      <c r="AY530" s="418"/>
      <c r="AZ530" s="418"/>
      <c r="BC530" s="312"/>
    </row>
    <row r="531" spans="40:55" ht="15.75" customHeight="1">
      <c r="AN531" s="418"/>
      <c r="AO531" s="418"/>
      <c r="AP531" s="418"/>
      <c r="AQ531" s="418"/>
      <c r="AR531" s="418"/>
      <c r="AS531" s="418"/>
      <c r="AT531" s="418"/>
      <c r="AU531" s="418"/>
      <c r="AV531" s="418"/>
      <c r="AW531" s="418"/>
      <c r="AX531" s="418"/>
      <c r="AY531" s="418"/>
      <c r="AZ531" s="418"/>
    </row>
    <row r="532" spans="40:55" ht="15.75" customHeight="1">
      <c r="AN532" s="418"/>
      <c r="AO532" s="418"/>
      <c r="AP532" s="418"/>
      <c r="AQ532" s="419"/>
      <c r="AR532" s="419"/>
      <c r="AS532" s="419"/>
      <c r="AT532" s="419"/>
      <c r="AU532" s="419"/>
      <c r="AV532" s="419"/>
      <c r="AW532" s="419"/>
      <c r="AX532" s="419"/>
      <c r="AY532" s="419"/>
      <c r="AZ532" s="419"/>
    </row>
    <row r="533" spans="40:55" ht="15.75" customHeight="1">
      <c r="AN533" s="418"/>
      <c r="AO533" s="418"/>
      <c r="AP533" s="418"/>
      <c r="AQ533" s="419"/>
      <c r="AR533" s="419"/>
      <c r="AS533" s="419"/>
      <c r="AT533" s="419"/>
      <c r="AU533" s="419"/>
      <c r="AV533" s="419"/>
      <c r="AW533" s="419"/>
      <c r="AX533" s="419"/>
      <c r="AY533" s="419"/>
      <c r="AZ533" s="419"/>
    </row>
    <row r="534" spans="40:55" ht="15.75" customHeight="1">
      <c r="AN534" s="418"/>
      <c r="AO534" s="418"/>
      <c r="AP534" s="418"/>
      <c r="AQ534" s="419"/>
      <c r="AR534" s="419"/>
      <c r="AS534" s="419"/>
      <c r="AT534" s="419"/>
      <c r="AU534" s="419"/>
      <c r="AV534" s="419"/>
      <c r="AW534" s="419"/>
      <c r="AX534" s="419"/>
      <c r="AY534" s="419"/>
      <c r="AZ534" s="419"/>
    </row>
    <row r="535" spans="40:55" ht="15.75" customHeight="1">
      <c r="AN535" s="418"/>
      <c r="AO535" s="418"/>
      <c r="AP535" s="418"/>
      <c r="AQ535" s="419"/>
      <c r="AR535" s="419"/>
      <c r="AS535" s="419"/>
      <c r="AT535" s="419"/>
      <c r="AU535" s="419"/>
      <c r="AV535" s="419"/>
      <c r="AW535" s="419"/>
      <c r="AX535" s="419"/>
      <c r="AY535" s="419"/>
      <c r="AZ535" s="419"/>
    </row>
    <row r="536" spans="40:55" ht="15.75" customHeight="1">
      <c r="AN536" s="418"/>
      <c r="AO536" s="418"/>
      <c r="AP536" s="418"/>
      <c r="AQ536" s="419"/>
      <c r="AR536" s="419"/>
      <c r="AS536" s="419"/>
      <c r="AT536" s="419"/>
      <c r="AU536" s="419"/>
      <c r="AV536" s="419"/>
      <c r="AW536" s="419"/>
      <c r="AX536" s="419"/>
      <c r="AY536" s="419"/>
      <c r="AZ536" s="419"/>
    </row>
    <row r="537" spans="40:55" ht="15.75" customHeight="1">
      <c r="AN537" s="418"/>
      <c r="AO537" s="418"/>
      <c r="AP537" s="418"/>
      <c r="AQ537" s="419"/>
      <c r="AR537" s="419"/>
      <c r="AS537" s="419"/>
      <c r="AT537" s="419"/>
      <c r="AU537" s="419"/>
      <c r="AV537" s="419"/>
      <c r="AW537" s="419"/>
      <c r="AX537" s="419"/>
      <c r="AY537" s="419"/>
      <c r="AZ537" s="419"/>
    </row>
    <row r="538" spans="40:55" ht="15.75" customHeight="1">
      <c r="AN538" s="418"/>
      <c r="AO538" s="418"/>
      <c r="AP538" s="418"/>
      <c r="AQ538" s="419"/>
      <c r="AR538" s="419"/>
      <c r="AS538" s="419"/>
      <c r="AT538" s="419"/>
      <c r="AU538" s="419"/>
      <c r="AV538" s="419"/>
      <c r="AW538" s="419"/>
      <c r="AX538" s="419"/>
      <c r="AY538" s="419"/>
      <c r="AZ538" s="419"/>
    </row>
    <row r="539" spans="40:55" ht="15.75" customHeight="1">
      <c r="AN539" s="418"/>
      <c r="AO539" s="418"/>
      <c r="AP539" s="418"/>
      <c r="AQ539" s="418"/>
      <c r="AR539" s="418"/>
      <c r="AS539" s="418"/>
      <c r="AT539" s="418"/>
      <c r="AU539" s="418"/>
      <c r="AV539" s="418"/>
      <c r="AW539" s="418"/>
      <c r="AX539" s="418"/>
      <c r="AY539" s="418"/>
      <c r="AZ539" s="418"/>
    </row>
    <row r="540" spans="40:55" ht="15.75" customHeight="1">
      <c r="AN540" s="418"/>
      <c r="AO540" s="418"/>
      <c r="AP540" s="418"/>
      <c r="AQ540" s="418"/>
      <c r="AR540" s="418"/>
      <c r="AS540" s="418"/>
      <c r="AT540" s="418"/>
      <c r="AU540" s="418"/>
      <c r="AV540" s="418"/>
      <c r="AW540" s="418"/>
      <c r="AX540" s="418"/>
      <c r="AY540" s="418"/>
      <c r="AZ540" s="418"/>
    </row>
    <row r="541" spans="40:55" ht="15.75" customHeight="1">
      <c r="AN541" s="418"/>
      <c r="AO541" s="418"/>
      <c r="AP541" s="418"/>
      <c r="AQ541" s="418"/>
      <c r="AR541" s="418"/>
      <c r="AS541" s="418"/>
      <c r="AT541" s="418"/>
      <c r="AU541" s="418"/>
      <c r="AV541" s="418"/>
      <c r="AW541" s="418"/>
      <c r="AX541" s="418"/>
      <c r="AY541" s="418"/>
      <c r="AZ541" s="418"/>
    </row>
    <row r="542" spans="40:55" ht="15.75" customHeight="1">
      <c r="AN542" s="418"/>
      <c r="AO542" s="418"/>
      <c r="AP542" s="418"/>
      <c r="AQ542" s="418"/>
      <c r="AR542" s="418"/>
      <c r="AS542" s="418"/>
      <c r="AT542" s="418"/>
      <c r="AU542" s="418"/>
      <c r="AV542" s="418"/>
      <c r="AW542" s="418"/>
      <c r="AX542" s="418"/>
      <c r="AY542" s="418"/>
      <c r="AZ542" s="418"/>
    </row>
    <row r="543" spans="40:55" ht="15.75" customHeight="1">
      <c r="AN543" s="418"/>
      <c r="AO543" s="418"/>
      <c r="AP543" s="418"/>
      <c r="AQ543" s="418"/>
      <c r="AR543" s="418"/>
      <c r="AS543" s="418"/>
      <c r="AT543" s="418"/>
      <c r="AU543" s="418"/>
      <c r="AV543" s="418"/>
      <c r="AW543" s="418"/>
      <c r="AX543" s="418"/>
      <c r="AY543" s="418"/>
      <c r="AZ543" s="418"/>
    </row>
    <row r="544" spans="40:55" ht="15.75" customHeight="1">
      <c r="AN544" s="418"/>
      <c r="AO544" s="418"/>
      <c r="AP544" s="418"/>
      <c r="AQ544" s="418"/>
      <c r="AR544" s="418"/>
      <c r="AS544" s="418"/>
      <c r="AT544" s="418"/>
      <c r="AU544" s="418"/>
      <c r="AV544" s="418"/>
      <c r="AW544" s="418"/>
      <c r="AX544" s="418"/>
      <c r="AY544" s="418"/>
      <c r="AZ544" s="418"/>
    </row>
    <row r="545" spans="40:52" ht="15.75" customHeight="1">
      <c r="AN545" s="418"/>
      <c r="AO545" s="418"/>
      <c r="AP545" s="418"/>
      <c r="AQ545" s="418"/>
      <c r="AR545" s="418"/>
      <c r="AS545" s="418"/>
      <c r="AT545" s="418"/>
      <c r="AU545" s="418"/>
      <c r="AV545" s="418"/>
      <c r="AW545" s="418"/>
      <c r="AX545" s="418"/>
      <c r="AY545" s="418"/>
      <c r="AZ545" s="418"/>
    </row>
    <row r="546" spans="40:52" ht="15.75" customHeight="1">
      <c r="AN546" s="418"/>
      <c r="AO546" s="418"/>
      <c r="AP546" s="418"/>
      <c r="AQ546" s="418"/>
      <c r="AR546" s="418"/>
      <c r="AS546" s="418"/>
      <c r="AT546" s="418"/>
      <c r="AU546" s="418"/>
      <c r="AV546" s="418"/>
      <c r="AW546" s="418"/>
      <c r="AX546" s="418"/>
      <c r="AY546" s="418"/>
      <c r="AZ546" s="418"/>
    </row>
    <row r="547" spans="40:52" ht="15.75" customHeight="1">
      <c r="AN547" s="418"/>
      <c r="AO547" s="418"/>
      <c r="AP547" s="418"/>
      <c r="AQ547" s="418"/>
      <c r="AR547" s="418"/>
      <c r="AS547" s="418"/>
      <c r="AT547" s="418"/>
      <c r="AU547" s="418"/>
      <c r="AV547" s="418"/>
      <c r="AW547" s="418"/>
      <c r="AX547" s="418"/>
      <c r="AY547" s="418"/>
      <c r="AZ547" s="418"/>
    </row>
    <row r="548" spans="40:52" ht="15.75" customHeight="1">
      <c r="AN548" s="418"/>
      <c r="AO548" s="418"/>
      <c r="AP548" s="418"/>
      <c r="AQ548" s="418"/>
      <c r="AR548" s="418"/>
      <c r="AS548" s="418"/>
      <c r="AT548" s="418"/>
      <c r="AU548" s="418"/>
      <c r="AV548" s="418"/>
      <c r="AW548" s="418"/>
      <c r="AX548" s="418"/>
      <c r="AY548" s="418"/>
      <c r="AZ548" s="418"/>
    </row>
    <row r="549" spans="40:52" ht="15.75" customHeight="1">
      <c r="AN549" s="418"/>
      <c r="AO549" s="418"/>
      <c r="AP549" s="418"/>
      <c r="AQ549" s="418"/>
      <c r="AR549" s="418"/>
      <c r="AS549" s="418"/>
      <c r="AT549" s="418"/>
      <c r="AU549" s="418"/>
      <c r="AV549" s="418"/>
      <c r="AW549" s="418"/>
      <c r="AX549" s="418"/>
      <c r="AY549" s="418"/>
      <c r="AZ549" s="418"/>
    </row>
    <row r="550" spans="40:52" ht="15.75" customHeight="1">
      <c r="AN550" s="418"/>
      <c r="AO550" s="418"/>
      <c r="AP550" s="418"/>
      <c r="AQ550" s="418"/>
      <c r="AR550" s="418"/>
      <c r="AS550" s="418"/>
      <c r="AT550" s="418"/>
      <c r="AU550" s="418"/>
      <c r="AV550" s="418"/>
      <c r="AW550" s="418"/>
      <c r="AX550" s="418"/>
      <c r="AY550" s="418"/>
      <c r="AZ550" s="418"/>
    </row>
    <row r="551" spans="40:52" ht="15.75" customHeight="1">
      <c r="AN551" s="418"/>
      <c r="AO551" s="418"/>
      <c r="AP551" s="418"/>
      <c r="AQ551" s="418"/>
      <c r="AR551" s="418"/>
      <c r="AS551" s="418"/>
      <c r="AT551" s="418"/>
      <c r="AU551" s="418"/>
      <c r="AV551" s="418"/>
      <c r="AW551" s="418"/>
      <c r="AX551" s="418"/>
      <c r="AY551" s="418"/>
      <c r="AZ551" s="418"/>
    </row>
    <row r="552" spans="40:52" ht="15.75" customHeight="1">
      <c r="AN552" s="418"/>
      <c r="AO552" s="418"/>
      <c r="AP552" s="418"/>
      <c r="AQ552" s="418"/>
      <c r="AR552" s="418"/>
      <c r="AS552" s="418"/>
      <c r="AT552" s="418"/>
      <c r="AU552" s="418"/>
      <c r="AV552" s="418"/>
      <c r="AW552" s="418"/>
      <c r="AX552" s="418"/>
      <c r="AY552" s="418"/>
      <c r="AZ552" s="418"/>
    </row>
    <row r="553" spans="40:52" ht="15.75" customHeight="1">
      <c r="AN553" s="418"/>
      <c r="AO553" s="418"/>
      <c r="AP553" s="418"/>
      <c r="AQ553" s="418"/>
      <c r="AR553" s="418"/>
      <c r="AS553" s="418"/>
      <c r="AT553" s="418"/>
      <c r="AU553" s="418"/>
      <c r="AV553" s="418"/>
      <c r="AW553" s="418"/>
      <c r="AX553" s="418"/>
      <c r="AY553" s="418"/>
      <c r="AZ553" s="418"/>
    </row>
    <row r="554" spans="40:52" ht="15.75" customHeight="1">
      <c r="AN554" s="418"/>
      <c r="AO554" s="418"/>
      <c r="AP554" s="418"/>
      <c r="AQ554" s="418"/>
      <c r="AR554" s="418"/>
      <c r="AS554" s="418"/>
      <c r="AT554" s="418"/>
      <c r="AU554" s="418"/>
      <c r="AV554" s="418"/>
      <c r="AW554" s="418"/>
      <c r="AX554" s="418"/>
      <c r="AY554" s="418"/>
      <c r="AZ554" s="418"/>
    </row>
    <row r="555" spans="40:52" ht="15.75" customHeight="1">
      <c r="AN555" s="418"/>
      <c r="AO555" s="418"/>
      <c r="AP555" s="418"/>
      <c r="AQ555" s="418"/>
      <c r="AR555" s="418"/>
      <c r="AS555" s="418"/>
      <c r="AT555" s="418"/>
      <c r="AU555" s="418"/>
      <c r="AV555" s="418"/>
      <c r="AW555" s="418"/>
      <c r="AX555" s="418"/>
      <c r="AY555" s="418"/>
      <c r="AZ555" s="418"/>
    </row>
    <row r="556" spans="40:52" ht="15.75" customHeight="1">
      <c r="AN556" s="418"/>
      <c r="AO556" s="418"/>
      <c r="AP556" s="418"/>
      <c r="AQ556" s="418"/>
      <c r="AR556" s="418"/>
      <c r="AS556" s="418"/>
      <c r="AT556" s="418"/>
      <c r="AU556" s="418"/>
      <c r="AV556" s="418"/>
      <c r="AW556" s="418"/>
      <c r="AX556" s="418"/>
      <c r="AY556" s="418"/>
      <c r="AZ556" s="418"/>
    </row>
    <row r="557" spans="40:52" ht="15.75" customHeight="1">
      <c r="AN557" s="418"/>
      <c r="AO557" s="418"/>
      <c r="AP557" s="418"/>
      <c r="AQ557" s="418"/>
      <c r="AR557" s="418"/>
      <c r="AS557" s="418"/>
      <c r="AT557" s="418"/>
      <c r="AU557" s="418"/>
      <c r="AV557" s="418"/>
      <c r="AW557" s="418"/>
      <c r="AX557" s="418"/>
      <c r="AY557" s="418"/>
      <c r="AZ557" s="418"/>
    </row>
    <row r="558" spans="40:52" ht="15.75" customHeight="1">
      <c r="AN558" s="418"/>
      <c r="AO558" s="418"/>
      <c r="AP558" s="418"/>
      <c r="AQ558" s="418"/>
      <c r="AR558" s="418"/>
      <c r="AS558" s="418"/>
      <c r="AT558" s="418"/>
      <c r="AU558" s="418"/>
      <c r="AV558" s="418"/>
      <c r="AW558" s="418"/>
      <c r="AX558" s="418"/>
      <c r="AY558" s="418"/>
      <c r="AZ558" s="418"/>
    </row>
    <row r="559" spans="40:52" ht="15.75" customHeight="1">
      <c r="AN559" s="418"/>
      <c r="AO559" s="418"/>
      <c r="AP559" s="418"/>
      <c r="AQ559" s="418"/>
      <c r="AR559" s="418"/>
      <c r="AS559" s="418"/>
      <c r="AT559" s="418"/>
      <c r="AU559" s="418"/>
      <c r="AV559" s="418"/>
      <c r="AW559" s="418"/>
      <c r="AX559" s="418"/>
      <c r="AY559" s="418"/>
      <c r="AZ559" s="418"/>
    </row>
    <row r="560" spans="40:52" ht="15.75" customHeight="1">
      <c r="AN560" s="418"/>
      <c r="AO560" s="418"/>
      <c r="AP560" s="418"/>
      <c r="AQ560" s="418"/>
      <c r="AR560" s="418"/>
      <c r="AS560" s="418"/>
      <c r="AT560" s="418"/>
      <c r="AU560" s="418"/>
      <c r="AV560" s="418"/>
      <c r="AW560" s="418"/>
      <c r="AX560" s="418"/>
      <c r="AY560" s="418"/>
      <c r="AZ560" s="418"/>
    </row>
    <row r="561" spans="40:52" ht="15.75" customHeight="1">
      <c r="AN561" s="418"/>
      <c r="AO561" s="418"/>
      <c r="AP561" s="418"/>
      <c r="AQ561" s="418"/>
      <c r="AR561" s="418"/>
      <c r="AS561" s="418"/>
      <c r="AT561" s="418"/>
      <c r="AU561" s="418"/>
      <c r="AV561" s="418"/>
      <c r="AW561" s="418"/>
      <c r="AX561" s="418"/>
      <c r="AY561" s="418"/>
      <c r="AZ561" s="418"/>
    </row>
    <row r="562" spans="40:52" ht="15.75" customHeight="1">
      <c r="AN562" s="418"/>
      <c r="AO562" s="418"/>
      <c r="AP562" s="418"/>
      <c r="AQ562" s="418"/>
      <c r="AR562" s="418"/>
      <c r="AS562" s="418"/>
      <c r="AT562" s="418"/>
      <c r="AU562" s="418"/>
      <c r="AV562" s="418"/>
      <c r="AW562" s="418"/>
      <c r="AX562" s="418"/>
      <c r="AY562" s="418"/>
      <c r="AZ562" s="418"/>
    </row>
    <row r="563" spans="40:52" ht="15.75" customHeight="1">
      <c r="AN563" s="418"/>
      <c r="AO563" s="418"/>
      <c r="AP563" s="418"/>
      <c r="AQ563" s="418"/>
      <c r="AR563" s="418"/>
      <c r="AS563" s="418"/>
      <c r="AT563" s="418"/>
      <c r="AU563" s="418"/>
      <c r="AV563" s="418"/>
      <c r="AW563" s="418"/>
      <c r="AX563" s="418"/>
      <c r="AY563" s="418"/>
      <c r="AZ563" s="418"/>
    </row>
    <row r="564" spans="40:52" ht="15.75" customHeight="1">
      <c r="AN564" s="418"/>
      <c r="AO564" s="418"/>
      <c r="AP564" s="418"/>
      <c r="AQ564" s="418"/>
      <c r="AR564" s="418"/>
      <c r="AS564" s="418"/>
      <c r="AT564" s="418"/>
      <c r="AU564" s="418"/>
      <c r="AV564" s="418"/>
      <c r="AW564" s="418"/>
      <c r="AX564" s="418"/>
      <c r="AY564" s="418"/>
      <c r="AZ564" s="418"/>
    </row>
    <row r="565" spans="40:52" ht="15.75" customHeight="1">
      <c r="AN565" s="418"/>
      <c r="AO565" s="418"/>
      <c r="AP565" s="418"/>
      <c r="AQ565" s="418"/>
      <c r="AR565" s="418"/>
      <c r="AS565" s="418"/>
      <c r="AT565" s="418"/>
      <c r="AU565" s="418"/>
      <c r="AV565" s="418"/>
      <c r="AW565" s="418"/>
      <c r="AX565" s="418"/>
      <c r="AY565" s="418"/>
      <c r="AZ565" s="418"/>
    </row>
    <row r="566" spans="40:52" ht="15.75" customHeight="1">
      <c r="AN566" s="418"/>
      <c r="AO566" s="418"/>
      <c r="AP566" s="418"/>
      <c r="AQ566" s="418"/>
      <c r="AR566" s="418"/>
      <c r="AS566" s="418"/>
      <c r="AT566" s="418"/>
      <c r="AU566" s="418"/>
      <c r="AV566" s="418"/>
      <c r="AW566" s="418"/>
      <c r="AX566" s="418"/>
      <c r="AY566" s="418"/>
      <c r="AZ566" s="418"/>
    </row>
    <row r="567" spans="40:52" ht="15.75" customHeight="1">
      <c r="AN567" s="418"/>
      <c r="AO567" s="418"/>
      <c r="AP567" s="418"/>
      <c r="AQ567" s="418"/>
      <c r="AR567" s="418"/>
      <c r="AS567" s="418"/>
      <c r="AT567" s="418"/>
      <c r="AU567" s="418"/>
      <c r="AV567" s="418"/>
      <c r="AW567" s="418"/>
      <c r="AX567" s="418"/>
      <c r="AY567" s="418"/>
      <c r="AZ567" s="418"/>
    </row>
    <row r="568" spans="40:52" ht="15.75" customHeight="1">
      <c r="AN568" s="418"/>
      <c r="AO568" s="418"/>
      <c r="AP568" s="418"/>
      <c r="AQ568" s="418"/>
      <c r="AR568" s="418"/>
      <c r="AS568" s="418"/>
      <c r="AT568" s="418"/>
      <c r="AU568" s="418"/>
      <c r="AV568" s="418"/>
      <c r="AW568" s="418"/>
      <c r="AX568" s="418"/>
      <c r="AY568" s="418"/>
      <c r="AZ568" s="418"/>
    </row>
    <row r="569" spans="40:52" ht="15.75" customHeight="1">
      <c r="AN569" s="418"/>
      <c r="AO569" s="418"/>
      <c r="AP569" s="418"/>
      <c r="AQ569" s="418"/>
      <c r="AR569" s="418"/>
      <c r="AS569" s="418"/>
      <c r="AT569" s="418"/>
      <c r="AU569" s="418"/>
      <c r="AV569" s="418"/>
      <c r="AW569" s="418"/>
      <c r="AX569" s="418"/>
      <c r="AY569" s="418"/>
      <c r="AZ569" s="418"/>
    </row>
    <row r="570" spans="40:52" ht="15.75" customHeight="1">
      <c r="AN570" s="418"/>
      <c r="AO570" s="418"/>
      <c r="AP570" s="418"/>
      <c r="AQ570" s="418"/>
      <c r="AR570" s="418"/>
      <c r="AS570" s="418"/>
      <c r="AT570" s="418"/>
      <c r="AU570" s="418"/>
      <c r="AV570" s="418"/>
      <c r="AW570" s="418"/>
      <c r="AX570" s="418"/>
      <c r="AY570" s="418"/>
      <c r="AZ570" s="418"/>
    </row>
    <row r="571" spans="40:52" ht="15.75" customHeight="1">
      <c r="AN571" s="418"/>
      <c r="AO571" s="418"/>
      <c r="AP571" s="418"/>
      <c r="AQ571" s="418"/>
      <c r="AR571" s="418"/>
      <c r="AS571" s="418"/>
      <c r="AT571" s="418"/>
      <c r="AU571" s="418"/>
      <c r="AV571" s="418"/>
      <c r="AW571" s="418"/>
      <c r="AX571" s="418"/>
      <c r="AY571" s="418"/>
      <c r="AZ571" s="418"/>
    </row>
    <row r="572" spans="40:52" ht="15.75" customHeight="1">
      <c r="AN572" s="418"/>
      <c r="AO572" s="418"/>
      <c r="AP572" s="418"/>
      <c r="AQ572" s="418"/>
      <c r="AR572" s="418"/>
      <c r="AS572" s="418"/>
      <c r="AT572" s="418"/>
      <c r="AU572" s="418"/>
      <c r="AV572" s="418"/>
      <c r="AW572" s="418"/>
      <c r="AX572" s="418"/>
      <c r="AY572" s="418"/>
      <c r="AZ572" s="418"/>
    </row>
    <row r="573" spans="40:52" ht="15.75" customHeight="1">
      <c r="AN573" s="418"/>
      <c r="AO573" s="418"/>
      <c r="AP573" s="418"/>
      <c r="AQ573" s="418"/>
      <c r="AR573" s="418"/>
      <c r="AS573" s="418"/>
      <c r="AT573" s="418"/>
      <c r="AU573" s="418"/>
      <c r="AV573" s="418"/>
      <c r="AW573" s="418"/>
      <c r="AX573" s="418"/>
      <c r="AY573" s="418"/>
      <c r="AZ573" s="418"/>
    </row>
    <row r="574" spans="40:52" ht="15.75" customHeight="1">
      <c r="AN574" s="418"/>
      <c r="AO574" s="418"/>
      <c r="AP574" s="418"/>
      <c r="AQ574" s="418"/>
      <c r="AR574" s="418"/>
      <c r="AS574" s="418"/>
      <c r="AT574" s="418"/>
      <c r="AU574" s="418"/>
      <c r="AV574" s="418"/>
      <c r="AW574" s="418"/>
      <c r="AX574" s="418"/>
      <c r="AY574" s="418"/>
      <c r="AZ574" s="418"/>
    </row>
    <row r="575" spans="40:52" ht="15.75" customHeight="1">
      <c r="AN575" s="418"/>
      <c r="AO575" s="418"/>
      <c r="AP575" s="418"/>
      <c r="AQ575" s="418"/>
      <c r="AR575" s="418"/>
      <c r="AS575" s="418"/>
      <c r="AT575" s="418"/>
      <c r="AU575" s="418"/>
      <c r="AV575" s="418"/>
      <c r="AW575" s="418"/>
      <c r="AX575" s="418"/>
      <c r="AY575" s="418"/>
      <c r="AZ575" s="418"/>
    </row>
    <row r="576" spans="40:52" ht="15.75" customHeight="1">
      <c r="AN576" s="418"/>
      <c r="AO576" s="418"/>
      <c r="AP576" s="418"/>
      <c r="AQ576" s="418"/>
      <c r="AR576" s="418"/>
      <c r="AS576" s="418"/>
      <c r="AT576" s="418"/>
      <c r="AU576" s="418"/>
      <c r="AV576" s="418"/>
      <c r="AW576" s="418"/>
      <c r="AX576" s="418"/>
      <c r="AY576" s="418"/>
      <c r="AZ576" s="418"/>
    </row>
    <row r="577" spans="40:52" ht="15.75" customHeight="1">
      <c r="AN577" s="418"/>
      <c r="AO577" s="418"/>
      <c r="AP577" s="418"/>
      <c r="AQ577" s="418"/>
      <c r="AR577" s="418"/>
      <c r="AS577" s="418"/>
      <c r="AT577" s="418"/>
      <c r="AU577" s="418"/>
      <c r="AV577" s="418"/>
      <c r="AW577" s="418"/>
      <c r="AX577" s="418"/>
      <c r="AY577" s="418"/>
      <c r="AZ577" s="418"/>
    </row>
    <row r="578" spans="40:52" ht="15.75" customHeight="1">
      <c r="AN578" s="418"/>
      <c r="AO578" s="418"/>
      <c r="AP578" s="418"/>
      <c r="AQ578" s="418"/>
      <c r="AR578" s="418"/>
      <c r="AS578" s="418"/>
      <c r="AT578" s="418"/>
      <c r="AU578" s="418"/>
      <c r="AV578" s="418"/>
      <c r="AW578" s="418"/>
      <c r="AX578" s="418"/>
      <c r="AY578" s="418"/>
      <c r="AZ578" s="418"/>
    </row>
    <row r="579" spans="40:52" ht="15.75" customHeight="1">
      <c r="AN579" s="418"/>
      <c r="AO579" s="418"/>
      <c r="AP579" s="418"/>
      <c r="AQ579" s="418"/>
      <c r="AR579" s="418"/>
      <c r="AS579" s="418"/>
      <c r="AT579" s="418"/>
      <c r="AU579" s="418"/>
      <c r="AV579" s="418"/>
      <c r="AW579" s="418"/>
      <c r="AX579" s="418"/>
      <c r="AY579" s="418"/>
      <c r="AZ579" s="418"/>
    </row>
    <row r="580" spans="40:52" ht="15.75" customHeight="1">
      <c r="AN580" s="418"/>
      <c r="AO580" s="418"/>
      <c r="AP580" s="418"/>
      <c r="AQ580" s="418"/>
      <c r="AR580" s="418"/>
      <c r="AS580" s="418"/>
      <c r="AT580" s="418"/>
      <c r="AU580" s="418"/>
      <c r="AV580" s="418"/>
      <c r="AW580" s="418"/>
      <c r="AX580" s="418"/>
      <c r="AY580" s="418"/>
      <c r="AZ580" s="418"/>
    </row>
    <row r="581" spans="40:52" ht="15.75" customHeight="1">
      <c r="AN581" s="418"/>
      <c r="AO581" s="418"/>
      <c r="AP581" s="418"/>
      <c r="AQ581" s="418"/>
      <c r="AR581" s="418"/>
      <c r="AS581" s="418"/>
      <c r="AT581" s="418"/>
      <c r="AU581" s="418"/>
      <c r="AV581" s="418"/>
      <c r="AW581" s="418"/>
      <c r="AX581" s="418"/>
      <c r="AY581" s="418"/>
      <c r="AZ581" s="418"/>
    </row>
    <row r="582" spans="40:52" ht="15.75" customHeight="1">
      <c r="AN582" s="418"/>
      <c r="AO582" s="418"/>
      <c r="AP582" s="418"/>
      <c r="AQ582" s="418"/>
      <c r="AR582" s="418"/>
      <c r="AS582" s="418"/>
      <c r="AT582" s="418"/>
      <c r="AU582" s="418"/>
      <c r="AV582" s="418"/>
      <c r="AW582" s="418"/>
      <c r="AX582" s="418"/>
      <c r="AY582" s="418"/>
      <c r="AZ582" s="418"/>
    </row>
    <row r="583" spans="40:52" ht="15.75" customHeight="1">
      <c r="AN583" s="418"/>
      <c r="AO583" s="418"/>
      <c r="AP583" s="418"/>
      <c r="AQ583" s="418"/>
      <c r="AR583" s="418"/>
      <c r="AS583" s="418"/>
      <c r="AT583" s="418"/>
      <c r="AU583" s="418"/>
      <c r="AV583" s="418"/>
      <c r="AW583" s="418"/>
      <c r="AX583" s="418"/>
      <c r="AY583" s="418"/>
      <c r="AZ583" s="418"/>
    </row>
    <row r="584" spans="40:52" ht="15.75" customHeight="1">
      <c r="AN584" s="418"/>
      <c r="AO584" s="418"/>
      <c r="AP584" s="418"/>
      <c r="AQ584" s="418"/>
      <c r="AR584" s="418"/>
      <c r="AS584" s="418"/>
      <c r="AT584" s="418"/>
      <c r="AU584" s="418"/>
      <c r="AV584" s="418"/>
      <c r="AW584" s="418"/>
      <c r="AX584" s="418"/>
      <c r="AY584" s="418"/>
      <c r="AZ584" s="418"/>
    </row>
    <row r="585" spans="40:52" ht="15.75" customHeight="1">
      <c r="AN585" s="418"/>
      <c r="AO585" s="418"/>
      <c r="AP585" s="418"/>
      <c r="AQ585" s="418"/>
      <c r="AR585" s="418"/>
      <c r="AS585" s="418"/>
      <c r="AT585" s="418"/>
      <c r="AU585" s="418"/>
      <c r="AV585" s="418"/>
      <c r="AW585" s="418"/>
      <c r="AX585" s="418"/>
      <c r="AY585" s="418"/>
      <c r="AZ585" s="418"/>
    </row>
    <row r="586" spans="40:52" ht="15.75" customHeight="1">
      <c r="AN586" s="418"/>
      <c r="AO586" s="418"/>
      <c r="AP586" s="418"/>
      <c r="AQ586" s="418"/>
      <c r="AR586" s="418"/>
      <c r="AS586" s="418"/>
      <c r="AT586" s="418"/>
      <c r="AU586" s="418"/>
      <c r="AV586" s="418"/>
      <c r="AW586" s="418"/>
      <c r="AX586" s="418"/>
      <c r="AY586" s="418"/>
      <c r="AZ586" s="418"/>
    </row>
    <row r="587" spans="40:52" ht="15.75" customHeight="1">
      <c r="AN587" s="418"/>
      <c r="AO587" s="418"/>
      <c r="AP587" s="418"/>
      <c r="AQ587" s="418"/>
      <c r="AR587" s="418"/>
      <c r="AS587" s="418"/>
      <c r="AT587" s="418"/>
      <c r="AU587" s="418"/>
      <c r="AV587" s="418"/>
      <c r="AW587" s="418"/>
      <c r="AX587" s="418"/>
      <c r="AY587" s="418"/>
      <c r="AZ587" s="418"/>
    </row>
    <row r="588" spans="40:52" ht="15.75" customHeight="1">
      <c r="AN588" s="418"/>
      <c r="AO588" s="418"/>
      <c r="AP588" s="418"/>
      <c r="AQ588" s="418"/>
      <c r="AR588" s="418"/>
      <c r="AS588" s="418"/>
      <c r="AT588" s="418"/>
      <c r="AU588" s="418"/>
      <c r="AV588" s="418"/>
      <c r="AW588" s="418"/>
      <c r="AX588" s="418"/>
      <c r="AY588" s="418"/>
      <c r="AZ588" s="418"/>
    </row>
    <row r="589" spans="40:52" ht="15.75" customHeight="1">
      <c r="AN589" s="418"/>
      <c r="AO589" s="418"/>
      <c r="AP589" s="418"/>
      <c r="AQ589" s="418"/>
      <c r="AR589" s="418"/>
      <c r="AS589" s="418"/>
      <c r="AT589" s="418"/>
      <c r="AU589" s="418"/>
      <c r="AV589" s="418"/>
      <c r="AW589" s="418"/>
      <c r="AX589" s="418"/>
      <c r="AY589" s="418"/>
      <c r="AZ589" s="418"/>
    </row>
    <row r="590" spans="40:52" ht="15.75" customHeight="1">
      <c r="AN590" s="418"/>
      <c r="AO590" s="418"/>
      <c r="AP590" s="418"/>
      <c r="AQ590" s="418"/>
      <c r="AR590" s="418"/>
      <c r="AS590" s="418"/>
      <c r="AT590" s="418"/>
      <c r="AU590" s="418"/>
      <c r="AV590" s="418"/>
      <c r="AW590" s="418"/>
      <c r="AX590" s="418"/>
      <c r="AY590" s="418"/>
      <c r="AZ590" s="418"/>
    </row>
    <row r="591" spans="40:52" ht="15.75" customHeight="1">
      <c r="AN591" s="418"/>
      <c r="AO591" s="418"/>
      <c r="AP591" s="418"/>
      <c r="AQ591" s="418"/>
      <c r="AR591" s="418"/>
      <c r="AS591" s="418"/>
      <c r="AT591" s="418"/>
      <c r="AU591" s="418"/>
      <c r="AV591" s="418"/>
      <c r="AW591" s="418"/>
      <c r="AX591" s="418"/>
      <c r="AY591" s="418"/>
      <c r="AZ591" s="418"/>
    </row>
    <row r="592" spans="40:52" ht="15.75" customHeight="1">
      <c r="AN592" s="418"/>
      <c r="AO592" s="418"/>
      <c r="AP592" s="418"/>
      <c r="AQ592" s="418"/>
      <c r="AR592" s="418"/>
      <c r="AS592" s="418"/>
      <c r="AT592" s="418"/>
      <c r="AU592" s="418"/>
      <c r="AV592" s="418"/>
      <c r="AW592" s="418"/>
      <c r="AX592" s="418"/>
      <c r="AY592" s="418"/>
      <c r="AZ592" s="418"/>
    </row>
    <row r="593" spans="40:65" ht="15.75" customHeight="1">
      <c r="AN593" s="418"/>
      <c r="AO593" s="418"/>
      <c r="AP593" s="418"/>
      <c r="AQ593" s="418"/>
      <c r="AR593" s="418"/>
      <c r="AS593" s="418"/>
      <c r="AT593" s="418"/>
      <c r="AU593" s="418"/>
      <c r="AV593" s="418"/>
      <c r="AW593" s="418"/>
      <c r="AX593" s="418"/>
      <c r="AY593" s="418"/>
      <c r="AZ593" s="418"/>
    </row>
    <row r="594" spans="40:65" ht="15.75" customHeight="1">
      <c r="AN594" s="418"/>
      <c r="AO594" s="418"/>
      <c r="AP594" s="418"/>
      <c r="AQ594" s="418"/>
      <c r="AR594" s="418"/>
      <c r="AS594" s="418"/>
      <c r="AT594" s="418"/>
      <c r="AU594" s="418"/>
      <c r="AV594" s="418"/>
      <c r="AW594" s="418"/>
      <c r="AX594" s="418"/>
      <c r="AY594" s="418"/>
      <c r="AZ594" s="418"/>
    </row>
    <row r="595" spans="40:65" ht="15.75" customHeight="1">
      <c r="AN595" s="418"/>
      <c r="AO595" s="418"/>
      <c r="AP595" s="418"/>
      <c r="AQ595" s="418"/>
      <c r="AR595" s="418"/>
      <c r="AS595" s="418"/>
      <c r="AT595" s="418"/>
      <c r="AU595" s="418"/>
      <c r="AV595" s="418"/>
      <c r="AW595" s="418"/>
      <c r="AX595" s="418"/>
      <c r="AY595" s="418"/>
      <c r="AZ595" s="418"/>
    </row>
    <row r="596" spans="40:65" ht="15.75" customHeight="1">
      <c r="AN596" s="418"/>
      <c r="AO596" s="418"/>
      <c r="AP596" s="418"/>
      <c r="AQ596" s="418"/>
      <c r="AR596" s="418"/>
      <c r="AS596" s="418"/>
      <c r="AT596" s="418"/>
      <c r="AU596" s="418"/>
      <c r="AV596" s="418"/>
      <c r="AW596" s="418"/>
      <c r="AX596" s="418"/>
      <c r="AY596" s="418"/>
      <c r="AZ596" s="418"/>
    </row>
    <row r="597" spans="40:65" ht="15.75" customHeight="1">
      <c r="AN597" s="418"/>
      <c r="AO597" s="418"/>
      <c r="AP597" s="418"/>
      <c r="AQ597" s="418"/>
      <c r="AR597" s="418"/>
      <c r="AS597" s="418"/>
      <c r="AT597" s="418"/>
      <c r="AU597" s="418"/>
      <c r="AV597" s="418"/>
      <c r="AW597" s="418"/>
      <c r="AX597" s="418"/>
      <c r="AY597" s="418"/>
      <c r="AZ597" s="418"/>
    </row>
    <row r="598" spans="40:65" ht="15.75" customHeight="1">
      <c r="AN598" s="418"/>
      <c r="AO598" s="418"/>
      <c r="AP598" s="418"/>
      <c r="AQ598" s="418"/>
      <c r="AR598" s="418"/>
      <c r="AS598" s="418"/>
      <c r="AT598" s="418"/>
      <c r="AU598" s="418"/>
      <c r="AV598" s="418"/>
      <c r="AW598" s="418"/>
      <c r="AX598" s="418"/>
      <c r="AY598" s="418"/>
      <c r="AZ598" s="418"/>
    </row>
    <row r="599" spans="40:65" ht="15.75" customHeight="1">
      <c r="AN599" s="418"/>
      <c r="AO599" s="418"/>
      <c r="AP599" s="418"/>
      <c r="AQ599" s="418"/>
      <c r="AR599" s="418"/>
      <c r="AS599" s="418"/>
      <c r="AT599" s="418"/>
      <c r="AU599" s="418"/>
      <c r="AV599" s="418"/>
      <c r="AW599" s="418"/>
      <c r="AX599" s="418"/>
      <c r="AY599" s="418"/>
      <c r="AZ599" s="418"/>
    </row>
    <row r="600" spans="40:65" ht="15.75" customHeight="1">
      <c r="AN600" s="418"/>
      <c r="AO600" s="418"/>
      <c r="AP600" s="418"/>
      <c r="AQ600" s="418"/>
      <c r="AR600" s="418"/>
      <c r="AS600" s="418"/>
      <c r="AT600" s="418"/>
      <c r="AU600" s="418"/>
      <c r="AV600" s="418"/>
      <c r="AW600" s="418"/>
      <c r="AX600" s="418"/>
      <c r="AY600" s="418"/>
      <c r="AZ600" s="418"/>
      <c r="BH600" s="312"/>
    </row>
    <row r="601" spans="40:65" ht="15.75" customHeight="1">
      <c r="AN601" s="418"/>
      <c r="AO601" s="418"/>
      <c r="AP601" s="418"/>
      <c r="AQ601" s="418"/>
      <c r="AR601" s="418"/>
      <c r="AS601" s="418"/>
      <c r="AT601" s="418"/>
      <c r="AU601" s="418"/>
      <c r="AV601" s="418"/>
      <c r="AW601" s="418"/>
      <c r="AX601" s="418"/>
      <c r="AY601" s="418"/>
      <c r="AZ601" s="418"/>
    </row>
    <row r="602" spans="40:65" ht="15.75" customHeight="1">
      <c r="AN602" s="418"/>
      <c r="AO602" s="418"/>
      <c r="AP602" s="418"/>
      <c r="AQ602" s="418"/>
      <c r="AR602" s="418"/>
      <c r="AS602" s="418"/>
      <c r="AT602" s="418"/>
      <c r="AU602" s="418"/>
      <c r="AV602" s="418"/>
      <c r="AW602" s="418"/>
      <c r="AX602" s="418"/>
      <c r="AY602" s="418"/>
      <c r="AZ602" s="418"/>
      <c r="BI602" s="312"/>
      <c r="BJ602" s="312"/>
      <c r="BK602" s="312"/>
      <c r="BL602" s="312"/>
      <c r="BM602" s="312"/>
    </row>
    <row r="603" spans="40:65" ht="15.75" customHeight="1">
      <c r="AN603" s="418"/>
      <c r="AO603" s="418"/>
      <c r="AP603" s="418"/>
      <c r="AQ603" s="418"/>
      <c r="AR603" s="418"/>
      <c r="AS603" s="418"/>
      <c r="AT603" s="418"/>
      <c r="AU603" s="418"/>
      <c r="AV603" s="418"/>
      <c r="AW603" s="418"/>
      <c r="AX603" s="418"/>
      <c r="AY603" s="418"/>
      <c r="AZ603" s="418"/>
    </row>
    <row r="604" spans="40:65" ht="15.75" customHeight="1">
      <c r="AN604" s="418"/>
      <c r="AO604" s="418"/>
      <c r="AP604" s="418"/>
      <c r="AQ604" s="418"/>
      <c r="AR604" s="418"/>
      <c r="AS604" s="418"/>
      <c r="AT604" s="418"/>
      <c r="AU604" s="418"/>
      <c r="AV604" s="418"/>
      <c r="AW604" s="418"/>
      <c r="AX604" s="418"/>
      <c r="AY604" s="418"/>
      <c r="AZ604" s="418"/>
    </row>
    <row r="605" spans="40:65" ht="15.75" customHeight="1">
      <c r="AN605" s="418"/>
      <c r="AO605" s="418"/>
      <c r="AP605" s="418"/>
      <c r="AQ605" s="418"/>
      <c r="AR605" s="418"/>
      <c r="AS605" s="418"/>
      <c r="AT605" s="418"/>
      <c r="AU605" s="418"/>
      <c r="AV605" s="418"/>
      <c r="AW605" s="418"/>
      <c r="AX605" s="418"/>
      <c r="AY605" s="418"/>
      <c r="AZ605" s="418"/>
    </row>
    <row r="606" spans="40:65" ht="15.75" customHeight="1">
      <c r="AN606" s="418"/>
      <c r="AO606" s="418"/>
      <c r="AP606" s="418"/>
      <c r="AQ606" s="418"/>
      <c r="AR606" s="418"/>
      <c r="AS606" s="418"/>
      <c r="AT606" s="418"/>
      <c r="AU606" s="418"/>
      <c r="AV606" s="418"/>
      <c r="AW606" s="418"/>
      <c r="AX606" s="418"/>
      <c r="AY606" s="418"/>
      <c r="AZ606" s="418"/>
    </row>
    <row r="607" spans="40:65" ht="15.75" customHeight="1">
      <c r="AN607" s="418"/>
      <c r="AO607" s="418"/>
      <c r="AP607" s="418"/>
      <c r="AQ607" s="418"/>
      <c r="AR607" s="418"/>
      <c r="AS607" s="418"/>
      <c r="AT607" s="418"/>
      <c r="AU607" s="418"/>
      <c r="AV607" s="418"/>
      <c r="AW607" s="418"/>
      <c r="AX607" s="418"/>
      <c r="AY607" s="418"/>
      <c r="AZ607" s="418"/>
    </row>
    <row r="608" spans="40:65" ht="15.75" customHeight="1">
      <c r="AN608" s="418"/>
      <c r="AO608" s="418"/>
      <c r="AP608" s="418"/>
      <c r="AQ608" s="418"/>
      <c r="AR608" s="418"/>
      <c r="AS608" s="418"/>
      <c r="AT608" s="418"/>
      <c r="AU608" s="418"/>
      <c r="AV608" s="418"/>
      <c r="AW608" s="418"/>
      <c r="AX608" s="418"/>
      <c r="AY608" s="418"/>
      <c r="AZ608" s="418"/>
    </row>
    <row r="609" spans="40:56" ht="15.75" customHeight="1">
      <c r="AN609" s="418"/>
      <c r="AO609" s="418"/>
      <c r="AP609" s="418"/>
      <c r="AQ609" s="418"/>
      <c r="AR609" s="418"/>
      <c r="AS609" s="418"/>
      <c r="AT609" s="418"/>
      <c r="AU609" s="418"/>
      <c r="AV609" s="418"/>
      <c r="AW609" s="418"/>
      <c r="AX609" s="418"/>
      <c r="AY609" s="418"/>
      <c r="AZ609" s="418"/>
    </row>
    <row r="610" spans="40:56" ht="15.75" customHeight="1">
      <c r="AN610" s="418"/>
      <c r="AO610" s="418"/>
      <c r="AP610" s="418"/>
      <c r="AQ610" s="418"/>
      <c r="AR610" s="418"/>
      <c r="AS610" s="418"/>
      <c r="AT610" s="418"/>
      <c r="AU610" s="418"/>
      <c r="AV610" s="418"/>
      <c r="AW610" s="418"/>
      <c r="AX610" s="418"/>
      <c r="AY610" s="418"/>
      <c r="AZ610" s="418"/>
    </row>
    <row r="611" spans="40:56" ht="15.75" customHeight="1">
      <c r="AN611" s="418"/>
      <c r="AO611" s="418"/>
      <c r="AP611" s="418"/>
      <c r="AQ611" s="418"/>
      <c r="AR611" s="418"/>
      <c r="AS611" s="418"/>
      <c r="AT611" s="418"/>
      <c r="AU611" s="418"/>
      <c r="AV611" s="418"/>
      <c r="AW611" s="418"/>
      <c r="AX611" s="418"/>
      <c r="AY611" s="418"/>
      <c r="AZ611" s="418"/>
    </row>
    <row r="612" spans="40:56" ht="15.75" customHeight="1">
      <c r="AN612" s="418"/>
      <c r="AO612" s="418"/>
      <c r="AP612" s="418"/>
      <c r="AQ612" s="418"/>
      <c r="AR612" s="418"/>
      <c r="AS612" s="418"/>
      <c r="AT612" s="418"/>
      <c r="AU612" s="418"/>
      <c r="AV612" s="418"/>
      <c r="AW612" s="418"/>
      <c r="AX612" s="418"/>
      <c r="AY612" s="418"/>
      <c r="AZ612" s="418"/>
    </row>
    <row r="613" spans="40:56" ht="15.75" customHeight="1">
      <c r="AN613" s="418"/>
      <c r="AO613" s="418"/>
      <c r="AP613" s="418"/>
      <c r="AQ613" s="418"/>
      <c r="AR613" s="418"/>
      <c r="AS613" s="418"/>
      <c r="AT613" s="418"/>
      <c r="AU613" s="418"/>
      <c r="AV613" s="418"/>
      <c r="AW613" s="418"/>
      <c r="AX613" s="418"/>
      <c r="AY613" s="418"/>
      <c r="AZ613" s="418"/>
    </row>
    <row r="614" spans="40:56" ht="15.75" customHeight="1">
      <c r="AN614" s="418"/>
      <c r="AO614" s="418"/>
      <c r="AP614" s="418"/>
      <c r="AQ614" s="418"/>
      <c r="AR614" s="418"/>
      <c r="AS614" s="418"/>
      <c r="AT614" s="418"/>
      <c r="AU614" s="418"/>
      <c r="AV614" s="418"/>
      <c r="AW614" s="418"/>
      <c r="AX614" s="418"/>
      <c r="AY614" s="418"/>
      <c r="AZ614" s="418"/>
    </row>
    <row r="615" spans="40:56" ht="15.75" customHeight="1">
      <c r="AN615" s="418"/>
      <c r="AO615" s="418"/>
      <c r="AP615" s="418"/>
      <c r="AQ615" s="418"/>
      <c r="AR615" s="418"/>
      <c r="AS615" s="418"/>
      <c r="AT615" s="418"/>
      <c r="AU615" s="418"/>
      <c r="AV615" s="418"/>
      <c r="AW615" s="418"/>
      <c r="AX615" s="418"/>
      <c r="AY615" s="418"/>
      <c r="AZ615" s="418"/>
    </row>
    <row r="616" spans="40:56" ht="15.75" customHeight="1">
      <c r="AN616" s="418"/>
      <c r="AO616" s="418"/>
      <c r="AP616" s="418"/>
      <c r="AQ616" s="418"/>
      <c r="AR616" s="418"/>
      <c r="AS616" s="418"/>
      <c r="AT616" s="418"/>
      <c r="AU616" s="418"/>
      <c r="AV616" s="418"/>
      <c r="AW616" s="418"/>
      <c r="AX616" s="418"/>
      <c r="AY616" s="418"/>
      <c r="AZ616" s="418"/>
    </row>
    <row r="617" spans="40:56" ht="15.75" customHeight="1">
      <c r="AN617" s="418"/>
      <c r="AO617" s="418"/>
      <c r="AP617" s="418"/>
      <c r="AQ617" s="418"/>
      <c r="AR617" s="418"/>
      <c r="AS617" s="418"/>
      <c r="AT617" s="418"/>
      <c r="AU617" s="418"/>
      <c r="AV617" s="418"/>
      <c r="AW617" s="418"/>
      <c r="AX617" s="418"/>
      <c r="AY617" s="418"/>
      <c r="AZ617" s="418"/>
      <c r="BC617" s="312"/>
      <c r="BD617" s="312"/>
    </row>
    <row r="618" spans="40:56" ht="15.75" customHeight="1">
      <c r="AN618" s="418"/>
      <c r="AO618" s="418"/>
      <c r="AP618" s="418"/>
      <c r="AQ618" s="418"/>
      <c r="AR618" s="418"/>
      <c r="AS618" s="418"/>
      <c r="AT618" s="418"/>
      <c r="AU618" s="418"/>
      <c r="AV618" s="418"/>
      <c r="AW618" s="418"/>
      <c r="AX618" s="418"/>
      <c r="AY618" s="418"/>
      <c r="AZ618" s="418"/>
    </row>
    <row r="619" spans="40:56" ht="15.75" customHeight="1">
      <c r="AN619" s="418"/>
      <c r="AO619" s="418"/>
      <c r="AP619" s="418"/>
      <c r="AQ619" s="418"/>
      <c r="AR619" s="418"/>
      <c r="AS619" s="418"/>
      <c r="AT619" s="418"/>
      <c r="AU619" s="418"/>
      <c r="AV619" s="418"/>
      <c r="AW619" s="418"/>
      <c r="AX619" s="418"/>
      <c r="AY619" s="418"/>
      <c r="AZ619" s="418"/>
    </row>
    <row r="620" spans="40:56" ht="15.75" customHeight="1">
      <c r="AN620" s="418"/>
      <c r="AO620" s="418"/>
      <c r="AP620" s="418"/>
      <c r="AQ620" s="418"/>
      <c r="AR620" s="418"/>
      <c r="AS620" s="418"/>
      <c r="AT620" s="418"/>
      <c r="AU620" s="418"/>
      <c r="AV620" s="418"/>
      <c r="AW620" s="418"/>
      <c r="AX620" s="418"/>
      <c r="AY620" s="418"/>
      <c r="AZ620" s="418"/>
    </row>
    <row r="621" spans="40:56" ht="15.75" customHeight="1">
      <c r="AN621" s="418"/>
      <c r="AO621" s="418"/>
      <c r="AP621" s="418"/>
      <c r="AQ621" s="418"/>
      <c r="AR621" s="418"/>
      <c r="AS621" s="418"/>
      <c r="AT621" s="418"/>
      <c r="AU621" s="418"/>
      <c r="AV621" s="418"/>
      <c r="AW621" s="418"/>
      <c r="AX621" s="418"/>
      <c r="AY621" s="418"/>
      <c r="AZ621" s="418"/>
    </row>
    <row r="622" spans="40:56" ht="15.75" customHeight="1">
      <c r="AN622" s="418"/>
      <c r="AO622" s="418"/>
      <c r="AP622" s="418"/>
      <c r="AQ622" s="418"/>
      <c r="AR622" s="418"/>
      <c r="AS622" s="418"/>
      <c r="AT622" s="418"/>
      <c r="AU622" s="418"/>
      <c r="AV622" s="418"/>
      <c r="AW622" s="418"/>
      <c r="AX622" s="418"/>
      <c r="AY622" s="418"/>
      <c r="AZ622" s="418"/>
    </row>
    <row r="623" spans="40:56" ht="15.75" customHeight="1">
      <c r="AN623" s="418"/>
      <c r="AO623" s="418"/>
      <c r="AP623" s="418"/>
      <c r="AQ623" s="418"/>
      <c r="AR623" s="418"/>
      <c r="AS623" s="418"/>
      <c r="AT623" s="418"/>
      <c r="AU623" s="418"/>
      <c r="AV623" s="418"/>
      <c r="AW623" s="418"/>
      <c r="AX623" s="418"/>
      <c r="AY623" s="418"/>
      <c r="AZ623" s="418"/>
    </row>
    <row r="624" spans="40:56" ht="15.75" customHeight="1">
      <c r="AN624" s="418"/>
      <c r="AO624" s="418"/>
      <c r="AP624" s="418"/>
      <c r="AQ624" s="418"/>
      <c r="AR624" s="418"/>
      <c r="AS624" s="418"/>
      <c r="AT624" s="418"/>
      <c r="AU624" s="418"/>
      <c r="AV624" s="418"/>
      <c r="AW624" s="418"/>
      <c r="AX624" s="418"/>
      <c r="AY624" s="418"/>
      <c r="AZ624" s="418"/>
    </row>
    <row r="625" spans="40:52" ht="15.75" customHeight="1">
      <c r="AN625" s="418"/>
      <c r="AO625" s="418"/>
      <c r="AP625" s="418"/>
      <c r="AQ625" s="418"/>
      <c r="AR625" s="418"/>
      <c r="AS625" s="418"/>
      <c r="AT625" s="418"/>
      <c r="AU625" s="418"/>
      <c r="AV625" s="418"/>
      <c r="AW625" s="418"/>
      <c r="AX625" s="418"/>
      <c r="AY625" s="418"/>
      <c r="AZ625" s="418"/>
    </row>
    <row r="626" spans="40:52" ht="15.75" customHeight="1">
      <c r="AN626" s="418"/>
      <c r="AO626" s="418"/>
      <c r="AP626" s="418"/>
      <c r="AQ626" s="418"/>
      <c r="AR626" s="418"/>
      <c r="AS626" s="418"/>
      <c r="AT626" s="418"/>
      <c r="AU626" s="418"/>
      <c r="AV626" s="418"/>
      <c r="AW626" s="418"/>
      <c r="AX626" s="418"/>
      <c r="AY626" s="418"/>
      <c r="AZ626" s="418"/>
    </row>
    <row r="627" spans="40:52" ht="15.75" customHeight="1">
      <c r="AN627" s="418"/>
      <c r="AO627" s="418"/>
      <c r="AP627" s="418"/>
      <c r="AQ627" s="418"/>
      <c r="AR627" s="418"/>
      <c r="AS627" s="418"/>
      <c r="AT627" s="418"/>
      <c r="AU627" s="418"/>
      <c r="AV627" s="418"/>
      <c r="AW627" s="418"/>
      <c r="AX627" s="418"/>
      <c r="AY627" s="418"/>
      <c r="AZ627" s="418"/>
    </row>
    <row r="628" spans="40:52" ht="15.75" customHeight="1">
      <c r="AN628" s="418"/>
      <c r="AO628" s="418"/>
      <c r="AP628" s="418"/>
      <c r="AQ628" s="418"/>
      <c r="AR628" s="418"/>
      <c r="AS628" s="418"/>
      <c r="AT628" s="418"/>
      <c r="AU628" s="418"/>
      <c r="AV628" s="418"/>
      <c r="AW628" s="418"/>
      <c r="AX628" s="418"/>
      <c r="AY628" s="418"/>
      <c r="AZ628" s="418"/>
    </row>
    <row r="629" spans="40:52" ht="15.75" customHeight="1">
      <c r="AN629" s="418"/>
      <c r="AO629" s="418"/>
      <c r="AP629" s="418"/>
      <c r="AQ629" s="418"/>
      <c r="AR629" s="418"/>
      <c r="AS629" s="418"/>
      <c r="AT629" s="418"/>
      <c r="AU629" s="418"/>
      <c r="AV629" s="418"/>
      <c r="AW629" s="418"/>
      <c r="AX629" s="418"/>
      <c r="AY629" s="418"/>
      <c r="AZ629" s="418"/>
    </row>
    <row r="630" spans="40:52" ht="15.75" customHeight="1">
      <c r="AN630" s="418"/>
      <c r="AO630" s="418"/>
      <c r="AP630" s="418"/>
      <c r="AQ630" s="418"/>
      <c r="AR630" s="418"/>
      <c r="AS630" s="418"/>
      <c r="AT630" s="418"/>
      <c r="AU630" s="418"/>
      <c r="AV630" s="418"/>
      <c r="AW630" s="418"/>
      <c r="AX630" s="418"/>
      <c r="AY630" s="418"/>
      <c r="AZ630" s="418"/>
    </row>
    <row r="631" spans="40:52" ht="15.75" customHeight="1">
      <c r="AN631" s="418"/>
      <c r="AO631" s="418"/>
      <c r="AP631" s="418"/>
      <c r="AQ631" s="418"/>
      <c r="AR631" s="418"/>
      <c r="AS631" s="418"/>
      <c r="AT631" s="418"/>
      <c r="AU631" s="418"/>
      <c r="AV631" s="418"/>
      <c r="AW631" s="418"/>
      <c r="AX631" s="418"/>
      <c r="AY631" s="418"/>
      <c r="AZ631" s="418"/>
    </row>
    <row r="632" spans="40:52" ht="15.75" customHeight="1">
      <c r="AN632" s="418"/>
      <c r="AO632" s="418"/>
      <c r="AP632" s="418"/>
      <c r="AQ632" s="418"/>
      <c r="AR632" s="418"/>
      <c r="AS632" s="418"/>
      <c r="AT632" s="418"/>
      <c r="AU632" s="418"/>
      <c r="AV632" s="418"/>
      <c r="AW632" s="418"/>
      <c r="AX632" s="418"/>
      <c r="AY632" s="418"/>
      <c r="AZ632" s="418"/>
    </row>
    <row r="633" spans="40:52" ht="15.75" customHeight="1">
      <c r="AN633" s="418"/>
      <c r="AO633" s="418"/>
      <c r="AP633" s="418"/>
      <c r="AQ633" s="418"/>
      <c r="AR633" s="418"/>
      <c r="AS633" s="418"/>
      <c r="AT633" s="418"/>
      <c r="AU633" s="418"/>
      <c r="AV633" s="418"/>
      <c r="AW633" s="418"/>
      <c r="AX633" s="418"/>
      <c r="AY633" s="418"/>
      <c r="AZ633" s="418"/>
    </row>
    <row r="634" spans="40:52" ht="15.75" customHeight="1">
      <c r="AN634" s="418"/>
      <c r="AO634" s="418"/>
      <c r="AP634" s="418"/>
      <c r="AQ634" s="418"/>
      <c r="AR634" s="418"/>
      <c r="AS634" s="418"/>
      <c r="AT634" s="418"/>
      <c r="AU634" s="418"/>
      <c r="AV634" s="418"/>
      <c r="AW634" s="418"/>
      <c r="AX634" s="418"/>
      <c r="AY634" s="418"/>
      <c r="AZ634" s="418"/>
    </row>
    <row r="635" spans="40:52" ht="15.75" customHeight="1">
      <c r="AN635" s="418"/>
      <c r="AO635" s="418"/>
      <c r="AP635" s="418"/>
      <c r="AQ635" s="418"/>
      <c r="AR635" s="418"/>
      <c r="AS635" s="418"/>
      <c r="AT635" s="418"/>
      <c r="AU635" s="418"/>
      <c r="AV635" s="418"/>
      <c r="AW635" s="418"/>
      <c r="AX635" s="418"/>
      <c r="AY635" s="418"/>
      <c r="AZ635" s="418"/>
    </row>
    <row r="636" spans="40:52" ht="15.75" customHeight="1">
      <c r="AN636" s="418"/>
      <c r="AO636" s="418"/>
      <c r="AP636" s="418"/>
      <c r="AQ636" s="418"/>
      <c r="AR636" s="418"/>
      <c r="AS636" s="418"/>
      <c r="AT636" s="418"/>
      <c r="AU636" s="418"/>
      <c r="AV636" s="418"/>
      <c r="AW636" s="418"/>
      <c r="AX636" s="418"/>
      <c r="AY636" s="418"/>
      <c r="AZ636" s="418"/>
    </row>
    <row r="637" spans="40:52" ht="15.75" customHeight="1">
      <c r="AN637" s="418"/>
      <c r="AO637" s="418"/>
      <c r="AP637" s="418"/>
      <c r="AQ637" s="418"/>
      <c r="AR637" s="418"/>
      <c r="AS637" s="418"/>
      <c r="AT637" s="418"/>
      <c r="AU637" s="418"/>
      <c r="AV637" s="418"/>
      <c r="AW637" s="418"/>
      <c r="AX637" s="418"/>
      <c r="AY637" s="418"/>
      <c r="AZ637" s="418"/>
    </row>
    <row r="638" spans="40:52" ht="15.75" customHeight="1">
      <c r="AN638" s="418"/>
      <c r="AO638" s="418"/>
      <c r="AP638" s="418"/>
      <c r="AQ638" s="418"/>
      <c r="AR638" s="418"/>
      <c r="AS638" s="418"/>
      <c r="AT638" s="418"/>
      <c r="AU638" s="418"/>
      <c r="AV638" s="418"/>
      <c r="AW638" s="418"/>
      <c r="AX638" s="418"/>
      <c r="AY638" s="418"/>
      <c r="AZ638" s="418"/>
    </row>
    <row r="639" spans="40:52" ht="15.75" customHeight="1">
      <c r="AN639" s="418"/>
      <c r="AO639" s="418"/>
      <c r="AP639" s="418"/>
      <c r="AQ639" s="418"/>
      <c r="AR639" s="418"/>
      <c r="AS639" s="418"/>
      <c r="AT639" s="418"/>
      <c r="AU639" s="418"/>
      <c r="AV639" s="418"/>
      <c r="AW639" s="418"/>
      <c r="AX639" s="418"/>
      <c r="AY639" s="418"/>
      <c r="AZ639" s="418"/>
    </row>
    <row r="640" spans="40:52" ht="15.75" customHeight="1">
      <c r="AN640" s="418"/>
      <c r="AO640" s="418"/>
      <c r="AP640" s="418"/>
      <c r="AQ640" s="418"/>
      <c r="AR640" s="418"/>
      <c r="AS640" s="418"/>
      <c r="AT640" s="418"/>
      <c r="AU640" s="418"/>
      <c r="AV640" s="418"/>
      <c r="AW640" s="418"/>
      <c r="AX640" s="418"/>
      <c r="AY640" s="418"/>
      <c r="AZ640" s="418"/>
    </row>
    <row r="641" spans="40:52" ht="15.75" customHeight="1">
      <c r="AN641" s="418"/>
      <c r="AO641" s="418"/>
      <c r="AP641" s="418"/>
      <c r="AQ641" s="418"/>
      <c r="AR641" s="418"/>
      <c r="AS641" s="418"/>
      <c r="AT641" s="418"/>
      <c r="AU641" s="418"/>
      <c r="AV641" s="418"/>
      <c r="AW641" s="418"/>
      <c r="AX641" s="418"/>
      <c r="AY641" s="418"/>
      <c r="AZ641" s="418"/>
    </row>
    <row r="642" spans="40:52" ht="15.75" customHeight="1">
      <c r="AN642" s="418"/>
      <c r="AO642" s="418"/>
      <c r="AP642" s="418"/>
      <c r="AQ642" s="418"/>
      <c r="AR642" s="418"/>
      <c r="AS642" s="418"/>
      <c r="AT642" s="418"/>
      <c r="AU642" s="418"/>
      <c r="AV642" s="418"/>
      <c r="AW642" s="418"/>
      <c r="AX642" s="418"/>
      <c r="AY642" s="418"/>
      <c r="AZ642" s="418"/>
    </row>
    <row r="643" spans="40:52" ht="15.75" customHeight="1">
      <c r="AN643" s="418"/>
      <c r="AO643" s="418"/>
      <c r="AP643" s="418"/>
      <c r="AQ643" s="418"/>
      <c r="AR643" s="418"/>
      <c r="AS643" s="418"/>
      <c r="AT643" s="418"/>
      <c r="AU643" s="418"/>
      <c r="AV643" s="418"/>
      <c r="AW643" s="418"/>
      <c r="AX643" s="418"/>
      <c r="AY643" s="418"/>
      <c r="AZ643" s="418"/>
    </row>
    <row r="644" spans="40:52" ht="15.75" customHeight="1">
      <c r="AN644" s="418"/>
      <c r="AO644" s="418"/>
      <c r="AP644" s="418"/>
      <c r="AQ644" s="418"/>
      <c r="AR644" s="418"/>
      <c r="AS644" s="418"/>
      <c r="AT644" s="418"/>
      <c r="AU644" s="418"/>
      <c r="AV644" s="418"/>
      <c r="AW644" s="418"/>
      <c r="AX644" s="418"/>
      <c r="AY644" s="418"/>
      <c r="AZ644" s="418"/>
    </row>
    <row r="645" spans="40:52" ht="15.75" customHeight="1">
      <c r="AN645" s="418"/>
      <c r="AO645" s="418"/>
      <c r="AP645" s="418"/>
      <c r="AQ645" s="418"/>
      <c r="AR645" s="418"/>
      <c r="AS645" s="418"/>
      <c r="AT645" s="418"/>
      <c r="AU645" s="418"/>
      <c r="AV645" s="418"/>
      <c r="AW645" s="418"/>
      <c r="AX645" s="418"/>
      <c r="AY645" s="418"/>
      <c r="AZ645" s="418"/>
    </row>
    <row r="646" spans="40:52" ht="15.75" customHeight="1">
      <c r="AN646" s="418"/>
      <c r="AO646" s="418"/>
      <c r="AP646" s="418"/>
      <c r="AQ646" s="418"/>
      <c r="AR646" s="418"/>
      <c r="AS646" s="418"/>
      <c r="AT646" s="418"/>
      <c r="AU646" s="418"/>
      <c r="AV646" s="418"/>
      <c r="AW646" s="418"/>
      <c r="AX646" s="418"/>
      <c r="AY646" s="418"/>
      <c r="AZ646" s="418"/>
    </row>
    <row r="647" spans="40:52" ht="15.75" customHeight="1">
      <c r="AN647" s="418"/>
      <c r="AO647" s="418"/>
      <c r="AP647" s="418"/>
      <c r="AQ647" s="418"/>
      <c r="AR647" s="418"/>
      <c r="AS647" s="418"/>
      <c r="AT647" s="418"/>
      <c r="AU647" s="418"/>
      <c r="AV647" s="418"/>
      <c r="AW647" s="418"/>
      <c r="AX647" s="418"/>
      <c r="AY647" s="418"/>
      <c r="AZ647" s="418"/>
    </row>
    <row r="648" spans="40:52" ht="15.75" customHeight="1">
      <c r="AN648" s="418"/>
      <c r="AO648" s="418"/>
      <c r="AP648" s="418"/>
      <c r="AQ648" s="418"/>
      <c r="AR648" s="418"/>
      <c r="AS648" s="418"/>
      <c r="AT648" s="418"/>
      <c r="AU648" s="418"/>
      <c r="AV648" s="418"/>
      <c r="AW648" s="418"/>
      <c r="AX648" s="418"/>
      <c r="AY648" s="418"/>
      <c r="AZ648" s="418"/>
    </row>
    <row r="649" spans="40:52" ht="15.75" customHeight="1">
      <c r="AN649" s="418"/>
      <c r="AO649" s="418"/>
      <c r="AP649" s="418"/>
      <c r="AQ649" s="418"/>
      <c r="AR649" s="418"/>
      <c r="AS649" s="418"/>
      <c r="AT649" s="418"/>
      <c r="AU649" s="418"/>
      <c r="AV649" s="418"/>
      <c r="AW649" s="418"/>
      <c r="AX649" s="418"/>
      <c r="AY649" s="418"/>
      <c r="AZ649" s="418"/>
    </row>
    <row r="650" spans="40:52" ht="15.75" customHeight="1">
      <c r="AN650" s="418"/>
      <c r="AO650" s="418"/>
      <c r="AP650" s="418"/>
      <c r="AQ650" s="418"/>
      <c r="AR650" s="418"/>
      <c r="AS650" s="418"/>
      <c r="AT650" s="418"/>
      <c r="AU650" s="418"/>
      <c r="AV650" s="418"/>
      <c r="AW650" s="418"/>
      <c r="AX650" s="418"/>
      <c r="AY650" s="418"/>
      <c r="AZ650" s="418"/>
    </row>
    <row r="651" spans="40:52" ht="15.75" customHeight="1">
      <c r="AN651" s="418"/>
      <c r="AO651" s="418"/>
      <c r="AP651" s="418"/>
      <c r="AQ651" s="418"/>
      <c r="AR651" s="418"/>
      <c r="AS651" s="418"/>
      <c r="AT651" s="418"/>
      <c r="AU651" s="418"/>
      <c r="AV651" s="418"/>
      <c r="AW651" s="418"/>
      <c r="AX651" s="418"/>
      <c r="AY651" s="418"/>
      <c r="AZ651" s="418"/>
    </row>
    <row r="652" spans="40:52" ht="15.75" customHeight="1">
      <c r="AN652" s="418"/>
      <c r="AO652" s="418"/>
      <c r="AP652" s="418"/>
      <c r="AQ652" s="418"/>
      <c r="AR652" s="418"/>
      <c r="AS652" s="418"/>
      <c r="AT652" s="418"/>
      <c r="AU652" s="418"/>
      <c r="AV652" s="418"/>
      <c r="AW652" s="418"/>
      <c r="AX652" s="418"/>
      <c r="AY652" s="418"/>
      <c r="AZ652" s="418"/>
    </row>
    <row r="653" spans="40:52" ht="15.75" customHeight="1">
      <c r="AN653" s="418"/>
      <c r="AO653" s="418"/>
      <c r="AP653" s="418"/>
      <c r="AQ653" s="418"/>
      <c r="AR653" s="418"/>
      <c r="AS653" s="418"/>
      <c r="AT653" s="418"/>
      <c r="AU653" s="418"/>
      <c r="AV653" s="418"/>
      <c r="AW653" s="418"/>
      <c r="AX653" s="418"/>
      <c r="AY653" s="418"/>
      <c r="AZ653" s="418"/>
    </row>
    <row r="654" spans="40:52" ht="15.75" customHeight="1">
      <c r="AN654" s="418"/>
      <c r="AO654" s="418"/>
      <c r="AP654" s="418"/>
      <c r="AQ654" s="418"/>
      <c r="AR654" s="418"/>
      <c r="AS654" s="418"/>
      <c r="AT654" s="418"/>
      <c r="AU654" s="418"/>
      <c r="AV654" s="418"/>
      <c r="AW654" s="418"/>
      <c r="AX654" s="418"/>
      <c r="AY654" s="418"/>
      <c r="AZ654" s="418"/>
    </row>
    <row r="655" spans="40:52" ht="15.75" customHeight="1">
      <c r="AN655" s="418"/>
      <c r="AO655" s="418"/>
      <c r="AP655" s="418"/>
      <c r="AQ655" s="418"/>
      <c r="AR655" s="418"/>
      <c r="AS655" s="418"/>
      <c r="AT655" s="418"/>
      <c r="AU655" s="418"/>
      <c r="AV655" s="418"/>
      <c r="AW655" s="418"/>
      <c r="AX655" s="418"/>
      <c r="AY655" s="418"/>
      <c r="AZ655" s="418"/>
    </row>
    <row r="656" spans="40:52" ht="15.75" customHeight="1">
      <c r="AN656" s="418"/>
      <c r="AO656" s="418"/>
      <c r="AP656" s="418"/>
      <c r="AQ656" s="418"/>
      <c r="AR656" s="418"/>
      <c r="AS656" s="418"/>
      <c r="AT656" s="418"/>
      <c r="AU656" s="418"/>
      <c r="AV656" s="418"/>
      <c r="AW656" s="418"/>
      <c r="AX656" s="418"/>
      <c r="AY656" s="418"/>
      <c r="AZ656" s="418"/>
    </row>
    <row r="657" spans="40:52" ht="15.75" customHeight="1">
      <c r="AN657" s="418"/>
      <c r="AO657" s="418"/>
      <c r="AP657" s="418"/>
      <c r="AQ657" s="418"/>
      <c r="AR657" s="418"/>
      <c r="AS657" s="418"/>
      <c r="AT657" s="418"/>
      <c r="AU657" s="418"/>
      <c r="AV657" s="418"/>
      <c r="AW657" s="418"/>
      <c r="AX657" s="418"/>
      <c r="AY657" s="418"/>
      <c r="AZ657" s="418"/>
    </row>
    <row r="658" spans="40:52" ht="15.75" customHeight="1">
      <c r="AN658" s="418"/>
      <c r="AO658" s="418"/>
      <c r="AP658" s="418"/>
      <c r="AQ658" s="418"/>
      <c r="AR658" s="418"/>
      <c r="AS658" s="418"/>
      <c r="AT658" s="418"/>
      <c r="AU658" s="418"/>
      <c r="AV658" s="418"/>
      <c r="AW658" s="418"/>
      <c r="AX658" s="418"/>
      <c r="AY658" s="418"/>
      <c r="AZ658" s="418"/>
    </row>
    <row r="659" spans="40:52" ht="15.75" customHeight="1">
      <c r="AN659" s="418"/>
      <c r="AO659" s="418"/>
      <c r="AP659" s="418"/>
      <c r="AQ659" s="418"/>
      <c r="AR659" s="418"/>
      <c r="AS659" s="418"/>
      <c r="AT659" s="418"/>
      <c r="AU659" s="418"/>
      <c r="AV659" s="418"/>
      <c r="AW659" s="418"/>
      <c r="AX659" s="418"/>
      <c r="AY659" s="418"/>
      <c r="AZ659" s="418"/>
    </row>
    <row r="660" spans="40:52" ht="15.75" customHeight="1">
      <c r="AN660" s="418"/>
      <c r="AO660" s="418"/>
      <c r="AP660" s="418"/>
      <c r="AQ660" s="418"/>
      <c r="AR660" s="418"/>
      <c r="AS660" s="418"/>
      <c r="AT660" s="418"/>
      <c r="AU660" s="418"/>
      <c r="AV660" s="418"/>
      <c r="AW660" s="418"/>
      <c r="AX660" s="418"/>
      <c r="AY660" s="418"/>
      <c r="AZ660" s="418"/>
    </row>
    <row r="661" spans="40:52" ht="15.75" customHeight="1">
      <c r="AN661" s="418"/>
      <c r="AO661" s="418"/>
      <c r="AP661" s="418"/>
      <c r="AQ661" s="418"/>
      <c r="AR661" s="418"/>
      <c r="AS661" s="418"/>
      <c r="AT661" s="418"/>
      <c r="AU661" s="418"/>
      <c r="AV661" s="418"/>
      <c r="AW661" s="418"/>
      <c r="AX661" s="418"/>
      <c r="AY661" s="418"/>
      <c r="AZ661" s="418"/>
    </row>
    <row r="662" spans="40:52" ht="15.75" customHeight="1">
      <c r="AN662" s="418"/>
      <c r="AO662" s="418"/>
      <c r="AP662" s="418"/>
      <c r="AQ662" s="418"/>
      <c r="AR662" s="418"/>
      <c r="AS662" s="418"/>
      <c r="AT662" s="418"/>
      <c r="AU662" s="418"/>
      <c r="AV662" s="418"/>
      <c r="AW662" s="418"/>
      <c r="AX662" s="418"/>
      <c r="AY662" s="418"/>
      <c r="AZ662" s="418"/>
    </row>
    <row r="663" spans="40:52" ht="15.75" customHeight="1">
      <c r="AN663" s="418"/>
      <c r="AO663" s="418"/>
      <c r="AP663" s="418"/>
      <c r="AQ663" s="418"/>
      <c r="AR663" s="418"/>
      <c r="AS663" s="418"/>
      <c r="AT663" s="418"/>
      <c r="AU663" s="418"/>
      <c r="AV663" s="418"/>
      <c r="AW663" s="418"/>
      <c r="AX663" s="418"/>
      <c r="AY663" s="418"/>
      <c r="AZ663" s="418"/>
    </row>
    <row r="664" spans="40:52" ht="15.75" customHeight="1">
      <c r="AN664" s="418"/>
      <c r="AO664" s="418"/>
      <c r="AP664" s="418"/>
      <c r="AQ664" s="418"/>
      <c r="AR664" s="418"/>
      <c r="AS664" s="418"/>
      <c r="AT664" s="418"/>
      <c r="AU664" s="418"/>
      <c r="AV664" s="418"/>
      <c r="AW664" s="418"/>
      <c r="AX664" s="418"/>
      <c r="AY664" s="418"/>
      <c r="AZ664" s="418"/>
    </row>
    <row r="665" spans="40:52" ht="15.75" customHeight="1">
      <c r="AN665" s="418"/>
      <c r="AO665" s="418"/>
      <c r="AP665" s="418"/>
      <c r="AQ665" s="418"/>
      <c r="AR665" s="418"/>
      <c r="AS665" s="418"/>
      <c r="AT665" s="418"/>
      <c r="AU665" s="418"/>
      <c r="AV665" s="418"/>
      <c r="AW665" s="418"/>
      <c r="AX665" s="418"/>
      <c r="AY665" s="418"/>
      <c r="AZ665" s="418"/>
    </row>
    <row r="666" spans="40:52" ht="15.75" customHeight="1">
      <c r="AN666" s="418"/>
      <c r="AO666" s="418"/>
      <c r="AP666" s="418"/>
      <c r="AQ666" s="418"/>
      <c r="AR666" s="418"/>
      <c r="AS666" s="418"/>
      <c r="AT666" s="418"/>
      <c r="AU666" s="418"/>
      <c r="AV666" s="418"/>
      <c r="AW666" s="418"/>
      <c r="AX666" s="418"/>
      <c r="AY666" s="418"/>
      <c r="AZ666" s="418"/>
    </row>
    <row r="667" spans="40:52" ht="15.75" customHeight="1">
      <c r="AN667" s="418"/>
      <c r="AO667" s="418"/>
      <c r="AP667" s="418"/>
      <c r="AQ667" s="418"/>
      <c r="AR667" s="418"/>
      <c r="AS667" s="418"/>
      <c r="AT667" s="418"/>
      <c r="AU667" s="418"/>
      <c r="AV667" s="418"/>
      <c r="AW667" s="418"/>
      <c r="AX667" s="418"/>
      <c r="AY667" s="418"/>
      <c r="AZ667" s="418"/>
    </row>
    <row r="668" spans="40:52" ht="15.75" customHeight="1">
      <c r="AN668" s="418"/>
      <c r="AO668" s="418"/>
      <c r="AP668" s="418"/>
      <c r="AQ668" s="418"/>
      <c r="AR668" s="418"/>
      <c r="AS668" s="418"/>
      <c r="AT668" s="418"/>
      <c r="AU668" s="418"/>
      <c r="AV668" s="418"/>
      <c r="AW668" s="418"/>
      <c r="AX668" s="418"/>
      <c r="AY668" s="418"/>
      <c r="AZ668" s="418"/>
    </row>
    <row r="669" spans="40:52" ht="15.75" customHeight="1">
      <c r="AN669" s="418"/>
      <c r="AO669" s="418"/>
      <c r="AP669" s="418"/>
      <c r="AQ669" s="418"/>
      <c r="AR669" s="418"/>
      <c r="AS669" s="418"/>
      <c r="AT669" s="418"/>
      <c r="AU669" s="418"/>
      <c r="AV669" s="418"/>
      <c r="AW669" s="418"/>
      <c r="AX669" s="418"/>
      <c r="AY669" s="418"/>
      <c r="AZ669" s="418"/>
    </row>
    <row r="670" spans="40:52" ht="15.75" customHeight="1">
      <c r="AN670" s="418"/>
      <c r="AO670" s="418"/>
      <c r="AP670" s="418"/>
      <c r="AQ670" s="418"/>
      <c r="AR670" s="418"/>
      <c r="AS670" s="418"/>
      <c r="AT670" s="418"/>
      <c r="AU670" s="418"/>
      <c r="AV670" s="418"/>
      <c r="AW670" s="418"/>
      <c r="AX670" s="418"/>
      <c r="AY670" s="418"/>
      <c r="AZ670" s="418"/>
    </row>
    <row r="671" spans="40:52" ht="15.75" customHeight="1">
      <c r="AN671" s="418"/>
      <c r="AO671" s="418"/>
      <c r="AP671" s="418"/>
      <c r="AQ671" s="418"/>
      <c r="AR671" s="418"/>
      <c r="AS671" s="418"/>
      <c r="AT671" s="418"/>
      <c r="AU671" s="418"/>
      <c r="AV671" s="418"/>
      <c r="AW671" s="418"/>
      <c r="AX671" s="418"/>
      <c r="AY671" s="418"/>
      <c r="AZ671" s="418"/>
    </row>
    <row r="672" spans="40:52" ht="15.75" customHeight="1">
      <c r="AN672" s="418"/>
      <c r="AO672" s="418"/>
      <c r="AP672" s="418"/>
      <c r="AQ672" s="418"/>
      <c r="AR672" s="418"/>
      <c r="AS672" s="418"/>
      <c r="AT672" s="418"/>
      <c r="AU672" s="418"/>
      <c r="AV672" s="418"/>
      <c r="AW672" s="418"/>
      <c r="AX672" s="418"/>
      <c r="AY672" s="418"/>
      <c r="AZ672" s="418"/>
    </row>
    <row r="673" spans="40:52" ht="15.75" customHeight="1">
      <c r="AN673" s="418"/>
      <c r="AO673" s="418"/>
      <c r="AP673" s="418"/>
      <c r="AQ673" s="418"/>
      <c r="AR673" s="418"/>
      <c r="AS673" s="418"/>
      <c r="AT673" s="418"/>
      <c r="AU673" s="418"/>
      <c r="AV673" s="418"/>
      <c r="AW673" s="418"/>
      <c r="AX673" s="418"/>
      <c r="AY673" s="418"/>
      <c r="AZ673" s="418"/>
    </row>
    <row r="674" spans="40:52" ht="15.75" customHeight="1">
      <c r="AN674" s="418"/>
      <c r="AO674" s="418"/>
      <c r="AP674" s="418"/>
      <c r="AQ674" s="418"/>
      <c r="AR674" s="418"/>
      <c r="AS674" s="418"/>
      <c r="AT674" s="418"/>
      <c r="AU674" s="418"/>
      <c r="AV674" s="418"/>
      <c r="AW674" s="418"/>
      <c r="AX674" s="418"/>
      <c r="AY674" s="418"/>
      <c r="AZ674" s="418"/>
    </row>
    <row r="675" spans="40:52" ht="15.75" customHeight="1">
      <c r="AN675" s="418"/>
      <c r="AO675" s="418"/>
      <c r="AP675" s="418"/>
      <c r="AQ675" s="418"/>
      <c r="AR675" s="418"/>
      <c r="AS675" s="418"/>
      <c r="AT675" s="418"/>
      <c r="AU675" s="418"/>
      <c r="AV675" s="418"/>
      <c r="AW675" s="418"/>
      <c r="AX675" s="418"/>
      <c r="AY675" s="418"/>
      <c r="AZ675" s="418"/>
    </row>
    <row r="676" spans="40:52" ht="15.75" customHeight="1">
      <c r="AN676" s="418"/>
      <c r="AO676" s="418"/>
      <c r="AP676" s="418"/>
      <c r="AQ676" s="418"/>
      <c r="AR676" s="418"/>
      <c r="AS676" s="418"/>
      <c r="AT676" s="418"/>
      <c r="AU676" s="418"/>
      <c r="AV676" s="418"/>
      <c r="AW676" s="418"/>
      <c r="AX676" s="418"/>
      <c r="AY676" s="418"/>
      <c r="AZ676" s="418"/>
    </row>
    <row r="677" spans="40:52" ht="15.75" customHeight="1">
      <c r="AN677" s="418"/>
      <c r="AO677" s="418"/>
      <c r="AP677" s="418"/>
      <c r="AQ677" s="418"/>
      <c r="AR677" s="418"/>
      <c r="AS677" s="418"/>
      <c r="AT677" s="418"/>
      <c r="AU677" s="418"/>
      <c r="AV677" s="418"/>
      <c r="AW677" s="418"/>
      <c r="AX677" s="418"/>
      <c r="AY677" s="418"/>
      <c r="AZ677" s="418"/>
    </row>
    <row r="678" spans="40:52" ht="15.75" customHeight="1">
      <c r="AN678" s="418"/>
      <c r="AO678" s="418"/>
      <c r="AP678" s="418"/>
      <c r="AQ678" s="418"/>
      <c r="AR678" s="418"/>
      <c r="AS678" s="418"/>
      <c r="AT678" s="418"/>
      <c r="AU678" s="418"/>
      <c r="AV678" s="418"/>
      <c r="AW678" s="418"/>
      <c r="AX678" s="418"/>
      <c r="AY678" s="418"/>
      <c r="AZ678" s="418"/>
    </row>
    <row r="679" spans="40:52" ht="15.75" customHeight="1">
      <c r="AN679" s="418"/>
      <c r="AO679" s="418"/>
      <c r="AP679" s="418"/>
      <c r="AQ679" s="418"/>
      <c r="AR679" s="418"/>
      <c r="AS679" s="418"/>
      <c r="AT679" s="418"/>
      <c r="AU679" s="418"/>
      <c r="AV679" s="418"/>
      <c r="AW679" s="418"/>
      <c r="AX679" s="418"/>
      <c r="AY679" s="418"/>
      <c r="AZ679" s="418"/>
    </row>
    <row r="680" spans="40:52" ht="15.75" customHeight="1">
      <c r="AN680" s="418"/>
      <c r="AO680" s="418"/>
      <c r="AP680" s="418"/>
      <c r="AQ680" s="418"/>
      <c r="AR680" s="418"/>
      <c r="AS680" s="418"/>
      <c r="AT680" s="418"/>
      <c r="AU680" s="418"/>
      <c r="AV680" s="418"/>
      <c r="AW680" s="418"/>
      <c r="AX680" s="418"/>
      <c r="AY680" s="418"/>
      <c r="AZ680" s="418"/>
    </row>
    <row r="681" spans="40:52" ht="15.75" customHeight="1">
      <c r="AN681" s="418"/>
      <c r="AO681" s="418"/>
      <c r="AP681" s="418"/>
      <c r="AQ681" s="418"/>
      <c r="AR681" s="418"/>
      <c r="AS681" s="418"/>
      <c r="AT681" s="418"/>
      <c r="AU681" s="418"/>
      <c r="AV681" s="418"/>
      <c r="AW681" s="418"/>
      <c r="AX681" s="418"/>
      <c r="AY681" s="418"/>
      <c r="AZ681" s="418"/>
    </row>
    <row r="682" spans="40:52" ht="15.75" customHeight="1">
      <c r="AN682" s="418"/>
      <c r="AO682" s="418"/>
      <c r="AP682" s="418"/>
      <c r="AQ682" s="418"/>
      <c r="AR682" s="418"/>
      <c r="AS682" s="418"/>
      <c r="AT682" s="418"/>
      <c r="AU682" s="418"/>
      <c r="AV682" s="418"/>
      <c r="AW682" s="418"/>
      <c r="AX682" s="418"/>
      <c r="AY682" s="418"/>
      <c r="AZ682" s="418"/>
    </row>
    <row r="683" spans="40:52" ht="15.75" customHeight="1">
      <c r="AN683" s="418"/>
      <c r="AO683" s="418"/>
      <c r="AP683" s="418"/>
      <c r="AQ683" s="418"/>
      <c r="AR683" s="418"/>
      <c r="AS683" s="418"/>
      <c r="AT683" s="418"/>
      <c r="AU683" s="418"/>
      <c r="AV683" s="418"/>
      <c r="AW683" s="418"/>
      <c r="AX683" s="418"/>
      <c r="AY683" s="418"/>
      <c r="AZ683" s="418"/>
    </row>
    <row r="684" spans="40:52" ht="15.75" customHeight="1">
      <c r="AN684" s="418"/>
      <c r="AO684" s="418"/>
      <c r="AP684" s="418"/>
      <c r="AQ684" s="418"/>
      <c r="AR684" s="418"/>
      <c r="AS684" s="418"/>
      <c r="AT684" s="418"/>
      <c r="AU684" s="418"/>
      <c r="AV684" s="418"/>
      <c r="AW684" s="418"/>
      <c r="AX684" s="418"/>
      <c r="AY684" s="418"/>
      <c r="AZ684" s="418"/>
    </row>
    <row r="685" spans="40:52" ht="15.75" customHeight="1">
      <c r="AN685" s="418"/>
      <c r="AO685" s="418"/>
      <c r="AP685" s="418"/>
      <c r="AQ685" s="418"/>
      <c r="AR685" s="418"/>
      <c r="AS685" s="418"/>
      <c r="AT685" s="418"/>
      <c r="AU685" s="418"/>
      <c r="AV685" s="418"/>
      <c r="AW685" s="418"/>
      <c r="AX685" s="418"/>
      <c r="AY685" s="418"/>
      <c r="AZ685" s="418"/>
    </row>
    <row r="686" spans="40:52" ht="15.75" customHeight="1">
      <c r="AN686" s="418"/>
      <c r="AO686" s="418"/>
      <c r="AP686" s="418"/>
      <c r="AQ686" s="418"/>
      <c r="AR686" s="418"/>
      <c r="AS686" s="418"/>
      <c r="AT686" s="418"/>
      <c r="AU686" s="418"/>
      <c r="AV686" s="418"/>
      <c r="AW686" s="418"/>
      <c r="AX686" s="418"/>
      <c r="AY686" s="418"/>
      <c r="AZ686" s="418"/>
    </row>
    <row r="687" spans="40:52" ht="15.75" customHeight="1">
      <c r="AN687" s="418"/>
      <c r="AO687" s="418"/>
      <c r="AP687" s="418"/>
      <c r="AQ687" s="418"/>
      <c r="AR687" s="418"/>
      <c r="AS687" s="418"/>
      <c r="AT687" s="418"/>
      <c r="AU687" s="418"/>
      <c r="AV687" s="418"/>
      <c r="AW687" s="418"/>
      <c r="AX687" s="418"/>
      <c r="AY687" s="418"/>
      <c r="AZ687" s="418"/>
    </row>
    <row r="688" spans="40:52" ht="15.75" customHeight="1">
      <c r="AN688" s="418"/>
      <c r="AO688" s="418"/>
      <c r="AP688" s="418"/>
      <c r="AQ688" s="418"/>
      <c r="AR688" s="418"/>
      <c r="AS688" s="418"/>
      <c r="AT688" s="418"/>
      <c r="AU688" s="418"/>
      <c r="AV688" s="418"/>
      <c r="AW688" s="418"/>
      <c r="AX688" s="418"/>
      <c r="AY688" s="418"/>
      <c r="AZ688" s="418"/>
    </row>
    <row r="689" spans="40:52" ht="15.75" customHeight="1">
      <c r="AN689" s="418"/>
      <c r="AO689" s="418"/>
      <c r="AP689" s="418"/>
      <c r="AQ689" s="418"/>
      <c r="AR689" s="418"/>
      <c r="AS689" s="418"/>
      <c r="AT689" s="418"/>
      <c r="AU689" s="418"/>
      <c r="AV689" s="418"/>
      <c r="AW689" s="418"/>
      <c r="AX689" s="418"/>
      <c r="AY689" s="418"/>
      <c r="AZ689" s="418"/>
    </row>
    <row r="690" spans="40:52" ht="15.75" customHeight="1">
      <c r="AN690" s="418"/>
      <c r="AO690" s="418"/>
      <c r="AP690" s="418"/>
      <c r="AQ690" s="418"/>
      <c r="AR690" s="418"/>
      <c r="AS690" s="418"/>
      <c r="AT690" s="418"/>
      <c r="AU690" s="418"/>
      <c r="AV690" s="418"/>
      <c r="AW690" s="418"/>
      <c r="AX690" s="418"/>
      <c r="AY690" s="418"/>
      <c r="AZ690" s="418"/>
    </row>
    <row r="691" spans="40:52" ht="15.75" customHeight="1">
      <c r="AN691" s="418"/>
      <c r="AO691" s="418"/>
      <c r="AP691" s="418"/>
      <c r="AQ691" s="418"/>
      <c r="AR691" s="418"/>
      <c r="AS691" s="418"/>
      <c r="AT691" s="418"/>
      <c r="AU691" s="418"/>
      <c r="AV691" s="418"/>
      <c r="AW691" s="418"/>
      <c r="AX691" s="418"/>
      <c r="AY691" s="418"/>
      <c r="AZ691" s="418"/>
    </row>
    <row r="692" spans="40:52" ht="15.75" customHeight="1">
      <c r="AN692" s="418"/>
      <c r="AO692" s="418"/>
      <c r="AP692" s="418"/>
      <c r="AQ692" s="418"/>
      <c r="AR692" s="418"/>
      <c r="AS692" s="418"/>
      <c r="AT692" s="418"/>
      <c r="AU692" s="418"/>
      <c r="AV692" s="418"/>
      <c r="AW692" s="418"/>
      <c r="AX692" s="418"/>
      <c r="AY692" s="418"/>
      <c r="AZ692" s="418"/>
    </row>
    <row r="693" spans="40:52" ht="15.75" customHeight="1">
      <c r="AN693" s="418"/>
      <c r="AO693" s="418"/>
      <c r="AP693" s="418"/>
      <c r="AQ693" s="418"/>
      <c r="AR693" s="418"/>
      <c r="AS693" s="418"/>
      <c r="AT693" s="418"/>
      <c r="AU693" s="418"/>
      <c r="AV693" s="418"/>
      <c r="AW693" s="418"/>
      <c r="AX693" s="418"/>
      <c r="AY693" s="418"/>
      <c r="AZ693" s="418"/>
    </row>
    <row r="694" spans="40:52" ht="15.75" customHeight="1">
      <c r="AN694" s="418"/>
      <c r="AO694" s="418"/>
      <c r="AP694" s="418"/>
      <c r="AQ694" s="418"/>
      <c r="AR694" s="418"/>
      <c r="AS694" s="418"/>
      <c r="AT694" s="418"/>
      <c r="AU694" s="418"/>
      <c r="AV694" s="418"/>
      <c r="AW694" s="418"/>
      <c r="AX694" s="418"/>
      <c r="AY694" s="418"/>
      <c r="AZ694" s="418"/>
    </row>
    <row r="695" spans="40:52" ht="15.75" customHeight="1">
      <c r="AN695" s="418"/>
      <c r="AO695" s="418"/>
      <c r="AP695" s="418"/>
      <c r="AQ695" s="418"/>
      <c r="AR695" s="418"/>
      <c r="AS695" s="418"/>
      <c r="AT695" s="418"/>
      <c r="AU695" s="418"/>
      <c r="AV695" s="418"/>
      <c r="AW695" s="418"/>
      <c r="AX695" s="418"/>
      <c r="AY695" s="418"/>
      <c r="AZ695" s="418"/>
    </row>
    <row r="696" spans="40:52" ht="15.75" customHeight="1">
      <c r="AN696" s="418"/>
      <c r="AO696" s="418"/>
      <c r="AP696" s="418"/>
      <c r="AQ696" s="418"/>
      <c r="AR696" s="418"/>
      <c r="AS696" s="418"/>
      <c r="AT696" s="418"/>
      <c r="AU696" s="418"/>
      <c r="AV696" s="418"/>
      <c r="AW696" s="418"/>
      <c r="AX696" s="418"/>
      <c r="AY696" s="418"/>
      <c r="AZ696" s="418"/>
    </row>
    <row r="697" spans="40:52" ht="15.75" customHeight="1">
      <c r="AN697" s="418"/>
      <c r="AO697" s="418"/>
      <c r="AP697" s="418"/>
      <c r="AQ697" s="418"/>
      <c r="AR697" s="418"/>
      <c r="AS697" s="418"/>
      <c r="AT697" s="418"/>
      <c r="AU697" s="418"/>
      <c r="AV697" s="418"/>
      <c r="AW697" s="418"/>
      <c r="AX697" s="418"/>
      <c r="AY697" s="418"/>
      <c r="AZ697" s="418"/>
    </row>
    <row r="698" spans="40:52" ht="15.75" customHeight="1">
      <c r="AN698" s="418"/>
      <c r="AO698" s="418"/>
      <c r="AP698" s="418"/>
      <c r="AQ698" s="418"/>
      <c r="AR698" s="418"/>
      <c r="AS698" s="418"/>
      <c r="AT698" s="418"/>
      <c r="AU698" s="418"/>
      <c r="AV698" s="418"/>
      <c r="AW698" s="418"/>
      <c r="AX698" s="418"/>
      <c r="AY698" s="418"/>
      <c r="AZ698" s="418"/>
    </row>
    <row r="699" spans="40:52" ht="15.75" customHeight="1">
      <c r="AN699" s="418"/>
      <c r="AO699" s="418"/>
      <c r="AP699" s="418"/>
      <c r="AQ699" s="418"/>
      <c r="AR699" s="418"/>
      <c r="AS699" s="418"/>
      <c r="AT699" s="418"/>
      <c r="AU699" s="418"/>
      <c r="AV699" s="418"/>
      <c r="AW699" s="418"/>
      <c r="AX699" s="418"/>
      <c r="AY699" s="418"/>
      <c r="AZ699" s="418"/>
    </row>
    <row r="700" spans="40:52" ht="15.75" customHeight="1">
      <c r="AN700" s="418"/>
      <c r="AO700" s="418"/>
      <c r="AP700" s="418"/>
      <c r="AQ700" s="418"/>
      <c r="AR700" s="418"/>
      <c r="AS700" s="418"/>
      <c r="AT700" s="418"/>
      <c r="AU700" s="418"/>
      <c r="AV700" s="418"/>
      <c r="AW700" s="418"/>
      <c r="AX700" s="418"/>
      <c r="AY700" s="418"/>
      <c r="AZ700" s="418"/>
    </row>
    <row r="701" spans="40:52" ht="15.75" customHeight="1">
      <c r="AN701" s="418"/>
      <c r="AO701" s="418"/>
      <c r="AP701" s="418"/>
      <c r="AQ701" s="418"/>
      <c r="AR701" s="418"/>
      <c r="AS701" s="418"/>
      <c r="AT701" s="418"/>
      <c r="AU701" s="418"/>
      <c r="AV701" s="418"/>
      <c r="AW701" s="418"/>
      <c r="AX701" s="418"/>
      <c r="AY701" s="418"/>
      <c r="AZ701" s="418"/>
    </row>
    <row r="702" spans="40:52" ht="15.75" customHeight="1">
      <c r="AN702" s="418"/>
      <c r="AO702" s="418"/>
      <c r="AP702" s="418"/>
      <c r="AQ702" s="418"/>
      <c r="AR702" s="418"/>
      <c r="AS702" s="418"/>
      <c r="AT702" s="418"/>
      <c r="AU702" s="418"/>
      <c r="AV702" s="418"/>
      <c r="AW702" s="418"/>
      <c r="AX702" s="418"/>
      <c r="AY702" s="418"/>
      <c r="AZ702" s="418"/>
    </row>
    <row r="703" spans="40:52" ht="15.75" customHeight="1">
      <c r="AN703" s="418"/>
      <c r="AO703" s="418"/>
      <c r="AP703" s="418"/>
      <c r="AQ703" s="418"/>
      <c r="AR703" s="418"/>
      <c r="AS703" s="418"/>
      <c r="AT703" s="418"/>
      <c r="AU703" s="418"/>
      <c r="AV703" s="418"/>
      <c r="AW703" s="418"/>
      <c r="AX703" s="418"/>
      <c r="AY703" s="418"/>
      <c r="AZ703" s="418"/>
    </row>
    <row r="704" spans="40:52" ht="15.75" customHeight="1">
      <c r="AN704" s="418"/>
      <c r="AO704" s="418"/>
      <c r="AP704" s="418"/>
      <c r="AQ704" s="418"/>
      <c r="AR704" s="418"/>
      <c r="AS704" s="418"/>
      <c r="AT704" s="418"/>
      <c r="AU704" s="418"/>
      <c r="AV704" s="418"/>
      <c r="AW704" s="418"/>
      <c r="AX704" s="418"/>
      <c r="AY704" s="418"/>
      <c r="AZ704" s="418"/>
    </row>
    <row r="705" spans="40:52" ht="15.75" customHeight="1">
      <c r="AN705" s="418"/>
      <c r="AO705" s="418"/>
      <c r="AP705" s="418"/>
      <c r="AQ705" s="418"/>
      <c r="AR705" s="418"/>
      <c r="AS705" s="418"/>
      <c r="AT705" s="418"/>
      <c r="AU705" s="418"/>
      <c r="AV705" s="418"/>
      <c r="AW705" s="418"/>
      <c r="AX705" s="418"/>
      <c r="AY705" s="418"/>
      <c r="AZ705" s="418"/>
    </row>
    <row r="706" spans="40:52" ht="15.75" customHeight="1">
      <c r="AN706" s="418"/>
      <c r="AO706" s="418"/>
      <c r="AP706" s="418"/>
      <c r="AQ706" s="418"/>
      <c r="AR706" s="418"/>
      <c r="AS706" s="418"/>
      <c r="AT706" s="418"/>
      <c r="AU706" s="418"/>
      <c r="AV706" s="418"/>
      <c r="AW706" s="418"/>
      <c r="AX706" s="418"/>
      <c r="AY706" s="418"/>
      <c r="AZ706" s="418"/>
    </row>
    <row r="707" spans="40:52" ht="15.75" customHeight="1">
      <c r="AN707" s="418"/>
      <c r="AO707" s="418"/>
      <c r="AP707" s="418"/>
      <c r="AQ707" s="418"/>
      <c r="AR707" s="418"/>
      <c r="AS707" s="418"/>
      <c r="AT707" s="418"/>
      <c r="AU707" s="418"/>
      <c r="AV707" s="418"/>
      <c r="AW707" s="418"/>
      <c r="AX707" s="418"/>
      <c r="AY707" s="418"/>
      <c r="AZ707" s="418"/>
    </row>
    <row r="708" spans="40:52" ht="15.75" customHeight="1">
      <c r="AN708" s="418"/>
      <c r="AO708" s="418"/>
      <c r="AP708" s="418"/>
      <c r="AQ708" s="418"/>
      <c r="AR708" s="418"/>
      <c r="AS708" s="418"/>
      <c r="AT708" s="418"/>
      <c r="AU708" s="418"/>
      <c r="AV708" s="418"/>
      <c r="AW708" s="418"/>
      <c r="AX708" s="418"/>
      <c r="AY708" s="418"/>
      <c r="AZ708" s="418"/>
    </row>
    <row r="709" spans="40:52" ht="15.75" customHeight="1">
      <c r="AN709" s="418"/>
      <c r="AO709" s="418"/>
      <c r="AP709" s="418"/>
      <c r="AQ709" s="418"/>
      <c r="AR709" s="418"/>
      <c r="AS709" s="418"/>
      <c r="AT709" s="418"/>
      <c r="AU709" s="418"/>
      <c r="AV709" s="418"/>
      <c r="AW709" s="418"/>
      <c r="AX709" s="418"/>
      <c r="AY709" s="418"/>
      <c r="AZ709" s="418"/>
    </row>
    <row r="710" spans="40:52" ht="15.75" customHeight="1">
      <c r="AN710" s="418"/>
      <c r="AO710" s="418"/>
      <c r="AP710" s="418"/>
      <c r="AQ710" s="418"/>
      <c r="AR710" s="418"/>
      <c r="AS710" s="418"/>
      <c r="AT710" s="418"/>
      <c r="AU710" s="418"/>
      <c r="AV710" s="418"/>
      <c r="AW710" s="418"/>
      <c r="AX710" s="418"/>
      <c r="AY710" s="418"/>
      <c r="AZ710" s="418"/>
    </row>
    <row r="711" spans="40:52" ht="15.75" customHeight="1">
      <c r="AN711" s="418"/>
      <c r="AO711" s="418"/>
      <c r="AP711" s="418"/>
      <c r="AQ711" s="418"/>
      <c r="AR711" s="418"/>
      <c r="AS711" s="418"/>
      <c r="AT711" s="418"/>
      <c r="AU711" s="418"/>
      <c r="AV711" s="418"/>
      <c r="AW711" s="418"/>
      <c r="AX711" s="418"/>
      <c r="AY711" s="418"/>
      <c r="AZ711" s="418"/>
    </row>
    <row r="712" spans="40:52" ht="15.75" customHeight="1">
      <c r="AN712" s="418"/>
      <c r="AO712" s="418"/>
      <c r="AP712" s="418"/>
      <c r="AQ712" s="418"/>
      <c r="AR712" s="418"/>
      <c r="AS712" s="418"/>
      <c r="AT712" s="418"/>
      <c r="AU712" s="418"/>
      <c r="AV712" s="418"/>
      <c r="AW712" s="418"/>
      <c r="AX712" s="418"/>
      <c r="AY712" s="418"/>
      <c r="AZ712" s="418"/>
    </row>
    <row r="713" spans="40:52" ht="15.75" customHeight="1">
      <c r="AN713" s="418"/>
      <c r="AO713" s="418"/>
      <c r="AP713" s="418"/>
      <c r="AQ713" s="418"/>
      <c r="AR713" s="418"/>
      <c r="AS713" s="418"/>
      <c r="AT713" s="418"/>
      <c r="AU713" s="418"/>
      <c r="AV713" s="418"/>
      <c r="AW713" s="418"/>
      <c r="AX713" s="418"/>
      <c r="AY713" s="418"/>
      <c r="AZ713" s="418"/>
    </row>
    <row r="714" spans="40:52" ht="15.75" customHeight="1">
      <c r="AN714" s="418"/>
      <c r="AO714" s="418"/>
      <c r="AP714" s="418"/>
      <c r="AQ714" s="418"/>
      <c r="AR714" s="418"/>
      <c r="AS714" s="418"/>
      <c r="AT714" s="418"/>
      <c r="AU714" s="418"/>
      <c r="AV714" s="418"/>
      <c r="AW714" s="418"/>
      <c r="AX714" s="418"/>
      <c r="AY714" s="418"/>
      <c r="AZ714" s="418"/>
    </row>
    <row r="715" spans="40:52" ht="15.75" customHeight="1">
      <c r="AN715" s="418"/>
      <c r="AO715" s="418"/>
      <c r="AP715" s="418"/>
      <c r="AQ715" s="418"/>
      <c r="AR715" s="418"/>
      <c r="AS715" s="418"/>
      <c r="AT715" s="418"/>
      <c r="AU715" s="418"/>
      <c r="AV715" s="418"/>
      <c r="AW715" s="418"/>
      <c r="AX715" s="418"/>
      <c r="AY715" s="418"/>
      <c r="AZ715" s="418"/>
    </row>
    <row r="716" spans="40:52" ht="15.75" customHeight="1">
      <c r="AN716" s="418"/>
      <c r="AO716" s="418"/>
      <c r="AP716" s="418"/>
      <c r="AQ716" s="418"/>
      <c r="AR716" s="418"/>
      <c r="AS716" s="418"/>
      <c r="AT716" s="418"/>
      <c r="AU716" s="418"/>
      <c r="AV716" s="418"/>
      <c r="AW716" s="418"/>
      <c r="AX716" s="418"/>
      <c r="AY716" s="418"/>
      <c r="AZ716" s="418"/>
    </row>
    <row r="717" spans="40:52" ht="15.75" customHeight="1">
      <c r="AN717" s="418"/>
      <c r="AO717" s="418"/>
      <c r="AP717" s="418"/>
      <c r="AQ717" s="418"/>
      <c r="AR717" s="418"/>
      <c r="AS717" s="418"/>
      <c r="AT717" s="418"/>
      <c r="AU717" s="418"/>
      <c r="AV717" s="418"/>
      <c r="AW717" s="418"/>
      <c r="AX717" s="418"/>
      <c r="AY717" s="418"/>
      <c r="AZ717" s="418"/>
    </row>
    <row r="718" spans="40:52" ht="15.75" customHeight="1">
      <c r="AN718" s="418"/>
      <c r="AO718" s="418"/>
      <c r="AP718" s="418"/>
      <c r="AQ718" s="418"/>
      <c r="AR718" s="418"/>
      <c r="AS718" s="418"/>
      <c r="AT718" s="418"/>
      <c r="AU718" s="418"/>
      <c r="AV718" s="418"/>
      <c r="AW718" s="418"/>
      <c r="AX718" s="418"/>
      <c r="AY718" s="418"/>
      <c r="AZ718" s="418"/>
    </row>
    <row r="719" spans="40:52" ht="15.75" customHeight="1">
      <c r="AN719" s="418"/>
      <c r="AO719" s="418"/>
      <c r="AP719" s="418"/>
      <c r="AQ719" s="418"/>
      <c r="AR719" s="418"/>
      <c r="AS719" s="418"/>
      <c r="AT719" s="418"/>
      <c r="AU719" s="418"/>
      <c r="AV719" s="418"/>
      <c r="AW719" s="418"/>
      <c r="AX719" s="418"/>
      <c r="AY719" s="418"/>
      <c r="AZ719" s="418"/>
    </row>
    <row r="720" spans="40:52" ht="15.75" customHeight="1">
      <c r="AN720" s="418"/>
      <c r="AO720" s="418"/>
      <c r="AP720" s="418"/>
      <c r="AQ720" s="418"/>
      <c r="AR720" s="418"/>
      <c r="AS720" s="418"/>
      <c r="AT720" s="418"/>
      <c r="AU720" s="418"/>
      <c r="AV720" s="418"/>
      <c r="AW720" s="418"/>
      <c r="AX720" s="418"/>
      <c r="AY720" s="418"/>
      <c r="AZ720" s="418"/>
    </row>
    <row r="721" spans="40:52" ht="15.75" customHeight="1">
      <c r="AN721" s="418"/>
      <c r="AO721" s="418"/>
      <c r="AP721" s="418"/>
      <c r="AQ721" s="418"/>
      <c r="AR721" s="418"/>
      <c r="AS721" s="418"/>
      <c r="AT721" s="418"/>
      <c r="AU721" s="418"/>
      <c r="AV721" s="418"/>
      <c r="AW721" s="418"/>
      <c r="AX721" s="418"/>
      <c r="AY721" s="418"/>
      <c r="AZ721" s="418"/>
    </row>
    <row r="722" spans="40:52" ht="15.75" customHeight="1">
      <c r="AN722" s="418"/>
      <c r="AO722" s="418"/>
      <c r="AP722" s="418"/>
      <c r="AQ722" s="418"/>
      <c r="AR722" s="418"/>
      <c r="AS722" s="418"/>
      <c r="AT722" s="418"/>
      <c r="AU722" s="418"/>
      <c r="AV722" s="418"/>
      <c r="AW722" s="418"/>
      <c r="AX722" s="418"/>
      <c r="AY722" s="418"/>
      <c r="AZ722" s="418"/>
    </row>
    <row r="723" spans="40:52" ht="15.75" customHeight="1">
      <c r="AN723" s="418"/>
      <c r="AO723" s="418"/>
      <c r="AP723" s="418"/>
      <c r="AQ723" s="418"/>
      <c r="AR723" s="418"/>
      <c r="AS723" s="418"/>
      <c r="AT723" s="418"/>
      <c r="AU723" s="418"/>
      <c r="AV723" s="418"/>
      <c r="AW723" s="418"/>
      <c r="AX723" s="418"/>
      <c r="AY723" s="418"/>
      <c r="AZ723" s="418"/>
    </row>
    <row r="724" spans="40:52" ht="15.75" customHeight="1">
      <c r="AN724" s="418"/>
      <c r="AO724" s="418"/>
      <c r="AP724" s="418"/>
      <c r="AQ724" s="418"/>
      <c r="AR724" s="418"/>
      <c r="AS724" s="418"/>
      <c r="AT724" s="418"/>
      <c r="AU724" s="418"/>
      <c r="AV724" s="418"/>
      <c r="AW724" s="418"/>
      <c r="AX724" s="418"/>
      <c r="AY724" s="418"/>
      <c r="AZ724" s="418"/>
    </row>
    <row r="725" spans="40:52" ht="15.75" customHeight="1">
      <c r="AN725" s="418"/>
      <c r="AO725" s="418"/>
      <c r="AP725" s="418"/>
      <c r="AQ725" s="418"/>
      <c r="AR725" s="418"/>
      <c r="AS725" s="418"/>
      <c r="AT725" s="418"/>
      <c r="AU725" s="418"/>
      <c r="AV725" s="418"/>
      <c r="AW725" s="418"/>
      <c r="AX725" s="418"/>
      <c r="AY725" s="418"/>
      <c r="AZ725" s="418"/>
    </row>
    <row r="726" spans="40:52" ht="15.75" customHeight="1">
      <c r="AN726" s="418"/>
      <c r="AO726" s="418"/>
      <c r="AP726" s="418"/>
      <c r="AQ726" s="418"/>
      <c r="AR726" s="418"/>
      <c r="AS726" s="418"/>
      <c r="AT726" s="418"/>
      <c r="AU726" s="418"/>
      <c r="AV726" s="418"/>
      <c r="AW726" s="418"/>
      <c r="AX726" s="418"/>
      <c r="AY726" s="418"/>
      <c r="AZ726" s="418"/>
    </row>
    <row r="727" spans="40:52" ht="15.75" customHeight="1">
      <c r="AN727" s="418"/>
      <c r="AO727" s="418"/>
      <c r="AP727" s="418"/>
      <c r="AQ727" s="418"/>
      <c r="AR727" s="418"/>
      <c r="AS727" s="418"/>
      <c r="AT727" s="418"/>
      <c r="AU727" s="418"/>
      <c r="AV727" s="418"/>
      <c r="AW727" s="418"/>
      <c r="AX727" s="418"/>
      <c r="AY727" s="418"/>
      <c r="AZ727" s="418"/>
    </row>
    <row r="728" spans="40:52" ht="15.75" customHeight="1">
      <c r="AN728" s="418"/>
      <c r="AO728" s="418"/>
      <c r="AP728" s="418"/>
      <c r="AQ728" s="418"/>
      <c r="AR728" s="418"/>
      <c r="AS728" s="418"/>
      <c r="AT728" s="418"/>
      <c r="AU728" s="418"/>
      <c r="AV728" s="418"/>
      <c r="AW728" s="418"/>
      <c r="AX728" s="418"/>
      <c r="AY728" s="418"/>
      <c r="AZ728" s="418"/>
    </row>
    <row r="729" spans="40:52" ht="15.75" customHeight="1">
      <c r="AN729" s="418"/>
      <c r="AO729" s="418"/>
      <c r="AP729" s="418"/>
      <c r="AQ729" s="418"/>
      <c r="AR729" s="418"/>
      <c r="AS729" s="418"/>
      <c r="AT729" s="418"/>
      <c r="AU729" s="418"/>
      <c r="AV729" s="418"/>
      <c r="AW729" s="418"/>
      <c r="AX729" s="418"/>
      <c r="AY729" s="418"/>
      <c r="AZ729" s="418"/>
    </row>
    <row r="730" spans="40:52" ht="15.75" customHeight="1">
      <c r="AN730" s="418"/>
      <c r="AO730" s="418"/>
      <c r="AP730" s="418"/>
      <c r="AQ730" s="418"/>
      <c r="AR730" s="418"/>
      <c r="AS730" s="418"/>
      <c r="AT730" s="418"/>
      <c r="AU730" s="418"/>
      <c r="AV730" s="418"/>
      <c r="AW730" s="418"/>
      <c r="AX730" s="418"/>
      <c r="AY730" s="418"/>
      <c r="AZ730" s="418"/>
    </row>
    <row r="731" spans="40:52" ht="15.75" customHeight="1">
      <c r="AN731" s="418"/>
      <c r="AO731" s="418"/>
      <c r="AP731" s="418"/>
      <c r="AQ731" s="418"/>
      <c r="AR731" s="418"/>
      <c r="AS731" s="418"/>
      <c r="AT731" s="418"/>
      <c r="AU731" s="418"/>
      <c r="AV731" s="418"/>
      <c r="AW731" s="418"/>
      <c r="AX731" s="418"/>
      <c r="AY731" s="418"/>
      <c r="AZ731" s="418"/>
    </row>
    <row r="732" spans="40:52" ht="15.75" customHeight="1">
      <c r="AN732" s="418"/>
      <c r="AO732" s="418"/>
      <c r="AP732" s="418"/>
      <c r="AQ732" s="418"/>
      <c r="AR732" s="418"/>
      <c r="AS732" s="418"/>
      <c r="AT732" s="418"/>
      <c r="AU732" s="418"/>
      <c r="AV732" s="418"/>
      <c r="AW732" s="418"/>
      <c r="AX732" s="418"/>
      <c r="AY732" s="418"/>
      <c r="AZ732" s="418"/>
    </row>
    <row r="733" spans="40:52" ht="15.75" customHeight="1">
      <c r="AN733" s="418"/>
      <c r="AO733" s="418"/>
      <c r="AP733" s="418"/>
      <c r="AQ733" s="418"/>
      <c r="AR733" s="418"/>
      <c r="AS733" s="418"/>
      <c r="AT733" s="418"/>
      <c r="AU733" s="418"/>
      <c r="AV733" s="418"/>
      <c r="AW733" s="418"/>
      <c r="AX733" s="418"/>
      <c r="AY733" s="418"/>
      <c r="AZ733" s="418"/>
    </row>
    <row r="734" spans="40:52" ht="15.75" customHeight="1">
      <c r="AN734" s="418"/>
      <c r="AO734" s="418"/>
      <c r="AP734" s="418"/>
      <c r="AQ734" s="418"/>
      <c r="AR734" s="418"/>
      <c r="AS734" s="418"/>
      <c r="AT734" s="418"/>
      <c r="AU734" s="418"/>
      <c r="AV734" s="418"/>
      <c r="AW734" s="418"/>
      <c r="AX734" s="418"/>
      <c r="AY734" s="418"/>
      <c r="AZ734" s="418"/>
    </row>
    <row r="735" spans="40:52" ht="15.75" customHeight="1">
      <c r="AN735" s="418"/>
      <c r="AO735" s="418"/>
      <c r="AP735" s="418"/>
      <c r="AQ735" s="418"/>
      <c r="AR735" s="418"/>
      <c r="AS735" s="418"/>
      <c r="AT735" s="418"/>
      <c r="AU735" s="418"/>
      <c r="AV735" s="418"/>
      <c r="AW735" s="418"/>
      <c r="AX735" s="418"/>
      <c r="AY735" s="418"/>
      <c r="AZ735" s="418"/>
    </row>
    <row r="736" spans="40:52" ht="15.75" customHeight="1">
      <c r="AN736" s="418"/>
      <c r="AO736" s="418"/>
      <c r="AP736" s="418"/>
      <c r="AQ736" s="418"/>
      <c r="AR736" s="418"/>
      <c r="AS736" s="418"/>
      <c r="AT736" s="418"/>
      <c r="AU736" s="418"/>
      <c r="AV736" s="418"/>
      <c r="AW736" s="418"/>
      <c r="AX736" s="418"/>
      <c r="AY736" s="418"/>
      <c r="AZ736" s="418"/>
    </row>
    <row r="737" spans="40:52" ht="15.75" customHeight="1">
      <c r="AN737" s="418"/>
      <c r="AO737" s="418"/>
      <c r="AP737" s="418"/>
      <c r="AQ737" s="418"/>
      <c r="AR737" s="418"/>
      <c r="AS737" s="418"/>
      <c r="AT737" s="418"/>
      <c r="AU737" s="418"/>
      <c r="AV737" s="418"/>
      <c r="AW737" s="418"/>
      <c r="AX737" s="418"/>
      <c r="AY737" s="418"/>
      <c r="AZ737" s="418"/>
    </row>
    <row r="738" spans="40:52" ht="15.75" customHeight="1">
      <c r="AN738" s="418"/>
      <c r="AO738" s="418"/>
      <c r="AP738" s="418"/>
      <c r="AQ738" s="418"/>
      <c r="AR738" s="418"/>
      <c r="AS738" s="418"/>
      <c r="AT738" s="418"/>
      <c r="AU738" s="418"/>
      <c r="AV738" s="418"/>
      <c r="AW738" s="418"/>
      <c r="AX738" s="418"/>
      <c r="AY738" s="418"/>
      <c r="AZ738" s="418"/>
    </row>
    <row r="739" spans="40:52" ht="15.75" customHeight="1">
      <c r="AN739" s="418"/>
      <c r="AO739" s="418"/>
      <c r="AP739" s="418"/>
      <c r="AQ739" s="418"/>
      <c r="AR739" s="418"/>
      <c r="AS739" s="418"/>
      <c r="AT739" s="418"/>
      <c r="AU739" s="418"/>
      <c r="AV739" s="418"/>
      <c r="AW739" s="418"/>
      <c r="AX739" s="418"/>
      <c r="AY739" s="418"/>
      <c r="AZ739" s="418"/>
    </row>
    <row r="740" spans="40:52" ht="15.75" customHeight="1">
      <c r="AN740" s="418"/>
      <c r="AO740" s="418"/>
      <c r="AP740" s="418"/>
      <c r="AQ740" s="418"/>
      <c r="AR740" s="418"/>
      <c r="AS740" s="418"/>
      <c r="AT740" s="418"/>
      <c r="AU740" s="418"/>
      <c r="AV740" s="418"/>
      <c r="AW740" s="418"/>
      <c r="AX740" s="418"/>
      <c r="AY740" s="418"/>
      <c r="AZ740" s="418"/>
    </row>
    <row r="741" spans="40:52" ht="15.75" customHeight="1">
      <c r="AN741" s="418"/>
      <c r="AO741" s="418"/>
      <c r="AP741" s="418"/>
      <c r="AQ741" s="418"/>
      <c r="AR741" s="418"/>
      <c r="AS741" s="418"/>
      <c r="AT741" s="418"/>
      <c r="AU741" s="418"/>
      <c r="AV741" s="418"/>
      <c r="AW741" s="418"/>
      <c r="AX741" s="418"/>
      <c r="AY741" s="418"/>
      <c r="AZ741" s="418"/>
    </row>
    <row r="742" spans="40:52" ht="15.75" customHeight="1">
      <c r="AN742" s="418"/>
      <c r="AO742" s="418"/>
      <c r="AP742" s="418"/>
      <c r="AQ742" s="418"/>
      <c r="AR742" s="418"/>
      <c r="AS742" s="418"/>
      <c r="AT742" s="418"/>
      <c r="AU742" s="418"/>
      <c r="AV742" s="418"/>
      <c r="AW742" s="418"/>
      <c r="AX742" s="418"/>
      <c r="AY742" s="418"/>
      <c r="AZ742" s="418"/>
    </row>
    <row r="743" spans="40:52" ht="15.75" customHeight="1">
      <c r="AN743" s="418"/>
      <c r="AO743" s="418"/>
      <c r="AP743" s="418"/>
      <c r="AQ743" s="418"/>
      <c r="AR743" s="418"/>
      <c r="AS743" s="418"/>
      <c r="AT743" s="418"/>
      <c r="AU743" s="418"/>
      <c r="AV743" s="418"/>
      <c r="AW743" s="418"/>
      <c r="AX743" s="418"/>
      <c r="AY743" s="418"/>
      <c r="AZ743" s="418"/>
    </row>
    <row r="744" spans="40:52" ht="15.75" customHeight="1">
      <c r="AN744" s="418"/>
      <c r="AO744" s="418"/>
      <c r="AP744" s="418"/>
      <c r="AQ744" s="418"/>
      <c r="AR744" s="418"/>
      <c r="AS744" s="418"/>
      <c r="AT744" s="418"/>
      <c r="AU744" s="418"/>
      <c r="AV744" s="418"/>
      <c r="AW744" s="418"/>
      <c r="AX744" s="418"/>
      <c r="AY744" s="418"/>
      <c r="AZ744" s="418"/>
    </row>
    <row r="745" spans="40:52" ht="15.75" customHeight="1">
      <c r="AN745" s="418"/>
      <c r="AO745" s="418"/>
      <c r="AP745" s="418"/>
      <c r="AQ745" s="418"/>
      <c r="AR745" s="418"/>
      <c r="AS745" s="418"/>
      <c r="AT745" s="418"/>
      <c r="AU745" s="418"/>
      <c r="AV745" s="418"/>
      <c r="AW745" s="418"/>
      <c r="AX745" s="418"/>
      <c r="AY745" s="418"/>
      <c r="AZ745" s="418"/>
    </row>
    <row r="746" spans="40:52" ht="15.75" customHeight="1">
      <c r="AN746" s="418"/>
      <c r="AO746" s="418"/>
      <c r="AP746" s="418"/>
      <c r="AQ746" s="418"/>
      <c r="AR746" s="418"/>
      <c r="AS746" s="418"/>
      <c r="AT746" s="418"/>
      <c r="AU746" s="418"/>
      <c r="AV746" s="418"/>
      <c r="AW746" s="418"/>
      <c r="AX746" s="418"/>
      <c r="AY746" s="418"/>
      <c r="AZ746" s="418"/>
    </row>
    <row r="747" spans="40:52" ht="15.75" customHeight="1">
      <c r="AN747" s="418"/>
      <c r="AO747" s="418"/>
      <c r="AP747" s="418"/>
      <c r="AQ747" s="418"/>
      <c r="AR747" s="418"/>
      <c r="AS747" s="418"/>
      <c r="AT747" s="418"/>
      <c r="AU747" s="418"/>
      <c r="AV747" s="418"/>
      <c r="AW747" s="418"/>
      <c r="AX747" s="418"/>
      <c r="AY747" s="418"/>
      <c r="AZ747" s="418"/>
    </row>
    <row r="748" spans="40:52" ht="15.75" customHeight="1">
      <c r="AN748" s="418"/>
      <c r="AO748" s="418"/>
      <c r="AP748" s="418"/>
      <c r="AQ748" s="418"/>
      <c r="AR748" s="418"/>
      <c r="AS748" s="418"/>
      <c r="AT748" s="418"/>
      <c r="AU748" s="418"/>
      <c r="AV748" s="418"/>
      <c r="AW748" s="418"/>
      <c r="AX748" s="418"/>
      <c r="AY748" s="418"/>
      <c r="AZ748" s="418"/>
    </row>
    <row r="749" spans="40:52" ht="15.75" customHeight="1">
      <c r="AN749" s="418"/>
      <c r="AO749" s="418"/>
      <c r="AP749" s="418"/>
      <c r="AQ749" s="418"/>
      <c r="AR749" s="418"/>
      <c r="AS749" s="418"/>
      <c r="AT749" s="418"/>
      <c r="AU749" s="418"/>
      <c r="AV749" s="418"/>
      <c r="AW749" s="418"/>
      <c r="AX749" s="418"/>
      <c r="AY749" s="418"/>
      <c r="AZ749" s="418"/>
    </row>
    <row r="750" spans="40:52" ht="15.75" customHeight="1">
      <c r="AN750" s="418"/>
      <c r="AO750" s="418"/>
      <c r="AP750" s="418"/>
      <c r="AQ750" s="418"/>
      <c r="AR750" s="418"/>
      <c r="AS750" s="418"/>
      <c r="AT750" s="418"/>
      <c r="AU750" s="418"/>
      <c r="AV750" s="418"/>
      <c r="AW750" s="418"/>
      <c r="AX750" s="418"/>
      <c r="AY750" s="418"/>
      <c r="AZ750" s="418"/>
    </row>
    <row r="751" spans="40:52" ht="15.75" customHeight="1">
      <c r="AN751" s="418"/>
      <c r="AO751" s="418"/>
      <c r="AP751" s="418"/>
      <c r="AQ751" s="418"/>
      <c r="AR751" s="418"/>
      <c r="AS751" s="418"/>
      <c r="AT751" s="418"/>
      <c r="AU751" s="418"/>
      <c r="AV751" s="418"/>
      <c r="AW751" s="418"/>
      <c r="AX751" s="418"/>
      <c r="AY751" s="418"/>
      <c r="AZ751" s="418"/>
    </row>
    <row r="752" spans="40:52" ht="15.75" customHeight="1">
      <c r="AN752" s="418"/>
      <c r="AO752" s="418"/>
      <c r="AP752" s="418"/>
      <c r="AQ752" s="418"/>
      <c r="AR752" s="418"/>
      <c r="AS752" s="418"/>
      <c r="AT752" s="418"/>
      <c r="AU752" s="418"/>
      <c r="AV752" s="418"/>
      <c r="AW752" s="418"/>
      <c r="AX752" s="418"/>
      <c r="AY752" s="418"/>
      <c r="AZ752" s="418"/>
    </row>
    <row r="753" spans="40:52" ht="15.75" customHeight="1">
      <c r="AN753" s="418"/>
      <c r="AO753" s="418"/>
      <c r="AP753" s="418"/>
      <c r="AQ753" s="418"/>
      <c r="AR753" s="418"/>
      <c r="AS753" s="418"/>
      <c r="AT753" s="418"/>
      <c r="AU753" s="418"/>
      <c r="AV753" s="418"/>
      <c r="AW753" s="418"/>
      <c r="AX753" s="418"/>
      <c r="AY753" s="418"/>
      <c r="AZ753" s="418"/>
    </row>
    <row r="754" spans="40:52" ht="15.75" customHeight="1">
      <c r="AN754" s="418"/>
      <c r="AO754" s="418"/>
      <c r="AP754" s="418"/>
      <c r="AQ754" s="418"/>
      <c r="AR754" s="418"/>
      <c r="AS754" s="418"/>
      <c r="AT754" s="418"/>
      <c r="AU754" s="418"/>
      <c r="AV754" s="418"/>
      <c r="AW754" s="418"/>
      <c r="AX754" s="418"/>
      <c r="AY754" s="418"/>
      <c r="AZ754" s="418"/>
    </row>
    <row r="755" spans="40:52" ht="15.75" customHeight="1">
      <c r="AN755" s="418"/>
      <c r="AO755" s="418"/>
      <c r="AP755" s="418"/>
      <c r="AQ755" s="418"/>
      <c r="AR755" s="418"/>
      <c r="AS755" s="418"/>
      <c r="AT755" s="418"/>
      <c r="AU755" s="418"/>
      <c r="AV755" s="418"/>
      <c r="AW755" s="418"/>
      <c r="AX755" s="418"/>
      <c r="AY755" s="418"/>
      <c r="AZ755" s="418"/>
    </row>
    <row r="756" spans="40:52" ht="15.75" customHeight="1">
      <c r="AN756" s="418"/>
      <c r="AO756" s="418"/>
      <c r="AP756" s="418"/>
      <c r="AQ756" s="418"/>
      <c r="AR756" s="418"/>
      <c r="AS756" s="418"/>
      <c r="AT756" s="418"/>
      <c r="AU756" s="418"/>
      <c r="AV756" s="418"/>
      <c r="AW756" s="418"/>
      <c r="AX756" s="418"/>
      <c r="AY756" s="418"/>
      <c r="AZ756" s="418"/>
    </row>
    <row r="757" spans="40:52" ht="15.75" customHeight="1">
      <c r="AN757" s="418"/>
      <c r="AO757" s="418"/>
      <c r="AP757" s="418"/>
      <c r="AQ757" s="418"/>
      <c r="AR757" s="418"/>
      <c r="AS757" s="418"/>
      <c r="AT757" s="418"/>
      <c r="AU757" s="418"/>
      <c r="AV757" s="418"/>
      <c r="AW757" s="418"/>
      <c r="AX757" s="418"/>
      <c r="AY757" s="418"/>
      <c r="AZ757" s="418"/>
    </row>
    <row r="758" spans="40:52" ht="15.75" customHeight="1">
      <c r="AN758" s="418"/>
      <c r="AO758" s="418"/>
      <c r="AP758" s="418"/>
      <c r="AQ758" s="418"/>
      <c r="AR758" s="418"/>
      <c r="AS758" s="418"/>
      <c r="AT758" s="418"/>
      <c r="AU758" s="418"/>
      <c r="AV758" s="418"/>
      <c r="AW758" s="418"/>
      <c r="AX758" s="418"/>
      <c r="AY758" s="418"/>
      <c r="AZ758" s="418"/>
    </row>
    <row r="759" spans="40:52" ht="15.75" customHeight="1">
      <c r="AN759" s="418"/>
      <c r="AO759" s="418"/>
      <c r="AP759" s="418"/>
      <c r="AQ759" s="418"/>
      <c r="AR759" s="418"/>
      <c r="AS759" s="418"/>
      <c r="AT759" s="418"/>
      <c r="AU759" s="418"/>
      <c r="AV759" s="418"/>
      <c r="AW759" s="418"/>
      <c r="AX759" s="418"/>
      <c r="AY759" s="418"/>
      <c r="AZ759" s="418"/>
    </row>
    <row r="760" spans="40:52" ht="15.75" customHeight="1">
      <c r="AN760" s="418"/>
      <c r="AO760" s="418"/>
      <c r="AP760" s="418"/>
      <c r="AQ760" s="418"/>
      <c r="AR760" s="418"/>
      <c r="AS760" s="418"/>
      <c r="AT760" s="418"/>
      <c r="AU760" s="418"/>
      <c r="AV760" s="418"/>
      <c r="AW760" s="418"/>
      <c r="AX760" s="418"/>
      <c r="AY760" s="418"/>
      <c r="AZ760" s="418"/>
    </row>
    <row r="761" spans="40:52" ht="15.75" customHeight="1">
      <c r="AN761" s="418"/>
      <c r="AO761" s="418"/>
      <c r="AP761" s="418"/>
      <c r="AQ761" s="418"/>
      <c r="AR761" s="418"/>
      <c r="AS761" s="418"/>
      <c r="AT761" s="418"/>
      <c r="AU761" s="418"/>
      <c r="AV761" s="418"/>
      <c r="AW761" s="418"/>
      <c r="AX761" s="418"/>
      <c r="AY761" s="418"/>
      <c r="AZ761" s="418"/>
    </row>
    <row r="762" spans="40:52" ht="15.75" customHeight="1">
      <c r="AN762" s="418"/>
      <c r="AO762" s="418"/>
      <c r="AP762" s="418"/>
      <c r="AQ762" s="418"/>
      <c r="AR762" s="418"/>
      <c r="AS762" s="418"/>
      <c r="AT762" s="418"/>
      <c r="AU762" s="418"/>
      <c r="AV762" s="418"/>
      <c r="AW762" s="418"/>
      <c r="AX762" s="418"/>
      <c r="AY762" s="418"/>
      <c r="AZ762" s="418"/>
    </row>
    <row r="763" spans="40:52" ht="15.75" customHeight="1">
      <c r="AN763" s="418"/>
      <c r="AO763" s="418"/>
      <c r="AP763" s="418"/>
      <c r="AQ763" s="418"/>
      <c r="AR763" s="418"/>
      <c r="AS763" s="418"/>
      <c r="AT763" s="418"/>
      <c r="AU763" s="418"/>
      <c r="AV763" s="418"/>
      <c r="AW763" s="418"/>
      <c r="AX763" s="418"/>
      <c r="AY763" s="418"/>
      <c r="AZ763" s="418"/>
    </row>
    <row r="764" spans="40:52" ht="15.75" customHeight="1">
      <c r="AN764" s="418"/>
      <c r="AO764" s="418"/>
      <c r="AP764" s="418"/>
      <c r="AQ764" s="418"/>
      <c r="AR764" s="418"/>
      <c r="AS764" s="418"/>
      <c r="AT764" s="418"/>
      <c r="AU764" s="418"/>
      <c r="AV764" s="418"/>
      <c r="AW764" s="418"/>
      <c r="AX764" s="418"/>
      <c r="AY764" s="418"/>
      <c r="AZ764" s="418"/>
    </row>
    <row r="765" spans="40:52" ht="15.75" customHeight="1">
      <c r="AN765" s="418"/>
      <c r="AO765" s="418"/>
      <c r="AP765" s="418"/>
      <c r="AQ765" s="418"/>
      <c r="AR765" s="418"/>
      <c r="AS765" s="418"/>
      <c r="AT765" s="418"/>
      <c r="AU765" s="418"/>
      <c r="AV765" s="418"/>
      <c r="AW765" s="418"/>
      <c r="AX765" s="418"/>
      <c r="AY765" s="418"/>
      <c r="AZ765" s="418"/>
    </row>
    <row r="766" spans="40:52" ht="15.75" customHeight="1">
      <c r="AN766" s="418"/>
      <c r="AO766" s="418"/>
      <c r="AP766" s="418"/>
      <c r="AQ766" s="418"/>
      <c r="AR766" s="418"/>
      <c r="AS766" s="418"/>
      <c r="AT766" s="418"/>
      <c r="AU766" s="418"/>
      <c r="AV766" s="418"/>
      <c r="AW766" s="418"/>
      <c r="AX766" s="418"/>
      <c r="AY766" s="418"/>
      <c r="AZ766" s="418"/>
    </row>
    <row r="767" spans="40:52" ht="15.75" customHeight="1">
      <c r="AN767" s="418"/>
      <c r="AO767" s="418"/>
      <c r="AP767" s="418"/>
      <c r="AQ767" s="418"/>
      <c r="AR767" s="418"/>
      <c r="AS767" s="418"/>
      <c r="AT767" s="418"/>
      <c r="AU767" s="418"/>
      <c r="AV767" s="418"/>
      <c r="AW767" s="418"/>
      <c r="AX767" s="418"/>
      <c r="AY767" s="418"/>
      <c r="AZ767" s="418"/>
    </row>
    <row r="768" spans="40:52" ht="15.75" customHeight="1">
      <c r="AN768" s="418"/>
      <c r="AO768" s="418"/>
      <c r="AP768" s="418"/>
      <c r="AQ768" s="418"/>
      <c r="AR768" s="418"/>
      <c r="AS768" s="418"/>
      <c r="AT768" s="418"/>
      <c r="AU768" s="418"/>
      <c r="AV768" s="418"/>
      <c r="AW768" s="418"/>
      <c r="AX768" s="418"/>
      <c r="AY768" s="418"/>
      <c r="AZ768" s="418"/>
    </row>
    <row r="769" spans="40:52" ht="15.75" customHeight="1">
      <c r="AN769" s="418"/>
      <c r="AO769" s="418"/>
      <c r="AP769" s="418"/>
      <c r="AQ769" s="418"/>
      <c r="AR769" s="418"/>
      <c r="AS769" s="418"/>
      <c r="AT769" s="418"/>
      <c r="AU769" s="418"/>
      <c r="AV769" s="418"/>
      <c r="AW769" s="418"/>
      <c r="AX769" s="418"/>
      <c r="AY769" s="418"/>
      <c r="AZ769" s="418"/>
    </row>
    <row r="770" spans="40:52" ht="15.75" customHeight="1">
      <c r="AN770" s="418"/>
      <c r="AO770" s="418"/>
      <c r="AP770" s="418"/>
      <c r="AQ770" s="418"/>
      <c r="AR770" s="418"/>
      <c r="AS770" s="418"/>
      <c r="AT770" s="418"/>
      <c r="AU770" s="418"/>
      <c r="AV770" s="418"/>
      <c r="AW770" s="418"/>
      <c r="AX770" s="418"/>
      <c r="AY770" s="418"/>
      <c r="AZ770" s="418"/>
    </row>
    <row r="771" spans="40:52" ht="15.75" customHeight="1">
      <c r="AN771" s="418"/>
      <c r="AO771" s="418"/>
      <c r="AP771" s="418"/>
      <c r="AQ771" s="418"/>
      <c r="AR771" s="418"/>
      <c r="AS771" s="418"/>
      <c r="AT771" s="418"/>
      <c r="AU771" s="418"/>
      <c r="AV771" s="418"/>
      <c r="AW771" s="418"/>
      <c r="AX771" s="418"/>
      <c r="AY771" s="418"/>
      <c r="AZ771" s="418"/>
    </row>
    <row r="772" spans="40:52" ht="15.75" customHeight="1">
      <c r="AN772" s="418"/>
      <c r="AO772" s="418"/>
      <c r="AP772" s="418"/>
      <c r="AQ772" s="418"/>
      <c r="AR772" s="418"/>
      <c r="AS772" s="418"/>
      <c r="AT772" s="418"/>
      <c r="AU772" s="418"/>
      <c r="AV772" s="418"/>
      <c r="AW772" s="418"/>
      <c r="AX772" s="418"/>
      <c r="AY772" s="418"/>
      <c r="AZ772" s="418"/>
    </row>
    <row r="773" spans="40:52" ht="15.75" customHeight="1">
      <c r="AN773" s="418"/>
      <c r="AO773" s="418"/>
      <c r="AP773" s="418"/>
      <c r="AQ773" s="418"/>
      <c r="AR773" s="418"/>
      <c r="AS773" s="418"/>
      <c r="AT773" s="418"/>
      <c r="AU773" s="418"/>
      <c r="AV773" s="418"/>
      <c r="AW773" s="418"/>
      <c r="AX773" s="418"/>
      <c r="AY773" s="418"/>
      <c r="AZ773" s="418"/>
    </row>
    <row r="774" spans="40:52" ht="15.75" customHeight="1">
      <c r="AN774" s="418"/>
      <c r="AO774" s="418"/>
      <c r="AP774" s="418"/>
      <c r="AQ774" s="418"/>
      <c r="AR774" s="418"/>
      <c r="AS774" s="418"/>
      <c r="AT774" s="418"/>
      <c r="AU774" s="418"/>
      <c r="AV774" s="418"/>
      <c r="AW774" s="418"/>
      <c r="AX774" s="418"/>
      <c r="AY774" s="418"/>
      <c r="AZ774" s="418"/>
    </row>
    <row r="775" spans="40:52" ht="15.75" customHeight="1">
      <c r="AN775" s="418"/>
      <c r="AO775" s="418"/>
      <c r="AP775" s="418"/>
      <c r="AQ775" s="418"/>
      <c r="AR775" s="418"/>
      <c r="AS775" s="418"/>
      <c r="AT775" s="418"/>
      <c r="AU775" s="418"/>
      <c r="AV775" s="418"/>
      <c r="AW775" s="418"/>
      <c r="AX775" s="418"/>
      <c r="AY775" s="418"/>
      <c r="AZ775" s="418"/>
    </row>
    <row r="776" spans="40:52" ht="15.75" customHeight="1">
      <c r="AN776" s="418"/>
      <c r="AO776" s="418"/>
      <c r="AP776" s="418"/>
      <c r="AQ776" s="418"/>
      <c r="AR776" s="418"/>
      <c r="AS776" s="418"/>
      <c r="AT776" s="418"/>
      <c r="AU776" s="418"/>
      <c r="AV776" s="418"/>
      <c r="AW776" s="418"/>
      <c r="AX776" s="418"/>
      <c r="AY776" s="418"/>
      <c r="AZ776" s="418"/>
    </row>
    <row r="777" spans="40:52" ht="15.75" customHeight="1">
      <c r="AN777" s="418"/>
      <c r="AO777" s="418"/>
      <c r="AP777" s="418"/>
      <c r="AQ777" s="418"/>
      <c r="AR777" s="418"/>
      <c r="AS777" s="418"/>
      <c r="AT777" s="418"/>
      <c r="AU777" s="418"/>
      <c r="AV777" s="418"/>
      <c r="AW777" s="418"/>
      <c r="AX777" s="418"/>
      <c r="AY777" s="418"/>
      <c r="AZ777" s="418"/>
    </row>
    <row r="778" spans="40:52" ht="15.75" customHeight="1">
      <c r="AN778" s="418"/>
      <c r="AO778" s="418"/>
      <c r="AP778" s="418"/>
      <c r="AQ778" s="418"/>
      <c r="AR778" s="418"/>
      <c r="AS778" s="418"/>
      <c r="AT778" s="418"/>
      <c r="AU778" s="418"/>
      <c r="AV778" s="418"/>
      <c r="AW778" s="418"/>
      <c r="AX778" s="418"/>
      <c r="AY778" s="418"/>
      <c r="AZ778" s="418"/>
    </row>
    <row r="779" spans="40:52" ht="15.75" customHeight="1">
      <c r="AN779" s="418"/>
      <c r="AO779" s="418"/>
      <c r="AP779" s="418"/>
      <c r="AQ779" s="418"/>
      <c r="AR779" s="418"/>
      <c r="AS779" s="418"/>
      <c r="AT779" s="418"/>
      <c r="AU779" s="418"/>
      <c r="AV779" s="418"/>
      <c r="AW779" s="418"/>
      <c r="AX779" s="418"/>
      <c r="AY779" s="418"/>
      <c r="AZ779" s="418"/>
    </row>
    <row r="780" spans="40:52" ht="15.75" customHeight="1">
      <c r="AN780" s="418"/>
      <c r="AO780" s="418"/>
      <c r="AP780" s="418"/>
      <c r="AQ780" s="418"/>
      <c r="AR780" s="418"/>
      <c r="AS780" s="418"/>
      <c r="AT780" s="418"/>
      <c r="AU780" s="418"/>
      <c r="AV780" s="418"/>
      <c r="AW780" s="418"/>
      <c r="AX780" s="418"/>
      <c r="AY780" s="418"/>
      <c r="AZ780" s="418"/>
    </row>
    <row r="781" spans="40:52" ht="15.75" customHeight="1">
      <c r="AN781" s="418"/>
      <c r="AO781" s="418"/>
      <c r="AP781" s="418"/>
      <c r="AQ781" s="418"/>
      <c r="AR781" s="418"/>
      <c r="AS781" s="418"/>
      <c r="AT781" s="418"/>
      <c r="AU781" s="418"/>
      <c r="AV781" s="418"/>
      <c r="AW781" s="418"/>
      <c r="AX781" s="418"/>
      <c r="AY781" s="418"/>
      <c r="AZ781" s="418"/>
    </row>
    <row r="782" spans="40:52" ht="15.75" customHeight="1">
      <c r="AN782" s="418"/>
      <c r="AO782" s="418"/>
      <c r="AP782" s="418"/>
      <c r="AQ782" s="418"/>
      <c r="AR782" s="418"/>
      <c r="AS782" s="418"/>
      <c r="AT782" s="418"/>
      <c r="AU782" s="418"/>
      <c r="AV782" s="418"/>
      <c r="AW782" s="418"/>
      <c r="AX782" s="418"/>
      <c r="AY782" s="418"/>
      <c r="AZ782" s="418"/>
    </row>
    <row r="783" spans="40:52" ht="15.75" customHeight="1">
      <c r="AN783" s="418"/>
      <c r="AO783" s="418"/>
      <c r="AP783" s="418"/>
      <c r="AQ783" s="418"/>
      <c r="AR783" s="418"/>
      <c r="AS783" s="418"/>
      <c r="AT783" s="418"/>
      <c r="AU783" s="418"/>
      <c r="AV783" s="418"/>
      <c r="AW783" s="418"/>
      <c r="AX783" s="418"/>
      <c r="AY783" s="418"/>
      <c r="AZ783" s="418"/>
    </row>
    <row r="784" spans="40:52" ht="15.75" customHeight="1">
      <c r="AN784" s="418"/>
      <c r="AO784" s="418"/>
      <c r="AP784" s="418"/>
      <c r="AQ784" s="418"/>
      <c r="AR784" s="418"/>
      <c r="AS784" s="418"/>
      <c r="AT784" s="418"/>
      <c r="AU784" s="418"/>
      <c r="AV784" s="418"/>
      <c r="AW784" s="418"/>
      <c r="AX784" s="418"/>
      <c r="AY784" s="418"/>
      <c r="AZ784" s="418"/>
    </row>
    <row r="785" spans="40:52" ht="15.75" customHeight="1">
      <c r="AN785" s="418"/>
      <c r="AO785" s="418"/>
      <c r="AP785" s="418"/>
      <c r="AQ785" s="418"/>
      <c r="AR785" s="418"/>
      <c r="AS785" s="418"/>
      <c r="AT785" s="418"/>
      <c r="AU785" s="418"/>
      <c r="AV785" s="418"/>
      <c r="AW785" s="418"/>
      <c r="AX785" s="418"/>
      <c r="AY785" s="418"/>
      <c r="AZ785" s="418"/>
    </row>
    <row r="786" spans="40:52" ht="15.75" customHeight="1">
      <c r="AN786" s="418"/>
      <c r="AO786" s="418"/>
      <c r="AP786" s="418"/>
      <c r="AQ786" s="418"/>
      <c r="AR786" s="418"/>
      <c r="AS786" s="418"/>
      <c r="AT786" s="418"/>
      <c r="AU786" s="418"/>
      <c r="AV786" s="418"/>
      <c r="AW786" s="418"/>
      <c r="AX786" s="418"/>
      <c r="AY786" s="418"/>
      <c r="AZ786" s="418"/>
    </row>
    <row r="787" spans="40:52" ht="15.75" customHeight="1">
      <c r="AN787" s="418"/>
      <c r="AO787" s="418"/>
      <c r="AP787" s="418"/>
      <c r="AQ787" s="418"/>
      <c r="AR787" s="418"/>
      <c r="AS787" s="418"/>
      <c r="AT787" s="418"/>
      <c r="AU787" s="418"/>
      <c r="AV787" s="418"/>
      <c r="AW787" s="418"/>
      <c r="AX787" s="418"/>
      <c r="AY787" s="418"/>
      <c r="AZ787" s="418"/>
    </row>
    <row r="788" spans="40:52" ht="15.75" customHeight="1">
      <c r="AN788" s="418"/>
      <c r="AO788" s="418"/>
      <c r="AP788" s="418"/>
      <c r="AQ788" s="418"/>
      <c r="AR788" s="418"/>
      <c r="AS788" s="418"/>
      <c r="AT788" s="418"/>
      <c r="AU788" s="418"/>
      <c r="AV788" s="418"/>
      <c r="AW788" s="418"/>
      <c r="AX788" s="418"/>
      <c r="AY788" s="418"/>
      <c r="AZ788" s="418"/>
    </row>
    <row r="789" spans="40:52" ht="15.75" customHeight="1">
      <c r="AN789" s="418"/>
      <c r="AO789" s="418"/>
      <c r="AP789" s="418"/>
      <c r="AQ789" s="418"/>
      <c r="AR789" s="418"/>
      <c r="AS789" s="418"/>
      <c r="AT789" s="418"/>
      <c r="AU789" s="418"/>
      <c r="AV789" s="418"/>
      <c r="AW789" s="418"/>
      <c r="AX789" s="418"/>
      <c r="AY789" s="418"/>
      <c r="AZ789" s="418"/>
    </row>
    <row r="790" spans="40:52" ht="15.75" customHeight="1">
      <c r="AN790" s="418"/>
      <c r="AO790" s="418"/>
      <c r="AP790" s="418"/>
      <c r="AQ790" s="418"/>
      <c r="AR790" s="418"/>
      <c r="AS790" s="418"/>
      <c r="AT790" s="418"/>
      <c r="AU790" s="418"/>
      <c r="AV790" s="418"/>
      <c r="AW790" s="418"/>
      <c r="AX790" s="418"/>
      <c r="AY790" s="418"/>
      <c r="AZ790" s="418"/>
    </row>
    <row r="791" spans="40:52" ht="15.75" customHeight="1">
      <c r="AN791" s="418"/>
      <c r="AO791" s="418"/>
      <c r="AP791" s="418"/>
      <c r="AQ791" s="418"/>
      <c r="AR791" s="418"/>
      <c r="AS791" s="418"/>
      <c r="AT791" s="418"/>
      <c r="AU791" s="418"/>
      <c r="AV791" s="418"/>
      <c r="AW791" s="418"/>
      <c r="AX791" s="418"/>
      <c r="AY791" s="418"/>
      <c r="AZ791" s="418"/>
    </row>
    <row r="792" spans="40:52" ht="15.75" customHeight="1">
      <c r="AN792" s="418"/>
      <c r="AO792" s="418"/>
      <c r="AP792" s="418"/>
      <c r="AQ792" s="418"/>
      <c r="AR792" s="418"/>
      <c r="AS792" s="418"/>
      <c r="AT792" s="418"/>
      <c r="AU792" s="418"/>
      <c r="AV792" s="418"/>
      <c r="AW792" s="418"/>
      <c r="AX792" s="418"/>
      <c r="AY792" s="418"/>
      <c r="AZ792" s="418"/>
    </row>
    <row r="793" spans="40:52" ht="15.75" customHeight="1">
      <c r="AN793" s="418"/>
      <c r="AO793" s="418"/>
      <c r="AP793" s="418"/>
      <c r="AQ793" s="418"/>
      <c r="AR793" s="418"/>
      <c r="AS793" s="418"/>
      <c r="AT793" s="418"/>
      <c r="AU793" s="418"/>
      <c r="AV793" s="418"/>
      <c r="AW793" s="418"/>
      <c r="AX793" s="418"/>
      <c r="AY793" s="418"/>
      <c r="AZ793" s="418"/>
    </row>
    <row r="794" spans="40:52" ht="15.75" customHeight="1">
      <c r="AN794" s="418"/>
      <c r="AO794" s="418"/>
      <c r="AP794" s="418"/>
      <c r="AQ794" s="418"/>
      <c r="AR794" s="418"/>
      <c r="AS794" s="418"/>
      <c r="AT794" s="418"/>
      <c r="AU794" s="418"/>
      <c r="AV794" s="418"/>
      <c r="AW794" s="418"/>
      <c r="AX794" s="418"/>
      <c r="AY794" s="418"/>
      <c r="AZ794" s="418"/>
    </row>
    <row r="795" spans="40:52" ht="15.75" customHeight="1">
      <c r="AN795" s="418"/>
      <c r="AO795" s="418"/>
      <c r="AP795" s="418"/>
      <c r="AQ795" s="418"/>
      <c r="AR795" s="418"/>
      <c r="AS795" s="418"/>
      <c r="AT795" s="418"/>
      <c r="AU795" s="418"/>
      <c r="AV795" s="418"/>
      <c r="AW795" s="418"/>
      <c r="AX795" s="418"/>
      <c r="AY795" s="418"/>
      <c r="AZ795" s="418"/>
    </row>
    <row r="796" spans="40:52" ht="15.75" customHeight="1">
      <c r="AN796" s="418"/>
      <c r="AO796" s="418"/>
      <c r="AP796" s="418"/>
      <c r="AQ796" s="418"/>
      <c r="AR796" s="418"/>
      <c r="AS796" s="418"/>
      <c r="AT796" s="418"/>
      <c r="AU796" s="418"/>
      <c r="AV796" s="418"/>
      <c r="AW796" s="418"/>
      <c r="AX796" s="418"/>
      <c r="AY796" s="418"/>
      <c r="AZ796" s="418"/>
    </row>
    <row r="797" spans="40:52" ht="15.75" customHeight="1">
      <c r="AN797" s="418"/>
      <c r="AO797" s="418"/>
      <c r="AP797" s="418"/>
      <c r="AQ797" s="418"/>
      <c r="AR797" s="418"/>
      <c r="AS797" s="418"/>
      <c r="AT797" s="418"/>
      <c r="AU797" s="418"/>
      <c r="AV797" s="418"/>
      <c r="AW797" s="418"/>
      <c r="AX797" s="418"/>
      <c r="AY797" s="418"/>
      <c r="AZ797" s="418"/>
    </row>
    <row r="798" spans="40:52" ht="15.75" customHeight="1">
      <c r="AN798" s="418"/>
      <c r="AO798" s="418"/>
      <c r="AP798" s="418"/>
      <c r="AQ798" s="418"/>
      <c r="AR798" s="418"/>
      <c r="AS798" s="418"/>
      <c r="AT798" s="418"/>
      <c r="AU798" s="418"/>
      <c r="AV798" s="418"/>
      <c r="AW798" s="418"/>
      <c r="AX798" s="418"/>
      <c r="AY798" s="418"/>
      <c r="AZ798" s="418"/>
    </row>
    <row r="799" spans="40:52" ht="15.75" customHeight="1">
      <c r="AN799" s="418"/>
      <c r="AO799" s="418"/>
      <c r="AP799" s="418"/>
      <c r="AQ799" s="418"/>
      <c r="AR799" s="418"/>
      <c r="AS799" s="418"/>
      <c r="AT799" s="418"/>
      <c r="AU799" s="418"/>
      <c r="AV799" s="418"/>
      <c r="AW799" s="418"/>
      <c r="AX799" s="418"/>
      <c r="AY799" s="418"/>
      <c r="AZ799" s="418"/>
    </row>
    <row r="800" spans="40:52" ht="15.75" customHeight="1">
      <c r="AN800" s="418"/>
      <c r="AO800" s="418"/>
      <c r="AP800" s="418"/>
      <c r="AQ800" s="418"/>
      <c r="AR800" s="418"/>
      <c r="AS800" s="418"/>
      <c r="AT800" s="418"/>
      <c r="AU800" s="418"/>
      <c r="AV800" s="418"/>
      <c r="AW800" s="418"/>
      <c r="AX800" s="418"/>
      <c r="AY800" s="418"/>
      <c r="AZ800" s="418"/>
    </row>
    <row r="801" spans="40:52" ht="15.75" customHeight="1">
      <c r="AN801" s="418"/>
      <c r="AO801" s="418"/>
      <c r="AP801" s="418"/>
      <c r="AQ801" s="418"/>
      <c r="AR801" s="418"/>
      <c r="AS801" s="418"/>
      <c r="AT801" s="418"/>
      <c r="AU801" s="418"/>
      <c r="AV801" s="418"/>
      <c r="AW801" s="418"/>
      <c r="AX801" s="418"/>
      <c r="AY801" s="418"/>
      <c r="AZ801" s="418"/>
    </row>
    <row r="802" spans="40:52" ht="15.75" customHeight="1">
      <c r="AN802" s="418"/>
      <c r="AO802" s="418"/>
      <c r="AP802" s="418"/>
      <c r="AQ802" s="418"/>
      <c r="AR802" s="418"/>
      <c r="AS802" s="418"/>
      <c r="AT802" s="418"/>
      <c r="AU802" s="418"/>
      <c r="AV802" s="418"/>
      <c r="AW802" s="418"/>
      <c r="AX802" s="418"/>
      <c r="AY802" s="418"/>
      <c r="AZ802" s="418"/>
    </row>
    <row r="803" spans="40:52" ht="15.75" customHeight="1">
      <c r="AN803" s="418"/>
      <c r="AO803" s="418"/>
      <c r="AP803" s="418"/>
      <c r="AQ803" s="418"/>
      <c r="AR803" s="418"/>
      <c r="AS803" s="418"/>
      <c r="AT803" s="418"/>
      <c r="AU803" s="418"/>
      <c r="AV803" s="418"/>
      <c r="AW803" s="418"/>
      <c r="AX803" s="418"/>
      <c r="AY803" s="418"/>
      <c r="AZ803" s="418"/>
    </row>
    <row r="804" spans="40:52" ht="15.75" customHeight="1">
      <c r="AN804" s="418"/>
      <c r="AO804" s="418"/>
      <c r="AP804" s="418"/>
      <c r="AQ804" s="418"/>
      <c r="AR804" s="418"/>
      <c r="AS804" s="418"/>
      <c r="AT804" s="418"/>
      <c r="AU804" s="418"/>
      <c r="AV804" s="418"/>
      <c r="AW804" s="418"/>
      <c r="AX804" s="418"/>
      <c r="AY804" s="418"/>
      <c r="AZ804" s="418"/>
    </row>
    <row r="805" spans="40:52" ht="15.75" customHeight="1">
      <c r="AN805" s="418"/>
      <c r="AO805" s="418"/>
      <c r="AP805" s="418"/>
      <c r="AQ805" s="418"/>
      <c r="AR805" s="418"/>
      <c r="AS805" s="418"/>
      <c r="AT805" s="418"/>
      <c r="AU805" s="418"/>
      <c r="AV805" s="418"/>
      <c r="AW805" s="418"/>
      <c r="AX805" s="418"/>
      <c r="AY805" s="418"/>
      <c r="AZ805" s="418"/>
    </row>
    <row r="806" spans="40:52" ht="15.75" customHeight="1">
      <c r="AN806" s="418"/>
      <c r="AO806" s="418"/>
      <c r="AP806" s="418"/>
      <c r="AQ806" s="418"/>
      <c r="AR806" s="418"/>
      <c r="AS806" s="418"/>
      <c r="AT806" s="418"/>
      <c r="AU806" s="418"/>
      <c r="AV806" s="418"/>
      <c r="AW806" s="418"/>
      <c r="AX806" s="418"/>
      <c r="AY806" s="418"/>
      <c r="AZ806" s="418"/>
    </row>
    <row r="807" spans="40:52" ht="15.75" customHeight="1">
      <c r="AN807" s="418"/>
      <c r="AO807" s="418"/>
      <c r="AP807" s="418"/>
      <c r="AQ807" s="418"/>
      <c r="AR807" s="418"/>
      <c r="AS807" s="418"/>
      <c r="AT807" s="418"/>
      <c r="AU807" s="418"/>
      <c r="AV807" s="418"/>
      <c r="AW807" s="418"/>
      <c r="AX807" s="418"/>
      <c r="AY807" s="418"/>
      <c r="AZ807" s="418"/>
    </row>
    <row r="808" spans="40:52" ht="15.75" customHeight="1">
      <c r="AN808" s="418"/>
      <c r="AO808" s="418"/>
      <c r="AP808" s="418"/>
      <c r="AQ808" s="418"/>
      <c r="AR808" s="418"/>
      <c r="AS808" s="418"/>
      <c r="AT808" s="418"/>
      <c r="AU808" s="418"/>
      <c r="AV808" s="418"/>
      <c r="AW808" s="418"/>
      <c r="AX808" s="418"/>
      <c r="AY808" s="418"/>
      <c r="AZ808" s="418"/>
    </row>
    <row r="809" spans="40:52" ht="15.75" customHeight="1">
      <c r="AN809" s="418"/>
      <c r="AO809" s="418"/>
      <c r="AP809" s="418"/>
      <c r="AQ809" s="418"/>
      <c r="AR809" s="418"/>
      <c r="AS809" s="418"/>
      <c r="AT809" s="418"/>
      <c r="AU809" s="418"/>
      <c r="AV809" s="418"/>
      <c r="AW809" s="418"/>
      <c r="AX809" s="418"/>
      <c r="AY809" s="418"/>
      <c r="AZ809" s="418"/>
    </row>
    <row r="810" spans="40:52" ht="15.75" customHeight="1">
      <c r="AN810" s="418"/>
      <c r="AO810" s="418"/>
      <c r="AP810" s="418"/>
      <c r="AQ810" s="418"/>
      <c r="AR810" s="418"/>
      <c r="AS810" s="418"/>
      <c r="AT810" s="418"/>
      <c r="AU810" s="418"/>
      <c r="AV810" s="418"/>
      <c r="AW810" s="418"/>
      <c r="AX810" s="418"/>
      <c r="AY810" s="418"/>
      <c r="AZ810" s="418"/>
    </row>
    <row r="811" spans="40:52" ht="15.75" customHeight="1">
      <c r="AN811" s="418"/>
      <c r="AO811" s="418"/>
      <c r="AP811" s="418"/>
      <c r="AQ811" s="418"/>
      <c r="AR811" s="418"/>
      <c r="AS811" s="418"/>
      <c r="AT811" s="418"/>
      <c r="AU811" s="418"/>
      <c r="AV811" s="418"/>
      <c r="AW811" s="418"/>
      <c r="AX811" s="418"/>
      <c r="AY811" s="418"/>
      <c r="AZ811" s="418"/>
    </row>
    <row r="812" spans="40:52" ht="15.75" customHeight="1">
      <c r="AN812" s="418"/>
      <c r="AO812" s="418"/>
      <c r="AP812" s="418"/>
      <c r="AQ812" s="418"/>
      <c r="AR812" s="418"/>
      <c r="AS812" s="418"/>
      <c r="AT812" s="418"/>
      <c r="AU812" s="418"/>
      <c r="AV812" s="418"/>
      <c r="AW812" s="418"/>
      <c r="AX812" s="418"/>
      <c r="AY812" s="418"/>
      <c r="AZ812" s="418"/>
    </row>
    <row r="813" spans="40:52" ht="15.75" customHeight="1">
      <c r="AN813" s="418"/>
      <c r="AO813" s="418"/>
      <c r="AP813" s="418"/>
      <c r="AQ813" s="418"/>
      <c r="AR813" s="418"/>
      <c r="AS813" s="418"/>
      <c r="AT813" s="418"/>
      <c r="AU813" s="418"/>
      <c r="AV813" s="418"/>
      <c r="AW813" s="418"/>
      <c r="AX813" s="418"/>
      <c r="AY813" s="418"/>
      <c r="AZ813" s="418"/>
    </row>
    <row r="814" spans="40:52" ht="15.75" customHeight="1">
      <c r="AN814" s="418"/>
      <c r="AO814" s="418"/>
      <c r="AP814" s="418"/>
      <c r="AQ814" s="418"/>
      <c r="AR814" s="418"/>
      <c r="AS814" s="418"/>
      <c r="AT814" s="418"/>
      <c r="AU814" s="418"/>
      <c r="AV814" s="418"/>
      <c r="AW814" s="418"/>
      <c r="AX814" s="418"/>
      <c r="AY814" s="418"/>
      <c r="AZ814" s="418"/>
    </row>
    <row r="815" spans="40:52" ht="15.75" customHeight="1">
      <c r="AN815" s="418"/>
      <c r="AO815" s="418"/>
      <c r="AP815" s="418"/>
      <c r="AQ815" s="418"/>
      <c r="AR815" s="418"/>
      <c r="AS815" s="418"/>
      <c r="AT815" s="418"/>
      <c r="AU815" s="418"/>
      <c r="AV815" s="418"/>
      <c r="AW815" s="418"/>
      <c r="AX815" s="418"/>
      <c r="AY815" s="418"/>
      <c r="AZ815" s="418"/>
    </row>
    <row r="816" spans="40:52" ht="15.75" customHeight="1">
      <c r="AN816" s="418"/>
      <c r="AO816" s="418"/>
      <c r="AP816" s="418"/>
      <c r="AQ816" s="418"/>
      <c r="AR816" s="418"/>
      <c r="AS816" s="418"/>
      <c r="AT816" s="418"/>
      <c r="AU816" s="418"/>
      <c r="AV816" s="418"/>
      <c r="AW816" s="418"/>
      <c r="AX816" s="418"/>
      <c r="AY816" s="418"/>
      <c r="AZ816" s="418"/>
    </row>
    <row r="817" spans="40:52" ht="15.75" customHeight="1">
      <c r="AN817" s="418"/>
      <c r="AO817" s="418"/>
      <c r="AP817" s="418"/>
      <c r="AQ817" s="418"/>
      <c r="AR817" s="418"/>
      <c r="AS817" s="418"/>
      <c r="AT817" s="418"/>
      <c r="AU817" s="418"/>
      <c r="AV817" s="418"/>
      <c r="AW817" s="418"/>
      <c r="AX817" s="418"/>
      <c r="AY817" s="418"/>
      <c r="AZ817" s="418"/>
    </row>
    <row r="818" spans="40:52" ht="15.75" customHeight="1">
      <c r="AN818" s="418"/>
      <c r="AO818" s="418"/>
      <c r="AP818" s="418"/>
      <c r="AQ818" s="418"/>
      <c r="AR818" s="418"/>
      <c r="AS818" s="418"/>
      <c r="AT818" s="418"/>
      <c r="AU818" s="418"/>
      <c r="AV818" s="418"/>
      <c r="AW818" s="418"/>
      <c r="AX818" s="418"/>
      <c r="AY818" s="418"/>
      <c r="AZ818" s="418"/>
    </row>
    <row r="819" spans="40:52" ht="15.75" customHeight="1">
      <c r="AN819" s="418"/>
      <c r="AO819" s="418"/>
      <c r="AP819" s="418"/>
      <c r="AQ819" s="418"/>
      <c r="AR819" s="418"/>
      <c r="AS819" s="418"/>
      <c r="AT819" s="418"/>
      <c r="AU819" s="418"/>
      <c r="AV819" s="418"/>
      <c r="AW819" s="418"/>
      <c r="AX819" s="418"/>
      <c r="AY819" s="418"/>
      <c r="AZ819" s="418"/>
    </row>
    <row r="820" spans="40:52" ht="15.75" customHeight="1">
      <c r="AN820" s="418"/>
      <c r="AO820" s="418"/>
      <c r="AP820" s="418"/>
      <c r="AQ820" s="418"/>
      <c r="AR820" s="418"/>
      <c r="AS820" s="418"/>
      <c r="AT820" s="418"/>
      <c r="AU820" s="418"/>
      <c r="AV820" s="418"/>
      <c r="AW820" s="418"/>
      <c r="AX820" s="418"/>
      <c r="AY820" s="418"/>
      <c r="AZ820" s="418"/>
    </row>
    <row r="821" spans="40:52" ht="15.75" customHeight="1">
      <c r="AN821" s="418"/>
      <c r="AO821" s="418"/>
      <c r="AP821" s="418"/>
      <c r="AQ821" s="418"/>
      <c r="AR821" s="418"/>
      <c r="AS821" s="418"/>
      <c r="AT821" s="418"/>
      <c r="AU821" s="418"/>
      <c r="AV821" s="418"/>
      <c r="AW821" s="418"/>
      <c r="AX821" s="418"/>
      <c r="AY821" s="418"/>
      <c r="AZ821" s="418"/>
    </row>
    <row r="822" spans="40:52" ht="15.75" customHeight="1">
      <c r="AN822" s="418"/>
      <c r="AO822" s="418"/>
      <c r="AP822" s="418"/>
      <c r="AQ822" s="418"/>
      <c r="AR822" s="418"/>
      <c r="AS822" s="418"/>
      <c r="AT822" s="418"/>
      <c r="AU822" s="418"/>
      <c r="AV822" s="418"/>
      <c r="AW822" s="418"/>
      <c r="AX822" s="418"/>
      <c r="AY822" s="418"/>
      <c r="AZ822" s="418"/>
    </row>
    <row r="823" spans="40:52" ht="15.75" customHeight="1">
      <c r="AN823" s="418"/>
      <c r="AO823" s="418"/>
      <c r="AP823" s="418"/>
      <c r="AQ823" s="418"/>
      <c r="AR823" s="418"/>
      <c r="AS823" s="418"/>
      <c r="AT823" s="418"/>
      <c r="AU823" s="418"/>
      <c r="AV823" s="418"/>
      <c r="AW823" s="418"/>
      <c r="AX823" s="418"/>
      <c r="AY823" s="418"/>
      <c r="AZ823" s="418"/>
    </row>
    <row r="824" spans="40:52" ht="15.75" customHeight="1">
      <c r="AN824" s="418"/>
      <c r="AO824" s="418"/>
      <c r="AP824" s="418"/>
      <c r="AQ824" s="418"/>
      <c r="AR824" s="418"/>
      <c r="AS824" s="418"/>
      <c r="AT824" s="418"/>
      <c r="AU824" s="418"/>
      <c r="AV824" s="418"/>
      <c r="AW824" s="418"/>
      <c r="AX824" s="418"/>
      <c r="AY824" s="418"/>
      <c r="AZ824" s="418"/>
    </row>
    <row r="825" spans="40:52" ht="15.75" customHeight="1">
      <c r="AN825" s="418"/>
      <c r="AO825" s="418"/>
      <c r="AP825" s="418"/>
      <c r="AQ825" s="418"/>
      <c r="AR825" s="418"/>
      <c r="AS825" s="418"/>
      <c r="AT825" s="418"/>
      <c r="AU825" s="418"/>
      <c r="AV825" s="418"/>
      <c r="AW825" s="418"/>
      <c r="AX825" s="418"/>
      <c r="AY825" s="418"/>
      <c r="AZ825" s="418"/>
    </row>
    <row r="826" spans="40:52" ht="15.75" customHeight="1">
      <c r="AN826" s="418"/>
      <c r="AO826" s="418"/>
      <c r="AP826" s="418"/>
      <c r="AQ826" s="418"/>
      <c r="AR826" s="418"/>
      <c r="AS826" s="418"/>
      <c r="AT826" s="418"/>
      <c r="AU826" s="418"/>
      <c r="AV826" s="418"/>
      <c r="AW826" s="418"/>
      <c r="AX826" s="418"/>
      <c r="AY826" s="418"/>
      <c r="AZ826" s="418"/>
    </row>
    <row r="827" spans="40:52" ht="15.75" customHeight="1">
      <c r="AN827" s="418"/>
      <c r="AO827" s="418"/>
      <c r="AP827" s="418"/>
      <c r="AQ827" s="418"/>
      <c r="AR827" s="418"/>
      <c r="AS827" s="418"/>
      <c r="AT827" s="418"/>
      <c r="AU827" s="418"/>
      <c r="AV827" s="418"/>
      <c r="AW827" s="418"/>
      <c r="AX827" s="418"/>
      <c r="AY827" s="418"/>
      <c r="AZ827" s="418"/>
    </row>
    <row r="828" spans="40:52" ht="15.75" customHeight="1">
      <c r="AN828" s="418"/>
      <c r="AO828" s="418"/>
      <c r="AP828" s="418"/>
      <c r="AQ828" s="418"/>
      <c r="AR828" s="418"/>
      <c r="AS828" s="418"/>
      <c r="AT828" s="418"/>
      <c r="AU828" s="418"/>
      <c r="AV828" s="418"/>
      <c r="AW828" s="418"/>
      <c r="AX828" s="418"/>
      <c r="AY828" s="418"/>
      <c r="AZ828" s="418"/>
    </row>
    <row r="829" spans="40:52" ht="15.75" customHeight="1">
      <c r="AN829" s="418"/>
      <c r="AO829" s="418"/>
      <c r="AP829" s="418"/>
      <c r="AQ829" s="418"/>
      <c r="AR829" s="418"/>
      <c r="AS829" s="418"/>
      <c r="AT829" s="418"/>
      <c r="AU829" s="418"/>
      <c r="AV829" s="418"/>
      <c r="AW829" s="418"/>
      <c r="AX829" s="418"/>
      <c r="AY829" s="418"/>
      <c r="AZ829" s="418"/>
    </row>
    <row r="830" spans="40:52" ht="15.75" customHeight="1">
      <c r="AN830" s="418"/>
      <c r="AO830" s="418"/>
      <c r="AP830" s="418"/>
      <c r="AQ830" s="418"/>
      <c r="AR830" s="418"/>
      <c r="AS830" s="418"/>
      <c r="AT830" s="418"/>
      <c r="AU830" s="418"/>
      <c r="AV830" s="418"/>
      <c r="AW830" s="418"/>
      <c r="AX830" s="418"/>
      <c r="AY830" s="418"/>
      <c r="AZ830" s="418"/>
    </row>
    <row r="831" spans="40:52" ht="15.75" customHeight="1">
      <c r="AN831" s="418"/>
      <c r="AO831" s="418"/>
      <c r="AP831" s="418"/>
      <c r="AQ831" s="418"/>
      <c r="AR831" s="418"/>
      <c r="AS831" s="418"/>
      <c r="AT831" s="418"/>
      <c r="AU831" s="418"/>
      <c r="AV831" s="418"/>
      <c r="AW831" s="418"/>
      <c r="AX831" s="418"/>
      <c r="AY831" s="418"/>
      <c r="AZ831" s="418"/>
    </row>
    <row r="832" spans="40:52" ht="15.75" customHeight="1">
      <c r="AN832" s="418"/>
      <c r="AO832" s="418"/>
      <c r="AP832" s="418"/>
      <c r="AQ832" s="418"/>
      <c r="AR832" s="418"/>
      <c r="AS832" s="418"/>
      <c r="AT832" s="418"/>
      <c r="AU832" s="418"/>
      <c r="AV832" s="418"/>
      <c r="AW832" s="418"/>
      <c r="AX832" s="418"/>
      <c r="AY832" s="418"/>
      <c r="AZ832" s="418"/>
    </row>
    <row r="833" spans="40:52" ht="15.75" customHeight="1">
      <c r="AN833" s="418"/>
      <c r="AO833" s="418"/>
      <c r="AP833" s="418"/>
      <c r="AQ833" s="418"/>
      <c r="AR833" s="418"/>
      <c r="AS833" s="418"/>
      <c r="AT833" s="418"/>
      <c r="AU833" s="418"/>
      <c r="AV833" s="418"/>
      <c r="AW833" s="418"/>
      <c r="AX833" s="418"/>
      <c r="AY833" s="418"/>
      <c r="AZ833" s="418"/>
    </row>
    <row r="834" spans="40:52" ht="15.75" customHeight="1">
      <c r="AN834" s="418"/>
      <c r="AO834" s="418"/>
      <c r="AP834" s="418"/>
      <c r="AQ834" s="418"/>
      <c r="AR834" s="418"/>
      <c r="AS834" s="418"/>
      <c r="AT834" s="418"/>
      <c r="AU834" s="418"/>
      <c r="AV834" s="418"/>
      <c r="AW834" s="418"/>
      <c r="AX834" s="418"/>
      <c r="AY834" s="418"/>
      <c r="AZ834" s="418"/>
    </row>
    <row r="835" spans="40:52" ht="15.75" customHeight="1">
      <c r="AN835" s="418"/>
      <c r="AO835" s="418"/>
      <c r="AP835" s="418"/>
      <c r="AQ835" s="418"/>
      <c r="AR835" s="418"/>
      <c r="AS835" s="418"/>
      <c r="AT835" s="418"/>
      <c r="AU835" s="418"/>
      <c r="AV835" s="418"/>
      <c r="AW835" s="418"/>
      <c r="AX835" s="418"/>
      <c r="AY835" s="418"/>
      <c r="AZ835" s="418"/>
    </row>
    <row r="836" spans="40:52" ht="15.75" customHeight="1">
      <c r="AN836" s="418"/>
      <c r="AO836" s="418"/>
      <c r="AP836" s="418"/>
      <c r="AQ836" s="418"/>
      <c r="AR836" s="418"/>
      <c r="AS836" s="418"/>
      <c r="AT836" s="418"/>
      <c r="AU836" s="418"/>
      <c r="AV836" s="418"/>
      <c r="AW836" s="418"/>
      <c r="AX836" s="418"/>
      <c r="AY836" s="418"/>
      <c r="AZ836" s="418"/>
    </row>
    <row r="837" spans="40:52" ht="15.75" customHeight="1">
      <c r="AN837" s="418"/>
      <c r="AO837" s="418"/>
      <c r="AP837" s="418"/>
      <c r="AQ837" s="418"/>
      <c r="AR837" s="418"/>
      <c r="AS837" s="418"/>
      <c r="AT837" s="418"/>
      <c r="AU837" s="418"/>
      <c r="AV837" s="418"/>
      <c r="AW837" s="418"/>
      <c r="AX837" s="418"/>
      <c r="AY837" s="418"/>
      <c r="AZ837" s="418"/>
    </row>
    <row r="838" spans="40:52" ht="15.75" customHeight="1">
      <c r="AN838" s="418"/>
      <c r="AO838" s="418"/>
      <c r="AP838" s="418"/>
      <c r="AQ838" s="418"/>
      <c r="AR838" s="418"/>
      <c r="AS838" s="418"/>
      <c r="AT838" s="418"/>
      <c r="AU838" s="418"/>
      <c r="AV838" s="418"/>
      <c r="AW838" s="418"/>
      <c r="AX838" s="418"/>
      <c r="AY838" s="418"/>
      <c r="AZ838" s="418"/>
    </row>
    <row r="839" spans="40:52" ht="15.75" customHeight="1">
      <c r="AN839" s="418"/>
      <c r="AO839" s="418"/>
      <c r="AP839" s="418"/>
      <c r="AQ839" s="418"/>
      <c r="AR839" s="418"/>
      <c r="AS839" s="418"/>
      <c r="AT839" s="418"/>
      <c r="AU839" s="418"/>
      <c r="AV839" s="418"/>
      <c r="AW839" s="418"/>
      <c r="AX839" s="418"/>
      <c r="AY839" s="418"/>
      <c r="AZ839" s="418"/>
    </row>
    <row r="840" spans="40:52" ht="15.75" customHeight="1">
      <c r="AN840" s="418"/>
      <c r="AO840" s="418"/>
      <c r="AP840" s="418"/>
      <c r="AQ840" s="418"/>
      <c r="AR840" s="418"/>
      <c r="AS840" s="418"/>
      <c r="AT840" s="418"/>
      <c r="AU840" s="418"/>
      <c r="AV840" s="418"/>
      <c r="AW840" s="418"/>
      <c r="AX840" s="418"/>
      <c r="AY840" s="418"/>
      <c r="AZ840" s="418"/>
    </row>
    <row r="841" spans="40:52" ht="15.75" customHeight="1">
      <c r="AN841" s="418"/>
      <c r="AO841" s="418"/>
      <c r="AP841" s="418"/>
      <c r="AQ841" s="418"/>
      <c r="AR841" s="418"/>
      <c r="AS841" s="418"/>
      <c r="AT841" s="418"/>
      <c r="AU841" s="418"/>
      <c r="AV841" s="418"/>
      <c r="AW841" s="418"/>
      <c r="AX841" s="418"/>
      <c r="AY841" s="418"/>
      <c r="AZ841" s="418"/>
    </row>
    <row r="842" spans="40:52" ht="15.75" customHeight="1">
      <c r="AN842" s="418"/>
      <c r="AO842" s="418"/>
      <c r="AP842" s="418"/>
      <c r="AQ842" s="418"/>
      <c r="AR842" s="418"/>
      <c r="AS842" s="418"/>
      <c r="AT842" s="418"/>
      <c r="AU842" s="418"/>
      <c r="AV842" s="418"/>
      <c r="AW842" s="418"/>
      <c r="AX842" s="418"/>
      <c r="AY842" s="418"/>
      <c r="AZ842" s="418"/>
    </row>
    <row r="843" spans="40:52" ht="15.75" customHeight="1">
      <c r="AN843" s="418"/>
      <c r="AO843" s="418"/>
      <c r="AP843" s="418"/>
      <c r="AQ843" s="418"/>
      <c r="AR843" s="418"/>
      <c r="AS843" s="418"/>
      <c r="AT843" s="418"/>
      <c r="AU843" s="418"/>
      <c r="AV843" s="418"/>
      <c r="AW843" s="418"/>
      <c r="AX843" s="418"/>
      <c r="AY843" s="418"/>
      <c r="AZ843" s="418"/>
    </row>
    <row r="844" spans="40:52" ht="15.75" customHeight="1">
      <c r="AN844" s="418"/>
      <c r="AO844" s="418"/>
      <c r="AP844" s="418"/>
      <c r="AQ844" s="418"/>
      <c r="AR844" s="418"/>
      <c r="AS844" s="418"/>
      <c r="AT844" s="418"/>
      <c r="AU844" s="418"/>
      <c r="AV844" s="418"/>
      <c r="AW844" s="418"/>
      <c r="AX844" s="418"/>
      <c r="AY844" s="418"/>
      <c r="AZ844" s="418"/>
    </row>
    <row r="845" spans="40:52" ht="15.75" customHeight="1">
      <c r="AN845" s="418"/>
      <c r="AO845" s="418"/>
      <c r="AP845" s="418"/>
      <c r="AQ845" s="418"/>
      <c r="AR845" s="418"/>
      <c r="AS845" s="418"/>
      <c r="AT845" s="418"/>
      <c r="AU845" s="418"/>
      <c r="AV845" s="418"/>
      <c r="AW845" s="418"/>
      <c r="AX845" s="418"/>
      <c r="AY845" s="418"/>
      <c r="AZ845" s="418"/>
    </row>
    <row r="846" spans="40:52" ht="15.75" customHeight="1">
      <c r="AN846" s="418"/>
      <c r="AO846" s="418"/>
      <c r="AP846" s="418"/>
      <c r="AQ846" s="418"/>
      <c r="AR846" s="418"/>
      <c r="AS846" s="418"/>
      <c r="AT846" s="418"/>
      <c r="AU846" s="418"/>
      <c r="AV846" s="418"/>
      <c r="AW846" s="418"/>
      <c r="AX846" s="418"/>
      <c r="AY846" s="418"/>
      <c r="AZ846" s="418"/>
    </row>
    <row r="847" spans="40:52" ht="15.75" customHeight="1">
      <c r="AN847" s="418"/>
      <c r="AO847" s="418"/>
      <c r="AP847" s="418"/>
      <c r="AQ847" s="418"/>
      <c r="AR847" s="418"/>
      <c r="AS847" s="418"/>
      <c r="AT847" s="418"/>
      <c r="AU847" s="418"/>
      <c r="AV847" s="418"/>
      <c r="AW847" s="418"/>
      <c r="AX847" s="418"/>
      <c r="AY847" s="418"/>
      <c r="AZ847" s="418"/>
    </row>
    <row r="848" spans="40:52" ht="15.75" customHeight="1">
      <c r="AN848" s="418"/>
      <c r="AO848" s="418"/>
      <c r="AP848" s="418"/>
      <c r="AQ848" s="418"/>
      <c r="AR848" s="418"/>
      <c r="AS848" s="418"/>
      <c r="AT848" s="418"/>
      <c r="AU848" s="418"/>
      <c r="AV848" s="418"/>
      <c r="AW848" s="418"/>
      <c r="AX848" s="418"/>
      <c r="AY848" s="418"/>
      <c r="AZ848" s="418"/>
    </row>
    <row r="849" spans="40:52" ht="15.75" customHeight="1">
      <c r="AN849" s="418"/>
      <c r="AO849" s="418"/>
      <c r="AP849" s="418"/>
      <c r="AQ849" s="418"/>
      <c r="AR849" s="418"/>
      <c r="AS849" s="418"/>
      <c r="AT849" s="418"/>
      <c r="AU849" s="418"/>
      <c r="AV849" s="418"/>
      <c r="AW849" s="418"/>
      <c r="AX849" s="418"/>
      <c r="AY849" s="418"/>
      <c r="AZ849" s="418"/>
    </row>
    <row r="850" spans="40:52" ht="15.75" customHeight="1">
      <c r="AN850" s="418"/>
      <c r="AO850" s="418"/>
      <c r="AP850" s="418"/>
      <c r="AQ850" s="418"/>
      <c r="AR850" s="418"/>
      <c r="AS850" s="418"/>
      <c r="AT850" s="418"/>
      <c r="AU850" s="418"/>
      <c r="AV850" s="418"/>
      <c r="AW850" s="418"/>
      <c r="AX850" s="418"/>
      <c r="AY850" s="418"/>
      <c r="AZ850" s="418"/>
    </row>
    <row r="851" spans="40:52" ht="15.75" customHeight="1">
      <c r="AN851" s="418"/>
      <c r="AO851" s="418"/>
      <c r="AP851" s="418"/>
      <c r="AQ851" s="418"/>
      <c r="AR851" s="418"/>
      <c r="AS851" s="418"/>
      <c r="AT851" s="418"/>
      <c r="AU851" s="418"/>
      <c r="AV851" s="418"/>
      <c r="AW851" s="418"/>
      <c r="AX851" s="418"/>
      <c r="AY851" s="418"/>
      <c r="AZ851" s="418"/>
    </row>
    <row r="852" spans="40:52" ht="15.75" customHeight="1">
      <c r="AN852" s="418"/>
      <c r="AO852" s="418"/>
      <c r="AP852" s="418"/>
      <c r="AQ852" s="418"/>
      <c r="AR852" s="418"/>
      <c r="AS852" s="418"/>
      <c r="AT852" s="418"/>
      <c r="AU852" s="418"/>
      <c r="AV852" s="418"/>
      <c r="AW852" s="418"/>
      <c r="AX852" s="418"/>
      <c r="AY852" s="418"/>
      <c r="AZ852" s="418"/>
    </row>
    <row r="853" spans="40:52" ht="15.75" customHeight="1">
      <c r="AN853" s="418"/>
      <c r="AO853" s="418"/>
      <c r="AP853" s="418"/>
      <c r="AQ853" s="418"/>
      <c r="AR853" s="418"/>
      <c r="AS853" s="418"/>
      <c r="AT853" s="418"/>
      <c r="AU853" s="418"/>
      <c r="AV853" s="418"/>
      <c r="AW853" s="418"/>
      <c r="AX853" s="418"/>
      <c r="AY853" s="418"/>
      <c r="AZ853" s="418"/>
    </row>
    <row r="854" spans="40:52" ht="15.75" customHeight="1">
      <c r="AN854" s="418"/>
      <c r="AO854" s="418"/>
      <c r="AP854" s="418"/>
      <c r="AQ854" s="418"/>
      <c r="AR854" s="418"/>
      <c r="AS854" s="418"/>
      <c r="AT854" s="418"/>
      <c r="AU854" s="418"/>
      <c r="AV854" s="418"/>
      <c r="AW854" s="418"/>
      <c r="AX854" s="418"/>
      <c r="AY854" s="418"/>
      <c r="AZ854" s="418"/>
    </row>
    <row r="855" spans="40:52" ht="15.75" customHeight="1">
      <c r="AN855" s="418"/>
      <c r="AO855" s="418"/>
      <c r="AP855" s="418"/>
      <c r="AQ855" s="418"/>
      <c r="AR855" s="418"/>
      <c r="AS855" s="418"/>
      <c r="AT855" s="418"/>
      <c r="AU855" s="418"/>
      <c r="AV855" s="418"/>
      <c r="AW855" s="418"/>
      <c r="AX855" s="418"/>
      <c r="AY855" s="418"/>
      <c r="AZ855" s="418"/>
    </row>
    <row r="856" spans="40:52" ht="15.75" customHeight="1">
      <c r="AN856" s="418"/>
      <c r="AO856" s="418"/>
      <c r="AP856" s="418"/>
      <c r="AQ856" s="418"/>
      <c r="AR856" s="418"/>
      <c r="AS856" s="418"/>
      <c r="AT856" s="418"/>
      <c r="AU856" s="418"/>
      <c r="AV856" s="418"/>
      <c r="AW856" s="418"/>
      <c r="AX856" s="418"/>
      <c r="AY856" s="418"/>
      <c r="AZ856" s="418"/>
    </row>
    <row r="857" spans="40:52" ht="15.75" customHeight="1">
      <c r="AN857" s="418"/>
      <c r="AO857" s="418"/>
      <c r="AP857" s="418"/>
      <c r="AQ857" s="418"/>
      <c r="AR857" s="418"/>
      <c r="AS857" s="418"/>
      <c r="AT857" s="418"/>
      <c r="AU857" s="418"/>
      <c r="AV857" s="418"/>
      <c r="AW857" s="418"/>
      <c r="AX857" s="418"/>
      <c r="AY857" s="418"/>
      <c r="AZ857" s="418"/>
    </row>
    <row r="858" spans="40:52" ht="15.75" customHeight="1">
      <c r="AN858" s="418"/>
      <c r="AO858" s="418"/>
      <c r="AP858" s="418"/>
      <c r="AQ858" s="418"/>
      <c r="AR858" s="418"/>
      <c r="AS858" s="418"/>
      <c r="AT858" s="418"/>
      <c r="AU858" s="418"/>
      <c r="AV858" s="418"/>
      <c r="AW858" s="418"/>
      <c r="AX858" s="418"/>
      <c r="AY858" s="418"/>
      <c r="AZ858" s="418"/>
    </row>
    <row r="859" spans="40:52" ht="15.75" customHeight="1">
      <c r="AN859" s="418"/>
      <c r="AO859" s="418"/>
      <c r="AP859" s="418"/>
      <c r="AQ859" s="418"/>
      <c r="AR859" s="418"/>
      <c r="AS859" s="418"/>
      <c r="AT859" s="418"/>
      <c r="AU859" s="418"/>
      <c r="AV859" s="418"/>
      <c r="AW859" s="418"/>
      <c r="AX859" s="418"/>
      <c r="AY859" s="418"/>
      <c r="AZ859" s="418"/>
    </row>
    <row r="860" spans="40:52" ht="15.75" customHeight="1">
      <c r="AN860" s="418"/>
      <c r="AO860" s="418"/>
      <c r="AP860" s="418"/>
      <c r="AQ860" s="418"/>
      <c r="AR860" s="418"/>
      <c r="AS860" s="418"/>
      <c r="AT860" s="418"/>
      <c r="AU860" s="418"/>
      <c r="AV860" s="418"/>
      <c r="AW860" s="418"/>
      <c r="AX860" s="418"/>
      <c r="AY860" s="418"/>
      <c r="AZ860" s="418"/>
    </row>
    <row r="861" spans="40:52" ht="15.75" customHeight="1">
      <c r="AN861" s="418"/>
      <c r="AO861" s="418"/>
      <c r="AP861" s="418"/>
      <c r="AQ861" s="418"/>
      <c r="AR861" s="418"/>
      <c r="AS861" s="418"/>
      <c r="AT861" s="418"/>
      <c r="AU861" s="418"/>
      <c r="AV861" s="418"/>
      <c r="AW861" s="418"/>
      <c r="AX861" s="418"/>
      <c r="AY861" s="418"/>
      <c r="AZ861" s="418"/>
    </row>
    <row r="862" spans="40:52" ht="15.75" customHeight="1">
      <c r="AN862" s="418"/>
      <c r="AO862" s="418"/>
      <c r="AP862" s="418"/>
      <c r="AQ862" s="418"/>
      <c r="AR862" s="418"/>
      <c r="AS862" s="418"/>
      <c r="AT862" s="418"/>
      <c r="AU862" s="418"/>
      <c r="AV862" s="418"/>
      <c r="AW862" s="418"/>
      <c r="AX862" s="418"/>
      <c r="AY862" s="418"/>
      <c r="AZ862" s="418"/>
    </row>
    <row r="863" spans="40:52" ht="15.75" customHeight="1">
      <c r="AN863" s="418"/>
      <c r="AO863" s="418"/>
      <c r="AP863" s="418"/>
      <c r="AQ863" s="418"/>
      <c r="AR863" s="418"/>
      <c r="AS863" s="418"/>
      <c r="AT863" s="418"/>
      <c r="AU863" s="418"/>
      <c r="AV863" s="418"/>
      <c r="AW863" s="418"/>
      <c r="AX863" s="418"/>
      <c r="AY863" s="418"/>
      <c r="AZ863" s="418"/>
    </row>
    <row r="864" spans="40:52" ht="15.75" customHeight="1">
      <c r="AN864" s="418"/>
      <c r="AO864" s="418"/>
      <c r="AP864" s="418"/>
      <c r="AQ864" s="418"/>
      <c r="AR864" s="418"/>
      <c r="AS864" s="418"/>
      <c r="AT864" s="418"/>
      <c r="AU864" s="418"/>
      <c r="AV864" s="418"/>
      <c r="AW864" s="418"/>
      <c r="AX864" s="418"/>
      <c r="AY864" s="418"/>
      <c r="AZ864" s="418"/>
    </row>
    <row r="865" spans="40:52" ht="15.75" customHeight="1">
      <c r="AN865" s="418"/>
      <c r="AO865" s="418"/>
      <c r="AP865" s="418"/>
      <c r="AQ865" s="418"/>
      <c r="AR865" s="418"/>
      <c r="AS865" s="418"/>
      <c r="AT865" s="418"/>
      <c r="AU865" s="418"/>
      <c r="AV865" s="418"/>
      <c r="AW865" s="418"/>
      <c r="AX865" s="418"/>
      <c r="AY865" s="418"/>
      <c r="AZ865" s="418"/>
    </row>
    <row r="866" spans="40:52" ht="15.75" customHeight="1">
      <c r="AN866" s="418"/>
      <c r="AO866" s="418"/>
      <c r="AP866" s="418"/>
      <c r="AQ866" s="418"/>
      <c r="AR866" s="418"/>
      <c r="AS866" s="418"/>
      <c r="AT866" s="418"/>
      <c r="AU866" s="418"/>
      <c r="AV866" s="418"/>
      <c r="AW866" s="418"/>
      <c r="AX866" s="418"/>
      <c r="AY866" s="418"/>
      <c r="AZ866" s="418"/>
    </row>
    <row r="867" spans="40:52" ht="15.75" customHeight="1">
      <c r="AN867" s="418"/>
      <c r="AO867" s="418"/>
      <c r="AP867" s="418"/>
      <c r="AQ867" s="418"/>
      <c r="AR867" s="418"/>
      <c r="AS867" s="418"/>
      <c r="AT867" s="418"/>
      <c r="AU867" s="418"/>
      <c r="AV867" s="418"/>
      <c r="AW867" s="418"/>
      <c r="AX867" s="418"/>
      <c r="AY867" s="418"/>
      <c r="AZ867" s="418"/>
    </row>
    <row r="868" spans="40:52" ht="15.75" customHeight="1">
      <c r="AN868" s="418"/>
      <c r="AO868" s="418"/>
      <c r="AP868" s="418"/>
      <c r="AQ868" s="418"/>
      <c r="AR868" s="418"/>
      <c r="AS868" s="418"/>
      <c r="AT868" s="418"/>
      <c r="AU868" s="418"/>
      <c r="AV868" s="418"/>
      <c r="AW868" s="418"/>
      <c r="AX868" s="418"/>
      <c r="AY868" s="418"/>
      <c r="AZ868" s="418"/>
    </row>
    <row r="869" spans="40:52" ht="15.75" customHeight="1">
      <c r="AN869" s="418"/>
      <c r="AO869" s="418"/>
      <c r="AP869" s="418"/>
      <c r="AQ869" s="418"/>
      <c r="AR869" s="418"/>
      <c r="AS869" s="418"/>
      <c r="AT869" s="418"/>
      <c r="AU869" s="418"/>
      <c r="AV869" s="418"/>
      <c r="AW869" s="418"/>
      <c r="AX869" s="418"/>
      <c r="AY869" s="418"/>
      <c r="AZ869" s="418"/>
    </row>
    <row r="870" spans="40:52" ht="15.75" customHeight="1">
      <c r="AN870" s="418"/>
      <c r="AO870" s="418"/>
      <c r="AP870" s="418"/>
      <c r="AQ870" s="418"/>
      <c r="AR870" s="418"/>
      <c r="AS870" s="418"/>
      <c r="AT870" s="418"/>
      <c r="AU870" s="418"/>
      <c r="AV870" s="418"/>
      <c r="AW870" s="418"/>
      <c r="AX870" s="418"/>
      <c r="AY870" s="418"/>
      <c r="AZ870" s="418"/>
    </row>
    <row r="871" spans="40:52" ht="15.75" customHeight="1">
      <c r="AN871" s="418"/>
      <c r="AO871" s="418"/>
      <c r="AP871" s="418"/>
      <c r="AQ871" s="418"/>
      <c r="AR871" s="418"/>
      <c r="AS871" s="418"/>
      <c r="AT871" s="418"/>
      <c r="AU871" s="418"/>
      <c r="AV871" s="418"/>
      <c r="AW871" s="418"/>
      <c r="AX871" s="418"/>
      <c r="AY871" s="418"/>
      <c r="AZ871" s="418"/>
    </row>
    <row r="872" spans="40:52" ht="15.75" customHeight="1">
      <c r="AN872" s="418"/>
      <c r="AO872" s="418"/>
      <c r="AP872" s="418"/>
      <c r="AQ872" s="418"/>
      <c r="AR872" s="418"/>
      <c r="AS872" s="418"/>
      <c r="AT872" s="418"/>
      <c r="AU872" s="418"/>
      <c r="AV872" s="418"/>
      <c r="AW872" s="418"/>
      <c r="AX872" s="418"/>
      <c r="AY872" s="418"/>
      <c r="AZ872" s="418"/>
    </row>
    <row r="873" spans="40:52" ht="15.75" customHeight="1">
      <c r="AN873" s="418"/>
      <c r="AO873" s="418"/>
      <c r="AP873" s="418"/>
      <c r="AQ873" s="418"/>
      <c r="AR873" s="418"/>
      <c r="AS873" s="418"/>
      <c r="AT873" s="418"/>
      <c r="AU873" s="418"/>
      <c r="AV873" s="418"/>
      <c r="AW873" s="418"/>
      <c r="AX873" s="418"/>
      <c r="AY873" s="418"/>
      <c r="AZ873" s="418"/>
    </row>
    <row r="874" spans="40:52" ht="15.75" customHeight="1">
      <c r="AN874" s="418"/>
      <c r="AO874" s="418"/>
      <c r="AP874" s="418"/>
      <c r="AQ874" s="418"/>
      <c r="AR874" s="418"/>
      <c r="AS874" s="418"/>
      <c r="AT874" s="418"/>
      <c r="AU874" s="418"/>
      <c r="AV874" s="418"/>
      <c r="AW874" s="418"/>
      <c r="AX874" s="418"/>
      <c r="AY874" s="418"/>
      <c r="AZ874" s="418"/>
    </row>
    <row r="875" spans="40:52" ht="15.75" customHeight="1">
      <c r="AN875" s="418"/>
      <c r="AO875" s="418"/>
      <c r="AP875" s="418"/>
      <c r="AQ875" s="418"/>
      <c r="AR875" s="418"/>
      <c r="AS875" s="418"/>
      <c r="AT875" s="418"/>
      <c r="AU875" s="418"/>
      <c r="AV875" s="418"/>
      <c r="AW875" s="418"/>
      <c r="AX875" s="418"/>
      <c r="AY875" s="418"/>
      <c r="AZ875" s="418"/>
    </row>
    <row r="876" spans="40:52" ht="15.75" customHeight="1">
      <c r="AN876" s="418"/>
      <c r="AO876" s="418"/>
      <c r="AP876" s="418"/>
      <c r="AQ876" s="418"/>
      <c r="AR876" s="418"/>
      <c r="AS876" s="418"/>
      <c r="AT876" s="418"/>
      <c r="AU876" s="418"/>
      <c r="AV876" s="418"/>
      <c r="AW876" s="418"/>
      <c r="AX876" s="418"/>
      <c r="AY876" s="418"/>
      <c r="AZ876" s="418"/>
    </row>
    <row r="877" spans="40:52" ht="15.75" customHeight="1">
      <c r="AN877" s="418"/>
      <c r="AO877" s="418"/>
      <c r="AP877" s="418"/>
      <c r="AQ877" s="418"/>
      <c r="AR877" s="418"/>
      <c r="AS877" s="418"/>
      <c r="AT877" s="418"/>
      <c r="AU877" s="418"/>
      <c r="AV877" s="418"/>
      <c r="AW877" s="418"/>
      <c r="AX877" s="418"/>
      <c r="AY877" s="418"/>
      <c r="AZ877" s="418"/>
    </row>
    <row r="878" spans="40:52" ht="15.75" customHeight="1">
      <c r="AN878" s="418"/>
      <c r="AO878" s="418"/>
      <c r="AP878" s="418"/>
      <c r="AQ878" s="418"/>
      <c r="AR878" s="418"/>
      <c r="AS878" s="418"/>
      <c r="AT878" s="418"/>
      <c r="AU878" s="418"/>
      <c r="AV878" s="418"/>
      <c r="AW878" s="418"/>
      <c r="AX878" s="418"/>
      <c r="AY878" s="418"/>
      <c r="AZ878" s="418"/>
    </row>
    <row r="879" spans="40:52" ht="15.75" customHeight="1">
      <c r="AN879" s="418"/>
      <c r="AO879" s="418"/>
      <c r="AP879" s="418"/>
      <c r="AQ879" s="418"/>
      <c r="AR879" s="418"/>
      <c r="AS879" s="418"/>
      <c r="AT879" s="418"/>
      <c r="AU879" s="418"/>
      <c r="AV879" s="418"/>
      <c r="AW879" s="418"/>
      <c r="AX879" s="418"/>
      <c r="AY879" s="418"/>
      <c r="AZ879" s="418"/>
    </row>
    <row r="880" spans="40:52" ht="15.75" customHeight="1">
      <c r="AN880" s="418"/>
      <c r="AO880" s="418"/>
      <c r="AP880" s="418"/>
      <c r="AQ880" s="418"/>
      <c r="AR880" s="418"/>
      <c r="AS880" s="418"/>
      <c r="AT880" s="418"/>
      <c r="AU880" s="418"/>
      <c r="AV880" s="418"/>
      <c r="AW880" s="418"/>
      <c r="AX880" s="418"/>
      <c r="AY880" s="418"/>
      <c r="AZ880" s="418"/>
    </row>
    <row r="881" spans="40:52" ht="15.75" customHeight="1">
      <c r="AN881" s="418"/>
      <c r="AO881" s="418"/>
      <c r="AP881" s="418"/>
      <c r="AQ881" s="418"/>
      <c r="AR881" s="418"/>
      <c r="AS881" s="418"/>
      <c r="AT881" s="418"/>
      <c r="AU881" s="418"/>
      <c r="AV881" s="418"/>
      <c r="AW881" s="418"/>
      <c r="AX881" s="418"/>
      <c r="AY881" s="418"/>
      <c r="AZ881" s="418"/>
    </row>
    <row r="882" spans="40:52" ht="15.75" customHeight="1">
      <c r="AN882" s="418"/>
      <c r="AO882" s="418"/>
      <c r="AP882" s="418"/>
      <c r="AQ882" s="418"/>
      <c r="AR882" s="418"/>
      <c r="AS882" s="418"/>
      <c r="AT882" s="418"/>
      <c r="AU882" s="418"/>
      <c r="AV882" s="418"/>
      <c r="AW882" s="418"/>
      <c r="AX882" s="418"/>
      <c r="AY882" s="418"/>
      <c r="AZ882" s="418"/>
    </row>
    <row r="883" spans="40:52" ht="15.75" customHeight="1">
      <c r="AN883" s="418"/>
      <c r="AO883" s="418"/>
      <c r="AP883" s="418"/>
      <c r="AQ883" s="418"/>
      <c r="AR883" s="418"/>
      <c r="AS883" s="418"/>
      <c r="AT883" s="418"/>
      <c r="AU883" s="418"/>
      <c r="AV883" s="418"/>
      <c r="AW883" s="418"/>
      <c r="AX883" s="418"/>
      <c r="AY883" s="418"/>
      <c r="AZ883" s="418"/>
    </row>
    <row r="884" spans="40:52" ht="15.75" customHeight="1">
      <c r="AN884" s="418"/>
      <c r="AO884" s="418"/>
      <c r="AP884" s="418"/>
      <c r="AQ884" s="418"/>
      <c r="AR884" s="418"/>
      <c r="AS884" s="418"/>
      <c r="AT884" s="418"/>
      <c r="AU884" s="418"/>
      <c r="AV884" s="418"/>
      <c r="AW884" s="418"/>
      <c r="AX884" s="418"/>
      <c r="AY884" s="418"/>
      <c r="AZ884" s="418"/>
    </row>
    <row r="885" spans="40:52" ht="15.75" customHeight="1">
      <c r="AN885" s="418"/>
      <c r="AO885" s="418"/>
      <c r="AP885" s="418"/>
      <c r="AQ885" s="418"/>
      <c r="AR885" s="418"/>
      <c r="AS885" s="418"/>
      <c r="AT885" s="418"/>
      <c r="AU885" s="418"/>
      <c r="AV885" s="418"/>
      <c r="AW885" s="418"/>
      <c r="AX885" s="418"/>
      <c r="AY885" s="418"/>
      <c r="AZ885" s="418"/>
    </row>
    <row r="886" spans="40:52" ht="15.75" customHeight="1">
      <c r="AN886" s="418"/>
      <c r="AO886" s="418"/>
      <c r="AP886" s="418"/>
      <c r="AQ886" s="418"/>
      <c r="AR886" s="418"/>
      <c r="AS886" s="418"/>
      <c r="AT886" s="418"/>
      <c r="AU886" s="418"/>
      <c r="AV886" s="418"/>
      <c r="AW886" s="418"/>
      <c r="AX886" s="418"/>
      <c r="AY886" s="418"/>
      <c r="AZ886" s="418"/>
    </row>
    <row r="887" spans="40:52" ht="15.75" customHeight="1">
      <c r="AN887" s="418"/>
      <c r="AO887" s="418"/>
      <c r="AP887" s="418"/>
      <c r="AQ887" s="418"/>
      <c r="AR887" s="418"/>
      <c r="AS887" s="418"/>
      <c r="AT887" s="418"/>
      <c r="AU887" s="418"/>
      <c r="AV887" s="418"/>
      <c r="AW887" s="418"/>
      <c r="AX887" s="418"/>
      <c r="AY887" s="418"/>
      <c r="AZ887" s="418"/>
    </row>
    <row r="888" spans="40:52" ht="15.75" customHeight="1">
      <c r="AN888" s="418"/>
      <c r="AO888" s="418"/>
      <c r="AP888" s="418"/>
      <c r="AQ888" s="418"/>
      <c r="AR888" s="418"/>
      <c r="AS888" s="418"/>
      <c r="AT888" s="418"/>
      <c r="AU888" s="418"/>
      <c r="AV888" s="418"/>
      <c r="AW888" s="418"/>
      <c r="AX888" s="418"/>
      <c r="AY888" s="418"/>
      <c r="AZ888" s="418"/>
    </row>
    <row r="889" spans="40:52" ht="15.75" customHeight="1">
      <c r="AN889" s="418"/>
      <c r="AO889" s="418"/>
      <c r="AP889" s="418"/>
      <c r="AQ889" s="418"/>
      <c r="AR889" s="418"/>
      <c r="AS889" s="418"/>
      <c r="AT889" s="418"/>
      <c r="AU889" s="418"/>
      <c r="AV889" s="418"/>
      <c r="AW889" s="418"/>
      <c r="AX889" s="418"/>
      <c r="AY889" s="418"/>
      <c r="AZ889" s="418"/>
    </row>
    <row r="890" spans="40:52" ht="15.75" customHeight="1">
      <c r="AN890" s="418"/>
      <c r="AO890" s="418"/>
      <c r="AP890" s="418"/>
      <c r="AQ890" s="418"/>
      <c r="AR890" s="418"/>
      <c r="AS890" s="418"/>
      <c r="AT890" s="418"/>
      <c r="AU890" s="418"/>
      <c r="AV890" s="418"/>
      <c r="AW890" s="418"/>
      <c r="AX890" s="418"/>
      <c r="AY890" s="418"/>
      <c r="AZ890" s="418"/>
    </row>
    <row r="891" spans="40:52" ht="15.75" customHeight="1">
      <c r="AN891" s="418"/>
      <c r="AO891" s="418"/>
      <c r="AP891" s="418"/>
      <c r="AQ891" s="418"/>
      <c r="AR891" s="418"/>
      <c r="AS891" s="418"/>
      <c r="AT891" s="418"/>
      <c r="AU891" s="418"/>
      <c r="AV891" s="418"/>
      <c r="AW891" s="418"/>
      <c r="AX891" s="418"/>
      <c r="AY891" s="418"/>
      <c r="AZ891" s="418"/>
    </row>
    <row r="892" spans="40:52" ht="15.75" customHeight="1">
      <c r="AN892" s="418"/>
      <c r="AO892" s="418"/>
      <c r="AP892" s="418"/>
      <c r="AQ892" s="418"/>
      <c r="AR892" s="418"/>
      <c r="AS892" s="418"/>
      <c r="AT892" s="418"/>
      <c r="AU892" s="418"/>
      <c r="AV892" s="418"/>
      <c r="AW892" s="418"/>
      <c r="AX892" s="418"/>
      <c r="AY892" s="418"/>
      <c r="AZ892" s="418"/>
    </row>
    <row r="893" spans="40:52" ht="15.75" customHeight="1">
      <c r="AN893" s="418"/>
      <c r="AO893" s="418"/>
      <c r="AP893" s="418"/>
      <c r="AQ893" s="418"/>
      <c r="AR893" s="418"/>
      <c r="AS893" s="418"/>
      <c r="AT893" s="418"/>
      <c r="AU893" s="418"/>
      <c r="AV893" s="418"/>
      <c r="AW893" s="418"/>
      <c r="AX893" s="418"/>
      <c r="AY893" s="418"/>
      <c r="AZ893" s="418"/>
    </row>
    <row r="894" spans="40:52" ht="15.75" customHeight="1">
      <c r="AN894" s="418"/>
      <c r="AO894" s="418"/>
      <c r="AP894" s="418"/>
      <c r="AQ894" s="418"/>
      <c r="AR894" s="418"/>
      <c r="AS894" s="418"/>
      <c r="AT894" s="418"/>
      <c r="AU894" s="418"/>
      <c r="AV894" s="418"/>
      <c r="AW894" s="418"/>
      <c r="AX894" s="418"/>
      <c r="AY894" s="418"/>
      <c r="AZ894" s="418"/>
    </row>
    <row r="895" spans="40:52" ht="15.75" customHeight="1">
      <c r="AN895" s="418"/>
      <c r="AO895" s="418"/>
      <c r="AP895" s="418"/>
      <c r="AQ895" s="418"/>
      <c r="AR895" s="418"/>
      <c r="AS895" s="418"/>
      <c r="AT895" s="418"/>
      <c r="AU895" s="418"/>
      <c r="AV895" s="418"/>
      <c r="AW895" s="418"/>
      <c r="AX895" s="418"/>
      <c r="AY895" s="418"/>
      <c r="AZ895" s="418"/>
    </row>
    <row r="896" spans="40:52" ht="15.75" customHeight="1">
      <c r="AN896" s="418"/>
      <c r="AO896" s="418"/>
      <c r="AP896" s="418"/>
      <c r="AQ896" s="418"/>
      <c r="AR896" s="418"/>
      <c r="AS896" s="418"/>
      <c r="AT896" s="418"/>
      <c r="AU896" s="418"/>
      <c r="AV896" s="418"/>
      <c r="AW896" s="418"/>
      <c r="AX896" s="418"/>
      <c r="AY896" s="418"/>
      <c r="AZ896" s="418"/>
    </row>
    <row r="897" spans="40:52" ht="15.75" customHeight="1">
      <c r="AN897" s="418"/>
      <c r="AO897" s="418"/>
      <c r="AP897" s="418"/>
      <c r="AQ897" s="418"/>
      <c r="AR897" s="418"/>
      <c r="AS897" s="418"/>
      <c r="AT897" s="418"/>
      <c r="AU897" s="418"/>
      <c r="AV897" s="418"/>
      <c r="AW897" s="418"/>
      <c r="AX897" s="418"/>
      <c r="AY897" s="418"/>
      <c r="AZ897" s="418"/>
    </row>
    <row r="898" spans="40:52" ht="15.75" customHeight="1">
      <c r="AN898" s="418"/>
      <c r="AO898" s="418"/>
      <c r="AP898" s="418"/>
      <c r="AQ898" s="418"/>
      <c r="AR898" s="418"/>
      <c r="AS898" s="418"/>
      <c r="AT898" s="418"/>
      <c r="AU898" s="418"/>
      <c r="AV898" s="418"/>
      <c r="AW898" s="418"/>
      <c r="AX898" s="418"/>
      <c r="AY898" s="418"/>
      <c r="AZ898" s="418"/>
    </row>
    <row r="899" spans="40:52" ht="15.75" customHeight="1">
      <c r="AN899" s="418"/>
      <c r="AO899" s="418"/>
      <c r="AP899" s="418"/>
      <c r="AQ899" s="418"/>
      <c r="AR899" s="418"/>
      <c r="AS899" s="418"/>
      <c r="AT899" s="418"/>
      <c r="AU899" s="418"/>
      <c r="AV899" s="418"/>
      <c r="AW899" s="418"/>
      <c r="AX899" s="418"/>
      <c r="AY899" s="418"/>
      <c r="AZ899" s="418"/>
    </row>
    <row r="900" spans="40:52" ht="15.75" customHeight="1">
      <c r="AN900" s="418"/>
      <c r="AO900" s="418"/>
      <c r="AP900" s="418"/>
      <c r="AQ900" s="418"/>
      <c r="AR900" s="418"/>
      <c r="AS900" s="418"/>
      <c r="AT900" s="418"/>
      <c r="AU900" s="418"/>
      <c r="AV900" s="418"/>
      <c r="AW900" s="418"/>
      <c r="AX900" s="418"/>
      <c r="AY900" s="418"/>
      <c r="AZ900" s="418"/>
    </row>
    <row r="901" spans="40:52" ht="15.75" customHeight="1">
      <c r="AN901" s="418"/>
      <c r="AO901" s="418"/>
      <c r="AP901" s="418"/>
      <c r="AQ901" s="418"/>
      <c r="AR901" s="418"/>
      <c r="AS901" s="418"/>
      <c r="AT901" s="418"/>
      <c r="AU901" s="418"/>
      <c r="AV901" s="418"/>
      <c r="AW901" s="418"/>
      <c r="AX901" s="418"/>
      <c r="AY901" s="418"/>
      <c r="AZ901" s="418"/>
    </row>
    <row r="902" spans="40:52" ht="15.75" customHeight="1">
      <c r="AN902" s="418"/>
      <c r="AO902" s="418"/>
      <c r="AP902" s="418"/>
      <c r="AQ902" s="418"/>
      <c r="AR902" s="418"/>
      <c r="AS902" s="418"/>
      <c r="AT902" s="418"/>
      <c r="AU902" s="418"/>
      <c r="AV902" s="418"/>
      <c r="AW902" s="418"/>
      <c r="AX902" s="418"/>
      <c r="AY902" s="418"/>
      <c r="AZ902" s="418"/>
    </row>
    <row r="903" spans="40:52" ht="15.75" customHeight="1">
      <c r="AN903" s="418"/>
      <c r="AO903" s="418"/>
      <c r="AP903" s="418"/>
      <c r="AQ903" s="418"/>
      <c r="AR903" s="418"/>
      <c r="AS903" s="418"/>
      <c r="AT903" s="418"/>
      <c r="AU903" s="418"/>
      <c r="AV903" s="418"/>
      <c r="AW903" s="418"/>
      <c r="AX903" s="418"/>
      <c r="AY903" s="418"/>
      <c r="AZ903" s="418"/>
    </row>
    <row r="904" spans="40:52" ht="15.75" customHeight="1">
      <c r="AN904" s="418"/>
      <c r="AO904" s="418"/>
      <c r="AP904" s="418"/>
      <c r="AQ904" s="418"/>
      <c r="AR904" s="418"/>
      <c r="AS904" s="418"/>
      <c r="AT904" s="418"/>
      <c r="AU904" s="418"/>
      <c r="AV904" s="418"/>
      <c r="AW904" s="418"/>
      <c r="AX904" s="418"/>
      <c r="AY904" s="418"/>
      <c r="AZ904" s="418"/>
    </row>
    <row r="905" spans="40:52" ht="15.75" customHeight="1">
      <c r="AN905" s="418"/>
      <c r="AO905" s="418"/>
      <c r="AP905" s="418"/>
      <c r="AQ905" s="418"/>
      <c r="AR905" s="418"/>
      <c r="AS905" s="418"/>
      <c r="AT905" s="418"/>
      <c r="AU905" s="418"/>
      <c r="AV905" s="418"/>
      <c r="AW905" s="418"/>
      <c r="AX905" s="418"/>
      <c r="AY905" s="418"/>
      <c r="AZ905" s="418"/>
    </row>
    <row r="906" spans="40:52" ht="15.75" customHeight="1">
      <c r="AN906" s="418"/>
      <c r="AO906" s="418"/>
      <c r="AP906" s="418"/>
      <c r="AQ906" s="418"/>
      <c r="AR906" s="418"/>
      <c r="AS906" s="418"/>
      <c r="AT906" s="418"/>
      <c r="AU906" s="418"/>
      <c r="AV906" s="418"/>
      <c r="AW906" s="418"/>
      <c r="AX906" s="418"/>
      <c r="AY906" s="418"/>
      <c r="AZ906" s="418"/>
    </row>
    <row r="907" spans="40:52" ht="15.75" customHeight="1">
      <c r="AN907" s="418"/>
      <c r="AO907" s="418"/>
      <c r="AP907" s="418"/>
      <c r="AQ907" s="418"/>
      <c r="AR907" s="418"/>
      <c r="AS907" s="418"/>
      <c r="AT907" s="418"/>
      <c r="AU907" s="418"/>
      <c r="AV907" s="418"/>
      <c r="AW907" s="418"/>
      <c r="AX907" s="418"/>
      <c r="AY907" s="418"/>
      <c r="AZ907" s="418"/>
    </row>
    <row r="908" spans="40:52" ht="15.75" customHeight="1">
      <c r="AN908" s="418"/>
      <c r="AO908" s="418"/>
      <c r="AP908" s="418"/>
      <c r="AQ908" s="418"/>
      <c r="AR908" s="418"/>
      <c r="AS908" s="418"/>
      <c r="AT908" s="418"/>
      <c r="AU908" s="418"/>
      <c r="AV908" s="418"/>
      <c r="AW908" s="418"/>
      <c r="AX908" s="418"/>
      <c r="AY908" s="418"/>
      <c r="AZ908" s="418"/>
    </row>
    <row r="909" spans="40:52" ht="15.75" customHeight="1">
      <c r="AN909" s="418"/>
      <c r="AO909" s="418"/>
      <c r="AP909" s="418"/>
      <c r="AQ909" s="418"/>
      <c r="AR909" s="418"/>
      <c r="AS909" s="418"/>
      <c r="AT909" s="418"/>
      <c r="AU909" s="418"/>
      <c r="AV909" s="418"/>
      <c r="AW909" s="418"/>
      <c r="AX909" s="418"/>
      <c r="AY909" s="418"/>
      <c r="AZ909" s="418"/>
    </row>
    <row r="910" spans="40:52" ht="15.75" customHeight="1">
      <c r="AN910" s="418"/>
      <c r="AO910" s="418"/>
      <c r="AP910" s="418"/>
      <c r="AQ910" s="418"/>
      <c r="AR910" s="418"/>
      <c r="AS910" s="418"/>
      <c r="AT910" s="418"/>
      <c r="AU910" s="418"/>
      <c r="AV910" s="418"/>
      <c r="AW910" s="418"/>
      <c r="AX910" s="418"/>
      <c r="AY910" s="418"/>
      <c r="AZ910" s="418"/>
    </row>
    <row r="911" spans="40:52" ht="15.75" customHeight="1">
      <c r="AN911" s="418"/>
      <c r="AO911" s="418"/>
      <c r="AP911" s="418"/>
      <c r="AQ911" s="418"/>
      <c r="AR911" s="418"/>
      <c r="AS911" s="418"/>
      <c r="AT911" s="418"/>
      <c r="AU911" s="418"/>
      <c r="AV911" s="418"/>
      <c r="AW911" s="418"/>
      <c r="AX911" s="418"/>
      <c r="AY911" s="418"/>
      <c r="AZ911" s="418"/>
    </row>
    <row r="912" spans="40:52" ht="15.75" customHeight="1">
      <c r="AN912" s="418"/>
      <c r="AO912" s="418"/>
      <c r="AP912" s="418"/>
      <c r="AQ912" s="418"/>
      <c r="AR912" s="418"/>
      <c r="AS912" s="418"/>
      <c r="AT912" s="418"/>
      <c r="AU912" s="418"/>
      <c r="AV912" s="418"/>
      <c r="AW912" s="418"/>
      <c r="AX912" s="418"/>
      <c r="AY912" s="418"/>
      <c r="AZ912" s="418"/>
    </row>
    <row r="913" spans="40:52" ht="15.75" customHeight="1">
      <c r="AN913" s="418"/>
      <c r="AO913" s="418"/>
      <c r="AP913" s="418"/>
      <c r="AQ913" s="418"/>
      <c r="AR913" s="418"/>
      <c r="AS913" s="418"/>
      <c r="AT913" s="418"/>
      <c r="AU913" s="418"/>
      <c r="AV913" s="418"/>
      <c r="AW913" s="418"/>
      <c r="AX913" s="418"/>
      <c r="AY913" s="418"/>
      <c r="AZ913" s="418"/>
    </row>
    <row r="914" spans="40:52" ht="15.75" customHeight="1">
      <c r="AN914" s="418"/>
      <c r="AO914" s="418"/>
      <c r="AP914" s="418"/>
      <c r="AQ914" s="418"/>
      <c r="AR914" s="418"/>
      <c r="AS914" s="418"/>
      <c r="AT914" s="418"/>
      <c r="AU914" s="418"/>
      <c r="AV914" s="418"/>
      <c r="AW914" s="418"/>
      <c r="AX914" s="418"/>
      <c r="AY914" s="418"/>
      <c r="AZ914" s="418"/>
    </row>
    <row r="915" spans="40:52" ht="15.75" customHeight="1">
      <c r="AN915" s="418"/>
      <c r="AO915" s="418"/>
      <c r="AP915" s="418"/>
      <c r="AQ915" s="418"/>
      <c r="AR915" s="418"/>
      <c r="AS915" s="418"/>
      <c r="AT915" s="418"/>
      <c r="AU915" s="418"/>
      <c r="AV915" s="418"/>
      <c r="AW915" s="418"/>
      <c r="AX915" s="418"/>
      <c r="AY915" s="418"/>
      <c r="AZ915" s="418"/>
    </row>
    <row r="916" spans="40:52" ht="15.75" customHeight="1">
      <c r="AN916" s="418"/>
      <c r="AO916" s="418"/>
      <c r="AP916" s="418"/>
      <c r="AQ916" s="418"/>
      <c r="AR916" s="418"/>
      <c r="AS916" s="418"/>
      <c r="AT916" s="418"/>
      <c r="AU916" s="418"/>
      <c r="AV916" s="418"/>
      <c r="AW916" s="418"/>
      <c r="AX916" s="418"/>
      <c r="AY916" s="418"/>
      <c r="AZ916" s="418"/>
    </row>
    <row r="917" spans="40:52" ht="15.75" customHeight="1">
      <c r="AN917" s="418"/>
      <c r="AO917" s="418"/>
      <c r="AP917" s="418"/>
      <c r="AQ917" s="418"/>
      <c r="AR917" s="418"/>
      <c r="AS917" s="418"/>
      <c r="AT917" s="418"/>
      <c r="AU917" s="418"/>
      <c r="AV917" s="418"/>
      <c r="AW917" s="418"/>
      <c r="AX917" s="418"/>
      <c r="AY917" s="418"/>
      <c r="AZ917" s="418"/>
    </row>
    <row r="918" spans="40:52" ht="15.75" customHeight="1">
      <c r="AN918" s="418"/>
      <c r="AO918" s="418"/>
      <c r="AP918" s="418"/>
      <c r="AQ918" s="418"/>
      <c r="AR918" s="418"/>
      <c r="AS918" s="418"/>
      <c r="AT918" s="418"/>
      <c r="AU918" s="418"/>
      <c r="AV918" s="418"/>
      <c r="AW918" s="418"/>
      <c r="AX918" s="418"/>
      <c r="AY918" s="418"/>
      <c r="AZ918" s="418"/>
    </row>
    <row r="919" spans="40:52" ht="15.75" customHeight="1">
      <c r="AN919" s="418"/>
      <c r="AO919" s="418"/>
      <c r="AP919" s="418"/>
      <c r="AQ919" s="418"/>
      <c r="AR919" s="418"/>
      <c r="AS919" s="418"/>
      <c r="AT919" s="418"/>
      <c r="AU919" s="418"/>
      <c r="AV919" s="418"/>
      <c r="AW919" s="418"/>
      <c r="AX919" s="418"/>
      <c r="AY919" s="418"/>
      <c r="AZ919" s="418"/>
    </row>
    <row r="920" spans="40:52" ht="15.75" customHeight="1">
      <c r="AN920" s="418"/>
      <c r="AO920" s="418"/>
      <c r="AP920" s="418"/>
      <c r="AQ920" s="418"/>
      <c r="AR920" s="418"/>
      <c r="AS920" s="418"/>
      <c r="AT920" s="418"/>
      <c r="AU920" s="418"/>
      <c r="AV920" s="418"/>
      <c r="AW920" s="418"/>
      <c r="AX920" s="418"/>
      <c r="AY920" s="418"/>
      <c r="AZ920" s="418"/>
    </row>
    <row r="921" spans="40:52" ht="15.75" customHeight="1">
      <c r="AN921" s="418"/>
      <c r="AO921" s="418"/>
      <c r="AP921" s="418"/>
      <c r="AQ921" s="418"/>
      <c r="AR921" s="418"/>
      <c r="AS921" s="418"/>
      <c r="AT921" s="418"/>
      <c r="AU921" s="418"/>
      <c r="AV921" s="418"/>
      <c r="AW921" s="418"/>
      <c r="AX921" s="418"/>
      <c r="AY921" s="418"/>
      <c r="AZ921" s="418"/>
    </row>
    <row r="922" spans="40:52" ht="15.75" customHeight="1">
      <c r="AN922" s="418"/>
      <c r="AO922" s="418"/>
      <c r="AP922" s="418"/>
      <c r="AQ922" s="418"/>
      <c r="AR922" s="418"/>
      <c r="AS922" s="418"/>
      <c r="AT922" s="418"/>
      <c r="AU922" s="418"/>
      <c r="AV922" s="418"/>
      <c r="AW922" s="418"/>
      <c r="AX922" s="418"/>
      <c r="AY922" s="418"/>
      <c r="AZ922" s="418"/>
    </row>
    <row r="923" spans="40:52" ht="15.75" customHeight="1">
      <c r="AN923" s="418"/>
      <c r="AO923" s="418"/>
      <c r="AP923" s="418"/>
      <c r="AQ923" s="418"/>
      <c r="AR923" s="418"/>
      <c r="AS923" s="418"/>
      <c r="AT923" s="418"/>
      <c r="AU923" s="418"/>
      <c r="AV923" s="418"/>
      <c r="AW923" s="418"/>
      <c r="AX923" s="418"/>
      <c r="AY923" s="418"/>
      <c r="AZ923" s="418"/>
    </row>
    <row r="924" spans="40:52" ht="15.75" customHeight="1">
      <c r="AN924" s="418"/>
      <c r="AO924" s="418"/>
      <c r="AP924" s="418"/>
      <c r="AQ924" s="418"/>
      <c r="AR924" s="418"/>
      <c r="AS924" s="418"/>
      <c r="AT924" s="418"/>
      <c r="AU924" s="418"/>
      <c r="AV924" s="418"/>
      <c r="AW924" s="418"/>
      <c r="AX924" s="418"/>
      <c r="AY924" s="418"/>
      <c r="AZ924" s="418"/>
    </row>
    <row r="925" spans="40:52" ht="15.75" customHeight="1">
      <c r="AN925" s="418"/>
      <c r="AO925" s="418"/>
      <c r="AP925" s="418"/>
      <c r="AQ925" s="418"/>
      <c r="AR925" s="418"/>
      <c r="AS925" s="418"/>
      <c r="AT925" s="418"/>
      <c r="AU925" s="418"/>
      <c r="AV925" s="418"/>
      <c r="AW925" s="418"/>
      <c r="AX925" s="418"/>
      <c r="AY925" s="418"/>
      <c r="AZ925" s="418"/>
    </row>
    <row r="926" spans="40:52" ht="15.75" customHeight="1">
      <c r="AN926" s="418"/>
      <c r="AO926" s="418"/>
      <c r="AP926" s="418"/>
      <c r="AQ926" s="418"/>
      <c r="AR926" s="418"/>
      <c r="AS926" s="418"/>
      <c r="AT926" s="418"/>
      <c r="AU926" s="418"/>
      <c r="AV926" s="418"/>
      <c r="AW926" s="418"/>
      <c r="AX926" s="418"/>
      <c r="AY926" s="418"/>
      <c r="AZ926" s="418"/>
    </row>
    <row r="927" spans="40:52" ht="15.75" customHeight="1">
      <c r="AN927" s="418"/>
      <c r="AO927" s="418"/>
      <c r="AP927" s="418"/>
      <c r="AQ927" s="418"/>
      <c r="AR927" s="418"/>
      <c r="AS927" s="418"/>
      <c r="AT927" s="418"/>
      <c r="AU927" s="418"/>
      <c r="AV927" s="418"/>
      <c r="AW927" s="418"/>
      <c r="AX927" s="418"/>
      <c r="AY927" s="418"/>
      <c r="AZ927" s="418"/>
    </row>
    <row r="928" spans="40:52" ht="15.75" customHeight="1">
      <c r="AN928" s="418"/>
      <c r="AO928" s="418"/>
      <c r="AP928" s="418"/>
      <c r="AQ928" s="418"/>
      <c r="AR928" s="418"/>
      <c r="AS928" s="418"/>
      <c r="AT928" s="418"/>
      <c r="AU928" s="418"/>
      <c r="AV928" s="418"/>
      <c r="AW928" s="418"/>
      <c r="AX928" s="418"/>
      <c r="AY928" s="418"/>
      <c r="AZ928" s="418"/>
    </row>
    <row r="929" spans="40:52" ht="15.75" customHeight="1">
      <c r="AN929" s="418"/>
      <c r="AO929" s="418"/>
      <c r="AP929" s="418"/>
      <c r="AQ929" s="418"/>
      <c r="AR929" s="418"/>
      <c r="AS929" s="418"/>
      <c r="AT929" s="418"/>
      <c r="AU929" s="418"/>
      <c r="AV929" s="418"/>
      <c r="AW929" s="418"/>
      <c r="AX929" s="418"/>
      <c r="AY929" s="418"/>
      <c r="AZ929" s="418"/>
    </row>
    <row r="930" spans="40:52" ht="15.75" customHeight="1">
      <c r="AN930" s="418"/>
      <c r="AO930" s="418"/>
      <c r="AP930" s="418"/>
      <c r="AQ930" s="418"/>
      <c r="AR930" s="418"/>
      <c r="AS930" s="418"/>
      <c r="AT930" s="418"/>
      <c r="AU930" s="418"/>
      <c r="AV930" s="418"/>
      <c r="AW930" s="418"/>
      <c r="AX930" s="418"/>
      <c r="AY930" s="418"/>
      <c r="AZ930" s="418"/>
    </row>
    <row r="931" spans="40:52" ht="15.75" customHeight="1">
      <c r="AN931" s="418"/>
      <c r="AO931" s="418"/>
      <c r="AP931" s="418"/>
      <c r="AQ931" s="418"/>
      <c r="AR931" s="418"/>
      <c r="AS931" s="418"/>
      <c r="AT931" s="418"/>
      <c r="AU931" s="418"/>
      <c r="AV931" s="418"/>
      <c r="AW931" s="418"/>
      <c r="AX931" s="418"/>
      <c r="AY931" s="418"/>
      <c r="AZ931" s="418"/>
    </row>
    <row r="932" spans="40:52" ht="15.75" customHeight="1">
      <c r="AN932" s="418"/>
      <c r="AO932" s="418"/>
      <c r="AP932" s="418"/>
      <c r="AQ932" s="418"/>
      <c r="AR932" s="418"/>
      <c r="AS932" s="418"/>
      <c r="AT932" s="418"/>
      <c r="AU932" s="418"/>
      <c r="AV932" s="418"/>
      <c r="AW932" s="418"/>
      <c r="AX932" s="418"/>
      <c r="AY932" s="418"/>
      <c r="AZ932" s="418"/>
    </row>
    <row r="933" spans="40:52" ht="15.75" customHeight="1">
      <c r="AN933" s="418"/>
      <c r="AO933" s="418"/>
      <c r="AP933" s="418"/>
      <c r="AQ933" s="418"/>
      <c r="AR933" s="418"/>
      <c r="AS933" s="418"/>
      <c r="AT933" s="418"/>
      <c r="AU933" s="418"/>
      <c r="AV933" s="418"/>
      <c r="AW933" s="418"/>
      <c r="AX933" s="418"/>
      <c r="AY933" s="418"/>
      <c r="AZ933" s="418"/>
    </row>
    <row r="934" spans="40:52" ht="15.75" customHeight="1">
      <c r="AN934" s="418"/>
      <c r="AO934" s="418"/>
      <c r="AP934" s="418"/>
      <c r="AQ934" s="418"/>
      <c r="AR934" s="418"/>
      <c r="AS934" s="418"/>
      <c r="AT934" s="418"/>
      <c r="AU934" s="418"/>
      <c r="AV934" s="418"/>
      <c r="AW934" s="418"/>
      <c r="AX934" s="418"/>
      <c r="AY934" s="418"/>
      <c r="AZ934" s="418"/>
    </row>
    <row r="935" spans="40:52" ht="15.75" customHeight="1">
      <c r="AN935" s="418"/>
      <c r="AO935" s="418"/>
      <c r="AP935" s="418"/>
      <c r="AQ935" s="418"/>
      <c r="AR935" s="418"/>
      <c r="AS935" s="418"/>
      <c r="AT935" s="418"/>
      <c r="AU935" s="418"/>
      <c r="AV935" s="418"/>
      <c r="AW935" s="418"/>
      <c r="AX935" s="418"/>
      <c r="AY935" s="418"/>
      <c r="AZ935" s="418"/>
    </row>
    <row r="936" spans="40:52" ht="15.75" customHeight="1">
      <c r="AN936" s="418"/>
      <c r="AO936" s="418"/>
      <c r="AP936" s="418"/>
      <c r="AQ936" s="418"/>
      <c r="AR936" s="418"/>
      <c r="AS936" s="418"/>
      <c r="AT936" s="418"/>
      <c r="AU936" s="418"/>
      <c r="AV936" s="418"/>
      <c r="AW936" s="418"/>
      <c r="AX936" s="418"/>
      <c r="AY936" s="418"/>
      <c r="AZ936" s="418"/>
    </row>
    <row r="937" spans="40:52" ht="15.75" customHeight="1">
      <c r="AN937" s="418"/>
      <c r="AO937" s="418"/>
      <c r="AP937" s="418"/>
      <c r="AQ937" s="418"/>
      <c r="AR937" s="418"/>
      <c r="AS937" s="418"/>
      <c r="AT937" s="418"/>
      <c r="AU937" s="418"/>
      <c r="AV937" s="418"/>
      <c r="AW937" s="418"/>
      <c r="AX937" s="418"/>
      <c r="AY937" s="418"/>
      <c r="AZ937" s="418"/>
    </row>
    <row r="938" spans="40:52" ht="15.75" customHeight="1">
      <c r="AN938" s="418"/>
      <c r="AO938" s="418"/>
      <c r="AP938" s="418"/>
      <c r="AQ938" s="418"/>
      <c r="AR938" s="418"/>
      <c r="AS938" s="418"/>
      <c r="AT938" s="418"/>
      <c r="AU938" s="418"/>
      <c r="AV938" s="418"/>
      <c r="AW938" s="418"/>
      <c r="AX938" s="418"/>
      <c r="AY938" s="418"/>
      <c r="AZ938" s="418"/>
    </row>
    <row r="939" spans="40:52" ht="15.75" customHeight="1">
      <c r="AN939" s="418"/>
      <c r="AO939" s="418"/>
      <c r="AP939" s="418"/>
      <c r="AQ939" s="418"/>
      <c r="AR939" s="418"/>
      <c r="AS939" s="418"/>
      <c r="AT939" s="418"/>
      <c r="AU939" s="418"/>
      <c r="AV939" s="418"/>
      <c r="AW939" s="418"/>
      <c r="AX939" s="418"/>
      <c r="AY939" s="418"/>
      <c r="AZ939" s="418"/>
    </row>
    <row r="940" spans="40:52" ht="15.75" customHeight="1">
      <c r="AN940" s="418"/>
      <c r="AO940" s="418"/>
      <c r="AP940" s="418"/>
      <c r="AQ940" s="418"/>
      <c r="AR940" s="418"/>
      <c r="AS940" s="418"/>
      <c r="AT940" s="418"/>
      <c r="AU940" s="418"/>
      <c r="AV940" s="418"/>
      <c r="AW940" s="418"/>
      <c r="AX940" s="418"/>
      <c r="AY940" s="418"/>
      <c r="AZ940" s="418"/>
    </row>
    <row r="941" spans="40:52" ht="15.75" customHeight="1">
      <c r="AN941" s="418"/>
      <c r="AO941" s="418"/>
      <c r="AP941" s="418"/>
      <c r="AQ941" s="418"/>
      <c r="AR941" s="418"/>
      <c r="AS941" s="418"/>
      <c r="AT941" s="418"/>
      <c r="AU941" s="418"/>
      <c r="AV941" s="418"/>
      <c r="AW941" s="418"/>
      <c r="AX941" s="418"/>
      <c r="AY941" s="418"/>
      <c r="AZ941" s="418"/>
    </row>
    <row r="942" spans="40:52" ht="15.75" customHeight="1">
      <c r="AN942" s="418"/>
      <c r="AO942" s="418"/>
      <c r="AP942" s="418"/>
      <c r="AQ942" s="418"/>
      <c r="AR942" s="418"/>
      <c r="AS942" s="418"/>
      <c r="AT942" s="418"/>
      <c r="AU942" s="418"/>
      <c r="AV942" s="418"/>
      <c r="AW942" s="418"/>
      <c r="AX942" s="418"/>
      <c r="AY942" s="418"/>
      <c r="AZ942" s="418"/>
    </row>
    <row r="943" spans="40:52" ht="15.75" customHeight="1">
      <c r="AN943" s="418"/>
      <c r="AO943" s="418"/>
      <c r="AP943" s="418"/>
      <c r="AQ943" s="418"/>
      <c r="AR943" s="418"/>
      <c r="AS943" s="418"/>
      <c r="AT943" s="418"/>
      <c r="AU943" s="418"/>
      <c r="AV943" s="418"/>
      <c r="AW943" s="418"/>
      <c r="AX943" s="418"/>
      <c r="AY943" s="418"/>
      <c r="AZ943" s="418"/>
    </row>
    <row r="944" spans="40:52" ht="15.75" customHeight="1">
      <c r="AN944" s="418"/>
      <c r="AO944" s="418"/>
      <c r="AP944" s="418"/>
      <c r="AQ944" s="418"/>
      <c r="AR944" s="418"/>
      <c r="AS944" s="418"/>
      <c r="AT944" s="418"/>
      <c r="AU944" s="418"/>
      <c r="AV944" s="418"/>
      <c r="AW944" s="418"/>
      <c r="AX944" s="418"/>
      <c r="AY944" s="418"/>
      <c r="AZ944" s="418"/>
    </row>
    <row r="945" spans="40:65" ht="15.75" customHeight="1">
      <c r="AN945" s="418"/>
      <c r="AO945" s="418"/>
      <c r="AP945" s="418"/>
      <c r="AQ945" s="418"/>
      <c r="AR945" s="418"/>
      <c r="AS945" s="418"/>
      <c r="AT945" s="418"/>
      <c r="AU945" s="418"/>
      <c r="AV945" s="418"/>
      <c r="AW945" s="418"/>
      <c r="AX945" s="418"/>
      <c r="AY945" s="418"/>
      <c r="AZ945" s="418"/>
    </row>
    <row r="946" spans="40:65" ht="15.75" customHeight="1">
      <c r="AN946" s="418"/>
      <c r="AO946" s="418"/>
      <c r="AP946" s="418"/>
      <c r="AQ946" s="418"/>
      <c r="AR946" s="418"/>
      <c r="AS946" s="418"/>
      <c r="AT946" s="418"/>
      <c r="AU946" s="418"/>
      <c r="AV946" s="418"/>
      <c r="AW946" s="418"/>
      <c r="AX946" s="418"/>
      <c r="AY946" s="418"/>
      <c r="AZ946" s="418"/>
    </row>
    <row r="947" spans="40:65" ht="15.75" customHeight="1">
      <c r="AN947" s="418"/>
      <c r="AO947" s="418"/>
      <c r="AP947" s="418"/>
      <c r="AQ947" s="418"/>
      <c r="AR947" s="418"/>
      <c r="AS947" s="418"/>
      <c r="AT947" s="418"/>
      <c r="AU947" s="418"/>
      <c r="AV947" s="418"/>
      <c r="AW947" s="418"/>
      <c r="AX947" s="418"/>
      <c r="AY947" s="418"/>
      <c r="AZ947" s="418"/>
    </row>
    <row r="948" spans="40:65" ht="15.75" customHeight="1">
      <c r="AN948" s="418"/>
      <c r="AO948" s="418"/>
      <c r="AP948" s="418"/>
      <c r="AQ948" s="418"/>
      <c r="AR948" s="418"/>
      <c r="AS948" s="418"/>
      <c r="AT948" s="418"/>
      <c r="AU948" s="418"/>
      <c r="AV948" s="418"/>
      <c r="AW948" s="418"/>
      <c r="AX948" s="418"/>
      <c r="AY948" s="418"/>
      <c r="AZ948" s="418"/>
    </row>
    <row r="949" spans="40:65" ht="15.75" customHeight="1">
      <c r="AN949" s="418"/>
      <c r="AO949" s="418"/>
      <c r="AP949" s="418"/>
      <c r="AQ949" s="418"/>
      <c r="AR949" s="418"/>
      <c r="AS949" s="418"/>
      <c r="AT949" s="418"/>
      <c r="AU949" s="418"/>
      <c r="AV949" s="418"/>
      <c r="AW949" s="418"/>
      <c r="AX949" s="418"/>
      <c r="AY949" s="418"/>
      <c r="AZ949" s="418"/>
    </row>
    <row r="950" spans="40:65" ht="15.75" customHeight="1">
      <c r="AN950" s="418"/>
      <c r="AO950" s="418"/>
      <c r="AP950" s="418"/>
      <c r="AQ950" s="418"/>
      <c r="AR950" s="418"/>
      <c r="AS950" s="418"/>
      <c r="AT950" s="418"/>
      <c r="AU950" s="418"/>
      <c r="AV950" s="418"/>
      <c r="AW950" s="418"/>
      <c r="AX950" s="418"/>
      <c r="AY950" s="418"/>
      <c r="AZ950" s="418"/>
      <c r="BH950" s="312"/>
      <c r="BI950" s="312"/>
      <c r="BJ950" s="312"/>
      <c r="BK950" s="312"/>
      <c r="BL950" s="312"/>
      <c r="BM950" s="312"/>
    </row>
    <row r="951" spans="40:65" ht="15.75" customHeight="1">
      <c r="AN951" s="418"/>
      <c r="AO951" s="418"/>
      <c r="AP951" s="418"/>
      <c r="AQ951" s="418"/>
      <c r="AR951" s="418"/>
      <c r="AS951" s="418"/>
      <c r="AT951" s="418"/>
      <c r="AU951" s="418"/>
      <c r="AV951" s="418"/>
      <c r="AW951" s="418"/>
      <c r="AX951" s="418"/>
      <c r="AY951" s="418"/>
      <c r="AZ951" s="418"/>
      <c r="BH951" s="312"/>
      <c r="BI951" s="312"/>
      <c r="BJ951" s="312"/>
      <c r="BK951" s="312"/>
      <c r="BL951" s="312"/>
      <c r="BM951" s="312"/>
    </row>
    <row r="952" spans="40:65" ht="15.75" customHeight="1">
      <c r="AN952" s="418"/>
      <c r="AO952" s="418"/>
      <c r="AP952" s="418"/>
      <c r="AQ952" s="418"/>
      <c r="AR952" s="418"/>
      <c r="AS952" s="418"/>
      <c r="AT952" s="418"/>
      <c r="AU952" s="418"/>
      <c r="AV952" s="418"/>
      <c r="AW952" s="418"/>
      <c r="AX952" s="418"/>
      <c r="AY952" s="418"/>
      <c r="AZ952" s="418"/>
      <c r="BH952" s="312"/>
      <c r="BI952" s="312"/>
      <c r="BJ952" s="312"/>
      <c r="BK952" s="312"/>
      <c r="BL952" s="312"/>
      <c r="BM952" s="312"/>
    </row>
    <row r="953" spans="40:65" ht="15.75" customHeight="1">
      <c r="AN953" s="418"/>
      <c r="AO953" s="418"/>
      <c r="AP953" s="418"/>
      <c r="AQ953" s="418"/>
      <c r="AR953" s="418"/>
      <c r="AS953" s="418"/>
      <c r="AT953" s="418"/>
      <c r="AU953" s="418"/>
      <c r="AV953" s="418"/>
      <c r="AW953" s="418"/>
      <c r="AX953" s="418"/>
      <c r="AY953" s="418"/>
      <c r="AZ953" s="418"/>
      <c r="BH953" s="312"/>
      <c r="BI953" s="312"/>
      <c r="BJ953" s="312"/>
      <c r="BK953" s="312"/>
      <c r="BL953" s="312"/>
      <c r="BM953" s="312"/>
    </row>
    <row r="954" spans="40:65" ht="15.75" customHeight="1">
      <c r="AN954" s="418"/>
      <c r="AO954" s="418"/>
      <c r="AP954" s="418"/>
      <c r="AQ954" s="418"/>
      <c r="AR954" s="418"/>
      <c r="AS954" s="418"/>
      <c r="AT954" s="418"/>
      <c r="AU954" s="418"/>
      <c r="AV954" s="418"/>
      <c r="AW954" s="418"/>
      <c r="AX954" s="418"/>
      <c r="AY954" s="418"/>
      <c r="AZ954" s="418"/>
      <c r="BH954" s="312"/>
      <c r="BI954" s="312"/>
      <c r="BJ954" s="312"/>
      <c r="BK954" s="312"/>
      <c r="BL954" s="312"/>
      <c r="BM954" s="312"/>
    </row>
    <row r="955" spans="40:65" ht="15.75" customHeight="1">
      <c r="AN955" s="418"/>
      <c r="AO955" s="418"/>
      <c r="AP955" s="418"/>
      <c r="AQ955" s="418"/>
      <c r="AR955" s="418"/>
      <c r="AS955" s="418"/>
      <c r="AT955" s="418"/>
      <c r="AU955" s="418"/>
      <c r="AV955" s="418"/>
      <c r="AW955" s="418"/>
      <c r="AX955" s="418"/>
      <c r="AY955" s="418"/>
      <c r="AZ955" s="418"/>
      <c r="BH955" s="312"/>
      <c r="BI955" s="312"/>
      <c r="BJ955" s="312"/>
      <c r="BK955" s="312"/>
      <c r="BL955" s="312"/>
      <c r="BM955" s="312"/>
    </row>
    <row r="956" spans="40:65" ht="15.75" customHeight="1">
      <c r="AN956" s="418"/>
      <c r="AO956" s="418"/>
      <c r="AP956" s="418"/>
      <c r="AQ956" s="418"/>
      <c r="AR956" s="418"/>
      <c r="AS956" s="418"/>
      <c r="AT956" s="418"/>
      <c r="AU956" s="418"/>
      <c r="AV956" s="418"/>
      <c r="AW956" s="418"/>
      <c r="AX956" s="418"/>
      <c r="AY956" s="418"/>
      <c r="AZ956" s="418"/>
      <c r="BH956" s="312"/>
      <c r="BI956" s="312"/>
      <c r="BJ956" s="312"/>
      <c r="BK956" s="312"/>
      <c r="BL956" s="312"/>
      <c r="BM956" s="312"/>
    </row>
    <row r="957" spans="40:65" ht="15.75" customHeight="1">
      <c r="AN957" s="418"/>
      <c r="AO957" s="418"/>
      <c r="AP957" s="418"/>
      <c r="AQ957" s="418"/>
      <c r="AR957" s="418"/>
      <c r="AS957" s="418"/>
      <c r="AT957" s="418"/>
      <c r="AU957" s="418"/>
      <c r="AV957" s="418"/>
      <c r="AW957" s="418"/>
      <c r="AX957" s="418"/>
      <c r="AY957" s="418"/>
      <c r="AZ957" s="418"/>
      <c r="BH957" s="312"/>
      <c r="BI957" s="312"/>
      <c r="BJ957" s="312"/>
      <c r="BK957" s="312"/>
      <c r="BL957" s="312"/>
      <c r="BM957" s="312"/>
    </row>
    <row r="958" spans="40:65" ht="15.75" customHeight="1">
      <c r="AN958" s="418"/>
      <c r="AO958" s="418"/>
      <c r="AP958" s="418"/>
      <c r="AQ958" s="418"/>
      <c r="AR958" s="418"/>
      <c r="AS958" s="418"/>
      <c r="AT958" s="418"/>
      <c r="AU958" s="418"/>
      <c r="AV958" s="418"/>
      <c r="AW958" s="418"/>
      <c r="AX958" s="418"/>
      <c r="AY958" s="418"/>
      <c r="AZ958" s="418"/>
      <c r="BH958" s="312"/>
      <c r="BI958" s="312"/>
      <c r="BJ958" s="312"/>
      <c r="BK958" s="312"/>
      <c r="BL958" s="312"/>
      <c r="BM958" s="312"/>
    </row>
    <row r="959" spans="40:65" ht="15.75" customHeight="1">
      <c r="AN959" s="418"/>
      <c r="AO959" s="418"/>
      <c r="AP959" s="418"/>
      <c r="AQ959" s="418"/>
      <c r="AR959" s="418"/>
      <c r="AS959" s="418"/>
      <c r="AT959" s="418"/>
      <c r="AU959" s="418"/>
      <c r="AV959" s="418"/>
      <c r="AW959" s="418"/>
      <c r="AX959" s="418"/>
      <c r="AY959" s="418"/>
      <c r="AZ959" s="418"/>
      <c r="BH959" s="312"/>
      <c r="BI959" s="312"/>
      <c r="BJ959" s="312"/>
      <c r="BK959" s="312"/>
      <c r="BL959" s="312"/>
      <c r="BM959" s="312"/>
    </row>
    <row r="960" spans="40:65" ht="15.75" customHeight="1">
      <c r="AN960" s="418"/>
      <c r="AO960" s="418"/>
      <c r="AP960" s="418"/>
      <c r="AQ960" s="418"/>
      <c r="AR960" s="418"/>
      <c r="AS960" s="418"/>
      <c r="AT960" s="418"/>
      <c r="AU960" s="418"/>
      <c r="AV960" s="418"/>
      <c r="AW960" s="418"/>
      <c r="AX960" s="418"/>
      <c r="AY960" s="418"/>
      <c r="AZ960" s="418"/>
      <c r="BH960" s="312"/>
      <c r="BI960" s="312"/>
      <c r="BJ960" s="312"/>
      <c r="BK960" s="312"/>
      <c r="BL960" s="312"/>
      <c r="BM960" s="312"/>
    </row>
    <row r="961" spans="40:65" ht="15.75" customHeight="1">
      <c r="AN961" s="418"/>
      <c r="AO961" s="418"/>
      <c r="AP961" s="418"/>
      <c r="AQ961" s="418"/>
      <c r="AR961" s="418"/>
      <c r="AS961" s="418"/>
      <c r="AT961" s="418"/>
      <c r="AU961" s="418"/>
      <c r="AV961" s="418"/>
      <c r="AW961" s="418"/>
      <c r="AX961" s="418"/>
      <c r="AY961" s="418"/>
      <c r="AZ961" s="418"/>
      <c r="BC961" s="312"/>
      <c r="BD961" s="312"/>
      <c r="BH961" s="312"/>
      <c r="BI961" s="312"/>
      <c r="BJ961" s="312"/>
      <c r="BK961" s="312"/>
      <c r="BL961" s="312"/>
      <c r="BM961" s="312"/>
    </row>
    <row r="962" spans="40:65" ht="15.75" customHeight="1">
      <c r="AN962" s="418"/>
      <c r="AO962" s="418"/>
      <c r="AP962" s="418"/>
      <c r="AQ962" s="418"/>
      <c r="AR962" s="418"/>
      <c r="AS962" s="418"/>
      <c r="AT962" s="418"/>
      <c r="AU962" s="418"/>
      <c r="AV962" s="418"/>
      <c r="AW962" s="418"/>
      <c r="AX962" s="418"/>
      <c r="AY962" s="418"/>
      <c r="AZ962" s="418"/>
      <c r="BC962" s="312"/>
      <c r="BD962" s="312"/>
      <c r="BH962" s="312"/>
      <c r="BI962" s="312"/>
      <c r="BJ962" s="312"/>
      <c r="BK962" s="312"/>
      <c r="BL962" s="312"/>
      <c r="BM962" s="312"/>
    </row>
    <row r="963" spans="40:65" ht="15.75" customHeight="1">
      <c r="AN963" s="418"/>
      <c r="AO963" s="418"/>
      <c r="AP963" s="418"/>
      <c r="AQ963" s="418"/>
      <c r="AR963" s="418"/>
      <c r="AS963" s="418"/>
      <c r="AT963" s="418"/>
      <c r="AU963" s="418"/>
      <c r="AV963" s="418"/>
      <c r="AW963" s="418"/>
      <c r="AX963" s="418"/>
      <c r="AY963" s="418"/>
      <c r="AZ963" s="418"/>
      <c r="BC963" s="312"/>
      <c r="BD963" s="312"/>
      <c r="BH963" s="312"/>
      <c r="BI963" s="312"/>
      <c r="BJ963" s="312"/>
      <c r="BK963" s="312"/>
      <c r="BL963" s="312"/>
      <c r="BM963" s="312"/>
    </row>
    <row r="964" spans="40:65" ht="15.75" customHeight="1">
      <c r="AN964" s="418"/>
      <c r="AO964" s="418"/>
      <c r="AP964" s="418"/>
      <c r="AQ964" s="418"/>
      <c r="AR964" s="418"/>
      <c r="AS964" s="418"/>
      <c r="AT964" s="418"/>
      <c r="AU964" s="418"/>
      <c r="AV964" s="418"/>
      <c r="AW964" s="418"/>
      <c r="AX964" s="418"/>
      <c r="AY964" s="418"/>
      <c r="AZ964" s="418"/>
      <c r="BC964" s="312"/>
      <c r="BD964" s="312"/>
      <c r="BH964" s="312"/>
      <c r="BI964" s="312"/>
      <c r="BJ964" s="312"/>
      <c r="BK964" s="312"/>
      <c r="BL964" s="312"/>
      <c r="BM964" s="312"/>
    </row>
    <row r="965" spans="40:65" ht="15.75" customHeight="1">
      <c r="AN965" s="418"/>
      <c r="AO965" s="418"/>
      <c r="AP965" s="418"/>
      <c r="AQ965" s="418"/>
      <c r="AR965" s="418"/>
      <c r="AS965" s="418"/>
      <c r="AT965" s="418"/>
      <c r="AU965" s="418"/>
      <c r="AV965" s="418"/>
      <c r="AW965" s="418"/>
      <c r="AX965" s="418"/>
      <c r="AY965" s="418"/>
      <c r="AZ965" s="418"/>
      <c r="BC965" s="312"/>
      <c r="BD965" s="312"/>
      <c r="BH965" s="312"/>
      <c r="BI965" s="312"/>
      <c r="BJ965" s="312"/>
      <c r="BK965" s="312"/>
      <c r="BL965" s="312"/>
      <c r="BM965" s="312"/>
    </row>
    <row r="966" spans="40:65" ht="15.75" customHeight="1">
      <c r="AN966" s="418"/>
      <c r="AO966" s="418"/>
      <c r="AP966" s="418"/>
      <c r="AQ966" s="418"/>
      <c r="AR966" s="418"/>
      <c r="AS966" s="418"/>
      <c r="AT966" s="418"/>
      <c r="AU966" s="418"/>
      <c r="AV966" s="418"/>
      <c r="AW966" s="418"/>
      <c r="AX966" s="418"/>
      <c r="AY966" s="418"/>
      <c r="AZ966" s="418"/>
      <c r="BC966" s="312"/>
      <c r="BD966" s="312"/>
      <c r="BH966" s="312"/>
      <c r="BI966" s="312"/>
      <c r="BJ966" s="312"/>
      <c r="BK966" s="312"/>
      <c r="BL966" s="312"/>
      <c r="BM966" s="312"/>
    </row>
    <row r="967" spans="40:65" ht="15.75" customHeight="1">
      <c r="AN967" s="418"/>
      <c r="AO967" s="418"/>
      <c r="AP967" s="418"/>
      <c r="AQ967" s="418"/>
      <c r="AR967" s="418"/>
      <c r="AS967" s="418"/>
      <c r="AT967" s="418"/>
      <c r="AU967" s="418"/>
      <c r="AV967" s="418"/>
      <c r="AW967" s="418"/>
      <c r="AX967" s="418"/>
      <c r="AY967" s="418"/>
      <c r="AZ967" s="418"/>
      <c r="BC967" s="312"/>
      <c r="BD967" s="312"/>
      <c r="BH967" s="312"/>
      <c r="BI967" s="312"/>
      <c r="BJ967" s="312"/>
      <c r="BK967" s="312"/>
      <c r="BL967" s="312"/>
      <c r="BM967" s="312"/>
    </row>
    <row r="968" spans="40:65" ht="15.75" customHeight="1">
      <c r="AN968" s="418"/>
      <c r="AO968" s="418"/>
      <c r="AP968" s="418"/>
      <c r="AQ968" s="418"/>
      <c r="AR968" s="418"/>
      <c r="AS968" s="418"/>
      <c r="AT968" s="418"/>
      <c r="AU968" s="418"/>
      <c r="AV968" s="418"/>
      <c r="AW968" s="418"/>
      <c r="AX968" s="418"/>
      <c r="AY968" s="418"/>
      <c r="AZ968" s="418"/>
      <c r="BC968" s="312"/>
      <c r="BD968" s="312"/>
      <c r="BH968" s="312"/>
      <c r="BI968" s="312"/>
      <c r="BJ968" s="312"/>
      <c r="BK968" s="312"/>
      <c r="BL968" s="312"/>
      <c r="BM968" s="312"/>
    </row>
    <row r="969" spans="40:65" ht="15.75" customHeight="1">
      <c r="AN969" s="418"/>
      <c r="AO969" s="418"/>
      <c r="AP969" s="418"/>
      <c r="AQ969" s="418"/>
      <c r="AR969" s="418"/>
      <c r="AS969" s="418"/>
      <c r="AT969" s="418"/>
      <c r="AU969" s="418"/>
      <c r="AV969" s="418"/>
      <c r="AW969" s="418"/>
      <c r="AX969" s="418"/>
      <c r="AY969" s="418"/>
      <c r="AZ969" s="418"/>
      <c r="BC969" s="312"/>
      <c r="BD969" s="312"/>
      <c r="BH969" s="312"/>
      <c r="BI969" s="312"/>
      <c r="BJ969" s="312"/>
      <c r="BK969" s="312"/>
      <c r="BL969" s="312"/>
      <c r="BM969" s="312"/>
    </row>
    <row r="970" spans="40:65" ht="15.75" customHeight="1">
      <c r="AN970" s="418"/>
      <c r="AO970" s="418"/>
      <c r="AP970" s="418"/>
      <c r="AQ970" s="418"/>
      <c r="AR970" s="418"/>
      <c r="AS970" s="418"/>
      <c r="AT970" s="418"/>
      <c r="AU970" s="418"/>
      <c r="AV970" s="418"/>
      <c r="AW970" s="418"/>
      <c r="AX970" s="418"/>
      <c r="AY970" s="418"/>
      <c r="AZ970" s="418"/>
      <c r="BC970" s="312"/>
      <c r="BD970" s="312"/>
      <c r="BH970" s="312"/>
      <c r="BI970" s="312"/>
      <c r="BJ970" s="312"/>
      <c r="BK970" s="312"/>
      <c r="BL970" s="312"/>
      <c r="BM970" s="312"/>
    </row>
    <row r="971" spans="40:65" ht="15.75" customHeight="1">
      <c r="AN971" s="418"/>
      <c r="AO971" s="418"/>
      <c r="AP971" s="418"/>
      <c r="AQ971" s="418"/>
      <c r="AR971" s="418"/>
      <c r="AS971" s="418"/>
      <c r="AT971" s="418"/>
      <c r="AU971" s="418"/>
      <c r="AV971" s="418"/>
      <c r="AW971" s="418"/>
      <c r="AX971" s="418"/>
      <c r="AY971" s="418"/>
      <c r="AZ971" s="418"/>
      <c r="BC971" s="312"/>
      <c r="BD971" s="312"/>
      <c r="BH971" s="312"/>
      <c r="BI971" s="312"/>
      <c r="BJ971" s="312"/>
      <c r="BK971" s="312"/>
      <c r="BL971" s="312"/>
      <c r="BM971" s="312"/>
    </row>
    <row r="972" spans="40:65" ht="15.75" customHeight="1">
      <c r="AN972" s="418"/>
      <c r="AO972" s="418"/>
      <c r="AP972" s="418"/>
      <c r="AQ972" s="418"/>
      <c r="AR972" s="418"/>
      <c r="AS972" s="418"/>
      <c r="AT972" s="418"/>
      <c r="AU972" s="418"/>
      <c r="AV972" s="418"/>
      <c r="AW972" s="418"/>
      <c r="AX972" s="418"/>
      <c r="AY972" s="418"/>
      <c r="AZ972" s="418"/>
      <c r="BC972" s="312"/>
      <c r="BD972" s="312"/>
      <c r="BH972" s="312"/>
      <c r="BI972" s="312"/>
      <c r="BJ972" s="312"/>
      <c r="BK972" s="312"/>
      <c r="BL972" s="312"/>
      <c r="BM972" s="312"/>
    </row>
    <row r="973" spans="40:65" ht="15.75" customHeight="1">
      <c r="AN973" s="418"/>
      <c r="AO973" s="418"/>
      <c r="AP973" s="418"/>
      <c r="AQ973" s="418"/>
      <c r="AR973" s="418"/>
      <c r="AS973" s="418"/>
      <c r="AT973" s="418"/>
      <c r="AU973" s="418"/>
      <c r="AV973" s="418"/>
      <c r="AW973" s="418"/>
      <c r="AX973" s="418"/>
      <c r="AY973" s="418"/>
      <c r="AZ973" s="418"/>
      <c r="BC973" s="312"/>
      <c r="BD973" s="312"/>
      <c r="BH973" s="312"/>
      <c r="BI973" s="312"/>
      <c r="BJ973" s="312"/>
      <c r="BK973" s="312"/>
      <c r="BL973" s="312"/>
      <c r="BM973" s="312"/>
    </row>
    <row r="974" spans="40:65" ht="15.75" customHeight="1">
      <c r="AN974" s="418"/>
      <c r="AO974" s="418"/>
      <c r="AP974" s="418"/>
      <c r="AQ974" s="418"/>
      <c r="AR974" s="418"/>
      <c r="AS974" s="418"/>
      <c r="AT974" s="418"/>
      <c r="AU974" s="418"/>
      <c r="AV974" s="418"/>
      <c r="AW974" s="418"/>
      <c r="AX974" s="418"/>
      <c r="AY974" s="418"/>
      <c r="AZ974" s="418"/>
      <c r="BC974" s="312"/>
      <c r="BD974" s="312"/>
      <c r="BH974" s="312"/>
      <c r="BI974" s="312"/>
      <c r="BJ974" s="312"/>
      <c r="BK974" s="312"/>
      <c r="BL974" s="312"/>
      <c r="BM974" s="312"/>
    </row>
    <row r="975" spans="40:65" ht="15.75" customHeight="1">
      <c r="AN975" s="418"/>
      <c r="AO975" s="418"/>
      <c r="AP975" s="418"/>
      <c r="AQ975" s="418"/>
      <c r="AR975" s="418"/>
      <c r="AS975" s="418"/>
      <c r="AT975" s="418"/>
      <c r="AU975" s="418"/>
      <c r="AV975" s="418"/>
      <c r="AW975" s="418"/>
      <c r="AX975" s="418"/>
      <c r="AY975" s="418"/>
      <c r="AZ975" s="418"/>
      <c r="BC975" s="312"/>
      <c r="BD975" s="312"/>
      <c r="BH975" s="312"/>
      <c r="BI975" s="312"/>
      <c r="BJ975" s="312"/>
      <c r="BK975" s="312"/>
      <c r="BL975" s="312"/>
      <c r="BM975" s="312"/>
    </row>
    <row r="976" spans="40:65" ht="15.75" customHeight="1">
      <c r="AN976" s="418"/>
      <c r="AO976" s="418"/>
      <c r="AP976" s="418"/>
      <c r="AQ976" s="418"/>
      <c r="AR976" s="418"/>
      <c r="AS976" s="418"/>
      <c r="AT976" s="418"/>
      <c r="AU976" s="418"/>
      <c r="AV976" s="418"/>
      <c r="AW976" s="418"/>
      <c r="AX976" s="418"/>
      <c r="AY976" s="418"/>
      <c r="AZ976" s="418"/>
      <c r="BC976" s="312"/>
      <c r="BD976" s="312"/>
      <c r="BH976" s="312"/>
      <c r="BI976" s="312"/>
      <c r="BJ976" s="312"/>
      <c r="BK976" s="312"/>
      <c r="BL976" s="312"/>
      <c r="BM976" s="312"/>
    </row>
    <row r="977" spans="40:65" ht="15.75" customHeight="1">
      <c r="AN977" s="418"/>
      <c r="AO977" s="418"/>
      <c r="AP977" s="418"/>
      <c r="AQ977" s="418"/>
      <c r="AR977" s="418"/>
      <c r="AS977" s="418"/>
      <c r="AT977" s="418"/>
      <c r="AU977" s="418"/>
      <c r="AV977" s="418"/>
      <c r="AW977" s="418"/>
      <c r="AX977" s="418"/>
      <c r="AY977" s="418"/>
      <c r="AZ977" s="418"/>
      <c r="BC977" s="312"/>
      <c r="BD977" s="312"/>
      <c r="BH977" s="312"/>
      <c r="BI977" s="312"/>
      <c r="BJ977" s="312"/>
      <c r="BK977" s="312"/>
      <c r="BL977" s="312"/>
      <c r="BM977" s="312"/>
    </row>
    <row r="978" spans="40:65" ht="15.75" customHeight="1">
      <c r="AN978" s="418"/>
      <c r="AO978" s="418"/>
      <c r="AP978" s="418"/>
      <c r="AQ978" s="418"/>
      <c r="AR978" s="418"/>
      <c r="AS978" s="418"/>
      <c r="AT978" s="418"/>
      <c r="AU978" s="418"/>
      <c r="AV978" s="418"/>
      <c r="AW978" s="418"/>
      <c r="AX978" s="418"/>
      <c r="AY978" s="418"/>
      <c r="AZ978" s="418"/>
      <c r="BC978" s="312"/>
      <c r="BD978" s="312"/>
      <c r="BH978" s="312"/>
      <c r="BI978" s="312"/>
      <c r="BJ978" s="312"/>
      <c r="BK978" s="312"/>
      <c r="BL978" s="312"/>
      <c r="BM978" s="312"/>
    </row>
    <row r="979" spans="40:65" ht="15.75" customHeight="1">
      <c r="AN979" s="418"/>
      <c r="AO979" s="418"/>
      <c r="AP979" s="418"/>
      <c r="AQ979" s="418"/>
      <c r="AR979" s="418"/>
      <c r="AS979" s="418"/>
      <c r="AT979" s="418"/>
      <c r="AU979" s="418"/>
      <c r="AV979" s="418"/>
      <c r="AW979" s="418"/>
      <c r="AX979" s="418"/>
      <c r="AY979" s="418"/>
      <c r="AZ979" s="418"/>
      <c r="BC979" s="312"/>
      <c r="BD979" s="312"/>
      <c r="BH979" s="312"/>
      <c r="BI979" s="312"/>
      <c r="BJ979" s="312"/>
      <c r="BK979" s="312"/>
      <c r="BL979" s="312"/>
      <c r="BM979" s="312"/>
    </row>
    <row r="980" spans="40:65" ht="15.75" customHeight="1">
      <c r="AN980" s="418"/>
      <c r="AO980" s="418"/>
      <c r="AP980" s="418"/>
      <c r="AQ980" s="418"/>
      <c r="AR980" s="418"/>
      <c r="AS980" s="418"/>
      <c r="AT980" s="418"/>
      <c r="AU980" s="418"/>
      <c r="AV980" s="418"/>
      <c r="AW980" s="418"/>
      <c r="AX980" s="418"/>
      <c r="AY980" s="418"/>
      <c r="AZ980" s="418"/>
      <c r="BC980" s="312"/>
      <c r="BD980" s="312"/>
      <c r="BH980" s="312"/>
      <c r="BI980" s="312"/>
      <c r="BJ980" s="312"/>
      <c r="BK980" s="312"/>
      <c r="BL980" s="312"/>
      <c r="BM980" s="312"/>
    </row>
    <row r="981" spans="40:65" ht="15.75" customHeight="1">
      <c r="AN981" s="418"/>
      <c r="AO981" s="418"/>
      <c r="AP981" s="418"/>
      <c r="AQ981" s="418"/>
      <c r="AR981" s="418"/>
      <c r="AS981" s="418"/>
      <c r="AT981" s="418"/>
      <c r="AU981" s="418"/>
      <c r="AV981" s="418"/>
      <c r="AW981" s="418"/>
      <c r="AX981" s="418"/>
      <c r="AY981" s="418"/>
      <c r="AZ981" s="418"/>
      <c r="BC981" s="312"/>
      <c r="BD981" s="312"/>
      <c r="BH981" s="312"/>
      <c r="BI981" s="312"/>
      <c r="BJ981" s="312"/>
      <c r="BK981" s="312"/>
      <c r="BL981" s="312"/>
      <c r="BM981" s="312"/>
    </row>
    <row r="982" spans="40:65" ht="15.75" customHeight="1">
      <c r="AN982" s="418"/>
      <c r="AO982" s="418"/>
      <c r="AP982" s="418"/>
      <c r="AQ982" s="418"/>
      <c r="AR982" s="418"/>
      <c r="AS982" s="418"/>
      <c r="AT982" s="418"/>
      <c r="AU982" s="418"/>
      <c r="AV982" s="418"/>
      <c r="AW982" s="418"/>
      <c r="AX982" s="418"/>
      <c r="AY982" s="418"/>
      <c r="AZ982" s="418"/>
      <c r="BC982" s="312"/>
      <c r="BD982" s="312"/>
      <c r="BH982" s="312"/>
      <c r="BI982" s="312"/>
      <c r="BJ982" s="312"/>
      <c r="BK982" s="312"/>
      <c r="BL982" s="312"/>
      <c r="BM982" s="312"/>
    </row>
    <row r="983" spans="40:65" ht="15.75" customHeight="1">
      <c r="AN983" s="418"/>
      <c r="AO983" s="418"/>
      <c r="AP983" s="418"/>
      <c r="AQ983" s="418"/>
      <c r="AR983" s="418"/>
      <c r="AS983" s="418"/>
      <c r="AT983" s="418"/>
      <c r="AU983" s="418"/>
      <c r="AV983" s="418"/>
      <c r="AW983" s="418"/>
      <c r="AX983" s="418"/>
      <c r="AY983" s="418"/>
      <c r="AZ983" s="418"/>
      <c r="BC983" s="312"/>
      <c r="BD983" s="312"/>
      <c r="BH983" s="312"/>
      <c r="BI983" s="312"/>
      <c r="BJ983" s="312"/>
      <c r="BK983" s="312"/>
      <c r="BL983" s="312"/>
      <c r="BM983" s="312"/>
    </row>
    <row r="984" spans="40:65" ht="15.75" customHeight="1">
      <c r="AN984" s="418"/>
      <c r="AO984" s="418"/>
      <c r="AP984" s="418"/>
      <c r="AQ984" s="418"/>
      <c r="AR984" s="418"/>
      <c r="AS984" s="418"/>
      <c r="AT984" s="418"/>
      <c r="AU984" s="418"/>
      <c r="AV984" s="418"/>
      <c r="AW984" s="418"/>
      <c r="AX984" s="418"/>
      <c r="AY984" s="418"/>
      <c r="AZ984" s="418"/>
      <c r="BC984" s="312"/>
      <c r="BD984" s="312"/>
      <c r="BH984" s="312"/>
      <c r="BI984" s="312"/>
      <c r="BJ984" s="312"/>
      <c r="BK984" s="312"/>
      <c r="BL984" s="312"/>
      <c r="BM984" s="312"/>
    </row>
    <row r="985" spans="40:65" ht="15.75" customHeight="1">
      <c r="AN985" s="418"/>
      <c r="AO985" s="418"/>
      <c r="AP985" s="418"/>
      <c r="AQ985" s="418"/>
      <c r="AR985" s="418"/>
      <c r="AS985" s="418"/>
      <c r="AT985" s="418"/>
      <c r="AU985" s="418"/>
      <c r="AV985" s="418"/>
      <c r="AW985" s="418"/>
      <c r="AX985" s="418"/>
      <c r="AY985" s="418"/>
      <c r="AZ985" s="418"/>
      <c r="BC985" s="312"/>
      <c r="BD985" s="312"/>
      <c r="BH985" s="312"/>
      <c r="BI985" s="312"/>
      <c r="BJ985" s="312"/>
      <c r="BK985" s="312"/>
      <c r="BL985" s="312"/>
      <c r="BM985" s="312"/>
    </row>
    <row r="986" spans="40:65" ht="15.75" customHeight="1">
      <c r="AN986" s="418"/>
      <c r="AO986" s="418"/>
      <c r="AP986" s="418"/>
      <c r="AQ986" s="418"/>
      <c r="AR986" s="418"/>
      <c r="AS986" s="418"/>
      <c r="AT986" s="418"/>
      <c r="AU986" s="418"/>
      <c r="AV986" s="418"/>
      <c r="AW986" s="418"/>
      <c r="AX986" s="418"/>
      <c r="AY986" s="418"/>
      <c r="AZ986" s="418"/>
      <c r="BC986" s="312"/>
      <c r="BD986" s="312"/>
      <c r="BH986" s="312"/>
      <c r="BI986" s="312"/>
      <c r="BJ986" s="312"/>
      <c r="BK986" s="312"/>
      <c r="BL986" s="312"/>
      <c r="BM986" s="312"/>
    </row>
    <row r="987" spans="40:65" ht="15.75" customHeight="1">
      <c r="AN987" s="418"/>
      <c r="AO987" s="418"/>
      <c r="AP987" s="418"/>
      <c r="AQ987" s="418"/>
      <c r="AR987" s="418"/>
      <c r="AS987" s="418"/>
      <c r="AT987" s="418"/>
      <c r="AU987" s="418"/>
      <c r="AV987" s="418"/>
      <c r="AW987" s="418"/>
      <c r="AX987" s="418"/>
      <c r="AY987" s="418"/>
      <c r="AZ987" s="418"/>
      <c r="BC987" s="312"/>
      <c r="BD987" s="312"/>
      <c r="BH987" s="312"/>
      <c r="BI987" s="312"/>
      <c r="BJ987" s="312"/>
      <c r="BK987" s="312"/>
      <c r="BL987" s="312"/>
      <c r="BM987" s="312"/>
    </row>
    <row r="988" spans="40:65" ht="15.75" customHeight="1">
      <c r="AN988" s="418"/>
      <c r="AO988" s="418"/>
      <c r="AP988" s="418"/>
      <c r="AQ988" s="418"/>
      <c r="AR988" s="418"/>
      <c r="AS988" s="418"/>
      <c r="AT988" s="418"/>
      <c r="AU988" s="418"/>
      <c r="AV988" s="418"/>
      <c r="AW988" s="418"/>
      <c r="AX988" s="418"/>
      <c r="AY988" s="418"/>
      <c r="AZ988" s="418"/>
      <c r="BC988" s="312"/>
      <c r="BD988" s="312"/>
      <c r="BH988" s="312"/>
      <c r="BI988" s="312"/>
      <c r="BJ988" s="312"/>
      <c r="BK988" s="312"/>
      <c r="BL988" s="312"/>
      <c r="BM988" s="312"/>
    </row>
    <row r="989" spans="40:65" ht="15.75" customHeight="1">
      <c r="AN989" s="418"/>
      <c r="AO989" s="418"/>
      <c r="AP989" s="418"/>
      <c r="AQ989" s="418"/>
      <c r="AR989" s="418"/>
      <c r="AS989" s="418"/>
      <c r="AT989" s="418"/>
      <c r="AU989" s="418"/>
      <c r="AV989" s="418"/>
      <c r="AW989" s="418"/>
      <c r="AX989" s="418"/>
      <c r="AY989" s="418"/>
      <c r="AZ989" s="418"/>
      <c r="BC989" s="312"/>
      <c r="BD989" s="312"/>
      <c r="BH989" s="312"/>
      <c r="BI989" s="312"/>
      <c r="BJ989" s="312"/>
      <c r="BK989" s="312"/>
      <c r="BL989" s="312"/>
      <c r="BM989" s="312"/>
    </row>
    <row r="990" spans="40:65" ht="15.75" customHeight="1">
      <c r="AN990" s="418"/>
      <c r="AO990" s="418"/>
      <c r="AP990" s="418"/>
      <c r="AQ990" s="418"/>
      <c r="AR990" s="418"/>
      <c r="AS990" s="418"/>
      <c r="AT990" s="418"/>
      <c r="AU990" s="418"/>
      <c r="AV990" s="418"/>
      <c r="AW990" s="418"/>
      <c r="AX990" s="418"/>
      <c r="AY990" s="418"/>
      <c r="AZ990" s="418"/>
      <c r="BC990" s="312"/>
      <c r="BD990" s="312"/>
      <c r="BH990" s="312"/>
      <c r="BI990" s="312"/>
      <c r="BJ990" s="312"/>
      <c r="BK990" s="312"/>
      <c r="BL990" s="312"/>
      <c r="BM990" s="312"/>
    </row>
    <row r="991" spans="40:65" ht="15.75" customHeight="1">
      <c r="AN991" s="418"/>
      <c r="AO991" s="418"/>
      <c r="AP991" s="418"/>
      <c r="AQ991" s="418"/>
      <c r="AR991" s="418"/>
      <c r="AS991" s="418"/>
      <c r="AT991" s="418"/>
      <c r="AU991" s="418"/>
      <c r="AV991" s="418"/>
      <c r="AW991" s="418"/>
      <c r="AX991" s="418"/>
      <c r="AY991" s="418"/>
      <c r="AZ991" s="418"/>
      <c r="BC991" s="312"/>
      <c r="BD991" s="312"/>
      <c r="BH991" s="312"/>
      <c r="BI991" s="312"/>
      <c r="BJ991" s="312"/>
      <c r="BK991" s="312"/>
      <c r="BL991" s="312"/>
      <c r="BM991" s="312"/>
    </row>
    <row r="992" spans="40:65" ht="15.75" customHeight="1">
      <c r="AN992" s="418"/>
      <c r="AO992" s="418"/>
      <c r="AP992" s="418"/>
      <c r="AQ992" s="418"/>
      <c r="AR992" s="418"/>
      <c r="AS992" s="418"/>
      <c r="AT992" s="418"/>
      <c r="AU992" s="418"/>
      <c r="AV992" s="418"/>
      <c r="AW992" s="418"/>
      <c r="AX992" s="418"/>
      <c r="AY992" s="418"/>
      <c r="AZ992" s="418"/>
      <c r="BC992" s="312"/>
      <c r="BD992" s="312"/>
    </row>
    <row r="993" spans="40:56" ht="15.75" customHeight="1">
      <c r="AN993" s="418"/>
      <c r="AO993" s="418"/>
      <c r="AP993" s="418"/>
      <c r="AQ993" s="418"/>
      <c r="AR993" s="418"/>
      <c r="AS993" s="418"/>
      <c r="AT993" s="418"/>
      <c r="AU993" s="418"/>
      <c r="AV993" s="418"/>
      <c r="AW993" s="418"/>
      <c r="AX993" s="418"/>
      <c r="AY993" s="418"/>
      <c r="AZ993" s="418"/>
      <c r="BC993" s="312"/>
      <c r="BD993" s="312"/>
    </row>
    <row r="994" spans="40:56" ht="15.75" customHeight="1">
      <c r="AN994" s="418"/>
      <c r="AO994" s="418"/>
      <c r="AP994" s="418"/>
      <c r="AQ994" s="418"/>
      <c r="AR994" s="418"/>
      <c r="AS994" s="418"/>
      <c r="AT994" s="418"/>
      <c r="AU994" s="418"/>
      <c r="AV994" s="418"/>
      <c r="AW994" s="418"/>
      <c r="AX994" s="418"/>
      <c r="AY994" s="418"/>
      <c r="AZ994" s="418"/>
      <c r="BC994" s="312"/>
      <c r="BD994" s="312"/>
    </row>
    <row r="995" spans="40:56" ht="15.75" customHeight="1">
      <c r="AN995" s="418"/>
      <c r="AO995" s="418"/>
      <c r="AP995" s="418"/>
      <c r="AQ995" s="418"/>
      <c r="AR995" s="418"/>
      <c r="AS995" s="418"/>
      <c r="AT995" s="418"/>
      <c r="AU995" s="418"/>
      <c r="AV995" s="418"/>
      <c r="AW995" s="418"/>
      <c r="AX995" s="418"/>
      <c r="AY995" s="418"/>
      <c r="AZ995" s="418"/>
      <c r="BC995" s="312"/>
      <c r="BD995" s="312"/>
    </row>
    <row r="996" spans="40:56" ht="15.75" customHeight="1">
      <c r="AN996" s="418"/>
      <c r="AO996" s="418"/>
      <c r="AP996" s="418"/>
      <c r="AQ996" s="418"/>
      <c r="AR996" s="418"/>
      <c r="AS996" s="418"/>
      <c r="AT996" s="418"/>
      <c r="AU996" s="418"/>
      <c r="AV996" s="418"/>
      <c r="AW996" s="418"/>
      <c r="AX996" s="418"/>
      <c r="AY996" s="418"/>
      <c r="AZ996" s="418"/>
      <c r="BC996" s="312"/>
      <c r="BD996" s="312"/>
    </row>
    <row r="997" spans="40:56" ht="15.75" customHeight="1">
      <c r="AN997" s="418"/>
      <c r="AO997" s="418"/>
      <c r="AP997" s="418"/>
      <c r="AQ997" s="418"/>
      <c r="AR997" s="418"/>
      <c r="AS997" s="418"/>
      <c r="AT997" s="418"/>
      <c r="AU997" s="418"/>
      <c r="AV997" s="418"/>
      <c r="AW997" s="418"/>
      <c r="AX997" s="418"/>
      <c r="AY997" s="418"/>
      <c r="AZ997" s="418"/>
      <c r="BC997" s="312"/>
      <c r="BD997" s="312"/>
    </row>
    <row r="998" spans="40:56" ht="15.75" customHeight="1">
      <c r="AN998" s="418"/>
      <c r="AO998" s="418"/>
      <c r="AP998" s="418"/>
      <c r="AQ998" s="418"/>
      <c r="AR998" s="418"/>
      <c r="AS998" s="418"/>
      <c r="AT998" s="418"/>
      <c r="AU998" s="418"/>
      <c r="AV998" s="418"/>
      <c r="AW998" s="418"/>
      <c r="AX998" s="418"/>
      <c r="AY998" s="418"/>
      <c r="AZ998" s="418"/>
      <c r="BC998" s="312"/>
      <c r="BD998" s="312"/>
    </row>
    <row r="999" spans="40:56" ht="15.75" customHeight="1">
      <c r="AN999" s="418"/>
      <c r="AO999" s="418"/>
      <c r="AP999" s="418"/>
      <c r="AQ999" s="418"/>
      <c r="AR999" s="418"/>
      <c r="AS999" s="418"/>
      <c r="AT999" s="418"/>
      <c r="AU999" s="418"/>
      <c r="AV999" s="418"/>
      <c r="AW999" s="418"/>
      <c r="AX999" s="418"/>
      <c r="AY999" s="418"/>
      <c r="AZ999" s="418"/>
      <c r="BC999" s="312"/>
      <c r="BD999" s="312"/>
    </row>
    <row r="1000" spans="40:56" ht="15.75" customHeight="1">
      <c r="AN1000" s="418"/>
      <c r="AO1000" s="418"/>
      <c r="AP1000" s="418"/>
      <c r="AQ1000" s="418"/>
      <c r="AR1000" s="418"/>
      <c r="AS1000" s="418"/>
      <c r="AT1000" s="418"/>
      <c r="AU1000" s="418"/>
      <c r="AV1000" s="418"/>
      <c r="AW1000" s="418"/>
      <c r="AX1000" s="418"/>
      <c r="AY1000" s="418"/>
      <c r="AZ1000" s="418"/>
      <c r="BC1000" s="312"/>
      <c r="BD1000" s="312"/>
    </row>
    <row r="1001" spans="40:56" ht="15.75" customHeight="1">
      <c r="AN1001" s="418"/>
      <c r="AO1001" s="418"/>
      <c r="AP1001" s="418"/>
      <c r="AQ1001" s="418"/>
      <c r="AR1001" s="418"/>
      <c r="AS1001" s="418"/>
      <c r="AT1001" s="418"/>
      <c r="AU1001" s="418"/>
      <c r="AV1001" s="418"/>
      <c r="AW1001" s="418"/>
      <c r="AX1001" s="418"/>
      <c r="AY1001" s="418"/>
      <c r="AZ1001" s="418"/>
      <c r="BC1001" s="312"/>
      <c r="BD1001" s="312"/>
    </row>
    <row r="1002" spans="40:56" ht="15.75" customHeight="1">
      <c r="AN1002" s="418"/>
      <c r="AO1002" s="418"/>
      <c r="AP1002" s="418"/>
      <c r="AQ1002" s="418"/>
      <c r="AR1002" s="418"/>
      <c r="AS1002" s="418"/>
      <c r="AT1002" s="418"/>
      <c r="AU1002" s="418"/>
      <c r="AV1002" s="418"/>
      <c r="AW1002" s="418"/>
      <c r="AX1002" s="418"/>
      <c r="AY1002" s="418"/>
      <c r="AZ1002" s="418"/>
      <c r="BC1002" s="312"/>
      <c r="BD1002" s="312"/>
    </row>
    <row r="1003" spans="40:56" ht="15.75" customHeight="1">
      <c r="AN1003" s="418"/>
      <c r="AO1003" s="418"/>
      <c r="AP1003" s="418"/>
      <c r="AQ1003" s="418"/>
      <c r="AR1003" s="418"/>
      <c r="AS1003" s="418"/>
      <c r="AT1003" s="418"/>
      <c r="AU1003" s="418"/>
      <c r="AV1003" s="418"/>
      <c r="AW1003" s="418"/>
      <c r="AX1003" s="418"/>
      <c r="AY1003" s="418"/>
      <c r="AZ1003" s="418"/>
    </row>
    <row r="1004" spans="40:56" ht="15.75" customHeight="1">
      <c r="AN1004" s="418"/>
      <c r="AO1004" s="418"/>
      <c r="AP1004" s="418"/>
      <c r="AQ1004" s="418"/>
      <c r="AR1004" s="418"/>
      <c r="AS1004" s="418"/>
      <c r="AT1004" s="418"/>
      <c r="AU1004" s="418"/>
      <c r="AV1004" s="418"/>
      <c r="AW1004" s="418"/>
      <c r="AX1004" s="418"/>
      <c r="AY1004" s="418"/>
      <c r="AZ1004" s="418"/>
    </row>
    <row r="1005" spans="40:56" ht="15.75" customHeight="1">
      <c r="AN1005" s="418"/>
      <c r="AO1005" s="418"/>
      <c r="AP1005" s="418"/>
      <c r="AQ1005" s="418"/>
      <c r="AR1005" s="418"/>
      <c r="AS1005" s="418"/>
      <c r="AT1005" s="418"/>
      <c r="AU1005" s="418"/>
      <c r="AV1005" s="418"/>
      <c r="AW1005" s="418"/>
      <c r="AX1005" s="418"/>
      <c r="AY1005" s="418"/>
      <c r="AZ1005" s="418"/>
    </row>
    <row r="1006" spans="40:56" ht="15.75" customHeight="1">
      <c r="AN1006" s="418"/>
      <c r="AO1006" s="418"/>
      <c r="AP1006" s="418"/>
      <c r="AQ1006" s="418"/>
      <c r="AR1006" s="418"/>
      <c r="AS1006" s="418"/>
      <c r="AT1006" s="418"/>
      <c r="AU1006" s="418"/>
      <c r="AV1006" s="418"/>
      <c r="AW1006" s="418"/>
      <c r="AX1006" s="418"/>
      <c r="AY1006" s="418"/>
      <c r="AZ1006" s="418"/>
    </row>
    <row r="1007" spans="40:56" ht="15.75" customHeight="1">
      <c r="AN1007" s="418"/>
      <c r="AO1007" s="418"/>
      <c r="AP1007" s="418"/>
      <c r="AQ1007" s="418"/>
      <c r="AR1007" s="418"/>
      <c r="AS1007" s="418"/>
      <c r="AT1007" s="418"/>
      <c r="AU1007" s="418"/>
      <c r="AV1007" s="418"/>
      <c r="AW1007" s="418"/>
      <c r="AX1007" s="418"/>
      <c r="AY1007" s="418"/>
      <c r="AZ1007" s="418"/>
    </row>
    <row r="1008" spans="40:56" ht="15.75" customHeight="1">
      <c r="AN1008" s="418"/>
      <c r="AO1008" s="418"/>
      <c r="AP1008" s="418"/>
      <c r="AQ1008" s="418"/>
      <c r="AR1008" s="418"/>
      <c r="AS1008" s="418"/>
      <c r="AT1008" s="418"/>
      <c r="AU1008" s="418"/>
      <c r="AV1008" s="418"/>
      <c r="AW1008" s="418"/>
      <c r="AX1008" s="418"/>
      <c r="AY1008" s="418"/>
      <c r="AZ1008" s="418"/>
    </row>
    <row r="1009" spans="40:52" ht="15.75" customHeight="1">
      <c r="AN1009" s="418"/>
      <c r="AO1009" s="418"/>
      <c r="AP1009" s="418"/>
      <c r="AQ1009" s="418"/>
      <c r="AR1009" s="418"/>
      <c r="AS1009" s="418"/>
      <c r="AT1009" s="418"/>
      <c r="AU1009" s="418"/>
      <c r="AV1009" s="418"/>
      <c r="AW1009" s="418"/>
      <c r="AX1009" s="418"/>
      <c r="AY1009" s="418"/>
      <c r="AZ1009" s="418"/>
    </row>
    <row r="1010" spans="40:52" ht="15.75" customHeight="1">
      <c r="AN1010" s="418"/>
      <c r="AO1010" s="418"/>
      <c r="AP1010" s="418"/>
      <c r="AQ1010" s="418"/>
      <c r="AR1010" s="418"/>
      <c r="AS1010" s="418"/>
      <c r="AT1010" s="418"/>
      <c r="AU1010" s="418"/>
      <c r="AV1010" s="418"/>
      <c r="AW1010" s="418"/>
      <c r="AX1010" s="418"/>
      <c r="AY1010" s="418"/>
      <c r="AZ1010" s="418"/>
    </row>
    <row r="1011" spans="40:52" ht="15.75" customHeight="1">
      <c r="AN1011" s="418"/>
      <c r="AO1011" s="418"/>
      <c r="AP1011" s="418"/>
      <c r="AQ1011" s="418"/>
      <c r="AR1011" s="418"/>
      <c r="AS1011" s="418"/>
      <c r="AT1011" s="418"/>
      <c r="AU1011" s="418"/>
      <c r="AV1011" s="418"/>
      <c r="AW1011" s="418"/>
      <c r="AX1011" s="418"/>
      <c r="AY1011" s="418"/>
      <c r="AZ1011" s="418"/>
    </row>
    <row r="1012" spans="40:52" ht="15.75" customHeight="1">
      <c r="AN1012" s="418"/>
      <c r="AO1012" s="418"/>
      <c r="AP1012" s="418"/>
      <c r="AQ1012" s="418"/>
      <c r="AR1012" s="418"/>
      <c r="AS1012" s="418"/>
      <c r="AT1012" s="418"/>
      <c r="AU1012" s="418"/>
      <c r="AV1012" s="418"/>
      <c r="AW1012" s="418"/>
      <c r="AX1012" s="418"/>
      <c r="AY1012" s="418"/>
      <c r="AZ1012" s="418"/>
    </row>
    <row r="1013" spans="40:52" ht="15.75" customHeight="1">
      <c r="AN1013" s="418"/>
      <c r="AO1013" s="418"/>
      <c r="AP1013" s="418"/>
      <c r="AQ1013" s="418"/>
      <c r="AR1013" s="418"/>
      <c r="AS1013" s="418"/>
      <c r="AT1013" s="418"/>
      <c r="AU1013" s="418"/>
      <c r="AV1013" s="418"/>
      <c r="AW1013" s="418"/>
      <c r="AX1013" s="418"/>
      <c r="AY1013" s="418"/>
      <c r="AZ1013" s="418"/>
    </row>
    <row r="1014" spans="40:52" ht="15.75" customHeight="1">
      <c r="AN1014" s="418"/>
      <c r="AO1014" s="418"/>
      <c r="AP1014" s="418"/>
      <c r="AQ1014" s="418"/>
      <c r="AR1014" s="418"/>
      <c r="AS1014" s="418"/>
      <c r="AT1014" s="418"/>
      <c r="AU1014" s="418"/>
      <c r="AV1014" s="418"/>
      <c r="AW1014" s="418"/>
      <c r="AX1014" s="418"/>
      <c r="AY1014" s="418"/>
      <c r="AZ1014" s="418"/>
    </row>
    <row r="1015" spans="40:52" ht="15.75" customHeight="1">
      <c r="AN1015" s="418"/>
      <c r="AO1015" s="418"/>
      <c r="AP1015" s="418"/>
      <c r="AQ1015" s="418"/>
      <c r="AR1015" s="418"/>
      <c r="AS1015" s="418"/>
      <c r="AT1015" s="418"/>
      <c r="AU1015" s="418"/>
      <c r="AV1015" s="418"/>
      <c r="AW1015" s="418"/>
      <c r="AX1015" s="418"/>
      <c r="AY1015" s="418"/>
      <c r="AZ1015" s="418"/>
    </row>
    <row r="1016" spans="40:52" ht="15.75" customHeight="1">
      <c r="AN1016" s="418"/>
      <c r="AO1016" s="418"/>
      <c r="AP1016" s="418"/>
      <c r="AQ1016" s="418"/>
      <c r="AR1016" s="418"/>
      <c r="AS1016" s="418"/>
      <c r="AT1016" s="418"/>
      <c r="AU1016" s="418"/>
      <c r="AV1016" s="418"/>
      <c r="AW1016" s="418"/>
      <c r="AX1016" s="418"/>
      <c r="AY1016" s="418"/>
      <c r="AZ1016" s="418"/>
    </row>
    <row r="1017" spans="40:52" ht="15.75" customHeight="1">
      <c r="AN1017" s="418"/>
      <c r="AO1017" s="418"/>
      <c r="AP1017" s="418"/>
      <c r="AQ1017" s="418"/>
      <c r="AR1017" s="418"/>
      <c r="AS1017" s="418"/>
      <c r="AT1017" s="418"/>
      <c r="AU1017" s="418"/>
      <c r="AV1017" s="418"/>
      <c r="AW1017" s="418"/>
      <c r="AX1017" s="418"/>
      <c r="AY1017" s="418"/>
      <c r="AZ1017" s="418"/>
    </row>
    <row r="1018" spans="40:52" ht="15.75" customHeight="1">
      <c r="AN1018" s="418"/>
      <c r="AO1018" s="418"/>
      <c r="AP1018" s="418"/>
      <c r="AQ1018" s="418"/>
      <c r="AR1018" s="418"/>
      <c r="AS1018" s="418"/>
      <c r="AT1018" s="418"/>
      <c r="AU1018" s="418"/>
      <c r="AV1018" s="418"/>
      <c r="AW1018" s="418"/>
      <c r="AX1018" s="418"/>
      <c r="AY1018" s="418"/>
      <c r="AZ1018" s="418"/>
    </row>
    <row r="1019" spans="40:52" ht="15.75" customHeight="1">
      <c r="AN1019" s="418"/>
      <c r="AO1019" s="418"/>
      <c r="AP1019" s="418"/>
      <c r="AQ1019" s="418"/>
      <c r="AR1019" s="418"/>
      <c r="AS1019" s="418"/>
      <c r="AT1019" s="418"/>
      <c r="AU1019" s="418"/>
      <c r="AV1019" s="418"/>
      <c r="AW1019" s="418"/>
      <c r="AX1019" s="418"/>
      <c r="AY1019" s="418"/>
      <c r="AZ1019" s="418"/>
    </row>
    <row r="1020" spans="40:52" ht="15.75" customHeight="1">
      <c r="AN1020" s="418"/>
      <c r="AO1020" s="418"/>
      <c r="AP1020" s="418"/>
      <c r="AQ1020" s="418"/>
      <c r="AR1020" s="418"/>
      <c r="AS1020" s="418"/>
      <c r="AT1020" s="418"/>
      <c r="AU1020" s="418"/>
      <c r="AV1020" s="418"/>
      <c r="AW1020" s="418"/>
      <c r="AX1020" s="418"/>
      <c r="AY1020" s="418"/>
      <c r="AZ1020" s="418"/>
    </row>
    <row r="1021" spans="40:52" ht="15.75" customHeight="1">
      <c r="AN1021" s="418"/>
      <c r="AO1021" s="418"/>
      <c r="AP1021" s="418"/>
      <c r="AQ1021" s="418"/>
      <c r="AR1021" s="418"/>
      <c r="AS1021" s="418"/>
      <c r="AT1021" s="418"/>
      <c r="AU1021" s="418"/>
      <c r="AV1021" s="418"/>
      <c r="AW1021" s="418"/>
      <c r="AX1021" s="418"/>
      <c r="AY1021" s="418"/>
      <c r="AZ1021" s="418"/>
    </row>
    <row r="1022" spans="40:52" ht="15.75" customHeight="1">
      <c r="AN1022" s="418"/>
      <c r="AO1022" s="418"/>
      <c r="AP1022" s="418"/>
      <c r="AQ1022" s="418"/>
      <c r="AR1022" s="418"/>
      <c r="AS1022" s="418"/>
      <c r="AT1022" s="418"/>
      <c r="AU1022" s="418"/>
      <c r="AV1022" s="418"/>
      <c r="AW1022" s="418"/>
      <c r="AX1022" s="418"/>
      <c r="AY1022" s="418"/>
      <c r="AZ1022" s="418"/>
    </row>
    <row r="1023" spans="40:52" ht="15.75" customHeight="1">
      <c r="AN1023" s="418"/>
      <c r="AO1023" s="418"/>
      <c r="AP1023" s="418"/>
      <c r="AQ1023" s="418"/>
      <c r="AR1023" s="418"/>
      <c r="AS1023" s="418"/>
      <c r="AT1023" s="418"/>
      <c r="AU1023" s="418"/>
      <c r="AV1023" s="418"/>
      <c r="AW1023" s="418"/>
      <c r="AX1023" s="418"/>
      <c r="AY1023" s="418"/>
      <c r="AZ1023" s="418"/>
    </row>
    <row r="1024" spans="40:52" ht="15.75" customHeight="1">
      <c r="AN1024" s="418"/>
      <c r="AO1024" s="418"/>
      <c r="AP1024" s="418"/>
      <c r="AQ1024" s="418"/>
      <c r="AR1024" s="418"/>
      <c r="AS1024" s="418"/>
      <c r="AT1024" s="418"/>
      <c r="AU1024" s="418"/>
      <c r="AV1024" s="418"/>
      <c r="AW1024" s="418"/>
      <c r="AX1024" s="418"/>
      <c r="AY1024" s="418"/>
      <c r="AZ1024" s="418"/>
    </row>
    <row r="1025" spans="40:52" ht="15.75" customHeight="1">
      <c r="AN1025" s="418"/>
      <c r="AO1025" s="418"/>
      <c r="AP1025" s="418"/>
      <c r="AQ1025" s="418"/>
      <c r="AR1025" s="418"/>
      <c r="AS1025" s="418"/>
      <c r="AT1025" s="418"/>
      <c r="AU1025" s="418"/>
      <c r="AV1025" s="418"/>
      <c r="AW1025" s="418"/>
      <c r="AX1025" s="418"/>
      <c r="AY1025" s="418"/>
      <c r="AZ1025" s="418"/>
    </row>
    <row r="1026" spans="40:52" ht="15.75" customHeight="1">
      <c r="AN1026" s="418"/>
      <c r="AO1026" s="418"/>
      <c r="AP1026" s="418"/>
      <c r="AQ1026" s="418"/>
      <c r="AR1026" s="418"/>
      <c r="AS1026" s="418"/>
      <c r="AT1026" s="418"/>
      <c r="AU1026" s="418"/>
      <c r="AV1026" s="418"/>
      <c r="AW1026" s="418"/>
      <c r="AX1026" s="418"/>
      <c r="AY1026" s="418"/>
      <c r="AZ1026" s="418"/>
    </row>
    <row r="1027" spans="40:52" ht="15.75" customHeight="1">
      <c r="AN1027" s="418"/>
      <c r="AO1027" s="418"/>
      <c r="AP1027" s="418"/>
      <c r="AQ1027" s="418"/>
      <c r="AR1027" s="418"/>
      <c r="AS1027" s="418"/>
      <c r="AT1027" s="418"/>
      <c r="AU1027" s="418"/>
      <c r="AV1027" s="418"/>
      <c r="AW1027" s="418"/>
      <c r="AX1027" s="418"/>
      <c r="AY1027" s="418"/>
      <c r="AZ1027" s="418"/>
    </row>
    <row r="1028" spans="40:52" ht="15.75" customHeight="1">
      <c r="AN1028" s="418"/>
      <c r="AO1028" s="418"/>
      <c r="AP1028" s="418"/>
      <c r="AQ1028" s="418"/>
      <c r="AR1028" s="418"/>
      <c r="AS1028" s="418"/>
      <c r="AT1028" s="418"/>
      <c r="AU1028" s="418"/>
      <c r="AV1028" s="418"/>
      <c r="AW1028" s="418"/>
      <c r="AX1028" s="418"/>
      <c r="AY1028" s="418"/>
      <c r="AZ1028" s="418"/>
    </row>
    <row r="1029" spans="40:52" ht="15.75" customHeight="1">
      <c r="AN1029" s="418"/>
      <c r="AO1029" s="418"/>
      <c r="AP1029" s="418"/>
      <c r="AQ1029" s="418"/>
      <c r="AR1029" s="418"/>
      <c r="AS1029" s="418"/>
      <c r="AT1029" s="418"/>
      <c r="AU1029" s="418"/>
      <c r="AV1029" s="418"/>
      <c r="AW1029" s="418"/>
      <c r="AX1029" s="418"/>
      <c r="AY1029" s="418"/>
      <c r="AZ1029" s="418"/>
    </row>
    <row r="1030" spans="40:52" ht="15.75" customHeight="1">
      <c r="AN1030" s="418"/>
      <c r="AO1030" s="418"/>
      <c r="AP1030" s="418"/>
      <c r="AQ1030" s="418"/>
      <c r="AR1030" s="418"/>
      <c r="AS1030" s="418"/>
      <c r="AT1030" s="418"/>
      <c r="AU1030" s="418"/>
      <c r="AV1030" s="418"/>
      <c r="AW1030" s="418"/>
      <c r="AX1030" s="418"/>
      <c r="AY1030" s="418"/>
      <c r="AZ1030" s="418"/>
    </row>
    <row r="1031" spans="40:52" ht="15.75" customHeight="1">
      <c r="AN1031" s="418"/>
      <c r="AO1031" s="418"/>
      <c r="AP1031" s="418"/>
      <c r="AQ1031" s="418"/>
      <c r="AR1031" s="418"/>
      <c r="AS1031" s="418"/>
      <c r="AT1031" s="418"/>
      <c r="AU1031" s="418"/>
      <c r="AV1031" s="418"/>
      <c r="AW1031" s="418"/>
      <c r="AX1031" s="418"/>
      <c r="AY1031" s="418"/>
      <c r="AZ1031" s="418"/>
    </row>
    <row r="1032" spans="40:52" ht="15.75" customHeight="1">
      <c r="AN1032" s="418"/>
      <c r="AO1032" s="418"/>
      <c r="AP1032" s="418"/>
      <c r="AQ1032" s="418"/>
      <c r="AR1032" s="418"/>
      <c r="AS1032" s="418"/>
      <c r="AT1032" s="418"/>
      <c r="AU1032" s="418"/>
      <c r="AV1032" s="418"/>
      <c r="AW1032" s="418"/>
      <c r="AX1032" s="418"/>
      <c r="AY1032" s="418"/>
      <c r="AZ1032" s="418"/>
    </row>
    <row r="1033" spans="40:52" ht="15.75" customHeight="1">
      <c r="AN1033" s="418"/>
      <c r="AO1033" s="418"/>
      <c r="AP1033" s="418"/>
      <c r="AQ1033" s="418"/>
      <c r="AR1033" s="418"/>
      <c r="AS1033" s="418"/>
      <c r="AT1033" s="418"/>
      <c r="AU1033" s="418"/>
      <c r="AV1033" s="418"/>
      <c r="AW1033" s="418"/>
      <c r="AX1033" s="418"/>
      <c r="AY1033" s="418"/>
      <c r="AZ1033" s="418"/>
    </row>
    <row r="1034" spans="40:52" ht="15.75" customHeight="1">
      <c r="AN1034" s="418"/>
      <c r="AO1034" s="418"/>
      <c r="AP1034" s="418"/>
      <c r="AQ1034" s="418"/>
      <c r="AR1034" s="418"/>
      <c r="AS1034" s="418"/>
      <c r="AT1034" s="418"/>
      <c r="AU1034" s="418"/>
      <c r="AV1034" s="418"/>
      <c r="AW1034" s="418"/>
      <c r="AX1034" s="418"/>
      <c r="AY1034" s="418"/>
      <c r="AZ1034" s="418"/>
    </row>
    <row r="1035" spans="40:52" ht="15.75" customHeight="1">
      <c r="AN1035" s="418"/>
      <c r="AO1035" s="418"/>
      <c r="AP1035" s="418"/>
      <c r="AQ1035" s="418"/>
      <c r="AR1035" s="418"/>
      <c r="AS1035" s="418"/>
      <c r="AT1035" s="418"/>
      <c r="AU1035" s="418"/>
      <c r="AV1035" s="418"/>
      <c r="AW1035" s="418"/>
      <c r="AX1035" s="418"/>
      <c r="AY1035" s="418"/>
      <c r="AZ1035" s="418"/>
    </row>
    <row r="1036" spans="40:52" ht="15.75" customHeight="1">
      <c r="AN1036" s="418"/>
      <c r="AO1036" s="418"/>
      <c r="AP1036" s="418"/>
      <c r="AQ1036" s="418"/>
      <c r="AR1036" s="418"/>
      <c r="AS1036" s="418"/>
      <c r="AT1036" s="418"/>
      <c r="AU1036" s="418"/>
      <c r="AV1036" s="418"/>
      <c r="AW1036" s="418"/>
      <c r="AX1036" s="418"/>
      <c r="AY1036" s="418"/>
      <c r="AZ1036" s="418"/>
    </row>
    <row r="1037" spans="40:52" ht="15.75" customHeight="1">
      <c r="AN1037" s="418"/>
      <c r="AO1037" s="418"/>
      <c r="AP1037" s="418"/>
      <c r="AQ1037" s="418"/>
      <c r="AR1037" s="418"/>
      <c r="AS1037" s="418"/>
      <c r="AT1037" s="418"/>
      <c r="AU1037" s="418"/>
      <c r="AV1037" s="418"/>
      <c r="AW1037" s="418"/>
      <c r="AX1037" s="418"/>
      <c r="AY1037" s="418"/>
      <c r="AZ1037" s="418"/>
    </row>
    <row r="1038" spans="40:52" ht="15.75" customHeight="1">
      <c r="AN1038" s="418"/>
      <c r="AO1038" s="418"/>
      <c r="AP1038" s="418"/>
      <c r="AQ1038" s="418"/>
      <c r="AR1038" s="418"/>
      <c r="AS1038" s="418"/>
      <c r="AT1038" s="418"/>
      <c r="AU1038" s="418"/>
      <c r="AV1038" s="418"/>
      <c r="AW1038" s="418"/>
      <c r="AX1038" s="418"/>
      <c r="AY1038" s="418"/>
      <c r="AZ1038" s="418"/>
    </row>
    <row r="1039" spans="40:52" ht="15.75" customHeight="1">
      <c r="AN1039" s="418"/>
      <c r="AO1039" s="418"/>
      <c r="AP1039" s="418"/>
      <c r="AQ1039" s="418"/>
      <c r="AR1039" s="418"/>
      <c r="AS1039" s="418"/>
      <c r="AT1039" s="418"/>
      <c r="AU1039" s="418"/>
      <c r="AV1039" s="418"/>
      <c r="AW1039" s="418"/>
      <c r="AX1039" s="418"/>
      <c r="AY1039" s="418"/>
      <c r="AZ1039" s="418"/>
    </row>
    <row r="1040" spans="40:52" ht="15.75" customHeight="1">
      <c r="AN1040" s="418"/>
      <c r="AO1040" s="418"/>
      <c r="AP1040" s="418"/>
      <c r="AQ1040" s="418"/>
      <c r="AR1040" s="418"/>
      <c r="AS1040" s="418"/>
      <c r="AT1040" s="418"/>
      <c r="AU1040" s="418"/>
      <c r="AV1040" s="418"/>
      <c r="AW1040" s="418"/>
      <c r="AX1040" s="418"/>
      <c r="AY1040" s="418"/>
      <c r="AZ1040" s="418"/>
    </row>
    <row r="1041" spans="40:52" ht="15.75" customHeight="1">
      <c r="AN1041" s="418"/>
      <c r="AO1041" s="418"/>
      <c r="AP1041" s="418"/>
      <c r="AQ1041" s="418"/>
      <c r="AR1041" s="418"/>
      <c r="AS1041" s="418"/>
      <c r="AT1041" s="418"/>
      <c r="AU1041" s="418"/>
      <c r="AV1041" s="418"/>
      <c r="AW1041" s="418"/>
      <c r="AX1041" s="418"/>
      <c r="AY1041" s="418"/>
      <c r="AZ1041" s="418"/>
    </row>
    <row r="1042" spans="40:52" ht="15.75" customHeight="1">
      <c r="AN1042" s="418"/>
      <c r="AO1042" s="418"/>
      <c r="AP1042" s="418"/>
      <c r="AQ1042" s="418"/>
      <c r="AR1042" s="418"/>
      <c r="AS1042" s="418"/>
      <c r="AT1042" s="418"/>
      <c r="AU1042" s="418"/>
      <c r="AV1042" s="418"/>
      <c r="AW1042" s="418"/>
      <c r="AX1042" s="418"/>
      <c r="AY1042" s="418"/>
      <c r="AZ1042" s="418"/>
    </row>
    <row r="1043" spans="40:52" ht="15.75" customHeight="1">
      <c r="AN1043" s="418"/>
      <c r="AO1043" s="418"/>
      <c r="AP1043" s="418"/>
      <c r="AQ1043" s="418"/>
      <c r="AR1043" s="418"/>
      <c r="AS1043" s="418"/>
      <c r="AT1043" s="418"/>
      <c r="AU1043" s="418"/>
      <c r="AV1043" s="418"/>
      <c r="AW1043" s="418"/>
      <c r="AX1043" s="418"/>
      <c r="AY1043" s="418"/>
      <c r="AZ1043" s="418"/>
    </row>
    <row r="1044" spans="40:52" ht="15.75" customHeight="1">
      <c r="AN1044" s="418"/>
      <c r="AO1044" s="418"/>
      <c r="AP1044" s="418"/>
      <c r="AQ1044" s="418"/>
      <c r="AR1044" s="418"/>
      <c r="AS1044" s="418"/>
      <c r="AT1044" s="418"/>
      <c r="AU1044" s="418"/>
      <c r="AV1044" s="418"/>
      <c r="AW1044" s="418"/>
      <c r="AX1044" s="418"/>
      <c r="AY1044" s="418"/>
      <c r="AZ1044" s="418"/>
    </row>
    <row r="1045" spans="40:52" ht="15.75" customHeight="1">
      <c r="AN1045" s="418"/>
      <c r="AO1045" s="418"/>
      <c r="AP1045" s="418"/>
      <c r="AQ1045" s="418"/>
      <c r="AR1045" s="418"/>
      <c r="AS1045" s="418"/>
      <c r="AT1045" s="418"/>
      <c r="AU1045" s="418"/>
      <c r="AV1045" s="418"/>
      <c r="AW1045" s="418"/>
      <c r="AX1045" s="418"/>
      <c r="AY1045" s="418"/>
      <c r="AZ1045" s="418"/>
    </row>
    <row r="1046" spans="40:52" ht="15.75" customHeight="1">
      <c r="AN1046" s="418"/>
      <c r="AO1046" s="418"/>
      <c r="AP1046" s="418"/>
      <c r="AQ1046" s="418"/>
      <c r="AR1046" s="418"/>
      <c r="AS1046" s="418"/>
      <c r="AT1046" s="418"/>
      <c r="AU1046" s="418"/>
      <c r="AV1046" s="418"/>
      <c r="AW1046" s="418"/>
      <c r="AX1046" s="418"/>
      <c r="AY1046" s="418"/>
      <c r="AZ1046" s="418"/>
    </row>
    <row r="1047" spans="40:52" ht="15.75" customHeight="1">
      <c r="AN1047" s="418"/>
      <c r="AO1047" s="418"/>
      <c r="AP1047" s="418"/>
      <c r="AQ1047" s="418"/>
      <c r="AR1047" s="418"/>
      <c r="AS1047" s="418"/>
      <c r="AT1047" s="418"/>
      <c r="AU1047" s="418"/>
      <c r="AV1047" s="418"/>
      <c r="AW1047" s="418"/>
      <c r="AX1047" s="418"/>
      <c r="AY1047" s="418"/>
      <c r="AZ1047" s="418"/>
    </row>
    <row r="1048" spans="40:52" ht="15.75" customHeight="1">
      <c r="AN1048" s="418"/>
      <c r="AO1048" s="418"/>
      <c r="AP1048" s="418"/>
      <c r="AQ1048" s="418"/>
      <c r="AR1048" s="418"/>
      <c r="AS1048" s="418"/>
      <c r="AT1048" s="418"/>
      <c r="AU1048" s="418"/>
      <c r="AV1048" s="418"/>
      <c r="AW1048" s="418"/>
      <c r="AX1048" s="418"/>
      <c r="AY1048" s="418"/>
      <c r="AZ1048" s="418"/>
    </row>
    <row r="1049" spans="40:52" ht="15.75" customHeight="1">
      <c r="AN1049" s="418"/>
      <c r="AO1049" s="418"/>
      <c r="AP1049" s="418"/>
      <c r="AQ1049" s="418"/>
      <c r="AR1049" s="418"/>
      <c r="AS1049" s="418"/>
      <c r="AT1049" s="418"/>
      <c r="AU1049" s="418"/>
      <c r="AV1049" s="418"/>
      <c r="AW1049" s="418"/>
      <c r="AX1049" s="418"/>
      <c r="AY1049" s="418"/>
      <c r="AZ1049" s="418"/>
    </row>
    <row r="1050" spans="40:52" ht="15.75" customHeight="1">
      <c r="AN1050" s="418"/>
      <c r="AO1050" s="418"/>
      <c r="AP1050" s="418"/>
      <c r="AQ1050" s="418"/>
      <c r="AR1050" s="418"/>
      <c r="AS1050" s="418"/>
      <c r="AT1050" s="418"/>
      <c r="AU1050" s="418"/>
      <c r="AV1050" s="418"/>
      <c r="AW1050" s="418"/>
      <c r="AX1050" s="418"/>
      <c r="AY1050" s="418"/>
      <c r="AZ1050" s="418"/>
    </row>
    <row r="1051" spans="40:52" ht="15.75" customHeight="1">
      <c r="AN1051" s="418"/>
      <c r="AO1051" s="418"/>
      <c r="AP1051" s="418"/>
      <c r="AQ1051" s="418"/>
      <c r="AR1051" s="418"/>
      <c r="AS1051" s="418"/>
      <c r="AT1051" s="418"/>
      <c r="AU1051" s="418"/>
      <c r="AV1051" s="418"/>
      <c r="AW1051" s="418"/>
      <c r="AX1051" s="418"/>
      <c r="AY1051" s="418"/>
      <c r="AZ1051" s="418"/>
    </row>
    <row r="1052" spans="40:52" ht="15.75" customHeight="1">
      <c r="AN1052" s="418"/>
      <c r="AO1052" s="418"/>
      <c r="AP1052" s="418"/>
      <c r="AQ1052" s="418"/>
      <c r="AR1052" s="418"/>
      <c r="AS1052" s="418"/>
      <c r="AT1052" s="418"/>
      <c r="AU1052" s="418"/>
      <c r="AV1052" s="418"/>
      <c r="AW1052" s="418"/>
      <c r="AX1052" s="418"/>
      <c r="AY1052" s="418"/>
      <c r="AZ1052" s="418"/>
    </row>
    <row r="1053" spans="40:52" ht="15.75" customHeight="1">
      <c r="AN1053" s="418"/>
      <c r="AO1053" s="418"/>
      <c r="AP1053" s="418"/>
      <c r="AQ1053" s="418"/>
      <c r="AR1053" s="418"/>
      <c r="AS1053" s="418"/>
      <c r="AT1053" s="418"/>
      <c r="AU1053" s="418"/>
      <c r="AV1053" s="418"/>
      <c r="AW1053" s="418"/>
      <c r="AX1053" s="418"/>
      <c r="AY1053" s="418"/>
      <c r="AZ1053" s="418"/>
    </row>
    <row r="1054" spans="40:52" ht="15.75" customHeight="1">
      <c r="AN1054" s="418"/>
      <c r="AO1054" s="418"/>
      <c r="AP1054" s="418"/>
      <c r="AQ1054" s="418"/>
      <c r="AR1054" s="418"/>
      <c r="AS1054" s="418"/>
      <c r="AT1054" s="418"/>
      <c r="AU1054" s="418"/>
      <c r="AV1054" s="418"/>
      <c r="AW1054" s="418"/>
      <c r="AX1054" s="418"/>
      <c r="AY1054" s="418"/>
      <c r="AZ1054" s="418"/>
    </row>
    <row r="1055" spans="40:52" ht="15.75" customHeight="1">
      <c r="AN1055" s="418"/>
      <c r="AO1055" s="418"/>
      <c r="AP1055" s="418"/>
      <c r="AQ1055" s="418"/>
      <c r="AR1055" s="418"/>
      <c r="AS1055" s="418"/>
      <c r="AT1055" s="418"/>
      <c r="AU1055" s="418"/>
      <c r="AV1055" s="418"/>
      <c r="AW1055" s="418"/>
      <c r="AX1055" s="418"/>
      <c r="AY1055" s="418"/>
      <c r="AZ1055" s="418"/>
    </row>
    <row r="1056" spans="40:52" ht="15.75" customHeight="1">
      <c r="AN1056" s="418"/>
      <c r="AO1056" s="418"/>
      <c r="AP1056" s="418"/>
      <c r="AQ1056" s="418"/>
      <c r="AR1056" s="418"/>
      <c r="AS1056" s="418"/>
      <c r="AT1056" s="418"/>
      <c r="AU1056" s="418"/>
      <c r="AV1056" s="418"/>
      <c r="AW1056" s="418"/>
      <c r="AX1056" s="418"/>
      <c r="AY1056" s="418"/>
      <c r="AZ1056" s="418"/>
    </row>
    <row r="1057" spans="40:52" ht="15.75" customHeight="1">
      <c r="AN1057" s="418"/>
      <c r="AO1057" s="418"/>
      <c r="AP1057" s="418"/>
      <c r="AQ1057" s="418"/>
      <c r="AR1057" s="418"/>
      <c r="AS1057" s="418"/>
      <c r="AT1057" s="418"/>
      <c r="AU1057" s="418"/>
      <c r="AV1057" s="418"/>
      <c r="AW1057" s="418"/>
      <c r="AX1057" s="418"/>
      <c r="AY1057" s="418"/>
      <c r="AZ1057" s="418"/>
    </row>
    <row r="1058" spans="40:52" ht="15.75" customHeight="1">
      <c r="AN1058" s="418"/>
      <c r="AO1058" s="418"/>
      <c r="AP1058" s="418"/>
      <c r="AQ1058" s="418"/>
      <c r="AR1058" s="418"/>
      <c r="AS1058" s="418"/>
      <c r="AT1058" s="418"/>
      <c r="AU1058" s="418"/>
      <c r="AV1058" s="418"/>
      <c r="AW1058" s="418"/>
      <c r="AX1058" s="418"/>
      <c r="AY1058" s="418"/>
      <c r="AZ1058" s="418"/>
    </row>
    <row r="1059" spans="40:52" ht="15.75" customHeight="1">
      <c r="AN1059" s="418"/>
      <c r="AO1059" s="418"/>
      <c r="AP1059" s="418"/>
      <c r="AQ1059" s="418"/>
      <c r="AR1059" s="418"/>
      <c r="AS1059" s="418"/>
      <c r="AT1059" s="418"/>
      <c r="AU1059" s="418"/>
      <c r="AV1059" s="418"/>
      <c r="AW1059" s="418"/>
      <c r="AX1059" s="418"/>
      <c r="AY1059" s="418"/>
      <c r="AZ1059" s="418"/>
    </row>
    <row r="1060" spans="40:52" ht="15.75" customHeight="1">
      <c r="AN1060" s="418"/>
      <c r="AO1060" s="418"/>
      <c r="AP1060" s="418"/>
      <c r="AQ1060" s="418"/>
      <c r="AR1060" s="418"/>
      <c r="AS1060" s="418"/>
      <c r="AT1060" s="418"/>
      <c r="AU1060" s="418"/>
      <c r="AV1060" s="418"/>
      <c r="AW1060" s="418"/>
      <c r="AX1060" s="418"/>
      <c r="AY1060" s="418"/>
      <c r="AZ1060" s="418"/>
    </row>
    <row r="1061" spans="40:52" ht="15.75" customHeight="1">
      <c r="AN1061" s="418"/>
      <c r="AO1061" s="418"/>
      <c r="AP1061" s="418"/>
      <c r="AQ1061" s="418"/>
      <c r="AR1061" s="418"/>
      <c r="AS1061" s="418"/>
      <c r="AT1061" s="418"/>
      <c r="AU1061" s="418"/>
      <c r="AV1061" s="418"/>
      <c r="AW1061" s="418"/>
      <c r="AX1061" s="418"/>
      <c r="AY1061" s="418"/>
      <c r="AZ1061" s="418"/>
    </row>
    <row r="1062" spans="40:52" ht="15.75" customHeight="1">
      <c r="AN1062" s="418"/>
      <c r="AO1062" s="418"/>
      <c r="AP1062" s="418"/>
      <c r="AQ1062" s="418"/>
      <c r="AR1062" s="418"/>
      <c r="AS1062" s="418"/>
      <c r="AT1062" s="418"/>
      <c r="AU1062" s="418"/>
      <c r="AV1062" s="418"/>
      <c r="AW1062" s="418"/>
      <c r="AX1062" s="418"/>
      <c r="AY1062" s="418"/>
      <c r="AZ1062" s="418"/>
    </row>
    <row r="1063" spans="40:52" ht="15.75" customHeight="1">
      <c r="AN1063" s="418"/>
      <c r="AO1063" s="418"/>
      <c r="AP1063" s="418"/>
      <c r="AQ1063" s="418"/>
      <c r="AR1063" s="418"/>
      <c r="AS1063" s="418"/>
      <c r="AT1063" s="418"/>
      <c r="AU1063" s="418"/>
      <c r="AV1063" s="418"/>
      <c r="AW1063" s="418"/>
      <c r="AX1063" s="418"/>
      <c r="AY1063" s="418"/>
      <c r="AZ1063" s="418"/>
    </row>
    <row r="1064" spans="40:52" ht="15.75" customHeight="1">
      <c r="AN1064" s="418"/>
      <c r="AO1064" s="418"/>
      <c r="AP1064" s="418"/>
      <c r="AQ1064" s="418"/>
      <c r="AR1064" s="418"/>
      <c r="AS1064" s="418"/>
      <c r="AT1064" s="418"/>
      <c r="AU1064" s="418"/>
      <c r="AV1064" s="418"/>
      <c r="AW1064" s="418"/>
      <c r="AX1064" s="418"/>
      <c r="AY1064" s="418"/>
      <c r="AZ1064" s="418"/>
    </row>
    <row r="1065" spans="40:52" ht="15.75" customHeight="1">
      <c r="AN1065" s="418"/>
      <c r="AO1065" s="418"/>
      <c r="AP1065" s="418"/>
      <c r="AQ1065" s="418"/>
      <c r="AR1065" s="418"/>
      <c r="AS1065" s="418"/>
      <c r="AT1065" s="418"/>
      <c r="AU1065" s="418"/>
      <c r="AV1065" s="418"/>
      <c r="AW1065" s="418"/>
      <c r="AX1065" s="418"/>
      <c r="AY1065" s="418"/>
      <c r="AZ1065" s="418"/>
    </row>
    <row r="1066" spans="40:52" ht="15.75" customHeight="1">
      <c r="AN1066" s="418"/>
      <c r="AO1066" s="418"/>
      <c r="AP1066" s="418"/>
      <c r="AQ1066" s="418"/>
      <c r="AR1066" s="418"/>
      <c r="AS1066" s="418"/>
      <c r="AT1066" s="418"/>
      <c r="AU1066" s="418"/>
      <c r="AV1066" s="418"/>
      <c r="AW1066" s="418"/>
      <c r="AX1066" s="418"/>
      <c r="AY1066" s="418"/>
      <c r="AZ1066" s="418"/>
    </row>
    <row r="1067" spans="40:52" ht="15.75" customHeight="1">
      <c r="AN1067" s="418"/>
      <c r="AO1067" s="418"/>
      <c r="AP1067" s="418"/>
      <c r="AQ1067" s="418"/>
      <c r="AR1067" s="418"/>
      <c r="AS1067" s="418"/>
      <c r="AT1067" s="418"/>
      <c r="AU1067" s="418"/>
      <c r="AV1067" s="418"/>
      <c r="AW1067" s="418"/>
      <c r="AX1067" s="418"/>
      <c r="AY1067" s="418"/>
      <c r="AZ1067" s="418"/>
    </row>
    <row r="1068" spans="40:52" ht="15.75" customHeight="1">
      <c r="AN1068" s="418"/>
      <c r="AO1068" s="418"/>
      <c r="AP1068" s="418"/>
      <c r="AQ1068" s="418"/>
      <c r="AR1068" s="418"/>
      <c r="AS1068" s="418"/>
      <c r="AT1068" s="418"/>
      <c r="AU1068" s="418"/>
      <c r="AV1068" s="418"/>
      <c r="AW1068" s="418"/>
      <c r="AX1068" s="418"/>
      <c r="AY1068" s="418"/>
      <c r="AZ1068" s="418"/>
    </row>
    <row r="1069" spans="40:52" ht="15.75" customHeight="1">
      <c r="AN1069" s="418"/>
      <c r="AO1069" s="418"/>
      <c r="AP1069" s="418"/>
      <c r="AQ1069" s="418"/>
      <c r="AR1069" s="418"/>
      <c r="AS1069" s="418"/>
      <c r="AT1069" s="418"/>
      <c r="AU1069" s="418"/>
      <c r="AV1069" s="418"/>
      <c r="AW1069" s="418"/>
      <c r="AX1069" s="418"/>
      <c r="AY1069" s="418"/>
      <c r="AZ1069" s="418"/>
    </row>
    <row r="1070" spans="40:52" ht="15.75" customHeight="1">
      <c r="AN1070" s="418"/>
      <c r="AO1070" s="418"/>
      <c r="AP1070" s="418"/>
      <c r="AQ1070" s="418"/>
      <c r="AR1070" s="418"/>
      <c r="AS1070" s="418"/>
      <c r="AT1070" s="418"/>
      <c r="AU1070" s="418"/>
      <c r="AV1070" s="418"/>
      <c r="AW1070" s="418"/>
      <c r="AX1070" s="418"/>
      <c r="AY1070" s="418"/>
      <c r="AZ1070" s="418"/>
    </row>
    <row r="1071" spans="40:52" ht="15.75" customHeight="1">
      <c r="AN1071" s="418"/>
      <c r="AO1071" s="418"/>
      <c r="AP1071" s="418"/>
      <c r="AQ1071" s="418"/>
      <c r="AR1071" s="418"/>
      <c r="AS1071" s="418"/>
      <c r="AT1071" s="418"/>
      <c r="AU1071" s="418"/>
      <c r="AV1071" s="418"/>
      <c r="AW1071" s="418"/>
      <c r="AX1071" s="418"/>
      <c r="AY1071" s="418"/>
      <c r="AZ1071" s="418"/>
    </row>
    <row r="1072" spans="40:52" ht="15.75" customHeight="1">
      <c r="AN1072" s="418"/>
      <c r="AO1072" s="418"/>
      <c r="AP1072" s="418"/>
      <c r="AQ1072" s="418"/>
      <c r="AR1072" s="418"/>
      <c r="AS1072" s="418"/>
      <c r="AT1072" s="418"/>
      <c r="AU1072" s="418"/>
      <c r="AV1072" s="418"/>
      <c r="AW1072" s="418"/>
      <c r="AX1072" s="418"/>
      <c r="AY1072" s="418"/>
      <c r="AZ1072" s="418"/>
    </row>
    <row r="1073" spans="40:52" ht="15.75" customHeight="1">
      <c r="AN1073" s="418"/>
      <c r="AO1073" s="418"/>
      <c r="AP1073" s="418"/>
      <c r="AQ1073" s="418"/>
      <c r="AR1073" s="418"/>
      <c r="AS1073" s="418"/>
      <c r="AT1073" s="418"/>
      <c r="AU1073" s="418"/>
      <c r="AV1073" s="418"/>
      <c r="AW1073" s="418"/>
      <c r="AX1073" s="418"/>
      <c r="AY1073" s="418"/>
      <c r="AZ1073" s="418"/>
    </row>
    <row r="1074" spans="40:52" ht="15.75" customHeight="1">
      <c r="AN1074" s="418"/>
      <c r="AO1074" s="418"/>
      <c r="AP1074" s="418"/>
      <c r="AQ1074" s="418"/>
      <c r="AR1074" s="418"/>
      <c r="AS1074" s="418"/>
      <c r="AT1074" s="418"/>
      <c r="AU1074" s="418"/>
      <c r="AV1074" s="418"/>
      <c r="AW1074" s="418"/>
      <c r="AX1074" s="418"/>
      <c r="AY1074" s="418"/>
      <c r="AZ1074" s="418"/>
    </row>
    <row r="1075" spans="40:52" ht="15.75" customHeight="1">
      <c r="AN1075" s="418"/>
      <c r="AO1075" s="418"/>
      <c r="AP1075" s="418"/>
      <c r="AQ1075" s="418"/>
      <c r="AR1075" s="418"/>
      <c r="AS1075" s="418"/>
      <c r="AT1075" s="418"/>
      <c r="AU1075" s="418"/>
      <c r="AV1075" s="418"/>
      <c r="AW1075" s="418"/>
      <c r="AX1075" s="418"/>
      <c r="AY1075" s="418"/>
      <c r="AZ1075" s="418"/>
    </row>
    <row r="1076" spans="40:52" ht="15.75" customHeight="1">
      <c r="AN1076" s="418"/>
      <c r="AO1076" s="418"/>
      <c r="AP1076" s="418"/>
      <c r="AQ1076" s="418"/>
      <c r="AR1076" s="418"/>
      <c r="AS1076" s="418"/>
      <c r="AT1076" s="418"/>
      <c r="AU1076" s="418"/>
      <c r="AV1076" s="418"/>
      <c r="AW1076" s="418"/>
      <c r="AX1076" s="418"/>
      <c r="AY1076" s="418"/>
      <c r="AZ1076" s="418"/>
    </row>
    <row r="1077" spans="40:52" ht="15.75" customHeight="1">
      <c r="AN1077" s="418"/>
      <c r="AO1077" s="418"/>
      <c r="AP1077" s="418"/>
      <c r="AQ1077" s="418"/>
      <c r="AR1077" s="418"/>
      <c r="AS1077" s="418"/>
      <c r="AT1077" s="418"/>
      <c r="AU1077" s="418"/>
      <c r="AV1077" s="418"/>
      <c r="AW1077" s="418"/>
      <c r="AX1077" s="418"/>
      <c r="AY1077" s="418"/>
      <c r="AZ1077" s="418"/>
    </row>
    <row r="1078" spans="40:52" ht="15.75" customHeight="1">
      <c r="AN1078" s="418"/>
      <c r="AO1078" s="418"/>
      <c r="AP1078" s="418"/>
      <c r="AQ1078" s="418"/>
      <c r="AR1078" s="418"/>
      <c r="AS1078" s="418"/>
      <c r="AT1078" s="418"/>
      <c r="AU1078" s="418"/>
      <c r="AV1078" s="418"/>
      <c r="AW1078" s="418"/>
      <c r="AX1078" s="418"/>
      <c r="AY1078" s="418"/>
      <c r="AZ1078" s="418"/>
    </row>
    <row r="1079" spans="40:52" ht="15.75" customHeight="1">
      <c r="AN1079" s="418"/>
      <c r="AO1079" s="418"/>
      <c r="AP1079" s="418"/>
      <c r="AQ1079" s="418"/>
      <c r="AR1079" s="418"/>
      <c r="AS1079" s="418"/>
      <c r="AT1079" s="418"/>
      <c r="AU1079" s="418"/>
      <c r="AV1079" s="418"/>
      <c r="AW1079" s="418"/>
      <c r="AX1079" s="418"/>
      <c r="AY1079" s="418"/>
      <c r="AZ1079" s="418"/>
    </row>
    <row r="1080" spans="40:52" ht="15.75" customHeight="1">
      <c r="AN1080" s="418"/>
      <c r="AO1080" s="418"/>
      <c r="AP1080" s="418"/>
      <c r="AQ1080" s="418"/>
      <c r="AR1080" s="418"/>
      <c r="AS1080" s="418"/>
      <c r="AT1080" s="418"/>
      <c r="AU1080" s="418"/>
      <c r="AV1080" s="418"/>
      <c r="AW1080" s="418"/>
      <c r="AX1080" s="418"/>
      <c r="AY1080" s="418"/>
      <c r="AZ1080" s="418"/>
    </row>
    <row r="1081" spans="40:52" ht="15.75" customHeight="1">
      <c r="AN1081" s="418"/>
      <c r="AO1081" s="418"/>
      <c r="AP1081" s="418"/>
      <c r="AQ1081" s="418"/>
      <c r="AR1081" s="418"/>
      <c r="AS1081" s="418"/>
      <c r="AT1081" s="418"/>
      <c r="AU1081" s="418"/>
      <c r="AV1081" s="418"/>
      <c r="AW1081" s="418"/>
      <c r="AX1081" s="418"/>
      <c r="AY1081" s="418"/>
      <c r="AZ1081" s="418"/>
    </row>
    <row r="1082" spans="40:52" ht="15.75" customHeight="1">
      <c r="AN1082" s="418"/>
      <c r="AO1082" s="418"/>
      <c r="AP1082" s="418"/>
      <c r="AQ1082" s="418"/>
      <c r="AR1082" s="418"/>
      <c r="AS1082" s="418"/>
      <c r="AT1082" s="418"/>
      <c r="AU1082" s="418"/>
      <c r="AV1082" s="418"/>
      <c r="AW1082" s="418"/>
      <c r="AX1082" s="418"/>
      <c r="AY1082" s="418"/>
      <c r="AZ1082" s="418"/>
    </row>
    <row r="1083" spans="40:52" ht="15.75" customHeight="1">
      <c r="AN1083" s="418"/>
      <c r="AO1083" s="418"/>
      <c r="AP1083" s="418"/>
      <c r="AQ1083" s="418"/>
      <c r="AR1083" s="418"/>
      <c r="AS1083" s="418"/>
      <c r="AT1083" s="418"/>
      <c r="AU1083" s="418"/>
      <c r="AV1083" s="418"/>
      <c r="AW1083" s="418"/>
      <c r="AX1083" s="418"/>
      <c r="AY1083" s="418"/>
      <c r="AZ1083" s="418"/>
    </row>
    <row r="1084" spans="40:52" ht="15.75" customHeight="1">
      <c r="AN1084" s="418"/>
      <c r="AO1084" s="418"/>
      <c r="AP1084" s="418"/>
      <c r="AQ1084" s="418"/>
      <c r="AR1084" s="418"/>
      <c r="AS1084" s="418"/>
      <c r="AT1084" s="418"/>
      <c r="AU1084" s="418"/>
      <c r="AV1084" s="418"/>
      <c r="AW1084" s="418"/>
      <c r="AX1084" s="418"/>
      <c r="AY1084" s="418"/>
      <c r="AZ1084" s="418"/>
    </row>
    <row r="1085" spans="40:52" ht="15.75" customHeight="1">
      <c r="AN1085" s="418"/>
      <c r="AO1085" s="418"/>
      <c r="AP1085" s="418"/>
      <c r="AQ1085" s="418"/>
      <c r="AR1085" s="418"/>
      <c r="AS1085" s="418"/>
      <c r="AT1085" s="418"/>
      <c r="AU1085" s="418"/>
      <c r="AV1085" s="418"/>
      <c r="AW1085" s="418"/>
      <c r="AX1085" s="418"/>
      <c r="AY1085" s="418"/>
      <c r="AZ1085" s="418"/>
    </row>
    <row r="1086" spans="40:52" ht="15.75" customHeight="1">
      <c r="AN1086" s="418"/>
      <c r="AO1086" s="418"/>
      <c r="AP1086" s="418"/>
      <c r="AQ1086" s="418"/>
      <c r="AR1086" s="418"/>
      <c r="AS1086" s="418"/>
      <c r="AT1086" s="418"/>
      <c r="AU1086" s="418"/>
      <c r="AV1086" s="418"/>
      <c r="AW1086" s="418"/>
      <c r="AX1086" s="418"/>
      <c r="AY1086" s="418"/>
      <c r="AZ1086" s="418"/>
    </row>
    <row r="1087" spans="40:52" ht="15.75" customHeight="1">
      <c r="AN1087" s="418"/>
      <c r="AO1087" s="418"/>
      <c r="AP1087" s="418"/>
      <c r="AQ1087" s="418"/>
      <c r="AR1087" s="418"/>
      <c r="AS1087" s="418"/>
      <c r="AT1087" s="418"/>
      <c r="AU1087" s="418"/>
      <c r="AV1087" s="418"/>
      <c r="AW1087" s="418"/>
      <c r="AX1087" s="418"/>
      <c r="AY1087" s="418"/>
      <c r="AZ1087" s="418"/>
    </row>
    <row r="1088" spans="40:52" ht="15.75" customHeight="1">
      <c r="AN1088" s="418"/>
      <c r="AO1088" s="418"/>
      <c r="AP1088" s="418"/>
      <c r="AQ1088" s="418"/>
      <c r="AR1088" s="418"/>
      <c r="AS1088" s="418"/>
      <c r="AT1088" s="418"/>
      <c r="AU1088" s="418"/>
      <c r="AV1088" s="418"/>
      <c r="AW1088" s="418"/>
      <c r="AX1088" s="418"/>
      <c r="AY1088" s="418"/>
      <c r="AZ1088" s="418"/>
    </row>
    <row r="1089" spans="40:52" ht="15.75" customHeight="1">
      <c r="AN1089" s="418"/>
      <c r="AO1089" s="418"/>
      <c r="AP1089" s="418"/>
      <c r="AQ1089" s="418"/>
      <c r="AR1089" s="418"/>
      <c r="AS1089" s="418"/>
      <c r="AT1089" s="418"/>
      <c r="AU1089" s="418"/>
      <c r="AV1089" s="418"/>
      <c r="AW1089" s="418"/>
      <c r="AX1089" s="418"/>
      <c r="AY1089" s="418"/>
      <c r="AZ1089" s="418"/>
    </row>
    <row r="1090" spans="40:52" ht="15.75" customHeight="1">
      <c r="AN1090" s="418"/>
      <c r="AO1090" s="418"/>
      <c r="AP1090" s="418"/>
      <c r="AQ1090" s="418"/>
      <c r="AR1090" s="418"/>
      <c r="AS1090" s="418"/>
      <c r="AT1090" s="418"/>
      <c r="AU1090" s="418"/>
      <c r="AV1090" s="418"/>
      <c r="AW1090" s="418"/>
      <c r="AX1090" s="418"/>
      <c r="AY1090" s="418"/>
      <c r="AZ1090" s="418"/>
    </row>
    <row r="1091" spans="40:52" ht="15.75" customHeight="1">
      <c r="AN1091" s="418"/>
      <c r="AO1091" s="418"/>
      <c r="AP1091" s="418"/>
      <c r="AQ1091" s="418"/>
      <c r="AR1091" s="418"/>
      <c r="AS1091" s="418"/>
      <c r="AT1091" s="418"/>
      <c r="AU1091" s="418"/>
      <c r="AV1091" s="418"/>
      <c r="AW1091" s="418"/>
      <c r="AX1091" s="418"/>
      <c r="AY1091" s="418"/>
      <c r="AZ1091" s="418"/>
    </row>
    <row r="1092" spans="40:52" ht="15.75" customHeight="1">
      <c r="AN1092" s="418"/>
      <c r="AO1092" s="418"/>
      <c r="AP1092" s="418"/>
      <c r="AQ1092" s="418"/>
      <c r="AR1092" s="418"/>
      <c r="AS1092" s="418"/>
      <c r="AT1092" s="418"/>
      <c r="AU1092" s="418"/>
      <c r="AV1092" s="418"/>
      <c r="AW1092" s="418"/>
      <c r="AX1092" s="418"/>
      <c r="AY1092" s="418"/>
      <c r="AZ1092" s="418"/>
    </row>
    <row r="1093" spans="40:52" ht="15.75" customHeight="1">
      <c r="AN1093" s="418"/>
      <c r="AO1093" s="418"/>
      <c r="AP1093" s="418"/>
      <c r="AQ1093" s="418"/>
      <c r="AR1093" s="418"/>
      <c r="AS1093" s="418"/>
      <c r="AT1093" s="418"/>
      <c r="AU1093" s="418"/>
      <c r="AV1093" s="418"/>
      <c r="AW1093" s="418"/>
      <c r="AX1093" s="418"/>
      <c r="AY1093" s="418"/>
      <c r="AZ1093" s="418"/>
    </row>
    <row r="1094" spans="40:52" ht="15.75" customHeight="1">
      <c r="AN1094" s="418"/>
      <c r="AO1094" s="418"/>
      <c r="AP1094" s="418"/>
      <c r="AQ1094" s="418"/>
      <c r="AR1094" s="418"/>
      <c r="AS1094" s="418"/>
      <c r="AT1094" s="418"/>
      <c r="AU1094" s="418"/>
      <c r="AV1094" s="418"/>
      <c r="AW1094" s="418"/>
      <c r="AX1094" s="418"/>
      <c r="AY1094" s="418"/>
      <c r="AZ1094" s="418"/>
    </row>
    <row r="1095" spans="40:52" ht="15.75" customHeight="1">
      <c r="AN1095" s="418"/>
      <c r="AO1095" s="418"/>
      <c r="AP1095" s="418"/>
      <c r="AQ1095" s="418"/>
      <c r="AR1095" s="418"/>
      <c r="AS1095" s="418"/>
      <c r="AT1095" s="418"/>
      <c r="AU1095" s="418"/>
      <c r="AV1095" s="418"/>
      <c r="AW1095" s="418"/>
      <c r="AX1095" s="418"/>
      <c r="AY1095" s="418"/>
      <c r="AZ1095" s="418"/>
    </row>
    <row r="1096" spans="40:52" ht="15.75" customHeight="1">
      <c r="AN1096" s="418"/>
      <c r="AO1096" s="418"/>
      <c r="AP1096" s="418"/>
      <c r="AQ1096" s="418"/>
      <c r="AR1096" s="418"/>
      <c r="AS1096" s="418"/>
      <c r="AT1096" s="418"/>
      <c r="AU1096" s="418"/>
      <c r="AV1096" s="418"/>
      <c r="AW1096" s="418"/>
      <c r="AX1096" s="418"/>
      <c r="AY1096" s="418"/>
      <c r="AZ1096" s="418"/>
    </row>
    <row r="1097" spans="40:52" ht="15.75" customHeight="1">
      <c r="AN1097" s="418"/>
      <c r="AO1097" s="418"/>
      <c r="AP1097" s="418"/>
      <c r="AQ1097" s="418"/>
      <c r="AR1097" s="418"/>
      <c r="AS1097" s="418"/>
      <c r="AT1097" s="418"/>
      <c r="AU1097" s="418"/>
      <c r="AV1097" s="418"/>
      <c r="AW1097" s="418"/>
      <c r="AX1097" s="418"/>
      <c r="AY1097" s="418"/>
      <c r="AZ1097" s="418"/>
    </row>
    <row r="1098" spans="40:52" ht="15.75" customHeight="1">
      <c r="AN1098" s="418"/>
      <c r="AO1098" s="418"/>
      <c r="AP1098" s="418"/>
      <c r="AQ1098" s="418"/>
      <c r="AR1098" s="418"/>
      <c r="AS1098" s="418"/>
      <c r="AT1098" s="418"/>
      <c r="AU1098" s="418"/>
      <c r="AV1098" s="418"/>
      <c r="AW1098" s="418"/>
      <c r="AX1098" s="418"/>
      <c r="AY1098" s="418"/>
      <c r="AZ1098" s="418"/>
    </row>
    <row r="1099" spans="40:52" ht="15.75" customHeight="1">
      <c r="AN1099" s="418"/>
      <c r="AO1099" s="418"/>
      <c r="AP1099" s="418"/>
      <c r="AQ1099" s="418"/>
      <c r="AR1099" s="418"/>
      <c r="AS1099" s="418"/>
      <c r="AT1099" s="418"/>
      <c r="AU1099" s="418"/>
      <c r="AV1099" s="418"/>
      <c r="AW1099" s="418"/>
      <c r="AX1099" s="418"/>
      <c r="AY1099" s="418"/>
      <c r="AZ1099" s="418"/>
    </row>
    <row r="1100" spans="40:52" ht="15.75" customHeight="1">
      <c r="AN1100" s="418"/>
      <c r="AO1100" s="418"/>
      <c r="AP1100" s="418"/>
      <c r="AQ1100" s="418"/>
      <c r="AR1100" s="418"/>
      <c r="AS1100" s="418"/>
      <c r="AT1100" s="418"/>
      <c r="AU1100" s="418"/>
      <c r="AV1100" s="418"/>
      <c r="AW1100" s="418"/>
      <c r="AX1100" s="418"/>
      <c r="AY1100" s="418"/>
      <c r="AZ1100" s="418"/>
    </row>
    <row r="1101" spans="40:52" ht="15.75" customHeight="1">
      <c r="AN1101" s="418"/>
      <c r="AO1101" s="418"/>
      <c r="AP1101" s="418"/>
      <c r="AQ1101" s="418"/>
      <c r="AR1101" s="418"/>
      <c r="AS1101" s="418"/>
      <c r="AT1101" s="418"/>
      <c r="AU1101" s="418"/>
      <c r="AV1101" s="418"/>
      <c r="AW1101" s="418"/>
      <c r="AX1101" s="418"/>
      <c r="AY1101" s="418"/>
      <c r="AZ1101" s="418"/>
    </row>
    <row r="1102" spans="40:52" ht="15.75" customHeight="1">
      <c r="AN1102" s="418"/>
      <c r="AO1102" s="418"/>
      <c r="AP1102" s="418"/>
      <c r="AQ1102" s="418"/>
      <c r="AR1102" s="418"/>
      <c r="AS1102" s="418"/>
      <c r="AT1102" s="418"/>
      <c r="AU1102" s="418"/>
      <c r="AV1102" s="418"/>
      <c r="AW1102" s="418"/>
      <c r="AX1102" s="418"/>
      <c r="AY1102" s="418"/>
      <c r="AZ1102" s="418"/>
    </row>
    <row r="1103" spans="40:52" ht="15.75" customHeight="1">
      <c r="AN1103" s="418"/>
      <c r="AO1103" s="418"/>
      <c r="AP1103" s="418"/>
      <c r="AQ1103" s="418"/>
      <c r="AR1103" s="418"/>
      <c r="AS1103" s="418"/>
      <c r="AT1103" s="418"/>
      <c r="AU1103" s="418"/>
      <c r="AV1103" s="418"/>
      <c r="AW1103" s="418"/>
      <c r="AX1103" s="418"/>
      <c r="AY1103" s="418"/>
      <c r="AZ1103" s="418"/>
    </row>
    <row r="1104" spans="40:52" ht="15.75" customHeight="1">
      <c r="AN1104" s="418"/>
      <c r="AO1104" s="418"/>
      <c r="AP1104" s="418"/>
      <c r="AQ1104" s="418"/>
      <c r="AR1104" s="418"/>
      <c r="AS1104" s="418"/>
      <c r="AT1104" s="418"/>
      <c r="AU1104" s="418"/>
      <c r="AV1104" s="418"/>
      <c r="AW1104" s="418"/>
      <c r="AX1104" s="418"/>
      <c r="AY1104" s="418"/>
      <c r="AZ1104" s="418"/>
    </row>
    <row r="1105" spans="40:52" ht="15.75" customHeight="1">
      <c r="AN1105" s="418"/>
      <c r="AO1105" s="418"/>
      <c r="AP1105" s="418"/>
      <c r="AQ1105" s="418"/>
      <c r="AR1105" s="418"/>
      <c r="AS1105" s="418"/>
      <c r="AT1105" s="418"/>
      <c r="AU1105" s="418"/>
      <c r="AV1105" s="418"/>
      <c r="AW1105" s="418"/>
      <c r="AX1105" s="418"/>
      <c r="AY1105" s="418"/>
      <c r="AZ1105" s="418"/>
    </row>
    <row r="1106" spans="40:52" ht="15.75" customHeight="1">
      <c r="AN1106" s="418"/>
      <c r="AO1106" s="418"/>
      <c r="AP1106" s="418"/>
      <c r="AQ1106" s="418"/>
      <c r="AR1106" s="418"/>
      <c r="AS1106" s="418"/>
      <c r="AT1106" s="418"/>
      <c r="AU1106" s="418"/>
      <c r="AV1106" s="418"/>
      <c r="AW1106" s="418"/>
      <c r="AX1106" s="418"/>
      <c r="AY1106" s="418"/>
      <c r="AZ1106" s="418"/>
    </row>
    <row r="1107" spans="40:52" ht="15.75" customHeight="1">
      <c r="AN1107" s="418"/>
      <c r="AO1107" s="418"/>
      <c r="AP1107" s="418"/>
      <c r="AQ1107" s="418"/>
      <c r="AR1107" s="418"/>
      <c r="AS1107" s="418"/>
      <c r="AT1107" s="418"/>
      <c r="AU1107" s="418"/>
      <c r="AV1107" s="418"/>
      <c r="AW1107" s="418"/>
      <c r="AX1107" s="418"/>
      <c r="AY1107" s="418"/>
      <c r="AZ1107" s="418"/>
    </row>
    <row r="1108" spans="40:52" ht="15.75" customHeight="1">
      <c r="AN1108" s="418"/>
      <c r="AO1108" s="418"/>
      <c r="AP1108" s="418"/>
      <c r="AQ1108" s="418"/>
      <c r="AR1108" s="418"/>
      <c r="AS1108" s="418"/>
      <c r="AT1108" s="418"/>
      <c r="AU1108" s="418"/>
      <c r="AV1108" s="418"/>
      <c r="AW1108" s="418"/>
      <c r="AX1108" s="418"/>
      <c r="AY1108" s="418"/>
      <c r="AZ1108" s="418"/>
    </row>
    <row r="1109" spans="40:52" ht="15.75" customHeight="1">
      <c r="AN1109" s="418"/>
      <c r="AO1109" s="418"/>
      <c r="AP1109" s="418"/>
      <c r="AQ1109" s="418"/>
      <c r="AR1109" s="418"/>
      <c r="AS1109" s="418"/>
      <c r="AT1109" s="418"/>
      <c r="AU1109" s="418"/>
      <c r="AV1109" s="418"/>
      <c r="AW1109" s="418"/>
      <c r="AX1109" s="418"/>
      <c r="AY1109" s="418"/>
      <c r="AZ1109" s="418"/>
    </row>
    <row r="1110" spans="40:52" ht="15.75" customHeight="1">
      <c r="AN1110" s="418"/>
      <c r="AO1110" s="418"/>
      <c r="AP1110" s="418"/>
      <c r="AQ1110" s="418"/>
      <c r="AR1110" s="418"/>
      <c r="AS1110" s="418"/>
      <c r="AT1110" s="418"/>
      <c r="AU1110" s="418"/>
      <c r="AV1110" s="418"/>
      <c r="AW1110" s="418"/>
      <c r="AX1110" s="418"/>
      <c r="AY1110" s="418"/>
      <c r="AZ1110" s="418"/>
    </row>
    <row r="1111" spans="40:52" ht="15.75" customHeight="1">
      <c r="AN1111" s="418"/>
      <c r="AO1111" s="418"/>
      <c r="AP1111" s="418"/>
      <c r="AQ1111" s="418"/>
      <c r="AR1111" s="418"/>
      <c r="AS1111" s="418"/>
      <c r="AT1111" s="418"/>
      <c r="AU1111" s="418"/>
      <c r="AV1111" s="418"/>
      <c r="AW1111" s="418"/>
      <c r="AX1111" s="418"/>
      <c r="AY1111" s="418"/>
      <c r="AZ1111" s="418"/>
    </row>
    <row r="1112" spans="40:52" ht="15.75" customHeight="1">
      <c r="AN1112" s="418"/>
      <c r="AO1112" s="418"/>
      <c r="AP1112" s="418"/>
      <c r="AQ1112" s="418"/>
      <c r="AR1112" s="418"/>
      <c r="AS1112" s="418"/>
      <c r="AT1112" s="418"/>
      <c r="AU1112" s="418"/>
      <c r="AV1112" s="418"/>
      <c r="AW1112" s="418"/>
      <c r="AX1112" s="418"/>
      <c r="AY1112" s="418"/>
      <c r="AZ1112" s="418"/>
    </row>
    <row r="1113" spans="40:52" ht="15.75" customHeight="1">
      <c r="AN1113" s="418"/>
      <c r="AO1113" s="418"/>
      <c r="AP1113" s="418"/>
      <c r="AQ1113" s="418"/>
      <c r="AR1113" s="418"/>
      <c r="AS1113" s="418"/>
      <c r="AT1113" s="418"/>
      <c r="AU1113" s="418"/>
      <c r="AV1113" s="418"/>
      <c r="AW1113" s="418"/>
      <c r="AX1113" s="418"/>
      <c r="AY1113" s="418"/>
      <c r="AZ1113" s="418"/>
    </row>
    <row r="1114" spans="40:52" ht="15.75" customHeight="1">
      <c r="AN1114" s="418"/>
      <c r="AO1114" s="418"/>
      <c r="AP1114" s="418"/>
      <c r="AQ1114" s="418"/>
      <c r="AR1114" s="418"/>
      <c r="AS1114" s="418"/>
      <c r="AT1114" s="418"/>
      <c r="AU1114" s="418"/>
      <c r="AV1114" s="418"/>
      <c r="AW1114" s="418"/>
      <c r="AX1114" s="418"/>
      <c r="AY1114" s="418"/>
      <c r="AZ1114" s="418"/>
    </row>
    <row r="1115" spans="40:52" ht="15.75" customHeight="1">
      <c r="AN1115" s="418"/>
      <c r="AO1115" s="418"/>
      <c r="AP1115" s="418"/>
      <c r="AQ1115" s="418"/>
      <c r="AR1115" s="418"/>
      <c r="AS1115" s="418"/>
      <c r="AT1115" s="418"/>
      <c r="AU1115" s="418"/>
      <c r="AV1115" s="418"/>
      <c r="AW1115" s="418"/>
      <c r="AX1115" s="418"/>
      <c r="AY1115" s="418"/>
      <c r="AZ1115" s="418"/>
    </row>
    <row r="1116" spans="40:52" ht="15.75" customHeight="1">
      <c r="AN1116" s="418"/>
      <c r="AO1116" s="418"/>
      <c r="AP1116" s="418"/>
      <c r="AQ1116" s="418"/>
      <c r="AR1116" s="418"/>
      <c r="AS1116" s="418"/>
      <c r="AT1116" s="418"/>
      <c r="AU1116" s="418"/>
      <c r="AV1116" s="418"/>
      <c r="AW1116" s="418"/>
      <c r="AX1116" s="418"/>
      <c r="AY1116" s="418"/>
      <c r="AZ1116" s="418"/>
    </row>
    <row r="1117" spans="40:52" ht="15.75" customHeight="1">
      <c r="AN1117" s="418"/>
      <c r="AO1117" s="418"/>
      <c r="AP1117" s="418"/>
      <c r="AQ1117" s="418"/>
      <c r="AR1117" s="418"/>
      <c r="AS1117" s="418"/>
      <c r="AT1117" s="418"/>
      <c r="AU1117" s="418"/>
      <c r="AV1117" s="418"/>
      <c r="AW1117" s="418"/>
      <c r="AX1117" s="418"/>
      <c r="AY1117" s="418"/>
      <c r="AZ1117" s="418"/>
    </row>
    <row r="1118" spans="40:52" ht="15.75" customHeight="1">
      <c r="AN1118" s="418"/>
      <c r="AO1118" s="418"/>
      <c r="AP1118" s="418"/>
      <c r="AQ1118" s="418"/>
      <c r="AR1118" s="418"/>
      <c r="AS1118" s="418"/>
      <c r="AT1118" s="418"/>
      <c r="AU1118" s="418"/>
      <c r="AV1118" s="418"/>
      <c r="AW1118" s="418"/>
      <c r="AX1118" s="418"/>
      <c r="AY1118" s="418"/>
      <c r="AZ1118" s="418"/>
    </row>
    <row r="1119" spans="40:52" ht="15.75" customHeight="1">
      <c r="AN1119" s="418"/>
      <c r="AO1119" s="418"/>
      <c r="AP1119" s="418"/>
      <c r="AQ1119" s="418"/>
      <c r="AR1119" s="418"/>
      <c r="AS1119" s="418"/>
      <c r="AT1119" s="418"/>
      <c r="AU1119" s="418"/>
      <c r="AV1119" s="418"/>
      <c r="AW1119" s="418"/>
      <c r="AX1119" s="418"/>
      <c r="AY1119" s="418"/>
      <c r="AZ1119" s="418"/>
    </row>
    <row r="1120" spans="40:52" ht="15.75" customHeight="1">
      <c r="AN1120" s="418"/>
      <c r="AO1120" s="418"/>
      <c r="AP1120" s="418"/>
      <c r="AQ1120" s="418"/>
      <c r="AR1120" s="418"/>
      <c r="AS1120" s="418"/>
      <c r="AT1120" s="418"/>
      <c r="AU1120" s="418"/>
      <c r="AV1120" s="418"/>
      <c r="AW1120" s="418"/>
      <c r="AX1120" s="418"/>
      <c r="AY1120" s="418"/>
      <c r="AZ1120" s="418"/>
    </row>
    <row r="1121" spans="40:52" ht="15.75" customHeight="1">
      <c r="AN1121" s="418"/>
      <c r="AO1121" s="418"/>
      <c r="AP1121" s="418"/>
      <c r="AQ1121" s="418"/>
      <c r="AR1121" s="418"/>
      <c r="AS1121" s="418"/>
      <c r="AT1121" s="418"/>
      <c r="AU1121" s="418"/>
      <c r="AV1121" s="418"/>
      <c r="AW1121" s="418"/>
      <c r="AX1121" s="418"/>
      <c r="AY1121" s="418"/>
      <c r="AZ1121" s="418"/>
    </row>
    <row r="1122" spans="40:52" ht="15.75" customHeight="1">
      <c r="AN1122" s="418"/>
      <c r="AO1122" s="418"/>
      <c r="AP1122" s="418"/>
      <c r="AQ1122" s="418"/>
      <c r="AR1122" s="418"/>
      <c r="AS1122" s="418"/>
      <c r="AT1122" s="418"/>
      <c r="AU1122" s="418"/>
      <c r="AV1122" s="418"/>
      <c r="AW1122" s="418"/>
      <c r="AX1122" s="418"/>
      <c r="AY1122" s="418"/>
      <c r="AZ1122" s="418"/>
    </row>
    <row r="1123" spans="40:52" ht="15.75" customHeight="1">
      <c r="AN1123" s="418"/>
      <c r="AO1123" s="418"/>
      <c r="AP1123" s="418"/>
      <c r="AQ1123" s="418"/>
      <c r="AR1123" s="418"/>
      <c r="AS1123" s="418"/>
      <c r="AT1123" s="418"/>
      <c r="AU1123" s="418"/>
      <c r="AV1123" s="418"/>
      <c r="AW1123" s="418"/>
      <c r="AX1123" s="418"/>
      <c r="AY1123" s="418"/>
      <c r="AZ1123" s="418"/>
    </row>
    <row r="1124" spans="40:52" ht="15.75" customHeight="1">
      <c r="AN1124" s="418"/>
      <c r="AO1124" s="418"/>
      <c r="AP1124" s="418"/>
      <c r="AQ1124" s="418"/>
      <c r="AR1124" s="418"/>
      <c r="AS1124" s="418"/>
      <c r="AT1124" s="418"/>
      <c r="AU1124" s="418"/>
      <c r="AV1124" s="418"/>
      <c r="AW1124" s="418"/>
      <c r="AX1124" s="418"/>
      <c r="AY1124" s="418"/>
      <c r="AZ1124" s="418"/>
    </row>
    <row r="1125" spans="40:52" ht="15.75" customHeight="1">
      <c r="AN1125" s="418"/>
      <c r="AO1125" s="418"/>
      <c r="AP1125" s="418"/>
      <c r="AQ1125" s="418"/>
      <c r="AR1125" s="418"/>
      <c r="AS1125" s="418"/>
      <c r="AT1125" s="418"/>
      <c r="AU1125" s="418"/>
      <c r="AV1125" s="418"/>
      <c r="AW1125" s="418"/>
      <c r="AX1125" s="418"/>
      <c r="AY1125" s="418"/>
      <c r="AZ1125" s="418"/>
    </row>
    <row r="1126" spans="40:52" ht="15.75" customHeight="1">
      <c r="AN1126" s="418"/>
      <c r="AO1126" s="418"/>
      <c r="AP1126" s="418"/>
      <c r="AQ1126" s="418"/>
      <c r="AR1126" s="418"/>
      <c r="AS1126" s="418"/>
      <c r="AT1126" s="418"/>
      <c r="AU1126" s="418"/>
      <c r="AV1126" s="418"/>
      <c r="AW1126" s="418"/>
      <c r="AX1126" s="418"/>
      <c r="AY1126" s="418"/>
      <c r="AZ1126" s="418"/>
    </row>
    <row r="1127" spans="40:52" ht="15.75" customHeight="1">
      <c r="AN1127" s="418"/>
      <c r="AO1127" s="418"/>
      <c r="AP1127" s="418"/>
      <c r="AQ1127" s="418"/>
      <c r="AR1127" s="418"/>
      <c r="AS1127" s="418"/>
      <c r="AT1127" s="418"/>
      <c r="AU1127" s="418"/>
      <c r="AV1127" s="418"/>
      <c r="AW1127" s="418"/>
      <c r="AX1127" s="418"/>
      <c r="AY1127" s="418"/>
      <c r="AZ1127" s="418"/>
    </row>
    <row r="1128" spans="40:52" ht="15.75" customHeight="1">
      <c r="AN1128" s="418"/>
      <c r="AO1128" s="418"/>
      <c r="AP1128" s="418"/>
      <c r="AQ1128" s="418"/>
      <c r="AR1128" s="418"/>
      <c r="AS1128" s="418"/>
      <c r="AT1128" s="418"/>
      <c r="AU1128" s="418"/>
      <c r="AV1128" s="418"/>
      <c r="AW1128" s="418"/>
      <c r="AX1128" s="418"/>
      <c r="AY1128" s="418"/>
      <c r="AZ1128" s="418"/>
    </row>
    <row r="1129" spans="40:52" ht="15.75" customHeight="1">
      <c r="AN1129" s="418"/>
      <c r="AO1129" s="418"/>
      <c r="AP1129" s="418"/>
      <c r="AQ1129" s="418"/>
      <c r="AR1129" s="418"/>
      <c r="AS1129" s="418"/>
      <c r="AT1129" s="418"/>
      <c r="AU1129" s="418"/>
      <c r="AV1129" s="418"/>
      <c r="AW1129" s="418"/>
      <c r="AX1129" s="418"/>
      <c r="AY1129" s="418"/>
      <c r="AZ1129" s="418"/>
    </row>
    <row r="1130" spans="40:52" ht="15.75" customHeight="1">
      <c r="AN1130" s="418"/>
      <c r="AO1130" s="418"/>
      <c r="AP1130" s="418"/>
      <c r="AQ1130" s="418"/>
      <c r="AR1130" s="418"/>
      <c r="AS1130" s="418"/>
      <c r="AT1130" s="418"/>
      <c r="AU1130" s="418"/>
      <c r="AV1130" s="418"/>
      <c r="AW1130" s="418"/>
      <c r="AX1130" s="418"/>
      <c r="AY1130" s="418"/>
      <c r="AZ1130" s="418"/>
    </row>
    <row r="1131" spans="40:52" ht="15.75" customHeight="1">
      <c r="AN1131" s="418"/>
      <c r="AO1131" s="418"/>
      <c r="AP1131" s="418"/>
      <c r="AQ1131" s="418"/>
      <c r="AR1131" s="418"/>
      <c r="AS1131" s="418"/>
      <c r="AT1131" s="418"/>
      <c r="AU1131" s="418"/>
      <c r="AV1131" s="418"/>
      <c r="AW1131" s="418"/>
      <c r="AX1131" s="418"/>
      <c r="AY1131" s="418"/>
      <c r="AZ1131" s="418"/>
    </row>
    <row r="1132" spans="40:52" ht="15.75" customHeight="1">
      <c r="AN1132" s="418"/>
      <c r="AO1132" s="418"/>
      <c r="AP1132" s="418"/>
      <c r="AQ1132" s="418"/>
      <c r="AR1132" s="418"/>
      <c r="AS1132" s="418"/>
      <c r="AT1132" s="418"/>
      <c r="AU1132" s="418"/>
      <c r="AV1132" s="418"/>
      <c r="AW1132" s="418"/>
      <c r="AX1132" s="418"/>
      <c r="AY1132" s="418"/>
      <c r="AZ1132" s="418"/>
    </row>
    <row r="1133" spans="40:52" ht="15.75" customHeight="1">
      <c r="AN1133" s="418"/>
      <c r="AO1133" s="418"/>
      <c r="AP1133" s="418"/>
      <c r="AQ1133" s="418"/>
      <c r="AR1133" s="418"/>
      <c r="AS1133" s="418"/>
      <c r="AT1133" s="418"/>
      <c r="AU1133" s="418"/>
      <c r="AV1133" s="418"/>
      <c r="AW1133" s="418"/>
      <c r="AX1133" s="418"/>
      <c r="AY1133" s="418"/>
      <c r="AZ1133" s="418"/>
    </row>
    <row r="1134" spans="40:52" ht="15.75" customHeight="1">
      <c r="AN1134" s="418"/>
      <c r="AO1134" s="418"/>
      <c r="AP1134" s="418"/>
      <c r="AQ1134" s="418"/>
      <c r="AR1134" s="418"/>
      <c r="AS1134" s="418"/>
      <c r="AT1134" s="418"/>
      <c r="AU1134" s="418"/>
      <c r="AV1134" s="418"/>
      <c r="AW1134" s="418"/>
      <c r="AX1134" s="418"/>
      <c r="AY1134" s="418"/>
      <c r="AZ1134" s="418"/>
    </row>
    <row r="1135" spans="40:52" ht="15.75" customHeight="1">
      <c r="AN1135" s="418"/>
      <c r="AO1135" s="418"/>
      <c r="AP1135" s="418"/>
      <c r="AQ1135" s="418"/>
      <c r="AR1135" s="418"/>
      <c r="AS1135" s="418"/>
      <c r="AT1135" s="418"/>
      <c r="AU1135" s="418"/>
      <c r="AV1135" s="418"/>
      <c r="AW1135" s="418"/>
      <c r="AX1135" s="418"/>
      <c r="AY1135" s="418"/>
      <c r="AZ1135" s="418"/>
    </row>
    <row r="1136" spans="40:52" ht="15.75" customHeight="1">
      <c r="AN1136" s="418"/>
      <c r="AO1136" s="418"/>
      <c r="AP1136" s="418"/>
      <c r="AQ1136" s="418"/>
      <c r="AR1136" s="418"/>
      <c r="AS1136" s="418"/>
      <c r="AT1136" s="418"/>
      <c r="AU1136" s="418"/>
      <c r="AV1136" s="418"/>
      <c r="AW1136" s="418"/>
      <c r="AX1136" s="418"/>
      <c r="AY1136" s="418"/>
      <c r="AZ1136" s="418"/>
    </row>
    <row r="1137" spans="40:52" ht="15.75" customHeight="1">
      <c r="AN1137" s="418"/>
      <c r="AO1137" s="418"/>
      <c r="AP1137" s="418"/>
      <c r="AQ1137" s="418"/>
      <c r="AR1137" s="418"/>
      <c r="AS1137" s="418"/>
      <c r="AT1137" s="418"/>
      <c r="AU1137" s="418"/>
      <c r="AV1137" s="418"/>
      <c r="AW1137" s="418"/>
      <c r="AX1137" s="418"/>
      <c r="AY1137" s="418"/>
      <c r="AZ1137" s="418"/>
    </row>
    <row r="1138" spans="40:52" ht="15.75" customHeight="1">
      <c r="AN1138" s="418"/>
      <c r="AO1138" s="418"/>
      <c r="AP1138" s="418"/>
      <c r="AQ1138" s="418"/>
      <c r="AR1138" s="418"/>
      <c r="AS1138" s="418"/>
      <c r="AT1138" s="418"/>
      <c r="AU1138" s="418"/>
      <c r="AV1138" s="418"/>
      <c r="AW1138" s="418"/>
      <c r="AX1138" s="418"/>
      <c r="AY1138" s="418"/>
      <c r="AZ1138" s="418"/>
    </row>
    <row r="1139" spans="40:52" ht="15.75" customHeight="1">
      <c r="AN1139" s="418"/>
      <c r="AO1139" s="418"/>
      <c r="AP1139" s="418"/>
      <c r="AQ1139" s="418"/>
      <c r="AR1139" s="418"/>
      <c r="AS1139" s="418"/>
      <c r="AT1139" s="418"/>
      <c r="AU1139" s="418"/>
      <c r="AV1139" s="418"/>
      <c r="AW1139" s="418"/>
      <c r="AX1139" s="418"/>
      <c r="AY1139" s="418"/>
      <c r="AZ1139" s="418"/>
    </row>
    <row r="1140" spans="40:52" ht="15.75" customHeight="1">
      <c r="AN1140" s="418"/>
      <c r="AO1140" s="418"/>
      <c r="AP1140" s="418"/>
      <c r="AQ1140" s="418"/>
      <c r="AR1140" s="418"/>
      <c r="AS1140" s="418"/>
      <c r="AT1140" s="418"/>
      <c r="AU1140" s="418"/>
      <c r="AV1140" s="418"/>
      <c r="AW1140" s="418"/>
      <c r="AX1140" s="418"/>
      <c r="AY1140" s="418"/>
      <c r="AZ1140" s="418"/>
    </row>
    <row r="1141" spans="40:52" ht="15.75" customHeight="1">
      <c r="AN1141" s="418"/>
      <c r="AO1141" s="418"/>
      <c r="AP1141" s="418"/>
      <c r="AQ1141" s="418"/>
      <c r="AR1141" s="418"/>
      <c r="AS1141" s="418"/>
      <c r="AT1141" s="418"/>
      <c r="AU1141" s="418"/>
      <c r="AV1141" s="418"/>
      <c r="AW1141" s="418"/>
      <c r="AX1141" s="418"/>
      <c r="AY1141" s="418"/>
      <c r="AZ1141" s="418"/>
    </row>
    <row r="1142" spans="40:52" ht="15.75" customHeight="1">
      <c r="AN1142" s="418"/>
      <c r="AO1142" s="418"/>
      <c r="AP1142" s="418"/>
      <c r="AQ1142" s="418"/>
      <c r="AR1142" s="418"/>
      <c r="AS1142" s="418"/>
      <c r="AT1142" s="418"/>
      <c r="AU1142" s="418"/>
      <c r="AV1142" s="418"/>
      <c r="AW1142" s="418"/>
      <c r="AX1142" s="418"/>
      <c r="AY1142" s="418"/>
      <c r="AZ1142" s="418"/>
    </row>
    <row r="1143" spans="40:52" ht="15.75" customHeight="1">
      <c r="AN1143" s="418"/>
      <c r="AO1143" s="418"/>
      <c r="AP1143" s="418"/>
      <c r="AQ1143" s="418"/>
      <c r="AR1143" s="418"/>
      <c r="AS1143" s="418"/>
      <c r="AT1143" s="418"/>
      <c r="AU1143" s="418"/>
      <c r="AV1143" s="418"/>
      <c r="AW1143" s="418"/>
      <c r="AX1143" s="418"/>
      <c r="AY1143" s="418"/>
      <c r="AZ1143" s="418"/>
    </row>
    <row r="1144" spans="40:52" ht="15.75" customHeight="1">
      <c r="AN1144" s="418"/>
      <c r="AO1144" s="418"/>
      <c r="AP1144" s="418"/>
      <c r="AQ1144" s="418"/>
      <c r="AR1144" s="418"/>
      <c r="AS1144" s="418"/>
      <c r="AT1144" s="418"/>
      <c r="AU1144" s="418"/>
      <c r="AV1144" s="418"/>
      <c r="AW1144" s="418"/>
      <c r="AX1144" s="418"/>
      <c r="AY1144" s="418"/>
      <c r="AZ1144" s="418"/>
    </row>
    <row r="1145" spans="40:52" ht="15.75" customHeight="1">
      <c r="AN1145" s="418"/>
      <c r="AO1145" s="418"/>
      <c r="AP1145" s="418"/>
      <c r="AQ1145" s="418"/>
      <c r="AR1145" s="418"/>
      <c r="AS1145" s="418"/>
      <c r="AT1145" s="418"/>
      <c r="AU1145" s="418"/>
      <c r="AV1145" s="418"/>
      <c r="AW1145" s="418"/>
      <c r="AX1145" s="418"/>
      <c r="AY1145" s="418"/>
      <c r="AZ1145" s="418"/>
    </row>
    <row r="1146" spans="40:52" ht="15.75" customHeight="1">
      <c r="AN1146" s="418"/>
      <c r="AO1146" s="418"/>
      <c r="AP1146" s="418"/>
      <c r="AQ1146" s="418"/>
      <c r="AR1146" s="418"/>
      <c r="AS1146" s="418"/>
      <c r="AT1146" s="418"/>
      <c r="AU1146" s="418"/>
      <c r="AV1146" s="418"/>
      <c r="AW1146" s="418"/>
      <c r="AX1146" s="418"/>
      <c r="AY1146" s="418"/>
      <c r="AZ1146" s="418"/>
    </row>
    <row r="1147" spans="40:52" ht="15.75" customHeight="1">
      <c r="AN1147" s="418"/>
      <c r="AO1147" s="418"/>
      <c r="AP1147" s="418"/>
      <c r="AQ1147" s="418"/>
      <c r="AR1147" s="418"/>
      <c r="AS1147" s="418"/>
      <c r="AT1147" s="418"/>
      <c r="AU1147" s="418"/>
      <c r="AV1147" s="418"/>
      <c r="AW1147" s="418"/>
      <c r="AX1147" s="418"/>
      <c r="AY1147" s="418"/>
      <c r="AZ1147" s="418"/>
    </row>
    <row r="1148" spans="40:52" ht="15.75" customHeight="1">
      <c r="AN1148" s="418"/>
      <c r="AO1148" s="418"/>
      <c r="AP1148" s="418"/>
      <c r="AQ1148" s="418"/>
      <c r="AR1148" s="418"/>
      <c r="AS1148" s="418"/>
      <c r="AT1148" s="418"/>
      <c r="AU1148" s="418"/>
      <c r="AV1148" s="418"/>
      <c r="AW1148" s="418"/>
      <c r="AX1148" s="418"/>
      <c r="AY1148" s="418"/>
      <c r="AZ1148" s="418"/>
    </row>
    <row r="1149" spans="40:52" ht="15.75" customHeight="1">
      <c r="AN1149" s="418"/>
      <c r="AO1149" s="418"/>
      <c r="AP1149" s="418"/>
      <c r="AQ1149" s="418"/>
      <c r="AR1149" s="418"/>
      <c r="AS1149" s="418"/>
      <c r="AT1149" s="418"/>
      <c r="AU1149" s="418"/>
      <c r="AV1149" s="418"/>
      <c r="AW1149" s="418"/>
      <c r="AX1149" s="418"/>
      <c r="AY1149" s="418"/>
      <c r="AZ1149" s="418"/>
    </row>
    <row r="1150" spans="40:52" ht="15.75" customHeight="1">
      <c r="AN1150" s="418"/>
      <c r="AO1150" s="418"/>
      <c r="AP1150" s="418"/>
      <c r="AQ1150" s="418"/>
      <c r="AR1150" s="418"/>
      <c r="AS1150" s="418"/>
      <c r="AT1150" s="418"/>
      <c r="AU1150" s="418"/>
      <c r="AV1150" s="418"/>
      <c r="AW1150" s="418"/>
      <c r="AX1150" s="418"/>
      <c r="AY1150" s="418"/>
      <c r="AZ1150" s="418"/>
    </row>
    <row r="1151" spans="40:52" ht="15.75" customHeight="1">
      <c r="AN1151" s="418"/>
      <c r="AO1151" s="418"/>
      <c r="AP1151" s="418"/>
      <c r="AQ1151" s="418"/>
      <c r="AR1151" s="418"/>
      <c r="AS1151" s="418"/>
      <c r="AT1151" s="418"/>
      <c r="AU1151" s="418"/>
      <c r="AV1151" s="418"/>
      <c r="AW1151" s="418"/>
      <c r="AX1151" s="418"/>
      <c r="AY1151" s="418"/>
      <c r="AZ1151" s="418"/>
    </row>
    <row r="1152" spans="40:52" ht="15.75" customHeight="1">
      <c r="AN1152" s="418"/>
      <c r="AO1152" s="418"/>
      <c r="AP1152" s="418"/>
      <c r="AQ1152" s="418"/>
      <c r="AR1152" s="418"/>
      <c r="AS1152" s="418"/>
      <c r="AT1152" s="418"/>
      <c r="AU1152" s="418"/>
      <c r="AV1152" s="418"/>
      <c r="AW1152" s="418"/>
      <c r="AX1152" s="418"/>
      <c r="AY1152" s="418"/>
      <c r="AZ1152" s="418"/>
    </row>
    <row r="1153" spans="40:52" ht="15.75" customHeight="1">
      <c r="AN1153" s="418"/>
      <c r="AO1153" s="418"/>
      <c r="AP1153" s="418"/>
      <c r="AQ1153" s="418"/>
      <c r="AR1153" s="418"/>
      <c r="AS1153" s="418"/>
      <c r="AT1153" s="418"/>
      <c r="AU1153" s="418"/>
      <c r="AV1153" s="418"/>
      <c r="AW1153" s="418"/>
      <c r="AX1153" s="418"/>
      <c r="AY1153" s="418"/>
      <c r="AZ1153" s="418"/>
    </row>
    <row r="1154" spans="40:52" ht="15.75" customHeight="1">
      <c r="AN1154" s="418"/>
      <c r="AO1154" s="418"/>
      <c r="AP1154" s="418"/>
      <c r="AQ1154" s="418"/>
      <c r="AR1154" s="418"/>
      <c r="AS1154" s="418"/>
      <c r="AT1154" s="418"/>
      <c r="AU1154" s="418"/>
      <c r="AV1154" s="418"/>
      <c r="AW1154" s="418"/>
      <c r="AX1154" s="418"/>
      <c r="AY1154" s="418"/>
      <c r="AZ1154" s="418"/>
    </row>
    <row r="1155" spans="40:52" ht="15.75" customHeight="1">
      <c r="AN1155" s="418"/>
      <c r="AO1155" s="418"/>
      <c r="AP1155" s="418"/>
      <c r="AQ1155" s="418"/>
      <c r="AR1155" s="418"/>
      <c r="AS1155" s="418"/>
      <c r="AT1155" s="418"/>
      <c r="AU1155" s="418"/>
      <c r="AV1155" s="418"/>
      <c r="AW1155" s="418"/>
      <c r="AX1155" s="418"/>
      <c r="AY1155" s="418"/>
      <c r="AZ1155" s="418"/>
    </row>
    <row r="1156" spans="40:52" ht="15.75" customHeight="1">
      <c r="AN1156" s="418"/>
      <c r="AO1156" s="418"/>
      <c r="AP1156" s="418"/>
      <c r="AQ1156" s="418"/>
      <c r="AR1156" s="418"/>
      <c r="AS1156" s="418"/>
      <c r="AT1156" s="418"/>
      <c r="AU1156" s="418"/>
      <c r="AV1156" s="418"/>
      <c r="AW1156" s="418"/>
      <c r="AX1156" s="418"/>
      <c r="AY1156" s="418"/>
      <c r="AZ1156" s="418"/>
    </row>
    <row r="1157" spans="40:52" ht="15.75" customHeight="1">
      <c r="AN1157" s="418"/>
      <c r="AO1157" s="418"/>
      <c r="AP1157" s="418"/>
      <c r="AQ1157" s="418"/>
      <c r="AR1157" s="418"/>
      <c r="AS1157" s="418"/>
      <c r="AT1157" s="418"/>
      <c r="AU1157" s="418"/>
      <c r="AV1157" s="418"/>
      <c r="AW1157" s="418"/>
      <c r="AX1157" s="418"/>
      <c r="AY1157" s="418"/>
      <c r="AZ1157" s="418"/>
    </row>
    <row r="1158" spans="40:52" ht="15.75" customHeight="1">
      <c r="AN1158" s="418"/>
      <c r="AO1158" s="418"/>
      <c r="AP1158" s="418"/>
      <c r="AQ1158" s="418"/>
      <c r="AR1158" s="418"/>
      <c r="AS1158" s="418"/>
      <c r="AT1158" s="418"/>
      <c r="AU1158" s="418"/>
      <c r="AV1158" s="418"/>
      <c r="AW1158" s="418"/>
      <c r="AX1158" s="418"/>
      <c r="AY1158" s="418"/>
      <c r="AZ1158" s="418"/>
    </row>
    <row r="1159" spans="40:52" ht="15.75" customHeight="1">
      <c r="AN1159" s="418"/>
      <c r="AO1159" s="418"/>
      <c r="AP1159" s="418"/>
      <c r="AQ1159" s="418"/>
      <c r="AR1159" s="418"/>
      <c r="AS1159" s="418"/>
      <c r="AT1159" s="418"/>
      <c r="AU1159" s="418"/>
      <c r="AV1159" s="418"/>
      <c r="AW1159" s="418"/>
      <c r="AX1159" s="418"/>
      <c r="AY1159" s="418"/>
      <c r="AZ1159" s="418"/>
    </row>
    <row r="1160" spans="40:52" ht="15.75" customHeight="1">
      <c r="AN1160" s="418"/>
      <c r="AO1160" s="418"/>
      <c r="AP1160" s="418"/>
      <c r="AQ1160" s="418"/>
      <c r="AR1160" s="418"/>
      <c r="AS1160" s="418"/>
      <c r="AT1160" s="418"/>
      <c r="AU1160" s="418"/>
      <c r="AV1160" s="418"/>
      <c r="AW1160" s="418"/>
      <c r="AX1160" s="418"/>
      <c r="AY1160" s="418"/>
      <c r="AZ1160" s="418"/>
    </row>
    <row r="1161" spans="40:52" ht="15.75" customHeight="1">
      <c r="AN1161" s="418"/>
      <c r="AO1161" s="418"/>
      <c r="AP1161" s="418"/>
      <c r="AQ1161" s="418"/>
      <c r="AR1161" s="418"/>
      <c r="AS1161" s="418"/>
      <c r="AT1161" s="418"/>
      <c r="AU1161" s="418"/>
      <c r="AV1161" s="418"/>
      <c r="AW1161" s="418"/>
      <c r="AX1161" s="418"/>
      <c r="AY1161" s="418"/>
      <c r="AZ1161" s="418"/>
    </row>
    <row r="1162" spans="40:52" ht="15.75" customHeight="1">
      <c r="AN1162" s="418"/>
      <c r="AO1162" s="418"/>
      <c r="AP1162" s="418"/>
      <c r="AQ1162" s="418"/>
      <c r="AR1162" s="418"/>
      <c r="AS1162" s="418"/>
      <c r="AT1162" s="418"/>
      <c r="AU1162" s="418"/>
      <c r="AV1162" s="418"/>
      <c r="AW1162" s="418"/>
      <c r="AX1162" s="418"/>
      <c r="AY1162" s="418"/>
      <c r="AZ1162" s="418"/>
    </row>
    <row r="1163" spans="40:52" ht="15.75" customHeight="1">
      <c r="AN1163" s="418"/>
      <c r="AO1163" s="418"/>
      <c r="AP1163" s="418"/>
      <c r="AQ1163" s="418"/>
      <c r="AR1163" s="418"/>
      <c r="AS1163" s="418"/>
      <c r="AT1163" s="418"/>
      <c r="AU1163" s="418"/>
      <c r="AV1163" s="418"/>
      <c r="AW1163" s="418"/>
      <c r="AX1163" s="418"/>
      <c r="AY1163" s="418"/>
      <c r="AZ1163" s="418"/>
    </row>
    <row r="1164" spans="40:52" ht="15.75" customHeight="1">
      <c r="AN1164" s="418"/>
      <c r="AO1164" s="418"/>
      <c r="AP1164" s="418"/>
      <c r="AQ1164" s="418"/>
      <c r="AR1164" s="418"/>
      <c r="AS1164" s="418"/>
      <c r="AT1164" s="418"/>
      <c r="AU1164" s="418"/>
      <c r="AV1164" s="418"/>
      <c r="AW1164" s="418"/>
      <c r="AX1164" s="418"/>
      <c r="AY1164" s="418"/>
      <c r="AZ1164" s="418"/>
    </row>
    <row r="1165" spans="40:52" ht="15.75" customHeight="1">
      <c r="AN1165" s="418"/>
      <c r="AO1165" s="418"/>
      <c r="AP1165" s="418"/>
      <c r="AQ1165" s="418"/>
      <c r="AR1165" s="418"/>
      <c r="AS1165" s="418"/>
      <c r="AT1165" s="418"/>
      <c r="AU1165" s="418"/>
      <c r="AV1165" s="418"/>
      <c r="AW1165" s="418"/>
      <c r="AX1165" s="418"/>
      <c r="AY1165" s="418"/>
      <c r="AZ1165" s="418"/>
    </row>
    <row r="1166" spans="40:52" ht="15.75" customHeight="1">
      <c r="AN1166" s="418"/>
      <c r="AO1166" s="418"/>
      <c r="AP1166" s="418"/>
      <c r="AQ1166" s="418"/>
      <c r="AR1166" s="418"/>
      <c r="AS1166" s="418"/>
      <c r="AT1166" s="418"/>
      <c r="AU1166" s="418"/>
      <c r="AV1166" s="418"/>
      <c r="AW1166" s="418"/>
      <c r="AX1166" s="418"/>
      <c r="AY1166" s="418"/>
      <c r="AZ1166" s="418"/>
    </row>
    <row r="1167" spans="40:52" ht="15.75" customHeight="1">
      <c r="AN1167" s="418"/>
      <c r="AO1167" s="418"/>
      <c r="AP1167" s="418"/>
      <c r="AQ1167" s="418"/>
      <c r="AR1167" s="418"/>
      <c r="AS1167" s="418"/>
      <c r="AT1167" s="418"/>
      <c r="AU1167" s="418"/>
      <c r="AV1167" s="418"/>
      <c r="AW1167" s="418"/>
      <c r="AX1167" s="418"/>
      <c r="AY1167" s="418"/>
      <c r="AZ1167" s="418"/>
    </row>
    <row r="1168" spans="40:52" ht="15.75" customHeight="1">
      <c r="AN1168" s="418"/>
      <c r="AO1168" s="418"/>
      <c r="AP1168" s="418"/>
      <c r="AQ1168" s="418"/>
      <c r="AR1168" s="418"/>
      <c r="AS1168" s="418"/>
      <c r="AT1168" s="418"/>
      <c r="AU1168" s="418"/>
      <c r="AV1168" s="418"/>
      <c r="AW1168" s="418"/>
      <c r="AX1168" s="418"/>
      <c r="AY1168" s="418"/>
      <c r="AZ1168" s="418"/>
    </row>
    <row r="1169" spans="40:52" ht="15.75" customHeight="1">
      <c r="AN1169" s="418"/>
      <c r="AO1169" s="418"/>
      <c r="AP1169" s="418"/>
      <c r="AQ1169" s="418"/>
      <c r="AR1169" s="418"/>
      <c r="AS1169" s="418"/>
      <c r="AT1169" s="418"/>
      <c r="AU1169" s="418"/>
      <c r="AV1169" s="418"/>
      <c r="AW1169" s="418"/>
      <c r="AX1169" s="418"/>
      <c r="AY1169" s="418"/>
      <c r="AZ1169" s="418"/>
    </row>
    <row r="1170" spans="40:52" ht="15.75" customHeight="1">
      <c r="AN1170" s="418"/>
      <c r="AO1170" s="418"/>
      <c r="AP1170" s="418"/>
      <c r="AQ1170" s="418"/>
      <c r="AR1170" s="418"/>
      <c r="AS1170" s="418"/>
      <c r="AT1170" s="418"/>
      <c r="AU1170" s="418"/>
      <c r="AV1170" s="418"/>
      <c r="AW1170" s="418"/>
      <c r="AX1170" s="418"/>
      <c r="AY1170" s="418"/>
      <c r="AZ1170" s="418"/>
    </row>
    <row r="1171" spans="40:52" ht="15.75" customHeight="1">
      <c r="AN1171" s="418"/>
      <c r="AO1171" s="418"/>
      <c r="AP1171" s="418"/>
      <c r="AQ1171" s="418"/>
      <c r="AR1171" s="418"/>
      <c r="AS1171" s="418"/>
      <c r="AT1171" s="418"/>
      <c r="AU1171" s="418"/>
      <c r="AV1171" s="418"/>
      <c r="AW1171" s="418"/>
      <c r="AX1171" s="418"/>
      <c r="AY1171" s="418"/>
      <c r="AZ1171" s="418"/>
    </row>
    <row r="1172" spans="40:52" ht="15.75" customHeight="1">
      <c r="AN1172" s="418"/>
      <c r="AO1172" s="418"/>
      <c r="AP1172" s="418"/>
      <c r="AQ1172" s="418"/>
      <c r="AR1172" s="418"/>
      <c r="AS1172" s="418"/>
      <c r="AT1172" s="418"/>
      <c r="AU1172" s="418"/>
      <c r="AV1172" s="418"/>
      <c r="AW1172" s="418"/>
      <c r="AX1172" s="418"/>
      <c r="AY1172" s="418"/>
      <c r="AZ1172" s="418"/>
    </row>
    <row r="1173" spans="40:52" ht="15.75" customHeight="1">
      <c r="AN1173" s="418"/>
      <c r="AO1173" s="418"/>
      <c r="AP1173" s="418"/>
      <c r="AQ1173" s="418"/>
      <c r="AR1173" s="418"/>
      <c r="AS1173" s="418"/>
      <c r="AT1173" s="418"/>
      <c r="AU1173" s="418"/>
      <c r="AV1173" s="418"/>
      <c r="AW1173" s="418"/>
      <c r="AX1173" s="418"/>
      <c r="AY1173" s="418"/>
      <c r="AZ1173" s="418"/>
    </row>
    <row r="1174" spans="40:52" ht="15.75" customHeight="1">
      <c r="AN1174" s="418"/>
      <c r="AO1174" s="418"/>
      <c r="AP1174" s="418"/>
      <c r="AQ1174" s="418"/>
      <c r="AR1174" s="418"/>
      <c r="AS1174" s="418"/>
      <c r="AT1174" s="418"/>
      <c r="AU1174" s="418"/>
      <c r="AV1174" s="418"/>
      <c r="AW1174" s="418"/>
      <c r="AX1174" s="418"/>
      <c r="AY1174" s="418"/>
      <c r="AZ1174" s="418"/>
    </row>
    <row r="1175" spans="40:52" ht="15.75" customHeight="1">
      <c r="AN1175" s="418"/>
      <c r="AO1175" s="418"/>
      <c r="AP1175" s="418"/>
      <c r="AQ1175" s="418"/>
      <c r="AR1175" s="418"/>
      <c r="AS1175" s="418"/>
      <c r="AT1175" s="418"/>
      <c r="AU1175" s="418"/>
      <c r="AV1175" s="418"/>
      <c r="AW1175" s="418"/>
      <c r="AX1175" s="418"/>
      <c r="AY1175" s="418"/>
      <c r="AZ1175" s="418"/>
    </row>
    <row r="1176" spans="40:52" ht="15.75" customHeight="1">
      <c r="AN1176" s="418"/>
      <c r="AO1176" s="418"/>
      <c r="AP1176" s="418"/>
      <c r="AQ1176" s="418"/>
      <c r="AR1176" s="418"/>
      <c r="AS1176" s="418"/>
      <c r="AT1176" s="418"/>
      <c r="AU1176" s="418"/>
      <c r="AV1176" s="418"/>
      <c r="AW1176" s="418"/>
      <c r="AX1176" s="418"/>
      <c r="AY1176" s="418"/>
      <c r="AZ1176" s="418"/>
    </row>
    <row r="1177" spans="40:52" ht="15.75" customHeight="1">
      <c r="AN1177" s="418"/>
      <c r="AO1177" s="418"/>
      <c r="AP1177" s="418"/>
      <c r="AQ1177" s="418"/>
      <c r="AR1177" s="418"/>
      <c r="AS1177" s="418"/>
      <c r="AT1177" s="418"/>
      <c r="AU1177" s="418"/>
      <c r="AV1177" s="418"/>
      <c r="AW1177" s="418"/>
      <c r="AX1177" s="418"/>
      <c r="AY1177" s="418"/>
      <c r="AZ1177" s="418"/>
    </row>
    <row r="1178" spans="40:52" ht="15.75" customHeight="1">
      <c r="AN1178" s="418"/>
      <c r="AO1178" s="418"/>
      <c r="AP1178" s="418"/>
      <c r="AQ1178" s="418"/>
      <c r="AR1178" s="418"/>
      <c r="AS1178" s="418"/>
      <c r="AT1178" s="418"/>
      <c r="AU1178" s="418"/>
      <c r="AV1178" s="418"/>
      <c r="AW1178" s="418"/>
      <c r="AX1178" s="418"/>
      <c r="AY1178" s="418"/>
      <c r="AZ1178" s="418"/>
    </row>
    <row r="1179" spans="40:52" ht="15.75" customHeight="1">
      <c r="AN1179" s="418"/>
      <c r="AO1179" s="418"/>
      <c r="AP1179" s="418"/>
      <c r="AQ1179" s="418"/>
      <c r="AR1179" s="418"/>
      <c r="AS1179" s="418"/>
      <c r="AT1179" s="418"/>
      <c r="AU1179" s="418"/>
      <c r="AV1179" s="418"/>
      <c r="AW1179" s="418"/>
      <c r="AX1179" s="418"/>
      <c r="AY1179" s="418"/>
      <c r="AZ1179" s="418"/>
    </row>
    <row r="1180" spans="40:52" ht="15.75" customHeight="1">
      <c r="AN1180" s="418"/>
      <c r="AO1180" s="418"/>
      <c r="AP1180" s="418"/>
      <c r="AQ1180" s="418"/>
      <c r="AR1180" s="418"/>
      <c r="AS1180" s="418"/>
      <c r="AT1180" s="418"/>
      <c r="AU1180" s="418"/>
      <c r="AV1180" s="418"/>
      <c r="AW1180" s="418"/>
      <c r="AX1180" s="418"/>
      <c r="AY1180" s="418"/>
      <c r="AZ1180" s="418"/>
    </row>
    <row r="1181" spans="40:52" ht="15.75" customHeight="1">
      <c r="AN1181" s="418"/>
      <c r="AO1181" s="418"/>
      <c r="AP1181" s="418"/>
      <c r="AQ1181" s="418"/>
      <c r="AR1181" s="418"/>
      <c r="AS1181" s="418"/>
      <c r="AT1181" s="418"/>
      <c r="AU1181" s="418"/>
      <c r="AV1181" s="418"/>
      <c r="AW1181" s="418"/>
      <c r="AX1181" s="418"/>
      <c r="AY1181" s="418"/>
      <c r="AZ1181" s="418"/>
    </row>
    <row r="1182" spans="40:52" ht="15.75" customHeight="1">
      <c r="AN1182" s="418"/>
      <c r="AO1182" s="418"/>
      <c r="AP1182" s="418"/>
      <c r="AQ1182" s="418"/>
      <c r="AR1182" s="418"/>
      <c r="AS1182" s="418"/>
      <c r="AT1182" s="418"/>
      <c r="AU1182" s="418"/>
      <c r="AV1182" s="418"/>
      <c r="AW1182" s="418"/>
      <c r="AX1182" s="418"/>
      <c r="AY1182" s="418"/>
      <c r="AZ1182" s="418"/>
    </row>
    <row r="1183" spans="40:52" ht="15.75" customHeight="1">
      <c r="AN1183" s="418"/>
      <c r="AO1183" s="418"/>
      <c r="AP1183" s="418"/>
      <c r="AQ1183" s="418"/>
      <c r="AR1183" s="418"/>
      <c r="AS1183" s="418"/>
      <c r="AT1183" s="418"/>
      <c r="AU1183" s="418"/>
      <c r="AV1183" s="418"/>
      <c r="AW1183" s="418"/>
      <c r="AX1183" s="418"/>
      <c r="AY1183" s="418"/>
      <c r="AZ1183" s="418"/>
    </row>
    <row r="1184" spans="40:52" ht="15.75" customHeight="1">
      <c r="AN1184" s="418"/>
      <c r="AO1184" s="418"/>
      <c r="AP1184" s="418"/>
      <c r="AQ1184" s="418"/>
      <c r="AR1184" s="418"/>
      <c r="AS1184" s="418"/>
      <c r="AT1184" s="418"/>
      <c r="AU1184" s="418"/>
      <c r="AV1184" s="418"/>
      <c r="AW1184" s="418"/>
      <c r="AX1184" s="418"/>
      <c r="AY1184" s="418"/>
      <c r="AZ1184" s="418"/>
    </row>
    <row r="1185" spans="40:52" ht="15.75" customHeight="1">
      <c r="AN1185" s="418"/>
      <c r="AO1185" s="418"/>
      <c r="AP1185" s="418"/>
      <c r="AQ1185" s="418"/>
      <c r="AR1185" s="418"/>
      <c r="AS1185" s="418"/>
      <c r="AT1185" s="418"/>
      <c r="AU1185" s="418"/>
      <c r="AV1185" s="418"/>
      <c r="AW1185" s="418"/>
      <c r="AX1185" s="418"/>
      <c r="AY1185" s="418"/>
      <c r="AZ1185" s="418"/>
    </row>
    <row r="1186" spans="40:52" ht="15.75" customHeight="1">
      <c r="AN1186" s="418"/>
      <c r="AO1186" s="418"/>
      <c r="AP1186" s="418"/>
      <c r="AQ1186" s="418"/>
      <c r="AR1186" s="418"/>
      <c r="AS1186" s="418"/>
      <c r="AT1186" s="418"/>
      <c r="AU1186" s="418"/>
      <c r="AV1186" s="418"/>
      <c r="AW1186" s="418"/>
      <c r="AX1186" s="418"/>
      <c r="AY1186" s="418"/>
      <c r="AZ1186" s="418"/>
    </row>
    <row r="1187" spans="40:52" ht="15.75" customHeight="1">
      <c r="AN1187" s="418"/>
      <c r="AO1187" s="418"/>
      <c r="AP1187" s="418"/>
      <c r="AQ1187" s="418"/>
      <c r="AR1187" s="418"/>
      <c r="AS1187" s="418"/>
      <c r="AT1187" s="418"/>
      <c r="AU1187" s="418"/>
      <c r="AV1187" s="418"/>
      <c r="AW1187" s="418"/>
      <c r="AX1187" s="418"/>
      <c r="AY1187" s="418"/>
      <c r="AZ1187" s="418"/>
    </row>
    <row r="1188" spans="40:52" ht="15.75" customHeight="1">
      <c r="AN1188" s="418"/>
      <c r="AO1188" s="418"/>
      <c r="AP1188" s="418"/>
      <c r="AQ1188" s="418"/>
      <c r="AR1188" s="418"/>
      <c r="AS1188" s="418"/>
      <c r="AT1188" s="418"/>
      <c r="AU1188" s="418"/>
      <c r="AV1188" s="418"/>
      <c r="AW1188" s="418"/>
      <c r="AX1188" s="418"/>
      <c r="AY1188" s="418"/>
      <c r="AZ1188" s="418"/>
    </row>
    <row r="1189" spans="40:52" ht="15.75" customHeight="1">
      <c r="AN1189" s="418"/>
      <c r="AO1189" s="418"/>
      <c r="AP1189" s="418"/>
      <c r="AQ1189" s="418"/>
      <c r="AR1189" s="418"/>
      <c r="AS1189" s="418"/>
      <c r="AT1189" s="418"/>
      <c r="AU1189" s="418"/>
      <c r="AV1189" s="418"/>
      <c r="AW1189" s="418"/>
      <c r="AX1189" s="418"/>
      <c r="AY1189" s="418"/>
      <c r="AZ1189" s="418"/>
    </row>
    <row r="1190" spans="40:52" ht="15.75" customHeight="1">
      <c r="AN1190" s="418"/>
      <c r="AO1190" s="418"/>
      <c r="AP1190" s="418"/>
      <c r="AQ1190" s="418"/>
      <c r="AR1190" s="418"/>
      <c r="AS1190" s="418"/>
      <c r="AT1190" s="418"/>
      <c r="AU1190" s="418"/>
      <c r="AV1190" s="418"/>
      <c r="AW1190" s="418"/>
      <c r="AX1190" s="418"/>
      <c r="AY1190" s="418"/>
      <c r="AZ1190" s="418"/>
    </row>
    <row r="1191" spans="40:52" ht="15.75" customHeight="1">
      <c r="AN1191" s="418"/>
      <c r="AO1191" s="418"/>
      <c r="AP1191" s="418"/>
      <c r="AQ1191" s="418"/>
      <c r="AR1191" s="418"/>
      <c r="AS1191" s="418"/>
      <c r="AT1191" s="418"/>
      <c r="AU1191" s="418"/>
      <c r="AV1191" s="418"/>
      <c r="AW1191" s="418"/>
      <c r="AX1191" s="418"/>
      <c r="AY1191" s="418"/>
      <c r="AZ1191" s="418"/>
    </row>
    <row r="1192" spans="40:52" ht="15.75" customHeight="1">
      <c r="AN1192" s="418"/>
      <c r="AO1192" s="418"/>
      <c r="AP1192" s="418"/>
      <c r="AQ1192" s="418"/>
      <c r="AR1192" s="418"/>
      <c r="AS1192" s="418"/>
      <c r="AT1192" s="418"/>
      <c r="AU1192" s="418"/>
      <c r="AV1192" s="418"/>
      <c r="AW1192" s="418"/>
      <c r="AX1192" s="418"/>
      <c r="AY1192" s="418"/>
      <c r="AZ1192" s="418"/>
    </row>
    <row r="1193" spans="40:52" ht="15.75" customHeight="1">
      <c r="AN1193" s="418"/>
      <c r="AO1193" s="418"/>
      <c r="AP1193" s="418"/>
      <c r="AQ1193" s="418"/>
      <c r="AR1193" s="418"/>
      <c r="AS1193" s="418"/>
      <c r="AT1193" s="418"/>
      <c r="AU1193" s="418"/>
      <c r="AV1193" s="418"/>
      <c r="AW1193" s="418"/>
      <c r="AX1193" s="418"/>
      <c r="AY1193" s="418"/>
      <c r="AZ1193" s="418"/>
    </row>
    <row r="1194" spans="40:52" ht="15.75" customHeight="1">
      <c r="AN1194" s="418"/>
      <c r="AO1194" s="418"/>
      <c r="AP1194" s="418"/>
      <c r="AQ1194" s="418"/>
      <c r="AR1194" s="418"/>
      <c r="AS1194" s="418"/>
      <c r="AT1194" s="418"/>
      <c r="AU1194" s="418"/>
      <c r="AV1194" s="418"/>
      <c r="AW1194" s="418"/>
      <c r="AX1194" s="418"/>
      <c r="AY1194" s="418"/>
      <c r="AZ1194" s="418"/>
    </row>
    <row r="1195" spans="40:52" ht="15.75" customHeight="1">
      <c r="AN1195" s="418"/>
      <c r="AO1195" s="418"/>
      <c r="AP1195" s="418"/>
      <c r="AQ1195" s="418"/>
      <c r="AR1195" s="418"/>
      <c r="AS1195" s="418"/>
      <c r="AT1195" s="418"/>
      <c r="AU1195" s="418"/>
      <c r="AV1195" s="418"/>
      <c r="AW1195" s="418"/>
      <c r="AX1195" s="418"/>
      <c r="AY1195" s="418"/>
      <c r="AZ1195" s="418"/>
    </row>
    <row r="1196" spans="40:52" ht="15.75" customHeight="1">
      <c r="AN1196" s="418"/>
      <c r="AO1196" s="418"/>
      <c r="AP1196" s="418"/>
      <c r="AQ1196" s="418"/>
      <c r="AR1196" s="418"/>
      <c r="AS1196" s="418"/>
      <c r="AT1196" s="418"/>
      <c r="AU1196" s="418"/>
      <c r="AV1196" s="418"/>
      <c r="AW1196" s="418"/>
      <c r="AX1196" s="418"/>
      <c r="AY1196" s="418"/>
      <c r="AZ1196" s="418"/>
    </row>
    <row r="1197" spans="40:52" ht="15.75" customHeight="1">
      <c r="AN1197" s="418"/>
      <c r="AO1197" s="418"/>
      <c r="AP1197" s="418"/>
      <c r="AQ1197" s="418"/>
      <c r="AR1197" s="418"/>
      <c r="AS1197" s="418"/>
      <c r="AT1197" s="418"/>
      <c r="AU1197" s="418"/>
      <c r="AV1197" s="418"/>
      <c r="AW1197" s="418"/>
      <c r="AX1197" s="418"/>
      <c r="AY1197" s="418"/>
      <c r="AZ1197" s="418"/>
    </row>
    <row r="1198" spans="40:52" ht="15.75" customHeight="1">
      <c r="AN1198" s="418"/>
      <c r="AO1198" s="418"/>
      <c r="AP1198" s="418"/>
      <c r="AQ1198" s="418"/>
      <c r="AR1198" s="418"/>
      <c r="AS1198" s="418"/>
      <c r="AT1198" s="418"/>
      <c r="AU1198" s="418"/>
      <c r="AV1198" s="418"/>
      <c r="AW1198" s="418"/>
      <c r="AX1198" s="418"/>
      <c r="AY1198" s="418"/>
      <c r="AZ1198" s="418"/>
    </row>
    <row r="1199" spans="40:52" ht="15.75" customHeight="1">
      <c r="AN1199" s="418"/>
      <c r="AO1199" s="418"/>
      <c r="AP1199" s="418"/>
      <c r="AQ1199" s="418"/>
      <c r="AR1199" s="418"/>
      <c r="AS1199" s="418"/>
      <c r="AT1199" s="418"/>
      <c r="AU1199" s="418"/>
      <c r="AV1199" s="418"/>
      <c r="AW1199" s="418"/>
      <c r="AX1199" s="418"/>
      <c r="AY1199" s="418"/>
      <c r="AZ1199" s="418"/>
    </row>
    <row r="1200" spans="40:52" ht="15.75" customHeight="1">
      <c r="AN1200" s="418"/>
      <c r="AO1200" s="418"/>
      <c r="AP1200" s="418"/>
      <c r="AQ1200" s="418"/>
      <c r="AR1200" s="418"/>
      <c r="AS1200" s="418"/>
      <c r="AT1200" s="418"/>
      <c r="AU1200" s="418"/>
      <c r="AV1200" s="418"/>
      <c r="AW1200" s="418"/>
      <c r="AX1200" s="418"/>
      <c r="AY1200" s="418"/>
      <c r="AZ1200" s="418"/>
    </row>
    <row r="1201" spans="40:52" ht="15.75" customHeight="1">
      <c r="AN1201" s="418"/>
      <c r="AO1201" s="418"/>
      <c r="AP1201" s="418"/>
      <c r="AQ1201" s="418"/>
      <c r="AR1201" s="418"/>
      <c r="AS1201" s="418"/>
      <c r="AT1201" s="418"/>
      <c r="AU1201" s="418"/>
      <c r="AV1201" s="418"/>
      <c r="AW1201" s="418"/>
      <c r="AX1201" s="418"/>
      <c r="AY1201" s="418"/>
      <c r="AZ1201" s="418"/>
    </row>
    <row r="1202" spans="40:52" ht="15.75" customHeight="1">
      <c r="AN1202" s="418"/>
      <c r="AO1202" s="418"/>
      <c r="AP1202" s="418"/>
      <c r="AQ1202" s="418"/>
      <c r="AR1202" s="418"/>
      <c r="AS1202" s="418"/>
      <c r="AT1202" s="418"/>
      <c r="AU1202" s="418"/>
      <c r="AV1202" s="418"/>
      <c r="AW1202" s="418"/>
      <c r="AX1202" s="418"/>
      <c r="AY1202" s="418"/>
      <c r="AZ1202" s="418"/>
    </row>
    <row r="1203" spans="40:52" ht="15.75" customHeight="1">
      <c r="AN1203" s="418"/>
      <c r="AO1203" s="418"/>
      <c r="AP1203" s="418"/>
      <c r="AQ1203" s="418"/>
      <c r="AR1203" s="418"/>
      <c r="AS1203" s="418"/>
      <c r="AT1203" s="418"/>
      <c r="AU1203" s="418"/>
      <c r="AV1203" s="418"/>
      <c r="AW1203" s="418"/>
      <c r="AX1203" s="418"/>
      <c r="AY1203" s="418"/>
      <c r="AZ1203" s="418"/>
    </row>
    <row r="1204" spans="40:52" ht="15.75" customHeight="1">
      <c r="AN1204" s="418"/>
      <c r="AO1204" s="418"/>
      <c r="AP1204" s="418"/>
      <c r="AQ1204" s="418"/>
      <c r="AR1204" s="418"/>
      <c r="AS1204" s="418"/>
      <c r="AT1204" s="418"/>
      <c r="AU1204" s="418"/>
      <c r="AV1204" s="418"/>
      <c r="AW1204" s="418"/>
      <c r="AX1204" s="418"/>
      <c r="AY1204" s="418"/>
      <c r="AZ1204" s="418"/>
    </row>
    <row r="1205" spans="40:52" ht="15.75" customHeight="1">
      <c r="AN1205" s="418"/>
      <c r="AO1205" s="418"/>
      <c r="AP1205" s="418"/>
      <c r="AQ1205" s="418"/>
      <c r="AR1205" s="418"/>
      <c r="AS1205" s="418"/>
      <c r="AT1205" s="418"/>
      <c r="AU1205" s="418"/>
      <c r="AV1205" s="418"/>
      <c r="AW1205" s="418"/>
      <c r="AX1205" s="418"/>
      <c r="AY1205" s="418"/>
      <c r="AZ1205" s="418"/>
    </row>
    <row r="1206" spans="40:52" ht="15.75" customHeight="1">
      <c r="AN1206" s="418"/>
      <c r="AO1206" s="418"/>
      <c r="AP1206" s="418"/>
      <c r="AQ1206" s="418"/>
      <c r="AR1206" s="418"/>
      <c r="AS1206" s="418"/>
      <c r="AT1206" s="418"/>
      <c r="AU1206" s="418"/>
      <c r="AV1206" s="418"/>
      <c r="AW1206" s="418"/>
      <c r="AX1206" s="418"/>
      <c r="AY1206" s="418"/>
      <c r="AZ1206" s="418"/>
    </row>
    <row r="1207" spans="40:52" ht="15.75" customHeight="1">
      <c r="AN1207" s="418"/>
      <c r="AO1207" s="418"/>
      <c r="AP1207" s="418"/>
      <c r="AQ1207" s="418"/>
      <c r="AR1207" s="418"/>
      <c r="AS1207" s="418"/>
      <c r="AT1207" s="418"/>
      <c r="AU1207" s="418"/>
      <c r="AV1207" s="418"/>
      <c r="AW1207" s="418"/>
      <c r="AX1207" s="418"/>
      <c r="AY1207" s="418"/>
      <c r="AZ1207" s="418"/>
    </row>
    <row r="1208" spans="40:52" ht="15.75" customHeight="1">
      <c r="AN1208" s="418"/>
      <c r="AO1208" s="418"/>
      <c r="AP1208" s="418"/>
      <c r="AQ1208" s="418"/>
      <c r="AR1208" s="418"/>
      <c r="AS1208" s="418"/>
      <c r="AT1208" s="418"/>
      <c r="AU1208" s="418"/>
      <c r="AV1208" s="418"/>
      <c r="AW1208" s="418"/>
      <c r="AX1208" s="418"/>
      <c r="AY1208" s="418"/>
      <c r="AZ1208" s="418"/>
    </row>
    <row r="1209" spans="40:52" ht="15.75" customHeight="1">
      <c r="AN1209" s="418"/>
      <c r="AO1209" s="418"/>
      <c r="AP1209" s="418"/>
      <c r="AQ1209" s="418"/>
      <c r="AR1209" s="418"/>
      <c r="AS1209" s="418"/>
      <c r="AT1209" s="418"/>
      <c r="AU1209" s="418"/>
      <c r="AV1209" s="418"/>
      <c r="AW1209" s="418"/>
      <c r="AX1209" s="418"/>
      <c r="AY1209" s="418"/>
      <c r="AZ1209" s="418"/>
    </row>
    <row r="1210" spans="40:52" ht="15.75" customHeight="1">
      <c r="AN1210" s="418"/>
      <c r="AO1210" s="418"/>
      <c r="AP1210" s="418"/>
      <c r="AQ1210" s="418"/>
      <c r="AR1210" s="418"/>
      <c r="AS1210" s="418"/>
      <c r="AT1210" s="418"/>
      <c r="AU1210" s="418"/>
      <c r="AV1210" s="418"/>
      <c r="AW1210" s="418"/>
      <c r="AX1210" s="418"/>
      <c r="AY1210" s="418"/>
      <c r="AZ1210" s="418"/>
    </row>
    <row r="1211" spans="40:52" ht="15.75" customHeight="1">
      <c r="AN1211" s="418"/>
      <c r="AO1211" s="418"/>
      <c r="AP1211" s="418"/>
      <c r="AQ1211" s="418"/>
      <c r="AR1211" s="418"/>
      <c r="AS1211" s="418"/>
      <c r="AT1211" s="418"/>
      <c r="AU1211" s="418"/>
      <c r="AV1211" s="418"/>
      <c r="AW1211" s="418"/>
      <c r="AX1211" s="418"/>
      <c r="AY1211" s="418"/>
      <c r="AZ1211" s="418"/>
    </row>
    <row r="1212" spans="40:52" ht="15.75" customHeight="1">
      <c r="AN1212" s="418"/>
      <c r="AO1212" s="418"/>
      <c r="AP1212" s="418"/>
      <c r="AQ1212" s="418"/>
      <c r="AR1212" s="418"/>
      <c r="AS1212" s="418"/>
      <c r="AT1212" s="418"/>
      <c r="AU1212" s="418"/>
      <c r="AV1212" s="418"/>
      <c r="AW1212" s="418"/>
      <c r="AX1212" s="418"/>
      <c r="AY1212" s="418"/>
      <c r="AZ1212" s="418"/>
    </row>
    <row r="1213" spans="40:52" ht="15.75" customHeight="1">
      <c r="AN1213" s="418"/>
      <c r="AO1213" s="418"/>
      <c r="AP1213" s="418"/>
      <c r="AQ1213" s="418"/>
      <c r="AR1213" s="418"/>
      <c r="AS1213" s="418"/>
      <c r="AT1213" s="418"/>
      <c r="AU1213" s="418"/>
      <c r="AV1213" s="418"/>
      <c r="AW1213" s="418"/>
      <c r="AX1213" s="418"/>
      <c r="AY1213" s="418"/>
      <c r="AZ1213" s="418"/>
    </row>
    <row r="1214" spans="40:52" ht="15.75" customHeight="1">
      <c r="AN1214" s="418"/>
      <c r="AO1214" s="418"/>
      <c r="AP1214" s="418"/>
      <c r="AQ1214" s="418"/>
      <c r="AR1214" s="418"/>
      <c r="AS1214" s="418"/>
      <c r="AT1214" s="418"/>
      <c r="AU1214" s="418"/>
      <c r="AV1214" s="418"/>
      <c r="AW1214" s="418"/>
      <c r="AX1214" s="418"/>
      <c r="AY1214" s="418"/>
      <c r="AZ1214" s="418"/>
    </row>
    <row r="1215" spans="40:52" ht="15.75" customHeight="1">
      <c r="AN1215" s="418"/>
      <c r="AO1215" s="418"/>
      <c r="AP1215" s="418"/>
      <c r="AQ1215" s="418"/>
      <c r="AR1215" s="418"/>
      <c r="AS1215" s="418"/>
      <c r="AT1215" s="418"/>
      <c r="AU1215" s="418"/>
      <c r="AV1215" s="418"/>
      <c r="AW1215" s="418"/>
      <c r="AX1215" s="418"/>
      <c r="AY1215" s="418"/>
      <c r="AZ1215" s="418"/>
    </row>
    <row r="1216" spans="40:52" ht="15.75" customHeight="1">
      <c r="AN1216" s="418"/>
      <c r="AO1216" s="418"/>
      <c r="AP1216" s="418"/>
      <c r="AQ1216" s="418"/>
      <c r="AR1216" s="418"/>
      <c r="AS1216" s="418"/>
      <c r="AT1216" s="418"/>
      <c r="AU1216" s="418"/>
      <c r="AV1216" s="418"/>
      <c r="AW1216" s="418"/>
      <c r="AX1216" s="418"/>
      <c r="AY1216" s="418"/>
      <c r="AZ1216" s="418"/>
    </row>
    <row r="1217" spans="40:52" ht="15.75" customHeight="1">
      <c r="AN1217" s="418"/>
      <c r="AO1217" s="418"/>
      <c r="AP1217" s="418"/>
      <c r="AQ1217" s="418"/>
      <c r="AR1217" s="418"/>
      <c r="AS1217" s="418"/>
      <c r="AT1217" s="418"/>
      <c r="AU1217" s="418"/>
      <c r="AV1217" s="418"/>
      <c r="AW1217" s="418"/>
      <c r="AX1217" s="418"/>
      <c r="AY1217" s="418"/>
      <c r="AZ1217" s="418"/>
    </row>
    <row r="1218" spans="40:52" ht="15.75" customHeight="1">
      <c r="AN1218" s="418"/>
      <c r="AO1218" s="418"/>
      <c r="AP1218" s="418"/>
      <c r="AQ1218" s="418"/>
      <c r="AR1218" s="418"/>
      <c r="AS1218" s="418"/>
      <c r="AT1218" s="418"/>
      <c r="AU1218" s="418"/>
      <c r="AV1218" s="418"/>
      <c r="AW1218" s="418"/>
      <c r="AX1218" s="418"/>
      <c r="AY1218" s="418"/>
      <c r="AZ1218" s="418"/>
    </row>
    <row r="1219" spans="40:52" ht="15.75" customHeight="1">
      <c r="AN1219" s="418"/>
      <c r="AO1219" s="418"/>
      <c r="AP1219" s="418"/>
      <c r="AQ1219" s="418"/>
      <c r="AR1219" s="418"/>
      <c r="AS1219" s="418"/>
      <c r="AT1219" s="418"/>
      <c r="AU1219" s="418"/>
      <c r="AV1219" s="418"/>
      <c r="AW1219" s="418"/>
      <c r="AX1219" s="418"/>
      <c r="AY1219" s="418"/>
      <c r="AZ1219" s="418"/>
    </row>
    <row r="1220" spans="40:52" ht="15.75" customHeight="1">
      <c r="AN1220" s="418"/>
      <c r="AO1220" s="418"/>
      <c r="AP1220" s="418"/>
      <c r="AQ1220" s="418"/>
      <c r="AR1220" s="418"/>
      <c r="AS1220" s="418"/>
      <c r="AT1220" s="418"/>
      <c r="AU1220" s="418"/>
      <c r="AV1220" s="418"/>
      <c r="AW1220" s="418"/>
      <c r="AX1220" s="418"/>
      <c r="AY1220" s="418"/>
      <c r="AZ1220" s="418"/>
    </row>
    <row r="1221" spans="40:52" ht="15.75" customHeight="1">
      <c r="AN1221" s="418"/>
      <c r="AO1221" s="418"/>
      <c r="AP1221" s="418"/>
      <c r="AQ1221" s="418"/>
      <c r="AR1221" s="418"/>
      <c r="AS1221" s="418"/>
      <c r="AT1221" s="418"/>
      <c r="AU1221" s="418"/>
      <c r="AV1221" s="418"/>
      <c r="AW1221" s="418"/>
      <c r="AX1221" s="418"/>
      <c r="AY1221" s="418"/>
      <c r="AZ1221" s="418"/>
    </row>
    <row r="1222" spans="40:52" ht="15.75" customHeight="1">
      <c r="AN1222" s="418"/>
      <c r="AO1222" s="418"/>
      <c r="AP1222" s="418"/>
      <c r="AQ1222" s="418"/>
      <c r="AR1222" s="418"/>
      <c r="AS1222" s="418"/>
      <c r="AT1222" s="418"/>
      <c r="AU1222" s="418"/>
      <c r="AV1222" s="418"/>
      <c r="AW1222" s="418"/>
      <c r="AX1222" s="418"/>
      <c r="AY1222" s="418"/>
      <c r="AZ1222" s="418"/>
    </row>
    <row r="1223" spans="40:52" ht="15.75" customHeight="1">
      <c r="AN1223" s="418"/>
      <c r="AO1223" s="418"/>
      <c r="AP1223" s="418"/>
      <c r="AQ1223" s="418"/>
      <c r="AR1223" s="418"/>
      <c r="AS1223" s="418"/>
      <c r="AT1223" s="418"/>
      <c r="AU1223" s="418"/>
      <c r="AV1223" s="418"/>
      <c r="AW1223" s="418"/>
      <c r="AX1223" s="418"/>
      <c r="AY1223" s="418"/>
      <c r="AZ1223" s="418"/>
    </row>
    <row r="1224" spans="40:52" ht="15.75" customHeight="1">
      <c r="AN1224" s="418"/>
      <c r="AO1224" s="418"/>
      <c r="AP1224" s="418"/>
      <c r="AQ1224" s="418"/>
      <c r="AR1224" s="418"/>
      <c r="AS1224" s="418"/>
      <c r="AT1224" s="418"/>
      <c r="AU1224" s="418"/>
      <c r="AV1224" s="418"/>
      <c r="AW1224" s="418"/>
      <c r="AX1224" s="418"/>
      <c r="AY1224" s="418"/>
      <c r="AZ1224" s="418"/>
    </row>
    <row r="1225" spans="40:52" ht="15.75" customHeight="1">
      <c r="AN1225" s="418"/>
      <c r="AO1225" s="418"/>
      <c r="AP1225" s="418"/>
      <c r="AQ1225" s="418"/>
      <c r="AR1225" s="418"/>
      <c r="AS1225" s="418"/>
      <c r="AT1225" s="418"/>
      <c r="AU1225" s="418"/>
      <c r="AV1225" s="418"/>
      <c r="AW1225" s="418"/>
      <c r="AX1225" s="418"/>
      <c r="AY1225" s="418"/>
      <c r="AZ1225" s="418"/>
    </row>
    <row r="1226" spans="40:52" ht="15.75" customHeight="1">
      <c r="AN1226" s="418"/>
      <c r="AO1226" s="418"/>
      <c r="AP1226" s="418"/>
      <c r="AQ1226" s="418"/>
      <c r="AR1226" s="418"/>
      <c r="AS1226" s="418"/>
      <c r="AT1226" s="418"/>
      <c r="AU1226" s="418"/>
      <c r="AV1226" s="418"/>
      <c r="AW1226" s="418"/>
      <c r="AX1226" s="418"/>
      <c r="AY1226" s="418"/>
      <c r="AZ1226" s="418"/>
    </row>
    <row r="1227" spans="40:52" ht="15.75" customHeight="1">
      <c r="AN1227" s="418"/>
      <c r="AO1227" s="418"/>
      <c r="AP1227" s="418"/>
      <c r="AQ1227" s="418"/>
      <c r="AR1227" s="418"/>
      <c r="AS1227" s="418"/>
      <c r="AT1227" s="418"/>
      <c r="AU1227" s="418"/>
      <c r="AV1227" s="418"/>
      <c r="AW1227" s="418"/>
      <c r="AX1227" s="418"/>
      <c r="AY1227" s="418"/>
      <c r="AZ1227" s="418"/>
    </row>
    <row r="1228" spans="40:52" ht="15.75" customHeight="1">
      <c r="AN1228" s="418"/>
      <c r="AO1228" s="418"/>
      <c r="AP1228" s="418"/>
      <c r="AQ1228" s="418"/>
      <c r="AR1228" s="418"/>
      <c r="AS1228" s="418"/>
      <c r="AT1228" s="418"/>
      <c r="AU1228" s="418"/>
      <c r="AV1228" s="418"/>
      <c r="AW1228" s="418"/>
      <c r="AX1228" s="418"/>
      <c r="AY1228" s="418"/>
      <c r="AZ1228" s="418"/>
    </row>
    <row r="1229" spans="40:52" ht="15.75" customHeight="1">
      <c r="AN1229" s="418"/>
      <c r="AO1229" s="418"/>
      <c r="AP1229" s="418"/>
      <c r="AQ1229" s="418"/>
      <c r="AR1229" s="418"/>
      <c r="AS1229" s="418"/>
      <c r="AT1229" s="418"/>
      <c r="AU1229" s="418"/>
      <c r="AV1229" s="418"/>
      <c r="AW1229" s="418"/>
      <c r="AX1229" s="418"/>
      <c r="AY1229" s="418"/>
      <c r="AZ1229" s="418"/>
    </row>
    <row r="1230" spans="40:52" ht="15.75" customHeight="1">
      <c r="AN1230" s="418"/>
      <c r="AO1230" s="418"/>
      <c r="AP1230" s="418"/>
      <c r="AQ1230" s="418"/>
      <c r="AR1230" s="418"/>
      <c r="AS1230" s="418"/>
      <c r="AT1230" s="418"/>
      <c r="AU1230" s="418"/>
      <c r="AV1230" s="418"/>
      <c r="AW1230" s="418"/>
      <c r="AX1230" s="418"/>
      <c r="AY1230" s="418"/>
      <c r="AZ1230" s="418"/>
    </row>
    <row r="1231" spans="40:52" ht="15.75" customHeight="1">
      <c r="AN1231" s="418"/>
      <c r="AO1231" s="418"/>
      <c r="AP1231" s="418"/>
      <c r="AQ1231" s="418"/>
      <c r="AR1231" s="418"/>
      <c r="AS1231" s="418"/>
      <c r="AT1231" s="418"/>
      <c r="AU1231" s="418"/>
      <c r="AV1231" s="418"/>
      <c r="AW1231" s="418"/>
      <c r="AX1231" s="418"/>
      <c r="AY1231" s="418"/>
      <c r="AZ1231" s="418"/>
    </row>
    <row r="1232" spans="40:52" ht="15.75" customHeight="1">
      <c r="AN1232" s="418"/>
      <c r="AO1232" s="418"/>
      <c r="AP1232" s="418"/>
      <c r="AQ1232" s="418"/>
      <c r="AR1232" s="418"/>
      <c r="AS1232" s="418"/>
      <c r="AT1232" s="418"/>
      <c r="AU1232" s="418"/>
      <c r="AV1232" s="418"/>
      <c r="AW1232" s="418"/>
      <c r="AX1232" s="418"/>
      <c r="AY1232" s="418"/>
      <c r="AZ1232" s="418"/>
    </row>
    <row r="1233" spans="40:52" ht="15.75" customHeight="1">
      <c r="AN1233" s="418"/>
      <c r="AO1233" s="418"/>
      <c r="AP1233" s="418"/>
      <c r="AQ1233" s="418"/>
      <c r="AR1233" s="418"/>
      <c r="AS1233" s="418"/>
      <c r="AT1233" s="418"/>
      <c r="AU1233" s="418"/>
      <c r="AV1233" s="418"/>
      <c r="AW1233" s="418"/>
      <c r="AX1233" s="418"/>
      <c r="AY1233" s="418"/>
      <c r="AZ1233" s="418"/>
    </row>
    <row r="1234" spans="40:52" ht="15.75" customHeight="1">
      <c r="AN1234" s="418"/>
      <c r="AO1234" s="418"/>
      <c r="AP1234" s="418"/>
      <c r="AQ1234" s="418"/>
      <c r="AR1234" s="418"/>
      <c r="AS1234" s="418"/>
      <c r="AT1234" s="418"/>
      <c r="AU1234" s="418"/>
      <c r="AV1234" s="418"/>
      <c r="AW1234" s="418"/>
      <c r="AX1234" s="418"/>
      <c r="AY1234" s="418"/>
      <c r="AZ1234" s="418"/>
    </row>
    <row r="1235" spans="40:52" ht="15.75" customHeight="1">
      <c r="AN1235" s="418"/>
      <c r="AO1235" s="418"/>
      <c r="AP1235" s="418"/>
      <c r="AQ1235" s="418"/>
      <c r="AR1235" s="418"/>
      <c r="AS1235" s="418"/>
      <c r="AT1235" s="418"/>
      <c r="AU1235" s="418"/>
      <c r="AV1235" s="418"/>
      <c r="AW1235" s="418"/>
      <c r="AX1235" s="418"/>
      <c r="AY1235" s="418"/>
      <c r="AZ1235" s="418"/>
    </row>
    <row r="1236" spans="40:52" ht="15.75" customHeight="1">
      <c r="AN1236" s="418"/>
      <c r="AO1236" s="418"/>
      <c r="AP1236" s="418"/>
      <c r="AQ1236" s="418"/>
      <c r="AR1236" s="418"/>
      <c r="AS1236" s="418"/>
      <c r="AT1236" s="418"/>
      <c r="AU1236" s="418"/>
      <c r="AV1236" s="418"/>
      <c r="AW1236" s="418"/>
      <c r="AX1236" s="418"/>
      <c r="AY1236" s="418"/>
      <c r="AZ1236" s="418"/>
    </row>
    <row r="1237" spans="40:52" ht="15.75" customHeight="1">
      <c r="AN1237" s="418"/>
      <c r="AO1237" s="418"/>
      <c r="AP1237" s="418"/>
      <c r="AQ1237" s="418"/>
      <c r="AR1237" s="418"/>
      <c r="AS1237" s="418"/>
      <c r="AT1237" s="418"/>
      <c r="AU1237" s="418"/>
      <c r="AV1237" s="418"/>
      <c r="AW1237" s="418"/>
      <c r="AX1237" s="418"/>
      <c r="AY1237" s="418"/>
      <c r="AZ1237" s="418"/>
    </row>
    <row r="1238" spans="40:52" ht="15.75" customHeight="1">
      <c r="AN1238" s="418"/>
      <c r="AO1238" s="418"/>
      <c r="AP1238" s="418"/>
      <c r="AQ1238" s="418"/>
      <c r="AR1238" s="418"/>
      <c r="AS1238" s="418"/>
      <c r="AT1238" s="418"/>
      <c r="AU1238" s="418"/>
      <c r="AV1238" s="418"/>
      <c r="AW1238" s="418"/>
      <c r="AX1238" s="418"/>
      <c r="AY1238" s="418"/>
      <c r="AZ1238" s="418"/>
    </row>
    <row r="1239" spans="40:52" ht="15.75" customHeight="1">
      <c r="AN1239" s="418"/>
      <c r="AO1239" s="418"/>
      <c r="AP1239" s="418"/>
      <c r="AQ1239" s="418"/>
      <c r="AR1239" s="418"/>
      <c r="AS1239" s="418"/>
      <c r="AT1239" s="418"/>
      <c r="AU1239" s="418"/>
      <c r="AV1239" s="418"/>
      <c r="AW1239" s="418"/>
      <c r="AX1239" s="418"/>
      <c r="AY1239" s="418"/>
      <c r="AZ1239" s="418"/>
    </row>
    <row r="1240" spans="40:52" ht="15.75" customHeight="1">
      <c r="AN1240" s="418"/>
      <c r="AO1240" s="418"/>
      <c r="AP1240" s="418"/>
      <c r="AQ1240" s="418"/>
      <c r="AR1240" s="418"/>
      <c r="AS1240" s="418"/>
      <c r="AT1240" s="418"/>
      <c r="AU1240" s="418"/>
      <c r="AV1240" s="418"/>
      <c r="AW1240" s="418"/>
      <c r="AX1240" s="418"/>
      <c r="AY1240" s="418"/>
      <c r="AZ1240" s="418"/>
    </row>
    <row r="1241" spans="40:52" ht="15.75" customHeight="1">
      <c r="AN1241" s="418"/>
      <c r="AO1241" s="418"/>
      <c r="AP1241" s="418"/>
      <c r="AQ1241" s="418"/>
      <c r="AR1241" s="418"/>
      <c r="AS1241" s="418"/>
      <c r="AT1241" s="418"/>
      <c r="AU1241" s="418"/>
      <c r="AV1241" s="418"/>
      <c r="AW1241" s="418"/>
      <c r="AX1241" s="418"/>
      <c r="AY1241" s="418"/>
      <c r="AZ1241" s="418"/>
    </row>
    <row r="1242" spans="40:52" ht="15.75" customHeight="1">
      <c r="AN1242" s="418"/>
      <c r="AO1242" s="418"/>
      <c r="AP1242" s="418"/>
      <c r="AQ1242" s="418"/>
      <c r="AR1242" s="418"/>
      <c r="AS1242" s="418"/>
      <c r="AT1242" s="418"/>
      <c r="AU1242" s="418"/>
      <c r="AV1242" s="418"/>
      <c r="AW1242" s="418"/>
      <c r="AX1242" s="418"/>
      <c r="AY1242" s="418"/>
      <c r="AZ1242" s="418"/>
    </row>
    <row r="1243" spans="40:52" ht="15.75" customHeight="1">
      <c r="AN1243" s="418"/>
      <c r="AO1243" s="418"/>
      <c r="AP1243" s="418"/>
      <c r="AQ1243" s="418"/>
      <c r="AR1243" s="418"/>
      <c r="AS1243" s="418"/>
      <c r="AT1243" s="418"/>
      <c r="AU1243" s="418"/>
      <c r="AV1243" s="418"/>
      <c r="AW1243" s="418"/>
      <c r="AX1243" s="418"/>
      <c r="AY1243" s="418"/>
      <c r="AZ1243" s="418"/>
    </row>
    <row r="1244" spans="40:52" ht="15.75" customHeight="1">
      <c r="AN1244" s="418"/>
      <c r="AO1244" s="418"/>
      <c r="AP1244" s="418"/>
      <c r="AQ1244" s="418"/>
      <c r="AR1244" s="418"/>
      <c r="AS1244" s="418"/>
      <c r="AT1244" s="418"/>
      <c r="AU1244" s="418"/>
      <c r="AV1244" s="418"/>
      <c r="AW1244" s="418"/>
      <c r="AX1244" s="418"/>
      <c r="AY1244" s="418"/>
      <c r="AZ1244" s="418"/>
    </row>
    <row r="1245" spans="40:52" ht="15.75" customHeight="1">
      <c r="AN1245" s="418"/>
      <c r="AO1245" s="418"/>
      <c r="AP1245" s="418"/>
      <c r="AQ1245" s="418"/>
      <c r="AR1245" s="418"/>
      <c r="AS1245" s="418"/>
      <c r="AT1245" s="418"/>
      <c r="AU1245" s="418"/>
      <c r="AV1245" s="418"/>
      <c r="AW1245" s="418"/>
      <c r="AX1245" s="418"/>
      <c r="AY1245" s="418"/>
      <c r="AZ1245" s="418"/>
    </row>
    <row r="1246" spans="40:52" ht="15.75" customHeight="1">
      <c r="AN1246" s="418"/>
      <c r="AO1246" s="418"/>
      <c r="AP1246" s="418"/>
      <c r="AQ1246" s="418"/>
      <c r="AR1246" s="418"/>
      <c r="AS1246" s="418"/>
      <c r="AT1246" s="418"/>
      <c r="AU1246" s="418"/>
      <c r="AV1246" s="418"/>
      <c r="AW1246" s="418"/>
      <c r="AX1246" s="418"/>
      <c r="AY1246" s="418"/>
      <c r="AZ1246" s="418"/>
    </row>
    <row r="1247" spans="40:52" ht="15.75" customHeight="1">
      <c r="AN1247" s="418"/>
      <c r="AO1247" s="418"/>
      <c r="AP1247" s="418"/>
      <c r="AQ1247" s="418"/>
      <c r="AR1247" s="418"/>
      <c r="AS1247" s="418"/>
      <c r="AT1247" s="418"/>
      <c r="AU1247" s="418"/>
      <c r="AV1247" s="418"/>
      <c r="AW1247" s="418"/>
      <c r="AX1247" s="418"/>
      <c r="AY1247" s="418"/>
      <c r="AZ1247" s="418"/>
    </row>
    <row r="1248" spans="40:52" ht="15.75" customHeight="1">
      <c r="AN1248" s="418"/>
      <c r="AO1248" s="418"/>
      <c r="AP1248" s="418"/>
      <c r="AQ1248" s="418"/>
      <c r="AR1248" s="418"/>
      <c r="AS1248" s="418"/>
      <c r="AT1248" s="418"/>
      <c r="AU1248" s="418"/>
      <c r="AV1248" s="418"/>
      <c r="AW1248" s="418"/>
      <c r="AX1248" s="418"/>
      <c r="AY1248" s="418"/>
      <c r="AZ1248" s="418"/>
    </row>
    <row r="1249" spans="40:52" ht="15.75" customHeight="1">
      <c r="AN1249" s="418"/>
      <c r="AO1249" s="418"/>
      <c r="AP1249" s="418"/>
      <c r="AQ1249" s="418"/>
      <c r="AR1249" s="418"/>
      <c r="AS1249" s="418"/>
      <c r="AT1249" s="418"/>
      <c r="AU1249" s="418"/>
      <c r="AV1249" s="418"/>
      <c r="AW1249" s="418"/>
      <c r="AX1249" s="418"/>
      <c r="AY1249" s="418"/>
      <c r="AZ1249" s="418"/>
    </row>
    <row r="1250" spans="40:52" ht="15.75" customHeight="1">
      <c r="AN1250" s="418"/>
      <c r="AO1250" s="418"/>
      <c r="AP1250" s="418"/>
      <c r="AQ1250" s="418"/>
      <c r="AR1250" s="418"/>
      <c r="AS1250" s="418"/>
      <c r="AT1250" s="418"/>
      <c r="AU1250" s="418"/>
      <c r="AV1250" s="418"/>
      <c r="AW1250" s="418"/>
      <c r="AX1250" s="418"/>
      <c r="AY1250" s="418"/>
      <c r="AZ1250" s="418"/>
    </row>
    <row r="1251" spans="40:52" ht="15.75" customHeight="1">
      <c r="AN1251" s="418"/>
      <c r="AO1251" s="418"/>
      <c r="AP1251" s="418"/>
      <c r="AQ1251" s="418"/>
      <c r="AR1251" s="418"/>
      <c r="AS1251" s="418"/>
      <c r="AT1251" s="418"/>
      <c r="AU1251" s="418"/>
      <c r="AV1251" s="418"/>
      <c r="AW1251" s="418"/>
      <c r="AX1251" s="418"/>
      <c r="AY1251" s="418"/>
      <c r="AZ1251" s="418"/>
    </row>
    <row r="1252" spans="40:52" ht="15.75" customHeight="1">
      <c r="AN1252" s="418"/>
      <c r="AO1252" s="418"/>
      <c r="AP1252" s="418"/>
      <c r="AQ1252" s="418"/>
      <c r="AR1252" s="418"/>
      <c r="AS1252" s="418"/>
      <c r="AT1252" s="418"/>
      <c r="AU1252" s="418"/>
      <c r="AV1252" s="418"/>
      <c r="AW1252" s="418"/>
      <c r="AX1252" s="418"/>
      <c r="AY1252" s="418"/>
      <c r="AZ1252" s="418"/>
    </row>
    <row r="1253" spans="40:52" ht="15.75" customHeight="1">
      <c r="AN1253" s="418"/>
      <c r="AO1253" s="418"/>
      <c r="AP1253" s="418"/>
      <c r="AQ1253" s="418"/>
      <c r="AR1253" s="418"/>
      <c r="AS1253" s="418"/>
      <c r="AT1253" s="418"/>
      <c r="AU1253" s="418"/>
      <c r="AV1253" s="418"/>
      <c r="AW1253" s="418"/>
      <c r="AX1253" s="418"/>
      <c r="AY1253" s="418"/>
      <c r="AZ1253" s="418"/>
    </row>
    <row r="1254" spans="40:52" ht="15.75" customHeight="1">
      <c r="AN1254" s="418"/>
      <c r="AO1254" s="418"/>
      <c r="AP1254" s="418"/>
      <c r="AQ1254" s="418"/>
      <c r="AR1254" s="418"/>
      <c r="AS1254" s="418"/>
      <c r="AT1254" s="418"/>
      <c r="AU1254" s="418"/>
      <c r="AV1254" s="418"/>
      <c r="AW1254" s="418"/>
      <c r="AX1254" s="418"/>
      <c r="AY1254" s="418"/>
      <c r="AZ1254" s="418"/>
    </row>
    <row r="1255" spans="40:52" ht="15.75" customHeight="1">
      <c r="AN1255" s="418"/>
      <c r="AO1255" s="418"/>
      <c r="AP1255" s="418"/>
      <c r="AQ1255" s="418"/>
      <c r="AR1255" s="418"/>
      <c r="AS1255" s="418"/>
      <c r="AT1255" s="418"/>
      <c r="AU1255" s="418"/>
      <c r="AV1255" s="418"/>
      <c r="AW1255" s="418"/>
      <c r="AX1255" s="418"/>
      <c r="AY1255" s="418"/>
      <c r="AZ1255" s="418"/>
    </row>
    <row r="1256" spans="40:52" ht="15.75" customHeight="1">
      <c r="AN1256" s="418"/>
      <c r="AO1256" s="418"/>
      <c r="AP1256" s="418"/>
      <c r="AQ1256" s="418"/>
      <c r="AR1256" s="418"/>
      <c r="AS1256" s="418"/>
      <c r="AT1256" s="418"/>
      <c r="AU1256" s="418"/>
      <c r="AV1256" s="418"/>
      <c r="AW1256" s="418"/>
      <c r="AX1256" s="418"/>
      <c r="AY1256" s="418"/>
      <c r="AZ1256" s="418"/>
    </row>
    <row r="1257" spans="40:52" ht="15.75" customHeight="1">
      <c r="AN1257" s="418"/>
      <c r="AO1257" s="418"/>
      <c r="AP1257" s="418"/>
      <c r="AQ1257" s="418"/>
      <c r="AR1257" s="418"/>
      <c r="AS1257" s="418"/>
      <c r="AT1257" s="418"/>
      <c r="AU1257" s="418"/>
      <c r="AV1257" s="418"/>
      <c r="AW1257" s="418"/>
      <c r="AX1257" s="418"/>
      <c r="AY1257" s="418"/>
      <c r="AZ1257" s="418"/>
    </row>
    <row r="1258" spans="40:52" ht="15.75" customHeight="1">
      <c r="AN1258" s="418"/>
      <c r="AO1258" s="418"/>
      <c r="AP1258" s="418"/>
      <c r="AQ1258" s="418"/>
      <c r="AR1258" s="418"/>
      <c r="AS1258" s="418"/>
      <c r="AT1258" s="418"/>
      <c r="AU1258" s="418"/>
      <c r="AV1258" s="418"/>
      <c r="AW1258" s="418"/>
      <c r="AX1258" s="418"/>
      <c r="AY1258" s="418"/>
      <c r="AZ1258" s="418"/>
    </row>
    <row r="1259" spans="40:52" ht="15.75" customHeight="1">
      <c r="AN1259" s="418"/>
      <c r="AO1259" s="418"/>
      <c r="AP1259" s="418"/>
      <c r="AQ1259" s="418"/>
      <c r="AR1259" s="418"/>
      <c r="AS1259" s="418"/>
      <c r="AT1259" s="418"/>
      <c r="AU1259" s="418"/>
      <c r="AV1259" s="418"/>
      <c r="AW1259" s="418"/>
      <c r="AX1259" s="418"/>
      <c r="AY1259" s="418"/>
      <c r="AZ1259" s="418"/>
    </row>
    <row r="1260" spans="40:52" ht="15.75" customHeight="1">
      <c r="AN1260" s="418"/>
      <c r="AO1260" s="418"/>
      <c r="AP1260" s="418"/>
      <c r="AQ1260" s="418"/>
      <c r="AR1260" s="418"/>
      <c r="AS1260" s="418"/>
      <c r="AT1260" s="418"/>
      <c r="AU1260" s="418"/>
      <c r="AV1260" s="418"/>
      <c r="AW1260" s="418"/>
      <c r="AX1260" s="418"/>
      <c r="AY1260" s="418"/>
      <c r="AZ1260" s="418"/>
    </row>
    <row r="1261" spans="40:52" ht="15.75" customHeight="1">
      <c r="AN1261" s="418"/>
      <c r="AO1261" s="418"/>
      <c r="AP1261" s="418"/>
      <c r="AQ1261" s="418"/>
      <c r="AR1261" s="418"/>
      <c r="AS1261" s="418"/>
      <c r="AT1261" s="418"/>
      <c r="AU1261" s="418"/>
      <c r="AV1261" s="418"/>
      <c r="AW1261" s="418"/>
      <c r="AX1261" s="418"/>
      <c r="AY1261" s="418"/>
      <c r="AZ1261" s="418"/>
    </row>
    <row r="1262" spans="40:52" ht="15.75" customHeight="1">
      <c r="AN1262" s="418"/>
      <c r="AO1262" s="418"/>
      <c r="AP1262" s="418"/>
      <c r="AQ1262" s="418"/>
      <c r="AR1262" s="418"/>
      <c r="AS1262" s="418"/>
      <c r="AT1262" s="418"/>
      <c r="AU1262" s="418"/>
      <c r="AV1262" s="418"/>
      <c r="AW1262" s="418"/>
      <c r="AX1262" s="418"/>
      <c r="AY1262" s="418"/>
      <c r="AZ1262" s="418"/>
    </row>
    <row r="1263" spans="40:52" ht="15.75" customHeight="1">
      <c r="AN1263" s="418"/>
      <c r="AO1263" s="418"/>
      <c r="AP1263" s="418"/>
      <c r="AQ1263" s="418"/>
      <c r="AR1263" s="418"/>
      <c r="AS1263" s="418"/>
      <c r="AT1263" s="418"/>
      <c r="AU1263" s="418"/>
      <c r="AV1263" s="418"/>
      <c r="AW1263" s="418"/>
      <c r="AX1263" s="418"/>
      <c r="AY1263" s="418"/>
      <c r="AZ1263" s="418"/>
    </row>
    <row r="1264" spans="40:52" ht="15.75" customHeight="1">
      <c r="AN1264" s="418"/>
      <c r="AO1264" s="418"/>
      <c r="AP1264" s="418"/>
      <c r="AQ1264" s="418"/>
      <c r="AR1264" s="418"/>
      <c r="AS1264" s="418"/>
      <c r="AT1264" s="418"/>
      <c r="AU1264" s="418"/>
      <c r="AV1264" s="418"/>
      <c r="AW1264" s="418"/>
      <c r="AX1264" s="418"/>
      <c r="AY1264" s="418"/>
      <c r="AZ1264" s="418"/>
    </row>
    <row r="1265" spans="40:52" ht="15.75" customHeight="1">
      <c r="AN1265" s="418"/>
      <c r="AO1265" s="418"/>
      <c r="AP1265" s="418"/>
      <c r="AQ1265" s="418"/>
      <c r="AR1265" s="418"/>
      <c r="AS1265" s="418"/>
      <c r="AT1265" s="418"/>
      <c r="AU1265" s="418"/>
      <c r="AV1265" s="418"/>
      <c r="AW1265" s="418"/>
      <c r="AX1265" s="418"/>
      <c r="AY1265" s="418"/>
      <c r="AZ1265" s="418"/>
    </row>
    <row r="1266" spans="40:52" ht="15.75" customHeight="1">
      <c r="AN1266" s="418"/>
      <c r="AO1266" s="418"/>
      <c r="AP1266" s="418"/>
      <c r="AQ1266" s="418"/>
      <c r="AR1266" s="418"/>
      <c r="AS1266" s="418"/>
      <c r="AT1266" s="418"/>
      <c r="AU1266" s="418"/>
      <c r="AV1266" s="418"/>
      <c r="AW1266" s="418"/>
      <c r="AX1266" s="418"/>
      <c r="AY1266" s="418"/>
      <c r="AZ1266" s="418"/>
    </row>
    <row r="1267" spans="40:52" ht="15.75" customHeight="1">
      <c r="AN1267" s="418"/>
      <c r="AO1267" s="418"/>
      <c r="AP1267" s="418"/>
      <c r="AQ1267" s="418"/>
      <c r="AR1267" s="418"/>
      <c r="AS1267" s="418"/>
      <c r="AT1267" s="418"/>
      <c r="AU1267" s="418"/>
      <c r="AV1267" s="418"/>
      <c r="AW1267" s="418"/>
      <c r="AX1267" s="418"/>
      <c r="AY1267" s="418"/>
      <c r="AZ1267" s="418"/>
    </row>
    <row r="1268" spans="40:52" ht="15.75" customHeight="1">
      <c r="AN1268" s="418"/>
      <c r="AO1268" s="418"/>
      <c r="AP1268" s="418"/>
      <c r="AQ1268" s="418"/>
      <c r="AR1268" s="418"/>
      <c r="AS1268" s="418"/>
      <c r="AT1268" s="418"/>
      <c r="AU1268" s="418"/>
      <c r="AV1268" s="418"/>
      <c r="AW1268" s="418"/>
      <c r="AX1268" s="418"/>
      <c r="AY1268" s="418"/>
      <c r="AZ1268" s="418"/>
    </row>
    <row r="1269" spans="40:52" ht="15.75" customHeight="1">
      <c r="AN1269" s="418"/>
      <c r="AO1269" s="418"/>
      <c r="AP1269" s="418"/>
      <c r="AQ1269" s="418"/>
      <c r="AR1269" s="418"/>
      <c r="AS1269" s="418"/>
      <c r="AT1269" s="418"/>
      <c r="AU1269" s="418"/>
      <c r="AV1269" s="418"/>
      <c r="AW1269" s="418"/>
      <c r="AX1269" s="418"/>
      <c r="AY1269" s="418"/>
      <c r="AZ1269" s="418"/>
    </row>
    <row r="1270" spans="40:52" ht="15.75" customHeight="1">
      <c r="AN1270" s="418"/>
      <c r="AO1270" s="418"/>
      <c r="AP1270" s="418"/>
      <c r="AQ1270" s="418"/>
      <c r="AR1270" s="418"/>
      <c r="AS1270" s="418"/>
      <c r="AT1270" s="418"/>
      <c r="AU1270" s="418"/>
      <c r="AV1270" s="418"/>
      <c r="AW1270" s="418"/>
      <c r="AX1270" s="418"/>
      <c r="AY1270" s="418"/>
      <c r="AZ1270" s="418"/>
    </row>
    <row r="1271" spans="40:52" ht="15.75" customHeight="1">
      <c r="AN1271" s="418"/>
      <c r="AO1271" s="418"/>
      <c r="AP1271" s="418"/>
      <c r="AQ1271" s="418"/>
      <c r="AR1271" s="418"/>
      <c r="AS1271" s="418"/>
      <c r="AT1271" s="418"/>
      <c r="AU1271" s="418"/>
      <c r="AV1271" s="418"/>
      <c r="AW1271" s="418"/>
      <c r="AX1271" s="418"/>
      <c r="AY1271" s="418"/>
      <c r="AZ1271" s="418"/>
    </row>
    <row r="1272" spans="40:52" ht="15.75" customHeight="1">
      <c r="AN1272" s="418"/>
      <c r="AO1272" s="418"/>
      <c r="AP1272" s="418"/>
      <c r="AQ1272" s="418"/>
      <c r="AR1272" s="418"/>
      <c r="AS1272" s="418"/>
      <c r="AT1272" s="418"/>
      <c r="AU1272" s="418"/>
      <c r="AV1272" s="418"/>
      <c r="AW1272" s="418"/>
      <c r="AX1272" s="418"/>
      <c r="AY1272" s="418"/>
      <c r="AZ1272" s="418"/>
    </row>
    <row r="1273" spans="40:52" ht="15.75" customHeight="1">
      <c r="AN1273" s="418"/>
      <c r="AO1273" s="418"/>
      <c r="AP1273" s="418"/>
      <c r="AQ1273" s="418"/>
      <c r="AR1273" s="418"/>
      <c r="AS1273" s="418"/>
      <c r="AT1273" s="418"/>
      <c r="AU1273" s="418"/>
      <c r="AV1273" s="418"/>
      <c r="AW1273" s="418"/>
      <c r="AX1273" s="418"/>
      <c r="AY1273" s="418"/>
      <c r="AZ1273" s="418"/>
    </row>
    <row r="1274" spans="40:52" ht="15.75" customHeight="1">
      <c r="AN1274" s="418"/>
      <c r="AO1274" s="418"/>
      <c r="AP1274" s="418"/>
      <c r="AQ1274" s="418"/>
      <c r="AR1274" s="418"/>
      <c r="AS1274" s="418"/>
      <c r="AT1274" s="418"/>
      <c r="AU1274" s="418"/>
      <c r="AV1274" s="418"/>
      <c r="AW1274" s="418"/>
      <c r="AX1274" s="418"/>
      <c r="AY1274" s="418"/>
      <c r="AZ1274" s="418"/>
    </row>
    <row r="1275" spans="40:52" ht="15.75" customHeight="1">
      <c r="AN1275" s="418"/>
      <c r="AO1275" s="418"/>
      <c r="AP1275" s="418"/>
      <c r="AQ1275" s="418"/>
      <c r="AR1275" s="418"/>
      <c r="AS1275" s="418"/>
      <c r="AT1275" s="418"/>
      <c r="AU1275" s="418"/>
      <c r="AV1275" s="418"/>
      <c r="AW1275" s="418"/>
      <c r="AX1275" s="418"/>
      <c r="AY1275" s="418"/>
      <c r="AZ1275" s="418"/>
    </row>
    <row r="1276" spans="40:52" ht="15.75" customHeight="1">
      <c r="AN1276" s="418"/>
      <c r="AO1276" s="418"/>
      <c r="AP1276" s="418"/>
      <c r="AQ1276" s="418"/>
      <c r="AR1276" s="418"/>
      <c r="AS1276" s="418"/>
      <c r="AT1276" s="418"/>
      <c r="AU1276" s="418"/>
      <c r="AV1276" s="418"/>
      <c r="AW1276" s="418"/>
      <c r="AX1276" s="418"/>
      <c r="AY1276" s="418"/>
      <c r="AZ1276" s="418"/>
    </row>
    <row r="1277" spans="40:52" ht="15.75" customHeight="1">
      <c r="AN1277" s="418"/>
      <c r="AO1277" s="418"/>
      <c r="AP1277" s="418"/>
      <c r="AQ1277" s="418"/>
      <c r="AR1277" s="418"/>
      <c r="AS1277" s="418"/>
      <c r="AT1277" s="418"/>
      <c r="AU1277" s="418"/>
      <c r="AV1277" s="418"/>
      <c r="AW1277" s="418"/>
      <c r="AX1277" s="418"/>
      <c r="AY1277" s="418"/>
      <c r="AZ1277" s="418"/>
    </row>
    <row r="1278" spans="40:52" ht="15.75" customHeight="1">
      <c r="AN1278" s="418"/>
      <c r="AO1278" s="418"/>
      <c r="AP1278" s="418"/>
      <c r="AQ1278" s="418"/>
      <c r="AR1278" s="418"/>
      <c r="AS1278" s="418"/>
      <c r="AT1278" s="418"/>
      <c r="AU1278" s="418"/>
      <c r="AV1278" s="418"/>
      <c r="AW1278" s="418"/>
      <c r="AX1278" s="418"/>
      <c r="AY1278" s="418"/>
      <c r="AZ1278" s="418"/>
    </row>
    <row r="1279" spans="40:52" ht="15.75" customHeight="1">
      <c r="AN1279" s="418"/>
      <c r="AO1279" s="418"/>
      <c r="AP1279" s="418"/>
      <c r="AQ1279" s="418"/>
      <c r="AR1279" s="418"/>
      <c r="AS1279" s="418"/>
      <c r="AT1279" s="418"/>
      <c r="AU1279" s="418"/>
      <c r="AV1279" s="418"/>
      <c r="AW1279" s="418"/>
      <c r="AX1279" s="418"/>
      <c r="AY1279" s="418"/>
      <c r="AZ1279" s="418"/>
    </row>
    <row r="1280" spans="40:52" ht="15.75" customHeight="1">
      <c r="AN1280" s="418"/>
      <c r="AO1280" s="418"/>
      <c r="AP1280" s="418"/>
      <c r="AQ1280" s="418"/>
      <c r="AR1280" s="418"/>
      <c r="AS1280" s="418"/>
      <c r="AT1280" s="418"/>
      <c r="AU1280" s="418"/>
      <c r="AV1280" s="418"/>
      <c r="AW1280" s="418"/>
      <c r="AX1280" s="418"/>
      <c r="AY1280" s="418"/>
      <c r="AZ1280" s="418"/>
    </row>
    <row r="1281" spans="40:52" ht="15.75" customHeight="1">
      <c r="AN1281" s="418"/>
      <c r="AO1281" s="418"/>
      <c r="AP1281" s="418"/>
      <c r="AQ1281" s="418"/>
      <c r="AR1281" s="418"/>
      <c r="AS1281" s="418"/>
      <c r="AT1281" s="418"/>
      <c r="AU1281" s="418"/>
      <c r="AV1281" s="418"/>
      <c r="AW1281" s="418"/>
      <c r="AX1281" s="418"/>
      <c r="AY1281" s="418"/>
      <c r="AZ1281" s="418"/>
    </row>
    <row r="1282" spans="40:52" ht="15.75" customHeight="1">
      <c r="AN1282" s="418"/>
      <c r="AO1282" s="418"/>
      <c r="AP1282" s="418"/>
      <c r="AQ1282" s="418"/>
      <c r="AR1282" s="418"/>
      <c r="AS1282" s="418"/>
      <c r="AT1282" s="418"/>
      <c r="AU1282" s="418"/>
      <c r="AV1282" s="418"/>
      <c r="AW1282" s="418"/>
      <c r="AX1282" s="418"/>
      <c r="AY1282" s="418"/>
      <c r="AZ1282" s="418"/>
    </row>
    <row r="1283" spans="40:52" ht="15.75" customHeight="1">
      <c r="AN1283" s="418"/>
      <c r="AO1283" s="418"/>
      <c r="AP1283" s="418"/>
      <c r="AQ1283" s="418"/>
      <c r="AR1283" s="418"/>
      <c r="AS1283" s="418"/>
      <c r="AT1283" s="418"/>
      <c r="AU1283" s="418"/>
      <c r="AV1283" s="418"/>
      <c r="AW1283" s="418"/>
      <c r="AX1283" s="418"/>
      <c r="AY1283" s="418"/>
      <c r="AZ1283" s="418"/>
    </row>
    <row r="1284" spans="40:52" ht="15.75" customHeight="1">
      <c r="AN1284" s="418"/>
      <c r="AO1284" s="418"/>
      <c r="AP1284" s="418"/>
      <c r="AQ1284" s="418"/>
      <c r="AR1284" s="418"/>
      <c r="AS1284" s="418"/>
      <c r="AT1284" s="418"/>
      <c r="AU1284" s="418"/>
      <c r="AV1284" s="418"/>
      <c r="AW1284" s="418"/>
      <c r="AX1284" s="418"/>
      <c r="AY1284" s="418"/>
      <c r="AZ1284" s="418"/>
    </row>
    <row r="1285" spans="40:52" ht="15.75" customHeight="1">
      <c r="AN1285" s="418"/>
      <c r="AO1285" s="418"/>
      <c r="AP1285" s="418"/>
      <c r="AQ1285" s="418"/>
      <c r="AR1285" s="418"/>
      <c r="AS1285" s="418"/>
      <c r="AT1285" s="418"/>
      <c r="AU1285" s="418"/>
      <c r="AV1285" s="418"/>
      <c r="AW1285" s="418"/>
      <c r="AX1285" s="418"/>
      <c r="AY1285" s="418"/>
      <c r="AZ1285" s="418"/>
    </row>
    <row r="1286" spans="40:52" ht="15.75" customHeight="1">
      <c r="AN1286" s="418"/>
      <c r="AO1286" s="418"/>
      <c r="AP1286" s="418"/>
      <c r="AQ1286" s="418"/>
      <c r="AR1286" s="418"/>
      <c r="AS1286" s="418"/>
      <c r="AT1286" s="418"/>
      <c r="AU1286" s="418"/>
      <c r="AV1286" s="418"/>
      <c r="AW1286" s="418"/>
      <c r="AX1286" s="418"/>
      <c r="AY1286" s="418"/>
      <c r="AZ1286" s="418"/>
    </row>
    <row r="1287" spans="40:52" ht="15.75" customHeight="1">
      <c r="AN1287" s="418"/>
      <c r="AO1287" s="418"/>
      <c r="AP1287" s="418"/>
      <c r="AQ1287" s="418"/>
      <c r="AR1287" s="418"/>
      <c r="AS1287" s="418"/>
      <c r="AT1287" s="418"/>
      <c r="AU1287" s="418"/>
      <c r="AV1287" s="418"/>
      <c r="AW1287" s="418"/>
      <c r="AX1287" s="418"/>
      <c r="AY1287" s="418"/>
      <c r="AZ1287" s="418"/>
    </row>
    <row r="1288" spans="40:52" ht="15.75" customHeight="1">
      <c r="AN1288" s="418"/>
      <c r="AO1288" s="418"/>
      <c r="AP1288" s="418"/>
      <c r="AQ1288" s="418"/>
      <c r="AR1288" s="418"/>
      <c r="AS1288" s="418"/>
      <c r="AT1288" s="418"/>
      <c r="AU1288" s="418"/>
      <c r="AV1288" s="418"/>
      <c r="AW1288" s="418"/>
      <c r="AX1288" s="418"/>
      <c r="AY1288" s="418"/>
      <c r="AZ1288" s="418"/>
    </row>
    <row r="1289" spans="40:52" ht="15.75" customHeight="1">
      <c r="AN1289" s="418"/>
      <c r="AO1289" s="418"/>
      <c r="AP1289" s="418"/>
      <c r="AQ1289" s="418"/>
      <c r="AR1289" s="418"/>
      <c r="AS1289" s="418"/>
      <c r="AT1289" s="418"/>
      <c r="AU1289" s="418"/>
      <c r="AV1289" s="418"/>
      <c r="AW1289" s="418"/>
      <c r="AX1289" s="418"/>
      <c r="AY1289" s="418"/>
      <c r="AZ1289" s="418"/>
    </row>
    <row r="1290" spans="40:52" ht="15.75" customHeight="1">
      <c r="AN1290" s="418"/>
      <c r="AO1290" s="418"/>
      <c r="AP1290" s="418"/>
      <c r="AQ1290" s="418"/>
      <c r="AR1290" s="418"/>
      <c r="AS1290" s="418"/>
      <c r="AT1290" s="418"/>
      <c r="AU1290" s="418"/>
      <c r="AV1290" s="418"/>
      <c r="AW1290" s="418"/>
      <c r="AX1290" s="418"/>
      <c r="AY1290" s="418"/>
      <c r="AZ1290" s="418"/>
    </row>
    <row r="1291" spans="40:52" ht="15.75" customHeight="1">
      <c r="AN1291" s="418"/>
      <c r="AO1291" s="418"/>
      <c r="AP1291" s="418"/>
      <c r="AQ1291" s="418"/>
      <c r="AR1291" s="418"/>
      <c r="AS1291" s="418"/>
      <c r="AT1291" s="418"/>
      <c r="AU1291" s="418"/>
      <c r="AV1291" s="418"/>
      <c r="AW1291" s="418"/>
      <c r="AX1291" s="418"/>
      <c r="AY1291" s="418"/>
      <c r="AZ1291" s="418"/>
    </row>
    <row r="1292" spans="40:52" ht="15.75" customHeight="1">
      <c r="AN1292" s="418"/>
      <c r="AO1292" s="418"/>
      <c r="AP1292" s="418"/>
      <c r="AQ1292" s="418"/>
      <c r="AR1292" s="418"/>
      <c r="AS1292" s="418"/>
      <c r="AT1292" s="418"/>
      <c r="AU1292" s="418"/>
      <c r="AV1292" s="418"/>
      <c r="AW1292" s="418"/>
      <c r="AX1292" s="418"/>
      <c r="AY1292" s="418"/>
      <c r="AZ1292" s="418"/>
    </row>
    <row r="1293" spans="40:52" ht="15.75" customHeight="1">
      <c r="AN1293" s="418"/>
      <c r="AO1293" s="418"/>
      <c r="AP1293" s="418"/>
      <c r="AQ1293" s="418"/>
      <c r="AR1293" s="418"/>
      <c r="AS1293" s="418"/>
      <c r="AT1293" s="418"/>
      <c r="AU1293" s="418"/>
      <c r="AV1293" s="418"/>
      <c r="AW1293" s="418"/>
      <c r="AX1293" s="418"/>
      <c r="AY1293" s="418"/>
      <c r="AZ1293" s="418"/>
    </row>
    <row r="1294" spans="40:52" ht="15.75" customHeight="1">
      <c r="AN1294" s="418"/>
      <c r="AO1294" s="418"/>
      <c r="AP1294" s="418"/>
      <c r="AQ1294" s="418"/>
      <c r="AR1294" s="418"/>
      <c r="AS1294" s="418"/>
      <c r="AT1294" s="418"/>
      <c r="AU1294" s="418"/>
      <c r="AV1294" s="418"/>
      <c r="AW1294" s="418"/>
      <c r="AX1294" s="418"/>
      <c r="AY1294" s="418"/>
      <c r="AZ1294" s="418"/>
    </row>
    <row r="1295" spans="40:52" ht="15.75" customHeight="1">
      <c r="AN1295" s="418"/>
      <c r="AO1295" s="418"/>
      <c r="AP1295" s="418"/>
      <c r="AQ1295" s="418"/>
      <c r="AR1295" s="418"/>
      <c r="AS1295" s="418"/>
      <c r="AT1295" s="418"/>
      <c r="AU1295" s="418"/>
      <c r="AV1295" s="418"/>
      <c r="AW1295" s="418"/>
      <c r="AX1295" s="418"/>
      <c r="AY1295" s="418"/>
      <c r="AZ1295" s="418"/>
    </row>
    <row r="1296" spans="40:52" ht="15.75" customHeight="1">
      <c r="AN1296" s="418"/>
      <c r="AO1296" s="418"/>
      <c r="AP1296" s="418"/>
      <c r="AQ1296" s="418"/>
      <c r="AR1296" s="418"/>
      <c r="AS1296" s="418"/>
      <c r="AT1296" s="418"/>
      <c r="AU1296" s="418"/>
      <c r="AV1296" s="418"/>
      <c r="AW1296" s="418"/>
      <c r="AX1296" s="418"/>
      <c r="AY1296" s="418"/>
      <c r="AZ1296" s="418"/>
    </row>
    <row r="1297" spans="40:52" ht="15.75" customHeight="1">
      <c r="AN1297" s="418"/>
      <c r="AO1297" s="418"/>
      <c r="AP1297" s="418"/>
      <c r="AQ1297" s="418"/>
      <c r="AR1297" s="418"/>
      <c r="AS1297" s="418"/>
      <c r="AT1297" s="418"/>
      <c r="AU1297" s="418"/>
      <c r="AV1297" s="418"/>
      <c r="AW1297" s="418"/>
      <c r="AX1297" s="418"/>
      <c r="AY1297" s="418"/>
      <c r="AZ1297" s="418"/>
    </row>
    <row r="1298" spans="40:52" ht="15.75" customHeight="1">
      <c r="AN1298" s="418"/>
      <c r="AO1298" s="418"/>
      <c r="AP1298" s="418"/>
      <c r="AQ1298" s="418"/>
      <c r="AR1298" s="418"/>
      <c r="AS1298" s="418"/>
      <c r="AT1298" s="418"/>
      <c r="AU1298" s="418"/>
      <c r="AV1298" s="418"/>
      <c r="AW1298" s="418"/>
      <c r="AX1298" s="418"/>
      <c r="AY1298" s="418"/>
      <c r="AZ1298" s="418"/>
    </row>
    <row r="1299" spans="40:52" ht="15.75" customHeight="1">
      <c r="AN1299" s="418"/>
      <c r="AO1299" s="418"/>
      <c r="AP1299" s="418"/>
      <c r="AQ1299" s="418"/>
      <c r="AR1299" s="418"/>
      <c r="AS1299" s="418"/>
      <c r="AT1299" s="418"/>
      <c r="AU1299" s="418"/>
      <c r="AV1299" s="418"/>
      <c r="AW1299" s="418"/>
      <c r="AX1299" s="418"/>
      <c r="AY1299" s="418"/>
      <c r="AZ1299" s="418"/>
    </row>
    <row r="1300" spans="40:52" ht="15.75" customHeight="1">
      <c r="AN1300" s="418"/>
      <c r="AO1300" s="418"/>
      <c r="AP1300" s="418"/>
      <c r="AQ1300" s="418"/>
      <c r="AR1300" s="418"/>
      <c r="AS1300" s="418"/>
      <c r="AT1300" s="418"/>
      <c r="AU1300" s="418"/>
      <c r="AV1300" s="418"/>
      <c r="AW1300" s="418"/>
      <c r="AX1300" s="418"/>
      <c r="AY1300" s="418"/>
      <c r="AZ1300" s="418"/>
    </row>
    <row r="1301" spans="40:52" ht="15.75" customHeight="1">
      <c r="AN1301" s="418"/>
      <c r="AO1301" s="418"/>
      <c r="AP1301" s="418"/>
      <c r="AQ1301" s="418"/>
      <c r="AR1301" s="418"/>
      <c r="AS1301" s="418"/>
      <c r="AT1301" s="418"/>
      <c r="AU1301" s="418"/>
      <c r="AV1301" s="418"/>
      <c r="AW1301" s="418"/>
      <c r="AX1301" s="418"/>
      <c r="AY1301" s="418"/>
      <c r="AZ1301" s="418"/>
    </row>
    <row r="1302" spans="40:52" ht="15.75" customHeight="1">
      <c r="AN1302" s="418"/>
      <c r="AO1302" s="418"/>
      <c r="AP1302" s="418"/>
      <c r="AQ1302" s="418"/>
      <c r="AR1302" s="418"/>
      <c r="AS1302" s="418"/>
      <c r="AT1302" s="418"/>
      <c r="AU1302" s="418"/>
      <c r="AV1302" s="418"/>
      <c r="AW1302" s="418"/>
      <c r="AX1302" s="418"/>
      <c r="AY1302" s="418"/>
      <c r="AZ1302" s="418"/>
    </row>
    <row r="1303" spans="40:52" ht="15.75" customHeight="1">
      <c r="AN1303" s="418"/>
      <c r="AO1303" s="418"/>
      <c r="AP1303" s="418"/>
      <c r="AQ1303" s="418"/>
      <c r="AR1303" s="418"/>
      <c r="AS1303" s="418"/>
      <c r="AT1303" s="418"/>
      <c r="AU1303" s="418"/>
      <c r="AV1303" s="418"/>
      <c r="AW1303" s="418"/>
      <c r="AX1303" s="418"/>
      <c r="AY1303" s="418"/>
      <c r="AZ1303" s="418"/>
    </row>
    <row r="1304" spans="40:52" ht="15.75" customHeight="1">
      <c r="AN1304" s="418"/>
      <c r="AO1304" s="418"/>
      <c r="AP1304" s="418"/>
      <c r="AQ1304" s="418"/>
      <c r="AR1304" s="418"/>
      <c r="AS1304" s="418"/>
      <c r="AT1304" s="418"/>
      <c r="AU1304" s="418"/>
      <c r="AV1304" s="418"/>
      <c r="AW1304" s="418"/>
      <c r="AX1304" s="418"/>
      <c r="AY1304" s="418"/>
      <c r="AZ1304" s="418"/>
    </row>
    <row r="1305" spans="40:52" ht="15.75" customHeight="1">
      <c r="AN1305" s="418"/>
      <c r="AO1305" s="418"/>
      <c r="AP1305" s="418"/>
      <c r="AQ1305" s="418"/>
      <c r="AR1305" s="418"/>
      <c r="AS1305" s="418"/>
      <c r="AT1305" s="418"/>
      <c r="AU1305" s="418"/>
      <c r="AV1305" s="418"/>
      <c r="AW1305" s="418"/>
      <c r="AX1305" s="418"/>
      <c r="AY1305" s="418"/>
      <c r="AZ1305" s="418"/>
    </row>
    <row r="1306" spans="40:52" ht="15.75" customHeight="1">
      <c r="AN1306" s="418"/>
      <c r="AO1306" s="418"/>
      <c r="AP1306" s="418"/>
      <c r="AQ1306" s="418"/>
      <c r="AR1306" s="418"/>
      <c r="AS1306" s="418"/>
      <c r="AT1306" s="418"/>
      <c r="AU1306" s="418"/>
      <c r="AV1306" s="418"/>
      <c r="AW1306" s="418"/>
      <c r="AX1306" s="418"/>
      <c r="AY1306" s="418"/>
      <c r="AZ1306" s="418"/>
    </row>
    <row r="1307" spans="40:52" ht="15.75" customHeight="1">
      <c r="AN1307" s="418"/>
      <c r="AO1307" s="418"/>
      <c r="AP1307" s="418"/>
      <c r="AQ1307" s="418"/>
      <c r="AR1307" s="418"/>
      <c r="AS1307" s="418"/>
      <c r="AT1307" s="418"/>
      <c r="AU1307" s="418"/>
      <c r="AV1307" s="418"/>
      <c r="AW1307" s="418"/>
      <c r="AX1307" s="418"/>
      <c r="AY1307" s="418"/>
      <c r="AZ1307" s="418"/>
    </row>
    <row r="1308" spans="40:52" ht="15.75" customHeight="1">
      <c r="AN1308" s="418"/>
      <c r="AO1308" s="418"/>
      <c r="AP1308" s="418"/>
      <c r="AQ1308" s="418"/>
      <c r="AR1308" s="418"/>
      <c r="AS1308" s="418"/>
      <c r="AT1308" s="418"/>
      <c r="AU1308" s="418"/>
      <c r="AV1308" s="418"/>
      <c r="AW1308" s="418"/>
      <c r="AX1308" s="418"/>
      <c r="AY1308" s="418"/>
      <c r="AZ1308" s="418"/>
    </row>
    <row r="1309" spans="40:52" ht="15.75" customHeight="1">
      <c r="AN1309" s="418"/>
      <c r="AO1309" s="418"/>
      <c r="AP1309" s="418"/>
      <c r="AQ1309" s="418"/>
      <c r="AR1309" s="418"/>
      <c r="AS1309" s="418"/>
      <c r="AT1309" s="418"/>
      <c r="AU1309" s="418"/>
      <c r="AV1309" s="418"/>
      <c r="AW1309" s="418"/>
      <c r="AX1309" s="418"/>
      <c r="AY1309" s="418"/>
      <c r="AZ1309" s="418"/>
    </row>
    <row r="1310" spans="40:52" ht="15.75" customHeight="1">
      <c r="AN1310" s="418"/>
      <c r="AO1310" s="418"/>
      <c r="AP1310" s="418"/>
      <c r="AQ1310" s="418"/>
      <c r="AR1310" s="418"/>
      <c r="AS1310" s="418"/>
      <c r="AT1310" s="418"/>
      <c r="AU1310" s="418"/>
      <c r="AV1310" s="418"/>
      <c r="AW1310" s="418"/>
      <c r="AX1310" s="418"/>
      <c r="AY1310" s="418"/>
      <c r="AZ1310" s="418"/>
    </row>
    <row r="1311" spans="40:52" ht="15.75" customHeight="1">
      <c r="AN1311" s="418"/>
      <c r="AO1311" s="418"/>
      <c r="AP1311" s="418"/>
      <c r="AQ1311" s="418"/>
      <c r="AR1311" s="418"/>
      <c r="AS1311" s="418"/>
      <c r="AT1311" s="418"/>
      <c r="AU1311" s="418"/>
      <c r="AV1311" s="418"/>
      <c r="AW1311" s="418"/>
      <c r="AX1311" s="418"/>
      <c r="AY1311" s="418"/>
      <c r="AZ1311" s="418"/>
    </row>
    <row r="1312" spans="40:52" ht="15.75" customHeight="1">
      <c r="AN1312" s="418"/>
      <c r="AO1312" s="418"/>
      <c r="AP1312" s="418"/>
      <c r="AQ1312" s="418"/>
      <c r="AR1312" s="418"/>
      <c r="AS1312" s="418"/>
      <c r="AT1312" s="418"/>
      <c r="AU1312" s="418"/>
      <c r="AV1312" s="418"/>
      <c r="AW1312" s="418"/>
      <c r="AX1312" s="418"/>
      <c r="AY1312" s="418"/>
      <c r="AZ1312" s="418"/>
    </row>
    <row r="1313" spans="40:52" ht="15.75" customHeight="1">
      <c r="AN1313" s="418"/>
      <c r="AO1313" s="418"/>
      <c r="AP1313" s="418"/>
      <c r="AQ1313" s="418"/>
      <c r="AR1313" s="418"/>
      <c r="AS1313" s="418"/>
      <c r="AT1313" s="418"/>
      <c r="AU1313" s="418"/>
      <c r="AV1313" s="418"/>
      <c r="AW1313" s="418"/>
      <c r="AX1313" s="418"/>
      <c r="AY1313" s="418"/>
      <c r="AZ1313" s="418"/>
    </row>
    <row r="1314" spans="40:52" ht="15.75" customHeight="1">
      <c r="AN1314" s="418"/>
      <c r="AO1314" s="418"/>
      <c r="AP1314" s="418"/>
      <c r="AQ1314" s="418"/>
      <c r="AR1314" s="418"/>
      <c r="AS1314" s="418"/>
      <c r="AT1314" s="418"/>
      <c r="AU1314" s="418"/>
      <c r="AV1314" s="418"/>
      <c r="AW1314" s="418"/>
      <c r="AX1314" s="418"/>
      <c r="AY1314" s="418"/>
      <c r="AZ1314" s="418"/>
    </row>
    <row r="1315" spans="40:52" ht="15.75" customHeight="1">
      <c r="AN1315" s="418"/>
      <c r="AO1315" s="418"/>
      <c r="AP1315" s="418"/>
      <c r="AQ1315" s="418"/>
      <c r="AR1315" s="418"/>
      <c r="AS1315" s="418"/>
      <c r="AT1315" s="418"/>
      <c r="AU1315" s="418"/>
      <c r="AV1315" s="418"/>
      <c r="AW1315" s="418"/>
      <c r="AX1315" s="418"/>
      <c r="AY1315" s="418"/>
      <c r="AZ1315" s="418"/>
    </row>
    <row r="1316" spans="40:52" ht="15.75" customHeight="1">
      <c r="AN1316" s="418"/>
      <c r="AO1316" s="418"/>
      <c r="AP1316" s="418"/>
      <c r="AQ1316" s="418"/>
      <c r="AR1316" s="418"/>
      <c r="AS1316" s="418"/>
      <c r="AT1316" s="418"/>
      <c r="AU1316" s="418"/>
      <c r="AV1316" s="418"/>
      <c r="AW1316" s="418"/>
      <c r="AX1316" s="418"/>
      <c r="AY1316" s="418"/>
      <c r="AZ1316" s="418"/>
    </row>
    <row r="1317" spans="40:52" ht="15.75" customHeight="1">
      <c r="AN1317" s="418"/>
      <c r="AO1317" s="418"/>
      <c r="AP1317" s="418"/>
      <c r="AQ1317" s="418"/>
      <c r="AR1317" s="418"/>
      <c r="AS1317" s="418"/>
      <c r="AT1317" s="418"/>
      <c r="AU1317" s="418"/>
      <c r="AV1317" s="418"/>
      <c r="AW1317" s="418"/>
      <c r="AX1317" s="418"/>
      <c r="AY1317" s="418"/>
      <c r="AZ1317" s="418"/>
    </row>
    <row r="1318" spans="40:52" ht="15.75" customHeight="1">
      <c r="AN1318" s="418"/>
      <c r="AO1318" s="418"/>
      <c r="AP1318" s="418"/>
      <c r="AQ1318" s="418"/>
      <c r="AR1318" s="418"/>
      <c r="AS1318" s="418"/>
      <c r="AT1318" s="418"/>
      <c r="AU1318" s="418"/>
      <c r="AV1318" s="418"/>
      <c r="AW1318" s="418"/>
      <c r="AX1318" s="418"/>
      <c r="AY1318" s="418"/>
      <c r="AZ1318" s="418"/>
    </row>
    <row r="1319" spans="40:52" ht="15.75" customHeight="1">
      <c r="AN1319" s="418"/>
      <c r="AO1319" s="418"/>
      <c r="AP1319" s="418"/>
      <c r="AQ1319" s="418"/>
      <c r="AR1319" s="418"/>
      <c r="AS1319" s="418"/>
      <c r="AT1319" s="418"/>
      <c r="AU1319" s="418"/>
      <c r="AV1319" s="418"/>
      <c r="AW1319" s="418"/>
      <c r="AX1319" s="418"/>
      <c r="AY1319" s="418"/>
      <c r="AZ1319" s="418"/>
    </row>
    <row r="1320" spans="40:52" ht="15.75" customHeight="1">
      <c r="AN1320" s="418"/>
      <c r="AO1320" s="418"/>
      <c r="AP1320" s="418"/>
      <c r="AQ1320" s="418"/>
      <c r="AR1320" s="418"/>
      <c r="AS1320" s="418"/>
      <c r="AT1320" s="418"/>
      <c r="AU1320" s="418"/>
      <c r="AV1320" s="418"/>
      <c r="AW1320" s="418"/>
      <c r="AX1320" s="418"/>
      <c r="AY1320" s="418"/>
      <c r="AZ1320" s="418"/>
    </row>
    <row r="1321" spans="40:52" ht="15.75" customHeight="1">
      <c r="AN1321" s="418"/>
      <c r="AO1321" s="418"/>
      <c r="AP1321" s="418"/>
      <c r="AQ1321" s="418"/>
      <c r="AR1321" s="418"/>
      <c r="AS1321" s="418"/>
      <c r="AT1321" s="418"/>
      <c r="AU1321" s="418"/>
      <c r="AV1321" s="418"/>
      <c r="AW1321" s="418"/>
      <c r="AX1321" s="418"/>
      <c r="AY1321" s="418"/>
      <c r="AZ1321" s="418"/>
    </row>
    <row r="1322" spans="40:52" ht="15.75" customHeight="1">
      <c r="AN1322" s="418"/>
      <c r="AO1322" s="418"/>
      <c r="AP1322" s="418"/>
      <c r="AQ1322" s="418"/>
      <c r="AR1322" s="418"/>
      <c r="AS1322" s="418"/>
      <c r="AT1322" s="418"/>
      <c r="AU1322" s="418"/>
      <c r="AV1322" s="418"/>
      <c r="AW1322" s="418"/>
      <c r="AX1322" s="418"/>
      <c r="AY1322" s="418"/>
      <c r="AZ1322" s="418"/>
    </row>
    <row r="1323" spans="40:52" ht="15.75" customHeight="1">
      <c r="AN1323" s="418"/>
      <c r="AO1323" s="418"/>
      <c r="AP1323" s="418"/>
      <c r="AQ1323" s="418"/>
      <c r="AR1323" s="418"/>
      <c r="AS1323" s="418"/>
      <c r="AT1323" s="418"/>
      <c r="AU1323" s="418"/>
      <c r="AV1323" s="418"/>
      <c r="AW1323" s="418"/>
      <c r="AX1323" s="418"/>
      <c r="AY1323" s="418"/>
      <c r="AZ1323" s="418"/>
    </row>
    <row r="1324" spans="40:52" ht="15.75" customHeight="1">
      <c r="AN1324" s="418"/>
      <c r="AO1324" s="418"/>
      <c r="AP1324" s="418"/>
      <c r="AQ1324" s="418"/>
      <c r="AR1324" s="418"/>
      <c r="AS1324" s="418"/>
      <c r="AT1324" s="418"/>
      <c r="AU1324" s="418"/>
      <c r="AV1324" s="418"/>
      <c r="AW1324" s="418"/>
      <c r="AX1324" s="418"/>
      <c r="AY1324" s="418"/>
      <c r="AZ1324" s="418"/>
    </row>
    <row r="1325" spans="40:52" ht="15.75" customHeight="1">
      <c r="AN1325" s="418"/>
      <c r="AO1325" s="418"/>
      <c r="AP1325" s="418"/>
      <c r="AQ1325" s="418"/>
      <c r="AR1325" s="418"/>
      <c r="AS1325" s="418"/>
      <c r="AT1325" s="418"/>
      <c r="AU1325" s="418"/>
      <c r="AV1325" s="418"/>
      <c r="AW1325" s="418"/>
      <c r="AX1325" s="418"/>
      <c r="AY1325" s="418"/>
      <c r="AZ1325" s="418"/>
    </row>
    <row r="1326" spans="40:52" ht="15.75" customHeight="1">
      <c r="AN1326" s="418"/>
      <c r="AO1326" s="418"/>
      <c r="AP1326" s="418"/>
      <c r="AQ1326" s="418"/>
      <c r="AR1326" s="418"/>
      <c r="AS1326" s="418"/>
      <c r="AT1326" s="418"/>
      <c r="AU1326" s="418"/>
      <c r="AV1326" s="418"/>
      <c r="AW1326" s="418"/>
      <c r="AX1326" s="418"/>
      <c r="AY1326" s="418"/>
      <c r="AZ1326" s="418"/>
    </row>
    <row r="1327" spans="40:52" ht="15.75" customHeight="1">
      <c r="AN1327" s="418"/>
      <c r="AO1327" s="418"/>
      <c r="AP1327" s="418"/>
      <c r="AQ1327" s="418"/>
      <c r="AR1327" s="418"/>
      <c r="AS1327" s="418"/>
      <c r="AT1327" s="418"/>
      <c r="AU1327" s="418"/>
      <c r="AV1327" s="418"/>
      <c r="AW1327" s="418"/>
      <c r="AX1327" s="418"/>
      <c r="AY1327" s="418"/>
      <c r="AZ1327" s="418"/>
    </row>
    <row r="1328" spans="40:52" ht="15.75" customHeight="1">
      <c r="AN1328" s="418"/>
      <c r="AO1328" s="418"/>
      <c r="AP1328" s="418"/>
      <c r="AQ1328" s="418"/>
      <c r="AR1328" s="418"/>
      <c r="AS1328" s="418"/>
      <c r="AT1328" s="418"/>
      <c r="AU1328" s="418"/>
      <c r="AV1328" s="418"/>
      <c r="AW1328" s="418"/>
      <c r="AX1328" s="418"/>
      <c r="AY1328" s="418"/>
      <c r="AZ1328" s="418"/>
    </row>
    <row r="1329" spans="40:52" ht="15.75" customHeight="1">
      <c r="AN1329" s="418"/>
      <c r="AO1329" s="418"/>
      <c r="AP1329" s="418"/>
      <c r="AQ1329" s="418"/>
      <c r="AR1329" s="418"/>
      <c r="AS1329" s="418"/>
      <c r="AT1329" s="418"/>
      <c r="AU1329" s="418"/>
      <c r="AV1329" s="418"/>
      <c r="AW1329" s="418"/>
      <c r="AX1329" s="418"/>
      <c r="AY1329" s="418"/>
      <c r="AZ1329" s="418"/>
    </row>
    <row r="1330" spans="40:52" ht="15.75" customHeight="1">
      <c r="AN1330" s="418"/>
      <c r="AO1330" s="418"/>
      <c r="AP1330" s="418"/>
      <c r="AQ1330" s="418"/>
      <c r="AR1330" s="418"/>
      <c r="AS1330" s="418"/>
      <c r="AT1330" s="418"/>
      <c r="AU1330" s="418"/>
      <c r="AV1330" s="418"/>
      <c r="AW1330" s="418"/>
      <c r="AX1330" s="418"/>
      <c r="AY1330" s="418"/>
      <c r="AZ1330" s="418"/>
    </row>
    <row r="1331" spans="40:52" ht="15.75" customHeight="1">
      <c r="AN1331" s="418"/>
      <c r="AO1331" s="418"/>
      <c r="AP1331" s="418"/>
      <c r="AQ1331" s="418"/>
      <c r="AR1331" s="418"/>
      <c r="AS1331" s="418"/>
      <c r="AT1331" s="418"/>
      <c r="AU1331" s="418"/>
      <c r="AV1331" s="418"/>
      <c r="AW1331" s="418"/>
      <c r="AX1331" s="418"/>
      <c r="AY1331" s="418"/>
      <c r="AZ1331" s="418"/>
    </row>
    <row r="1332" spans="40:52" ht="15.75" customHeight="1">
      <c r="AN1332" s="418"/>
      <c r="AO1332" s="418"/>
      <c r="AP1332" s="418"/>
      <c r="AQ1332" s="418"/>
      <c r="AR1332" s="418"/>
      <c r="AS1332" s="418"/>
      <c r="AT1332" s="418"/>
      <c r="AU1332" s="418"/>
      <c r="AV1332" s="418"/>
      <c r="AW1332" s="418"/>
      <c r="AX1332" s="418"/>
      <c r="AY1332" s="418"/>
      <c r="AZ1332" s="418"/>
    </row>
    <row r="1333" spans="40:52" ht="15.75" customHeight="1">
      <c r="AN1333" s="418"/>
      <c r="AO1333" s="418"/>
      <c r="AP1333" s="418"/>
      <c r="AQ1333" s="418"/>
      <c r="AR1333" s="418"/>
      <c r="AS1333" s="418"/>
      <c r="AT1333" s="418"/>
      <c r="AU1333" s="418"/>
      <c r="AV1333" s="418"/>
      <c r="AW1333" s="418"/>
      <c r="AX1333" s="418"/>
      <c r="AY1333" s="418"/>
      <c r="AZ1333" s="418"/>
    </row>
    <row r="1334" spans="40:52" ht="15.75" customHeight="1">
      <c r="AN1334" s="418"/>
      <c r="AO1334" s="418"/>
      <c r="AP1334" s="418"/>
      <c r="AQ1334" s="418"/>
      <c r="AR1334" s="418"/>
      <c r="AS1334" s="418"/>
      <c r="AT1334" s="418"/>
      <c r="AU1334" s="418"/>
      <c r="AV1334" s="418"/>
      <c r="AW1334" s="418"/>
      <c r="AX1334" s="418"/>
      <c r="AY1334" s="418"/>
      <c r="AZ1334" s="418"/>
    </row>
    <row r="1335" spans="40:52" ht="15.75" customHeight="1">
      <c r="AN1335" s="418"/>
      <c r="AO1335" s="418"/>
      <c r="AP1335" s="418"/>
      <c r="AQ1335" s="418"/>
      <c r="AR1335" s="418"/>
      <c r="AS1335" s="418"/>
      <c r="AT1335" s="418"/>
      <c r="AU1335" s="418"/>
      <c r="AV1335" s="418"/>
      <c r="AW1335" s="418"/>
      <c r="AX1335" s="418"/>
      <c r="AY1335" s="418"/>
      <c r="AZ1335" s="418"/>
    </row>
    <row r="1336" spans="40:52" ht="15.75" customHeight="1">
      <c r="AN1336" s="418"/>
      <c r="AO1336" s="418"/>
      <c r="AP1336" s="418"/>
      <c r="AQ1336" s="418"/>
      <c r="AR1336" s="418"/>
      <c r="AS1336" s="418"/>
      <c r="AT1336" s="418"/>
      <c r="AU1336" s="418"/>
      <c r="AV1336" s="418"/>
      <c r="AW1336" s="418"/>
      <c r="AX1336" s="418"/>
      <c r="AY1336" s="418"/>
      <c r="AZ1336" s="418"/>
    </row>
    <row r="1337" spans="40:52" ht="15.75" customHeight="1">
      <c r="AN1337" s="418"/>
      <c r="AO1337" s="418"/>
      <c r="AP1337" s="418"/>
      <c r="AQ1337" s="418"/>
      <c r="AR1337" s="418"/>
      <c r="AS1337" s="418"/>
      <c r="AT1337" s="418"/>
      <c r="AU1337" s="418"/>
      <c r="AV1337" s="418"/>
      <c r="AW1337" s="418"/>
      <c r="AX1337" s="418"/>
      <c r="AY1337" s="418"/>
      <c r="AZ1337" s="418"/>
    </row>
    <row r="1338" spans="40:52" ht="15.75" customHeight="1">
      <c r="AN1338" s="418"/>
      <c r="AO1338" s="418"/>
      <c r="AP1338" s="418"/>
      <c r="AQ1338" s="418"/>
      <c r="AR1338" s="418"/>
      <c r="AS1338" s="418"/>
      <c r="AT1338" s="418"/>
      <c r="AU1338" s="418"/>
      <c r="AV1338" s="418"/>
      <c r="AW1338" s="418"/>
      <c r="AX1338" s="418"/>
      <c r="AY1338" s="418"/>
      <c r="AZ1338" s="418"/>
    </row>
    <row r="1339" spans="40:52" ht="15.75" customHeight="1">
      <c r="AN1339" s="418"/>
      <c r="AO1339" s="418"/>
      <c r="AP1339" s="418"/>
      <c r="AQ1339" s="418"/>
      <c r="AR1339" s="418"/>
      <c r="AS1339" s="418"/>
      <c r="AT1339" s="418"/>
      <c r="AU1339" s="418"/>
      <c r="AV1339" s="418"/>
      <c r="AW1339" s="418"/>
      <c r="AX1339" s="418"/>
      <c r="AY1339" s="418"/>
      <c r="AZ1339" s="418"/>
    </row>
    <row r="1340" spans="40:52" ht="15.75" customHeight="1">
      <c r="AN1340" s="418"/>
      <c r="AO1340" s="418"/>
      <c r="AP1340" s="418"/>
      <c r="AQ1340" s="418"/>
      <c r="AR1340" s="418"/>
      <c r="AS1340" s="418"/>
      <c r="AT1340" s="418"/>
      <c r="AU1340" s="418"/>
      <c r="AV1340" s="418"/>
      <c r="AW1340" s="418"/>
      <c r="AX1340" s="418"/>
      <c r="AY1340" s="418"/>
      <c r="AZ1340" s="418"/>
    </row>
    <row r="1341" spans="40:52" ht="15.75" customHeight="1">
      <c r="AN1341" s="418"/>
      <c r="AO1341" s="418"/>
      <c r="AP1341" s="418"/>
      <c r="AQ1341" s="418"/>
      <c r="AR1341" s="418"/>
      <c r="AS1341" s="418"/>
      <c r="AT1341" s="418"/>
      <c r="AU1341" s="418"/>
      <c r="AV1341" s="418"/>
      <c r="AW1341" s="418"/>
      <c r="AX1341" s="418"/>
      <c r="AY1341" s="418"/>
      <c r="AZ1341" s="418"/>
    </row>
    <row r="1342" spans="40:52" ht="15.75" customHeight="1">
      <c r="AN1342" s="418"/>
      <c r="AO1342" s="418"/>
      <c r="AP1342" s="418"/>
      <c r="AQ1342" s="418"/>
      <c r="AR1342" s="418"/>
      <c r="AS1342" s="418"/>
      <c r="AT1342" s="418"/>
      <c r="AU1342" s="418"/>
      <c r="AV1342" s="418"/>
      <c r="AW1342" s="418"/>
      <c r="AX1342" s="418"/>
      <c r="AY1342" s="418"/>
      <c r="AZ1342" s="418"/>
    </row>
    <row r="1343" spans="40:52" ht="15.75" customHeight="1">
      <c r="AN1343" s="418"/>
      <c r="AO1343" s="418"/>
      <c r="AP1343" s="418"/>
      <c r="AQ1343" s="418"/>
      <c r="AR1343" s="418"/>
      <c r="AS1343" s="418"/>
      <c r="AT1343" s="418"/>
      <c r="AU1343" s="418"/>
      <c r="AV1343" s="418"/>
      <c r="AW1343" s="418"/>
      <c r="AX1343" s="418"/>
      <c r="AY1343" s="418"/>
      <c r="AZ1343" s="418"/>
    </row>
    <row r="1344" spans="40:52" ht="15.75" customHeight="1">
      <c r="AN1344" s="418"/>
      <c r="AO1344" s="418"/>
      <c r="AP1344" s="418"/>
      <c r="AQ1344" s="418"/>
      <c r="AR1344" s="418"/>
      <c r="AS1344" s="418"/>
      <c r="AT1344" s="418"/>
      <c r="AU1344" s="418"/>
      <c r="AV1344" s="418"/>
      <c r="AW1344" s="418"/>
      <c r="AX1344" s="418"/>
      <c r="AY1344" s="418"/>
      <c r="AZ1344" s="418"/>
    </row>
    <row r="1345" spans="40:52" ht="15.75" customHeight="1">
      <c r="AN1345" s="418"/>
      <c r="AO1345" s="418"/>
      <c r="AP1345" s="418"/>
      <c r="AQ1345" s="418"/>
      <c r="AR1345" s="418"/>
      <c r="AS1345" s="418"/>
      <c r="AT1345" s="418"/>
      <c r="AU1345" s="418"/>
      <c r="AV1345" s="418"/>
      <c r="AW1345" s="418"/>
      <c r="AX1345" s="418"/>
      <c r="AY1345" s="418"/>
      <c r="AZ1345" s="418"/>
    </row>
    <row r="1346" spans="40:52" ht="15.75" customHeight="1">
      <c r="AN1346" s="418"/>
      <c r="AO1346" s="418"/>
      <c r="AP1346" s="418"/>
      <c r="AQ1346" s="418"/>
      <c r="AR1346" s="418"/>
      <c r="AS1346" s="418"/>
      <c r="AT1346" s="418"/>
      <c r="AU1346" s="418"/>
      <c r="AV1346" s="418"/>
      <c r="AW1346" s="418"/>
      <c r="AX1346" s="418"/>
      <c r="AY1346" s="418"/>
      <c r="AZ1346" s="418"/>
    </row>
    <row r="1347" spans="40:52" ht="15.75" customHeight="1">
      <c r="AN1347" s="418"/>
      <c r="AO1347" s="418"/>
      <c r="AP1347" s="418"/>
      <c r="AQ1347" s="418"/>
      <c r="AR1347" s="418"/>
      <c r="AS1347" s="418"/>
      <c r="AT1347" s="418"/>
      <c r="AU1347" s="418"/>
      <c r="AV1347" s="418"/>
      <c r="AW1347" s="418"/>
      <c r="AX1347" s="418"/>
      <c r="AY1347" s="418"/>
      <c r="AZ1347" s="418"/>
    </row>
    <row r="1348" spans="40:52" ht="15.75" customHeight="1">
      <c r="AN1348" s="418"/>
      <c r="AO1348" s="418"/>
      <c r="AP1348" s="418"/>
      <c r="AQ1348" s="418"/>
      <c r="AR1348" s="418"/>
      <c r="AS1348" s="418"/>
      <c r="AT1348" s="418"/>
      <c r="AU1348" s="418"/>
      <c r="AV1348" s="418"/>
      <c r="AW1348" s="418"/>
      <c r="AX1348" s="418"/>
      <c r="AY1348" s="418"/>
      <c r="AZ1348" s="418"/>
    </row>
    <row r="1349" spans="40:52" ht="15.75" customHeight="1">
      <c r="AN1349" s="418"/>
      <c r="AO1349" s="418"/>
      <c r="AP1349" s="418"/>
      <c r="AQ1349" s="418"/>
      <c r="AR1349" s="418"/>
      <c r="AS1349" s="418"/>
      <c r="AT1349" s="418"/>
      <c r="AU1349" s="418"/>
      <c r="AV1349" s="418"/>
      <c r="AW1349" s="418"/>
      <c r="AX1349" s="418"/>
      <c r="AY1349" s="418"/>
      <c r="AZ1349" s="418"/>
    </row>
    <row r="1350" spans="40:52" ht="15.75" customHeight="1">
      <c r="AN1350" s="418"/>
      <c r="AO1350" s="418"/>
      <c r="AP1350" s="418"/>
      <c r="AQ1350" s="418"/>
      <c r="AR1350" s="418"/>
      <c r="AS1350" s="418"/>
      <c r="AT1350" s="418"/>
      <c r="AU1350" s="418"/>
      <c r="AV1350" s="418"/>
      <c r="AW1350" s="418"/>
      <c r="AX1350" s="418"/>
      <c r="AY1350" s="418"/>
      <c r="AZ1350" s="418"/>
    </row>
    <row r="1351" spans="40:52" ht="15.75" customHeight="1">
      <c r="AN1351" s="418"/>
      <c r="AO1351" s="418"/>
      <c r="AP1351" s="418"/>
      <c r="AQ1351" s="418"/>
      <c r="AR1351" s="418"/>
      <c r="AS1351" s="418"/>
      <c r="AT1351" s="418"/>
      <c r="AU1351" s="418"/>
      <c r="AV1351" s="418"/>
      <c r="AW1351" s="418"/>
      <c r="AX1351" s="418"/>
      <c r="AY1351" s="418"/>
      <c r="AZ1351" s="418"/>
    </row>
    <row r="1352" spans="40:52" ht="15.75" customHeight="1">
      <c r="AN1352" s="418"/>
      <c r="AO1352" s="418"/>
      <c r="AP1352" s="418"/>
      <c r="AQ1352" s="418"/>
      <c r="AR1352" s="418"/>
      <c r="AS1352" s="418"/>
      <c r="AT1352" s="418"/>
      <c r="AU1352" s="418"/>
      <c r="AV1352" s="418"/>
      <c r="AW1352" s="418"/>
      <c r="AX1352" s="418"/>
      <c r="AY1352" s="418"/>
      <c r="AZ1352" s="418"/>
    </row>
    <row r="1353" spans="40:52" ht="15.75" customHeight="1">
      <c r="AN1353" s="418"/>
      <c r="AO1353" s="418"/>
      <c r="AP1353" s="418"/>
      <c r="AQ1353" s="418"/>
      <c r="AR1353" s="418"/>
      <c r="AS1353" s="418"/>
      <c r="AT1353" s="418"/>
      <c r="AU1353" s="418"/>
      <c r="AV1353" s="418"/>
      <c r="AW1353" s="418"/>
      <c r="AX1353" s="418"/>
      <c r="AY1353" s="418"/>
      <c r="AZ1353" s="418"/>
    </row>
    <row r="1354" spans="40:52" ht="15.75" customHeight="1">
      <c r="AN1354" s="418"/>
      <c r="AO1354" s="418"/>
      <c r="AP1354" s="418"/>
      <c r="AQ1354" s="418"/>
      <c r="AR1354" s="418"/>
      <c r="AS1354" s="418"/>
      <c r="AT1354" s="418"/>
      <c r="AU1354" s="418"/>
      <c r="AV1354" s="418"/>
      <c r="AW1354" s="418"/>
      <c r="AX1354" s="418"/>
      <c r="AY1354" s="418"/>
      <c r="AZ1354" s="418"/>
    </row>
    <row r="1355" spans="40:52" ht="15.75" customHeight="1">
      <c r="AN1355" s="418"/>
      <c r="AO1355" s="418"/>
      <c r="AP1355" s="418"/>
      <c r="AQ1355" s="418"/>
      <c r="AR1355" s="418"/>
      <c r="AS1355" s="418"/>
      <c r="AT1355" s="418"/>
      <c r="AU1355" s="418"/>
      <c r="AV1355" s="418"/>
      <c r="AW1355" s="418"/>
      <c r="AX1355" s="418"/>
      <c r="AY1355" s="418"/>
      <c r="AZ1355" s="418"/>
    </row>
    <row r="1356" spans="40:52" ht="15.75" customHeight="1">
      <c r="AN1356" s="418"/>
      <c r="AO1356" s="418"/>
      <c r="AP1356" s="418"/>
      <c r="AQ1356" s="418"/>
      <c r="AR1356" s="418"/>
      <c r="AS1356" s="418"/>
      <c r="AT1356" s="418"/>
      <c r="AU1356" s="418"/>
      <c r="AV1356" s="418"/>
      <c r="AW1356" s="418"/>
      <c r="AX1356" s="418"/>
      <c r="AY1356" s="418"/>
      <c r="AZ1356" s="418"/>
    </row>
    <row r="1357" spans="40:52" ht="15.75" customHeight="1">
      <c r="AN1357" s="418"/>
      <c r="AO1357" s="418"/>
      <c r="AP1357" s="418"/>
      <c r="AQ1357" s="418"/>
      <c r="AR1357" s="418"/>
      <c r="AS1357" s="418"/>
      <c r="AT1357" s="418"/>
      <c r="AU1357" s="418"/>
      <c r="AV1357" s="418"/>
      <c r="AW1357" s="418"/>
      <c r="AX1357" s="418"/>
      <c r="AY1357" s="418"/>
      <c r="AZ1357" s="418"/>
    </row>
    <row r="1358" spans="40:52" ht="15.75" customHeight="1">
      <c r="AN1358" s="418"/>
      <c r="AO1358" s="418"/>
      <c r="AP1358" s="418"/>
      <c r="AQ1358" s="418"/>
      <c r="AR1358" s="418"/>
      <c r="AS1358" s="418"/>
      <c r="AT1358" s="418"/>
      <c r="AU1358" s="418"/>
      <c r="AV1358" s="418"/>
      <c r="AW1358" s="418"/>
      <c r="AX1358" s="418"/>
      <c r="AY1358" s="418"/>
      <c r="AZ1358" s="418"/>
    </row>
    <row r="1359" spans="40:52" ht="15.75" customHeight="1">
      <c r="AN1359" s="418"/>
      <c r="AO1359" s="418"/>
      <c r="AP1359" s="418"/>
      <c r="AQ1359" s="418"/>
      <c r="AR1359" s="418"/>
      <c r="AS1359" s="418"/>
      <c r="AT1359" s="418"/>
      <c r="AU1359" s="418"/>
      <c r="AV1359" s="418"/>
      <c r="AW1359" s="418"/>
      <c r="AX1359" s="418"/>
      <c r="AY1359" s="418"/>
      <c r="AZ1359" s="418"/>
    </row>
    <row r="1360" spans="40:52" ht="15.75" customHeight="1">
      <c r="AN1360" s="418"/>
      <c r="AO1360" s="418"/>
      <c r="AP1360" s="418"/>
      <c r="AQ1360" s="418"/>
      <c r="AR1360" s="418"/>
      <c r="AS1360" s="418"/>
      <c r="AT1360" s="418"/>
      <c r="AU1360" s="418"/>
      <c r="AV1360" s="418"/>
      <c r="AW1360" s="418"/>
      <c r="AX1360" s="418"/>
      <c r="AY1360" s="418"/>
      <c r="AZ1360" s="418"/>
    </row>
    <row r="1361" spans="40:52" ht="15.75" customHeight="1">
      <c r="AN1361" s="418"/>
      <c r="AO1361" s="418"/>
      <c r="AP1361" s="418"/>
      <c r="AQ1361" s="418"/>
      <c r="AR1361" s="418"/>
      <c r="AS1361" s="418"/>
      <c r="AT1361" s="418"/>
      <c r="AU1361" s="418"/>
      <c r="AV1361" s="418"/>
      <c r="AW1361" s="418"/>
      <c r="AX1361" s="418"/>
      <c r="AY1361" s="418"/>
      <c r="AZ1361" s="418"/>
    </row>
    <row r="1362" spans="40:52" ht="15.75" customHeight="1">
      <c r="AN1362" s="418"/>
      <c r="AO1362" s="418"/>
      <c r="AP1362" s="418"/>
      <c r="AQ1362" s="418"/>
      <c r="AR1362" s="418"/>
      <c r="AS1362" s="418"/>
      <c r="AT1362" s="418"/>
      <c r="AU1362" s="418"/>
      <c r="AV1362" s="418"/>
      <c r="AW1362" s="418"/>
      <c r="AX1362" s="418"/>
      <c r="AY1362" s="418"/>
      <c r="AZ1362" s="418"/>
    </row>
    <row r="1363" spans="40:52" ht="15.75" customHeight="1">
      <c r="AN1363" s="418"/>
      <c r="AO1363" s="418"/>
      <c r="AP1363" s="418"/>
      <c r="AQ1363" s="418"/>
      <c r="AR1363" s="418"/>
      <c r="AS1363" s="418"/>
      <c r="AT1363" s="418"/>
      <c r="AU1363" s="418"/>
      <c r="AV1363" s="418"/>
      <c r="AW1363" s="418"/>
      <c r="AX1363" s="418"/>
      <c r="AY1363" s="418"/>
      <c r="AZ1363" s="418"/>
    </row>
    <row r="1364" spans="40:52" ht="15.75" customHeight="1">
      <c r="AN1364" s="418"/>
      <c r="AO1364" s="418"/>
      <c r="AP1364" s="418"/>
      <c r="AQ1364" s="418"/>
      <c r="AR1364" s="418"/>
      <c r="AS1364" s="418"/>
      <c r="AT1364" s="418"/>
      <c r="AU1364" s="418"/>
      <c r="AV1364" s="418"/>
      <c r="AW1364" s="418"/>
      <c r="AX1364" s="418"/>
      <c r="AY1364" s="418"/>
      <c r="AZ1364" s="418"/>
    </row>
    <row r="1365" spans="40:52" ht="15.75" customHeight="1">
      <c r="AN1365" s="418"/>
      <c r="AO1365" s="418"/>
      <c r="AP1365" s="418"/>
      <c r="AQ1365" s="418"/>
      <c r="AR1365" s="418"/>
      <c r="AS1365" s="418"/>
      <c r="AT1365" s="418"/>
      <c r="AU1365" s="418"/>
      <c r="AV1365" s="418"/>
      <c r="AW1365" s="418"/>
      <c r="AX1365" s="418"/>
      <c r="AY1365" s="418"/>
      <c r="AZ1365" s="418"/>
    </row>
    <row r="1366" spans="40:52" ht="15.75" customHeight="1">
      <c r="AN1366" s="418"/>
      <c r="AO1366" s="418"/>
      <c r="AP1366" s="418"/>
      <c r="AQ1366" s="418"/>
      <c r="AR1366" s="418"/>
      <c r="AS1366" s="418"/>
      <c r="AT1366" s="418"/>
      <c r="AU1366" s="418"/>
      <c r="AV1366" s="418"/>
      <c r="AW1366" s="418"/>
      <c r="AX1366" s="418"/>
      <c r="AY1366" s="418"/>
      <c r="AZ1366" s="418"/>
    </row>
    <row r="1367" spans="40:52" ht="15.75" customHeight="1">
      <c r="AN1367" s="418"/>
      <c r="AO1367" s="418"/>
      <c r="AP1367" s="418"/>
      <c r="AQ1367" s="418"/>
      <c r="AR1367" s="418"/>
      <c r="AS1367" s="418"/>
      <c r="AT1367" s="418"/>
      <c r="AU1367" s="418"/>
      <c r="AV1367" s="418"/>
      <c r="AW1367" s="418"/>
      <c r="AX1367" s="418"/>
      <c r="AY1367" s="418"/>
      <c r="AZ1367" s="418"/>
    </row>
    <row r="1368" spans="40:52" ht="15.75" customHeight="1">
      <c r="AN1368" s="418"/>
      <c r="AO1368" s="418"/>
      <c r="AP1368" s="418"/>
      <c r="AQ1368" s="418"/>
      <c r="AR1368" s="418"/>
      <c r="AS1368" s="418"/>
      <c r="AT1368" s="418"/>
      <c r="AU1368" s="418"/>
      <c r="AV1368" s="418"/>
      <c r="AW1368" s="418"/>
      <c r="AX1368" s="418"/>
      <c r="AY1368" s="418"/>
      <c r="AZ1368" s="418"/>
    </row>
    <row r="1369" spans="40:52" ht="15.75" customHeight="1">
      <c r="AN1369" s="418"/>
      <c r="AO1369" s="418"/>
      <c r="AP1369" s="418"/>
      <c r="AQ1369" s="418"/>
      <c r="AR1369" s="418"/>
      <c r="AS1369" s="418"/>
      <c r="AT1369" s="418"/>
      <c r="AU1369" s="418"/>
      <c r="AV1369" s="418"/>
      <c r="AW1369" s="418"/>
      <c r="AX1369" s="418"/>
      <c r="AY1369" s="418"/>
      <c r="AZ1369" s="418"/>
    </row>
    <row r="1370" spans="40:52" ht="15.75" customHeight="1">
      <c r="AN1370" s="418"/>
      <c r="AO1370" s="418"/>
      <c r="AP1370" s="418"/>
      <c r="AQ1370" s="418"/>
      <c r="AR1370" s="418"/>
      <c r="AS1370" s="418"/>
      <c r="AT1370" s="418"/>
      <c r="AU1370" s="418"/>
      <c r="AV1370" s="418"/>
      <c r="AW1370" s="418"/>
      <c r="AX1370" s="418"/>
      <c r="AY1370" s="418"/>
      <c r="AZ1370" s="418"/>
    </row>
    <row r="1371" spans="40:52" ht="15.75" customHeight="1">
      <c r="AN1371" s="418"/>
      <c r="AO1371" s="418"/>
      <c r="AP1371" s="418"/>
      <c r="AQ1371" s="418"/>
      <c r="AR1371" s="418"/>
      <c r="AS1371" s="418"/>
      <c r="AT1371" s="418"/>
      <c r="AU1371" s="418"/>
      <c r="AV1371" s="418"/>
      <c r="AW1371" s="418"/>
      <c r="AX1371" s="418"/>
      <c r="AY1371" s="418"/>
      <c r="AZ1371" s="418"/>
    </row>
    <row r="1372" spans="40:52" ht="15.75" customHeight="1">
      <c r="AN1372" s="418"/>
      <c r="AO1372" s="418"/>
      <c r="AP1372" s="418"/>
      <c r="AQ1372" s="418"/>
      <c r="AR1372" s="418"/>
      <c r="AS1372" s="418"/>
      <c r="AT1372" s="418"/>
      <c r="AU1372" s="418"/>
      <c r="AV1372" s="418"/>
      <c r="AW1372" s="418"/>
      <c r="AX1372" s="418"/>
      <c r="AY1372" s="418"/>
      <c r="AZ1372" s="418"/>
    </row>
    <row r="1373" spans="40:52" ht="15.75" customHeight="1">
      <c r="AN1373" s="418"/>
      <c r="AO1373" s="418"/>
      <c r="AP1373" s="418"/>
      <c r="AQ1373" s="418"/>
      <c r="AR1373" s="418"/>
      <c r="AS1373" s="418"/>
      <c r="AT1373" s="418"/>
      <c r="AU1373" s="418"/>
      <c r="AV1373" s="418"/>
      <c r="AW1373" s="418"/>
      <c r="AX1373" s="418"/>
      <c r="AY1373" s="418"/>
      <c r="AZ1373" s="418"/>
    </row>
    <row r="1374" spans="40:52" ht="15.75" customHeight="1">
      <c r="AN1374" s="418"/>
      <c r="AO1374" s="418"/>
      <c r="AP1374" s="418"/>
      <c r="AQ1374" s="418"/>
      <c r="AR1374" s="418"/>
      <c r="AS1374" s="418"/>
      <c r="AT1374" s="418"/>
      <c r="AU1374" s="418"/>
      <c r="AV1374" s="418"/>
      <c r="AW1374" s="418"/>
      <c r="AX1374" s="418"/>
      <c r="AY1374" s="418"/>
      <c r="AZ1374" s="418"/>
    </row>
    <row r="1375" spans="40:52" ht="15.75" customHeight="1">
      <c r="AN1375" s="418"/>
      <c r="AO1375" s="418"/>
      <c r="AP1375" s="418"/>
      <c r="AQ1375" s="418"/>
      <c r="AR1375" s="418"/>
      <c r="AS1375" s="418"/>
      <c r="AT1375" s="418"/>
      <c r="AU1375" s="418"/>
      <c r="AV1375" s="418"/>
      <c r="AW1375" s="418"/>
      <c r="AX1375" s="418"/>
      <c r="AY1375" s="418"/>
      <c r="AZ1375" s="418"/>
    </row>
    <row r="1376" spans="40:52" ht="15.75" customHeight="1">
      <c r="AN1376" s="418"/>
      <c r="AO1376" s="418"/>
      <c r="AP1376" s="418"/>
      <c r="AQ1376" s="418"/>
      <c r="AR1376" s="418"/>
      <c r="AS1376" s="418"/>
      <c r="AT1376" s="418"/>
      <c r="AU1376" s="418"/>
      <c r="AV1376" s="418"/>
      <c r="AW1376" s="418"/>
      <c r="AX1376" s="418"/>
      <c r="AY1376" s="418"/>
      <c r="AZ1376" s="418"/>
    </row>
    <row r="1377" spans="40:52" ht="15.75" customHeight="1">
      <c r="AN1377" s="418"/>
      <c r="AO1377" s="418"/>
      <c r="AP1377" s="418"/>
      <c r="AQ1377" s="418"/>
      <c r="AR1377" s="418"/>
      <c r="AS1377" s="418"/>
      <c r="AT1377" s="418"/>
      <c r="AU1377" s="418"/>
      <c r="AV1377" s="418"/>
      <c r="AW1377" s="418"/>
      <c r="AX1377" s="418"/>
      <c r="AY1377" s="418"/>
      <c r="AZ1377" s="418"/>
    </row>
    <row r="1378" spans="40:52" ht="15.75" customHeight="1">
      <c r="AN1378" s="418"/>
      <c r="AO1378" s="418"/>
      <c r="AP1378" s="418"/>
      <c r="AQ1378" s="418"/>
      <c r="AR1378" s="418"/>
      <c r="AS1378" s="418"/>
      <c r="AT1378" s="418"/>
      <c r="AU1378" s="418"/>
      <c r="AV1378" s="418"/>
      <c r="AW1378" s="418"/>
      <c r="AX1378" s="418"/>
      <c r="AY1378" s="418"/>
      <c r="AZ1378" s="418"/>
    </row>
    <row r="1379" spans="40:52" ht="15.75" customHeight="1">
      <c r="AN1379" s="418"/>
      <c r="AO1379" s="418"/>
      <c r="AP1379" s="418"/>
      <c r="AQ1379" s="418"/>
      <c r="AR1379" s="418"/>
      <c r="AS1379" s="418"/>
      <c r="AT1379" s="418"/>
      <c r="AU1379" s="418"/>
      <c r="AV1379" s="418"/>
      <c r="AW1379" s="418"/>
      <c r="AX1379" s="418"/>
      <c r="AY1379" s="418"/>
      <c r="AZ1379" s="418"/>
    </row>
    <row r="1380" spans="40:52" ht="15.75" customHeight="1">
      <c r="AN1380" s="418"/>
      <c r="AO1380" s="418"/>
      <c r="AP1380" s="418"/>
      <c r="AQ1380" s="418"/>
      <c r="AR1380" s="418"/>
      <c r="AS1380" s="418"/>
      <c r="AT1380" s="418"/>
      <c r="AU1380" s="418"/>
      <c r="AV1380" s="418"/>
      <c r="AW1380" s="418"/>
      <c r="AX1380" s="418"/>
      <c r="AY1380" s="418"/>
      <c r="AZ1380" s="418"/>
    </row>
    <row r="1381" spans="40:52" ht="15.75" customHeight="1">
      <c r="AN1381" s="418"/>
      <c r="AO1381" s="418"/>
      <c r="AP1381" s="418"/>
      <c r="AQ1381" s="418"/>
      <c r="AR1381" s="418"/>
      <c r="AS1381" s="418"/>
      <c r="AT1381" s="418"/>
      <c r="AU1381" s="418"/>
      <c r="AV1381" s="418"/>
      <c r="AW1381" s="418"/>
      <c r="AX1381" s="418"/>
      <c r="AY1381" s="418"/>
      <c r="AZ1381" s="418"/>
    </row>
    <row r="1382" spans="40:52" ht="15.75" customHeight="1">
      <c r="AN1382" s="418"/>
      <c r="AO1382" s="418"/>
      <c r="AP1382" s="418"/>
      <c r="AQ1382" s="418"/>
      <c r="AR1382" s="418"/>
      <c r="AS1382" s="418"/>
      <c r="AT1382" s="418"/>
      <c r="AU1382" s="418"/>
      <c r="AV1382" s="418"/>
      <c r="AW1382" s="418"/>
      <c r="AX1382" s="418"/>
      <c r="AY1382" s="418"/>
      <c r="AZ1382" s="418"/>
    </row>
    <row r="1383" spans="40:52" ht="15.75" customHeight="1">
      <c r="AN1383" s="418"/>
      <c r="AO1383" s="418"/>
      <c r="AP1383" s="418"/>
      <c r="AQ1383" s="418"/>
      <c r="AR1383" s="418"/>
      <c r="AS1383" s="418"/>
      <c r="AT1383" s="418"/>
      <c r="AU1383" s="418"/>
      <c r="AV1383" s="418"/>
      <c r="AW1383" s="418"/>
      <c r="AX1383" s="418"/>
      <c r="AY1383" s="418"/>
      <c r="AZ1383" s="418"/>
    </row>
    <row r="1384" spans="40:52" ht="15.75" customHeight="1">
      <c r="AN1384" s="418"/>
      <c r="AO1384" s="418"/>
      <c r="AP1384" s="418"/>
      <c r="AQ1384" s="418"/>
      <c r="AR1384" s="418"/>
      <c r="AS1384" s="418"/>
      <c r="AT1384" s="418"/>
      <c r="AU1384" s="418"/>
      <c r="AV1384" s="418"/>
      <c r="AW1384" s="418"/>
      <c r="AX1384" s="418"/>
      <c r="AY1384" s="418"/>
      <c r="AZ1384" s="418"/>
    </row>
    <row r="1385" spans="40:52" ht="15.75" customHeight="1">
      <c r="AN1385" s="418"/>
      <c r="AO1385" s="418"/>
      <c r="AP1385" s="418"/>
      <c r="AQ1385" s="418"/>
      <c r="AR1385" s="418"/>
      <c r="AS1385" s="418"/>
      <c r="AT1385" s="418"/>
      <c r="AU1385" s="418"/>
      <c r="AV1385" s="418"/>
      <c r="AW1385" s="418"/>
      <c r="AX1385" s="418"/>
      <c r="AY1385" s="418"/>
      <c r="AZ1385" s="418"/>
    </row>
    <row r="1386" spans="40:52" ht="15.75" customHeight="1">
      <c r="AN1386" s="418"/>
      <c r="AO1386" s="418"/>
      <c r="AP1386" s="418"/>
      <c r="AQ1386" s="418"/>
      <c r="AR1386" s="418"/>
      <c r="AS1386" s="418"/>
      <c r="AT1386" s="418"/>
      <c r="AU1386" s="418"/>
      <c r="AV1386" s="418"/>
      <c r="AW1386" s="418"/>
      <c r="AX1386" s="418"/>
      <c r="AY1386" s="418"/>
      <c r="AZ1386" s="418"/>
    </row>
    <row r="1387" spans="40:52" ht="15.75" customHeight="1">
      <c r="AN1387" s="418"/>
      <c r="AO1387" s="418"/>
      <c r="AP1387" s="418"/>
      <c r="AQ1387" s="418"/>
      <c r="AR1387" s="418"/>
      <c r="AS1387" s="418"/>
      <c r="AT1387" s="418"/>
      <c r="AU1387" s="418"/>
      <c r="AV1387" s="418"/>
      <c r="AW1387" s="418"/>
      <c r="AX1387" s="418"/>
      <c r="AY1387" s="418"/>
      <c r="AZ1387" s="418"/>
    </row>
    <row r="1388" spans="40:52" ht="15.75" customHeight="1">
      <c r="AN1388" s="418"/>
      <c r="AO1388" s="418"/>
      <c r="AP1388" s="418"/>
      <c r="AQ1388" s="418"/>
      <c r="AR1388" s="418"/>
      <c r="AS1388" s="418"/>
      <c r="AT1388" s="418"/>
      <c r="AU1388" s="418"/>
      <c r="AV1388" s="418"/>
      <c r="AW1388" s="418"/>
      <c r="AX1388" s="418"/>
      <c r="AY1388" s="418"/>
      <c r="AZ1388" s="418"/>
    </row>
    <row r="1389" spans="40:52" ht="15.75" customHeight="1">
      <c r="AN1389" s="418"/>
      <c r="AO1389" s="418"/>
      <c r="AP1389" s="418"/>
      <c r="AQ1389" s="418"/>
      <c r="AR1389" s="418"/>
      <c r="AS1389" s="418"/>
      <c r="AT1389" s="418"/>
      <c r="AU1389" s="418"/>
      <c r="AV1389" s="418"/>
      <c r="AW1389" s="418"/>
      <c r="AX1389" s="418"/>
      <c r="AY1389" s="418"/>
      <c r="AZ1389" s="418"/>
    </row>
    <row r="1390" spans="40:52" ht="15.75" customHeight="1">
      <c r="AN1390" s="418"/>
      <c r="AO1390" s="418"/>
      <c r="AP1390" s="418"/>
      <c r="AQ1390" s="418"/>
      <c r="AR1390" s="418"/>
      <c r="AS1390" s="418"/>
      <c r="AT1390" s="418"/>
      <c r="AU1390" s="418"/>
      <c r="AV1390" s="418"/>
      <c r="AW1390" s="418"/>
      <c r="AX1390" s="418"/>
      <c r="AY1390" s="418"/>
      <c r="AZ1390" s="418"/>
    </row>
    <row r="1391" spans="40:52" ht="15.75" customHeight="1">
      <c r="AN1391" s="418"/>
      <c r="AO1391" s="418"/>
      <c r="AP1391" s="418"/>
      <c r="AQ1391" s="418"/>
      <c r="AR1391" s="418"/>
      <c r="AS1391" s="418"/>
      <c r="AT1391" s="418"/>
      <c r="AU1391" s="418"/>
      <c r="AV1391" s="418"/>
      <c r="AW1391" s="418"/>
      <c r="AX1391" s="418"/>
      <c r="AY1391" s="418"/>
      <c r="AZ1391" s="418"/>
    </row>
    <row r="1392" spans="40:52" ht="15.75" customHeight="1">
      <c r="AN1392" s="418"/>
      <c r="AO1392" s="418"/>
      <c r="AP1392" s="418"/>
      <c r="AQ1392" s="418"/>
      <c r="AR1392" s="418"/>
      <c r="AS1392" s="418"/>
      <c r="AT1392" s="418"/>
      <c r="AU1392" s="418"/>
      <c r="AV1392" s="418"/>
      <c r="AW1392" s="418"/>
      <c r="AX1392" s="418"/>
      <c r="AY1392" s="418"/>
      <c r="AZ1392" s="418"/>
    </row>
    <row r="1393" spans="40:52" ht="15.75" customHeight="1">
      <c r="AN1393" s="418"/>
      <c r="AO1393" s="418"/>
      <c r="AP1393" s="418"/>
      <c r="AQ1393" s="418"/>
      <c r="AR1393" s="418"/>
      <c r="AS1393" s="418"/>
      <c r="AT1393" s="418"/>
      <c r="AU1393" s="418"/>
      <c r="AV1393" s="418"/>
      <c r="AW1393" s="418"/>
      <c r="AX1393" s="418"/>
      <c r="AY1393" s="418"/>
      <c r="AZ1393" s="418"/>
    </row>
    <row r="1394" spans="40:52" ht="15.75" customHeight="1">
      <c r="AN1394" s="418"/>
      <c r="AO1394" s="418"/>
      <c r="AP1394" s="418"/>
      <c r="AQ1394" s="418"/>
      <c r="AR1394" s="418"/>
      <c r="AS1394" s="418"/>
      <c r="AT1394" s="418"/>
      <c r="AU1394" s="418"/>
      <c r="AV1394" s="418"/>
      <c r="AW1394" s="418"/>
      <c r="AX1394" s="418"/>
      <c r="AY1394" s="418"/>
      <c r="AZ1394" s="418"/>
    </row>
    <row r="1395" spans="40:52" ht="15.75" customHeight="1">
      <c r="AN1395" s="418"/>
      <c r="AO1395" s="418"/>
      <c r="AP1395" s="418"/>
      <c r="AQ1395" s="418"/>
      <c r="AR1395" s="418"/>
      <c r="AS1395" s="418"/>
      <c r="AT1395" s="418"/>
      <c r="AU1395" s="418"/>
      <c r="AV1395" s="418"/>
      <c r="AW1395" s="418"/>
      <c r="AX1395" s="418"/>
      <c r="AY1395" s="418"/>
      <c r="AZ1395" s="418"/>
    </row>
    <row r="1396" spans="40:52" ht="15.75" customHeight="1">
      <c r="AN1396" s="418"/>
      <c r="AO1396" s="418"/>
      <c r="AP1396" s="418"/>
      <c r="AQ1396" s="418"/>
      <c r="AR1396" s="418"/>
      <c r="AS1396" s="418"/>
      <c r="AT1396" s="418"/>
      <c r="AU1396" s="418"/>
      <c r="AV1396" s="418"/>
      <c r="AW1396" s="418"/>
      <c r="AX1396" s="418"/>
      <c r="AY1396" s="418"/>
      <c r="AZ1396" s="418"/>
    </row>
    <row r="1397" spans="40:52" ht="15.75" customHeight="1">
      <c r="AN1397" s="418"/>
      <c r="AO1397" s="418"/>
      <c r="AP1397" s="418"/>
      <c r="AQ1397" s="418"/>
      <c r="AR1397" s="418"/>
      <c r="AS1397" s="418"/>
      <c r="AT1397" s="418"/>
      <c r="AU1397" s="418"/>
      <c r="AV1397" s="418"/>
      <c r="AW1397" s="418"/>
      <c r="AX1397" s="418"/>
      <c r="AY1397" s="418"/>
      <c r="AZ1397" s="418"/>
    </row>
    <row r="1398" spans="40:52" ht="15.75" customHeight="1">
      <c r="AN1398" s="418"/>
      <c r="AO1398" s="418"/>
      <c r="AP1398" s="418"/>
      <c r="AQ1398" s="418"/>
      <c r="AR1398" s="418"/>
      <c r="AS1398" s="418"/>
      <c r="AT1398" s="418"/>
      <c r="AU1398" s="418"/>
      <c r="AV1398" s="418"/>
      <c r="AW1398" s="418"/>
      <c r="AX1398" s="418"/>
      <c r="AY1398" s="418"/>
      <c r="AZ1398" s="418"/>
    </row>
    <row r="1399" spans="40:52" ht="15.75" customHeight="1">
      <c r="AN1399" s="418"/>
      <c r="AO1399" s="418"/>
      <c r="AP1399" s="418"/>
      <c r="AQ1399" s="418"/>
      <c r="AR1399" s="418"/>
      <c r="AS1399" s="418"/>
      <c r="AT1399" s="418"/>
      <c r="AU1399" s="418"/>
      <c r="AV1399" s="418"/>
      <c r="AW1399" s="418"/>
      <c r="AX1399" s="418"/>
      <c r="AY1399" s="418"/>
      <c r="AZ1399" s="418"/>
    </row>
    <row r="1400" spans="40:52" ht="15.75" customHeight="1">
      <c r="AN1400" s="418"/>
      <c r="AO1400" s="418"/>
      <c r="AP1400" s="418"/>
      <c r="AQ1400" s="418"/>
      <c r="AR1400" s="418"/>
      <c r="AS1400" s="418"/>
      <c r="AT1400" s="418"/>
      <c r="AU1400" s="418"/>
      <c r="AV1400" s="418"/>
      <c r="AW1400" s="418"/>
      <c r="AX1400" s="418"/>
      <c r="AY1400" s="418"/>
      <c r="AZ1400" s="418"/>
    </row>
    <row r="1401" spans="40:52" ht="15.75" customHeight="1">
      <c r="AN1401" s="418"/>
      <c r="AO1401" s="418"/>
      <c r="AP1401" s="418"/>
      <c r="AQ1401" s="418"/>
      <c r="AR1401" s="418"/>
      <c r="AS1401" s="418"/>
      <c r="AT1401" s="418"/>
      <c r="AU1401" s="418"/>
      <c r="AV1401" s="418"/>
      <c r="AW1401" s="418"/>
      <c r="AX1401" s="418"/>
      <c r="AY1401" s="418"/>
      <c r="AZ1401" s="418"/>
    </row>
    <row r="1402" spans="40:52" ht="15.75" customHeight="1">
      <c r="AN1402" s="418"/>
      <c r="AO1402" s="418"/>
      <c r="AP1402" s="418"/>
      <c r="AQ1402" s="418"/>
      <c r="AR1402" s="418"/>
      <c r="AS1402" s="418"/>
      <c r="AT1402" s="418"/>
      <c r="AU1402" s="418"/>
      <c r="AV1402" s="418"/>
      <c r="AW1402" s="418"/>
      <c r="AX1402" s="418"/>
      <c r="AY1402" s="418"/>
      <c r="AZ1402" s="418"/>
    </row>
    <row r="1403" spans="40:52" ht="15.75" customHeight="1">
      <c r="AN1403" s="418"/>
      <c r="AO1403" s="418"/>
      <c r="AP1403" s="418"/>
      <c r="AQ1403" s="418"/>
      <c r="AR1403" s="418"/>
      <c r="AS1403" s="418"/>
      <c r="AT1403" s="418"/>
      <c r="AU1403" s="418"/>
      <c r="AV1403" s="418"/>
      <c r="AW1403" s="418"/>
      <c r="AX1403" s="418"/>
      <c r="AY1403" s="418"/>
      <c r="AZ1403" s="418"/>
    </row>
    <row r="1404" spans="40:52" ht="15.75" customHeight="1">
      <c r="AN1404" s="418"/>
      <c r="AO1404" s="418"/>
      <c r="AP1404" s="418"/>
      <c r="AQ1404" s="418"/>
      <c r="AR1404" s="418"/>
      <c r="AS1404" s="418"/>
      <c r="AT1404" s="418"/>
      <c r="AU1404" s="418"/>
      <c r="AV1404" s="418"/>
      <c r="AW1404" s="418"/>
      <c r="AX1404" s="418"/>
      <c r="AY1404" s="418"/>
      <c r="AZ1404" s="418"/>
    </row>
    <row r="1405" spans="40:52" ht="15.75" customHeight="1">
      <c r="AN1405" s="418"/>
      <c r="AO1405" s="418"/>
      <c r="AP1405" s="418"/>
      <c r="AQ1405" s="418"/>
      <c r="AR1405" s="418"/>
      <c r="AS1405" s="418"/>
      <c r="AT1405" s="418"/>
      <c r="AU1405" s="418"/>
      <c r="AV1405" s="418"/>
      <c r="AW1405" s="418"/>
      <c r="AX1405" s="418"/>
      <c r="AY1405" s="418"/>
      <c r="AZ1405" s="418"/>
    </row>
    <row r="1406" spans="40:52" ht="15.75" customHeight="1">
      <c r="AN1406" s="418"/>
      <c r="AO1406" s="418"/>
      <c r="AP1406" s="418"/>
      <c r="AQ1406" s="418"/>
      <c r="AR1406" s="418"/>
      <c r="AS1406" s="418"/>
      <c r="AT1406" s="418"/>
      <c r="AU1406" s="418"/>
      <c r="AV1406" s="418"/>
      <c r="AW1406" s="418"/>
      <c r="AX1406" s="418"/>
      <c r="AY1406" s="418"/>
      <c r="AZ1406" s="418"/>
    </row>
    <row r="1407" spans="40:52" ht="15.75" customHeight="1">
      <c r="AN1407" s="418"/>
      <c r="AO1407" s="418"/>
      <c r="AP1407" s="418"/>
      <c r="AQ1407" s="418"/>
      <c r="AR1407" s="418"/>
      <c r="AS1407" s="418"/>
      <c r="AT1407" s="418"/>
      <c r="AU1407" s="418"/>
      <c r="AV1407" s="418"/>
      <c r="AW1407" s="418"/>
      <c r="AX1407" s="418"/>
      <c r="AY1407" s="418"/>
      <c r="AZ1407" s="418"/>
    </row>
    <row r="1408" spans="40:52" ht="15.75" customHeight="1">
      <c r="AN1408" s="418"/>
      <c r="AO1408" s="418"/>
      <c r="AP1408" s="418"/>
      <c r="AQ1408" s="418"/>
      <c r="AR1408" s="418"/>
      <c r="AS1408" s="418"/>
      <c r="AT1408" s="418"/>
      <c r="AU1408" s="418"/>
      <c r="AV1408" s="418"/>
      <c r="AW1408" s="418"/>
      <c r="AX1408" s="418"/>
      <c r="AY1408" s="418"/>
      <c r="AZ1408" s="418"/>
    </row>
    <row r="1409" spans="40:52" ht="15.75" customHeight="1">
      <c r="AN1409" s="418"/>
      <c r="AO1409" s="418"/>
      <c r="AP1409" s="418"/>
      <c r="AQ1409" s="418"/>
      <c r="AR1409" s="418"/>
      <c r="AS1409" s="418"/>
      <c r="AT1409" s="418"/>
      <c r="AU1409" s="418"/>
      <c r="AV1409" s="418"/>
      <c r="AW1409" s="418"/>
      <c r="AX1409" s="418"/>
      <c r="AY1409" s="418"/>
      <c r="AZ1409" s="418"/>
    </row>
    <row r="1410" spans="40:52" ht="15.75" customHeight="1">
      <c r="AN1410" s="418"/>
      <c r="AO1410" s="418"/>
      <c r="AP1410" s="418"/>
      <c r="AQ1410" s="418"/>
      <c r="AR1410" s="418"/>
      <c r="AS1410" s="418"/>
      <c r="AT1410" s="418"/>
      <c r="AU1410" s="418"/>
      <c r="AV1410" s="418"/>
      <c r="AW1410" s="418"/>
      <c r="AX1410" s="418"/>
      <c r="AY1410" s="418"/>
      <c r="AZ1410" s="418"/>
    </row>
    <row r="1411" spans="40:52" ht="15.75" customHeight="1">
      <c r="AN1411" s="418"/>
      <c r="AO1411" s="418"/>
      <c r="AP1411" s="418"/>
      <c r="AQ1411" s="418"/>
      <c r="AR1411" s="418"/>
      <c r="AS1411" s="418"/>
      <c r="AT1411" s="418"/>
      <c r="AU1411" s="418"/>
      <c r="AV1411" s="418"/>
      <c r="AW1411" s="418"/>
      <c r="AX1411" s="418"/>
      <c r="AY1411" s="418"/>
      <c r="AZ1411" s="418"/>
    </row>
    <row r="1412" spans="40:52" ht="15.75" customHeight="1">
      <c r="AN1412" s="418"/>
      <c r="AO1412" s="418"/>
      <c r="AP1412" s="418"/>
      <c r="AQ1412" s="418"/>
      <c r="AR1412" s="418"/>
      <c r="AS1412" s="418"/>
      <c r="AT1412" s="418"/>
      <c r="AU1412" s="418"/>
      <c r="AV1412" s="418"/>
      <c r="AW1412" s="418"/>
      <c r="AX1412" s="418"/>
      <c r="AY1412" s="418"/>
      <c r="AZ1412" s="418"/>
    </row>
    <row r="1413" spans="40:52" ht="15.75" customHeight="1">
      <c r="AN1413" s="418"/>
      <c r="AO1413" s="418"/>
      <c r="AP1413" s="418"/>
      <c r="AQ1413" s="418"/>
      <c r="AR1413" s="418"/>
      <c r="AS1413" s="418"/>
      <c r="AT1413" s="418"/>
      <c r="AU1413" s="418"/>
      <c r="AV1413" s="418"/>
      <c r="AW1413" s="418"/>
      <c r="AX1413" s="418"/>
      <c r="AY1413" s="418"/>
      <c r="AZ1413" s="418"/>
    </row>
    <row r="1414" spans="40:52" ht="15.75" customHeight="1">
      <c r="AN1414" s="418"/>
      <c r="AO1414" s="418"/>
      <c r="AP1414" s="418"/>
      <c r="AQ1414" s="418"/>
      <c r="AR1414" s="418"/>
      <c r="AS1414" s="418"/>
      <c r="AT1414" s="418"/>
      <c r="AU1414" s="418"/>
      <c r="AV1414" s="418"/>
      <c r="AW1414" s="418"/>
      <c r="AX1414" s="418"/>
      <c r="AY1414" s="418"/>
      <c r="AZ1414" s="418"/>
    </row>
    <row r="1415" spans="40:52" ht="15.75" customHeight="1">
      <c r="AN1415" s="418"/>
      <c r="AO1415" s="418"/>
      <c r="AP1415" s="418"/>
      <c r="AQ1415" s="418"/>
      <c r="AR1415" s="418"/>
      <c r="AS1415" s="418"/>
      <c r="AT1415" s="418"/>
      <c r="AU1415" s="418"/>
      <c r="AV1415" s="418"/>
      <c r="AW1415" s="418"/>
      <c r="AX1415" s="418"/>
      <c r="AY1415" s="418"/>
      <c r="AZ1415" s="418"/>
    </row>
    <row r="1416" spans="40:52" ht="15.75" customHeight="1">
      <c r="AN1416" s="418"/>
      <c r="AO1416" s="418"/>
      <c r="AP1416" s="418"/>
      <c r="AQ1416" s="418"/>
      <c r="AR1416" s="418"/>
      <c r="AS1416" s="418"/>
      <c r="AT1416" s="418"/>
      <c r="AU1416" s="418"/>
      <c r="AV1416" s="418"/>
      <c r="AW1416" s="418"/>
      <c r="AX1416" s="418"/>
      <c r="AY1416" s="418"/>
      <c r="AZ1416" s="418"/>
    </row>
    <row r="1417" spans="40:52" ht="15.75" customHeight="1">
      <c r="AN1417" s="418"/>
      <c r="AO1417" s="418"/>
      <c r="AP1417" s="418"/>
      <c r="AQ1417" s="418"/>
      <c r="AR1417" s="418"/>
      <c r="AS1417" s="418"/>
      <c r="AT1417" s="418"/>
      <c r="AU1417" s="418"/>
      <c r="AV1417" s="418"/>
      <c r="AW1417" s="418"/>
      <c r="AX1417" s="418"/>
      <c r="AY1417" s="418"/>
      <c r="AZ1417" s="418"/>
    </row>
    <row r="1418" spans="40:52" ht="15.75" customHeight="1">
      <c r="AN1418" s="418"/>
      <c r="AO1418" s="418"/>
      <c r="AP1418" s="418"/>
      <c r="AQ1418" s="418"/>
      <c r="AR1418" s="418"/>
      <c r="AS1418" s="418"/>
      <c r="AT1418" s="418"/>
      <c r="AU1418" s="418"/>
      <c r="AV1418" s="418"/>
      <c r="AW1418" s="418"/>
      <c r="AX1418" s="418"/>
      <c r="AY1418" s="418"/>
      <c r="AZ1418" s="418"/>
    </row>
    <row r="1419" spans="40:52" ht="15.75" customHeight="1">
      <c r="AN1419" s="418"/>
      <c r="AO1419" s="418"/>
      <c r="AP1419" s="418"/>
      <c r="AQ1419" s="418"/>
      <c r="AR1419" s="418"/>
      <c r="AS1419" s="418"/>
      <c r="AT1419" s="418"/>
      <c r="AU1419" s="418"/>
      <c r="AV1419" s="418"/>
      <c r="AW1419" s="418"/>
      <c r="AX1419" s="418"/>
      <c r="AY1419" s="418"/>
      <c r="AZ1419" s="418"/>
    </row>
    <row r="1420" spans="40:52" ht="15.75" customHeight="1">
      <c r="AN1420" s="418"/>
      <c r="AO1420" s="418"/>
      <c r="AP1420" s="418"/>
      <c r="AQ1420" s="418"/>
      <c r="AR1420" s="418"/>
      <c r="AS1420" s="418"/>
      <c r="AT1420" s="418"/>
      <c r="AU1420" s="418"/>
      <c r="AV1420" s="418"/>
      <c r="AW1420" s="418"/>
      <c r="AX1420" s="418"/>
      <c r="AY1420" s="418"/>
      <c r="AZ1420" s="418"/>
    </row>
    <row r="1421" spans="40:52" ht="15.75" customHeight="1">
      <c r="AN1421" s="418"/>
      <c r="AO1421" s="418"/>
      <c r="AP1421" s="418"/>
      <c r="AQ1421" s="418"/>
      <c r="AR1421" s="418"/>
      <c r="AS1421" s="418"/>
      <c r="AT1421" s="418"/>
      <c r="AU1421" s="418"/>
      <c r="AV1421" s="418"/>
      <c r="AW1421" s="418"/>
      <c r="AX1421" s="418"/>
      <c r="AY1421" s="418"/>
      <c r="AZ1421" s="418"/>
    </row>
    <row r="1422" spans="40:52" ht="15.75" customHeight="1">
      <c r="AN1422" s="418"/>
      <c r="AO1422" s="418"/>
      <c r="AP1422" s="418"/>
      <c r="AQ1422" s="418"/>
      <c r="AR1422" s="418"/>
      <c r="AS1422" s="418"/>
      <c r="AT1422" s="418"/>
      <c r="AU1422" s="418"/>
      <c r="AV1422" s="418"/>
      <c r="AW1422" s="418"/>
      <c r="AX1422" s="418"/>
      <c r="AY1422" s="418"/>
      <c r="AZ1422" s="418"/>
    </row>
    <row r="1423" spans="40:52" ht="15.75" customHeight="1">
      <c r="AN1423" s="418"/>
      <c r="AO1423" s="418"/>
      <c r="AP1423" s="418"/>
      <c r="AQ1423" s="418"/>
      <c r="AR1423" s="418"/>
      <c r="AS1423" s="418"/>
      <c r="AT1423" s="418"/>
      <c r="AU1423" s="418"/>
      <c r="AV1423" s="418"/>
      <c r="AW1423" s="418"/>
      <c r="AX1423" s="418"/>
      <c r="AY1423" s="418"/>
      <c r="AZ1423" s="418"/>
    </row>
    <row r="1424" spans="40:52" ht="15.75" customHeight="1">
      <c r="AN1424" s="418"/>
      <c r="AO1424" s="418"/>
      <c r="AP1424" s="418"/>
      <c r="AQ1424" s="418"/>
      <c r="AR1424" s="418"/>
      <c r="AS1424" s="418"/>
      <c r="AT1424" s="418"/>
      <c r="AU1424" s="418"/>
      <c r="AV1424" s="418"/>
      <c r="AW1424" s="418"/>
      <c r="AX1424" s="418"/>
      <c r="AY1424" s="418"/>
      <c r="AZ1424" s="418"/>
    </row>
    <row r="1425" spans="40:52" ht="15.75" customHeight="1">
      <c r="AN1425" s="418"/>
      <c r="AO1425" s="418"/>
      <c r="AP1425" s="418"/>
      <c r="AQ1425" s="418"/>
      <c r="AR1425" s="418"/>
      <c r="AS1425" s="418"/>
      <c r="AT1425" s="418"/>
      <c r="AU1425" s="418"/>
      <c r="AV1425" s="418"/>
      <c r="AW1425" s="418"/>
      <c r="AX1425" s="418"/>
      <c r="AY1425" s="418"/>
      <c r="AZ1425" s="418"/>
    </row>
    <row r="1426" spans="40:52" ht="15.75" customHeight="1">
      <c r="AN1426" s="418"/>
      <c r="AO1426" s="418"/>
      <c r="AP1426" s="418"/>
      <c r="AQ1426" s="418"/>
      <c r="AR1426" s="418"/>
      <c r="AS1426" s="418"/>
      <c r="AT1426" s="418"/>
      <c r="AU1426" s="418"/>
      <c r="AV1426" s="418"/>
      <c r="AW1426" s="418"/>
      <c r="AX1426" s="418"/>
      <c r="AY1426" s="418"/>
      <c r="AZ1426" s="418"/>
    </row>
    <row r="1427" spans="40:52" ht="15.75" customHeight="1">
      <c r="AN1427" s="418"/>
      <c r="AO1427" s="418"/>
      <c r="AP1427" s="418"/>
      <c r="AQ1427" s="418"/>
      <c r="AR1427" s="418"/>
      <c r="AS1427" s="418"/>
      <c r="AT1427" s="418"/>
      <c r="AU1427" s="418"/>
      <c r="AV1427" s="418"/>
      <c r="AW1427" s="418"/>
      <c r="AX1427" s="418"/>
      <c r="AY1427" s="418"/>
      <c r="AZ1427" s="418"/>
    </row>
    <row r="1428" spans="40:52" ht="15.75" customHeight="1">
      <c r="AN1428" s="418"/>
      <c r="AO1428" s="418"/>
      <c r="AP1428" s="418"/>
      <c r="AQ1428" s="418"/>
      <c r="AR1428" s="418"/>
      <c r="AS1428" s="418"/>
      <c r="AT1428" s="418"/>
      <c r="AU1428" s="418"/>
      <c r="AV1428" s="418"/>
      <c r="AW1428" s="418"/>
      <c r="AX1428" s="418"/>
      <c r="AY1428" s="418"/>
      <c r="AZ1428" s="418"/>
    </row>
    <row r="1429" spans="40:52" ht="15.75" customHeight="1">
      <c r="AN1429" s="418"/>
      <c r="AO1429" s="418"/>
      <c r="AP1429" s="418"/>
      <c r="AQ1429" s="418"/>
      <c r="AR1429" s="418"/>
      <c r="AS1429" s="418"/>
      <c r="AT1429" s="418"/>
      <c r="AU1429" s="418"/>
      <c r="AV1429" s="418"/>
      <c r="AW1429" s="418"/>
      <c r="AX1429" s="418"/>
      <c r="AY1429" s="418"/>
      <c r="AZ1429" s="418"/>
    </row>
    <row r="1430" spans="40:52" ht="15.75" customHeight="1">
      <c r="AN1430" s="418"/>
      <c r="AO1430" s="418"/>
      <c r="AP1430" s="418"/>
      <c r="AQ1430" s="418"/>
      <c r="AR1430" s="418"/>
      <c r="AS1430" s="418"/>
      <c r="AT1430" s="418"/>
      <c r="AU1430" s="418"/>
      <c r="AV1430" s="418"/>
      <c r="AW1430" s="418"/>
      <c r="AX1430" s="418"/>
      <c r="AY1430" s="418"/>
      <c r="AZ1430" s="418"/>
    </row>
    <row r="1431" spans="40:52" ht="15.75" customHeight="1">
      <c r="AN1431" s="418"/>
      <c r="AO1431" s="418"/>
      <c r="AP1431" s="418"/>
      <c r="AQ1431" s="418"/>
      <c r="AR1431" s="418"/>
      <c r="AS1431" s="418"/>
      <c r="AT1431" s="418"/>
      <c r="AU1431" s="418"/>
      <c r="AV1431" s="418"/>
      <c r="AW1431" s="418"/>
      <c r="AX1431" s="418"/>
      <c r="AY1431" s="418"/>
      <c r="AZ1431" s="418"/>
    </row>
    <row r="1432" spans="40:52" ht="15.75" customHeight="1">
      <c r="AN1432" s="418"/>
      <c r="AO1432" s="418"/>
      <c r="AP1432" s="418"/>
      <c r="AQ1432" s="418"/>
      <c r="AR1432" s="418"/>
      <c r="AS1432" s="418"/>
      <c r="AT1432" s="418"/>
      <c r="AU1432" s="418"/>
      <c r="AV1432" s="418"/>
      <c r="AW1432" s="418"/>
      <c r="AX1432" s="418"/>
      <c r="AY1432" s="418"/>
      <c r="AZ1432" s="418"/>
    </row>
    <row r="1433" spans="40:52" ht="15.75" customHeight="1">
      <c r="AN1433" s="418"/>
      <c r="AO1433" s="418"/>
      <c r="AP1433" s="418"/>
      <c r="AQ1433" s="418"/>
      <c r="AR1433" s="418"/>
      <c r="AS1433" s="418"/>
      <c r="AT1433" s="418"/>
      <c r="AU1433" s="418"/>
      <c r="AV1433" s="418"/>
      <c r="AW1433" s="418"/>
      <c r="AX1433" s="418"/>
      <c r="AY1433" s="418"/>
      <c r="AZ1433" s="418"/>
    </row>
    <row r="1434" spans="40:52" ht="15.75" customHeight="1">
      <c r="AN1434" s="418"/>
      <c r="AO1434" s="418"/>
      <c r="AP1434" s="418"/>
      <c r="AQ1434" s="418"/>
      <c r="AR1434" s="418"/>
      <c r="AS1434" s="418"/>
      <c r="AT1434" s="418"/>
      <c r="AU1434" s="418"/>
      <c r="AV1434" s="418"/>
      <c r="AW1434" s="418"/>
      <c r="AX1434" s="418"/>
      <c r="AY1434" s="418"/>
      <c r="AZ1434" s="418"/>
    </row>
    <row r="1435" spans="40:52" ht="15.75" customHeight="1">
      <c r="AN1435" s="418"/>
      <c r="AO1435" s="418"/>
      <c r="AP1435" s="418"/>
      <c r="AQ1435" s="418"/>
      <c r="AR1435" s="418"/>
      <c r="AS1435" s="418"/>
      <c r="AT1435" s="418"/>
      <c r="AU1435" s="418"/>
      <c r="AV1435" s="418"/>
      <c r="AW1435" s="418"/>
      <c r="AX1435" s="418"/>
      <c r="AY1435" s="418"/>
      <c r="AZ1435" s="418"/>
    </row>
    <row r="1436" spans="40:52" ht="15.75" customHeight="1">
      <c r="AN1436" s="418"/>
      <c r="AO1436" s="418"/>
      <c r="AP1436" s="418"/>
      <c r="AQ1436" s="418"/>
      <c r="AR1436" s="418"/>
      <c r="AS1436" s="418"/>
      <c r="AT1436" s="418"/>
      <c r="AU1436" s="418"/>
      <c r="AV1436" s="418"/>
      <c r="AW1436" s="418"/>
      <c r="AX1436" s="418"/>
      <c r="AY1436" s="418"/>
      <c r="AZ1436" s="418"/>
    </row>
    <row r="1437" spans="40:52" ht="15.75" customHeight="1">
      <c r="AN1437" s="418"/>
      <c r="AO1437" s="418"/>
      <c r="AP1437" s="418"/>
      <c r="AQ1437" s="418"/>
      <c r="AR1437" s="418"/>
      <c r="AS1437" s="418"/>
      <c r="AT1437" s="418"/>
      <c r="AU1437" s="418"/>
      <c r="AV1437" s="418"/>
      <c r="AW1437" s="418"/>
      <c r="AX1437" s="418"/>
      <c r="AY1437" s="418"/>
      <c r="AZ1437" s="418"/>
    </row>
    <row r="1438" spans="40:52" ht="15.75" customHeight="1">
      <c r="AN1438" s="418"/>
      <c r="AO1438" s="418"/>
      <c r="AP1438" s="418"/>
      <c r="AQ1438" s="418"/>
      <c r="AR1438" s="418"/>
      <c r="AS1438" s="418"/>
      <c r="AT1438" s="418"/>
      <c r="AU1438" s="418"/>
      <c r="AV1438" s="418"/>
      <c r="AW1438" s="418"/>
      <c r="AX1438" s="418"/>
      <c r="AY1438" s="418"/>
      <c r="AZ1438" s="418"/>
    </row>
    <row r="1439" spans="40:52" ht="15.75" customHeight="1">
      <c r="AN1439" s="418"/>
      <c r="AO1439" s="418"/>
      <c r="AP1439" s="418"/>
      <c r="AQ1439" s="418"/>
      <c r="AR1439" s="418"/>
      <c r="AS1439" s="418"/>
      <c r="AT1439" s="418"/>
      <c r="AU1439" s="418"/>
      <c r="AV1439" s="418"/>
      <c r="AW1439" s="418"/>
      <c r="AX1439" s="418"/>
      <c r="AY1439" s="418"/>
      <c r="AZ1439" s="418"/>
    </row>
    <row r="1440" spans="40:52" ht="15.75" customHeight="1">
      <c r="AN1440" s="418"/>
      <c r="AO1440" s="418"/>
      <c r="AP1440" s="418"/>
      <c r="AQ1440" s="418"/>
      <c r="AR1440" s="418"/>
      <c r="AS1440" s="418"/>
      <c r="AT1440" s="418"/>
      <c r="AU1440" s="418"/>
      <c r="AV1440" s="418"/>
      <c r="AW1440" s="418"/>
      <c r="AX1440" s="418"/>
      <c r="AY1440" s="418"/>
      <c r="AZ1440" s="418"/>
    </row>
    <row r="1441" spans="40:52" ht="15.75" customHeight="1">
      <c r="AN1441" s="418"/>
      <c r="AO1441" s="418"/>
      <c r="AP1441" s="418"/>
      <c r="AQ1441" s="418"/>
      <c r="AR1441" s="418"/>
      <c r="AS1441" s="418"/>
      <c r="AT1441" s="418"/>
      <c r="AU1441" s="418"/>
      <c r="AV1441" s="418"/>
      <c r="AW1441" s="418"/>
      <c r="AX1441" s="418"/>
      <c r="AY1441" s="418"/>
      <c r="AZ1441" s="418"/>
    </row>
    <row r="1442" spans="40:52" ht="15.75" customHeight="1">
      <c r="AN1442" s="418"/>
      <c r="AO1442" s="418"/>
      <c r="AP1442" s="418"/>
      <c r="AQ1442" s="418"/>
      <c r="AR1442" s="418"/>
      <c r="AS1442" s="418"/>
      <c r="AT1442" s="418"/>
      <c r="AU1442" s="418"/>
      <c r="AV1442" s="418"/>
      <c r="AW1442" s="418"/>
      <c r="AX1442" s="418"/>
      <c r="AY1442" s="418"/>
      <c r="AZ1442" s="418"/>
    </row>
    <row r="1443" spans="40:52" ht="15.75" customHeight="1">
      <c r="AN1443" s="418"/>
      <c r="AO1443" s="418"/>
      <c r="AP1443" s="418"/>
      <c r="AQ1443" s="418"/>
      <c r="AR1443" s="418"/>
      <c r="AS1443" s="418"/>
      <c r="AT1443" s="418"/>
      <c r="AU1443" s="418"/>
      <c r="AV1443" s="418"/>
      <c r="AW1443" s="418"/>
      <c r="AX1443" s="418"/>
      <c r="AY1443" s="418"/>
      <c r="AZ1443" s="418"/>
    </row>
    <row r="1444" spans="40:52" ht="15.75" customHeight="1">
      <c r="AN1444" s="418"/>
      <c r="AO1444" s="418"/>
      <c r="AP1444" s="418"/>
      <c r="AQ1444" s="418"/>
      <c r="AR1444" s="418"/>
      <c r="AS1444" s="418"/>
      <c r="AT1444" s="418"/>
      <c r="AU1444" s="418"/>
      <c r="AV1444" s="418"/>
      <c r="AW1444" s="418"/>
      <c r="AX1444" s="418"/>
      <c r="AY1444" s="418"/>
      <c r="AZ1444" s="418"/>
    </row>
    <row r="1445" spans="40:52" ht="15.75" customHeight="1">
      <c r="AN1445" s="418"/>
      <c r="AO1445" s="418"/>
      <c r="AP1445" s="418"/>
      <c r="AQ1445" s="418"/>
      <c r="AR1445" s="418"/>
      <c r="AS1445" s="418"/>
      <c r="AT1445" s="418"/>
      <c r="AU1445" s="418"/>
      <c r="AV1445" s="418"/>
      <c r="AW1445" s="418"/>
      <c r="AX1445" s="418"/>
      <c r="AY1445" s="418"/>
      <c r="AZ1445" s="418"/>
    </row>
    <row r="1446" spans="40:52" ht="15.75" customHeight="1">
      <c r="AN1446" s="418"/>
      <c r="AO1446" s="418"/>
      <c r="AP1446" s="418"/>
      <c r="AQ1446" s="418"/>
      <c r="AR1446" s="418"/>
      <c r="AS1446" s="418"/>
      <c r="AT1446" s="418"/>
      <c r="AU1446" s="418"/>
      <c r="AV1446" s="418"/>
      <c r="AW1446" s="418"/>
      <c r="AX1446" s="418"/>
      <c r="AY1446" s="418"/>
      <c r="AZ1446" s="418"/>
    </row>
    <row r="1447" spans="40:52" ht="15.75" customHeight="1">
      <c r="AN1447" s="418"/>
      <c r="AO1447" s="418"/>
      <c r="AP1447" s="418"/>
      <c r="AQ1447" s="418"/>
      <c r="AR1447" s="418"/>
      <c r="AS1447" s="418"/>
      <c r="AT1447" s="418"/>
      <c r="AU1447" s="418"/>
      <c r="AV1447" s="418"/>
      <c r="AW1447" s="418"/>
      <c r="AX1447" s="418"/>
      <c r="AY1447" s="418"/>
      <c r="AZ1447" s="418"/>
    </row>
    <row r="1448" spans="40:52" ht="15.75" customHeight="1">
      <c r="AN1448" s="418"/>
      <c r="AO1448" s="418"/>
      <c r="AP1448" s="418"/>
      <c r="AQ1448" s="418"/>
      <c r="AR1448" s="418"/>
      <c r="AS1448" s="418"/>
      <c r="AT1448" s="418"/>
      <c r="AU1448" s="418"/>
      <c r="AV1448" s="418"/>
      <c r="AW1448" s="418"/>
      <c r="AX1448" s="418"/>
      <c r="AY1448" s="418"/>
      <c r="AZ1448" s="418"/>
    </row>
    <row r="1449" spans="40:52" ht="15.75" customHeight="1">
      <c r="AN1449" s="418"/>
      <c r="AO1449" s="418"/>
      <c r="AP1449" s="418"/>
      <c r="AQ1449" s="418"/>
      <c r="AR1449" s="418"/>
      <c r="AS1449" s="418"/>
      <c r="AT1449" s="418"/>
      <c r="AU1449" s="418"/>
      <c r="AV1449" s="418"/>
      <c r="AW1449" s="418"/>
      <c r="AX1449" s="418"/>
      <c r="AY1449" s="418"/>
      <c r="AZ1449" s="418"/>
    </row>
    <row r="1450" spans="40:52" ht="15.75" customHeight="1">
      <c r="AN1450" s="418"/>
      <c r="AO1450" s="418"/>
      <c r="AP1450" s="418"/>
      <c r="AQ1450" s="418"/>
      <c r="AR1450" s="418"/>
      <c r="AS1450" s="418"/>
      <c r="AT1450" s="418"/>
      <c r="AU1450" s="418"/>
      <c r="AV1450" s="418"/>
      <c r="AW1450" s="418"/>
      <c r="AX1450" s="418"/>
      <c r="AY1450" s="418"/>
      <c r="AZ1450" s="418"/>
    </row>
    <row r="1451" spans="40:52" ht="15.75" customHeight="1">
      <c r="AN1451" s="418"/>
      <c r="AO1451" s="418"/>
      <c r="AP1451" s="418"/>
      <c r="AQ1451" s="418"/>
      <c r="AR1451" s="418"/>
      <c r="AS1451" s="418"/>
      <c r="AT1451" s="418"/>
      <c r="AU1451" s="418"/>
      <c r="AV1451" s="418"/>
      <c r="AW1451" s="418"/>
      <c r="AX1451" s="418"/>
      <c r="AY1451" s="418"/>
      <c r="AZ1451" s="418"/>
    </row>
    <row r="1452" spans="40:52" ht="15.75" customHeight="1">
      <c r="AN1452" s="418"/>
      <c r="AO1452" s="418"/>
      <c r="AP1452" s="418"/>
      <c r="AQ1452" s="418"/>
      <c r="AR1452" s="418"/>
      <c r="AS1452" s="418"/>
      <c r="AT1452" s="418"/>
      <c r="AU1452" s="418"/>
      <c r="AV1452" s="418"/>
      <c r="AW1452" s="418"/>
      <c r="AX1452" s="418"/>
      <c r="AY1452" s="418"/>
      <c r="AZ1452" s="418"/>
    </row>
    <row r="1453" spans="40:52" ht="15.75" customHeight="1">
      <c r="AN1453" s="418"/>
      <c r="AO1453" s="418"/>
      <c r="AP1453" s="418"/>
      <c r="AQ1453" s="418"/>
      <c r="AR1453" s="418"/>
      <c r="AS1453" s="418"/>
      <c r="AT1453" s="418"/>
      <c r="AU1453" s="418"/>
      <c r="AV1453" s="418"/>
      <c r="AW1453" s="418"/>
      <c r="AX1453" s="418"/>
      <c r="AY1453" s="418"/>
      <c r="AZ1453" s="418"/>
    </row>
    <row r="1454" spans="40:52" ht="15.75" customHeight="1">
      <c r="AN1454" s="418"/>
      <c r="AO1454" s="418"/>
      <c r="AP1454" s="418"/>
      <c r="AQ1454" s="418"/>
      <c r="AR1454" s="418"/>
      <c r="AS1454" s="418"/>
      <c r="AT1454" s="418"/>
      <c r="AU1454" s="418"/>
      <c r="AV1454" s="418"/>
      <c r="AW1454" s="418"/>
      <c r="AX1454" s="418"/>
      <c r="AY1454" s="418"/>
      <c r="AZ1454" s="418"/>
    </row>
    <row r="1455" spans="40:52" ht="15.75" customHeight="1">
      <c r="AN1455" s="418"/>
      <c r="AO1455" s="418"/>
      <c r="AP1455" s="418"/>
      <c r="AQ1455" s="418"/>
      <c r="AR1455" s="418"/>
      <c r="AS1455" s="418"/>
      <c r="AT1455" s="418"/>
      <c r="AU1455" s="418"/>
      <c r="AV1455" s="418"/>
      <c r="AW1455" s="418"/>
      <c r="AX1455" s="418"/>
      <c r="AY1455" s="418"/>
      <c r="AZ1455" s="418"/>
    </row>
    <row r="1456" spans="40:52" ht="15.75" customHeight="1">
      <c r="AN1456" s="418"/>
      <c r="AO1456" s="418"/>
      <c r="AP1456" s="418"/>
      <c r="AQ1456" s="418"/>
      <c r="AR1456" s="418"/>
      <c r="AS1456" s="418"/>
      <c r="AT1456" s="418"/>
      <c r="AU1456" s="418"/>
      <c r="AV1456" s="418"/>
      <c r="AW1456" s="418"/>
      <c r="AX1456" s="418"/>
      <c r="AY1456" s="418"/>
      <c r="AZ1456" s="418"/>
    </row>
    <row r="1457" spans="40:52" ht="15.75" customHeight="1">
      <c r="AN1457" s="418"/>
      <c r="AO1457" s="418"/>
      <c r="AP1457" s="418"/>
      <c r="AQ1457" s="418"/>
      <c r="AR1457" s="418"/>
      <c r="AS1457" s="418"/>
      <c r="AT1457" s="418"/>
      <c r="AU1457" s="418"/>
      <c r="AV1457" s="418"/>
      <c r="AW1457" s="418"/>
      <c r="AX1457" s="418"/>
      <c r="AY1457" s="418"/>
      <c r="AZ1457" s="418"/>
    </row>
    <row r="1458" spans="40:52" ht="15.75" customHeight="1">
      <c r="AN1458" s="418"/>
      <c r="AO1458" s="418"/>
      <c r="AP1458" s="418"/>
      <c r="AQ1458" s="418"/>
      <c r="AR1458" s="418"/>
      <c r="AS1458" s="418"/>
      <c r="AT1458" s="418"/>
      <c r="AU1458" s="418"/>
      <c r="AV1458" s="418"/>
      <c r="AW1458" s="418"/>
      <c r="AX1458" s="418"/>
      <c r="AY1458" s="418"/>
      <c r="AZ1458" s="418"/>
    </row>
    <row r="1459" spans="40:52" ht="15.75" customHeight="1">
      <c r="AN1459" s="418"/>
      <c r="AO1459" s="418"/>
      <c r="AP1459" s="418"/>
      <c r="AQ1459" s="418"/>
      <c r="AR1459" s="418"/>
      <c r="AS1459" s="418"/>
      <c r="AT1459" s="418"/>
      <c r="AU1459" s="418"/>
      <c r="AV1459" s="418"/>
      <c r="AW1459" s="418"/>
      <c r="AX1459" s="418"/>
      <c r="AY1459" s="418"/>
      <c r="AZ1459" s="418"/>
    </row>
    <row r="1460" spans="40:52" ht="15.75" customHeight="1">
      <c r="AN1460" s="418"/>
      <c r="AO1460" s="418"/>
      <c r="AP1460" s="418"/>
      <c r="AQ1460" s="418"/>
      <c r="AR1460" s="418"/>
      <c r="AS1460" s="418"/>
      <c r="AT1460" s="418"/>
      <c r="AU1460" s="418"/>
      <c r="AV1460" s="418"/>
      <c r="AW1460" s="418"/>
      <c r="AX1460" s="418"/>
      <c r="AY1460" s="418"/>
      <c r="AZ1460" s="418"/>
    </row>
    <row r="1461" spans="40:52" ht="15.75" customHeight="1">
      <c r="AN1461" s="418"/>
      <c r="AO1461" s="418"/>
      <c r="AP1461" s="418"/>
      <c r="AQ1461" s="418"/>
      <c r="AR1461" s="418"/>
      <c r="AS1461" s="418"/>
      <c r="AT1461" s="418"/>
      <c r="AU1461" s="418"/>
      <c r="AV1461" s="418"/>
      <c r="AW1461" s="418"/>
      <c r="AX1461" s="418"/>
      <c r="AY1461" s="418"/>
      <c r="AZ1461" s="418"/>
    </row>
    <row r="1462" spans="40:52" ht="15.75" customHeight="1">
      <c r="AN1462" s="418"/>
      <c r="AO1462" s="418"/>
      <c r="AP1462" s="418"/>
      <c r="AQ1462" s="418"/>
      <c r="AR1462" s="418"/>
      <c r="AS1462" s="418"/>
      <c r="AT1462" s="418"/>
      <c r="AU1462" s="418"/>
      <c r="AV1462" s="418"/>
      <c r="AW1462" s="418"/>
      <c r="AX1462" s="418"/>
      <c r="AY1462" s="418"/>
      <c r="AZ1462" s="418"/>
    </row>
    <row r="1463" spans="40:52" ht="15.75" customHeight="1">
      <c r="AN1463" s="418"/>
      <c r="AO1463" s="418"/>
      <c r="AP1463" s="418"/>
      <c r="AQ1463" s="418"/>
      <c r="AR1463" s="418"/>
      <c r="AS1463" s="418"/>
      <c r="AT1463" s="418"/>
      <c r="AU1463" s="418"/>
      <c r="AV1463" s="418"/>
      <c r="AW1463" s="418"/>
      <c r="AX1463" s="418"/>
      <c r="AY1463" s="418"/>
      <c r="AZ1463" s="418"/>
    </row>
    <row r="1464" spans="40:52" ht="15.75" customHeight="1">
      <c r="AN1464" s="418"/>
      <c r="AO1464" s="418"/>
      <c r="AP1464" s="418"/>
      <c r="AQ1464" s="418"/>
      <c r="AR1464" s="418"/>
      <c r="AS1464" s="418"/>
      <c r="AT1464" s="418"/>
      <c r="AU1464" s="418"/>
      <c r="AV1464" s="418"/>
      <c r="AW1464" s="418"/>
      <c r="AX1464" s="418"/>
      <c r="AY1464" s="418"/>
      <c r="AZ1464" s="418"/>
    </row>
    <row r="1465" spans="40:52" ht="15.75" customHeight="1">
      <c r="AN1465" s="418"/>
      <c r="AO1465" s="418"/>
      <c r="AP1465" s="418"/>
      <c r="AQ1465" s="418"/>
      <c r="AR1465" s="418"/>
      <c r="AS1465" s="418"/>
      <c r="AT1465" s="418"/>
      <c r="AU1465" s="418"/>
      <c r="AV1465" s="418"/>
      <c r="AW1465" s="418"/>
      <c r="AX1465" s="418"/>
      <c r="AY1465" s="418"/>
      <c r="AZ1465" s="418"/>
    </row>
    <row r="1466" spans="40:52" ht="15.75" customHeight="1">
      <c r="AN1466" s="418"/>
      <c r="AO1466" s="418"/>
      <c r="AP1466" s="418"/>
      <c r="AQ1466" s="418"/>
      <c r="AR1466" s="418"/>
      <c r="AS1466" s="418"/>
      <c r="AT1466" s="418"/>
      <c r="AU1466" s="418"/>
      <c r="AV1466" s="418"/>
      <c r="AW1466" s="418"/>
      <c r="AX1466" s="418"/>
      <c r="AY1466" s="418"/>
      <c r="AZ1466" s="418"/>
    </row>
    <row r="1467" spans="40:52" ht="15.75" customHeight="1">
      <c r="AN1467" s="418"/>
      <c r="AO1467" s="418"/>
      <c r="AP1467" s="418"/>
      <c r="AQ1467" s="418"/>
      <c r="AR1467" s="418"/>
      <c r="AS1467" s="418"/>
      <c r="AT1467" s="418"/>
      <c r="AU1467" s="418"/>
      <c r="AV1467" s="418"/>
      <c r="AW1467" s="418"/>
      <c r="AX1467" s="418"/>
      <c r="AY1467" s="418"/>
      <c r="AZ1467" s="418"/>
    </row>
    <row r="1468" spans="40:52" ht="15.75" customHeight="1">
      <c r="AN1468" s="418"/>
      <c r="AO1468" s="418"/>
      <c r="AP1468" s="418"/>
      <c r="AQ1468" s="418"/>
      <c r="AR1468" s="418"/>
      <c r="AS1468" s="418"/>
      <c r="AT1468" s="418"/>
      <c r="AU1468" s="418"/>
      <c r="AV1468" s="418"/>
      <c r="AW1468" s="418"/>
      <c r="AX1468" s="418"/>
      <c r="AY1468" s="418"/>
      <c r="AZ1468" s="418"/>
    </row>
    <row r="1469" spans="40:52" ht="15.75" customHeight="1">
      <c r="AN1469" s="418"/>
      <c r="AO1469" s="418"/>
      <c r="AP1469" s="418"/>
      <c r="AQ1469" s="418"/>
      <c r="AR1469" s="418"/>
      <c r="AS1469" s="418"/>
      <c r="AT1469" s="418"/>
      <c r="AU1469" s="418"/>
      <c r="AV1469" s="418"/>
      <c r="AW1469" s="418"/>
      <c r="AX1469" s="418"/>
      <c r="AY1469" s="418"/>
      <c r="AZ1469" s="418"/>
    </row>
    <row r="1470" spans="40:52" ht="15.75" customHeight="1">
      <c r="AN1470" s="418"/>
      <c r="AO1470" s="418"/>
      <c r="AP1470" s="418"/>
      <c r="AQ1470" s="418"/>
      <c r="AR1470" s="418"/>
      <c r="AS1470" s="418"/>
      <c r="AT1470" s="418"/>
      <c r="AU1470" s="418"/>
      <c r="AV1470" s="418"/>
      <c r="AW1470" s="418"/>
      <c r="AX1470" s="418"/>
      <c r="AY1470" s="418"/>
      <c r="AZ1470" s="418"/>
    </row>
    <row r="1471" spans="40:52" ht="15.75" customHeight="1">
      <c r="AN1471" s="418"/>
      <c r="AO1471" s="418"/>
      <c r="AP1471" s="418"/>
      <c r="AQ1471" s="418"/>
      <c r="AR1471" s="418"/>
      <c r="AS1471" s="418"/>
      <c r="AT1471" s="418"/>
      <c r="AU1471" s="418"/>
      <c r="AV1471" s="418"/>
      <c r="AW1471" s="418"/>
      <c r="AX1471" s="418"/>
      <c r="AY1471" s="418"/>
      <c r="AZ1471" s="418"/>
    </row>
    <row r="1472" spans="40:52" ht="15.75" customHeight="1">
      <c r="AN1472" s="418"/>
      <c r="AO1472" s="418"/>
      <c r="AP1472" s="418"/>
      <c r="AQ1472" s="418"/>
      <c r="AR1472" s="418"/>
      <c r="AS1472" s="418"/>
      <c r="AT1472" s="418"/>
      <c r="AU1472" s="418"/>
      <c r="AV1472" s="418"/>
      <c r="AW1472" s="418"/>
      <c r="AX1472" s="418"/>
      <c r="AY1472" s="418"/>
      <c r="AZ1472" s="418"/>
    </row>
    <row r="1473" spans="40:52" ht="15.75" customHeight="1">
      <c r="AN1473" s="418"/>
      <c r="AO1473" s="418"/>
      <c r="AP1473" s="418"/>
      <c r="AQ1473" s="418"/>
      <c r="AR1473" s="418"/>
      <c r="AS1473" s="418"/>
      <c r="AT1473" s="418"/>
      <c r="AU1473" s="418"/>
      <c r="AV1473" s="418"/>
      <c r="AW1473" s="418"/>
      <c r="AX1473" s="418"/>
      <c r="AY1473" s="418"/>
      <c r="AZ1473" s="418"/>
    </row>
    <row r="1474" spans="40:52" ht="15.75" customHeight="1">
      <c r="AN1474" s="418"/>
      <c r="AO1474" s="418"/>
      <c r="AP1474" s="418"/>
      <c r="AQ1474" s="418"/>
      <c r="AR1474" s="418"/>
      <c r="AS1474" s="418"/>
      <c r="AT1474" s="418"/>
      <c r="AU1474" s="418"/>
      <c r="AV1474" s="418"/>
      <c r="AW1474" s="418"/>
      <c r="AX1474" s="418"/>
      <c r="AY1474" s="418"/>
      <c r="AZ1474" s="418"/>
    </row>
    <row r="1475" spans="40:52" ht="15.75" customHeight="1">
      <c r="AN1475" s="418"/>
      <c r="AO1475" s="418"/>
      <c r="AP1475" s="418"/>
      <c r="AQ1475" s="418"/>
      <c r="AR1475" s="418"/>
      <c r="AS1475" s="418"/>
      <c r="AT1475" s="418"/>
      <c r="AU1475" s="418"/>
      <c r="AV1475" s="418"/>
      <c r="AW1475" s="418"/>
      <c r="AX1475" s="418"/>
      <c r="AY1475" s="418"/>
      <c r="AZ1475" s="418"/>
    </row>
    <row r="1476" spans="40:52" ht="15.75" customHeight="1">
      <c r="AN1476" s="418"/>
      <c r="AO1476" s="418"/>
      <c r="AP1476" s="418"/>
      <c r="AQ1476" s="418"/>
      <c r="AR1476" s="418"/>
      <c r="AS1476" s="418"/>
      <c r="AT1476" s="418"/>
      <c r="AU1476" s="418"/>
      <c r="AV1476" s="418"/>
      <c r="AW1476" s="418"/>
      <c r="AX1476" s="418"/>
      <c r="AY1476" s="418"/>
      <c r="AZ1476" s="418"/>
    </row>
    <row r="1477" spans="40:52" ht="15.75" customHeight="1">
      <c r="AN1477" s="418"/>
      <c r="AO1477" s="418"/>
      <c r="AP1477" s="418"/>
      <c r="AQ1477" s="418"/>
      <c r="AR1477" s="418"/>
      <c r="AS1477" s="418"/>
      <c r="AT1477" s="418"/>
      <c r="AU1477" s="418"/>
      <c r="AV1477" s="418"/>
      <c r="AW1477" s="418"/>
      <c r="AX1477" s="418"/>
      <c r="AY1477" s="418"/>
      <c r="AZ1477" s="418"/>
    </row>
    <row r="1478" spans="40:52" ht="15.75" customHeight="1">
      <c r="AN1478" s="418"/>
      <c r="AO1478" s="418"/>
      <c r="AP1478" s="418"/>
      <c r="AQ1478" s="418"/>
      <c r="AR1478" s="418"/>
      <c r="AS1478" s="418"/>
      <c r="AT1478" s="418"/>
      <c r="AU1478" s="418"/>
      <c r="AV1478" s="418"/>
      <c r="AW1478" s="418"/>
      <c r="AX1478" s="418"/>
      <c r="AY1478" s="418"/>
      <c r="AZ1478" s="418"/>
    </row>
    <row r="1479" spans="40:52" ht="15.75" customHeight="1">
      <c r="AN1479" s="418"/>
      <c r="AO1479" s="418"/>
      <c r="AP1479" s="418"/>
      <c r="AQ1479" s="418"/>
      <c r="AR1479" s="418"/>
      <c r="AS1479" s="418"/>
      <c r="AT1479" s="418"/>
      <c r="AU1479" s="418"/>
      <c r="AV1479" s="418"/>
      <c r="AW1479" s="418"/>
      <c r="AX1479" s="418"/>
      <c r="AY1479" s="418"/>
      <c r="AZ1479" s="418"/>
    </row>
    <row r="1480" spans="40:52" ht="15.75" customHeight="1">
      <c r="AN1480" s="418"/>
      <c r="AO1480" s="418"/>
      <c r="AP1480" s="418"/>
      <c r="AQ1480" s="418"/>
      <c r="AR1480" s="418"/>
      <c r="AS1480" s="418"/>
      <c r="AT1480" s="418"/>
      <c r="AU1480" s="418"/>
      <c r="AV1480" s="418"/>
      <c r="AW1480" s="418"/>
      <c r="AX1480" s="418"/>
      <c r="AY1480" s="418"/>
      <c r="AZ1480" s="418"/>
    </row>
    <row r="1481" spans="40:52" ht="15.75" customHeight="1">
      <c r="AN1481" s="418"/>
      <c r="AO1481" s="418"/>
      <c r="AP1481" s="418"/>
      <c r="AQ1481" s="418"/>
      <c r="AR1481" s="418"/>
      <c r="AS1481" s="418"/>
      <c r="AT1481" s="418"/>
      <c r="AU1481" s="418"/>
      <c r="AV1481" s="418"/>
      <c r="AW1481" s="418"/>
      <c r="AX1481" s="418"/>
      <c r="AY1481" s="418"/>
      <c r="AZ1481" s="418"/>
    </row>
    <row r="1482" spans="40:52" ht="15.75" customHeight="1">
      <c r="AN1482" s="418"/>
      <c r="AO1482" s="418"/>
      <c r="AP1482" s="418"/>
      <c r="AQ1482" s="418"/>
      <c r="AR1482" s="418"/>
      <c r="AS1482" s="418"/>
      <c r="AT1482" s="418"/>
      <c r="AU1482" s="418"/>
      <c r="AV1482" s="418"/>
      <c r="AW1482" s="418"/>
      <c r="AX1482" s="418"/>
      <c r="AY1482" s="418"/>
      <c r="AZ1482" s="418"/>
    </row>
    <row r="1483" spans="40:52" ht="15.75" customHeight="1">
      <c r="AN1483" s="418"/>
      <c r="AO1483" s="418"/>
      <c r="AP1483" s="418"/>
      <c r="AQ1483" s="418"/>
      <c r="AR1483" s="418"/>
      <c r="AS1483" s="418"/>
      <c r="AT1483" s="418"/>
      <c r="AU1483" s="418"/>
      <c r="AV1483" s="418"/>
      <c r="AW1483" s="418"/>
      <c r="AX1483" s="418"/>
      <c r="AY1483" s="418"/>
      <c r="AZ1483" s="418"/>
    </row>
    <row r="1484" spans="40:52" ht="15.75" customHeight="1">
      <c r="AN1484" s="418"/>
      <c r="AO1484" s="418"/>
      <c r="AP1484" s="418"/>
      <c r="AQ1484" s="418"/>
      <c r="AR1484" s="418"/>
      <c r="AS1484" s="418"/>
      <c r="AT1484" s="418"/>
      <c r="AU1484" s="418"/>
      <c r="AV1484" s="418"/>
      <c r="AW1484" s="418"/>
      <c r="AX1484" s="418"/>
      <c r="AY1484" s="418"/>
      <c r="AZ1484" s="418"/>
    </row>
    <row r="1485" spans="40:52" ht="15.75" customHeight="1">
      <c r="AN1485" s="418"/>
      <c r="AO1485" s="418"/>
      <c r="AP1485" s="418"/>
      <c r="AQ1485" s="418"/>
      <c r="AR1485" s="418"/>
      <c r="AS1485" s="418"/>
      <c r="AT1485" s="418"/>
      <c r="AU1485" s="418"/>
      <c r="AV1485" s="418"/>
      <c r="AW1485" s="418"/>
      <c r="AX1485" s="418"/>
      <c r="AY1485" s="418"/>
      <c r="AZ1485" s="418"/>
    </row>
    <row r="1486" spans="40:52" ht="15.75" customHeight="1">
      <c r="AN1486" s="418"/>
      <c r="AO1486" s="418"/>
      <c r="AP1486" s="418"/>
      <c r="AQ1486" s="418"/>
      <c r="AR1486" s="418"/>
      <c r="AS1486" s="418"/>
      <c r="AT1486" s="418"/>
      <c r="AU1486" s="418"/>
      <c r="AV1486" s="418"/>
      <c r="AW1486" s="418"/>
      <c r="AX1486" s="418"/>
      <c r="AY1486" s="418"/>
      <c r="AZ1486" s="418"/>
    </row>
    <row r="1487" spans="40:52" ht="15.75" customHeight="1">
      <c r="AN1487" s="418"/>
      <c r="AO1487" s="418"/>
      <c r="AP1487" s="418"/>
      <c r="AQ1487" s="418"/>
      <c r="AR1487" s="418"/>
      <c r="AS1487" s="418"/>
      <c r="AT1487" s="418"/>
      <c r="AU1487" s="418"/>
      <c r="AV1487" s="418"/>
      <c r="AW1487" s="418"/>
      <c r="AX1487" s="418"/>
      <c r="AY1487" s="418"/>
      <c r="AZ1487" s="418"/>
    </row>
    <row r="1488" spans="40:52" ht="15.75" customHeight="1">
      <c r="AN1488" s="418"/>
      <c r="AO1488" s="418"/>
      <c r="AP1488" s="418"/>
      <c r="AQ1488" s="418"/>
      <c r="AR1488" s="418"/>
      <c r="AS1488" s="418"/>
      <c r="AT1488" s="418"/>
      <c r="AU1488" s="418"/>
      <c r="AV1488" s="418"/>
      <c r="AW1488" s="418"/>
      <c r="AX1488" s="418"/>
      <c r="AY1488" s="418"/>
      <c r="AZ1488" s="418"/>
    </row>
    <row r="1489" spans="40:52" ht="15.75" customHeight="1">
      <c r="AN1489" s="418"/>
      <c r="AO1489" s="418"/>
      <c r="AP1489" s="418"/>
      <c r="AQ1489" s="418"/>
      <c r="AR1489" s="418"/>
      <c r="AS1489" s="418"/>
      <c r="AT1489" s="418"/>
      <c r="AU1489" s="418"/>
      <c r="AV1489" s="418"/>
      <c r="AW1489" s="418"/>
      <c r="AX1489" s="418"/>
      <c r="AY1489" s="418"/>
      <c r="AZ1489" s="418"/>
    </row>
    <row r="1490" spans="40:52" ht="15.75" customHeight="1">
      <c r="AN1490" s="418"/>
      <c r="AO1490" s="418"/>
      <c r="AP1490" s="418"/>
      <c r="AQ1490" s="418"/>
      <c r="AR1490" s="418"/>
      <c r="AS1490" s="418"/>
      <c r="AT1490" s="418"/>
      <c r="AU1490" s="418"/>
      <c r="AV1490" s="418"/>
      <c r="AW1490" s="418"/>
      <c r="AX1490" s="418"/>
      <c r="AY1490" s="418"/>
      <c r="AZ1490" s="418"/>
    </row>
    <row r="1491" spans="40:52" ht="15.75" customHeight="1">
      <c r="AN1491" s="418"/>
      <c r="AO1491" s="418"/>
      <c r="AP1491" s="418"/>
      <c r="AQ1491" s="418"/>
      <c r="AR1491" s="418"/>
      <c r="AS1491" s="418"/>
      <c r="AT1491" s="418"/>
      <c r="AU1491" s="418"/>
      <c r="AV1491" s="418"/>
      <c r="AW1491" s="418"/>
      <c r="AX1491" s="418"/>
      <c r="AY1491" s="418"/>
      <c r="AZ1491" s="418"/>
    </row>
    <row r="1492" spans="40:52" ht="15.75" customHeight="1">
      <c r="AN1492" s="418"/>
      <c r="AO1492" s="418"/>
      <c r="AP1492" s="418"/>
      <c r="AQ1492" s="418"/>
      <c r="AR1492" s="418"/>
      <c r="AS1492" s="418"/>
      <c r="AT1492" s="418"/>
      <c r="AU1492" s="418"/>
      <c r="AV1492" s="418"/>
      <c r="AW1492" s="418"/>
      <c r="AX1492" s="418"/>
      <c r="AY1492" s="418"/>
      <c r="AZ1492" s="418"/>
    </row>
    <row r="1493" spans="40:52" ht="15.75" customHeight="1">
      <c r="AN1493" s="418"/>
      <c r="AO1493" s="418"/>
      <c r="AP1493" s="418"/>
      <c r="AQ1493" s="418"/>
      <c r="AR1493" s="418"/>
      <c r="AS1493" s="418"/>
      <c r="AT1493" s="418"/>
      <c r="AU1493" s="418"/>
      <c r="AV1493" s="418"/>
      <c r="AW1493" s="418"/>
      <c r="AX1493" s="418"/>
      <c r="AY1493" s="418"/>
      <c r="AZ1493" s="418"/>
    </row>
    <row r="1494" spans="40:52" ht="15.75" customHeight="1">
      <c r="AN1494" s="418"/>
      <c r="AO1494" s="418"/>
      <c r="AP1494" s="418"/>
      <c r="AQ1494" s="418"/>
      <c r="AR1494" s="418"/>
      <c r="AS1494" s="418"/>
      <c r="AT1494" s="418"/>
      <c r="AU1494" s="418"/>
      <c r="AV1494" s="418"/>
      <c r="AW1494" s="418"/>
      <c r="AX1494" s="418"/>
      <c r="AY1494" s="418"/>
      <c r="AZ1494" s="418"/>
    </row>
    <row r="1495" spans="40:52" ht="15.75" customHeight="1">
      <c r="AN1495" s="418"/>
      <c r="AO1495" s="418"/>
      <c r="AP1495" s="418"/>
      <c r="AQ1495" s="418"/>
      <c r="AR1495" s="418"/>
      <c r="AS1495" s="418"/>
      <c r="AT1495" s="418"/>
      <c r="AU1495" s="418"/>
      <c r="AV1495" s="418"/>
      <c r="AW1495" s="418"/>
      <c r="AX1495" s="418"/>
      <c r="AY1495" s="418"/>
      <c r="AZ1495" s="418"/>
    </row>
    <row r="1496" spans="40:52" ht="15.75" customHeight="1">
      <c r="AN1496" s="418"/>
      <c r="AO1496" s="418"/>
      <c r="AP1496" s="418"/>
      <c r="AQ1496" s="418"/>
      <c r="AR1496" s="418"/>
      <c r="AS1496" s="418"/>
      <c r="AT1496" s="418"/>
      <c r="AU1496" s="418"/>
      <c r="AV1496" s="418"/>
      <c r="AW1496" s="418"/>
      <c r="AX1496" s="418"/>
      <c r="AY1496" s="418"/>
      <c r="AZ1496" s="418"/>
    </row>
    <row r="1497" spans="40:52" ht="15.75" customHeight="1">
      <c r="AN1497" s="418"/>
      <c r="AO1497" s="418"/>
      <c r="AP1497" s="418"/>
      <c r="AQ1497" s="418"/>
      <c r="AR1497" s="418"/>
      <c r="AS1497" s="418"/>
      <c r="AT1497" s="418"/>
      <c r="AU1497" s="418"/>
      <c r="AV1497" s="418"/>
      <c r="AW1497" s="418"/>
      <c r="AX1497" s="418"/>
      <c r="AY1497" s="418"/>
      <c r="AZ1497" s="418"/>
    </row>
    <row r="1498" spans="40:52" ht="15.75" customHeight="1">
      <c r="AN1498" s="418"/>
      <c r="AO1498" s="418"/>
      <c r="AP1498" s="418"/>
      <c r="AQ1498" s="418"/>
      <c r="AR1498" s="418"/>
      <c r="AS1498" s="418"/>
      <c r="AT1498" s="418"/>
      <c r="AU1498" s="418"/>
      <c r="AV1498" s="418"/>
      <c r="AW1498" s="418"/>
      <c r="AX1498" s="418"/>
      <c r="AY1498" s="418"/>
      <c r="AZ1498" s="418"/>
    </row>
    <row r="1499" spans="40:52" ht="15.75" customHeight="1">
      <c r="AN1499" s="418"/>
      <c r="AO1499" s="418"/>
      <c r="AP1499" s="418"/>
      <c r="AQ1499" s="418"/>
      <c r="AR1499" s="418"/>
      <c r="AS1499" s="418"/>
      <c r="AT1499" s="418"/>
      <c r="AU1499" s="418"/>
      <c r="AV1499" s="418"/>
      <c r="AW1499" s="418"/>
      <c r="AX1499" s="418"/>
      <c r="AY1499" s="418"/>
      <c r="AZ1499" s="418"/>
    </row>
    <row r="1500" spans="40:52" ht="15.75" customHeight="1">
      <c r="AN1500" s="418"/>
      <c r="AO1500" s="418"/>
      <c r="AP1500" s="418"/>
      <c r="AQ1500" s="418"/>
      <c r="AR1500" s="418"/>
      <c r="AS1500" s="418"/>
      <c r="AT1500" s="418"/>
      <c r="AU1500" s="418"/>
      <c r="AV1500" s="418"/>
      <c r="AW1500" s="418"/>
      <c r="AX1500" s="418"/>
      <c r="AY1500" s="418"/>
      <c r="AZ1500" s="418"/>
    </row>
    <row r="1501" spans="40:52" ht="15.75" customHeight="1">
      <c r="AN1501" s="418"/>
      <c r="AO1501" s="418"/>
      <c r="AP1501" s="418"/>
      <c r="AQ1501" s="418"/>
      <c r="AR1501" s="418"/>
      <c r="AS1501" s="418"/>
      <c r="AT1501" s="418"/>
      <c r="AU1501" s="418"/>
      <c r="AV1501" s="418"/>
      <c r="AW1501" s="418"/>
      <c r="AX1501" s="418"/>
      <c r="AY1501" s="418"/>
      <c r="AZ1501" s="418"/>
    </row>
    <row r="1502" spans="40:52" ht="15.75" customHeight="1">
      <c r="AN1502" s="418"/>
      <c r="AO1502" s="418"/>
      <c r="AP1502" s="418"/>
      <c r="AQ1502" s="418"/>
      <c r="AR1502" s="418"/>
      <c r="AS1502" s="418"/>
      <c r="AT1502" s="418"/>
      <c r="AU1502" s="418"/>
      <c r="AV1502" s="418"/>
      <c r="AW1502" s="418"/>
      <c r="AX1502" s="418"/>
      <c r="AY1502" s="418"/>
      <c r="AZ1502" s="418"/>
    </row>
    <row r="1503" spans="40:52" ht="15.75" customHeight="1">
      <c r="AN1503" s="418"/>
      <c r="AO1503" s="418"/>
      <c r="AP1503" s="418"/>
      <c r="AQ1503" s="418"/>
      <c r="AR1503" s="418"/>
      <c r="AS1503" s="418"/>
      <c r="AT1503" s="418"/>
      <c r="AU1503" s="418"/>
      <c r="AV1503" s="418"/>
      <c r="AW1503" s="418"/>
      <c r="AX1503" s="418"/>
      <c r="AY1503" s="418"/>
      <c r="AZ1503" s="418"/>
    </row>
    <row r="1504" spans="40:52" ht="15.75" customHeight="1">
      <c r="AN1504" s="418"/>
      <c r="AO1504" s="418"/>
      <c r="AP1504" s="418"/>
      <c r="AQ1504" s="418"/>
      <c r="AR1504" s="418"/>
      <c r="AS1504" s="418"/>
      <c r="AT1504" s="418"/>
      <c r="AU1504" s="418"/>
      <c r="AV1504" s="418"/>
      <c r="AW1504" s="418"/>
      <c r="AX1504" s="418"/>
      <c r="AY1504" s="418"/>
      <c r="AZ1504" s="418"/>
    </row>
    <row r="1505" spans="40:52" ht="15.75" customHeight="1">
      <c r="AN1505" s="418"/>
      <c r="AO1505" s="418"/>
      <c r="AP1505" s="418"/>
      <c r="AQ1505" s="418"/>
      <c r="AR1505" s="418"/>
      <c r="AS1505" s="418"/>
      <c r="AT1505" s="418"/>
      <c r="AU1505" s="418"/>
      <c r="AV1505" s="418"/>
      <c r="AW1505" s="418"/>
      <c r="AX1505" s="418"/>
      <c r="AY1505" s="418"/>
      <c r="AZ1505" s="418"/>
    </row>
    <row r="1506" spans="40:52" ht="15.75" customHeight="1">
      <c r="AN1506" s="418"/>
      <c r="AO1506" s="418"/>
      <c r="AP1506" s="418"/>
      <c r="AQ1506" s="418"/>
      <c r="AR1506" s="418"/>
      <c r="AS1506" s="418"/>
      <c r="AT1506" s="418"/>
      <c r="AU1506" s="418"/>
      <c r="AV1506" s="418"/>
      <c r="AW1506" s="418"/>
      <c r="AX1506" s="418"/>
      <c r="AY1506" s="418"/>
      <c r="AZ1506" s="418"/>
    </row>
    <row r="1507" spans="40:52" ht="15.75" customHeight="1">
      <c r="AN1507" s="418"/>
      <c r="AO1507" s="418"/>
      <c r="AP1507" s="418"/>
      <c r="AQ1507" s="418"/>
      <c r="AR1507" s="418"/>
      <c r="AS1507" s="418"/>
      <c r="AT1507" s="418"/>
      <c r="AU1507" s="418"/>
      <c r="AV1507" s="418"/>
      <c r="AW1507" s="418"/>
      <c r="AX1507" s="418"/>
      <c r="AY1507" s="418"/>
      <c r="AZ1507" s="418"/>
    </row>
    <row r="1508" spans="40:52" ht="15.75" customHeight="1">
      <c r="AN1508" s="418"/>
      <c r="AO1508" s="418"/>
      <c r="AP1508" s="418"/>
      <c r="AQ1508" s="418"/>
      <c r="AR1508" s="418"/>
      <c r="AS1508" s="418"/>
      <c r="AT1508" s="418"/>
      <c r="AU1508" s="418"/>
      <c r="AV1508" s="418"/>
      <c r="AW1508" s="418"/>
      <c r="AX1508" s="418"/>
      <c r="AY1508" s="418"/>
      <c r="AZ1508" s="418"/>
    </row>
    <row r="1509" spans="40:52" ht="15.75" customHeight="1">
      <c r="AN1509" s="418"/>
      <c r="AO1509" s="418"/>
      <c r="AP1509" s="418"/>
      <c r="AQ1509" s="418"/>
      <c r="AR1509" s="418"/>
      <c r="AS1509" s="418"/>
      <c r="AT1509" s="418"/>
      <c r="AU1509" s="418"/>
      <c r="AV1509" s="418"/>
      <c r="AW1509" s="418"/>
      <c r="AX1509" s="418"/>
      <c r="AY1509" s="418"/>
      <c r="AZ1509" s="418"/>
    </row>
    <row r="1510" spans="40:52" ht="15.75" customHeight="1">
      <c r="AN1510" s="418"/>
      <c r="AO1510" s="418"/>
      <c r="AP1510" s="418"/>
      <c r="AQ1510" s="418"/>
      <c r="AR1510" s="418"/>
      <c r="AS1510" s="418"/>
      <c r="AT1510" s="418"/>
      <c r="AU1510" s="418"/>
      <c r="AV1510" s="418"/>
      <c r="AW1510" s="418"/>
      <c r="AX1510" s="418"/>
      <c r="AY1510" s="418"/>
      <c r="AZ1510" s="418"/>
    </row>
    <row r="1511" spans="40:52" ht="15.75" customHeight="1">
      <c r="AN1511" s="418"/>
      <c r="AO1511" s="418"/>
      <c r="AP1511" s="418"/>
      <c r="AQ1511" s="418"/>
      <c r="AR1511" s="418"/>
      <c r="AS1511" s="418"/>
      <c r="AT1511" s="418"/>
      <c r="AU1511" s="418"/>
      <c r="AV1511" s="418"/>
      <c r="AW1511" s="418"/>
      <c r="AX1511" s="418"/>
      <c r="AY1511" s="418"/>
      <c r="AZ1511" s="418"/>
    </row>
    <row r="1512" spans="40:52" ht="15.75" customHeight="1">
      <c r="AN1512" s="418"/>
      <c r="AO1512" s="418"/>
      <c r="AP1512" s="418"/>
      <c r="AQ1512" s="418"/>
      <c r="AR1512" s="418"/>
      <c r="AS1512" s="418"/>
      <c r="AT1512" s="418"/>
      <c r="AU1512" s="418"/>
      <c r="AV1512" s="418"/>
      <c r="AW1512" s="418"/>
      <c r="AX1512" s="418"/>
      <c r="AY1512" s="418"/>
      <c r="AZ1512" s="418"/>
    </row>
    <row r="1513" spans="40:52" ht="15.75" customHeight="1">
      <c r="AN1513" s="418"/>
      <c r="AO1513" s="418"/>
      <c r="AP1513" s="418"/>
      <c r="AQ1513" s="418"/>
      <c r="AR1513" s="418"/>
      <c r="AS1513" s="418"/>
      <c r="AT1513" s="418"/>
      <c r="AU1513" s="418"/>
      <c r="AV1513" s="418"/>
      <c r="AW1513" s="418"/>
      <c r="AX1513" s="418"/>
      <c r="AY1513" s="418"/>
      <c r="AZ1513" s="418"/>
    </row>
    <row r="1514" spans="40:52" ht="15.75" customHeight="1">
      <c r="AN1514" s="418"/>
      <c r="AO1514" s="418"/>
      <c r="AP1514" s="418"/>
      <c r="AQ1514" s="418"/>
      <c r="AR1514" s="418"/>
      <c r="AS1514" s="418"/>
      <c r="AT1514" s="418"/>
      <c r="AU1514" s="418"/>
      <c r="AV1514" s="418"/>
      <c r="AW1514" s="418"/>
      <c r="AX1514" s="418"/>
      <c r="AY1514" s="418"/>
      <c r="AZ1514" s="418"/>
    </row>
    <row r="1515" spans="40:52" ht="15.75" customHeight="1">
      <c r="AN1515" s="418"/>
      <c r="AO1515" s="418"/>
      <c r="AP1515" s="418"/>
      <c r="AQ1515" s="418"/>
      <c r="AR1515" s="418"/>
      <c r="AS1515" s="418"/>
      <c r="AT1515" s="418"/>
      <c r="AU1515" s="418"/>
      <c r="AV1515" s="418"/>
      <c r="AW1515" s="418"/>
      <c r="AX1515" s="418"/>
      <c r="AY1515" s="418"/>
      <c r="AZ1515" s="418"/>
    </row>
    <row r="1516" spans="40:52" ht="15.75" customHeight="1">
      <c r="AN1516" s="418"/>
      <c r="AO1516" s="418"/>
      <c r="AP1516" s="418"/>
      <c r="AQ1516" s="418"/>
      <c r="AR1516" s="418"/>
      <c r="AS1516" s="418"/>
      <c r="AT1516" s="418"/>
      <c r="AU1516" s="418"/>
      <c r="AV1516" s="418"/>
      <c r="AW1516" s="418"/>
      <c r="AX1516" s="418"/>
      <c r="AY1516" s="418"/>
      <c r="AZ1516" s="418"/>
    </row>
    <row r="1517" spans="40:52" ht="15.75" customHeight="1">
      <c r="AN1517" s="418"/>
      <c r="AO1517" s="418"/>
      <c r="AP1517" s="418"/>
      <c r="AQ1517" s="418"/>
      <c r="AR1517" s="418"/>
      <c r="AS1517" s="418"/>
      <c r="AT1517" s="418"/>
      <c r="AU1517" s="418"/>
      <c r="AV1517" s="418"/>
      <c r="AW1517" s="418"/>
      <c r="AX1517" s="418"/>
      <c r="AY1517" s="418"/>
      <c r="AZ1517" s="418"/>
    </row>
    <row r="1518" spans="40:52" ht="15.75" customHeight="1">
      <c r="AN1518" s="418"/>
      <c r="AO1518" s="418"/>
      <c r="AP1518" s="418"/>
      <c r="AQ1518" s="418"/>
      <c r="AR1518" s="418"/>
      <c r="AS1518" s="418"/>
      <c r="AT1518" s="418"/>
      <c r="AU1518" s="418"/>
      <c r="AV1518" s="418"/>
      <c r="AW1518" s="418"/>
      <c r="AX1518" s="418"/>
      <c r="AY1518" s="418"/>
      <c r="AZ1518" s="418"/>
    </row>
    <row r="1519" spans="40:52" ht="15.75" customHeight="1">
      <c r="AN1519" s="418"/>
      <c r="AO1519" s="418"/>
      <c r="AP1519" s="418"/>
      <c r="AQ1519" s="418"/>
      <c r="AR1519" s="418"/>
      <c r="AS1519" s="418"/>
      <c r="AT1519" s="418"/>
      <c r="AU1519" s="418"/>
      <c r="AV1519" s="418"/>
      <c r="AW1519" s="418"/>
      <c r="AX1519" s="418"/>
      <c r="AY1519" s="418"/>
      <c r="AZ1519" s="418"/>
    </row>
    <row r="1520" spans="40:52" ht="15.75" customHeight="1">
      <c r="AN1520" s="418"/>
      <c r="AO1520" s="418"/>
      <c r="AP1520" s="418"/>
      <c r="AQ1520" s="418"/>
      <c r="AR1520" s="418"/>
      <c r="AS1520" s="418"/>
      <c r="AT1520" s="418"/>
      <c r="AU1520" s="418"/>
      <c r="AV1520" s="418"/>
      <c r="AW1520" s="418"/>
      <c r="AX1520" s="418"/>
      <c r="AY1520" s="418"/>
      <c r="AZ1520" s="418"/>
    </row>
    <row r="1521" spans="40:52" ht="15.75" customHeight="1">
      <c r="AN1521" s="418"/>
      <c r="AO1521" s="418"/>
      <c r="AP1521" s="418"/>
      <c r="AQ1521" s="418"/>
      <c r="AR1521" s="418"/>
      <c r="AS1521" s="418"/>
      <c r="AT1521" s="418"/>
      <c r="AU1521" s="418"/>
      <c r="AV1521" s="418"/>
      <c r="AW1521" s="418"/>
      <c r="AX1521" s="418"/>
      <c r="AY1521" s="418"/>
      <c r="AZ1521" s="418"/>
    </row>
    <row r="1522" spans="40:52" ht="15.75" customHeight="1">
      <c r="AN1522" s="418"/>
      <c r="AO1522" s="418"/>
      <c r="AP1522" s="418"/>
      <c r="AQ1522" s="418"/>
      <c r="AR1522" s="418"/>
      <c r="AS1522" s="418"/>
      <c r="AT1522" s="418"/>
      <c r="AU1522" s="418"/>
      <c r="AV1522" s="418"/>
      <c r="AW1522" s="418"/>
      <c r="AX1522" s="418"/>
      <c r="AY1522" s="418"/>
      <c r="AZ1522" s="418"/>
    </row>
    <row r="1523" spans="40:52" ht="15.75" customHeight="1">
      <c r="AN1523" s="418"/>
      <c r="AO1523" s="418"/>
      <c r="AP1523" s="418"/>
      <c r="AQ1523" s="418"/>
      <c r="AR1523" s="418"/>
      <c r="AS1523" s="418"/>
      <c r="AT1523" s="418"/>
      <c r="AU1523" s="418"/>
      <c r="AV1523" s="418"/>
      <c r="AW1523" s="418"/>
      <c r="AX1523" s="418"/>
      <c r="AY1523" s="418"/>
      <c r="AZ1523" s="418"/>
    </row>
    <row r="1524" spans="40:52" ht="15.75" customHeight="1">
      <c r="AN1524" s="418"/>
      <c r="AO1524" s="418"/>
      <c r="AP1524" s="418"/>
      <c r="AQ1524" s="418"/>
      <c r="AR1524" s="418"/>
      <c r="AS1524" s="418"/>
      <c r="AT1524" s="418"/>
      <c r="AU1524" s="418"/>
      <c r="AV1524" s="418"/>
      <c r="AW1524" s="418"/>
      <c r="AX1524" s="418"/>
      <c r="AY1524" s="418"/>
      <c r="AZ1524" s="418"/>
    </row>
    <row r="1525" spans="40:52" ht="15.75" customHeight="1">
      <c r="AN1525" s="418"/>
      <c r="AO1525" s="418"/>
      <c r="AP1525" s="418"/>
      <c r="AQ1525" s="418"/>
      <c r="AR1525" s="418"/>
      <c r="AS1525" s="418"/>
      <c r="AT1525" s="418"/>
      <c r="AU1525" s="418"/>
      <c r="AV1525" s="418"/>
      <c r="AW1525" s="418"/>
      <c r="AX1525" s="418"/>
      <c r="AY1525" s="418"/>
      <c r="AZ1525" s="418"/>
    </row>
    <row r="1526" spans="40:52" ht="15.75" customHeight="1">
      <c r="AN1526" s="418"/>
      <c r="AO1526" s="418"/>
      <c r="AP1526" s="418"/>
      <c r="AQ1526" s="418"/>
      <c r="AR1526" s="418"/>
      <c r="AS1526" s="418"/>
      <c r="AT1526" s="418"/>
      <c r="AU1526" s="418"/>
      <c r="AV1526" s="418"/>
      <c r="AW1526" s="418"/>
      <c r="AX1526" s="418"/>
      <c r="AY1526" s="418"/>
      <c r="AZ1526" s="418"/>
    </row>
    <row r="1527" spans="40:52" ht="15.75" customHeight="1">
      <c r="AN1527" s="418"/>
      <c r="AO1527" s="418"/>
      <c r="AP1527" s="418"/>
      <c r="AQ1527" s="418"/>
      <c r="AR1527" s="418"/>
      <c r="AS1527" s="418"/>
      <c r="AT1527" s="418"/>
      <c r="AU1527" s="418"/>
      <c r="AV1527" s="418"/>
      <c r="AW1527" s="418"/>
      <c r="AX1527" s="418"/>
      <c r="AY1527" s="418"/>
      <c r="AZ1527" s="418"/>
    </row>
    <row r="1528" spans="40:52" ht="15.75" customHeight="1">
      <c r="AN1528" s="418"/>
      <c r="AO1528" s="418"/>
      <c r="AP1528" s="418"/>
      <c r="AQ1528" s="418"/>
      <c r="AR1528" s="418"/>
      <c r="AS1528" s="418"/>
      <c r="AT1528" s="418"/>
      <c r="AU1528" s="418"/>
      <c r="AV1528" s="418"/>
      <c r="AW1528" s="418"/>
      <c r="AX1528" s="418"/>
      <c r="AY1528" s="418"/>
      <c r="AZ1528" s="418"/>
    </row>
    <row r="1529" spans="40:52" ht="15.75" customHeight="1">
      <c r="AN1529" s="418"/>
      <c r="AO1529" s="418"/>
      <c r="AP1529" s="418"/>
      <c r="AQ1529" s="418"/>
      <c r="AR1529" s="418"/>
      <c r="AS1529" s="418"/>
      <c r="AT1529" s="418"/>
      <c r="AU1529" s="418"/>
      <c r="AV1529" s="418"/>
      <c r="AW1529" s="418"/>
      <c r="AX1529" s="418"/>
      <c r="AY1529" s="418"/>
      <c r="AZ1529" s="418"/>
    </row>
    <row r="1530" spans="40:52" ht="15.75" customHeight="1">
      <c r="AN1530" s="418"/>
      <c r="AO1530" s="418"/>
      <c r="AP1530" s="418"/>
      <c r="AQ1530" s="418"/>
      <c r="AR1530" s="418"/>
      <c r="AS1530" s="418"/>
      <c r="AT1530" s="418"/>
      <c r="AU1530" s="418"/>
      <c r="AV1530" s="418"/>
      <c r="AW1530" s="418"/>
      <c r="AX1530" s="418"/>
      <c r="AY1530" s="418"/>
      <c r="AZ1530" s="418"/>
    </row>
    <row r="1531" spans="40:52" ht="15.75" customHeight="1">
      <c r="AN1531" s="418"/>
      <c r="AO1531" s="418"/>
      <c r="AP1531" s="418"/>
      <c r="AQ1531" s="418"/>
      <c r="AR1531" s="418"/>
      <c r="AS1531" s="418"/>
      <c r="AT1531" s="418"/>
      <c r="AU1531" s="418"/>
      <c r="AV1531" s="418"/>
      <c r="AW1531" s="418"/>
      <c r="AX1531" s="418"/>
      <c r="AY1531" s="418"/>
      <c r="AZ1531" s="418"/>
    </row>
    <row r="1532" spans="40:52" ht="15.75" customHeight="1">
      <c r="AN1532" s="418"/>
      <c r="AO1532" s="418"/>
      <c r="AP1532" s="418"/>
      <c r="AQ1532" s="418"/>
      <c r="AR1532" s="418"/>
      <c r="AS1532" s="418"/>
      <c r="AT1532" s="418"/>
      <c r="AU1532" s="418"/>
      <c r="AV1532" s="418"/>
      <c r="AW1532" s="418"/>
      <c r="AX1532" s="418"/>
      <c r="AY1532" s="418"/>
      <c r="AZ1532" s="418"/>
    </row>
    <row r="1533" spans="40:52" ht="15.75" customHeight="1">
      <c r="AN1533" s="418"/>
      <c r="AO1533" s="418"/>
      <c r="AP1533" s="418"/>
      <c r="AQ1533" s="418"/>
      <c r="AR1533" s="418"/>
      <c r="AS1533" s="418"/>
      <c r="AT1533" s="418"/>
      <c r="AU1533" s="418"/>
      <c r="AV1533" s="418"/>
      <c r="AW1533" s="418"/>
      <c r="AX1533" s="418"/>
      <c r="AY1533" s="418"/>
      <c r="AZ1533" s="418"/>
    </row>
    <row r="1534" spans="40:52" ht="15.75" customHeight="1">
      <c r="AN1534" s="418"/>
      <c r="AO1534" s="418"/>
      <c r="AP1534" s="418"/>
      <c r="AQ1534" s="418"/>
      <c r="AR1534" s="418"/>
      <c r="AS1534" s="418"/>
      <c r="AT1534" s="418"/>
      <c r="AU1534" s="418"/>
      <c r="AV1534" s="418"/>
      <c r="AW1534" s="418"/>
      <c r="AX1534" s="418"/>
      <c r="AY1534" s="418"/>
      <c r="AZ1534" s="418"/>
    </row>
    <row r="1535" spans="40:52" ht="15.75" customHeight="1">
      <c r="AN1535" s="418"/>
      <c r="AO1535" s="418"/>
      <c r="AP1535" s="418"/>
      <c r="AQ1535" s="418"/>
      <c r="AR1535" s="418"/>
      <c r="AS1535" s="418"/>
      <c r="AT1535" s="418"/>
      <c r="AU1535" s="418"/>
      <c r="AV1535" s="418"/>
      <c r="AW1535" s="418"/>
      <c r="AX1535" s="418"/>
      <c r="AY1535" s="418"/>
      <c r="AZ1535" s="418"/>
    </row>
    <row r="1536" spans="40:52" ht="15.75" customHeight="1">
      <c r="AN1536" s="418"/>
      <c r="AO1536" s="418"/>
      <c r="AP1536" s="418"/>
      <c r="AQ1536" s="418"/>
      <c r="AR1536" s="418"/>
      <c r="AS1536" s="418"/>
      <c r="AT1536" s="418"/>
      <c r="AU1536" s="418"/>
      <c r="AV1536" s="418"/>
      <c r="AW1536" s="418"/>
      <c r="AX1536" s="418"/>
      <c r="AY1536" s="418"/>
      <c r="AZ1536" s="418"/>
    </row>
    <row r="1537" spans="40:52" ht="15.75" customHeight="1">
      <c r="AN1537" s="418"/>
      <c r="AO1537" s="418"/>
      <c r="AP1537" s="418"/>
      <c r="AQ1537" s="418"/>
      <c r="AR1537" s="418"/>
      <c r="AS1537" s="418"/>
      <c r="AT1537" s="418"/>
      <c r="AU1537" s="418"/>
      <c r="AV1537" s="418"/>
      <c r="AW1537" s="418"/>
      <c r="AX1537" s="418"/>
      <c r="AY1537" s="418"/>
      <c r="AZ1537" s="418"/>
    </row>
    <row r="1538" spans="40:52" ht="15.75" customHeight="1">
      <c r="AN1538" s="418"/>
      <c r="AO1538" s="418"/>
      <c r="AP1538" s="418"/>
      <c r="AQ1538" s="418"/>
      <c r="AR1538" s="418"/>
      <c r="AS1538" s="418"/>
      <c r="AT1538" s="418"/>
      <c r="AU1538" s="418"/>
      <c r="AV1538" s="418"/>
      <c r="AW1538" s="418"/>
      <c r="AX1538" s="418"/>
      <c r="AY1538" s="418"/>
      <c r="AZ1538" s="418"/>
    </row>
    <row r="1539" spans="40:52" ht="15.75" customHeight="1">
      <c r="AN1539" s="418"/>
      <c r="AO1539" s="418"/>
      <c r="AP1539" s="418"/>
      <c r="AQ1539" s="418"/>
      <c r="AR1539" s="418"/>
      <c r="AS1539" s="418"/>
      <c r="AT1539" s="418"/>
      <c r="AU1539" s="418"/>
      <c r="AV1539" s="418"/>
      <c r="AW1539" s="418"/>
      <c r="AX1539" s="418"/>
      <c r="AY1539" s="418"/>
      <c r="AZ1539" s="418"/>
    </row>
    <row r="1540" spans="40:52" ht="15.75" customHeight="1">
      <c r="AN1540" s="418"/>
      <c r="AO1540" s="418"/>
      <c r="AP1540" s="418"/>
      <c r="AQ1540" s="418"/>
      <c r="AR1540" s="418"/>
      <c r="AS1540" s="418"/>
      <c r="AT1540" s="418"/>
      <c r="AU1540" s="418"/>
      <c r="AV1540" s="418"/>
      <c r="AW1540" s="418"/>
      <c r="AX1540" s="418"/>
      <c r="AY1540" s="418"/>
      <c r="AZ1540" s="418"/>
    </row>
    <row r="1541" spans="40:52" ht="15.75" customHeight="1">
      <c r="AN1541" s="418"/>
      <c r="AO1541" s="418"/>
      <c r="AP1541" s="418"/>
      <c r="AQ1541" s="418"/>
      <c r="AR1541" s="418"/>
      <c r="AS1541" s="418"/>
      <c r="AT1541" s="418"/>
      <c r="AU1541" s="418"/>
      <c r="AV1541" s="418"/>
      <c r="AW1541" s="418"/>
      <c r="AX1541" s="418"/>
      <c r="AY1541" s="418"/>
      <c r="AZ1541" s="418"/>
    </row>
    <row r="1542" spans="40:52" ht="15.75" customHeight="1">
      <c r="AN1542" s="418"/>
      <c r="AO1542" s="418"/>
      <c r="AP1542" s="418"/>
      <c r="AQ1542" s="418"/>
      <c r="AR1542" s="418"/>
      <c r="AS1542" s="418"/>
      <c r="AT1542" s="418"/>
      <c r="AU1542" s="418"/>
      <c r="AV1542" s="418"/>
      <c r="AW1542" s="418"/>
      <c r="AX1542" s="418"/>
      <c r="AY1542" s="418"/>
      <c r="AZ1542" s="418"/>
    </row>
    <row r="1543" spans="40:52" ht="15.75" customHeight="1">
      <c r="AN1543" s="418"/>
      <c r="AO1543" s="418"/>
      <c r="AP1543" s="418"/>
      <c r="AQ1543" s="418"/>
      <c r="AR1543" s="418"/>
      <c r="AS1543" s="418"/>
      <c r="AT1543" s="418"/>
      <c r="AU1543" s="418"/>
      <c r="AV1543" s="418"/>
      <c r="AW1543" s="418"/>
      <c r="AX1543" s="418"/>
      <c r="AY1543" s="418"/>
      <c r="AZ1543" s="418"/>
    </row>
    <row r="1544" spans="40:52" ht="15.75" customHeight="1">
      <c r="AN1544" s="418"/>
      <c r="AO1544" s="418"/>
      <c r="AP1544" s="418"/>
      <c r="AQ1544" s="418"/>
      <c r="AR1544" s="418"/>
      <c r="AS1544" s="418"/>
      <c r="AT1544" s="418"/>
      <c r="AU1544" s="418"/>
      <c r="AV1544" s="418"/>
      <c r="AW1544" s="418"/>
      <c r="AX1544" s="418"/>
      <c r="AY1544" s="418"/>
      <c r="AZ1544" s="418"/>
    </row>
    <row r="1545" spans="40:52" ht="15.75" customHeight="1">
      <c r="AN1545" s="418"/>
      <c r="AO1545" s="418"/>
      <c r="AP1545" s="418"/>
      <c r="AQ1545" s="418"/>
      <c r="AR1545" s="418"/>
      <c r="AS1545" s="418"/>
      <c r="AT1545" s="418"/>
      <c r="AU1545" s="418"/>
      <c r="AV1545" s="418"/>
      <c r="AW1545" s="418"/>
      <c r="AX1545" s="418"/>
      <c r="AY1545" s="418"/>
      <c r="AZ1545" s="418"/>
    </row>
    <row r="1546" spans="40:52" ht="15.75" customHeight="1">
      <c r="AN1546" s="418"/>
      <c r="AO1546" s="418"/>
      <c r="AP1546" s="418"/>
      <c r="AQ1546" s="418"/>
      <c r="AR1546" s="418"/>
      <c r="AS1546" s="418"/>
      <c r="AT1546" s="418"/>
      <c r="AU1546" s="418"/>
      <c r="AV1546" s="418"/>
      <c r="AW1546" s="418"/>
      <c r="AX1546" s="418"/>
      <c r="AY1546" s="418"/>
      <c r="AZ1546" s="418"/>
    </row>
    <row r="1547" spans="40:52" ht="15.75" customHeight="1">
      <c r="AN1547" s="418"/>
      <c r="AO1547" s="418"/>
      <c r="AP1547" s="418"/>
      <c r="AQ1547" s="418"/>
      <c r="AR1547" s="418"/>
      <c r="AS1547" s="418"/>
      <c r="AT1547" s="418"/>
      <c r="AU1547" s="418"/>
      <c r="AV1547" s="418"/>
      <c r="AW1547" s="418"/>
      <c r="AX1547" s="418"/>
      <c r="AY1547" s="418"/>
      <c r="AZ1547" s="418"/>
    </row>
    <row r="1548" spans="40:52" ht="15.75" customHeight="1">
      <c r="AN1548" s="418"/>
      <c r="AO1548" s="418"/>
      <c r="AP1548" s="418"/>
      <c r="AQ1548" s="418"/>
      <c r="AR1548" s="418"/>
      <c r="AS1548" s="418"/>
      <c r="AT1548" s="418"/>
      <c r="AU1548" s="418"/>
      <c r="AV1548" s="418"/>
      <c r="AW1548" s="418"/>
      <c r="AX1548" s="418"/>
      <c r="AY1548" s="418"/>
      <c r="AZ1548" s="418"/>
    </row>
    <row r="1549" spans="40:52" ht="15.75" customHeight="1">
      <c r="AN1549" s="418"/>
      <c r="AO1549" s="418"/>
      <c r="AP1549" s="418"/>
      <c r="AQ1549" s="418"/>
      <c r="AR1549" s="418"/>
      <c r="AS1549" s="418"/>
      <c r="AT1549" s="418"/>
      <c r="AU1549" s="418"/>
      <c r="AV1549" s="418"/>
      <c r="AW1549" s="418"/>
      <c r="AX1549" s="418"/>
      <c r="AY1549" s="418"/>
      <c r="AZ1549" s="418"/>
    </row>
    <row r="1550" spans="40:52" ht="15.75" customHeight="1">
      <c r="AN1550" s="418"/>
      <c r="AO1550" s="418"/>
      <c r="AP1550" s="418"/>
      <c r="AQ1550" s="418"/>
      <c r="AR1550" s="418"/>
      <c r="AS1550" s="418"/>
      <c r="AT1550" s="418"/>
      <c r="AU1550" s="418"/>
      <c r="AV1550" s="418"/>
      <c r="AW1550" s="418"/>
      <c r="AX1550" s="418"/>
      <c r="AY1550" s="418"/>
      <c r="AZ1550" s="418"/>
    </row>
    <row r="1551" spans="40:52" ht="15.75" customHeight="1">
      <c r="AN1551" s="418"/>
      <c r="AO1551" s="418"/>
      <c r="AP1551" s="418"/>
      <c r="AQ1551" s="418"/>
      <c r="AR1551" s="418"/>
      <c r="AS1551" s="418"/>
      <c r="AT1551" s="418"/>
      <c r="AU1551" s="418"/>
      <c r="AV1551" s="418"/>
      <c r="AW1551" s="418"/>
      <c r="AX1551" s="418"/>
      <c r="AY1551" s="418"/>
      <c r="AZ1551" s="418"/>
    </row>
    <row r="1552" spans="40:52" ht="15.75" customHeight="1">
      <c r="AN1552" s="418"/>
      <c r="AO1552" s="418"/>
      <c r="AP1552" s="418"/>
      <c r="AQ1552" s="418"/>
      <c r="AR1552" s="418"/>
      <c r="AS1552" s="418"/>
      <c r="AT1552" s="418"/>
      <c r="AU1552" s="418"/>
      <c r="AV1552" s="418"/>
      <c r="AW1552" s="418"/>
      <c r="AX1552" s="418"/>
      <c r="AY1552" s="418"/>
      <c r="AZ1552" s="418"/>
    </row>
    <row r="1553" spans="40:52" ht="15.75" customHeight="1">
      <c r="AN1553" s="418"/>
      <c r="AO1553" s="418"/>
      <c r="AP1553" s="418"/>
      <c r="AQ1553" s="418"/>
      <c r="AR1553" s="418"/>
      <c r="AS1553" s="418"/>
      <c r="AT1553" s="418"/>
      <c r="AU1553" s="418"/>
      <c r="AV1553" s="418"/>
      <c r="AW1553" s="418"/>
      <c r="AX1553" s="418"/>
      <c r="AY1553" s="418"/>
      <c r="AZ1553" s="418"/>
    </row>
    <row r="1554" spans="40:52" ht="15.75" customHeight="1">
      <c r="AN1554" s="418"/>
      <c r="AO1554" s="418"/>
      <c r="AP1554" s="418"/>
      <c r="AQ1554" s="418"/>
      <c r="AR1554" s="418"/>
      <c r="AS1554" s="418"/>
      <c r="AT1554" s="418"/>
      <c r="AU1554" s="418"/>
      <c r="AV1554" s="418"/>
      <c r="AW1554" s="418"/>
      <c r="AX1554" s="418"/>
      <c r="AY1554" s="418"/>
      <c r="AZ1554" s="418"/>
    </row>
    <row r="1555" spans="40:52" ht="15.75" customHeight="1">
      <c r="AN1555" s="418"/>
      <c r="AO1555" s="418"/>
      <c r="AP1555" s="418"/>
      <c r="AQ1555" s="418"/>
      <c r="AR1555" s="418"/>
      <c r="AS1555" s="418"/>
      <c r="AT1555" s="418"/>
      <c r="AU1555" s="418"/>
      <c r="AV1555" s="418"/>
      <c r="AW1555" s="418"/>
      <c r="AX1555" s="418"/>
      <c r="AY1555" s="418"/>
      <c r="AZ1555" s="418"/>
    </row>
    <row r="1556" spans="40:52" ht="15.75" customHeight="1">
      <c r="AN1556" s="418"/>
      <c r="AO1556" s="418"/>
      <c r="AP1556" s="418"/>
      <c r="AQ1556" s="418"/>
      <c r="AR1556" s="418"/>
      <c r="AS1556" s="418"/>
      <c r="AT1556" s="418"/>
      <c r="AU1556" s="418"/>
      <c r="AV1556" s="418"/>
      <c r="AW1556" s="418"/>
      <c r="AX1556" s="418"/>
      <c r="AY1556" s="418"/>
      <c r="AZ1556" s="418"/>
    </row>
    <row r="1557" spans="40:52" ht="15.75" customHeight="1">
      <c r="AN1557" s="418"/>
      <c r="AO1557" s="418"/>
      <c r="AP1557" s="418"/>
      <c r="AQ1557" s="418"/>
      <c r="AR1557" s="418"/>
      <c r="AS1557" s="418"/>
      <c r="AT1557" s="418"/>
      <c r="AU1557" s="418"/>
      <c r="AV1557" s="418"/>
      <c r="AW1557" s="418"/>
      <c r="AX1557" s="418"/>
      <c r="AY1557" s="418"/>
      <c r="AZ1557" s="418"/>
    </row>
    <row r="1558" spans="40:52" ht="15.75" customHeight="1">
      <c r="AN1558" s="418"/>
      <c r="AO1558" s="418"/>
      <c r="AP1558" s="418"/>
      <c r="AQ1558" s="418"/>
      <c r="AR1558" s="418"/>
      <c r="AS1558" s="418"/>
      <c r="AT1558" s="418"/>
      <c r="AU1558" s="418"/>
      <c r="AV1558" s="418"/>
      <c r="AW1558" s="418"/>
      <c r="AX1558" s="418"/>
      <c r="AY1558" s="418"/>
      <c r="AZ1558" s="418"/>
    </row>
    <row r="1559" spans="40:52" ht="15.75" customHeight="1">
      <c r="AN1559" s="418"/>
      <c r="AO1559" s="418"/>
      <c r="AP1559" s="418"/>
      <c r="AQ1559" s="418"/>
      <c r="AR1559" s="418"/>
      <c r="AS1559" s="418"/>
      <c r="AT1559" s="418"/>
      <c r="AU1559" s="418"/>
      <c r="AV1559" s="418"/>
      <c r="AW1559" s="418"/>
      <c r="AX1559" s="418"/>
      <c r="AY1559" s="418"/>
      <c r="AZ1559" s="418"/>
    </row>
    <row r="1560" spans="40:52" ht="15.75" customHeight="1">
      <c r="AN1560" s="418"/>
      <c r="AO1560" s="418"/>
      <c r="AP1560" s="418"/>
      <c r="AQ1560" s="418"/>
      <c r="AR1560" s="418"/>
      <c r="AS1560" s="418"/>
      <c r="AT1560" s="418"/>
      <c r="AU1560" s="418"/>
      <c r="AV1560" s="418"/>
      <c r="AW1560" s="418"/>
      <c r="AX1560" s="418"/>
      <c r="AY1560" s="418"/>
      <c r="AZ1560" s="418"/>
    </row>
    <row r="1561" spans="40:52" ht="15.75" customHeight="1">
      <c r="AN1561" s="418"/>
      <c r="AO1561" s="418"/>
      <c r="AP1561" s="418"/>
      <c r="AQ1561" s="418"/>
      <c r="AR1561" s="418"/>
      <c r="AS1561" s="418"/>
      <c r="AT1561" s="418"/>
      <c r="AU1561" s="418"/>
      <c r="AV1561" s="418"/>
      <c r="AW1561" s="418"/>
      <c r="AX1561" s="418"/>
      <c r="AY1561" s="418"/>
      <c r="AZ1561" s="418"/>
    </row>
    <row r="1562" spans="40:52" ht="15.75" customHeight="1">
      <c r="AN1562" s="418"/>
      <c r="AO1562" s="418"/>
      <c r="AP1562" s="418"/>
      <c r="AQ1562" s="418"/>
      <c r="AR1562" s="418"/>
      <c r="AS1562" s="418"/>
      <c r="AT1562" s="418"/>
      <c r="AU1562" s="418"/>
      <c r="AV1562" s="418"/>
      <c r="AW1562" s="418"/>
      <c r="AX1562" s="418"/>
      <c r="AY1562" s="418"/>
      <c r="AZ1562" s="418"/>
    </row>
    <row r="1563" spans="40:52" ht="15.75" customHeight="1">
      <c r="AN1563" s="418"/>
      <c r="AO1563" s="418"/>
      <c r="AP1563" s="418"/>
      <c r="AQ1563" s="418"/>
      <c r="AR1563" s="418"/>
      <c r="AS1563" s="418"/>
      <c r="AT1563" s="418"/>
      <c r="AU1563" s="418"/>
      <c r="AV1563" s="418"/>
      <c r="AW1563" s="418"/>
      <c r="AX1563" s="418"/>
      <c r="AY1563" s="418"/>
      <c r="AZ1563" s="418"/>
    </row>
    <row r="1564" spans="40:52" ht="15.75" customHeight="1">
      <c r="AN1564" s="418"/>
      <c r="AO1564" s="418"/>
      <c r="AP1564" s="418"/>
      <c r="AQ1564" s="418"/>
      <c r="AR1564" s="418"/>
      <c r="AS1564" s="418"/>
      <c r="AT1564" s="418"/>
      <c r="AU1564" s="418"/>
      <c r="AV1564" s="418"/>
      <c r="AW1564" s="418"/>
      <c r="AX1564" s="418"/>
      <c r="AY1564" s="418"/>
      <c r="AZ1564" s="418"/>
    </row>
    <row r="1565" spans="40:52" ht="15.75" customHeight="1">
      <c r="AN1565" s="418"/>
      <c r="AO1565" s="418"/>
      <c r="AP1565" s="418"/>
      <c r="AQ1565" s="418"/>
      <c r="AR1565" s="418"/>
      <c r="AS1565" s="418"/>
      <c r="AT1565" s="418"/>
      <c r="AU1565" s="418"/>
      <c r="AV1565" s="418"/>
      <c r="AW1565" s="418"/>
      <c r="AX1565" s="418"/>
      <c r="AY1565" s="418"/>
      <c r="AZ1565" s="418"/>
    </row>
    <row r="1566" spans="40:52" ht="15.75" customHeight="1">
      <c r="AN1566" s="418"/>
      <c r="AO1566" s="418"/>
      <c r="AP1566" s="418"/>
      <c r="AQ1566" s="418"/>
      <c r="AR1566" s="418"/>
      <c r="AS1566" s="418"/>
      <c r="AT1566" s="418"/>
      <c r="AU1566" s="418"/>
      <c r="AV1566" s="418"/>
      <c r="AW1566" s="418"/>
      <c r="AX1566" s="418"/>
      <c r="AY1566" s="418"/>
      <c r="AZ1566" s="418"/>
    </row>
    <row r="1567" spans="40:52" ht="15.75" customHeight="1">
      <c r="AN1567" s="418"/>
      <c r="AO1567" s="418"/>
      <c r="AP1567" s="418"/>
      <c r="AQ1567" s="418"/>
      <c r="AR1567" s="418"/>
      <c r="AS1567" s="418"/>
      <c r="AT1567" s="418"/>
      <c r="AU1567" s="418"/>
      <c r="AV1567" s="418"/>
      <c r="AW1567" s="418"/>
      <c r="AX1567" s="418"/>
      <c r="AY1567" s="418"/>
      <c r="AZ1567" s="418"/>
    </row>
    <row r="1568" spans="40:52" ht="15.75" customHeight="1">
      <c r="AN1568" s="418"/>
      <c r="AO1568" s="418"/>
      <c r="AP1568" s="418"/>
      <c r="AQ1568" s="418"/>
      <c r="AR1568" s="418"/>
      <c r="AS1568" s="418"/>
      <c r="AT1568" s="418"/>
      <c r="AU1568" s="418"/>
      <c r="AV1568" s="418"/>
      <c r="AW1568" s="418"/>
      <c r="AX1568" s="418"/>
      <c r="AY1568" s="418"/>
      <c r="AZ1568" s="418"/>
    </row>
    <row r="1569" spans="40:52" ht="15.75" customHeight="1">
      <c r="AN1569" s="418"/>
      <c r="AO1569" s="418"/>
      <c r="AP1569" s="418"/>
      <c r="AQ1569" s="418"/>
      <c r="AR1569" s="418"/>
      <c r="AS1569" s="418"/>
      <c r="AT1569" s="418"/>
      <c r="AU1569" s="418"/>
      <c r="AV1569" s="418"/>
      <c r="AW1569" s="418"/>
      <c r="AX1569" s="418"/>
      <c r="AY1569" s="418"/>
      <c r="AZ1569" s="418"/>
    </row>
    <row r="1570" spans="40:52" ht="15.75" customHeight="1">
      <c r="AN1570" s="418"/>
      <c r="AO1570" s="418"/>
      <c r="AP1570" s="418"/>
      <c r="AQ1570" s="418"/>
      <c r="AR1570" s="418"/>
      <c r="AS1570" s="418"/>
      <c r="AT1570" s="418"/>
      <c r="AU1570" s="418"/>
      <c r="AV1570" s="418"/>
      <c r="AW1570" s="418"/>
      <c r="AX1570" s="418"/>
      <c r="AY1570" s="418"/>
      <c r="AZ1570" s="418"/>
    </row>
    <row r="1571" spans="40:52" ht="15.75" customHeight="1">
      <c r="AN1571" s="418"/>
      <c r="AO1571" s="418"/>
      <c r="AP1571" s="418"/>
      <c r="AQ1571" s="418"/>
      <c r="AR1571" s="418"/>
      <c r="AS1571" s="418"/>
      <c r="AT1571" s="418"/>
      <c r="AU1571" s="418"/>
      <c r="AV1571" s="418"/>
      <c r="AW1571" s="418"/>
      <c r="AX1571" s="418"/>
      <c r="AY1571" s="418"/>
      <c r="AZ1571" s="418"/>
    </row>
    <row r="1572" spans="40:52" ht="15.75" customHeight="1">
      <c r="AN1572" s="418"/>
      <c r="AO1572" s="418"/>
      <c r="AP1572" s="418"/>
      <c r="AQ1572" s="418"/>
      <c r="AR1572" s="418"/>
      <c r="AS1572" s="418"/>
      <c r="AT1572" s="418"/>
      <c r="AU1572" s="418"/>
      <c r="AV1572" s="418"/>
      <c r="AW1572" s="418"/>
      <c r="AX1572" s="418"/>
      <c r="AY1572" s="418"/>
      <c r="AZ1572" s="418"/>
    </row>
    <row r="1573" spans="40:52" ht="15.75" customHeight="1">
      <c r="AN1573" s="418"/>
      <c r="AO1573" s="418"/>
      <c r="AP1573" s="418"/>
      <c r="AQ1573" s="418"/>
      <c r="AR1573" s="418"/>
      <c r="AS1573" s="418"/>
      <c r="AT1573" s="418"/>
      <c r="AU1573" s="418"/>
      <c r="AV1573" s="418"/>
      <c r="AW1573" s="418"/>
      <c r="AX1573" s="418"/>
      <c r="AY1573" s="418"/>
      <c r="AZ1573" s="418"/>
    </row>
    <row r="1574" spans="40:52" ht="15.75" customHeight="1">
      <c r="AN1574" s="418"/>
      <c r="AO1574" s="418"/>
      <c r="AP1574" s="418"/>
      <c r="AQ1574" s="418"/>
      <c r="AR1574" s="418"/>
      <c r="AS1574" s="418"/>
      <c r="AT1574" s="418"/>
      <c r="AU1574" s="418"/>
      <c r="AV1574" s="418"/>
      <c r="AW1574" s="418"/>
      <c r="AX1574" s="418"/>
      <c r="AY1574" s="418"/>
      <c r="AZ1574" s="418"/>
    </row>
    <row r="1575" spans="40:52" ht="15.75" customHeight="1">
      <c r="AN1575" s="418"/>
      <c r="AO1575" s="418"/>
      <c r="AP1575" s="418"/>
      <c r="AQ1575" s="418"/>
      <c r="AR1575" s="418"/>
      <c r="AS1575" s="418"/>
      <c r="AT1575" s="418"/>
      <c r="AU1575" s="418"/>
      <c r="AV1575" s="418"/>
      <c r="AW1575" s="418"/>
      <c r="AX1575" s="418"/>
      <c r="AY1575" s="418"/>
      <c r="AZ1575" s="418"/>
    </row>
    <row r="1576" spans="40:52" ht="15.75" customHeight="1">
      <c r="AN1576" s="418"/>
      <c r="AO1576" s="418"/>
      <c r="AP1576" s="418"/>
      <c r="AQ1576" s="418"/>
      <c r="AR1576" s="418"/>
      <c r="AS1576" s="418"/>
      <c r="AT1576" s="418"/>
      <c r="AU1576" s="418"/>
      <c r="AV1576" s="418"/>
      <c r="AW1576" s="418"/>
      <c r="AX1576" s="418"/>
      <c r="AY1576" s="418"/>
      <c r="AZ1576" s="418"/>
    </row>
    <row r="1577" spans="40:52" ht="15.75" customHeight="1">
      <c r="AN1577" s="418"/>
      <c r="AO1577" s="418"/>
      <c r="AP1577" s="418"/>
      <c r="AQ1577" s="418"/>
      <c r="AR1577" s="418"/>
      <c r="AS1577" s="418"/>
      <c r="AT1577" s="418"/>
      <c r="AU1577" s="418"/>
      <c r="AV1577" s="418"/>
      <c r="AW1577" s="418"/>
      <c r="AX1577" s="418"/>
      <c r="AY1577" s="418"/>
      <c r="AZ1577" s="418"/>
    </row>
    <row r="1578" spans="40:52" ht="15.75" customHeight="1">
      <c r="AN1578" s="418"/>
      <c r="AO1578" s="418"/>
      <c r="AP1578" s="418"/>
      <c r="AQ1578" s="418"/>
      <c r="AR1578" s="418"/>
      <c r="AS1578" s="418"/>
      <c r="AT1578" s="418"/>
      <c r="AU1578" s="418"/>
      <c r="AV1578" s="418"/>
      <c r="AW1578" s="418"/>
      <c r="AX1578" s="418"/>
      <c r="AY1578" s="418"/>
      <c r="AZ1578" s="418"/>
    </row>
    <row r="1579" spans="40:52" ht="15.75" customHeight="1">
      <c r="AN1579" s="418"/>
      <c r="AO1579" s="418"/>
      <c r="AP1579" s="418"/>
      <c r="AQ1579" s="418"/>
      <c r="AR1579" s="418"/>
      <c r="AS1579" s="418"/>
      <c r="AT1579" s="418"/>
      <c r="AU1579" s="418"/>
      <c r="AV1579" s="418"/>
      <c r="AW1579" s="418"/>
      <c r="AX1579" s="418"/>
      <c r="AY1579" s="418"/>
      <c r="AZ1579" s="418"/>
    </row>
    <row r="1580" spans="40:52" ht="15.75" customHeight="1">
      <c r="AN1580" s="418"/>
      <c r="AO1580" s="418"/>
      <c r="AP1580" s="418"/>
      <c r="AQ1580" s="418"/>
      <c r="AR1580" s="418"/>
      <c r="AS1580" s="418"/>
      <c r="AT1580" s="418"/>
      <c r="AU1580" s="418"/>
      <c r="AV1580" s="418"/>
      <c r="AW1580" s="418"/>
      <c r="AX1580" s="418"/>
      <c r="AY1580" s="418"/>
      <c r="AZ1580" s="418"/>
    </row>
    <row r="1581" spans="40:52" ht="15.75" customHeight="1">
      <c r="AN1581" s="418"/>
      <c r="AO1581" s="418"/>
      <c r="AP1581" s="418"/>
      <c r="AQ1581" s="418"/>
      <c r="AR1581" s="418"/>
      <c r="AS1581" s="418"/>
      <c r="AT1581" s="418"/>
      <c r="AU1581" s="418"/>
      <c r="AV1581" s="418"/>
      <c r="AW1581" s="418"/>
      <c r="AX1581" s="418"/>
      <c r="AY1581" s="418"/>
      <c r="AZ1581" s="418"/>
    </row>
    <row r="1582" spans="40:52" ht="15.75" customHeight="1">
      <c r="AN1582" s="418"/>
      <c r="AO1582" s="418"/>
      <c r="AP1582" s="418"/>
      <c r="AQ1582" s="418"/>
      <c r="AR1582" s="418"/>
      <c r="AS1582" s="418"/>
      <c r="AT1582" s="418"/>
      <c r="AU1582" s="418"/>
      <c r="AV1582" s="418"/>
      <c r="AW1582" s="418"/>
      <c r="AX1582" s="418"/>
      <c r="AY1582" s="418"/>
      <c r="AZ1582" s="418"/>
    </row>
    <row r="1583" spans="40:52" ht="15.75" customHeight="1">
      <c r="AN1583" s="418"/>
      <c r="AO1583" s="418"/>
      <c r="AP1583" s="418"/>
      <c r="AQ1583" s="418"/>
      <c r="AR1583" s="418"/>
      <c r="AS1583" s="418"/>
      <c r="AT1583" s="418"/>
      <c r="AU1583" s="418"/>
      <c r="AV1583" s="418"/>
      <c r="AW1583" s="418"/>
      <c r="AX1583" s="418"/>
      <c r="AY1583" s="418"/>
      <c r="AZ1583" s="418"/>
    </row>
    <row r="1584" spans="40:52" ht="15.75" customHeight="1">
      <c r="AN1584" s="418"/>
      <c r="AO1584" s="418"/>
      <c r="AP1584" s="418"/>
      <c r="AQ1584" s="418"/>
      <c r="AR1584" s="418"/>
      <c r="AS1584" s="418"/>
      <c r="AT1584" s="418"/>
      <c r="AU1584" s="418"/>
      <c r="AV1584" s="418"/>
      <c r="AW1584" s="418"/>
      <c r="AX1584" s="418"/>
      <c r="AY1584" s="418"/>
      <c r="AZ1584" s="418"/>
    </row>
    <row r="1585" spans="40:52" ht="15.75" customHeight="1">
      <c r="AN1585" s="418"/>
      <c r="AO1585" s="418"/>
      <c r="AP1585" s="418"/>
      <c r="AQ1585" s="418"/>
      <c r="AR1585" s="418"/>
      <c r="AS1585" s="418"/>
      <c r="AT1585" s="418"/>
      <c r="AU1585" s="418"/>
      <c r="AV1585" s="418"/>
      <c r="AW1585" s="418"/>
      <c r="AX1585" s="418"/>
      <c r="AY1585" s="418"/>
      <c r="AZ1585" s="418"/>
    </row>
    <row r="1586" spans="40:52" ht="15.75" customHeight="1">
      <c r="AN1586" s="418"/>
      <c r="AO1586" s="418"/>
      <c r="AP1586" s="418"/>
      <c r="AQ1586" s="418"/>
      <c r="AR1586" s="418"/>
      <c r="AS1586" s="418"/>
      <c r="AT1586" s="418"/>
      <c r="AU1586" s="418"/>
      <c r="AV1586" s="418"/>
      <c r="AW1586" s="418"/>
      <c r="AX1586" s="418"/>
      <c r="AY1586" s="418"/>
      <c r="AZ1586" s="418"/>
    </row>
    <row r="1587" spans="40:52" ht="15.75" customHeight="1">
      <c r="AN1587" s="418"/>
      <c r="AO1587" s="418"/>
      <c r="AP1587" s="418"/>
      <c r="AQ1587" s="418"/>
      <c r="AR1587" s="418"/>
      <c r="AS1587" s="418"/>
      <c r="AT1587" s="418"/>
      <c r="AU1587" s="418"/>
      <c r="AV1587" s="418"/>
      <c r="AW1587" s="418"/>
      <c r="AX1587" s="418"/>
      <c r="AY1587" s="418"/>
      <c r="AZ1587" s="418"/>
    </row>
    <row r="1588" spans="40:52" ht="15.75" customHeight="1">
      <c r="AN1588" s="418"/>
      <c r="AO1588" s="418"/>
      <c r="AP1588" s="418"/>
      <c r="AQ1588" s="418"/>
      <c r="AR1588" s="418"/>
      <c r="AS1588" s="418"/>
      <c r="AT1588" s="418"/>
      <c r="AU1588" s="418"/>
      <c r="AV1588" s="418"/>
      <c r="AW1588" s="418"/>
      <c r="AX1588" s="418"/>
      <c r="AY1588" s="418"/>
      <c r="AZ1588" s="418"/>
    </row>
    <row r="1589" spans="40:52" ht="15.75" customHeight="1">
      <c r="AN1589" s="418"/>
      <c r="AO1589" s="418"/>
      <c r="AP1589" s="418"/>
      <c r="AQ1589" s="418"/>
      <c r="AR1589" s="418"/>
      <c r="AS1589" s="418"/>
      <c r="AT1589" s="418"/>
      <c r="AU1589" s="418"/>
      <c r="AV1589" s="418"/>
      <c r="AW1589" s="418"/>
      <c r="AX1589" s="418"/>
      <c r="AY1589" s="418"/>
      <c r="AZ1589" s="418"/>
    </row>
    <row r="1590" spans="40:52" ht="15.75" customHeight="1">
      <c r="AN1590" s="418"/>
      <c r="AO1590" s="418"/>
      <c r="AP1590" s="418"/>
      <c r="AQ1590" s="418"/>
      <c r="AR1590" s="418"/>
      <c r="AS1590" s="418"/>
      <c r="AT1590" s="418"/>
      <c r="AU1590" s="418"/>
      <c r="AV1590" s="418"/>
      <c r="AW1590" s="418"/>
      <c r="AX1590" s="418"/>
      <c r="AY1590" s="418"/>
      <c r="AZ1590" s="418"/>
    </row>
    <row r="1591" spans="40:52" ht="15.75" customHeight="1">
      <c r="AN1591" s="418"/>
      <c r="AO1591" s="418"/>
      <c r="AP1591" s="418"/>
      <c r="AQ1591" s="418"/>
      <c r="AR1591" s="418"/>
      <c r="AS1591" s="418"/>
      <c r="AT1591" s="418"/>
      <c r="AU1591" s="418"/>
      <c r="AV1591" s="418"/>
      <c r="AW1591" s="418"/>
      <c r="AX1591" s="418"/>
      <c r="AY1591" s="418"/>
      <c r="AZ1591" s="418"/>
    </row>
    <row r="1592" spans="40:52" ht="15.75" customHeight="1">
      <c r="AN1592" s="418"/>
      <c r="AO1592" s="418"/>
      <c r="AP1592" s="418"/>
      <c r="AQ1592" s="418"/>
      <c r="AR1592" s="418"/>
      <c r="AS1592" s="418"/>
      <c r="AT1592" s="418"/>
      <c r="AU1592" s="418"/>
      <c r="AV1592" s="418"/>
      <c r="AW1592" s="418"/>
      <c r="AX1592" s="418"/>
      <c r="AY1592" s="418"/>
      <c r="AZ1592" s="418"/>
    </row>
    <row r="1593" spans="40:52" ht="15.75" customHeight="1">
      <c r="AN1593" s="418"/>
      <c r="AO1593" s="418"/>
      <c r="AP1593" s="418"/>
      <c r="AQ1593" s="418"/>
      <c r="AR1593" s="418"/>
      <c r="AS1593" s="418"/>
      <c r="AT1593" s="418"/>
      <c r="AU1593" s="418"/>
      <c r="AV1593" s="418"/>
      <c r="AW1593" s="418"/>
      <c r="AX1593" s="418"/>
      <c r="AY1593" s="418"/>
      <c r="AZ1593" s="418"/>
    </row>
    <row r="1594" spans="40:52" ht="15.75" customHeight="1">
      <c r="AN1594" s="418"/>
      <c r="AO1594" s="418"/>
      <c r="AP1594" s="418"/>
      <c r="AQ1594" s="418"/>
      <c r="AR1594" s="418"/>
      <c r="AS1594" s="418"/>
      <c r="AT1594" s="418"/>
      <c r="AU1594" s="418"/>
      <c r="AV1594" s="418"/>
      <c r="AW1594" s="418"/>
      <c r="AX1594" s="418"/>
      <c r="AY1594" s="418"/>
      <c r="AZ1594" s="418"/>
    </row>
    <row r="1595" spans="40:52" ht="15.75" customHeight="1">
      <c r="AN1595" s="418"/>
      <c r="AO1595" s="418"/>
      <c r="AP1595" s="418"/>
      <c r="AQ1595" s="418"/>
      <c r="AR1595" s="418"/>
      <c r="AS1595" s="418"/>
      <c r="AT1595" s="418"/>
      <c r="AU1595" s="418"/>
      <c r="AV1595" s="418"/>
      <c r="AW1595" s="418"/>
      <c r="AX1595" s="418"/>
      <c r="AY1595" s="418"/>
      <c r="AZ1595" s="418"/>
    </row>
    <row r="1596" spans="40:52" ht="15.75" customHeight="1">
      <c r="AN1596" s="418"/>
      <c r="AO1596" s="418"/>
      <c r="AP1596" s="418"/>
      <c r="AQ1596" s="418"/>
      <c r="AR1596" s="418"/>
      <c r="AS1596" s="418"/>
      <c r="AT1596" s="418"/>
      <c r="AU1596" s="418"/>
      <c r="AV1596" s="418"/>
      <c r="AW1596" s="418"/>
      <c r="AX1596" s="418"/>
      <c r="AY1596" s="418"/>
      <c r="AZ1596" s="418"/>
    </row>
    <row r="1597" spans="40:52" ht="15.75" customHeight="1">
      <c r="AN1597" s="418"/>
      <c r="AO1597" s="418"/>
      <c r="AP1597" s="418"/>
      <c r="AQ1597" s="418"/>
      <c r="AR1597" s="418"/>
      <c r="AS1597" s="418"/>
      <c r="AT1597" s="418"/>
      <c r="AU1597" s="418"/>
      <c r="AV1597" s="418"/>
      <c r="AW1597" s="418"/>
      <c r="AX1597" s="418"/>
      <c r="AY1597" s="418"/>
      <c r="AZ1597" s="418"/>
    </row>
    <row r="1598" spans="40:52" ht="15.75" customHeight="1">
      <c r="AN1598" s="418"/>
      <c r="AO1598" s="418"/>
      <c r="AP1598" s="418"/>
      <c r="AQ1598" s="418"/>
      <c r="AR1598" s="418"/>
      <c r="AS1598" s="418"/>
      <c r="AT1598" s="418"/>
      <c r="AU1598" s="418"/>
      <c r="AV1598" s="418"/>
      <c r="AW1598" s="418"/>
      <c r="AX1598" s="418"/>
      <c r="AY1598" s="418"/>
      <c r="AZ1598" s="418"/>
    </row>
    <row r="1599" spans="40:52" ht="15.75" customHeight="1">
      <c r="AN1599" s="418"/>
      <c r="AO1599" s="418"/>
      <c r="AP1599" s="418"/>
      <c r="AQ1599" s="418"/>
      <c r="AR1599" s="418"/>
      <c r="AS1599" s="418"/>
      <c r="AT1599" s="418"/>
      <c r="AU1599" s="418"/>
      <c r="AV1599" s="418"/>
      <c r="AW1599" s="418"/>
      <c r="AX1599" s="418"/>
      <c r="AY1599" s="418"/>
      <c r="AZ1599" s="418"/>
    </row>
    <row r="1600" spans="40:52" ht="15.75" customHeight="1">
      <c r="AN1600" s="418"/>
      <c r="AO1600" s="418"/>
      <c r="AP1600" s="418"/>
      <c r="AQ1600" s="418"/>
      <c r="AR1600" s="418"/>
      <c r="AS1600" s="418"/>
      <c r="AT1600" s="418"/>
      <c r="AU1600" s="418"/>
      <c r="AV1600" s="418"/>
      <c r="AW1600" s="418"/>
      <c r="AX1600" s="418"/>
      <c r="AY1600" s="418"/>
      <c r="AZ1600" s="418"/>
    </row>
    <row r="1601" spans="40:52" ht="15.75" customHeight="1">
      <c r="AN1601" s="418"/>
      <c r="AO1601" s="418"/>
      <c r="AP1601" s="418"/>
      <c r="AQ1601" s="418"/>
      <c r="AR1601" s="418"/>
      <c r="AS1601" s="418"/>
      <c r="AT1601" s="418"/>
      <c r="AU1601" s="418"/>
      <c r="AV1601" s="418"/>
      <c r="AW1601" s="418"/>
      <c r="AX1601" s="418"/>
      <c r="AY1601" s="418"/>
      <c r="AZ1601" s="418"/>
    </row>
    <row r="1602" spans="40:52" ht="15.75" customHeight="1">
      <c r="AN1602" s="418"/>
      <c r="AO1602" s="418"/>
      <c r="AP1602" s="418"/>
      <c r="AQ1602" s="418"/>
      <c r="AR1602" s="418"/>
      <c r="AS1602" s="418"/>
      <c r="AT1602" s="418"/>
      <c r="AU1602" s="418"/>
      <c r="AV1602" s="418"/>
      <c r="AW1602" s="418"/>
      <c r="AX1602" s="418"/>
      <c r="AY1602" s="418"/>
      <c r="AZ1602" s="418"/>
    </row>
    <row r="1603" spans="40:52" ht="15.75" customHeight="1">
      <c r="AN1603" s="418"/>
      <c r="AO1603" s="418"/>
      <c r="AP1603" s="418"/>
      <c r="AQ1603" s="418"/>
      <c r="AR1603" s="418"/>
      <c r="AS1603" s="418"/>
      <c r="AT1603" s="418"/>
      <c r="AU1603" s="418"/>
      <c r="AV1603" s="418"/>
      <c r="AW1603" s="418"/>
      <c r="AX1603" s="418"/>
      <c r="AY1603" s="418"/>
      <c r="AZ1603" s="418"/>
    </row>
    <row r="1604" spans="40:52" ht="15.75" customHeight="1">
      <c r="AN1604" s="418"/>
      <c r="AO1604" s="418"/>
      <c r="AP1604" s="418"/>
      <c r="AQ1604" s="418"/>
      <c r="AR1604" s="418"/>
      <c r="AS1604" s="418"/>
      <c r="AT1604" s="418"/>
      <c r="AU1604" s="418"/>
      <c r="AV1604" s="418"/>
      <c r="AW1604" s="418"/>
      <c r="AX1604" s="418"/>
      <c r="AY1604" s="418"/>
      <c r="AZ1604" s="418"/>
    </row>
    <row r="1605" spans="40:52" ht="15.75" customHeight="1">
      <c r="AN1605" s="418"/>
      <c r="AO1605" s="418"/>
      <c r="AP1605" s="418"/>
      <c r="AQ1605" s="418"/>
      <c r="AR1605" s="418"/>
      <c r="AS1605" s="418"/>
      <c r="AT1605" s="418"/>
      <c r="AU1605" s="418"/>
      <c r="AV1605" s="418"/>
      <c r="AW1605" s="418"/>
      <c r="AX1605" s="418"/>
      <c r="AY1605" s="418"/>
      <c r="AZ1605" s="418"/>
    </row>
    <row r="1606" spans="40:52" ht="15.75" customHeight="1">
      <c r="AN1606" s="418"/>
      <c r="AO1606" s="418"/>
      <c r="AP1606" s="418"/>
      <c r="AQ1606" s="418"/>
      <c r="AR1606" s="418"/>
      <c r="AS1606" s="418"/>
      <c r="AT1606" s="418"/>
      <c r="AU1606" s="418"/>
      <c r="AV1606" s="418"/>
      <c r="AW1606" s="418"/>
      <c r="AX1606" s="418"/>
      <c r="AY1606" s="418"/>
      <c r="AZ1606" s="418"/>
    </row>
    <row r="1607" spans="40:52" ht="15.75" customHeight="1">
      <c r="AN1607" s="418"/>
      <c r="AO1607" s="418"/>
      <c r="AP1607" s="418"/>
      <c r="AQ1607" s="418"/>
      <c r="AR1607" s="418"/>
      <c r="AS1607" s="418"/>
      <c r="AT1607" s="418"/>
      <c r="AU1607" s="418"/>
      <c r="AV1607" s="418"/>
      <c r="AW1607" s="418"/>
      <c r="AX1607" s="418"/>
      <c r="AY1607" s="418"/>
      <c r="AZ1607" s="418"/>
    </row>
    <row r="1608" spans="40:52" ht="15.75" customHeight="1">
      <c r="AN1608" s="418"/>
      <c r="AO1608" s="418"/>
      <c r="AP1608" s="418"/>
      <c r="AQ1608" s="418"/>
      <c r="AR1608" s="418"/>
      <c r="AS1608" s="418"/>
      <c r="AT1608" s="418"/>
      <c r="AU1608" s="418"/>
      <c r="AV1608" s="418"/>
      <c r="AW1608" s="418"/>
      <c r="AX1608" s="418"/>
      <c r="AY1608" s="418"/>
      <c r="AZ1608" s="418"/>
    </row>
    <row r="1609" spans="40:52" ht="15.75" customHeight="1">
      <c r="AN1609" s="418"/>
      <c r="AO1609" s="418"/>
      <c r="AP1609" s="418"/>
      <c r="AQ1609" s="418"/>
      <c r="AR1609" s="418"/>
      <c r="AS1609" s="418"/>
      <c r="AT1609" s="418"/>
      <c r="AU1609" s="418"/>
      <c r="AV1609" s="418"/>
      <c r="AW1609" s="418"/>
      <c r="AX1609" s="418"/>
      <c r="AY1609" s="418"/>
      <c r="AZ1609" s="418"/>
    </row>
    <row r="1610" spans="40:52" ht="15.75" customHeight="1">
      <c r="AN1610" s="418"/>
      <c r="AO1610" s="418"/>
      <c r="AP1610" s="418"/>
      <c r="AQ1610" s="418"/>
      <c r="AR1610" s="418"/>
      <c r="AS1610" s="418"/>
      <c r="AT1610" s="418"/>
      <c r="AU1610" s="418"/>
      <c r="AV1610" s="418"/>
      <c r="AW1610" s="418"/>
      <c r="AX1610" s="418"/>
      <c r="AY1610" s="418"/>
      <c r="AZ1610" s="418"/>
    </row>
    <row r="1611" spans="40:52" ht="15.75" customHeight="1">
      <c r="AN1611" s="418"/>
      <c r="AO1611" s="418"/>
      <c r="AP1611" s="418"/>
      <c r="AQ1611" s="418"/>
      <c r="AR1611" s="418"/>
      <c r="AS1611" s="418"/>
      <c r="AT1611" s="418"/>
      <c r="AU1611" s="418"/>
      <c r="AV1611" s="418"/>
      <c r="AW1611" s="418"/>
      <c r="AX1611" s="418"/>
      <c r="AY1611" s="418"/>
      <c r="AZ1611" s="418"/>
    </row>
    <row r="1612" spans="40:52" ht="15.75" customHeight="1">
      <c r="AN1612" s="418"/>
      <c r="AO1612" s="418"/>
      <c r="AP1612" s="418"/>
      <c r="AQ1612" s="418"/>
      <c r="AR1612" s="418"/>
      <c r="AS1612" s="418"/>
      <c r="AT1612" s="418"/>
      <c r="AU1612" s="418"/>
      <c r="AV1612" s="418"/>
      <c r="AW1612" s="418"/>
      <c r="AX1612" s="418"/>
      <c r="AY1612" s="418"/>
      <c r="AZ1612" s="418"/>
    </row>
    <row r="1613" spans="40:52" ht="15.75" customHeight="1">
      <c r="AN1613" s="418"/>
      <c r="AO1613" s="418"/>
      <c r="AP1613" s="418"/>
      <c r="AQ1613" s="418"/>
      <c r="AR1613" s="418"/>
      <c r="AS1613" s="418"/>
      <c r="AT1613" s="418"/>
      <c r="AU1613" s="418"/>
      <c r="AV1613" s="418"/>
      <c r="AW1613" s="418"/>
      <c r="AX1613" s="418"/>
      <c r="AY1613" s="418"/>
      <c r="AZ1613" s="418"/>
    </row>
    <row r="1614" spans="40:52" ht="15.75" customHeight="1">
      <c r="AN1614" s="418"/>
      <c r="AO1614" s="418"/>
      <c r="AP1614" s="418"/>
      <c r="AQ1614" s="418"/>
      <c r="AR1614" s="418"/>
      <c r="AS1614" s="418"/>
      <c r="AT1614" s="418"/>
      <c r="AU1614" s="418"/>
      <c r="AV1614" s="418"/>
      <c r="AW1614" s="418"/>
      <c r="AX1614" s="418"/>
      <c r="AY1614" s="418"/>
      <c r="AZ1614" s="418"/>
    </row>
    <row r="1615" spans="40:52" ht="15.75" customHeight="1">
      <c r="AN1615" s="418"/>
      <c r="AO1615" s="418"/>
      <c r="AP1615" s="418"/>
      <c r="AQ1615" s="418"/>
      <c r="AR1615" s="418"/>
      <c r="AS1615" s="418"/>
      <c r="AT1615" s="418"/>
      <c r="AU1615" s="418"/>
      <c r="AV1615" s="418"/>
      <c r="AW1615" s="418"/>
      <c r="AX1615" s="418"/>
      <c r="AY1615" s="418"/>
      <c r="AZ1615" s="418"/>
    </row>
    <row r="1616" spans="40:52" ht="15.75" customHeight="1">
      <c r="AN1616" s="418"/>
      <c r="AO1616" s="418"/>
      <c r="AP1616" s="418"/>
      <c r="AQ1616" s="418"/>
      <c r="AR1616" s="418"/>
      <c r="AS1616" s="418"/>
      <c r="AT1616" s="418"/>
      <c r="AU1616" s="418"/>
      <c r="AV1616" s="418"/>
      <c r="AW1616" s="418"/>
      <c r="AX1616" s="418"/>
      <c r="AY1616" s="418"/>
      <c r="AZ1616" s="418"/>
    </row>
    <row r="1617" spans="40:52" ht="15.75" customHeight="1">
      <c r="AN1617" s="418"/>
      <c r="AO1617" s="418"/>
      <c r="AP1617" s="418"/>
      <c r="AQ1617" s="418"/>
      <c r="AR1617" s="418"/>
      <c r="AS1617" s="418"/>
      <c r="AT1617" s="418"/>
      <c r="AU1617" s="418"/>
      <c r="AV1617" s="418"/>
      <c r="AW1617" s="418"/>
      <c r="AX1617" s="418"/>
      <c r="AY1617" s="418"/>
      <c r="AZ1617" s="418"/>
    </row>
    <row r="1618" spans="40:52" ht="15.75" customHeight="1">
      <c r="AN1618" s="418"/>
      <c r="AO1618" s="418"/>
      <c r="AP1618" s="418"/>
      <c r="AQ1618" s="418"/>
      <c r="AR1618" s="418"/>
      <c r="AS1618" s="418"/>
      <c r="AT1618" s="418"/>
      <c r="AU1618" s="418"/>
      <c r="AV1618" s="418"/>
      <c r="AW1618" s="418"/>
      <c r="AX1618" s="418"/>
      <c r="AY1618" s="418"/>
      <c r="AZ1618" s="418"/>
    </row>
    <row r="1619" spans="40:52" ht="15.75" customHeight="1">
      <c r="AN1619" s="418"/>
      <c r="AO1619" s="418"/>
      <c r="AP1619" s="418"/>
      <c r="AQ1619" s="418"/>
      <c r="AR1619" s="418"/>
      <c r="AS1619" s="418"/>
      <c r="AT1619" s="418"/>
      <c r="AU1619" s="418"/>
      <c r="AV1619" s="418"/>
      <c r="AW1619" s="418"/>
      <c r="AX1619" s="418"/>
      <c r="AY1619" s="418"/>
      <c r="AZ1619" s="418"/>
    </row>
    <row r="1620" spans="40:52" ht="15.75" customHeight="1">
      <c r="AN1620" s="418"/>
      <c r="AO1620" s="418"/>
      <c r="AP1620" s="418"/>
      <c r="AQ1620" s="418"/>
      <c r="AR1620" s="418"/>
      <c r="AS1620" s="418"/>
      <c r="AT1620" s="418"/>
      <c r="AU1620" s="418"/>
      <c r="AV1620" s="418"/>
      <c r="AW1620" s="418"/>
      <c r="AX1620" s="418"/>
      <c r="AY1620" s="418"/>
      <c r="AZ1620" s="418"/>
    </row>
    <row r="1621" spans="40:52" ht="15.75" customHeight="1">
      <c r="AN1621" s="418"/>
      <c r="AO1621" s="418"/>
      <c r="AP1621" s="418"/>
      <c r="AQ1621" s="418"/>
      <c r="AR1621" s="418"/>
      <c r="AS1621" s="418"/>
      <c r="AT1621" s="418"/>
      <c r="AU1621" s="418"/>
      <c r="AV1621" s="418"/>
      <c r="AW1621" s="418"/>
      <c r="AX1621" s="418"/>
      <c r="AY1621" s="418"/>
      <c r="AZ1621" s="418"/>
    </row>
    <row r="1622" spans="40:52" ht="15.75" customHeight="1">
      <c r="AN1622" s="418"/>
      <c r="AO1622" s="418"/>
      <c r="AP1622" s="418"/>
      <c r="AQ1622" s="418"/>
      <c r="AR1622" s="418"/>
      <c r="AS1622" s="418"/>
      <c r="AT1622" s="418"/>
      <c r="AU1622" s="418"/>
      <c r="AV1622" s="418"/>
      <c r="AW1622" s="418"/>
      <c r="AX1622" s="418"/>
      <c r="AY1622" s="418"/>
      <c r="AZ1622" s="418"/>
    </row>
    <row r="1623" spans="40:52" ht="15.75" customHeight="1">
      <c r="AN1623" s="418"/>
      <c r="AO1623" s="418"/>
      <c r="AP1623" s="418"/>
      <c r="AQ1623" s="418"/>
      <c r="AR1623" s="418"/>
      <c r="AS1623" s="418"/>
      <c r="AT1623" s="418"/>
      <c r="AU1623" s="418"/>
      <c r="AV1623" s="418"/>
      <c r="AW1623" s="418"/>
      <c r="AX1623" s="418"/>
      <c r="AY1623" s="418"/>
      <c r="AZ1623" s="418"/>
    </row>
    <row r="1624" spans="40:52" ht="15.75" customHeight="1">
      <c r="AN1624" s="418"/>
      <c r="AO1624" s="418"/>
      <c r="AP1624" s="418"/>
      <c r="AQ1624" s="418"/>
      <c r="AR1624" s="418"/>
      <c r="AS1624" s="418"/>
      <c r="AT1624" s="418"/>
      <c r="AU1624" s="418"/>
      <c r="AV1624" s="418"/>
      <c r="AW1624" s="418"/>
      <c r="AX1624" s="418"/>
      <c r="AY1624" s="418"/>
      <c r="AZ1624" s="418"/>
    </row>
    <row r="1625" spans="40:52" ht="15.75" customHeight="1">
      <c r="AN1625" s="418"/>
      <c r="AO1625" s="418"/>
      <c r="AP1625" s="418"/>
      <c r="AQ1625" s="418"/>
      <c r="AR1625" s="418"/>
      <c r="AS1625" s="418"/>
      <c r="AT1625" s="418"/>
      <c r="AU1625" s="418"/>
      <c r="AV1625" s="418"/>
      <c r="AW1625" s="418"/>
      <c r="AX1625" s="418"/>
      <c r="AY1625" s="418"/>
      <c r="AZ1625" s="418"/>
    </row>
    <row r="1626" spans="40:52" ht="15.75" customHeight="1">
      <c r="AN1626" s="418"/>
      <c r="AO1626" s="418"/>
      <c r="AP1626" s="418"/>
      <c r="AQ1626" s="418"/>
      <c r="AR1626" s="418"/>
      <c r="AS1626" s="418"/>
      <c r="AT1626" s="418"/>
      <c r="AU1626" s="418"/>
      <c r="AV1626" s="418"/>
      <c r="AW1626" s="418"/>
      <c r="AX1626" s="418"/>
      <c r="AY1626" s="418"/>
      <c r="AZ1626" s="418"/>
    </row>
    <row r="1627" spans="40:52" ht="15.75" customHeight="1">
      <c r="AN1627" s="418"/>
      <c r="AO1627" s="418"/>
      <c r="AP1627" s="418"/>
      <c r="AQ1627" s="418"/>
      <c r="AR1627" s="418"/>
      <c r="AS1627" s="418"/>
      <c r="AT1627" s="418"/>
      <c r="AU1627" s="418"/>
      <c r="AV1627" s="418"/>
      <c r="AW1627" s="418"/>
      <c r="AX1627" s="418"/>
      <c r="AY1627" s="418"/>
      <c r="AZ1627" s="418"/>
    </row>
    <row r="1628" spans="40:52" ht="15.75" customHeight="1">
      <c r="AN1628" s="418"/>
      <c r="AO1628" s="418"/>
      <c r="AP1628" s="418"/>
      <c r="AQ1628" s="418"/>
      <c r="AR1628" s="418"/>
      <c r="AS1628" s="418"/>
      <c r="AT1628" s="418"/>
      <c r="AU1628" s="418"/>
      <c r="AV1628" s="418"/>
      <c r="AW1628" s="418"/>
      <c r="AX1628" s="418"/>
      <c r="AY1628" s="418"/>
      <c r="AZ1628" s="418"/>
    </row>
    <row r="1629" spans="40:52" ht="15.75" customHeight="1">
      <c r="AN1629" s="418"/>
      <c r="AO1629" s="418"/>
      <c r="AP1629" s="418"/>
      <c r="AQ1629" s="418"/>
      <c r="AR1629" s="418"/>
      <c r="AS1629" s="418"/>
      <c r="AT1629" s="418"/>
      <c r="AU1629" s="418"/>
      <c r="AV1629" s="418"/>
      <c r="AW1629" s="418"/>
      <c r="AX1629" s="418"/>
      <c r="AY1629" s="418"/>
      <c r="AZ1629" s="418"/>
    </row>
    <row r="1630" spans="40:52" ht="15.75" customHeight="1">
      <c r="AN1630" s="418"/>
      <c r="AO1630" s="418"/>
      <c r="AP1630" s="418"/>
      <c r="AQ1630" s="418"/>
      <c r="AR1630" s="418"/>
      <c r="AS1630" s="418"/>
      <c r="AT1630" s="418"/>
      <c r="AU1630" s="418"/>
      <c r="AV1630" s="418"/>
      <c r="AW1630" s="418"/>
      <c r="AX1630" s="418"/>
      <c r="AY1630" s="418"/>
      <c r="AZ1630" s="418"/>
    </row>
    <row r="1631" spans="40:52" ht="15.75" customHeight="1">
      <c r="AN1631" s="418"/>
      <c r="AO1631" s="418"/>
      <c r="AP1631" s="418"/>
      <c r="AQ1631" s="418"/>
      <c r="AR1631" s="418"/>
      <c r="AS1631" s="418"/>
      <c r="AT1631" s="418"/>
      <c r="AU1631" s="418"/>
      <c r="AV1631" s="418"/>
      <c r="AW1631" s="418"/>
      <c r="AX1631" s="418"/>
      <c r="AY1631" s="418"/>
      <c r="AZ1631" s="418"/>
    </row>
    <row r="1632" spans="40:52" ht="15.75" customHeight="1">
      <c r="AN1632" s="418"/>
      <c r="AO1632" s="418"/>
      <c r="AP1632" s="418"/>
      <c r="AQ1632" s="418"/>
      <c r="AR1632" s="418"/>
      <c r="AS1632" s="418"/>
      <c r="AT1632" s="418"/>
      <c r="AU1632" s="418"/>
      <c r="AV1632" s="418"/>
      <c r="AW1632" s="418"/>
      <c r="AX1632" s="418"/>
      <c r="AY1632" s="418"/>
      <c r="AZ1632" s="418"/>
    </row>
    <row r="1633" spans="40:52" ht="15.75" customHeight="1">
      <c r="AN1633" s="418"/>
      <c r="AO1633" s="418"/>
      <c r="AP1633" s="418"/>
      <c r="AQ1633" s="418"/>
      <c r="AR1633" s="418"/>
      <c r="AS1633" s="418"/>
      <c r="AT1633" s="418"/>
      <c r="AU1633" s="418"/>
      <c r="AV1633" s="418"/>
      <c r="AW1633" s="418"/>
      <c r="AX1633" s="418"/>
      <c r="AY1633" s="418"/>
      <c r="AZ1633" s="418"/>
    </row>
    <row r="1634" spans="40:52" ht="15.75" customHeight="1">
      <c r="AN1634" s="418"/>
      <c r="AO1634" s="418"/>
      <c r="AP1634" s="418"/>
      <c r="AQ1634" s="418"/>
      <c r="AR1634" s="418"/>
      <c r="AS1634" s="418"/>
      <c r="AT1634" s="418"/>
      <c r="AU1634" s="418"/>
      <c r="AV1634" s="418"/>
      <c r="AW1634" s="418"/>
      <c r="AX1634" s="418"/>
      <c r="AY1634" s="418"/>
      <c r="AZ1634" s="418"/>
    </row>
    <row r="1635" spans="40:52" ht="15.75" customHeight="1">
      <c r="AN1635" s="418"/>
      <c r="AO1635" s="418"/>
      <c r="AP1635" s="418"/>
      <c r="AQ1635" s="418"/>
      <c r="AR1635" s="418"/>
      <c r="AS1635" s="418"/>
      <c r="AT1635" s="418"/>
      <c r="AU1635" s="418"/>
      <c r="AV1635" s="418"/>
      <c r="AW1635" s="418"/>
      <c r="AX1635" s="418"/>
      <c r="AY1635" s="418"/>
      <c r="AZ1635" s="418"/>
    </row>
    <row r="1636" spans="40:52" ht="15.75" customHeight="1">
      <c r="AN1636" s="418"/>
      <c r="AO1636" s="418"/>
      <c r="AP1636" s="418"/>
      <c r="AQ1636" s="418"/>
      <c r="AR1636" s="418"/>
      <c r="AS1636" s="418"/>
      <c r="AT1636" s="418"/>
      <c r="AU1636" s="418"/>
      <c r="AV1636" s="418"/>
      <c r="AW1636" s="418"/>
      <c r="AX1636" s="418"/>
      <c r="AY1636" s="418"/>
      <c r="AZ1636" s="418"/>
    </row>
    <row r="1637" spans="40:52" ht="15.75" customHeight="1">
      <c r="AN1637" s="418"/>
      <c r="AO1637" s="418"/>
      <c r="AP1637" s="418"/>
      <c r="AQ1637" s="418"/>
      <c r="AR1637" s="418"/>
      <c r="AS1637" s="418"/>
      <c r="AT1637" s="418"/>
      <c r="AU1637" s="418"/>
      <c r="AV1637" s="418"/>
      <c r="AW1637" s="418"/>
      <c r="AX1637" s="418"/>
      <c r="AY1637" s="418"/>
      <c r="AZ1637" s="418"/>
    </row>
    <row r="1638" spans="40:52" ht="15.75" customHeight="1">
      <c r="AN1638" s="418"/>
      <c r="AO1638" s="418"/>
      <c r="AP1638" s="418"/>
      <c r="AQ1638" s="418"/>
      <c r="AR1638" s="418"/>
      <c r="AS1638" s="418"/>
      <c r="AT1638" s="418"/>
      <c r="AU1638" s="418"/>
      <c r="AV1638" s="418"/>
      <c r="AW1638" s="418"/>
      <c r="AX1638" s="418"/>
      <c r="AY1638" s="418"/>
      <c r="AZ1638" s="418"/>
    </row>
    <row r="1639" spans="40:52" ht="15.75" customHeight="1">
      <c r="AN1639" s="418"/>
      <c r="AO1639" s="418"/>
      <c r="AP1639" s="418"/>
      <c r="AQ1639" s="418"/>
      <c r="AR1639" s="418"/>
      <c r="AS1639" s="418"/>
      <c r="AT1639" s="418"/>
      <c r="AU1639" s="418"/>
      <c r="AV1639" s="418"/>
      <c r="AW1639" s="418"/>
      <c r="AX1639" s="418"/>
      <c r="AY1639" s="418"/>
      <c r="AZ1639" s="418"/>
    </row>
    <row r="1640" spans="40:52" ht="15.75" customHeight="1">
      <c r="AN1640" s="418"/>
      <c r="AO1640" s="418"/>
      <c r="AP1640" s="418"/>
      <c r="AQ1640" s="418"/>
      <c r="AR1640" s="418"/>
      <c r="AS1640" s="418"/>
      <c r="AT1640" s="418"/>
      <c r="AU1640" s="418"/>
      <c r="AV1640" s="418"/>
      <c r="AW1640" s="418"/>
      <c r="AX1640" s="418"/>
      <c r="AY1640" s="418"/>
      <c r="AZ1640" s="418"/>
    </row>
    <row r="1641" spans="40:52" ht="15.75" customHeight="1">
      <c r="AN1641" s="418"/>
      <c r="AO1641" s="418"/>
      <c r="AP1641" s="418"/>
      <c r="AQ1641" s="418"/>
      <c r="AR1641" s="418"/>
      <c r="AS1641" s="418"/>
      <c r="AT1641" s="418"/>
      <c r="AU1641" s="418"/>
      <c r="AV1641" s="418"/>
      <c r="AW1641" s="418"/>
      <c r="AX1641" s="418"/>
      <c r="AY1641" s="418"/>
      <c r="AZ1641" s="418"/>
    </row>
    <row r="1642" spans="40:52" ht="15.75" customHeight="1">
      <c r="AN1642" s="418"/>
      <c r="AO1642" s="418"/>
      <c r="AP1642" s="418"/>
      <c r="AQ1642" s="418"/>
      <c r="AR1642" s="418"/>
      <c r="AS1642" s="418"/>
      <c r="AT1642" s="418"/>
      <c r="AU1642" s="418"/>
      <c r="AV1642" s="418"/>
      <c r="AW1642" s="418"/>
      <c r="AX1642" s="418"/>
      <c r="AY1642" s="418"/>
      <c r="AZ1642" s="418"/>
    </row>
    <row r="1643" spans="40:52" ht="15.75" customHeight="1">
      <c r="AN1643" s="418"/>
      <c r="AO1643" s="418"/>
      <c r="AP1643" s="418"/>
      <c r="AQ1643" s="418"/>
      <c r="AR1643" s="418"/>
      <c r="AS1643" s="418"/>
      <c r="AT1643" s="418"/>
      <c r="AU1643" s="418"/>
      <c r="AV1643" s="418"/>
      <c r="AW1643" s="418"/>
      <c r="AX1643" s="418"/>
      <c r="AY1643" s="418"/>
      <c r="AZ1643" s="418"/>
    </row>
    <row r="1644" spans="40:52" ht="15.75" customHeight="1">
      <c r="AN1644" s="418"/>
      <c r="AO1644" s="418"/>
      <c r="AP1644" s="418"/>
      <c r="AQ1644" s="418"/>
      <c r="AR1644" s="418"/>
      <c r="AS1644" s="418"/>
      <c r="AT1644" s="418"/>
      <c r="AU1644" s="418"/>
      <c r="AV1644" s="418"/>
      <c r="AW1644" s="418"/>
      <c r="AX1644" s="418"/>
      <c r="AY1644" s="418"/>
      <c r="AZ1644" s="418"/>
    </row>
    <row r="1645" spans="40:52" ht="15.75" customHeight="1">
      <c r="AN1645" s="418"/>
      <c r="AO1645" s="418"/>
      <c r="AP1645" s="418"/>
      <c r="AQ1645" s="418"/>
      <c r="AR1645" s="418"/>
      <c r="AS1645" s="418"/>
      <c r="AT1645" s="418"/>
      <c r="AU1645" s="418"/>
      <c r="AV1645" s="418"/>
      <c r="AW1645" s="418"/>
      <c r="AX1645" s="418"/>
      <c r="AY1645" s="418"/>
      <c r="AZ1645" s="418"/>
    </row>
    <row r="1646" spans="40:52" ht="15.75" customHeight="1">
      <c r="AN1646" s="418"/>
      <c r="AO1646" s="418"/>
      <c r="AP1646" s="418"/>
      <c r="AQ1646" s="418"/>
      <c r="AR1646" s="418"/>
      <c r="AS1646" s="418"/>
      <c r="AT1646" s="418"/>
      <c r="AU1646" s="418"/>
      <c r="AV1646" s="418"/>
      <c r="AW1646" s="418"/>
      <c r="AX1646" s="418"/>
      <c r="AY1646" s="418"/>
      <c r="AZ1646" s="418"/>
    </row>
    <row r="1647" spans="40:52" ht="15.75" customHeight="1">
      <c r="AN1647" s="418"/>
      <c r="AO1647" s="418"/>
      <c r="AP1647" s="418"/>
      <c r="AQ1647" s="418"/>
      <c r="AR1647" s="418"/>
      <c r="AS1647" s="418"/>
      <c r="AT1647" s="418"/>
      <c r="AU1647" s="418"/>
      <c r="AV1647" s="418"/>
      <c r="AW1647" s="418"/>
      <c r="AX1647" s="418"/>
      <c r="AY1647" s="418"/>
      <c r="AZ1647" s="418"/>
    </row>
    <row r="1648" spans="40:52" ht="15.75" customHeight="1">
      <c r="AN1648" s="418"/>
      <c r="AO1648" s="418"/>
      <c r="AP1648" s="418"/>
      <c r="AQ1648" s="418"/>
      <c r="AR1648" s="418"/>
      <c r="AS1648" s="418"/>
      <c r="AT1648" s="418"/>
      <c r="AU1648" s="418"/>
      <c r="AV1648" s="418"/>
      <c r="AW1648" s="418"/>
      <c r="AX1648" s="418"/>
      <c r="AY1648" s="418"/>
      <c r="AZ1648" s="418"/>
    </row>
    <row r="1649" spans="40:52" ht="15.75" customHeight="1">
      <c r="AN1649" s="418"/>
      <c r="AO1649" s="418"/>
      <c r="AP1649" s="418"/>
      <c r="AQ1649" s="418"/>
      <c r="AR1649" s="418"/>
      <c r="AS1649" s="418"/>
      <c r="AT1649" s="418"/>
      <c r="AU1649" s="418"/>
      <c r="AV1649" s="418"/>
      <c r="AW1649" s="418"/>
      <c r="AX1649" s="418"/>
      <c r="AY1649" s="418"/>
      <c r="AZ1649" s="418"/>
    </row>
    <row r="1650" spans="40:52" ht="15.75" customHeight="1">
      <c r="AN1650" s="418"/>
      <c r="AO1650" s="418"/>
      <c r="AP1650" s="418"/>
      <c r="AQ1650" s="418"/>
      <c r="AR1650" s="418"/>
      <c r="AS1650" s="418"/>
      <c r="AT1650" s="418"/>
      <c r="AU1650" s="418"/>
      <c r="AV1650" s="418"/>
      <c r="AW1650" s="418"/>
      <c r="AX1650" s="418"/>
      <c r="AY1650" s="418"/>
      <c r="AZ1650" s="418"/>
    </row>
    <row r="1651" spans="40:52" ht="15.75" customHeight="1">
      <c r="AN1651" s="418"/>
      <c r="AO1651" s="418"/>
      <c r="AP1651" s="418"/>
      <c r="AQ1651" s="418"/>
      <c r="AR1651" s="418"/>
      <c r="AS1651" s="418"/>
      <c r="AT1651" s="418"/>
      <c r="AU1651" s="418"/>
      <c r="AV1651" s="418"/>
      <c r="AW1651" s="418"/>
      <c r="AX1651" s="418"/>
      <c r="AY1651" s="418"/>
      <c r="AZ1651" s="418"/>
    </row>
    <row r="1652" spans="40:52" ht="15.75" customHeight="1">
      <c r="AN1652" s="418"/>
      <c r="AO1652" s="418"/>
      <c r="AP1652" s="418"/>
      <c r="AQ1652" s="418"/>
      <c r="AR1652" s="418"/>
      <c r="AS1652" s="418"/>
      <c r="AT1652" s="418"/>
      <c r="AU1652" s="418"/>
      <c r="AV1652" s="418"/>
      <c r="AW1652" s="418"/>
      <c r="AX1652" s="418"/>
      <c r="AY1652" s="418"/>
      <c r="AZ1652" s="418"/>
    </row>
    <row r="1653" spans="40:52" ht="15.75" customHeight="1">
      <c r="AN1653" s="418"/>
      <c r="AO1653" s="418"/>
      <c r="AP1653" s="418"/>
      <c r="AQ1653" s="418"/>
      <c r="AR1653" s="418"/>
      <c r="AS1653" s="418"/>
      <c r="AT1653" s="418"/>
      <c r="AU1653" s="418"/>
      <c r="AV1653" s="418"/>
      <c r="AW1653" s="418"/>
      <c r="AX1653" s="418"/>
      <c r="AY1653" s="418"/>
      <c r="AZ1653" s="418"/>
    </row>
    <row r="1654" spans="40:52" ht="15.75" customHeight="1">
      <c r="AN1654" s="418"/>
      <c r="AO1654" s="418"/>
      <c r="AP1654" s="418"/>
      <c r="AQ1654" s="418"/>
      <c r="AR1654" s="418"/>
      <c r="AS1654" s="418"/>
      <c r="AT1654" s="418"/>
      <c r="AU1654" s="418"/>
      <c r="AV1654" s="418"/>
      <c r="AW1654" s="418"/>
      <c r="AX1654" s="418"/>
      <c r="AY1654" s="418"/>
      <c r="AZ1654" s="418"/>
    </row>
    <row r="1655" spans="40:52" ht="15.75" customHeight="1">
      <c r="AN1655" s="418"/>
      <c r="AO1655" s="418"/>
      <c r="AP1655" s="418"/>
      <c r="AQ1655" s="418"/>
      <c r="AR1655" s="418"/>
      <c r="AS1655" s="418"/>
      <c r="AT1655" s="418"/>
      <c r="AU1655" s="418"/>
      <c r="AV1655" s="418"/>
      <c r="AW1655" s="418"/>
      <c r="AX1655" s="418"/>
      <c r="AY1655" s="418"/>
      <c r="AZ1655" s="418"/>
    </row>
    <row r="1656" spans="40:52" ht="15.75" customHeight="1">
      <c r="AN1656" s="418"/>
      <c r="AO1656" s="418"/>
      <c r="AP1656" s="418"/>
      <c r="AQ1656" s="418"/>
      <c r="AR1656" s="418"/>
      <c r="AS1656" s="418"/>
      <c r="AT1656" s="418"/>
      <c r="AU1656" s="418"/>
      <c r="AV1656" s="418"/>
      <c r="AW1656" s="418"/>
      <c r="AX1656" s="418"/>
      <c r="AY1656" s="418"/>
      <c r="AZ1656" s="418"/>
    </row>
    <row r="1657" spans="40:52" ht="15.75" customHeight="1">
      <c r="AN1657" s="418"/>
      <c r="AO1657" s="418"/>
      <c r="AP1657" s="418"/>
      <c r="AQ1657" s="418"/>
      <c r="AR1657" s="418"/>
      <c r="AS1657" s="418"/>
      <c r="AT1657" s="418"/>
      <c r="AU1657" s="418"/>
      <c r="AV1657" s="418"/>
      <c r="AW1657" s="418"/>
      <c r="AX1657" s="418"/>
      <c r="AY1657" s="418"/>
      <c r="AZ1657" s="418"/>
    </row>
    <row r="1658" spans="40:52" ht="15.75" customHeight="1">
      <c r="AN1658" s="418"/>
      <c r="AO1658" s="418"/>
      <c r="AP1658" s="418"/>
      <c r="AQ1658" s="418"/>
      <c r="AR1658" s="418"/>
      <c r="AS1658" s="418"/>
      <c r="AT1658" s="418"/>
      <c r="AU1658" s="418"/>
      <c r="AV1658" s="418"/>
      <c r="AW1658" s="418"/>
      <c r="AX1658" s="418"/>
      <c r="AY1658" s="418"/>
      <c r="AZ1658" s="418"/>
    </row>
    <row r="1659" spans="40:52" ht="15.75" customHeight="1">
      <c r="AN1659" s="418"/>
      <c r="AO1659" s="418"/>
      <c r="AP1659" s="418"/>
      <c r="AQ1659" s="418"/>
      <c r="AR1659" s="418"/>
      <c r="AS1659" s="418"/>
      <c r="AT1659" s="418"/>
      <c r="AU1659" s="418"/>
      <c r="AV1659" s="418"/>
      <c r="AW1659" s="418"/>
      <c r="AX1659" s="418"/>
      <c r="AY1659" s="418"/>
      <c r="AZ1659" s="418"/>
    </row>
    <row r="1660" spans="40:52" ht="15.75" customHeight="1">
      <c r="AN1660" s="418"/>
      <c r="AO1660" s="418"/>
      <c r="AP1660" s="418"/>
      <c r="AQ1660" s="418"/>
      <c r="AR1660" s="418"/>
      <c r="AS1660" s="418"/>
      <c r="AT1660" s="418"/>
      <c r="AU1660" s="418"/>
      <c r="AV1660" s="418"/>
      <c r="AW1660" s="418"/>
      <c r="AX1660" s="418"/>
      <c r="AY1660" s="418"/>
      <c r="AZ1660" s="418"/>
    </row>
    <row r="1661" spans="40:52" ht="15.75" customHeight="1">
      <c r="AN1661" s="418"/>
      <c r="AO1661" s="418"/>
      <c r="AP1661" s="418"/>
      <c r="AQ1661" s="418"/>
      <c r="AR1661" s="418"/>
      <c r="AS1661" s="418"/>
      <c r="AT1661" s="418"/>
      <c r="AU1661" s="418"/>
      <c r="AV1661" s="418"/>
      <c r="AW1661" s="418"/>
      <c r="AX1661" s="418"/>
      <c r="AY1661" s="418"/>
      <c r="AZ1661" s="418"/>
    </row>
    <row r="1662" spans="40:52" ht="15.75" customHeight="1">
      <c r="AN1662" s="418"/>
      <c r="AO1662" s="418"/>
      <c r="AP1662" s="418"/>
      <c r="AQ1662" s="418"/>
      <c r="AR1662" s="418"/>
      <c r="AS1662" s="418"/>
      <c r="AT1662" s="418"/>
      <c r="AU1662" s="418"/>
      <c r="AV1662" s="418"/>
      <c r="AW1662" s="418"/>
      <c r="AX1662" s="418"/>
      <c r="AY1662" s="418"/>
      <c r="AZ1662" s="418"/>
    </row>
    <row r="1663" spans="40:52" ht="15.75" customHeight="1">
      <c r="AN1663" s="418"/>
      <c r="AO1663" s="418"/>
      <c r="AP1663" s="418"/>
      <c r="AQ1663" s="418"/>
      <c r="AR1663" s="418"/>
      <c r="AS1663" s="418"/>
      <c r="AT1663" s="418"/>
      <c r="AU1663" s="418"/>
      <c r="AV1663" s="418"/>
      <c r="AW1663" s="418"/>
      <c r="AX1663" s="418"/>
      <c r="AY1663" s="418"/>
      <c r="AZ1663" s="418"/>
    </row>
    <row r="1664" spans="40:52" ht="15.75" customHeight="1">
      <c r="AN1664" s="418"/>
      <c r="AO1664" s="418"/>
      <c r="AP1664" s="418"/>
      <c r="AQ1664" s="418"/>
      <c r="AR1664" s="418"/>
      <c r="AS1664" s="418"/>
      <c r="AT1664" s="418"/>
      <c r="AU1664" s="418"/>
      <c r="AV1664" s="418"/>
      <c r="AW1664" s="418"/>
      <c r="AX1664" s="418"/>
      <c r="AY1664" s="418"/>
      <c r="AZ1664" s="418"/>
    </row>
    <row r="1665" spans="40:52" ht="15.75" customHeight="1">
      <c r="AN1665" s="418"/>
      <c r="AO1665" s="418"/>
      <c r="AP1665" s="418"/>
      <c r="AQ1665" s="418"/>
      <c r="AR1665" s="418"/>
      <c r="AS1665" s="418"/>
      <c r="AT1665" s="418"/>
      <c r="AU1665" s="418"/>
      <c r="AV1665" s="418"/>
      <c r="AW1665" s="418"/>
      <c r="AX1665" s="418"/>
      <c r="AY1665" s="418"/>
      <c r="AZ1665" s="418"/>
    </row>
    <row r="1666" spans="40:52" ht="15.75" customHeight="1">
      <c r="AN1666" s="418"/>
      <c r="AO1666" s="418"/>
      <c r="AP1666" s="418"/>
      <c r="AQ1666" s="418"/>
      <c r="AR1666" s="418"/>
      <c r="AS1666" s="418"/>
      <c r="AT1666" s="418"/>
      <c r="AU1666" s="418"/>
      <c r="AV1666" s="418"/>
      <c r="AW1666" s="418"/>
      <c r="AX1666" s="418"/>
      <c r="AY1666" s="418"/>
      <c r="AZ1666" s="418"/>
    </row>
    <row r="1667" spans="40:52" ht="15.75" customHeight="1">
      <c r="AN1667" s="418"/>
      <c r="AO1667" s="418"/>
      <c r="AP1667" s="418"/>
      <c r="AQ1667" s="418"/>
      <c r="AR1667" s="418"/>
      <c r="AS1667" s="418"/>
      <c r="AT1667" s="418"/>
      <c r="AU1667" s="418"/>
      <c r="AV1667" s="418"/>
      <c r="AW1667" s="418"/>
      <c r="AX1667" s="418"/>
      <c r="AY1667" s="418"/>
      <c r="AZ1667" s="418"/>
    </row>
    <row r="1668" spans="40:52" ht="15.75" customHeight="1">
      <c r="AN1668" s="418"/>
      <c r="AO1668" s="418"/>
      <c r="AP1668" s="418"/>
      <c r="AQ1668" s="418"/>
      <c r="AR1668" s="418"/>
      <c r="AS1668" s="418"/>
      <c r="AT1668" s="418"/>
      <c r="AU1668" s="418"/>
      <c r="AV1668" s="418"/>
      <c r="AW1668" s="418"/>
      <c r="AX1668" s="418"/>
      <c r="AY1668" s="418"/>
      <c r="AZ1668" s="418"/>
    </row>
    <row r="1669" spans="40:52" ht="15.75" customHeight="1">
      <c r="AN1669" s="418"/>
      <c r="AO1669" s="418"/>
      <c r="AP1669" s="418"/>
      <c r="AQ1669" s="418"/>
      <c r="AR1669" s="418"/>
      <c r="AS1669" s="418"/>
      <c r="AT1669" s="418"/>
      <c r="AU1669" s="418"/>
      <c r="AV1669" s="418"/>
      <c r="AW1669" s="418"/>
      <c r="AX1669" s="418"/>
      <c r="AY1669" s="418"/>
      <c r="AZ1669" s="418"/>
    </row>
    <row r="1670" spans="40:52" ht="15.75" customHeight="1">
      <c r="AN1670" s="418"/>
      <c r="AO1670" s="418"/>
      <c r="AP1670" s="418"/>
      <c r="AQ1670" s="418"/>
      <c r="AR1670" s="418"/>
      <c r="AS1670" s="418"/>
      <c r="AT1670" s="418"/>
      <c r="AU1670" s="418"/>
      <c r="AV1670" s="418"/>
      <c r="AW1670" s="418"/>
      <c r="AX1670" s="418"/>
      <c r="AY1670" s="418"/>
      <c r="AZ1670" s="418"/>
    </row>
    <row r="1671" spans="40:52" ht="15.75" customHeight="1">
      <c r="AN1671" s="418"/>
      <c r="AO1671" s="418"/>
      <c r="AP1671" s="418"/>
      <c r="AQ1671" s="418"/>
      <c r="AR1671" s="418"/>
      <c r="AS1671" s="418"/>
      <c r="AT1671" s="418"/>
      <c r="AU1671" s="418"/>
      <c r="AV1671" s="418"/>
      <c r="AW1671" s="418"/>
      <c r="AX1671" s="418"/>
      <c r="AY1671" s="418"/>
      <c r="AZ1671" s="418"/>
    </row>
    <row r="1672" spans="40:52" ht="15.75" customHeight="1">
      <c r="AN1672" s="418"/>
      <c r="AO1672" s="418"/>
      <c r="AP1672" s="418"/>
      <c r="AQ1672" s="418"/>
      <c r="AR1672" s="418"/>
      <c r="AS1672" s="418"/>
      <c r="AT1672" s="418"/>
      <c r="AU1672" s="418"/>
      <c r="AV1672" s="418"/>
      <c r="AW1672" s="418"/>
      <c r="AX1672" s="418"/>
      <c r="AY1672" s="418"/>
      <c r="AZ1672" s="418"/>
    </row>
    <row r="1673" spans="40:52" ht="15.75" customHeight="1">
      <c r="AN1673" s="418"/>
      <c r="AO1673" s="418"/>
      <c r="AP1673" s="418"/>
      <c r="AQ1673" s="418"/>
      <c r="AR1673" s="418"/>
      <c r="AS1673" s="418"/>
      <c r="AT1673" s="418"/>
      <c r="AU1673" s="418"/>
      <c r="AV1673" s="418"/>
      <c r="AW1673" s="418"/>
      <c r="AX1673" s="418"/>
      <c r="AY1673" s="418"/>
      <c r="AZ1673" s="418"/>
    </row>
    <row r="1674" spans="40:52" ht="15.75" customHeight="1">
      <c r="AN1674" s="418"/>
      <c r="AO1674" s="418"/>
      <c r="AP1674" s="418"/>
      <c r="AQ1674" s="418"/>
      <c r="AR1674" s="418"/>
      <c r="AS1674" s="418"/>
      <c r="AT1674" s="418"/>
      <c r="AU1674" s="418"/>
      <c r="AV1674" s="418"/>
      <c r="AW1674" s="418"/>
      <c r="AX1674" s="418"/>
      <c r="AY1674" s="418"/>
      <c r="AZ1674" s="418"/>
    </row>
    <row r="1675" spans="40:52" ht="15.75" customHeight="1">
      <c r="AN1675" s="418"/>
      <c r="AO1675" s="418"/>
      <c r="AP1675" s="418"/>
      <c r="AQ1675" s="418"/>
      <c r="AR1675" s="418"/>
      <c r="AS1675" s="418"/>
      <c r="AT1675" s="418"/>
      <c r="AU1675" s="418"/>
      <c r="AV1675" s="418"/>
      <c r="AW1675" s="418"/>
      <c r="AX1675" s="418"/>
      <c r="AY1675" s="418"/>
      <c r="AZ1675" s="418"/>
    </row>
    <row r="1676" spans="40:52" ht="15.75" customHeight="1">
      <c r="AN1676" s="418"/>
      <c r="AO1676" s="418"/>
      <c r="AP1676" s="418"/>
      <c r="AQ1676" s="418"/>
      <c r="AR1676" s="418"/>
      <c r="AS1676" s="418"/>
      <c r="AT1676" s="418"/>
      <c r="AU1676" s="418"/>
      <c r="AV1676" s="418"/>
      <c r="AW1676" s="418"/>
      <c r="AX1676" s="418"/>
      <c r="AY1676" s="418"/>
      <c r="AZ1676" s="418"/>
    </row>
    <row r="1677" spans="40:52" ht="15.75" customHeight="1">
      <c r="AN1677" s="418"/>
      <c r="AO1677" s="418"/>
      <c r="AP1677" s="418"/>
      <c r="AQ1677" s="418"/>
      <c r="AR1677" s="418"/>
      <c r="AS1677" s="418"/>
      <c r="AT1677" s="418"/>
      <c r="AU1677" s="418"/>
      <c r="AV1677" s="418"/>
      <c r="AW1677" s="418"/>
      <c r="AX1677" s="418"/>
      <c r="AY1677" s="418"/>
      <c r="AZ1677" s="418"/>
    </row>
    <row r="1678" spans="40:52" ht="15.75" customHeight="1">
      <c r="AN1678" s="418"/>
      <c r="AO1678" s="418"/>
      <c r="AP1678" s="418"/>
      <c r="AQ1678" s="418"/>
      <c r="AR1678" s="418"/>
      <c r="AS1678" s="418"/>
      <c r="AT1678" s="418"/>
      <c r="AU1678" s="418"/>
      <c r="AV1678" s="418"/>
      <c r="AW1678" s="418"/>
      <c r="AX1678" s="418"/>
      <c r="AY1678" s="418"/>
      <c r="AZ1678" s="418"/>
    </row>
    <row r="1679" spans="40:52" ht="15.75" customHeight="1">
      <c r="AN1679" s="418"/>
      <c r="AO1679" s="418"/>
      <c r="AP1679" s="418"/>
      <c r="AQ1679" s="418"/>
      <c r="AR1679" s="418"/>
      <c r="AS1679" s="418"/>
      <c r="AT1679" s="418"/>
      <c r="AU1679" s="418"/>
      <c r="AV1679" s="418"/>
      <c r="AW1679" s="418"/>
      <c r="AX1679" s="418"/>
      <c r="AY1679" s="418"/>
      <c r="AZ1679" s="418"/>
    </row>
    <row r="1680" spans="40:52" ht="15.75" customHeight="1">
      <c r="AN1680" s="418"/>
      <c r="AO1680" s="418"/>
      <c r="AP1680" s="418"/>
      <c r="AQ1680" s="418"/>
      <c r="AR1680" s="418"/>
      <c r="AS1680" s="418"/>
      <c r="AT1680" s="418"/>
      <c r="AU1680" s="418"/>
      <c r="AV1680" s="418"/>
      <c r="AW1680" s="418"/>
      <c r="AX1680" s="418"/>
      <c r="AY1680" s="418"/>
      <c r="AZ1680" s="418"/>
    </row>
    <row r="1681" spans="40:52" ht="15.75" customHeight="1">
      <c r="AN1681" s="418"/>
      <c r="AO1681" s="418"/>
      <c r="AP1681" s="418"/>
      <c r="AQ1681" s="418"/>
      <c r="AR1681" s="418"/>
      <c r="AS1681" s="418"/>
      <c r="AT1681" s="418"/>
      <c r="AU1681" s="418"/>
      <c r="AV1681" s="418"/>
      <c r="AW1681" s="418"/>
      <c r="AX1681" s="418"/>
      <c r="AY1681" s="418"/>
      <c r="AZ1681" s="418"/>
    </row>
    <row r="1682" spans="40:52" ht="15.75" customHeight="1">
      <c r="AN1682" s="418"/>
      <c r="AO1682" s="418"/>
      <c r="AP1682" s="418"/>
      <c r="AQ1682" s="418"/>
      <c r="AR1682" s="418"/>
      <c r="AS1682" s="418"/>
      <c r="AT1682" s="418"/>
      <c r="AU1682" s="418"/>
      <c r="AV1682" s="418"/>
      <c r="AW1682" s="418"/>
      <c r="AX1682" s="418"/>
      <c r="AY1682" s="418"/>
      <c r="AZ1682" s="418"/>
    </row>
    <row r="1683" spans="40:52" ht="15.75" customHeight="1">
      <c r="AN1683" s="418"/>
      <c r="AO1683" s="418"/>
      <c r="AP1683" s="418"/>
      <c r="AQ1683" s="418"/>
      <c r="AR1683" s="418"/>
      <c r="AS1683" s="418"/>
      <c r="AT1683" s="418"/>
      <c r="AU1683" s="418"/>
      <c r="AV1683" s="418"/>
      <c r="AW1683" s="418"/>
      <c r="AX1683" s="418"/>
      <c r="AY1683" s="418"/>
      <c r="AZ1683" s="418"/>
    </row>
    <row r="1684" spans="40:52" ht="15.75" customHeight="1">
      <c r="AN1684" s="418"/>
      <c r="AO1684" s="418"/>
      <c r="AP1684" s="418"/>
      <c r="AQ1684" s="418"/>
      <c r="AR1684" s="418"/>
      <c r="AS1684" s="418"/>
      <c r="AT1684" s="418"/>
      <c r="AU1684" s="418"/>
      <c r="AV1684" s="418"/>
      <c r="AW1684" s="418"/>
      <c r="AX1684" s="418"/>
      <c r="AY1684" s="418"/>
      <c r="AZ1684" s="418"/>
    </row>
    <row r="1685" spans="40:52" ht="15.75" customHeight="1">
      <c r="AN1685" s="418"/>
      <c r="AO1685" s="418"/>
      <c r="AP1685" s="418"/>
      <c r="AQ1685" s="418"/>
      <c r="AR1685" s="418"/>
      <c r="AS1685" s="418"/>
      <c r="AT1685" s="418"/>
      <c r="AU1685" s="418"/>
      <c r="AV1685" s="418"/>
      <c r="AW1685" s="418"/>
      <c r="AX1685" s="418"/>
      <c r="AY1685" s="418"/>
      <c r="AZ1685" s="418"/>
    </row>
    <row r="1686" spans="40:52" ht="15.75" customHeight="1">
      <c r="AN1686" s="418"/>
      <c r="AO1686" s="418"/>
      <c r="AP1686" s="418"/>
      <c r="AQ1686" s="418"/>
      <c r="AR1686" s="418"/>
      <c r="AS1686" s="418"/>
      <c r="AT1686" s="418"/>
      <c r="AU1686" s="418"/>
      <c r="AV1686" s="418"/>
      <c r="AW1686" s="418"/>
      <c r="AX1686" s="418"/>
      <c r="AY1686" s="418"/>
      <c r="AZ1686" s="418"/>
    </row>
    <row r="1687" spans="40:52" ht="15.75" customHeight="1">
      <c r="AN1687" s="418"/>
      <c r="AO1687" s="418"/>
      <c r="AP1687" s="418"/>
      <c r="AQ1687" s="418"/>
      <c r="AR1687" s="418"/>
      <c r="AS1687" s="418"/>
      <c r="AT1687" s="418"/>
      <c r="AU1687" s="418"/>
      <c r="AV1687" s="418"/>
      <c r="AW1687" s="418"/>
      <c r="AX1687" s="418"/>
      <c r="AY1687" s="418"/>
      <c r="AZ1687" s="418"/>
    </row>
    <row r="1688" spans="40:52" ht="15.75" customHeight="1">
      <c r="AN1688" s="418"/>
      <c r="AO1688" s="418"/>
      <c r="AP1688" s="418"/>
      <c r="AQ1688" s="418"/>
      <c r="AR1688" s="418"/>
      <c r="AS1688" s="418"/>
      <c r="AT1688" s="418"/>
      <c r="AU1688" s="418"/>
      <c r="AV1688" s="418"/>
      <c r="AW1688" s="418"/>
      <c r="AX1688" s="418"/>
      <c r="AY1688" s="418"/>
      <c r="AZ1688" s="418"/>
    </row>
    <row r="1689" spans="40:52" ht="15.75" customHeight="1">
      <c r="AN1689" s="418"/>
      <c r="AO1689" s="418"/>
      <c r="AP1689" s="418"/>
      <c r="AQ1689" s="418"/>
      <c r="AR1689" s="418"/>
      <c r="AS1689" s="418"/>
      <c r="AT1689" s="418"/>
      <c r="AU1689" s="418"/>
      <c r="AV1689" s="418"/>
      <c r="AW1689" s="418"/>
      <c r="AX1689" s="418"/>
      <c r="AY1689" s="418"/>
      <c r="AZ1689" s="418"/>
    </row>
    <row r="1690" spans="40:52" ht="15.75" customHeight="1">
      <c r="AN1690" s="418"/>
      <c r="AO1690" s="418"/>
      <c r="AP1690" s="418"/>
      <c r="AQ1690" s="418"/>
      <c r="AR1690" s="418"/>
      <c r="AS1690" s="418"/>
      <c r="AT1690" s="418"/>
      <c r="AU1690" s="418"/>
      <c r="AV1690" s="418"/>
      <c r="AW1690" s="418"/>
      <c r="AX1690" s="418"/>
      <c r="AY1690" s="418"/>
      <c r="AZ1690" s="418"/>
    </row>
    <row r="1691" spans="40:52" ht="15.75" customHeight="1">
      <c r="AN1691" s="418"/>
      <c r="AO1691" s="418"/>
      <c r="AP1691" s="418"/>
      <c r="AQ1691" s="418"/>
      <c r="AR1691" s="418"/>
      <c r="AS1691" s="418"/>
      <c r="AT1691" s="418"/>
      <c r="AU1691" s="418"/>
      <c r="AV1691" s="418"/>
      <c r="AW1691" s="418"/>
      <c r="AX1691" s="418"/>
      <c r="AY1691" s="418"/>
      <c r="AZ1691" s="418"/>
    </row>
    <row r="1692" spans="40:52" ht="15.75" customHeight="1">
      <c r="AN1692" s="418"/>
      <c r="AO1692" s="418"/>
      <c r="AP1692" s="418"/>
      <c r="AQ1692" s="418"/>
      <c r="AR1692" s="418"/>
      <c r="AS1692" s="418"/>
      <c r="AT1692" s="418"/>
      <c r="AU1692" s="418"/>
      <c r="AV1692" s="418"/>
      <c r="AW1692" s="418"/>
      <c r="AX1692" s="418"/>
      <c r="AY1692" s="418"/>
      <c r="AZ1692" s="418"/>
    </row>
    <row r="1693" spans="40:52" ht="15.75" customHeight="1">
      <c r="AN1693" s="418"/>
      <c r="AO1693" s="418"/>
      <c r="AP1693" s="418"/>
      <c r="AQ1693" s="418"/>
      <c r="AR1693" s="418"/>
      <c r="AS1693" s="418"/>
      <c r="AT1693" s="418"/>
      <c r="AU1693" s="418"/>
      <c r="AV1693" s="418"/>
      <c r="AW1693" s="418"/>
      <c r="AX1693" s="418"/>
      <c r="AY1693" s="418"/>
      <c r="AZ1693" s="418"/>
    </row>
    <row r="1694" spans="40:52" ht="15.75" customHeight="1">
      <c r="AN1694" s="418"/>
      <c r="AO1694" s="418"/>
      <c r="AP1694" s="418"/>
      <c r="AQ1694" s="418"/>
      <c r="AR1694" s="418"/>
      <c r="AS1694" s="418"/>
      <c r="AT1694" s="418"/>
      <c r="AU1694" s="418"/>
      <c r="AV1694" s="418"/>
      <c r="AW1694" s="418"/>
      <c r="AX1694" s="418"/>
      <c r="AY1694" s="418"/>
      <c r="AZ1694" s="418"/>
    </row>
    <row r="1695" spans="40:52" ht="15.75" customHeight="1">
      <c r="AN1695" s="418"/>
      <c r="AO1695" s="418"/>
      <c r="AP1695" s="418"/>
      <c r="AQ1695" s="418"/>
      <c r="AR1695" s="418"/>
      <c r="AS1695" s="418"/>
      <c r="AT1695" s="418"/>
      <c r="AU1695" s="418"/>
      <c r="AV1695" s="418"/>
      <c r="AW1695" s="418"/>
      <c r="AX1695" s="418"/>
      <c r="AY1695" s="418"/>
      <c r="AZ1695" s="418"/>
    </row>
    <row r="1696" spans="40:52" ht="15.75" customHeight="1">
      <c r="AN1696" s="418"/>
      <c r="AO1696" s="418"/>
      <c r="AP1696" s="418"/>
      <c r="AQ1696" s="418"/>
      <c r="AR1696" s="418"/>
      <c r="AS1696" s="418"/>
      <c r="AT1696" s="418"/>
      <c r="AU1696" s="418"/>
      <c r="AV1696" s="418"/>
      <c r="AW1696" s="418"/>
      <c r="AX1696" s="418"/>
      <c r="AY1696" s="418"/>
      <c r="AZ1696" s="418"/>
    </row>
    <row r="1697" spans="40:52" ht="15.75" customHeight="1">
      <c r="AN1697" s="418"/>
      <c r="AO1697" s="418"/>
      <c r="AP1697" s="418"/>
      <c r="AQ1697" s="418"/>
      <c r="AR1697" s="418"/>
      <c r="AS1697" s="418"/>
      <c r="AT1697" s="418"/>
      <c r="AU1697" s="418"/>
      <c r="AV1697" s="418"/>
      <c r="AW1697" s="418"/>
      <c r="AX1697" s="418"/>
      <c r="AY1697" s="418"/>
      <c r="AZ1697" s="418"/>
    </row>
    <row r="1698" spans="40:52" ht="15.75" customHeight="1">
      <c r="AN1698" s="418"/>
      <c r="AO1698" s="418"/>
      <c r="AP1698" s="418"/>
      <c r="AQ1698" s="418"/>
      <c r="AR1698" s="418"/>
      <c r="AS1698" s="418"/>
      <c r="AT1698" s="418"/>
      <c r="AU1698" s="418"/>
      <c r="AV1698" s="418"/>
      <c r="AW1698" s="418"/>
      <c r="AX1698" s="418"/>
      <c r="AY1698" s="418"/>
      <c r="AZ1698" s="418"/>
    </row>
    <row r="1699" spans="40:52" ht="15.75" customHeight="1">
      <c r="AN1699" s="418"/>
      <c r="AO1699" s="418"/>
      <c r="AP1699" s="418"/>
      <c r="AQ1699" s="418"/>
      <c r="AR1699" s="418"/>
      <c r="AS1699" s="418"/>
      <c r="AT1699" s="418"/>
      <c r="AU1699" s="418"/>
      <c r="AV1699" s="418"/>
      <c r="AW1699" s="418"/>
      <c r="AX1699" s="418"/>
      <c r="AY1699" s="418"/>
      <c r="AZ1699" s="418"/>
    </row>
    <row r="1700" spans="40:52" ht="15.75" customHeight="1">
      <c r="AN1700" s="418"/>
      <c r="AO1700" s="418"/>
      <c r="AP1700" s="418"/>
      <c r="AQ1700" s="418"/>
      <c r="AR1700" s="418"/>
      <c r="AS1700" s="418"/>
      <c r="AT1700" s="418"/>
      <c r="AU1700" s="418"/>
      <c r="AV1700" s="418"/>
      <c r="AW1700" s="418"/>
      <c r="AX1700" s="418"/>
      <c r="AY1700" s="418"/>
      <c r="AZ1700" s="418"/>
    </row>
    <row r="1701" spans="40:52" ht="15.75" customHeight="1">
      <c r="AN1701" s="418"/>
      <c r="AO1701" s="418"/>
      <c r="AP1701" s="418"/>
      <c r="AQ1701" s="418"/>
      <c r="AR1701" s="418"/>
      <c r="AS1701" s="418"/>
      <c r="AT1701" s="418"/>
      <c r="AU1701" s="418"/>
      <c r="AV1701" s="418"/>
      <c r="AW1701" s="418"/>
      <c r="AX1701" s="418"/>
      <c r="AY1701" s="418"/>
      <c r="AZ1701" s="418"/>
    </row>
    <row r="1702" spans="40:52" ht="15.75" customHeight="1">
      <c r="AN1702" s="418"/>
      <c r="AO1702" s="418"/>
      <c r="AP1702" s="418"/>
      <c r="AQ1702" s="418"/>
      <c r="AR1702" s="418"/>
      <c r="AS1702" s="418"/>
      <c r="AT1702" s="418"/>
      <c r="AU1702" s="418"/>
      <c r="AV1702" s="418"/>
      <c r="AW1702" s="418"/>
      <c r="AX1702" s="418"/>
      <c r="AY1702" s="418"/>
      <c r="AZ1702" s="418"/>
    </row>
    <row r="1703" spans="40:52" ht="15.75" customHeight="1">
      <c r="AN1703" s="418"/>
      <c r="AO1703" s="418"/>
      <c r="AP1703" s="418"/>
      <c r="AQ1703" s="418"/>
      <c r="AR1703" s="418"/>
      <c r="AS1703" s="418"/>
      <c r="AT1703" s="418"/>
      <c r="AU1703" s="418"/>
      <c r="AV1703" s="418"/>
      <c r="AW1703" s="418"/>
      <c r="AX1703" s="418"/>
      <c r="AY1703" s="418"/>
      <c r="AZ1703" s="418"/>
    </row>
    <row r="1704" spans="40:52" ht="15.75" customHeight="1">
      <c r="AN1704" s="418"/>
      <c r="AO1704" s="418"/>
      <c r="AP1704" s="418"/>
      <c r="AQ1704" s="418"/>
      <c r="AR1704" s="418"/>
      <c r="AS1704" s="418"/>
      <c r="AT1704" s="418"/>
      <c r="AU1704" s="418"/>
      <c r="AV1704" s="418"/>
      <c r="AW1704" s="418"/>
      <c r="AX1704" s="418"/>
      <c r="AY1704" s="418"/>
      <c r="AZ1704" s="418"/>
    </row>
    <row r="1705" spans="40:52" ht="15.75" customHeight="1">
      <c r="AN1705" s="418"/>
      <c r="AO1705" s="418"/>
      <c r="AP1705" s="418"/>
      <c r="AQ1705" s="418"/>
      <c r="AR1705" s="418"/>
      <c r="AS1705" s="418"/>
      <c r="AT1705" s="418"/>
      <c r="AU1705" s="418"/>
      <c r="AV1705" s="418"/>
      <c r="AW1705" s="418"/>
      <c r="AX1705" s="418"/>
      <c r="AY1705" s="418"/>
      <c r="AZ1705" s="418"/>
    </row>
    <row r="1706" spans="40:52" ht="15.75" customHeight="1">
      <c r="AN1706" s="418"/>
      <c r="AO1706" s="418"/>
      <c r="AP1706" s="418"/>
      <c r="AQ1706" s="418"/>
      <c r="AR1706" s="418"/>
      <c r="AS1706" s="418"/>
      <c r="AT1706" s="418"/>
      <c r="AU1706" s="418"/>
      <c r="AV1706" s="418"/>
      <c r="AW1706" s="418"/>
      <c r="AX1706" s="418"/>
      <c r="AY1706" s="418"/>
      <c r="AZ1706" s="418"/>
    </row>
    <row r="1707" spans="40:52" ht="15.75" customHeight="1">
      <c r="AN1707" s="418"/>
      <c r="AO1707" s="418"/>
      <c r="AP1707" s="418"/>
      <c r="AQ1707" s="418"/>
      <c r="AR1707" s="418"/>
      <c r="AS1707" s="418"/>
      <c r="AT1707" s="418"/>
      <c r="AU1707" s="418"/>
      <c r="AV1707" s="418"/>
      <c r="AW1707" s="418"/>
      <c r="AX1707" s="418"/>
      <c r="AY1707" s="418"/>
      <c r="AZ1707" s="418"/>
    </row>
    <row r="1708" spans="40:52" ht="15.75" customHeight="1">
      <c r="AN1708" s="418"/>
      <c r="AO1708" s="418"/>
      <c r="AP1708" s="418"/>
      <c r="AQ1708" s="418"/>
      <c r="AR1708" s="418"/>
      <c r="AS1708" s="418"/>
      <c r="AT1708" s="418"/>
      <c r="AU1708" s="418"/>
      <c r="AV1708" s="418"/>
      <c r="AW1708" s="418"/>
      <c r="AX1708" s="418"/>
      <c r="AY1708" s="418"/>
      <c r="AZ1708" s="418"/>
    </row>
    <row r="1709" spans="40:52" ht="15.75" customHeight="1">
      <c r="AN1709" s="418"/>
      <c r="AO1709" s="418"/>
      <c r="AP1709" s="418"/>
      <c r="AQ1709" s="418"/>
      <c r="AR1709" s="418"/>
      <c r="AS1709" s="418"/>
      <c r="AT1709" s="418"/>
      <c r="AU1709" s="418"/>
      <c r="AV1709" s="418"/>
      <c r="AW1709" s="418"/>
      <c r="AX1709" s="418"/>
      <c r="AY1709" s="418"/>
      <c r="AZ1709" s="418"/>
    </row>
    <row r="1710" spans="40:52" ht="15.75" customHeight="1">
      <c r="AN1710" s="418"/>
      <c r="AO1710" s="418"/>
      <c r="AP1710" s="418"/>
      <c r="AQ1710" s="418"/>
      <c r="AR1710" s="418"/>
      <c r="AS1710" s="418"/>
      <c r="AT1710" s="418"/>
      <c r="AU1710" s="418"/>
      <c r="AV1710" s="418"/>
      <c r="AW1710" s="418"/>
      <c r="AX1710" s="418"/>
      <c r="AY1710" s="418"/>
      <c r="AZ1710" s="418"/>
    </row>
    <row r="1711" spans="40:52" ht="15.75" customHeight="1">
      <c r="AN1711" s="418"/>
      <c r="AO1711" s="418"/>
      <c r="AP1711" s="418"/>
      <c r="AQ1711" s="418"/>
      <c r="AR1711" s="418"/>
      <c r="AS1711" s="418"/>
      <c r="AT1711" s="418"/>
      <c r="AU1711" s="418"/>
      <c r="AV1711" s="418"/>
      <c r="AW1711" s="418"/>
      <c r="AX1711" s="418"/>
      <c r="AY1711" s="418"/>
      <c r="AZ1711" s="418"/>
    </row>
    <row r="1712" spans="40:52" ht="15.75" customHeight="1">
      <c r="AN1712" s="418"/>
      <c r="AO1712" s="418"/>
      <c r="AP1712" s="418"/>
      <c r="AQ1712" s="418"/>
      <c r="AR1712" s="418"/>
      <c r="AS1712" s="418"/>
      <c r="AT1712" s="418"/>
      <c r="AU1712" s="418"/>
      <c r="AV1712" s="418"/>
      <c r="AW1712" s="418"/>
      <c r="AX1712" s="418"/>
      <c r="AY1712" s="418"/>
      <c r="AZ1712" s="418"/>
    </row>
    <row r="1713" spans="40:52" ht="15.75" customHeight="1">
      <c r="AN1713" s="418"/>
      <c r="AO1713" s="418"/>
      <c r="AP1713" s="418"/>
      <c r="AQ1713" s="418"/>
      <c r="AR1713" s="418"/>
      <c r="AS1713" s="418"/>
      <c r="AT1713" s="418"/>
      <c r="AU1713" s="418"/>
      <c r="AV1713" s="418"/>
      <c r="AW1713" s="418"/>
      <c r="AX1713" s="418"/>
      <c r="AY1713" s="418"/>
      <c r="AZ1713" s="418"/>
    </row>
    <row r="1714" spans="40:52" ht="15.75" customHeight="1">
      <c r="AN1714" s="418"/>
      <c r="AO1714" s="418"/>
      <c r="AP1714" s="418"/>
      <c r="AQ1714" s="418"/>
      <c r="AR1714" s="418"/>
      <c r="AS1714" s="418"/>
      <c r="AT1714" s="418"/>
      <c r="AU1714" s="418"/>
      <c r="AV1714" s="418"/>
      <c r="AW1714" s="418"/>
      <c r="AX1714" s="418"/>
      <c r="AY1714" s="418"/>
      <c r="AZ1714" s="418"/>
    </row>
    <row r="1715" spans="40:52" ht="15.75" customHeight="1">
      <c r="AN1715" s="418"/>
      <c r="AO1715" s="418"/>
      <c r="AP1715" s="418"/>
      <c r="AQ1715" s="418"/>
      <c r="AR1715" s="418"/>
      <c r="AS1715" s="418"/>
      <c r="AT1715" s="418"/>
      <c r="AU1715" s="418"/>
      <c r="AV1715" s="418"/>
      <c r="AW1715" s="418"/>
      <c r="AX1715" s="418"/>
      <c r="AY1715" s="418"/>
      <c r="AZ1715" s="418"/>
    </row>
    <row r="1716" spans="40:52" ht="15.75" customHeight="1">
      <c r="AN1716" s="418"/>
      <c r="AO1716" s="418"/>
      <c r="AP1716" s="418"/>
      <c r="AQ1716" s="418"/>
      <c r="AR1716" s="418"/>
      <c r="AS1716" s="418"/>
      <c r="AT1716" s="418"/>
      <c r="AU1716" s="418"/>
      <c r="AV1716" s="418"/>
      <c r="AW1716" s="418"/>
      <c r="AX1716" s="418"/>
      <c r="AY1716" s="418"/>
      <c r="AZ1716" s="418"/>
    </row>
    <row r="1717" spans="40:52" ht="15.75" customHeight="1">
      <c r="AN1717" s="418"/>
      <c r="AO1717" s="418"/>
      <c r="AP1717" s="418"/>
      <c r="AQ1717" s="418"/>
      <c r="AR1717" s="418"/>
      <c r="AS1717" s="418"/>
      <c r="AT1717" s="418"/>
      <c r="AU1717" s="418"/>
      <c r="AV1717" s="418"/>
      <c r="AW1717" s="418"/>
      <c r="AX1717" s="418"/>
      <c r="AY1717" s="418"/>
      <c r="AZ1717" s="418"/>
    </row>
    <row r="1718" spans="40:52" ht="15.75" customHeight="1">
      <c r="AN1718" s="418"/>
      <c r="AO1718" s="418"/>
      <c r="AP1718" s="418"/>
      <c r="AQ1718" s="418"/>
      <c r="AR1718" s="418"/>
      <c r="AS1718" s="418"/>
      <c r="AT1718" s="418"/>
      <c r="AU1718" s="418"/>
      <c r="AV1718" s="418"/>
      <c r="AW1718" s="418"/>
      <c r="AX1718" s="418"/>
      <c r="AY1718" s="418"/>
      <c r="AZ1718" s="418"/>
    </row>
    <row r="1719" spans="40:52" ht="15.75" customHeight="1">
      <c r="AN1719" s="418"/>
      <c r="AO1719" s="418"/>
      <c r="AP1719" s="418"/>
      <c r="AQ1719" s="418"/>
      <c r="AR1719" s="418"/>
      <c r="AS1719" s="418"/>
      <c r="AT1719" s="418"/>
      <c r="AU1719" s="418"/>
      <c r="AV1719" s="418"/>
      <c r="AW1719" s="418"/>
      <c r="AX1719" s="418"/>
      <c r="AY1719" s="418"/>
      <c r="AZ1719" s="418"/>
    </row>
    <row r="1720" spans="40:52" ht="15.75" customHeight="1">
      <c r="AN1720" s="418"/>
      <c r="AO1720" s="418"/>
      <c r="AP1720" s="418"/>
      <c r="AQ1720" s="418"/>
      <c r="AR1720" s="418"/>
      <c r="AS1720" s="418"/>
      <c r="AT1720" s="418"/>
      <c r="AU1720" s="418"/>
      <c r="AV1720" s="418"/>
      <c r="AW1720" s="418"/>
      <c r="AX1720" s="418"/>
      <c r="AY1720" s="418"/>
      <c r="AZ1720" s="418"/>
    </row>
    <row r="1721" spans="40:52" ht="15.75" customHeight="1">
      <c r="AN1721" s="418"/>
      <c r="AO1721" s="418"/>
      <c r="AP1721" s="418"/>
      <c r="AQ1721" s="418"/>
      <c r="AR1721" s="418"/>
      <c r="AS1721" s="418"/>
      <c r="AT1721" s="418"/>
      <c r="AU1721" s="418"/>
      <c r="AV1721" s="418"/>
      <c r="AW1721" s="418"/>
      <c r="AX1721" s="418"/>
      <c r="AY1721" s="418"/>
      <c r="AZ1721" s="418"/>
    </row>
    <row r="1722" spans="40:52" ht="15.75" customHeight="1">
      <c r="AN1722" s="418"/>
      <c r="AO1722" s="418"/>
      <c r="AP1722" s="418"/>
      <c r="AQ1722" s="418"/>
      <c r="AR1722" s="418"/>
      <c r="AS1722" s="418"/>
      <c r="AT1722" s="418"/>
      <c r="AU1722" s="418"/>
      <c r="AV1722" s="418"/>
      <c r="AW1722" s="418"/>
      <c r="AX1722" s="418"/>
      <c r="AY1722" s="418"/>
      <c r="AZ1722" s="418"/>
    </row>
    <row r="1723" spans="40:52" ht="15.75" customHeight="1">
      <c r="AN1723" s="418"/>
      <c r="AO1723" s="418"/>
      <c r="AP1723" s="418"/>
      <c r="AQ1723" s="418"/>
      <c r="AR1723" s="418"/>
      <c r="AS1723" s="418"/>
      <c r="AT1723" s="418"/>
      <c r="AU1723" s="418"/>
      <c r="AV1723" s="418"/>
      <c r="AW1723" s="418"/>
      <c r="AX1723" s="418"/>
      <c r="AY1723" s="418"/>
      <c r="AZ1723" s="418"/>
    </row>
    <row r="1724" spans="40:52" ht="15.75" customHeight="1">
      <c r="AN1724" s="418"/>
      <c r="AO1724" s="418"/>
      <c r="AP1724" s="418"/>
      <c r="AQ1724" s="418"/>
      <c r="AR1724" s="418"/>
      <c r="AS1724" s="418"/>
      <c r="AT1724" s="418"/>
      <c r="AU1724" s="418"/>
      <c r="AV1724" s="418"/>
      <c r="AW1724" s="418"/>
      <c r="AX1724" s="418"/>
      <c r="AY1724" s="418"/>
      <c r="AZ1724" s="418"/>
    </row>
    <row r="1725" spans="40:52" ht="15.75" customHeight="1">
      <c r="AN1725" s="418"/>
      <c r="AO1725" s="418"/>
      <c r="AP1725" s="418"/>
      <c r="AQ1725" s="418"/>
      <c r="AR1725" s="418"/>
      <c r="AS1725" s="418"/>
      <c r="AT1725" s="418"/>
      <c r="AU1725" s="418"/>
      <c r="AV1725" s="418"/>
      <c r="AW1725" s="418"/>
      <c r="AX1725" s="418"/>
      <c r="AY1725" s="418"/>
      <c r="AZ1725" s="418"/>
    </row>
    <row r="1726" spans="40:52" ht="15.75" customHeight="1">
      <c r="AN1726" s="418"/>
      <c r="AO1726" s="418"/>
      <c r="AP1726" s="418"/>
      <c r="AQ1726" s="418"/>
      <c r="AR1726" s="418"/>
      <c r="AS1726" s="418"/>
      <c r="AT1726" s="418"/>
      <c r="AU1726" s="418"/>
      <c r="AV1726" s="418"/>
      <c r="AW1726" s="418"/>
      <c r="AX1726" s="418"/>
      <c r="AY1726" s="418"/>
      <c r="AZ1726" s="418"/>
    </row>
    <row r="1727" spans="40:52" ht="15.75" customHeight="1">
      <c r="AN1727" s="418"/>
      <c r="AO1727" s="418"/>
      <c r="AP1727" s="418"/>
      <c r="AQ1727" s="418"/>
      <c r="AR1727" s="418"/>
      <c r="AS1727" s="418"/>
      <c r="AT1727" s="418"/>
      <c r="AU1727" s="418"/>
      <c r="AV1727" s="418"/>
      <c r="AW1727" s="418"/>
      <c r="AX1727" s="418"/>
      <c r="AY1727" s="418"/>
      <c r="AZ1727" s="418"/>
    </row>
    <row r="1728" spans="40:52" ht="15.75" customHeight="1">
      <c r="AN1728" s="418"/>
      <c r="AO1728" s="418"/>
      <c r="AP1728" s="418"/>
      <c r="AQ1728" s="418"/>
      <c r="AR1728" s="418"/>
      <c r="AS1728" s="418"/>
      <c r="AT1728" s="418"/>
      <c r="AU1728" s="418"/>
      <c r="AV1728" s="418"/>
      <c r="AW1728" s="418"/>
      <c r="AX1728" s="418"/>
      <c r="AY1728" s="418"/>
      <c r="AZ1728" s="418"/>
    </row>
    <row r="1729" spans="40:52" ht="15.75" customHeight="1">
      <c r="AN1729" s="418"/>
      <c r="AO1729" s="418"/>
      <c r="AP1729" s="418"/>
      <c r="AQ1729" s="418"/>
      <c r="AR1729" s="418"/>
      <c r="AS1729" s="418"/>
      <c r="AT1729" s="418"/>
      <c r="AU1729" s="418"/>
      <c r="AV1729" s="418"/>
      <c r="AW1729" s="418"/>
      <c r="AX1729" s="418"/>
      <c r="AY1729" s="418"/>
      <c r="AZ1729" s="418"/>
    </row>
    <row r="1730" spans="40:52" ht="15.75" customHeight="1">
      <c r="AN1730" s="418"/>
      <c r="AO1730" s="418"/>
      <c r="AP1730" s="418"/>
      <c r="AQ1730" s="418"/>
      <c r="AR1730" s="418"/>
      <c r="AS1730" s="418"/>
      <c r="AT1730" s="418"/>
      <c r="AU1730" s="418"/>
      <c r="AV1730" s="418"/>
      <c r="AW1730" s="418"/>
      <c r="AX1730" s="418"/>
      <c r="AY1730" s="418"/>
      <c r="AZ1730" s="418"/>
    </row>
    <row r="1731" spans="40:52" ht="15.75" customHeight="1">
      <c r="AN1731" s="418"/>
      <c r="AO1731" s="418"/>
      <c r="AP1731" s="418"/>
      <c r="AQ1731" s="418"/>
      <c r="AR1731" s="418"/>
      <c r="AS1731" s="418"/>
      <c r="AT1731" s="418"/>
      <c r="AU1731" s="418"/>
      <c r="AV1731" s="418"/>
      <c r="AW1731" s="418"/>
      <c r="AX1731" s="418"/>
      <c r="AY1731" s="418"/>
      <c r="AZ1731" s="418"/>
    </row>
    <row r="1732" spans="40:52" ht="15.75" customHeight="1">
      <c r="AN1732" s="418"/>
      <c r="AO1732" s="418"/>
      <c r="AP1732" s="418"/>
      <c r="AQ1732" s="418"/>
      <c r="AR1732" s="418"/>
      <c r="AS1732" s="418"/>
      <c r="AT1732" s="418"/>
      <c r="AU1732" s="418"/>
      <c r="AV1732" s="418"/>
      <c r="AW1732" s="418"/>
      <c r="AX1732" s="418"/>
      <c r="AY1732" s="418"/>
      <c r="AZ1732" s="418"/>
    </row>
    <row r="1733" spans="40:52" ht="15.75" customHeight="1">
      <c r="AN1733" s="418"/>
      <c r="AO1733" s="418"/>
      <c r="AP1733" s="418"/>
      <c r="AQ1733" s="418"/>
      <c r="AR1733" s="418"/>
      <c r="AS1733" s="418"/>
      <c r="AT1733" s="418"/>
      <c r="AU1733" s="418"/>
      <c r="AV1733" s="418"/>
      <c r="AW1733" s="418"/>
      <c r="AX1733" s="418"/>
      <c r="AY1733" s="418"/>
      <c r="AZ1733" s="418"/>
    </row>
    <row r="1734" spans="40:52" ht="15.75" customHeight="1">
      <c r="AN1734" s="418"/>
      <c r="AO1734" s="418"/>
      <c r="AP1734" s="418"/>
      <c r="AQ1734" s="418"/>
      <c r="AR1734" s="418"/>
      <c r="AS1734" s="418"/>
      <c r="AT1734" s="418"/>
      <c r="AU1734" s="418"/>
      <c r="AV1734" s="418"/>
      <c r="AW1734" s="418"/>
      <c r="AX1734" s="418"/>
      <c r="AY1734" s="418"/>
      <c r="AZ1734" s="418"/>
    </row>
    <row r="1735" spans="40:52" ht="15.75" customHeight="1">
      <c r="AN1735" s="418"/>
      <c r="AO1735" s="418"/>
      <c r="AP1735" s="418"/>
      <c r="AQ1735" s="418"/>
      <c r="AR1735" s="418"/>
      <c r="AS1735" s="418"/>
      <c r="AT1735" s="418"/>
      <c r="AU1735" s="418"/>
      <c r="AV1735" s="418"/>
      <c r="AW1735" s="418"/>
      <c r="AX1735" s="418"/>
      <c r="AY1735" s="418"/>
      <c r="AZ1735" s="418"/>
    </row>
    <row r="1736" spans="40:52" ht="15.75" customHeight="1">
      <c r="AN1736" s="418"/>
      <c r="AO1736" s="418"/>
      <c r="AP1736" s="418"/>
      <c r="AQ1736" s="418"/>
      <c r="AR1736" s="418"/>
      <c r="AS1736" s="418"/>
      <c r="AT1736" s="418"/>
      <c r="AU1736" s="418"/>
      <c r="AV1736" s="418"/>
      <c r="AW1736" s="418"/>
      <c r="AX1736" s="418"/>
      <c r="AY1736" s="418"/>
      <c r="AZ1736" s="418"/>
    </row>
    <row r="1737" spans="40:52" ht="15.75" customHeight="1">
      <c r="AN1737" s="418"/>
      <c r="AO1737" s="418"/>
      <c r="AP1737" s="418"/>
      <c r="AQ1737" s="418"/>
      <c r="AR1737" s="418"/>
      <c r="AS1737" s="418"/>
      <c r="AT1737" s="418"/>
      <c r="AU1737" s="418"/>
      <c r="AV1737" s="418"/>
      <c r="AW1737" s="418"/>
      <c r="AX1737" s="418"/>
      <c r="AY1737" s="418"/>
      <c r="AZ1737" s="418"/>
    </row>
    <row r="1738" spans="40:52" ht="15.75" customHeight="1">
      <c r="AN1738" s="418"/>
      <c r="AO1738" s="418"/>
      <c r="AP1738" s="418"/>
      <c r="AQ1738" s="418"/>
      <c r="AR1738" s="418"/>
      <c r="AS1738" s="418"/>
      <c r="AT1738" s="418"/>
      <c r="AU1738" s="418"/>
      <c r="AV1738" s="418"/>
      <c r="AW1738" s="418"/>
      <c r="AX1738" s="418"/>
      <c r="AY1738" s="418"/>
      <c r="AZ1738" s="418"/>
    </row>
    <row r="1739" spans="40:52" ht="15.75" customHeight="1">
      <c r="AN1739" s="418"/>
      <c r="AO1739" s="418"/>
      <c r="AP1739" s="418"/>
      <c r="AQ1739" s="418"/>
      <c r="AR1739" s="418"/>
      <c r="AS1739" s="418"/>
      <c r="AT1739" s="418"/>
      <c r="AU1739" s="418"/>
      <c r="AV1739" s="418"/>
      <c r="AW1739" s="418"/>
      <c r="AX1739" s="418"/>
      <c r="AY1739" s="418"/>
      <c r="AZ1739" s="418"/>
    </row>
    <row r="1740" spans="40:52" ht="15.75" customHeight="1">
      <c r="AN1740" s="418"/>
      <c r="AO1740" s="418"/>
      <c r="AP1740" s="418"/>
      <c r="AQ1740" s="418"/>
      <c r="AR1740" s="418"/>
      <c r="AS1740" s="418"/>
      <c r="AT1740" s="418"/>
      <c r="AU1740" s="418"/>
      <c r="AV1740" s="418"/>
      <c r="AW1740" s="418"/>
      <c r="AX1740" s="418"/>
      <c r="AY1740" s="418"/>
      <c r="AZ1740" s="418"/>
    </row>
    <row r="1741" spans="40:52" ht="15.75" customHeight="1">
      <c r="AN1741" s="418"/>
      <c r="AO1741" s="418"/>
      <c r="AP1741" s="418"/>
      <c r="AQ1741" s="418"/>
      <c r="AR1741" s="418"/>
      <c r="AS1741" s="418"/>
      <c r="AT1741" s="418"/>
      <c r="AU1741" s="418"/>
      <c r="AV1741" s="418"/>
      <c r="AW1741" s="418"/>
      <c r="AX1741" s="418"/>
      <c r="AY1741" s="418"/>
      <c r="AZ1741" s="418"/>
    </row>
    <row r="1742" spans="40:52" ht="15.75" customHeight="1">
      <c r="AN1742" s="418"/>
      <c r="AO1742" s="418"/>
      <c r="AP1742" s="418"/>
      <c r="AQ1742" s="418"/>
      <c r="AR1742" s="418"/>
      <c r="AS1742" s="418"/>
      <c r="AT1742" s="418"/>
      <c r="AU1742" s="418"/>
      <c r="AV1742" s="418"/>
      <c r="AW1742" s="418"/>
      <c r="AX1742" s="418"/>
      <c r="AY1742" s="418"/>
      <c r="AZ1742" s="418"/>
    </row>
    <row r="1743" spans="40:52" ht="15.75" customHeight="1">
      <c r="AN1743" s="418"/>
      <c r="AO1743" s="418"/>
      <c r="AP1743" s="418"/>
      <c r="AQ1743" s="418"/>
      <c r="AR1743" s="418"/>
      <c r="AS1743" s="418"/>
      <c r="AT1743" s="418"/>
      <c r="AU1743" s="418"/>
      <c r="AV1743" s="418"/>
      <c r="AW1743" s="418"/>
      <c r="AX1743" s="418"/>
      <c r="AY1743" s="418"/>
      <c r="AZ1743" s="418"/>
    </row>
    <row r="1744" spans="40:52" ht="15.75" customHeight="1">
      <c r="AN1744" s="418"/>
      <c r="AO1744" s="418"/>
      <c r="AP1744" s="418"/>
      <c r="AQ1744" s="418"/>
      <c r="AR1744" s="418"/>
      <c r="AS1744" s="418"/>
      <c r="AT1744" s="418"/>
      <c r="AU1744" s="418"/>
      <c r="AV1744" s="418"/>
      <c r="AW1744" s="418"/>
      <c r="AX1744" s="418"/>
      <c r="AY1744" s="418"/>
      <c r="AZ1744" s="418"/>
    </row>
    <row r="1745" spans="40:52" ht="15.75" customHeight="1">
      <c r="AN1745" s="418"/>
      <c r="AO1745" s="418"/>
      <c r="AP1745" s="418"/>
      <c r="AQ1745" s="418"/>
      <c r="AR1745" s="418"/>
      <c r="AS1745" s="418"/>
      <c r="AT1745" s="418"/>
      <c r="AU1745" s="418"/>
      <c r="AV1745" s="418"/>
      <c r="AW1745" s="418"/>
      <c r="AX1745" s="418"/>
      <c r="AY1745" s="418"/>
      <c r="AZ1745" s="418"/>
    </row>
    <row r="1746" spans="40:52" ht="15.75" customHeight="1">
      <c r="AN1746" s="418"/>
      <c r="AO1746" s="418"/>
      <c r="AP1746" s="418"/>
      <c r="AQ1746" s="418"/>
      <c r="AR1746" s="418"/>
      <c r="AS1746" s="418"/>
      <c r="AT1746" s="418"/>
      <c r="AU1746" s="418"/>
      <c r="AV1746" s="418"/>
      <c r="AW1746" s="418"/>
      <c r="AX1746" s="418"/>
      <c r="AY1746" s="418"/>
      <c r="AZ1746" s="418"/>
    </row>
    <row r="1747" spans="40:52" ht="15.75" customHeight="1">
      <c r="AN1747" s="418"/>
      <c r="AO1747" s="418"/>
      <c r="AP1747" s="418"/>
      <c r="AQ1747" s="418"/>
      <c r="AR1747" s="418"/>
      <c r="AS1747" s="418"/>
      <c r="AT1747" s="418"/>
      <c r="AU1747" s="418"/>
      <c r="AV1747" s="418"/>
      <c r="AW1747" s="418"/>
      <c r="AX1747" s="418"/>
      <c r="AY1747" s="418"/>
      <c r="AZ1747" s="418"/>
    </row>
    <row r="1748" spans="40:52" ht="15.75" customHeight="1">
      <c r="AN1748" s="418"/>
      <c r="AO1748" s="418"/>
      <c r="AP1748" s="418"/>
      <c r="AQ1748" s="418"/>
      <c r="AR1748" s="418"/>
      <c r="AS1748" s="418"/>
      <c r="AT1748" s="418"/>
      <c r="AU1748" s="418"/>
      <c r="AV1748" s="418"/>
      <c r="AW1748" s="418"/>
      <c r="AX1748" s="418"/>
      <c r="AY1748" s="418"/>
      <c r="AZ1748" s="418"/>
    </row>
    <row r="1749" spans="40:52" ht="15.75" customHeight="1">
      <c r="AN1749" s="418"/>
      <c r="AO1749" s="418"/>
      <c r="AP1749" s="418"/>
      <c r="AQ1749" s="418"/>
      <c r="AR1749" s="418"/>
      <c r="AS1749" s="418"/>
      <c r="AT1749" s="418"/>
      <c r="AU1749" s="418"/>
      <c r="AV1749" s="418"/>
      <c r="AW1749" s="418"/>
      <c r="AX1749" s="418"/>
      <c r="AY1749" s="418"/>
      <c r="AZ1749" s="418"/>
    </row>
    <row r="1750" spans="40:52" ht="15.75" customHeight="1">
      <c r="AN1750" s="418"/>
      <c r="AO1750" s="418"/>
      <c r="AP1750" s="418"/>
      <c r="AQ1750" s="418"/>
      <c r="AR1750" s="418"/>
      <c r="AS1750" s="418"/>
      <c r="AT1750" s="418"/>
      <c r="AU1750" s="418"/>
      <c r="AV1750" s="418"/>
      <c r="AW1750" s="418"/>
      <c r="AX1750" s="418"/>
      <c r="AY1750" s="418"/>
      <c r="AZ1750" s="418"/>
    </row>
    <row r="1751" spans="40:52" ht="15.75" customHeight="1">
      <c r="AN1751" s="418"/>
      <c r="AO1751" s="418"/>
      <c r="AP1751" s="418"/>
      <c r="AQ1751" s="418"/>
      <c r="AR1751" s="418"/>
      <c r="AS1751" s="418"/>
      <c r="AT1751" s="418"/>
      <c r="AU1751" s="418"/>
      <c r="AV1751" s="418"/>
      <c r="AW1751" s="418"/>
      <c r="AX1751" s="418"/>
      <c r="AY1751" s="418"/>
      <c r="AZ1751" s="418"/>
    </row>
    <row r="1752" spans="40:52" ht="15.75" customHeight="1">
      <c r="AN1752" s="418"/>
      <c r="AO1752" s="418"/>
      <c r="AP1752" s="418"/>
      <c r="AQ1752" s="418"/>
      <c r="AR1752" s="418"/>
      <c r="AS1752" s="418"/>
      <c r="AT1752" s="418"/>
      <c r="AU1752" s="418"/>
      <c r="AV1752" s="418"/>
      <c r="AW1752" s="418"/>
      <c r="AX1752" s="418"/>
      <c r="AY1752" s="418"/>
      <c r="AZ1752" s="418"/>
    </row>
    <row r="1753" spans="40:52" ht="15.75" customHeight="1">
      <c r="AN1753" s="418"/>
      <c r="AO1753" s="418"/>
      <c r="AP1753" s="418"/>
      <c r="AQ1753" s="418"/>
      <c r="AR1753" s="418"/>
      <c r="AS1753" s="418"/>
      <c r="AT1753" s="418"/>
      <c r="AU1753" s="418"/>
      <c r="AV1753" s="418"/>
      <c r="AW1753" s="418"/>
      <c r="AX1753" s="418"/>
      <c r="AY1753" s="418"/>
      <c r="AZ1753" s="418"/>
    </row>
    <row r="1754" spans="40:52" ht="15.75" customHeight="1">
      <c r="AN1754" s="418"/>
      <c r="AO1754" s="418"/>
      <c r="AP1754" s="418"/>
      <c r="AQ1754" s="418"/>
      <c r="AR1754" s="418"/>
      <c r="AS1754" s="418"/>
      <c r="AT1754" s="418"/>
      <c r="AU1754" s="418"/>
      <c r="AV1754" s="418"/>
      <c r="AW1754" s="418"/>
      <c r="AX1754" s="418"/>
      <c r="AY1754" s="418"/>
      <c r="AZ1754" s="418"/>
    </row>
    <row r="1755" spans="40:52" ht="15.75" customHeight="1">
      <c r="AN1755" s="418"/>
      <c r="AO1755" s="418"/>
      <c r="AP1755" s="418"/>
      <c r="AQ1755" s="418"/>
      <c r="AR1755" s="418"/>
      <c r="AS1755" s="418"/>
      <c r="AT1755" s="418"/>
      <c r="AU1755" s="418"/>
      <c r="AV1755" s="418"/>
      <c r="AW1755" s="418"/>
      <c r="AX1755" s="418"/>
      <c r="AY1755" s="418"/>
      <c r="AZ1755" s="418"/>
    </row>
    <row r="1756" spans="40:52" ht="15.75" customHeight="1">
      <c r="AN1756" s="418"/>
      <c r="AO1756" s="418"/>
      <c r="AP1756" s="418"/>
      <c r="AQ1756" s="418"/>
      <c r="AR1756" s="418"/>
      <c r="AS1756" s="418"/>
      <c r="AT1756" s="418"/>
      <c r="AU1756" s="418"/>
      <c r="AV1756" s="418"/>
      <c r="AW1756" s="418"/>
      <c r="AX1756" s="418"/>
      <c r="AY1756" s="418"/>
      <c r="AZ1756" s="418"/>
    </row>
    <row r="1757" spans="40:52" ht="15.75" customHeight="1">
      <c r="AN1757" s="418"/>
      <c r="AO1757" s="418"/>
      <c r="AP1757" s="418"/>
      <c r="AQ1757" s="418"/>
      <c r="AR1757" s="418"/>
      <c r="AS1757" s="418"/>
      <c r="AT1757" s="418"/>
      <c r="AU1757" s="418"/>
      <c r="AV1757" s="418"/>
      <c r="AW1757" s="418"/>
      <c r="AX1757" s="418"/>
      <c r="AY1757" s="418"/>
      <c r="AZ1757" s="418"/>
    </row>
    <row r="1758" spans="40:52" ht="15.75" customHeight="1">
      <c r="AN1758" s="418"/>
      <c r="AO1758" s="418"/>
      <c r="AP1758" s="418"/>
      <c r="AQ1758" s="418"/>
      <c r="AR1758" s="418"/>
      <c r="AS1758" s="418"/>
      <c r="AT1758" s="418"/>
      <c r="AU1758" s="418"/>
      <c r="AV1758" s="418"/>
      <c r="AW1758" s="418"/>
      <c r="AX1758" s="418"/>
      <c r="AY1758" s="418"/>
      <c r="AZ1758" s="418"/>
    </row>
    <row r="1759" spans="40:52" ht="15.75" customHeight="1">
      <c r="AN1759" s="418"/>
      <c r="AO1759" s="418"/>
      <c r="AP1759" s="418"/>
      <c r="AQ1759" s="418"/>
      <c r="AR1759" s="418"/>
      <c r="AS1759" s="418"/>
      <c r="AT1759" s="418"/>
      <c r="AU1759" s="418"/>
      <c r="AV1759" s="418"/>
      <c r="AW1759" s="418"/>
      <c r="AX1759" s="418"/>
      <c r="AY1759" s="418"/>
      <c r="AZ1759" s="418"/>
    </row>
    <row r="1760" spans="40:52" ht="15.75" customHeight="1">
      <c r="AN1760" s="418"/>
      <c r="AO1760" s="418"/>
      <c r="AP1760" s="418"/>
      <c r="AQ1760" s="418"/>
      <c r="AR1760" s="418"/>
      <c r="AS1760" s="418"/>
      <c r="AT1760" s="418"/>
      <c r="AU1760" s="418"/>
      <c r="AV1760" s="418"/>
      <c r="AW1760" s="418"/>
      <c r="AX1760" s="418"/>
      <c r="AY1760" s="418"/>
      <c r="AZ1760" s="418"/>
    </row>
    <row r="1761" spans="40:52" ht="15.75" customHeight="1">
      <c r="AN1761" s="418"/>
      <c r="AO1761" s="418"/>
      <c r="AP1761" s="418"/>
      <c r="AQ1761" s="418"/>
      <c r="AR1761" s="418"/>
      <c r="AS1761" s="418"/>
      <c r="AT1761" s="418"/>
      <c r="AU1761" s="418"/>
      <c r="AV1761" s="418"/>
      <c r="AW1761" s="418"/>
      <c r="AX1761" s="418"/>
      <c r="AY1761" s="418"/>
      <c r="AZ1761" s="418"/>
    </row>
    <row r="1762" spans="40:52" ht="15.75" customHeight="1">
      <c r="AN1762" s="418"/>
      <c r="AO1762" s="418"/>
      <c r="AP1762" s="418"/>
      <c r="AQ1762" s="418"/>
      <c r="AR1762" s="418"/>
      <c r="AS1762" s="418"/>
      <c r="AT1762" s="418"/>
      <c r="AU1762" s="418"/>
      <c r="AV1762" s="418"/>
      <c r="AW1762" s="418"/>
      <c r="AX1762" s="418"/>
      <c r="AY1762" s="418"/>
      <c r="AZ1762" s="418"/>
    </row>
    <row r="1763" spans="40:52" ht="15.75" customHeight="1">
      <c r="AN1763" s="418"/>
      <c r="AO1763" s="418"/>
      <c r="AP1763" s="418"/>
      <c r="AQ1763" s="418"/>
      <c r="AR1763" s="418"/>
      <c r="AS1763" s="418"/>
      <c r="AT1763" s="418"/>
      <c r="AU1763" s="418"/>
      <c r="AV1763" s="418"/>
      <c r="AW1763" s="418"/>
      <c r="AX1763" s="418"/>
      <c r="AY1763" s="418"/>
      <c r="AZ1763" s="418"/>
    </row>
    <row r="1764" spans="40:52" ht="15.75" customHeight="1">
      <c r="AN1764" s="418"/>
      <c r="AO1764" s="418"/>
      <c r="AP1764" s="418"/>
      <c r="AQ1764" s="418"/>
      <c r="AR1764" s="418"/>
      <c r="AS1764" s="418"/>
      <c r="AT1764" s="418"/>
      <c r="AU1764" s="418"/>
      <c r="AV1764" s="418"/>
      <c r="AW1764" s="418"/>
      <c r="AX1764" s="418"/>
      <c r="AY1764" s="418"/>
      <c r="AZ1764" s="418"/>
    </row>
    <row r="1765" spans="40:52" ht="15.75" customHeight="1">
      <c r="AN1765" s="418"/>
      <c r="AO1765" s="418"/>
      <c r="AP1765" s="418"/>
      <c r="AQ1765" s="418"/>
      <c r="AR1765" s="418"/>
      <c r="AS1765" s="418"/>
      <c r="AT1765" s="418"/>
      <c r="AU1765" s="418"/>
      <c r="AV1765" s="418"/>
      <c r="AW1765" s="418"/>
      <c r="AX1765" s="418"/>
      <c r="AY1765" s="418"/>
      <c r="AZ1765" s="418"/>
    </row>
    <row r="1766" spans="40:52" ht="15.75" customHeight="1">
      <c r="AN1766" s="418"/>
      <c r="AO1766" s="418"/>
      <c r="AP1766" s="418"/>
      <c r="AQ1766" s="418"/>
      <c r="AR1766" s="418"/>
      <c r="AS1766" s="418"/>
      <c r="AT1766" s="418"/>
      <c r="AU1766" s="418"/>
      <c r="AV1766" s="418"/>
      <c r="AW1766" s="418"/>
      <c r="AX1766" s="418"/>
      <c r="AY1766" s="418"/>
      <c r="AZ1766" s="418"/>
    </row>
    <row r="1767" spans="40:52" ht="15.75" customHeight="1">
      <c r="AN1767" s="418"/>
      <c r="AO1767" s="418"/>
      <c r="AP1767" s="418"/>
      <c r="AQ1767" s="418"/>
      <c r="AR1767" s="418"/>
      <c r="AS1767" s="418"/>
      <c r="AT1767" s="418"/>
      <c r="AU1767" s="418"/>
      <c r="AV1767" s="418"/>
      <c r="AW1767" s="418"/>
      <c r="AX1767" s="418"/>
      <c r="AY1767" s="418"/>
      <c r="AZ1767" s="418"/>
    </row>
    <row r="1768" spans="40:52" ht="15.75" customHeight="1">
      <c r="AN1768" s="418"/>
      <c r="AO1768" s="418"/>
      <c r="AP1768" s="418"/>
      <c r="AQ1768" s="418"/>
      <c r="AR1768" s="418"/>
      <c r="AS1768" s="418"/>
      <c r="AT1768" s="418"/>
      <c r="AU1768" s="418"/>
      <c r="AV1768" s="418"/>
      <c r="AW1768" s="418"/>
      <c r="AX1768" s="418"/>
      <c r="AY1768" s="418"/>
      <c r="AZ1768" s="418"/>
    </row>
    <row r="1769" spans="40:52" ht="15.75" customHeight="1">
      <c r="AN1769" s="418"/>
      <c r="AO1769" s="418"/>
      <c r="AP1769" s="418"/>
      <c r="AQ1769" s="418"/>
      <c r="AR1769" s="418"/>
      <c r="AS1769" s="418"/>
      <c r="AT1769" s="418"/>
      <c r="AU1769" s="418"/>
      <c r="AV1769" s="418"/>
      <c r="AW1769" s="418"/>
      <c r="AX1769" s="418"/>
      <c r="AY1769" s="418"/>
      <c r="AZ1769" s="418"/>
    </row>
    <row r="1770" spans="40:52" ht="15.75" customHeight="1">
      <c r="AN1770" s="418"/>
      <c r="AO1770" s="418"/>
      <c r="AP1770" s="418"/>
      <c r="AQ1770" s="418"/>
      <c r="AR1770" s="418"/>
      <c r="AS1770" s="418"/>
      <c r="AT1770" s="418"/>
      <c r="AU1770" s="418"/>
      <c r="AV1770" s="418"/>
      <c r="AW1770" s="418"/>
      <c r="AX1770" s="418"/>
      <c r="AY1770" s="418"/>
      <c r="AZ1770" s="418"/>
    </row>
    <row r="1771" spans="40:52" ht="15.75" customHeight="1">
      <c r="AN1771" s="418"/>
      <c r="AO1771" s="418"/>
      <c r="AP1771" s="418"/>
      <c r="AQ1771" s="418"/>
      <c r="AR1771" s="418"/>
      <c r="AS1771" s="418"/>
      <c r="AT1771" s="418"/>
      <c r="AU1771" s="418"/>
      <c r="AV1771" s="418"/>
      <c r="AW1771" s="418"/>
      <c r="AX1771" s="418"/>
      <c r="AY1771" s="418"/>
      <c r="AZ1771" s="418"/>
    </row>
    <row r="1772" spans="40:52" ht="15.75" customHeight="1">
      <c r="AN1772" s="418"/>
      <c r="AO1772" s="418"/>
      <c r="AP1772" s="418"/>
      <c r="AQ1772" s="418"/>
      <c r="AR1772" s="418"/>
      <c r="AS1772" s="418"/>
      <c r="AT1772" s="418"/>
      <c r="AU1772" s="418"/>
      <c r="AV1772" s="418"/>
      <c r="AW1772" s="418"/>
      <c r="AX1772" s="418"/>
      <c r="AY1772" s="418"/>
      <c r="AZ1772" s="418"/>
    </row>
    <row r="1773" spans="40:52" ht="15.75" customHeight="1">
      <c r="AN1773" s="418"/>
      <c r="AO1773" s="418"/>
      <c r="AP1773" s="418"/>
      <c r="AQ1773" s="418"/>
      <c r="AR1773" s="418"/>
      <c r="AS1773" s="418"/>
      <c r="AT1773" s="418"/>
      <c r="AU1773" s="418"/>
      <c r="AV1773" s="418"/>
      <c r="AW1773" s="418"/>
      <c r="AX1773" s="418"/>
      <c r="AY1773" s="418"/>
      <c r="AZ1773" s="418"/>
    </row>
    <row r="1774" spans="40:52" ht="15.75" customHeight="1">
      <c r="AN1774" s="418"/>
      <c r="AO1774" s="418"/>
      <c r="AP1774" s="418"/>
      <c r="AQ1774" s="418"/>
      <c r="AR1774" s="418"/>
      <c r="AS1774" s="418"/>
      <c r="AT1774" s="418"/>
      <c r="AU1774" s="418"/>
      <c r="AV1774" s="418"/>
      <c r="AW1774" s="418"/>
      <c r="AX1774" s="418"/>
      <c r="AY1774" s="418"/>
      <c r="AZ1774" s="418"/>
    </row>
    <row r="1775" spans="40:52" ht="15.75" customHeight="1">
      <c r="AN1775" s="418"/>
      <c r="AO1775" s="418"/>
      <c r="AP1775" s="418"/>
      <c r="AQ1775" s="418"/>
      <c r="AR1775" s="418"/>
      <c r="AS1775" s="418"/>
      <c r="AT1775" s="418"/>
      <c r="AU1775" s="418"/>
      <c r="AV1775" s="418"/>
      <c r="AW1775" s="418"/>
      <c r="AX1775" s="418"/>
      <c r="AY1775" s="418"/>
      <c r="AZ1775" s="418"/>
    </row>
    <row r="1776" spans="40:52" ht="15.75" customHeight="1">
      <c r="AN1776" s="418"/>
      <c r="AO1776" s="418"/>
      <c r="AP1776" s="418"/>
      <c r="AQ1776" s="418"/>
      <c r="AR1776" s="418"/>
      <c r="AS1776" s="418"/>
      <c r="AT1776" s="418"/>
      <c r="AU1776" s="418"/>
      <c r="AV1776" s="418"/>
      <c r="AW1776" s="418"/>
      <c r="AX1776" s="418"/>
      <c r="AY1776" s="418"/>
      <c r="AZ1776" s="418"/>
    </row>
    <row r="1777" spans="40:52" ht="15.75" customHeight="1">
      <c r="AN1777" s="418"/>
      <c r="AO1777" s="418"/>
      <c r="AP1777" s="418"/>
      <c r="AQ1777" s="418"/>
      <c r="AR1777" s="418"/>
      <c r="AS1777" s="418"/>
      <c r="AT1777" s="418"/>
      <c r="AU1777" s="418"/>
      <c r="AV1777" s="418"/>
      <c r="AW1777" s="418"/>
      <c r="AX1777" s="418"/>
      <c r="AY1777" s="418"/>
      <c r="AZ1777" s="418"/>
    </row>
    <row r="1778" spans="40:52" ht="15.75" customHeight="1">
      <c r="AN1778" s="418"/>
      <c r="AO1778" s="418"/>
      <c r="AP1778" s="418"/>
      <c r="AQ1778" s="418"/>
      <c r="AR1778" s="418"/>
      <c r="AS1778" s="418"/>
      <c r="AT1778" s="418"/>
      <c r="AU1778" s="418"/>
      <c r="AV1778" s="418"/>
      <c r="AW1778" s="418"/>
      <c r="AX1778" s="418"/>
      <c r="AY1778" s="418"/>
      <c r="AZ1778" s="418"/>
    </row>
    <row r="1779" spans="40:52" ht="15.75" customHeight="1">
      <c r="AN1779" s="418"/>
      <c r="AO1779" s="418"/>
      <c r="AP1779" s="418"/>
      <c r="AQ1779" s="418"/>
      <c r="AR1779" s="418"/>
      <c r="AS1779" s="418"/>
      <c r="AT1779" s="418"/>
      <c r="AU1779" s="418"/>
      <c r="AV1779" s="418"/>
      <c r="AW1779" s="418"/>
      <c r="AX1779" s="418"/>
      <c r="AY1779" s="418"/>
      <c r="AZ1779" s="418"/>
    </row>
    <row r="1780" spans="40:52" ht="15.75" customHeight="1">
      <c r="AN1780" s="418"/>
      <c r="AO1780" s="418"/>
      <c r="AP1780" s="418"/>
      <c r="AQ1780" s="418"/>
      <c r="AR1780" s="418"/>
      <c r="AS1780" s="418"/>
      <c r="AT1780" s="418"/>
      <c r="AU1780" s="418"/>
      <c r="AV1780" s="418"/>
      <c r="AW1780" s="418"/>
      <c r="AX1780" s="418"/>
      <c r="AY1780" s="418"/>
      <c r="AZ1780" s="418"/>
    </row>
    <row r="1781" spans="40:52" ht="15.75" customHeight="1">
      <c r="AN1781" s="418"/>
      <c r="AO1781" s="418"/>
      <c r="AP1781" s="418"/>
      <c r="AQ1781" s="418"/>
      <c r="AR1781" s="418"/>
      <c r="AS1781" s="418"/>
      <c r="AT1781" s="418"/>
      <c r="AU1781" s="418"/>
      <c r="AV1781" s="418"/>
      <c r="AW1781" s="418"/>
      <c r="AX1781" s="418"/>
      <c r="AY1781" s="418"/>
      <c r="AZ1781" s="418"/>
    </row>
    <row r="1782" spans="40:52" ht="15.75" customHeight="1">
      <c r="AN1782" s="418"/>
      <c r="AO1782" s="418"/>
      <c r="AP1782" s="418"/>
      <c r="AQ1782" s="418"/>
      <c r="AR1782" s="418"/>
      <c r="AS1782" s="418"/>
      <c r="AT1782" s="418"/>
      <c r="AU1782" s="418"/>
      <c r="AV1782" s="418"/>
      <c r="AW1782" s="418"/>
      <c r="AX1782" s="418"/>
      <c r="AY1782" s="418"/>
      <c r="AZ1782" s="418"/>
    </row>
    <row r="1783" spans="40:52" ht="15.75" customHeight="1">
      <c r="AN1783" s="418"/>
      <c r="AO1783" s="418"/>
      <c r="AP1783" s="418"/>
      <c r="AQ1783" s="418"/>
      <c r="AR1783" s="418"/>
      <c r="AS1783" s="418"/>
      <c r="AT1783" s="418"/>
      <c r="AU1783" s="418"/>
      <c r="AV1783" s="418"/>
      <c r="AW1783" s="418"/>
      <c r="AX1783" s="418"/>
      <c r="AY1783" s="418"/>
      <c r="AZ1783" s="418"/>
    </row>
    <row r="1784" spans="40:52" ht="15.75" customHeight="1">
      <c r="AN1784" s="418"/>
      <c r="AO1784" s="418"/>
      <c r="AP1784" s="418"/>
      <c r="AQ1784" s="418"/>
      <c r="AR1784" s="418"/>
      <c r="AS1784" s="418"/>
      <c r="AT1784" s="418"/>
      <c r="AU1784" s="418"/>
      <c r="AV1784" s="418"/>
      <c r="AW1784" s="418"/>
      <c r="AX1784" s="418"/>
      <c r="AY1784" s="418"/>
      <c r="AZ1784" s="418"/>
    </row>
    <row r="1785" spans="40:52" ht="15.75" customHeight="1">
      <c r="AN1785" s="418"/>
      <c r="AO1785" s="418"/>
      <c r="AP1785" s="418"/>
      <c r="AQ1785" s="418"/>
      <c r="AR1785" s="418"/>
      <c r="AS1785" s="418"/>
      <c r="AT1785" s="418"/>
      <c r="AU1785" s="418"/>
      <c r="AV1785" s="418"/>
      <c r="AW1785" s="418"/>
      <c r="AX1785" s="418"/>
      <c r="AY1785" s="418"/>
      <c r="AZ1785" s="418"/>
    </row>
    <row r="1786" spans="40:52" ht="15.75" customHeight="1">
      <c r="AN1786" s="418"/>
      <c r="AO1786" s="418"/>
      <c r="AP1786" s="418"/>
      <c r="AQ1786" s="418"/>
      <c r="AR1786" s="418"/>
      <c r="AS1786" s="418"/>
      <c r="AT1786" s="418"/>
      <c r="AU1786" s="418"/>
      <c r="AV1786" s="418"/>
      <c r="AW1786" s="418"/>
      <c r="AX1786" s="418"/>
      <c r="AY1786" s="418"/>
      <c r="AZ1786" s="418"/>
    </row>
    <row r="1787" spans="40:52" ht="15.75" customHeight="1">
      <c r="AN1787" s="418"/>
      <c r="AO1787" s="418"/>
      <c r="AP1787" s="418"/>
      <c r="AQ1787" s="418"/>
      <c r="AR1787" s="418"/>
      <c r="AS1787" s="418"/>
      <c r="AT1787" s="418"/>
      <c r="AU1787" s="418"/>
      <c r="AV1787" s="418"/>
      <c r="AW1787" s="418"/>
      <c r="AX1787" s="418"/>
      <c r="AY1787" s="418"/>
      <c r="AZ1787" s="418"/>
    </row>
    <row r="1788" spans="40:52" ht="15.75" customHeight="1">
      <c r="AN1788" s="418"/>
      <c r="AO1788" s="418"/>
      <c r="AP1788" s="418"/>
      <c r="AQ1788" s="418"/>
      <c r="AR1788" s="418"/>
      <c r="AS1788" s="418"/>
      <c r="AT1788" s="418"/>
      <c r="AU1788" s="418"/>
      <c r="AV1788" s="418"/>
      <c r="AW1788" s="418"/>
      <c r="AX1788" s="418"/>
      <c r="AY1788" s="418"/>
      <c r="AZ1788" s="418"/>
    </row>
    <row r="1789" spans="40:52" ht="15.75" customHeight="1">
      <c r="AN1789" s="418"/>
      <c r="AO1789" s="418"/>
      <c r="AP1789" s="418"/>
      <c r="AQ1789" s="418"/>
      <c r="AR1789" s="418"/>
      <c r="AS1789" s="418"/>
      <c r="AT1789" s="418"/>
      <c r="AU1789" s="418"/>
      <c r="AV1789" s="418"/>
      <c r="AW1789" s="418"/>
      <c r="AX1789" s="418"/>
      <c r="AY1789" s="418"/>
      <c r="AZ1789" s="418"/>
    </row>
    <row r="1790" spans="40:52" ht="15.75" customHeight="1">
      <c r="AN1790" s="418"/>
      <c r="AO1790" s="418"/>
      <c r="AP1790" s="418"/>
      <c r="AQ1790" s="418"/>
      <c r="AR1790" s="418"/>
      <c r="AS1790" s="418"/>
      <c r="AT1790" s="418"/>
      <c r="AU1790" s="418"/>
      <c r="AV1790" s="418"/>
      <c r="AW1790" s="418"/>
      <c r="AX1790" s="418"/>
      <c r="AY1790" s="418"/>
      <c r="AZ1790" s="418"/>
    </row>
    <row r="1791" spans="40:52" ht="15.75" customHeight="1">
      <c r="AN1791" s="418"/>
      <c r="AO1791" s="418"/>
      <c r="AP1791" s="418"/>
      <c r="AQ1791" s="418"/>
      <c r="AR1791" s="418"/>
      <c r="AS1791" s="418"/>
      <c r="AT1791" s="418"/>
      <c r="AU1791" s="418"/>
      <c r="AV1791" s="418"/>
      <c r="AW1791" s="418"/>
      <c r="AX1791" s="418"/>
      <c r="AY1791" s="418"/>
      <c r="AZ1791" s="418"/>
    </row>
    <row r="1792" spans="40:52" ht="15.75" customHeight="1">
      <c r="AN1792" s="418"/>
      <c r="AO1792" s="418"/>
      <c r="AP1792" s="418"/>
      <c r="AQ1792" s="418"/>
      <c r="AR1792" s="418"/>
      <c r="AS1792" s="418"/>
      <c r="AT1792" s="418"/>
      <c r="AU1792" s="418"/>
      <c r="AV1792" s="418"/>
      <c r="AW1792" s="418"/>
      <c r="AX1792" s="418"/>
      <c r="AY1792" s="418"/>
      <c r="AZ1792" s="418"/>
    </row>
    <row r="1793" spans="40:52" ht="15.75" customHeight="1">
      <c r="AN1793" s="418"/>
      <c r="AO1793" s="418"/>
      <c r="AP1793" s="418"/>
      <c r="AQ1793" s="418"/>
      <c r="AR1793" s="418"/>
      <c r="AS1793" s="418"/>
      <c r="AT1793" s="418"/>
      <c r="AU1793" s="418"/>
      <c r="AV1793" s="418"/>
      <c r="AW1793" s="418"/>
      <c r="AX1793" s="418"/>
      <c r="AY1793" s="418"/>
      <c r="AZ1793" s="418"/>
    </row>
    <row r="1794" spans="40:52" ht="15.75" customHeight="1">
      <c r="AN1794" s="418"/>
      <c r="AO1794" s="418"/>
      <c r="AP1794" s="418"/>
      <c r="AQ1794" s="418"/>
      <c r="AR1794" s="418"/>
      <c r="AS1794" s="418"/>
      <c r="AT1794" s="418"/>
      <c r="AU1794" s="418"/>
      <c r="AV1794" s="418"/>
      <c r="AW1794" s="418"/>
      <c r="AX1794" s="418"/>
      <c r="AY1794" s="418"/>
      <c r="AZ1794" s="418"/>
    </row>
    <row r="1795" spans="40:52" ht="15.75" customHeight="1">
      <c r="AN1795" s="418"/>
      <c r="AO1795" s="418"/>
      <c r="AP1795" s="418"/>
      <c r="AQ1795" s="418"/>
      <c r="AR1795" s="418"/>
      <c r="AS1795" s="418"/>
      <c r="AT1795" s="418"/>
      <c r="AU1795" s="418"/>
      <c r="AV1795" s="418"/>
      <c r="AW1795" s="418"/>
      <c r="AX1795" s="418"/>
      <c r="AY1795" s="418"/>
      <c r="AZ1795" s="418"/>
    </row>
    <row r="1796" spans="40:52" ht="15.75" customHeight="1">
      <c r="AN1796" s="418"/>
      <c r="AO1796" s="418"/>
      <c r="AP1796" s="418"/>
      <c r="AQ1796" s="418"/>
      <c r="AR1796" s="418"/>
      <c r="AS1796" s="418"/>
      <c r="AT1796" s="418"/>
      <c r="AU1796" s="418"/>
      <c r="AV1796" s="418"/>
      <c r="AW1796" s="418"/>
      <c r="AX1796" s="418"/>
      <c r="AY1796" s="418"/>
      <c r="AZ1796" s="418"/>
    </row>
    <row r="1797" spans="40:52" ht="15.75" customHeight="1">
      <c r="AN1797" s="418"/>
      <c r="AO1797" s="418"/>
      <c r="AP1797" s="418"/>
      <c r="AQ1797" s="418"/>
      <c r="AR1797" s="418"/>
      <c r="AS1797" s="418"/>
      <c r="AT1797" s="418"/>
      <c r="AU1797" s="418"/>
      <c r="AV1797" s="418"/>
      <c r="AW1797" s="418"/>
      <c r="AX1797" s="418"/>
      <c r="AY1797" s="418"/>
      <c r="AZ1797" s="418"/>
    </row>
    <row r="1798" spans="40:52" ht="15.75" customHeight="1">
      <c r="AN1798" s="418"/>
      <c r="AO1798" s="418"/>
      <c r="AP1798" s="418"/>
      <c r="AQ1798" s="418"/>
      <c r="AR1798" s="418"/>
      <c r="AS1798" s="418"/>
      <c r="AT1798" s="418"/>
      <c r="AU1798" s="418"/>
      <c r="AV1798" s="418"/>
      <c r="AW1798" s="418"/>
      <c r="AX1798" s="418"/>
      <c r="AY1798" s="418"/>
      <c r="AZ1798" s="418"/>
    </row>
    <row r="1799" spans="40:52" ht="15.75" customHeight="1">
      <c r="AN1799" s="418"/>
      <c r="AO1799" s="418"/>
      <c r="AP1799" s="418"/>
      <c r="AQ1799" s="418"/>
      <c r="AR1799" s="418"/>
      <c r="AS1799" s="418"/>
      <c r="AT1799" s="418"/>
      <c r="AU1799" s="418"/>
      <c r="AV1799" s="418"/>
      <c r="AW1799" s="418"/>
      <c r="AX1799" s="418"/>
      <c r="AY1799" s="418"/>
      <c r="AZ1799" s="418"/>
    </row>
    <row r="1800" spans="40:52" ht="15.75" customHeight="1">
      <c r="AN1800" s="418"/>
      <c r="AO1800" s="418"/>
      <c r="AP1800" s="418"/>
      <c r="AQ1800" s="418"/>
      <c r="AR1800" s="418"/>
      <c r="AS1800" s="418"/>
      <c r="AT1800" s="418"/>
      <c r="AU1800" s="418"/>
      <c r="AV1800" s="418"/>
      <c r="AW1800" s="418"/>
      <c r="AX1800" s="418"/>
      <c r="AY1800" s="418"/>
      <c r="AZ1800" s="418"/>
    </row>
    <row r="1801" spans="40:52" ht="15.75" customHeight="1">
      <c r="AN1801" s="418"/>
      <c r="AO1801" s="418"/>
      <c r="AP1801" s="418"/>
      <c r="AQ1801" s="418"/>
      <c r="AR1801" s="418"/>
      <c r="AS1801" s="418"/>
      <c r="AT1801" s="418"/>
      <c r="AU1801" s="418"/>
      <c r="AV1801" s="418"/>
      <c r="AW1801" s="418"/>
      <c r="AX1801" s="418"/>
      <c r="AY1801" s="418"/>
      <c r="AZ1801" s="418"/>
    </row>
    <row r="1802" spans="40:52" ht="15.75" customHeight="1">
      <c r="AN1802" s="418"/>
      <c r="AO1802" s="418"/>
      <c r="AP1802" s="418"/>
      <c r="AQ1802" s="418"/>
      <c r="AR1802" s="418"/>
      <c r="AS1802" s="418"/>
      <c r="AT1802" s="418"/>
      <c r="AU1802" s="418"/>
      <c r="AV1802" s="418"/>
      <c r="AW1802" s="418"/>
      <c r="AX1802" s="418"/>
      <c r="AY1802" s="418"/>
      <c r="AZ1802" s="418"/>
    </row>
    <row r="1803" spans="40:52" ht="15.75" customHeight="1">
      <c r="AN1803" s="418"/>
      <c r="AO1803" s="418"/>
      <c r="AP1803" s="418"/>
      <c r="AQ1803" s="418"/>
      <c r="AR1803" s="418"/>
      <c r="AS1803" s="418"/>
      <c r="AT1803" s="418"/>
      <c r="AU1803" s="418"/>
      <c r="AV1803" s="418"/>
      <c r="AW1803" s="418"/>
      <c r="AX1803" s="418"/>
      <c r="AY1803" s="418"/>
      <c r="AZ1803" s="418"/>
    </row>
    <row r="1804" spans="40:52" ht="15.75" customHeight="1">
      <c r="AN1804" s="418"/>
      <c r="AO1804" s="418"/>
      <c r="AP1804" s="418"/>
      <c r="AQ1804" s="418"/>
      <c r="AR1804" s="418"/>
      <c r="AS1804" s="418"/>
      <c r="AT1804" s="418"/>
      <c r="AU1804" s="418"/>
      <c r="AV1804" s="418"/>
      <c r="AW1804" s="418"/>
      <c r="AX1804" s="418"/>
      <c r="AY1804" s="418"/>
      <c r="AZ1804" s="418"/>
    </row>
    <row r="1805" spans="40:52" ht="15.75" customHeight="1">
      <c r="AN1805" s="418"/>
      <c r="AO1805" s="418"/>
      <c r="AP1805" s="418"/>
      <c r="AQ1805" s="418"/>
      <c r="AR1805" s="418"/>
      <c r="AS1805" s="418"/>
      <c r="AT1805" s="418"/>
      <c r="AU1805" s="418"/>
      <c r="AV1805" s="418"/>
      <c r="AW1805" s="418"/>
      <c r="AX1805" s="418"/>
      <c r="AY1805" s="418"/>
      <c r="AZ1805" s="418"/>
    </row>
    <row r="1806" spans="40:52" ht="15.75" customHeight="1">
      <c r="AN1806" s="418"/>
      <c r="AO1806" s="418"/>
      <c r="AP1806" s="418"/>
      <c r="AQ1806" s="418"/>
      <c r="AR1806" s="418"/>
      <c r="AS1806" s="418"/>
      <c r="AT1806" s="418"/>
      <c r="AU1806" s="418"/>
      <c r="AV1806" s="418"/>
      <c r="AW1806" s="418"/>
      <c r="AX1806" s="418"/>
      <c r="AY1806" s="418"/>
      <c r="AZ1806" s="418"/>
    </row>
    <row r="1807" spans="40:52" ht="15.75" customHeight="1">
      <c r="AN1807" s="418"/>
      <c r="AO1807" s="418"/>
      <c r="AP1807" s="418"/>
      <c r="AQ1807" s="418"/>
      <c r="AR1807" s="418"/>
      <c r="AS1807" s="418"/>
      <c r="AT1807" s="418"/>
      <c r="AU1807" s="418"/>
      <c r="AV1807" s="418"/>
      <c r="AW1807" s="418"/>
      <c r="AX1807" s="418"/>
      <c r="AY1807" s="418"/>
      <c r="AZ1807" s="418"/>
    </row>
    <row r="1808" spans="40:52" ht="15.75" customHeight="1">
      <c r="AN1808" s="418"/>
      <c r="AO1808" s="418"/>
      <c r="AP1808" s="418"/>
      <c r="AQ1808" s="418"/>
      <c r="AR1808" s="418"/>
      <c r="AS1808" s="418"/>
      <c r="AT1808" s="418"/>
      <c r="AU1808" s="418"/>
      <c r="AV1808" s="418"/>
      <c r="AW1808" s="418"/>
      <c r="AX1808" s="418"/>
      <c r="AY1808" s="418"/>
      <c r="AZ1808" s="418"/>
    </row>
    <row r="1809" spans="40:52" ht="15.75" customHeight="1">
      <c r="AN1809" s="418"/>
      <c r="AO1809" s="418"/>
      <c r="AP1809" s="418"/>
      <c r="AQ1809" s="418"/>
      <c r="AR1809" s="418"/>
      <c r="AS1809" s="418"/>
      <c r="AT1809" s="418"/>
      <c r="AU1809" s="418"/>
      <c r="AV1809" s="418"/>
      <c r="AW1809" s="418"/>
      <c r="AX1809" s="418"/>
      <c r="AY1809" s="418"/>
      <c r="AZ1809" s="418"/>
    </row>
    <row r="1810" spans="40:52" ht="15.75" customHeight="1">
      <c r="AN1810" s="418"/>
      <c r="AO1810" s="418"/>
      <c r="AP1810" s="418"/>
      <c r="AQ1810" s="418"/>
      <c r="AR1810" s="418"/>
      <c r="AS1810" s="418"/>
      <c r="AT1810" s="418"/>
      <c r="AU1810" s="418"/>
      <c r="AV1810" s="418"/>
      <c r="AW1810" s="418"/>
      <c r="AX1810" s="418"/>
      <c r="AY1810" s="418"/>
      <c r="AZ1810" s="418"/>
    </row>
    <row r="1811" spans="40:52" ht="15.75" customHeight="1">
      <c r="AN1811" s="418"/>
      <c r="AO1811" s="418"/>
      <c r="AP1811" s="418"/>
      <c r="AQ1811" s="418"/>
      <c r="AR1811" s="418"/>
      <c r="AS1811" s="418"/>
      <c r="AT1811" s="418"/>
      <c r="AU1811" s="418"/>
      <c r="AV1811" s="418"/>
      <c r="AW1811" s="418"/>
      <c r="AX1811" s="418"/>
      <c r="AY1811" s="418"/>
      <c r="AZ1811" s="418"/>
    </row>
    <row r="1812" spans="40:52" ht="15.75" customHeight="1">
      <c r="AN1812" s="418"/>
      <c r="AO1812" s="418"/>
      <c r="AP1812" s="418"/>
      <c r="AQ1812" s="418"/>
      <c r="AR1812" s="418"/>
      <c r="AS1812" s="418"/>
      <c r="AT1812" s="418"/>
      <c r="AU1812" s="418"/>
      <c r="AV1812" s="418"/>
      <c r="AW1812" s="418"/>
      <c r="AX1812" s="418"/>
      <c r="AY1812" s="418"/>
      <c r="AZ1812" s="418"/>
    </row>
    <row r="1813" spans="40:52" ht="15.75" customHeight="1">
      <c r="AN1813" s="418"/>
      <c r="AO1813" s="418"/>
      <c r="AP1813" s="418"/>
      <c r="AQ1813" s="418"/>
      <c r="AR1813" s="418"/>
      <c r="AS1813" s="418"/>
      <c r="AT1813" s="418"/>
      <c r="AU1813" s="418"/>
      <c r="AV1813" s="418"/>
      <c r="AW1813" s="418"/>
      <c r="AX1813" s="418"/>
      <c r="AY1813" s="418"/>
      <c r="AZ1813" s="418"/>
    </row>
    <row r="1814" spans="40:52" ht="15.75" customHeight="1">
      <c r="AN1814" s="418"/>
      <c r="AO1814" s="418"/>
      <c r="AP1814" s="418"/>
      <c r="AQ1814" s="418"/>
      <c r="AR1814" s="418"/>
      <c r="AS1814" s="418"/>
      <c r="AT1814" s="418"/>
      <c r="AU1814" s="418"/>
      <c r="AV1814" s="418"/>
      <c r="AW1814" s="418"/>
      <c r="AX1814" s="418"/>
      <c r="AY1814" s="418"/>
      <c r="AZ1814" s="418"/>
    </row>
    <row r="1815" spans="40:52" ht="15.75" customHeight="1">
      <c r="AN1815" s="418"/>
      <c r="AO1815" s="418"/>
      <c r="AP1815" s="418"/>
      <c r="AQ1815" s="418"/>
      <c r="AR1815" s="418"/>
      <c r="AS1815" s="418"/>
      <c r="AT1815" s="418"/>
      <c r="AU1815" s="418"/>
      <c r="AV1815" s="418"/>
      <c r="AW1815" s="418"/>
      <c r="AX1815" s="418"/>
      <c r="AY1815" s="418"/>
      <c r="AZ1815" s="418"/>
    </row>
    <row r="1816" spans="40:52" ht="15.75" customHeight="1">
      <c r="AN1816" s="418"/>
      <c r="AO1816" s="418"/>
      <c r="AP1816" s="418"/>
      <c r="AQ1816" s="418"/>
      <c r="AR1816" s="418"/>
      <c r="AS1816" s="418"/>
      <c r="AT1816" s="418"/>
      <c r="AU1816" s="418"/>
      <c r="AV1816" s="418"/>
      <c r="AW1816" s="418"/>
      <c r="AX1816" s="418"/>
      <c r="AY1816" s="418"/>
      <c r="AZ1816" s="418"/>
    </row>
    <row r="1817" spans="40:52" ht="15.75" customHeight="1">
      <c r="AN1817" s="418"/>
      <c r="AO1817" s="418"/>
      <c r="AP1817" s="418"/>
      <c r="AQ1817" s="418"/>
      <c r="AR1817" s="418"/>
      <c r="AS1817" s="418"/>
      <c r="AT1817" s="418"/>
      <c r="AU1817" s="418"/>
      <c r="AV1817" s="418"/>
      <c r="AW1817" s="418"/>
      <c r="AX1817" s="418"/>
      <c r="AY1817" s="418"/>
      <c r="AZ1817" s="418"/>
    </row>
    <row r="1818" spans="40:52" ht="15.75" customHeight="1">
      <c r="AN1818" s="418"/>
      <c r="AO1818" s="418"/>
      <c r="AP1818" s="418"/>
      <c r="AQ1818" s="418"/>
      <c r="AR1818" s="418"/>
      <c r="AS1818" s="418"/>
      <c r="AT1818" s="418"/>
      <c r="AU1818" s="418"/>
      <c r="AV1818" s="418"/>
      <c r="AW1818" s="418"/>
      <c r="AX1818" s="418"/>
      <c r="AY1818" s="418"/>
      <c r="AZ1818" s="418"/>
    </row>
    <row r="1819" spans="40:52" ht="15.75" customHeight="1">
      <c r="AN1819" s="418"/>
      <c r="AO1819" s="418"/>
      <c r="AP1819" s="418"/>
      <c r="AQ1819" s="418"/>
      <c r="AR1819" s="418"/>
      <c r="AS1819" s="418"/>
      <c r="AT1819" s="418"/>
      <c r="AU1819" s="418"/>
      <c r="AV1819" s="418"/>
      <c r="AW1819" s="418"/>
      <c r="AX1819" s="418"/>
      <c r="AY1819" s="418"/>
      <c r="AZ1819" s="418"/>
    </row>
    <row r="1820" spans="40:52" ht="15.75" customHeight="1">
      <c r="AN1820" s="418"/>
      <c r="AO1820" s="418"/>
      <c r="AP1820" s="418"/>
      <c r="AQ1820" s="418"/>
      <c r="AR1820" s="418"/>
      <c r="AS1820" s="418"/>
      <c r="AT1820" s="418"/>
      <c r="AU1820" s="418"/>
      <c r="AV1820" s="418"/>
      <c r="AW1820" s="418"/>
      <c r="AX1820" s="418"/>
      <c r="AY1820" s="418"/>
      <c r="AZ1820" s="418"/>
    </row>
    <row r="1821" spans="40:52" ht="15.75" customHeight="1">
      <c r="AN1821" s="418"/>
      <c r="AO1821" s="418"/>
      <c r="AP1821" s="418"/>
      <c r="AQ1821" s="418"/>
      <c r="AR1821" s="418"/>
      <c r="AS1821" s="418"/>
      <c r="AT1821" s="418"/>
      <c r="AU1821" s="418"/>
      <c r="AV1821" s="418"/>
      <c r="AW1821" s="418"/>
      <c r="AX1821" s="418"/>
      <c r="AY1821" s="418"/>
      <c r="AZ1821" s="418"/>
    </row>
    <row r="1822" spans="40:52" ht="15.75" customHeight="1">
      <c r="AN1822" s="418"/>
      <c r="AO1822" s="418"/>
      <c r="AP1822" s="418"/>
      <c r="AQ1822" s="418"/>
      <c r="AR1822" s="418"/>
      <c r="AS1822" s="418"/>
      <c r="AT1822" s="418"/>
      <c r="AU1822" s="418"/>
      <c r="AV1822" s="418"/>
      <c r="AW1822" s="418"/>
      <c r="AX1822" s="418"/>
      <c r="AY1822" s="418"/>
      <c r="AZ1822" s="418"/>
    </row>
    <row r="1823" spans="40:52" ht="15.75" customHeight="1">
      <c r="AN1823" s="418"/>
      <c r="AO1823" s="418"/>
      <c r="AP1823" s="418"/>
      <c r="AQ1823" s="418"/>
      <c r="AR1823" s="418"/>
      <c r="AS1823" s="418"/>
      <c r="AT1823" s="418"/>
      <c r="AU1823" s="418"/>
      <c r="AV1823" s="418"/>
      <c r="AW1823" s="418"/>
      <c r="AX1823" s="418"/>
      <c r="AY1823" s="418"/>
      <c r="AZ1823" s="418"/>
    </row>
    <row r="1824" spans="40:52" ht="15.75" customHeight="1">
      <c r="AN1824" s="418"/>
      <c r="AO1824" s="418"/>
      <c r="AP1824" s="418"/>
      <c r="AQ1824" s="418"/>
      <c r="AR1824" s="418"/>
      <c r="AS1824" s="418"/>
      <c r="AT1824" s="418"/>
      <c r="AU1824" s="418"/>
      <c r="AV1824" s="418"/>
      <c r="AW1824" s="418"/>
      <c r="AX1824" s="418"/>
      <c r="AY1824" s="418"/>
      <c r="AZ1824" s="418"/>
    </row>
    <row r="1825" spans="40:52" ht="15.75" customHeight="1">
      <c r="AN1825" s="418"/>
      <c r="AO1825" s="418"/>
      <c r="AP1825" s="418"/>
      <c r="AQ1825" s="418"/>
      <c r="AR1825" s="418"/>
      <c r="AS1825" s="418"/>
      <c r="AT1825" s="418"/>
      <c r="AU1825" s="418"/>
      <c r="AV1825" s="418"/>
      <c r="AW1825" s="418"/>
      <c r="AX1825" s="418"/>
      <c r="AY1825" s="418"/>
      <c r="AZ1825" s="418"/>
    </row>
    <row r="1826" spans="40:52" ht="15.75" customHeight="1">
      <c r="AN1826" s="418"/>
      <c r="AO1826" s="418"/>
      <c r="AP1826" s="418"/>
      <c r="AQ1826" s="418"/>
      <c r="AR1826" s="418"/>
      <c r="AS1826" s="418"/>
      <c r="AT1826" s="418"/>
      <c r="AU1826" s="418"/>
      <c r="AV1826" s="418"/>
      <c r="AW1826" s="418"/>
      <c r="AX1826" s="418"/>
      <c r="AY1826" s="418"/>
      <c r="AZ1826" s="418"/>
    </row>
    <row r="1827" spans="40:52" ht="15.75" customHeight="1">
      <c r="AN1827" s="418"/>
      <c r="AO1827" s="418"/>
      <c r="AP1827" s="418"/>
      <c r="AQ1827" s="418"/>
      <c r="AR1827" s="418"/>
      <c r="AS1827" s="418"/>
      <c r="AT1827" s="418"/>
      <c r="AU1827" s="418"/>
      <c r="AV1827" s="418"/>
      <c r="AW1827" s="418"/>
      <c r="AX1827" s="418"/>
      <c r="AY1827" s="418"/>
      <c r="AZ1827" s="418"/>
    </row>
    <row r="1828" spans="40:52" ht="15.75" customHeight="1">
      <c r="AN1828" s="418"/>
      <c r="AO1828" s="418"/>
      <c r="AP1828" s="418"/>
      <c r="AQ1828" s="418"/>
      <c r="AR1828" s="418"/>
      <c r="AS1828" s="418"/>
      <c r="AT1828" s="418"/>
      <c r="AU1828" s="418"/>
      <c r="AV1828" s="418"/>
      <c r="AW1828" s="418"/>
      <c r="AX1828" s="418"/>
      <c r="AY1828" s="418"/>
      <c r="AZ1828" s="418"/>
    </row>
    <row r="1829" spans="40:52" ht="15.75" customHeight="1">
      <c r="AN1829" s="418"/>
      <c r="AO1829" s="418"/>
      <c r="AP1829" s="418"/>
      <c r="AQ1829" s="418"/>
      <c r="AR1829" s="418"/>
      <c r="AS1829" s="418"/>
      <c r="AT1829" s="418"/>
      <c r="AU1829" s="418"/>
      <c r="AV1829" s="418"/>
      <c r="AW1829" s="418"/>
      <c r="AX1829" s="418"/>
      <c r="AY1829" s="418"/>
      <c r="AZ1829" s="418"/>
    </row>
    <row r="1830" spans="40:52" ht="15.75" customHeight="1">
      <c r="AN1830" s="418"/>
      <c r="AO1830" s="418"/>
      <c r="AP1830" s="418"/>
      <c r="AQ1830" s="418"/>
      <c r="AR1830" s="418"/>
      <c r="AS1830" s="418"/>
      <c r="AT1830" s="418"/>
      <c r="AU1830" s="418"/>
      <c r="AV1830" s="418"/>
      <c r="AW1830" s="418"/>
      <c r="AX1830" s="418"/>
      <c r="AY1830" s="418"/>
      <c r="AZ1830" s="418"/>
    </row>
    <row r="1831" spans="40:52" ht="15.75" customHeight="1">
      <c r="AN1831" s="418"/>
      <c r="AO1831" s="418"/>
      <c r="AP1831" s="418"/>
      <c r="AQ1831" s="418"/>
      <c r="AR1831" s="418"/>
      <c r="AS1831" s="418"/>
      <c r="AT1831" s="418"/>
      <c r="AU1831" s="418"/>
      <c r="AV1831" s="418"/>
      <c r="AW1831" s="418"/>
      <c r="AX1831" s="418"/>
      <c r="AY1831" s="418"/>
      <c r="AZ1831" s="418"/>
    </row>
    <row r="1832" spans="40:52" ht="15.75" customHeight="1">
      <c r="AN1832" s="418"/>
      <c r="AO1832" s="418"/>
      <c r="AP1832" s="418"/>
      <c r="AQ1832" s="418"/>
      <c r="AR1832" s="418"/>
      <c r="AS1832" s="418"/>
      <c r="AT1832" s="418"/>
      <c r="AU1832" s="418"/>
      <c r="AV1832" s="418"/>
      <c r="AW1832" s="418"/>
      <c r="AX1832" s="418"/>
      <c r="AY1832" s="418"/>
      <c r="AZ1832" s="418"/>
    </row>
    <row r="1833" spans="40:52" ht="15.75" customHeight="1">
      <c r="AN1833" s="418"/>
      <c r="AO1833" s="418"/>
      <c r="AP1833" s="418"/>
      <c r="AQ1833" s="418"/>
      <c r="AR1833" s="418"/>
      <c r="AS1833" s="418"/>
      <c r="AT1833" s="418"/>
      <c r="AU1833" s="418"/>
      <c r="AV1833" s="418"/>
      <c r="AW1833" s="418"/>
      <c r="AX1833" s="418"/>
      <c r="AY1833" s="418"/>
      <c r="AZ1833" s="418"/>
    </row>
    <row r="1834" spans="40:52" ht="15.75" customHeight="1">
      <c r="AN1834" s="418"/>
      <c r="AO1834" s="418"/>
      <c r="AP1834" s="418"/>
      <c r="AQ1834" s="418"/>
      <c r="AR1834" s="418"/>
      <c r="AS1834" s="418"/>
      <c r="AT1834" s="418"/>
      <c r="AU1834" s="418"/>
      <c r="AV1834" s="418"/>
      <c r="AW1834" s="418"/>
      <c r="AX1834" s="418"/>
      <c r="AY1834" s="418"/>
      <c r="AZ1834" s="418"/>
    </row>
    <row r="1835" spans="40:52" ht="15.75" customHeight="1">
      <c r="AN1835" s="418"/>
      <c r="AO1835" s="418"/>
      <c r="AP1835" s="418"/>
      <c r="AQ1835" s="418"/>
      <c r="AR1835" s="418"/>
      <c r="AS1835" s="418"/>
      <c r="AT1835" s="418"/>
      <c r="AU1835" s="418"/>
      <c r="AV1835" s="418"/>
      <c r="AW1835" s="418"/>
      <c r="AX1835" s="418"/>
      <c r="AY1835" s="418"/>
      <c r="AZ1835" s="418"/>
    </row>
    <row r="1836" spans="40:52" ht="15.75" customHeight="1">
      <c r="AN1836" s="418"/>
      <c r="AO1836" s="418"/>
      <c r="AP1836" s="418"/>
      <c r="AQ1836" s="418"/>
      <c r="AR1836" s="418"/>
      <c r="AS1836" s="418"/>
      <c r="AT1836" s="418"/>
      <c r="AU1836" s="418"/>
      <c r="AV1836" s="418"/>
      <c r="AW1836" s="418"/>
      <c r="AX1836" s="418"/>
      <c r="AY1836" s="418"/>
      <c r="AZ1836" s="418"/>
    </row>
    <row r="1837" spans="40:52" ht="15.75" customHeight="1">
      <c r="AN1837" s="418"/>
      <c r="AO1837" s="418"/>
      <c r="AP1837" s="418"/>
      <c r="AQ1837" s="418"/>
      <c r="AR1837" s="418"/>
      <c r="AS1837" s="418"/>
      <c r="AT1837" s="418"/>
      <c r="AU1837" s="418"/>
      <c r="AV1837" s="418"/>
      <c r="AW1837" s="418"/>
      <c r="AX1837" s="418"/>
      <c r="AY1837" s="418"/>
      <c r="AZ1837" s="418"/>
    </row>
    <row r="1838" spans="40:52" ht="15.75" customHeight="1">
      <c r="AN1838" s="418"/>
      <c r="AO1838" s="418"/>
      <c r="AP1838" s="418"/>
      <c r="AQ1838" s="418"/>
      <c r="AR1838" s="418"/>
      <c r="AS1838" s="418"/>
      <c r="AT1838" s="418"/>
      <c r="AU1838" s="418"/>
      <c r="AV1838" s="418"/>
      <c r="AW1838" s="418"/>
      <c r="AX1838" s="418"/>
      <c r="AY1838" s="418"/>
      <c r="AZ1838" s="418"/>
    </row>
    <row r="1839" spans="40:52" ht="15.75" customHeight="1">
      <c r="AN1839" s="418"/>
      <c r="AO1839" s="418"/>
      <c r="AP1839" s="418"/>
      <c r="AQ1839" s="418"/>
      <c r="AR1839" s="418"/>
      <c r="AS1839" s="418"/>
      <c r="AT1839" s="418"/>
      <c r="AU1839" s="418"/>
      <c r="AV1839" s="418"/>
      <c r="AW1839" s="418"/>
      <c r="AX1839" s="418"/>
      <c r="AY1839" s="418"/>
      <c r="AZ1839" s="418"/>
    </row>
    <row r="1840" spans="40:52" ht="15.75" customHeight="1">
      <c r="AN1840" s="418"/>
      <c r="AO1840" s="418"/>
      <c r="AP1840" s="418"/>
      <c r="AQ1840" s="418"/>
      <c r="AR1840" s="418"/>
      <c r="AS1840" s="418"/>
      <c r="AT1840" s="418"/>
      <c r="AU1840" s="418"/>
      <c r="AV1840" s="418"/>
      <c r="AW1840" s="418"/>
      <c r="AX1840" s="418"/>
      <c r="AY1840" s="418"/>
      <c r="AZ1840" s="418"/>
    </row>
    <row r="1841" spans="40:52" ht="15.75" customHeight="1">
      <c r="AN1841" s="418"/>
      <c r="AO1841" s="418"/>
      <c r="AP1841" s="418"/>
      <c r="AQ1841" s="418"/>
      <c r="AR1841" s="418"/>
      <c r="AS1841" s="418"/>
      <c r="AT1841" s="418"/>
      <c r="AU1841" s="418"/>
      <c r="AV1841" s="418"/>
      <c r="AW1841" s="418"/>
      <c r="AX1841" s="418"/>
      <c r="AY1841" s="418"/>
      <c r="AZ1841" s="418"/>
    </row>
    <row r="1842" spans="40:52" ht="15.75" customHeight="1">
      <c r="AN1842" s="418"/>
      <c r="AO1842" s="418"/>
      <c r="AP1842" s="418"/>
      <c r="AQ1842" s="418"/>
      <c r="AR1842" s="418"/>
      <c r="AS1842" s="418"/>
      <c r="AT1842" s="418"/>
      <c r="AU1842" s="418"/>
      <c r="AV1842" s="418"/>
      <c r="AW1842" s="418"/>
      <c r="AX1842" s="418"/>
      <c r="AY1842" s="418"/>
      <c r="AZ1842" s="418"/>
    </row>
    <row r="1843" spans="40:52" ht="15.75" customHeight="1">
      <c r="AN1843" s="418"/>
      <c r="AO1843" s="418"/>
      <c r="AP1843" s="418"/>
      <c r="AQ1843" s="418"/>
      <c r="AR1843" s="418"/>
      <c r="AS1843" s="418"/>
      <c r="AT1843" s="418"/>
      <c r="AU1843" s="418"/>
      <c r="AV1843" s="418"/>
      <c r="AW1843" s="418"/>
      <c r="AX1843" s="418"/>
      <c r="AY1843" s="418"/>
      <c r="AZ1843" s="418"/>
    </row>
    <row r="1844" spans="40:52" ht="15.75" customHeight="1">
      <c r="AN1844" s="418"/>
      <c r="AO1844" s="418"/>
      <c r="AP1844" s="418"/>
      <c r="AQ1844" s="418"/>
      <c r="AR1844" s="418"/>
      <c r="AS1844" s="418"/>
      <c r="AT1844" s="418"/>
      <c r="AU1844" s="418"/>
      <c r="AV1844" s="418"/>
      <c r="AW1844" s="418"/>
      <c r="AX1844" s="418"/>
      <c r="AY1844" s="418"/>
      <c r="AZ1844" s="418"/>
    </row>
    <row r="1845" spans="40:52" ht="15.75" customHeight="1">
      <c r="AN1845" s="418"/>
      <c r="AO1845" s="418"/>
      <c r="AP1845" s="418"/>
      <c r="AQ1845" s="418"/>
      <c r="AR1845" s="418"/>
      <c r="AS1845" s="418"/>
      <c r="AT1845" s="418"/>
      <c r="AU1845" s="418"/>
      <c r="AV1845" s="418"/>
      <c r="AW1845" s="418"/>
      <c r="AX1845" s="418"/>
      <c r="AY1845" s="418"/>
      <c r="AZ1845" s="418"/>
    </row>
    <row r="1846" spans="40:52" ht="15.75" customHeight="1">
      <c r="AN1846" s="418"/>
      <c r="AO1846" s="418"/>
      <c r="AP1846" s="418"/>
      <c r="AQ1846" s="418"/>
      <c r="AR1846" s="418"/>
      <c r="AS1846" s="418"/>
      <c r="AT1846" s="418"/>
      <c r="AU1846" s="418"/>
      <c r="AV1846" s="418"/>
      <c r="AW1846" s="418"/>
      <c r="AX1846" s="418"/>
      <c r="AY1846" s="418"/>
      <c r="AZ1846" s="418"/>
    </row>
    <row r="1847" spans="40:52" ht="15.75" customHeight="1">
      <c r="AN1847" s="418"/>
      <c r="AO1847" s="418"/>
      <c r="AP1847" s="418"/>
      <c r="AQ1847" s="418"/>
      <c r="AR1847" s="418"/>
      <c r="AS1847" s="418"/>
      <c r="AT1847" s="418"/>
      <c r="AU1847" s="418"/>
      <c r="AV1847" s="418"/>
      <c r="AW1847" s="418"/>
      <c r="AX1847" s="418"/>
      <c r="AY1847" s="418"/>
      <c r="AZ1847" s="418"/>
    </row>
    <row r="1848" spans="40:52" ht="15.75" customHeight="1">
      <c r="AN1848" s="418"/>
      <c r="AO1848" s="418"/>
      <c r="AP1848" s="418"/>
      <c r="AQ1848" s="418"/>
      <c r="AR1848" s="418"/>
      <c r="AS1848" s="418"/>
      <c r="AT1848" s="418"/>
      <c r="AU1848" s="418"/>
      <c r="AV1848" s="418"/>
      <c r="AW1848" s="418"/>
      <c r="AX1848" s="418"/>
      <c r="AY1848" s="418"/>
      <c r="AZ1848" s="418"/>
    </row>
    <row r="1849" spans="40:52" ht="15.75" customHeight="1">
      <c r="AN1849" s="418"/>
      <c r="AO1849" s="418"/>
      <c r="AP1849" s="418"/>
      <c r="AQ1849" s="418"/>
      <c r="AR1849" s="418"/>
      <c r="AS1849" s="418"/>
      <c r="AT1849" s="418"/>
      <c r="AU1849" s="418"/>
      <c r="AV1849" s="418"/>
      <c r="AW1849" s="418"/>
      <c r="AX1849" s="418"/>
      <c r="AY1849" s="418"/>
      <c r="AZ1849" s="418"/>
    </row>
    <row r="1850" spans="40:52" ht="15.75" customHeight="1">
      <c r="AN1850" s="418"/>
      <c r="AO1850" s="418"/>
      <c r="AP1850" s="418"/>
      <c r="AQ1850" s="418"/>
      <c r="AR1850" s="418"/>
      <c r="AS1850" s="418"/>
      <c r="AT1850" s="418"/>
      <c r="AU1850" s="418"/>
      <c r="AV1850" s="418"/>
      <c r="AW1850" s="418"/>
      <c r="AX1850" s="418"/>
      <c r="AY1850" s="418"/>
      <c r="AZ1850" s="418"/>
    </row>
    <row r="1851" spans="40:52" ht="15.75" customHeight="1">
      <c r="AN1851" s="418"/>
      <c r="AO1851" s="418"/>
      <c r="AP1851" s="418"/>
      <c r="AQ1851" s="418"/>
      <c r="AR1851" s="418"/>
      <c r="AS1851" s="418"/>
      <c r="AT1851" s="418"/>
      <c r="AU1851" s="418"/>
      <c r="AV1851" s="418"/>
      <c r="AW1851" s="418"/>
      <c r="AX1851" s="418"/>
      <c r="AY1851" s="418"/>
      <c r="AZ1851" s="418"/>
    </row>
    <row r="1852" spans="40:52" ht="15.75" customHeight="1">
      <c r="AN1852" s="418"/>
      <c r="AO1852" s="418"/>
      <c r="AP1852" s="418"/>
      <c r="AQ1852" s="418"/>
      <c r="AR1852" s="418"/>
      <c r="AS1852" s="418"/>
      <c r="AT1852" s="418"/>
      <c r="AU1852" s="418"/>
      <c r="AV1852" s="418"/>
      <c r="AW1852" s="418"/>
      <c r="AX1852" s="418"/>
      <c r="AY1852" s="418"/>
      <c r="AZ1852" s="418"/>
    </row>
    <row r="1853" spans="40:52" ht="15.75" customHeight="1">
      <c r="AN1853" s="418"/>
      <c r="AO1853" s="418"/>
      <c r="AP1853" s="418"/>
      <c r="AQ1853" s="418"/>
      <c r="AR1853" s="418"/>
      <c r="AS1853" s="418"/>
      <c r="AT1853" s="418"/>
      <c r="AU1853" s="418"/>
      <c r="AV1853" s="418"/>
      <c r="AW1853" s="418"/>
      <c r="AX1853" s="418"/>
      <c r="AY1853" s="418"/>
      <c r="AZ1853" s="418"/>
    </row>
    <row r="1854" spans="40:52" ht="15.75" customHeight="1">
      <c r="AN1854" s="418"/>
      <c r="AO1854" s="418"/>
      <c r="AP1854" s="418"/>
      <c r="AQ1854" s="418"/>
      <c r="AR1854" s="418"/>
      <c r="AS1854" s="418"/>
      <c r="AT1854" s="418"/>
      <c r="AU1854" s="418"/>
      <c r="AV1854" s="418"/>
      <c r="AW1854" s="418"/>
      <c r="AX1854" s="418"/>
      <c r="AY1854" s="418"/>
      <c r="AZ1854" s="418"/>
    </row>
    <row r="1855" spans="40:52" ht="15.75" customHeight="1">
      <c r="AN1855" s="418"/>
      <c r="AO1855" s="418"/>
      <c r="AP1855" s="418"/>
      <c r="AQ1855" s="418"/>
      <c r="AR1855" s="418"/>
      <c r="AS1855" s="418"/>
      <c r="AT1855" s="418"/>
      <c r="AU1855" s="418"/>
      <c r="AV1855" s="418"/>
      <c r="AW1855" s="418"/>
      <c r="AX1855" s="418"/>
      <c r="AY1855" s="418"/>
      <c r="AZ1855" s="418"/>
    </row>
    <row r="1856" spans="40:52" ht="15.75" customHeight="1">
      <c r="AN1856" s="418"/>
      <c r="AO1856" s="418"/>
      <c r="AP1856" s="418"/>
      <c r="AQ1856" s="418"/>
      <c r="AR1856" s="418"/>
      <c r="AS1856" s="418"/>
      <c r="AT1856" s="418"/>
      <c r="AU1856" s="418"/>
      <c r="AV1856" s="418"/>
      <c r="AW1856" s="418"/>
      <c r="AX1856" s="418"/>
      <c r="AY1856" s="418"/>
      <c r="AZ1856" s="418"/>
    </row>
    <row r="1857" spans="40:52" ht="15.75" customHeight="1">
      <c r="AN1857" s="418"/>
      <c r="AO1857" s="418"/>
      <c r="AP1857" s="418"/>
      <c r="AQ1857" s="418"/>
      <c r="AR1857" s="418"/>
      <c r="AS1857" s="418"/>
      <c r="AT1857" s="418"/>
      <c r="AU1857" s="418"/>
      <c r="AV1857" s="418"/>
      <c r="AW1857" s="418"/>
      <c r="AX1857" s="418"/>
      <c r="AY1857" s="418"/>
      <c r="AZ1857" s="418"/>
    </row>
    <row r="1858" spans="40:52" ht="15.75" customHeight="1">
      <c r="AN1858" s="418"/>
      <c r="AO1858" s="418"/>
      <c r="AP1858" s="418"/>
      <c r="AQ1858" s="418"/>
      <c r="AR1858" s="418"/>
      <c r="AS1858" s="418"/>
      <c r="AT1858" s="418"/>
      <c r="AU1858" s="418"/>
      <c r="AV1858" s="418"/>
      <c r="AW1858" s="418"/>
      <c r="AX1858" s="418"/>
      <c r="AY1858" s="418"/>
      <c r="AZ1858" s="418"/>
    </row>
    <row r="1859" spans="40:52" ht="15.75" customHeight="1">
      <c r="AN1859" s="418"/>
      <c r="AO1859" s="418"/>
      <c r="AP1859" s="418"/>
      <c r="AQ1859" s="418"/>
      <c r="AR1859" s="418"/>
      <c r="AS1859" s="418"/>
      <c r="AT1859" s="418"/>
      <c r="AU1859" s="418"/>
      <c r="AV1859" s="418"/>
      <c r="AW1859" s="418"/>
      <c r="AX1859" s="418"/>
      <c r="AY1859" s="418"/>
      <c r="AZ1859" s="418"/>
    </row>
    <row r="1860" spans="40:52" ht="15.75" customHeight="1">
      <c r="AN1860" s="418"/>
      <c r="AO1860" s="418"/>
      <c r="AP1860" s="418"/>
      <c r="AQ1860" s="418"/>
      <c r="AR1860" s="418"/>
      <c r="AS1860" s="418"/>
      <c r="AT1860" s="418"/>
      <c r="AU1860" s="418"/>
      <c r="AV1860" s="418"/>
      <c r="AW1860" s="418"/>
      <c r="AX1860" s="418"/>
      <c r="AY1860" s="418"/>
      <c r="AZ1860" s="418"/>
    </row>
    <row r="1861" spans="40:52" ht="15.75" customHeight="1">
      <c r="AN1861" s="418"/>
      <c r="AO1861" s="418"/>
      <c r="AP1861" s="418"/>
      <c r="AQ1861" s="418"/>
      <c r="AR1861" s="418"/>
      <c r="AS1861" s="418"/>
      <c r="AT1861" s="418"/>
      <c r="AU1861" s="418"/>
      <c r="AV1861" s="418"/>
      <c r="AW1861" s="418"/>
      <c r="AX1861" s="418"/>
      <c r="AY1861" s="418"/>
      <c r="AZ1861" s="418"/>
    </row>
    <row r="1862" spans="40:52" ht="15.75" customHeight="1">
      <c r="AN1862" s="418"/>
      <c r="AO1862" s="418"/>
      <c r="AP1862" s="418"/>
      <c r="AQ1862" s="418"/>
      <c r="AR1862" s="418"/>
      <c r="AS1862" s="418"/>
      <c r="AT1862" s="418"/>
      <c r="AU1862" s="418"/>
      <c r="AV1862" s="418"/>
      <c r="AW1862" s="418"/>
      <c r="AX1862" s="418"/>
      <c r="AY1862" s="418"/>
      <c r="AZ1862" s="418"/>
    </row>
    <row r="1863" spans="40:52" ht="15.75" customHeight="1">
      <c r="AN1863" s="418"/>
      <c r="AO1863" s="418"/>
      <c r="AP1863" s="418"/>
      <c r="AQ1863" s="418"/>
      <c r="AR1863" s="418"/>
      <c r="AS1863" s="418"/>
      <c r="AT1863" s="418"/>
      <c r="AU1863" s="418"/>
      <c r="AV1863" s="418"/>
      <c r="AW1863" s="418"/>
      <c r="AX1863" s="418"/>
      <c r="AY1863" s="418"/>
      <c r="AZ1863" s="418"/>
    </row>
    <row r="1864" spans="40:52" ht="15.75" customHeight="1">
      <c r="AN1864" s="418"/>
      <c r="AO1864" s="418"/>
      <c r="AP1864" s="418"/>
      <c r="AQ1864" s="418"/>
      <c r="AR1864" s="418"/>
      <c r="AS1864" s="418"/>
      <c r="AT1864" s="418"/>
      <c r="AU1864" s="418"/>
      <c r="AV1864" s="418"/>
      <c r="AW1864" s="418"/>
      <c r="AX1864" s="418"/>
      <c r="AY1864" s="418"/>
      <c r="AZ1864" s="418"/>
    </row>
    <row r="1865" spans="40:52" ht="15.75" customHeight="1">
      <c r="AN1865" s="418"/>
      <c r="AO1865" s="418"/>
      <c r="AP1865" s="418"/>
      <c r="AQ1865" s="418"/>
      <c r="AR1865" s="418"/>
      <c r="AS1865" s="418"/>
      <c r="AT1865" s="418"/>
      <c r="AU1865" s="418"/>
      <c r="AV1865" s="418"/>
      <c r="AW1865" s="418"/>
      <c r="AX1865" s="418"/>
      <c r="AY1865" s="418"/>
      <c r="AZ1865" s="418"/>
    </row>
    <row r="1866" spans="40:52" ht="15.75" customHeight="1">
      <c r="AN1866" s="418"/>
      <c r="AO1866" s="418"/>
      <c r="AP1866" s="418"/>
      <c r="AQ1866" s="418"/>
      <c r="AR1866" s="418"/>
      <c r="AS1866" s="418"/>
      <c r="AT1866" s="418"/>
      <c r="AU1866" s="418"/>
      <c r="AV1866" s="418"/>
      <c r="AW1866" s="418"/>
      <c r="AX1866" s="418"/>
      <c r="AY1866" s="418"/>
      <c r="AZ1866" s="418"/>
    </row>
    <row r="1867" spans="40:52" ht="15.75" customHeight="1">
      <c r="AN1867" s="418"/>
      <c r="AO1867" s="418"/>
      <c r="AP1867" s="418"/>
      <c r="AQ1867" s="418"/>
      <c r="AR1867" s="418"/>
      <c r="AS1867" s="418"/>
      <c r="AT1867" s="418"/>
      <c r="AU1867" s="418"/>
      <c r="AV1867" s="418"/>
      <c r="AW1867" s="418"/>
      <c r="AX1867" s="418"/>
      <c r="AY1867" s="418"/>
      <c r="AZ1867" s="418"/>
    </row>
    <row r="1868" spans="40:52" ht="15.75" customHeight="1">
      <c r="AN1868" s="418"/>
      <c r="AO1868" s="418"/>
      <c r="AP1868" s="418"/>
      <c r="AQ1868" s="418"/>
      <c r="AR1868" s="418"/>
      <c r="AS1868" s="418"/>
      <c r="AT1868" s="418"/>
      <c r="AU1868" s="418"/>
      <c r="AV1868" s="418"/>
      <c r="AW1868" s="418"/>
      <c r="AX1868" s="418"/>
      <c r="AY1868" s="418"/>
      <c r="AZ1868" s="418"/>
    </row>
    <row r="1869" spans="40:52" ht="15.75" customHeight="1">
      <c r="AN1869" s="418"/>
      <c r="AO1869" s="418"/>
      <c r="AP1869" s="418"/>
      <c r="AQ1869" s="418"/>
      <c r="AR1869" s="418"/>
      <c r="AS1869" s="418"/>
      <c r="AT1869" s="418"/>
      <c r="AU1869" s="418"/>
      <c r="AV1869" s="418"/>
      <c r="AW1869" s="418"/>
      <c r="AX1869" s="418"/>
      <c r="AY1869" s="418"/>
      <c r="AZ1869" s="418"/>
    </row>
    <row r="1870" spans="40:52" ht="15.75" customHeight="1">
      <c r="AN1870" s="418"/>
      <c r="AO1870" s="418"/>
      <c r="AP1870" s="418"/>
      <c r="AQ1870" s="418"/>
      <c r="AR1870" s="418"/>
      <c r="AS1870" s="418"/>
      <c r="AT1870" s="418"/>
      <c r="AU1870" s="418"/>
      <c r="AV1870" s="418"/>
      <c r="AW1870" s="418"/>
      <c r="AX1870" s="418"/>
      <c r="AY1870" s="418"/>
      <c r="AZ1870" s="418"/>
    </row>
    <row r="1871" spans="40:52" ht="15.75" customHeight="1">
      <c r="AN1871" s="418"/>
      <c r="AO1871" s="418"/>
      <c r="AP1871" s="418"/>
      <c r="AQ1871" s="418"/>
      <c r="AR1871" s="418"/>
      <c r="AS1871" s="418"/>
      <c r="AT1871" s="418"/>
      <c r="AU1871" s="418"/>
      <c r="AV1871" s="418"/>
      <c r="AW1871" s="418"/>
      <c r="AX1871" s="418"/>
      <c r="AY1871" s="418"/>
      <c r="AZ1871" s="418"/>
    </row>
    <row r="1872" spans="40:52" ht="15.75" customHeight="1">
      <c r="AN1872" s="418"/>
      <c r="AO1872" s="418"/>
      <c r="AP1872" s="418"/>
      <c r="AQ1872" s="418"/>
      <c r="AR1872" s="418"/>
      <c r="AS1872" s="418"/>
      <c r="AT1872" s="418"/>
      <c r="AU1872" s="418"/>
      <c r="AV1872" s="418"/>
      <c r="AW1872" s="418"/>
      <c r="AX1872" s="418"/>
      <c r="AY1872" s="418"/>
      <c r="AZ1872" s="418"/>
    </row>
    <row r="1873" spans="40:52" ht="15.75" customHeight="1">
      <c r="AN1873" s="418"/>
      <c r="AO1873" s="418"/>
      <c r="AP1873" s="418"/>
      <c r="AQ1873" s="418"/>
      <c r="AR1873" s="418"/>
      <c r="AS1873" s="418"/>
      <c r="AT1873" s="418"/>
      <c r="AU1873" s="418"/>
      <c r="AV1873" s="418"/>
      <c r="AW1873" s="418"/>
      <c r="AX1873" s="418"/>
      <c r="AY1873" s="418"/>
      <c r="AZ1873" s="418"/>
    </row>
    <row r="1874" spans="40:52" ht="15.75" customHeight="1">
      <c r="AN1874" s="418"/>
      <c r="AO1874" s="418"/>
      <c r="AP1874" s="418"/>
      <c r="AQ1874" s="418"/>
      <c r="AR1874" s="418"/>
      <c r="AS1874" s="418"/>
      <c r="AT1874" s="418"/>
      <c r="AU1874" s="418"/>
      <c r="AV1874" s="418"/>
      <c r="AW1874" s="418"/>
      <c r="AX1874" s="418"/>
      <c r="AY1874" s="418"/>
      <c r="AZ1874" s="418"/>
    </row>
    <row r="1875" spans="40:52" ht="15.75" customHeight="1">
      <c r="AN1875" s="418"/>
      <c r="AO1875" s="418"/>
      <c r="AP1875" s="418"/>
      <c r="AQ1875" s="418"/>
      <c r="AR1875" s="418"/>
      <c r="AS1875" s="418"/>
      <c r="AT1875" s="418"/>
      <c r="AU1875" s="418"/>
      <c r="AV1875" s="418"/>
      <c r="AW1875" s="418"/>
      <c r="AX1875" s="418"/>
      <c r="AY1875" s="418"/>
      <c r="AZ1875" s="418"/>
    </row>
    <row r="1876" spans="40:52" ht="15.75" customHeight="1">
      <c r="AN1876" s="418"/>
      <c r="AO1876" s="418"/>
      <c r="AP1876" s="418"/>
      <c r="AQ1876" s="418"/>
      <c r="AR1876" s="418"/>
      <c r="AS1876" s="418"/>
      <c r="AT1876" s="418"/>
      <c r="AU1876" s="418"/>
      <c r="AV1876" s="418"/>
      <c r="AW1876" s="418"/>
      <c r="AX1876" s="418"/>
      <c r="AY1876" s="418"/>
      <c r="AZ1876" s="418"/>
    </row>
    <row r="1877" spans="40:52" ht="15.75" customHeight="1">
      <c r="AN1877" s="418"/>
      <c r="AO1877" s="418"/>
      <c r="AP1877" s="418"/>
      <c r="AQ1877" s="418"/>
      <c r="AR1877" s="418"/>
      <c r="AS1877" s="418"/>
      <c r="AT1877" s="418"/>
      <c r="AU1877" s="418"/>
      <c r="AV1877" s="418"/>
      <c r="AW1877" s="418"/>
      <c r="AX1877" s="418"/>
      <c r="AY1877" s="418"/>
      <c r="AZ1877" s="418"/>
    </row>
    <row r="1878" spans="40:52" ht="15.75" customHeight="1">
      <c r="AN1878" s="418"/>
      <c r="AO1878" s="418"/>
      <c r="AP1878" s="418"/>
      <c r="AQ1878" s="418"/>
      <c r="AR1878" s="418"/>
      <c r="AS1878" s="418"/>
      <c r="AT1878" s="418"/>
      <c r="AU1878" s="418"/>
      <c r="AV1878" s="418"/>
      <c r="AW1878" s="418"/>
      <c r="AX1878" s="418"/>
      <c r="AY1878" s="418"/>
      <c r="AZ1878" s="418"/>
    </row>
    <row r="1879" spans="40:52" ht="15.75" customHeight="1">
      <c r="AN1879" s="418"/>
      <c r="AO1879" s="418"/>
      <c r="AP1879" s="418"/>
      <c r="AQ1879" s="418"/>
      <c r="AR1879" s="418"/>
      <c r="AS1879" s="418"/>
      <c r="AT1879" s="418"/>
      <c r="AU1879" s="418"/>
      <c r="AV1879" s="418"/>
      <c r="AW1879" s="418"/>
      <c r="AX1879" s="418"/>
      <c r="AY1879" s="418"/>
      <c r="AZ1879" s="418"/>
    </row>
    <row r="1880" spans="40:52" ht="15.75" customHeight="1">
      <c r="AN1880" s="418"/>
      <c r="AO1880" s="418"/>
      <c r="AP1880" s="418"/>
      <c r="AQ1880" s="418"/>
      <c r="AR1880" s="418"/>
      <c r="AS1880" s="418"/>
      <c r="AT1880" s="418"/>
      <c r="AU1880" s="418"/>
      <c r="AV1880" s="418"/>
      <c r="AW1880" s="418"/>
      <c r="AX1880" s="418"/>
      <c r="AY1880" s="418"/>
      <c r="AZ1880" s="418"/>
    </row>
    <row r="1881" spans="40:52" ht="15.75" customHeight="1">
      <c r="AN1881" s="418"/>
      <c r="AO1881" s="418"/>
      <c r="AP1881" s="418"/>
      <c r="AQ1881" s="418"/>
      <c r="AR1881" s="418"/>
      <c r="AS1881" s="418"/>
      <c r="AT1881" s="418"/>
      <c r="AU1881" s="418"/>
      <c r="AV1881" s="418"/>
      <c r="AW1881" s="418"/>
      <c r="AX1881" s="418"/>
      <c r="AY1881" s="418"/>
      <c r="AZ1881" s="418"/>
    </row>
    <row r="1882" spans="40:52" ht="15.75" customHeight="1">
      <c r="AN1882" s="418"/>
      <c r="AO1882" s="418"/>
      <c r="AP1882" s="418"/>
      <c r="AQ1882" s="418"/>
      <c r="AR1882" s="418"/>
      <c r="AS1882" s="418"/>
      <c r="AT1882" s="418"/>
      <c r="AU1882" s="418"/>
      <c r="AV1882" s="418"/>
      <c r="AW1882" s="418"/>
      <c r="AX1882" s="418"/>
      <c r="AY1882" s="418"/>
      <c r="AZ1882" s="418"/>
    </row>
    <row r="1883" spans="40:52" ht="15.75" customHeight="1">
      <c r="AN1883" s="418"/>
      <c r="AO1883" s="418"/>
      <c r="AP1883" s="418"/>
      <c r="AQ1883" s="418"/>
      <c r="AR1883" s="418"/>
      <c r="AS1883" s="418"/>
      <c r="AT1883" s="418"/>
      <c r="AU1883" s="418"/>
      <c r="AV1883" s="418"/>
      <c r="AW1883" s="418"/>
      <c r="AX1883" s="418"/>
      <c r="AY1883" s="418"/>
      <c r="AZ1883" s="418"/>
    </row>
    <row r="1884" spans="40:52" ht="15.75" customHeight="1">
      <c r="AN1884" s="418"/>
      <c r="AO1884" s="418"/>
      <c r="AP1884" s="418"/>
      <c r="AQ1884" s="418"/>
      <c r="AR1884" s="418"/>
      <c r="AS1884" s="418"/>
      <c r="AT1884" s="418"/>
      <c r="AU1884" s="418"/>
      <c r="AV1884" s="418"/>
      <c r="AW1884" s="418"/>
      <c r="AX1884" s="418"/>
      <c r="AY1884" s="418"/>
      <c r="AZ1884" s="418"/>
    </row>
    <row r="1885" spans="40:52" ht="15.75" customHeight="1">
      <c r="AN1885" s="418"/>
      <c r="AO1885" s="418"/>
      <c r="AP1885" s="418"/>
      <c r="AQ1885" s="418"/>
      <c r="AR1885" s="418"/>
      <c r="AS1885" s="418"/>
      <c r="AT1885" s="418"/>
      <c r="AU1885" s="418"/>
      <c r="AV1885" s="418"/>
      <c r="AW1885" s="418"/>
      <c r="AX1885" s="418"/>
      <c r="AY1885" s="418"/>
      <c r="AZ1885" s="418"/>
    </row>
    <row r="1886" spans="40:52" ht="15.75" customHeight="1">
      <c r="AN1886" s="418"/>
      <c r="AO1886" s="418"/>
      <c r="AP1886" s="418"/>
      <c r="AQ1886" s="418"/>
      <c r="AR1886" s="418"/>
      <c r="AS1886" s="418"/>
      <c r="AT1886" s="418"/>
      <c r="AU1886" s="418"/>
      <c r="AV1886" s="418"/>
      <c r="AW1886" s="418"/>
      <c r="AX1886" s="418"/>
      <c r="AY1886" s="418"/>
      <c r="AZ1886" s="418"/>
    </row>
    <row r="1887" spans="40:52" ht="15.75" customHeight="1">
      <c r="AN1887" s="418"/>
      <c r="AO1887" s="418"/>
      <c r="AP1887" s="418"/>
      <c r="AQ1887" s="418"/>
      <c r="AR1887" s="418"/>
      <c r="AS1887" s="418"/>
      <c r="AT1887" s="418"/>
      <c r="AU1887" s="418"/>
      <c r="AV1887" s="418"/>
      <c r="AW1887" s="418"/>
      <c r="AX1887" s="418"/>
      <c r="AY1887" s="418"/>
      <c r="AZ1887" s="418"/>
    </row>
    <row r="1888" spans="40:52" ht="15.75" customHeight="1">
      <c r="AN1888" s="418"/>
      <c r="AO1888" s="418"/>
      <c r="AP1888" s="418"/>
      <c r="AQ1888" s="418"/>
      <c r="AR1888" s="418"/>
      <c r="AS1888" s="418"/>
      <c r="AT1888" s="418"/>
      <c r="AU1888" s="418"/>
      <c r="AV1888" s="418"/>
      <c r="AW1888" s="418"/>
      <c r="AX1888" s="418"/>
      <c r="AY1888" s="418"/>
      <c r="AZ1888" s="418"/>
    </row>
    <row r="1889" spans="40:52" ht="15.75" customHeight="1">
      <c r="AN1889" s="418"/>
      <c r="AO1889" s="418"/>
      <c r="AP1889" s="418"/>
      <c r="AQ1889" s="418"/>
      <c r="AR1889" s="418"/>
      <c r="AS1889" s="418"/>
      <c r="AT1889" s="418"/>
      <c r="AU1889" s="418"/>
      <c r="AV1889" s="418"/>
      <c r="AW1889" s="418"/>
      <c r="AX1889" s="418"/>
      <c r="AY1889" s="418"/>
      <c r="AZ1889" s="418"/>
    </row>
    <row r="1890" spans="40:52" ht="15.75" customHeight="1">
      <c r="AN1890" s="418"/>
      <c r="AO1890" s="418"/>
      <c r="AP1890" s="418"/>
      <c r="AQ1890" s="418"/>
      <c r="AR1890" s="418"/>
      <c r="AS1890" s="418"/>
      <c r="AT1890" s="418"/>
      <c r="AU1890" s="418"/>
      <c r="AV1890" s="418"/>
      <c r="AW1890" s="418"/>
      <c r="AX1890" s="418"/>
      <c r="AY1890" s="418"/>
      <c r="AZ1890" s="418"/>
    </row>
    <row r="1891" spans="40:52" ht="15.75" customHeight="1">
      <c r="AN1891" s="418"/>
      <c r="AO1891" s="418"/>
      <c r="AP1891" s="418"/>
      <c r="AQ1891" s="418"/>
      <c r="AR1891" s="418"/>
      <c r="AS1891" s="418"/>
      <c r="AT1891" s="418"/>
      <c r="AU1891" s="418"/>
      <c r="AV1891" s="418"/>
      <c r="AW1891" s="418"/>
      <c r="AX1891" s="418"/>
      <c r="AY1891" s="418"/>
      <c r="AZ1891" s="418"/>
    </row>
    <row r="1892" spans="40:52" ht="15.75" customHeight="1">
      <c r="AN1892" s="418"/>
      <c r="AO1892" s="418"/>
      <c r="AP1892" s="418"/>
      <c r="AQ1892" s="418"/>
      <c r="AR1892" s="418"/>
      <c r="AS1892" s="418"/>
      <c r="AT1892" s="418"/>
      <c r="AU1892" s="418"/>
      <c r="AV1892" s="418"/>
      <c r="AW1892" s="418"/>
      <c r="AX1892" s="418"/>
      <c r="AY1892" s="418"/>
      <c r="AZ1892" s="418"/>
    </row>
    <row r="1893" spans="40:52" ht="15.75" customHeight="1">
      <c r="AN1893" s="418"/>
      <c r="AO1893" s="418"/>
      <c r="AP1893" s="418"/>
      <c r="AQ1893" s="418"/>
      <c r="AR1893" s="418"/>
      <c r="AS1893" s="418"/>
      <c r="AT1893" s="418"/>
      <c r="AU1893" s="418"/>
      <c r="AV1893" s="418"/>
      <c r="AW1893" s="418"/>
      <c r="AX1893" s="418"/>
      <c r="AY1893" s="418"/>
      <c r="AZ1893" s="418"/>
    </row>
    <row r="1894" spans="40:52" ht="15.75" customHeight="1">
      <c r="AN1894" s="418"/>
      <c r="AO1894" s="418"/>
      <c r="AP1894" s="418"/>
      <c r="AQ1894" s="418"/>
      <c r="AR1894" s="418"/>
      <c r="AS1894" s="418"/>
      <c r="AT1894" s="418"/>
      <c r="AU1894" s="418"/>
      <c r="AV1894" s="418"/>
      <c r="AW1894" s="418"/>
      <c r="AX1894" s="418"/>
      <c r="AY1894" s="418"/>
      <c r="AZ1894" s="418"/>
    </row>
    <row r="1895" spans="40:52" ht="15.75" customHeight="1">
      <c r="AN1895" s="418"/>
      <c r="AO1895" s="418"/>
      <c r="AP1895" s="418"/>
      <c r="AQ1895" s="418"/>
      <c r="AR1895" s="418"/>
      <c r="AS1895" s="418"/>
      <c r="AT1895" s="418"/>
      <c r="AU1895" s="418"/>
      <c r="AV1895" s="418"/>
      <c r="AW1895" s="418"/>
      <c r="AX1895" s="418"/>
      <c r="AY1895" s="418"/>
      <c r="AZ1895" s="418"/>
    </row>
    <row r="1896" spans="40:52" ht="15.75" customHeight="1">
      <c r="AN1896" s="418"/>
      <c r="AO1896" s="418"/>
      <c r="AP1896" s="418"/>
      <c r="AQ1896" s="418"/>
      <c r="AR1896" s="418"/>
      <c r="AS1896" s="418"/>
      <c r="AT1896" s="418"/>
      <c r="AU1896" s="418"/>
      <c r="AV1896" s="418"/>
      <c r="AW1896" s="418"/>
      <c r="AX1896" s="418"/>
      <c r="AY1896" s="418"/>
      <c r="AZ1896" s="418"/>
    </row>
    <row r="1897" spans="40:52" ht="15.75" customHeight="1">
      <c r="AN1897" s="418"/>
      <c r="AO1897" s="418"/>
      <c r="AP1897" s="418"/>
      <c r="AQ1897" s="418"/>
      <c r="AR1897" s="418"/>
      <c r="AS1897" s="418"/>
      <c r="AT1897" s="418"/>
      <c r="AU1897" s="418"/>
      <c r="AV1897" s="418"/>
      <c r="AW1897" s="418"/>
      <c r="AX1897" s="418"/>
      <c r="AY1897" s="418"/>
      <c r="AZ1897" s="418"/>
    </row>
    <row r="1898" spans="40:52" ht="15.75" customHeight="1">
      <c r="AN1898" s="418"/>
      <c r="AO1898" s="418"/>
      <c r="AP1898" s="418"/>
      <c r="AQ1898" s="418"/>
      <c r="AR1898" s="418"/>
      <c r="AS1898" s="418"/>
      <c r="AT1898" s="418"/>
      <c r="AU1898" s="418"/>
      <c r="AV1898" s="418"/>
      <c r="AW1898" s="418"/>
      <c r="AX1898" s="418"/>
      <c r="AY1898" s="418"/>
      <c r="AZ1898" s="418"/>
    </row>
    <row r="1899" spans="40:52" ht="15.75" customHeight="1">
      <c r="AN1899" s="418"/>
      <c r="AO1899" s="418"/>
      <c r="AP1899" s="418"/>
      <c r="AQ1899" s="418"/>
      <c r="AR1899" s="418"/>
      <c r="AS1899" s="418"/>
      <c r="AT1899" s="418"/>
      <c r="AU1899" s="418"/>
      <c r="AV1899" s="418"/>
      <c r="AW1899" s="418"/>
      <c r="AX1899" s="418"/>
      <c r="AY1899" s="418"/>
      <c r="AZ1899" s="418"/>
    </row>
    <row r="1900" spans="40:52" ht="15.75" customHeight="1">
      <c r="AN1900" s="418"/>
      <c r="AO1900" s="418"/>
      <c r="AP1900" s="418"/>
      <c r="AQ1900" s="418"/>
      <c r="AR1900" s="418"/>
      <c r="AS1900" s="418"/>
      <c r="AT1900" s="418"/>
      <c r="AU1900" s="418"/>
      <c r="AV1900" s="418"/>
      <c r="AW1900" s="418"/>
      <c r="AX1900" s="418"/>
      <c r="AY1900" s="418"/>
      <c r="AZ1900" s="418"/>
    </row>
    <row r="1901" spans="40:52" ht="15.75" customHeight="1">
      <c r="AN1901" s="418"/>
      <c r="AO1901" s="418"/>
      <c r="AP1901" s="418"/>
      <c r="AQ1901" s="418"/>
      <c r="AR1901" s="418"/>
      <c r="AS1901" s="418"/>
      <c r="AT1901" s="418"/>
      <c r="AU1901" s="418"/>
      <c r="AV1901" s="418"/>
      <c r="AW1901" s="418"/>
      <c r="AX1901" s="418"/>
      <c r="AY1901" s="418"/>
      <c r="AZ1901" s="418"/>
    </row>
    <row r="1902" spans="40:52" ht="15.75" customHeight="1">
      <c r="AN1902" s="418"/>
      <c r="AO1902" s="418"/>
      <c r="AP1902" s="418"/>
      <c r="AQ1902" s="418"/>
      <c r="AR1902" s="418"/>
      <c r="AS1902" s="418"/>
      <c r="AT1902" s="418"/>
      <c r="AU1902" s="418"/>
      <c r="AV1902" s="418"/>
      <c r="AW1902" s="418"/>
      <c r="AX1902" s="418"/>
      <c r="AY1902" s="418"/>
      <c r="AZ1902" s="418"/>
    </row>
    <row r="1903" spans="40:52" ht="15.75" customHeight="1">
      <c r="AN1903" s="418"/>
      <c r="AO1903" s="418"/>
      <c r="AP1903" s="418"/>
      <c r="AQ1903" s="418"/>
      <c r="AR1903" s="418"/>
      <c r="AS1903" s="418"/>
      <c r="AT1903" s="418"/>
      <c r="AU1903" s="418"/>
      <c r="AV1903" s="418"/>
      <c r="AW1903" s="418"/>
      <c r="AX1903" s="418"/>
      <c r="AY1903" s="418"/>
      <c r="AZ1903" s="418"/>
    </row>
    <row r="1904" spans="40:52" ht="15.75" customHeight="1">
      <c r="AN1904" s="418"/>
      <c r="AO1904" s="418"/>
      <c r="AP1904" s="418"/>
      <c r="AQ1904" s="418"/>
      <c r="AR1904" s="418"/>
      <c r="AS1904" s="418"/>
      <c r="AT1904" s="418"/>
      <c r="AU1904" s="418"/>
      <c r="AV1904" s="418"/>
      <c r="AW1904" s="418"/>
      <c r="AX1904" s="418"/>
      <c r="AY1904" s="418"/>
      <c r="AZ1904" s="418"/>
    </row>
    <row r="1905" spans="40:52" ht="15.75" customHeight="1">
      <c r="AN1905" s="418"/>
      <c r="AO1905" s="418"/>
      <c r="AP1905" s="418"/>
      <c r="AQ1905" s="418"/>
      <c r="AR1905" s="418"/>
      <c r="AS1905" s="418"/>
      <c r="AT1905" s="418"/>
      <c r="AU1905" s="418"/>
      <c r="AV1905" s="418"/>
      <c r="AW1905" s="418"/>
      <c r="AX1905" s="418"/>
      <c r="AY1905" s="418"/>
      <c r="AZ1905" s="418"/>
    </row>
    <row r="1906" spans="40:52" ht="15.75" customHeight="1">
      <c r="AN1906" s="418"/>
      <c r="AO1906" s="418"/>
      <c r="AP1906" s="418"/>
      <c r="AQ1906" s="418"/>
      <c r="AR1906" s="418"/>
      <c r="AS1906" s="418"/>
      <c r="AT1906" s="418"/>
      <c r="AU1906" s="418"/>
      <c r="AV1906" s="418"/>
      <c r="AW1906" s="418"/>
      <c r="AX1906" s="418"/>
      <c r="AY1906" s="418"/>
      <c r="AZ1906" s="418"/>
    </row>
    <row r="1907" spans="40:52" ht="15.75" customHeight="1">
      <c r="AN1907" s="418"/>
      <c r="AO1907" s="418"/>
      <c r="AP1907" s="418"/>
      <c r="AQ1907" s="418"/>
      <c r="AR1907" s="418"/>
      <c r="AS1907" s="418"/>
      <c r="AT1907" s="418"/>
      <c r="AU1907" s="418"/>
      <c r="AV1907" s="418"/>
      <c r="AW1907" s="418"/>
      <c r="AX1907" s="418"/>
      <c r="AY1907" s="418"/>
      <c r="AZ1907" s="418"/>
    </row>
    <row r="1908" spans="40:52" ht="15.75" customHeight="1">
      <c r="AN1908" s="418"/>
      <c r="AO1908" s="418"/>
      <c r="AP1908" s="418"/>
      <c r="AQ1908" s="418"/>
      <c r="AR1908" s="418"/>
      <c r="AS1908" s="418"/>
      <c r="AT1908" s="418"/>
      <c r="AU1908" s="418"/>
      <c r="AV1908" s="418"/>
      <c r="AW1908" s="418"/>
      <c r="AX1908" s="418"/>
      <c r="AY1908" s="418"/>
      <c r="AZ1908" s="418"/>
    </row>
    <row r="1909" spans="40:52" ht="15.75" customHeight="1">
      <c r="AN1909" s="418"/>
      <c r="AO1909" s="418"/>
      <c r="AP1909" s="418"/>
      <c r="AQ1909" s="418"/>
      <c r="AR1909" s="418"/>
      <c r="AS1909" s="418"/>
      <c r="AT1909" s="418"/>
      <c r="AU1909" s="418"/>
      <c r="AV1909" s="418"/>
      <c r="AW1909" s="418"/>
      <c r="AX1909" s="418"/>
      <c r="AY1909" s="418"/>
      <c r="AZ1909" s="418"/>
    </row>
    <row r="1910" spans="40:52" ht="15.75" customHeight="1">
      <c r="AN1910" s="418"/>
      <c r="AO1910" s="418"/>
      <c r="AP1910" s="418"/>
      <c r="AQ1910" s="418"/>
      <c r="AR1910" s="418"/>
      <c r="AS1910" s="418"/>
      <c r="AT1910" s="418"/>
      <c r="AU1910" s="418"/>
      <c r="AV1910" s="418"/>
      <c r="AW1910" s="418"/>
      <c r="AX1910" s="418"/>
      <c r="AY1910" s="418"/>
      <c r="AZ1910" s="418"/>
    </row>
    <row r="1911" spans="40:52" ht="15.75" customHeight="1">
      <c r="AN1911" s="418"/>
      <c r="AO1911" s="418"/>
      <c r="AP1911" s="418"/>
      <c r="AQ1911" s="418"/>
      <c r="AR1911" s="418"/>
      <c r="AS1911" s="418"/>
      <c r="AT1911" s="418"/>
      <c r="AU1911" s="418"/>
      <c r="AV1911" s="418"/>
      <c r="AW1911" s="418"/>
      <c r="AX1911" s="418"/>
      <c r="AY1911" s="418"/>
      <c r="AZ1911" s="418"/>
    </row>
    <row r="1912" spans="40:52" ht="15.75" customHeight="1">
      <c r="AN1912" s="418"/>
      <c r="AO1912" s="418"/>
      <c r="AP1912" s="418"/>
      <c r="AQ1912" s="418"/>
      <c r="AR1912" s="418"/>
      <c r="AS1912" s="418"/>
      <c r="AT1912" s="418"/>
      <c r="AU1912" s="418"/>
      <c r="AV1912" s="418"/>
      <c r="AW1912" s="418"/>
      <c r="AX1912" s="418"/>
      <c r="AY1912" s="418"/>
      <c r="AZ1912" s="418"/>
    </row>
    <row r="1913" spans="40:52" ht="15.75" customHeight="1">
      <c r="AN1913" s="418"/>
      <c r="AO1913" s="418"/>
      <c r="AP1913" s="418"/>
      <c r="AQ1913" s="418"/>
      <c r="AR1913" s="418"/>
      <c r="AS1913" s="418"/>
      <c r="AT1913" s="418"/>
      <c r="AU1913" s="418"/>
      <c r="AV1913" s="418"/>
      <c r="AW1913" s="418"/>
      <c r="AX1913" s="418"/>
      <c r="AY1913" s="418"/>
      <c r="AZ1913" s="418"/>
    </row>
    <row r="1914" spans="40:52" ht="15.75" customHeight="1">
      <c r="AN1914" s="418"/>
      <c r="AO1914" s="418"/>
      <c r="AP1914" s="418"/>
      <c r="AQ1914" s="418"/>
      <c r="AR1914" s="418"/>
      <c r="AS1914" s="418"/>
      <c r="AT1914" s="418"/>
      <c r="AU1914" s="418"/>
      <c r="AV1914" s="418"/>
      <c r="AW1914" s="418"/>
      <c r="AX1914" s="418"/>
      <c r="AY1914" s="418"/>
      <c r="AZ1914" s="418"/>
    </row>
    <row r="1915" spans="40:52" ht="15.75" customHeight="1">
      <c r="AN1915" s="418"/>
      <c r="AO1915" s="418"/>
      <c r="AP1915" s="418"/>
      <c r="AQ1915" s="418"/>
      <c r="AR1915" s="418"/>
      <c r="AS1915" s="418"/>
      <c r="AT1915" s="418"/>
      <c r="AU1915" s="418"/>
      <c r="AV1915" s="418"/>
      <c r="AW1915" s="418"/>
      <c r="AX1915" s="418"/>
      <c r="AY1915" s="418"/>
      <c r="AZ1915" s="418"/>
    </row>
    <row r="1916" spans="40:52" ht="15.75" customHeight="1">
      <c r="AN1916" s="418"/>
      <c r="AO1916" s="418"/>
      <c r="AP1916" s="418"/>
      <c r="AQ1916" s="418"/>
      <c r="AR1916" s="418"/>
      <c r="AS1916" s="418"/>
      <c r="AT1916" s="418"/>
      <c r="AU1916" s="418"/>
      <c r="AV1916" s="418"/>
      <c r="AW1916" s="418"/>
      <c r="AX1916" s="418"/>
      <c r="AY1916" s="418"/>
      <c r="AZ1916" s="418"/>
    </row>
    <row r="1917" spans="40:52" ht="15.75" customHeight="1">
      <c r="AN1917" s="418"/>
      <c r="AO1917" s="418"/>
      <c r="AP1917" s="418"/>
      <c r="AQ1917" s="418"/>
      <c r="AR1917" s="418"/>
      <c r="AS1917" s="418"/>
      <c r="AT1917" s="418"/>
      <c r="AU1917" s="418"/>
      <c r="AV1917" s="418"/>
      <c r="AW1917" s="418"/>
      <c r="AX1917" s="418"/>
      <c r="AY1917" s="418"/>
      <c r="AZ1917" s="418"/>
    </row>
    <row r="1918" spans="40:52" ht="15.75" customHeight="1">
      <c r="AN1918" s="418"/>
      <c r="AO1918" s="418"/>
      <c r="AP1918" s="418"/>
      <c r="AQ1918" s="418"/>
      <c r="AR1918" s="418"/>
      <c r="AS1918" s="418"/>
      <c r="AT1918" s="418"/>
      <c r="AU1918" s="418"/>
      <c r="AV1918" s="418"/>
      <c r="AW1918" s="418"/>
      <c r="AX1918" s="418"/>
      <c r="AY1918" s="418"/>
      <c r="AZ1918" s="418"/>
    </row>
    <row r="1919" spans="40:52" ht="15.75" customHeight="1">
      <c r="AN1919" s="418"/>
      <c r="AO1919" s="418"/>
      <c r="AP1919" s="418"/>
      <c r="AQ1919" s="418"/>
      <c r="AR1919" s="418"/>
      <c r="AS1919" s="418"/>
      <c r="AT1919" s="418"/>
      <c r="AU1919" s="418"/>
      <c r="AV1919" s="418"/>
      <c r="AW1919" s="418"/>
      <c r="AX1919" s="418"/>
      <c r="AY1919" s="418"/>
      <c r="AZ1919" s="418"/>
    </row>
    <row r="1920" spans="40:52" ht="15.75" customHeight="1">
      <c r="AN1920" s="418"/>
      <c r="AO1920" s="418"/>
      <c r="AP1920" s="418"/>
      <c r="AQ1920" s="418"/>
      <c r="AR1920" s="418"/>
      <c r="AS1920" s="418"/>
      <c r="AT1920" s="418"/>
      <c r="AU1920" s="418"/>
      <c r="AV1920" s="418"/>
      <c r="AW1920" s="418"/>
      <c r="AX1920" s="418"/>
      <c r="AY1920" s="418"/>
      <c r="AZ1920" s="418"/>
    </row>
    <row r="1921" spans="40:52" ht="15.75" customHeight="1">
      <c r="AN1921" s="418"/>
      <c r="AO1921" s="418"/>
      <c r="AP1921" s="418"/>
      <c r="AQ1921" s="418"/>
      <c r="AR1921" s="418"/>
      <c r="AS1921" s="418"/>
      <c r="AT1921" s="418"/>
      <c r="AU1921" s="418"/>
      <c r="AV1921" s="418"/>
      <c r="AW1921" s="418"/>
      <c r="AX1921" s="418"/>
      <c r="AY1921" s="418"/>
      <c r="AZ1921" s="418"/>
    </row>
    <row r="1922" spans="40:52" ht="15.75" customHeight="1">
      <c r="AN1922" s="418"/>
      <c r="AO1922" s="418"/>
      <c r="AP1922" s="418"/>
      <c r="AQ1922" s="418"/>
      <c r="AR1922" s="418"/>
      <c r="AS1922" s="418"/>
      <c r="AT1922" s="418"/>
      <c r="AU1922" s="418"/>
      <c r="AV1922" s="418"/>
      <c r="AW1922" s="418"/>
      <c r="AX1922" s="418"/>
      <c r="AY1922" s="418"/>
      <c r="AZ1922" s="418"/>
    </row>
    <row r="1923" spans="40:52" ht="15.75" customHeight="1">
      <c r="AN1923" s="418"/>
      <c r="AO1923" s="418"/>
      <c r="AP1923" s="418"/>
      <c r="AQ1923" s="418"/>
      <c r="AR1923" s="418"/>
      <c r="AS1923" s="418"/>
      <c r="AT1923" s="418"/>
      <c r="AU1923" s="418"/>
      <c r="AV1923" s="418"/>
      <c r="AW1923" s="418"/>
      <c r="AX1923" s="418"/>
      <c r="AY1923" s="418"/>
      <c r="AZ1923" s="418"/>
    </row>
    <row r="1924" spans="40:52" ht="15.75" customHeight="1">
      <c r="AN1924" s="418"/>
      <c r="AO1924" s="418"/>
      <c r="AP1924" s="418"/>
      <c r="AQ1924" s="418"/>
      <c r="AR1924" s="418"/>
      <c r="AS1924" s="418"/>
      <c r="AT1924" s="418"/>
      <c r="AU1924" s="418"/>
      <c r="AV1924" s="418"/>
      <c r="AW1924" s="418"/>
      <c r="AX1924" s="418"/>
      <c r="AY1924" s="418"/>
      <c r="AZ1924" s="418"/>
    </row>
    <row r="1925" spans="40:52" ht="15.75" customHeight="1">
      <c r="AN1925" s="418"/>
      <c r="AO1925" s="418"/>
      <c r="AP1925" s="418"/>
      <c r="AQ1925" s="418"/>
      <c r="AR1925" s="418"/>
      <c r="AS1925" s="418"/>
      <c r="AT1925" s="418"/>
      <c r="AU1925" s="418"/>
      <c r="AV1925" s="418"/>
      <c r="AW1925" s="418"/>
      <c r="AX1925" s="418"/>
      <c r="AY1925" s="418"/>
      <c r="AZ1925" s="418"/>
    </row>
    <row r="1926" spans="40:52" ht="15.75" customHeight="1">
      <c r="AN1926" s="418"/>
      <c r="AO1926" s="418"/>
      <c r="AP1926" s="418"/>
      <c r="AQ1926" s="418"/>
      <c r="AR1926" s="418"/>
      <c r="AS1926" s="418"/>
      <c r="AT1926" s="418"/>
      <c r="AU1926" s="418"/>
      <c r="AV1926" s="418"/>
      <c r="AW1926" s="418"/>
      <c r="AX1926" s="418"/>
      <c r="AY1926" s="418"/>
      <c r="AZ1926" s="418"/>
    </row>
    <row r="1927" spans="40:52" ht="15.75" customHeight="1">
      <c r="AN1927" s="418"/>
      <c r="AO1927" s="418"/>
      <c r="AP1927" s="418"/>
      <c r="AQ1927" s="418"/>
      <c r="AR1927" s="418"/>
      <c r="AS1927" s="418"/>
      <c r="AT1927" s="418"/>
      <c r="AU1927" s="418"/>
      <c r="AV1927" s="418"/>
      <c r="AW1927" s="418"/>
      <c r="AX1927" s="418"/>
      <c r="AY1927" s="418"/>
      <c r="AZ1927" s="418"/>
    </row>
    <row r="1928" spans="40:52" ht="15.75" customHeight="1">
      <c r="AN1928" s="418"/>
      <c r="AO1928" s="418"/>
      <c r="AP1928" s="418"/>
      <c r="AQ1928" s="418"/>
      <c r="AR1928" s="418"/>
      <c r="AS1928" s="418"/>
      <c r="AT1928" s="418"/>
      <c r="AU1928" s="418"/>
      <c r="AV1928" s="418"/>
      <c r="AW1928" s="418"/>
      <c r="AX1928" s="418"/>
      <c r="AY1928" s="418"/>
      <c r="AZ1928" s="418"/>
    </row>
    <row r="1929" spans="40:52" ht="15.75" customHeight="1">
      <c r="AN1929" s="418"/>
      <c r="AO1929" s="418"/>
      <c r="AP1929" s="418"/>
      <c r="AQ1929" s="418"/>
      <c r="AR1929" s="418"/>
      <c r="AS1929" s="418"/>
      <c r="AT1929" s="418"/>
      <c r="AU1929" s="418"/>
      <c r="AV1929" s="418"/>
      <c r="AW1929" s="418"/>
      <c r="AX1929" s="418"/>
      <c r="AY1929" s="418"/>
      <c r="AZ1929" s="418"/>
    </row>
    <row r="1930" spans="40:52" ht="15.75" customHeight="1">
      <c r="AN1930" s="418"/>
      <c r="AO1930" s="418"/>
      <c r="AP1930" s="418"/>
      <c r="AQ1930" s="418"/>
      <c r="AR1930" s="418"/>
      <c r="AS1930" s="418"/>
      <c r="AT1930" s="418"/>
      <c r="AU1930" s="418"/>
      <c r="AV1930" s="418"/>
      <c r="AW1930" s="418"/>
      <c r="AX1930" s="418"/>
      <c r="AY1930" s="418"/>
      <c r="AZ1930" s="418"/>
    </row>
    <row r="1931" spans="40:52" ht="15.75" customHeight="1">
      <c r="AN1931" s="418"/>
      <c r="AO1931" s="418"/>
      <c r="AP1931" s="418"/>
      <c r="AQ1931" s="418"/>
      <c r="AR1931" s="418"/>
      <c r="AS1931" s="418"/>
      <c r="AT1931" s="418"/>
      <c r="AU1931" s="418"/>
      <c r="AV1931" s="418"/>
      <c r="AW1931" s="418"/>
      <c r="AX1931" s="418"/>
      <c r="AY1931" s="418"/>
      <c r="AZ1931" s="418"/>
    </row>
    <row r="1932" spans="40:52" ht="15.75" customHeight="1">
      <c r="AN1932" s="418"/>
      <c r="AO1932" s="418"/>
      <c r="AP1932" s="418"/>
      <c r="AQ1932" s="418"/>
      <c r="AR1932" s="418"/>
      <c r="AS1932" s="418"/>
      <c r="AT1932" s="418"/>
      <c r="AU1932" s="418"/>
      <c r="AV1932" s="418"/>
      <c r="AW1932" s="418"/>
      <c r="AX1932" s="418"/>
      <c r="AY1932" s="418"/>
      <c r="AZ1932" s="418"/>
    </row>
    <row r="1933" spans="40:52" ht="15.75" customHeight="1">
      <c r="AN1933" s="418"/>
      <c r="AO1933" s="418"/>
      <c r="AP1933" s="418"/>
      <c r="AQ1933" s="418"/>
      <c r="AR1933" s="418"/>
      <c r="AS1933" s="418"/>
      <c r="AT1933" s="418"/>
      <c r="AU1933" s="418"/>
      <c r="AV1933" s="418"/>
      <c r="AW1933" s="418"/>
      <c r="AX1933" s="418"/>
      <c r="AY1933" s="418"/>
      <c r="AZ1933" s="418"/>
    </row>
    <row r="1934" spans="40:52" ht="15.75" customHeight="1">
      <c r="AN1934" s="418"/>
      <c r="AO1934" s="418"/>
      <c r="AP1934" s="418"/>
      <c r="AQ1934" s="418"/>
      <c r="AR1934" s="418"/>
      <c r="AS1934" s="418"/>
      <c r="AT1934" s="418"/>
      <c r="AU1934" s="418"/>
      <c r="AV1934" s="418"/>
      <c r="AW1934" s="418"/>
      <c r="AX1934" s="418"/>
      <c r="AY1934" s="418"/>
      <c r="AZ1934" s="418"/>
    </row>
    <row r="1935" spans="40:52" ht="15.75" customHeight="1">
      <c r="AN1935" s="418"/>
      <c r="AO1935" s="418"/>
      <c r="AP1935" s="418"/>
      <c r="AQ1935" s="418"/>
      <c r="AR1935" s="418"/>
      <c r="AS1935" s="418"/>
      <c r="AT1935" s="418"/>
      <c r="AU1935" s="418"/>
      <c r="AV1935" s="418"/>
      <c r="AW1935" s="418"/>
      <c r="AX1935" s="418"/>
      <c r="AY1935" s="418"/>
      <c r="AZ1935" s="418"/>
    </row>
    <row r="1936" spans="40:52" ht="15.75" customHeight="1">
      <c r="AN1936" s="418"/>
      <c r="AO1936" s="418"/>
      <c r="AP1936" s="418"/>
      <c r="AQ1936" s="418"/>
      <c r="AR1936" s="418"/>
      <c r="AS1936" s="418"/>
      <c r="AT1936" s="418"/>
      <c r="AU1936" s="418"/>
      <c r="AV1936" s="418"/>
      <c r="AW1936" s="418"/>
      <c r="AX1936" s="418"/>
      <c r="AY1936" s="418"/>
      <c r="AZ1936" s="418"/>
    </row>
    <row r="1937" spans="40:52" ht="15.75" customHeight="1">
      <c r="AN1937" s="418"/>
      <c r="AO1937" s="418"/>
      <c r="AP1937" s="418"/>
      <c r="AQ1937" s="418"/>
      <c r="AR1937" s="418"/>
      <c r="AS1937" s="418"/>
      <c r="AT1937" s="418"/>
      <c r="AU1937" s="418"/>
      <c r="AV1937" s="418"/>
      <c r="AW1937" s="418"/>
      <c r="AX1937" s="418"/>
      <c r="AY1937" s="418"/>
      <c r="AZ1937" s="418"/>
    </row>
    <row r="1938" spans="40:52" ht="15.75" customHeight="1">
      <c r="AN1938" s="418"/>
      <c r="AO1938" s="418"/>
      <c r="AP1938" s="418"/>
      <c r="AQ1938" s="418"/>
      <c r="AR1938" s="418"/>
      <c r="AS1938" s="418"/>
      <c r="AT1938" s="418"/>
      <c r="AU1938" s="418"/>
      <c r="AV1938" s="418"/>
      <c r="AW1938" s="418"/>
      <c r="AX1938" s="418"/>
      <c r="AY1938" s="418"/>
      <c r="AZ1938" s="418"/>
    </row>
    <row r="1939" spans="40:52" ht="15.75" customHeight="1">
      <c r="AN1939" s="418"/>
      <c r="AO1939" s="418"/>
      <c r="AP1939" s="418"/>
      <c r="AQ1939" s="418"/>
      <c r="AR1939" s="418"/>
      <c r="AS1939" s="418"/>
      <c r="AT1939" s="418"/>
      <c r="AU1939" s="418"/>
      <c r="AV1939" s="418"/>
      <c r="AW1939" s="418"/>
      <c r="AX1939" s="418"/>
      <c r="AY1939" s="418"/>
      <c r="AZ1939" s="418"/>
    </row>
    <row r="1940" spans="40:52" ht="15.75" customHeight="1">
      <c r="AN1940" s="418"/>
      <c r="AO1940" s="418"/>
      <c r="AP1940" s="418"/>
      <c r="AQ1940" s="418"/>
      <c r="AR1940" s="418"/>
      <c r="AS1940" s="418"/>
      <c r="AT1940" s="418"/>
      <c r="AU1940" s="418"/>
      <c r="AV1940" s="418"/>
      <c r="AW1940" s="418"/>
      <c r="AX1940" s="418"/>
      <c r="AY1940" s="418"/>
      <c r="AZ1940" s="418"/>
    </row>
    <row r="1941" spans="40:52" ht="15.75" customHeight="1">
      <c r="AN1941" s="418"/>
      <c r="AO1941" s="418"/>
      <c r="AP1941" s="418"/>
      <c r="AQ1941" s="418"/>
      <c r="AR1941" s="418"/>
      <c r="AS1941" s="418"/>
      <c r="AT1941" s="418"/>
      <c r="AU1941" s="418"/>
      <c r="AV1941" s="418"/>
      <c r="AW1941" s="418"/>
      <c r="AX1941" s="418"/>
      <c r="AY1941" s="418"/>
      <c r="AZ1941" s="418"/>
    </row>
    <row r="1942" spans="40:52" ht="15.75" customHeight="1">
      <c r="AN1942" s="418"/>
      <c r="AO1942" s="418"/>
      <c r="AP1942" s="418"/>
      <c r="AQ1942" s="418"/>
      <c r="AR1942" s="418"/>
      <c r="AS1942" s="418"/>
      <c r="AT1942" s="418"/>
      <c r="AU1942" s="418"/>
      <c r="AV1942" s="418"/>
      <c r="AW1942" s="418"/>
      <c r="AX1942" s="418"/>
      <c r="AY1942" s="418"/>
      <c r="AZ1942" s="418"/>
    </row>
    <row r="1943" spans="40:52" ht="15.75" customHeight="1">
      <c r="AN1943" s="418"/>
      <c r="AO1943" s="418"/>
      <c r="AP1943" s="418"/>
      <c r="AQ1943" s="418"/>
      <c r="AR1943" s="418"/>
      <c r="AS1943" s="418"/>
      <c r="AT1943" s="418"/>
      <c r="AU1943" s="418"/>
      <c r="AV1943" s="418"/>
      <c r="AW1943" s="418"/>
      <c r="AX1943" s="418"/>
      <c r="AY1943" s="418"/>
      <c r="AZ1943" s="418"/>
    </row>
    <row r="1944" spans="40:52" ht="15.75" customHeight="1">
      <c r="AN1944" s="418"/>
      <c r="AO1944" s="418"/>
      <c r="AP1944" s="418"/>
      <c r="AQ1944" s="418"/>
      <c r="AR1944" s="418"/>
      <c r="AS1944" s="418"/>
      <c r="AT1944" s="418"/>
      <c r="AU1944" s="418"/>
      <c r="AV1944" s="418"/>
      <c r="AW1944" s="418"/>
      <c r="AX1944" s="418"/>
      <c r="AY1944" s="418"/>
      <c r="AZ1944" s="418"/>
    </row>
    <row r="1945" spans="40:52" ht="15.75" customHeight="1">
      <c r="AN1945" s="418"/>
      <c r="AO1945" s="418"/>
      <c r="AP1945" s="418"/>
      <c r="AQ1945" s="418"/>
      <c r="AR1945" s="418"/>
      <c r="AS1945" s="418"/>
      <c r="AT1945" s="418"/>
      <c r="AU1945" s="418"/>
      <c r="AV1945" s="418"/>
      <c r="AW1945" s="418"/>
      <c r="AX1945" s="418"/>
      <c r="AY1945" s="418"/>
      <c r="AZ1945" s="418"/>
    </row>
    <row r="1946" spans="40:52" ht="15.75" customHeight="1">
      <c r="AN1946" s="418"/>
      <c r="AO1946" s="418"/>
      <c r="AP1946" s="418"/>
      <c r="AQ1946" s="418"/>
      <c r="AR1946" s="418"/>
      <c r="AS1946" s="418"/>
      <c r="AT1946" s="418"/>
      <c r="AU1946" s="418"/>
      <c r="AV1946" s="418"/>
      <c r="AW1946" s="418"/>
      <c r="AX1946" s="418"/>
      <c r="AY1946" s="418"/>
      <c r="AZ1946" s="418"/>
    </row>
    <row r="1947" spans="40:52" ht="15.75" customHeight="1">
      <c r="AN1947" s="418"/>
      <c r="AO1947" s="418"/>
      <c r="AP1947" s="418"/>
      <c r="AQ1947" s="418"/>
      <c r="AR1947" s="418"/>
      <c r="AS1947" s="418"/>
      <c r="AT1947" s="418"/>
      <c r="AU1947" s="418"/>
      <c r="AV1947" s="418"/>
      <c r="AW1947" s="418"/>
      <c r="AX1947" s="418"/>
      <c r="AY1947" s="418"/>
      <c r="AZ1947" s="418"/>
    </row>
    <row r="1948" spans="40:52" ht="15.75" customHeight="1">
      <c r="AN1948" s="418"/>
      <c r="AO1948" s="418"/>
      <c r="AP1948" s="418"/>
      <c r="AQ1948" s="418"/>
      <c r="AR1948" s="418"/>
      <c r="AS1948" s="418"/>
      <c r="AT1948" s="418"/>
      <c r="AU1948" s="418"/>
      <c r="AV1948" s="418"/>
      <c r="AW1948" s="418"/>
      <c r="AX1948" s="418"/>
      <c r="AY1948" s="418"/>
      <c r="AZ1948" s="418"/>
    </row>
    <row r="1949" spans="40:52" ht="15.75" customHeight="1">
      <c r="AN1949" s="418"/>
      <c r="AO1949" s="418"/>
      <c r="AP1949" s="418"/>
      <c r="AQ1949" s="418"/>
      <c r="AR1949" s="418"/>
      <c r="AS1949" s="418"/>
      <c r="AT1949" s="418"/>
      <c r="AU1949" s="418"/>
      <c r="AV1949" s="418"/>
      <c r="AW1949" s="418"/>
      <c r="AX1949" s="418"/>
      <c r="AY1949" s="418"/>
      <c r="AZ1949" s="418"/>
    </row>
    <row r="1950" spans="40:52" ht="15.75" customHeight="1">
      <c r="AN1950" s="418"/>
      <c r="AO1950" s="418"/>
      <c r="AP1950" s="418"/>
      <c r="AQ1950" s="418"/>
      <c r="AR1950" s="418"/>
      <c r="AS1950" s="418"/>
      <c r="AT1950" s="418"/>
      <c r="AU1950" s="418"/>
      <c r="AV1950" s="418"/>
      <c r="AW1950" s="418"/>
      <c r="AX1950" s="418"/>
      <c r="AY1950" s="418"/>
      <c r="AZ1950" s="418"/>
    </row>
    <row r="1951" spans="40:52" ht="15.75" customHeight="1">
      <c r="AN1951" s="418"/>
      <c r="AO1951" s="418"/>
      <c r="AP1951" s="418"/>
      <c r="AQ1951" s="418"/>
      <c r="AR1951" s="418"/>
      <c r="AS1951" s="418"/>
      <c r="AT1951" s="418"/>
      <c r="AU1951" s="418"/>
      <c r="AV1951" s="418"/>
      <c r="AW1951" s="418"/>
      <c r="AX1951" s="418"/>
      <c r="AY1951" s="418"/>
      <c r="AZ1951" s="418"/>
    </row>
    <row r="1952" spans="40:52" ht="15.75" customHeight="1">
      <c r="AN1952" s="418"/>
      <c r="AO1952" s="418"/>
      <c r="AP1952" s="418"/>
      <c r="AQ1952" s="418"/>
      <c r="AR1952" s="418"/>
      <c r="AS1952" s="418"/>
      <c r="AT1952" s="418"/>
      <c r="AU1952" s="418"/>
      <c r="AV1952" s="418"/>
      <c r="AW1952" s="418"/>
      <c r="AX1952" s="418"/>
      <c r="AY1952" s="418"/>
      <c r="AZ1952" s="418"/>
    </row>
    <row r="1953" spans="40:52" ht="15.75" customHeight="1">
      <c r="AN1953" s="418"/>
      <c r="AO1953" s="418"/>
      <c r="AP1953" s="418"/>
      <c r="AQ1953" s="418"/>
      <c r="AR1953" s="418"/>
      <c r="AS1953" s="418"/>
      <c r="AT1953" s="418"/>
      <c r="AU1953" s="418"/>
      <c r="AV1953" s="418"/>
      <c r="AW1953" s="418"/>
      <c r="AX1953" s="418"/>
      <c r="AY1953" s="418"/>
      <c r="AZ1953" s="418"/>
    </row>
    <row r="1954" spans="40:52" ht="15.75" customHeight="1">
      <c r="AN1954" s="418"/>
      <c r="AO1954" s="418"/>
      <c r="AP1954" s="418"/>
      <c r="AQ1954" s="418"/>
      <c r="AR1954" s="418"/>
      <c r="AS1954" s="418"/>
      <c r="AT1954" s="418"/>
      <c r="AU1954" s="418"/>
      <c r="AV1954" s="418"/>
      <c r="AW1954" s="418"/>
      <c r="AX1954" s="418"/>
      <c r="AY1954" s="418"/>
      <c r="AZ1954" s="418"/>
    </row>
    <row r="1955" spans="40:52" ht="15.75" customHeight="1">
      <c r="AN1955" s="418"/>
      <c r="AO1955" s="418"/>
      <c r="AP1955" s="418"/>
      <c r="AQ1955" s="418"/>
      <c r="AR1955" s="418"/>
      <c r="AS1955" s="418"/>
      <c r="AT1955" s="418"/>
      <c r="AU1955" s="418"/>
      <c r="AV1955" s="418"/>
      <c r="AW1955" s="418"/>
      <c r="AX1955" s="418"/>
      <c r="AY1955" s="418"/>
      <c r="AZ1955" s="418"/>
    </row>
    <row r="1956" spans="40:52" ht="15.75" customHeight="1">
      <c r="AN1956" s="418"/>
      <c r="AO1956" s="418"/>
      <c r="AP1956" s="418"/>
      <c r="AQ1956" s="418"/>
      <c r="AR1956" s="418"/>
      <c r="AS1956" s="418"/>
      <c r="AT1956" s="418"/>
      <c r="AU1956" s="418"/>
      <c r="AV1956" s="418"/>
      <c r="AW1956" s="418"/>
      <c r="AX1956" s="418"/>
      <c r="AY1956" s="418"/>
      <c r="AZ1956" s="418"/>
    </row>
    <row r="1957" spans="40:52" ht="15.75" customHeight="1">
      <c r="AN1957" s="418"/>
      <c r="AO1957" s="418"/>
      <c r="AP1957" s="418"/>
      <c r="AQ1957" s="418"/>
      <c r="AR1957" s="418"/>
      <c r="AS1957" s="418"/>
      <c r="AT1957" s="418"/>
      <c r="AU1957" s="418"/>
      <c r="AV1957" s="418"/>
      <c r="AW1957" s="418"/>
      <c r="AX1957" s="418"/>
      <c r="AY1957" s="418"/>
      <c r="AZ1957" s="418"/>
    </row>
    <row r="1958" spans="40:52" ht="15.75" customHeight="1">
      <c r="AN1958" s="418"/>
      <c r="AO1958" s="418"/>
      <c r="AP1958" s="418"/>
      <c r="AQ1958" s="418"/>
      <c r="AR1958" s="418"/>
      <c r="AS1958" s="418"/>
      <c r="AT1958" s="418"/>
      <c r="AU1958" s="418"/>
      <c r="AV1958" s="418"/>
      <c r="AW1958" s="418"/>
      <c r="AX1958" s="418"/>
      <c r="AY1958" s="418"/>
      <c r="AZ1958" s="418"/>
    </row>
    <row r="1959" spans="40:52" ht="15.75" customHeight="1">
      <c r="AN1959" s="418"/>
      <c r="AO1959" s="418"/>
      <c r="AP1959" s="418"/>
      <c r="AQ1959" s="418"/>
      <c r="AR1959" s="418"/>
      <c r="AS1959" s="418"/>
      <c r="AT1959" s="418"/>
      <c r="AU1959" s="418"/>
      <c r="AV1959" s="418"/>
      <c r="AW1959" s="418"/>
      <c r="AX1959" s="418"/>
      <c r="AY1959" s="418"/>
      <c r="AZ1959" s="418"/>
    </row>
    <row r="1960" spans="40:52" ht="15.75" customHeight="1">
      <c r="AN1960" s="418"/>
      <c r="AO1960" s="418"/>
      <c r="AP1960" s="418"/>
      <c r="AQ1960" s="418"/>
      <c r="AR1960" s="418"/>
      <c r="AS1960" s="418"/>
      <c r="AT1960" s="418"/>
      <c r="AU1960" s="418"/>
      <c r="AV1960" s="418"/>
      <c r="AW1960" s="418"/>
      <c r="AX1960" s="418"/>
      <c r="AY1960" s="418"/>
      <c r="AZ1960" s="418"/>
    </row>
    <row r="1961" spans="40:52" ht="15.75" customHeight="1">
      <c r="AN1961" s="418"/>
      <c r="AO1961" s="418"/>
      <c r="AP1961" s="418"/>
      <c r="AQ1961" s="418"/>
      <c r="AR1961" s="418"/>
      <c r="AS1961" s="418"/>
      <c r="AT1961" s="418"/>
      <c r="AU1961" s="418"/>
      <c r="AV1961" s="418"/>
      <c r="AW1961" s="418"/>
      <c r="AX1961" s="418"/>
      <c r="AY1961" s="418"/>
      <c r="AZ1961" s="418"/>
    </row>
    <row r="1962" spans="40:52" ht="15.75" customHeight="1">
      <c r="AN1962" s="418"/>
      <c r="AO1962" s="418"/>
      <c r="AP1962" s="418"/>
      <c r="AQ1962" s="418"/>
      <c r="AR1962" s="418"/>
      <c r="AS1962" s="418"/>
      <c r="AT1962" s="418"/>
      <c r="AU1962" s="418"/>
      <c r="AV1962" s="418"/>
      <c r="AW1962" s="418"/>
      <c r="AX1962" s="418"/>
      <c r="AY1962" s="418"/>
      <c r="AZ1962" s="418"/>
    </row>
    <row r="1963" spans="40:52" ht="15.75" customHeight="1">
      <c r="AN1963" s="418"/>
      <c r="AO1963" s="418"/>
      <c r="AP1963" s="418"/>
      <c r="AQ1963" s="418"/>
      <c r="AR1963" s="418"/>
      <c r="AS1963" s="418"/>
      <c r="AT1963" s="418"/>
      <c r="AU1963" s="418"/>
      <c r="AV1963" s="418"/>
      <c r="AW1963" s="418"/>
      <c r="AX1963" s="418"/>
      <c r="AY1963" s="418"/>
      <c r="AZ1963" s="418"/>
    </row>
    <row r="1964" spans="40:52" ht="15.75" customHeight="1">
      <c r="AN1964" s="418"/>
      <c r="AO1964" s="418"/>
      <c r="AP1964" s="418"/>
      <c r="AQ1964" s="418"/>
      <c r="AR1964" s="418"/>
      <c r="AS1964" s="418"/>
      <c r="AT1964" s="418"/>
      <c r="AU1964" s="418"/>
      <c r="AV1964" s="418"/>
      <c r="AW1964" s="418"/>
      <c r="AX1964" s="418"/>
      <c r="AY1964" s="418"/>
      <c r="AZ1964" s="418"/>
    </row>
    <row r="1965" spans="40:52" ht="15.75" customHeight="1">
      <c r="AN1965" s="418"/>
      <c r="AO1965" s="418"/>
      <c r="AP1965" s="418"/>
      <c r="AQ1965" s="418"/>
      <c r="AR1965" s="418"/>
      <c r="AS1965" s="418"/>
      <c r="AT1965" s="418"/>
      <c r="AU1965" s="418"/>
      <c r="AV1965" s="418"/>
      <c r="AW1965" s="418"/>
      <c r="AX1965" s="418"/>
      <c r="AY1965" s="418"/>
      <c r="AZ1965" s="418"/>
    </row>
    <row r="1966" spans="40:52" ht="15.75" customHeight="1">
      <c r="AN1966" s="418"/>
      <c r="AO1966" s="418"/>
      <c r="AP1966" s="418"/>
      <c r="AQ1966" s="418"/>
      <c r="AR1966" s="418"/>
      <c r="AS1966" s="418"/>
      <c r="AT1966" s="418"/>
      <c r="AU1966" s="418"/>
      <c r="AV1966" s="418"/>
      <c r="AW1966" s="418"/>
      <c r="AX1966" s="418"/>
      <c r="AY1966" s="418"/>
      <c r="AZ1966" s="418"/>
    </row>
    <row r="1967" spans="40:52" ht="15.75" customHeight="1">
      <c r="AN1967" s="418"/>
      <c r="AO1967" s="418"/>
      <c r="AP1967" s="418"/>
      <c r="AQ1967" s="418"/>
      <c r="AR1967" s="418"/>
      <c r="AS1967" s="418"/>
      <c r="AT1967" s="418"/>
      <c r="AU1967" s="418"/>
      <c r="AV1967" s="418"/>
      <c r="AW1967" s="418"/>
      <c r="AX1967" s="418"/>
      <c r="AY1967" s="418"/>
      <c r="AZ1967" s="418"/>
    </row>
    <row r="1968" spans="40:52" ht="15.75" customHeight="1">
      <c r="AN1968" s="418"/>
      <c r="AO1968" s="418"/>
      <c r="AP1968" s="418"/>
      <c r="AQ1968" s="418"/>
      <c r="AR1968" s="418"/>
      <c r="AS1968" s="418"/>
      <c r="AT1968" s="418"/>
      <c r="AU1968" s="418"/>
      <c r="AV1968" s="418"/>
      <c r="AW1968" s="418"/>
      <c r="AX1968" s="418"/>
      <c r="AY1968" s="418"/>
      <c r="AZ1968" s="418"/>
    </row>
    <row r="1969" spans="40:52" ht="15.75" customHeight="1">
      <c r="AN1969" s="418"/>
      <c r="AO1969" s="418"/>
      <c r="AP1969" s="418"/>
      <c r="AQ1969" s="418"/>
      <c r="AR1969" s="418"/>
      <c r="AS1969" s="418"/>
      <c r="AT1969" s="418"/>
      <c r="AU1969" s="418"/>
      <c r="AV1969" s="418"/>
      <c r="AW1969" s="418"/>
      <c r="AX1969" s="418"/>
      <c r="AY1969" s="418"/>
      <c r="AZ1969" s="418"/>
    </row>
    <row r="1970" spans="40:52" ht="15.75" customHeight="1">
      <c r="AN1970" s="418"/>
      <c r="AO1970" s="418"/>
      <c r="AP1970" s="418"/>
      <c r="AQ1970" s="418"/>
      <c r="AR1970" s="418"/>
      <c r="AS1970" s="418"/>
      <c r="AT1970" s="418"/>
      <c r="AU1970" s="418"/>
      <c r="AV1970" s="418"/>
      <c r="AW1970" s="418"/>
      <c r="AX1970" s="418"/>
      <c r="AY1970" s="418"/>
      <c r="AZ1970" s="418"/>
    </row>
    <row r="1971" spans="40:52" ht="15.75" customHeight="1">
      <c r="AN1971" s="418"/>
      <c r="AO1971" s="418"/>
      <c r="AP1971" s="418"/>
      <c r="AQ1971" s="418"/>
      <c r="AR1971" s="418"/>
      <c r="AS1971" s="418"/>
      <c r="AT1971" s="418"/>
      <c r="AU1971" s="418"/>
      <c r="AV1971" s="418"/>
      <c r="AW1971" s="418"/>
      <c r="AX1971" s="418"/>
      <c r="AY1971" s="418"/>
      <c r="AZ1971" s="418"/>
    </row>
    <row r="1972" spans="40:52" ht="15.75" customHeight="1">
      <c r="AN1972" s="418"/>
      <c r="AO1972" s="418"/>
      <c r="AP1972" s="418"/>
      <c r="AQ1972" s="418"/>
      <c r="AR1972" s="418"/>
      <c r="AS1972" s="418"/>
      <c r="AT1972" s="418"/>
      <c r="AU1972" s="418"/>
      <c r="AV1972" s="418"/>
      <c r="AW1972" s="418"/>
      <c r="AX1972" s="418"/>
      <c r="AY1972" s="418"/>
      <c r="AZ1972" s="418"/>
    </row>
    <row r="1973" spans="40:52" ht="15.75" customHeight="1">
      <c r="AN1973" s="418"/>
      <c r="AO1973" s="418"/>
      <c r="AP1973" s="418"/>
      <c r="AQ1973" s="418"/>
      <c r="AR1973" s="418"/>
      <c r="AS1973" s="418"/>
      <c r="AT1973" s="418"/>
      <c r="AU1973" s="418"/>
      <c r="AV1973" s="418"/>
      <c r="AW1973" s="418"/>
      <c r="AX1973" s="418"/>
      <c r="AY1973" s="418"/>
      <c r="AZ1973" s="418"/>
    </row>
    <row r="1974" spans="40:52" ht="15.75" customHeight="1">
      <c r="AN1974" s="418"/>
      <c r="AO1974" s="418"/>
      <c r="AP1974" s="418"/>
      <c r="AQ1974" s="418"/>
      <c r="AR1974" s="418"/>
      <c r="AS1974" s="418"/>
      <c r="AT1974" s="418"/>
      <c r="AU1974" s="418"/>
      <c r="AV1974" s="418"/>
      <c r="AW1974" s="418"/>
      <c r="AX1974" s="418"/>
      <c r="AY1974" s="418"/>
      <c r="AZ1974" s="418"/>
    </row>
    <row r="1975" spans="40:52" ht="15.75" customHeight="1">
      <c r="AN1975" s="418"/>
      <c r="AO1975" s="418"/>
      <c r="AP1975" s="418"/>
      <c r="AQ1975" s="418"/>
      <c r="AR1975" s="418"/>
      <c r="AS1975" s="418"/>
      <c r="AT1975" s="418"/>
      <c r="AU1975" s="418"/>
      <c r="AV1975" s="418"/>
      <c r="AW1975" s="418"/>
      <c r="AX1975" s="418"/>
      <c r="AY1975" s="418"/>
      <c r="AZ1975" s="418"/>
    </row>
    <row r="1976" spans="40:52" ht="15.75" customHeight="1">
      <c r="AN1976" s="418"/>
      <c r="AO1976" s="418"/>
      <c r="AP1976" s="418"/>
      <c r="AQ1976" s="418"/>
      <c r="AR1976" s="418"/>
      <c r="AS1976" s="418"/>
      <c r="AT1976" s="418"/>
      <c r="AU1976" s="418"/>
      <c r="AV1976" s="418"/>
      <c r="AW1976" s="418"/>
      <c r="AX1976" s="418"/>
      <c r="AY1976" s="418"/>
      <c r="AZ1976" s="418"/>
    </row>
    <row r="1977" spans="40:52" ht="15.75" customHeight="1">
      <c r="AN1977" s="418"/>
      <c r="AO1977" s="418"/>
      <c r="AP1977" s="418"/>
      <c r="AQ1977" s="418"/>
      <c r="AR1977" s="418"/>
      <c r="AS1977" s="418"/>
      <c r="AT1977" s="418"/>
      <c r="AU1977" s="418"/>
      <c r="AV1977" s="418"/>
      <c r="AW1977" s="418"/>
      <c r="AX1977" s="418"/>
      <c r="AY1977" s="418"/>
      <c r="AZ1977" s="418"/>
    </row>
    <row r="1978" spans="40:52" ht="15.75" customHeight="1">
      <c r="AN1978" s="418"/>
      <c r="AO1978" s="418"/>
      <c r="AP1978" s="418"/>
      <c r="AQ1978" s="418"/>
      <c r="AR1978" s="418"/>
      <c r="AS1978" s="418"/>
      <c r="AT1978" s="418"/>
      <c r="AU1978" s="418"/>
      <c r="AV1978" s="418"/>
      <c r="AW1978" s="418"/>
      <c r="AX1978" s="418"/>
      <c r="AY1978" s="418"/>
      <c r="AZ1978" s="418"/>
    </row>
    <row r="1979" spans="40:52" ht="15.75" customHeight="1">
      <c r="AN1979" s="418"/>
      <c r="AO1979" s="418"/>
      <c r="AP1979" s="418"/>
      <c r="AQ1979" s="418"/>
      <c r="AR1979" s="418"/>
      <c r="AS1979" s="418"/>
      <c r="AT1979" s="418"/>
      <c r="AU1979" s="418"/>
      <c r="AV1979" s="418"/>
      <c r="AW1979" s="418"/>
      <c r="AX1979" s="418"/>
      <c r="AY1979" s="418"/>
      <c r="AZ1979" s="418"/>
    </row>
    <row r="1980" spans="40:52" ht="15.75" customHeight="1">
      <c r="AN1980" s="418"/>
      <c r="AO1980" s="418"/>
      <c r="AP1980" s="418"/>
      <c r="AQ1980" s="418"/>
      <c r="AR1980" s="418"/>
      <c r="AS1980" s="418"/>
      <c r="AT1980" s="418"/>
      <c r="AU1980" s="418"/>
      <c r="AV1980" s="418"/>
      <c r="AW1980" s="418"/>
      <c r="AX1980" s="418"/>
      <c r="AY1980" s="418"/>
      <c r="AZ1980" s="418"/>
    </row>
    <row r="1981" spans="40:52" ht="15.75" customHeight="1">
      <c r="AN1981" s="418"/>
      <c r="AO1981" s="418"/>
      <c r="AP1981" s="418"/>
      <c r="AQ1981" s="418"/>
      <c r="AR1981" s="418"/>
      <c r="AS1981" s="418"/>
      <c r="AT1981" s="418"/>
      <c r="AU1981" s="418"/>
      <c r="AV1981" s="418"/>
      <c r="AW1981" s="418"/>
      <c r="AX1981" s="418"/>
      <c r="AY1981" s="418"/>
      <c r="AZ1981" s="418"/>
    </row>
    <row r="1982" spans="40:52" ht="15.75" customHeight="1">
      <c r="AN1982" s="418"/>
      <c r="AO1982" s="418"/>
      <c r="AP1982" s="418"/>
      <c r="AQ1982" s="418"/>
      <c r="AR1982" s="418"/>
      <c r="AS1982" s="418"/>
      <c r="AT1982" s="418"/>
      <c r="AU1982" s="418"/>
      <c r="AV1982" s="418"/>
      <c r="AW1982" s="418"/>
      <c r="AX1982" s="418"/>
      <c r="AY1982" s="418"/>
      <c r="AZ1982" s="418"/>
    </row>
    <row r="1983" spans="40:52" ht="15.75" customHeight="1">
      <c r="AN1983" s="418"/>
      <c r="AO1983" s="418"/>
      <c r="AP1983" s="418"/>
      <c r="AQ1983" s="418"/>
      <c r="AR1983" s="418"/>
      <c r="AS1983" s="418"/>
      <c r="AT1983" s="418"/>
      <c r="AU1983" s="418"/>
      <c r="AV1983" s="418"/>
      <c r="AW1983" s="418"/>
      <c r="AX1983" s="418"/>
      <c r="AY1983" s="418"/>
      <c r="AZ1983" s="418"/>
    </row>
    <row r="1984" spans="40:52" ht="15.75" customHeight="1">
      <c r="AN1984" s="418"/>
      <c r="AO1984" s="418"/>
      <c r="AP1984" s="418"/>
      <c r="AQ1984" s="418"/>
      <c r="AR1984" s="418"/>
      <c r="AS1984" s="418"/>
      <c r="AT1984" s="418"/>
      <c r="AU1984" s="418"/>
      <c r="AV1984" s="418"/>
      <c r="AW1984" s="418"/>
      <c r="AX1984" s="418"/>
      <c r="AY1984" s="418"/>
      <c r="AZ1984" s="418"/>
    </row>
    <row r="1985" spans="40:52" ht="15.75" customHeight="1">
      <c r="AN1985" s="418"/>
      <c r="AO1985" s="418"/>
      <c r="AP1985" s="418"/>
      <c r="AQ1985" s="418"/>
      <c r="AR1985" s="418"/>
      <c r="AS1985" s="418"/>
      <c r="AT1985" s="418"/>
      <c r="AU1985" s="418"/>
      <c r="AV1985" s="418"/>
      <c r="AW1985" s="418"/>
      <c r="AX1985" s="418"/>
      <c r="AY1985" s="418"/>
      <c r="AZ1985" s="418"/>
    </row>
    <row r="1986" spans="40:52" ht="15.75" customHeight="1">
      <c r="AN1986" s="418"/>
      <c r="AO1986" s="418"/>
      <c r="AP1986" s="418"/>
      <c r="AQ1986" s="418"/>
      <c r="AR1986" s="418"/>
      <c r="AS1986" s="418"/>
      <c r="AT1986" s="418"/>
      <c r="AU1986" s="418"/>
      <c r="AV1986" s="418"/>
      <c r="AW1986" s="418"/>
      <c r="AX1986" s="418"/>
      <c r="AY1986" s="418"/>
      <c r="AZ1986" s="418"/>
    </row>
    <row r="1987" spans="40:52" ht="15.75" customHeight="1">
      <c r="AN1987" s="418"/>
      <c r="AO1987" s="418"/>
      <c r="AP1987" s="418"/>
      <c r="AQ1987" s="418"/>
      <c r="AR1987" s="418"/>
      <c r="AS1987" s="418"/>
      <c r="AT1987" s="418"/>
      <c r="AU1987" s="418"/>
      <c r="AV1987" s="418"/>
      <c r="AW1987" s="418"/>
      <c r="AX1987" s="418"/>
      <c r="AY1987" s="418"/>
      <c r="AZ1987" s="418"/>
    </row>
    <row r="1988" spans="40:52" ht="15.75" customHeight="1">
      <c r="AN1988" s="418"/>
      <c r="AO1988" s="418"/>
      <c r="AP1988" s="418"/>
      <c r="AQ1988" s="418"/>
      <c r="AR1988" s="418"/>
      <c r="AS1988" s="418"/>
      <c r="AT1988" s="418"/>
      <c r="AU1988" s="418"/>
      <c r="AV1988" s="418"/>
      <c r="AW1988" s="418"/>
      <c r="AX1988" s="418"/>
      <c r="AY1988" s="418"/>
      <c r="AZ1988" s="418"/>
    </row>
    <row r="1989" spans="40:52" ht="15.75" customHeight="1">
      <c r="AN1989" s="418"/>
      <c r="AO1989" s="418"/>
      <c r="AP1989" s="418"/>
      <c r="AQ1989" s="418"/>
      <c r="AR1989" s="418"/>
      <c r="AS1989" s="418"/>
      <c r="AT1989" s="418"/>
      <c r="AU1989" s="418"/>
      <c r="AV1989" s="418"/>
      <c r="AW1989" s="418"/>
      <c r="AX1989" s="418"/>
      <c r="AY1989" s="418"/>
      <c r="AZ1989" s="418"/>
    </row>
    <row r="1990" spans="40:52" ht="15.75" customHeight="1">
      <c r="AN1990" s="418"/>
      <c r="AO1990" s="418"/>
      <c r="AP1990" s="418"/>
      <c r="AQ1990" s="418"/>
      <c r="AR1990" s="418"/>
      <c r="AS1990" s="418"/>
      <c r="AT1990" s="418"/>
      <c r="AU1990" s="418"/>
      <c r="AV1990" s="418"/>
      <c r="AW1990" s="418"/>
      <c r="AX1990" s="418"/>
      <c r="AY1990" s="418"/>
      <c r="AZ1990" s="418"/>
    </row>
    <row r="1991" spans="40:52" ht="15.75" customHeight="1">
      <c r="AN1991" s="418"/>
      <c r="AO1991" s="418"/>
      <c r="AP1991" s="418"/>
      <c r="AQ1991" s="418"/>
      <c r="AR1991" s="418"/>
      <c r="AS1991" s="418"/>
      <c r="AT1991" s="418"/>
      <c r="AU1991" s="418"/>
      <c r="AV1991" s="418"/>
      <c r="AW1991" s="418"/>
      <c r="AX1991" s="418"/>
      <c r="AY1991" s="418"/>
      <c r="AZ1991" s="418"/>
    </row>
    <row r="1992" spans="40:52" ht="15.75" customHeight="1">
      <c r="AN1992" s="418"/>
      <c r="AO1992" s="418"/>
      <c r="AP1992" s="418"/>
      <c r="AQ1992" s="418"/>
      <c r="AR1992" s="418"/>
      <c r="AS1992" s="418"/>
      <c r="AT1992" s="418"/>
      <c r="AU1992" s="418"/>
      <c r="AV1992" s="418"/>
      <c r="AW1992" s="418"/>
      <c r="AX1992" s="418"/>
      <c r="AY1992" s="418"/>
      <c r="AZ1992" s="418"/>
    </row>
    <row r="1993" spans="40:52" ht="15.75" customHeight="1">
      <c r="AN1993" s="418"/>
      <c r="AO1993" s="418"/>
      <c r="AP1993" s="418"/>
      <c r="AQ1993" s="418"/>
      <c r="AR1993" s="418"/>
      <c r="AS1993" s="418"/>
      <c r="AT1993" s="418"/>
      <c r="AU1993" s="418"/>
      <c r="AV1993" s="418"/>
      <c r="AW1993" s="418"/>
      <c r="AX1993" s="418"/>
      <c r="AY1993" s="418"/>
      <c r="AZ1993" s="418"/>
    </row>
    <row r="1994" spans="40:52" ht="15.75" customHeight="1">
      <c r="AN1994" s="418"/>
      <c r="AO1994" s="418"/>
      <c r="AP1994" s="418"/>
      <c r="AQ1994" s="418"/>
      <c r="AR1994" s="418"/>
      <c r="AS1994" s="418"/>
      <c r="AT1994" s="418"/>
      <c r="AU1994" s="418"/>
      <c r="AV1994" s="418"/>
      <c r="AW1994" s="418"/>
      <c r="AX1994" s="418"/>
      <c r="AY1994" s="418"/>
      <c r="AZ1994" s="418"/>
    </row>
    <row r="1995" spans="40:52" ht="15.75" customHeight="1">
      <c r="AN1995" s="418"/>
      <c r="AO1995" s="418"/>
      <c r="AP1995" s="418"/>
      <c r="AQ1995" s="418"/>
      <c r="AR1995" s="418"/>
      <c r="AS1995" s="418"/>
      <c r="AT1995" s="418"/>
      <c r="AU1995" s="418"/>
      <c r="AV1995" s="418"/>
      <c r="AW1995" s="418"/>
      <c r="AX1995" s="418"/>
      <c r="AY1995" s="418"/>
      <c r="AZ1995" s="418"/>
    </row>
    <row r="1996" spans="40:52" ht="15.75" customHeight="1">
      <c r="AN1996" s="418"/>
      <c r="AO1996" s="418"/>
      <c r="AP1996" s="418"/>
      <c r="AQ1996" s="418"/>
      <c r="AR1996" s="418"/>
      <c r="AS1996" s="418"/>
      <c r="AT1996" s="418"/>
      <c r="AU1996" s="418"/>
      <c r="AV1996" s="418"/>
      <c r="AW1996" s="418"/>
      <c r="AX1996" s="418"/>
      <c r="AY1996" s="418"/>
      <c r="AZ1996" s="418"/>
    </row>
    <row r="1997" spans="40:52" ht="15.75" customHeight="1">
      <c r="AN1997" s="418"/>
      <c r="AO1997" s="418"/>
      <c r="AP1997" s="418"/>
      <c r="AQ1997" s="418"/>
      <c r="AR1997" s="418"/>
      <c r="AS1997" s="418"/>
      <c r="AT1997" s="418"/>
      <c r="AU1997" s="418"/>
      <c r="AV1997" s="418"/>
      <c r="AW1997" s="418"/>
      <c r="AX1997" s="418"/>
      <c r="AY1997" s="418"/>
      <c r="AZ1997" s="418"/>
    </row>
    <row r="1998" spans="40:52" ht="15.75" customHeight="1">
      <c r="AN1998" s="418"/>
      <c r="AO1998" s="418"/>
      <c r="AP1998" s="418"/>
      <c r="AQ1998" s="418"/>
      <c r="AR1998" s="418"/>
      <c r="AS1998" s="418"/>
      <c r="AT1998" s="418"/>
      <c r="AU1998" s="418"/>
      <c r="AV1998" s="418"/>
      <c r="AW1998" s="418"/>
      <c r="AX1998" s="418"/>
      <c r="AY1998" s="418"/>
      <c r="AZ1998" s="418"/>
    </row>
    <row r="1999" spans="40:52" ht="15.75" customHeight="1">
      <c r="AN1999" s="418"/>
      <c r="AO1999" s="418"/>
      <c r="AP1999" s="418"/>
      <c r="AQ1999" s="418"/>
      <c r="AR1999" s="418"/>
      <c r="AS1999" s="418"/>
      <c r="AT1999" s="418"/>
      <c r="AU1999" s="418"/>
      <c r="AV1999" s="418"/>
      <c r="AW1999" s="418"/>
      <c r="AX1999" s="418"/>
      <c r="AY1999" s="418"/>
      <c r="AZ1999" s="418"/>
    </row>
    <row r="2000" spans="40:52" ht="15.75" customHeight="1">
      <c r="AN2000" s="418"/>
      <c r="AO2000" s="418"/>
      <c r="AP2000" s="418"/>
      <c r="AQ2000" s="418"/>
      <c r="AR2000" s="418"/>
      <c r="AS2000" s="418"/>
      <c r="AT2000" s="418"/>
      <c r="AU2000" s="418"/>
      <c r="AV2000" s="418"/>
      <c r="AW2000" s="418"/>
      <c r="AX2000" s="418"/>
      <c r="AY2000" s="418"/>
      <c r="AZ2000" s="418"/>
    </row>
    <row r="2001" spans="40:52" ht="15.75" customHeight="1">
      <c r="AN2001" s="418"/>
      <c r="AO2001" s="418"/>
      <c r="AP2001" s="418"/>
      <c r="AQ2001" s="418"/>
      <c r="AR2001" s="418"/>
      <c r="AS2001" s="418"/>
      <c r="AT2001" s="418"/>
      <c r="AU2001" s="418"/>
      <c r="AV2001" s="418"/>
      <c r="AW2001" s="418"/>
      <c r="AX2001" s="418"/>
      <c r="AY2001" s="418"/>
      <c r="AZ2001" s="418"/>
    </row>
    <row r="2002" spans="40:52" ht="15.75" customHeight="1">
      <c r="AN2002" s="418"/>
      <c r="AO2002" s="418"/>
      <c r="AP2002" s="418"/>
      <c r="AQ2002" s="418"/>
      <c r="AR2002" s="418"/>
      <c r="AS2002" s="418"/>
      <c r="AT2002" s="418"/>
      <c r="AU2002" s="418"/>
      <c r="AV2002" s="418"/>
      <c r="AW2002" s="418"/>
      <c r="AX2002" s="418"/>
      <c r="AY2002" s="418"/>
      <c r="AZ2002" s="418"/>
    </row>
    <row r="2003" spans="40:52" ht="15.75" customHeight="1">
      <c r="AN2003" s="418"/>
      <c r="AO2003" s="418"/>
      <c r="AP2003" s="418"/>
      <c r="AQ2003" s="418"/>
      <c r="AR2003" s="418"/>
      <c r="AS2003" s="418"/>
      <c r="AT2003" s="418"/>
      <c r="AU2003" s="418"/>
      <c r="AV2003" s="418"/>
      <c r="AW2003" s="418"/>
      <c r="AX2003" s="418"/>
      <c r="AY2003" s="418"/>
      <c r="AZ2003" s="418"/>
    </row>
    <row r="2004" spans="40:52" ht="15.75" customHeight="1">
      <c r="AN2004" s="418"/>
      <c r="AO2004" s="418"/>
      <c r="AP2004" s="418"/>
      <c r="AQ2004" s="418"/>
      <c r="AR2004" s="418"/>
      <c r="AS2004" s="418"/>
      <c r="AT2004" s="418"/>
      <c r="AU2004" s="418"/>
      <c r="AV2004" s="418"/>
      <c r="AW2004" s="418"/>
      <c r="AX2004" s="418"/>
      <c r="AY2004" s="418"/>
      <c r="AZ2004" s="418"/>
    </row>
    <row r="2005" spans="40:52" ht="15.75" customHeight="1">
      <c r="AN2005" s="418"/>
      <c r="AO2005" s="418"/>
      <c r="AP2005" s="418"/>
      <c r="AQ2005" s="418"/>
      <c r="AR2005" s="418"/>
      <c r="AS2005" s="418"/>
      <c r="AT2005" s="418"/>
      <c r="AU2005" s="418"/>
      <c r="AV2005" s="418"/>
      <c r="AW2005" s="418"/>
      <c r="AX2005" s="418"/>
      <c r="AY2005" s="418"/>
      <c r="AZ2005" s="418"/>
    </row>
    <row r="2006" spans="40:52" ht="15.75" customHeight="1">
      <c r="AN2006" s="418"/>
      <c r="AO2006" s="418"/>
      <c r="AP2006" s="418"/>
      <c r="AQ2006" s="418"/>
      <c r="AR2006" s="418"/>
      <c r="AS2006" s="418"/>
      <c r="AT2006" s="418"/>
      <c r="AU2006" s="418"/>
      <c r="AV2006" s="418"/>
      <c r="AW2006" s="418"/>
      <c r="AX2006" s="418"/>
      <c r="AY2006" s="418"/>
      <c r="AZ2006" s="418"/>
    </row>
    <row r="2007" spans="40:52" ht="15.75" customHeight="1">
      <c r="AN2007" s="418"/>
      <c r="AO2007" s="418"/>
      <c r="AP2007" s="418"/>
      <c r="AQ2007" s="418"/>
      <c r="AR2007" s="418"/>
      <c r="AS2007" s="418"/>
      <c r="AT2007" s="418"/>
      <c r="AU2007" s="418"/>
      <c r="AV2007" s="418"/>
      <c r="AW2007" s="418"/>
      <c r="AX2007" s="418"/>
      <c r="AY2007" s="418"/>
      <c r="AZ2007" s="418"/>
    </row>
    <row r="2008" spans="40:52" ht="15.75" customHeight="1">
      <c r="AN2008" s="418"/>
      <c r="AO2008" s="418"/>
      <c r="AP2008" s="418"/>
      <c r="AQ2008" s="418"/>
      <c r="AR2008" s="418"/>
      <c r="AS2008" s="418"/>
      <c r="AT2008" s="418"/>
      <c r="AU2008" s="418"/>
      <c r="AV2008" s="418"/>
      <c r="AW2008" s="418"/>
      <c r="AX2008" s="418"/>
      <c r="AY2008" s="418"/>
      <c r="AZ2008" s="418"/>
    </row>
    <row r="2009" spans="40:52" ht="15.75" customHeight="1">
      <c r="AN2009" s="418"/>
      <c r="AO2009" s="418"/>
      <c r="AP2009" s="418"/>
      <c r="AQ2009" s="418"/>
      <c r="AR2009" s="418"/>
      <c r="AS2009" s="418"/>
      <c r="AT2009" s="418"/>
      <c r="AU2009" s="418"/>
      <c r="AV2009" s="418"/>
      <c r="AW2009" s="418"/>
      <c r="AX2009" s="418"/>
      <c r="AY2009" s="418"/>
      <c r="AZ2009" s="418"/>
    </row>
    <row r="2010" spans="40:52" ht="15.75" customHeight="1">
      <c r="AN2010" s="418"/>
      <c r="AO2010" s="418"/>
      <c r="AP2010" s="418"/>
      <c r="AQ2010" s="418"/>
      <c r="AR2010" s="418"/>
      <c r="AS2010" s="418"/>
      <c r="AT2010" s="418"/>
      <c r="AU2010" s="418"/>
      <c r="AV2010" s="418"/>
      <c r="AW2010" s="418"/>
      <c r="AX2010" s="418"/>
      <c r="AY2010" s="418"/>
      <c r="AZ2010" s="418"/>
    </row>
    <row r="2011" spans="40:52" ht="15.75" customHeight="1">
      <c r="AN2011" s="418"/>
      <c r="AO2011" s="418"/>
      <c r="AP2011" s="418"/>
      <c r="AQ2011" s="418"/>
      <c r="AR2011" s="418"/>
      <c r="AS2011" s="418"/>
      <c r="AT2011" s="418"/>
      <c r="AU2011" s="418"/>
      <c r="AV2011" s="418"/>
      <c r="AW2011" s="418"/>
      <c r="AX2011" s="418"/>
      <c r="AY2011" s="418"/>
      <c r="AZ2011" s="418"/>
    </row>
    <row r="2012" spans="40:52" ht="15.75" customHeight="1">
      <c r="AN2012" s="418"/>
      <c r="AO2012" s="418"/>
      <c r="AP2012" s="418"/>
      <c r="AQ2012" s="418"/>
      <c r="AR2012" s="418"/>
      <c r="AS2012" s="418"/>
      <c r="AT2012" s="418"/>
      <c r="AU2012" s="418"/>
      <c r="AV2012" s="418"/>
      <c r="AW2012" s="418"/>
      <c r="AX2012" s="418"/>
      <c r="AY2012" s="418"/>
      <c r="AZ2012" s="418"/>
    </row>
    <row r="2013" spans="40:52" ht="15.75" customHeight="1">
      <c r="AN2013" s="418"/>
      <c r="AO2013" s="418"/>
      <c r="AP2013" s="418"/>
      <c r="AQ2013" s="418"/>
      <c r="AR2013" s="418"/>
      <c r="AS2013" s="418"/>
      <c r="AT2013" s="418"/>
      <c r="AU2013" s="418"/>
      <c r="AV2013" s="418"/>
      <c r="AW2013" s="418"/>
      <c r="AX2013" s="418"/>
      <c r="AY2013" s="418"/>
      <c r="AZ2013" s="418"/>
    </row>
    <row r="2014" spans="40:52" ht="15.75" customHeight="1">
      <c r="AN2014" s="418"/>
      <c r="AO2014" s="418"/>
      <c r="AP2014" s="418"/>
      <c r="AQ2014" s="418"/>
      <c r="AR2014" s="418"/>
      <c r="AS2014" s="418"/>
      <c r="AT2014" s="418"/>
      <c r="AU2014" s="418"/>
      <c r="AV2014" s="418"/>
      <c r="AW2014" s="418"/>
      <c r="AX2014" s="418"/>
      <c r="AY2014" s="418"/>
      <c r="AZ2014" s="418"/>
    </row>
    <row r="2015" spans="40:52" ht="15.75" customHeight="1">
      <c r="AN2015" s="418"/>
      <c r="AO2015" s="418"/>
      <c r="AP2015" s="418"/>
      <c r="AQ2015" s="418"/>
      <c r="AR2015" s="418"/>
      <c r="AS2015" s="418"/>
      <c r="AT2015" s="418"/>
      <c r="AU2015" s="418"/>
      <c r="AV2015" s="418"/>
      <c r="AW2015" s="418"/>
      <c r="AX2015" s="418"/>
      <c r="AY2015" s="418"/>
      <c r="AZ2015" s="418"/>
    </row>
    <row r="2016" spans="40:52" ht="15.75" customHeight="1">
      <c r="AN2016" s="418"/>
      <c r="AO2016" s="418"/>
      <c r="AP2016" s="418"/>
      <c r="AQ2016" s="418"/>
      <c r="AR2016" s="418"/>
      <c r="AS2016" s="418"/>
      <c r="AT2016" s="418"/>
      <c r="AU2016" s="418"/>
      <c r="AV2016" s="418"/>
      <c r="AW2016" s="418"/>
      <c r="AX2016" s="418"/>
      <c r="AY2016" s="418"/>
      <c r="AZ2016" s="418"/>
    </row>
    <row r="2017" spans="40:52" ht="15.75" customHeight="1">
      <c r="AN2017" s="418"/>
      <c r="AO2017" s="418"/>
      <c r="AP2017" s="418"/>
      <c r="AQ2017" s="418"/>
      <c r="AR2017" s="418"/>
      <c r="AS2017" s="418"/>
      <c r="AT2017" s="418"/>
      <c r="AU2017" s="418"/>
      <c r="AV2017" s="418"/>
      <c r="AW2017" s="418"/>
      <c r="AX2017" s="418"/>
      <c r="AY2017" s="418"/>
      <c r="AZ2017" s="418"/>
    </row>
    <row r="2018" spans="40:52" ht="15.75" customHeight="1">
      <c r="AN2018" s="418"/>
      <c r="AO2018" s="418"/>
      <c r="AP2018" s="418"/>
      <c r="AQ2018" s="418"/>
      <c r="AR2018" s="418"/>
      <c r="AS2018" s="418"/>
      <c r="AT2018" s="418"/>
      <c r="AU2018" s="418"/>
      <c r="AV2018" s="418"/>
      <c r="AW2018" s="418"/>
      <c r="AX2018" s="418"/>
      <c r="AY2018" s="418"/>
      <c r="AZ2018" s="418"/>
    </row>
    <row r="2019" spans="40:52" ht="15.75" customHeight="1">
      <c r="AN2019" s="418"/>
      <c r="AO2019" s="418"/>
      <c r="AP2019" s="418"/>
      <c r="AQ2019" s="418"/>
      <c r="AR2019" s="418"/>
      <c r="AS2019" s="418"/>
      <c r="AT2019" s="418"/>
      <c r="AU2019" s="418"/>
      <c r="AV2019" s="418"/>
      <c r="AW2019" s="418"/>
      <c r="AX2019" s="418"/>
      <c r="AY2019" s="418"/>
      <c r="AZ2019" s="418"/>
    </row>
    <row r="2020" spans="40:52" ht="15.75" customHeight="1">
      <c r="AN2020" s="418"/>
      <c r="AO2020" s="418"/>
      <c r="AP2020" s="418"/>
      <c r="AQ2020" s="418"/>
      <c r="AR2020" s="418"/>
      <c r="AS2020" s="418"/>
      <c r="AT2020" s="418"/>
      <c r="AU2020" s="418"/>
      <c r="AV2020" s="418"/>
      <c r="AW2020" s="418"/>
      <c r="AX2020" s="418"/>
      <c r="AY2020" s="418"/>
      <c r="AZ2020" s="418"/>
    </row>
    <row r="2021" spans="40:52" ht="15.75" customHeight="1">
      <c r="AN2021" s="418"/>
      <c r="AO2021" s="418"/>
      <c r="AP2021" s="418"/>
      <c r="AQ2021" s="418"/>
      <c r="AR2021" s="418"/>
      <c r="AS2021" s="418"/>
      <c r="AT2021" s="418"/>
      <c r="AU2021" s="418"/>
      <c r="AV2021" s="418"/>
      <c r="AW2021" s="418"/>
      <c r="AX2021" s="418"/>
      <c r="AY2021" s="418"/>
      <c r="AZ2021" s="418"/>
    </row>
    <row r="2022" spans="40:52" ht="15.75" customHeight="1">
      <c r="AN2022" s="418"/>
      <c r="AO2022" s="418"/>
      <c r="AP2022" s="418"/>
      <c r="AQ2022" s="418"/>
      <c r="AR2022" s="418"/>
      <c r="AS2022" s="418"/>
      <c r="AT2022" s="418"/>
      <c r="AU2022" s="418"/>
      <c r="AV2022" s="418"/>
      <c r="AW2022" s="418"/>
      <c r="AX2022" s="418"/>
      <c r="AY2022" s="418"/>
      <c r="AZ2022" s="418"/>
    </row>
    <row r="2023" spans="40:52" ht="15.75" customHeight="1">
      <c r="AN2023" s="418"/>
      <c r="AO2023" s="418"/>
      <c r="AP2023" s="418"/>
      <c r="AQ2023" s="418"/>
      <c r="AR2023" s="418"/>
      <c r="AS2023" s="418"/>
      <c r="AT2023" s="418"/>
      <c r="AU2023" s="418"/>
      <c r="AV2023" s="418"/>
      <c r="AW2023" s="418"/>
      <c r="AX2023" s="418"/>
      <c r="AY2023" s="418"/>
      <c r="AZ2023" s="418"/>
    </row>
    <row r="2024" spans="40:52" ht="15.75" customHeight="1">
      <c r="AN2024" s="418"/>
      <c r="AO2024" s="418"/>
      <c r="AP2024" s="418"/>
      <c r="AQ2024" s="418"/>
      <c r="AR2024" s="418"/>
      <c r="AS2024" s="418"/>
      <c r="AT2024" s="418"/>
      <c r="AU2024" s="418"/>
      <c r="AV2024" s="418"/>
      <c r="AW2024" s="418"/>
      <c r="AX2024" s="418"/>
      <c r="AY2024" s="418"/>
      <c r="AZ2024" s="418"/>
    </row>
    <row r="2025" spans="40:52" ht="15.75" customHeight="1">
      <c r="AN2025" s="418"/>
      <c r="AO2025" s="418"/>
      <c r="AP2025" s="418"/>
      <c r="AQ2025" s="418"/>
      <c r="AR2025" s="418"/>
      <c r="AS2025" s="418"/>
      <c r="AT2025" s="418"/>
      <c r="AU2025" s="418"/>
      <c r="AV2025" s="418"/>
      <c r="AW2025" s="418"/>
      <c r="AX2025" s="418"/>
      <c r="AY2025" s="418"/>
      <c r="AZ2025" s="418"/>
    </row>
    <row r="2026" spans="40:52" ht="15.75" customHeight="1">
      <c r="AN2026" s="418"/>
      <c r="AO2026" s="418"/>
      <c r="AP2026" s="418"/>
      <c r="AQ2026" s="418"/>
      <c r="AR2026" s="418"/>
      <c r="AS2026" s="418"/>
      <c r="AT2026" s="418"/>
      <c r="AU2026" s="418"/>
      <c r="AV2026" s="418"/>
      <c r="AW2026" s="418"/>
      <c r="AX2026" s="418"/>
      <c r="AY2026" s="418"/>
      <c r="AZ2026" s="418"/>
    </row>
    <row r="2027" spans="40:52" ht="15.75" customHeight="1">
      <c r="AN2027" s="418"/>
      <c r="AO2027" s="418"/>
      <c r="AP2027" s="418"/>
      <c r="AQ2027" s="418"/>
      <c r="AR2027" s="418"/>
      <c r="AS2027" s="418"/>
      <c r="AT2027" s="418"/>
      <c r="AU2027" s="418"/>
      <c r="AV2027" s="418"/>
      <c r="AW2027" s="418"/>
      <c r="AX2027" s="418"/>
      <c r="AY2027" s="418"/>
      <c r="AZ2027" s="418"/>
    </row>
    <row r="2028" spans="40:52" ht="15.75" customHeight="1">
      <c r="AN2028" s="418"/>
      <c r="AO2028" s="418"/>
      <c r="AP2028" s="418"/>
      <c r="AQ2028" s="418"/>
      <c r="AR2028" s="418"/>
      <c r="AS2028" s="418"/>
      <c r="AT2028" s="418"/>
      <c r="AU2028" s="418"/>
      <c r="AV2028" s="418"/>
      <c r="AW2028" s="418"/>
      <c r="AX2028" s="418"/>
      <c r="AY2028" s="418"/>
      <c r="AZ2028" s="418"/>
    </row>
    <row r="2029" spans="40:52" ht="15.75" customHeight="1">
      <c r="AN2029" s="418"/>
      <c r="AO2029" s="418"/>
      <c r="AP2029" s="418"/>
      <c r="AQ2029" s="418"/>
      <c r="AR2029" s="418"/>
      <c r="AS2029" s="418"/>
      <c r="AT2029" s="418"/>
      <c r="AU2029" s="418"/>
      <c r="AV2029" s="418"/>
      <c r="AW2029" s="418"/>
      <c r="AX2029" s="418"/>
      <c r="AY2029" s="418"/>
      <c r="AZ2029" s="418"/>
    </row>
    <row r="2030" spans="40:52" ht="15.75" customHeight="1">
      <c r="AN2030" s="418"/>
      <c r="AO2030" s="418"/>
      <c r="AP2030" s="418"/>
      <c r="AQ2030" s="418"/>
      <c r="AR2030" s="418"/>
      <c r="AS2030" s="418"/>
      <c r="AT2030" s="418"/>
      <c r="AU2030" s="418"/>
      <c r="AV2030" s="418"/>
      <c r="AW2030" s="418"/>
      <c r="AX2030" s="418"/>
      <c r="AY2030" s="418"/>
      <c r="AZ2030" s="418"/>
    </row>
    <row r="2031" spans="40:52" ht="15.75" customHeight="1">
      <c r="AN2031" s="418"/>
      <c r="AO2031" s="418"/>
      <c r="AP2031" s="418"/>
      <c r="AQ2031" s="418"/>
      <c r="AR2031" s="418"/>
      <c r="AS2031" s="418"/>
      <c r="AT2031" s="418"/>
      <c r="AU2031" s="418"/>
      <c r="AV2031" s="418"/>
      <c r="AW2031" s="418"/>
      <c r="AX2031" s="418"/>
      <c r="AY2031" s="418"/>
      <c r="AZ2031" s="418"/>
    </row>
    <row r="2032" spans="40:52" ht="15.75" customHeight="1">
      <c r="AN2032" s="418"/>
      <c r="AO2032" s="418"/>
      <c r="AP2032" s="418"/>
      <c r="AQ2032" s="418"/>
      <c r="AR2032" s="418"/>
      <c r="AS2032" s="418"/>
      <c r="AT2032" s="418"/>
      <c r="AU2032" s="418"/>
      <c r="AV2032" s="418"/>
      <c r="AW2032" s="418"/>
      <c r="AX2032" s="418"/>
      <c r="AY2032" s="418"/>
      <c r="AZ2032" s="418"/>
    </row>
    <row r="2033" spans="40:52" ht="15.75" customHeight="1">
      <c r="AN2033" s="418"/>
      <c r="AO2033" s="418"/>
      <c r="AP2033" s="418"/>
      <c r="AQ2033" s="418"/>
      <c r="AR2033" s="418"/>
      <c r="AS2033" s="418"/>
      <c r="AT2033" s="418"/>
      <c r="AU2033" s="418"/>
      <c r="AV2033" s="418"/>
      <c r="AW2033" s="418"/>
      <c r="AX2033" s="418"/>
      <c r="AY2033" s="418"/>
      <c r="AZ2033" s="418"/>
    </row>
    <row r="2034" spans="40:52" ht="15.75" customHeight="1">
      <c r="AN2034" s="418"/>
      <c r="AO2034" s="418"/>
      <c r="AP2034" s="418"/>
      <c r="AQ2034" s="418"/>
      <c r="AR2034" s="418"/>
      <c r="AS2034" s="418"/>
      <c r="AT2034" s="418"/>
      <c r="AU2034" s="418"/>
      <c r="AV2034" s="418"/>
      <c r="AW2034" s="418"/>
      <c r="AX2034" s="418"/>
      <c r="AY2034" s="418"/>
      <c r="AZ2034" s="418"/>
    </row>
    <row r="2035" spans="40:52" ht="15.75" customHeight="1">
      <c r="AN2035" s="418"/>
      <c r="AO2035" s="418"/>
      <c r="AP2035" s="418"/>
      <c r="AQ2035" s="418"/>
      <c r="AR2035" s="418"/>
      <c r="AS2035" s="418"/>
      <c r="AT2035" s="418"/>
      <c r="AU2035" s="418"/>
      <c r="AV2035" s="418"/>
      <c r="AW2035" s="418"/>
      <c r="AX2035" s="418"/>
      <c r="AY2035" s="418"/>
      <c r="AZ2035" s="418"/>
    </row>
    <row r="2036" spans="40:52" ht="15.75" customHeight="1">
      <c r="AN2036" s="418"/>
      <c r="AO2036" s="418"/>
      <c r="AP2036" s="418"/>
      <c r="AQ2036" s="418"/>
      <c r="AR2036" s="418"/>
      <c r="AS2036" s="418"/>
      <c r="AT2036" s="418"/>
      <c r="AU2036" s="418"/>
      <c r="AV2036" s="418"/>
      <c r="AW2036" s="418"/>
      <c r="AX2036" s="418"/>
      <c r="AY2036" s="418"/>
      <c r="AZ2036" s="418"/>
    </row>
    <row r="2037" spans="40:52" ht="15.75" customHeight="1">
      <c r="AN2037" s="418"/>
      <c r="AO2037" s="418"/>
      <c r="AP2037" s="418"/>
      <c r="AQ2037" s="418"/>
      <c r="AR2037" s="418"/>
      <c r="AS2037" s="418"/>
      <c r="AT2037" s="418"/>
      <c r="AU2037" s="418"/>
      <c r="AV2037" s="418"/>
      <c r="AW2037" s="418"/>
      <c r="AX2037" s="418"/>
      <c r="AY2037" s="418"/>
      <c r="AZ2037" s="418"/>
    </row>
    <row r="2038" spans="40:52" ht="15.75" customHeight="1">
      <c r="AN2038" s="418"/>
      <c r="AO2038" s="418"/>
      <c r="AP2038" s="418"/>
      <c r="AQ2038" s="418"/>
      <c r="AR2038" s="418"/>
      <c r="AS2038" s="418"/>
      <c r="AT2038" s="418"/>
      <c r="AU2038" s="418"/>
      <c r="AV2038" s="418"/>
      <c r="AW2038" s="418"/>
      <c r="AX2038" s="418"/>
      <c r="AY2038" s="418"/>
      <c r="AZ2038" s="418"/>
    </row>
    <row r="2039" spans="40:52" ht="15.75" customHeight="1">
      <c r="AN2039" s="418"/>
      <c r="AO2039" s="418"/>
      <c r="AP2039" s="418"/>
      <c r="AQ2039" s="418"/>
      <c r="AR2039" s="418"/>
      <c r="AS2039" s="418"/>
      <c r="AT2039" s="418"/>
      <c r="AU2039" s="418"/>
      <c r="AV2039" s="418"/>
      <c r="AW2039" s="418"/>
      <c r="AX2039" s="418"/>
      <c r="AY2039" s="418"/>
      <c r="AZ2039" s="418"/>
    </row>
    <row r="2040" spans="40:52" ht="15.75" customHeight="1">
      <c r="AN2040" s="418"/>
      <c r="AO2040" s="418"/>
      <c r="AP2040" s="418"/>
      <c r="AQ2040" s="418"/>
      <c r="AR2040" s="418"/>
      <c r="AS2040" s="418"/>
      <c r="AT2040" s="418"/>
      <c r="AU2040" s="418"/>
      <c r="AV2040" s="418"/>
      <c r="AW2040" s="418"/>
      <c r="AX2040" s="418"/>
      <c r="AY2040" s="418"/>
      <c r="AZ2040" s="418"/>
    </row>
    <row r="2041" spans="40:52" ht="15.75" customHeight="1">
      <c r="AN2041" s="418"/>
      <c r="AO2041" s="418"/>
      <c r="AP2041" s="418"/>
      <c r="AQ2041" s="418"/>
      <c r="AR2041" s="418"/>
      <c r="AS2041" s="418"/>
      <c r="AT2041" s="418"/>
      <c r="AU2041" s="418"/>
      <c r="AV2041" s="418"/>
      <c r="AW2041" s="418"/>
      <c r="AX2041" s="418"/>
      <c r="AY2041" s="418"/>
      <c r="AZ2041" s="418"/>
    </row>
    <row r="2042" spans="40:52" ht="15.75" customHeight="1">
      <c r="AN2042" s="418"/>
      <c r="AO2042" s="418"/>
      <c r="AP2042" s="418"/>
      <c r="AQ2042" s="418"/>
      <c r="AR2042" s="418"/>
      <c r="AS2042" s="418"/>
      <c r="AT2042" s="418"/>
      <c r="AU2042" s="418"/>
      <c r="AV2042" s="418"/>
      <c r="AW2042" s="418"/>
      <c r="AX2042" s="418"/>
      <c r="AY2042" s="418"/>
      <c r="AZ2042" s="418"/>
    </row>
    <row r="2043" spans="40:52" ht="15.75" customHeight="1">
      <c r="AN2043" s="418"/>
      <c r="AO2043" s="418"/>
      <c r="AP2043" s="418"/>
      <c r="AQ2043" s="418"/>
      <c r="AR2043" s="418"/>
      <c r="AS2043" s="418"/>
      <c r="AT2043" s="418"/>
      <c r="AU2043" s="418"/>
      <c r="AV2043" s="418"/>
      <c r="AW2043" s="418"/>
      <c r="AX2043" s="418"/>
      <c r="AY2043" s="418"/>
      <c r="AZ2043" s="418"/>
    </row>
    <row r="2044" spans="40:52" ht="15.75" customHeight="1">
      <c r="AN2044" s="418"/>
      <c r="AO2044" s="418"/>
      <c r="AP2044" s="418"/>
      <c r="AQ2044" s="418"/>
      <c r="AR2044" s="418"/>
      <c r="AS2044" s="418"/>
      <c r="AT2044" s="418"/>
      <c r="AU2044" s="418"/>
      <c r="AV2044" s="418"/>
      <c r="AW2044" s="418"/>
      <c r="AX2044" s="418"/>
      <c r="AY2044" s="418"/>
      <c r="AZ2044" s="418"/>
    </row>
    <row r="2045" spans="40:52" ht="15.75" customHeight="1">
      <c r="AN2045" s="418"/>
      <c r="AO2045" s="418"/>
      <c r="AP2045" s="418"/>
      <c r="AQ2045" s="418"/>
      <c r="AR2045" s="418"/>
      <c r="AS2045" s="418"/>
      <c r="AT2045" s="418"/>
      <c r="AU2045" s="418"/>
      <c r="AV2045" s="418"/>
      <c r="AW2045" s="418"/>
      <c r="AX2045" s="418"/>
      <c r="AY2045" s="418"/>
      <c r="AZ2045" s="418"/>
    </row>
    <row r="2046" spans="40:52" ht="15.75" customHeight="1">
      <c r="AN2046" s="418"/>
      <c r="AO2046" s="418"/>
      <c r="AP2046" s="418"/>
      <c r="AQ2046" s="418"/>
      <c r="AR2046" s="418"/>
      <c r="AS2046" s="418"/>
      <c r="AT2046" s="418"/>
      <c r="AU2046" s="418"/>
      <c r="AV2046" s="418"/>
      <c r="AW2046" s="418"/>
      <c r="AX2046" s="418"/>
      <c r="AY2046" s="418"/>
      <c r="AZ2046" s="418"/>
    </row>
    <row r="2047" spans="40:52" ht="15.75" customHeight="1">
      <c r="AN2047" s="418"/>
      <c r="AO2047" s="418"/>
      <c r="AP2047" s="418"/>
      <c r="AQ2047" s="418"/>
      <c r="AR2047" s="418"/>
      <c r="AS2047" s="418"/>
      <c r="AT2047" s="418"/>
      <c r="AU2047" s="418"/>
      <c r="AV2047" s="418"/>
      <c r="AW2047" s="418"/>
      <c r="AX2047" s="418"/>
      <c r="AY2047" s="418"/>
      <c r="AZ2047" s="418"/>
    </row>
    <row r="2048" spans="40:52" ht="15.75" customHeight="1">
      <c r="AN2048" s="418"/>
      <c r="AO2048" s="418"/>
      <c r="AP2048" s="418"/>
      <c r="AQ2048" s="418"/>
      <c r="AR2048" s="418"/>
      <c r="AS2048" s="418"/>
      <c r="AT2048" s="418"/>
      <c r="AU2048" s="418"/>
      <c r="AV2048" s="418"/>
      <c r="AW2048" s="418"/>
      <c r="AX2048" s="418"/>
      <c r="AY2048" s="418"/>
      <c r="AZ2048" s="418"/>
    </row>
    <row r="2049" spans="40:52" ht="15.75" customHeight="1">
      <c r="AN2049" s="418"/>
      <c r="AO2049" s="418"/>
      <c r="AP2049" s="418"/>
      <c r="AQ2049" s="418"/>
      <c r="AR2049" s="418"/>
      <c r="AS2049" s="418"/>
      <c r="AT2049" s="418"/>
      <c r="AU2049" s="418"/>
      <c r="AV2049" s="418"/>
      <c r="AW2049" s="418"/>
      <c r="AX2049" s="418"/>
      <c r="AY2049" s="418"/>
      <c r="AZ2049" s="418"/>
    </row>
    <row r="2050" spans="40:52" ht="15.75" customHeight="1">
      <c r="AN2050" s="418"/>
      <c r="AO2050" s="418"/>
      <c r="AP2050" s="418"/>
      <c r="AQ2050" s="418"/>
      <c r="AR2050" s="418"/>
      <c r="AS2050" s="418"/>
      <c r="AT2050" s="418"/>
      <c r="AU2050" s="418"/>
      <c r="AV2050" s="418"/>
      <c r="AW2050" s="418"/>
      <c r="AX2050" s="418"/>
      <c r="AY2050" s="418"/>
      <c r="AZ2050" s="418"/>
    </row>
    <row r="2051" spans="40:52" ht="15.75" customHeight="1">
      <c r="AN2051" s="418"/>
      <c r="AO2051" s="418"/>
      <c r="AP2051" s="418"/>
      <c r="AQ2051" s="418"/>
      <c r="AR2051" s="418"/>
      <c r="AS2051" s="418"/>
      <c r="AT2051" s="418"/>
      <c r="AU2051" s="418"/>
      <c r="AV2051" s="418"/>
      <c r="AW2051" s="418"/>
      <c r="AX2051" s="418"/>
      <c r="AY2051" s="418"/>
      <c r="AZ2051" s="418"/>
    </row>
    <row r="2052" spans="40:52" ht="15.75" customHeight="1">
      <c r="AN2052" s="418"/>
      <c r="AO2052" s="418"/>
      <c r="AP2052" s="418"/>
      <c r="AQ2052" s="418"/>
      <c r="AR2052" s="418"/>
      <c r="AS2052" s="418"/>
      <c r="AT2052" s="418"/>
      <c r="AU2052" s="418"/>
      <c r="AV2052" s="418"/>
      <c r="AW2052" s="418"/>
      <c r="AX2052" s="418"/>
      <c r="AY2052" s="418"/>
      <c r="AZ2052" s="418"/>
    </row>
    <row r="2053" spans="40:52" ht="15.75" customHeight="1">
      <c r="AN2053" s="418"/>
      <c r="AO2053" s="418"/>
      <c r="AP2053" s="418"/>
      <c r="AQ2053" s="418"/>
      <c r="AR2053" s="418"/>
      <c r="AS2053" s="418"/>
      <c r="AT2053" s="418"/>
      <c r="AU2053" s="418"/>
      <c r="AV2053" s="418"/>
      <c r="AW2053" s="418"/>
      <c r="AX2053" s="418"/>
      <c r="AY2053" s="418"/>
      <c r="AZ2053" s="418"/>
    </row>
    <row r="2054" spans="40:52" ht="15.75" customHeight="1">
      <c r="AN2054" s="418"/>
      <c r="AO2054" s="418"/>
      <c r="AP2054" s="418"/>
      <c r="AQ2054" s="418"/>
      <c r="AR2054" s="418"/>
      <c r="AS2054" s="418"/>
      <c r="AT2054" s="418"/>
      <c r="AU2054" s="418"/>
      <c r="AV2054" s="418"/>
      <c r="AW2054" s="418"/>
      <c r="AX2054" s="418"/>
      <c r="AY2054" s="418"/>
      <c r="AZ2054" s="418"/>
    </row>
    <row r="2055" spans="40:52" ht="15.75" customHeight="1">
      <c r="AN2055" s="418"/>
      <c r="AO2055" s="418"/>
      <c r="AP2055" s="418"/>
      <c r="AQ2055" s="418"/>
      <c r="AR2055" s="418"/>
      <c r="AS2055" s="418"/>
      <c r="AT2055" s="418"/>
      <c r="AU2055" s="418"/>
      <c r="AV2055" s="418"/>
      <c r="AW2055" s="418"/>
      <c r="AX2055" s="418"/>
      <c r="AY2055" s="418"/>
      <c r="AZ2055" s="418"/>
    </row>
    <row r="2056" spans="40:52" ht="15.75" customHeight="1">
      <c r="AN2056" s="418"/>
      <c r="AO2056" s="418"/>
      <c r="AP2056" s="418"/>
      <c r="AQ2056" s="418"/>
      <c r="AR2056" s="418"/>
      <c r="AS2056" s="418"/>
      <c r="AT2056" s="418"/>
      <c r="AU2056" s="418"/>
      <c r="AV2056" s="418"/>
      <c r="AW2056" s="418"/>
      <c r="AX2056" s="418"/>
      <c r="AY2056" s="418"/>
      <c r="AZ2056" s="418"/>
    </row>
    <row r="2057" spans="40:52" ht="15.75" customHeight="1">
      <c r="AN2057" s="418"/>
      <c r="AO2057" s="418"/>
      <c r="AP2057" s="418"/>
      <c r="AQ2057" s="418"/>
      <c r="AR2057" s="418"/>
      <c r="AS2057" s="418"/>
      <c r="AT2057" s="418"/>
      <c r="AU2057" s="418"/>
      <c r="AV2057" s="418"/>
      <c r="AW2057" s="418"/>
      <c r="AX2057" s="418"/>
      <c r="AY2057" s="418"/>
      <c r="AZ2057" s="418"/>
    </row>
    <row r="2058" spans="40:52" ht="15.75" customHeight="1">
      <c r="AN2058" s="418"/>
      <c r="AO2058" s="418"/>
      <c r="AP2058" s="418"/>
      <c r="AQ2058" s="418"/>
      <c r="AR2058" s="418"/>
      <c r="AS2058" s="418"/>
      <c r="AT2058" s="418"/>
      <c r="AU2058" s="418"/>
      <c r="AV2058" s="418"/>
      <c r="AW2058" s="418"/>
      <c r="AX2058" s="418"/>
      <c r="AY2058" s="418"/>
      <c r="AZ2058" s="418"/>
    </row>
    <row r="2059" spans="40:52" ht="15.75" customHeight="1">
      <c r="AN2059" s="418"/>
      <c r="AO2059" s="418"/>
      <c r="AP2059" s="418"/>
      <c r="AQ2059" s="418"/>
      <c r="AR2059" s="418"/>
      <c r="AS2059" s="418"/>
      <c r="AT2059" s="418"/>
      <c r="AU2059" s="418"/>
      <c r="AV2059" s="418"/>
      <c r="AW2059" s="418"/>
      <c r="AX2059" s="418"/>
      <c r="AY2059" s="418"/>
      <c r="AZ2059" s="418"/>
    </row>
    <row r="2060" spans="40:52" ht="15.75" customHeight="1">
      <c r="AN2060" s="418"/>
      <c r="AO2060" s="418"/>
      <c r="AP2060" s="418"/>
      <c r="AQ2060" s="418"/>
      <c r="AR2060" s="418"/>
      <c r="AS2060" s="418"/>
      <c r="AT2060" s="418"/>
      <c r="AU2060" s="418"/>
      <c r="AV2060" s="418"/>
      <c r="AW2060" s="418"/>
      <c r="AX2060" s="418"/>
      <c r="AY2060" s="418"/>
      <c r="AZ2060" s="418"/>
    </row>
    <row r="2061" spans="40:52" ht="15.75" customHeight="1">
      <c r="AN2061" s="418"/>
      <c r="AO2061" s="418"/>
      <c r="AP2061" s="418"/>
      <c r="AQ2061" s="418"/>
      <c r="AR2061" s="418"/>
      <c r="AS2061" s="418"/>
      <c r="AT2061" s="418"/>
      <c r="AU2061" s="418"/>
      <c r="AV2061" s="418"/>
      <c r="AW2061" s="418"/>
      <c r="AX2061" s="418"/>
      <c r="AY2061" s="418"/>
      <c r="AZ2061" s="418"/>
    </row>
    <row r="2062" spans="40:52" ht="15.75" customHeight="1">
      <c r="AN2062" s="418"/>
      <c r="AO2062" s="418"/>
      <c r="AP2062" s="418"/>
      <c r="AQ2062" s="418"/>
      <c r="AR2062" s="418"/>
      <c r="AS2062" s="418"/>
      <c r="AT2062" s="418"/>
      <c r="AU2062" s="418"/>
      <c r="AV2062" s="418"/>
      <c r="AW2062" s="418"/>
      <c r="AX2062" s="418"/>
      <c r="AY2062" s="418"/>
      <c r="AZ2062" s="418"/>
    </row>
    <row r="2063" spans="40:52" ht="15.75" customHeight="1">
      <c r="AN2063" s="418"/>
      <c r="AO2063" s="418"/>
      <c r="AP2063" s="418"/>
      <c r="AQ2063" s="418"/>
      <c r="AR2063" s="418"/>
      <c r="AS2063" s="418"/>
      <c r="AT2063" s="418"/>
      <c r="AU2063" s="418"/>
      <c r="AV2063" s="418"/>
      <c r="AW2063" s="418"/>
      <c r="AX2063" s="418"/>
      <c r="AY2063" s="418"/>
      <c r="AZ2063" s="418"/>
    </row>
    <row r="2064" spans="40:52" ht="15.75" customHeight="1">
      <c r="AN2064" s="418"/>
      <c r="AO2064" s="418"/>
      <c r="AP2064" s="418"/>
      <c r="AQ2064" s="418"/>
      <c r="AR2064" s="418"/>
      <c r="AS2064" s="418"/>
      <c r="AT2064" s="418"/>
      <c r="AU2064" s="418"/>
      <c r="AV2064" s="418"/>
      <c r="AW2064" s="418"/>
      <c r="AX2064" s="418"/>
      <c r="AY2064" s="418"/>
      <c r="AZ2064" s="418"/>
    </row>
    <row r="2065" spans="40:52" ht="15.75" customHeight="1">
      <c r="AN2065" s="418"/>
      <c r="AO2065" s="418"/>
      <c r="AP2065" s="418"/>
      <c r="AQ2065" s="418"/>
      <c r="AR2065" s="418"/>
      <c r="AS2065" s="418"/>
      <c r="AT2065" s="418"/>
      <c r="AU2065" s="418"/>
      <c r="AV2065" s="418"/>
      <c r="AW2065" s="418"/>
      <c r="AX2065" s="418"/>
      <c r="AY2065" s="418"/>
      <c r="AZ2065" s="418"/>
    </row>
    <row r="2066" spans="40:52" ht="15.75" customHeight="1">
      <c r="AN2066" s="418"/>
      <c r="AO2066" s="418"/>
      <c r="AP2066" s="418"/>
      <c r="AQ2066" s="418"/>
      <c r="AR2066" s="418"/>
      <c r="AS2066" s="418"/>
      <c r="AT2066" s="418"/>
      <c r="AU2066" s="418"/>
      <c r="AV2066" s="418"/>
      <c r="AW2066" s="418"/>
      <c r="AX2066" s="418"/>
      <c r="AY2066" s="418"/>
      <c r="AZ2066" s="418"/>
    </row>
    <row r="2067" spans="40:52" ht="15.75" customHeight="1">
      <c r="AN2067" s="418"/>
      <c r="AO2067" s="418"/>
      <c r="AP2067" s="418"/>
      <c r="AQ2067" s="418"/>
      <c r="AR2067" s="418"/>
      <c r="AS2067" s="418"/>
      <c r="AT2067" s="418"/>
      <c r="AU2067" s="418"/>
      <c r="AV2067" s="418"/>
      <c r="AW2067" s="418"/>
      <c r="AX2067" s="418"/>
      <c r="AY2067" s="418"/>
      <c r="AZ2067" s="418"/>
    </row>
    <row r="2068" spans="40:52" ht="15.75" customHeight="1">
      <c r="AN2068" s="418"/>
      <c r="AO2068" s="418"/>
      <c r="AP2068" s="418"/>
      <c r="AQ2068" s="418"/>
      <c r="AR2068" s="418"/>
      <c r="AS2068" s="418"/>
      <c r="AT2068" s="418"/>
      <c r="AU2068" s="418"/>
      <c r="AV2068" s="418"/>
      <c r="AW2068" s="418"/>
      <c r="AX2068" s="418"/>
      <c r="AY2068" s="418"/>
      <c r="AZ2068" s="418"/>
    </row>
    <row r="2069" spans="40:52" ht="15.75" customHeight="1">
      <c r="AN2069" s="418"/>
      <c r="AO2069" s="418"/>
      <c r="AP2069" s="418"/>
      <c r="AQ2069" s="418"/>
      <c r="AR2069" s="418"/>
      <c r="AS2069" s="418"/>
      <c r="AT2069" s="418"/>
      <c r="AU2069" s="418"/>
      <c r="AV2069" s="418"/>
      <c r="AW2069" s="418"/>
      <c r="AX2069" s="418"/>
      <c r="AY2069" s="418"/>
      <c r="AZ2069" s="418"/>
    </row>
    <row r="2070" spans="40:52" ht="15.75" customHeight="1">
      <c r="AN2070" s="418"/>
      <c r="AO2070" s="418"/>
      <c r="AP2070" s="418"/>
      <c r="AQ2070" s="418"/>
      <c r="AR2070" s="418"/>
      <c r="AS2070" s="418"/>
      <c r="AT2070" s="418"/>
      <c r="AU2070" s="418"/>
      <c r="AV2070" s="418"/>
      <c r="AW2070" s="418"/>
      <c r="AX2070" s="418"/>
      <c r="AY2070" s="418"/>
      <c r="AZ2070" s="418"/>
    </row>
    <row r="2071" spans="40:52" ht="15.75" customHeight="1">
      <c r="AN2071" s="418"/>
      <c r="AO2071" s="418"/>
      <c r="AP2071" s="418"/>
      <c r="AQ2071" s="418"/>
      <c r="AR2071" s="418"/>
      <c r="AS2071" s="418"/>
      <c r="AT2071" s="418"/>
      <c r="AU2071" s="418"/>
      <c r="AV2071" s="418"/>
      <c r="AW2071" s="418"/>
      <c r="AX2071" s="418"/>
      <c r="AY2071" s="418"/>
      <c r="AZ2071" s="418"/>
    </row>
    <row r="2072" spans="40:52" ht="15.75" customHeight="1">
      <c r="AN2072" s="418"/>
      <c r="AO2072" s="418"/>
      <c r="AP2072" s="418"/>
      <c r="AQ2072" s="418"/>
      <c r="AR2072" s="418"/>
      <c r="AS2072" s="418"/>
      <c r="AT2072" s="418"/>
      <c r="AU2072" s="418"/>
      <c r="AV2072" s="418"/>
      <c r="AW2072" s="418"/>
      <c r="AX2072" s="418"/>
      <c r="AY2072" s="418"/>
      <c r="AZ2072" s="418"/>
    </row>
    <row r="2073" spans="40:52" ht="15.75" customHeight="1">
      <c r="AN2073" s="418"/>
      <c r="AO2073" s="418"/>
      <c r="AP2073" s="418"/>
      <c r="AQ2073" s="418"/>
      <c r="AR2073" s="418"/>
      <c r="AS2073" s="418"/>
      <c r="AT2073" s="418"/>
      <c r="AU2073" s="418"/>
      <c r="AV2073" s="418"/>
      <c r="AW2073" s="418"/>
      <c r="AX2073" s="418"/>
      <c r="AY2073" s="418"/>
      <c r="AZ2073" s="418"/>
    </row>
    <row r="2074" spans="40:52" ht="15.75" customHeight="1">
      <c r="AN2074" s="418"/>
      <c r="AO2074" s="418"/>
      <c r="AP2074" s="418"/>
      <c r="AQ2074" s="418"/>
      <c r="AR2074" s="418"/>
      <c r="AS2074" s="418"/>
      <c r="AT2074" s="418"/>
      <c r="AU2074" s="418"/>
      <c r="AV2074" s="418"/>
      <c r="AW2074" s="418"/>
      <c r="AX2074" s="418"/>
      <c r="AY2074" s="418"/>
      <c r="AZ2074" s="418"/>
    </row>
    <row r="2075" spans="40:52" ht="15.75" customHeight="1">
      <c r="AN2075" s="418"/>
      <c r="AO2075" s="418"/>
      <c r="AP2075" s="418"/>
      <c r="AQ2075" s="418"/>
      <c r="AR2075" s="418"/>
      <c r="AS2075" s="418"/>
      <c r="AT2075" s="418"/>
      <c r="AU2075" s="418"/>
      <c r="AV2075" s="418"/>
      <c r="AW2075" s="418"/>
      <c r="AX2075" s="418"/>
      <c r="AY2075" s="418"/>
      <c r="AZ2075" s="418"/>
    </row>
    <row r="2076" spans="40:52" ht="15.75" customHeight="1">
      <c r="AN2076" s="418"/>
      <c r="AO2076" s="418"/>
      <c r="AP2076" s="418"/>
      <c r="AQ2076" s="418"/>
      <c r="AR2076" s="418"/>
      <c r="AS2076" s="418"/>
      <c r="AT2076" s="418"/>
      <c r="AU2076" s="418"/>
      <c r="AV2076" s="418"/>
      <c r="AW2076" s="418"/>
      <c r="AX2076" s="418"/>
      <c r="AY2076" s="418"/>
      <c r="AZ2076" s="418"/>
    </row>
    <row r="2077" spans="40:52" ht="15.75" customHeight="1">
      <c r="AN2077" s="418"/>
      <c r="AO2077" s="418"/>
      <c r="AP2077" s="418"/>
      <c r="AQ2077" s="418"/>
      <c r="AR2077" s="418"/>
      <c r="AS2077" s="418"/>
      <c r="AT2077" s="418"/>
      <c r="AU2077" s="418"/>
      <c r="AV2077" s="418"/>
      <c r="AW2077" s="418"/>
      <c r="AX2077" s="418"/>
      <c r="AY2077" s="418"/>
      <c r="AZ2077" s="418"/>
    </row>
    <row r="2078" spans="40:52" ht="15.75" customHeight="1">
      <c r="AN2078" s="418"/>
      <c r="AO2078" s="418"/>
      <c r="AP2078" s="418"/>
      <c r="AQ2078" s="418"/>
      <c r="AR2078" s="418"/>
      <c r="AS2078" s="418"/>
      <c r="AT2078" s="418"/>
      <c r="AU2078" s="418"/>
      <c r="AV2078" s="418"/>
      <c r="AW2078" s="418"/>
      <c r="AX2078" s="418"/>
      <c r="AY2078" s="418"/>
      <c r="AZ2078" s="418"/>
    </row>
    <row r="2079" spans="40:52" ht="15.75" customHeight="1">
      <c r="AN2079" s="418"/>
      <c r="AO2079" s="418"/>
      <c r="AP2079" s="418"/>
      <c r="AQ2079" s="418"/>
      <c r="AR2079" s="418"/>
      <c r="AS2079" s="418"/>
      <c r="AT2079" s="418"/>
      <c r="AU2079" s="418"/>
      <c r="AV2079" s="418"/>
      <c r="AW2079" s="418"/>
      <c r="AX2079" s="418"/>
      <c r="AY2079" s="418"/>
      <c r="AZ2079" s="418"/>
    </row>
    <row r="2080" spans="40:52" ht="15.75" customHeight="1">
      <c r="AN2080" s="418"/>
      <c r="AO2080" s="418"/>
      <c r="AP2080" s="418"/>
      <c r="AQ2080" s="418"/>
      <c r="AR2080" s="418"/>
      <c r="AS2080" s="418"/>
      <c r="AT2080" s="418"/>
      <c r="AU2080" s="418"/>
      <c r="AV2080" s="418"/>
      <c r="AW2080" s="418"/>
      <c r="AX2080" s="418"/>
      <c r="AY2080" s="418"/>
      <c r="AZ2080" s="418"/>
    </row>
    <row r="2081" spans="40:52" ht="15.75" customHeight="1">
      <c r="AN2081" s="418"/>
      <c r="AO2081" s="418"/>
      <c r="AP2081" s="418"/>
      <c r="AQ2081" s="418"/>
      <c r="AR2081" s="418"/>
      <c r="AS2081" s="418"/>
      <c r="AT2081" s="418"/>
      <c r="AU2081" s="418"/>
      <c r="AV2081" s="418"/>
      <c r="AW2081" s="418"/>
      <c r="AX2081" s="418"/>
      <c r="AY2081" s="418"/>
      <c r="AZ2081" s="418"/>
    </row>
    <row r="2082" spans="40:52" ht="15.75" customHeight="1">
      <c r="AN2082" s="418"/>
      <c r="AO2082" s="418"/>
      <c r="AP2082" s="418"/>
      <c r="AQ2082" s="418"/>
      <c r="AR2082" s="418"/>
      <c r="AS2082" s="418"/>
      <c r="AT2082" s="418"/>
      <c r="AU2082" s="418"/>
      <c r="AV2082" s="418"/>
      <c r="AW2082" s="418"/>
      <c r="AX2082" s="418"/>
      <c r="AY2082" s="418"/>
      <c r="AZ2082" s="418"/>
    </row>
    <row r="2083" spans="40:52" ht="15.75" customHeight="1">
      <c r="AN2083" s="418"/>
      <c r="AO2083" s="418"/>
      <c r="AP2083" s="418"/>
      <c r="AQ2083" s="418"/>
      <c r="AR2083" s="418"/>
      <c r="AS2083" s="418"/>
      <c r="AT2083" s="418"/>
      <c r="AU2083" s="418"/>
      <c r="AV2083" s="418"/>
      <c r="AW2083" s="418"/>
      <c r="AX2083" s="418"/>
      <c r="AY2083" s="418"/>
      <c r="AZ2083" s="418"/>
    </row>
    <row r="2084" spans="40:52" ht="15.75" customHeight="1">
      <c r="AN2084" s="418"/>
      <c r="AO2084" s="418"/>
      <c r="AP2084" s="418"/>
      <c r="AQ2084" s="418"/>
      <c r="AR2084" s="418"/>
      <c r="AS2084" s="418"/>
      <c r="AT2084" s="418"/>
      <c r="AU2084" s="418"/>
      <c r="AV2084" s="418"/>
      <c r="AW2084" s="418"/>
      <c r="AX2084" s="418"/>
      <c r="AY2084" s="418"/>
      <c r="AZ2084" s="418"/>
    </row>
    <row r="2085" spans="40:52" ht="15.75" customHeight="1">
      <c r="AN2085" s="418"/>
      <c r="AO2085" s="418"/>
      <c r="AP2085" s="418"/>
      <c r="AQ2085" s="418"/>
      <c r="AR2085" s="418"/>
      <c r="AS2085" s="418"/>
      <c r="AT2085" s="418"/>
      <c r="AU2085" s="418"/>
      <c r="AV2085" s="418"/>
      <c r="AW2085" s="418"/>
      <c r="AX2085" s="418"/>
      <c r="AY2085" s="418"/>
      <c r="AZ2085" s="418"/>
    </row>
    <row r="2086" spans="40:52" ht="15.75" customHeight="1">
      <c r="AN2086" s="418"/>
      <c r="AO2086" s="418"/>
      <c r="AP2086" s="418"/>
      <c r="AQ2086" s="418"/>
      <c r="AR2086" s="418"/>
      <c r="AS2086" s="418"/>
      <c r="AT2086" s="418"/>
      <c r="AU2086" s="418"/>
      <c r="AV2086" s="418"/>
      <c r="AW2086" s="418"/>
      <c r="AX2086" s="418"/>
      <c r="AY2086" s="418"/>
      <c r="AZ2086" s="418"/>
    </row>
    <row r="2087" spans="40:52" ht="15.75" customHeight="1">
      <c r="AN2087" s="418"/>
      <c r="AO2087" s="418"/>
      <c r="AP2087" s="418"/>
      <c r="AQ2087" s="418"/>
      <c r="AR2087" s="418"/>
      <c r="AS2087" s="418"/>
      <c r="AT2087" s="418"/>
      <c r="AU2087" s="418"/>
      <c r="AV2087" s="418"/>
      <c r="AW2087" s="418"/>
      <c r="AX2087" s="418"/>
      <c r="AY2087" s="418"/>
      <c r="AZ2087" s="418"/>
    </row>
    <row r="2088" spans="40:52" ht="15.75" customHeight="1">
      <c r="AN2088" s="418"/>
      <c r="AO2088" s="418"/>
      <c r="AP2088" s="418"/>
      <c r="AQ2088" s="418"/>
      <c r="AR2088" s="418"/>
      <c r="AS2088" s="418"/>
      <c r="AT2088" s="418"/>
      <c r="AU2088" s="418"/>
      <c r="AV2088" s="418"/>
      <c r="AW2088" s="418"/>
      <c r="AX2088" s="418"/>
      <c r="AY2088" s="418"/>
      <c r="AZ2088" s="418"/>
    </row>
    <row r="2089" spans="40:52" ht="15.75" customHeight="1">
      <c r="AN2089" s="418"/>
      <c r="AO2089" s="418"/>
      <c r="AP2089" s="418"/>
      <c r="AQ2089" s="418"/>
      <c r="AR2089" s="418"/>
      <c r="AS2089" s="418"/>
      <c r="AT2089" s="418"/>
      <c r="AU2089" s="418"/>
      <c r="AV2089" s="418"/>
      <c r="AW2089" s="418"/>
      <c r="AX2089" s="418"/>
      <c r="AY2089" s="418"/>
      <c r="AZ2089" s="418"/>
    </row>
    <row r="2090" spans="40:52" ht="15.75" customHeight="1">
      <c r="AN2090" s="418"/>
      <c r="AO2090" s="418"/>
      <c r="AP2090" s="418"/>
      <c r="AQ2090" s="418"/>
      <c r="AR2090" s="418"/>
      <c r="AS2090" s="418"/>
      <c r="AT2090" s="418"/>
      <c r="AU2090" s="418"/>
      <c r="AV2090" s="418"/>
      <c r="AW2090" s="418"/>
      <c r="AX2090" s="418"/>
      <c r="AY2090" s="418"/>
      <c r="AZ2090" s="418"/>
    </row>
    <row r="2091" spans="40:52" ht="15.75" customHeight="1">
      <c r="AN2091" s="418"/>
      <c r="AO2091" s="418"/>
      <c r="AP2091" s="418"/>
      <c r="AQ2091" s="418"/>
      <c r="AR2091" s="418"/>
      <c r="AS2091" s="418"/>
      <c r="AT2091" s="418"/>
      <c r="AU2091" s="418"/>
      <c r="AV2091" s="418"/>
      <c r="AW2091" s="418"/>
      <c r="AX2091" s="418"/>
      <c r="AY2091" s="418"/>
      <c r="AZ2091" s="418"/>
    </row>
    <row r="2092" spans="40:52" ht="15.75" customHeight="1">
      <c r="AN2092" s="418"/>
      <c r="AO2092" s="418"/>
      <c r="AP2092" s="418"/>
      <c r="AQ2092" s="418"/>
      <c r="AR2092" s="418"/>
      <c r="AS2092" s="418"/>
      <c r="AT2092" s="418"/>
      <c r="AU2092" s="418"/>
      <c r="AV2092" s="418"/>
      <c r="AW2092" s="418"/>
      <c r="AX2092" s="418"/>
      <c r="AY2092" s="418"/>
      <c r="AZ2092" s="418"/>
    </row>
    <row r="2093" spans="40:52" ht="15.75" customHeight="1">
      <c r="AN2093" s="418"/>
      <c r="AO2093" s="418"/>
      <c r="AP2093" s="418"/>
      <c r="AQ2093" s="418"/>
      <c r="AR2093" s="418"/>
      <c r="AS2093" s="418"/>
      <c r="AT2093" s="418"/>
      <c r="AU2093" s="418"/>
      <c r="AV2093" s="418"/>
      <c r="AW2093" s="418"/>
      <c r="AX2093" s="418"/>
      <c r="AY2093" s="418"/>
      <c r="AZ2093" s="418"/>
    </row>
    <row r="2094" spans="40:52" ht="15.75" customHeight="1">
      <c r="AN2094" s="418"/>
      <c r="AO2094" s="418"/>
      <c r="AP2094" s="418"/>
      <c r="AQ2094" s="418"/>
      <c r="AR2094" s="418"/>
      <c r="AS2094" s="418"/>
      <c r="AT2094" s="418"/>
      <c r="AU2094" s="418"/>
      <c r="AV2094" s="418"/>
      <c r="AW2094" s="418"/>
      <c r="AX2094" s="418"/>
      <c r="AY2094" s="418"/>
      <c r="AZ2094" s="418"/>
    </row>
    <row r="2095" spans="40:52" ht="15.75" customHeight="1">
      <c r="AN2095" s="418"/>
      <c r="AO2095" s="418"/>
      <c r="AP2095" s="418"/>
      <c r="AQ2095" s="418"/>
      <c r="AR2095" s="418"/>
      <c r="AS2095" s="418"/>
      <c r="AT2095" s="418"/>
      <c r="AU2095" s="418"/>
      <c r="AV2095" s="418"/>
      <c r="AW2095" s="418"/>
      <c r="AX2095" s="418"/>
      <c r="AY2095" s="418"/>
      <c r="AZ2095" s="418"/>
    </row>
    <row r="2096" spans="40:52" ht="15.75" customHeight="1">
      <c r="AN2096" s="418"/>
      <c r="AO2096" s="418"/>
      <c r="AP2096" s="418"/>
      <c r="AQ2096" s="418"/>
      <c r="AR2096" s="418"/>
      <c r="AS2096" s="418"/>
      <c r="AT2096" s="418"/>
      <c r="AU2096" s="418"/>
      <c r="AV2096" s="418"/>
      <c r="AW2096" s="418"/>
      <c r="AX2096" s="418"/>
      <c r="AY2096" s="418"/>
      <c r="AZ2096" s="418"/>
    </row>
    <row r="2097" spans="40:52" ht="15.75" customHeight="1">
      <c r="AN2097" s="418"/>
      <c r="AO2097" s="418"/>
      <c r="AP2097" s="418"/>
      <c r="AQ2097" s="418"/>
      <c r="AR2097" s="418"/>
      <c r="AS2097" s="418"/>
      <c r="AT2097" s="418"/>
      <c r="AU2097" s="418"/>
      <c r="AV2097" s="418"/>
      <c r="AW2097" s="418"/>
      <c r="AX2097" s="418"/>
      <c r="AY2097" s="418"/>
      <c r="AZ2097" s="418"/>
    </row>
    <row r="2098" spans="40:52" ht="15.75" customHeight="1">
      <c r="AN2098" s="418"/>
      <c r="AO2098" s="418"/>
      <c r="AP2098" s="418"/>
      <c r="AQ2098" s="418"/>
      <c r="AR2098" s="418"/>
      <c r="AS2098" s="418"/>
      <c r="AT2098" s="418"/>
      <c r="AU2098" s="418"/>
      <c r="AV2098" s="418"/>
      <c r="AW2098" s="418"/>
      <c r="AX2098" s="418"/>
      <c r="AY2098" s="418"/>
      <c r="AZ2098" s="418"/>
    </row>
    <row r="2099" spans="40:52" ht="15.75" customHeight="1">
      <c r="AN2099" s="418"/>
      <c r="AO2099" s="418"/>
      <c r="AP2099" s="418"/>
      <c r="AQ2099" s="418"/>
      <c r="AR2099" s="418"/>
      <c r="AS2099" s="418"/>
      <c r="AT2099" s="418"/>
      <c r="AU2099" s="418"/>
      <c r="AV2099" s="418"/>
      <c r="AW2099" s="418"/>
      <c r="AX2099" s="418"/>
      <c r="AY2099" s="418"/>
      <c r="AZ2099" s="418"/>
    </row>
    <row r="2100" spans="40:52" ht="15.75" customHeight="1">
      <c r="AN2100" s="418"/>
      <c r="AO2100" s="418"/>
      <c r="AP2100" s="418"/>
      <c r="AQ2100" s="418"/>
      <c r="AR2100" s="418"/>
      <c r="AS2100" s="418"/>
      <c r="AT2100" s="418"/>
      <c r="AU2100" s="418"/>
      <c r="AV2100" s="418"/>
      <c r="AW2100" s="418"/>
      <c r="AX2100" s="418"/>
      <c r="AY2100" s="418"/>
      <c r="AZ2100" s="418"/>
    </row>
    <row r="2101" spans="40:52" ht="15.75" customHeight="1">
      <c r="AN2101" s="418"/>
      <c r="AO2101" s="418"/>
      <c r="AP2101" s="418"/>
      <c r="AQ2101" s="418"/>
      <c r="AR2101" s="418"/>
      <c r="AS2101" s="418"/>
      <c r="AT2101" s="418"/>
      <c r="AU2101" s="418"/>
      <c r="AV2101" s="418"/>
      <c r="AW2101" s="418"/>
      <c r="AX2101" s="418"/>
      <c r="AY2101" s="418"/>
      <c r="AZ2101" s="418"/>
    </row>
    <row r="2102" spans="40:52" ht="15.75" customHeight="1">
      <c r="AN2102" s="418"/>
      <c r="AO2102" s="418"/>
      <c r="AP2102" s="418"/>
      <c r="AQ2102" s="418"/>
      <c r="AR2102" s="418"/>
      <c r="AS2102" s="418"/>
      <c r="AT2102" s="418"/>
      <c r="AU2102" s="418"/>
      <c r="AV2102" s="418"/>
      <c r="AW2102" s="418"/>
      <c r="AX2102" s="418"/>
      <c r="AY2102" s="418"/>
      <c r="AZ2102" s="418"/>
    </row>
    <row r="2103" spans="40:52" ht="15.75" customHeight="1">
      <c r="AN2103" s="418"/>
      <c r="AO2103" s="418"/>
      <c r="AP2103" s="418"/>
      <c r="AQ2103" s="418"/>
      <c r="AR2103" s="418"/>
      <c r="AS2103" s="418"/>
      <c r="AT2103" s="418"/>
      <c r="AU2103" s="418"/>
      <c r="AV2103" s="418"/>
      <c r="AW2103" s="418"/>
      <c r="AX2103" s="418"/>
      <c r="AY2103" s="418"/>
      <c r="AZ2103" s="418"/>
    </row>
    <row r="2104" spans="40:52" ht="15.75" customHeight="1">
      <c r="AN2104" s="418"/>
      <c r="AO2104" s="418"/>
      <c r="AP2104" s="418"/>
      <c r="AQ2104" s="418"/>
      <c r="AR2104" s="418"/>
      <c r="AS2104" s="418"/>
      <c r="AT2104" s="418"/>
      <c r="AU2104" s="418"/>
      <c r="AV2104" s="418"/>
      <c r="AW2104" s="418"/>
      <c r="AX2104" s="418"/>
      <c r="AY2104" s="418"/>
      <c r="AZ2104" s="418"/>
    </row>
    <row r="2105" spans="40:52" ht="15.75" customHeight="1">
      <c r="AN2105" s="418"/>
      <c r="AO2105" s="418"/>
      <c r="AP2105" s="418"/>
      <c r="AQ2105" s="418"/>
      <c r="AR2105" s="418"/>
      <c r="AS2105" s="418"/>
      <c r="AT2105" s="418"/>
      <c r="AU2105" s="418"/>
      <c r="AV2105" s="418"/>
      <c r="AW2105" s="418"/>
      <c r="AX2105" s="418"/>
      <c r="AY2105" s="418"/>
      <c r="AZ2105" s="418"/>
    </row>
    <row r="2106" spans="40:52" ht="15.75" customHeight="1">
      <c r="AN2106" s="418"/>
      <c r="AO2106" s="418"/>
      <c r="AP2106" s="418"/>
      <c r="AQ2106" s="418"/>
      <c r="AR2106" s="418"/>
      <c r="AS2106" s="418"/>
      <c r="AT2106" s="418"/>
      <c r="AU2106" s="418"/>
      <c r="AV2106" s="418"/>
      <c r="AW2106" s="418"/>
      <c r="AX2106" s="418"/>
      <c r="AY2106" s="418"/>
      <c r="AZ2106" s="418"/>
    </row>
    <row r="2107" spans="40:52" ht="15.75" customHeight="1">
      <c r="AN2107" s="418"/>
      <c r="AO2107" s="418"/>
      <c r="AP2107" s="418"/>
      <c r="AQ2107" s="418"/>
      <c r="AR2107" s="418"/>
      <c r="AS2107" s="418"/>
      <c r="AT2107" s="418"/>
      <c r="AU2107" s="418"/>
      <c r="AV2107" s="418"/>
      <c r="AW2107" s="418"/>
      <c r="AX2107" s="418"/>
      <c r="AY2107" s="418"/>
      <c r="AZ2107" s="418"/>
    </row>
    <row r="2108" spans="40:52" ht="15.75" customHeight="1">
      <c r="AN2108" s="418"/>
      <c r="AO2108" s="418"/>
      <c r="AP2108" s="418"/>
      <c r="AQ2108" s="418"/>
      <c r="AR2108" s="418"/>
      <c r="AS2108" s="418"/>
      <c r="AT2108" s="418"/>
      <c r="AU2108" s="418"/>
      <c r="AV2108" s="418"/>
      <c r="AW2108" s="418"/>
      <c r="AX2108" s="418"/>
      <c r="AY2108" s="418"/>
      <c r="AZ2108" s="418"/>
    </row>
    <row r="2109" spans="40:52" ht="15.75" customHeight="1">
      <c r="AN2109" s="418"/>
      <c r="AO2109" s="418"/>
      <c r="AP2109" s="418"/>
      <c r="AQ2109" s="418"/>
      <c r="AR2109" s="418"/>
      <c r="AS2109" s="418"/>
      <c r="AT2109" s="418"/>
      <c r="AU2109" s="418"/>
      <c r="AV2109" s="418"/>
      <c r="AW2109" s="418"/>
      <c r="AX2109" s="418"/>
      <c r="AY2109" s="418"/>
      <c r="AZ2109" s="418"/>
    </row>
    <row r="2110" spans="40:52" ht="15.75" customHeight="1">
      <c r="AN2110" s="418"/>
      <c r="AO2110" s="418"/>
      <c r="AP2110" s="418"/>
      <c r="AQ2110" s="418"/>
      <c r="AR2110" s="418"/>
      <c r="AS2110" s="418"/>
      <c r="AT2110" s="418"/>
      <c r="AU2110" s="418"/>
      <c r="AV2110" s="418"/>
      <c r="AW2110" s="418"/>
      <c r="AX2110" s="418"/>
      <c r="AY2110" s="418"/>
      <c r="AZ2110" s="418"/>
    </row>
    <row r="2111" spans="40:52" ht="15.75" customHeight="1">
      <c r="AN2111" s="418"/>
      <c r="AO2111" s="418"/>
      <c r="AP2111" s="418"/>
      <c r="AQ2111" s="418"/>
      <c r="AR2111" s="418"/>
      <c r="AS2111" s="418"/>
      <c r="AT2111" s="418"/>
      <c r="AU2111" s="418"/>
      <c r="AV2111" s="418"/>
      <c r="AW2111" s="418"/>
      <c r="AX2111" s="418"/>
      <c r="AY2111" s="418"/>
      <c r="AZ2111" s="418"/>
    </row>
    <row r="2112" spans="40:52" ht="15.75" customHeight="1">
      <c r="AN2112" s="418"/>
      <c r="AO2112" s="418"/>
      <c r="AP2112" s="418"/>
      <c r="AQ2112" s="418"/>
      <c r="AR2112" s="418"/>
      <c r="AS2112" s="418"/>
      <c r="AT2112" s="418"/>
      <c r="AU2112" s="418"/>
      <c r="AV2112" s="418"/>
      <c r="AW2112" s="418"/>
      <c r="AX2112" s="418"/>
      <c r="AY2112" s="418"/>
      <c r="AZ2112" s="418"/>
    </row>
    <row r="2113" spans="40:52" ht="15.75" customHeight="1">
      <c r="AN2113" s="418"/>
      <c r="AO2113" s="418"/>
      <c r="AP2113" s="418"/>
      <c r="AQ2113" s="418"/>
      <c r="AR2113" s="418"/>
      <c r="AS2113" s="418"/>
      <c r="AT2113" s="418"/>
      <c r="AU2113" s="418"/>
      <c r="AV2113" s="418"/>
      <c r="AW2113" s="418"/>
      <c r="AX2113" s="418"/>
      <c r="AY2113" s="418"/>
      <c r="AZ2113" s="418"/>
    </row>
    <row r="2114" spans="40:52" ht="15.75" customHeight="1">
      <c r="AN2114" s="418"/>
      <c r="AO2114" s="418"/>
      <c r="AP2114" s="418"/>
      <c r="AQ2114" s="418"/>
      <c r="AR2114" s="418"/>
      <c r="AS2114" s="418"/>
      <c r="AT2114" s="418"/>
      <c r="AU2114" s="418"/>
      <c r="AV2114" s="418"/>
      <c r="AW2114" s="418"/>
      <c r="AX2114" s="418"/>
      <c r="AY2114" s="418"/>
      <c r="AZ2114" s="418"/>
    </row>
    <row r="2115" spans="40:52" ht="15.75" customHeight="1">
      <c r="AN2115" s="418"/>
      <c r="AO2115" s="418"/>
      <c r="AP2115" s="418"/>
      <c r="AQ2115" s="418"/>
      <c r="AR2115" s="418"/>
      <c r="AS2115" s="418"/>
      <c r="AT2115" s="418"/>
      <c r="AU2115" s="418"/>
      <c r="AV2115" s="418"/>
      <c r="AW2115" s="418"/>
      <c r="AX2115" s="418"/>
      <c r="AY2115" s="418"/>
      <c r="AZ2115" s="418"/>
    </row>
    <row r="2116" spans="40:52" ht="15.75" customHeight="1">
      <c r="AN2116" s="418"/>
      <c r="AO2116" s="418"/>
      <c r="AP2116" s="418"/>
      <c r="AQ2116" s="418"/>
      <c r="AR2116" s="418"/>
      <c r="AS2116" s="418"/>
      <c r="AT2116" s="418"/>
      <c r="AU2116" s="418"/>
      <c r="AV2116" s="418"/>
      <c r="AW2116" s="418"/>
      <c r="AX2116" s="418"/>
      <c r="AY2116" s="418"/>
      <c r="AZ2116" s="418"/>
    </row>
    <row r="2117" spans="40:52" ht="15.75" customHeight="1">
      <c r="AN2117" s="418"/>
      <c r="AO2117" s="418"/>
      <c r="AP2117" s="418"/>
      <c r="AQ2117" s="418"/>
      <c r="AR2117" s="418"/>
      <c r="AS2117" s="418"/>
      <c r="AT2117" s="418"/>
      <c r="AU2117" s="418"/>
      <c r="AV2117" s="418"/>
      <c r="AW2117" s="418"/>
      <c r="AX2117" s="418"/>
      <c r="AY2117" s="418"/>
      <c r="AZ2117" s="418"/>
    </row>
    <row r="2118" spans="40:52" ht="15.75" customHeight="1">
      <c r="AN2118" s="418"/>
      <c r="AO2118" s="418"/>
      <c r="AP2118" s="418"/>
      <c r="AQ2118" s="418"/>
      <c r="AR2118" s="418"/>
      <c r="AS2118" s="418"/>
      <c r="AT2118" s="418"/>
      <c r="AU2118" s="418"/>
      <c r="AV2118" s="418"/>
      <c r="AW2118" s="418"/>
      <c r="AX2118" s="418"/>
      <c r="AY2118" s="418"/>
      <c r="AZ2118" s="418"/>
    </row>
    <row r="2119" spans="40:52" ht="15.75" customHeight="1">
      <c r="AN2119" s="418"/>
      <c r="AO2119" s="418"/>
      <c r="AP2119" s="418"/>
      <c r="AQ2119" s="418"/>
      <c r="AR2119" s="418"/>
      <c r="AS2119" s="418"/>
      <c r="AT2119" s="418"/>
      <c r="AU2119" s="418"/>
      <c r="AV2119" s="418"/>
      <c r="AW2119" s="418"/>
      <c r="AX2119" s="418"/>
      <c r="AY2119" s="418"/>
      <c r="AZ2119" s="418"/>
    </row>
    <row r="2120" spans="40:52" ht="15.75" customHeight="1">
      <c r="AN2120" s="418"/>
      <c r="AO2120" s="418"/>
      <c r="AP2120" s="418"/>
      <c r="AQ2120" s="418"/>
      <c r="AR2120" s="418"/>
      <c r="AS2120" s="418"/>
      <c r="AT2120" s="418"/>
      <c r="AU2120" s="418"/>
      <c r="AV2120" s="418"/>
      <c r="AW2120" s="418"/>
      <c r="AX2120" s="418"/>
      <c r="AY2120" s="418"/>
      <c r="AZ2120" s="418"/>
    </row>
    <row r="2121" spans="40:52" ht="15.75" customHeight="1">
      <c r="AN2121" s="418"/>
      <c r="AO2121" s="418"/>
      <c r="AP2121" s="418"/>
      <c r="AQ2121" s="418"/>
      <c r="AR2121" s="418"/>
      <c r="AS2121" s="418"/>
      <c r="AT2121" s="418"/>
      <c r="AU2121" s="418"/>
      <c r="AV2121" s="418"/>
      <c r="AW2121" s="418"/>
      <c r="AX2121" s="418"/>
      <c r="AY2121" s="418"/>
      <c r="AZ2121" s="418"/>
    </row>
    <row r="2122" spans="40:52" ht="15.75" customHeight="1">
      <c r="AN2122" s="418"/>
      <c r="AO2122" s="418"/>
      <c r="AP2122" s="418"/>
      <c r="AQ2122" s="418"/>
      <c r="AR2122" s="418"/>
      <c r="AS2122" s="418"/>
      <c r="AT2122" s="418"/>
      <c r="AU2122" s="418"/>
      <c r="AV2122" s="418"/>
      <c r="AW2122" s="418"/>
      <c r="AX2122" s="418"/>
      <c r="AY2122" s="418"/>
      <c r="AZ2122" s="418"/>
    </row>
    <row r="2123" spans="40:52" ht="15.75" customHeight="1">
      <c r="AN2123" s="418"/>
      <c r="AO2123" s="418"/>
      <c r="AP2123" s="418"/>
      <c r="AQ2123" s="418"/>
      <c r="AR2123" s="418"/>
      <c r="AS2123" s="418"/>
      <c r="AT2123" s="418"/>
      <c r="AU2123" s="418"/>
      <c r="AV2123" s="418"/>
      <c r="AW2123" s="418"/>
      <c r="AX2123" s="418"/>
      <c r="AY2123" s="418"/>
      <c r="AZ2123" s="418"/>
    </row>
    <row r="2124" spans="40:52" ht="15.75" customHeight="1">
      <c r="AN2124" s="418"/>
      <c r="AO2124" s="418"/>
      <c r="AP2124" s="418"/>
      <c r="AQ2124" s="418"/>
      <c r="AR2124" s="418"/>
      <c r="AS2124" s="418"/>
      <c r="AT2124" s="418"/>
      <c r="AU2124" s="418"/>
      <c r="AV2124" s="418"/>
      <c r="AW2124" s="418"/>
      <c r="AX2124" s="418"/>
      <c r="AY2124" s="418"/>
      <c r="AZ2124" s="418"/>
    </row>
    <row r="2125" spans="40:52" ht="15.75" customHeight="1">
      <c r="AN2125" s="418"/>
      <c r="AO2125" s="418"/>
      <c r="AP2125" s="418"/>
      <c r="AQ2125" s="418"/>
      <c r="AR2125" s="418"/>
      <c r="AS2125" s="418"/>
      <c r="AT2125" s="418"/>
      <c r="AU2125" s="418"/>
      <c r="AV2125" s="418"/>
      <c r="AW2125" s="418"/>
      <c r="AX2125" s="418"/>
      <c r="AY2125" s="418"/>
      <c r="AZ2125" s="418"/>
    </row>
    <row r="2126" spans="40:52" ht="15.75" customHeight="1">
      <c r="AN2126" s="418"/>
      <c r="AO2126" s="418"/>
      <c r="AP2126" s="418"/>
      <c r="AQ2126" s="418"/>
      <c r="AR2126" s="418"/>
      <c r="AS2126" s="418"/>
      <c r="AT2126" s="418"/>
      <c r="AU2126" s="418"/>
      <c r="AV2126" s="418"/>
      <c r="AW2126" s="418"/>
      <c r="AX2126" s="418"/>
      <c r="AY2126" s="418"/>
      <c r="AZ2126" s="418"/>
    </row>
    <row r="2127" spans="40:52" ht="15.75" customHeight="1">
      <c r="AN2127" s="418"/>
      <c r="AO2127" s="418"/>
      <c r="AP2127" s="418"/>
      <c r="AQ2127" s="418"/>
      <c r="AR2127" s="418"/>
      <c r="AS2127" s="418"/>
      <c r="AT2127" s="418"/>
      <c r="AU2127" s="418"/>
      <c r="AV2127" s="418"/>
      <c r="AW2127" s="418"/>
      <c r="AX2127" s="418"/>
      <c r="AY2127" s="418"/>
      <c r="AZ2127" s="418"/>
    </row>
    <row r="2128" spans="40:52" ht="15.75" customHeight="1">
      <c r="AN2128" s="418"/>
      <c r="AO2128" s="418"/>
      <c r="AP2128" s="418"/>
      <c r="AQ2128" s="418"/>
      <c r="AR2128" s="418"/>
      <c r="AS2128" s="418"/>
      <c r="AT2128" s="418"/>
      <c r="AU2128" s="418"/>
      <c r="AV2128" s="418"/>
      <c r="AW2128" s="418"/>
      <c r="AX2128" s="418"/>
      <c r="AY2128" s="418"/>
      <c r="AZ2128" s="418"/>
    </row>
    <row r="2129" spans="40:52" ht="15.75" customHeight="1">
      <c r="AN2129" s="418"/>
      <c r="AO2129" s="418"/>
      <c r="AP2129" s="418"/>
      <c r="AQ2129" s="418"/>
      <c r="AR2129" s="418"/>
      <c r="AS2129" s="418"/>
      <c r="AT2129" s="418"/>
      <c r="AU2129" s="418"/>
      <c r="AV2129" s="418"/>
      <c r="AW2129" s="418"/>
      <c r="AX2129" s="418"/>
      <c r="AY2129" s="418"/>
      <c r="AZ2129" s="418"/>
    </row>
    <row r="2130" spans="40:52" ht="15.75" customHeight="1">
      <c r="AN2130" s="418"/>
      <c r="AO2130" s="418"/>
      <c r="AP2130" s="418"/>
      <c r="AQ2130" s="418"/>
      <c r="AR2130" s="418"/>
      <c r="AS2130" s="418"/>
      <c r="AT2130" s="418"/>
      <c r="AU2130" s="418"/>
      <c r="AV2130" s="418"/>
      <c r="AW2130" s="418"/>
      <c r="AX2130" s="418"/>
      <c r="AY2130" s="418"/>
      <c r="AZ2130" s="418"/>
    </row>
    <row r="2131" spans="40:52" ht="15.75" customHeight="1">
      <c r="AN2131" s="418"/>
      <c r="AO2131" s="418"/>
      <c r="AP2131" s="418"/>
      <c r="AQ2131" s="418"/>
      <c r="AR2131" s="418"/>
      <c r="AS2131" s="418"/>
      <c r="AT2131" s="418"/>
      <c r="AU2131" s="418"/>
      <c r="AV2131" s="418"/>
      <c r="AW2131" s="418"/>
      <c r="AX2131" s="418"/>
      <c r="AY2131" s="418"/>
      <c r="AZ2131" s="418"/>
    </row>
    <row r="2132" spans="40:52" ht="15.75" customHeight="1">
      <c r="AN2132" s="418"/>
      <c r="AO2132" s="418"/>
      <c r="AP2132" s="418"/>
      <c r="AQ2132" s="418"/>
      <c r="AR2132" s="418"/>
      <c r="AS2132" s="418"/>
      <c r="AT2132" s="418"/>
      <c r="AU2132" s="418"/>
      <c r="AV2132" s="418"/>
      <c r="AW2132" s="418"/>
      <c r="AX2132" s="418"/>
      <c r="AY2132" s="418"/>
      <c r="AZ2132" s="418"/>
    </row>
    <row r="2133" spans="40:52" ht="15.75" customHeight="1">
      <c r="AN2133" s="418"/>
      <c r="AO2133" s="418"/>
      <c r="AP2133" s="418"/>
      <c r="AQ2133" s="418"/>
      <c r="AR2133" s="418"/>
      <c r="AS2133" s="418"/>
      <c r="AT2133" s="418"/>
      <c r="AU2133" s="418"/>
      <c r="AV2133" s="418"/>
      <c r="AW2133" s="418"/>
      <c r="AX2133" s="418"/>
      <c r="AY2133" s="418"/>
      <c r="AZ2133" s="418"/>
    </row>
    <row r="2134" spans="40:52" ht="15.75" customHeight="1">
      <c r="AN2134" s="418"/>
      <c r="AO2134" s="418"/>
      <c r="AP2134" s="418"/>
      <c r="AQ2134" s="418"/>
      <c r="AR2134" s="418"/>
      <c r="AS2134" s="418"/>
      <c r="AT2134" s="418"/>
      <c r="AU2134" s="418"/>
      <c r="AV2134" s="418"/>
      <c r="AW2134" s="418"/>
      <c r="AX2134" s="418"/>
      <c r="AY2134" s="418"/>
      <c r="AZ2134" s="418"/>
    </row>
    <row r="2135" spans="40:52" ht="15.75" customHeight="1">
      <c r="AN2135" s="418"/>
      <c r="AO2135" s="418"/>
      <c r="AP2135" s="418"/>
      <c r="AQ2135" s="418"/>
      <c r="AR2135" s="418"/>
      <c r="AS2135" s="418"/>
      <c r="AT2135" s="418"/>
      <c r="AU2135" s="418"/>
      <c r="AV2135" s="418"/>
      <c r="AW2135" s="418"/>
      <c r="AX2135" s="418"/>
      <c r="AY2135" s="418"/>
      <c r="AZ2135" s="418"/>
    </row>
    <row r="2136" spans="40:52" ht="15.75" customHeight="1">
      <c r="AN2136" s="418"/>
      <c r="AO2136" s="418"/>
      <c r="AP2136" s="418"/>
      <c r="AQ2136" s="418"/>
      <c r="AR2136" s="418"/>
      <c r="AS2136" s="418"/>
      <c r="AT2136" s="418"/>
      <c r="AU2136" s="418"/>
      <c r="AV2136" s="418"/>
      <c r="AW2136" s="418"/>
      <c r="AX2136" s="418"/>
      <c r="AY2136" s="418"/>
      <c r="AZ2136" s="418"/>
    </row>
    <row r="2137" spans="40:52" ht="15.75" customHeight="1">
      <c r="AN2137" s="418"/>
      <c r="AO2137" s="418"/>
      <c r="AP2137" s="418"/>
      <c r="AQ2137" s="418"/>
      <c r="AR2137" s="418"/>
      <c r="AS2137" s="418"/>
      <c r="AT2137" s="418"/>
      <c r="AU2137" s="418"/>
      <c r="AV2137" s="418"/>
      <c r="AW2137" s="418"/>
      <c r="AX2137" s="418"/>
      <c r="AY2137" s="418"/>
      <c r="AZ2137" s="418"/>
    </row>
    <row r="2138" spans="40:52" ht="15.75" customHeight="1">
      <c r="AN2138" s="418"/>
      <c r="AO2138" s="418"/>
      <c r="AP2138" s="418"/>
      <c r="AQ2138" s="418"/>
      <c r="AR2138" s="418"/>
      <c r="AS2138" s="418"/>
      <c r="AT2138" s="418"/>
      <c r="AU2138" s="418"/>
      <c r="AV2138" s="418"/>
      <c r="AW2138" s="418"/>
      <c r="AX2138" s="418"/>
      <c r="AY2138" s="418"/>
      <c r="AZ2138" s="418"/>
    </row>
    <row r="2139" spans="40:52" ht="15.75" customHeight="1">
      <c r="AN2139" s="418"/>
      <c r="AO2139" s="418"/>
      <c r="AP2139" s="418"/>
      <c r="AQ2139" s="418"/>
      <c r="AR2139" s="418"/>
      <c r="AS2139" s="418"/>
      <c r="AT2139" s="418"/>
      <c r="AU2139" s="418"/>
      <c r="AV2139" s="418"/>
      <c r="AW2139" s="418"/>
      <c r="AX2139" s="418"/>
      <c r="AY2139" s="418"/>
      <c r="AZ2139" s="418"/>
    </row>
    <row r="2140" spans="40:52" ht="15.75" customHeight="1">
      <c r="AN2140" s="418"/>
      <c r="AO2140" s="418"/>
      <c r="AP2140" s="418"/>
      <c r="AQ2140" s="418"/>
      <c r="AR2140" s="418"/>
      <c r="AS2140" s="418"/>
      <c r="AT2140" s="418"/>
      <c r="AU2140" s="418"/>
      <c r="AV2140" s="418"/>
      <c r="AW2140" s="418"/>
      <c r="AX2140" s="418"/>
      <c r="AY2140" s="418"/>
      <c r="AZ2140" s="418"/>
    </row>
    <row r="2141" spans="40:52" ht="15.75" customHeight="1">
      <c r="AN2141" s="418"/>
      <c r="AO2141" s="418"/>
      <c r="AP2141" s="418"/>
      <c r="AQ2141" s="418"/>
      <c r="AR2141" s="418"/>
      <c r="AS2141" s="418"/>
      <c r="AT2141" s="418"/>
      <c r="AU2141" s="418"/>
      <c r="AV2141" s="418"/>
      <c r="AW2141" s="418"/>
      <c r="AX2141" s="418"/>
      <c r="AY2141" s="418"/>
      <c r="AZ2141" s="418"/>
    </row>
    <row r="2142" spans="40:52" ht="15.75" customHeight="1">
      <c r="AN2142" s="418"/>
      <c r="AO2142" s="418"/>
      <c r="AP2142" s="418"/>
      <c r="AQ2142" s="418"/>
      <c r="AR2142" s="418"/>
      <c r="AS2142" s="418"/>
      <c r="AT2142" s="418"/>
      <c r="AU2142" s="418"/>
      <c r="AV2142" s="418"/>
      <c r="AW2142" s="418"/>
      <c r="AX2142" s="418"/>
      <c r="AY2142" s="418"/>
      <c r="AZ2142" s="418"/>
    </row>
    <row r="2143" spans="40:52" ht="15.75" customHeight="1">
      <c r="AN2143" s="418"/>
      <c r="AO2143" s="418"/>
      <c r="AP2143" s="418"/>
      <c r="AQ2143" s="418"/>
      <c r="AR2143" s="418"/>
      <c r="AS2143" s="418"/>
      <c r="AT2143" s="418"/>
      <c r="AU2143" s="418"/>
      <c r="AV2143" s="418"/>
      <c r="AW2143" s="418"/>
      <c r="AX2143" s="418"/>
      <c r="AY2143" s="418"/>
      <c r="AZ2143" s="418"/>
    </row>
    <row r="2144" spans="40:52" ht="15.75" customHeight="1">
      <c r="AN2144" s="418"/>
      <c r="AO2144" s="418"/>
      <c r="AP2144" s="418"/>
      <c r="AQ2144" s="418"/>
      <c r="AR2144" s="418"/>
      <c r="AS2144" s="418"/>
      <c r="AT2144" s="418"/>
      <c r="AU2144" s="418"/>
      <c r="AV2144" s="418"/>
      <c r="AW2144" s="418"/>
      <c r="AX2144" s="418"/>
      <c r="AY2144" s="418"/>
      <c r="AZ2144" s="418"/>
    </row>
    <row r="2145" spans="40:52" ht="15.75" customHeight="1">
      <c r="AN2145" s="418"/>
      <c r="AO2145" s="418"/>
      <c r="AP2145" s="418"/>
      <c r="AQ2145" s="418"/>
      <c r="AR2145" s="418"/>
      <c r="AS2145" s="418"/>
      <c r="AT2145" s="418"/>
      <c r="AU2145" s="418"/>
      <c r="AV2145" s="418"/>
      <c r="AW2145" s="418"/>
      <c r="AX2145" s="418"/>
      <c r="AY2145" s="418"/>
      <c r="AZ2145" s="418"/>
    </row>
    <row r="2146" spans="40:52" ht="15.75" customHeight="1">
      <c r="AN2146" s="418"/>
      <c r="AO2146" s="418"/>
      <c r="AP2146" s="418"/>
      <c r="AQ2146" s="418"/>
      <c r="AR2146" s="418"/>
      <c r="AS2146" s="418"/>
      <c r="AT2146" s="418"/>
      <c r="AU2146" s="418"/>
      <c r="AV2146" s="418"/>
      <c r="AW2146" s="418"/>
      <c r="AX2146" s="418"/>
      <c r="AY2146" s="418"/>
      <c r="AZ2146" s="418"/>
    </row>
    <row r="2147" spans="40:52" ht="15.75" customHeight="1">
      <c r="AN2147" s="418"/>
      <c r="AO2147" s="418"/>
      <c r="AP2147" s="418"/>
      <c r="AQ2147" s="418"/>
      <c r="AR2147" s="418"/>
      <c r="AS2147" s="418"/>
      <c r="AT2147" s="418"/>
      <c r="AU2147" s="418"/>
      <c r="AV2147" s="418"/>
      <c r="AW2147" s="418"/>
      <c r="AX2147" s="418"/>
      <c r="AY2147" s="418"/>
      <c r="AZ2147" s="418"/>
    </row>
    <row r="2148" spans="40:52" ht="15.75" customHeight="1">
      <c r="AN2148" s="418"/>
      <c r="AO2148" s="418"/>
      <c r="AP2148" s="418"/>
      <c r="AQ2148" s="418"/>
      <c r="AR2148" s="418"/>
      <c r="AS2148" s="418"/>
      <c r="AT2148" s="418"/>
      <c r="AU2148" s="418"/>
      <c r="AV2148" s="418"/>
      <c r="AW2148" s="418"/>
      <c r="AX2148" s="418"/>
      <c r="AY2148" s="418"/>
      <c r="AZ2148" s="418"/>
    </row>
    <row r="2149" spans="40:52" ht="15.75" customHeight="1">
      <c r="AN2149" s="418"/>
      <c r="AO2149" s="418"/>
      <c r="AP2149" s="418"/>
      <c r="AQ2149" s="418"/>
      <c r="AR2149" s="418"/>
      <c r="AS2149" s="418"/>
      <c r="AT2149" s="418"/>
      <c r="AU2149" s="418"/>
      <c r="AV2149" s="418"/>
      <c r="AW2149" s="418"/>
      <c r="AX2149" s="418"/>
      <c r="AY2149" s="418"/>
      <c r="AZ2149" s="418"/>
    </row>
    <row r="2150" spans="40:52" ht="15.75" customHeight="1">
      <c r="AN2150" s="418"/>
      <c r="AO2150" s="418"/>
      <c r="AP2150" s="418"/>
      <c r="AQ2150" s="418"/>
      <c r="AR2150" s="418"/>
      <c r="AS2150" s="418"/>
      <c r="AT2150" s="418"/>
      <c r="AU2150" s="418"/>
      <c r="AV2150" s="418"/>
      <c r="AW2150" s="418"/>
      <c r="AX2150" s="418"/>
      <c r="AY2150" s="418"/>
      <c r="AZ2150" s="418"/>
    </row>
    <row r="2151" spans="40:52" ht="15.75" customHeight="1">
      <c r="AN2151" s="418"/>
      <c r="AO2151" s="418"/>
      <c r="AP2151" s="418"/>
      <c r="AQ2151" s="418"/>
      <c r="AR2151" s="418"/>
      <c r="AS2151" s="418"/>
      <c r="AT2151" s="418"/>
      <c r="AU2151" s="418"/>
      <c r="AV2151" s="418"/>
      <c r="AW2151" s="418"/>
      <c r="AX2151" s="418"/>
      <c r="AY2151" s="418"/>
      <c r="AZ2151" s="418"/>
    </row>
    <row r="2152" spans="40:52" ht="15.75" customHeight="1">
      <c r="AN2152" s="418"/>
      <c r="AO2152" s="418"/>
      <c r="AP2152" s="418"/>
      <c r="AQ2152" s="418"/>
      <c r="AR2152" s="418"/>
      <c r="AS2152" s="418"/>
      <c r="AT2152" s="418"/>
      <c r="AU2152" s="418"/>
      <c r="AV2152" s="418"/>
      <c r="AW2152" s="418"/>
      <c r="AX2152" s="418"/>
      <c r="AY2152" s="418"/>
      <c r="AZ2152" s="418"/>
    </row>
    <row r="2153" spans="40:52" ht="15.75" customHeight="1">
      <c r="AN2153" s="418"/>
      <c r="AO2153" s="418"/>
      <c r="AP2153" s="418"/>
      <c r="AQ2153" s="418"/>
      <c r="AR2153" s="418"/>
      <c r="AS2153" s="418"/>
      <c r="AT2153" s="418"/>
      <c r="AU2153" s="418"/>
      <c r="AV2153" s="418"/>
      <c r="AW2153" s="418"/>
      <c r="AX2153" s="418"/>
      <c r="AY2153" s="418"/>
      <c r="AZ2153" s="418"/>
    </row>
    <row r="2154" spans="40:52" ht="15.75" customHeight="1">
      <c r="AN2154" s="418"/>
      <c r="AO2154" s="418"/>
      <c r="AP2154" s="418"/>
      <c r="AQ2154" s="418"/>
      <c r="AR2154" s="418"/>
      <c r="AS2154" s="418"/>
      <c r="AT2154" s="418"/>
      <c r="AU2154" s="418"/>
      <c r="AV2154" s="418"/>
      <c r="AW2154" s="418"/>
      <c r="AX2154" s="418"/>
      <c r="AY2154" s="418"/>
      <c r="AZ2154" s="418"/>
    </row>
    <row r="2155" spans="40:52" ht="15.75" customHeight="1">
      <c r="AN2155" s="418"/>
      <c r="AO2155" s="418"/>
      <c r="AP2155" s="418"/>
      <c r="AQ2155" s="418"/>
      <c r="AR2155" s="418"/>
      <c r="AS2155" s="418"/>
      <c r="AT2155" s="418"/>
      <c r="AU2155" s="418"/>
      <c r="AV2155" s="418"/>
      <c r="AW2155" s="418"/>
      <c r="AX2155" s="418"/>
      <c r="AY2155" s="418"/>
      <c r="AZ2155" s="418"/>
    </row>
    <row r="2156" spans="40:52" ht="15.75" customHeight="1">
      <c r="AN2156" s="418"/>
      <c r="AO2156" s="418"/>
      <c r="AP2156" s="418"/>
      <c r="AQ2156" s="418"/>
      <c r="AR2156" s="418"/>
      <c r="AS2156" s="418"/>
      <c r="AT2156" s="418"/>
      <c r="AU2156" s="418"/>
      <c r="AV2156" s="418"/>
      <c r="AW2156" s="418"/>
      <c r="AX2156" s="418"/>
      <c r="AY2156" s="418"/>
      <c r="AZ2156" s="418"/>
    </row>
    <row r="2157" spans="40:52" ht="15.75" customHeight="1">
      <c r="AN2157" s="418"/>
      <c r="AO2157" s="418"/>
      <c r="AP2157" s="418"/>
      <c r="AQ2157" s="418"/>
      <c r="AR2157" s="418"/>
      <c r="AS2157" s="418"/>
      <c r="AT2157" s="418"/>
      <c r="AU2157" s="418"/>
      <c r="AV2157" s="418"/>
      <c r="AW2157" s="418"/>
      <c r="AX2157" s="418"/>
      <c r="AY2157" s="418"/>
      <c r="AZ2157" s="418"/>
    </row>
    <row r="2158" spans="40:52" ht="15.75" customHeight="1">
      <c r="AN2158" s="418"/>
      <c r="AO2158" s="418"/>
      <c r="AP2158" s="418"/>
      <c r="AQ2158" s="418"/>
      <c r="AR2158" s="418"/>
      <c r="AS2158" s="418"/>
      <c r="AT2158" s="418"/>
      <c r="AU2158" s="418"/>
      <c r="AV2158" s="418"/>
      <c r="AW2158" s="418"/>
      <c r="AX2158" s="418"/>
      <c r="AY2158" s="418"/>
      <c r="AZ2158" s="418"/>
    </row>
    <row r="2159" spans="40:52" ht="15.75" customHeight="1">
      <c r="AN2159" s="418"/>
      <c r="AO2159" s="418"/>
      <c r="AP2159" s="418"/>
      <c r="AQ2159" s="418"/>
      <c r="AR2159" s="418"/>
      <c r="AS2159" s="418"/>
      <c r="AT2159" s="418"/>
      <c r="AU2159" s="418"/>
      <c r="AV2159" s="418"/>
      <c r="AW2159" s="418"/>
      <c r="AX2159" s="418"/>
      <c r="AY2159" s="418"/>
      <c r="AZ2159" s="418"/>
    </row>
    <row r="2160" spans="40:52" ht="15.75" customHeight="1">
      <c r="AN2160" s="418"/>
      <c r="AO2160" s="418"/>
      <c r="AP2160" s="418"/>
      <c r="AQ2160" s="418"/>
      <c r="AR2160" s="418"/>
      <c r="AS2160" s="418"/>
      <c r="AT2160" s="418"/>
      <c r="AU2160" s="418"/>
      <c r="AV2160" s="418"/>
      <c r="AW2160" s="418"/>
      <c r="AX2160" s="418"/>
      <c r="AY2160" s="418"/>
      <c r="AZ2160" s="418"/>
    </row>
    <row r="2161" spans="40:52" ht="15.75" customHeight="1">
      <c r="AN2161" s="418"/>
      <c r="AO2161" s="418"/>
      <c r="AP2161" s="418"/>
      <c r="AQ2161" s="418"/>
      <c r="AR2161" s="418"/>
      <c r="AS2161" s="418"/>
      <c r="AT2161" s="418"/>
      <c r="AU2161" s="418"/>
      <c r="AV2161" s="418"/>
      <c r="AW2161" s="418"/>
      <c r="AX2161" s="418"/>
      <c r="AY2161" s="418"/>
      <c r="AZ2161" s="418"/>
    </row>
    <row r="2162" spans="40:52" ht="15.75" customHeight="1">
      <c r="AN2162" s="418"/>
      <c r="AO2162" s="418"/>
      <c r="AP2162" s="418"/>
      <c r="AQ2162" s="418"/>
      <c r="AR2162" s="418"/>
      <c r="AS2162" s="418"/>
      <c r="AT2162" s="418"/>
      <c r="AU2162" s="418"/>
      <c r="AV2162" s="418"/>
      <c r="AW2162" s="418"/>
      <c r="AX2162" s="418"/>
      <c r="AY2162" s="418"/>
      <c r="AZ2162" s="418"/>
    </row>
    <row r="2163" spans="40:52" ht="15.75" customHeight="1">
      <c r="AN2163" s="418"/>
      <c r="AO2163" s="418"/>
      <c r="AP2163" s="418"/>
      <c r="AQ2163" s="418"/>
      <c r="AR2163" s="418"/>
      <c r="AS2163" s="418"/>
      <c r="AT2163" s="418"/>
      <c r="AU2163" s="418"/>
      <c r="AV2163" s="418"/>
      <c r="AW2163" s="418"/>
      <c r="AX2163" s="418"/>
      <c r="AY2163" s="418"/>
      <c r="AZ2163" s="418"/>
    </row>
    <row r="2164" spans="40:52" ht="15.75" customHeight="1">
      <c r="AN2164" s="418"/>
      <c r="AO2164" s="418"/>
      <c r="AP2164" s="418"/>
      <c r="AQ2164" s="418"/>
      <c r="AR2164" s="418"/>
      <c r="AS2164" s="418"/>
      <c r="AT2164" s="418"/>
      <c r="AU2164" s="418"/>
      <c r="AV2164" s="418"/>
      <c r="AW2164" s="418"/>
      <c r="AX2164" s="418"/>
      <c r="AY2164" s="418"/>
      <c r="AZ2164" s="418"/>
    </row>
    <row r="2165" spans="40:52" ht="15.75" customHeight="1">
      <c r="AN2165" s="418"/>
      <c r="AO2165" s="418"/>
      <c r="AP2165" s="418"/>
      <c r="AQ2165" s="418"/>
      <c r="AR2165" s="418"/>
      <c r="AS2165" s="418"/>
      <c r="AT2165" s="418"/>
      <c r="AU2165" s="418"/>
      <c r="AV2165" s="418"/>
      <c r="AW2165" s="418"/>
      <c r="AX2165" s="418"/>
      <c r="AY2165" s="418"/>
      <c r="AZ2165" s="418"/>
    </row>
    <row r="2166" spans="40:52" ht="15.75" customHeight="1">
      <c r="AN2166" s="418"/>
      <c r="AO2166" s="418"/>
      <c r="AP2166" s="418"/>
      <c r="AQ2166" s="418"/>
      <c r="AR2166" s="418"/>
      <c r="AS2166" s="418"/>
      <c r="AT2166" s="418"/>
      <c r="AU2166" s="418"/>
      <c r="AV2166" s="418"/>
      <c r="AW2166" s="418"/>
      <c r="AX2166" s="418"/>
      <c r="AY2166" s="418"/>
      <c r="AZ2166" s="418"/>
    </row>
    <row r="2167" spans="40:52" ht="15.75" customHeight="1">
      <c r="AN2167" s="418"/>
      <c r="AO2167" s="418"/>
      <c r="AP2167" s="418"/>
      <c r="AQ2167" s="418"/>
      <c r="AR2167" s="418"/>
      <c r="AS2167" s="418"/>
      <c r="AT2167" s="418"/>
      <c r="AU2167" s="418"/>
      <c r="AV2167" s="418"/>
      <c r="AW2167" s="418"/>
      <c r="AX2167" s="418"/>
      <c r="AY2167" s="418"/>
      <c r="AZ2167" s="418"/>
    </row>
    <row r="2168" spans="40:52" ht="15.75" customHeight="1">
      <c r="AN2168" s="418"/>
      <c r="AO2168" s="418"/>
      <c r="AP2168" s="418"/>
      <c r="AQ2168" s="418"/>
      <c r="AR2168" s="418"/>
      <c r="AS2168" s="418"/>
      <c r="AT2168" s="418"/>
      <c r="AU2168" s="418"/>
      <c r="AV2168" s="418"/>
      <c r="AW2168" s="418"/>
      <c r="AX2168" s="418"/>
      <c r="AY2168" s="418"/>
      <c r="AZ2168" s="418"/>
    </row>
  </sheetData>
  <autoFilter ref="A2:BA90">
    <filterColumn colId="13" showButton="0"/>
    <filterColumn colId="14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8" showButton="0"/>
    <filterColumn colId="29" showButton="0"/>
    <filterColumn colId="39" showButton="0"/>
    <filterColumn colId="40" showButton="0"/>
    <filterColumn colId="42" showButton="0"/>
    <filterColumn colId="43" showButton="0"/>
    <filterColumn colId="45" showButton="0"/>
    <filterColumn colId="46" showButton="0"/>
  </autoFilter>
  <mergeCells count="9">
    <mergeCell ref="A1:BA1"/>
    <mergeCell ref="AT2:AV2"/>
    <mergeCell ref="AC2:AE2"/>
    <mergeCell ref="Z2:AB2"/>
    <mergeCell ref="N2:P2"/>
    <mergeCell ref="AN2:AP2"/>
    <mergeCell ref="AQ2:AS2"/>
    <mergeCell ref="T2:V2"/>
    <mergeCell ref="W2:Y2"/>
  </mergeCells>
  <phoneticPr fontId="0" type="noConversion"/>
  <printOptions horizontalCentered="1" gridLines="1"/>
  <pageMargins left="0.39370078740157483" right="0.39370078740157483" top="0.98425196850393704" bottom="1.1811023622047245" header="0.31496062992125984" footer="0.31496062992125984"/>
  <pageSetup paperSize="8" scale="56" fitToHeight="0" orientation="landscape" cellComments="asDisplayed" r:id="rId1"/>
  <headerFooter alignWithMargins="0">
    <oddHeader>&amp;L&amp;G&amp;C
LAYOUT AND EQUIPMENT
EP11 
KP11+813 - KP30+900
&amp;R&amp;G</oddHeader>
    <oddFooter>&amp;L
&amp;F&amp;C&amp;G
&amp;D&amp;R
Pag &amp;P of &amp;N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FF7C80"/>
    <pageSetUpPr fitToPage="1"/>
  </sheetPr>
  <dimension ref="A1:BM2167"/>
  <sheetViews>
    <sheetView zoomScale="66" zoomScaleNormal="66" zoomScaleSheetLayoutView="80" workbookViewId="0">
      <pane xSplit="5" ySplit="3" topLeftCell="F4" activePane="bottomRight" state="frozen"/>
      <selection activeCell="C20" sqref="C20"/>
      <selection pane="topRight" activeCell="C20" sqref="C20"/>
      <selection pane="bottomLeft" activeCell="C20" sqref="C20"/>
      <selection pane="bottomRight" activeCell="C20" sqref="C20"/>
    </sheetView>
  </sheetViews>
  <sheetFormatPr baseColWidth="10" defaultColWidth="11.42578125" defaultRowHeight="15.75" customHeight="1"/>
  <cols>
    <col min="1" max="1" width="24.42578125" style="462" customWidth="1"/>
    <col min="2" max="2" width="10" style="462" customWidth="1"/>
    <col min="3" max="3" width="13.140625" style="466" hidden="1" customWidth="1"/>
    <col min="4" max="4" width="13.85546875" style="462" hidden="1" customWidth="1"/>
    <col min="5" max="5" width="10.85546875" style="462" hidden="1" customWidth="1"/>
    <col min="6" max="7" width="9.5703125" style="462" hidden="1" customWidth="1"/>
    <col min="8" max="8" width="18" style="462" customWidth="1"/>
    <col min="9" max="9" width="15.5703125" style="462" customWidth="1"/>
    <col min="10" max="10" width="13" style="466" hidden="1" customWidth="1"/>
    <col min="11" max="11" width="15.85546875" style="462" customWidth="1"/>
    <col min="12" max="13" width="16.140625" style="462" customWidth="1"/>
    <col min="14" max="16" width="9.140625" style="462" customWidth="1"/>
    <col min="17" max="19" width="11.42578125" style="462" customWidth="1"/>
    <col min="20" max="20" width="7.140625" style="462" customWidth="1"/>
    <col min="21" max="21" width="6.85546875" style="462" customWidth="1"/>
    <col min="22" max="22" width="7.140625" style="462" customWidth="1"/>
    <col min="23" max="28" width="7.5703125" style="462" customWidth="1"/>
    <col min="29" max="29" width="10" style="462" bestFit="1" customWidth="1"/>
    <col min="30" max="30" width="8.5703125" style="462" bestFit="1" customWidth="1"/>
    <col min="31" max="31" width="7.5703125" style="462" customWidth="1"/>
    <col min="32" max="39" width="11.42578125" style="462" customWidth="1"/>
    <col min="40" max="40" width="8" style="436" customWidth="1"/>
    <col min="41" max="42" width="6.85546875" style="436" hidden="1" customWidth="1"/>
    <col min="43" max="45" width="6.85546875" style="312" hidden="1" customWidth="1"/>
    <col min="46" max="46" width="8.42578125" style="312" hidden="1" customWidth="1"/>
    <col min="47" max="48" width="6.85546875" style="312" hidden="1" customWidth="1"/>
    <col min="49" max="49" width="9.140625" style="312" hidden="1" customWidth="1"/>
    <col min="50" max="50" width="11.85546875" style="312" hidden="1" customWidth="1"/>
    <col min="51" max="52" width="9.42578125" style="312" hidden="1" customWidth="1"/>
    <col min="53" max="53" width="14.7109375" style="312" hidden="1" customWidth="1"/>
    <col min="54" max="54" width="7.5703125" style="421" customWidth="1"/>
    <col min="55" max="55" width="54.85546875" style="436" customWidth="1"/>
    <col min="56" max="56" width="15.85546875" style="436" customWidth="1"/>
    <col min="57" max="57" width="2.85546875" style="312" customWidth="1"/>
    <col min="58" max="58" width="45.85546875" style="312" customWidth="1"/>
    <col min="59" max="59" width="19.140625" style="312" customWidth="1"/>
    <col min="60" max="60" width="4.85546875" style="436" customWidth="1"/>
    <col min="61" max="61" width="22.85546875" style="436" customWidth="1"/>
    <col min="62" max="65" width="11.42578125" style="436" customWidth="1"/>
    <col min="66" max="16384" width="11.42578125" style="462"/>
  </cols>
  <sheetData>
    <row r="1" spans="1:65" ht="35.25" customHeight="1" thickBot="1">
      <c r="A1" s="1240" t="s">
        <v>2625</v>
      </c>
      <c r="B1" s="1241"/>
      <c r="C1" s="1241"/>
      <c r="D1" s="1241"/>
      <c r="E1" s="1241"/>
      <c r="F1" s="1241"/>
      <c r="G1" s="1241"/>
      <c r="H1" s="1241"/>
      <c r="I1" s="1241"/>
      <c r="J1" s="1241"/>
      <c r="K1" s="1241"/>
      <c r="L1" s="1241"/>
      <c r="M1" s="1241"/>
      <c r="N1" s="1241"/>
      <c r="O1" s="1241"/>
      <c r="P1" s="1241"/>
      <c r="Q1" s="1241"/>
      <c r="R1" s="1241"/>
      <c r="S1" s="1241"/>
      <c r="T1" s="1241"/>
      <c r="U1" s="1241"/>
      <c r="V1" s="1241"/>
      <c r="W1" s="1241"/>
      <c r="X1" s="1241"/>
      <c r="Y1" s="1241"/>
      <c r="Z1" s="1241"/>
      <c r="AA1" s="1241"/>
      <c r="AB1" s="1241"/>
      <c r="AC1" s="1241"/>
      <c r="AD1" s="1241"/>
      <c r="AE1" s="1241"/>
      <c r="AF1" s="1241"/>
      <c r="AG1" s="1241"/>
      <c r="AH1" s="1241"/>
      <c r="AI1" s="1241"/>
      <c r="AJ1" s="1241"/>
      <c r="AK1" s="1241"/>
      <c r="AL1" s="1241"/>
      <c r="AM1" s="1241"/>
      <c r="AN1" s="1241"/>
      <c r="AO1" s="1241"/>
      <c r="AP1" s="1241"/>
      <c r="AQ1" s="1241"/>
      <c r="AR1" s="1241"/>
      <c r="AS1" s="1241"/>
      <c r="AT1" s="1241"/>
      <c r="AU1" s="1241"/>
      <c r="AV1" s="1241"/>
      <c r="AW1" s="1241"/>
      <c r="AX1" s="1241"/>
      <c r="AY1" s="1241"/>
      <c r="AZ1" s="1241"/>
      <c r="BA1" s="1241"/>
      <c r="BC1" s="418"/>
    </row>
    <row r="2" spans="1:65" s="526" customFormat="1" ht="42" customHeight="1" thickBot="1">
      <c r="A2" s="527" t="s">
        <v>1594</v>
      </c>
      <c r="B2" s="527" t="s">
        <v>460</v>
      </c>
      <c r="C2" s="528" t="s">
        <v>3013</v>
      </c>
      <c r="D2" s="527" t="s">
        <v>1595</v>
      </c>
      <c r="E2" s="527" t="s">
        <v>662</v>
      </c>
      <c r="F2" s="527" t="s">
        <v>461</v>
      </c>
      <c r="G2" s="527" t="s">
        <v>3016</v>
      </c>
      <c r="H2" s="527" t="s">
        <v>464</v>
      </c>
      <c r="I2" s="527" t="s">
        <v>463</v>
      </c>
      <c r="J2" s="528" t="s">
        <v>975</v>
      </c>
      <c r="K2" s="527" t="s">
        <v>1600</v>
      </c>
      <c r="L2" s="527" t="s">
        <v>465</v>
      </c>
      <c r="M2" s="527" t="s">
        <v>462</v>
      </c>
      <c r="N2" s="1242" t="s">
        <v>466</v>
      </c>
      <c r="O2" s="1243"/>
      <c r="P2" s="1244"/>
      <c r="Q2" s="527" t="s">
        <v>661</v>
      </c>
      <c r="R2" s="527" t="s">
        <v>663</v>
      </c>
      <c r="S2" s="527" t="s">
        <v>664</v>
      </c>
      <c r="T2" s="1242" t="s">
        <v>471</v>
      </c>
      <c r="U2" s="1243"/>
      <c r="V2" s="1244"/>
      <c r="W2" s="1242" t="s">
        <v>2628</v>
      </c>
      <c r="X2" s="1243"/>
      <c r="Y2" s="1244"/>
      <c r="Z2" s="1242" t="s">
        <v>1596</v>
      </c>
      <c r="AA2" s="1243"/>
      <c r="AB2" s="1244"/>
      <c r="AC2" s="1242" t="s">
        <v>665</v>
      </c>
      <c r="AD2" s="1243"/>
      <c r="AE2" s="1244"/>
      <c r="AF2" s="527" t="s">
        <v>666</v>
      </c>
      <c r="AG2" s="527" t="s">
        <v>3015</v>
      </c>
      <c r="AH2" s="527" t="s">
        <v>667</v>
      </c>
      <c r="AI2" s="527" t="s">
        <v>668</v>
      </c>
      <c r="AJ2" s="527" t="s">
        <v>669</v>
      </c>
      <c r="AK2" s="527" t="s">
        <v>467</v>
      </c>
      <c r="AL2" s="1124" t="s">
        <v>468</v>
      </c>
      <c r="AM2" s="1124" t="s">
        <v>671</v>
      </c>
      <c r="AN2" s="1242" t="s">
        <v>2627</v>
      </c>
      <c r="AO2" s="1243"/>
      <c r="AP2" s="1244"/>
      <c r="AQ2" s="1242" t="s">
        <v>472</v>
      </c>
      <c r="AR2" s="1243"/>
      <c r="AS2" s="1244"/>
      <c r="AT2" s="1242" t="s">
        <v>670</v>
      </c>
      <c r="AU2" s="1243"/>
      <c r="AV2" s="1244"/>
      <c r="AW2" s="1124" t="s">
        <v>1597</v>
      </c>
      <c r="AX2" s="1124" t="s">
        <v>1598</v>
      </c>
      <c r="AY2" s="1124" t="s">
        <v>1599</v>
      </c>
      <c r="AZ2" s="1124" t="s">
        <v>2723</v>
      </c>
      <c r="BA2" s="1124" t="s">
        <v>3011</v>
      </c>
      <c r="BB2" s="298"/>
      <c r="BC2" s="524" t="s">
        <v>976</v>
      </c>
      <c r="BD2" s="297"/>
      <c r="BE2" s="298"/>
      <c r="BF2" s="525" t="s">
        <v>976</v>
      </c>
      <c r="BG2" s="300"/>
      <c r="BH2" s="295"/>
      <c r="BI2" s="519" t="s">
        <v>977</v>
      </c>
      <c r="BJ2" s="520" t="s">
        <v>926</v>
      </c>
      <c r="BK2" s="520" t="s">
        <v>927</v>
      </c>
      <c r="BL2" s="520" t="s">
        <v>928</v>
      </c>
      <c r="BM2" s="521" t="s">
        <v>198</v>
      </c>
    </row>
    <row r="3" spans="1:65" ht="15.75" customHeight="1">
      <c r="D3" s="467"/>
      <c r="E3" s="467"/>
      <c r="F3" s="468"/>
      <c r="N3" s="522" t="s">
        <v>123</v>
      </c>
      <c r="O3" s="522" t="s">
        <v>124</v>
      </c>
      <c r="P3" s="522" t="s">
        <v>125</v>
      </c>
      <c r="T3" s="522" t="s">
        <v>126</v>
      </c>
      <c r="U3" s="523" t="s">
        <v>127</v>
      </c>
      <c r="V3" s="522" t="s">
        <v>128</v>
      </c>
      <c r="W3" s="522" t="s">
        <v>129</v>
      </c>
      <c r="X3" s="523" t="s">
        <v>130</v>
      </c>
      <c r="Y3" s="522" t="s">
        <v>131</v>
      </c>
      <c r="Z3" s="522" t="s">
        <v>132</v>
      </c>
      <c r="AA3" s="523" t="s">
        <v>133</v>
      </c>
      <c r="AB3" s="522" t="s">
        <v>134</v>
      </c>
      <c r="AC3" s="522" t="s">
        <v>135</v>
      </c>
      <c r="AD3" s="523" t="s">
        <v>136</v>
      </c>
      <c r="AE3" s="522" t="s">
        <v>137</v>
      </c>
      <c r="AN3" s="522" t="s">
        <v>129</v>
      </c>
      <c r="AO3" s="522" t="s">
        <v>130</v>
      </c>
      <c r="AP3" s="522" t="s">
        <v>131</v>
      </c>
      <c r="AQ3" s="522" t="s">
        <v>645</v>
      </c>
      <c r="AR3" s="522" t="s">
        <v>646</v>
      </c>
      <c r="AS3" s="522" t="s">
        <v>647</v>
      </c>
      <c r="AT3" s="522" t="s">
        <v>648</v>
      </c>
      <c r="AU3" s="522" t="s">
        <v>649</v>
      </c>
      <c r="AV3" s="522" t="s">
        <v>650</v>
      </c>
      <c r="AW3" s="462"/>
      <c r="AX3" s="462"/>
      <c r="AY3" s="462"/>
      <c r="AZ3" s="462"/>
      <c r="BA3" s="462"/>
      <c r="BC3" s="473"/>
      <c r="BD3" s="460"/>
      <c r="BE3" s="421"/>
      <c r="BF3" s="473"/>
      <c r="BG3" s="460"/>
      <c r="BI3" s="474"/>
      <c r="BJ3" s="475"/>
      <c r="BK3" s="475"/>
      <c r="BL3" s="475"/>
      <c r="BM3" s="476"/>
    </row>
    <row r="4" spans="1:65" ht="15.75" hidden="1" customHeight="1">
      <c r="A4" s="291"/>
      <c r="B4" s="287"/>
      <c r="C4" s="288"/>
      <c r="D4" s="294"/>
      <c r="E4" s="294"/>
      <c r="F4" s="294"/>
      <c r="G4" s="291"/>
      <c r="H4" s="291"/>
      <c r="I4" s="291"/>
      <c r="J4" s="288"/>
      <c r="K4" s="1121"/>
      <c r="L4" s="1121"/>
      <c r="M4" s="1121"/>
      <c r="N4" s="291"/>
      <c r="O4" s="291"/>
      <c r="P4" s="291"/>
      <c r="Q4" s="291"/>
      <c r="R4" s="291"/>
      <c r="S4" s="291"/>
      <c r="T4" s="291"/>
      <c r="U4" s="291"/>
      <c r="V4" s="291"/>
      <c r="W4" s="291"/>
      <c r="X4" s="291"/>
      <c r="Y4" s="291"/>
      <c r="Z4" s="291"/>
      <c r="AA4" s="291"/>
      <c r="AB4" s="291"/>
      <c r="AC4" s="291"/>
      <c r="AD4" s="291"/>
      <c r="AE4" s="291"/>
      <c r="AF4" s="291"/>
      <c r="AG4" s="291"/>
      <c r="AH4" s="291"/>
      <c r="AI4" s="291"/>
      <c r="AJ4" s="1121"/>
      <c r="AK4" s="291"/>
      <c r="AL4" s="1121"/>
      <c r="AM4" s="291"/>
      <c r="AN4" s="291"/>
      <c r="AO4" s="291"/>
      <c r="AP4" s="291"/>
      <c r="AQ4" s="1121"/>
      <c r="AR4" s="1121"/>
      <c r="AS4" s="1121"/>
      <c r="AT4" s="1121"/>
      <c r="AU4" s="1121"/>
      <c r="AV4" s="1121"/>
      <c r="AW4" s="315"/>
      <c r="AX4" s="315"/>
      <c r="AY4" s="1121"/>
      <c r="AZ4" s="1121"/>
      <c r="BA4" s="1121"/>
      <c r="BC4" s="481" t="s">
        <v>985</v>
      </c>
      <c r="BD4" s="482"/>
      <c r="BE4" s="421"/>
      <c r="BF4" s="478" t="s">
        <v>1002</v>
      </c>
      <c r="BG4" s="479"/>
      <c r="BI4" s="480" t="s">
        <v>929</v>
      </c>
      <c r="BJ4" s="415">
        <v>20800</v>
      </c>
      <c r="BK4" s="415">
        <v>21100</v>
      </c>
      <c r="BL4" s="475">
        <v>2</v>
      </c>
      <c r="BM4" s="476">
        <f>+(BK4-BJ4)*BL4/1000</f>
        <v>0.6</v>
      </c>
    </row>
    <row r="5" spans="1:65" ht="15.75" customHeight="1">
      <c r="A5" s="291"/>
      <c r="B5" s="287" t="s">
        <v>2596</v>
      </c>
      <c r="C5" s="288">
        <v>18031.8</v>
      </c>
      <c r="D5" s="294"/>
      <c r="E5" s="294"/>
      <c r="F5" s="294"/>
      <c r="G5" s="291"/>
      <c r="H5" s="291" t="s">
        <v>143</v>
      </c>
      <c r="I5" s="291"/>
      <c r="J5" s="288"/>
      <c r="K5" s="1121"/>
      <c r="L5" s="1121" t="s">
        <v>882</v>
      </c>
      <c r="M5" s="1121" t="s">
        <v>2675</v>
      </c>
      <c r="N5" s="291"/>
      <c r="O5" s="291"/>
      <c r="P5" s="291"/>
      <c r="Q5" s="291"/>
      <c r="R5" s="291"/>
      <c r="S5" s="291"/>
      <c r="T5" s="291"/>
      <c r="U5" s="291"/>
      <c r="V5" s="291"/>
      <c r="W5" s="291"/>
      <c r="X5" s="291"/>
      <c r="Y5" s="291"/>
      <c r="Z5" s="291"/>
      <c r="AA5" s="291"/>
      <c r="AB5" s="291"/>
      <c r="AC5" s="291"/>
      <c r="AD5" s="291"/>
      <c r="AE5" s="291"/>
      <c r="AF5" s="291"/>
      <c r="AG5" s="291"/>
      <c r="AH5" s="291"/>
      <c r="AI5" s="291"/>
      <c r="AJ5" s="291"/>
      <c r="AK5" s="291"/>
      <c r="AL5" s="291" t="s">
        <v>898</v>
      </c>
      <c r="AM5" s="291" t="s">
        <v>1228</v>
      </c>
      <c r="AN5" s="291">
        <v>5.5</v>
      </c>
      <c r="AO5" s="291"/>
      <c r="AP5" s="291"/>
      <c r="AQ5" s="1121"/>
      <c r="AR5" s="1121"/>
      <c r="AS5" s="1121"/>
      <c r="AT5" s="1121"/>
      <c r="AU5" s="1121"/>
      <c r="AV5" s="1121"/>
      <c r="AW5" s="315" t="s">
        <v>2630</v>
      </c>
      <c r="AX5" s="315" t="s">
        <v>1639</v>
      </c>
      <c r="AY5" s="1121">
        <v>3.8</v>
      </c>
      <c r="AZ5" s="1121"/>
      <c r="BA5" s="1121"/>
      <c r="BC5" s="481" t="s">
        <v>980</v>
      </c>
      <c r="BD5" s="483"/>
      <c r="BE5" s="421"/>
      <c r="BF5" s="478"/>
      <c r="BG5" s="479"/>
      <c r="BI5" s="480"/>
      <c r="BJ5" s="415"/>
      <c r="BK5" s="415"/>
      <c r="BL5" s="418"/>
      <c r="BM5" s="476">
        <f>+(BK5-BJ5)*BL5/1000</f>
        <v>0</v>
      </c>
    </row>
    <row r="6" spans="1:65" ht="15.75" customHeight="1" thickBot="1">
      <c r="A6" s="291"/>
      <c r="B6" s="289"/>
      <c r="C6" s="288"/>
      <c r="D6" s="294"/>
      <c r="E6" s="294"/>
      <c r="F6" s="294"/>
      <c r="G6" s="291"/>
      <c r="H6" s="291"/>
      <c r="I6" s="291"/>
      <c r="J6" s="288"/>
      <c r="K6" s="1121"/>
      <c r="L6" s="291"/>
      <c r="M6" s="291"/>
      <c r="N6" s="291"/>
      <c r="O6" s="291"/>
      <c r="P6" s="291"/>
      <c r="Q6" s="291"/>
      <c r="R6" s="291"/>
      <c r="S6" s="291"/>
      <c r="T6" s="291"/>
      <c r="U6" s="291"/>
      <c r="V6" s="291"/>
      <c r="W6" s="291"/>
      <c r="X6" s="291"/>
      <c r="Y6" s="291"/>
      <c r="Z6" s="291"/>
      <c r="AA6" s="291"/>
      <c r="AB6" s="291"/>
      <c r="AC6" s="291"/>
      <c r="AD6" s="291"/>
      <c r="AE6" s="291"/>
      <c r="AF6" s="291"/>
      <c r="AG6" s="291"/>
      <c r="AH6" s="291"/>
      <c r="AI6" s="291"/>
      <c r="AJ6" s="291"/>
      <c r="AK6" s="291"/>
      <c r="AL6" s="291"/>
      <c r="AM6" s="291"/>
      <c r="AN6" s="291"/>
      <c r="AO6" s="291"/>
      <c r="AP6" s="291"/>
      <c r="AQ6" s="1121"/>
      <c r="AR6" s="1121"/>
      <c r="AS6" s="1121"/>
      <c r="AT6" s="1121"/>
      <c r="AU6" s="1121"/>
      <c r="AV6" s="1121"/>
      <c r="AW6" s="1121"/>
      <c r="AX6" s="1121"/>
      <c r="AY6" s="1121" t="s">
        <v>695</v>
      </c>
      <c r="AZ6" s="1121"/>
      <c r="BA6" s="1121"/>
      <c r="BC6" s="481" t="s">
        <v>978</v>
      </c>
      <c r="BD6" s="484"/>
      <c r="BE6" s="421"/>
      <c r="BF6" s="485" t="s">
        <v>888</v>
      </c>
      <c r="BG6" s="461"/>
      <c r="BI6" s="486" t="s">
        <v>973</v>
      </c>
      <c r="BJ6" s="487"/>
      <c r="BK6" s="487"/>
      <c r="BL6" s="487"/>
      <c r="BM6" s="488">
        <f>SUM(BM4:BM5)</f>
        <v>0.6</v>
      </c>
    </row>
    <row r="7" spans="1:65" ht="15.75" customHeight="1">
      <c r="A7" s="1100"/>
      <c r="B7" s="1098"/>
      <c r="C7" s="1096"/>
      <c r="D7" s="1102"/>
      <c r="E7" s="1102"/>
      <c r="F7" s="1102"/>
      <c r="G7" s="1100"/>
      <c r="H7" s="1100"/>
      <c r="I7" s="1100"/>
      <c r="J7" s="1096"/>
      <c r="K7" s="1097"/>
      <c r="L7" s="1100"/>
      <c r="M7" s="1100"/>
      <c r="N7" s="1100"/>
      <c r="O7" s="1100"/>
      <c r="P7" s="1100"/>
      <c r="Q7" s="1100"/>
      <c r="R7" s="1100"/>
      <c r="S7" s="1100"/>
      <c r="T7" s="1100"/>
      <c r="U7" s="1100"/>
      <c r="V7" s="1100"/>
      <c r="W7" s="1100"/>
      <c r="X7" s="1100"/>
      <c r="Y7" s="1100"/>
      <c r="Z7" s="1100"/>
      <c r="AA7" s="1100"/>
      <c r="AB7" s="1100"/>
      <c r="AC7" s="1100"/>
      <c r="AD7" s="1100"/>
      <c r="AE7" s="1100"/>
      <c r="AF7" s="1100"/>
      <c r="AG7" s="1100"/>
      <c r="AH7" s="1100"/>
      <c r="AI7" s="1100"/>
      <c r="AJ7" s="1100"/>
      <c r="AK7" s="1100"/>
      <c r="AL7" s="1100"/>
      <c r="AM7" s="1100"/>
      <c r="AN7" s="1100"/>
      <c r="AO7" s="421"/>
      <c r="AP7" s="421"/>
      <c r="AQ7" s="418"/>
      <c r="AR7" s="418"/>
      <c r="AS7" s="418"/>
      <c r="AT7" s="418"/>
      <c r="AU7" s="418"/>
      <c r="AV7" s="418"/>
      <c r="AW7" s="418"/>
      <c r="AX7" s="418"/>
      <c r="AY7" s="418" t="s">
        <v>695</v>
      </c>
      <c r="AZ7" s="418"/>
      <c r="BA7" s="418"/>
      <c r="BC7" s="481" t="s">
        <v>982</v>
      </c>
      <c r="BD7" s="489"/>
      <c r="BE7" s="421"/>
      <c r="BF7" s="478" t="s">
        <v>1051</v>
      </c>
      <c r="BG7" s="479" t="s">
        <v>1050</v>
      </c>
      <c r="BI7" s="312"/>
      <c r="BJ7" s="312"/>
      <c r="BK7" s="312"/>
      <c r="BL7" s="312"/>
      <c r="BM7" s="312"/>
    </row>
    <row r="8" spans="1:65" ht="38.25" customHeight="1">
      <c r="A8" s="291"/>
      <c r="B8" s="289"/>
      <c r="C8" s="288"/>
      <c r="D8" s="294"/>
      <c r="E8" s="294"/>
      <c r="F8" s="294"/>
      <c r="G8" s="291"/>
      <c r="H8" s="291"/>
      <c r="I8" s="291"/>
      <c r="J8" s="288"/>
      <c r="K8" s="1121"/>
      <c r="L8" s="291"/>
      <c r="M8" s="291"/>
      <c r="N8" s="291"/>
      <c r="O8" s="291"/>
      <c r="P8" s="291"/>
      <c r="Q8" s="291"/>
      <c r="R8" s="291"/>
      <c r="S8" s="291"/>
      <c r="T8" s="291"/>
      <c r="U8" s="291"/>
      <c r="V8" s="291"/>
      <c r="W8" s="291"/>
      <c r="X8" s="291"/>
      <c r="Y8" s="291"/>
      <c r="Z8" s="291"/>
      <c r="AA8" s="291"/>
      <c r="AB8" s="291"/>
      <c r="AC8" s="291"/>
      <c r="AD8" s="291"/>
      <c r="AE8" s="291"/>
      <c r="AF8" s="291"/>
      <c r="AG8" s="291"/>
      <c r="AH8" s="291"/>
      <c r="AI8" s="291"/>
      <c r="AJ8" s="291"/>
      <c r="AK8" s="291"/>
      <c r="AL8" s="291"/>
      <c r="AM8" s="291"/>
      <c r="AN8" s="291"/>
      <c r="AO8" s="291"/>
      <c r="AP8" s="291"/>
      <c r="AQ8" s="1121"/>
      <c r="AR8" s="1121"/>
      <c r="AS8" s="1121"/>
      <c r="AT8" s="1121"/>
      <c r="AU8" s="1121"/>
      <c r="AV8" s="1121"/>
      <c r="AW8" s="1121"/>
      <c r="AX8" s="1121"/>
      <c r="AY8" s="1121" t="s">
        <v>695</v>
      </c>
      <c r="AZ8" s="1121"/>
      <c r="BA8" s="1121"/>
      <c r="BC8" s="485" t="s">
        <v>984</v>
      </c>
      <c r="BD8" s="461"/>
      <c r="BE8" s="421"/>
      <c r="BF8" s="478"/>
      <c r="BG8" s="479"/>
      <c r="BI8" s="494" t="s">
        <v>932</v>
      </c>
      <c r="BJ8" s="494" t="s">
        <v>926</v>
      </c>
      <c r="BK8" s="494" t="s">
        <v>927</v>
      </c>
      <c r="BL8" s="494" t="s">
        <v>928</v>
      </c>
      <c r="BM8" s="494" t="s">
        <v>198</v>
      </c>
    </row>
    <row r="9" spans="1:65" ht="15.75" hidden="1" customHeight="1">
      <c r="A9" s="291"/>
      <c r="B9" s="289" t="s">
        <v>2591</v>
      </c>
      <c r="C9" s="288">
        <v>20894</v>
      </c>
      <c r="D9" s="294"/>
      <c r="E9" s="294"/>
      <c r="F9" s="294"/>
      <c r="G9" s="291"/>
      <c r="H9" s="291"/>
      <c r="I9" s="291"/>
      <c r="J9" s="288"/>
      <c r="K9" s="1121"/>
      <c r="L9" s="291"/>
      <c r="M9" s="291"/>
      <c r="N9" s="291"/>
      <c r="O9" s="291"/>
      <c r="P9" s="291"/>
      <c r="Q9" s="291"/>
      <c r="R9" s="291"/>
      <c r="S9" s="291"/>
      <c r="T9" s="1121">
        <v>-15</v>
      </c>
      <c r="U9" s="291"/>
      <c r="V9" s="291"/>
      <c r="W9" s="291"/>
      <c r="X9" s="291"/>
      <c r="Y9" s="291"/>
      <c r="Z9" s="291"/>
      <c r="AA9" s="291"/>
      <c r="AB9" s="291"/>
      <c r="AC9" s="291"/>
      <c r="AD9" s="291"/>
      <c r="AE9" s="291"/>
      <c r="AF9" s="291"/>
      <c r="AG9" s="291"/>
      <c r="AH9" s="291"/>
      <c r="AI9" s="291"/>
      <c r="AJ9" s="291"/>
      <c r="AK9" s="291"/>
      <c r="AL9" s="291"/>
      <c r="AM9" s="291"/>
      <c r="AN9" s="291"/>
      <c r="AO9" s="291"/>
      <c r="AP9" s="291"/>
      <c r="AQ9" s="1121"/>
      <c r="AR9" s="1121"/>
      <c r="AS9" s="1121"/>
      <c r="AT9" s="1121"/>
      <c r="AU9" s="1121"/>
      <c r="AV9" s="1121"/>
      <c r="AW9" s="1121"/>
      <c r="AX9" s="1121"/>
      <c r="AY9" s="1121" t="s">
        <v>695</v>
      </c>
      <c r="AZ9" s="1121"/>
      <c r="BA9" s="1121"/>
      <c r="BC9" s="478" t="s">
        <v>988</v>
      </c>
      <c r="BD9" s="479" t="s">
        <v>986</v>
      </c>
      <c r="BE9" s="421"/>
      <c r="BF9" s="478" t="s">
        <v>1023</v>
      </c>
      <c r="BG9" s="479" t="s">
        <v>144</v>
      </c>
      <c r="BI9" s="502"/>
      <c r="BJ9" s="503"/>
      <c r="BK9" s="503"/>
      <c r="BL9" s="504"/>
      <c r="BM9" s="505">
        <f t="shared" ref="BM9:BM14" si="0">+(BK9-BJ9)*BL9/1000</f>
        <v>0</v>
      </c>
    </row>
    <row r="10" spans="1:65" ht="15.75" hidden="1" customHeight="1">
      <c r="A10" s="291"/>
      <c r="B10" s="289"/>
      <c r="C10" s="288"/>
      <c r="D10" s="294"/>
      <c r="E10" s="294"/>
      <c r="F10" s="294"/>
      <c r="G10" s="385">
        <v>30</v>
      </c>
      <c r="H10" s="291"/>
      <c r="I10" s="291"/>
      <c r="J10" s="288"/>
      <c r="K10" s="1121"/>
      <c r="L10" s="291"/>
      <c r="M10" s="291"/>
      <c r="N10" s="291"/>
      <c r="O10" s="291"/>
      <c r="P10" s="291"/>
      <c r="Q10" s="291"/>
      <c r="R10" s="291"/>
      <c r="S10" s="291"/>
      <c r="T10" s="291"/>
      <c r="U10" s="291"/>
      <c r="V10" s="291"/>
      <c r="W10" s="291"/>
      <c r="X10" s="291"/>
      <c r="Y10" s="291"/>
      <c r="Z10" s="291"/>
      <c r="AA10" s="291"/>
      <c r="AB10" s="291"/>
      <c r="AC10" s="291"/>
      <c r="AD10" s="291"/>
      <c r="AE10" s="291"/>
      <c r="AF10" s="291"/>
      <c r="AG10" s="291"/>
      <c r="AH10" s="291"/>
      <c r="AI10" s="291"/>
      <c r="AJ10" s="291"/>
      <c r="AK10" s="291"/>
      <c r="AL10" s="291"/>
      <c r="AM10" s="291"/>
      <c r="AN10" s="291"/>
      <c r="AO10" s="291"/>
      <c r="AP10" s="291"/>
      <c r="AQ10" s="1121">
        <f>+FL_2($T$11,$T$9,$G$10,1200,9.28, 1*$F$11)</f>
        <v>-0.15000000000000013</v>
      </c>
      <c r="AR10" s="1121"/>
      <c r="AS10" s="1121"/>
      <c r="AT10" s="1121"/>
      <c r="AU10" s="1121"/>
      <c r="AV10" s="1121"/>
      <c r="AW10" s="1121"/>
      <c r="AX10" s="1121"/>
      <c r="AY10" s="1121" t="s">
        <v>695</v>
      </c>
      <c r="AZ10" s="1121"/>
      <c r="BA10" s="1121"/>
      <c r="BC10" s="478" t="s">
        <v>990</v>
      </c>
      <c r="BD10" s="479" t="s">
        <v>651</v>
      </c>
      <c r="BE10" s="421"/>
      <c r="BF10" s="478" t="s">
        <v>1052</v>
      </c>
      <c r="BG10" s="479" t="s">
        <v>145</v>
      </c>
      <c r="BI10" s="480"/>
      <c r="BJ10" s="415"/>
      <c r="BK10" s="415"/>
      <c r="BL10" s="475"/>
      <c r="BM10" s="476">
        <f t="shared" si="0"/>
        <v>0</v>
      </c>
    </row>
    <row r="11" spans="1:65" ht="15.75" customHeight="1">
      <c r="A11" s="291"/>
      <c r="B11" s="289" t="s">
        <v>2565</v>
      </c>
      <c r="C11" s="288">
        <f t="shared" ref="C11" si="1">C9+G10</f>
        <v>20924</v>
      </c>
      <c r="D11" s="294"/>
      <c r="E11" s="294"/>
      <c r="F11" s="294"/>
      <c r="G11" s="291"/>
      <c r="H11" s="291"/>
      <c r="I11" s="291"/>
      <c r="J11" s="288"/>
      <c r="K11" s="1121"/>
      <c r="L11" s="291"/>
      <c r="M11" s="291"/>
      <c r="N11" s="1121" t="s">
        <v>917</v>
      </c>
      <c r="O11" s="291"/>
      <c r="P11" s="291"/>
      <c r="Q11" s="291">
        <v>0</v>
      </c>
      <c r="R11" s="291">
        <v>0</v>
      </c>
      <c r="S11" s="291"/>
      <c r="T11" s="1121">
        <v>20</v>
      </c>
      <c r="U11" s="291"/>
      <c r="V11" s="291"/>
      <c r="W11" s="291">
        <v>1.4</v>
      </c>
      <c r="X11" s="291"/>
      <c r="Y11" s="291"/>
      <c r="Z11" s="291"/>
      <c r="AA11" s="291"/>
      <c r="AB11" s="291"/>
      <c r="AC11" s="1121" t="s">
        <v>2963</v>
      </c>
      <c r="AD11" s="291"/>
      <c r="AE11" s="291"/>
      <c r="AF11" s="291">
        <v>100</v>
      </c>
      <c r="AG11" s="288">
        <v>20924</v>
      </c>
      <c r="AH11" s="291">
        <v>1283</v>
      </c>
      <c r="AI11" s="291">
        <v>-5400</v>
      </c>
      <c r="AJ11" s="291"/>
      <c r="AK11" s="291" t="s">
        <v>139</v>
      </c>
      <c r="AL11" s="1121"/>
      <c r="AM11" s="291"/>
      <c r="AN11" s="291">
        <v>5.5</v>
      </c>
      <c r="AO11" s="291"/>
      <c r="AP11" s="291"/>
      <c r="AQ11" s="1121"/>
      <c r="AR11" s="1121"/>
      <c r="AS11" s="1121"/>
      <c r="AT11" s="315">
        <f>+ab($T$11,$T$9,$T$13,$G$10,$G$12, 1*$F$11,1200)</f>
        <v>16.017182255898355</v>
      </c>
      <c r="AU11" s="1121"/>
      <c r="AV11" s="1121"/>
      <c r="AW11" s="1121"/>
      <c r="AX11" s="1121"/>
      <c r="AY11" s="1121" t="s">
        <v>695</v>
      </c>
      <c r="AZ11" s="1121"/>
      <c r="BA11" s="1121"/>
      <c r="BC11" s="478" t="s">
        <v>989</v>
      </c>
      <c r="BD11" s="479" t="s">
        <v>652</v>
      </c>
      <c r="BE11" s="421"/>
      <c r="BF11" s="478" t="s">
        <v>1024</v>
      </c>
      <c r="BG11" s="479" t="s">
        <v>140</v>
      </c>
      <c r="BI11" s="480"/>
      <c r="BJ11" s="415"/>
      <c r="BK11" s="415"/>
      <c r="BL11" s="475"/>
      <c r="BM11" s="476">
        <f t="shared" si="0"/>
        <v>0</v>
      </c>
    </row>
    <row r="12" spans="1:65" ht="15.75" customHeight="1">
      <c r="A12" s="291"/>
      <c r="B12" s="289"/>
      <c r="C12" s="288"/>
      <c r="D12" s="294"/>
      <c r="E12" s="294"/>
      <c r="F12" s="294"/>
      <c r="G12" s="385">
        <v>32</v>
      </c>
      <c r="H12" s="291"/>
      <c r="I12" s="291"/>
      <c r="J12" s="288"/>
      <c r="K12" s="1121"/>
      <c r="L12" s="291"/>
      <c r="M12" s="291"/>
      <c r="N12" s="291"/>
      <c r="O12" s="291"/>
      <c r="P12" s="291"/>
      <c r="Q12" s="291"/>
      <c r="R12" s="291"/>
      <c r="S12" s="382">
        <f>AG13-AG11</f>
        <v>32</v>
      </c>
      <c r="T12" s="291"/>
      <c r="U12" s="291"/>
      <c r="V12" s="291"/>
      <c r="W12" s="291"/>
      <c r="X12" s="291"/>
      <c r="Y12" s="291"/>
      <c r="Z12" s="291"/>
      <c r="AA12" s="291"/>
      <c r="AB12" s="291"/>
      <c r="AC12" s="291"/>
      <c r="AD12" s="291"/>
      <c r="AE12" s="291"/>
      <c r="AF12" s="291"/>
      <c r="AG12" s="288"/>
      <c r="AH12" s="291"/>
      <c r="AI12" s="291"/>
      <c r="AJ12" s="291"/>
      <c r="AK12" s="291"/>
      <c r="AL12" s="291"/>
      <c r="AM12" s="291"/>
      <c r="AN12" s="291"/>
      <c r="AO12" s="291"/>
      <c r="AP12" s="291"/>
      <c r="AQ12" s="1121">
        <f>+FL_1($T$13,$T$11,$G$12,1200,9.28, 1*$F$13)</f>
        <v>0.29898666666666668</v>
      </c>
      <c r="AR12" s="1121"/>
      <c r="AS12" s="1121"/>
      <c r="AT12" s="315"/>
      <c r="AU12" s="1121"/>
      <c r="AV12" s="1121"/>
      <c r="AW12" s="1121"/>
      <c r="AX12" s="1121"/>
      <c r="AY12" s="1121" t="s">
        <v>695</v>
      </c>
      <c r="AZ12" s="1121"/>
      <c r="BA12" s="1121"/>
      <c r="BC12" s="478" t="s">
        <v>992</v>
      </c>
      <c r="BD12" s="479" t="s">
        <v>955</v>
      </c>
      <c r="BE12" s="421"/>
      <c r="BF12" s="478" t="s">
        <v>1025</v>
      </c>
      <c r="BG12" s="479" t="s">
        <v>673</v>
      </c>
      <c r="BI12" s="480"/>
      <c r="BJ12" s="415"/>
      <c r="BK12" s="415"/>
      <c r="BL12" s="475"/>
      <c r="BM12" s="476">
        <f t="shared" si="0"/>
        <v>0</v>
      </c>
    </row>
    <row r="13" spans="1:65" ht="15.75" customHeight="1">
      <c r="A13" s="340" t="s">
        <v>3234</v>
      </c>
      <c r="B13" s="287" t="s">
        <v>2566</v>
      </c>
      <c r="C13" s="288">
        <f t="shared" ref="C13" si="2">C11+G12</f>
        <v>20956</v>
      </c>
      <c r="D13" s="1121"/>
      <c r="E13" s="1121"/>
      <c r="F13" s="289">
        <v>0</v>
      </c>
      <c r="G13" s="292"/>
      <c r="H13" s="291" t="s">
        <v>142</v>
      </c>
      <c r="I13" s="294" t="s">
        <v>2016</v>
      </c>
      <c r="J13" s="288"/>
      <c r="K13" s="1121"/>
      <c r="L13" s="1121"/>
      <c r="M13" s="1121"/>
      <c r="N13" s="1121" t="s">
        <v>917</v>
      </c>
      <c r="O13" s="1121"/>
      <c r="P13" s="1121"/>
      <c r="Q13" s="1121">
        <v>0</v>
      </c>
      <c r="R13" s="1121">
        <v>0</v>
      </c>
      <c r="S13" s="1121"/>
      <c r="T13" s="1121">
        <v>20</v>
      </c>
      <c r="U13" s="1121"/>
      <c r="V13" s="1121"/>
      <c r="W13" s="1121">
        <v>1.4</v>
      </c>
      <c r="X13" s="1121"/>
      <c r="Y13" s="1121"/>
      <c r="Z13" s="1121"/>
      <c r="AA13" s="1121"/>
      <c r="AB13" s="1121"/>
      <c r="AC13" s="1121" t="s">
        <v>1704</v>
      </c>
      <c r="AD13" s="1121"/>
      <c r="AE13" s="1121"/>
      <c r="AF13" s="1121">
        <v>100</v>
      </c>
      <c r="AG13" s="288">
        <v>20956</v>
      </c>
      <c r="AH13" s="1121">
        <v>1283</v>
      </c>
      <c r="AI13" s="1121">
        <v>-5400</v>
      </c>
      <c r="AJ13" s="1121" t="s">
        <v>3231</v>
      </c>
      <c r="AK13" s="1121" t="s">
        <v>229</v>
      </c>
      <c r="AL13" s="1121"/>
      <c r="AM13" s="1121"/>
      <c r="AN13" s="291">
        <v>5.5</v>
      </c>
      <c r="AO13" s="291"/>
      <c r="AP13" s="291"/>
      <c r="AQ13" s="1121"/>
      <c r="AR13" s="1121"/>
      <c r="AS13" s="1121"/>
      <c r="AT13" s="315">
        <f>+ab($T$13,$T$11,$T$15,$G$12,$G$14, 1*$F$13,1200)</f>
        <v>21.421480675895342</v>
      </c>
      <c r="AU13" s="1121"/>
      <c r="AV13" s="1121"/>
      <c r="AW13" s="1121"/>
      <c r="AX13" s="1121"/>
      <c r="AY13" s="1121" t="s">
        <v>695</v>
      </c>
      <c r="AZ13" s="1121"/>
      <c r="BA13" s="1121"/>
      <c r="BC13" s="478" t="s">
        <v>991</v>
      </c>
      <c r="BD13" s="479" t="s">
        <v>956</v>
      </c>
      <c r="BE13" s="421"/>
      <c r="BF13" s="478" t="s">
        <v>1026</v>
      </c>
      <c r="BG13" s="479" t="s">
        <v>674</v>
      </c>
      <c r="BI13" s="480"/>
      <c r="BJ13" s="415"/>
      <c r="BK13" s="415"/>
      <c r="BL13" s="418"/>
      <c r="BM13" s="476">
        <f t="shared" si="0"/>
        <v>0</v>
      </c>
    </row>
    <row r="14" spans="1:65" ht="15.75" customHeight="1">
      <c r="A14" s="340"/>
      <c r="B14" s="287"/>
      <c r="C14" s="288"/>
      <c r="D14" s="1121"/>
      <c r="E14" s="1121"/>
      <c r="F14" s="289"/>
      <c r="G14" s="292">
        <v>41</v>
      </c>
      <c r="H14" s="291"/>
      <c r="I14" s="294"/>
      <c r="J14" s="288"/>
      <c r="K14" s="1121"/>
      <c r="L14" s="1121"/>
      <c r="M14" s="1121"/>
      <c r="N14" s="291"/>
      <c r="O14" s="291"/>
      <c r="P14" s="1121"/>
      <c r="Q14" s="1121"/>
      <c r="R14" s="1121"/>
      <c r="S14" s="382">
        <f>AG15-AG13</f>
        <v>41.590000000000146</v>
      </c>
      <c r="T14" s="1121"/>
      <c r="U14" s="1121"/>
      <c r="V14" s="1121"/>
      <c r="W14" s="1121"/>
      <c r="X14" s="1121"/>
      <c r="Y14" s="1121"/>
      <c r="Z14" s="1121"/>
      <c r="AA14" s="1121"/>
      <c r="AB14" s="1121"/>
      <c r="AC14" s="1121"/>
      <c r="AD14" s="1121"/>
      <c r="AE14" s="1121"/>
      <c r="AF14" s="1121"/>
      <c r="AG14" s="288"/>
      <c r="AH14" s="1121"/>
      <c r="AI14" s="1121"/>
      <c r="AJ14" s="1121" t="s">
        <v>3002</v>
      </c>
      <c r="AK14" s="1121"/>
      <c r="AL14" s="1121"/>
      <c r="AM14" s="1121"/>
      <c r="AN14" s="291"/>
      <c r="AO14" s="291"/>
      <c r="AP14" s="291"/>
      <c r="AQ14" s="1121">
        <f>+FL_1($U$15,$T$13,$G$14,1200,9.28, 1*$F$15)</f>
        <v>0.20865248517073171</v>
      </c>
      <c r="AR14" s="1121"/>
      <c r="AS14" s="1121"/>
      <c r="AT14" s="315"/>
      <c r="AU14" s="1121"/>
      <c r="AV14" s="1121"/>
      <c r="AW14" s="1121"/>
      <c r="AX14" s="1121"/>
      <c r="AY14" s="1121" t="s">
        <v>695</v>
      </c>
      <c r="AZ14" s="1121"/>
      <c r="BA14" s="1121"/>
      <c r="BC14" s="478" t="s">
        <v>993</v>
      </c>
      <c r="BD14" s="479" t="s">
        <v>954</v>
      </c>
      <c r="BE14" s="421"/>
      <c r="BF14" s="478" t="s">
        <v>1027</v>
      </c>
      <c r="BG14" s="479" t="s">
        <v>675</v>
      </c>
      <c r="BI14" s="480"/>
      <c r="BJ14" s="495"/>
      <c r="BK14" s="495"/>
      <c r="BL14" s="496"/>
      <c r="BM14" s="497">
        <f t="shared" si="0"/>
        <v>0</v>
      </c>
    </row>
    <row r="15" spans="1:65" ht="15.75" customHeight="1">
      <c r="A15" s="340"/>
      <c r="B15" s="287" t="s">
        <v>2496</v>
      </c>
      <c r="C15" s="288">
        <f>C13+G14</f>
        <v>20997</v>
      </c>
      <c r="D15" s="1121"/>
      <c r="E15" s="1121"/>
      <c r="F15" s="289">
        <v>0</v>
      </c>
      <c r="G15" s="292"/>
      <c r="H15" s="291" t="s">
        <v>651</v>
      </c>
      <c r="I15" s="294"/>
      <c r="J15" s="288"/>
      <c r="K15" s="1121"/>
      <c r="L15" s="287" t="s">
        <v>1056</v>
      </c>
      <c r="M15" s="287" t="s">
        <v>1614</v>
      </c>
      <c r="N15" s="1121" t="s">
        <v>140</v>
      </c>
      <c r="O15" s="1121" t="s">
        <v>145</v>
      </c>
      <c r="P15" s="1121" t="s">
        <v>140</v>
      </c>
      <c r="Q15" s="1121">
        <v>0</v>
      </c>
      <c r="R15" s="1121">
        <v>0</v>
      </c>
      <c r="S15" s="1121"/>
      <c r="T15" s="1121">
        <v>-15</v>
      </c>
      <c r="U15" s="1121">
        <v>-30</v>
      </c>
      <c r="V15" s="1121">
        <v>-50</v>
      </c>
      <c r="W15" s="1121">
        <v>1.5</v>
      </c>
      <c r="X15" s="1121">
        <v>2</v>
      </c>
      <c r="Y15" s="1121">
        <v>2.5</v>
      </c>
      <c r="Z15" s="1121">
        <v>0.5</v>
      </c>
      <c r="AA15" s="1121"/>
      <c r="AB15" s="1121">
        <v>0.5</v>
      </c>
      <c r="AC15" s="1121"/>
      <c r="AD15" s="1121" t="s">
        <v>1704</v>
      </c>
      <c r="AE15" s="1121"/>
      <c r="AF15" s="1121">
        <v>6000</v>
      </c>
      <c r="AG15" s="288">
        <v>20997.59</v>
      </c>
      <c r="AH15" s="1121">
        <v>2632</v>
      </c>
      <c r="AI15" s="1121">
        <v>597</v>
      </c>
      <c r="AJ15" s="1121"/>
      <c r="AK15" s="1121"/>
      <c r="AL15" s="1121"/>
      <c r="AM15" s="291" t="s">
        <v>1228</v>
      </c>
      <c r="AN15" s="291">
        <v>5.5</v>
      </c>
      <c r="AO15" s="291"/>
      <c r="AP15" s="291"/>
      <c r="AQ15" s="1121"/>
      <c r="AR15" s="1121"/>
      <c r="AS15" s="1121"/>
      <c r="AT15" s="315">
        <f>+ab($U$15,$T$13,$U$19,$G$14,$G$16, 1*$F$15,1200)</f>
        <v>-15.356622716325921</v>
      </c>
      <c r="AU15" s="1121"/>
      <c r="AV15" s="1121"/>
      <c r="AW15" s="315" t="s">
        <v>2634</v>
      </c>
      <c r="AX15" s="315" t="s">
        <v>1639</v>
      </c>
      <c r="AY15" s="1121">
        <v>3.4</v>
      </c>
      <c r="AZ15" s="1121"/>
      <c r="BA15" s="1121"/>
      <c r="BC15" s="478" t="s">
        <v>1605</v>
      </c>
      <c r="BD15" s="479" t="s">
        <v>1059</v>
      </c>
      <c r="BE15" s="421"/>
      <c r="BF15" s="478" t="s">
        <v>1028</v>
      </c>
      <c r="BG15" s="479" t="s">
        <v>916</v>
      </c>
      <c r="BI15" s="498" t="s">
        <v>1084</v>
      </c>
      <c r="BJ15" s="418"/>
      <c r="BK15" s="418"/>
      <c r="BL15" s="418"/>
      <c r="BM15" s="499">
        <f>SUM(BM9:BM14)</f>
        <v>0</v>
      </c>
    </row>
    <row r="16" spans="1:65" ht="15.75" customHeight="1">
      <c r="A16" s="340"/>
      <c r="B16" s="287"/>
      <c r="C16" s="288"/>
      <c r="D16" s="1121"/>
      <c r="E16" s="1121"/>
      <c r="F16" s="289"/>
      <c r="G16" s="292">
        <v>8</v>
      </c>
      <c r="H16" s="291"/>
      <c r="I16" s="291"/>
      <c r="J16" s="288"/>
      <c r="K16" s="1121"/>
      <c r="L16" s="1121"/>
      <c r="M16" s="1121"/>
      <c r="N16" s="1121"/>
      <c r="O16" s="1121"/>
      <c r="P16" s="1121"/>
      <c r="Q16" s="1121"/>
      <c r="R16" s="1121"/>
      <c r="S16" s="1121"/>
      <c r="T16" s="1121"/>
      <c r="U16" s="1121"/>
      <c r="V16" s="1121"/>
      <c r="W16" s="1121"/>
      <c r="X16" s="1121"/>
      <c r="Y16" s="1121"/>
      <c r="Z16" s="1121"/>
      <c r="AA16" s="1121"/>
      <c r="AB16" s="1121"/>
      <c r="AC16" s="1121"/>
      <c r="AD16" s="1121"/>
      <c r="AE16" s="1121"/>
      <c r="AF16" s="1121"/>
      <c r="AG16" s="288"/>
      <c r="AH16" s="1121"/>
      <c r="AI16" s="1121"/>
      <c r="AJ16" s="1121"/>
      <c r="AK16" s="1121"/>
      <c r="AL16" s="1121"/>
      <c r="AM16" s="1121"/>
      <c r="AN16" s="291"/>
      <c r="AO16" s="291"/>
      <c r="AP16" s="291"/>
      <c r="AQ16" s="1121">
        <f>+FL_1($U$19,$T$15,$G$16,1200,9.28, 1*$F$17)</f>
        <v>-0.149843472000002</v>
      </c>
      <c r="AR16" s="1121"/>
      <c r="AS16" s="1121"/>
      <c r="AT16" s="315"/>
      <c r="AU16" s="1121"/>
      <c r="AV16" s="1121"/>
      <c r="AW16" s="1121"/>
      <c r="AX16" s="1121"/>
      <c r="AY16" s="1121" t="s">
        <v>695</v>
      </c>
      <c r="AZ16" s="1121"/>
      <c r="BA16" s="1121"/>
      <c r="BC16" s="478" t="s">
        <v>1039</v>
      </c>
      <c r="BD16" s="479" t="s">
        <v>143</v>
      </c>
      <c r="BE16" s="421"/>
      <c r="BF16" s="478" t="s">
        <v>1029</v>
      </c>
      <c r="BG16" s="479" t="s">
        <v>917</v>
      </c>
      <c r="BI16" s="480"/>
      <c r="BJ16" s="418"/>
      <c r="BK16" s="418"/>
      <c r="BL16" s="418"/>
      <c r="BM16" s="500"/>
    </row>
    <row r="17" spans="1:65" ht="15.75" customHeight="1">
      <c r="A17" s="340"/>
      <c r="B17" s="287" t="s">
        <v>2497</v>
      </c>
      <c r="C17" s="288">
        <f>C15+G16</f>
        <v>21005</v>
      </c>
      <c r="D17" s="1121"/>
      <c r="E17" s="1121"/>
      <c r="F17" s="289">
        <v>0</v>
      </c>
      <c r="G17" s="292"/>
      <c r="H17" s="291"/>
      <c r="I17" s="294"/>
      <c r="J17" s="288"/>
      <c r="K17" s="1121"/>
      <c r="L17" s="1121" t="s">
        <v>882</v>
      </c>
      <c r="M17" s="1121" t="s">
        <v>2675</v>
      </c>
      <c r="N17" s="1121"/>
      <c r="O17" s="1121"/>
      <c r="P17" s="1121"/>
      <c r="Q17" s="1121"/>
      <c r="R17" s="1121"/>
      <c r="S17" s="382">
        <f>AG19-AG15</f>
        <v>32.829999999998108</v>
      </c>
      <c r="T17" s="1121"/>
      <c r="U17" s="1121"/>
      <c r="V17" s="1121"/>
      <c r="W17" s="1121"/>
      <c r="X17" s="1121"/>
      <c r="Y17" s="1121"/>
      <c r="Z17" s="1121"/>
      <c r="AA17" s="1121"/>
      <c r="AB17" s="1121"/>
      <c r="AC17" s="1121"/>
      <c r="AD17" s="1121"/>
      <c r="AE17" s="1121"/>
      <c r="AF17" s="1121"/>
      <c r="AG17" s="288"/>
      <c r="AH17" s="1121"/>
      <c r="AI17" s="1121"/>
      <c r="AJ17" s="1121"/>
      <c r="AK17" s="1121"/>
      <c r="AL17" s="1121" t="s">
        <v>2518</v>
      </c>
      <c r="AM17" s="291" t="s">
        <v>1228</v>
      </c>
      <c r="AN17" s="291">
        <v>5.5</v>
      </c>
      <c r="AO17" s="291"/>
      <c r="AP17" s="291"/>
      <c r="AQ17" s="1121"/>
      <c r="AR17" s="1121"/>
      <c r="AS17" s="1121"/>
      <c r="AT17" s="315"/>
      <c r="AU17" s="1121"/>
      <c r="AV17" s="1121"/>
      <c r="AW17" s="315" t="s">
        <v>2634</v>
      </c>
      <c r="AX17" s="315" t="s">
        <v>1639</v>
      </c>
      <c r="AY17" s="1121">
        <v>3.8</v>
      </c>
      <c r="AZ17" s="1121"/>
      <c r="BA17" s="1121"/>
      <c r="BC17" s="478" t="s">
        <v>2048</v>
      </c>
      <c r="BD17" s="479" t="s">
        <v>2016</v>
      </c>
      <c r="BE17" s="421"/>
      <c r="BF17" s="478"/>
      <c r="BG17" s="479"/>
      <c r="BI17" s="312"/>
      <c r="BJ17" s="312"/>
      <c r="BK17" s="312"/>
      <c r="BL17" s="312"/>
      <c r="BM17" s="312"/>
    </row>
    <row r="18" spans="1:65" ht="15.75" customHeight="1">
      <c r="A18" s="340"/>
      <c r="B18" s="287"/>
      <c r="C18" s="288"/>
      <c r="D18" s="1121"/>
      <c r="E18" s="1121"/>
      <c r="F18" s="289"/>
      <c r="G18" s="292">
        <v>25</v>
      </c>
      <c r="H18" s="291"/>
      <c r="I18" s="294"/>
      <c r="J18" s="288"/>
      <c r="K18" s="1121"/>
      <c r="L18" s="1121"/>
      <c r="M18" s="1121"/>
      <c r="N18" s="1121"/>
      <c r="O18" s="1121"/>
      <c r="P18" s="1121"/>
      <c r="Q18" s="1121"/>
      <c r="R18" s="1121"/>
      <c r="S18" s="1121"/>
      <c r="T18" s="1121"/>
      <c r="U18" s="1121"/>
      <c r="V18" s="1121"/>
      <c r="W18" s="1121"/>
      <c r="X18" s="1121"/>
      <c r="Y18" s="1121"/>
      <c r="Z18" s="1121"/>
      <c r="AA18" s="1121"/>
      <c r="AB18" s="1121"/>
      <c r="AC18" s="1121"/>
      <c r="AD18" s="1121"/>
      <c r="AE18" s="1121"/>
      <c r="AF18" s="1121"/>
      <c r="AG18" s="288"/>
      <c r="AH18" s="1121"/>
      <c r="AI18" s="1121"/>
      <c r="AJ18" s="1121"/>
      <c r="AK18" s="1121"/>
      <c r="AL18" s="1121"/>
      <c r="AM18" s="1121"/>
      <c r="AN18" s="291"/>
      <c r="AO18" s="291"/>
      <c r="AP18" s="291"/>
      <c r="AQ18" s="1121">
        <f>+FL_2($T$19,$T$17,$G$18,1200,9.28, 1*$F$19)</f>
        <v>-0.15869252799999997</v>
      </c>
      <c r="AR18" s="1121"/>
      <c r="AS18" s="1121"/>
      <c r="AT18" s="315"/>
      <c r="AU18" s="1121"/>
      <c r="AV18" s="1121"/>
      <c r="AW18" s="1121"/>
      <c r="AX18" s="1121"/>
      <c r="AY18" s="1121" t="s">
        <v>695</v>
      </c>
      <c r="AZ18" s="1121"/>
      <c r="BA18" s="1121"/>
      <c r="BC18" s="478" t="s">
        <v>2048</v>
      </c>
      <c r="BD18" s="479" t="s">
        <v>2016</v>
      </c>
      <c r="BE18" s="421"/>
      <c r="BF18" s="478"/>
      <c r="BG18" s="479"/>
      <c r="BI18" s="312"/>
      <c r="BJ18" s="312"/>
      <c r="BK18" s="312"/>
      <c r="BL18" s="312"/>
      <c r="BM18" s="312"/>
    </row>
    <row r="19" spans="1:65" ht="15.75" customHeight="1" thickBot="1">
      <c r="A19" s="340"/>
      <c r="B19" s="287" t="s">
        <v>2498</v>
      </c>
      <c r="C19" s="288">
        <f>C17+G18</f>
        <v>21030</v>
      </c>
      <c r="D19" s="1121"/>
      <c r="E19" s="1121"/>
      <c r="F19" s="289">
        <v>0</v>
      </c>
      <c r="G19" s="292"/>
      <c r="H19" s="291" t="s">
        <v>2766</v>
      </c>
      <c r="I19" s="294" t="s">
        <v>656</v>
      </c>
      <c r="J19" s="288"/>
      <c r="K19" s="1121"/>
      <c r="L19" s="287" t="s">
        <v>1056</v>
      </c>
      <c r="M19" s="287" t="s">
        <v>1614</v>
      </c>
      <c r="N19" s="1121" t="s">
        <v>144</v>
      </c>
      <c r="O19" s="1121" t="s">
        <v>145</v>
      </c>
      <c r="P19" s="1121"/>
      <c r="Q19" s="1121"/>
      <c r="R19" s="1121">
        <v>5</v>
      </c>
      <c r="S19" s="1121"/>
      <c r="T19" s="1121">
        <v>-15</v>
      </c>
      <c r="U19" s="1121">
        <v>-30</v>
      </c>
      <c r="V19" s="1121"/>
      <c r="W19" s="1121">
        <v>1.4</v>
      </c>
      <c r="X19" s="1121">
        <v>2.2999999999999998</v>
      </c>
      <c r="Y19" s="1121"/>
      <c r="Z19" s="1121"/>
      <c r="AA19" s="1121"/>
      <c r="AB19" s="1121"/>
      <c r="AC19" s="1121" t="s">
        <v>2997</v>
      </c>
      <c r="AD19" s="1121" t="s">
        <v>1710</v>
      </c>
      <c r="AE19" s="1121"/>
      <c r="AF19" s="1121">
        <v>6000</v>
      </c>
      <c r="AG19" s="288">
        <v>21030.42</v>
      </c>
      <c r="AH19" s="1121">
        <v>2600</v>
      </c>
      <c r="AI19" s="1121">
        <v>617</v>
      </c>
      <c r="AJ19" s="1121"/>
      <c r="AK19" s="1121"/>
      <c r="AL19" s="1121"/>
      <c r="AM19" s="291" t="s">
        <v>1228</v>
      </c>
      <c r="AN19" s="291">
        <v>5.5</v>
      </c>
      <c r="AO19" s="291"/>
      <c r="AP19" s="291"/>
      <c r="AQ19" s="1121"/>
      <c r="AR19" s="1121"/>
      <c r="AS19" s="1121"/>
      <c r="AT19" s="315">
        <f>+ab($U$19,$T$15,$T$21,$G$18,$G$20, 1*$F$19,1200)</f>
        <v>-9.1879799213446844</v>
      </c>
      <c r="AU19" s="1121"/>
      <c r="AV19" s="1121"/>
      <c r="AW19" s="315" t="s">
        <v>2634</v>
      </c>
      <c r="AX19" s="315" t="s">
        <v>1639</v>
      </c>
      <c r="AY19" s="1121">
        <v>3.4</v>
      </c>
      <c r="AZ19" s="1121">
        <v>2.5</v>
      </c>
      <c r="BA19" s="1121"/>
      <c r="BC19" s="478" t="s">
        <v>2048</v>
      </c>
      <c r="BD19" s="479" t="s">
        <v>2016</v>
      </c>
      <c r="BE19" s="421"/>
      <c r="BF19" s="478"/>
      <c r="BG19" s="479"/>
      <c r="BI19" s="312"/>
      <c r="BJ19" s="312"/>
      <c r="BK19" s="312"/>
      <c r="BL19" s="312"/>
      <c r="BM19" s="312"/>
    </row>
    <row r="20" spans="1:65" ht="15.75" customHeight="1">
      <c r="A20" s="340"/>
      <c r="B20" s="287"/>
      <c r="C20" s="288"/>
      <c r="D20" s="1121"/>
      <c r="E20" s="1121"/>
      <c r="F20" s="289"/>
      <c r="G20" s="292">
        <v>34</v>
      </c>
      <c r="H20" s="291"/>
      <c r="I20" s="294"/>
      <c r="J20" s="288">
        <f>C19+7.5</f>
        <v>21037.5</v>
      </c>
      <c r="K20" s="1121" t="s">
        <v>653</v>
      </c>
      <c r="L20" s="1121"/>
      <c r="M20" s="1121"/>
      <c r="N20" s="1121"/>
      <c r="O20" s="1121"/>
      <c r="P20" s="1121"/>
      <c r="Q20" s="1121"/>
      <c r="R20" s="1121"/>
      <c r="S20" s="382">
        <f>AG21-AG19</f>
        <v>33.790000000000873</v>
      </c>
      <c r="T20" s="1121"/>
      <c r="U20" s="1121"/>
      <c r="V20" s="1121"/>
      <c r="W20" s="1121"/>
      <c r="X20" s="1121"/>
      <c r="Y20" s="1121"/>
      <c r="Z20" s="1121"/>
      <c r="AA20" s="1121"/>
      <c r="AB20" s="1121"/>
      <c r="AC20" s="1121"/>
      <c r="AD20" s="1121"/>
      <c r="AE20" s="1121"/>
      <c r="AF20" s="1121"/>
      <c r="AG20" s="288"/>
      <c r="AH20" s="1121"/>
      <c r="AI20" s="1121"/>
      <c r="AJ20" s="1121"/>
      <c r="AK20" s="1121"/>
      <c r="AL20" s="1121"/>
      <c r="AM20" s="1121"/>
      <c r="AN20" s="291"/>
      <c r="AO20" s="291"/>
      <c r="AP20" s="291"/>
      <c r="AQ20" s="1121">
        <f>+FL_2($T$21,$T$19,$G$20,1200,9.28, 1*$F$21)</f>
        <v>-0.15526101388235297</v>
      </c>
      <c r="AR20" s="1121"/>
      <c r="AS20" s="1121"/>
      <c r="AT20" s="315"/>
      <c r="AU20" s="1121"/>
      <c r="AV20" s="1121"/>
      <c r="AW20" s="315" t="s">
        <v>2634</v>
      </c>
      <c r="AX20" s="315" t="s">
        <v>1639</v>
      </c>
      <c r="AY20" s="1121"/>
      <c r="AZ20" s="1121">
        <v>2.5</v>
      </c>
      <c r="BA20" s="1121"/>
      <c r="BC20" s="478"/>
      <c r="BD20" s="479"/>
      <c r="BF20" s="485" t="s">
        <v>1003</v>
      </c>
      <c r="BG20" s="461"/>
      <c r="BI20" s="502"/>
      <c r="BJ20" s="503"/>
      <c r="BK20" s="503"/>
      <c r="BL20" s="504"/>
      <c r="BM20" s="505">
        <f t="shared" ref="BM20:BM21" si="3">+(BK20-BJ20)*BL20/1000</f>
        <v>0</v>
      </c>
    </row>
    <row r="21" spans="1:65" ht="15.75" customHeight="1">
      <c r="A21" s="340"/>
      <c r="B21" s="287" t="s">
        <v>2567</v>
      </c>
      <c r="C21" s="288">
        <f>C19+G20</f>
        <v>21064</v>
      </c>
      <c r="D21" s="1121"/>
      <c r="E21" s="1121"/>
      <c r="F21" s="289">
        <v>0</v>
      </c>
      <c r="G21" s="292"/>
      <c r="H21" s="291"/>
      <c r="I21" s="294"/>
      <c r="J21" s="288"/>
      <c r="K21" s="1121"/>
      <c r="L21" s="1121"/>
      <c r="M21" s="1121"/>
      <c r="N21" s="1121" t="s">
        <v>917</v>
      </c>
      <c r="O21" s="1121"/>
      <c r="P21" s="1121"/>
      <c r="Q21" s="1121">
        <v>0</v>
      </c>
      <c r="R21" s="1121">
        <v>0</v>
      </c>
      <c r="S21" s="1121"/>
      <c r="T21" s="1121">
        <v>20</v>
      </c>
      <c r="U21" s="1121"/>
      <c r="V21" s="1121"/>
      <c r="W21" s="1121">
        <v>1.4</v>
      </c>
      <c r="X21" s="1121"/>
      <c r="Y21" s="1121"/>
      <c r="Z21" s="1121"/>
      <c r="AA21" s="1121"/>
      <c r="AB21" s="1121"/>
      <c r="AC21" s="1121" t="s">
        <v>2963</v>
      </c>
      <c r="AD21" s="1121"/>
      <c r="AE21" s="1121"/>
      <c r="AF21" s="1121">
        <v>100</v>
      </c>
      <c r="AG21" s="288">
        <v>21064.21</v>
      </c>
      <c r="AH21" s="1121">
        <v>1283</v>
      </c>
      <c r="AI21" s="1121">
        <v>-5400</v>
      </c>
      <c r="AJ21" s="287"/>
      <c r="AK21" s="1121" t="s">
        <v>139</v>
      </c>
      <c r="AL21" s="1121"/>
      <c r="AM21" s="1121"/>
      <c r="AN21" s="291">
        <v>5.5</v>
      </c>
      <c r="AO21" s="291"/>
      <c r="AP21" s="291"/>
      <c r="AQ21" s="1121"/>
      <c r="AR21" s="1121"/>
      <c r="AS21" s="1121"/>
      <c r="AT21" s="315">
        <f>+ab($T$21,$T$19,$T$23,$G$20,$G$22, 1*$F$21,1200)</f>
        <v>11.931497774196467</v>
      </c>
      <c r="AU21" s="1121"/>
      <c r="AV21" s="1121"/>
      <c r="AW21" s="1121"/>
      <c r="AX21" s="1121"/>
      <c r="AY21" s="1121" t="s">
        <v>695</v>
      </c>
      <c r="AZ21" s="1121"/>
      <c r="BA21" s="1121"/>
      <c r="BC21" s="485" t="s">
        <v>994</v>
      </c>
      <c r="BD21" s="461"/>
      <c r="BF21" s="478" t="s">
        <v>1020</v>
      </c>
      <c r="BG21" s="479" t="s">
        <v>960</v>
      </c>
      <c r="BI21" s="480"/>
      <c r="BJ21" s="415"/>
      <c r="BK21" s="415"/>
      <c r="BL21" s="475"/>
      <c r="BM21" s="476">
        <f t="shared" si="3"/>
        <v>0</v>
      </c>
    </row>
    <row r="22" spans="1:65" ht="15.75" hidden="1" customHeight="1">
      <c r="A22" s="340"/>
      <c r="B22" s="287"/>
      <c r="C22" s="288"/>
      <c r="D22" s="1121"/>
      <c r="E22" s="1121"/>
      <c r="F22" s="289"/>
      <c r="G22" s="292">
        <v>36</v>
      </c>
      <c r="H22" s="291"/>
      <c r="I22" s="294"/>
      <c r="J22" s="288"/>
      <c r="K22" s="1121"/>
      <c r="L22" s="1121"/>
      <c r="M22" s="1121"/>
      <c r="N22" s="1121"/>
      <c r="O22" s="1121"/>
      <c r="P22" s="1121"/>
      <c r="Q22" s="1121"/>
      <c r="R22" s="1121"/>
      <c r="S22" s="1121"/>
      <c r="T22" s="1121"/>
      <c r="U22" s="1121"/>
      <c r="V22" s="1121"/>
      <c r="W22" s="1121"/>
      <c r="X22" s="1121"/>
      <c r="Y22" s="1121"/>
      <c r="Z22" s="1121"/>
      <c r="AA22" s="1121"/>
      <c r="AB22" s="1121"/>
      <c r="AC22" s="1121"/>
      <c r="AD22" s="1121"/>
      <c r="AE22" s="1121"/>
      <c r="AF22" s="1121"/>
      <c r="AG22" s="288"/>
      <c r="AH22" s="1121"/>
      <c r="AI22" s="1121"/>
      <c r="AJ22" s="1121"/>
      <c r="AK22" s="1121"/>
      <c r="AL22" s="1121"/>
      <c r="AM22" s="1121"/>
      <c r="AN22" s="291"/>
      <c r="AO22" s="291"/>
      <c r="AP22" s="291"/>
      <c r="AQ22" s="1121"/>
      <c r="AR22" s="1121"/>
      <c r="AS22" s="1121"/>
      <c r="AT22" s="1121"/>
      <c r="AU22" s="1121"/>
      <c r="AV22" s="1121"/>
      <c r="AW22" s="1121"/>
      <c r="AX22" s="1121"/>
      <c r="AY22" s="1121" t="s">
        <v>695</v>
      </c>
      <c r="AZ22" s="1121"/>
      <c r="BA22" s="1121"/>
      <c r="BC22" s="478" t="s">
        <v>2048</v>
      </c>
      <c r="BD22" s="479" t="s">
        <v>2016</v>
      </c>
      <c r="BE22" s="421"/>
      <c r="BF22" s="478"/>
      <c r="BG22" s="479"/>
      <c r="BI22" s="312"/>
      <c r="BJ22" s="312"/>
      <c r="BK22" s="312"/>
      <c r="BL22" s="312"/>
      <c r="BM22" s="312"/>
    </row>
    <row r="23" spans="1:65" ht="15.75" customHeight="1">
      <c r="A23" s="1092"/>
      <c r="B23" s="1093"/>
      <c r="C23" s="1089"/>
      <c r="D23" s="1090"/>
      <c r="E23" s="1090"/>
      <c r="F23" s="1087"/>
      <c r="G23" s="1088"/>
      <c r="H23" s="1084"/>
      <c r="I23" s="1101"/>
      <c r="J23" s="1089"/>
      <c r="K23" s="1090"/>
      <c r="L23" s="1090"/>
      <c r="M23" s="1090"/>
      <c r="N23" s="1090"/>
      <c r="O23" s="1090"/>
      <c r="P23" s="1090"/>
      <c r="Q23" s="1090"/>
      <c r="R23" s="1090"/>
      <c r="S23" s="1090"/>
      <c r="T23" s="1090"/>
      <c r="U23" s="1090"/>
      <c r="V23" s="1090"/>
      <c r="W23" s="1090"/>
      <c r="X23" s="1090"/>
      <c r="Y23" s="1090"/>
      <c r="Z23" s="1090"/>
      <c r="AA23" s="1090"/>
      <c r="AB23" s="1090"/>
      <c r="AC23" s="1090"/>
      <c r="AD23" s="1090"/>
      <c r="AE23" s="1090"/>
      <c r="AF23" s="1090"/>
      <c r="AG23" s="1090"/>
      <c r="AH23" s="1090"/>
      <c r="AI23" s="1090"/>
      <c r="AJ23" s="1090"/>
      <c r="AK23" s="1090"/>
      <c r="AL23" s="1090"/>
      <c r="AM23" s="1090"/>
      <c r="AN23" s="1084"/>
      <c r="AO23" s="291"/>
      <c r="AP23" s="291"/>
      <c r="AQ23" s="1121"/>
      <c r="AR23" s="1121"/>
      <c r="AS23" s="1121"/>
      <c r="AT23" s="1121"/>
      <c r="AU23" s="1121"/>
      <c r="AV23" s="1121"/>
      <c r="AW23" s="1121"/>
      <c r="AX23" s="1121"/>
      <c r="AY23" s="1121" t="s">
        <v>695</v>
      </c>
      <c r="AZ23" s="1121"/>
      <c r="BA23" s="1121"/>
      <c r="BC23" s="478" t="s">
        <v>997</v>
      </c>
      <c r="BD23" s="479" t="s">
        <v>912</v>
      </c>
      <c r="BF23" s="478" t="s">
        <v>1591</v>
      </c>
      <c r="BG23" s="479" t="s">
        <v>1592</v>
      </c>
      <c r="BI23" s="480"/>
      <c r="BJ23" s="415"/>
      <c r="BK23" s="415"/>
      <c r="BL23" s="475"/>
      <c r="BM23" s="476">
        <f t="shared" ref="BM23:BM25" si="4">+(BK23-BJ23)*BL23/1000</f>
        <v>0</v>
      </c>
    </row>
    <row r="24" spans="1:65" ht="15.75" customHeight="1">
      <c r="A24" s="340"/>
      <c r="B24" s="287"/>
      <c r="C24" s="288"/>
      <c r="D24" s="1121"/>
      <c r="E24" s="1121"/>
      <c r="F24" s="289"/>
      <c r="G24" s="292"/>
      <c r="H24" s="291"/>
      <c r="I24" s="291"/>
      <c r="J24" s="288"/>
      <c r="K24" s="1121"/>
      <c r="L24" s="1121"/>
      <c r="M24" s="1121"/>
      <c r="N24" s="1121"/>
      <c r="O24" s="1121"/>
      <c r="P24" s="1121"/>
      <c r="Q24" s="1121"/>
      <c r="R24" s="1121"/>
      <c r="S24" s="1121"/>
      <c r="T24" s="1121"/>
      <c r="U24" s="1121"/>
      <c r="V24" s="1121"/>
      <c r="W24" s="1121"/>
      <c r="X24" s="1121"/>
      <c r="Y24" s="1121"/>
      <c r="Z24" s="1121"/>
      <c r="AA24" s="1121"/>
      <c r="AB24" s="1121"/>
      <c r="AC24" s="1121"/>
      <c r="AD24" s="1121"/>
      <c r="AE24" s="1121"/>
      <c r="AF24" s="1121"/>
      <c r="AG24" s="1121"/>
      <c r="AH24" s="1121"/>
      <c r="AI24" s="1121"/>
      <c r="AJ24" s="1121"/>
      <c r="AK24" s="1121"/>
      <c r="AL24" s="1121"/>
      <c r="AM24" s="291"/>
      <c r="AN24" s="291"/>
      <c r="AO24" s="291"/>
      <c r="AP24" s="291"/>
      <c r="AQ24" s="1121"/>
      <c r="AR24" s="1121"/>
      <c r="AS24" s="1121"/>
      <c r="AT24" s="1121"/>
      <c r="AU24" s="1121"/>
      <c r="AV24" s="1121"/>
      <c r="AW24" s="315"/>
      <c r="AX24" s="315"/>
      <c r="AY24" s="1121" t="s">
        <v>695</v>
      </c>
      <c r="AZ24" s="1121"/>
      <c r="BA24" s="1121"/>
      <c r="BC24" s="478" t="s">
        <v>998</v>
      </c>
      <c r="BD24" s="479" t="s">
        <v>911</v>
      </c>
      <c r="BF24" s="478" t="s">
        <v>1005</v>
      </c>
      <c r="BG24" s="479" t="s">
        <v>961</v>
      </c>
      <c r="BI24" s="480"/>
      <c r="BJ24" s="415"/>
      <c r="BK24" s="415"/>
      <c r="BL24" s="475"/>
      <c r="BM24" s="476">
        <f t="shared" si="4"/>
        <v>0</v>
      </c>
    </row>
    <row r="25" spans="1:65" ht="15.75" customHeight="1">
      <c r="A25" s="340"/>
      <c r="B25" s="287" t="s">
        <v>2577</v>
      </c>
      <c r="C25" s="288">
        <v>22828.3</v>
      </c>
      <c r="D25" s="1121"/>
      <c r="E25" s="1121"/>
      <c r="F25" s="289"/>
      <c r="G25" s="292"/>
      <c r="H25" s="291"/>
      <c r="I25" s="291"/>
      <c r="J25" s="288"/>
      <c r="K25" s="1121"/>
      <c r="L25" s="1121" t="s">
        <v>882</v>
      </c>
      <c r="M25" s="1121" t="s">
        <v>2675</v>
      </c>
      <c r="N25" s="1121"/>
      <c r="O25" s="1121"/>
      <c r="P25" s="1121"/>
      <c r="Q25" s="1121"/>
      <c r="R25" s="1121"/>
      <c r="S25" s="1121"/>
      <c r="T25" s="1121"/>
      <c r="U25" s="1121"/>
      <c r="V25" s="1121"/>
      <c r="W25" s="1121"/>
      <c r="X25" s="1121"/>
      <c r="Y25" s="1121"/>
      <c r="Z25" s="1121"/>
      <c r="AA25" s="1121"/>
      <c r="AB25" s="1121"/>
      <c r="AC25" s="1121"/>
      <c r="AD25" s="1121"/>
      <c r="AE25" s="1121"/>
      <c r="AF25" s="1121"/>
      <c r="AG25" s="1121"/>
      <c r="AH25" s="1121"/>
      <c r="AI25" s="1121"/>
      <c r="AJ25" s="1121"/>
      <c r="AK25" s="1121"/>
      <c r="AL25" s="1121" t="s">
        <v>2517</v>
      </c>
      <c r="AM25" s="291" t="s">
        <v>1228</v>
      </c>
      <c r="AN25" s="291">
        <v>5.5</v>
      </c>
      <c r="AO25" s="291"/>
      <c r="AP25" s="291"/>
      <c r="AQ25" s="1121"/>
      <c r="AR25" s="1121"/>
      <c r="AS25" s="1121"/>
      <c r="AT25" s="1121"/>
      <c r="AU25" s="1121"/>
      <c r="AV25" s="1121"/>
      <c r="AW25" s="315" t="s">
        <v>2630</v>
      </c>
      <c r="AX25" s="315" t="s">
        <v>1639</v>
      </c>
      <c r="AY25" s="1121">
        <v>3.8</v>
      </c>
      <c r="AZ25" s="1121"/>
      <c r="BA25" s="1121"/>
      <c r="BC25" s="478" t="s">
        <v>1041</v>
      </c>
      <c r="BD25" s="479" t="s">
        <v>1224</v>
      </c>
      <c r="BF25" s="478" t="s">
        <v>1368</v>
      </c>
      <c r="BG25" s="479" t="s">
        <v>1590</v>
      </c>
      <c r="BI25" s="480"/>
      <c r="BJ25" s="415"/>
      <c r="BK25" s="415"/>
      <c r="BL25" s="418"/>
      <c r="BM25" s="476">
        <f t="shared" si="4"/>
        <v>0</v>
      </c>
    </row>
    <row r="26" spans="1:65" ht="15.75" customHeight="1">
      <c r="A26" s="340"/>
      <c r="B26" s="287"/>
      <c r="C26" s="288"/>
      <c r="D26" s="1121"/>
      <c r="E26" s="1121"/>
      <c r="F26" s="289"/>
      <c r="G26" s="292">
        <v>20.8</v>
      </c>
      <c r="H26" s="291"/>
      <c r="I26" s="291"/>
      <c r="J26" s="288"/>
      <c r="K26" s="1121"/>
      <c r="L26" s="1121"/>
      <c r="M26" s="1121"/>
      <c r="N26" s="1121"/>
      <c r="O26" s="1121"/>
      <c r="P26" s="1121"/>
      <c r="Q26" s="1121"/>
      <c r="R26" s="1121"/>
      <c r="S26" s="1121"/>
      <c r="T26" s="1121"/>
      <c r="U26" s="1121"/>
      <c r="V26" s="1121"/>
      <c r="W26" s="1121"/>
      <c r="X26" s="1121"/>
      <c r="Y26" s="1121"/>
      <c r="Z26" s="1121"/>
      <c r="AA26" s="1121"/>
      <c r="AB26" s="1121"/>
      <c r="AC26" s="1121"/>
      <c r="AD26" s="1121"/>
      <c r="AE26" s="1121"/>
      <c r="AF26" s="1121"/>
      <c r="AG26" s="1121"/>
      <c r="AH26" s="1121"/>
      <c r="AI26" s="1121"/>
      <c r="AJ26" s="1121"/>
      <c r="AK26" s="1121"/>
      <c r="AL26" s="1121"/>
      <c r="AM26" s="1121"/>
      <c r="AN26" s="291"/>
      <c r="AO26" s="291"/>
      <c r="AP26" s="291"/>
      <c r="AQ26" s="1121"/>
      <c r="AR26" s="1121"/>
      <c r="AS26" s="1121"/>
      <c r="AT26" s="1121"/>
      <c r="AU26" s="1121"/>
      <c r="AV26" s="1121"/>
      <c r="AW26" s="1121"/>
      <c r="AX26" s="1121"/>
      <c r="AY26" s="1121" t="s">
        <v>695</v>
      </c>
      <c r="AZ26" s="1121"/>
      <c r="BA26" s="1121"/>
      <c r="BC26" s="478" t="s">
        <v>1044</v>
      </c>
      <c r="BD26" s="479" t="s">
        <v>1223</v>
      </c>
      <c r="BF26" s="478" t="s">
        <v>1369</v>
      </c>
      <c r="BG26" s="479" t="s">
        <v>1593</v>
      </c>
      <c r="BI26" s="474"/>
      <c r="BJ26" s="475"/>
      <c r="BK26" s="475"/>
      <c r="BL26" s="475"/>
      <c r="BM26" s="476"/>
    </row>
    <row r="27" spans="1:65" ht="15.75" customHeight="1">
      <c r="A27" s="340"/>
      <c r="B27" s="287" t="s">
        <v>2514</v>
      </c>
      <c r="C27" s="288">
        <f>C25+G26</f>
        <v>22849.1</v>
      </c>
      <c r="D27" s="1121"/>
      <c r="E27" s="1121"/>
      <c r="F27" s="289"/>
      <c r="G27" s="292"/>
      <c r="H27" s="291"/>
      <c r="I27" s="291"/>
      <c r="J27" s="288"/>
      <c r="K27" s="1121"/>
      <c r="L27" s="1121" t="s">
        <v>882</v>
      </c>
      <c r="M27" s="1121" t="s">
        <v>2675</v>
      </c>
      <c r="N27" s="1121"/>
      <c r="O27" s="1121"/>
      <c r="P27" s="1121"/>
      <c r="Q27" s="1121"/>
      <c r="R27" s="1121"/>
      <c r="S27" s="1121"/>
      <c r="T27" s="1121"/>
      <c r="U27" s="1121"/>
      <c r="V27" s="1121"/>
      <c r="W27" s="1121"/>
      <c r="X27" s="1121"/>
      <c r="Y27" s="1121"/>
      <c r="Z27" s="1121"/>
      <c r="AA27" s="1121"/>
      <c r="AB27" s="1121"/>
      <c r="AC27" s="1121"/>
      <c r="AD27" s="1121"/>
      <c r="AE27" s="1121"/>
      <c r="AF27" s="1121"/>
      <c r="AG27" s="1121"/>
      <c r="AH27" s="1121"/>
      <c r="AI27" s="1121"/>
      <c r="AJ27" s="1121"/>
      <c r="AK27" s="1121"/>
      <c r="AL27" s="1121" t="s">
        <v>2518</v>
      </c>
      <c r="AM27" s="291" t="s">
        <v>1228</v>
      </c>
      <c r="AN27" s="291">
        <v>5.5</v>
      </c>
      <c r="AO27" s="291"/>
      <c r="AP27" s="291"/>
      <c r="AQ27" s="1121"/>
      <c r="AR27" s="1121"/>
      <c r="AS27" s="1121"/>
      <c r="AT27" s="1121"/>
      <c r="AU27" s="1121"/>
      <c r="AV27" s="1121"/>
      <c r="AW27" s="315" t="s">
        <v>2630</v>
      </c>
      <c r="AX27" s="315" t="s">
        <v>1639</v>
      </c>
      <c r="AY27" s="1121">
        <v>3.8</v>
      </c>
      <c r="AZ27" s="1121"/>
      <c r="BA27" s="1121"/>
      <c r="BC27" s="478" t="s">
        <v>1042</v>
      </c>
      <c r="BD27" s="479" t="s">
        <v>1225</v>
      </c>
      <c r="BE27" s="421"/>
      <c r="BF27" s="478" t="s">
        <v>1365</v>
      </c>
      <c r="BG27" s="479" t="s">
        <v>944</v>
      </c>
      <c r="BI27" s="474" t="s">
        <v>934</v>
      </c>
      <c r="BJ27" s="475"/>
      <c r="BK27" s="475"/>
      <c r="BL27" s="475"/>
      <c r="BM27" s="476">
        <f>SUM(BM19:BM26)</f>
        <v>0</v>
      </c>
    </row>
    <row r="28" spans="1:65" ht="15.75" customHeight="1">
      <c r="A28" s="340"/>
      <c r="B28" s="287"/>
      <c r="C28" s="288"/>
      <c r="D28" s="1130"/>
      <c r="E28" s="1121"/>
      <c r="F28" s="289"/>
      <c r="G28" s="292">
        <v>31</v>
      </c>
      <c r="H28" s="291"/>
      <c r="I28" s="291"/>
      <c r="J28" s="288"/>
      <c r="K28" s="1121"/>
      <c r="L28" s="1121"/>
      <c r="M28" s="1121"/>
      <c r="N28" s="1121"/>
      <c r="O28" s="1121"/>
      <c r="P28" s="1121"/>
      <c r="Q28" s="1121"/>
      <c r="R28" s="1121"/>
      <c r="S28" s="1121"/>
      <c r="T28" s="1121"/>
      <c r="U28" s="1121"/>
      <c r="V28" s="1121"/>
      <c r="W28" s="1121"/>
      <c r="X28" s="1121"/>
      <c r="Y28" s="1121"/>
      <c r="Z28" s="1121"/>
      <c r="AA28" s="1121"/>
      <c r="AB28" s="1121"/>
      <c r="AC28" s="1121"/>
      <c r="AD28" s="1121"/>
      <c r="AE28" s="1121"/>
      <c r="AF28" s="1121"/>
      <c r="AG28" s="1121"/>
      <c r="AH28" s="1121"/>
      <c r="AI28" s="1121"/>
      <c r="AJ28" s="1121"/>
      <c r="AK28" s="1121"/>
      <c r="AL28" s="1121"/>
      <c r="AM28" s="1121"/>
      <c r="AN28" s="291"/>
      <c r="AO28" s="291"/>
      <c r="AP28" s="291"/>
      <c r="AQ28" s="1121"/>
      <c r="AR28" s="1121"/>
      <c r="AS28" s="1121"/>
      <c r="AT28" s="1121"/>
      <c r="AU28" s="1121"/>
      <c r="AV28" s="1121"/>
      <c r="AW28" s="1121"/>
      <c r="AX28" s="1121"/>
      <c r="AY28" s="1121" t="s">
        <v>695</v>
      </c>
      <c r="AZ28" s="1121"/>
      <c r="BA28" s="1121"/>
      <c r="BC28" s="478" t="s">
        <v>1043</v>
      </c>
      <c r="BD28" s="479" t="s">
        <v>1226</v>
      </c>
      <c r="BE28" s="421"/>
      <c r="BF28" s="478"/>
      <c r="BG28" s="479"/>
      <c r="BI28" s="474"/>
      <c r="BJ28" s="475"/>
      <c r="BK28" s="475"/>
      <c r="BL28" s="475"/>
      <c r="BM28" s="476"/>
    </row>
    <row r="29" spans="1:65" ht="15.75" customHeight="1">
      <c r="A29" s="340"/>
      <c r="B29" s="287" t="s">
        <v>2576</v>
      </c>
      <c r="C29" s="288">
        <f>C27+G28</f>
        <v>22880.1</v>
      </c>
      <c r="D29" s="1121"/>
      <c r="E29" s="1121"/>
      <c r="F29" s="289"/>
      <c r="G29" s="292"/>
      <c r="H29" s="291"/>
      <c r="I29" s="291"/>
      <c r="J29" s="288"/>
      <c r="K29" s="1121"/>
      <c r="L29" s="1121" t="s">
        <v>882</v>
      </c>
      <c r="M29" s="1121" t="s">
        <v>2675</v>
      </c>
      <c r="N29" s="1121"/>
      <c r="O29" s="1121"/>
      <c r="P29" s="1121"/>
      <c r="Q29" s="1121"/>
      <c r="R29" s="1121"/>
      <c r="S29" s="1121"/>
      <c r="T29" s="1121"/>
      <c r="U29" s="1121"/>
      <c r="V29" s="1121"/>
      <c r="W29" s="1121"/>
      <c r="X29" s="1121"/>
      <c r="Y29" s="1121"/>
      <c r="Z29" s="1121"/>
      <c r="AA29" s="1121"/>
      <c r="AB29" s="1121"/>
      <c r="AC29" s="1121"/>
      <c r="AD29" s="1121"/>
      <c r="AE29" s="1121"/>
      <c r="AF29" s="1121"/>
      <c r="AG29" s="1121"/>
      <c r="AH29" s="1121"/>
      <c r="AI29" s="1121"/>
      <c r="AJ29" s="1121"/>
      <c r="AK29" s="1121"/>
      <c r="AL29" s="1121" t="s">
        <v>2518</v>
      </c>
      <c r="AM29" s="291" t="s">
        <v>1228</v>
      </c>
      <c r="AN29" s="291">
        <v>5.5</v>
      </c>
      <c r="AO29" s="291"/>
      <c r="AP29" s="291"/>
      <c r="AQ29" s="1121"/>
      <c r="AR29" s="1121"/>
      <c r="AS29" s="1121"/>
      <c r="AT29" s="1121"/>
      <c r="AU29" s="1121"/>
      <c r="AV29" s="1121"/>
      <c r="AW29" s="315" t="s">
        <v>2630</v>
      </c>
      <c r="AX29" s="315" t="s">
        <v>1639</v>
      </c>
      <c r="AY29" s="1121">
        <v>3.8</v>
      </c>
      <c r="AZ29" s="1121"/>
      <c r="BA29" s="1121"/>
      <c r="BC29" s="478" t="s">
        <v>1045</v>
      </c>
      <c r="BD29" s="479" t="s">
        <v>1004</v>
      </c>
      <c r="BE29" s="421"/>
      <c r="BF29" s="478" t="s">
        <v>1008</v>
      </c>
      <c r="BG29" s="479" t="s">
        <v>967</v>
      </c>
      <c r="BI29" s="480"/>
      <c r="BJ29" s="418"/>
      <c r="BK29" s="418"/>
      <c r="BL29" s="418"/>
      <c r="BM29" s="500"/>
    </row>
    <row r="30" spans="1:65" ht="15.75" customHeight="1" thickBot="1">
      <c r="A30" s="340"/>
      <c r="B30" s="287"/>
      <c r="C30" s="288"/>
      <c r="D30" s="1121"/>
      <c r="E30" s="1121"/>
      <c r="F30" s="289"/>
      <c r="G30" s="292"/>
      <c r="H30" s="291"/>
      <c r="I30" s="291"/>
      <c r="J30" s="288"/>
      <c r="K30" s="1121"/>
      <c r="L30" s="1121"/>
      <c r="M30" s="1121"/>
      <c r="N30" s="1121"/>
      <c r="O30" s="1121"/>
      <c r="P30" s="1121"/>
      <c r="Q30" s="1121"/>
      <c r="R30" s="1121"/>
      <c r="S30" s="1121"/>
      <c r="T30" s="1121"/>
      <c r="U30" s="1121"/>
      <c r="V30" s="1121"/>
      <c r="W30" s="1121"/>
      <c r="X30" s="1121"/>
      <c r="Y30" s="1121"/>
      <c r="Z30" s="1121"/>
      <c r="AA30" s="1121"/>
      <c r="AB30" s="1121"/>
      <c r="AC30" s="1121"/>
      <c r="AD30" s="1121"/>
      <c r="AE30" s="1121"/>
      <c r="AF30" s="1121"/>
      <c r="AG30" s="1121"/>
      <c r="AH30" s="1121"/>
      <c r="AI30" s="1121"/>
      <c r="AJ30" s="1121"/>
      <c r="AK30" s="1121"/>
      <c r="AL30" s="1121"/>
      <c r="AM30" s="291"/>
      <c r="AN30" s="291"/>
      <c r="AO30" s="291"/>
      <c r="AP30" s="291"/>
      <c r="AQ30" s="1121"/>
      <c r="AR30" s="1121"/>
      <c r="AS30" s="1121"/>
      <c r="AT30" s="1121"/>
      <c r="AU30" s="1121"/>
      <c r="AV30" s="1121"/>
      <c r="AW30" s="315"/>
      <c r="AX30" s="315"/>
      <c r="AY30" s="1121" t="s">
        <v>695</v>
      </c>
      <c r="AZ30" s="1121"/>
      <c r="BA30" s="1121"/>
      <c r="BC30" s="478"/>
      <c r="BD30" s="479"/>
      <c r="BE30" s="436"/>
      <c r="BF30" s="478" t="s">
        <v>1009</v>
      </c>
      <c r="BG30" s="479" t="s">
        <v>1006</v>
      </c>
      <c r="BI30" s="486" t="s">
        <v>1085</v>
      </c>
      <c r="BJ30" s="487"/>
      <c r="BK30" s="487"/>
      <c r="BL30" s="487"/>
      <c r="BM30" s="506">
        <f>SUM(BK19:BK25)-SUM(BJ19:BJ25)</f>
        <v>0</v>
      </c>
    </row>
    <row r="31" spans="1:65" ht="15.75" customHeight="1">
      <c r="A31" s="1094"/>
      <c r="B31" s="1095"/>
      <c r="C31" s="1096"/>
      <c r="D31" s="1097"/>
      <c r="E31" s="1097"/>
      <c r="F31" s="1098"/>
      <c r="G31" s="1099"/>
      <c r="H31" s="1100"/>
      <c r="I31" s="1100"/>
      <c r="J31" s="1096"/>
      <c r="K31" s="1097"/>
      <c r="L31" s="1097"/>
      <c r="M31" s="1097"/>
      <c r="N31" s="1097"/>
      <c r="O31" s="1097"/>
      <c r="P31" s="1097"/>
      <c r="Q31" s="1097"/>
      <c r="R31" s="1097"/>
      <c r="S31" s="1097"/>
      <c r="T31" s="1097"/>
      <c r="U31" s="1097"/>
      <c r="V31" s="1097"/>
      <c r="W31" s="1097"/>
      <c r="X31" s="1097"/>
      <c r="Y31" s="1097"/>
      <c r="Z31" s="1097"/>
      <c r="AA31" s="1097"/>
      <c r="AB31" s="1097"/>
      <c r="AC31" s="1097"/>
      <c r="AD31" s="1097"/>
      <c r="AE31" s="1097"/>
      <c r="AF31" s="1097"/>
      <c r="AG31" s="1097"/>
      <c r="AH31" s="1097"/>
      <c r="AI31" s="1097"/>
      <c r="AJ31" s="1097"/>
      <c r="AK31" s="1097"/>
      <c r="AL31" s="1097"/>
      <c r="AM31" s="1097"/>
      <c r="AN31" s="1100"/>
      <c r="AO31" s="421"/>
      <c r="AP31" s="421"/>
      <c r="AQ31" s="418"/>
      <c r="AR31" s="418"/>
      <c r="AS31" s="418"/>
      <c r="AT31" s="418"/>
      <c r="AU31" s="418"/>
      <c r="AV31" s="418"/>
      <c r="AW31" s="418"/>
      <c r="AX31" s="418"/>
      <c r="AY31" s="418" t="s">
        <v>695</v>
      </c>
      <c r="AZ31" s="418"/>
      <c r="BA31" s="418"/>
      <c r="BC31" s="485" t="s">
        <v>999</v>
      </c>
      <c r="BD31" s="461"/>
      <c r="BE31" s="436"/>
      <c r="BF31" s="478" t="s">
        <v>1010</v>
      </c>
      <c r="BG31" s="479" t="s">
        <v>962</v>
      </c>
    </row>
    <row r="32" spans="1:65" ht="15.75" customHeight="1">
      <c r="A32" s="340"/>
      <c r="B32" s="287" t="s">
        <v>2534</v>
      </c>
      <c r="C32" s="288">
        <v>23385.8</v>
      </c>
      <c r="D32" s="1121"/>
      <c r="E32" s="1121"/>
      <c r="F32" s="289"/>
      <c r="G32" s="292"/>
      <c r="H32" s="291"/>
      <c r="I32" s="291"/>
      <c r="J32" s="288"/>
      <c r="K32" s="1121"/>
      <c r="L32" s="1121" t="s">
        <v>882</v>
      </c>
      <c r="M32" s="1121" t="s">
        <v>2675</v>
      </c>
      <c r="N32" s="1121"/>
      <c r="O32" s="1121"/>
      <c r="P32" s="1121"/>
      <c r="Q32" s="1121"/>
      <c r="R32" s="1121"/>
      <c r="S32" s="1121"/>
      <c r="T32" s="1121"/>
      <c r="U32" s="1121"/>
      <c r="V32" s="1121"/>
      <c r="W32" s="1121"/>
      <c r="X32" s="1121"/>
      <c r="Y32" s="1121"/>
      <c r="Z32" s="1121"/>
      <c r="AA32" s="1121"/>
      <c r="AB32" s="1121"/>
      <c r="AC32" s="1121"/>
      <c r="AD32" s="1121"/>
      <c r="AE32" s="1121"/>
      <c r="AF32" s="1121"/>
      <c r="AG32" s="1121"/>
      <c r="AH32" s="1121"/>
      <c r="AI32" s="1121"/>
      <c r="AJ32" s="1121"/>
      <c r="AK32" s="1121"/>
      <c r="AL32" s="1121" t="s">
        <v>2518</v>
      </c>
      <c r="AM32" s="291" t="s">
        <v>1228</v>
      </c>
      <c r="AN32" s="291">
        <v>5.5</v>
      </c>
      <c r="AO32" s="291"/>
      <c r="AP32" s="291"/>
      <c r="AQ32" s="1121"/>
      <c r="AR32" s="1121"/>
      <c r="AS32" s="1121"/>
      <c r="AT32" s="1121"/>
      <c r="AU32" s="1121"/>
      <c r="AV32" s="1121"/>
      <c r="AW32" s="315" t="s">
        <v>2630</v>
      </c>
      <c r="AX32" s="315" t="s">
        <v>1639</v>
      </c>
      <c r="AY32" s="1121">
        <v>3.8</v>
      </c>
      <c r="AZ32" s="1121"/>
      <c r="BA32" s="1121"/>
      <c r="BC32" s="478" t="s">
        <v>1049</v>
      </c>
      <c r="BD32" s="479" t="s">
        <v>654</v>
      </c>
      <c r="BE32" s="436"/>
      <c r="BF32" s="478" t="s">
        <v>1013</v>
      </c>
      <c r="BG32" s="479" t="s">
        <v>1007</v>
      </c>
    </row>
    <row r="33" spans="1:65" ht="15.75" customHeight="1">
      <c r="A33" s="340"/>
      <c r="B33" s="287"/>
      <c r="C33" s="288"/>
      <c r="D33" s="1121"/>
      <c r="E33" s="1121"/>
      <c r="F33" s="289"/>
      <c r="G33" s="292">
        <v>26.1</v>
      </c>
      <c r="H33" s="291"/>
      <c r="I33" s="291"/>
      <c r="J33" s="288"/>
      <c r="K33" s="1121"/>
      <c r="L33" s="1121"/>
      <c r="M33" s="1121"/>
      <c r="N33" s="1121"/>
      <c r="O33" s="1121"/>
      <c r="P33" s="1121"/>
      <c r="Q33" s="1121"/>
      <c r="R33" s="1121"/>
      <c r="S33" s="1121"/>
      <c r="T33" s="1121"/>
      <c r="U33" s="1121"/>
      <c r="V33" s="1121"/>
      <c r="W33" s="1121"/>
      <c r="X33" s="1121"/>
      <c r="Y33" s="1121"/>
      <c r="Z33" s="1121"/>
      <c r="AA33" s="1121"/>
      <c r="AB33" s="1121"/>
      <c r="AC33" s="1121"/>
      <c r="AD33" s="1121"/>
      <c r="AE33" s="1121"/>
      <c r="AF33" s="1121"/>
      <c r="AG33" s="1121"/>
      <c r="AH33" s="1121"/>
      <c r="AI33" s="1121"/>
      <c r="AJ33" s="1121"/>
      <c r="AK33" s="1121"/>
      <c r="AL33" s="1121"/>
      <c r="AM33" s="1121"/>
      <c r="AN33" s="291"/>
      <c r="AO33" s="291"/>
      <c r="AP33" s="291"/>
      <c r="AQ33" s="1121"/>
      <c r="AR33" s="1121"/>
      <c r="AS33" s="1121"/>
      <c r="AT33" s="1121"/>
      <c r="AU33" s="1121"/>
      <c r="AV33" s="1121"/>
      <c r="AW33" s="1121"/>
      <c r="AX33" s="1121"/>
      <c r="AY33" s="1121" t="s">
        <v>695</v>
      </c>
      <c r="AZ33" s="1121"/>
      <c r="BA33" s="1121"/>
      <c r="BC33" s="478" t="s">
        <v>1048</v>
      </c>
      <c r="BD33" s="479" t="s">
        <v>659</v>
      </c>
      <c r="BE33" s="436"/>
      <c r="BF33" s="478" t="s">
        <v>1014</v>
      </c>
      <c r="BG33" s="479" t="s">
        <v>970</v>
      </c>
    </row>
    <row r="34" spans="1:65" ht="15.75" customHeight="1">
      <c r="A34" s="340"/>
      <c r="B34" s="287" t="s">
        <v>2584</v>
      </c>
      <c r="C34" s="288">
        <f>C32+G33</f>
        <v>23411.899999999998</v>
      </c>
      <c r="D34" s="1121"/>
      <c r="E34" s="1121"/>
      <c r="F34" s="289"/>
      <c r="G34" s="292"/>
      <c r="H34" s="291"/>
      <c r="I34" s="291"/>
      <c r="J34" s="288"/>
      <c r="K34" s="1121"/>
      <c r="L34" s="1121" t="s">
        <v>882</v>
      </c>
      <c r="M34" s="1121" t="s">
        <v>2675</v>
      </c>
      <c r="N34" s="1121"/>
      <c r="O34" s="1121"/>
      <c r="P34" s="1121"/>
      <c r="Q34" s="1121"/>
      <c r="R34" s="1121"/>
      <c r="S34" s="1121"/>
      <c r="T34" s="1121"/>
      <c r="U34" s="1121"/>
      <c r="V34" s="1121"/>
      <c r="W34" s="1121"/>
      <c r="X34" s="1121"/>
      <c r="Y34" s="1121"/>
      <c r="Z34" s="1121"/>
      <c r="AA34" s="1121"/>
      <c r="AB34" s="1121"/>
      <c r="AC34" s="1121"/>
      <c r="AD34" s="1121"/>
      <c r="AE34" s="1121"/>
      <c r="AF34" s="1121"/>
      <c r="AG34" s="1121"/>
      <c r="AH34" s="1121"/>
      <c r="AI34" s="1121"/>
      <c r="AJ34" s="1121"/>
      <c r="AK34" s="1121"/>
      <c r="AL34" s="1121" t="s">
        <v>2517</v>
      </c>
      <c r="AM34" s="291" t="s">
        <v>1228</v>
      </c>
      <c r="AN34" s="291">
        <v>5.5</v>
      </c>
      <c r="AO34" s="291"/>
      <c r="AP34" s="291"/>
      <c r="AQ34" s="1121"/>
      <c r="AR34" s="1121"/>
      <c r="AS34" s="1121"/>
      <c r="AT34" s="1121"/>
      <c r="AU34" s="1121"/>
      <c r="AV34" s="1121"/>
      <c r="AW34" s="315" t="s">
        <v>2630</v>
      </c>
      <c r="AX34" s="315" t="s">
        <v>1639</v>
      </c>
      <c r="AY34" s="1121">
        <v>3.8</v>
      </c>
      <c r="AZ34" s="1121"/>
      <c r="BA34" s="1121"/>
      <c r="BC34" s="478" t="s">
        <v>1608</v>
      </c>
      <c r="BD34" s="479" t="s">
        <v>1055</v>
      </c>
      <c r="BE34" s="436"/>
      <c r="BF34" s="478"/>
      <c r="BG34" s="479"/>
    </row>
    <row r="35" spans="1:65" ht="15.75" customHeight="1">
      <c r="A35" s="340"/>
      <c r="B35" s="287"/>
      <c r="C35" s="288"/>
      <c r="D35" s="1121"/>
      <c r="E35" s="1121"/>
      <c r="F35" s="289"/>
      <c r="G35" s="292">
        <v>26.9</v>
      </c>
      <c r="H35" s="291"/>
      <c r="I35" s="291"/>
      <c r="J35" s="288"/>
      <c r="K35" s="1121"/>
      <c r="L35" s="1121"/>
      <c r="M35" s="1121"/>
      <c r="N35" s="1121"/>
      <c r="O35" s="1121"/>
      <c r="P35" s="1121"/>
      <c r="Q35" s="1121"/>
      <c r="R35" s="1121"/>
      <c r="S35" s="1121"/>
      <c r="T35" s="1121"/>
      <c r="U35" s="1121"/>
      <c r="V35" s="1121"/>
      <c r="W35" s="1121"/>
      <c r="X35" s="1121"/>
      <c r="Y35" s="1121"/>
      <c r="Z35" s="1121"/>
      <c r="AA35" s="1121"/>
      <c r="AB35" s="1121"/>
      <c r="AC35" s="1121"/>
      <c r="AD35" s="1121"/>
      <c r="AE35" s="1121"/>
      <c r="AF35" s="1121"/>
      <c r="AG35" s="1121"/>
      <c r="AH35" s="1121"/>
      <c r="AI35" s="1121"/>
      <c r="AJ35" s="1121"/>
      <c r="AK35" s="1121"/>
      <c r="AL35" s="1121"/>
      <c r="AM35" s="1121"/>
      <c r="AN35" s="291"/>
      <c r="AO35" s="291"/>
      <c r="AP35" s="291"/>
      <c r="AQ35" s="1121"/>
      <c r="AR35" s="1121"/>
      <c r="AS35" s="1121"/>
      <c r="AT35" s="1121"/>
      <c r="AU35" s="1121"/>
      <c r="AV35" s="1121"/>
      <c r="AW35" s="1121"/>
      <c r="AX35" s="1121"/>
      <c r="AY35" s="1121" t="s">
        <v>695</v>
      </c>
      <c r="AZ35" s="1121"/>
      <c r="BA35" s="1121"/>
      <c r="BC35" s="478" t="s">
        <v>1607</v>
      </c>
      <c r="BD35" s="479" t="s">
        <v>1060</v>
      </c>
      <c r="BE35" s="436"/>
      <c r="BF35" s="485" t="s">
        <v>1015</v>
      </c>
      <c r="BG35" s="461"/>
    </row>
    <row r="36" spans="1:65" ht="15.75" customHeight="1">
      <c r="A36" s="340"/>
      <c r="B36" s="287" t="s">
        <v>2585</v>
      </c>
      <c r="C36" s="288">
        <f>C34+G35</f>
        <v>23438.799999999999</v>
      </c>
      <c r="D36" s="1121"/>
      <c r="E36" s="1121"/>
      <c r="F36" s="289"/>
      <c r="G36" s="292"/>
      <c r="H36" s="291"/>
      <c r="I36" s="291"/>
      <c r="J36" s="288"/>
      <c r="K36" s="1121"/>
      <c r="L36" s="1121" t="s">
        <v>2515</v>
      </c>
      <c r="M36" s="1121" t="s">
        <v>2788</v>
      </c>
      <c r="N36" s="1121"/>
      <c r="O36" s="1121"/>
      <c r="P36" s="1121"/>
      <c r="Q36" s="1121"/>
      <c r="R36" s="1121"/>
      <c r="S36" s="1121"/>
      <c r="T36" s="1121"/>
      <c r="U36" s="1121"/>
      <c r="V36" s="1121"/>
      <c r="W36" s="1121"/>
      <c r="X36" s="1121"/>
      <c r="Y36" s="1121"/>
      <c r="Z36" s="1121"/>
      <c r="AA36" s="1121"/>
      <c r="AB36" s="1121"/>
      <c r="AC36" s="1121"/>
      <c r="AD36" s="1121"/>
      <c r="AE36" s="1121"/>
      <c r="AF36" s="1121"/>
      <c r="AG36" s="1121"/>
      <c r="AH36" s="1121"/>
      <c r="AI36" s="1121"/>
      <c r="AJ36" s="1121"/>
      <c r="AK36" s="1121"/>
      <c r="AL36" s="1121" t="s">
        <v>894</v>
      </c>
      <c r="AM36" s="291" t="s">
        <v>1228</v>
      </c>
      <c r="AN36" s="291">
        <v>5.5</v>
      </c>
      <c r="AO36" s="291"/>
      <c r="AP36" s="291"/>
      <c r="AQ36" s="1121"/>
      <c r="AR36" s="1121"/>
      <c r="AS36" s="1121"/>
      <c r="AT36" s="1121"/>
      <c r="AU36" s="1121"/>
      <c r="AV36" s="1121"/>
      <c r="AW36" s="315" t="s">
        <v>2630</v>
      </c>
      <c r="AX36" s="315" t="s">
        <v>1639</v>
      </c>
      <c r="AY36" s="1121">
        <v>5.5</v>
      </c>
      <c r="AZ36" s="1121"/>
      <c r="BA36" s="1121"/>
      <c r="BC36" s="478" t="s">
        <v>1609</v>
      </c>
      <c r="BD36" s="479" t="s">
        <v>1606</v>
      </c>
      <c r="BE36" s="436"/>
      <c r="BF36" s="478" t="s">
        <v>1016</v>
      </c>
      <c r="BG36" s="479" t="s">
        <v>1001</v>
      </c>
    </row>
    <row r="37" spans="1:65" ht="15.75" customHeight="1">
      <c r="A37" s="424"/>
      <c r="B37" s="424"/>
      <c r="C37" s="424"/>
      <c r="D37" s="418"/>
      <c r="E37" s="418"/>
      <c r="F37" s="419"/>
      <c r="G37" s="420"/>
      <c r="H37" s="421"/>
      <c r="I37" s="421"/>
      <c r="J37" s="424"/>
      <c r="K37" s="418"/>
      <c r="L37" s="418"/>
      <c r="M37" s="418"/>
      <c r="N37" s="418"/>
      <c r="O37" s="418"/>
      <c r="P37" s="418"/>
      <c r="Q37" s="418"/>
      <c r="R37" s="418"/>
      <c r="S37" s="418"/>
      <c r="T37" s="418"/>
      <c r="U37" s="418"/>
      <c r="V37" s="418"/>
      <c r="W37" s="418"/>
      <c r="X37" s="418"/>
      <c r="Y37" s="418"/>
      <c r="Z37" s="418"/>
      <c r="AA37" s="418"/>
      <c r="AB37" s="418"/>
      <c r="AC37" s="418"/>
      <c r="AD37" s="418"/>
      <c r="AE37" s="418"/>
      <c r="AF37" s="418"/>
      <c r="AG37" s="418"/>
      <c r="AH37" s="418"/>
      <c r="AI37" s="418"/>
      <c r="AJ37" s="418"/>
      <c r="AK37" s="418"/>
      <c r="AL37" s="418"/>
      <c r="AM37" s="418"/>
      <c r="AN37" s="421"/>
      <c r="AO37" s="421"/>
      <c r="AP37" s="421"/>
      <c r="AQ37" s="418"/>
      <c r="AR37" s="418"/>
      <c r="AS37" s="418"/>
      <c r="AT37" s="418"/>
      <c r="AY37" s="312" t="s">
        <v>695</v>
      </c>
      <c r="BC37" s="478"/>
      <c r="BD37" s="476"/>
      <c r="BE37" s="436"/>
      <c r="BF37" s="478" t="s">
        <v>1017</v>
      </c>
      <c r="BG37" s="479" t="s">
        <v>1684</v>
      </c>
    </row>
    <row r="38" spans="1:65" ht="15.75" customHeight="1">
      <c r="A38" s="421"/>
      <c r="B38" s="421"/>
      <c r="C38" s="421"/>
      <c r="D38" s="421"/>
      <c r="E38" s="421"/>
      <c r="F38" s="421"/>
      <c r="G38" s="421"/>
      <c r="H38" s="421"/>
      <c r="I38" s="425"/>
      <c r="J38" s="424"/>
      <c r="K38" s="418"/>
      <c r="L38" s="418"/>
      <c r="M38" s="418"/>
      <c r="N38" s="418"/>
      <c r="O38" s="418"/>
      <c r="P38" s="418"/>
      <c r="Q38" s="418"/>
      <c r="R38" s="418"/>
      <c r="S38" s="418"/>
      <c r="T38" s="418"/>
      <c r="U38" s="418"/>
      <c r="V38" s="418"/>
      <c r="W38" s="418"/>
      <c r="X38" s="418"/>
      <c r="Y38" s="418"/>
      <c r="Z38" s="418"/>
      <c r="AA38" s="418"/>
      <c r="AB38" s="418"/>
      <c r="AC38" s="418"/>
      <c r="AD38" s="418"/>
      <c r="AE38" s="418"/>
      <c r="AF38" s="418"/>
      <c r="AG38" s="418"/>
      <c r="AH38" s="418"/>
      <c r="AI38" s="418"/>
      <c r="AJ38" s="418"/>
      <c r="AK38" s="418"/>
      <c r="AL38" s="418"/>
      <c r="AM38" s="418"/>
      <c r="AN38" s="421"/>
      <c r="AO38" s="421"/>
      <c r="AP38" s="421"/>
      <c r="AQ38" s="418"/>
      <c r="AR38" s="418"/>
      <c r="AS38" s="418"/>
      <c r="AT38" s="418"/>
      <c r="AY38" s="312" t="s">
        <v>695</v>
      </c>
      <c r="BC38" s="485" t="s">
        <v>1000</v>
      </c>
      <c r="BD38" s="461"/>
      <c r="BE38" s="436"/>
      <c r="BF38" s="478" t="s">
        <v>1018</v>
      </c>
      <c r="BG38" s="479" t="s">
        <v>1685</v>
      </c>
    </row>
    <row r="39" spans="1:65" ht="15.75" customHeight="1">
      <c r="A39" s="421"/>
      <c r="B39" s="421"/>
      <c r="C39" s="421"/>
      <c r="D39" s="421"/>
      <c r="E39" s="421"/>
      <c r="F39" s="421"/>
      <c r="G39" s="421"/>
      <c r="H39" s="421"/>
      <c r="I39" s="425"/>
      <c r="J39" s="424"/>
      <c r="K39" s="418"/>
      <c r="L39" s="418"/>
      <c r="M39" s="418"/>
      <c r="N39" s="418"/>
      <c r="O39" s="418"/>
      <c r="P39" s="418"/>
      <c r="Q39" s="418"/>
      <c r="R39" s="418"/>
      <c r="S39" s="418"/>
      <c r="T39" s="418"/>
      <c r="U39" s="418"/>
      <c r="V39" s="418"/>
      <c r="W39" s="418"/>
      <c r="X39" s="418"/>
      <c r="Y39" s="418"/>
      <c r="Z39" s="418"/>
      <c r="AA39" s="418"/>
      <c r="AB39" s="418"/>
      <c r="AC39" s="418"/>
      <c r="AD39" s="418"/>
      <c r="AE39" s="418"/>
      <c r="AF39" s="418"/>
      <c r="AG39" s="418"/>
      <c r="AH39" s="418"/>
      <c r="AI39" s="418"/>
      <c r="AJ39" s="418"/>
      <c r="AK39" s="418"/>
      <c r="AL39" s="418"/>
      <c r="AM39" s="418"/>
      <c r="AN39" s="421"/>
      <c r="AO39" s="421"/>
      <c r="AP39" s="421"/>
      <c r="AQ39" s="418"/>
      <c r="AR39" s="418"/>
      <c r="AS39" s="418"/>
      <c r="AT39" s="418"/>
      <c r="BC39" s="478" t="s">
        <v>1033</v>
      </c>
      <c r="BD39" s="479" t="s">
        <v>655</v>
      </c>
      <c r="BF39" s="478" t="s">
        <v>1019</v>
      </c>
      <c r="BG39" s="479" t="s">
        <v>141</v>
      </c>
    </row>
    <row r="40" spans="1:65" ht="15.75" customHeight="1">
      <c r="A40" s="421"/>
      <c r="B40" s="421"/>
      <c r="C40" s="421"/>
      <c r="D40" s="421"/>
      <c r="E40" s="421"/>
      <c r="F40" s="421"/>
      <c r="G40" s="421"/>
      <c r="H40" s="421"/>
      <c r="I40" s="421"/>
      <c r="J40" s="424"/>
      <c r="K40" s="418"/>
      <c r="L40" s="418"/>
      <c r="M40" s="418"/>
      <c r="N40" s="418"/>
      <c r="O40" s="418"/>
      <c r="P40" s="418"/>
      <c r="Q40" s="418"/>
      <c r="R40" s="418"/>
      <c r="S40" s="418"/>
      <c r="T40" s="418"/>
      <c r="U40" s="418"/>
      <c r="V40" s="418"/>
      <c r="W40" s="418"/>
      <c r="X40" s="418"/>
      <c r="Y40" s="418"/>
      <c r="Z40" s="418"/>
      <c r="AA40" s="418"/>
      <c r="AB40" s="418"/>
      <c r="AC40" s="418"/>
      <c r="AD40" s="418"/>
      <c r="AE40" s="418"/>
      <c r="AF40" s="418"/>
      <c r="AG40" s="418"/>
      <c r="AH40" s="418"/>
      <c r="AI40" s="418"/>
      <c r="AJ40" s="418"/>
      <c r="AK40" s="418"/>
      <c r="AL40" s="418"/>
      <c r="AM40" s="418"/>
      <c r="AN40" s="421"/>
      <c r="AO40" s="421"/>
      <c r="AP40" s="421"/>
      <c r="AQ40" s="418"/>
      <c r="AR40" s="418"/>
      <c r="AS40" s="418"/>
      <c r="AT40" s="418"/>
      <c r="BC40" s="478" t="s">
        <v>1034</v>
      </c>
      <c r="BD40" s="479" t="s">
        <v>139</v>
      </c>
      <c r="BF40" s="480"/>
      <c r="BG40" s="500"/>
    </row>
    <row r="41" spans="1:65" ht="15.75" customHeight="1">
      <c r="A41" s="421"/>
      <c r="B41" s="421"/>
      <c r="C41" s="421"/>
      <c r="D41" s="421"/>
      <c r="E41" s="421"/>
      <c r="F41" s="421"/>
      <c r="G41" s="421"/>
      <c r="H41" s="421"/>
      <c r="I41" s="425"/>
      <c r="J41" s="424"/>
      <c r="K41" s="418"/>
      <c r="L41" s="418"/>
      <c r="M41" s="418"/>
      <c r="N41" s="418"/>
      <c r="O41" s="418"/>
      <c r="P41" s="418"/>
      <c r="Q41" s="418"/>
      <c r="R41" s="418"/>
      <c r="S41" s="418"/>
      <c r="T41" s="418"/>
      <c r="U41" s="418"/>
      <c r="V41" s="418"/>
      <c r="W41" s="418"/>
      <c r="X41" s="418"/>
      <c r="Y41" s="418"/>
      <c r="Z41" s="418"/>
      <c r="AA41" s="418"/>
      <c r="AB41" s="418"/>
      <c r="AC41" s="418"/>
      <c r="AD41" s="418"/>
      <c r="AE41" s="418"/>
      <c r="AF41" s="418"/>
      <c r="AG41" s="418"/>
      <c r="AH41" s="418"/>
      <c r="AI41" s="418"/>
      <c r="AJ41" s="418"/>
      <c r="AK41" s="418"/>
      <c r="AL41" s="418"/>
      <c r="AM41" s="418"/>
      <c r="AN41" s="421"/>
      <c r="AO41" s="421"/>
      <c r="AP41" s="421"/>
      <c r="AQ41" s="418"/>
      <c r="AR41" s="418"/>
      <c r="AS41" s="418"/>
      <c r="AT41" s="418"/>
      <c r="BC41" s="478" t="s">
        <v>1035</v>
      </c>
      <c r="BD41" s="479" t="s">
        <v>229</v>
      </c>
      <c r="BF41" s="485" t="s">
        <v>671</v>
      </c>
      <c r="BG41" s="461"/>
    </row>
    <row r="42" spans="1:65" ht="15.75" customHeight="1">
      <c r="A42" s="421"/>
      <c r="B42" s="421"/>
      <c r="C42" s="421"/>
      <c r="D42" s="421"/>
      <c r="E42" s="421"/>
      <c r="F42" s="421"/>
      <c r="G42" s="421"/>
      <c r="H42" s="421"/>
      <c r="I42" s="425"/>
      <c r="J42" s="424"/>
      <c r="K42" s="418"/>
      <c r="L42" s="418"/>
      <c r="M42" s="418"/>
      <c r="N42" s="418"/>
      <c r="O42" s="418"/>
      <c r="P42" s="418"/>
      <c r="Q42" s="418"/>
      <c r="R42" s="418"/>
      <c r="S42" s="418"/>
      <c r="T42" s="418"/>
      <c r="U42" s="418"/>
      <c r="V42" s="418"/>
      <c r="W42" s="418"/>
      <c r="X42" s="418"/>
      <c r="Y42" s="418"/>
      <c r="Z42" s="418"/>
      <c r="AA42" s="418"/>
      <c r="AB42" s="418"/>
      <c r="AC42" s="418"/>
      <c r="AD42" s="418"/>
      <c r="AE42" s="418"/>
      <c r="AF42" s="418"/>
      <c r="AG42" s="418"/>
      <c r="AH42" s="418"/>
      <c r="AI42" s="418"/>
      <c r="AJ42" s="418"/>
      <c r="AK42" s="418"/>
      <c r="AL42" s="418"/>
      <c r="AM42" s="418"/>
      <c r="AN42" s="421"/>
      <c r="AO42" s="421"/>
      <c r="AP42" s="421"/>
      <c r="AQ42" s="418"/>
      <c r="AR42" s="418"/>
      <c r="AS42" s="418"/>
      <c r="AT42" s="418"/>
      <c r="BC42" s="478" t="s">
        <v>1036</v>
      </c>
      <c r="BD42" s="479" t="s">
        <v>239</v>
      </c>
      <c r="BF42" s="478" t="s">
        <v>1686</v>
      </c>
      <c r="BG42" s="479" t="s">
        <v>1227</v>
      </c>
    </row>
    <row r="43" spans="1:65" ht="15.75" customHeight="1">
      <c r="A43" s="421"/>
      <c r="B43" s="421"/>
      <c r="C43" s="421"/>
      <c r="D43" s="421"/>
      <c r="E43" s="421"/>
      <c r="F43" s="421"/>
      <c r="G43" s="421"/>
      <c r="H43" s="421"/>
      <c r="I43" s="425"/>
      <c r="J43" s="424"/>
      <c r="K43" s="418"/>
      <c r="L43" s="418"/>
      <c r="M43" s="418"/>
      <c r="N43" s="418"/>
      <c r="O43" s="418"/>
      <c r="P43" s="418"/>
      <c r="Q43" s="418"/>
      <c r="R43" s="418"/>
      <c r="S43" s="418"/>
      <c r="T43" s="418"/>
      <c r="U43" s="418"/>
      <c r="V43" s="418"/>
      <c r="W43" s="418"/>
      <c r="X43" s="418"/>
      <c r="Y43" s="418"/>
      <c r="Z43" s="418"/>
      <c r="AA43" s="418"/>
      <c r="AB43" s="418"/>
      <c r="AC43" s="418"/>
      <c r="AD43" s="418"/>
      <c r="AE43" s="418"/>
      <c r="AF43" s="418"/>
      <c r="AG43" s="418"/>
      <c r="AH43" s="418"/>
      <c r="AI43" s="418"/>
      <c r="AJ43" s="418"/>
      <c r="AK43" s="418"/>
      <c r="AL43" s="418"/>
      <c r="AM43" s="418"/>
      <c r="AN43" s="421"/>
      <c r="AO43" s="421"/>
      <c r="AP43" s="421"/>
      <c r="AQ43" s="418"/>
      <c r="AR43" s="418"/>
      <c r="AS43" s="418"/>
      <c r="AT43" s="418"/>
      <c r="BC43" s="478" t="s">
        <v>1037</v>
      </c>
      <c r="BD43" s="479" t="s">
        <v>458</v>
      </c>
      <c r="BF43" s="478" t="s">
        <v>1687</v>
      </c>
      <c r="BG43" s="479" t="s">
        <v>1228</v>
      </c>
    </row>
    <row r="44" spans="1:65" ht="15.75" customHeight="1">
      <c r="A44" s="421"/>
      <c r="B44" s="421"/>
      <c r="C44" s="421"/>
      <c r="D44" s="421"/>
      <c r="E44" s="421"/>
      <c r="F44" s="421"/>
      <c r="G44" s="421"/>
      <c r="H44" s="421"/>
      <c r="I44" s="425"/>
      <c r="J44" s="424"/>
      <c r="K44" s="418"/>
      <c r="L44" s="418"/>
      <c r="M44" s="418"/>
      <c r="N44" s="418"/>
      <c r="O44" s="418"/>
      <c r="P44" s="418"/>
      <c r="Q44" s="418"/>
      <c r="R44" s="418"/>
      <c r="S44" s="418"/>
      <c r="T44" s="418"/>
      <c r="U44" s="418"/>
      <c r="V44" s="418"/>
      <c r="W44" s="418"/>
      <c r="X44" s="418"/>
      <c r="Y44" s="418"/>
      <c r="Z44" s="418"/>
      <c r="AA44" s="418"/>
      <c r="AB44" s="418"/>
      <c r="AC44" s="418"/>
      <c r="AD44" s="418"/>
      <c r="AE44" s="418"/>
      <c r="AF44" s="418"/>
      <c r="AG44" s="418"/>
      <c r="AH44" s="418"/>
      <c r="AI44" s="418"/>
      <c r="AJ44" s="418"/>
      <c r="AK44" s="418"/>
      <c r="AL44" s="418"/>
      <c r="AM44" s="418"/>
      <c r="AN44" s="421"/>
      <c r="AO44" s="421"/>
      <c r="AP44" s="421"/>
      <c r="AQ44" s="418"/>
      <c r="AR44" s="418"/>
      <c r="AS44" s="418"/>
      <c r="AT44" s="418"/>
      <c r="BC44" s="478" t="s">
        <v>1038</v>
      </c>
      <c r="BD44" s="479" t="s">
        <v>905</v>
      </c>
      <c r="BF44" s="478" t="s">
        <v>1688</v>
      </c>
      <c r="BG44" s="479" t="s">
        <v>1690</v>
      </c>
    </row>
    <row r="45" spans="1:65" ht="15.75" customHeight="1" thickBot="1">
      <c r="A45" s="421"/>
      <c r="B45" s="421"/>
      <c r="C45" s="421"/>
      <c r="D45" s="421"/>
      <c r="E45" s="421"/>
      <c r="F45" s="421"/>
      <c r="G45" s="421"/>
      <c r="H45" s="421"/>
      <c r="I45" s="425"/>
      <c r="J45" s="424"/>
      <c r="K45" s="418"/>
      <c r="L45" s="418"/>
      <c r="M45" s="418"/>
      <c r="N45" s="418"/>
      <c r="O45" s="418"/>
      <c r="P45" s="418"/>
      <c r="Q45" s="418"/>
      <c r="R45" s="418"/>
      <c r="S45" s="418"/>
      <c r="T45" s="418"/>
      <c r="U45" s="418"/>
      <c r="V45" s="418"/>
      <c r="W45" s="418"/>
      <c r="X45" s="418"/>
      <c r="Y45" s="418"/>
      <c r="Z45" s="418"/>
      <c r="AA45" s="418"/>
      <c r="AB45" s="418"/>
      <c r="AC45" s="418"/>
      <c r="AD45" s="418"/>
      <c r="AE45" s="418"/>
      <c r="AF45" s="418"/>
      <c r="AG45" s="418"/>
      <c r="AH45" s="418"/>
      <c r="AI45" s="418"/>
      <c r="AJ45" s="418"/>
      <c r="AK45" s="418"/>
      <c r="AL45" s="418"/>
      <c r="AM45" s="418"/>
      <c r="AN45" s="421"/>
      <c r="AO45" s="421"/>
      <c r="AP45" s="421"/>
      <c r="AQ45" s="418"/>
      <c r="AR45" s="418"/>
      <c r="AS45" s="418"/>
      <c r="AT45" s="418"/>
      <c r="BC45" s="510"/>
      <c r="BD45" s="511"/>
      <c r="BF45" s="478" t="s">
        <v>1689</v>
      </c>
      <c r="BG45" s="479" t="s">
        <v>1691</v>
      </c>
    </row>
    <row r="46" spans="1:65" ht="15.75" customHeight="1" thickBot="1">
      <c r="A46" s="415"/>
      <c r="B46" s="509"/>
      <c r="C46" s="424"/>
      <c r="D46" s="418"/>
      <c r="E46" s="418"/>
      <c r="F46" s="419"/>
      <c r="G46" s="420"/>
      <c r="H46" s="421"/>
      <c r="I46" s="425"/>
      <c r="J46" s="424"/>
      <c r="K46" s="418"/>
      <c r="L46" s="418"/>
      <c r="M46" s="418"/>
      <c r="N46" s="418"/>
      <c r="O46" s="418"/>
      <c r="P46" s="418"/>
      <c r="Q46" s="418"/>
      <c r="R46" s="418"/>
      <c r="S46" s="418"/>
      <c r="T46" s="418"/>
      <c r="U46" s="418"/>
      <c r="V46" s="418"/>
      <c r="W46" s="418"/>
      <c r="X46" s="418"/>
      <c r="Y46" s="418"/>
      <c r="Z46" s="418"/>
      <c r="AA46" s="418"/>
      <c r="AB46" s="418"/>
      <c r="AC46" s="418"/>
      <c r="AD46" s="418"/>
      <c r="AE46" s="418"/>
      <c r="AF46" s="418"/>
      <c r="AG46" s="418"/>
      <c r="AH46" s="418"/>
      <c r="AI46" s="418"/>
      <c r="AJ46" s="418"/>
      <c r="AK46" s="418"/>
      <c r="AL46" s="418"/>
      <c r="AM46" s="418"/>
      <c r="AN46" s="421"/>
      <c r="AO46" s="421"/>
      <c r="AP46" s="421"/>
      <c r="AQ46" s="418"/>
      <c r="AR46" s="418"/>
      <c r="AS46" s="418"/>
      <c r="AT46" s="418"/>
      <c r="BC46" s="312"/>
      <c r="BF46" s="510"/>
      <c r="BG46" s="512"/>
      <c r="BH46" s="312"/>
      <c r="BI46" s="312"/>
      <c r="BJ46" s="312"/>
      <c r="BK46" s="312"/>
      <c r="BL46" s="312"/>
      <c r="BM46" s="312"/>
    </row>
    <row r="47" spans="1:65" ht="15.75" customHeight="1">
      <c r="A47" s="415"/>
      <c r="B47" s="509"/>
      <c r="C47" s="424"/>
      <c r="D47" s="418"/>
      <c r="E47" s="418"/>
      <c r="F47" s="419"/>
      <c r="G47" s="420"/>
      <c r="H47" s="421"/>
      <c r="I47" s="425"/>
      <c r="J47" s="424"/>
      <c r="K47" s="418"/>
      <c r="L47" s="418"/>
      <c r="M47" s="418"/>
      <c r="N47" s="418"/>
      <c r="O47" s="418"/>
      <c r="P47" s="418"/>
      <c r="Q47" s="418"/>
      <c r="R47" s="418"/>
      <c r="S47" s="418"/>
      <c r="T47" s="418"/>
      <c r="U47" s="418"/>
      <c r="V47" s="418"/>
      <c r="W47" s="418"/>
      <c r="X47" s="418"/>
      <c r="Y47" s="418"/>
      <c r="Z47" s="418"/>
      <c r="AA47" s="418"/>
      <c r="AB47" s="418"/>
      <c r="AC47" s="418"/>
      <c r="AD47" s="418"/>
      <c r="AE47" s="418"/>
      <c r="AF47" s="418"/>
      <c r="AG47" s="418"/>
      <c r="AH47" s="418"/>
      <c r="AI47" s="418"/>
      <c r="AJ47" s="418"/>
      <c r="AK47" s="418"/>
      <c r="AL47" s="418"/>
      <c r="AM47" s="418"/>
      <c r="AN47" s="421"/>
      <c r="AO47" s="421"/>
      <c r="AP47" s="421"/>
      <c r="AQ47" s="418"/>
      <c r="AR47" s="418"/>
      <c r="AS47" s="418"/>
      <c r="AT47" s="418"/>
      <c r="BC47" s="312"/>
      <c r="BH47" s="312"/>
      <c r="BI47" s="312"/>
      <c r="BJ47" s="312"/>
      <c r="BK47" s="312"/>
      <c r="BL47" s="312"/>
      <c r="BM47" s="312"/>
    </row>
    <row r="48" spans="1:65" ht="15.75" customHeight="1">
      <c r="A48" s="421"/>
      <c r="B48" s="419"/>
      <c r="C48" s="424"/>
      <c r="D48" s="425"/>
      <c r="E48" s="425"/>
      <c r="F48" s="425"/>
      <c r="G48" s="421"/>
      <c r="H48" s="421"/>
      <c r="I48" s="421"/>
      <c r="J48" s="492"/>
      <c r="K48" s="418"/>
      <c r="L48" s="421"/>
      <c r="M48" s="421"/>
      <c r="N48" s="421"/>
      <c r="O48" s="421"/>
      <c r="P48" s="421"/>
      <c r="Q48" s="421"/>
      <c r="R48" s="421"/>
      <c r="S48" s="421"/>
      <c r="T48" s="421"/>
      <c r="U48" s="421"/>
      <c r="V48" s="421"/>
      <c r="W48" s="421"/>
      <c r="X48" s="421"/>
      <c r="Y48" s="421"/>
      <c r="Z48" s="421"/>
      <c r="AA48" s="421"/>
      <c r="AB48" s="421"/>
      <c r="AC48" s="421"/>
      <c r="AD48" s="421"/>
      <c r="AE48" s="421"/>
      <c r="AF48" s="421"/>
      <c r="AG48" s="421"/>
      <c r="AH48" s="421"/>
      <c r="AI48" s="421"/>
      <c r="AJ48" s="421"/>
      <c r="AK48" s="421"/>
      <c r="AL48" s="421"/>
      <c r="AM48" s="421"/>
      <c r="AN48" s="421"/>
      <c r="AO48" s="421"/>
      <c r="AP48" s="421"/>
      <c r="AQ48" s="418"/>
      <c r="AR48" s="418"/>
      <c r="AS48" s="418"/>
      <c r="AT48" s="418"/>
      <c r="BC48" s="312"/>
      <c r="BH48" s="312"/>
      <c r="BI48" s="312"/>
      <c r="BJ48" s="312"/>
      <c r="BK48" s="312"/>
      <c r="BL48" s="312"/>
      <c r="BM48" s="312"/>
    </row>
    <row r="49" spans="1:65" ht="15.75" customHeight="1">
      <c r="A49" s="421"/>
      <c r="B49" s="419"/>
      <c r="C49" s="424"/>
      <c r="D49" s="425"/>
      <c r="E49" s="425"/>
      <c r="F49" s="425"/>
      <c r="G49" s="421"/>
      <c r="H49" s="421"/>
      <c r="I49" s="421"/>
      <c r="J49" s="492"/>
      <c r="K49" s="418"/>
      <c r="L49" s="421"/>
      <c r="M49" s="421"/>
      <c r="N49" s="421"/>
      <c r="O49" s="421"/>
      <c r="P49" s="421"/>
      <c r="Q49" s="421"/>
      <c r="R49" s="421"/>
      <c r="S49" s="421"/>
      <c r="T49" s="421"/>
      <c r="U49" s="421"/>
      <c r="V49" s="421"/>
      <c r="W49" s="421"/>
      <c r="X49" s="421"/>
      <c r="Y49" s="421"/>
      <c r="Z49" s="421"/>
      <c r="AA49" s="421"/>
      <c r="AB49" s="421"/>
      <c r="AC49" s="421"/>
      <c r="AD49" s="421"/>
      <c r="AE49" s="421"/>
      <c r="AF49" s="421"/>
      <c r="AG49" s="421"/>
      <c r="AH49" s="421"/>
      <c r="AI49" s="421"/>
      <c r="AJ49" s="421"/>
      <c r="AK49" s="421"/>
      <c r="AL49" s="421"/>
      <c r="AM49" s="421"/>
      <c r="AN49" s="421"/>
      <c r="AO49" s="421"/>
      <c r="AP49" s="421"/>
      <c r="AQ49" s="418"/>
      <c r="AR49" s="418"/>
      <c r="AS49" s="418"/>
      <c r="AT49" s="418"/>
      <c r="BC49" s="312"/>
      <c r="BE49" s="421"/>
      <c r="BH49" s="312"/>
      <c r="BI49" s="312"/>
      <c r="BJ49" s="312"/>
      <c r="BK49" s="312"/>
      <c r="BL49" s="312"/>
      <c r="BM49" s="312"/>
    </row>
    <row r="50" spans="1:65" ht="15.75" customHeight="1">
      <c r="A50" s="421"/>
      <c r="B50" s="419"/>
      <c r="C50" s="424"/>
      <c r="D50" s="425"/>
      <c r="E50" s="425"/>
      <c r="F50" s="425"/>
      <c r="G50" s="421"/>
      <c r="H50" s="421"/>
      <c r="I50" s="421"/>
      <c r="J50" s="492"/>
      <c r="K50" s="418"/>
      <c r="L50" s="421"/>
      <c r="M50" s="421"/>
      <c r="N50" s="421"/>
      <c r="O50" s="421"/>
      <c r="P50" s="421"/>
      <c r="Q50" s="421"/>
      <c r="R50" s="421"/>
      <c r="S50" s="421"/>
      <c r="T50" s="421"/>
      <c r="U50" s="421"/>
      <c r="V50" s="421"/>
      <c r="W50" s="421"/>
      <c r="X50" s="421"/>
      <c r="Y50" s="421"/>
      <c r="Z50" s="421"/>
      <c r="AA50" s="421"/>
      <c r="AB50" s="421"/>
      <c r="AC50" s="421"/>
      <c r="AD50" s="421"/>
      <c r="AE50" s="421"/>
      <c r="AF50" s="421"/>
      <c r="AG50" s="421"/>
      <c r="AH50" s="421"/>
      <c r="AI50" s="421"/>
      <c r="AJ50" s="421"/>
      <c r="AK50" s="421"/>
      <c r="AL50" s="421"/>
      <c r="AM50" s="421"/>
      <c r="AN50" s="421"/>
      <c r="AO50" s="421"/>
      <c r="AP50" s="421"/>
      <c r="AQ50" s="418"/>
      <c r="AR50" s="418"/>
      <c r="AS50" s="418"/>
      <c r="AT50" s="418"/>
      <c r="BC50" s="312"/>
      <c r="BE50" s="421"/>
      <c r="BH50" s="312"/>
      <c r="BI50" s="312"/>
      <c r="BJ50" s="312"/>
      <c r="BK50" s="312"/>
      <c r="BL50" s="312"/>
      <c r="BM50" s="312"/>
    </row>
    <row r="51" spans="1:65" ht="15.75" customHeight="1">
      <c r="A51" s="421"/>
      <c r="B51" s="419"/>
      <c r="C51" s="424"/>
      <c r="D51" s="425"/>
      <c r="E51" s="425"/>
      <c r="F51" s="425"/>
      <c r="G51" s="421"/>
      <c r="H51" s="421"/>
      <c r="I51" s="421"/>
      <c r="J51" s="492"/>
      <c r="K51" s="418"/>
      <c r="L51" s="421"/>
      <c r="M51" s="421"/>
      <c r="N51" s="421"/>
      <c r="O51" s="421"/>
      <c r="P51" s="421"/>
      <c r="Q51" s="421"/>
      <c r="R51" s="421"/>
      <c r="S51" s="421"/>
      <c r="T51" s="421"/>
      <c r="U51" s="421"/>
      <c r="V51" s="421"/>
      <c r="W51" s="421"/>
      <c r="X51" s="421"/>
      <c r="Y51" s="421"/>
      <c r="Z51" s="421"/>
      <c r="AA51" s="421"/>
      <c r="AB51" s="421"/>
      <c r="AC51" s="421"/>
      <c r="AD51" s="421"/>
      <c r="AE51" s="421"/>
      <c r="AF51" s="421"/>
      <c r="AG51" s="421"/>
      <c r="AH51" s="421"/>
      <c r="AI51" s="421"/>
      <c r="AJ51" s="421"/>
      <c r="AK51" s="421"/>
      <c r="AL51" s="421"/>
      <c r="AM51" s="421"/>
      <c r="AN51" s="421"/>
      <c r="AO51" s="421"/>
      <c r="AP51" s="421"/>
      <c r="AQ51" s="418"/>
      <c r="AR51" s="418"/>
      <c r="AS51" s="418"/>
      <c r="AT51" s="418"/>
      <c r="BC51" s="312"/>
      <c r="BE51" s="421"/>
      <c r="BH51" s="312"/>
      <c r="BI51" s="312"/>
      <c r="BJ51" s="312"/>
      <c r="BK51" s="312"/>
      <c r="BL51" s="312"/>
      <c r="BM51" s="312"/>
    </row>
    <row r="52" spans="1:65" ht="15.75" customHeight="1">
      <c r="A52" s="421"/>
      <c r="B52" s="419"/>
      <c r="C52" s="424"/>
      <c r="D52" s="425"/>
      <c r="E52" s="425"/>
      <c r="F52" s="425"/>
      <c r="G52" s="421"/>
      <c r="H52" s="421"/>
      <c r="I52" s="421"/>
      <c r="J52" s="492"/>
      <c r="K52" s="418"/>
      <c r="L52" s="421"/>
      <c r="M52" s="421"/>
      <c r="N52" s="421"/>
      <c r="O52" s="421"/>
      <c r="P52" s="421"/>
      <c r="Q52" s="421"/>
      <c r="R52" s="421"/>
      <c r="S52" s="421"/>
      <c r="T52" s="421"/>
      <c r="U52" s="421"/>
      <c r="V52" s="421"/>
      <c r="W52" s="421"/>
      <c r="X52" s="421"/>
      <c r="Y52" s="421"/>
      <c r="Z52" s="421"/>
      <c r="AA52" s="421"/>
      <c r="AB52" s="421"/>
      <c r="AC52" s="421"/>
      <c r="AD52" s="421"/>
      <c r="AE52" s="421"/>
      <c r="AF52" s="421"/>
      <c r="AG52" s="421"/>
      <c r="AH52" s="421"/>
      <c r="AI52" s="421"/>
      <c r="AJ52" s="421"/>
      <c r="AK52" s="421"/>
      <c r="AL52" s="421"/>
      <c r="AM52" s="421"/>
      <c r="AN52" s="421"/>
      <c r="AO52" s="421"/>
      <c r="AP52" s="421"/>
      <c r="AQ52" s="418"/>
      <c r="AR52" s="418"/>
      <c r="AS52" s="418"/>
      <c r="AT52" s="418"/>
      <c r="BC52" s="312"/>
      <c r="BE52" s="421"/>
      <c r="BF52" s="421"/>
      <c r="BG52" s="421"/>
      <c r="BH52" s="312"/>
      <c r="BI52" s="312"/>
      <c r="BJ52" s="312"/>
      <c r="BK52" s="312"/>
      <c r="BL52" s="312"/>
      <c r="BM52" s="312"/>
    </row>
    <row r="53" spans="1:65" ht="15.75" customHeight="1">
      <c r="A53" s="421"/>
      <c r="B53" s="419"/>
      <c r="C53" s="424"/>
      <c r="D53" s="425"/>
      <c r="E53" s="425"/>
      <c r="F53" s="425"/>
      <c r="G53" s="421"/>
      <c r="H53" s="421"/>
      <c r="I53" s="421"/>
      <c r="J53" s="492"/>
      <c r="K53" s="418"/>
      <c r="L53" s="421"/>
      <c r="M53" s="421"/>
      <c r="N53" s="421"/>
      <c r="O53" s="421"/>
      <c r="P53" s="421"/>
      <c r="Q53" s="421"/>
      <c r="R53" s="421"/>
      <c r="S53" s="421"/>
      <c r="T53" s="421"/>
      <c r="U53" s="421"/>
      <c r="V53" s="421"/>
      <c r="W53" s="421"/>
      <c r="X53" s="421"/>
      <c r="Y53" s="421"/>
      <c r="Z53" s="421"/>
      <c r="AA53" s="421"/>
      <c r="AB53" s="421"/>
      <c r="AC53" s="421"/>
      <c r="AD53" s="421"/>
      <c r="AE53" s="421"/>
      <c r="AF53" s="421"/>
      <c r="AG53" s="421"/>
      <c r="AH53" s="421"/>
      <c r="AI53" s="421"/>
      <c r="AJ53" s="421"/>
      <c r="AK53" s="421"/>
      <c r="AL53" s="421"/>
      <c r="AM53" s="421"/>
      <c r="AN53" s="421"/>
      <c r="AO53" s="421"/>
      <c r="AP53" s="421"/>
      <c r="AQ53" s="418"/>
      <c r="AR53" s="418"/>
      <c r="AS53" s="418"/>
      <c r="AT53" s="418"/>
      <c r="BC53" s="312"/>
      <c r="BD53" s="312"/>
      <c r="BH53" s="312"/>
      <c r="BI53" s="312"/>
      <c r="BJ53" s="312"/>
      <c r="BK53" s="312"/>
      <c r="BL53" s="312"/>
      <c r="BM53" s="312"/>
    </row>
    <row r="54" spans="1:65" ht="15.75" customHeight="1">
      <c r="A54" s="421"/>
      <c r="B54" s="419"/>
      <c r="C54" s="424"/>
      <c r="D54" s="425"/>
      <c r="E54" s="425"/>
      <c r="F54" s="425"/>
      <c r="G54" s="421"/>
      <c r="H54" s="421"/>
      <c r="I54" s="421"/>
      <c r="J54" s="492"/>
      <c r="K54" s="418"/>
      <c r="L54" s="421"/>
      <c r="M54" s="421"/>
      <c r="N54" s="421"/>
      <c r="O54" s="421"/>
      <c r="P54" s="421"/>
      <c r="Q54" s="421"/>
      <c r="R54" s="421"/>
      <c r="S54" s="421"/>
      <c r="T54" s="421"/>
      <c r="U54" s="421"/>
      <c r="V54" s="421"/>
      <c r="W54" s="421"/>
      <c r="X54" s="421"/>
      <c r="Y54" s="421"/>
      <c r="Z54" s="421"/>
      <c r="AA54" s="421"/>
      <c r="AB54" s="421"/>
      <c r="AC54" s="421"/>
      <c r="AD54" s="421"/>
      <c r="AE54" s="421"/>
      <c r="AF54" s="421"/>
      <c r="AG54" s="421"/>
      <c r="AH54" s="421"/>
      <c r="AI54" s="421"/>
      <c r="AJ54" s="421"/>
      <c r="AK54" s="421"/>
      <c r="AL54" s="421"/>
      <c r="AM54" s="421"/>
      <c r="AN54" s="421"/>
      <c r="AO54" s="421"/>
      <c r="AP54" s="421"/>
      <c r="AQ54" s="418"/>
      <c r="AR54" s="418"/>
      <c r="AS54" s="418"/>
      <c r="AT54" s="418"/>
      <c r="BF54" s="421"/>
      <c r="BG54" s="421"/>
      <c r="BH54" s="312"/>
      <c r="BI54" s="312"/>
      <c r="BJ54" s="312"/>
      <c r="BK54" s="312"/>
      <c r="BL54" s="312"/>
      <c r="BM54" s="312"/>
    </row>
    <row r="55" spans="1:65" ht="15.75" customHeight="1">
      <c r="A55" s="421"/>
      <c r="B55" s="419"/>
      <c r="C55" s="424"/>
      <c r="D55" s="425"/>
      <c r="E55" s="425"/>
      <c r="F55" s="425"/>
      <c r="G55" s="421"/>
      <c r="H55" s="421"/>
      <c r="I55" s="421"/>
      <c r="J55" s="492"/>
      <c r="K55" s="418"/>
      <c r="L55" s="421"/>
      <c r="M55" s="421"/>
      <c r="N55" s="421"/>
      <c r="O55" s="421"/>
      <c r="P55" s="421"/>
      <c r="Q55" s="421"/>
      <c r="R55" s="421"/>
      <c r="S55" s="421"/>
      <c r="T55" s="421"/>
      <c r="U55" s="421"/>
      <c r="V55" s="421"/>
      <c r="W55" s="421"/>
      <c r="X55" s="421"/>
      <c r="Y55" s="421"/>
      <c r="Z55" s="421"/>
      <c r="AA55" s="421"/>
      <c r="AB55" s="421"/>
      <c r="AC55" s="421"/>
      <c r="AD55" s="421"/>
      <c r="AE55" s="421"/>
      <c r="AF55" s="421"/>
      <c r="AG55" s="421"/>
      <c r="AH55" s="421"/>
      <c r="AI55" s="421"/>
      <c r="AJ55" s="421"/>
      <c r="AK55" s="421"/>
      <c r="AL55" s="421"/>
      <c r="AM55" s="421"/>
      <c r="AN55" s="421"/>
      <c r="AO55" s="421"/>
      <c r="AP55" s="421"/>
      <c r="AQ55" s="418"/>
      <c r="AR55" s="418"/>
      <c r="AS55" s="418"/>
      <c r="AT55" s="418"/>
      <c r="BF55" s="421"/>
      <c r="BG55" s="421"/>
      <c r="BH55" s="312"/>
      <c r="BI55" s="312"/>
      <c r="BJ55" s="312"/>
      <c r="BK55" s="312"/>
      <c r="BL55" s="312"/>
      <c r="BM55" s="312"/>
    </row>
    <row r="56" spans="1:65" ht="15.75" customHeight="1">
      <c r="A56" s="421"/>
      <c r="B56" s="419"/>
      <c r="C56" s="424"/>
      <c r="D56" s="425"/>
      <c r="E56" s="425"/>
      <c r="F56" s="425"/>
      <c r="G56" s="421"/>
      <c r="H56" s="421"/>
      <c r="I56" s="421"/>
      <c r="J56" s="492"/>
      <c r="K56" s="418"/>
      <c r="L56" s="421"/>
      <c r="M56" s="421"/>
      <c r="N56" s="421"/>
      <c r="O56" s="421"/>
      <c r="P56" s="421"/>
      <c r="Q56" s="421"/>
      <c r="R56" s="421"/>
      <c r="S56" s="421"/>
      <c r="T56" s="421"/>
      <c r="U56" s="421"/>
      <c r="V56" s="421"/>
      <c r="W56" s="421"/>
      <c r="X56" s="421"/>
      <c r="Y56" s="421"/>
      <c r="Z56" s="421"/>
      <c r="AA56" s="421"/>
      <c r="AB56" s="421"/>
      <c r="AC56" s="421"/>
      <c r="AD56" s="421"/>
      <c r="AE56" s="421"/>
      <c r="AF56" s="421"/>
      <c r="AG56" s="421"/>
      <c r="AH56" s="421"/>
      <c r="AI56" s="421"/>
      <c r="AJ56" s="421"/>
      <c r="AK56" s="421"/>
      <c r="AL56" s="421"/>
      <c r="AM56" s="421"/>
      <c r="AN56" s="421"/>
      <c r="AO56" s="421"/>
      <c r="AP56" s="421"/>
      <c r="AQ56" s="418"/>
      <c r="AR56" s="418"/>
      <c r="AS56" s="418"/>
      <c r="AT56" s="418"/>
      <c r="BF56" s="421"/>
      <c r="BG56" s="421"/>
      <c r="BH56" s="312"/>
      <c r="BI56" s="312"/>
      <c r="BJ56" s="312"/>
      <c r="BK56" s="312"/>
      <c r="BL56" s="312"/>
      <c r="BM56" s="312"/>
    </row>
    <row r="57" spans="1:65" ht="15.75" customHeight="1">
      <c r="A57" s="421"/>
      <c r="B57" s="419"/>
      <c r="C57" s="424"/>
      <c r="D57" s="425"/>
      <c r="E57" s="425"/>
      <c r="F57" s="425"/>
      <c r="G57" s="421"/>
      <c r="H57" s="421"/>
      <c r="I57" s="421"/>
      <c r="J57" s="492"/>
      <c r="K57" s="418"/>
      <c r="L57" s="421"/>
      <c r="M57" s="421"/>
      <c r="N57" s="421"/>
      <c r="O57" s="421"/>
      <c r="P57" s="421"/>
      <c r="Q57" s="421"/>
      <c r="R57" s="421"/>
      <c r="S57" s="421"/>
      <c r="T57" s="421"/>
      <c r="U57" s="421"/>
      <c r="V57" s="421"/>
      <c r="W57" s="421"/>
      <c r="X57" s="421"/>
      <c r="Y57" s="421"/>
      <c r="Z57" s="421"/>
      <c r="AA57" s="421"/>
      <c r="AB57" s="421"/>
      <c r="AC57" s="421"/>
      <c r="AD57" s="421"/>
      <c r="AE57" s="421"/>
      <c r="AF57" s="421"/>
      <c r="AG57" s="421"/>
      <c r="AH57" s="421"/>
      <c r="AI57" s="421"/>
      <c r="AJ57" s="421"/>
      <c r="AK57" s="421"/>
      <c r="AL57" s="421"/>
      <c r="AM57" s="421"/>
      <c r="AN57" s="421"/>
      <c r="AO57" s="421"/>
      <c r="AP57" s="421"/>
      <c r="AQ57" s="418"/>
      <c r="AR57" s="418"/>
      <c r="AS57" s="418"/>
      <c r="AT57" s="418"/>
      <c r="BC57" s="312"/>
      <c r="BD57" s="312"/>
      <c r="BF57" s="421"/>
      <c r="BG57" s="421"/>
    </row>
    <row r="58" spans="1:65" ht="15.75" customHeight="1">
      <c r="A58" s="415"/>
      <c r="B58" s="509"/>
      <c r="C58" s="424"/>
      <c r="D58" s="418"/>
      <c r="E58" s="418"/>
      <c r="F58" s="419"/>
      <c r="G58" s="420"/>
      <c r="H58" s="421"/>
      <c r="I58" s="425"/>
      <c r="J58" s="424"/>
      <c r="K58" s="418"/>
      <c r="L58" s="418"/>
      <c r="M58" s="418"/>
      <c r="N58" s="418"/>
      <c r="O58" s="418"/>
      <c r="P58" s="418"/>
      <c r="Q58" s="418"/>
      <c r="R58" s="418"/>
      <c r="S58" s="418"/>
      <c r="T58" s="418"/>
      <c r="U58" s="418"/>
      <c r="V58" s="418"/>
      <c r="W58" s="418"/>
      <c r="X58" s="418"/>
      <c r="Y58" s="418"/>
      <c r="Z58" s="418"/>
      <c r="AA58" s="418"/>
      <c r="AB58" s="418"/>
      <c r="AC58" s="418"/>
      <c r="AD58" s="418"/>
      <c r="AE58" s="418"/>
      <c r="AF58" s="418"/>
      <c r="AG58" s="418"/>
      <c r="AH58" s="418"/>
      <c r="AI58" s="418"/>
      <c r="AJ58" s="418"/>
      <c r="AK58" s="418"/>
      <c r="AL58" s="418"/>
      <c r="AM58" s="418"/>
      <c r="AN58" s="421"/>
      <c r="AO58" s="421"/>
      <c r="AP58" s="421"/>
      <c r="AQ58" s="418"/>
      <c r="AR58" s="418"/>
      <c r="AS58" s="418"/>
      <c r="AT58" s="418"/>
      <c r="BC58" s="312"/>
      <c r="BD58" s="312"/>
    </row>
    <row r="59" spans="1:65" ht="15.75" customHeight="1">
      <c r="A59" s="415"/>
      <c r="B59" s="509"/>
      <c r="C59" s="424"/>
      <c r="D59" s="418"/>
      <c r="E59" s="418"/>
      <c r="F59" s="419"/>
      <c r="G59" s="420"/>
      <c r="H59" s="421"/>
      <c r="I59" s="421"/>
      <c r="J59" s="424"/>
      <c r="K59" s="418"/>
      <c r="L59" s="418"/>
      <c r="M59" s="418"/>
      <c r="N59" s="418"/>
      <c r="O59" s="418"/>
      <c r="P59" s="418"/>
      <c r="Q59" s="418"/>
      <c r="R59" s="418"/>
      <c r="S59" s="418"/>
      <c r="T59" s="418"/>
      <c r="U59" s="418"/>
      <c r="V59" s="418"/>
      <c r="W59" s="418"/>
      <c r="X59" s="418"/>
      <c r="Y59" s="418"/>
      <c r="Z59" s="418"/>
      <c r="AA59" s="418"/>
      <c r="AB59" s="418"/>
      <c r="AC59" s="418"/>
      <c r="AD59" s="418"/>
      <c r="AE59" s="418"/>
      <c r="AF59" s="418"/>
      <c r="AG59" s="418"/>
      <c r="AH59" s="418"/>
      <c r="AI59" s="418"/>
      <c r="AJ59" s="418"/>
      <c r="AK59" s="418"/>
      <c r="AL59" s="418"/>
      <c r="AM59" s="418"/>
      <c r="AN59" s="421"/>
      <c r="AO59" s="421"/>
      <c r="AP59" s="421"/>
      <c r="AQ59" s="418"/>
      <c r="AR59" s="418"/>
      <c r="AS59" s="418"/>
      <c r="AT59" s="418"/>
      <c r="BC59" s="312"/>
      <c r="BD59" s="312"/>
    </row>
    <row r="60" spans="1:65" ht="15.75" customHeight="1">
      <c r="A60" s="415"/>
      <c r="B60" s="509"/>
      <c r="C60" s="424"/>
      <c r="D60" s="418"/>
      <c r="E60" s="418"/>
      <c r="F60" s="419"/>
      <c r="G60" s="420"/>
      <c r="H60" s="421"/>
      <c r="I60" s="421"/>
      <c r="J60" s="424"/>
      <c r="K60" s="418"/>
      <c r="L60" s="418"/>
      <c r="M60" s="418"/>
      <c r="N60" s="418"/>
      <c r="O60" s="418"/>
      <c r="P60" s="418"/>
      <c r="Q60" s="418"/>
      <c r="R60" s="418"/>
      <c r="S60" s="418"/>
      <c r="T60" s="418"/>
      <c r="U60" s="418"/>
      <c r="V60" s="418"/>
      <c r="W60" s="418"/>
      <c r="X60" s="418"/>
      <c r="Y60" s="418"/>
      <c r="Z60" s="418"/>
      <c r="AA60" s="418"/>
      <c r="AB60" s="418"/>
      <c r="AC60" s="418"/>
      <c r="AD60" s="418"/>
      <c r="AE60" s="418"/>
      <c r="AF60" s="418"/>
      <c r="AG60" s="418"/>
      <c r="AH60" s="418"/>
      <c r="AI60" s="418"/>
      <c r="AJ60" s="418"/>
      <c r="AK60" s="418"/>
      <c r="AL60" s="418"/>
      <c r="AM60" s="418"/>
      <c r="AN60" s="421"/>
      <c r="AO60" s="421"/>
      <c r="AP60" s="421"/>
      <c r="AQ60" s="418"/>
      <c r="AR60" s="418"/>
      <c r="AS60" s="418"/>
      <c r="AT60" s="418"/>
      <c r="BC60" s="312"/>
      <c r="BD60" s="312"/>
    </row>
    <row r="61" spans="1:65" ht="15.75" customHeight="1">
      <c r="A61" s="415"/>
      <c r="B61" s="509"/>
      <c r="C61" s="424"/>
      <c r="D61" s="418"/>
      <c r="E61" s="418"/>
      <c r="F61" s="419"/>
      <c r="G61" s="420"/>
      <c r="H61" s="421"/>
      <c r="I61" s="421"/>
      <c r="J61" s="424"/>
      <c r="K61" s="418"/>
      <c r="L61" s="418"/>
      <c r="M61" s="418"/>
      <c r="N61" s="418"/>
      <c r="O61" s="418"/>
      <c r="P61" s="418"/>
      <c r="Q61" s="418"/>
      <c r="R61" s="418"/>
      <c r="S61" s="418"/>
      <c r="T61" s="418"/>
      <c r="U61" s="418"/>
      <c r="V61" s="418"/>
      <c r="W61" s="418"/>
      <c r="X61" s="418"/>
      <c r="Y61" s="418"/>
      <c r="Z61" s="418"/>
      <c r="AA61" s="418"/>
      <c r="AB61" s="418"/>
      <c r="AC61" s="418"/>
      <c r="AD61" s="418"/>
      <c r="AE61" s="418"/>
      <c r="AF61" s="418"/>
      <c r="AG61" s="418"/>
      <c r="AH61" s="418"/>
      <c r="AI61" s="418"/>
      <c r="AJ61" s="418"/>
      <c r="AK61" s="418"/>
      <c r="AL61" s="418"/>
      <c r="AM61" s="418"/>
      <c r="AN61" s="421"/>
      <c r="AO61" s="421"/>
      <c r="AP61" s="421"/>
      <c r="AQ61" s="418"/>
      <c r="AR61" s="418"/>
      <c r="AS61" s="418"/>
      <c r="AT61" s="418"/>
      <c r="BC61" s="312"/>
      <c r="BD61" s="312"/>
    </row>
    <row r="62" spans="1:65" ht="15.75" customHeight="1">
      <c r="A62" s="415"/>
      <c r="B62" s="509"/>
      <c r="C62" s="424"/>
      <c r="D62" s="418"/>
      <c r="E62" s="418"/>
      <c r="F62" s="419"/>
      <c r="G62" s="420"/>
      <c r="H62" s="421"/>
      <c r="I62" s="425"/>
      <c r="J62" s="424"/>
      <c r="K62" s="418"/>
      <c r="L62" s="418"/>
      <c r="M62" s="418"/>
      <c r="N62" s="418"/>
      <c r="O62" s="418"/>
      <c r="P62" s="418"/>
      <c r="Q62" s="418"/>
      <c r="R62" s="418"/>
      <c r="S62" s="418"/>
      <c r="T62" s="418"/>
      <c r="U62" s="418"/>
      <c r="V62" s="418"/>
      <c r="W62" s="418"/>
      <c r="X62" s="418"/>
      <c r="Y62" s="418"/>
      <c r="Z62" s="418"/>
      <c r="AA62" s="418"/>
      <c r="AB62" s="418"/>
      <c r="AC62" s="418"/>
      <c r="AD62" s="418"/>
      <c r="AE62" s="418"/>
      <c r="AF62" s="418"/>
      <c r="AG62" s="418"/>
      <c r="AH62" s="418"/>
      <c r="AI62" s="418"/>
      <c r="AJ62" s="418"/>
      <c r="AK62" s="418"/>
      <c r="AL62" s="418"/>
      <c r="AM62" s="418"/>
      <c r="AN62" s="421"/>
      <c r="AO62" s="421"/>
      <c r="AP62" s="421"/>
      <c r="AQ62" s="418"/>
      <c r="AR62" s="418"/>
      <c r="AS62" s="418"/>
      <c r="AT62" s="418"/>
      <c r="BC62" s="312"/>
      <c r="BD62" s="312"/>
    </row>
    <row r="63" spans="1:65" ht="15.75" customHeight="1">
      <c r="A63" s="415"/>
      <c r="B63" s="509"/>
      <c r="C63" s="424"/>
      <c r="D63" s="418"/>
      <c r="E63" s="418"/>
      <c r="F63" s="419"/>
      <c r="G63" s="420"/>
      <c r="H63" s="421"/>
      <c r="I63" s="425"/>
      <c r="J63" s="424"/>
      <c r="K63" s="418"/>
      <c r="L63" s="418"/>
      <c r="M63" s="418"/>
      <c r="N63" s="418"/>
      <c r="O63" s="418"/>
      <c r="P63" s="418"/>
      <c r="Q63" s="418"/>
      <c r="R63" s="418"/>
      <c r="S63" s="418"/>
      <c r="T63" s="418"/>
      <c r="U63" s="418"/>
      <c r="V63" s="418"/>
      <c r="W63" s="418"/>
      <c r="X63" s="418"/>
      <c r="Y63" s="418"/>
      <c r="Z63" s="418"/>
      <c r="AA63" s="418"/>
      <c r="AB63" s="418"/>
      <c r="AC63" s="418"/>
      <c r="AD63" s="418"/>
      <c r="AE63" s="418"/>
      <c r="AF63" s="418"/>
      <c r="AG63" s="418"/>
      <c r="AH63" s="418"/>
      <c r="AI63" s="418"/>
      <c r="AJ63" s="418"/>
      <c r="AK63" s="418"/>
      <c r="AL63" s="418"/>
      <c r="AM63" s="418"/>
      <c r="AN63" s="421"/>
      <c r="AO63" s="421"/>
      <c r="AP63" s="421"/>
      <c r="AQ63" s="418"/>
      <c r="AR63" s="418"/>
      <c r="AS63" s="418"/>
      <c r="AT63" s="418"/>
      <c r="BC63" s="312"/>
      <c r="BD63" s="312"/>
    </row>
    <row r="64" spans="1:65" ht="15.75" customHeight="1">
      <c r="A64" s="415"/>
      <c r="B64" s="509"/>
      <c r="C64" s="424"/>
      <c r="D64" s="418"/>
      <c r="E64" s="418"/>
      <c r="F64" s="419"/>
      <c r="G64" s="420"/>
      <c r="H64" s="421"/>
      <c r="I64" s="421"/>
      <c r="J64" s="424"/>
      <c r="K64" s="418"/>
      <c r="L64" s="418"/>
      <c r="M64" s="418"/>
      <c r="N64" s="418"/>
      <c r="O64" s="418"/>
      <c r="P64" s="418"/>
      <c r="Q64" s="418"/>
      <c r="R64" s="418"/>
      <c r="S64" s="418"/>
      <c r="T64" s="418"/>
      <c r="U64" s="418"/>
      <c r="V64" s="418"/>
      <c r="W64" s="418"/>
      <c r="X64" s="418"/>
      <c r="Y64" s="418"/>
      <c r="Z64" s="418"/>
      <c r="AA64" s="418"/>
      <c r="AB64" s="418"/>
      <c r="AC64" s="418"/>
      <c r="AD64" s="418"/>
      <c r="AE64" s="418"/>
      <c r="AF64" s="418"/>
      <c r="AG64" s="418"/>
      <c r="AH64" s="418"/>
      <c r="AI64" s="418"/>
      <c r="AJ64" s="418"/>
      <c r="AK64" s="418"/>
      <c r="AL64" s="418"/>
      <c r="AM64" s="418"/>
      <c r="AN64" s="421"/>
      <c r="AO64" s="421"/>
      <c r="AP64" s="421"/>
      <c r="AQ64" s="418"/>
      <c r="AR64" s="418"/>
      <c r="AS64" s="418"/>
      <c r="AT64" s="418"/>
      <c r="BC64" s="312"/>
      <c r="BD64" s="312"/>
    </row>
    <row r="65" spans="1:56" ht="15.75" customHeight="1">
      <c r="A65" s="415"/>
      <c r="B65" s="509"/>
      <c r="C65" s="424"/>
      <c r="D65" s="418"/>
      <c r="E65" s="418"/>
      <c r="F65" s="419"/>
      <c r="G65" s="420"/>
      <c r="H65" s="421"/>
      <c r="I65" s="425"/>
      <c r="J65" s="424"/>
      <c r="K65" s="418"/>
      <c r="L65" s="418"/>
      <c r="M65" s="418"/>
      <c r="N65" s="418"/>
      <c r="O65" s="418"/>
      <c r="P65" s="418"/>
      <c r="Q65" s="418"/>
      <c r="R65" s="418"/>
      <c r="S65" s="418"/>
      <c r="T65" s="418"/>
      <c r="U65" s="418"/>
      <c r="V65" s="418"/>
      <c r="W65" s="418"/>
      <c r="X65" s="418"/>
      <c r="Y65" s="418"/>
      <c r="Z65" s="418"/>
      <c r="AA65" s="418"/>
      <c r="AB65" s="418"/>
      <c r="AC65" s="418"/>
      <c r="AD65" s="418"/>
      <c r="AE65" s="418"/>
      <c r="AF65" s="418"/>
      <c r="AG65" s="418"/>
      <c r="AH65" s="418"/>
      <c r="AI65" s="418"/>
      <c r="AJ65" s="418"/>
      <c r="AK65" s="418"/>
      <c r="AL65" s="418"/>
      <c r="AM65" s="418"/>
      <c r="AN65" s="421"/>
      <c r="AO65" s="421"/>
      <c r="AP65" s="421"/>
      <c r="AQ65" s="418"/>
      <c r="AR65" s="418"/>
      <c r="AS65" s="418"/>
      <c r="AT65" s="418"/>
      <c r="BC65" s="312"/>
      <c r="BD65" s="312"/>
    </row>
    <row r="66" spans="1:56" ht="15.75" customHeight="1">
      <c r="A66" s="415"/>
      <c r="B66" s="415"/>
      <c r="C66" s="424"/>
      <c r="D66" s="415"/>
      <c r="E66" s="415"/>
      <c r="F66" s="415"/>
      <c r="G66" s="415"/>
      <c r="H66" s="415"/>
      <c r="I66" s="415"/>
      <c r="J66" s="424"/>
      <c r="K66" s="415"/>
      <c r="L66" s="415"/>
      <c r="M66" s="415"/>
      <c r="N66" s="415"/>
      <c r="O66" s="415"/>
      <c r="P66" s="415"/>
      <c r="Q66" s="415"/>
      <c r="R66" s="415"/>
      <c r="S66" s="415"/>
      <c r="T66" s="415"/>
      <c r="U66" s="415"/>
      <c r="V66" s="415"/>
      <c r="W66" s="415"/>
      <c r="X66" s="415"/>
      <c r="Y66" s="415"/>
      <c r="Z66" s="415"/>
      <c r="AA66" s="415"/>
      <c r="AB66" s="415"/>
      <c r="AC66" s="415"/>
      <c r="AD66" s="415"/>
      <c r="AE66" s="415"/>
      <c r="AF66" s="415"/>
      <c r="AG66" s="415"/>
      <c r="AH66" s="415"/>
      <c r="AI66" s="415"/>
      <c r="AJ66" s="415"/>
      <c r="AK66" s="415"/>
      <c r="AL66" s="415"/>
      <c r="AM66" s="415"/>
      <c r="AN66" s="421"/>
      <c r="AO66" s="421"/>
      <c r="AP66" s="421"/>
      <c r="AQ66" s="418"/>
      <c r="AR66" s="418"/>
      <c r="AS66" s="418"/>
      <c r="AT66" s="418"/>
      <c r="BC66" s="312"/>
      <c r="BD66" s="312"/>
    </row>
    <row r="67" spans="1:56" ht="15.75" customHeight="1">
      <c r="A67" s="415"/>
      <c r="B67" s="415"/>
      <c r="C67" s="424"/>
      <c r="D67" s="415"/>
      <c r="E67" s="415"/>
      <c r="F67" s="415"/>
      <c r="G67" s="415"/>
      <c r="H67" s="415"/>
      <c r="I67" s="415"/>
      <c r="J67" s="424"/>
      <c r="K67" s="415"/>
      <c r="L67" s="415"/>
      <c r="M67" s="415"/>
      <c r="N67" s="415"/>
      <c r="O67" s="415"/>
      <c r="P67" s="415"/>
      <c r="Q67" s="415"/>
      <c r="R67" s="415"/>
      <c r="S67" s="415"/>
      <c r="T67" s="415"/>
      <c r="U67" s="415"/>
      <c r="V67" s="415"/>
      <c r="W67" s="415"/>
      <c r="X67" s="415"/>
      <c r="Y67" s="415"/>
      <c r="Z67" s="415"/>
      <c r="AA67" s="415"/>
      <c r="AB67" s="415"/>
      <c r="AC67" s="415"/>
      <c r="AD67" s="415"/>
      <c r="AE67" s="415"/>
      <c r="AF67" s="415"/>
      <c r="AG67" s="415"/>
      <c r="AH67" s="415"/>
      <c r="AI67" s="415"/>
      <c r="AJ67" s="415"/>
      <c r="AK67" s="415"/>
      <c r="AL67" s="415"/>
      <c r="AM67" s="415"/>
      <c r="AN67" s="421"/>
      <c r="AO67" s="421"/>
      <c r="AP67" s="421"/>
      <c r="AQ67" s="418"/>
      <c r="AR67" s="418"/>
      <c r="AS67" s="418"/>
      <c r="AT67" s="418"/>
      <c r="BC67" s="312"/>
      <c r="BD67" s="312"/>
    </row>
    <row r="68" spans="1:56" ht="15.75" customHeight="1">
      <c r="A68" s="415"/>
      <c r="B68" s="415"/>
      <c r="C68" s="424"/>
      <c r="D68" s="415"/>
      <c r="E68" s="415"/>
      <c r="F68" s="415"/>
      <c r="G68" s="415"/>
      <c r="H68" s="415"/>
      <c r="I68" s="415"/>
      <c r="J68" s="424"/>
      <c r="K68" s="415"/>
      <c r="L68" s="415"/>
      <c r="M68" s="415"/>
      <c r="N68" s="415"/>
      <c r="O68" s="415"/>
      <c r="P68" s="415"/>
      <c r="Q68" s="415"/>
      <c r="R68" s="415"/>
      <c r="S68" s="415"/>
      <c r="T68" s="415"/>
      <c r="U68" s="415"/>
      <c r="V68" s="415"/>
      <c r="W68" s="415"/>
      <c r="X68" s="415"/>
      <c r="Y68" s="415"/>
      <c r="Z68" s="415"/>
      <c r="AA68" s="415"/>
      <c r="AB68" s="415"/>
      <c r="AC68" s="415"/>
      <c r="AD68" s="415"/>
      <c r="AE68" s="415"/>
      <c r="AF68" s="415"/>
      <c r="AG68" s="415"/>
      <c r="AH68" s="415"/>
      <c r="AI68" s="415"/>
      <c r="AJ68" s="415"/>
      <c r="AK68" s="415"/>
      <c r="AL68" s="415"/>
      <c r="AM68" s="415"/>
      <c r="AN68" s="421"/>
      <c r="AO68" s="421"/>
      <c r="AP68" s="421"/>
      <c r="AQ68" s="418"/>
      <c r="AR68" s="418"/>
      <c r="AS68" s="418"/>
      <c r="AT68" s="418"/>
    </row>
    <row r="69" spans="1:56" ht="15.75" customHeight="1">
      <c r="A69" s="415"/>
      <c r="B69" s="415"/>
      <c r="C69" s="424"/>
      <c r="D69" s="415"/>
      <c r="E69" s="415"/>
      <c r="F69" s="415"/>
      <c r="G69" s="415"/>
      <c r="H69" s="415"/>
      <c r="I69" s="415"/>
      <c r="J69" s="424"/>
      <c r="K69" s="415"/>
      <c r="L69" s="415"/>
      <c r="M69" s="415"/>
      <c r="N69" s="415"/>
      <c r="O69" s="415"/>
      <c r="P69" s="415"/>
      <c r="Q69" s="415"/>
      <c r="R69" s="415"/>
      <c r="S69" s="415"/>
      <c r="T69" s="415"/>
      <c r="U69" s="415"/>
      <c r="V69" s="415"/>
      <c r="W69" s="415"/>
      <c r="X69" s="415"/>
      <c r="Y69" s="415"/>
      <c r="Z69" s="415"/>
      <c r="AA69" s="415"/>
      <c r="AB69" s="415"/>
      <c r="AC69" s="415"/>
      <c r="AD69" s="415"/>
      <c r="AE69" s="415"/>
      <c r="AF69" s="415"/>
      <c r="AG69" s="415"/>
      <c r="AH69" s="415"/>
      <c r="AI69" s="415"/>
      <c r="AJ69" s="415"/>
      <c r="AK69" s="415"/>
      <c r="AL69" s="415"/>
      <c r="AM69" s="415"/>
      <c r="AN69" s="421"/>
      <c r="AO69" s="421"/>
      <c r="AP69" s="421"/>
      <c r="AQ69" s="418"/>
      <c r="AR69" s="418"/>
      <c r="AS69" s="418"/>
      <c r="AT69" s="418"/>
    </row>
    <row r="70" spans="1:56" ht="15.75" customHeight="1">
      <c r="A70" s="415"/>
      <c r="B70" s="509"/>
      <c r="C70" s="424"/>
      <c r="D70" s="418"/>
      <c r="E70" s="418"/>
      <c r="F70" s="419"/>
      <c r="G70" s="420"/>
      <c r="H70" s="418"/>
      <c r="I70" s="419"/>
      <c r="J70" s="424"/>
      <c r="K70" s="418"/>
      <c r="L70" s="418"/>
      <c r="M70" s="418"/>
      <c r="N70" s="418"/>
      <c r="O70" s="418"/>
      <c r="P70" s="418"/>
      <c r="Q70" s="418"/>
      <c r="R70" s="418"/>
      <c r="S70" s="418"/>
      <c r="T70" s="418"/>
      <c r="U70" s="418"/>
      <c r="V70" s="418"/>
      <c r="W70" s="418"/>
      <c r="X70" s="418"/>
      <c r="Y70" s="418"/>
      <c r="Z70" s="418"/>
      <c r="AA70" s="418"/>
      <c r="AB70" s="418"/>
      <c r="AC70" s="418"/>
      <c r="AD70" s="418"/>
      <c r="AE70" s="418"/>
      <c r="AF70" s="418"/>
      <c r="AG70" s="418"/>
      <c r="AH70" s="418"/>
      <c r="AI70" s="418"/>
      <c r="AJ70" s="418"/>
      <c r="AK70" s="418"/>
      <c r="AL70" s="418"/>
      <c r="AM70" s="418"/>
      <c r="AN70" s="421"/>
      <c r="AO70" s="421"/>
      <c r="AP70" s="421"/>
      <c r="AQ70" s="418"/>
      <c r="AR70" s="418"/>
      <c r="AS70" s="418"/>
      <c r="AT70" s="418"/>
    </row>
    <row r="71" spans="1:56" ht="15.75" customHeight="1">
      <c r="A71" s="415"/>
      <c r="B71" s="509"/>
      <c r="C71" s="424"/>
      <c r="D71" s="418"/>
      <c r="E71" s="418"/>
      <c r="F71" s="419"/>
      <c r="G71" s="420"/>
      <c r="H71" s="421"/>
      <c r="I71" s="421"/>
      <c r="J71" s="424"/>
      <c r="K71" s="418"/>
      <c r="L71" s="418"/>
      <c r="M71" s="418"/>
      <c r="N71" s="418"/>
      <c r="O71" s="418"/>
      <c r="P71" s="418"/>
      <c r="Q71" s="418"/>
      <c r="R71" s="418"/>
      <c r="S71" s="418"/>
      <c r="T71" s="418"/>
      <c r="U71" s="418"/>
      <c r="V71" s="418"/>
      <c r="W71" s="418"/>
      <c r="X71" s="418"/>
      <c r="Y71" s="418"/>
      <c r="Z71" s="418"/>
      <c r="AA71" s="418"/>
      <c r="AB71" s="418"/>
      <c r="AC71" s="418"/>
      <c r="AD71" s="418"/>
      <c r="AE71" s="418"/>
      <c r="AF71" s="418"/>
      <c r="AG71" s="418"/>
      <c r="AH71" s="418"/>
      <c r="AI71" s="418"/>
      <c r="AJ71" s="418"/>
      <c r="AK71" s="418"/>
      <c r="AL71" s="418"/>
      <c r="AM71" s="418"/>
      <c r="AN71" s="421"/>
      <c r="AO71" s="421"/>
      <c r="AP71" s="421"/>
      <c r="AQ71" s="418"/>
      <c r="AR71" s="418"/>
      <c r="AS71" s="418"/>
      <c r="AT71" s="418"/>
    </row>
    <row r="72" spans="1:56" ht="15.75" customHeight="1">
      <c r="A72" s="415"/>
      <c r="B72" s="509"/>
      <c r="C72" s="424"/>
      <c r="D72" s="418"/>
      <c r="E72" s="418"/>
      <c r="F72" s="419"/>
      <c r="G72" s="420"/>
      <c r="H72" s="418"/>
      <c r="I72" s="425"/>
      <c r="J72" s="424"/>
      <c r="K72" s="418"/>
      <c r="L72" s="418"/>
      <c r="M72" s="418"/>
      <c r="N72" s="418"/>
      <c r="O72" s="418"/>
      <c r="P72" s="418"/>
      <c r="Q72" s="418"/>
      <c r="R72" s="418"/>
      <c r="S72" s="418"/>
      <c r="T72" s="418"/>
      <c r="U72" s="418"/>
      <c r="V72" s="418"/>
      <c r="W72" s="418"/>
      <c r="X72" s="418"/>
      <c r="Y72" s="418"/>
      <c r="Z72" s="418"/>
      <c r="AA72" s="418"/>
      <c r="AB72" s="418"/>
      <c r="AC72" s="418"/>
      <c r="AD72" s="418"/>
      <c r="AE72" s="418"/>
      <c r="AF72" s="418"/>
      <c r="AG72" s="418"/>
      <c r="AH72" s="418"/>
      <c r="AI72" s="418"/>
      <c r="AJ72" s="418"/>
      <c r="AK72" s="418"/>
      <c r="AL72" s="418"/>
      <c r="AM72" s="418"/>
      <c r="AN72" s="421"/>
      <c r="AO72" s="421"/>
      <c r="AP72" s="421"/>
      <c r="AQ72" s="418"/>
      <c r="AR72" s="418"/>
      <c r="AS72" s="418"/>
      <c r="AT72" s="418"/>
    </row>
    <row r="73" spans="1:56" ht="15.75" customHeight="1">
      <c r="A73" s="415"/>
      <c r="B73" s="509"/>
      <c r="C73" s="424"/>
      <c r="D73" s="418"/>
      <c r="E73" s="418"/>
      <c r="F73" s="419"/>
      <c r="G73" s="420"/>
      <c r="H73" s="421"/>
      <c r="I73" s="425"/>
      <c r="J73" s="424"/>
      <c r="K73" s="418"/>
      <c r="L73" s="418"/>
      <c r="M73" s="418"/>
      <c r="N73" s="418"/>
      <c r="O73" s="418"/>
      <c r="P73" s="418"/>
      <c r="Q73" s="418"/>
      <c r="R73" s="418"/>
      <c r="S73" s="418"/>
      <c r="T73" s="418"/>
      <c r="U73" s="418"/>
      <c r="V73" s="418"/>
      <c r="W73" s="418"/>
      <c r="X73" s="418"/>
      <c r="Y73" s="418"/>
      <c r="Z73" s="418"/>
      <c r="AA73" s="418"/>
      <c r="AB73" s="418"/>
      <c r="AC73" s="418"/>
      <c r="AD73" s="418"/>
      <c r="AE73" s="418"/>
      <c r="AF73" s="418"/>
      <c r="AG73" s="418"/>
      <c r="AH73" s="418"/>
      <c r="AI73" s="418"/>
      <c r="AJ73" s="418"/>
      <c r="AK73" s="418"/>
      <c r="AL73" s="418"/>
      <c r="AM73" s="418"/>
      <c r="AN73" s="421"/>
      <c r="AO73" s="421"/>
      <c r="AP73" s="421"/>
      <c r="AQ73" s="418"/>
      <c r="AR73" s="418"/>
      <c r="AS73" s="418"/>
      <c r="AT73" s="418"/>
    </row>
    <row r="74" spans="1:56" ht="15.75" customHeight="1">
      <c r="A74" s="415"/>
      <c r="B74" s="509"/>
      <c r="C74" s="424"/>
      <c r="D74" s="418"/>
      <c r="E74" s="418"/>
      <c r="F74" s="419"/>
      <c r="G74" s="420"/>
      <c r="H74" s="421"/>
      <c r="I74" s="425"/>
      <c r="J74" s="424"/>
      <c r="K74" s="418"/>
      <c r="L74" s="418"/>
      <c r="M74" s="418"/>
      <c r="N74" s="418"/>
      <c r="O74" s="418"/>
      <c r="P74" s="418"/>
      <c r="Q74" s="418"/>
      <c r="R74" s="418"/>
      <c r="S74" s="418"/>
      <c r="T74" s="418"/>
      <c r="U74" s="418"/>
      <c r="V74" s="418"/>
      <c r="W74" s="418"/>
      <c r="X74" s="418"/>
      <c r="Y74" s="418"/>
      <c r="Z74" s="418"/>
      <c r="AA74" s="418"/>
      <c r="AB74" s="418"/>
      <c r="AC74" s="418"/>
      <c r="AD74" s="418"/>
      <c r="AE74" s="418"/>
      <c r="AF74" s="418"/>
      <c r="AG74" s="418"/>
      <c r="AH74" s="418"/>
      <c r="AI74" s="418"/>
      <c r="AJ74" s="418"/>
      <c r="AK74" s="418"/>
      <c r="AL74" s="418"/>
      <c r="AM74" s="418"/>
      <c r="AN74" s="421"/>
      <c r="AO74" s="421"/>
      <c r="AP74" s="421"/>
      <c r="AQ74" s="418"/>
      <c r="AR74" s="418"/>
      <c r="AS74" s="418"/>
      <c r="AT74" s="418"/>
    </row>
    <row r="75" spans="1:56" ht="15.75" customHeight="1">
      <c r="A75" s="415"/>
      <c r="B75" s="509"/>
      <c r="C75" s="424"/>
      <c r="D75" s="418"/>
      <c r="E75" s="418"/>
      <c r="F75" s="419"/>
      <c r="G75" s="420"/>
      <c r="H75" s="421"/>
      <c r="I75" s="425"/>
      <c r="J75" s="424"/>
      <c r="K75" s="418"/>
      <c r="L75" s="418"/>
      <c r="M75" s="418"/>
      <c r="N75" s="418"/>
      <c r="O75" s="418"/>
      <c r="P75" s="418"/>
      <c r="Q75" s="418"/>
      <c r="R75" s="418"/>
      <c r="S75" s="418"/>
      <c r="T75" s="418"/>
      <c r="U75" s="418"/>
      <c r="V75" s="418"/>
      <c r="W75" s="418"/>
      <c r="X75" s="418"/>
      <c r="Y75" s="418"/>
      <c r="Z75" s="418"/>
      <c r="AA75" s="418"/>
      <c r="AB75" s="418"/>
      <c r="AC75" s="418"/>
      <c r="AD75" s="418"/>
      <c r="AE75" s="418"/>
      <c r="AF75" s="418"/>
      <c r="AG75" s="418"/>
      <c r="AH75" s="418"/>
      <c r="AI75" s="418"/>
      <c r="AJ75" s="418"/>
      <c r="AK75" s="418"/>
      <c r="AL75" s="418"/>
      <c r="AM75" s="418"/>
      <c r="AN75" s="421"/>
      <c r="AO75" s="421"/>
      <c r="AP75" s="421"/>
      <c r="AQ75" s="418"/>
      <c r="AR75" s="418"/>
      <c r="AS75" s="418"/>
      <c r="AT75" s="418"/>
    </row>
    <row r="76" spans="1:56" ht="15.75" customHeight="1">
      <c r="A76" s="415"/>
      <c r="B76" s="509"/>
      <c r="C76" s="424"/>
      <c r="D76" s="418"/>
      <c r="E76" s="418"/>
      <c r="F76" s="419"/>
      <c r="G76" s="420"/>
      <c r="H76" s="421"/>
      <c r="I76" s="421"/>
      <c r="J76" s="424"/>
      <c r="K76" s="418"/>
      <c r="L76" s="418"/>
      <c r="M76" s="418"/>
      <c r="N76" s="418"/>
      <c r="O76" s="418"/>
      <c r="P76" s="418"/>
      <c r="Q76" s="418"/>
      <c r="R76" s="418"/>
      <c r="S76" s="418"/>
      <c r="T76" s="418"/>
      <c r="U76" s="418"/>
      <c r="V76" s="418"/>
      <c r="W76" s="418"/>
      <c r="X76" s="418"/>
      <c r="Y76" s="418"/>
      <c r="Z76" s="418"/>
      <c r="AA76" s="418"/>
      <c r="AB76" s="418"/>
      <c r="AC76" s="418"/>
      <c r="AD76" s="418"/>
      <c r="AE76" s="418"/>
      <c r="AF76" s="418"/>
      <c r="AG76" s="418"/>
      <c r="AH76" s="418"/>
      <c r="AI76" s="418"/>
      <c r="AJ76" s="418"/>
      <c r="AK76" s="418"/>
      <c r="AL76" s="418"/>
      <c r="AM76" s="418"/>
      <c r="AN76" s="421"/>
      <c r="AO76" s="421"/>
      <c r="AP76" s="421"/>
      <c r="AQ76" s="418"/>
      <c r="AR76" s="418"/>
      <c r="AS76" s="418"/>
      <c r="AT76" s="418"/>
    </row>
    <row r="77" spans="1:56" ht="15.75" customHeight="1">
      <c r="A77" s="415"/>
      <c r="B77" s="509"/>
      <c r="C77" s="424"/>
      <c r="D77" s="418"/>
      <c r="E77" s="418"/>
      <c r="F77" s="419"/>
      <c r="G77" s="420"/>
      <c r="H77" s="421"/>
      <c r="I77" s="425"/>
      <c r="J77" s="424"/>
      <c r="K77" s="418"/>
      <c r="L77" s="418"/>
      <c r="M77" s="418"/>
      <c r="N77" s="418"/>
      <c r="O77" s="418"/>
      <c r="P77" s="418"/>
      <c r="Q77" s="418"/>
      <c r="R77" s="418"/>
      <c r="S77" s="418"/>
      <c r="T77" s="418"/>
      <c r="U77" s="418"/>
      <c r="V77" s="418"/>
      <c r="W77" s="418"/>
      <c r="X77" s="418"/>
      <c r="Y77" s="418"/>
      <c r="Z77" s="418"/>
      <c r="AA77" s="418"/>
      <c r="AB77" s="418"/>
      <c r="AC77" s="418"/>
      <c r="AD77" s="418"/>
      <c r="AE77" s="418"/>
      <c r="AF77" s="418"/>
      <c r="AG77" s="418"/>
      <c r="AH77" s="418"/>
      <c r="AI77" s="418"/>
      <c r="AJ77" s="418"/>
      <c r="AK77" s="418"/>
      <c r="AL77" s="418"/>
      <c r="AM77" s="418"/>
      <c r="AN77" s="421"/>
      <c r="AO77" s="421"/>
      <c r="AP77" s="421"/>
      <c r="AQ77" s="418"/>
      <c r="AR77" s="418"/>
      <c r="AS77" s="418"/>
      <c r="AT77" s="418"/>
      <c r="BC77" s="312"/>
    </row>
    <row r="78" spans="1:56" ht="15.75" customHeight="1">
      <c r="A78" s="415"/>
      <c r="B78" s="509"/>
      <c r="C78" s="424"/>
      <c r="D78" s="418"/>
      <c r="E78" s="418"/>
      <c r="F78" s="419"/>
      <c r="G78" s="420"/>
      <c r="H78" s="421"/>
      <c r="I78" s="421"/>
      <c r="J78" s="424"/>
      <c r="K78" s="418"/>
      <c r="L78" s="418"/>
      <c r="M78" s="418"/>
      <c r="N78" s="418"/>
      <c r="O78" s="418"/>
      <c r="P78" s="418"/>
      <c r="Q78" s="418"/>
      <c r="R78" s="418"/>
      <c r="S78" s="418"/>
      <c r="T78" s="418"/>
      <c r="U78" s="418"/>
      <c r="V78" s="418"/>
      <c r="W78" s="418"/>
      <c r="X78" s="418"/>
      <c r="Y78" s="418"/>
      <c r="Z78" s="418"/>
      <c r="AA78" s="418"/>
      <c r="AB78" s="418"/>
      <c r="AC78" s="418"/>
      <c r="AD78" s="418"/>
      <c r="AE78" s="418"/>
      <c r="AF78" s="418"/>
      <c r="AG78" s="418"/>
      <c r="AH78" s="418"/>
      <c r="AI78" s="418"/>
      <c r="AJ78" s="418"/>
      <c r="AK78" s="418"/>
      <c r="AL78" s="418"/>
      <c r="AM78" s="418"/>
      <c r="AN78" s="421"/>
      <c r="AO78" s="421"/>
      <c r="AP78" s="421"/>
      <c r="AQ78" s="418"/>
      <c r="AR78" s="418"/>
      <c r="AS78" s="418"/>
      <c r="AT78" s="418"/>
      <c r="BC78" s="312"/>
    </row>
    <row r="79" spans="1:56" ht="15.75" customHeight="1">
      <c r="A79" s="415"/>
      <c r="B79" s="509"/>
      <c r="C79" s="424"/>
      <c r="D79" s="418"/>
      <c r="E79" s="418"/>
      <c r="F79" s="419"/>
      <c r="G79" s="420"/>
      <c r="H79" s="421"/>
      <c r="I79" s="425"/>
      <c r="J79" s="424"/>
      <c r="K79" s="418"/>
      <c r="L79" s="418"/>
      <c r="M79" s="418"/>
      <c r="N79" s="418"/>
      <c r="O79" s="418"/>
      <c r="P79" s="418"/>
      <c r="Q79" s="418"/>
      <c r="R79" s="418"/>
      <c r="S79" s="418"/>
      <c r="T79" s="418"/>
      <c r="U79" s="418"/>
      <c r="V79" s="418"/>
      <c r="W79" s="418"/>
      <c r="X79" s="418"/>
      <c r="Y79" s="418"/>
      <c r="Z79" s="418"/>
      <c r="AA79" s="418"/>
      <c r="AB79" s="418"/>
      <c r="AC79" s="418"/>
      <c r="AD79" s="418"/>
      <c r="AE79" s="418"/>
      <c r="AF79" s="418"/>
      <c r="AG79" s="418"/>
      <c r="AH79" s="418"/>
      <c r="AI79" s="418"/>
      <c r="AJ79" s="418"/>
      <c r="AK79" s="418"/>
      <c r="AL79" s="418"/>
      <c r="AM79" s="418"/>
      <c r="AN79" s="421"/>
      <c r="AO79" s="421"/>
      <c r="AP79" s="421"/>
      <c r="AQ79" s="418"/>
      <c r="AR79" s="418"/>
      <c r="AS79" s="418"/>
      <c r="AT79" s="418"/>
      <c r="BC79" s="312"/>
    </row>
    <row r="80" spans="1:56" ht="15.75" customHeight="1">
      <c r="A80" s="415"/>
      <c r="B80" s="509"/>
      <c r="C80" s="424"/>
      <c r="D80" s="418"/>
      <c r="E80" s="418"/>
      <c r="F80" s="419"/>
      <c r="G80" s="420"/>
      <c r="H80" s="421"/>
      <c r="I80" s="421"/>
      <c r="J80" s="424"/>
      <c r="K80" s="418"/>
      <c r="L80" s="418"/>
      <c r="M80" s="418"/>
      <c r="N80" s="418"/>
      <c r="O80" s="418"/>
      <c r="P80" s="418"/>
      <c r="Q80" s="418"/>
      <c r="R80" s="418"/>
      <c r="S80" s="418"/>
      <c r="T80" s="418"/>
      <c r="U80" s="418"/>
      <c r="V80" s="418"/>
      <c r="W80" s="418"/>
      <c r="X80" s="418"/>
      <c r="Y80" s="418"/>
      <c r="Z80" s="418"/>
      <c r="AA80" s="418"/>
      <c r="AB80" s="418"/>
      <c r="AC80" s="418"/>
      <c r="AD80" s="418"/>
      <c r="AE80" s="418"/>
      <c r="AF80" s="418"/>
      <c r="AG80" s="418"/>
      <c r="AH80" s="418"/>
      <c r="AI80" s="418"/>
      <c r="AJ80" s="418"/>
      <c r="AK80" s="418"/>
      <c r="AL80" s="418"/>
      <c r="AM80" s="418"/>
      <c r="AN80" s="421"/>
      <c r="AO80" s="421"/>
      <c r="AP80" s="421"/>
      <c r="AQ80" s="418"/>
      <c r="AR80" s="418"/>
      <c r="AS80" s="418"/>
      <c r="AT80" s="418"/>
      <c r="BC80" s="312"/>
    </row>
    <row r="81" spans="1:55" ht="15.75" customHeight="1">
      <c r="A81" s="415"/>
      <c r="B81" s="509"/>
      <c r="C81" s="424"/>
      <c r="D81" s="418"/>
      <c r="E81" s="418"/>
      <c r="F81" s="419"/>
      <c r="G81" s="420"/>
      <c r="H81" s="421"/>
      <c r="I81" s="425"/>
      <c r="J81" s="424"/>
      <c r="K81" s="418"/>
      <c r="L81" s="418"/>
      <c r="M81" s="418"/>
      <c r="N81" s="418"/>
      <c r="O81" s="418"/>
      <c r="P81" s="418"/>
      <c r="Q81" s="418"/>
      <c r="R81" s="418"/>
      <c r="S81" s="418"/>
      <c r="T81" s="418"/>
      <c r="U81" s="418"/>
      <c r="V81" s="418"/>
      <c r="W81" s="418"/>
      <c r="X81" s="418"/>
      <c r="Y81" s="418"/>
      <c r="Z81" s="418"/>
      <c r="AA81" s="418"/>
      <c r="AB81" s="418"/>
      <c r="AC81" s="418"/>
      <c r="AD81" s="418"/>
      <c r="AE81" s="418"/>
      <c r="AF81" s="418"/>
      <c r="AG81" s="418"/>
      <c r="AH81" s="418"/>
      <c r="AI81" s="418"/>
      <c r="AJ81" s="418"/>
      <c r="AK81" s="418"/>
      <c r="AL81" s="418"/>
      <c r="AM81" s="418"/>
      <c r="AN81" s="421"/>
      <c r="AO81" s="421"/>
      <c r="AP81" s="421"/>
      <c r="AQ81" s="418"/>
      <c r="AR81" s="418"/>
      <c r="AS81" s="418"/>
      <c r="AT81" s="418"/>
      <c r="BC81" s="312"/>
    </row>
    <row r="82" spans="1:55" ht="15.75" customHeight="1">
      <c r="A82" s="415"/>
      <c r="B82" s="509"/>
      <c r="C82" s="424"/>
      <c r="D82" s="418"/>
      <c r="E82" s="418"/>
      <c r="F82" s="419"/>
      <c r="G82" s="420"/>
      <c r="H82" s="421"/>
      <c r="I82" s="421"/>
      <c r="J82" s="424"/>
      <c r="K82" s="418"/>
      <c r="L82" s="418"/>
      <c r="M82" s="418"/>
      <c r="N82" s="418"/>
      <c r="O82" s="418"/>
      <c r="P82" s="418"/>
      <c r="Q82" s="418"/>
      <c r="R82" s="418"/>
      <c r="S82" s="418"/>
      <c r="T82" s="418"/>
      <c r="U82" s="418"/>
      <c r="V82" s="418"/>
      <c r="W82" s="418"/>
      <c r="X82" s="418"/>
      <c r="Y82" s="418"/>
      <c r="Z82" s="418"/>
      <c r="AA82" s="418"/>
      <c r="AB82" s="418"/>
      <c r="AC82" s="418"/>
      <c r="AD82" s="418"/>
      <c r="AE82" s="418"/>
      <c r="AF82" s="418"/>
      <c r="AG82" s="418"/>
      <c r="AH82" s="418"/>
      <c r="AI82" s="418"/>
      <c r="AJ82" s="418"/>
      <c r="AK82" s="418"/>
      <c r="AL82" s="418"/>
      <c r="AM82" s="418"/>
      <c r="AN82" s="421"/>
      <c r="AO82" s="421"/>
      <c r="AP82" s="421"/>
      <c r="AQ82" s="418"/>
      <c r="AR82" s="418"/>
      <c r="AS82" s="418"/>
      <c r="AT82" s="418"/>
      <c r="BC82" s="312"/>
    </row>
    <row r="83" spans="1:55" ht="15.75" customHeight="1">
      <c r="A83" s="415"/>
      <c r="B83" s="509"/>
      <c r="C83" s="424"/>
      <c r="D83" s="418"/>
      <c r="E83" s="418"/>
      <c r="F83" s="419"/>
      <c r="G83" s="420"/>
      <c r="H83" s="421"/>
      <c r="I83" s="425"/>
      <c r="J83" s="424"/>
      <c r="K83" s="418"/>
      <c r="L83" s="418"/>
      <c r="M83" s="418"/>
      <c r="N83" s="418"/>
      <c r="O83" s="418"/>
      <c r="P83" s="418"/>
      <c r="Q83" s="418"/>
      <c r="R83" s="418"/>
      <c r="S83" s="418"/>
      <c r="T83" s="418"/>
      <c r="U83" s="418"/>
      <c r="V83" s="418"/>
      <c r="W83" s="418"/>
      <c r="X83" s="418"/>
      <c r="Y83" s="418"/>
      <c r="Z83" s="418"/>
      <c r="AA83" s="418"/>
      <c r="AB83" s="418"/>
      <c r="AC83" s="418"/>
      <c r="AD83" s="418"/>
      <c r="AE83" s="418"/>
      <c r="AF83" s="418"/>
      <c r="AG83" s="418"/>
      <c r="AH83" s="418"/>
      <c r="AI83" s="418"/>
      <c r="AJ83" s="418"/>
      <c r="AK83" s="418"/>
      <c r="AL83" s="418"/>
      <c r="AM83" s="418"/>
      <c r="AN83" s="421"/>
      <c r="AO83" s="421"/>
      <c r="AP83" s="421"/>
      <c r="AQ83" s="418"/>
      <c r="AR83" s="418"/>
      <c r="AS83" s="418"/>
      <c r="AT83" s="418"/>
      <c r="BC83" s="312"/>
    </row>
    <row r="84" spans="1:55" ht="15.75" customHeight="1">
      <c r="A84" s="415"/>
      <c r="B84" s="509"/>
      <c r="C84" s="424"/>
      <c r="D84" s="418"/>
      <c r="E84" s="418"/>
      <c r="F84" s="419"/>
      <c r="G84" s="420"/>
      <c r="H84" s="421"/>
      <c r="I84" s="425"/>
      <c r="J84" s="424"/>
      <c r="K84" s="418"/>
      <c r="L84" s="418"/>
      <c r="M84" s="418"/>
      <c r="N84" s="418"/>
      <c r="O84" s="418"/>
      <c r="P84" s="418"/>
      <c r="Q84" s="418"/>
      <c r="R84" s="418"/>
      <c r="S84" s="418"/>
      <c r="T84" s="418"/>
      <c r="U84" s="418"/>
      <c r="V84" s="418"/>
      <c r="W84" s="418"/>
      <c r="X84" s="418"/>
      <c r="Y84" s="418"/>
      <c r="Z84" s="418"/>
      <c r="AA84" s="418"/>
      <c r="AB84" s="418"/>
      <c r="AC84" s="418"/>
      <c r="AD84" s="418"/>
      <c r="AE84" s="418"/>
      <c r="AF84" s="418"/>
      <c r="AG84" s="418"/>
      <c r="AH84" s="418"/>
      <c r="AI84" s="418"/>
      <c r="AJ84" s="418"/>
      <c r="AK84" s="418"/>
      <c r="AL84" s="418"/>
      <c r="AM84" s="418"/>
      <c r="AN84" s="421"/>
      <c r="AO84" s="421"/>
      <c r="AP84" s="421"/>
      <c r="AQ84" s="418"/>
      <c r="AR84" s="418"/>
      <c r="AS84" s="418"/>
      <c r="AT84" s="418"/>
      <c r="BC84" s="312"/>
    </row>
    <row r="85" spans="1:55" ht="15.75" customHeight="1">
      <c r="A85" s="415"/>
      <c r="B85" s="509"/>
      <c r="C85" s="424"/>
      <c r="D85" s="418"/>
      <c r="E85" s="418"/>
      <c r="F85" s="419"/>
      <c r="G85" s="420"/>
      <c r="H85" s="421"/>
      <c r="I85" s="425"/>
      <c r="J85" s="424"/>
      <c r="K85" s="418"/>
      <c r="L85" s="418"/>
      <c r="M85" s="418"/>
      <c r="N85" s="418"/>
      <c r="O85" s="418"/>
      <c r="P85" s="418"/>
      <c r="Q85" s="418"/>
      <c r="R85" s="418"/>
      <c r="S85" s="418"/>
      <c r="T85" s="418"/>
      <c r="U85" s="418"/>
      <c r="V85" s="418"/>
      <c r="W85" s="418"/>
      <c r="X85" s="418"/>
      <c r="Y85" s="418"/>
      <c r="Z85" s="418"/>
      <c r="AA85" s="418"/>
      <c r="AB85" s="418"/>
      <c r="AC85" s="418"/>
      <c r="AD85" s="418"/>
      <c r="AE85" s="418"/>
      <c r="AF85" s="418"/>
      <c r="AG85" s="418"/>
      <c r="AH85" s="418"/>
      <c r="AI85" s="418"/>
      <c r="AJ85" s="418"/>
      <c r="AK85" s="418"/>
      <c r="AL85" s="418"/>
      <c r="AM85" s="418"/>
      <c r="AN85" s="421"/>
      <c r="AO85" s="421"/>
      <c r="AP85" s="421"/>
      <c r="AQ85" s="418"/>
      <c r="AR85" s="418"/>
      <c r="AS85" s="418"/>
      <c r="AT85" s="418"/>
      <c r="BC85" s="312"/>
    </row>
    <row r="86" spans="1:55" ht="15.75" customHeight="1">
      <c r="A86" s="415"/>
      <c r="B86" s="509"/>
      <c r="C86" s="424"/>
      <c r="D86" s="418"/>
      <c r="E86" s="418"/>
      <c r="F86" s="419"/>
      <c r="G86" s="420"/>
      <c r="H86" s="421"/>
      <c r="I86" s="421"/>
      <c r="J86" s="424"/>
      <c r="K86" s="418"/>
      <c r="L86" s="418"/>
      <c r="M86" s="418"/>
      <c r="N86" s="418"/>
      <c r="O86" s="418"/>
      <c r="P86" s="418"/>
      <c r="Q86" s="418"/>
      <c r="R86" s="418"/>
      <c r="S86" s="418"/>
      <c r="T86" s="418"/>
      <c r="U86" s="418"/>
      <c r="V86" s="418"/>
      <c r="W86" s="418"/>
      <c r="X86" s="418"/>
      <c r="Y86" s="418"/>
      <c r="Z86" s="418"/>
      <c r="AA86" s="418"/>
      <c r="AB86" s="418"/>
      <c r="AC86" s="418"/>
      <c r="AD86" s="418"/>
      <c r="AE86" s="418"/>
      <c r="AF86" s="418"/>
      <c r="AG86" s="418"/>
      <c r="AH86" s="418"/>
      <c r="AI86" s="418"/>
      <c r="AJ86" s="418"/>
      <c r="AK86" s="418"/>
      <c r="AL86" s="418"/>
      <c r="AM86" s="418"/>
      <c r="AN86" s="421"/>
      <c r="AO86" s="421"/>
      <c r="AP86" s="421"/>
      <c r="AQ86" s="418"/>
      <c r="AR86" s="418"/>
      <c r="AS86" s="418"/>
      <c r="AT86" s="418"/>
      <c r="BC86" s="312"/>
    </row>
    <row r="87" spans="1:55" ht="15.75" customHeight="1">
      <c r="A87" s="415"/>
      <c r="B87" s="509"/>
      <c r="C87" s="424"/>
      <c r="D87" s="418"/>
      <c r="E87" s="418"/>
      <c r="F87" s="419"/>
      <c r="G87" s="420"/>
      <c r="H87" s="421"/>
      <c r="I87" s="425"/>
      <c r="J87" s="424"/>
      <c r="K87" s="418"/>
      <c r="L87" s="418"/>
      <c r="M87" s="418"/>
      <c r="N87" s="418"/>
      <c r="O87" s="418"/>
      <c r="P87" s="418"/>
      <c r="Q87" s="418"/>
      <c r="R87" s="418"/>
      <c r="S87" s="418"/>
      <c r="T87" s="418"/>
      <c r="U87" s="418"/>
      <c r="V87" s="418"/>
      <c r="W87" s="418"/>
      <c r="X87" s="418"/>
      <c r="Y87" s="418"/>
      <c r="Z87" s="418"/>
      <c r="AA87" s="418"/>
      <c r="AB87" s="418"/>
      <c r="AC87" s="418"/>
      <c r="AD87" s="418"/>
      <c r="AE87" s="418"/>
      <c r="AF87" s="418"/>
      <c r="AG87" s="418"/>
      <c r="AH87" s="418"/>
      <c r="AI87" s="418"/>
      <c r="AJ87" s="418"/>
      <c r="AK87" s="418"/>
      <c r="AL87" s="418"/>
      <c r="AM87" s="418"/>
      <c r="AN87" s="421"/>
      <c r="AO87" s="421"/>
      <c r="AP87" s="421"/>
      <c r="AQ87" s="418"/>
      <c r="AR87" s="418"/>
      <c r="AS87" s="418"/>
      <c r="AT87" s="418"/>
      <c r="BC87" s="312"/>
    </row>
    <row r="88" spans="1:55" ht="15.75" customHeight="1">
      <c r="A88" s="415"/>
      <c r="B88" s="509"/>
      <c r="C88" s="424"/>
      <c r="D88" s="418"/>
      <c r="E88" s="418"/>
      <c r="F88" s="419"/>
      <c r="G88" s="420"/>
      <c r="H88" s="421"/>
      <c r="I88" s="425"/>
      <c r="J88" s="424"/>
      <c r="K88" s="418"/>
      <c r="L88" s="418"/>
      <c r="M88" s="418"/>
      <c r="N88" s="418"/>
      <c r="O88" s="418"/>
      <c r="P88" s="418"/>
      <c r="Q88" s="418"/>
      <c r="R88" s="418"/>
      <c r="S88" s="418"/>
      <c r="T88" s="418"/>
      <c r="U88" s="418"/>
      <c r="V88" s="418"/>
      <c r="W88" s="418"/>
      <c r="X88" s="418"/>
      <c r="Y88" s="418"/>
      <c r="Z88" s="418"/>
      <c r="AA88" s="418"/>
      <c r="AB88" s="418"/>
      <c r="AC88" s="418"/>
      <c r="AD88" s="418"/>
      <c r="AE88" s="418"/>
      <c r="AF88" s="418"/>
      <c r="AG88" s="418"/>
      <c r="AH88" s="418"/>
      <c r="AI88" s="418"/>
      <c r="AJ88" s="418"/>
      <c r="AK88" s="418"/>
      <c r="AL88" s="418"/>
      <c r="AM88" s="418"/>
      <c r="AN88" s="421"/>
      <c r="AO88" s="421"/>
      <c r="AP88" s="421"/>
      <c r="AQ88" s="418"/>
      <c r="AR88" s="418"/>
      <c r="AS88" s="418"/>
      <c r="AT88" s="418"/>
      <c r="BC88" s="312"/>
    </row>
    <row r="89" spans="1:55" ht="15.75" customHeight="1">
      <c r="A89" s="415"/>
      <c r="B89" s="509"/>
      <c r="C89" s="424"/>
      <c r="D89" s="418"/>
      <c r="E89" s="418"/>
      <c r="F89" s="419"/>
      <c r="G89" s="420"/>
      <c r="H89" s="421"/>
      <c r="I89" s="425"/>
      <c r="J89" s="424"/>
      <c r="K89" s="418"/>
      <c r="L89" s="418"/>
      <c r="M89" s="418"/>
      <c r="N89" s="418"/>
      <c r="O89" s="418"/>
      <c r="P89" s="418"/>
      <c r="Q89" s="418"/>
      <c r="R89" s="418"/>
      <c r="S89" s="418"/>
      <c r="T89" s="418"/>
      <c r="U89" s="418"/>
      <c r="V89" s="418"/>
      <c r="W89" s="418"/>
      <c r="X89" s="418"/>
      <c r="Y89" s="418"/>
      <c r="Z89" s="418"/>
      <c r="AA89" s="418"/>
      <c r="AB89" s="418"/>
      <c r="AC89" s="418"/>
      <c r="AD89" s="418"/>
      <c r="AE89" s="418"/>
      <c r="AF89" s="418"/>
      <c r="AG89" s="418"/>
      <c r="AH89" s="418"/>
      <c r="AI89" s="418"/>
      <c r="AJ89" s="418"/>
      <c r="AK89" s="418"/>
      <c r="AL89" s="418"/>
      <c r="AM89" s="418"/>
      <c r="AN89" s="421"/>
      <c r="AO89" s="421"/>
      <c r="AP89" s="421"/>
      <c r="AQ89" s="418"/>
      <c r="AR89" s="418"/>
      <c r="AS89" s="418"/>
      <c r="AT89" s="418"/>
      <c r="BC89" s="312"/>
    </row>
    <row r="90" spans="1:55" ht="15.75" customHeight="1">
      <c r="A90" s="415"/>
      <c r="B90" s="509"/>
      <c r="C90" s="424"/>
      <c r="D90" s="418"/>
      <c r="E90" s="418"/>
      <c r="F90" s="419"/>
      <c r="G90" s="420"/>
      <c r="H90" s="421"/>
      <c r="I90" s="425"/>
      <c r="J90" s="424"/>
      <c r="K90" s="418"/>
      <c r="L90" s="418"/>
      <c r="M90" s="418"/>
      <c r="N90" s="418"/>
      <c r="O90" s="418"/>
      <c r="P90" s="418"/>
      <c r="Q90" s="418"/>
      <c r="R90" s="418"/>
      <c r="S90" s="418"/>
      <c r="T90" s="418"/>
      <c r="U90" s="418"/>
      <c r="V90" s="418"/>
      <c r="W90" s="418"/>
      <c r="X90" s="418"/>
      <c r="Y90" s="418"/>
      <c r="Z90" s="418"/>
      <c r="AA90" s="418"/>
      <c r="AB90" s="418"/>
      <c r="AC90" s="418"/>
      <c r="AD90" s="418"/>
      <c r="AE90" s="418"/>
      <c r="AF90" s="418"/>
      <c r="AG90" s="418"/>
      <c r="AH90" s="418"/>
      <c r="AI90" s="418"/>
      <c r="AJ90" s="418"/>
      <c r="AK90" s="418"/>
      <c r="AL90" s="418"/>
      <c r="AM90" s="418"/>
      <c r="AN90" s="421"/>
      <c r="AO90" s="421"/>
      <c r="AP90" s="421"/>
      <c r="AQ90" s="418"/>
      <c r="AR90" s="418"/>
      <c r="AS90" s="418"/>
      <c r="AT90" s="418"/>
      <c r="BC90" s="312"/>
    </row>
    <row r="91" spans="1:55" ht="15.75" customHeight="1">
      <c r="A91" s="415"/>
      <c r="B91" s="509"/>
      <c r="C91" s="424"/>
      <c r="D91" s="418"/>
      <c r="E91" s="418"/>
      <c r="F91" s="419"/>
      <c r="G91" s="420"/>
      <c r="H91" s="421"/>
      <c r="I91" s="425"/>
      <c r="J91" s="424"/>
      <c r="K91" s="418"/>
      <c r="L91" s="418"/>
      <c r="M91" s="418"/>
      <c r="N91" s="418"/>
      <c r="O91" s="418"/>
      <c r="P91" s="418"/>
      <c r="Q91" s="418"/>
      <c r="R91" s="418"/>
      <c r="S91" s="418"/>
      <c r="T91" s="418"/>
      <c r="U91" s="418"/>
      <c r="V91" s="418"/>
      <c r="W91" s="418"/>
      <c r="X91" s="418"/>
      <c r="Y91" s="418"/>
      <c r="Z91" s="418"/>
      <c r="AA91" s="418"/>
      <c r="AB91" s="418"/>
      <c r="AC91" s="418"/>
      <c r="AD91" s="418"/>
      <c r="AE91" s="418"/>
      <c r="AF91" s="418"/>
      <c r="AG91" s="418"/>
      <c r="AH91" s="418"/>
      <c r="AI91" s="418"/>
      <c r="AJ91" s="418"/>
      <c r="AK91" s="418"/>
      <c r="AL91" s="418"/>
      <c r="AM91" s="418"/>
      <c r="AN91" s="421"/>
      <c r="AO91" s="421"/>
      <c r="AP91" s="421"/>
      <c r="AQ91" s="418"/>
      <c r="AR91" s="418"/>
      <c r="AS91" s="418"/>
      <c r="AT91" s="418"/>
      <c r="BC91" s="312"/>
    </row>
    <row r="92" spans="1:55" ht="15.75" customHeight="1">
      <c r="A92" s="415"/>
      <c r="B92" s="509"/>
      <c r="C92" s="424"/>
      <c r="D92" s="418"/>
      <c r="E92" s="418"/>
      <c r="F92" s="419"/>
      <c r="G92" s="420"/>
      <c r="H92" s="421"/>
      <c r="I92" s="425"/>
      <c r="J92" s="424"/>
      <c r="K92" s="418"/>
      <c r="L92" s="418"/>
      <c r="M92" s="418"/>
      <c r="N92" s="418"/>
      <c r="O92" s="418"/>
      <c r="P92" s="418"/>
      <c r="Q92" s="418"/>
      <c r="R92" s="418"/>
      <c r="S92" s="418"/>
      <c r="T92" s="418"/>
      <c r="U92" s="418"/>
      <c r="V92" s="418"/>
      <c r="W92" s="418"/>
      <c r="X92" s="418"/>
      <c r="Y92" s="418"/>
      <c r="Z92" s="418"/>
      <c r="AA92" s="418"/>
      <c r="AB92" s="418"/>
      <c r="AC92" s="418"/>
      <c r="AD92" s="418"/>
      <c r="AE92" s="418"/>
      <c r="AF92" s="418"/>
      <c r="AG92" s="418"/>
      <c r="AH92" s="418"/>
      <c r="AI92" s="418"/>
      <c r="AJ92" s="418"/>
      <c r="AK92" s="418"/>
      <c r="AL92" s="418"/>
      <c r="AM92" s="418"/>
      <c r="AN92" s="421"/>
      <c r="AO92" s="421"/>
      <c r="AP92" s="421"/>
      <c r="AQ92" s="418"/>
      <c r="AR92" s="418"/>
      <c r="AS92" s="418"/>
      <c r="AT92" s="418"/>
      <c r="BC92" s="312"/>
    </row>
    <row r="93" spans="1:55" ht="15.75" customHeight="1">
      <c r="A93" s="415"/>
      <c r="B93" s="509"/>
      <c r="C93" s="424"/>
      <c r="D93" s="418"/>
      <c r="E93" s="418"/>
      <c r="F93" s="419"/>
      <c r="G93" s="420"/>
      <c r="H93" s="421"/>
      <c r="I93" s="425"/>
      <c r="J93" s="424"/>
      <c r="K93" s="418"/>
      <c r="L93" s="418"/>
      <c r="M93" s="418"/>
      <c r="N93" s="418"/>
      <c r="O93" s="418"/>
      <c r="P93" s="418"/>
      <c r="Q93" s="418"/>
      <c r="R93" s="418"/>
      <c r="S93" s="418"/>
      <c r="T93" s="418"/>
      <c r="U93" s="418"/>
      <c r="V93" s="418"/>
      <c r="W93" s="418"/>
      <c r="X93" s="418"/>
      <c r="Y93" s="418"/>
      <c r="Z93" s="418"/>
      <c r="AA93" s="418"/>
      <c r="AB93" s="418"/>
      <c r="AC93" s="418"/>
      <c r="AD93" s="418"/>
      <c r="AE93" s="418"/>
      <c r="AF93" s="418"/>
      <c r="AG93" s="418"/>
      <c r="AH93" s="418"/>
      <c r="AI93" s="418"/>
      <c r="AJ93" s="418"/>
      <c r="AK93" s="418"/>
      <c r="AL93" s="418"/>
      <c r="AM93" s="418"/>
      <c r="AN93" s="421"/>
      <c r="AO93" s="421"/>
      <c r="AP93" s="421"/>
      <c r="AQ93" s="418"/>
      <c r="AR93" s="418"/>
      <c r="AS93" s="418"/>
      <c r="AT93" s="418"/>
      <c r="BC93" s="312"/>
    </row>
    <row r="94" spans="1:55" ht="15.75" customHeight="1">
      <c r="A94" s="415"/>
      <c r="B94" s="509"/>
      <c r="C94" s="424"/>
      <c r="D94" s="418"/>
      <c r="E94" s="418"/>
      <c r="F94" s="419"/>
      <c r="G94" s="420"/>
      <c r="H94" s="421"/>
      <c r="I94" s="425"/>
      <c r="J94" s="424"/>
      <c r="K94" s="418"/>
      <c r="L94" s="418"/>
      <c r="M94" s="418"/>
      <c r="N94" s="418"/>
      <c r="O94" s="418"/>
      <c r="P94" s="418"/>
      <c r="Q94" s="418"/>
      <c r="R94" s="418"/>
      <c r="S94" s="418"/>
      <c r="T94" s="418"/>
      <c r="U94" s="418"/>
      <c r="V94" s="418"/>
      <c r="W94" s="418"/>
      <c r="X94" s="418"/>
      <c r="Y94" s="418"/>
      <c r="Z94" s="418"/>
      <c r="AA94" s="418"/>
      <c r="AB94" s="418"/>
      <c r="AC94" s="418"/>
      <c r="AD94" s="418"/>
      <c r="AE94" s="418"/>
      <c r="AF94" s="418"/>
      <c r="AG94" s="418"/>
      <c r="AH94" s="418"/>
      <c r="AI94" s="418"/>
      <c r="AJ94" s="418"/>
      <c r="AK94" s="418"/>
      <c r="AL94" s="418"/>
      <c r="AM94" s="418"/>
      <c r="AN94" s="421"/>
      <c r="AO94" s="421"/>
      <c r="AP94" s="421"/>
      <c r="AQ94" s="418"/>
      <c r="AR94" s="418"/>
      <c r="AS94" s="418"/>
      <c r="AT94" s="418"/>
      <c r="BC94" s="312"/>
    </row>
    <row r="95" spans="1:55" ht="15.75" customHeight="1">
      <c r="A95" s="415"/>
      <c r="B95" s="509"/>
      <c r="C95" s="424"/>
      <c r="D95" s="418"/>
      <c r="E95" s="418"/>
      <c r="F95" s="419"/>
      <c r="G95" s="420"/>
      <c r="H95" s="421"/>
      <c r="I95" s="425"/>
      <c r="J95" s="424"/>
      <c r="K95" s="418"/>
      <c r="L95" s="418"/>
      <c r="M95" s="418"/>
      <c r="N95" s="418"/>
      <c r="O95" s="418"/>
      <c r="P95" s="418"/>
      <c r="Q95" s="418"/>
      <c r="R95" s="418"/>
      <c r="S95" s="418"/>
      <c r="T95" s="418"/>
      <c r="U95" s="418"/>
      <c r="V95" s="418"/>
      <c r="W95" s="418"/>
      <c r="X95" s="418"/>
      <c r="Y95" s="418"/>
      <c r="Z95" s="418"/>
      <c r="AA95" s="418"/>
      <c r="AB95" s="418"/>
      <c r="AC95" s="418"/>
      <c r="AD95" s="418"/>
      <c r="AE95" s="418"/>
      <c r="AF95" s="418"/>
      <c r="AG95" s="418"/>
      <c r="AH95" s="418"/>
      <c r="AI95" s="418"/>
      <c r="AJ95" s="418"/>
      <c r="AK95" s="418"/>
      <c r="AL95" s="418"/>
      <c r="AM95" s="418"/>
      <c r="AN95" s="421"/>
      <c r="AO95" s="421"/>
      <c r="AP95" s="421"/>
      <c r="AQ95" s="418"/>
      <c r="AR95" s="418"/>
      <c r="AS95" s="418"/>
      <c r="AT95" s="418"/>
      <c r="BC95" s="312"/>
    </row>
    <row r="96" spans="1:55" ht="15.75" customHeight="1">
      <c r="A96" s="415"/>
      <c r="B96" s="509"/>
      <c r="C96" s="424"/>
      <c r="D96" s="418"/>
      <c r="E96" s="418"/>
      <c r="F96" s="419"/>
      <c r="G96" s="420"/>
      <c r="H96" s="421"/>
      <c r="I96" s="425"/>
      <c r="J96" s="424"/>
      <c r="K96" s="418"/>
      <c r="L96" s="418"/>
      <c r="M96" s="418"/>
      <c r="N96" s="418"/>
      <c r="O96" s="418"/>
      <c r="P96" s="418"/>
      <c r="Q96" s="418"/>
      <c r="R96" s="418"/>
      <c r="S96" s="418"/>
      <c r="T96" s="418"/>
      <c r="U96" s="418"/>
      <c r="V96" s="418"/>
      <c r="W96" s="418"/>
      <c r="X96" s="418"/>
      <c r="Y96" s="418"/>
      <c r="Z96" s="418"/>
      <c r="AA96" s="418"/>
      <c r="AB96" s="418"/>
      <c r="AC96" s="418"/>
      <c r="AD96" s="418"/>
      <c r="AE96" s="418"/>
      <c r="AF96" s="418"/>
      <c r="AG96" s="418"/>
      <c r="AH96" s="418"/>
      <c r="AI96" s="418"/>
      <c r="AJ96" s="418"/>
      <c r="AK96" s="418"/>
      <c r="AL96" s="418"/>
      <c r="AM96" s="418"/>
      <c r="AN96" s="421"/>
      <c r="AO96" s="421"/>
      <c r="AP96" s="421"/>
      <c r="AQ96" s="418"/>
      <c r="AR96" s="418"/>
      <c r="AS96" s="418"/>
      <c r="AT96" s="418"/>
      <c r="BC96" s="312"/>
    </row>
    <row r="97" spans="1:55" ht="15.75" customHeight="1">
      <c r="A97" s="415"/>
      <c r="B97" s="509"/>
      <c r="C97" s="424"/>
      <c r="D97" s="418"/>
      <c r="E97" s="418"/>
      <c r="F97" s="419"/>
      <c r="G97" s="420"/>
      <c r="H97" s="421"/>
      <c r="I97" s="425"/>
      <c r="J97" s="424"/>
      <c r="K97" s="418"/>
      <c r="L97" s="418"/>
      <c r="M97" s="418"/>
      <c r="N97" s="418"/>
      <c r="O97" s="418"/>
      <c r="P97" s="418"/>
      <c r="Q97" s="418"/>
      <c r="R97" s="418"/>
      <c r="S97" s="418"/>
      <c r="T97" s="418"/>
      <c r="U97" s="418"/>
      <c r="V97" s="418"/>
      <c r="W97" s="418"/>
      <c r="X97" s="418"/>
      <c r="Y97" s="418"/>
      <c r="Z97" s="418"/>
      <c r="AA97" s="418"/>
      <c r="AB97" s="418"/>
      <c r="AC97" s="418"/>
      <c r="AD97" s="418"/>
      <c r="AE97" s="418"/>
      <c r="AF97" s="418"/>
      <c r="AG97" s="418"/>
      <c r="AH97" s="418"/>
      <c r="AI97" s="418"/>
      <c r="AJ97" s="418"/>
      <c r="AK97" s="418"/>
      <c r="AL97" s="418"/>
      <c r="AM97" s="418"/>
      <c r="AN97" s="421"/>
      <c r="AO97" s="421"/>
      <c r="AP97" s="421"/>
      <c r="AQ97" s="418"/>
      <c r="AR97" s="418"/>
      <c r="AS97" s="418"/>
      <c r="AT97" s="418"/>
      <c r="BC97" s="312"/>
    </row>
    <row r="98" spans="1:55" ht="15.75" customHeight="1">
      <c r="A98" s="415"/>
      <c r="B98" s="509"/>
      <c r="C98" s="424"/>
      <c r="D98" s="418"/>
      <c r="E98" s="418"/>
      <c r="F98" s="419"/>
      <c r="G98" s="420"/>
      <c r="H98" s="421"/>
      <c r="I98" s="425"/>
      <c r="J98" s="424"/>
      <c r="K98" s="418"/>
      <c r="L98" s="418"/>
      <c r="M98" s="418"/>
      <c r="N98" s="418"/>
      <c r="O98" s="418"/>
      <c r="P98" s="418"/>
      <c r="Q98" s="418"/>
      <c r="R98" s="418"/>
      <c r="S98" s="418"/>
      <c r="T98" s="418"/>
      <c r="U98" s="418"/>
      <c r="V98" s="418"/>
      <c r="W98" s="418"/>
      <c r="X98" s="418"/>
      <c r="Y98" s="418"/>
      <c r="Z98" s="418"/>
      <c r="AA98" s="418"/>
      <c r="AB98" s="418"/>
      <c r="AC98" s="418"/>
      <c r="AD98" s="418"/>
      <c r="AE98" s="418"/>
      <c r="AF98" s="418"/>
      <c r="AG98" s="418"/>
      <c r="AH98" s="418"/>
      <c r="AI98" s="418"/>
      <c r="AJ98" s="418"/>
      <c r="AK98" s="418"/>
      <c r="AL98" s="418"/>
      <c r="AM98" s="418"/>
      <c r="AN98" s="421"/>
      <c r="AO98" s="421"/>
      <c r="AP98" s="421"/>
      <c r="AQ98" s="418"/>
      <c r="AR98" s="418"/>
      <c r="AS98" s="418"/>
      <c r="AT98" s="418"/>
      <c r="BC98" s="312"/>
    </row>
    <row r="99" spans="1:55" ht="15.75" customHeight="1">
      <c r="A99" s="415"/>
      <c r="B99" s="509"/>
      <c r="C99" s="424"/>
      <c r="D99" s="418"/>
      <c r="E99" s="418"/>
      <c r="F99" s="419"/>
      <c r="G99" s="420"/>
      <c r="H99" s="421"/>
      <c r="I99" s="425"/>
      <c r="J99" s="424"/>
      <c r="K99" s="418"/>
      <c r="L99" s="418"/>
      <c r="M99" s="418"/>
      <c r="N99" s="418"/>
      <c r="O99" s="418"/>
      <c r="P99" s="418"/>
      <c r="Q99" s="418"/>
      <c r="R99" s="418"/>
      <c r="S99" s="418"/>
      <c r="T99" s="418"/>
      <c r="U99" s="418"/>
      <c r="V99" s="418"/>
      <c r="W99" s="418"/>
      <c r="X99" s="418"/>
      <c r="Y99" s="418"/>
      <c r="Z99" s="418"/>
      <c r="AA99" s="418"/>
      <c r="AB99" s="418"/>
      <c r="AC99" s="418"/>
      <c r="AD99" s="418"/>
      <c r="AE99" s="418"/>
      <c r="AF99" s="418"/>
      <c r="AG99" s="418"/>
      <c r="AH99" s="418"/>
      <c r="AI99" s="418"/>
      <c r="AJ99" s="418"/>
      <c r="AK99" s="418"/>
      <c r="AL99" s="418"/>
      <c r="AM99" s="418"/>
      <c r="AN99" s="421"/>
      <c r="AO99" s="421"/>
      <c r="AP99" s="421"/>
      <c r="AQ99" s="418"/>
      <c r="AR99" s="418"/>
      <c r="AS99" s="418"/>
      <c r="AT99" s="418"/>
      <c r="BC99" s="312"/>
    </row>
    <row r="100" spans="1:55" ht="15.75" customHeight="1">
      <c r="A100" s="415"/>
      <c r="B100" s="509"/>
      <c r="C100" s="424"/>
      <c r="D100" s="418"/>
      <c r="E100" s="418"/>
      <c r="F100" s="419"/>
      <c r="G100" s="420"/>
      <c r="H100" s="421"/>
      <c r="I100" s="425"/>
      <c r="J100" s="424"/>
      <c r="K100" s="418"/>
      <c r="L100" s="418"/>
      <c r="M100" s="418"/>
      <c r="N100" s="418"/>
      <c r="O100" s="418"/>
      <c r="P100" s="418"/>
      <c r="Q100" s="418"/>
      <c r="R100" s="418"/>
      <c r="S100" s="418"/>
      <c r="T100" s="418"/>
      <c r="U100" s="418"/>
      <c r="V100" s="418"/>
      <c r="W100" s="418"/>
      <c r="X100" s="418"/>
      <c r="Y100" s="418"/>
      <c r="Z100" s="418"/>
      <c r="AA100" s="418"/>
      <c r="AB100" s="418"/>
      <c r="AC100" s="418"/>
      <c r="AD100" s="418"/>
      <c r="AE100" s="418"/>
      <c r="AF100" s="418"/>
      <c r="AG100" s="418"/>
      <c r="AH100" s="418"/>
      <c r="AI100" s="418"/>
      <c r="AJ100" s="418"/>
      <c r="AK100" s="418"/>
      <c r="AL100" s="418"/>
      <c r="AM100" s="418"/>
      <c r="AN100" s="421"/>
      <c r="AO100" s="421"/>
      <c r="AP100" s="421"/>
      <c r="AQ100" s="418"/>
      <c r="AR100" s="418"/>
      <c r="AS100" s="418"/>
      <c r="AT100" s="418"/>
      <c r="BC100" s="312"/>
    </row>
    <row r="101" spans="1:55" ht="15.75" customHeight="1">
      <c r="A101" s="415"/>
      <c r="B101" s="509"/>
      <c r="C101" s="424"/>
      <c r="D101" s="418"/>
      <c r="E101" s="418"/>
      <c r="F101" s="419"/>
      <c r="G101" s="420"/>
      <c r="H101" s="421"/>
      <c r="I101" s="425"/>
      <c r="J101" s="424"/>
      <c r="K101" s="418"/>
      <c r="L101" s="418"/>
      <c r="M101" s="418"/>
      <c r="N101" s="418"/>
      <c r="O101" s="418"/>
      <c r="P101" s="418"/>
      <c r="Q101" s="418"/>
      <c r="R101" s="418"/>
      <c r="S101" s="418"/>
      <c r="T101" s="418"/>
      <c r="U101" s="418"/>
      <c r="V101" s="418"/>
      <c r="W101" s="418"/>
      <c r="X101" s="418"/>
      <c r="Y101" s="418"/>
      <c r="Z101" s="418"/>
      <c r="AA101" s="418"/>
      <c r="AB101" s="418"/>
      <c r="AC101" s="418"/>
      <c r="AD101" s="418"/>
      <c r="AE101" s="418"/>
      <c r="AF101" s="418"/>
      <c r="AG101" s="418"/>
      <c r="AH101" s="418"/>
      <c r="AI101" s="418"/>
      <c r="AJ101" s="418"/>
      <c r="AK101" s="418"/>
      <c r="AL101" s="418"/>
      <c r="AM101" s="418"/>
      <c r="AN101" s="421"/>
      <c r="AO101" s="421"/>
      <c r="AP101" s="421"/>
      <c r="AQ101" s="418"/>
      <c r="AR101" s="418"/>
      <c r="AS101" s="418"/>
      <c r="AT101" s="418"/>
      <c r="BC101" s="312"/>
    </row>
    <row r="102" spans="1:55" ht="15.75" customHeight="1">
      <c r="A102" s="415"/>
      <c r="B102" s="509"/>
      <c r="C102" s="424"/>
      <c r="D102" s="418"/>
      <c r="E102" s="418"/>
      <c r="F102" s="419"/>
      <c r="G102" s="420"/>
      <c r="H102" s="421"/>
      <c r="I102" s="425"/>
      <c r="J102" s="424"/>
      <c r="K102" s="418"/>
      <c r="L102" s="418"/>
      <c r="M102" s="418"/>
      <c r="N102" s="418"/>
      <c r="O102" s="418"/>
      <c r="P102" s="418"/>
      <c r="Q102" s="418"/>
      <c r="R102" s="418"/>
      <c r="S102" s="418"/>
      <c r="T102" s="418"/>
      <c r="U102" s="418"/>
      <c r="V102" s="418"/>
      <c r="W102" s="418"/>
      <c r="X102" s="418"/>
      <c r="Y102" s="418"/>
      <c r="Z102" s="418"/>
      <c r="AA102" s="418"/>
      <c r="AB102" s="418"/>
      <c r="AC102" s="418"/>
      <c r="AD102" s="418"/>
      <c r="AE102" s="418"/>
      <c r="AF102" s="418"/>
      <c r="AG102" s="418"/>
      <c r="AH102" s="418"/>
      <c r="AI102" s="418"/>
      <c r="AJ102" s="418"/>
      <c r="AK102" s="418"/>
      <c r="AL102" s="418"/>
      <c r="AM102" s="418"/>
      <c r="AN102" s="421"/>
      <c r="AO102" s="421"/>
      <c r="AP102" s="421"/>
      <c r="AQ102" s="418"/>
      <c r="AR102" s="418"/>
      <c r="AS102" s="418"/>
      <c r="AT102" s="418"/>
      <c r="BC102" s="312"/>
    </row>
    <row r="103" spans="1:55" ht="15.75" customHeight="1">
      <c r="A103" s="415"/>
      <c r="B103" s="509"/>
      <c r="C103" s="424"/>
      <c r="D103" s="418"/>
      <c r="E103" s="418"/>
      <c r="F103" s="419"/>
      <c r="G103" s="420"/>
      <c r="H103" s="421"/>
      <c r="I103" s="425"/>
      <c r="J103" s="424"/>
      <c r="K103" s="418"/>
      <c r="L103" s="418"/>
      <c r="M103" s="418"/>
      <c r="N103" s="418"/>
      <c r="O103" s="418"/>
      <c r="P103" s="418"/>
      <c r="Q103" s="418"/>
      <c r="R103" s="418"/>
      <c r="S103" s="418"/>
      <c r="T103" s="418"/>
      <c r="U103" s="418"/>
      <c r="V103" s="418"/>
      <c r="W103" s="418"/>
      <c r="X103" s="418"/>
      <c r="Y103" s="418"/>
      <c r="Z103" s="418"/>
      <c r="AA103" s="418"/>
      <c r="AB103" s="418"/>
      <c r="AC103" s="418"/>
      <c r="AD103" s="418"/>
      <c r="AE103" s="418"/>
      <c r="AF103" s="418"/>
      <c r="AG103" s="418"/>
      <c r="AH103" s="418"/>
      <c r="AI103" s="418"/>
      <c r="AJ103" s="418"/>
      <c r="AK103" s="418"/>
      <c r="AL103" s="418"/>
      <c r="AM103" s="418"/>
      <c r="AN103" s="421"/>
      <c r="AO103" s="421"/>
      <c r="AP103" s="421"/>
      <c r="AQ103" s="418"/>
      <c r="AR103" s="418"/>
      <c r="AS103" s="418"/>
      <c r="AT103" s="418"/>
      <c r="BC103" s="312"/>
    </row>
    <row r="104" spans="1:55" ht="15.75" customHeight="1">
      <c r="A104" s="415"/>
      <c r="B104" s="509"/>
      <c r="C104" s="424"/>
      <c r="D104" s="418"/>
      <c r="E104" s="418"/>
      <c r="F104" s="419"/>
      <c r="G104" s="420"/>
      <c r="H104" s="421"/>
      <c r="I104" s="425"/>
      <c r="J104" s="424"/>
      <c r="K104" s="418"/>
      <c r="L104" s="418"/>
      <c r="M104" s="418"/>
      <c r="N104" s="418"/>
      <c r="O104" s="418"/>
      <c r="P104" s="418"/>
      <c r="Q104" s="418"/>
      <c r="R104" s="418"/>
      <c r="S104" s="418"/>
      <c r="T104" s="418"/>
      <c r="U104" s="418"/>
      <c r="V104" s="418"/>
      <c r="W104" s="418"/>
      <c r="X104" s="418"/>
      <c r="Y104" s="418"/>
      <c r="Z104" s="418"/>
      <c r="AA104" s="418"/>
      <c r="AB104" s="418"/>
      <c r="AC104" s="418"/>
      <c r="AD104" s="418"/>
      <c r="AE104" s="418"/>
      <c r="AF104" s="418"/>
      <c r="AG104" s="418"/>
      <c r="AH104" s="418"/>
      <c r="AI104" s="418"/>
      <c r="AJ104" s="418"/>
      <c r="AK104" s="418"/>
      <c r="AL104" s="418"/>
      <c r="AM104" s="418"/>
      <c r="AN104" s="421"/>
      <c r="AO104" s="421"/>
      <c r="AP104" s="421"/>
      <c r="AQ104" s="418"/>
      <c r="AR104" s="418"/>
      <c r="AS104" s="418"/>
      <c r="AT104" s="418"/>
      <c r="BC104" s="312"/>
    </row>
    <row r="105" spans="1:55" ht="15.75" customHeight="1">
      <c r="A105" s="421"/>
      <c r="B105" s="419"/>
      <c r="C105" s="424"/>
      <c r="D105" s="425"/>
      <c r="E105" s="425"/>
      <c r="F105" s="425"/>
      <c r="G105" s="421"/>
      <c r="H105" s="421"/>
      <c r="I105" s="421"/>
      <c r="J105" s="492"/>
      <c r="K105" s="418"/>
      <c r="L105" s="421"/>
      <c r="M105" s="421"/>
      <c r="N105" s="421"/>
      <c r="O105" s="421"/>
      <c r="P105" s="421"/>
      <c r="Q105" s="421"/>
      <c r="R105" s="421"/>
      <c r="S105" s="421"/>
      <c r="T105" s="421"/>
      <c r="U105" s="421"/>
      <c r="V105" s="421"/>
      <c r="W105" s="421"/>
      <c r="X105" s="421"/>
      <c r="Y105" s="421"/>
      <c r="Z105" s="421"/>
      <c r="AA105" s="421"/>
      <c r="AB105" s="421"/>
      <c r="AC105" s="421"/>
      <c r="AD105" s="421"/>
      <c r="AE105" s="421"/>
      <c r="AF105" s="421"/>
      <c r="AG105" s="421"/>
      <c r="AH105" s="421"/>
      <c r="AI105" s="421"/>
      <c r="AJ105" s="421"/>
      <c r="AK105" s="421"/>
      <c r="AL105" s="421"/>
      <c r="AM105" s="421"/>
      <c r="AN105" s="421"/>
      <c r="AO105" s="421"/>
      <c r="AP105" s="421"/>
      <c r="AQ105" s="418"/>
      <c r="AR105" s="418"/>
      <c r="AS105" s="418"/>
      <c r="AT105" s="418"/>
      <c r="BC105" s="312"/>
    </row>
    <row r="106" spans="1:55" ht="15.75" customHeight="1">
      <c r="A106" s="421"/>
      <c r="B106" s="419"/>
      <c r="C106" s="424"/>
      <c r="D106" s="425"/>
      <c r="E106" s="425"/>
      <c r="F106" s="425"/>
      <c r="G106" s="421"/>
      <c r="H106" s="421"/>
      <c r="I106" s="421"/>
      <c r="J106" s="492"/>
      <c r="K106" s="418"/>
      <c r="L106" s="421"/>
      <c r="M106" s="421"/>
      <c r="N106" s="421"/>
      <c r="O106" s="421"/>
      <c r="P106" s="421"/>
      <c r="Q106" s="421"/>
      <c r="R106" s="421"/>
      <c r="S106" s="421"/>
      <c r="T106" s="421"/>
      <c r="U106" s="421"/>
      <c r="V106" s="421"/>
      <c r="W106" s="421"/>
      <c r="X106" s="421"/>
      <c r="Y106" s="421"/>
      <c r="Z106" s="421"/>
      <c r="AA106" s="421"/>
      <c r="AB106" s="421"/>
      <c r="AC106" s="421"/>
      <c r="AD106" s="421"/>
      <c r="AE106" s="421"/>
      <c r="AF106" s="421"/>
      <c r="AG106" s="421"/>
      <c r="AH106" s="421"/>
      <c r="AI106" s="421"/>
      <c r="AJ106" s="421"/>
      <c r="AK106" s="421"/>
      <c r="AL106" s="421"/>
      <c r="AM106" s="421"/>
      <c r="AN106" s="421"/>
      <c r="AO106" s="421"/>
      <c r="AP106" s="421"/>
      <c r="AQ106" s="418"/>
      <c r="AR106" s="418"/>
      <c r="AS106" s="418"/>
      <c r="AT106" s="418"/>
      <c r="BC106" s="312"/>
    </row>
    <row r="107" spans="1:55" ht="15.75" customHeight="1">
      <c r="A107" s="421"/>
      <c r="B107" s="419"/>
      <c r="C107" s="424"/>
      <c r="D107" s="425"/>
      <c r="E107" s="425"/>
      <c r="F107" s="425"/>
      <c r="G107" s="421"/>
      <c r="H107" s="421"/>
      <c r="I107" s="421"/>
      <c r="J107" s="492"/>
      <c r="K107" s="418"/>
      <c r="L107" s="421"/>
      <c r="M107" s="421"/>
      <c r="N107" s="421"/>
      <c r="O107" s="421"/>
      <c r="P107" s="421"/>
      <c r="Q107" s="421"/>
      <c r="R107" s="421"/>
      <c r="S107" s="421"/>
      <c r="T107" s="421"/>
      <c r="U107" s="421"/>
      <c r="V107" s="421"/>
      <c r="W107" s="421"/>
      <c r="X107" s="421"/>
      <c r="Y107" s="421"/>
      <c r="Z107" s="421"/>
      <c r="AA107" s="421"/>
      <c r="AB107" s="421"/>
      <c r="AC107" s="421"/>
      <c r="AD107" s="421"/>
      <c r="AE107" s="421"/>
      <c r="AF107" s="421"/>
      <c r="AG107" s="421"/>
      <c r="AH107" s="421"/>
      <c r="AI107" s="421"/>
      <c r="AJ107" s="421"/>
      <c r="AK107" s="421"/>
      <c r="AL107" s="421"/>
      <c r="AM107" s="421"/>
      <c r="AN107" s="421"/>
      <c r="AO107" s="421"/>
      <c r="AP107" s="421"/>
      <c r="AQ107" s="418"/>
      <c r="AR107" s="418"/>
      <c r="AS107" s="418"/>
      <c r="AT107" s="418"/>
      <c r="BC107" s="312"/>
    </row>
    <row r="108" spans="1:55" ht="15.75" customHeight="1">
      <c r="A108" s="421"/>
      <c r="B108" s="419"/>
      <c r="C108" s="424"/>
      <c r="D108" s="425"/>
      <c r="E108" s="425"/>
      <c r="F108" s="425"/>
      <c r="G108" s="421"/>
      <c r="H108" s="421"/>
      <c r="I108" s="421"/>
      <c r="J108" s="492"/>
      <c r="K108" s="418"/>
      <c r="L108" s="421"/>
      <c r="M108" s="421"/>
      <c r="N108" s="421"/>
      <c r="O108" s="421"/>
      <c r="P108" s="421"/>
      <c r="Q108" s="421"/>
      <c r="R108" s="421"/>
      <c r="S108" s="421"/>
      <c r="T108" s="421"/>
      <c r="U108" s="421"/>
      <c r="V108" s="421"/>
      <c r="W108" s="421"/>
      <c r="X108" s="421"/>
      <c r="Y108" s="421"/>
      <c r="Z108" s="421"/>
      <c r="AA108" s="421"/>
      <c r="AB108" s="421"/>
      <c r="AC108" s="421"/>
      <c r="AD108" s="421"/>
      <c r="AE108" s="421"/>
      <c r="AF108" s="421"/>
      <c r="AG108" s="421"/>
      <c r="AH108" s="421"/>
      <c r="AI108" s="421"/>
      <c r="AJ108" s="421"/>
      <c r="AK108" s="421"/>
      <c r="AL108" s="421"/>
      <c r="AM108" s="421"/>
      <c r="AN108" s="421"/>
      <c r="AO108" s="421"/>
      <c r="AP108" s="421"/>
      <c r="AQ108" s="418"/>
      <c r="AR108" s="418"/>
      <c r="AS108" s="418"/>
      <c r="AT108" s="418"/>
      <c r="BC108" s="312"/>
    </row>
    <row r="109" spans="1:55" ht="15.75" customHeight="1">
      <c r="A109" s="421"/>
      <c r="B109" s="419"/>
      <c r="C109" s="424"/>
      <c r="D109" s="425"/>
      <c r="E109" s="425"/>
      <c r="F109" s="425"/>
      <c r="G109" s="421"/>
      <c r="H109" s="421"/>
      <c r="I109" s="421"/>
      <c r="J109" s="492"/>
      <c r="K109" s="418"/>
      <c r="L109" s="421"/>
      <c r="M109" s="421"/>
      <c r="N109" s="421"/>
      <c r="O109" s="421"/>
      <c r="P109" s="421"/>
      <c r="Q109" s="421"/>
      <c r="R109" s="421"/>
      <c r="S109" s="421"/>
      <c r="T109" s="421"/>
      <c r="U109" s="421"/>
      <c r="V109" s="421"/>
      <c r="W109" s="421"/>
      <c r="X109" s="421"/>
      <c r="Y109" s="421"/>
      <c r="Z109" s="421"/>
      <c r="AA109" s="421"/>
      <c r="AB109" s="421"/>
      <c r="AC109" s="421"/>
      <c r="AD109" s="421"/>
      <c r="AE109" s="421"/>
      <c r="AF109" s="421"/>
      <c r="AG109" s="421"/>
      <c r="AH109" s="421"/>
      <c r="AI109" s="421"/>
      <c r="AJ109" s="421"/>
      <c r="AK109" s="421"/>
      <c r="AL109" s="421"/>
      <c r="AM109" s="421"/>
      <c r="AN109" s="421"/>
      <c r="AO109" s="421"/>
      <c r="AP109" s="421"/>
      <c r="AQ109" s="418"/>
      <c r="AR109" s="418"/>
      <c r="AS109" s="418"/>
      <c r="AT109" s="418"/>
      <c r="BC109" s="312"/>
    </row>
    <row r="110" spans="1:55" ht="15.75" customHeight="1">
      <c r="A110" s="467"/>
      <c r="B110" s="419"/>
      <c r="C110" s="424"/>
      <c r="D110" s="515"/>
      <c r="E110" s="515"/>
      <c r="F110" s="515"/>
      <c r="G110" s="467"/>
      <c r="H110" s="467"/>
      <c r="I110" s="467"/>
      <c r="J110" s="469"/>
      <c r="K110" s="312"/>
      <c r="L110" s="467"/>
      <c r="M110" s="467"/>
      <c r="N110" s="421"/>
      <c r="O110" s="421"/>
      <c r="P110" s="421"/>
      <c r="Q110" s="467"/>
      <c r="R110" s="467"/>
      <c r="S110" s="467"/>
      <c r="T110" s="467"/>
      <c r="U110" s="467"/>
      <c r="V110" s="467"/>
      <c r="W110" s="467"/>
      <c r="X110" s="467"/>
      <c r="Y110" s="467"/>
      <c r="Z110" s="467"/>
      <c r="AA110" s="467"/>
      <c r="AB110" s="467"/>
      <c r="AC110" s="467"/>
      <c r="AD110" s="467"/>
      <c r="AE110" s="467"/>
      <c r="AF110" s="467"/>
      <c r="AG110" s="467"/>
      <c r="AH110" s="467"/>
      <c r="AI110" s="467"/>
      <c r="AJ110" s="467"/>
      <c r="AK110" s="467"/>
      <c r="AL110" s="467"/>
      <c r="AM110" s="467"/>
      <c r="AN110" s="467"/>
      <c r="AO110" s="467"/>
      <c r="AP110" s="467"/>
      <c r="BC110" s="312"/>
    </row>
    <row r="111" spans="1:55" ht="15.75" customHeight="1">
      <c r="A111" s="467"/>
      <c r="B111" s="419"/>
      <c r="C111" s="424"/>
      <c r="D111" s="515"/>
      <c r="E111" s="515"/>
      <c r="F111" s="515"/>
      <c r="G111" s="467"/>
      <c r="H111" s="467"/>
      <c r="I111" s="467"/>
      <c r="J111" s="469"/>
      <c r="K111" s="312"/>
      <c r="L111" s="467"/>
      <c r="M111" s="467"/>
      <c r="N111" s="421"/>
      <c r="O111" s="421"/>
      <c r="P111" s="421"/>
      <c r="Q111" s="467"/>
      <c r="R111" s="467"/>
      <c r="S111" s="467"/>
      <c r="T111" s="467"/>
      <c r="U111" s="467"/>
      <c r="V111" s="467"/>
      <c r="W111" s="467"/>
      <c r="X111" s="467"/>
      <c r="Y111" s="467"/>
      <c r="Z111" s="467"/>
      <c r="AA111" s="467"/>
      <c r="AB111" s="467"/>
      <c r="AC111" s="467"/>
      <c r="AD111" s="467"/>
      <c r="AE111" s="467"/>
      <c r="AF111" s="467"/>
      <c r="AG111" s="467"/>
      <c r="AH111" s="467"/>
      <c r="AI111" s="467"/>
      <c r="AJ111" s="467"/>
      <c r="AK111" s="467"/>
      <c r="AL111" s="467"/>
      <c r="AM111" s="467"/>
      <c r="AN111" s="467"/>
      <c r="AO111" s="467"/>
      <c r="AP111" s="467"/>
      <c r="BC111" s="312"/>
    </row>
    <row r="112" spans="1:55" ht="15.75" customHeight="1">
      <c r="A112" s="467"/>
      <c r="B112" s="419"/>
      <c r="C112" s="424"/>
      <c r="D112" s="515"/>
      <c r="E112" s="515"/>
      <c r="F112" s="515"/>
      <c r="G112" s="467"/>
      <c r="H112" s="467"/>
      <c r="I112" s="467"/>
      <c r="J112" s="469"/>
      <c r="K112" s="312"/>
      <c r="L112" s="467"/>
      <c r="M112" s="467"/>
      <c r="N112" s="421"/>
      <c r="O112" s="421"/>
      <c r="P112" s="421"/>
      <c r="Q112" s="467"/>
      <c r="R112" s="467"/>
      <c r="S112" s="467"/>
      <c r="T112" s="467"/>
      <c r="U112" s="467"/>
      <c r="V112" s="467"/>
      <c r="W112" s="467"/>
      <c r="X112" s="467"/>
      <c r="Y112" s="467"/>
      <c r="Z112" s="467"/>
      <c r="AA112" s="467"/>
      <c r="AB112" s="467"/>
      <c r="AC112" s="467"/>
      <c r="AD112" s="467"/>
      <c r="AE112" s="467"/>
      <c r="AF112" s="467"/>
      <c r="AG112" s="467"/>
      <c r="AH112" s="467"/>
      <c r="AI112" s="467"/>
      <c r="AJ112" s="467"/>
      <c r="AK112" s="467"/>
      <c r="AL112" s="467"/>
      <c r="AM112" s="467"/>
      <c r="AN112" s="467"/>
      <c r="AO112" s="467"/>
      <c r="AP112" s="467"/>
      <c r="BC112" s="312"/>
    </row>
    <row r="113" spans="1:55" ht="15.75" customHeight="1">
      <c r="A113" s="467"/>
      <c r="B113" s="419"/>
      <c r="C113" s="424"/>
      <c r="D113" s="515"/>
      <c r="E113" s="515"/>
      <c r="F113" s="515"/>
      <c r="G113" s="467"/>
      <c r="H113" s="467"/>
      <c r="I113" s="467"/>
      <c r="J113" s="469"/>
      <c r="K113" s="312"/>
      <c r="L113" s="467"/>
      <c r="M113" s="467"/>
      <c r="N113" s="421"/>
      <c r="O113" s="421"/>
      <c r="P113" s="421"/>
      <c r="Q113" s="467"/>
      <c r="R113" s="467"/>
      <c r="S113" s="467"/>
      <c r="T113" s="467"/>
      <c r="U113" s="467"/>
      <c r="V113" s="467"/>
      <c r="W113" s="467"/>
      <c r="X113" s="467"/>
      <c r="Y113" s="467"/>
      <c r="Z113" s="467"/>
      <c r="AA113" s="467"/>
      <c r="AB113" s="467"/>
      <c r="AC113" s="467"/>
      <c r="AD113" s="467"/>
      <c r="AE113" s="467"/>
      <c r="AF113" s="467"/>
      <c r="AG113" s="467"/>
      <c r="AH113" s="467"/>
      <c r="AI113" s="467"/>
      <c r="AJ113" s="467"/>
      <c r="AK113" s="467"/>
      <c r="AL113" s="467"/>
      <c r="AM113" s="467"/>
      <c r="AN113" s="467"/>
      <c r="AO113" s="467"/>
      <c r="AP113" s="467"/>
      <c r="BC113" s="312"/>
    </row>
    <row r="114" spans="1:55" ht="15.75" customHeight="1">
      <c r="A114" s="467"/>
      <c r="B114" s="419"/>
      <c r="C114" s="424"/>
      <c r="D114" s="515"/>
      <c r="E114" s="515"/>
      <c r="F114" s="515"/>
      <c r="G114" s="467"/>
      <c r="H114" s="467"/>
      <c r="I114" s="467"/>
      <c r="J114" s="469"/>
      <c r="K114" s="312"/>
      <c r="L114" s="467"/>
      <c r="M114" s="467"/>
      <c r="N114" s="421"/>
      <c r="O114" s="421"/>
      <c r="P114" s="421"/>
      <c r="Q114" s="467"/>
      <c r="R114" s="467"/>
      <c r="S114" s="467"/>
      <c r="T114" s="467"/>
      <c r="U114" s="467"/>
      <c r="V114" s="467"/>
      <c r="W114" s="467"/>
      <c r="X114" s="467"/>
      <c r="Y114" s="467"/>
      <c r="Z114" s="467"/>
      <c r="AA114" s="467"/>
      <c r="AB114" s="467"/>
      <c r="AC114" s="467"/>
      <c r="AD114" s="467"/>
      <c r="AE114" s="467"/>
      <c r="AF114" s="467"/>
      <c r="AG114" s="467"/>
      <c r="AH114" s="467"/>
      <c r="AI114" s="467"/>
      <c r="AJ114" s="467"/>
      <c r="AK114" s="467"/>
      <c r="AL114" s="467"/>
      <c r="AM114" s="467"/>
      <c r="AN114" s="467"/>
      <c r="AO114" s="467"/>
      <c r="AP114" s="467"/>
      <c r="BC114" s="312"/>
    </row>
    <row r="115" spans="1:55" ht="15.75" customHeight="1">
      <c r="A115" s="467"/>
      <c r="B115" s="419"/>
      <c r="C115" s="424"/>
      <c r="D115" s="515"/>
      <c r="E115" s="515"/>
      <c r="F115" s="515"/>
      <c r="G115" s="467"/>
      <c r="H115" s="467"/>
      <c r="I115" s="467"/>
      <c r="J115" s="469"/>
      <c r="K115" s="312"/>
      <c r="L115" s="467"/>
      <c r="M115" s="467"/>
      <c r="N115" s="421"/>
      <c r="O115" s="421"/>
      <c r="P115" s="421"/>
      <c r="Q115" s="467"/>
      <c r="R115" s="467"/>
      <c r="S115" s="467"/>
      <c r="T115" s="467"/>
      <c r="U115" s="467"/>
      <c r="V115" s="467"/>
      <c r="W115" s="467"/>
      <c r="X115" s="467"/>
      <c r="Y115" s="467"/>
      <c r="Z115" s="467"/>
      <c r="AA115" s="467"/>
      <c r="AB115" s="467"/>
      <c r="AC115" s="467"/>
      <c r="AD115" s="467"/>
      <c r="AE115" s="467"/>
      <c r="AF115" s="467"/>
      <c r="AG115" s="467"/>
      <c r="AH115" s="467"/>
      <c r="AI115" s="467"/>
      <c r="AJ115" s="467"/>
      <c r="AK115" s="467"/>
      <c r="AL115" s="467"/>
      <c r="AM115" s="467"/>
      <c r="AN115" s="467"/>
      <c r="AO115" s="467"/>
      <c r="AP115" s="467"/>
      <c r="BC115" s="312"/>
    </row>
    <row r="116" spans="1:55" ht="15.75" customHeight="1">
      <c r="A116" s="467"/>
      <c r="B116" s="419"/>
      <c r="C116" s="424"/>
      <c r="D116" s="515"/>
      <c r="E116" s="515"/>
      <c r="F116" s="515"/>
      <c r="G116" s="467"/>
      <c r="H116" s="467"/>
      <c r="I116" s="467"/>
      <c r="J116" s="469"/>
      <c r="K116" s="312"/>
      <c r="L116" s="467"/>
      <c r="M116" s="467"/>
      <c r="N116" s="421"/>
      <c r="O116" s="421"/>
      <c r="P116" s="421"/>
      <c r="Q116" s="467"/>
      <c r="R116" s="467"/>
      <c r="S116" s="467"/>
      <c r="T116" s="467"/>
      <c r="U116" s="467"/>
      <c r="V116" s="467"/>
      <c r="W116" s="467"/>
      <c r="X116" s="467"/>
      <c r="Y116" s="467"/>
      <c r="Z116" s="467"/>
      <c r="AA116" s="467"/>
      <c r="AB116" s="467"/>
      <c r="AC116" s="467"/>
      <c r="AD116" s="467"/>
      <c r="AE116" s="467"/>
      <c r="AF116" s="467"/>
      <c r="AG116" s="467"/>
      <c r="AH116" s="467"/>
      <c r="AI116" s="467"/>
      <c r="AJ116" s="467"/>
      <c r="AK116" s="467"/>
      <c r="AL116" s="467"/>
      <c r="AM116" s="467"/>
      <c r="AN116" s="467"/>
      <c r="AO116" s="467"/>
      <c r="AP116" s="467"/>
      <c r="BC116" s="312"/>
    </row>
    <row r="117" spans="1:55" ht="15.75" customHeight="1">
      <c r="A117" s="467"/>
      <c r="B117" s="419"/>
      <c r="C117" s="424"/>
      <c r="D117" s="515"/>
      <c r="E117" s="515"/>
      <c r="F117" s="515"/>
      <c r="G117" s="467"/>
      <c r="H117" s="467"/>
      <c r="I117" s="467"/>
      <c r="J117" s="469"/>
      <c r="K117" s="312"/>
      <c r="L117" s="467"/>
      <c r="M117" s="467"/>
      <c r="N117" s="421"/>
      <c r="O117" s="421"/>
      <c r="P117" s="421"/>
      <c r="Q117" s="467"/>
      <c r="R117" s="467"/>
      <c r="S117" s="467"/>
      <c r="T117" s="467"/>
      <c r="U117" s="467"/>
      <c r="V117" s="467"/>
      <c r="W117" s="467"/>
      <c r="X117" s="467"/>
      <c r="Y117" s="467"/>
      <c r="Z117" s="467"/>
      <c r="AA117" s="467"/>
      <c r="AB117" s="467"/>
      <c r="AC117" s="467"/>
      <c r="AD117" s="467"/>
      <c r="AE117" s="467"/>
      <c r="AF117" s="467"/>
      <c r="AG117" s="467"/>
      <c r="AH117" s="467"/>
      <c r="AI117" s="467"/>
      <c r="AJ117" s="467"/>
      <c r="AK117" s="467"/>
      <c r="AL117" s="467"/>
      <c r="AM117" s="467"/>
      <c r="AN117" s="467"/>
      <c r="AO117" s="467"/>
      <c r="AP117" s="467"/>
      <c r="BC117" s="312"/>
    </row>
    <row r="118" spans="1:55" ht="15.75" customHeight="1">
      <c r="A118" s="467"/>
      <c r="B118" s="419"/>
      <c r="C118" s="424"/>
      <c r="D118" s="515"/>
      <c r="E118" s="515"/>
      <c r="F118" s="515"/>
      <c r="G118" s="467"/>
      <c r="H118" s="467"/>
      <c r="I118" s="467"/>
      <c r="J118" s="469"/>
      <c r="K118" s="312"/>
      <c r="L118" s="467"/>
      <c r="M118" s="467"/>
      <c r="N118" s="421"/>
      <c r="O118" s="421"/>
      <c r="P118" s="421"/>
      <c r="Q118" s="467"/>
      <c r="R118" s="467"/>
      <c r="S118" s="467"/>
      <c r="T118" s="467"/>
      <c r="U118" s="467"/>
      <c r="V118" s="467"/>
      <c r="W118" s="467"/>
      <c r="X118" s="467"/>
      <c r="Y118" s="467"/>
      <c r="Z118" s="467"/>
      <c r="AA118" s="467"/>
      <c r="AB118" s="467"/>
      <c r="AC118" s="467"/>
      <c r="AD118" s="467"/>
      <c r="AE118" s="467"/>
      <c r="AF118" s="467"/>
      <c r="AG118" s="467"/>
      <c r="AH118" s="467"/>
      <c r="AI118" s="467"/>
      <c r="AJ118" s="467"/>
      <c r="AK118" s="467"/>
      <c r="AL118" s="467"/>
      <c r="AM118" s="467"/>
      <c r="AN118" s="467"/>
      <c r="AO118" s="467"/>
      <c r="AP118" s="467"/>
      <c r="BC118" s="312"/>
    </row>
    <row r="119" spans="1:55" ht="15.75" customHeight="1">
      <c r="A119" s="467"/>
      <c r="B119" s="419"/>
      <c r="C119" s="424"/>
      <c r="D119" s="515"/>
      <c r="E119" s="515"/>
      <c r="F119" s="515"/>
      <c r="G119" s="467"/>
      <c r="H119" s="467"/>
      <c r="I119" s="467"/>
      <c r="J119" s="469"/>
      <c r="K119" s="312"/>
      <c r="L119" s="467"/>
      <c r="M119" s="467"/>
      <c r="N119" s="421"/>
      <c r="O119" s="421"/>
      <c r="P119" s="421"/>
      <c r="Q119" s="467"/>
      <c r="R119" s="467"/>
      <c r="S119" s="467"/>
      <c r="T119" s="467"/>
      <c r="U119" s="467"/>
      <c r="V119" s="467"/>
      <c r="W119" s="467"/>
      <c r="X119" s="467"/>
      <c r="Y119" s="467"/>
      <c r="Z119" s="467"/>
      <c r="AA119" s="467"/>
      <c r="AB119" s="467"/>
      <c r="AC119" s="467"/>
      <c r="AD119" s="467"/>
      <c r="AE119" s="467"/>
      <c r="AF119" s="467"/>
      <c r="AG119" s="467"/>
      <c r="AH119" s="467"/>
      <c r="AI119" s="467"/>
      <c r="AJ119" s="467"/>
      <c r="AK119" s="467"/>
      <c r="AL119" s="467"/>
      <c r="AM119" s="467"/>
      <c r="AN119" s="467"/>
      <c r="AO119" s="467"/>
      <c r="AP119" s="467"/>
      <c r="BC119" s="312"/>
    </row>
    <row r="120" spans="1:55" ht="15.75" customHeight="1">
      <c r="B120" s="419"/>
      <c r="C120" s="424"/>
      <c r="D120" s="515"/>
      <c r="E120" s="515"/>
      <c r="F120" s="515"/>
      <c r="K120" s="312"/>
      <c r="N120" s="421"/>
      <c r="O120" s="421"/>
      <c r="P120" s="421"/>
      <c r="Q120" s="467"/>
      <c r="AN120" s="462"/>
      <c r="AO120" s="462"/>
      <c r="AP120" s="462"/>
      <c r="BC120" s="312"/>
    </row>
    <row r="121" spans="1:55" ht="15.75" customHeight="1">
      <c r="B121" s="419"/>
      <c r="C121" s="424"/>
      <c r="D121" s="515"/>
      <c r="E121" s="515"/>
      <c r="F121" s="515"/>
      <c r="K121" s="312"/>
      <c r="N121" s="421"/>
      <c r="O121" s="421"/>
      <c r="P121" s="421"/>
      <c r="Q121" s="467"/>
      <c r="AN121" s="462"/>
      <c r="AO121" s="462"/>
      <c r="AP121" s="462"/>
      <c r="BC121" s="312"/>
    </row>
    <row r="122" spans="1:55" ht="15.75" customHeight="1">
      <c r="B122" s="419"/>
      <c r="C122" s="424"/>
      <c r="D122" s="515"/>
      <c r="E122" s="515"/>
      <c r="F122" s="515"/>
      <c r="K122" s="312"/>
      <c r="N122" s="421"/>
      <c r="O122" s="421"/>
      <c r="P122" s="421"/>
      <c r="Q122" s="467"/>
      <c r="AN122" s="462"/>
      <c r="AO122" s="462"/>
      <c r="AP122" s="462"/>
      <c r="BC122" s="312"/>
    </row>
    <row r="123" spans="1:55" ht="15.75" customHeight="1">
      <c r="B123" s="419"/>
      <c r="C123" s="424"/>
      <c r="D123" s="515"/>
      <c r="E123" s="515"/>
      <c r="F123" s="515"/>
      <c r="K123" s="312"/>
      <c r="N123" s="421"/>
      <c r="O123" s="421"/>
      <c r="P123" s="421"/>
      <c r="Q123" s="467"/>
      <c r="AN123" s="462"/>
      <c r="AO123" s="462"/>
      <c r="AP123" s="462"/>
      <c r="BC123" s="312"/>
    </row>
    <row r="124" spans="1:55" ht="15.75" customHeight="1">
      <c r="B124" s="419"/>
      <c r="C124" s="424"/>
      <c r="D124" s="515"/>
      <c r="E124" s="515"/>
      <c r="F124" s="515"/>
      <c r="K124" s="312"/>
      <c r="N124" s="421"/>
      <c r="O124" s="421"/>
      <c r="P124" s="421"/>
      <c r="Q124" s="467"/>
      <c r="AN124" s="462"/>
      <c r="AO124" s="462"/>
      <c r="AP124" s="462"/>
      <c r="BC124" s="312"/>
    </row>
    <row r="125" spans="1:55" ht="15.75" customHeight="1">
      <c r="B125" s="419"/>
      <c r="C125" s="424"/>
      <c r="D125" s="515"/>
      <c r="E125" s="515"/>
      <c r="F125" s="515"/>
      <c r="K125" s="312"/>
      <c r="N125" s="421"/>
      <c r="O125" s="421"/>
      <c r="P125" s="421"/>
      <c r="Q125" s="467"/>
      <c r="AN125" s="462"/>
      <c r="AO125" s="462"/>
      <c r="AP125" s="462"/>
      <c r="BC125" s="312"/>
    </row>
    <row r="126" spans="1:55" ht="15.75" customHeight="1">
      <c r="B126" s="419"/>
      <c r="C126" s="424"/>
      <c r="D126" s="515"/>
      <c r="E126" s="515"/>
      <c r="F126" s="515"/>
      <c r="K126" s="312"/>
      <c r="N126" s="421"/>
      <c r="O126" s="421"/>
      <c r="P126" s="421"/>
      <c r="Q126" s="467"/>
      <c r="AN126" s="462"/>
      <c r="AO126" s="462"/>
      <c r="AP126" s="462"/>
      <c r="BC126" s="312"/>
    </row>
    <row r="127" spans="1:55" ht="15.75" customHeight="1">
      <c r="B127" s="419"/>
      <c r="C127" s="424"/>
      <c r="D127" s="515"/>
      <c r="E127" s="515"/>
      <c r="F127" s="515"/>
      <c r="K127" s="312"/>
      <c r="N127" s="421"/>
      <c r="O127" s="421"/>
      <c r="P127" s="421"/>
      <c r="Q127" s="467"/>
      <c r="AN127" s="462"/>
      <c r="AO127" s="462"/>
      <c r="AP127" s="462"/>
      <c r="BC127" s="312"/>
    </row>
    <row r="128" spans="1:55" ht="15.75" customHeight="1">
      <c r="B128" s="419"/>
      <c r="C128" s="424"/>
      <c r="D128" s="515"/>
      <c r="E128" s="515"/>
      <c r="F128" s="515"/>
      <c r="K128" s="312"/>
      <c r="N128" s="421"/>
      <c r="O128" s="421"/>
      <c r="P128" s="421"/>
      <c r="Q128" s="467"/>
      <c r="AN128" s="462"/>
      <c r="AO128" s="462"/>
      <c r="AP128" s="462"/>
      <c r="BC128" s="312"/>
    </row>
    <row r="129" spans="2:55" ht="15.75" customHeight="1">
      <c r="B129" s="419"/>
      <c r="C129" s="424"/>
      <c r="D129" s="515"/>
      <c r="E129" s="515"/>
      <c r="F129" s="515"/>
      <c r="K129" s="312"/>
      <c r="N129" s="421"/>
      <c r="O129" s="421"/>
      <c r="P129" s="421"/>
      <c r="Q129" s="467"/>
      <c r="AN129" s="462"/>
      <c r="AO129" s="462"/>
      <c r="AP129" s="462"/>
      <c r="BC129" s="312"/>
    </row>
    <row r="130" spans="2:55" ht="15.75" customHeight="1">
      <c r="B130" s="419"/>
      <c r="C130" s="424"/>
      <c r="D130" s="515"/>
      <c r="E130" s="515"/>
      <c r="F130" s="515"/>
      <c r="K130" s="312"/>
      <c r="N130" s="421"/>
      <c r="O130" s="421"/>
      <c r="P130" s="421"/>
      <c r="Q130" s="467"/>
      <c r="AN130" s="462"/>
      <c r="AO130" s="462"/>
      <c r="AP130" s="462"/>
      <c r="BC130" s="312"/>
    </row>
    <row r="131" spans="2:55" ht="15.75" customHeight="1">
      <c r="B131" s="419"/>
      <c r="C131" s="424"/>
      <c r="D131" s="515"/>
      <c r="E131" s="515"/>
      <c r="F131" s="515"/>
      <c r="K131" s="312"/>
      <c r="N131" s="421"/>
      <c r="O131" s="421"/>
      <c r="P131" s="421"/>
      <c r="Q131" s="467"/>
      <c r="AN131" s="462"/>
      <c r="AO131" s="462"/>
      <c r="AP131" s="462"/>
      <c r="BC131" s="312"/>
    </row>
    <row r="132" spans="2:55" ht="15.75" customHeight="1">
      <c r="B132" s="419"/>
      <c r="C132" s="424"/>
      <c r="D132" s="515"/>
      <c r="E132" s="515"/>
      <c r="F132" s="515"/>
      <c r="K132" s="312"/>
      <c r="N132" s="421"/>
      <c r="O132" s="421"/>
      <c r="P132" s="421"/>
      <c r="Q132" s="467"/>
      <c r="AN132" s="462"/>
      <c r="AO132" s="462"/>
      <c r="AP132" s="462"/>
      <c r="BC132" s="312"/>
    </row>
    <row r="133" spans="2:55" ht="15.75" customHeight="1">
      <c r="H133" s="467"/>
      <c r="I133" s="467"/>
      <c r="J133" s="469"/>
      <c r="K133" s="467"/>
      <c r="L133" s="467"/>
      <c r="M133" s="467"/>
      <c r="N133" s="467"/>
      <c r="O133" s="467"/>
      <c r="P133" s="467"/>
      <c r="Q133" s="467"/>
      <c r="R133" s="467"/>
      <c r="S133" s="467"/>
      <c r="T133" s="467"/>
      <c r="U133" s="467"/>
      <c r="V133" s="467"/>
      <c r="W133" s="467"/>
      <c r="X133" s="467"/>
      <c r="Y133" s="467"/>
      <c r="Z133" s="467"/>
      <c r="AA133" s="467"/>
      <c r="AB133" s="467"/>
      <c r="AC133" s="467"/>
      <c r="AD133" s="467"/>
      <c r="AE133" s="467"/>
      <c r="AF133" s="467"/>
      <c r="AG133" s="467"/>
      <c r="AH133" s="467"/>
      <c r="AI133" s="467"/>
      <c r="AJ133" s="467"/>
      <c r="AK133" s="467"/>
      <c r="AL133" s="467"/>
      <c r="AM133" s="467"/>
      <c r="AN133" s="418"/>
      <c r="AO133" s="418"/>
      <c r="AP133" s="418"/>
      <c r="AQ133" s="418"/>
      <c r="AR133" s="418"/>
      <c r="AS133" s="418"/>
      <c r="AT133" s="418"/>
      <c r="AU133" s="418"/>
      <c r="AV133" s="418"/>
      <c r="AW133" s="418"/>
      <c r="AX133" s="418"/>
      <c r="AY133" s="418"/>
      <c r="AZ133" s="418"/>
      <c r="BA133" s="418"/>
      <c r="BC133" s="312"/>
    </row>
    <row r="134" spans="2:55" ht="15.75" customHeight="1">
      <c r="H134" s="467"/>
      <c r="I134" s="467"/>
      <c r="J134" s="469"/>
      <c r="K134" s="467"/>
      <c r="L134" s="467"/>
      <c r="M134" s="467"/>
      <c r="N134" s="467"/>
      <c r="O134" s="467"/>
      <c r="P134" s="467"/>
      <c r="Q134" s="467"/>
      <c r="R134" s="467"/>
      <c r="S134" s="467"/>
      <c r="T134" s="467"/>
      <c r="U134" s="467"/>
      <c r="V134" s="467"/>
      <c r="W134" s="467"/>
      <c r="X134" s="467"/>
      <c r="Y134" s="467"/>
      <c r="Z134" s="467"/>
      <c r="AA134" s="467"/>
      <c r="AB134" s="467"/>
      <c r="AC134" s="467"/>
      <c r="AD134" s="467"/>
      <c r="AE134" s="467"/>
      <c r="AF134" s="467"/>
      <c r="AG134" s="467"/>
      <c r="AH134" s="467"/>
      <c r="AI134" s="467"/>
      <c r="AJ134" s="467"/>
      <c r="AK134" s="467"/>
      <c r="AL134" s="467"/>
      <c r="AM134" s="467"/>
      <c r="AN134" s="418"/>
      <c r="AO134" s="418"/>
      <c r="AP134" s="418"/>
      <c r="AQ134" s="418"/>
      <c r="AR134" s="418"/>
      <c r="AS134" s="418"/>
      <c r="AT134" s="418"/>
      <c r="AU134" s="418"/>
      <c r="AV134" s="418"/>
      <c r="AW134" s="418"/>
      <c r="AX134" s="418"/>
      <c r="AY134" s="418"/>
      <c r="AZ134" s="418"/>
      <c r="BA134" s="418"/>
      <c r="BC134" s="312"/>
    </row>
    <row r="135" spans="2:55" ht="15.75" customHeight="1">
      <c r="H135" s="467"/>
      <c r="I135" s="467"/>
      <c r="J135" s="469"/>
      <c r="K135" s="467"/>
      <c r="L135" s="467"/>
      <c r="M135" s="467"/>
      <c r="N135" s="467"/>
      <c r="O135" s="467"/>
      <c r="P135" s="467"/>
      <c r="Q135" s="467"/>
      <c r="R135" s="467"/>
      <c r="S135" s="467"/>
      <c r="T135" s="467"/>
      <c r="U135" s="467"/>
      <c r="V135" s="467"/>
      <c r="W135" s="467"/>
      <c r="X135" s="467"/>
      <c r="Y135" s="467"/>
      <c r="Z135" s="467"/>
      <c r="AA135" s="467"/>
      <c r="AB135" s="467"/>
      <c r="AC135" s="467"/>
      <c r="AD135" s="467"/>
      <c r="AE135" s="467"/>
      <c r="AF135" s="467"/>
      <c r="AG135" s="467"/>
      <c r="AH135" s="467"/>
      <c r="AI135" s="467"/>
      <c r="AJ135" s="467"/>
      <c r="AK135" s="467"/>
      <c r="AL135" s="467"/>
      <c r="AM135" s="467"/>
      <c r="AN135" s="418"/>
      <c r="AO135" s="418"/>
      <c r="AP135" s="418"/>
      <c r="AQ135" s="418"/>
      <c r="AR135" s="418"/>
      <c r="AS135" s="418"/>
      <c r="AT135" s="418"/>
      <c r="AU135" s="418"/>
      <c r="AV135" s="418"/>
      <c r="AW135" s="418"/>
      <c r="AX135" s="418"/>
      <c r="AY135" s="418"/>
      <c r="AZ135" s="418"/>
      <c r="BA135" s="418"/>
      <c r="BC135" s="312"/>
    </row>
    <row r="136" spans="2:55" ht="15.75" customHeight="1">
      <c r="H136" s="467"/>
      <c r="I136" s="467"/>
      <c r="J136" s="469"/>
      <c r="K136" s="467"/>
      <c r="L136" s="467"/>
      <c r="M136" s="467"/>
      <c r="N136" s="467"/>
      <c r="O136" s="467"/>
      <c r="P136" s="467"/>
      <c r="Q136" s="467"/>
      <c r="R136" s="467"/>
      <c r="S136" s="467"/>
      <c r="T136" s="467"/>
      <c r="U136" s="467"/>
      <c r="V136" s="467"/>
      <c r="W136" s="467"/>
      <c r="X136" s="467"/>
      <c r="Y136" s="467"/>
      <c r="Z136" s="467"/>
      <c r="AA136" s="467"/>
      <c r="AB136" s="467"/>
      <c r="AC136" s="467"/>
      <c r="AD136" s="467"/>
      <c r="AE136" s="467"/>
      <c r="AF136" s="467"/>
      <c r="AG136" s="467"/>
      <c r="AH136" s="467"/>
      <c r="AI136" s="467"/>
      <c r="AJ136" s="467"/>
      <c r="AK136" s="467"/>
      <c r="AL136" s="467"/>
      <c r="AM136" s="467"/>
      <c r="AN136" s="418"/>
      <c r="AO136" s="418"/>
      <c r="AP136" s="418"/>
      <c r="AQ136" s="418"/>
      <c r="AR136" s="418"/>
      <c r="AS136" s="418"/>
      <c r="AT136" s="418"/>
      <c r="AU136" s="418"/>
      <c r="AV136" s="418"/>
      <c r="AW136" s="418"/>
      <c r="AX136" s="418"/>
      <c r="AY136" s="418"/>
      <c r="AZ136" s="418"/>
      <c r="BA136" s="418"/>
      <c r="BC136" s="312"/>
    </row>
    <row r="137" spans="2:55" ht="15.75" customHeight="1">
      <c r="H137" s="467"/>
      <c r="I137" s="467"/>
      <c r="J137" s="469"/>
      <c r="K137" s="467"/>
      <c r="L137" s="467"/>
      <c r="M137" s="467"/>
      <c r="N137" s="467"/>
      <c r="O137" s="467"/>
      <c r="P137" s="467"/>
      <c r="Q137" s="467"/>
      <c r="R137" s="467"/>
      <c r="S137" s="467"/>
      <c r="T137" s="467"/>
      <c r="U137" s="467"/>
      <c r="V137" s="467"/>
      <c r="W137" s="467"/>
      <c r="X137" s="467"/>
      <c r="Y137" s="467"/>
      <c r="Z137" s="467"/>
      <c r="AA137" s="467"/>
      <c r="AB137" s="467"/>
      <c r="AC137" s="467"/>
      <c r="AD137" s="467"/>
      <c r="AE137" s="467"/>
      <c r="AF137" s="467"/>
      <c r="AG137" s="467"/>
      <c r="AH137" s="467"/>
      <c r="AI137" s="467"/>
      <c r="AJ137" s="467"/>
      <c r="AK137" s="467"/>
      <c r="AL137" s="467"/>
      <c r="AM137" s="467"/>
      <c r="AN137" s="418"/>
      <c r="AO137" s="418"/>
      <c r="AP137" s="418"/>
      <c r="AQ137" s="418"/>
      <c r="AR137" s="418"/>
      <c r="AS137" s="418"/>
      <c r="AT137" s="418"/>
      <c r="AU137" s="418"/>
      <c r="AV137" s="418"/>
      <c r="AW137" s="418"/>
      <c r="AX137" s="418"/>
      <c r="AY137" s="418"/>
      <c r="AZ137" s="418"/>
      <c r="BA137" s="418"/>
      <c r="BC137" s="312"/>
    </row>
    <row r="138" spans="2:55" ht="15.75" customHeight="1">
      <c r="H138" s="467"/>
      <c r="I138" s="467"/>
      <c r="J138" s="469"/>
      <c r="K138" s="467"/>
      <c r="L138" s="467"/>
      <c r="M138" s="467"/>
      <c r="N138" s="467"/>
      <c r="O138" s="467"/>
      <c r="P138" s="467"/>
      <c r="Q138" s="467"/>
      <c r="R138" s="467"/>
      <c r="S138" s="467"/>
      <c r="T138" s="467"/>
      <c r="U138" s="467"/>
      <c r="V138" s="467"/>
      <c r="W138" s="467"/>
      <c r="X138" s="467"/>
      <c r="Y138" s="467"/>
      <c r="Z138" s="467"/>
      <c r="AA138" s="467"/>
      <c r="AB138" s="467"/>
      <c r="AC138" s="467"/>
      <c r="AD138" s="467"/>
      <c r="AE138" s="467"/>
      <c r="AF138" s="467"/>
      <c r="AG138" s="467"/>
      <c r="AH138" s="467"/>
      <c r="AI138" s="467"/>
      <c r="AJ138" s="467"/>
      <c r="AK138" s="467"/>
      <c r="AL138" s="467"/>
      <c r="AM138" s="467"/>
      <c r="AN138" s="418"/>
      <c r="AO138" s="418"/>
      <c r="AP138" s="418"/>
      <c r="AQ138" s="418"/>
      <c r="AR138" s="418"/>
      <c r="AS138" s="418"/>
      <c r="AT138" s="418"/>
      <c r="AU138" s="418"/>
      <c r="AV138" s="418"/>
      <c r="AW138" s="418"/>
      <c r="AX138" s="418"/>
      <c r="AY138" s="418"/>
      <c r="AZ138" s="418"/>
      <c r="BA138" s="418"/>
      <c r="BC138" s="312"/>
    </row>
    <row r="139" spans="2:55" ht="15.75" customHeight="1">
      <c r="H139" s="467"/>
      <c r="I139" s="467"/>
      <c r="J139" s="469"/>
      <c r="K139" s="467"/>
      <c r="L139" s="467"/>
      <c r="M139" s="467"/>
      <c r="N139" s="467"/>
      <c r="O139" s="467"/>
      <c r="P139" s="467"/>
      <c r="Q139" s="467"/>
      <c r="R139" s="467"/>
      <c r="S139" s="467"/>
      <c r="T139" s="467"/>
      <c r="U139" s="467"/>
      <c r="V139" s="467"/>
      <c r="W139" s="467"/>
      <c r="X139" s="467"/>
      <c r="Y139" s="467"/>
      <c r="Z139" s="467"/>
      <c r="AA139" s="467"/>
      <c r="AB139" s="467"/>
      <c r="AC139" s="467"/>
      <c r="AD139" s="467"/>
      <c r="AE139" s="467"/>
      <c r="AF139" s="467"/>
      <c r="AG139" s="467"/>
      <c r="AH139" s="467"/>
      <c r="AI139" s="467"/>
      <c r="AJ139" s="467"/>
      <c r="AK139" s="467"/>
      <c r="AL139" s="467"/>
      <c r="AM139" s="467"/>
      <c r="AN139" s="418"/>
      <c r="AO139" s="418"/>
      <c r="AP139" s="418"/>
      <c r="AQ139" s="418"/>
      <c r="AR139" s="418"/>
      <c r="AS139" s="418"/>
      <c r="AT139" s="418"/>
      <c r="AU139" s="418"/>
      <c r="AV139" s="418"/>
      <c r="AW139" s="418"/>
      <c r="AX139" s="418"/>
      <c r="AY139" s="418"/>
      <c r="AZ139" s="418"/>
      <c r="BA139" s="418"/>
      <c r="BC139" s="312"/>
    </row>
    <row r="140" spans="2:55" ht="15.75" customHeight="1">
      <c r="H140" s="467"/>
      <c r="I140" s="467"/>
      <c r="J140" s="469"/>
      <c r="K140" s="467"/>
      <c r="L140" s="467"/>
      <c r="M140" s="467"/>
      <c r="N140" s="467"/>
      <c r="O140" s="467"/>
      <c r="P140" s="467"/>
      <c r="Q140" s="467"/>
      <c r="R140" s="467"/>
      <c r="S140" s="467"/>
      <c r="T140" s="467"/>
      <c r="U140" s="467"/>
      <c r="V140" s="467"/>
      <c r="W140" s="467"/>
      <c r="X140" s="467"/>
      <c r="Y140" s="467"/>
      <c r="Z140" s="467"/>
      <c r="AA140" s="467"/>
      <c r="AB140" s="467"/>
      <c r="AC140" s="467"/>
      <c r="AD140" s="467"/>
      <c r="AE140" s="467"/>
      <c r="AF140" s="467"/>
      <c r="AG140" s="467"/>
      <c r="AH140" s="467"/>
      <c r="AI140" s="467"/>
      <c r="AJ140" s="467"/>
      <c r="AK140" s="467"/>
      <c r="AL140" s="467"/>
      <c r="AM140" s="467"/>
      <c r="AN140" s="418"/>
      <c r="AO140" s="418"/>
      <c r="AP140" s="418"/>
      <c r="AQ140" s="418"/>
      <c r="AR140" s="418"/>
      <c r="AS140" s="418"/>
      <c r="AT140" s="418"/>
      <c r="AU140" s="418"/>
      <c r="AV140" s="418"/>
      <c r="AW140" s="418"/>
      <c r="AX140" s="418"/>
      <c r="AY140" s="418"/>
      <c r="AZ140" s="418"/>
      <c r="BA140" s="418"/>
      <c r="BC140" s="312"/>
    </row>
    <row r="141" spans="2:55" ht="15.75" customHeight="1">
      <c r="H141" s="467"/>
      <c r="I141" s="467"/>
      <c r="J141" s="469"/>
      <c r="K141" s="467"/>
      <c r="L141" s="467"/>
      <c r="M141" s="467"/>
      <c r="N141" s="467"/>
      <c r="O141" s="467"/>
      <c r="P141" s="467"/>
      <c r="Q141" s="467"/>
      <c r="R141" s="467"/>
      <c r="S141" s="467"/>
      <c r="T141" s="467"/>
      <c r="U141" s="467"/>
      <c r="V141" s="467"/>
      <c r="W141" s="467"/>
      <c r="X141" s="467"/>
      <c r="Y141" s="467"/>
      <c r="Z141" s="467"/>
      <c r="AA141" s="467"/>
      <c r="AB141" s="467"/>
      <c r="AC141" s="467"/>
      <c r="AD141" s="467"/>
      <c r="AE141" s="467"/>
      <c r="AF141" s="467"/>
      <c r="AG141" s="467"/>
      <c r="AH141" s="467"/>
      <c r="AI141" s="467"/>
      <c r="AJ141" s="467"/>
      <c r="AK141" s="467"/>
      <c r="AL141" s="467"/>
      <c r="AM141" s="467"/>
      <c r="AN141" s="418"/>
      <c r="AO141" s="418"/>
      <c r="AP141" s="418"/>
      <c r="AQ141" s="418"/>
      <c r="AR141" s="418"/>
      <c r="AS141" s="418"/>
      <c r="AT141" s="418"/>
      <c r="AU141" s="418"/>
      <c r="AV141" s="418"/>
      <c r="AW141" s="418"/>
      <c r="AX141" s="418"/>
      <c r="AY141" s="418"/>
      <c r="AZ141" s="418"/>
      <c r="BA141" s="418"/>
      <c r="BC141" s="312"/>
    </row>
    <row r="142" spans="2:55" ht="15.75" customHeight="1">
      <c r="H142" s="467"/>
      <c r="I142" s="467"/>
      <c r="J142" s="469"/>
      <c r="K142" s="467"/>
      <c r="L142" s="467"/>
      <c r="M142" s="467"/>
      <c r="N142" s="467"/>
      <c r="O142" s="467"/>
      <c r="P142" s="467"/>
      <c r="Q142" s="467"/>
      <c r="R142" s="467"/>
      <c r="S142" s="467"/>
      <c r="T142" s="467"/>
      <c r="U142" s="467"/>
      <c r="V142" s="467"/>
      <c r="W142" s="467"/>
      <c r="X142" s="467"/>
      <c r="Y142" s="467"/>
      <c r="Z142" s="467"/>
      <c r="AA142" s="467"/>
      <c r="AB142" s="467"/>
      <c r="AC142" s="467"/>
      <c r="AD142" s="467"/>
      <c r="AE142" s="467"/>
      <c r="AF142" s="467"/>
      <c r="AG142" s="467"/>
      <c r="AH142" s="467"/>
      <c r="AI142" s="467"/>
      <c r="AJ142" s="467"/>
      <c r="AK142" s="467"/>
      <c r="AL142" s="467"/>
      <c r="AM142" s="467"/>
      <c r="AN142" s="418"/>
      <c r="AO142" s="418"/>
      <c r="AP142" s="418"/>
      <c r="AQ142" s="418"/>
      <c r="AR142" s="418"/>
      <c r="AS142" s="418"/>
      <c r="AT142" s="418"/>
      <c r="AU142" s="418"/>
      <c r="AV142" s="418"/>
      <c r="AW142" s="418"/>
      <c r="AX142" s="418"/>
      <c r="AY142" s="418"/>
      <c r="AZ142" s="418"/>
      <c r="BA142" s="418"/>
      <c r="BC142" s="312"/>
    </row>
    <row r="143" spans="2:55" ht="15.75" customHeight="1">
      <c r="H143" s="467"/>
      <c r="I143" s="467"/>
      <c r="J143" s="469"/>
      <c r="K143" s="467"/>
      <c r="L143" s="467"/>
      <c r="M143" s="467"/>
      <c r="N143" s="467"/>
      <c r="O143" s="467"/>
      <c r="P143" s="467"/>
      <c r="Q143" s="467"/>
      <c r="R143" s="467"/>
      <c r="S143" s="467"/>
      <c r="T143" s="467"/>
      <c r="U143" s="467"/>
      <c r="V143" s="467"/>
      <c r="W143" s="467"/>
      <c r="X143" s="467"/>
      <c r="Y143" s="467"/>
      <c r="Z143" s="467"/>
      <c r="AA143" s="467"/>
      <c r="AB143" s="467"/>
      <c r="AC143" s="467"/>
      <c r="AD143" s="467"/>
      <c r="AE143" s="467"/>
      <c r="AF143" s="467"/>
      <c r="AG143" s="467"/>
      <c r="AH143" s="467"/>
      <c r="AI143" s="467"/>
      <c r="AJ143" s="467"/>
      <c r="AK143" s="467"/>
      <c r="AL143" s="467"/>
      <c r="AM143" s="467"/>
      <c r="AN143" s="418"/>
      <c r="AO143" s="418"/>
      <c r="AP143" s="418"/>
      <c r="AQ143" s="418"/>
      <c r="AR143" s="418"/>
      <c r="AS143" s="418"/>
      <c r="AT143" s="418"/>
      <c r="AU143" s="418"/>
      <c r="AV143" s="418"/>
      <c r="AW143" s="418"/>
      <c r="AX143" s="418"/>
      <c r="AY143" s="418"/>
      <c r="AZ143" s="418"/>
      <c r="BA143" s="418"/>
      <c r="BC143" s="312"/>
    </row>
    <row r="144" spans="2:55" ht="15.75" customHeight="1">
      <c r="H144" s="467"/>
      <c r="I144" s="467"/>
      <c r="J144" s="469"/>
      <c r="K144" s="467"/>
      <c r="L144" s="467"/>
      <c r="M144" s="467"/>
      <c r="N144" s="467"/>
      <c r="O144" s="467"/>
      <c r="P144" s="467"/>
      <c r="Q144" s="467"/>
      <c r="R144" s="467"/>
      <c r="S144" s="467"/>
      <c r="T144" s="467"/>
      <c r="U144" s="467"/>
      <c r="V144" s="467"/>
      <c r="W144" s="467"/>
      <c r="X144" s="467"/>
      <c r="Y144" s="467"/>
      <c r="Z144" s="467"/>
      <c r="AA144" s="467"/>
      <c r="AB144" s="467"/>
      <c r="AC144" s="467"/>
      <c r="AD144" s="467"/>
      <c r="AE144" s="467"/>
      <c r="AF144" s="467"/>
      <c r="AG144" s="467"/>
      <c r="AH144" s="467"/>
      <c r="AI144" s="467"/>
      <c r="AJ144" s="467"/>
      <c r="AK144" s="467"/>
      <c r="AL144" s="467"/>
      <c r="AM144" s="467"/>
      <c r="AN144" s="418"/>
      <c r="AO144" s="418"/>
      <c r="AP144" s="418"/>
      <c r="AQ144" s="418"/>
      <c r="AR144" s="418"/>
      <c r="AS144" s="418"/>
      <c r="AT144" s="418"/>
      <c r="AU144" s="418"/>
      <c r="AV144" s="418"/>
      <c r="AW144" s="418"/>
      <c r="AX144" s="418"/>
      <c r="AY144" s="418"/>
      <c r="AZ144" s="418"/>
      <c r="BA144" s="418"/>
      <c r="BC144" s="312"/>
    </row>
    <row r="145" spans="8:55" ht="15.75" customHeight="1">
      <c r="H145" s="467"/>
      <c r="I145" s="467"/>
      <c r="J145" s="469"/>
      <c r="K145" s="467"/>
      <c r="L145" s="467"/>
      <c r="M145" s="467"/>
      <c r="N145" s="467"/>
      <c r="O145" s="467"/>
      <c r="P145" s="467"/>
      <c r="Q145" s="467"/>
      <c r="R145" s="467"/>
      <c r="S145" s="467"/>
      <c r="T145" s="467"/>
      <c r="U145" s="467"/>
      <c r="V145" s="467"/>
      <c r="W145" s="467"/>
      <c r="X145" s="467"/>
      <c r="Y145" s="467"/>
      <c r="Z145" s="467"/>
      <c r="AA145" s="467"/>
      <c r="AB145" s="467"/>
      <c r="AC145" s="467"/>
      <c r="AD145" s="467"/>
      <c r="AE145" s="467"/>
      <c r="AF145" s="467"/>
      <c r="AG145" s="467"/>
      <c r="AH145" s="467"/>
      <c r="AI145" s="467"/>
      <c r="AJ145" s="467"/>
      <c r="AK145" s="467"/>
      <c r="AL145" s="467"/>
      <c r="AM145" s="467"/>
      <c r="AN145" s="418"/>
      <c r="AO145" s="418"/>
      <c r="AP145" s="418"/>
      <c r="AQ145" s="418"/>
      <c r="AR145" s="418"/>
      <c r="AS145" s="418"/>
      <c r="AT145" s="418"/>
      <c r="AU145" s="418"/>
      <c r="AV145" s="418"/>
      <c r="AW145" s="418"/>
      <c r="AX145" s="418"/>
      <c r="AY145" s="418"/>
      <c r="AZ145" s="418"/>
      <c r="BA145" s="418"/>
      <c r="BC145" s="312"/>
    </row>
    <row r="146" spans="8:55" ht="15.75" customHeight="1">
      <c r="AN146" s="418"/>
      <c r="AO146" s="418"/>
      <c r="AP146" s="418"/>
      <c r="AQ146" s="418"/>
      <c r="AR146" s="418"/>
      <c r="AS146" s="418"/>
      <c r="AT146" s="418"/>
      <c r="AU146" s="418"/>
      <c r="AV146" s="418"/>
      <c r="AW146" s="418"/>
      <c r="AX146" s="418"/>
      <c r="AY146" s="418"/>
      <c r="AZ146" s="418"/>
      <c r="BA146" s="418"/>
      <c r="BC146" s="312"/>
    </row>
    <row r="147" spans="8:55" ht="15.75" customHeight="1">
      <c r="AN147" s="418"/>
      <c r="AO147" s="418"/>
      <c r="AP147" s="418"/>
      <c r="AQ147" s="418"/>
      <c r="AR147" s="418"/>
      <c r="AS147" s="418"/>
      <c r="AT147" s="418"/>
      <c r="AU147" s="418"/>
      <c r="AV147" s="418"/>
      <c r="AW147" s="418"/>
      <c r="AX147" s="418"/>
      <c r="AY147" s="418"/>
      <c r="AZ147" s="418"/>
      <c r="BA147" s="418"/>
      <c r="BC147" s="312"/>
    </row>
    <row r="148" spans="8:55" ht="15.75" customHeight="1">
      <c r="AN148" s="418"/>
      <c r="AO148" s="418"/>
      <c r="AP148" s="418"/>
      <c r="AQ148" s="418"/>
      <c r="AR148" s="418"/>
      <c r="AS148" s="418"/>
      <c r="AT148" s="418"/>
      <c r="AU148" s="418"/>
      <c r="AV148" s="418"/>
      <c r="AW148" s="418"/>
      <c r="AX148" s="418"/>
      <c r="AY148" s="418"/>
      <c r="AZ148" s="418"/>
      <c r="BA148" s="418"/>
      <c r="BC148" s="312"/>
    </row>
    <row r="149" spans="8:55" ht="15.75" customHeight="1">
      <c r="AN149" s="418"/>
      <c r="AO149" s="418"/>
      <c r="AP149" s="418"/>
      <c r="AQ149" s="418"/>
      <c r="AR149" s="418"/>
      <c r="AS149" s="418"/>
      <c r="AT149" s="418"/>
      <c r="AU149" s="418"/>
      <c r="AV149" s="418"/>
      <c r="AW149" s="418"/>
      <c r="AX149" s="418"/>
      <c r="AY149" s="418"/>
      <c r="AZ149" s="418"/>
      <c r="BA149" s="418"/>
      <c r="BC149" s="312"/>
    </row>
    <row r="150" spans="8:55" ht="15.75" customHeight="1">
      <c r="AN150" s="418"/>
      <c r="AO150" s="418"/>
      <c r="AP150" s="418"/>
      <c r="AQ150" s="418"/>
      <c r="AR150" s="418"/>
      <c r="AS150" s="418"/>
      <c r="AT150" s="418"/>
      <c r="AU150" s="418"/>
      <c r="AV150" s="418"/>
      <c r="AW150" s="418"/>
      <c r="AX150" s="418"/>
      <c r="AY150" s="418"/>
      <c r="AZ150" s="418"/>
      <c r="BA150" s="418"/>
      <c r="BC150" s="312"/>
    </row>
    <row r="151" spans="8:55" ht="15.75" customHeight="1">
      <c r="AN151" s="418"/>
      <c r="AO151" s="418"/>
      <c r="AP151" s="418"/>
      <c r="AQ151" s="418"/>
      <c r="AR151" s="418"/>
      <c r="AS151" s="418"/>
      <c r="AT151" s="418"/>
      <c r="AU151" s="418"/>
      <c r="AV151" s="418"/>
      <c r="AW151" s="418"/>
      <c r="AX151" s="418"/>
      <c r="AY151" s="418"/>
      <c r="AZ151" s="418"/>
      <c r="BA151" s="418"/>
      <c r="BC151" s="312"/>
    </row>
    <row r="152" spans="8:55" ht="15.75" customHeight="1">
      <c r="AN152" s="418"/>
      <c r="AO152" s="418"/>
      <c r="AP152" s="418"/>
      <c r="AQ152" s="418"/>
      <c r="AR152" s="418"/>
      <c r="AS152" s="418"/>
      <c r="AT152" s="418"/>
      <c r="AU152" s="418"/>
      <c r="AV152" s="418"/>
      <c r="AW152" s="418"/>
      <c r="AX152" s="418"/>
      <c r="AY152" s="418"/>
      <c r="AZ152" s="418"/>
      <c r="BA152" s="418"/>
      <c r="BC152" s="312"/>
    </row>
    <row r="153" spans="8:55" ht="15.75" customHeight="1">
      <c r="AN153" s="418"/>
      <c r="AO153" s="418"/>
      <c r="AP153" s="418"/>
      <c r="AQ153" s="418"/>
      <c r="AR153" s="418"/>
      <c r="AS153" s="418"/>
      <c r="AT153" s="418"/>
      <c r="AU153" s="418"/>
      <c r="AV153" s="418"/>
      <c r="AW153" s="418"/>
      <c r="AX153" s="418"/>
      <c r="AY153" s="418"/>
      <c r="AZ153" s="418"/>
      <c r="BA153" s="418"/>
      <c r="BC153" s="312"/>
    </row>
    <row r="154" spans="8:55" ht="15.75" customHeight="1">
      <c r="AN154" s="418"/>
      <c r="AO154" s="418"/>
      <c r="AP154" s="418"/>
      <c r="AQ154" s="418"/>
      <c r="AR154" s="418"/>
      <c r="AS154" s="418"/>
      <c r="AT154" s="418"/>
      <c r="AU154" s="418"/>
      <c r="AV154" s="418"/>
      <c r="AW154" s="418"/>
      <c r="AX154" s="418"/>
      <c r="AY154" s="418"/>
      <c r="AZ154" s="418"/>
      <c r="BA154" s="418"/>
      <c r="BC154" s="312"/>
    </row>
    <row r="155" spans="8:55" ht="15.75" customHeight="1">
      <c r="AN155" s="418"/>
      <c r="AO155" s="418"/>
      <c r="AP155" s="418"/>
      <c r="AQ155" s="418"/>
      <c r="AR155" s="418"/>
      <c r="AS155" s="418"/>
      <c r="AT155" s="418"/>
      <c r="AU155" s="418"/>
      <c r="AV155" s="418"/>
      <c r="AW155" s="418"/>
      <c r="AX155" s="418"/>
      <c r="AY155" s="418"/>
      <c r="AZ155" s="418"/>
      <c r="BA155" s="418"/>
      <c r="BC155" s="312"/>
    </row>
    <row r="156" spans="8:55" ht="15.75" customHeight="1">
      <c r="AN156" s="418"/>
      <c r="AO156" s="418"/>
      <c r="AP156" s="418"/>
      <c r="AQ156" s="418"/>
      <c r="AR156" s="418"/>
      <c r="AS156" s="418"/>
      <c r="AT156" s="418"/>
      <c r="AU156" s="418"/>
      <c r="AV156" s="418"/>
      <c r="AW156" s="418"/>
      <c r="AX156" s="418"/>
      <c r="AY156" s="418"/>
      <c r="AZ156" s="418"/>
      <c r="BA156" s="418"/>
      <c r="BC156" s="312"/>
    </row>
    <row r="157" spans="8:55" ht="15.75" customHeight="1">
      <c r="AN157" s="418"/>
      <c r="AO157" s="418"/>
      <c r="AP157" s="418"/>
      <c r="AQ157" s="418"/>
      <c r="AR157" s="418"/>
      <c r="AS157" s="418"/>
      <c r="AT157" s="418"/>
      <c r="AU157" s="418"/>
      <c r="AV157" s="418"/>
      <c r="AW157" s="418"/>
      <c r="AX157" s="418"/>
      <c r="AY157" s="418"/>
      <c r="AZ157" s="418"/>
      <c r="BA157" s="418"/>
      <c r="BC157" s="312"/>
    </row>
    <row r="158" spans="8:55" ht="15.75" customHeight="1">
      <c r="AN158" s="418"/>
      <c r="AO158" s="418"/>
      <c r="AP158" s="418"/>
      <c r="AQ158" s="418"/>
      <c r="AR158" s="418"/>
      <c r="AS158" s="418"/>
      <c r="AT158" s="418"/>
      <c r="AU158" s="418"/>
      <c r="AV158" s="418"/>
      <c r="AW158" s="418"/>
      <c r="AX158" s="418"/>
      <c r="AY158" s="418"/>
      <c r="AZ158" s="418"/>
      <c r="BA158" s="418"/>
      <c r="BC158" s="312"/>
    </row>
    <row r="159" spans="8:55" ht="15.75" customHeight="1">
      <c r="AN159" s="418"/>
      <c r="AO159" s="418"/>
      <c r="AP159" s="418"/>
      <c r="AQ159" s="418"/>
      <c r="AR159" s="418"/>
      <c r="AS159" s="418"/>
      <c r="AT159" s="418"/>
      <c r="AU159" s="418"/>
      <c r="AV159" s="418"/>
      <c r="AW159" s="418"/>
      <c r="AX159" s="418"/>
      <c r="AY159" s="418"/>
      <c r="AZ159" s="418"/>
      <c r="BA159" s="418"/>
      <c r="BC159" s="312"/>
    </row>
    <row r="160" spans="8:55" ht="15.75" customHeight="1">
      <c r="AN160" s="418"/>
      <c r="AO160" s="418"/>
      <c r="AP160" s="418"/>
      <c r="AQ160" s="418"/>
      <c r="AR160" s="418"/>
      <c r="AS160" s="418"/>
      <c r="AT160" s="418"/>
      <c r="AU160" s="418"/>
      <c r="AV160" s="418"/>
      <c r="AW160" s="418"/>
      <c r="AX160" s="418"/>
      <c r="AY160" s="418"/>
      <c r="AZ160" s="418"/>
      <c r="BA160" s="418"/>
      <c r="BC160" s="312"/>
    </row>
    <row r="161" spans="40:55" ht="15.75" customHeight="1">
      <c r="AN161" s="418"/>
      <c r="AO161" s="418"/>
      <c r="AP161" s="418"/>
      <c r="AQ161" s="418"/>
      <c r="AR161" s="418"/>
      <c r="AS161" s="418"/>
      <c r="AT161" s="418"/>
      <c r="AU161" s="418"/>
      <c r="AV161" s="418"/>
      <c r="AW161" s="418"/>
      <c r="AX161" s="418"/>
      <c r="AY161" s="418"/>
      <c r="AZ161" s="418"/>
      <c r="BA161" s="418"/>
      <c r="BC161" s="312"/>
    </row>
    <row r="162" spans="40:55" ht="15.75" customHeight="1">
      <c r="AN162" s="418"/>
      <c r="AO162" s="418"/>
      <c r="AP162" s="418"/>
      <c r="AQ162" s="418"/>
      <c r="AR162" s="418"/>
      <c r="AS162" s="418"/>
      <c r="AT162" s="418"/>
      <c r="AU162" s="418"/>
      <c r="AV162" s="418"/>
      <c r="AW162" s="418"/>
      <c r="AX162" s="418"/>
      <c r="AY162" s="418"/>
      <c r="AZ162" s="418"/>
      <c r="BA162" s="418"/>
      <c r="BC162" s="312"/>
    </row>
    <row r="163" spans="40:55" ht="15.75" customHeight="1">
      <c r="AN163" s="418"/>
      <c r="AO163" s="418"/>
      <c r="AP163" s="418"/>
      <c r="AQ163" s="418"/>
      <c r="AR163" s="418"/>
      <c r="AS163" s="418"/>
      <c r="AT163" s="418"/>
      <c r="AU163" s="418"/>
      <c r="AV163" s="418"/>
      <c r="AW163" s="418"/>
      <c r="AX163" s="418"/>
      <c r="AY163" s="418"/>
      <c r="AZ163" s="418"/>
      <c r="BA163" s="418"/>
      <c r="BC163" s="312"/>
    </row>
    <row r="164" spans="40:55" ht="15.75" customHeight="1">
      <c r="AN164" s="418"/>
      <c r="AO164" s="418"/>
      <c r="AP164" s="418"/>
      <c r="AQ164" s="418"/>
      <c r="AR164" s="418"/>
      <c r="AS164" s="418"/>
      <c r="AT164" s="418"/>
      <c r="AU164" s="418"/>
      <c r="AV164" s="418"/>
      <c r="AW164" s="418"/>
      <c r="AX164" s="418"/>
      <c r="AY164" s="418"/>
      <c r="AZ164" s="418"/>
      <c r="BA164" s="418"/>
      <c r="BC164" s="312"/>
    </row>
    <row r="165" spans="40:55" ht="15.75" customHeight="1">
      <c r="AN165" s="418"/>
      <c r="AO165" s="418"/>
      <c r="AP165" s="418"/>
      <c r="AQ165" s="418"/>
      <c r="AR165" s="418"/>
      <c r="AS165" s="418"/>
      <c r="AT165" s="418"/>
      <c r="AU165" s="418"/>
      <c r="AV165" s="418"/>
      <c r="AW165" s="418"/>
      <c r="AX165" s="418"/>
      <c r="AY165" s="418"/>
      <c r="AZ165" s="418"/>
      <c r="BA165" s="418"/>
      <c r="BC165" s="312"/>
    </row>
    <row r="166" spans="40:55" ht="15.75" customHeight="1">
      <c r="AN166" s="418"/>
      <c r="AO166" s="418"/>
      <c r="AP166" s="418"/>
      <c r="AQ166" s="418"/>
      <c r="AR166" s="418"/>
      <c r="AS166" s="418"/>
      <c r="AT166" s="418"/>
      <c r="AU166" s="418"/>
      <c r="AV166" s="418"/>
      <c r="AW166" s="418"/>
      <c r="AX166" s="418"/>
      <c r="AY166" s="418"/>
      <c r="AZ166" s="418"/>
      <c r="BA166" s="418"/>
      <c r="BC166" s="312"/>
    </row>
    <row r="167" spans="40:55" ht="15.75" customHeight="1">
      <c r="AN167" s="418"/>
      <c r="AO167" s="418"/>
      <c r="AP167" s="418"/>
      <c r="AQ167" s="418"/>
      <c r="AR167" s="418"/>
      <c r="AS167" s="418"/>
      <c r="AT167" s="418"/>
      <c r="AU167" s="418"/>
      <c r="AV167" s="418"/>
      <c r="AW167" s="418"/>
      <c r="AX167" s="418"/>
      <c r="AY167" s="418"/>
      <c r="AZ167" s="418"/>
      <c r="BA167" s="418"/>
      <c r="BC167" s="312"/>
    </row>
    <row r="168" spans="40:55" ht="15.75" customHeight="1">
      <c r="AN168" s="418"/>
      <c r="AO168" s="418"/>
      <c r="AP168" s="418"/>
      <c r="AQ168" s="418"/>
      <c r="AR168" s="418"/>
      <c r="AS168" s="418"/>
      <c r="AT168" s="418"/>
      <c r="AU168" s="418"/>
      <c r="AV168" s="418"/>
      <c r="AW168" s="418"/>
      <c r="AX168" s="418"/>
      <c r="AY168" s="418"/>
      <c r="AZ168" s="418"/>
      <c r="BA168" s="418"/>
      <c r="BC168" s="312"/>
    </row>
    <row r="169" spans="40:55" ht="15.75" customHeight="1">
      <c r="AN169" s="418"/>
      <c r="AO169" s="418"/>
      <c r="AP169" s="418"/>
      <c r="AQ169" s="418"/>
      <c r="AR169" s="418"/>
      <c r="AS169" s="418"/>
      <c r="AT169" s="418"/>
      <c r="AU169" s="418"/>
      <c r="AV169" s="418"/>
      <c r="AW169" s="418"/>
      <c r="AX169" s="418"/>
      <c r="AY169" s="418"/>
      <c r="AZ169" s="418"/>
      <c r="BA169" s="418"/>
      <c r="BC169" s="312"/>
    </row>
    <row r="170" spans="40:55" ht="15.75" customHeight="1">
      <c r="AN170" s="418"/>
      <c r="AO170" s="418"/>
      <c r="AP170" s="418"/>
      <c r="AQ170" s="418"/>
      <c r="AR170" s="418"/>
      <c r="AS170" s="418"/>
      <c r="AT170" s="418"/>
      <c r="AU170" s="418"/>
      <c r="AV170" s="418"/>
      <c r="AW170" s="418"/>
      <c r="AX170" s="418"/>
      <c r="AY170" s="418"/>
      <c r="AZ170" s="418"/>
      <c r="BA170" s="418"/>
      <c r="BC170" s="312"/>
    </row>
    <row r="171" spans="40:55" ht="15.75" customHeight="1">
      <c r="AN171" s="418"/>
      <c r="AO171" s="418"/>
      <c r="AP171" s="418"/>
      <c r="AQ171" s="418"/>
      <c r="AR171" s="418"/>
      <c r="AS171" s="418"/>
      <c r="AT171" s="418"/>
      <c r="AU171" s="418"/>
      <c r="AV171" s="418"/>
      <c r="AW171" s="418"/>
      <c r="AX171" s="418"/>
      <c r="AY171" s="418"/>
      <c r="AZ171" s="418"/>
      <c r="BA171" s="418"/>
      <c r="BC171" s="312"/>
    </row>
    <row r="172" spans="40:55" ht="15.75" customHeight="1">
      <c r="AN172" s="418"/>
      <c r="AO172" s="418"/>
      <c r="AP172" s="418"/>
      <c r="AQ172" s="418"/>
      <c r="AR172" s="418"/>
      <c r="AS172" s="418"/>
      <c r="AT172" s="418"/>
      <c r="AU172" s="418"/>
      <c r="AV172" s="418"/>
      <c r="AW172" s="418"/>
      <c r="AX172" s="418"/>
      <c r="AY172" s="418"/>
      <c r="AZ172" s="418"/>
      <c r="BA172" s="418"/>
      <c r="BC172" s="312"/>
    </row>
    <row r="173" spans="40:55" ht="15.75" customHeight="1">
      <c r="AN173" s="418"/>
      <c r="AO173" s="418"/>
      <c r="AP173" s="418"/>
      <c r="AQ173" s="418"/>
      <c r="AR173" s="418"/>
      <c r="AS173" s="418"/>
      <c r="AT173" s="418"/>
      <c r="AU173" s="418"/>
      <c r="AV173" s="418"/>
      <c r="AW173" s="418"/>
      <c r="AX173" s="418"/>
      <c r="AY173" s="418"/>
      <c r="AZ173" s="418"/>
      <c r="BA173" s="418"/>
      <c r="BC173" s="312"/>
    </row>
    <row r="174" spans="40:55" ht="15.75" customHeight="1">
      <c r="AN174" s="418"/>
      <c r="AO174" s="418"/>
      <c r="AP174" s="418"/>
      <c r="AQ174" s="418"/>
      <c r="AR174" s="418"/>
      <c r="AS174" s="418"/>
      <c r="AT174" s="418"/>
      <c r="AU174" s="418"/>
      <c r="AV174" s="418"/>
      <c r="AW174" s="418"/>
      <c r="AX174" s="418"/>
      <c r="AY174" s="418"/>
      <c r="AZ174" s="418"/>
      <c r="BA174" s="418"/>
      <c r="BC174" s="312"/>
    </row>
    <row r="175" spans="40:55" ht="15.75" customHeight="1">
      <c r="AN175" s="418"/>
      <c r="AO175" s="418"/>
      <c r="AP175" s="418"/>
      <c r="AQ175" s="418"/>
      <c r="AR175" s="418"/>
      <c r="AS175" s="418"/>
      <c r="AT175" s="418"/>
      <c r="AU175" s="418"/>
      <c r="AV175" s="418"/>
      <c r="AW175" s="418"/>
      <c r="AX175" s="418"/>
      <c r="AY175" s="418"/>
      <c r="AZ175" s="418"/>
      <c r="BA175" s="418"/>
      <c r="BC175" s="312"/>
    </row>
    <row r="176" spans="40:55" ht="15.75" customHeight="1">
      <c r="AN176" s="418"/>
      <c r="AO176" s="418"/>
      <c r="AP176" s="418"/>
      <c r="AQ176" s="418"/>
      <c r="AR176" s="418"/>
      <c r="AS176" s="418"/>
      <c r="AT176" s="418"/>
      <c r="AU176" s="418"/>
      <c r="AV176" s="418"/>
      <c r="AW176" s="418"/>
      <c r="AX176" s="418"/>
      <c r="AY176" s="418"/>
      <c r="AZ176" s="418"/>
      <c r="BA176" s="418"/>
      <c r="BC176" s="312"/>
    </row>
    <row r="177" spans="40:55" ht="15.75" customHeight="1">
      <c r="AN177" s="418"/>
      <c r="AO177" s="418"/>
      <c r="AP177" s="418"/>
      <c r="AQ177" s="418"/>
      <c r="AR177" s="418"/>
      <c r="AS177" s="418"/>
      <c r="AT177" s="418"/>
      <c r="AU177" s="418"/>
      <c r="AV177" s="418"/>
      <c r="AW177" s="418"/>
      <c r="AX177" s="418"/>
      <c r="AY177" s="418"/>
      <c r="AZ177" s="418"/>
      <c r="BA177" s="418"/>
      <c r="BC177" s="312"/>
    </row>
    <row r="178" spans="40:55" ht="15.75" customHeight="1">
      <c r="AN178" s="418"/>
      <c r="AO178" s="418"/>
      <c r="AP178" s="418"/>
      <c r="AQ178" s="418"/>
      <c r="AR178" s="418"/>
      <c r="AS178" s="418"/>
      <c r="AT178" s="418"/>
      <c r="AU178" s="418"/>
      <c r="AV178" s="418"/>
      <c r="AW178" s="418"/>
      <c r="AX178" s="418"/>
      <c r="AY178" s="418"/>
      <c r="AZ178" s="418"/>
      <c r="BA178" s="418"/>
      <c r="BC178" s="312"/>
    </row>
    <row r="179" spans="40:55" ht="15.75" customHeight="1">
      <c r="AN179" s="418"/>
      <c r="AO179" s="418"/>
      <c r="AP179" s="418"/>
      <c r="AQ179" s="418"/>
      <c r="AR179" s="418"/>
      <c r="AS179" s="418"/>
      <c r="AT179" s="418"/>
      <c r="AU179" s="418"/>
      <c r="AV179" s="418"/>
      <c r="AW179" s="418"/>
      <c r="AX179" s="418"/>
      <c r="AY179" s="418"/>
      <c r="AZ179" s="418"/>
      <c r="BA179" s="418"/>
      <c r="BC179" s="312"/>
    </row>
    <row r="180" spans="40:55" ht="15.75" customHeight="1">
      <c r="AN180" s="418"/>
      <c r="AO180" s="418"/>
      <c r="AP180" s="418"/>
      <c r="AQ180" s="418"/>
      <c r="AR180" s="418"/>
      <c r="AS180" s="418"/>
      <c r="AT180" s="418"/>
      <c r="AU180" s="418"/>
      <c r="AV180" s="418"/>
      <c r="AW180" s="418"/>
      <c r="AX180" s="418"/>
      <c r="AY180" s="418"/>
      <c r="AZ180" s="418"/>
      <c r="BA180" s="418"/>
      <c r="BC180" s="312"/>
    </row>
    <row r="181" spans="40:55" ht="15.75" customHeight="1">
      <c r="AN181" s="418"/>
      <c r="AO181" s="418"/>
      <c r="AP181" s="418"/>
      <c r="AQ181" s="418"/>
      <c r="AR181" s="418"/>
      <c r="AS181" s="418"/>
      <c r="AT181" s="418"/>
      <c r="AU181" s="418"/>
      <c r="AV181" s="418"/>
      <c r="AW181" s="418"/>
      <c r="AX181" s="418"/>
      <c r="AY181" s="418"/>
      <c r="AZ181" s="418"/>
      <c r="BA181" s="418"/>
      <c r="BC181" s="312"/>
    </row>
    <row r="182" spans="40:55" ht="15.75" customHeight="1">
      <c r="AN182" s="418"/>
      <c r="AO182" s="418"/>
      <c r="AP182" s="418"/>
      <c r="AQ182" s="418"/>
      <c r="AR182" s="418"/>
      <c r="AS182" s="418"/>
      <c r="AT182" s="418"/>
      <c r="AU182" s="418"/>
      <c r="AV182" s="418"/>
      <c r="AW182" s="418"/>
      <c r="AX182" s="418"/>
      <c r="AY182" s="418"/>
      <c r="AZ182" s="418"/>
      <c r="BA182" s="418"/>
      <c r="BC182" s="312"/>
    </row>
    <row r="183" spans="40:55" ht="15.75" customHeight="1">
      <c r="AN183" s="418"/>
      <c r="AO183" s="418"/>
      <c r="AP183" s="418"/>
      <c r="AQ183" s="418"/>
      <c r="AR183" s="418"/>
      <c r="AS183" s="418"/>
      <c r="AT183" s="418"/>
      <c r="AU183" s="418"/>
      <c r="AV183" s="418"/>
      <c r="AW183" s="418"/>
      <c r="AX183" s="418"/>
      <c r="AY183" s="418"/>
      <c r="AZ183" s="418"/>
      <c r="BA183" s="418"/>
      <c r="BC183" s="312"/>
    </row>
    <row r="184" spans="40:55" ht="15.75" customHeight="1">
      <c r="AN184" s="418"/>
      <c r="AO184" s="418"/>
      <c r="AP184" s="418"/>
      <c r="AQ184" s="418"/>
      <c r="AR184" s="418"/>
      <c r="AS184" s="418"/>
      <c r="AT184" s="418"/>
      <c r="AU184" s="418"/>
      <c r="AV184" s="418"/>
      <c r="AW184" s="418"/>
      <c r="AX184" s="418"/>
      <c r="AY184" s="418"/>
      <c r="AZ184" s="418"/>
      <c r="BA184" s="418"/>
      <c r="BC184" s="312"/>
    </row>
    <row r="185" spans="40:55" ht="15.75" customHeight="1">
      <c r="AN185" s="418"/>
      <c r="AO185" s="418"/>
      <c r="AP185" s="418"/>
      <c r="AQ185" s="418"/>
      <c r="AR185" s="418"/>
      <c r="AS185" s="418"/>
      <c r="AT185" s="418"/>
      <c r="AU185" s="418"/>
      <c r="AV185" s="418"/>
      <c r="AW185" s="418"/>
      <c r="AX185" s="418"/>
      <c r="AY185" s="418"/>
      <c r="AZ185" s="418"/>
      <c r="BA185" s="418"/>
      <c r="BC185" s="312"/>
    </row>
    <row r="186" spans="40:55" ht="15.75" customHeight="1">
      <c r="AN186" s="418"/>
      <c r="AO186" s="418"/>
      <c r="AP186" s="418"/>
      <c r="AQ186" s="418"/>
      <c r="AR186" s="418"/>
      <c r="AS186" s="418"/>
      <c r="AT186" s="418"/>
      <c r="AU186" s="418"/>
      <c r="AV186" s="418"/>
      <c r="AW186" s="418"/>
      <c r="AX186" s="418"/>
      <c r="AY186" s="418"/>
      <c r="AZ186" s="418"/>
      <c r="BA186" s="418"/>
      <c r="BC186" s="312"/>
    </row>
    <row r="187" spans="40:55" ht="15.75" customHeight="1">
      <c r="AN187" s="418"/>
      <c r="AO187" s="418"/>
      <c r="AP187" s="418"/>
      <c r="AQ187" s="418"/>
      <c r="AR187" s="418"/>
      <c r="AS187" s="418"/>
      <c r="AT187" s="418"/>
      <c r="AU187" s="418"/>
      <c r="AV187" s="418"/>
      <c r="AW187" s="418"/>
      <c r="AX187" s="418"/>
      <c r="AY187" s="418"/>
      <c r="AZ187" s="418"/>
      <c r="BA187" s="418"/>
      <c r="BC187" s="312"/>
    </row>
    <row r="188" spans="40:55" ht="15.75" customHeight="1">
      <c r="AN188" s="418"/>
      <c r="AO188" s="418"/>
      <c r="AP188" s="418"/>
      <c r="AQ188" s="418"/>
      <c r="AR188" s="418"/>
      <c r="AS188" s="418"/>
      <c r="AT188" s="418"/>
      <c r="AU188" s="418"/>
      <c r="AV188" s="418"/>
      <c r="AW188" s="418"/>
      <c r="AX188" s="418"/>
      <c r="AY188" s="418"/>
      <c r="AZ188" s="418"/>
      <c r="BA188" s="418"/>
      <c r="BC188" s="312"/>
    </row>
    <row r="189" spans="40:55" ht="15.75" customHeight="1">
      <c r="AN189" s="418"/>
      <c r="AO189" s="418"/>
      <c r="AP189" s="418"/>
      <c r="AQ189" s="418"/>
      <c r="AR189" s="418"/>
      <c r="AS189" s="418"/>
      <c r="AT189" s="418"/>
      <c r="AU189" s="418"/>
      <c r="AV189" s="418"/>
      <c r="AW189" s="418"/>
      <c r="AX189" s="418"/>
      <c r="AY189" s="418"/>
      <c r="AZ189" s="418"/>
      <c r="BA189" s="418"/>
      <c r="BC189" s="312"/>
    </row>
    <row r="190" spans="40:55" ht="15.75" customHeight="1">
      <c r="AN190" s="418"/>
      <c r="AO190" s="418"/>
      <c r="AP190" s="418"/>
      <c r="AQ190" s="418"/>
      <c r="AR190" s="418"/>
      <c r="AS190" s="418"/>
      <c r="AT190" s="418"/>
      <c r="AU190" s="418"/>
      <c r="AV190" s="418"/>
      <c r="AW190" s="418"/>
      <c r="AX190" s="418"/>
      <c r="AY190" s="418"/>
      <c r="AZ190" s="418"/>
      <c r="BA190" s="418"/>
      <c r="BC190" s="312"/>
    </row>
    <row r="191" spans="40:55" ht="15.75" customHeight="1">
      <c r="AN191" s="418"/>
      <c r="AO191" s="418"/>
      <c r="AP191" s="418"/>
      <c r="AQ191" s="418"/>
      <c r="AR191" s="418"/>
      <c r="AS191" s="418"/>
      <c r="AT191" s="418"/>
      <c r="AU191" s="418"/>
      <c r="AV191" s="418"/>
      <c r="AW191" s="418"/>
      <c r="AX191" s="418"/>
      <c r="AY191" s="418"/>
      <c r="AZ191" s="418"/>
      <c r="BA191" s="418"/>
      <c r="BC191" s="312"/>
    </row>
    <row r="192" spans="40:55" ht="15.75" customHeight="1">
      <c r="AN192" s="418"/>
      <c r="AO192" s="418"/>
      <c r="AP192" s="418"/>
      <c r="AQ192" s="418"/>
      <c r="AR192" s="418"/>
      <c r="AS192" s="418"/>
      <c r="AT192" s="418"/>
      <c r="AU192" s="418"/>
      <c r="AV192" s="418"/>
      <c r="AW192" s="418"/>
      <c r="AX192" s="418"/>
      <c r="AY192" s="418"/>
      <c r="AZ192" s="418"/>
      <c r="BA192" s="418"/>
      <c r="BC192" s="312"/>
    </row>
    <row r="193" spans="40:55" ht="15.75" customHeight="1">
      <c r="AN193" s="418"/>
      <c r="AO193" s="418"/>
      <c r="AP193" s="418"/>
      <c r="AQ193" s="418"/>
      <c r="AR193" s="418"/>
      <c r="AS193" s="418"/>
      <c r="AT193" s="418"/>
      <c r="AU193" s="418"/>
      <c r="AV193" s="418"/>
      <c r="AW193" s="418"/>
      <c r="AX193" s="418"/>
      <c r="AY193" s="418"/>
      <c r="AZ193" s="418"/>
      <c r="BA193" s="418"/>
      <c r="BC193" s="312"/>
    </row>
    <row r="194" spans="40:55" ht="15.75" customHeight="1">
      <c r="AN194" s="418"/>
      <c r="AO194" s="418"/>
      <c r="AP194" s="418"/>
      <c r="AQ194" s="418"/>
      <c r="AR194" s="418"/>
      <c r="AS194" s="418"/>
      <c r="AT194" s="418"/>
      <c r="AU194" s="418"/>
      <c r="AV194" s="418"/>
      <c r="AW194" s="418"/>
      <c r="AX194" s="418"/>
      <c r="AY194" s="418"/>
      <c r="AZ194" s="418"/>
      <c r="BA194" s="418"/>
      <c r="BC194" s="312"/>
    </row>
    <row r="195" spans="40:55" ht="15.75" customHeight="1">
      <c r="AN195" s="418"/>
      <c r="AO195" s="418"/>
      <c r="AP195" s="418"/>
      <c r="AQ195" s="418"/>
      <c r="AR195" s="418"/>
      <c r="AS195" s="418"/>
      <c r="AT195" s="418"/>
      <c r="AU195" s="418"/>
      <c r="AV195" s="418"/>
      <c r="AW195" s="418"/>
      <c r="AX195" s="418"/>
      <c r="AY195" s="418"/>
      <c r="AZ195" s="418"/>
      <c r="BA195" s="418"/>
      <c r="BC195" s="312"/>
    </row>
    <row r="196" spans="40:55" ht="15.75" customHeight="1">
      <c r="AN196" s="418"/>
      <c r="AO196" s="418"/>
      <c r="AP196" s="418"/>
      <c r="AQ196" s="418"/>
      <c r="AR196" s="418"/>
      <c r="AS196" s="418"/>
      <c r="AT196" s="418"/>
      <c r="AU196" s="418"/>
      <c r="AV196" s="418"/>
      <c r="AW196" s="418"/>
      <c r="AX196" s="418"/>
      <c r="AY196" s="418"/>
      <c r="AZ196" s="418"/>
      <c r="BA196" s="418"/>
      <c r="BC196" s="312"/>
    </row>
    <row r="197" spans="40:55" ht="15.75" customHeight="1">
      <c r="AN197" s="418"/>
      <c r="AO197" s="418"/>
      <c r="AP197" s="418"/>
      <c r="AQ197" s="418"/>
      <c r="AR197" s="418"/>
      <c r="AS197" s="418"/>
      <c r="AT197" s="418"/>
      <c r="AU197" s="418"/>
      <c r="AV197" s="418"/>
      <c r="AW197" s="418"/>
      <c r="AX197" s="418"/>
      <c r="AY197" s="418"/>
      <c r="AZ197" s="418"/>
      <c r="BA197" s="418"/>
      <c r="BC197" s="312"/>
    </row>
    <row r="198" spans="40:55" ht="15.75" customHeight="1">
      <c r="AN198" s="418"/>
      <c r="AO198" s="418"/>
      <c r="AP198" s="418"/>
      <c r="AQ198" s="418"/>
      <c r="AR198" s="418"/>
      <c r="AS198" s="418"/>
      <c r="AT198" s="418"/>
      <c r="AU198" s="418"/>
      <c r="AV198" s="418"/>
      <c r="AW198" s="418"/>
      <c r="AX198" s="418"/>
      <c r="AY198" s="418"/>
      <c r="AZ198" s="418"/>
      <c r="BA198" s="418"/>
      <c r="BC198" s="312"/>
    </row>
    <row r="199" spans="40:55" ht="15.75" customHeight="1">
      <c r="AN199" s="418"/>
      <c r="AO199" s="418"/>
      <c r="AP199" s="418"/>
      <c r="AQ199" s="418"/>
      <c r="AR199" s="418"/>
      <c r="AS199" s="418"/>
      <c r="AT199" s="418"/>
      <c r="AU199" s="418"/>
      <c r="AV199" s="418"/>
      <c r="AW199" s="418"/>
      <c r="AX199" s="418"/>
      <c r="AY199" s="418"/>
      <c r="AZ199" s="418"/>
      <c r="BA199" s="418"/>
      <c r="BC199" s="312"/>
    </row>
    <row r="200" spans="40:55" ht="15.75" customHeight="1">
      <c r="AN200" s="418"/>
      <c r="AO200" s="418"/>
      <c r="AP200" s="418"/>
      <c r="AQ200" s="418"/>
      <c r="AR200" s="418"/>
      <c r="AS200" s="418"/>
      <c r="AT200" s="418"/>
      <c r="AU200" s="418"/>
      <c r="AV200" s="418"/>
      <c r="AW200" s="418"/>
      <c r="AX200" s="418"/>
      <c r="AY200" s="418"/>
      <c r="AZ200" s="418"/>
      <c r="BA200" s="418"/>
      <c r="BC200" s="312"/>
    </row>
    <row r="201" spans="40:55" ht="15.75" customHeight="1">
      <c r="AN201" s="418"/>
      <c r="AO201" s="418"/>
      <c r="AP201" s="418"/>
      <c r="AQ201" s="418"/>
      <c r="AR201" s="418"/>
      <c r="AS201" s="418"/>
      <c r="AT201" s="418"/>
      <c r="AU201" s="418"/>
      <c r="AV201" s="418"/>
      <c r="AW201" s="418"/>
      <c r="AX201" s="418"/>
      <c r="AY201" s="418"/>
      <c r="AZ201" s="418"/>
      <c r="BA201" s="418"/>
      <c r="BC201" s="312"/>
    </row>
    <row r="202" spans="40:55" ht="15.75" customHeight="1">
      <c r="AN202" s="421"/>
      <c r="AO202" s="421"/>
      <c r="AP202" s="421"/>
      <c r="AQ202" s="421"/>
      <c r="AR202" s="421"/>
      <c r="AS202" s="421"/>
      <c r="AT202" s="421"/>
      <c r="AU202" s="421"/>
      <c r="AV202" s="421"/>
      <c r="AW202" s="421"/>
      <c r="AX202" s="421"/>
      <c r="AY202" s="421"/>
      <c r="AZ202" s="421"/>
      <c r="BA202" s="421"/>
      <c r="BC202" s="312"/>
    </row>
    <row r="203" spans="40:55" ht="15.75" customHeight="1">
      <c r="AN203" s="421"/>
      <c r="AO203" s="421"/>
      <c r="AP203" s="421"/>
      <c r="AQ203" s="421"/>
      <c r="AR203" s="421"/>
      <c r="AS203" s="421"/>
      <c r="AT203" s="421"/>
      <c r="AU203" s="421"/>
      <c r="AV203" s="421"/>
      <c r="AW203" s="421"/>
      <c r="AX203" s="421"/>
      <c r="AY203" s="421"/>
      <c r="AZ203" s="421"/>
      <c r="BA203" s="421"/>
      <c r="BC203" s="312"/>
    </row>
    <row r="204" spans="40:55" ht="15.75" customHeight="1">
      <c r="AN204" s="421"/>
      <c r="AO204" s="421"/>
      <c r="AP204" s="421"/>
      <c r="AQ204" s="421"/>
      <c r="AR204" s="421"/>
      <c r="AS204" s="421"/>
      <c r="AT204" s="421"/>
      <c r="AU204" s="421"/>
      <c r="AV204" s="421"/>
      <c r="AW204" s="421"/>
      <c r="AX204" s="421"/>
      <c r="AY204" s="421"/>
      <c r="AZ204" s="421"/>
      <c r="BA204" s="421"/>
      <c r="BC204" s="312"/>
    </row>
    <row r="205" spans="40:55" ht="15.75" customHeight="1">
      <c r="AN205" s="421"/>
      <c r="AO205" s="421"/>
      <c r="AP205" s="421"/>
      <c r="AQ205" s="421"/>
      <c r="AR205" s="421"/>
      <c r="AS205" s="421"/>
      <c r="AT205" s="421"/>
      <c r="AU205" s="421"/>
      <c r="AV205" s="421"/>
      <c r="AW205" s="421"/>
      <c r="AX205" s="421"/>
      <c r="AY205" s="421"/>
      <c r="AZ205" s="421"/>
      <c r="BA205" s="421"/>
      <c r="BC205" s="312"/>
    </row>
    <row r="206" spans="40:55" ht="15.75" customHeight="1">
      <c r="AN206" s="421"/>
      <c r="AO206" s="421"/>
      <c r="AP206" s="421"/>
      <c r="AQ206" s="421"/>
      <c r="AR206" s="421"/>
      <c r="AS206" s="421"/>
      <c r="AT206" s="421"/>
      <c r="AU206" s="421"/>
      <c r="AV206" s="421"/>
      <c r="AW206" s="421"/>
      <c r="AX206" s="421"/>
      <c r="AY206" s="421"/>
      <c r="AZ206" s="421"/>
      <c r="BA206" s="421"/>
      <c r="BC206" s="312"/>
    </row>
    <row r="207" spans="40:55" ht="15.75" customHeight="1">
      <c r="AN207" s="418"/>
      <c r="AO207" s="418"/>
      <c r="AP207" s="418"/>
      <c r="AQ207" s="418"/>
      <c r="AR207" s="418"/>
      <c r="AS207" s="418"/>
      <c r="AT207" s="418"/>
      <c r="AU207" s="418"/>
      <c r="AV207" s="418"/>
      <c r="AW207" s="418"/>
      <c r="AX207" s="418"/>
      <c r="AY207" s="418"/>
      <c r="AZ207" s="418"/>
      <c r="BA207" s="418"/>
      <c r="BC207" s="312"/>
    </row>
    <row r="208" spans="40:55" ht="15.75" customHeight="1">
      <c r="AN208" s="418"/>
      <c r="AO208" s="418"/>
      <c r="AP208" s="418"/>
      <c r="AQ208" s="418"/>
      <c r="AR208" s="418"/>
      <c r="AS208" s="418"/>
      <c r="AT208" s="418"/>
      <c r="AU208" s="418"/>
      <c r="AV208" s="418"/>
      <c r="AW208" s="418"/>
      <c r="AX208" s="418"/>
      <c r="AY208" s="418"/>
      <c r="AZ208" s="418"/>
      <c r="BA208" s="418"/>
      <c r="BC208" s="312"/>
    </row>
    <row r="209" spans="40:55" ht="15.75" customHeight="1">
      <c r="AN209" s="418"/>
      <c r="AO209" s="418"/>
      <c r="AP209" s="418"/>
      <c r="AQ209" s="418"/>
      <c r="AR209" s="418"/>
      <c r="AS209" s="418"/>
      <c r="AT209" s="418"/>
      <c r="AU209" s="418"/>
      <c r="AV209" s="418"/>
      <c r="AW209" s="418"/>
      <c r="AX209" s="418"/>
      <c r="AY209" s="418"/>
      <c r="AZ209" s="418"/>
      <c r="BA209" s="418"/>
      <c r="BC209" s="312"/>
    </row>
    <row r="210" spans="40:55" ht="15.75" customHeight="1">
      <c r="AN210" s="418"/>
      <c r="AO210" s="418"/>
      <c r="AP210" s="418"/>
      <c r="AQ210" s="418"/>
      <c r="AR210" s="418"/>
      <c r="AS210" s="418"/>
      <c r="AT210" s="418"/>
      <c r="AU210" s="418"/>
      <c r="AV210" s="418"/>
      <c r="AW210" s="418"/>
      <c r="AX210" s="418"/>
      <c r="AY210" s="418"/>
      <c r="AZ210" s="418"/>
      <c r="BA210" s="418"/>
      <c r="BC210" s="312"/>
    </row>
    <row r="211" spans="40:55" ht="15.75" customHeight="1">
      <c r="AN211" s="418"/>
      <c r="AO211" s="418"/>
      <c r="AP211" s="418"/>
      <c r="AQ211" s="418"/>
      <c r="AR211" s="418"/>
      <c r="AS211" s="418"/>
      <c r="AT211" s="418"/>
      <c r="AU211" s="418"/>
      <c r="AV211" s="418"/>
      <c r="AW211" s="418"/>
      <c r="AX211" s="418"/>
      <c r="AY211" s="418"/>
      <c r="AZ211" s="418"/>
      <c r="BA211" s="418"/>
      <c r="BC211" s="312"/>
    </row>
    <row r="212" spans="40:55" ht="15.75" customHeight="1">
      <c r="AN212" s="418"/>
      <c r="AO212" s="418"/>
      <c r="AP212" s="418"/>
      <c r="AQ212" s="418"/>
      <c r="AR212" s="418"/>
      <c r="AS212" s="418"/>
      <c r="AT212" s="418"/>
      <c r="AU212" s="418"/>
      <c r="AV212" s="418"/>
      <c r="AW212" s="418"/>
      <c r="AX212" s="418"/>
      <c r="AY212" s="418"/>
      <c r="AZ212" s="418"/>
      <c r="BA212" s="418"/>
      <c r="BC212" s="312"/>
    </row>
    <row r="213" spans="40:55" ht="15.75" customHeight="1">
      <c r="AN213" s="418"/>
      <c r="AO213" s="418"/>
      <c r="AP213" s="418"/>
      <c r="AQ213" s="418"/>
      <c r="AR213" s="418"/>
      <c r="AS213" s="418"/>
      <c r="AT213" s="418"/>
      <c r="AU213" s="418"/>
      <c r="AV213" s="418"/>
      <c r="AW213" s="418"/>
      <c r="AX213" s="418"/>
      <c r="AY213" s="418"/>
      <c r="AZ213" s="418"/>
      <c r="BA213" s="418"/>
      <c r="BC213" s="312"/>
    </row>
    <row r="214" spans="40:55" ht="15.75" customHeight="1">
      <c r="AN214" s="418"/>
      <c r="AO214" s="418"/>
      <c r="AP214" s="418"/>
      <c r="AQ214" s="418"/>
      <c r="AR214" s="418"/>
      <c r="AS214" s="418"/>
      <c r="AT214" s="418"/>
      <c r="AU214" s="418"/>
      <c r="AV214" s="418"/>
      <c r="AW214" s="418"/>
      <c r="AX214" s="418"/>
      <c r="AY214" s="418"/>
      <c r="AZ214" s="418"/>
      <c r="BA214" s="418"/>
      <c r="BC214" s="312"/>
    </row>
    <row r="215" spans="40:55" ht="15.75" customHeight="1">
      <c r="AN215" s="418"/>
      <c r="AO215" s="418"/>
      <c r="AP215" s="418"/>
      <c r="AQ215" s="418"/>
      <c r="AR215" s="418"/>
      <c r="AS215" s="418"/>
      <c r="AT215" s="418"/>
      <c r="AU215" s="418"/>
      <c r="AV215" s="418"/>
      <c r="AW215" s="418"/>
      <c r="AX215" s="418"/>
      <c r="AY215" s="418"/>
      <c r="AZ215" s="418"/>
      <c r="BA215" s="418"/>
      <c r="BC215" s="312"/>
    </row>
    <row r="216" spans="40:55" ht="15.75" customHeight="1">
      <c r="AN216" s="418"/>
      <c r="AO216" s="418"/>
      <c r="AP216" s="418"/>
      <c r="AQ216" s="418"/>
      <c r="AR216" s="418"/>
      <c r="AS216" s="418"/>
      <c r="AT216" s="418"/>
      <c r="AU216" s="418"/>
      <c r="AV216" s="418"/>
      <c r="AW216" s="418"/>
      <c r="AX216" s="418"/>
      <c r="AY216" s="418"/>
      <c r="AZ216" s="418"/>
      <c r="BA216" s="418"/>
      <c r="BC216" s="312"/>
    </row>
    <row r="217" spans="40:55" ht="15.75" customHeight="1">
      <c r="AN217" s="418"/>
      <c r="AO217" s="418"/>
      <c r="AP217" s="418"/>
      <c r="AQ217" s="418"/>
      <c r="AR217" s="418"/>
      <c r="AS217" s="418"/>
      <c r="AT217" s="418"/>
      <c r="AU217" s="418"/>
      <c r="AV217" s="418"/>
      <c r="AW217" s="418"/>
      <c r="AX217" s="418"/>
      <c r="AY217" s="418"/>
      <c r="AZ217" s="418"/>
      <c r="BA217" s="418"/>
      <c r="BC217" s="312"/>
    </row>
    <row r="218" spans="40:55" ht="15.75" customHeight="1">
      <c r="AN218" s="418"/>
      <c r="AO218" s="418"/>
      <c r="AP218" s="418"/>
      <c r="AQ218" s="418"/>
      <c r="AR218" s="418"/>
      <c r="AS218" s="418"/>
      <c r="AT218" s="418"/>
      <c r="AU218" s="418"/>
      <c r="AV218" s="418"/>
      <c r="AW218" s="418"/>
      <c r="AX218" s="418"/>
      <c r="AY218" s="418"/>
      <c r="AZ218" s="418"/>
      <c r="BA218" s="418"/>
      <c r="BC218" s="312"/>
    </row>
    <row r="219" spans="40:55" ht="15.75" customHeight="1">
      <c r="AN219" s="418"/>
      <c r="AO219" s="418"/>
      <c r="AP219" s="418"/>
      <c r="AQ219" s="418"/>
      <c r="AR219" s="418"/>
      <c r="AS219" s="418"/>
      <c r="AT219" s="418"/>
      <c r="AU219" s="418"/>
      <c r="AV219" s="418"/>
      <c r="AW219" s="418"/>
      <c r="AX219" s="418"/>
      <c r="AY219" s="418"/>
      <c r="AZ219" s="418"/>
      <c r="BA219" s="418"/>
      <c r="BC219" s="312"/>
    </row>
    <row r="220" spans="40:55" ht="15.75" customHeight="1">
      <c r="AN220" s="418"/>
      <c r="AO220" s="418"/>
      <c r="AP220" s="418"/>
      <c r="AQ220" s="418"/>
      <c r="AR220" s="418"/>
      <c r="AS220" s="418"/>
      <c r="AT220" s="418"/>
      <c r="AU220" s="418"/>
      <c r="AV220" s="418"/>
      <c r="AW220" s="418"/>
      <c r="AX220" s="418"/>
      <c r="AY220" s="418"/>
      <c r="AZ220" s="418"/>
      <c r="BA220" s="418"/>
      <c r="BC220" s="312"/>
    </row>
    <row r="221" spans="40:55" ht="15.75" customHeight="1">
      <c r="AN221" s="418"/>
      <c r="AO221" s="418"/>
      <c r="AP221" s="418"/>
      <c r="AQ221" s="418"/>
      <c r="AR221" s="418"/>
      <c r="AS221" s="418"/>
      <c r="AT221" s="418"/>
      <c r="AU221" s="418"/>
      <c r="AV221" s="418"/>
      <c r="AW221" s="418"/>
      <c r="AX221" s="418"/>
      <c r="AY221" s="418"/>
      <c r="AZ221" s="418"/>
      <c r="BA221" s="418"/>
      <c r="BC221" s="312"/>
    </row>
    <row r="222" spans="40:55" ht="15.75" customHeight="1">
      <c r="AN222" s="418"/>
      <c r="AO222" s="418"/>
      <c r="AP222" s="418"/>
      <c r="AQ222" s="418"/>
      <c r="AR222" s="418"/>
      <c r="AS222" s="418"/>
      <c r="AT222" s="418"/>
      <c r="AU222" s="418"/>
      <c r="AV222" s="418"/>
      <c r="AW222" s="418"/>
      <c r="AX222" s="418"/>
      <c r="AY222" s="418"/>
      <c r="AZ222" s="418"/>
      <c r="BA222" s="418"/>
      <c r="BC222" s="312"/>
    </row>
    <row r="223" spans="40:55" ht="15.75" customHeight="1">
      <c r="AN223" s="418"/>
      <c r="AO223" s="418"/>
      <c r="AP223" s="418"/>
      <c r="AQ223" s="418"/>
      <c r="AR223" s="418"/>
      <c r="AS223" s="418"/>
      <c r="AT223" s="418"/>
      <c r="AU223" s="418"/>
      <c r="AV223" s="418"/>
      <c r="AW223" s="418"/>
      <c r="AX223" s="418"/>
      <c r="AY223" s="418"/>
      <c r="AZ223" s="418"/>
      <c r="BA223" s="418"/>
      <c r="BC223" s="312"/>
    </row>
    <row r="224" spans="40:55" ht="15.75" customHeight="1">
      <c r="AN224" s="418"/>
      <c r="AO224" s="418"/>
      <c r="AP224" s="418"/>
      <c r="AQ224" s="418"/>
      <c r="AR224" s="418"/>
      <c r="AS224" s="418"/>
      <c r="AT224" s="418"/>
      <c r="AU224" s="418"/>
      <c r="AV224" s="418"/>
      <c r="AW224" s="418"/>
      <c r="AX224" s="418"/>
      <c r="AY224" s="418"/>
      <c r="AZ224" s="418"/>
      <c r="BA224" s="418"/>
      <c r="BC224" s="312"/>
    </row>
    <row r="225" spans="40:55" ht="15.75" customHeight="1">
      <c r="AN225" s="418"/>
      <c r="AO225" s="418"/>
      <c r="AP225" s="418"/>
      <c r="AQ225" s="418"/>
      <c r="AR225" s="418"/>
      <c r="AS225" s="418"/>
      <c r="AT225" s="418"/>
      <c r="AU225" s="418"/>
      <c r="AV225" s="418"/>
      <c r="AW225" s="418"/>
      <c r="AX225" s="418"/>
      <c r="AY225" s="418"/>
      <c r="AZ225" s="418"/>
      <c r="BA225" s="418"/>
      <c r="BC225" s="312"/>
    </row>
    <row r="226" spans="40:55" ht="15.75" customHeight="1">
      <c r="AN226" s="418"/>
      <c r="AO226" s="418"/>
      <c r="AP226" s="418"/>
      <c r="AQ226" s="418"/>
      <c r="AR226" s="418"/>
      <c r="AS226" s="418"/>
      <c r="AT226" s="418"/>
      <c r="AU226" s="418"/>
      <c r="AV226" s="418"/>
      <c r="AW226" s="418"/>
      <c r="AX226" s="418"/>
      <c r="AY226" s="418"/>
      <c r="AZ226" s="418"/>
      <c r="BA226" s="418"/>
      <c r="BC226" s="312"/>
    </row>
    <row r="227" spans="40:55" ht="15.75" customHeight="1">
      <c r="AN227" s="418"/>
      <c r="AO227" s="418"/>
      <c r="AP227" s="418"/>
      <c r="AQ227" s="418"/>
      <c r="AR227" s="418"/>
      <c r="AS227" s="418"/>
      <c r="AT227" s="418"/>
      <c r="AU227" s="418"/>
      <c r="AV227" s="418"/>
      <c r="AW227" s="418"/>
      <c r="AX227" s="418"/>
      <c r="AY227" s="418"/>
      <c r="AZ227" s="418"/>
      <c r="BA227" s="418"/>
      <c r="BC227" s="312"/>
    </row>
    <row r="228" spans="40:55" ht="15.75" customHeight="1">
      <c r="AN228" s="418"/>
      <c r="AO228" s="418"/>
      <c r="AP228" s="418"/>
      <c r="AQ228" s="418"/>
      <c r="AR228" s="418"/>
      <c r="AS228" s="418"/>
      <c r="AT228" s="418"/>
      <c r="AU228" s="418"/>
      <c r="AV228" s="418"/>
      <c r="AW228" s="418"/>
      <c r="AX228" s="418"/>
      <c r="AY228" s="418"/>
      <c r="AZ228" s="418"/>
      <c r="BA228" s="418"/>
      <c r="BC228" s="312"/>
    </row>
    <row r="229" spans="40:55" ht="15.75" customHeight="1">
      <c r="AN229" s="418"/>
      <c r="AO229" s="418"/>
      <c r="AP229" s="418"/>
      <c r="AQ229" s="418"/>
      <c r="AR229" s="418"/>
      <c r="AS229" s="418"/>
      <c r="AT229" s="418"/>
      <c r="AU229" s="418"/>
      <c r="AV229" s="418"/>
      <c r="AW229" s="418"/>
      <c r="AX229" s="418"/>
      <c r="AY229" s="418"/>
      <c r="AZ229" s="418"/>
      <c r="BA229" s="418"/>
      <c r="BC229" s="312"/>
    </row>
    <row r="230" spans="40:55" ht="15.75" customHeight="1">
      <c r="AN230" s="418"/>
      <c r="AO230" s="418"/>
      <c r="AP230" s="418"/>
      <c r="AQ230" s="418"/>
      <c r="AR230" s="418"/>
      <c r="AS230" s="418"/>
      <c r="AT230" s="418"/>
      <c r="AU230" s="418"/>
      <c r="AV230" s="418"/>
      <c r="AW230" s="418"/>
      <c r="AX230" s="418"/>
      <c r="AY230" s="418"/>
      <c r="AZ230" s="418"/>
      <c r="BA230" s="418"/>
      <c r="BC230" s="312"/>
    </row>
    <row r="231" spans="40:55" ht="15.75" customHeight="1">
      <c r="AN231" s="418"/>
      <c r="AO231" s="418"/>
      <c r="AP231" s="418"/>
      <c r="AQ231" s="418"/>
      <c r="AR231" s="418"/>
      <c r="AS231" s="418"/>
      <c r="AT231" s="418"/>
      <c r="AU231" s="418"/>
      <c r="AV231" s="418"/>
      <c r="AW231" s="418"/>
      <c r="AX231" s="418"/>
      <c r="AY231" s="418"/>
      <c r="AZ231" s="418"/>
      <c r="BA231" s="418"/>
      <c r="BC231" s="312"/>
    </row>
    <row r="232" spans="40:55" ht="15.75" customHeight="1">
      <c r="AN232" s="418"/>
      <c r="AO232" s="418"/>
      <c r="AP232" s="418"/>
      <c r="AQ232" s="418"/>
      <c r="AR232" s="418"/>
      <c r="AS232" s="418"/>
      <c r="AT232" s="418"/>
      <c r="AU232" s="418"/>
      <c r="AV232" s="418"/>
      <c r="AW232" s="418"/>
      <c r="AX232" s="418"/>
      <c r="AY232" s="418"/>
      <c r="AZ232" s="418"/>
      <c r="BA232" s="418"/>
      <c r="BC232" s="312"/>
    </row>
    <row r="233" spans="40:55" ht="15.75" customHeight="1">
      <c r="AN233" s="418"/>
      <c r="AO233" s="418"/>
      <c r="AP233" s="418"/>
      <c r="AQ233" s="418"/>
      <c r="AR233" s="418"/>
      <c r="AS233" s="418"/>
      <c r="AT233" s="418"/>
      <c r="AU233" s="418"/>
      <c r="AV233" s="418"/>
      <c r="AW233" s="418"/>
      <c r="AX233" s="418"/>
      <c r="AY233" s="418"/>
      <c r="AZ233" s="418"/>
      <c r="BA233" s="418"/>
      <c r="BC233" s="312"/>
    </row>
    <row r="234" spans="40:55" ht="15.75" customHeight="1">
      <c r="AN234" s="418"/>
      <c r="AO234" s="418"/>
      <c r="AP234" s="418"/>
      <c r="AQ234" s="418"/>
      <c r="AR234" s="418"/>
      <c r="AS234" s="418"/>
      <c r="AT234" s="418"/>
      <c r="AU234" s="418"/>
      <c r="AV234" s="418"/>
      <c r="AW234" s="418"/>
      <c r="AX234" s="418"/>
      <c r="AY234" s="418"/>
      <c r="AZ234" s="418"/>
      <c r="BA234" s="418"/>
      <c r="BC234" s="312"/>
    </row>
    <row r="235" spans="40:55" ht="15.75" customHeight="1">
      <c r="AN235" s="418"/>
      <c r="AO235" s="418"/>
      <c r="AP235" s="418"/>
      <c r="AQ235" s="418"/>
      <c r="AR235" s="418"/>
      <c r="AS235" s="418"/>
      <c r="AT235" s="418"/>
      <c r="AU235" s="418"/>
      <c r="AV235" s="418"/>
      <c r="AW235" s="418"/>
      <c r="AX235" s="418"/>
      <c r="AY235" s="418"/>
      <c r="AZ235" s="418"/>
      <c r="BA235" s="418"/>
      <c r="BC235" s="312"/>
    </row>
    <row r="236" spans="40:55" ht="15.75" customHeight="1">
      <c r="AN236" s="418"/>
      <c r="AO236" s="418"/>
      <c r="AP236" s="418"/>
      <c r="AQ236" s="418"/>
      <c r="AR236" s="418"/>
      <c r="AS236" s="418"/>
      <c r="AT236" s="418"/>
      <c r="AU236" s="418"/>
      <c r="AV236" s="418"/>
      <c r="AW236" s="418"/>
      <c r="AX236" s="418"/>
      <c r="AY236" s="418"/>
      <c r="AZ236" s="418"/>
      <c r="BA236" s="418"/>
      <c r="BC236" s="312"/>
    </row>
    <row r="237" spans="40:55" ht="15.75" customHeight="1">
      <c r="AN237" s="418"/>
      <c r="AO237" s="418"/>
      <c r="AP237" s="418"/>
      <c r="AQ237" s="418"/>
      <c r="AR237" s="418"/>
      <c r="AS237" s="418"/>
      <c r="AT237" s="418"/>
      <c r="AU237" s="418"/>
      <c r="AV237" s="418"/>
      <c r="AW237" s="418"/>
      <c r="AX237" s="418"/>
      <c r="AY237" s="418"/>
      <c r="AZ237" s="418"/>
      <c r="BA237" s="418"/>
      <c r="BC237" s="312"/>
    </row>
    <row r="238" spans="40:55" ht="15.75" customHeight="1">
      <c r="AN238" s="418"/>
      <c r="AO238" s="418"/>
      <c r="AP238" s="418"/>
      <c r="AQ238" s="418"/>
      <c r="AR238" s="418"/>
      <c r="AS238" s="418"/>
      <c r="AT238" s="418"/>
      <c r="AU238" s="418"/>
      <c r="AV238" s="418"/>
      <c r="AW238" s="418"/>
      <c r="AX238" s="418"/>
      <c r="AY238" s="418"/>
      <c r="AZ238" s="418"/>
      <c r="BA238" s="418"/>
      <c r="BC238" s="312"/>
    </row>
    <row r="239" spans="40:55" ht="15.75" customHeight="1">
      <c r="AN239" s="418"/>
      <c r="AO239" s="418"/>
      <c r="AP239" s="418"/>
      <c r="AQ239" s="418"/>
      <c r="AR239" s="418"/>
      <c r="AS239" s="418"/>
      <c r="AT239" s="418"/>
      <c r="AU239" s="418"/>
      <c r="AV239" s="418"/>
      <c r="AW239" s="418"/>
      <c r="AX239" s="418"/>
      <c r="AY239" s="418"/>
      <c r="AZ239" s="418"/>
      <c r="BA239" s="418"/>
      <c r="BC239" s="312"/>
    </row>
    <row r="240" spans="40:55" ht="15.75" customHeight="1">
      <c r="AN240" s="418"/>
      <c r="AO240" s="418"/>
      <c r="AP240" s="418"/>
      <c r="AQ240" s="418"/>
      <c r="AR240" s="418"/>
      <c r="AS240" s="418"/>
      <c r="AT240" s="418"/>
      <c r="AU240" s="418"/>
      <c r="AV240" s="418"/>
      <c r="AW240" s="418"/>
      <c r="AX240" s="418"/>
      <c r="AY240" s="418"/>
      <c r="AZ240" s="418"/>
      <c r="BA240" s="418"/>
      <c r="BC240" s="312"/>
    </row>
    <row r="241" spans="40:53" ht="15.75" customHeight="1">
      <c r="AN241" s="418"/>
      <c r="AO241" s="418"/>
      <c r="AP241" s="418"/>
      <c r="AQ241" s="418"/>
      <c r="AR241" s="418"/>
      <c r="AS241" s="418"/>
      <c r="AT241" s="418"/>
      <c r="AU241" s="418"/>
      <c r="AV241" s="418"/>
      <c r="AW241" s="418"/>
      <c r="AX241" s="418"/>
      <c r="AY241" s="418"/>
      <c r="AZ241" s="418"/>
      <c r="BA241" s="418"/>
    </row>
    <row r="242" spans="40:53" ht="15.75" customHeight="1">
      <c r="AN242" s="418"/>
      <c r="AO242" s="418"/>
      <c r="AP242" s="418"/>
      <c r="AQ242" s="418"/>
      <c r="AR242" s="418"/>
      <c r="AS242" s="418"/>
      <c r="AT242" s="418"/>
      <c r="AU242" s="418"/>
      <c r="AV242" s="418"/>
      <c r="AW242" s="418"/>
      <c r="AX242" s="418"/>
      <c r="AY242" s="418"/>
      <c r="AZ242" s="418"/>
      <c r="BA242" s="418"/>
    </row>
    <row r="243" spans="40:53" ht="15.75" customHeight="1">
      <c r="AN243" s="418"/>
      <c r="AO243" s="418"/>
      <c r="AP243" s="418"/>
      <c r="AQ243" s="418"/>
      <c r="AR243" s="418"/>
      <c r="AS243" s="418"/>
      <c r="AT243" s="418"/>
      <c r="AU243" s="418"/>
      <c r="AV243" s="418"/>
      <c r="AW243" s="418"/>
      <c r="AX243" s="418"/>
      <c r="AY243" s="418"/>
      <c r="AZ243" s="418"/>
      <c r="BA243" s="418"/>
    </row>
    <row r="244" spans="40:53" ht="15.75" customHeight="1">
      <c r="AN244" s="418"/>
      <c r="AO244" s="418"/>
      <c r="AP244" s="418"/>
      <c r="AQ244" s="418"/>
      <c r="AR244" s="418"/>
      <c r="AS244" s="418"/>
      <c r="AT244" s="418"/>
      <c r="AU244" s="418"/>
      <c r="AV244" s="418"/>
      <c r="AW244" s="418"/>
      <c r="AX244" s="418"/>
      <c r="AY244" s="418"/>
      <c r="AZ244" s="418"/>
      <c r="BA244" s="418"/>
    </row>
    <row r="245" spans="40:53" ht="15.75" customHeight="1">
      <c r="AN245" s="418"/>
      <c r="AO245" s="418"/>
      <c r="AP245" s="418"/>
      <c r="AQ245" s="418"/>
      <c r="AR245" s="418"/>
      <c r="AS245" s="418"/>
      <c r="AT245" s="418"/>
      <c r="AU245" s="418"/>
      <c r="AV245" s="418"/>
      <c r="AW245" s="418"/>
      <c r="AX245" s="418"/>
      <c r="AY245" s="418"/>
      <c r="AZ245" s="418"/>
      <c r="BA245" s="418"/>
    </row>
    <row r="246" spans="40:53" ht="15.75" customHeight="1">
      <c r="AN246" s="418"/>
      <c r="AO246" s="418"/>
      <c r="AP246" s="418"/>
      <c r="AQ246" s="418"/>
      <c r="AR246" s="418"/>
      <c r="AS246" s="418"/>
      <c r="AT246" s="418"/>
      <c r="AU246" s="418"/>
      <c r="AV246" s="418"/>
      <c r="AW246" s="418"/>
      <c r="AX246" s="418"/>
      <c r="AY246" s="418"/>
      <c r="AZ246" s="418"/>
      <c r="BA246" s="418"/>
    </row>
    <row r="247" spans="40:53" ht="15.75" customHeight="1">
      <c r="AN247" s="418"/>
      <c r="AO247" s="418"/>
      <c r="AP247" s="418"/>
      <c r="AQ247" s="418"/>
      <c r="AR247" s="418"/>
      <c r="AS247" s="418"/>
      <c r="AT247" s="418"/>
      <c r="AU247" s="418"/>
      <c r="AV247" s="418"/>
      <c r="AW247" s="418"/>
      <c r="AX247" s="418"/>
      <c r="AY247" s="418"/>
      <c r="AZ247" s="418"/>
      <c r="BA247" s="418"/>
    </row>
    <row r="248" spans="40:53" ht="15.75" customHeight="1">
      <c r="AN248" s="418"/>
      <c r="AO248" s="418"/>
      <c r="AP248" s="418"/>
      <c r="AQ248" s="418"/>
      <c r="AR248" s="418"/>
      <c r="AS248" s="418"/>
      <c r="AT248" s="418"/>
      <c r="AU248" s="418"/>
      <c r="AV248" s="418"/>
      <c r="AW248" s="418"/>
      <c r="AX248" s="418"/>
      <c r="AY248" s="418"/>
      <c r="AZ248" s="418"/>
      <c r="BA248" s="418"/>
    </row>
    <row r="249" spans="40:53" ht="15.75" customHeight="1">
      <c r="AN249" s="418"/>
      <c r="AO249" s="418"/>
      <c r="AP249" s="418"/>
      <c r="AQ249" s="418"/>
      <c r="AR249" s="418"/>
      <c r="AS249" s="418"/>
      <c r="AT249" s="418"/>
      <c r="AU249" s="418"/>
      <c r="AV249" s="418"/>
      <c r="AW249" s="418"/>
      <c r="AX249" s="418"/>
      <c r="AY249" s="418"/>
      <c r="AZ249" s="418"/>
      <c r="BA249" s="418"/>
    </row>
    <row r="250" spans="40:53" ht="15.75" customHeight="1">
      <c r="AN250" s="418"/>
      <c r="AO250" s="418"/>
      <c r="AP250" s="418"/>
      <c r="AQ250" s="418"/>
      <c r="AR250" s="418"/>
      <c r="AS250" s="418"/>
      <c r="AT250" s="418"/>
      <c r="AU250" s="418"/>
      <c r="AV250" s="418"/>
      <c r="AW250" s="418"/>
      <c r="AX250" s="418"/>
      <c r="AY250" s="418"/>
      <c r="AZ250" s="418"/>
      <c r="BA250" s="418"/>
    </row>
    <row r="251" spans="40:53" ht="15.75" customHeight="1">
      <c r="AN251" s="418"/>
      <c r="AO251" s="418"/>
      <c r="AP251" s="418"/>
      <c r="AQ251" s="418"/>
      <c r="AR251" s="418"/>
      <c r="AS251" s="418"/>
      <c r="AT251" s="418"/>
      <c r="AU251" s="418"/>
      <c r="AV251" s="418"/>
      <c r="AW251" s="418"/>
      <c r="AX251" s="418"/>
      <c r="AY251" s="418"/>
      <c r="AZ251" s="418"/>
      <c r="BA251" s="418"/>
    </row>
    <row r="252" spans="40:53" ht="15.75" customHeight="1">
      <c r="AN252" s="418"/>
      <c r="AO252" s="418"/>
      <c r="AP252" s="418"/>
      <c r="AQ252" s="418"/>
      <c r="AR252" s="418"/>
      <c r="AS252" s="418"/>
      <c r="AT252" s="418"/>
      <c r="AU252" s="418"/>
      <c r="AV252" s="418"/>
      <c r="AW252" s="418"/>
      <c r="AX252" s="418"/>
      <c r="AY252" s="418"/>
      <c r="AZ252" s="418"/>
      <c r="BA252" s="418"/>
    </row>
    <row r="253" spans="40:53" ht="15.75" customHeight="1">
      <c r="AN253" s="418"/>
      <c r="AO253" s="418"/>
      <c r="AP253" s="418"/>
      <c r="AQ253" s="418"/>
      <c r="AR253" s="418"/>
      <c r="AS253" s="418"/>
      <c r="AT253" s="418"/>
      <c r="AU253" s="418"/>
      <c r="AV253" s="418"/>
      <c r="AW253" s="418"/>
      <c r="AX253" s="418"/>
      <c r="AY253" s="418"/>
      <c r="AZ253" s="418"/>
      <c r="BA253" s="418"/>
    </row>
    <row r="254" spans="40:53" ht="15.75" customHeight="1">
      <c r="AN254" s="418"/>
      <c r="AO254" s="418"/>
      <c r="AP254" s="418"/>
      <c r="AQ254" s="418"/>
      <c r="AR254" s="418"/>
      <c r="AS254" s="418"/>
      <c r="AT254" s="418"/>
      <c r="AU254" s="418"/>
      <c r="AV254" s="418"/>
      <c r="AW254" s="418"/>
      <c r="AX254" s="418"/>
      <c r="AY254" s="418"/>
      <c r="AZ254" s="418"/>
      <c r="BA254" s="418"/>
    </row>
    <row r="255" spans="40:53" ht="15.75" customHeight="1">
      <c r="AN255" s="418"/>
      <c r="AO255" s="418"/>
      <c r="AP255" s="418"/>
      <c r="AQ255" s="418"/>
      <c r="AR255" s="418"/>
      <c r="AS255" s="418"/>
      <c r="AT255" s="418"/>
      <c r="AU255" s="418"/>
      <c r="AV255" s="418"/>
      <c r="AW255" s="418"/>
      <c r="AX255" s="418"/>
      <c r="AY255" s="418"/>
      <c r="AZ255" s="418"/>
      <c r="BA255" s="418"/>
    </row>
    <row r="256" spans="40:53" ht="15.75" customHeight="1">
      <c r="AN256" s="418"/>
      <c r="AO256" s="418"/>
      <c r="AP256" s="418"/>
      <c r="AQ256" s="418"/>
      <c r="AR256" s="418"/>
      <c r="AS256" s="418"/>
      <c r="AT256" s="418"/>
      <c r="AU256" s="418"/>
      <c r="AV256" s="418"/>
      <c r="AW256" s="418"/>
      <c r="AX256" s="418"/>
      <c r="AY256" s="418"/>
      <c r="AZ256" s="418"/>
      <c r="BA256" s="418"/>
    </row>
    <row r="257" spans="40:53" ht="15.75" customHeight="1">
      <c r="AN257" s="418"/>
      <c r="AO257" s="418"/>
      <c r="AP257" s="418"/>
      <c r="AQ257" s="418"/>
      <c r="AR257" s="418"/>
      <c r="AS257" s="418"/>
      <c r="AT257" s="418"/>
      <c r="AU257" s="418"/>
      <c r="AV257" s="418"/>
      <c r="AW257" s="418"/>
      <c r="AX257" s="418"/>
      <c r="AY257" s="418"/>
      <c r="AZ257" s="418"/>
      <c r="BA257" s="418"/>
    </row>
    <row r="258" spans="40:53" ht="15.75" customHeight="1">
      <c r="AN258" s="418"/>
      <c r="AO258" s="418"/>
      <c r="AP258" s="418"/>
      <c r="AQ258" s="418"/>
      <c r="AR258" s="418"/>
      <c r="AS258" s="418"/>
      <c r="AT258" s="418"/>
      <c r="AU258" s="418"/>
      <c r="AV258" s="418"/>
      <c r="AW258" s="418"/>
      <c r="AX258" s="418"/>
      <c r="AY258" s="418"/>
      <c r="AZ258" s="418"/>
      <c r="BA258" s="418"/>
    </row>
    <row r="259" spans="40:53" ht="15.75" customHeight="1">
      <c r="AN259" s="418"/>
      <c r="AO259" s="418"/>
      <c r="AP259" s="418"/>
      <c r="AQ259" s="418"/>
      <c r="AR259" s="418"/>
      <c r="AS259" s="418"/>
      <c r="AT259" s="418"/>
      <c r="AU259" s="418"/>
      <c r="AV259" s="418"/>
      <c r="AW259" s="418"/>
      <c r="AX259" s="418"/>
      <c r="AY259" s="418"/>
      <c r="AZ259" s="418"/>
      <c r="BA259" s="418"/>
    </row>
    <row r="260" spans="40:53" ht="15.75" customHeight="1">
      <c r="AN260" s="418"/>
      <c r="AO260" s="418"/>
      <c r="AP260" s="418"/>
      <c r="AQ260" s="418"/>
      <c r="AR260" s="418"/>
      <c r="AS260" s="418"/>
      <c r="AT260" s="418"/>
      <c r="AU260" s="418"/>
      <c r="AV260" s="418"/>
      <c r="AW260" s="418"/>
      <c r="AX260" s="418"/>
      <c r="AY260" s="418"/>
      <c r="AZ260" s="418"/>
      <c r="BA260" s="418"/>
    </row>
    <row r="261" spans="40:53" ht="15.75" customHeight="1">
      <c r="AN261" s="418"/>
      <c r="AO261" s="418"/>
      <c r="AP261" s="418"/>
      <c r="AQ261" s="418"/>
      <c r="AR261" s="418"/>
      <c r="AS261" s="418"/>
      <c r="AT261" s="418"/>
      <c r="AU261" s="418"/>
      <c r="AV261" s="418"/>
      <c r="AW261" s="418"/>
      <c r="AX261" s="418"/>
      <c r="AY261" s="418"/>
      <c r="AZ261" s="418"/>
      <c r="BA261" s="418"/>
    </row>
    <row r="262" spans="40:53" ht="15.75" customHeight="1">
      <c r="AN262" s="418"/>
      <c r="AO262" s="418"/>
      <c r="AP262" s="418"/>
      <c r="AQ262" s="418"/>
      <c r="AR262" s="418"/>
      <c r="AS262" s="418"/>
      <c r="AT262" s="418"/>
      <c r="AU262" s="418"/>
      <c r="AV262" s="418"/>
      <c r="AW262" s="418"/>
      <c r="AX262" s="418"/>
      <c r="AY262" s="418"/>
      <c r="AZ262" s="418"/>
      <c r="BA262" s="418"/>
    </row>
    <row r="263" spans="40:53" ht="15.75" customHeight="1">
      <c r="AN263" s="418"/>
      <c r="AO263" s="418"/>
      <c r="AP263" s="418"/>
      <c r="AQ263" s="418"/>
      <c r="AR263" s="418"/>
      <c r="AS263" s="418"/>
      <c r="AT263" s="418"/>
      <c r="AU263" s="418"/>
      <c r="AV263" s="418"/>
      <c r="AW263" s="418"/>
      <c r="AX263" s="418"/>
      <c r="AY263" s="418"/>
      <c r="AZ263" s="418"/>
      <c r="BA263" s="418"/>
    </row>
    <row r="264" spans="40:53" ht="15.75" customHeight="1">
      <c r="AN264" s="418"/>
      <c r="AO264" s="418"/>
      <c r="AP264" s="418"/>
      <c r="AQ264" s="418"/>
      <c r="AR264" s="418"/>
      <c r="AS264" s="418"/>
      <c r="AT264" s="418"/>
      <c r="AU264" s="418"/>
      <c r="AV264" s="418"/>
      <c r="AW264" s="418"/>
      <c r="AX264" s="418"/>
      <c r="AY264" s="418"/>
      <c r="AZ264" s="418"/>
      <c r="BA264" s="418"/>
    </row>
    <row r="265" spans="40:53" ht="15.75" customHeight="1">
      <c r="AN265" s="418"/>
      <c r="AO265" s="418"/>
      <c r="AP265" s="418"/>
      <c r="AQ265" s="418"/>
      <c r="AR265" s="418"/>
      <c r="AS265" s="418"/>
      <c r="AT265" s="418"/>
      <c r="AU265" s="418"/>
      <c r="AV265" s="418"/>
      <c r="AW265" s="418"/>
      <c r="AX265" s="418"/>
      <c r="AY265" s="418"/>
      <c r="AZ265" s="418"/>
      <c r="BA265" s="418"/>
    </row>
    <row r="266" spans="40:53" ht="15.75" customHeight="1">
      <c r="AN266" s="418"/>
      <c r="AO266" s="418"/>
      <c r="AP266" s="418"/>
      <c r="AQ266" s="418"/>
      <c r="AR266" s="418"/>
      <c r="AS266" s="418"/>
      <c r="AT266" s="418"/>
      <c r="AU266" s="418"/>
      <c r="AV266" s="418"/>
      <c r="AW266" s="418"/>
      <c r="AX266" s="418"/>
      <c r="AY266" s="418"/>
      <c r="AZ266" s="418"/>
      <c r="BA266" s="418"/>
    </row>
    <row r="267" spans="40:53" ht="15.75" customHeight="1">
      <c r="AN267" s="418"/>
      <c r="AO267" s="418"/>
      <c r="AP267" s="418"/>
      <c r="AQ267" s="418"/>
      <c r="AR267" s="418"/>
      <c r="AS267" s="418"/>
      <c r="AT267" s="418"/>
      <c r="AU267" s="418"/>
      <c r="AV267" s="418"/>
      <c r="AW267" s="418"/>
      <c r="AX267" s="418"/>
      <c r="AY267" s="418"/>
      <c r="AZ267" s="418"/>
      <c r="BA267" s="418"/>
    </row>
    <row r="268" spans="40:53" ht="15.75" customHeight="1">
      <c r="AN268" s="418"/>
      <c r="AO268" s="418"/>
      <c r="AP268" s="418"/>
      <c r="AQ268" s="418"/>
      <c r="AR268" s="418"/>
      <c r="AS268" s="418"/>
      <c r="AT268" s="418"/>
      <c r="AU268" s="418"/>
      <c r="AV268" s="418"/>
      <c r="AW268" s="418"/>
      <c r="AX268" s="418"/>
      <c r="AY268" s="418"/>
      <c r="AZ268" s="418"/>
      <c r="BA268" s="418"/>
    </row>
    <row r="269" spans="40:53" ht="15.75" customHeight="1">
      <c r="AN269" s="418"/>
      <c r="AO269" s="418"/>
      <c r="AP269" s="418"/>
      <c r="AQ269" s="418"/>
      <c r="AR269" s="418"/>
      <c r="AS269" s="418"/>
      <c r="AT269" s="418"/>
      <c r="AU269" s="418"/>
      <c r="AV269" s="418"/>
      <c r="AW269" s="418"/>
      <c r="AX269" s="418"/>
      <c r="AY269" s="418"/>
      <c r="AZ269" s="418"/>
      <c r="BA269" s="418"/>
    </row>
    <row r="270" spans="40:53" ht="15.75" customHeight="1">
      <c r="AN270" s="418"/>
      <c r="AO270" s="418"/>
      <c r="AP270" s="418"/>
      <c r="AQ270" s="418"/>
      <c r="AR270" s="418"/>
      <c r="AS270" s="418"/>
      <c r="AT270" s="418"/>
      <c r="AU270" s="418"/>
      <c r="AV270" s="418"/>
      <c r="AW270" s="418"/>
      <c r="AX270" s="418"/>
      <c r="AY270" s="418"/>
      <c r="AZ270" s="418"/>
      <c r="BA270" s="418"/>
    </row>
    <row r="271" spans="40:53" ht="15.75" customHeight="1">
      <c r="AN271" s="418"/>
      <c r="AO271" s="418"/>
      <c r="AP271" s="418"/>
      <c r="AQ271" s="418"/>
      <c r="AR271" s="418"/>
      <c r="AS271" s="418"/>
      <c r="AT271" s="418"/>
      <c r="AU271" s="418"/>
      <c r="AV271" s="418"/>
      <c r="AW271" s="418"/>
      <c r="AX271" s="418"/>
      <c r="AY271" s="418"/>
      <c r="AZ271" s="418"/>
      <c r="BA271" s="418"/>
    </row>
    <row r="272" spans="40:53" ht="15.75" customHeight="1">
      <c r="AN272" s="418"/>
      <c r="AO272" s="418"/>
      <c r="AP272" s="418"/>
      <c r="AQ272" s="418"/>
      <c r="AR272" s="418"/>
      <c r="AS272" s="418"/>
      <c r="AT272" s="418"/>
      <c r="AU272" s="418"/>
      <c r="AV272" s="418"/>
      <c r="AW272" s="418"/>
      <c r="AX272" s="418"/>
      <c r="AY272" s="418"/>
      <c r="AZ272" s="418"/>
      <c r="BA272" s="418"/>
    </row>
    <row r="273" spans="40:53" ht="15.75" customHeight="1">
      <c r="AN273" s="418"/>
      <c r="AO273" s="418"/>
      <c r="AP273" s="418"/>
      <c r="AQ273" s="418"/>
      <c r="AR273" s="418"/>
      <c r="AS273" s="418"/>
      <c r="AT273" s="418"/>
      <c r="AU273" s="418"/>
      <c r="AV273" s="418"/>
      <c r="AW273" s="418"/>
      <c r="AX273" s="418"/>
      <c r="AY273" s="418"/>
      <c r="AZ273" s="418"/>
      <c r="BA273" s="418"/>
    </row>
    <row r="274" spans="40:53" ht="15.75" customHeight="1">
      <c r="AN274" s="418"/>
      <c r="AO274" s="418"/>
      <c r="AP274" s="418"/>
      <c r="AQ274" s="418"/>
      <c r="AR274" s="418"/>
      <c r="AS274" s="418"/>
      <c r="AT274" s="418"/>
      <c r="AU274" s="418"/>
      <c r="AV274" s="418"/>
      <c r="AW274" s="418"/>
      <c r="AX274" s="418"/>
      <c r="AY274" s="418"/>
      <c r="AZ274" s="418"/>
      <c r="BA274" s="418"/>
    </row>
    <row r="275" spans="40:53" ht="15.75" customHeight="1">
      <c r="AN275" s="418"/>
      <c r="AO275" s="418"/>
      <c r="AP275" s="418"/>
      <c r="AQ275" s="418"/>
      <c r="AR275" s="418"/>
      <c r="AS275" s="418"/>
      <c r="AT275" s="418"/>
      <c r="AU275" s="418"/>
      <c r="AV275" s="418"/>
      <c r="AW275" s="418"/>
      <c r="AX275" s="418"/>
      <c r="AY275" s="418"/>
      <c r="AZ275" s="418"/>
      <c r="BA275" s="418"/>
    </row>
    <row r="276" spans="40:53" ht="15.75" customHeight="1">
      <c r="AN276" s="418"/>
      <c r="AO276" s="418"/>
      <c r="AP276" s="418"/>
      <c r="AQ276" s="418"/>
      <c r="AR276" s="418"/>
      <c r="AS276" s="418"/>
      <c r="AT276" s="418"/>
      <c r="AU276" s="418"/>
      <c r="AV276" s="418"/>
      <c r="AW276" s="418"/>
      <c r="AX276" s="418"/>
      <c r="AY276" s="418"/>
      <c r="AZ276" s="418"/>
      <c r="BA276" s="418"/>
    </row>
    <row r="277" spans="40:53" ht="15.75" customHeight="1">
      <c r="AN277" s="418"/>
      <c r="AO277" s="418"/>
      <c r="AP277" s="418"/>
      <c r="AQ277" s="418"/>
      <c r="AR277" s="418"/>
      <c r="AS277" s="418"/>
      <c r="AT277" s="418"/>
      <c r="AU277" s="418"/>
      <c r="AV277" s="418"/>
      <c r="AW277" s="418"/>
      <c r="AX277" s="418"/>
      <c r="AY277" s="418"/>
      <c r="AZ277" s="418"/>
      <c r="BA277" s="418"/>
    </row>
    <row r="278" spans="40:53" ht="15.75" customHeight="1">
      <c r="AN278" s="418"/>
      <c r="AO278" s="418"/>
      <c r="AP278" s="418"/>
      <c r="AQ278" s="418"/>
      <c r="AR278" s="418"/>
      <c r="AS278" s="418"/>
      <c r="AT278" s="418"/>
      <c r="AU278" s="418"/>
      <c r="AV278" s="418"/>
      <c r="AW278" s="418"/>
      <c r="AX278" s="418"/>
      <c r="AY278" s="418"/>
      <c r="AZ278" s="418"/>
      <c r="BA278" s="418"/>
    </row>
    <row r="279" spans="40:53" ht="15.75" customHeight="1">
      <c r="AN279" s="418"/>
      <c r="AO279" s="418"/>
      <c r="AP279" s="418"/>
      <c r="AQ279" s="418"/>
      <c r="AR279" s="418"/>
      <c r="AS279" s="418"/>
      <c r="AT279" s="418"/>
      <c r="AU279" s="418"/>
      <c r="AV279" s="418"/>
      <c r="AW279" s="418"/>
      <c r="AX279" s="418"/>
      <c r="AY279" s="418"/>
      <c r="AZ279" s="418"/>
      <c r="BA279" s="418"/>
    </row>
    <row r="280" spans="40:53" ht="15.75" customHeight="1">
      <c r="AN280" s="418"/>
      <c r="AO280" s="418"/>
      <c r="AP280" s="418"/>
      <c r="AQ280" s="418"/>
      <c r="AR280" s="418"/>
      <c r="AS280" s="418"/>
      <c r="AT280" s="418"/>
      <c r="AU280" s="418"/>
      <c r="AV280" s="418"/>
      <c r="AW280" s="418"/>
      <c r="AX280" s="418"/>
      <c r="AY280" s="418"/>
      <c r="AZ280" s="418"/>
      <c r="BA280" s="418"/>
    </row>
    <row r="281" spans="40:53" ht="15.75" customHeight="1">
      <c r="AN281" s="418"/>
      <c r="AO281" s="418"/>
      <c r="AP281" s="418"/>
      <c r="AQ281" s="418"/>
      <c r="AR281" s="418"/>
      <c r="AS281" s="418"/>
      <c r="AT281" s="418"/>
      <c r="AU281" s="418"/>
      <c r="AV281" s="418"/>
      <c r="AW281" s="418"/>
      <c r="AX281" s="418"/>
      <c r="AY281" s="418"/>
      <c r="AZ281" s="418"/>
      <c r="BA281" s="418"/>
    </row>
    <row r="282" spans="40:53" ht="15.75" customHeight="1">
      <c r="AN282" s="418"/>
      <c r="AO282" s="418"/>
      <c r="AP282" s="418"/>
      <c r="AQ282" s="418"/>
      <c r="AR282" s="418"/>
      <c r="AS282" s="418"/>
      <c r="AT282" s="418"/>
      <c r="AU282" s="418"/>
      <c r="AV282" s="418"/>
      <c r="AW282" s="418"/>
      <c r="AX282" s="418"/>
      <c r="AY282" s="418"/>
      <c r="AZ282" s="418"/>
      <c r="BA282" s="418"/>
    </row>
    <row r="283" spans="40:53" ht="15.75" customHeight="1">
      <c r="AN283" s="418"/>
      <c r="AO283" s="418"/>
      <c r="AP283" s="418"/>
      <c r="AQ283" s="418"/>
      <c r="AR283" s="418"/>
      <c r="AS283" s="418"/>
      <c r="AT283" s="418"/>
      <c r="AU283" s="418"/>
      <c r="AV283" s="418"/>
      <c r="AW283" s="418"/>
      <c r="AX283" s="418"/>
      <c r="AY283" s="418"/>
      <c r="AZ283" s="418"/>
      <c r="BA283" s="418"/>
    </row>
    <row r="284" spans="40:53" ht="15.75" customHeight="1">
      <c r="AN284" s="418"/>
      <c r="AO284" s="418"/>
      <c r="AP284" s="418"/>
      <c r="AQ284" s="418"/>
      <c r="AR284" s="418"/>
      <c r="AS284" s="418"/>
      <c r="AT284" s="418"/>
      <c r="AU284" s="418"/>
      <c r="AV284" s="418"/>
      <c r="AW284" s="418"/>
      <c r="AX284" s="418"/>
      <c r="AY284" s="418"/>
      <c r="AZ284" s="418"/>
      <c r="BA284" s="418"/>
    </row>
    <row r="285" spans="40:53" ht="15.75" customHeight="1">
      <c r="AN285" s="418"/>
      <c r="AO285" s="418"/>
      <c r="AP285" s="418"/>
      <c r="AQ285" s="418"/>
      <c r="AR285" s="418"/>
      <c r="AS285" s="418"/>
      <c r="AT285" s="418"/>
      <c r="AU285" s="418"/>
      <c r="AV285" s="418"/>
      <c r="AW285" s="418"/>
      <c r="AX285" s="418"/>
      <c r="AY285" s="418"/>
      <c r="AZ285" s="418"/>
      <c r="BA285" s="418"/>
    </row>
    <row r="286" spans="40:53" ht="15.75" customHeight="1">
      <c r="AN286" s="418"/>
      <c r="AO286" s="418"/>
      <c r="AP286" s="418"/>
      <c r="AQ286" s="418"/>
      <c r="AR286" s="418"/>
      <c r="AS286" s="418"/>
      <c r="AT286" s="418"/>
      <c r="AU286" s="418"/>
      <c r="AV286" s="418"/>
      <c r="AW286" s="418"/>
      <c r="AX286" s="418"/>
      <c r="AY286" s="418"/>
      <c r="AZ286" s="418"/>
      <c r="BA286" s="418"/>
    </row>
    <row r="287" spans="40:53" ht="15.75" customHeight="1">
      <c r="AN287" s="418"/>
      <c r="AO287" s="418"/>
      <c r="AP287" s="418"/>
      <c r="AQ287" s="418"/>
      <c r="AR287" s="418"/>
      <c r="AS287" s="418"/>
      <c r="AT287" s="418"/>
      <c r="AU287" s="418"/>
      <c r="AV287" s="418"/>
      <c r="AW287" s="418"/>
      <c r="AX287" s="418"/>
      <c r="AY287" s="418"/>
      <c r="AZ287" s="418"/>
      <c r="BA287" s="418"/>
    </row>
    <row r="288" spans="40:53" ht="15.75" customHeight="1">
      <c r="AN288" s="418"/>
      <c r="AO288" s="418"/>
      <c r="AP288" s="418"/>
      <c r="AQ288" s="418"/>
      <c r="AR288" s="418"/>
      <c r="AS288" s="418"/>
      <c r="AT288" s="418"/>
      <c r="AU288" s="418"/>
      <c r="AV288" s="418"/>
      <c r="AW288" s="418"/>
      <c r="AX288" s="418"/>
      <c r="AY288" s="418"/>
      <c r="AZ288" s="418"/>
      <c r="BA288" s="418"/>
    </row>
    <row r="289" spans="40:53" ht="15.75" customHeight="1">
      <c r="AN289" s="418"/>
      <c r="AO289" s="418"/>
      <c r="AP289" s="418"/>
      <c r="AQ289" s="418"/>
      <c r="AR289" s="418"/>
      <c r="AS289" s="418"/>
      <c r="AT289" s="418"/>
      <c r="AU289" s="418"/>
      <c r="AV289" s="418"/>
      <c r="AW289" s="418"/>
      <c r="AX289" s="418"/>
      <c r="AY289" s="418"/>
      <c r="AZ289" s="418"/>
      <c r="BA289" s="418"/>
    </row>
    <row r="290" spans="40:53" ht="15.75" customHeight="1">
      <c r="AN290" s="418"/>
      <c r="AO290" s="418"/>
      <c r="AP290" s="418"/>
      <c r="AQ290" s="418"/>
      <c r="AR290" s="418"/>
      <c r="AS290" s="418"/>
      <c r="AT290" s="418"/>
      <c r="AU290" s="418"/>
      <c r="AV290" s="418"/>
      <c r="AW290" s="418"/>
      <c r="AX290" s="418"/>
      <c r="AY290" s="418"/>
      <c r="AZ290" s="418"/>
      <c r="BA290" s="418"/>
    </row>
    <row r="291" spans="40:53" ht="15.75" customHeight="1">
      <c r="AN291" s="418"/>
      <c r="AO291" s="418"/>
      <c r="AP291" s="418"/>
      <c r="AQ291" s="418"/>
      <c r="AR291" s="418"/>
      <c r="AS291" s="418"/>
      <c r="AT291" s="418"/>
      <c r="AU291" s="418"/>
      <c r="AV291" s="418"/>
      <c r="AW291" s="418"/>
      <c r="AX291" s="418"/>
      <c r="AY291" s="418"/>
      <c r="AZ291" s="418"/>
      <c r="BA291" s="418"/>
    </row>
    <row r="292" spans="40:53" ht="15.75" customHeight="1">
      <c r="AN292" s="418"/>
      <c r="AO292" s="418"/>
      <c r="AP292" s="418"/>
      <c r="AQ292" s="418"/>
      <c r="AR292" s="418"/>
      <c r="AS292" s="418"/>
      <c r="AT292" s="418"/>
      <c r="AU292" s="418"/>
      <c r="AV292" s="418"/>
      <c r="AW292" s="418"/>
      <c r="AX292" s="418"/>
      <c r="AY292" s="418"/>
      <c r="AZ292" s="418"/>
      <c r="BA292" s="418"/>
    </row>
    <row r="293" spans="40:53" ht="15.75" customHeight="1">
      <c r="AN293" s="418"/>
      <c r="AO293" s="418"/>
      <c r="AP293" s="418"/>
      <c r="AQ293" s="418"/>
      <c r="AR293" s="418"/>
      <c r="AS293" s="418"/>
      <c r="AT293" s="418"/>
      <c r="AU293" s="418"/>
      <c r="AV293" s="418"/>
      <c r="AW293" s="418"/>
      <c r="AX293" s="418"/>
      <c r="AY293" s="418"/>
      <c r="AZ293" s="418"/>
      <c r="BA293" s="418"/>
    </row>
    <row r="294" spans="40:53" ht="15.75" customHeight="1">
      <c r="AN294" s="418"/>
      <c r="AO294" s="418"/>
      <c r="AP294" s="418"/>
      <c r="AQ294" s="418"/>
      <c r="AR294" s="418"/>
      <c r="AS294" s="418"/>
      <c r="AT294" s="418"/>
      <c r="AU294" s="418"/>
      <c r="AV294" s="418"/>
      <c r="AW294" s="418"/>
      <c r="AX294" s="418"/>
      <c r="AY294" s="418"/>
      <c r="AZ294" s="418"/>
      <c r="BA294" s="418"/>
    </row>
    <row r="295" spans="40:53" ht="15.75" customHeight="1">
      <c r="AN295" s="418"/>
      <c r="AO295" s="418"/>
      <c r="AP295" s="418"/>
      <c r="AQ295" s="418"/>
      <c r="AR295" s="418"/>
      <c r="AS295" s="418"/>
      <c r="AT295" s="418"/>
      <c r="AU295" s="418"/>
      <c r="AV295" s="418"/>
      <c r="AW295" s="418"/>
      <c r="AX295" s="418"/>
      <c r="AY295" s="418"/>
      <c r="AZ295" s="418"/>
      <c r="BA295" s="418"/>
    </row>
    <row r="296" spans="40:53" ht="15.75" customHeight="1">
      <c r="AN296" s="418"/>
      <c r="AO296" s="418"/>
      <c r="AP296" s="418"/>
      <c r="AQ296" s="418"/>
      <c r="AR296" s="418"/>
      <c r="AS296" s="418"/>
      <c r="AT296" s="418"/>
      <c r="AU296" s="418"/>
      <c r="AV296" s="418"/>
      <c r="AW296" s="418"/>
      <c r="AX296" s="418"/>
      <c r="AY296" s="418"/>
      <c r="AZ296" s="418"/>
      <c r="BA296" s="418"/>
    </row>
    <row r="297" spans="40:53" ht="15.75" customHeight="1">
      <c r="AN297" s="418"/>
      <c r="AO297" s="418"/>
      <c r="AP297" s="418"/>
      <c r="AQ297" s="418"/>
      <c r="AR297" s="418"/>
      <c r="AS297" s="418"/>
      <c r="AT297" s="418"/>
      <c r="AU297" s="418"/>
      <c r="AV297" s="418"/>
      <c r="AW297" s="418"/>
      <c r="AX297" s="418"/>
      <c r="AY297" s="418"/>
      <c r="AZ297" s="418"/>
      <c r="BA297" s="418"/>
    </row>
    <row r="298" spans="40:53" ht="15.75" customHeight="1">
      <c r="AN298" s="418"/>
      <c r="AO298" s="418"/>
      <c r="AP298" s="418"/>
      <c r="AQ298" s="418"/>
      <c r="AR298" s="418"/>
      <c r="AS298" s="418"/>
      <c r="AT298" s="418"/>
      <c r="AU298" s="418"/>
      <c r="AV298" s="418"/>
      <c r="AW298" s="418"/>
      <c r="AX298" s="418"/>
      <c r="AY298" s="418"/>
      <c r="AZ298" s="418"/>
      <c r="BA298" s="418"/>
    </row>
    <row r="299" spans="40:53" ht="15.75" customHeight="1">
      <c r="AN299" s="418"/>
      <c r="AO299" s="418"/>
      <c r="AP299" s="418"/>
      <c r="AQ299" s="418"/>
      <c r="AR299" s="418"/>
      <c r="AS299" s="418"/>
      <c r="AT299" s="418"/>
      <c r="AU299" s="418"/>
      <c r="AV299" s="418"/>
      <c r="AW299" s="418"/>
      <c r="AX299" s="418"/>
      <c r="AY299" s="418"/>
      <c r="AZ299" s="418"/>
      <c r="BA299" s="418"/>
    </row>
    <row r="300" spans="40:53" ht="15.75" customHeight="1">
      <c r="AN300" s="418"/>
      <c r="AO300" s="418"/>
      <c r="AP300" s="418"/>
      <c r="AQ300" s="418"/>
      <c r="AR300" s="418"/>
      <c r="AS300" s="418"/>
      <c r="AT300" s="418"/>
      <c r="AU300" s="418"/>
      <c r="AV300" s="418"/>
      <c r="AW300" s="418"/>
      <c r="AX300" s="418"/>
      <c r="AY300" s="418"/>
      <c r="AZ300" s="418"/>
      <c r="BA300" s="418"/>
    </row>
    <row r="301" spans="40:53" ht="15.75" customHeight="1">
      <c r="AN301" s="418"/>
      <c r="AO301" s="418"/>
      <c r="AP301" s="418"/>
      <c r="AQ301" s="418"/>
      <c r="AR301" s="418"/>
      <c r="AS301" s="418"/>
      <c r="AT301" s="418"/>
      <c r="AU301" s="418"/>
      <c r="AV301" s="418"/>
      <c r="AW301" s="418"/>
      <c r="AX301" s="418"/>
      <c r="AY301" s="418"/>
      <c r="AZ301" s="418"/>
      <c r="BA301" s="418"/>
    </row>
    <row r="302" spans="40:53" ht="15.75" customHeight="1">
      <c r="AN302" s="418"/>
      <c r="AO302" s="418"/>
      <c r="AP302" s="418"/>
      <c r="AQ302" s="418"/>
      <c r="AR302" s="418"/>
      <c r="AS302" s="418"/>
      <c r="AT302" s="418"/>
      <c r="AU302" s="418"/>
      <c r="AV302" s="418"/>
      <c r="AW302" s="418"/>
      <c r="AX302" s="418"/>
      <c r="AY302" s="418"/>
      <c r="AZ302" s="418"/>
      <c r="BA302" s="418"/>
    </row>
    <row r="303" spans="40:53" ht="15.75" customHeight="1">
      <c r="AN303" s="418"/>
      <c r="AO303" s="418"/>
      <c r="AP303" s="418"/>
      <c r="AQ303" s="418"/>
      <c r="AR303" s="418"/>
      <c r="AS303" s="418"/>
      <c r="AT303" s="418"/>
      <c r="AU303" s="418"/>
      <c r="AV303" s="418"/>
      <c r="AW303" s="418"/>
      <c r="AX303" s="418"/>
      <c r="AY303" s="418"/>
      <c r="AZ303" s="418"/>
      <c r="BA303" s="418"/>
    </row>
    <row r="304" spans="40:53" ht="15.75" customHeight="1">
      <c r="AN304" s="418"/>
      <c r="AO304" s="418"/>
      <c r="AP304" s="418"/>
      <c r="AQ304" s="418"/>
      <c r="AR304" s="418"/>
      <c r="AS304" s="418"/>
      <c r="AT304" s="418"/>
      <c r="AU304" s="418"/>
      <c r="AV304" s="418"/>
      <c r="AW304" s="418"/>
      <c r="AX304" s="418"/>
      <c r="AY304" s="418"/>
      <c r="AZ304" s="418"/>
      <c r="BA304" s="418"/>
    </row>
    <row r="305" spans="40:53" ht="15.75" customHeight="1">
      <c r="AN305" s="418"/>
      <c r="AO305" s="418"/>
      <c r="AP305" s="418"/>
      <c r="AQ305" s="418"/>
      <c r="AR305" s="418"/>
      <c r="AS305" s="418"/>
      <c r="AT305" s="418"/>
      <c r="AU305" s="418"/>
      <c r="AV305" s="418"/>
      <c r="AW305" s="418"/>
      <c r="AX305" s="418"/>
      <c r="AY305" s="418"/>
      <c r="AZ305" s="418"/>
      <c r="BA305" s="418"/>
    </row>
    <row r="306" spans="40:53" ht="15.75" customHeight="1">
      <c r="AN306" s="418"/>
      <c r="AO306" s="418"/>
      <c r="AP306" s="418"/>
      <c r="AQ306" s="418"/>
      <c r="AR306" s="418"/>
      <c r="AS306" s="418"/>
      <c r="AT306" s="418"/>
      <c r="AU306" s="418"/>
      <c r="AV306" s="418"/>
      <c r="AW306" s="418"/>
      <c r="AX306" s="418"/>
      <c r="AY306" s="418"/>
      <c r="AZ306" s="418"/>
      <c r="BA306" s="418"/>
    </row>
    <row r="307" spans="40:53" ht="15.75" customHeight="1">
      <c r="AN307" s="418"/>
      <c r="AO307" s="418"/>
      <c r="AP307" s="418"/>
      <c r="AQ307" s="418"/>
      <c r="AR307" s="418"/>
      <c r="AS307" s="418"/>
      <c r="AT307" s="418"/>
      <c r="AU307" s="418"/>
      <c r="AV307" s="418"/>
      <c r="AW307" s="418"/>
      <c r="AX307" s="418"/>
      <c r="AY307" s="418"/>
      <c r="AZ307" s="418"/>
      <c r="BA307" s="418"/>
    </row>
    <row r="308" spans="40:53" ht="15.75" customHeight="1">
      <c r="AN308" s="418"/>
      <c r="AO308" s="418"/>
      <c r="AP308" s="418"/>
      <c r="AQ308" s="418"/>
      <c r="AR308" s="418"/>
      <c r="AS308" s="418"/>
      <c r="AT308" s="418"/>
      <c r="AU308" s="418"/>
      <c r="AV308" s="418"/>
      <c r="AW308" s="418"/>
      <c r="AX308" s="418"/>
      <c r="AY308" s="418"/>
      <c r="AZ308" s="418"/>
      <c r="BA308" s="418"/>
    </row>
    <row r="309" spans="40:53" ht="15.75" customHeight="1">
      <c r="AN309" s="418"/>
      <c r="AO309" s="418"/>
      <c r="AP309" s="418"/>
      <c r="AQ309" s="418"/>
      <c r="AR309" s="418"/>
      <c r="AS309" s="418"/>
      <c r="AT309" s="418"/>
      <c r="AU309" s="418"/>
      <c r="AV309" s="418"/>
      <c r="AW309" s="418"/>
      <c r="AX309" s="418"/>
      <c r="AY309" s="418"/>
      <c r="AZ309" s="418"/>
      <c r="BA309" s="418"/>
    </row>
    <row r="310" spans="40:53" ht="15.75" customHeight="1">
      <c r="AN310" s="418"/>
      <c r="AO310" s="418"/>
      <c r="AP310" s="418"/>
      <c r="AQ310" s="418"/>
      <c r="AR310" s="418"/>
      <c r="AS310" s="418"/>
      <c r="AT310" s="418"/>
      <c r="AU310" s="418"/>
      <c r="AV310" s="418"/>
      <c r="AW310" s="418"/>
      <c r="AX310" s="418"/>
      <c r="AY310" s="418"/>
      <c r="AZ310" s="418"/>
      <c r="BA310" s="418"/>
    </row>
    <row r="311" spans="40:53" ht="15.75" customHeight="1">
      <c r="AN311" s="418"/>
      <c r="AO311" s="418"/>
      <c r="AP311" s="418"/>
      <c r="AQ311" s="418"/>
      <c r="AR311" s="418"/>
      <c r="AS311" s="418"/>
      <c r="AT311" s="418"/>
      <c r="AU311" s="418"/>
      <c r="AV311" s="418"/>
      <c r="AW311" s="418"/>
      <c r="AX311" s="418"/>
      <c r="AY311" s="418"/>
      <c r="AZ311" s="418"/>
      <c r="BA311" s="418"/>
    </row>
    <row r="312" spans="40:53" ht="15.75" customHeight="1">
      <c r="AN312" s="418"/>
      <c r="AO312" s="418"/>
      <c r="AP312" s="418"/>
      <c r="AQ312" s="418"/>
      <c r="AR312" s="418"/>
      <c r="AS312" s="418"/>
      <c r="AT312" s="418"/>
      <c r="AU312" s="418"/>
      <c r="AV312" s="418"/>
      <c r="AW312" s="418"/>
      <c r="AX312" s="418"/>
      <c r="AY312" s="418"/>
      <c r="AZ312" s="418"/>
      <c r="BA312" s="418"/>
    </row>
    <row r="313" spans="40:53" ht="15.75" customHeight="1">
      <c r="AN313" s="418"/>
      <c r="AO313" s="418"/>
      <c r="AP313" s="418"/>
      <c r="AQ313" s="418"/>
      <c r="AR313" s="418"/>
      <c r="AS313" s="418"/>
      <c r="AT313" s="418"/>
      <c r="AU313" s="418"/>
      <c r="AV313" s="418"/>
      <c r="AW313" s="418"/>
      <c r="AX313" s="418"/>
      <c r="AY313" s="418"/>
      <c r="AZ313" s="418"/>
      <c r="BA313" s="418"/>
    </row>
    <row r="314" spans="40:53" ht="15.75" customHeight="1">
      <c r="AN314" s="418"/>
      <c r="AO314" s="418"/>
      <c r="AP314" s="418"/>
      <c r="AQ314" s="418"/>
      <c r="AR314" s="418"/>
      <c r="AS314" s="418"/>
      <c r="AT314" s="418"/>
      <c r="AU314" s="418"/>
      <c r="AV314" s="418"/>
      <c r="AW314" s="418"/>
      <c r="AX314" s="418"/>
      <c r="AY314" s="418"/>
      <c r="AZ314" s="418"/>
      <c r="BA314" s="418"/>
    </row>
    <row r="315" spans="40:53" ht="15.75" customHeight="1">
      <c r="AN315" s="418"/>
      <c r="AO315" s="418"/>
      <c r="AP315" s="418"/>
      <c r="AQ315" s="418"/>
      <c r="AR315" s="418"/>
      <c r="AS315" s="418"/>
      <c r="AT315" s="418"/>
      <c r="AU315" s="418"/>
      <c r="AV315" s="418"/>
      <c r="AW315" s="418"/>
      <c r="AX315" s="418"/>
      <c r="AY315" s="418"/>
      <c r="AZ315" s="418"/>
      <c r="BA315" s="418"/>
    </row>
    <row r="316" spans="40:53" ht="15.75" customHeight="1">
      <c r="AN316" s="418"/>
      <c r="AO316" s="418"/>
      <c r="AP316" s="418"/>
      <c r="AQ316" s="418"/>
      <c r="AR316" s="418"/>
      <c r="AS316" s="418"/>
      <c r="AT316" s="418"/>
      <c r="AU316" s="418"/>
      <c r="AV316" s="418"/>
      <c r="AW316" s="418"/>
      <c r="AX316" s="418"/>
      <c r="AY316" s="418"/>
      <c r="AZ316" s="418"/>
      <c r="BA316" s="418"/>
    </row>
    <row r="317" spans="40:53" ht="15.75" customHeight="1">
      <c r="AN317" s="418"/>
      <c r="AO317" s="418"/>
      <c r="AP317" s="418"/>
      <c r="AQ317" s="418"/>
      <c r="AR317" s="418"/>
      <c r="AS317" s="418"/>
      <c r="AT317" s="418"/>
      <c r="AU317" s="418"/>
      <c r="AV317" s="418"/>
      <c r="AW317" s="418"/>
      <c r="AX317" s="418"/>
      <c r="AY317" s="418"/>
      <c r="AZ317" s="418"/>
      <c r="BA317" s="418"/>
    </row>
    <row r="318" spans="40:53" ht="15.75" customHeight="1">
      <c r="AN318" s="418"/>
      <c r="AO318" s="418"/>
      <c r="AP318" s="418"/>
      <c r="AQ318" s="418"/>
      <c r="AR318" s="418"/>
      <c r="AS318" s="418"/>
      <c r="AT318" s="418"/>
      <c r="AU318" s="418"/>
      <c r="AV318" s="418"/>
      <c r="AW318" s="418"/>
      <c r="AX318" s="418"/>
      <c r="AY318" s="418"/>
      <c r="AZ318" s="418"/>
      <c r="BA318" s="418"/>
    </row>
    <row r="319" spans="40:53" ht="15.75" customHeight="1">
      <c r="AN319" s="418"/>
      <c r="AO319" s="418"/>
      <c r="AP319" s="418"/>
      <c r="AQ319" s="418"/>
      <c r="AR319" s="418"/>
      <c r="AS319" s="418"/>
      <c r="AT319" s="418"/>
      <c r="AU319" s="418"/>
      <c r="AV319" s="418"/>
      <c r="AW319" s="418"/>
      <c r="AX319" s="418"/>
      <c r="AY319" s="418"/>
      <c r="AZ319" s="418"/>
      <c r="BA319" s="418"/>
    </row>
    <row r="320" spans="40:53" ht="15.75" customHeight="1">
      <c r="AN320" s="418"/>
      <c r="AO320" s="418"/>
      <c r="AP320" s="418"/>
      <c r="AQ320" s="418"/>
      <c r="AR320" s="418"/>
      <c r="AS320" s="418"/>
      <c r="AT320" s="418"/>
      <c r="AU320" s="418"/>
      <c r="AV320" s="418"/>
      <c r="AW320" s="418"/>
      <c r="AX320" s="418"/>
      <c r="AY320" s="418"/>
      <c r="AZ320" s="418"/>
      <c r="BA320" s="418"/>
    </row>
    <row r="321" spans="40:53" ht="15.75" customHeight="1">
      <c r="AN321" s="418"/>
      <c r="AO321" s="418"/>
      <c r="AP321" s="418"/>
      <c r="AQ321" s="418"/>
      <c r="AR321" s="418"/>
      <c r="AS321" s="418"/>
      <c r="AT321" s="418"/>
      <c r="AU321" s="418"/>
      <c r="AV321" s="418"/>
      <c r="AW321" s="418"/>
      <c r="AX321" s="418"/>
      <c r="AY321" s="418"/>
      <c r="AZ321" s="418"/>
      <c r="BA321" s="418"/>
    </row>
    <row r="322" spans="40:53" ht="15.75" customHeight="1">
      <c r="AN322" s="418"/>
      <c r="AO322" s="418"/>
      <c r="AP322" s="418"/>
      <c r="AQ322" s="418"/>
      <c r="AR322" s="418"/>
      <c r="AS322" s="418"/>
      <c r="AT322" s="418"/>
      <c r="AU322" s="418"/>
      <c r="AV322" s="418"/>
      <c r="AW322" s="418"/>
      <c r="AX322" s="418"/>
      <c r="AY322" s="418"/>
      <c r="AZ322" s="418"/>
      <c r="BA322" s="418"/>
    </row>
    <row r="323" spans="40:53" ht="15.75" customHeight="1">
      <c r="AN323" s="418"/>
      <c r="AO323" s="418"/>
      <c r="AP323" s="418"/>
      <c r="AQ323" s="418"/>
      <c r="AR323" s="418"/>
      <c r="AS323" s="418"/>
      <c r="AT323" s="418"/>
      <c r="AU323" s="418"/>
      <c r="AV323" s="418"/>
      <c r="AW323" s="418"/>
      <c r="AX323" s="418"/>
      <c r="AY323" s="418"/>
      <c r="AZ323" s="418"/>
      <c r="BA323" s="418"/>
    </row>
    <row r="324" spans="40:53" ht="15.75" customHeight="1">
      <c r="AN324" s="418"/>
      <c r="AO324" s="418"/>
      <c r="AP324" s="418"/>
      <c r="AQ324" s="418"/>
      <c r="AR324" s="418"/>
      <c r="AS324" s="418"/>
      <c r="AT324" s="418"/>
      <c r="AU324" s="418"/>
      <c r="AV324" s="418"/>
      <c r="AW324" s="418"/>
      <c r="AX324" s="418"/>
      <c r="AY324" s="418"/>
      <c r="AZ324" s="418"/>
      <c r="BA324" s="418"/>
    </row>
    <row r="325" spans="40:53" ht="15.75" customHeight="1">
      <c r="AN325" s="418"/>
      <c r="AO325" s="418"/>
      <c r="AP325" s="418"/>
      <c r="AQ325" s="418"/>
      <c r="AR325" s="418"/>
      <c r="AS325" s="418"/>
      <c r="AT325" s="418"/>
      <c r="AU325" s="418"/>
      <c r="AV325" s="418"/>
      <c r="AW325" s="418"/>
      <c r="AX325" s="418"/>
      <c r="AY325" s="418"/>
      <c r="AZ325" s="418"/>
      <c r="BA325" s="418"/>
    </row>
    <row r="326" spans="40:53" ht="15.75" customHeight="1">
      <c r="AN326" s="418"/>
      <c r="AO326" s="418"/>
      <c r="AP326" s="418"/>
      <c r="AQ326" s="418"/>
      <c r="AR326" s="418"/>
      <c r="AS326" s="418"/>
      <c r="AT326" s="418"/>
      <c r="AU326" s="418"/>
      <c r="AV326" s="418"/>
      <c r="AW326" s="418"/>
      <c r="AX326" s="418"/>
      <c r="AY326" s="418"/>
      <c r="AZ326" s="418"/>
      <c r="BA326" s="418"/>
    </row>
    <row r="327" spans="40:53" ht="15.75" customHeight="1">
      <c r="AN327" s="418"/>
      <c r="AO327" s="418"/>
      <c r="AP327" s="418"/>
      <c r="AQ327" s="418"/>
      <c r="AR327" s="418"/>
      <c r="AS327" s="418"/>
      <c r="AT327" s="418"/>
      <c r="AU327" s="418"/>
      <c r="AV327" s="418"/>
      <c r="AW327" s="418"/>
      <c r="AX327" s="418"/>
      <c r="AY327" s="418"/>
      <c r="AZ327" s="418"/>
      <c r="BA327" s="418"/>
    </row>
    <row r="328" spans="40:53" ht="15.75" customHeight="1">
      <c r="AN328" s="418"/>
      <c r="AO328" s="418"/>
      <c r="AP328" s="418"/>
      <c r="AQ328" s="418"/>
      <c r="AR328" s="418"/>
      <c r="AS328" s="418"/>
      <c r="AT328" s="418"/>
      <c r="AU328" s="418"/>
      <c r="AV328" s="418"/>
      <c r="AW328" s="418"/>
      <c r="AX328" s="418"/>
      <c r="AY328" s="418"/>
      <c r="AZ328" s="418"/>
      <c r="BA328" s="418"/>
    </row>
    <row r="329" spans="40:53" ht="15.75" customHeight="1">
      <c r="AN329" s="418"/>
      <c r="AO329" s="418"/>
      <c r="AP329" s="418"/>
      <c r="AQ329" s="418"/>
      <c r="AR329" s="418"/>
      <c r="AS329" s="418"/>
      <c r="AT329" s="418"/>
      <c r="AU329" s="418"/>
      <c r="AV329" s="418"/>
      <c r="AW329" s="418"/>
      <c r="AX329" s="418"/>
      <c r="AY329" s="418"/>
      <c r="AZ329" s="418"/>
      <c r="BA329" s="418"/>
    </row>
    <row r="330" spans="40:53" ht="15.75" customHeight="1">
      <c r="AN330" s="418"/>
      <c r="AO330" s="418"/>
      <c r="AP330" s="418"/>
      <c r="AQ330" s="418"/>
      <c r="AR330" s="418"/>
      <c r="AS330" s="418"/>
      <c r="AT330" s="418"/>
      <c r="AU330" s="418"/>
      <c r="AV330" s="418"/>
      <c r="AW330" s="418"/>
      <c r="AX330" s="418"/>
      <c r="AY330" s="418"/>
      <c r="AZ330" s="418"/>
      <c r="BA330" s="418"/>
    </row>
    <row r="331" spans="40:53" ht="15.75" customHeight="1">
      <c r="AN331" s="418"/>
      <c r="AO331" s="418"/>
      <c r="AP331" s="418"/>
      <c r="AQ331" s="418"/>
      <c r="AR331" s="418"/>
      <c r="AS331" s="418"/>
      <c r="AT331" s="418"/>
      <c r="AU331" s="418"/>
      <c r="AV331" s="418"/>
      <c r="AW331" s="418"/>
      <c r="AX331" s="418"/>
      <c r="AY331" s="418"/>
      <c r="AZ331" s="418"/>
      <c r="BA331" s="418"/>
    </row>
    <row r="332" spans="40:53" ht="15.75" customHeight="1">
      <c r="AN332" s="418"/>
      <c r="AO332" s="418"/>
      <c r="AP332" s="418"/>
      <c r="AQ332" s="418"/>
      <c r="AR332" s="418"/>
      <c r="AS332" s="418"/>
      <c r="AT332" s="418"/>
      <c r="AU332" s="418"/>
      <c r="AV332" s="418"/>
      <c r="AW332" s="418"/>
      <c r="AX332" s="418"/>
      <c r="AY332" s="418"/>
      <c r="AZ332" s="418"/>
      <c r="BA332" s="418"/>
    </row>
    <row r="333" spans="40:53" ht="15.75" customHeight="1">
      <c r="AN333" s="418"/>
      <c r="AO333" s="418"/>
      <c r="AP333" s="418"/>
      <c r="AQ333" s="418"/>
      <c r="AR333" s="418"/>
      <c r="AS333" s="418"/>
      <c r="AT333" s="418"/>
      <c r="AU333" s="418"/>
      <c r="AV333" s="418"/>
      <c r="AW333" s="418"/>
      <c r="AX333" s="418"/>
      <c r="AY333" s="418"/>
      <c r="AZ333" s="418"/>
      <c r="BA333" s="418"/>
    </row>
    <row r="334" spans="40:53" ht="15.75" customHeight="1">
      <c r="AN334" s="418"/>
      <c r="AO334" s="418"/>
      <c r="AP334" s="418"/>
      <c r="AQ334" s="418"/>
      <c r="AR334" s="418"/>
      <c r="AS334" s="418"/>
      <c r="AT334" s="418"/>
      <c r="AU334" s="418"/>
      <c r="AV334" s="418"/>
      <c r="AW334" s="418"/>
      <c r="AX334" s="418"/>
      <c r="AY334" s="418"/>
      <c r="AZ334" s="418"/>
      <c r="BA334" s="418"/>
    </row>
    <row r="335" spans="40:53" ht="15.75" customHeight="1">
      <c r="AN335" s="418"/>
      <c r="AO335" s="418"/>
      <c r="AP335" s="418"/>
      <c r="AQ335" s="418"/>
      <c r="AR335" s="418"/>
      <c r="AS335" s="418"/>
      <c r="AT335" s="418"/>
      <c r="AU335" s="418"/>
      <c r="AV335" s="418"/>
      <c r="AW335" s="418"/>
      <c r="AX335" s="418"/>
      <c r="AY335" s="418"/>
      <c r="AZ335" s="418"/>
      <c r="BA335" s="418"/>
    </row>
    <row r="336" spans="40:53" ht="15.75" customHeight="1">
      <c r="AN336" s="418"/>
      <c r="AO336" s="418"/>
      <c r="AP336" s="418"/>
      <c r="AQ336" s="418"/>
      <c r="AR336" s="418"/>
      <c r="AS336" s="418"/>
      <c r="AT336" s="418"/>
      <c r="AU336" s="418"/>
      <c r="AV336" s="418"/>
      <c r="AW336" s="418"/>
      <c r="AX336" s="418"/>
      <c r="AY336" s="418"/>
      <c r="AZ336" s="418"/>
      <c r="BA336" s="418"/>
    </row>
    <row r="337" spans="40:53" ht="15.75" customHeight="1">
      <c r="AN337" s="418"/>
      <c r="AO337" s="418"/>
      <c r="AP337" s="418"/>
      <c r="AQ337" s="418"/>
      <c r="AR337" s="418"/>
      <c r="AS337" s="418"/>
      <c r="AT337" s="418"/>
      <c r="AU337" s="418"/>
      <c r="AV337" s="418"/>
      <c r="AW337" s="418"/>
      <c r="AX337" s="418"/>
      <c r="AY337" s="418"/>
      <c r="AZ337" s="418"/>
      <c r="BA337" s="418"/>
    </row>
    <row r="338" spans="40:53" ht="15.75" customHeight="1">
      <c r="AN338" s="418"/>
      <c r="AO338" s="418"/>
      <c r="AP338" s="418"/>
      <c r="AQ338" s="418"/>
      <c r="AR338" s="418"/>
      <c r="AS338" s="418"/>
      <c r="AT338" s="418"/>
      <c r="AU338" s="418"/>
      <c r="AV338" s="418"/>
      <c r="AW338" s="418"/>
      <c r="AX338" s="418"/>
      <c r="AY338" s="418"/>
      <c r="AZ338" s="418"/>
      <c r="BA338" s="418"/>
    </row>
    <row r="339" spans="40:53" ht="15.75" customHeight="1">
      <c r="AN339" s="418"/>
      <c r="AO339" s="418"/>
      <c r="AP339" s="418"/>
      <c r="AQ339" s="418"/>
      <c r="AR339" s="418"/>
      <c r="AS339" s="418"/>
      <c r="AT339" s="418"/>
      <c r="AU339" s="418"/>
      <c r="AV339" s="418"/>
      <c r="AW339" s="418"/>
      <c r="AX339" s="418"/>
      <c r="AY339" s="418"/>
      <c r="AZ339" s="418"/>
      <c r="BA339" s="418"/>
    </row>
    <row r="340" spans="40:53" ht="15.75" customHeight="1">
      <c r="AN340" s="418"/>
      <c r="AO340" s="418"/>
      <c r="AP340" s="418"/>
      <c r="AQ340" s="418"/>
      <c r="AR340" s="418"/>
      <c r="AS340" s="418"/>
      <c r="AT340" s="418"/>
      <c r="AU340" s="418"/>
      <c r="AV340" s="418"/>
      <c r="AW340" s="418"/>
      <c r="AX340" s="418"/>
      <c r="AY340" s="418"/>
      <c r="AZ340" s="418"/>
      <c r="BA340" s="418"/>
    </row>
    <row r="341" spans="40:53" ht="15.75" customHeight="1">
      <c r="AN341" s="418"/>
      <c r="AO341" s="418"/>
      <c r="AP341" s="418"/>
      <c r="AQ341" s="418"/>
      <c r="AR341" s="418"/>
      <c r="AS341" s="418"/>
      <c r="AT341" s="418"/>
      <c r="AU341" s="418"/>
      <c r="AV341" s="418"/>
      <c r="AW341" s="418"/>
      <c r="AX341" s="418"/>
      <c r="AY341" s="418"/>
      <c r="AZ341" s="418"/>
      <c r="BA341" s="418"/>
    </row>
    <row r="342" spans="40:53" ht="15.75" customHeight="1">
      <c r="AN342" s="418"/>
      <c r="AO342" s="418"/>
      <c r="AP342" s="418"/>
      <c r="AQ342" s="418"/>
      <c r="AR342" s="418"/>
      <c r="AS342" s="418"/>
      <c r="AT342" s="418"/>
      <c r="AU342" s="418"/>
      <c r="AV342" s="418"/>
      <c r="AW342" s="418"/>
      <c r="AX342" s="418"/>
      <c r="AY342" s="418"/>
      <c r="AZ342" s="418"/>
      <c r="BA342" s="418"/>
    </row>
    <row r="343" spans="40:53" ht="15.75" customHeight="1">
      <c r="AN343" s="418"/>
      <c r="AO343" s="418"/>
      <c r="AP343" s="418"/>
      <c r="AQ343" s="418"/>
      <c r="AR343" s="418"/>
      <c r="AS343" s="418"/>
      <c r="AT343" s="418"/>
      <c r="AU343" s="418"/>
      <c r="AV343" s="418"/>
      <c r="AW343" s="418"/>
      <c r="AX343" s="418"/>
      <c r="AY343" s="418"/>
      <c r="AZ343" s="418"/>
      <c r="BA343" s="418"/>
    </row>
    <row r="344" spans="40:53" ht="15.75" customHeight="1">
      <c r="AN344" s="418"/>
      <c r="AO344" s="418"/>
      <c r="AP344" s="418"/>
      <c r="AQ344" s="418"/>
      <c r="AR344" s="418"/>
      <c r="AS344" s="418"/>
      <c r="AT344" s="418"/>
      <c r="AU344" s="418"/>
      <c r="AV344" s="418"/>
      <c r="AW344" s="418"/>
      <c r="AX344" s="418"/>
      <c r="AY344" s="418"/>
      <c r="AZ344" s="418"/>
      <c r="BA344" s="418"/>
    </row>
    <row r="345" spans="40:53" ht="15.75" customHeight="1">
      <c r="AN345" s="418"/>
      <c r="AO345" s="418"/>
      <c r="AP345" s="418"/>
      <c r="AQ345" s="418"/>
      <c r="AR345" s="418"/>
      <c r="AS345" s="418"/>
      <c r="AT345" s="418"/>
      <c r="AU345" s="418"/>
      <c r="AV345" s="418"/>
      <c r="AW345" s="418"/>
      <c r="AX345" s="418"/>
      <c r="AY345" s="418"/>
      <c r="AZ345" s="418"/>
      <c r="BA345" s="418"/>
    </row>
    <row r="346" spans="40:53" ht="15.75" customHeight="1">
      <c r="AN346" s="418"/>
      <c r="AO346" s="418"/>
      <c r="AP346" s="418"/>
      <c r="AQ346" s="418"/>
      <c r="AR346" s="418"/>
      <c r="AS346" s="418"/>
      <c r="AT346" s="418"/>
      <c r="AU346" s="418"/>
      <c r="AV346" s="418"/>
      <c r="AW346" s="418"/>
      <c r="AX346" s="418"/>
      <c r="AY346" s="418"/>
      <c r="AZ346" s="418"/>
      <c r="BA346" s="418"/>
    </row>
    <row r="347" spans="40:53" ht="15.75" customHeight="1">
      <c r="AN347" s="418"/>
      <c r="AO347" s="418"/>
      <c r="AP347" s="418"/>
      <c r="AQ347" s="418"/>
      <c r="AR347" s="418"/>
      <c r="AS347" s="418"/>
      <c r="AT347" s="418"/>
      <c r="AU347" s="418"/>
      <c r="AV347" s="418"/>
      <c r="AW347" s="418"/>
      <c r="AX347" s="418"/>
      <c r="AY347" s="418"/>
      <c r="AZ347" s="418"/>
      <c r="BA347" s="418"/>
    </row>
    <row r="348" spans="40:53" ht="15.75" customHeight="1">
      <c r="AN348" s="418"/>
      <c r="AO348" s="418"/>
      <c r="AP348" s="418"/>
      <c r="AQ348" s="418"/>
      <c r="AR348" s="418"/>
      <c r="AS348" s="418"/>
      <c r="AT348" s="418"/>
      <c r="AU348" s="418"/>
      <c r="AV348" s="418"/>
      <c r="AW348" s="418"/>
      <c r="AX348" s="418"/>
      <c r="AY348" s="418"/>
      <c r="AZ348" s="418"/>
      <c r="BA348" s="418"/>
    </row>
    <row r="349" spans="40:53" ht="15.75" customHeight="1">
      <c r="AN349" s="418"/>
      <c r="AO349" s="418"/>
      <c r="AP349" s="418"/>
      <c r="AQ349" s="418"/>
      <c r="AR349" s="418"/>
      <c r="AS349" s="418"/>
      <c r="AT349" s="418"/>
      <c r="AU349" s="418"/>
      <c r="AV349" s="418"/>
      <c r="AW349" s="418"/>
      <c r="AX349" s="418"/>
      <c r="AY349" s="418"/>
      <c r="AZ349" s="418"/>
      <c r="BA349" s="418"/>
    </row>
    <row r="350" spans="40:53" ht="15.75" customHeight="1">
      <c r="AN350" s="418"/>
      <c r="AO350" s="418"/>
      <c r="AP350" s="418"/>
      <c r="AQ350" s="418"/>
      <c r="AR350" s="418"/>
      <c r="AS350" s="418"/>
      <c r="AT350" s="418"/>
      <c r="AU350" s="418"/>
      <c r="AV350" s="418"/>
      <c r="AW350" s="418"/>
      <c r="AX350" s="418"/>
      <c r="AY350" s="418"/>
      <c r="AZ350" s="418"/>
      <c r="BA350" s="418"/>
    </row>
    <row r="351" spans="40:53" ht="15.75" customHeight="1">
      <c r="AN351" s="418"/>
      <c r="AO351" s="418"/>
      <c r="AP351" s="418"/>
      <c r="AQ351" s="418"/>
      <c r="AR351" s="418"/>
      <c r="AS351" s="418"/>
      <c r="AT351" s="418"/>
      <c r="AU351" s="418"/>
      <c r="AV351" s="418"/>
      <c r="AW351" s="418"/>
      <c r="AX351" s="418"/>
      <c r="AY351" s="418"/>
      <c r="AZ351" s="418"/>
      <c r="BA351" s="418"/>
    </row>
    <row r="352" spans="40:53" ht="15.75" customHeight="1">
      <c r="AN352" s="418"/>
      <c r="AO352" s="418"/>
      <c r="AP352" s="418"/>
      <c r="AQ352" s="418"/>
      <c r="AR352" s="418"/>
      <c r="AS352" s="418"/>
      <c r="AT352" s="418"/>
      <c r="AU352" s="418"/>
      <c r="AV352" s="418"/>
      <c r="AW352" s="418"/>
      <c r="AX352" s="418"/>
      <c r="AY352" s="418"/>
      <c r="AZ352" s="418"/>
      <c r="BA352" s="418"/>
    </row>
    <row r="353" spans="40:53" ht="15.75" customHeight="1">
      <c r="AN353" s="418"/>
      <c r="AO353" s="418"/>
      <c r="AP353" s="418"/>
      <c r="AQ353" s="418"/>
      <c r="AR353" s="418"/>
      <c r="AS353" s="418"/>
      <c r="AT353" s="418"/>
      <c r="AU353" s="418"/>
      <c r="AV353" s="418"/>
      <c r="AW353" s="418"/>
      <c r="AX353" s="418"/>
      <c r="AY353" s="418"/>
      <c r="AZ353" s="418"/>
      <c r="BA353" s="418"/>
    </row>
    <row r="354" spans="40:53" ht="15.75" customHeight="1">
      <c r="AN354" s="418"/>
      <c r="AO354" s="418"/>
      <c r="AP354" s="418"/>
      <c r="AQ354" s="418"/>
      <c r="AR354" s="418"/>
      <c r="AS354" s="418"/>
      <c r="AT354" s="418"/>
      <c r="AU354" s="418"/>
      <c r="AV354" s="418"/>
      <c r="AW354" s="418"/>
      <c r="AX354" s="418"/>
      <c r="AY354" s="418"/>
      <c r="AZ354" s="418"/>
      <c r="BA354" s="418"/>
    </row>
    <row r="355" spans="40:53" ht="15.75" customHeight="1">
      <c r="AN355" s="418"/>
      <c r="AO355" s="418"/>
      <c r="AP355" s="418"/>
      <c r="AQ355" s="418"/>
      <c r="AR355" s="418"/>
      <c r="AS355" s="418"/>
      <c r="AT355" s="418"/>
      <c r="AU355" s="418"/>
      <c r="AV355" s="418"/>
      <c r="AW355" s="418"/>
      <c r="AX355" s="418"/>
      <c r="AY355" s="418"/>
      <c r="AZ355" s="418"/>
      <c r="BA355" s="418"/>
    </row>
    <row r="356" spans="40:53" ht="15.75" customHeight="1">
      <c r="AN356" s="418"/>
      <c r="AO356" s="418"/>
      <c r="AP356" s="418"/>
      <c r="AQ356" s="418"/>
      <c r="AR356" s="418"/>
      <c r="AS356" s="418"/>
      <c r="AT356" s="418"/>
      <c r="AU356" s="418"/>
      <c r="AV356" s="418"/>
      <c r="AW356" s="418"/>
      <c r="AX356" s="418"/>
      <c r="AY356" s="418"/>
      <c r="AZ356" s="418"/>
      <c r="BA356" s="418"/>
    </row>
    <row r="357" spans="40:53" ht="15.75" customHeight="1">
      <c r="AN357" s="418"/>
      <c r="AO357" s="418"/>
      <c r="AP357" s="418"/>
      <c r="AQ357" s="418"/>
      <c r="AR357" s="418"/>
      <c r="AS357" s="418"/>
      <c r="AT357" s="418"/>
      <c r="AU357" s="418"/>
      <c r="AV357" s="418"/>
      <c r="AW357" s="418"/>
      <c r="AX357" s="418"/>
      <c r="AY357" s="418"/>
      <c r="AZ357" s="418"/>
      <c r="BA357" s="418"/>
    </row>
    <row r="358" spans="40:53" ht="15.75" customHeight="1">
      <c r="AN358" s="418"/>
      <c r="AO358" s="418"/>
      <c r="AP358" s="418"/>
      <c r="AQ358" s="418"/>
      <c r="AR358" s="418"/>
      <c r="AS358" s="418"/>
      <c r="AT358" s="418"/>
      <c r="AU358" s="418"/>
      <c r="AV358" s="418"/>
      <c r="AW358" s="418"/>
      <c r="AX358" s="418"/>
      <c r="AY358" s="418"/>
      <c r="AZ358" s="418"/>
      <c r="BA358" s="418"/>
    </row>
    <row r="359" spans="40:53" ht="15.75" customHeight="1">
      <c r="AN359" s="418"/>
      <c r="AO359" s="418"/>
      <c r="AP359" s="418"/>
      <c r="AQ359" s="418"/>
      <c r="AR359" s="418"/>
      <c r="AS359" s="418"/>
      <c r="AT359" s="418"/>
      <c r="AU359" s="418"/>
      <c r="AV359" s="418"/>
      <c r="AW359" s="418"/>
      <c r="AX359" s="418"/>
      <c r="AY359" s="418"/>
      <c r="AZ359" s="418"/>
      <c r="BA359" s="418"/>
    </row>
    <row r="360" spans="40:53" ht="15.75" customHeight="1">
      <c r="AN360" s="418"/>
      <c r="AO360" s="418"/>
      <c r="AP360" s="418"/>
      <c r="AQ360" s="418"/>
      <c r="AR360" s="418"/>
      <c r="AS360" s="418"/>
      <c r="AT360" s="418"/>
      <c r="AU360" s="418"/>
      <c r="AV360" s="418"/>
      <c r="AW360" s="418"/>
      <c r="AX360" s="418"/>
      <c r="AY360" s="418"/>
      <c r="AZ360" s="418"/>
      <c r="BA360" s="418"/>
    </row>
    <row r="361" spans="40:53" ht="15.75" customHeight="1">
      <c r="AN361" s="418"/>
      <c r="AO361" s="418"/>
      <c r="AP361" s="418"/>
      <c r="AQ361" s="418"/>
      <c r="AR361" s="418"/>
      <c r="AS361" s="418"/>
      <c r="AT361" s="418"/>
      <c r="AU361" s="418"/>
      <c r="AV361" s="418"/>
      <c r="AW361" s="418"/>
      <c r="AX361" s="418"/>
      <c r="AY361" s="418"/>
      <c r="AZ361" s="418"/>
      <c r="BA361" s="418"/>
    </row>
    <row r="362" spans="40:53" ht="15.75" customHeight="1">
      <c r="AN362" s="418"/>
      <c r="AO362" s="418"/>
      <c r="AP362" s="418"/>
      <c r="AQ362" s="418"/>
      <c r="AR362" s="418"/>
      <c r="AS362" s="418"/>
      <c r="AT362" s="418"/>
      <c r="AU362" s="418"/>
      <c r="AV362" s="418"/>
      <c r="AW362" s="418"/>
      <c r="AX362" s="418"/>
      <c r="AY362" s="418"/>
      <c r="AZ362" s="418"/>
      <c r="BA362" s="418"/>
    </row>
    <row r="363" spans="40:53" ht="15.75" customHeight="1">
      <c r="AN363" s="418"/>
      <c r="AO363" s="418"/>
      <c r="AP363" s="418"/>
      <c r="AQ363" s="418"/>
      <c r="AR363" s="418"/>
      <c r="AS363" s="418"/>
      <c r="AT363" s="418"/>
      <c r="AU363" s="418"/>
      <c r="AV363" s="418"/>
      <c r="AW363" s="418"/>
      <c r="AX363" s="418"/>
      <c r="AY363" s="418"/>
      <c r="AZ363" s="418"/>
      <c r="BA363" s="418"/>
    </row>
    <row r="364" spans="40:53" ht="15.75" customHeight="1">
      <c r="AN364" s="418"/>
      <c r="AO364" s="418"/>
      <c r="AP364" s="418"/>
      <c r="AQ364" s="418"/>
      <c r="AR364" s="418"/>
      <c r="AS364" s="418"/>
      <c r="AT364" s="418"/>
      <c r="AU364" s="418"/>
      <c r="AV364" s="418"/>
      <c r="AW364" s="418"/>
      <c r="AX364" s="418"/>
      <c r="AY364" s="418"/>
      <c r="AZ364" s="418"/>
      <c r="BA364" s="418"/>
    </row>
    <row r="365" spans="40:53" ht="15.75" customHeight="1">
      <c r="AN365" s="418"/>
      <c r="AO365" s="418"/>
      <c r="AP365" s="418"/>
      <c r="AQ365" s="418"/>
      <c r="AR365" s="418"/>
      <c r="AS365" s="418"/>
      <c r="AT365" s="418"/>
      <c r="AU365" s="418"/>
      <c r="AV365" s="418"/>
      <c r="AW365" s="418"/>
      <c r="AX365" s="418"/>
      <c r="AY365" s="418"/>
      <c r="AZ365" s="418"/>
      <c r="BA365" s="418"/>
    </row>
    <row r="366" spans="40:53" ht="15.75" customHeight="1">
      <c r="AN366" s="418"/>
      <c r="AO366" s="418"/>
      <c r="AP366" s="418"/>
      <c r="AQ366" s="418"/>
      <c r="AR366" s="418"/>
      <c r="AS366" s="418"/>
      <c r="AT366" s="418"/>
      <c r="AU366" s="418"/>
      <c r="AV366" s="418"/>
      <c r="AW366" s="418"/>
      <c r="AX366" s="418"/>
      <c r="AY366" s="418"/>
      <c r="AZ366" s="418"/>
      <c r="BA366" s="418"/>
    </row>
    <row r="367" spans="40:53" ht="15.75" customHeight="1">
      <c r="AN367" s="418"/>
      <c r="AO367" s="418"/>
      <c r="AP367" s="418"/>
      <c r="AQ367" s="418"/>
      <c r="AR367" s="418"/>
      <c r="AS367" s="418"/>
      <c r="AT367" s="418"/>
      <c r="AU367" s="418"/>
      <c r="AV367" s="418"/>
      <c r="AW367" s="418"/>
      <c r="AX367" s="418"/>
      <c r="AY367" s="418"/>
      <c r="AZ367" s="418"/>
      <c r="BA367" s="418"/>
    </row>
    <row r="368" spans="40:53" ht="15.75" customHeight="1">
      <c r="AN368" s="418"/>
      <c r="AO368" s="418"/>
      <c r="AP368" s="418"/>
      <c r="AQ368" s="418"/>
      <c r="AR368" s="418"/>
      <c r="AS368" s="418"/>
      <c r="AT368" s="418"/>
      <c r="AU368" s="418"/>
      <c r="AV368" s="418"/>
      <c r="AW368" s="418"/>
      <c r="AX368" s="418"/>
      <c r="AY368" s="418"/>
      <c r="AZ368" s="418"/>
      <c r="BA368" s="418"/>
    </row>
    <row r="369" spans="40:53" ht="15.75" customHeight="1">
      <c r="AN369" s="418"/>
      <c r="AO369" s="418"/>
      <c r="AP369" s="418"/>
      <c r="AQ369" s="418"/>
      <c r="AR369" s="418"/>
      <c r="AS369" s="418"/>
      <c r="AT369" s="418"/>
      <c r="AU369" s="418"/>
      <c r="AV369" s="418"/>
      <c r="AW369" s="418"/>
      <c r="AX369" s="418"/>
      <c r="AY369" s="418"/>
      <c r="AZ369" s="418"/>
      <c r="BA369" s="418"/>
    </row>
    <row r="370" spans="40:53" ht="15.75" customHeight="1">
      <c r="AN370" s="418"/>
      <c r="AO370" s="418"/>
      <c r="AP370" s="418"/>
      <c r="AQ370" s="418"/>
      <c r="AR370" s="418"/>
      <c r="AS370" s="418"/>
      <c r="AT370" s="418"/>
      <c r="AU370" s="418"/>
      <c r="AV370" s="418"/>
      <c r="AW370" s="418"/>
      <c r="AX370" s="418"/>
      <c r="AY370" s="418"/>
      <c r="AZ370" s="418"/>
      <c r="BA370" s="418"/>
    </row>
    <row r="371" spans="40:53" ht="15.75" customHeight="1">
      <c r="AN371" s="418"/>
      <c r="AO371" s="418"/>
      <c r="AP371" s="418"/>
      <c r="AQ371" s="418"/>
      <c r="AR371" s="418"/>
      <c r="AS371" s="418"/>
      <c r="AT371" s="418"/>
      <c r="AU371" s="418"/>
      <c r="AV371" s="418"/>
      <c r="AW371" s="418"/>
      <c r="AX371" s="418"/>
      <c r="AY371" s="418"/>
      <c r="AZ371" s="418"/>
      <c r="BA371" s="418"/>
    </row>
    <row r="372" spans="40:53" ht="15.75" customHeight="1">
      <c r="AN372" s="418"/>
      <c r="AO372" s="418"/>
      <c r="AP372" s="418"/>
      <c r="AQ372" s="418"/>
      <c r="AR372" s="418"/>
      <c r="AS372" s="418"/>
      <c r="AT372" s="418"/>
      <c r="AU372" s="418"/>
      <c r="AV372" s="418"/>
      <c r="AW372" s="418"/>
      <c r="AX372" s="418"/>
      <c r="AY372" s="418"/>
      <c r="AZ372" s="418"/>
      <c r="BA372" s="418"/>
    </row>
    <row r="373" spans="40:53" ht="15.75" customHeight="1">
      <c r="AN373" s="418"/>
      <c r="AO373" s="418"/>
      <c r="AP373" s="418"/>
      <c r="AQ373" s="418"/>
      <c r="AR373" s="418"/>
      <c r="AS373" s="418"/>
      <c r="AT373" s="418"/>
      <c r="AU373" s="418"/>
      <c r="AV373" s="418"/>
      <c r="AW373" s="418"/>
      <c r="AX373" s="418"/>
      <c r="AY373" s="418"/>
      <c r="AZ373" s="418"/>
      <c r="BA373" s="418"/>
    </row>
    <row r="374" spans="40:53" ht="15.75" customHeight="1">
      <c r="AN374" s="418"/>
      <c r="AO374" s="418"/>
      <c r="AP374" s="418"/>
      <c r="AQ374" s="418"/>
      <c r="AR374" s="418"/>
      <c r="AS374" s="418"/>
      <c r="AT374" s="418"/>
      <c r="AU374" s="418"/>
      <c r="AV374" s="418"/>
      <c r="AW374" s="418"/>
      <c r="AX374" s="418"/>
      <c r="AY374" s="418"/>
      <c r="AZ374" s="418"/>
      <c r="BA374" s="418"/>
    </row>
    <row r="375" spans="40:53" ht="15.75" customHeight="1">
      <c r="AN375" s="418"/>
      <c r="AO375" s="418"/>
      <c r="AP375" s="418"/>
      <c r="AQ375" s="418"/>
      <c r="AR375" s="418"/>
      <c r="AS375" s="418"/>
      <c r="AT375" s="418"/>
      <c r="AU375" s="418"/>
      <c r="AV375" s="418"/>
      <c r="AW375" s="418"/>
      <c r="AX375" s="418"/>
      <c r="AY375" s="418"/>
      <c r="AZ375" s="418"/>
      <c r="BA375" s="418"/>
    </row>
    <row r="376" spans="40:53" ht="15.75" customHeight="1">
      <c r="AN376" s="418"/>
      <c r="AO376" s="418"/>
      <c r="AP376" s="418"/>
      <c r="AQ376" s="418"/>
      <c r="AR376" s="418"/>
      <c r="AS376" s="418"/>
      <c r="AT376" s="418"/>
      <c r="AU376" s="418"/>
      <c r="AV376" s="418"/>
      <c r="AW376" s="418"/>
      <c r="AX376" s="418"/>
      <c r="AY376" s="418"/>
      <c r="AZ376" s="418"/>
      <c r="BA376" s="418"/>
    </row>
    <row r="377" spans="40:53" ht="15.75" customHeight="1">
      <c r="AN377" s="418"/>
      <c r="AO377" s="418"/>
      <c r="AP377" s="418"/>
      <c r="AQ377" s="418"/>
      <c r="AR377" s="418"/>
      <c r="AS377" s="418"/>
      <c r="AT377" s="418"/>
      <c r="AU377" s="418"/>
      <c r="AV377" s="418"/>
      <c r="AW377" s="418"/>
      <c r="AX377" s="418"/>
      <c r="AY377" s="418"/>
      <c r="AZ377" s="418"/>
      <c r="BA377" s="418"/>
    </row>
    <row r="378" spans="40:53" ht="15.75" customHeight="1">
      <c r="AN378" s="418"/>
      <c r="AO378" s="418"/>
      <c r="AP378" s="418"/>
      <c r="AQ378" s="418"/>
      <c r="AR378" s="418"/>
      <c r="AS378" s="418"/>
      <c r="AT378" s="418"/>
      <c r="AU378" s="418"/>
      <c r="AV378" s="418"/>
      <c r="AW378" s="418"/>
      <c r="AX378" s="418"/>
      <c r="AY378" s="418"/>
      <c r="AZ378" s="418"/>
      <c r="BA378" s="418"/>
    </row>
    <row r="379" spans="40:53" ht="15.75" customHeight="1">
      <c r="AN379" s="418"/>
      <c r="AO379" s="418"/>
      <c r="AP379" s="418"/>
      <c r="AQ379" s="418"/>
      <c r="AR379" s="418"/>
      <c r="AS379" s="418"/>
      <c r="AT379" s="418"/>
      <c r="AU379" s="418"/>
      <c r="AV379" s="418"/>
      <c r="AW379" s="418"/>
      <c r="AX379" s="418"/>
      <c r="AY379" s="418"/>
      <c r="AZ379" s="418"/>
      <c r="BA379" s="418"/>
    </row>
    <row r="380" spans="40:53" ht="15.75" customHeight="1">
      <c r="AN380" s="418"/>
      <c r="AO380" s="418"/>
      <c r="AP380" s="418"/>
      <c r="AQ380" s="418"/>
      <c r="AR380" s="418"/>
      <c r="AS380" s="418"/>
      <c r="AT380" s="418"/>
      <c r="AU380" s="418"/>
      <c r="AV380" s="418"/>
      <c r="AW380" s="418"/>
      <c r="AX380" s="418"/>
      <c r="AY380" s="418"/>
      <c r="AZ380" s="418"/>
      <c r="BA380" s="418"/>
    </row>
    <row r="381" spans="40:53" ht="15.75" customHeight="1">
      <c r="AN381" s="418"/>
      <c r="AO381" s="418"/>
      <c r="AP381" s="418"/>
      <c r="AQ381" s="418"/>
      <c r="AR381" s="418"/>
      <c r="AS381" s="418"/>
      <c r="AT381" s="418"/>
      <c r="AU381" s="418"/>
      <c r="AV381" s="418"/>
      <c r="AW381" s="418"/>
      <c r="AX381" s="418"/>
      <c r="AY381" s="418"/>
      <c r="AZ381" s="418"/>
      <c r="BA381" s="418"/>
    </row>
    <row r="382" spans="40:53" ht="15.75" customHeight="1">
      <c r="AN382" s="418"/>
      <c r="AO382" s="418"/>
      <c r="AP382" s="418"/>
      <c r="AQ382" s="418"/>
      <c r="AR382" s="418"/>
      <c r="AS382" s="418"/>
      <c r="AT382" s="418"/>
      <c r="AU382" s="418"/>
      <c r="AV382" s="418"/>
      <c r="AW382" s="418"/>
      <c r="AX382" s="418"/>
      <c r="AY382" s="418"/>
      <c r="AZ382" s="418"/>
      <c r="BA382" s="418"/>
    </row>
    <row r="383" spans="40:53" ht="15.75" customHeight="1">
      <c r="AN383" s="418"/>
      <c r="AO383" s="418"/>
      <c r="AP383" s="418"/>
      <c r="AQ383" s="418"/>
      <c r="AR383" s="418"/>
      <c r="AS383" s="418"/>
      <c r="AT383" s="418"/>
      <c r="AU383" s="418"/>
      <c r="AV383" s="418"/>
      <c r="AW383" s="418"/>
      <c r="AX383" s="418"/>
      <c r="AY383" s="418"/>
      <c r="AZ383" s="418"/>
      <c r="BA383" s="418"/>
    </row>
    <row r="384" spans="40:53" ht="15.75" customHeight="1">
      <c r="AN384" s="418"/>
      <c r="AO384" s="418"/>
      <c r="AP384" s="418"/>
      <c r="AQ384" s="418"/>
      <c r="AR384" s="418"/>
      <c r="AS384" s="418"/>
      <c r="AT384" s="418"/>
      <c r="AU384" s="418"/>
      <c r="AV384" s="418"/>
      <c r="AW384" s="418"/>
      <c r="AX384" s="418"/>
      <c r="AY384" s="418"/>
      <c r="AZ384" s="418"/>
      <c r="BA384" s="418"/>
    </row>
    <row r="385" spans="40:53" ht="15.75" customHeight="1">
      <c r="AN385" s="418"/>
      <c r="AO385" s="418"/>
      <c r="AP385" s="418"/>
      <c r="AQ385" s="418"/>
      <c r="AR385" s="418"/>
      <c r="AS385" s="418"/>
      <c r="AT385" s="418"/>
      <c r="AU385" s="418"/>
      <c r="AV385" s="418"/>
      <c r="AW385" s="418"/>
      <c r="AX385" s="418"/>
      <c r="AY385" s="418"/>
      <c r="AZ385" s="418"/>
      <c r="BA385" s="418"/>
    </row>
    <row r="386" spans="40:53" ht="15.75" customHeight="1">
      <c r="AN386" s="418"/>
      <c r="AO386" s="418"/>
      <c r="AP386" s="418"/>
      <c r="AQ386" s="418"/>
      <c r="AR386" s="418"/>
      <c r="AS386" s="418"/>
      <c r="AT386" s="418"/>
      <c r="AU386" s="418"/>
      <c r="AV386" s="418"/>
      <c r="AW386" s="418"/>
      <c r="AX386" s="418"/>
      <c r="AY386" s="418"/>
      <c r="AZ386" s="418"/>
      <c r="BA386" s="418"/>
    </row>
    <row r="387" spans="40:53" ht="15.75" customHeight="1">
      <c r="AN387" s="418"/>
      <c r="AO387" s="418"/>
      <c r="AP387" s="418"/>
      <c r="AQ387" s="418"/>
      <c r="AR387" s="418"/>
      <c r="AS387" s="418"/>
      <c r="AT387" s="418"/>
      <c r="AU387" s="418"/>
      <c r="AV387" s="418"/>
      <c r="AW387" s="418"/>
      <c r="AX387" s="418"/>
      <c r="AY387" s="418"/>
      <c r="AZ387" s="418"/>
      <c r="BA387" s="418"/>
    </row>
    <row r="388" spans="40:53" ht="15.75" customHeight="1">
      <c r="AN388" s="418"/>
      <c r="AO388" s="418"/>
      <c r="AP388" s="418"/>
      <c r="AQ388" s="418"/>
      <c r="AR388" s="418"/>
      <c r="AS388" s="418"/>
      <c r="AT388" s="418"/>
      <c r="AU388" s="418"/>
      <c r="AV388" s="418"/>
      <c r="AW388" s="418"/>
      <c r="AX388" s="418"/>
      <c r="AY388" s="418"/>
      <c r="AZ388" s="418"/>
      <c r="BA388" s="418"/>
    </row>
    <row r="389" spans="40:53" ht="15.75" customHeight="1">
      <c r="AN389" s="418"/>
      <c r="AO389" s="418"/>
      <c r="AP389" s="418"/>
      <c r="AQ389" s="418"/>
      <c r="AR389" s="418"/>
      <c r="AS389" s="418"/>
      <c r="AT389" s="418"/>
      <c r="AU389" s="418"/>
      <c r="AV389" s="418"/>
      <c r="AW389" s="418"/>
      <c r="AX389" s="418"/>
      <c r="AY389" s="418"/>
      <c r="AZ389" s="418"/>
      <c r="BA389" s="418"/>
    </row>
    <row r="390" spans="40:53" ht="15.75" customHeight="1">
      <c r="AN390" s="418"/>
      <c r="AO390" s="418"/>
      <c r="AP390" s="418"/>
      <c r="AQ390" s="418"/>
      <c r="AR390" s="418"/>
      <c r="AS390" s="418"/>
      <c r="AT390" s="418"/>
      <c r="AU390" s="418"/>
      <c r="AV390" s="418"/>
      <c r="AW390" s="418"/>
      <c r="AX390" s="418"/>
      <c r="AY390" s="418"/>
      <c r="AZ390" s="418"/>
      <c r="BA390" s="418"/>
    </row>
    <row r="391" spans="40:53" ht="15.75" customHeight="1">
      <c r="AN391" s="418"/>
      <c r="AO391" s="418"/>
      <c r="AP391" s="418"/>
      <c r="AQ391" s="418"/>
      <c r="AR391" s="418"/>
      <c r="AS391" s="418"/>
      <c r="AT391" s="418"/>
      <c r="AU391" s="418"/>
      <c r="AV391" s="418"/>
      <c r="AW391" s="418"/>
      <c r="AX391" s="418"/>
      <c r="AY391" s="418"/>
      <c r="AZ391" s="418"/>
      <c r="BA391" s="418"/>
    </row>
    <row r="392" spans="40:53" ht="15.75" customHeight="1">
      <c r="AN392" s="418"/>
      <c r="AO392" s="418"/>
      <c r="AP392" s="418"/>
      <c r="AQ392" s="418"/>
      <c r="AR392" s="418"/>
      <c r="AS392" s="418"/>
      <c r="AT392" s="418"/>
      <c r="AU392" s="418"/>
      <c r="AV392" s="418"/>
      <c r="AW392" s="418"/>
      <c r="AX392" s="418"/>
      <c r="AY392" s="418"/>
      <c r="AZ392" s="418"/>
      <c r="BA392" s="418"/>
    </row>
    <row r="393" spans="40:53" ht="15.75" customHeight="1">
      <c r="AN393" s="418"/>
      <c r="AO393" s="418"/>
      <c r="AP393" s="418"/>
      <c r="AQ393" s="418"/>
      <c r="AR393" s="418"/>
      <c r="AS393" s="418"/>
      <c r="AT393" s="418"/>
      <c r="AU393" s="418"/>
      <c r="AV393" s="418"/>
      <c r="AW393" s="418"/>
      <c r="AX393" s="418"/>
      <c r="AY393" s="418"/>
      <c r="AZ393" s="418"/>
      <c r="BA393" s="418"/>
    </row>
    <row r="394" spans="40:53" ht="15.75" customHeight="1">
      <c r="AN394" s="418"/>
      <c r="AO394" s="418"/>
      <c r="AP394" s="418"/>
      <c r="AQ394" s="418"/>
      <c r="AR394" s="418"/>
      <c r="AS394" s="418"/>
      <c r="AT394" s="418"/>
      <c r="AU394" s="418"/>
      <c r="AV394" s="418"/>
      <c r="AW394" s="418"/>
      <c r="AX394" s="418"/>
      <c r="AY394" s="418"/>
      <c r="AZ394" s="418"/>
      <c r="BA394" s="418"/>
    </row>
    <row r="395" spans="40:53" ht="15.75" customHeight="1">
      <c r="AN395" s="418"/>
      <c r="AO395" s="418"/>
      <c r="AP395" s="418"/>
      <c r="AQ395" s="418"/>
      <c r="AR395" s="418"/>
      <c r="AS395" s="418"/>
      <c r="AT395" s="418"/>
      <c r="AU395" s="418"/>
      <c r="AV395" s="418"/>
      <c r="AW395" s="418"/>
      <c r="AX395" s="418"/>
      <c r="AY395" s="418"/>
      <c r="AZ395" s="418"/>
      <c r="BA395" s="418"/>
    </row>
    <row r="396" spans="40:53" ht="15.75" customHeight="1">
      <c r="AN396" s="418"/>
      <c r="AO396" s="418"/>
      <c r="AP396" s="418"/>
      <c r="AQ396" s="418"/>
      <c r="AR396" s="418"/>
      <c r="AS396" s="418"/>
      <c r="AT396" s="418"/>
      <c r="AU396" s="418"/>
      <c r="AV396" s="418"/>
      <c r="AW396" s="418"/>
      <c r="AX396" s="418"/>
      <c r="AY396" s="418"/>
      <c r="AZ396" s="418"/>
      <c r="BA396" s="418"/>
    </row>
    <row r="397" spans="40:53" ht="15.75" customHeight="1">
      <c r="AN397" s="418"/>
      <c r="AO397" s="418"/>
      <c r="AP397" s="418"/>
      <c r="AQ397" s="418"/>
      <c r="AR397" s="418"/>
      <c r="AS397" s="418"/>
      <c r="AT397" s="418"/>
      <c r="AU397" s="418"/>
      <c r="AV397" s="418"/>
      <c r="AW397" s="418"/>
      <c r="AX397" s="418"/>
      <c r="AY397" s="418"/>
      <c r="AZ397" s="418"/>
      <c r="BA397" s="418"/>
    </row>
    <row r="398" spans="40:53" ht="15.75" customHeight="1">
      <c r="AN398" s="418"/>
      <c r="AO398" s="418"/>
      <c r="AP398" s="418"/>
      <c r="AQ398" s="418"/>
      <c r="AR398" s="418"/>
      <c r="AS398" s="418"/>
      <c r="AT398" s="418"/>
      <c r="AU398" s="418"/>
      <c r="AV398" s="418"/>
      <c r="AW398" s="418"/>
      <c r="AX398" s="418"/>
      <c r="AY398" s="418"/>
      <c r="AZ398" s="418"/>
      <c r="BA398" s="418"/>
    </row>
    <row r="399" spans="40:53" ht="15.75" customHeight="1">
      <c r="AN399" s="418"/>
      <c r="AO399" s="418"/>
      <c r="AP399" s="418"/>
      <c r="AQ399" s="418"/>
      <c r="AR399" s="418"/>
      <c r="AS399" s="418"/>
      <c r="AT399" s="418"/>
      <c r="AU399" s="418"/>
      <c r="AV399" s="418"/>
      <c r="AW399" s="418"/>
      <c r="AX399" s="418"/>
      <c r="AY399" s="418"/>
      <c r="AZ399" s="418"/>
      <c r="BA399" s="418"/>
    </row>
    <row r="400" spans="40:53" ht="15.75" customHeight="1">
      <c r="AN400" s="418"/>
      <c r="AO400" s="418"/>
      <c r="AP400" s="418"/>
      <c r="AQ400" s="418"/>
      <c r="AR400" s="418"/>
      <c r="AS400" s="418"/>
      <c r="AT400" s="418"/>
      <c r="AU400" s="418"/>
      <c r="AV400" s="418"/>
      <c r="AW400" s="418"/>
      <c r="AX400" s="418"/>
      <c r="AY400" s="418"/>
      <c r="AZ400" s="418"/>
      <c r="BA400" s="418"/>
    </row>
    <row r="401" spans="40:53" ht="15.75" customHeight="1">
      <c r="AN401" s="418"/>
      <c r="AO401" s="418"/>
      <c r="AP401" s="418"/>
      <c r="AQ401" s="418"/>
      <c r="AR401" s="418"/>
      <c r="AS401" s="418"/>
      <c r="AT401" s="418"/>
      <c r="AU401" s="418"/>
      <c r="AV401" s="418"/>
      <c r="AW401" s="418"/>
      <c r="AX401" s="418"/>
      <c r="AY401" s="418"/>
      <c r="AZ401" s="418"/>
      <c r="BA401" s="418"/>
    </row>
    <row r="402" spans="40:53" ht="15.75" customHeight="1">
      <c r="AN402" s="418"/>
      <c r="AO402" s="418"/>
      <c r="AP402" s="418"/>
      <c r="AQ402" s="418"/>
      <c r="AR402" s="418"/>
      <c r="AS402" s="418"/>
      <c r="AT402" s="418"/>
      <c r="AU402" s="418"/>
      <c r="AV402" s="418"/>
      <c r="AW402" s="418"/>
      <c r="AX402" s="418"/>
      <c r="AY402" s="418"/>
      <c r="AZ402" s="418"/>
      <c r="BA402" s="418"/>
    </row>
    <row r="403" spans="40:53" ht="15.75" customHeight="1">
      <c r="AN403" s="418"/>
      <c r="AO403" s="418"/>
      <c r="AP403" s="418"/>
      <c r="AQ403" s="418"/>
      <c r="AR403" s="418"/>
      <c r="AS403" s="418"/>
      <c r="AT403" s="418"/>
      <c r="AU403" s="418"/>
      <c r="AV403" s="418"/>
      <c r="AW403" s="418"/>
      <c r="AX403" s="418"/>
      <c r="AY403" s="418"/>
      <c r="AZ403" s="418"/>
      <c r="BA403" s="418"/>
    </row>
    <row r="404" spans="40:53" ht="15.75" customHeight="1">
      <c r="AN404" s="418"/>
      <c r="AO404" s="418"/>
      <c r="AP404" s="418"/>
      <c r="AQ404" s="418"/>
      <c r="AR404" s="418"/>
      <c r="AS404" s="418"/>
      <c r="AT404" s="418"/>
      <c r="AU404" s="418"/>
      <c r="AV404" s="418"/>
      <c r="AW404" s="418"/>
      <c r="AX404" s="418"/>
      <c r="AY404" s="418"/>
      <c r="AZ404" s="418"/>
      <c r="BA404" s="418"/>
    </row>
    <row r="405" spans="40:53" ht="15.75" customHeight="1">
      <c r="AN405" s="418"/>
      <c r="AO405" s="418"/>
      <c r="AP405" s="418"/>
      <c r="AQ405" s="418"/>
      <c r="AR405" s="418"/>
      <c r="AS405" s="418"/>
      <c r="AT405" s="418"/>
      <c r="AU405" s="418"/>
      <c r="AV405" s="418"/>
      <c r="AW405" s="418"/>
      <c r="AX405" s="418"/>
      <c r="AY405" s="418"/>
      <c r="AZ405" s="418"/>
      <c r="BA405" s="418"/>
    </row>
    <row r="406" spans="40:53" ht="15.75" customHeight="1">
      <c r="AN406" s="418"/>
      <c r="AO406" s="418"/>
      <c r="AP406" s="418"/>
      <c r="AQ406" s="418"/>
      <c r="AR406" s="418"/>
      <c r="AS406" s="418"/>
      <c r="AT406" s="418"/>
      <c r="AU406" s="418"/>
      <c r="AV406" s="418"/>
      <c r="AW406" s="418"/>
      <c r="AX406" s="418"/>
      <c r="AY406" s="418"/>
      <c r="AZ406" s="418"/>
      <c r="BA406" s="418"/>
    </row>
    <row r="407" spans="40:53" ht="15.75" customHeight="1">
      <c r="AN407" s="418"/>
      <c r="AO407" s="418"/>
      <c r="AP407" s="418"/>
      <c r="AQ407" s="418"/>
      <c r="AR407" s="418"/>
      <c r="AS407" s="418"/>
      <c r="AT407" s="418"/>
      <c r="AU407" s="418"/>
      <c r="AV407" s="418"/>
      <c r="AW407" s="418"/>
      <c r="AX407" s="418"/>
      <c r="AY407" s="418"/>
      <c r="AZ407" s="418"/>
      <c r="BA407" s="418"/>
    </row>
    <row r="408" spans="40:53" ht="15.75" customHeight="1">
      <c r="AN408" s="418"/>
      <c r="AO408" s="418"/>
      <c r="AP408" s="418"/>
      <c r="AQ408" s="418"/>
      <c r="AR408" s="418"/>
      <c r="AS408" s="418"/>
      <c r="AT408" s="418"/>
      <c r="AU408" s="418"/>
      <c r="AV408" s="418"/>
      <c r="AW408" s="418"/>
      <c r="AX408" s="418"/>
      <c r="AY408" s="418"/>
      <c r="AZ408" s="418"/>
      <c r="BA408" s="418"/>
    </row>
    <row r="409" spans="40:53" ht="15.75" customHeight="1">
      <c r="AN409" s="418"/>
      <c r="AO409" s="418"/>
      <c r="AP409" s="418"/>
      <c r="AQ409" s="418"/>
      <c r="AR409" s="418"/>
      <c r="AS409" s="418"/>
      <c r="AT409" s="418"/>
      <c r="AU409" s="418"/>
      <c r="AV409" s="418"/>
      <c r="AW409" s="418"/>
      <c r="AX409" s="418"/>
      <c r="AY409" s="418"/>
      <c r="AZ409" s="418"/>
      <c r="BA409" s="418"/>
    </row>
    <row r="410" spans="40:53" ht="15.75" customHeight="1">
      <c r="AN410" s="418"/>
      <c r="AO410" s="418"/>
      <c r="AP410" s="418"/>
      <c r="AQ410" s="418"/>
      <c r="AR410" s="418"/>
      <c r="AS410" s="418"/>
      <c r="AT410" s="418"/>
      <c r="AU410" s="418"/>
      <c r="AV410" s="418"/>
      <c r="AW410" s="418"/>
      <c r="AX410" s="418"/>
      <c r="AY410" s="418"/>
      <c r="AZ410" s="418"/>
      <c r="BA410" s="418"/>
    </row>
    <row r="411" spans="40:53" ht="15.75" customHeight="1">
      <c r="AN411" s="418"/>
      <c r="AO411" s="418"/>
      <c r="AP411" s="418"/>
      <c r="AQ411" s="418"/>
      <c r="AR411" s="418"/>
      <c r="AS411" s="418"/>
      <c r="AT411" s="418"/>
      <c r="AU411" s="418"/>
      <c r="AV411" s="418"/>
      <c r="AW411" s="418"/>
      <c r="AX411" s="418"/>
      <c r="AY411" s="418"/>
      <c r="AZ411" s="418"/>
      <c r="BA411" s="418"/>
    </row>
    <row r="412" spans="40:53" ht="15.75" customHeight="1">
      <c r="AN412" s="418"/>
      <c r="AO412" s="418"/>
      <c r="AP412" s="418"/>
      <c r="AQ412" s="418"/>
      <c r="AR412" s="418"/>
      <c r="AS412" s="418"/>
      <c r="AT412" s="418"/>
      <c r="AU412" s="418"/>
      <c r="AV412" s="418"/>
      <c r="AW412" s="418"/>
      <c r="AX412" s="418"/>
      <c r="AY412" s="418"/>
      <c r="AZ412" s="418"/>
      <c r="BA412" s="418"/>
    </row>
    <row r="413" spans="40:53" ht="15.75" customHeight="1">
      <c r="AN413" s="418"/>
      <c r="AO413" s="418"/>
      <c r="AP413" s="418"/>
      <c r="AQ413" s="418"/>
      <c r="AR413" s="418"/>
      <c r="AS413" s="418"/>
      <c r="AT413" s="418"/>
      <c r="AU413" s="418"/>
      <c r="AV413" s="418"/>
      <c r="AW413" s="418"/>
      <c r="AX413" s="418"/>
      <c r="AY413" s="418"/>
      <c r="AZ413" s="418"/>
      <c r="BA413" s="418"/>
    </row>
    <row r="414" spans="40:53" ht="15.75" customHeight="1">
      <c r="AN414" s="418"/>
      <c r="AO414" s="418"/>
      <c r="AP414" s="418"/>
      <c r="AQ414" s="418"/>
      <c r="AR414" s="418"/>
      <c r="AS414" s="418"/>
      <c r="AT414" s="418"/>
      <c r="AU414" s="418"/>
      <c r="AV414" s="418"/>
      <c r="AW414" s="418"/>
      <c r="AX414" s="418"/>
      <c r="AY414" s="418"/>
      <c r="AZ414" s="418"/>
      <c r="BA414" s="418"/>
    </row>
    <row r="415" spans="40:53" ht="15.75" customHeight="1">
      <c r="AN415" s="418"/>
      <c r="AO415" s="418"/>
      <c r="AP415" s="418"/>
      <c r="AQ415" s="418"/>
      <c r="AR415" s="418"/>
      <c r="AS415" s="418"/>
      <c r="AT415" s="418"/>
      <c r="AU415" s="418"/>
      <c r="AV415" s="418"/>
      <c r="AW415" s="418"/>
      <c r="AX415" s="418"/>
      <c r="AY415" s="418"/>
      <c r="AZ415" s="418"/>
      <c r="BA415" s="418"/>
    </row>
    <row r="416" spans="40:53" ht="15.75" customHeight="1">
      <c r="AN416" s="418"/>
      <c r="AO416" s="418"/>
      <c r="AP416" s="418"/>
      <c r="AQ416" s="418"/>
      <c r="AR416" s="418"/>
      <c r="AS416" s="418"/>
      <c r="AT416" s="418"/>
      <c r="AU416" s="418"/>
      <c r="AV416" s="418"/>
      <c r="AW416" s="418"/>
      <c r="AX416" s="418"/>
      <c r="AY416" s="418"/>
      <c r="AZ416" s="418"/>
      <c r="BA416" s="418"/>
    </row>
    <row r="417" spans="40:53" ht="15.75" customHeight="1">
      <c r="AN417" s="418"/>
      <c r="AO417" s="418"/>
      <c r="AP417" s="418"/>
      <c r="AQ417" s="418"/>
      <c r="AR417" s="418"/>
      <c r="AS417" s="418"/>
      <c r="AT417" s="418"/>
      <c r="AU417" s="418"/>
      <c r="AV417" s="418"/>
      <c r="AW417" s="418"/>
      <c r="AX417" s="418"/>
      <c r="AY417" s="418"/>
      <c r="AZ417" s="418"/>
      <c r="BA417" s="418"/>
    </row>
    <row r="418" spans="40:53" ht="15.75" customHeight="1">
      <c r="AN418" s="418"/>
      <c r="AO418" s="418"/>
      <c r="AP418" s="418"/>
      <c r="AQ418" s="418"/>
      <c r="AR418" s="418"/>
      <c r="AS418" s="418"/>
      <c r="AT418" s="418"/>
      <c r="AU418" s="418"/>
      <c r="AV418" s="418"/>
      <c r="AW418" s="418"/>
      <c r="AX418" s="418"/>
      <c r="AY418" s="418"/>
      <c r="AZ418" s="418"/>
      <c r="BA418" s="418"/>
    </row>
    <row r="419" spans="40:53" ht="15.75" customHeight="1">
      <c r="AN419" s="418"/>
      <c r="AO419" s="418"/>
      <c r="AP419" s="418"/>
      <c r="AQ419" s="418"/>
      <c r="AR419" s="418"/>
      <c r="AS419" s="418"/>
      <c r="AT419" s="418"/>
      <c r="AU419" s="418"/>
      <c r="AV419" s="418"/>
      <c r="AW419" s="418"/>
      <c r="AX419" s="418"/>
      <c r="AY419" s="418"/>
      <c r="AZ419" s="418"/>
      <c r="BA419" s="418"/>
    </row>
    <row r="420" spans="40:53" ht="15.75" customHeight="1">
      <c r="AN420" s="418"/>
      <c r="AO420" s="418"/>
      <c r="AP420" s="418"/>
      <c r="AQ420" s="418"/>
      <c r="AR420" s="418"/>
      <c r="AS420" s="418"/>
      <c r="AT420" s="418"/>
      <c r="AU420" s="418"/>
      <c r="AV420" s="418"/>
      <c r="AW420" s="418"/>
      <c r="AX420" s="418"/>
      <c r="AY420" s="418"/>
      <c r="AZ420" s="418"/>
      <c r="BA420" s="418"/>
    </row>
    <row r="421" spans="40:53" ht="15.75" customHeight="1">
      <c r="AN421" s="418"/>
      <c r="AO421" s="418"/>
      <c r="AP421" s="418"/>
      <c r="AQ421" s="418"/>
      <c r="AR421" s="418"/>
      <c r="AS421" s="418"/>
      <c r="AT421" s="418"/>
      <c r="AU421" s="418"/>
      <c r="AV421" s="418"/>
      <c r="AW421" s="418"/>
      <c r="AX421" s="418"/>
      <c r="AY421" s="418"/>
      <c r="AZ421" s="418"/>
      <c r="BA421" s="418"/>
    </row>
    <row r="422" spans="40:53" ht="15.75" customHeight="1">
      <c r="AN422" s="418"/>
      <c r="AO422" s="418"/>
      <c r="AP422" s="418"/>
      <c r="AQ422" s="418"/>
      <c r="AR422" s="418"/>
      <c r="AS422" s="418"/>
      <c r="AT422" s="418"/>
      <c r="AU422" s="418"/>
      <c r="AV422" s="418"/>
      <c r="AW422" s="418"/>
      <c r="AX422" s="418"/>
      <c r="AY422" s="418"/>
      <c r="AZ422" s="418"/>
      <c r="BA422" s="418"/>
    </row>
    <row r="423" spans="40:53" ht="15.75" customHeight="1">
      <c r="AN423" s="418"/>
      <c r="AO423" s="418"/>
      <c r="AP423" s="418"/>
      <c r="AQ423" s="418"/>
      <c r="AR423" s="418"/>
      <c r="AS423" s="418"/>
      <c r="AT423" s="418"/>
      <c r="AU423" s="418"/>
      <c r="AV423" s="418"/>
      <c r="AW423" s="418"/>
      <c r="AX423" s="418"/>
      <c r="AY423" s="418"/>
      <c r="AZ423" s="418"/>
      <c r="BA423" s="418"/>
    </row>
    <row r="424" spans="40:53" ht="15.75" customHeight="1">
      <c r="AN424" s="418"/>
      <c r="AO424" s="418"/>
      <c r="AP424" s="418"/>
      <c r="AQ424" s="418"/>
      <c r="AR424" s="418"/>
      <c r="AS424" s="418"/>
      <c r="AT424" s="418"/>
      <c r="AU424" s="418"/>
      <c r="AV424" s="418"/>
      <c r="AW424" s="418"/>
      <c r="AX424" s="418"/>
      <c r="AY424" s="418"/>
      <c r="AZ424" s="418"/>
      <c r="BA424" s="418"/>
    </row>
    <row r="425" spans="40:53" ht="15.75" customHeight="1">
      <c r="AN425" s="418"/>
      <c r="AO425" s="418"/>
      <c r="AP425" s="418"/>
      <c r="AQ425" s="418"/>
      <c r="AR425" s="418"/>
      <c r="AS425" s="418"/>
      <c r="AT425" s="418"/>
      <c r="AU425" s="418"/>
      <c r="AV425" s="418"/>
      <c r="AW425" s="418"/>
      <c r="AX425" s="418"/>
      <c r="AY425" s="418"/>
      <c r="AZ425" s="418"/>
      <c r="BA425" s="418"/>
    </row>
    <row r="426" spans="40:53" ht="15.75" customHeight="1">
      <c r="AN426" s="418"/>
      <c r="AO426" s="418"/>
      <c r="AP426" s="418"/>
      <c r="AQ426" s="418"/>
      <c r="AR426" s="418"/>
      <c r="AS426" s="418"/>
      <c r="AT426" s="418"/>
      <c r="AU426" s="418"/>
      <c r="AV426" s="418"/>
      <c r="AW426" s="418"/>
      <c r="AX426" s="418"/>
      <c r="AY426" s="418"/>
      <c r="AZ426" s="418"/>
      <c r="BA426" s="418"/>
    </row>
    <row r="427" spans="40:53" ht="15.75" customHeight="1">
      <c r="AN427" s="418"/>
      <c r="AO427" s="418"/>
      <c r="AP427" s="418"/>
      <c r="AQ427" s="418"/>
      <c r="AR427" s="418"/>
      <c r="AS427" s="418"/>
      <c r="AT427" s="418"/>
      <c r="AU427" s="418"/>
      <c r="AV427" s="418"/>
      <c r="AW427" s="418"/>
      <c r="AX427" s="418"/>
      <c r="AY427" s="418"/>
      <c r="AZ427" s="418"/>
      <c r="BA427" s="418"/>
    </row>
    <row r="428" spans="40:53" ht="15.75" customHeight="1">
      <c r="AN428" s="418"/>
      <c r="AO428" s="418"/>
      <c r="AP428" s="418"/>
      <c r="AQ428" s="418"/>
      <c r="AR428" s="418"/>
      <c r="AS428" s="418"/>
      <c r="AT428" s="418"/>
      <c r="AU428" s="418"/>
      <c r="AV428" s="418"/>
      <c r="AW428" s="418"/>
      <c r="AX428" s="418"/>
      <c r="AY428" s="418"/>
      <c r="AZ428" s="418"/>
      <c r="BA428" s="418"/>
    </row>
    <row r="429" spans="40:53" ht="15.75" customHeight="1">
      <c r="AN429" s="418"/>
      <c r="AO429" s="418"/>
      <c r="AP429" s="418"/>
      <c r="AQ429" s="418"/>
      <c r="AR429" s="418"/>
      <c r="AS429" s="418"/>
      <c r="AT429" s="418"/>
      <c r="AU429" s="418"/>
      <c r="AV429" s="418"/>
      <c r="AW429" s="418"/>
      <c r="AX429" s="418"/>
      <c r="AY429" s="418"/>
      <c r="AZ429" s="418"/>
      <c r="BA429" s="418"/>
    </row>
    <row r="430" spans="40:53" ht="15.75" customHeight="1">
      <c r="AN430" s="418"/>
      <c r="AO430" s="418"/>
      <c r="AP430" s="418"/>
      <c r="AQ430" s="418"/>
      <c r="AR430" s="418"/>
      <c r="AS430" s="418"/>
      <c r="AT430" s="418"/>
      <c r="AU430" s="418"/>
      <c r="AV430" s="418"/>
      <c r="AW430" s="418"/>
      <c r="AX430" s="418"/>
      <c r="AY430" s="418"/>
      <c r="AZ430" s="418"/>
      <c r="BA430" s="418"/>
    </row>
    <row r="431" spans="40:53" ht="15.75" customHeight="1">
      <c r="AN431" s="418"/>
      <c r="AO431" s="418"/>
      <c r="AP431" s="418"/>
      <c r="AQ431" s="418"/>
      <c r="AR431" s="418"/>
      <c r="AS431" s="418"/>
      <c r="AT431" s="418"/>
      <c r="AU431" s="418"/>
      <c r="AV431" s="418"/>
      <c r="AW431" s="418"/>
      <c r="AX431" s="418"/>
      <c r="AY431" s="418"/>
      <c r="AZ431" s="418"/>
      <c r="BA431" s="418"/>
    </row>
    <row r="432" spans="40:53" ht="15.75" customHeight="1">
      <c r="AN432" s="418"/>
      <c r="AO432" s="418"/>
      <c r="AP432" s="418"/>
      <c r="AQ432" s="418"/>
      <c r="AR432" s="418"/>
      <c r="AS432" s="418"/>
      <c r="AT432" s="418"/>
      <c r="AU432" s="418"/>
      <c r="AV432" s="418"/>
      <c r="AW432" s="418"/>
      <c r="AX432" s="418"/>
      <c r="AY432" s="418"/>
      <c r="AZ432" s="418"/>
      <c r="BA432" s="418"/>
    </row>
    <row r="433" spans="40:53" ht="15.75" customHeight="1">
      <c r="AN433" s="418"/>
      <c r="AO433" s="418"/>
      <c r="AP433" s="418"/>
      <c r="AQ433" s="418"/>
      <c r="AR433" s="418"/>
      <c r="AS433" s="418"/>
      <c r="AT433" s="418"/>
      <c r="AU433" s="418"/>
      <c r="AV433" s="418"/>
      <c r="AW433" s="418"/>
      <c r="AX433" s="418"/>
      <c r="AY433" s="418"/>
      <c r="AZ433" s="418"/>
      <c r="BA433" s="418"/>
    </row>
    <row r="434" spans="40:53" ht="15.75" customHeight="1">
      <c r="AN434" s="418"/>
      <c r="AO434" s="418"/>
      <c r="AP434" s="418"/>
      <c r="AQ434" s="418"/>
      <c r="AR434" s="418"/>
      <c r="AS434" s="418"/>
      <c r="AT434" s="418"/>
      <c r="AU434" s="418"/>
      <c r="AV434" s="418"/>
      <c r="AW434" s="418"/>
      <c r="AX434" s="418"/>
      <c r="AY434" s="418"/>
      <c r="AZ434" s="418"/>
      <c r="BA434" s="418"/>
    </row>
    <row r="435" spans="40:53" ht="15.75" customHeight="1">
      <c r="AN435" s="418"/>
      <c r="AO435" s="418"/>
      <c r="AP435" s="418"/>
      <c r="AQ435" s="418"/>
      <c r="AR435" s="418"/>
      <c r="AS435" s="418"/>
      <c r="AT435" s="418"/>
      <c r="AU435" s="418"/>
      <c r="AV435" s="418"/>
      <c r="AW435" s="418"/>
      <c r="AX435" s="418"/>
      <c r="AY435" s="418"/>
      <c r="AZ435" s="418"/>
      <c r="BA435" s="418"/>
    </row>
    <row r="436" spans="40:53" ht="15.75" customHeight="1">
      <c r="AN436" s="418"/>
      <c r="AO436" s="418"/>
      <c r="AP436" s="418"/>
      <c r="AQ436" s="418"/>
      <c r="AR436" s="418"/>
      <c r="AS436" s="418"/>
      <c r="AT436" s="418"/>
      <c r="AU436" s="418"/>
      <c r="AV436" s="418"/>
      <c r="AW436" s="418"/>
      <c r="AX436" s="418"/>
      <c r="AY436" s="418"/>
      <c r="AZ436" s="418"/>
      <c r="BA436" s="418"/>
    </row>
    <row r="437" spans="40:53" ht="15.75" customHeight="1">
      <c r="AN437" s="418"/>
      <c r="AO437" s="418"/>
      <c r="AP437" s="418"/>
      <c r="AQ437" s="418"/>
      <c r="AR437" s="418"/>
      <c r="AS437" s="418"/>
      <c r="AT437" s="418"/>
      <c r="AU437" s="418"/>
      <c r="AV437" s="418"/>
      <c r="AW437" s="418"/>
      <c r="AX437" s="418"/>
      <c r="AY437" s="418"/>
      <c r="AZ437" s="418"/>
      <c r="BA437" s="418"/>
    </row>
    <row r="438" spans="40:53" ht="15.75" customHeight="1">
      <c r="AN438" s="418"/>
      <c r="AO438" s="418"/>
      <c r="AP438" s="418"/>
      <c r="AQ438" s="418"/>
      <c r="AR438" s="418"/>
      <c r="AS438" s="418"/>
      <c r="AT438" s="418"/>
      <c r="AU438" s="418"/>
      <c r="AV438" s="418"/>
      <c r="AW438" s="418"/>
      <c r="AX438" s="418"/>
      <c r="AY438" s="418"/>
      <c r="AZ438" s="418"/>
      <c r="BA438" s="418"/>
    </row>
    <row r="439" spans="40:53" ht="15.75" customHeight="1">
      <c r="AN439" s="418"/>
      <c r="AO439" s="418"/>
      <c r="AP439" s="418"/>
      <c r="AQ439" s="418"/>
      <c r="AR439" s="418"/>
      <c r="AS439" s="418"/>
      <c r="AT439" s="418"/>
      <c r="AU439" s="418"/>
      <c r="AV439" s="418"/>
      <c r="AW439" s="418"/>
      <c r="AX439" s="418"/>
      <c r="AY439" s="418"/>
      <c r="AZ439" s="418"/>
      <c r="BA439" s="418"/>
    </row>
    <row r="440" spans="40:53" ht="15.75" customHeight="1">
      <c r="AN440" s="418"/>
      <c r="AO440" s="418"/>
      <c r="AP440" s="418"/>
      <c r="AQ440" s="418"/>
      <c r="AR440" s="418"/>
      <c r="AS440" s="418"/>
      <c r="AT440" s="418"/>
      <c r="AU440" s="418"/>
      <c r="AV440" s="418"/>
      <c r="AW440" s="418"/>
      <c r="AX440" s="418"/>
      <c r="AY440" s="418"/>
      <c r="AZ440" s="418"/>
      <c r="BA440" s="418"/>
    </row>
    <row r="441" spans="40:53" ht="15.75" customHeight="1">
      <c r="AN441" s="418"/>
      <c r="AO441" s="418"/>
      <c r="AP441" s="418"/>
      <c r="AQ441" s="418"/>
      <c r="AR441" s="418"/>
      <c r="AS441" s="418"/>
      <c r="AT441" s="418"/>
      <c r="AU441" s="418"/>
      <c r="AV441" s="418"/>
      <c r="AW441" s="418"/>
      <c r="AX441" s="418"/>
      <c r="AY441" s="418"/>
      <c r="AZ441" s="418"/>
      <c r="BA441" s="418"/>
    </row>
    <row r="442" spans="40:53" ht="15.75" customHeight="1">
      <c r="AN442" s="418"/>
      <c r="AO442" s="418"/>
      <c r="AP442" s="418"/>
      <c r="AQ442" s="418"/>
      <c r="AR442" s="418"/>
      <c r="AS442" s="418"/>
      <c r="AT442" s="418"/>
      <c r="AU442" s="418"/>
      <c r="AV442" s="418"/>
      <c r="AW442" s="418"/>
      <c r="AX442" s="418"/>
      <c r="AY442" s="418"/>
      <c r="AZ442" s="418"/>
      <c r="BA442" s="418"/>
    </row>
    <row r="443" spans="40:53" ht="15.75" customHeight="1">
      <c r="AN443" s="418"/>
      <c r="AO443" s="418"/>
      <c r="AP443" s="418"/>
      <c r="AQ443" s="418"/>
      <c r="AR443" s="418"/>
      <c r="AS443" s="418"/>
      <c r="AT443" s="418"/>
      <c r="AU443" s="418"/>
      <c r="AV443" s="418"/>
      <c r="AW443" s="418"/>
      <c r="AX443" s="418"/>
      <c r="AY443" s="418"/>
      <c r="AZ443" s="418"/>
      <c r="BA443" s="418"/>
    </row>
    <row r="444" spans="40:53" ht="15.75" customHeight="1">
      <c r="AN444" s="418"/>
      <c r="AO444" s="418"/>
      <c r="AP444" s="418"/>
      <c r="AQ444" s="418"/>
      <c r="AR444" s="418"/>
      <c r="AS444" s="418"/>
      <c r="AT444" s="418"/>
      <c r="AU444" s="418"/>
      <c r="AV444" s="418"/>
      <c r="AW444" s="418"/>
      <c r="AX444" s="418"/>
      <c r="AY444" s="418"/>
      <c r="AZ444" s="418"/>
      <c r="BA444" s="418"/>
    </row>
    <row r="445" spans="40:53" ht="15.75" customHeight="1">
      <c r="AN445" s="418"/>
      <c r="AO445" s="418"/>
      <c r="AP445" s="418"/>
      <c r="AQ445" s="418"/>
      <c r="AR445" s="418"/>
      <c r="AS445" s="418"/>
      <c r="AT445" s="418"/>
      <c r="AU445" s="418"/>
      <c r="AV445" s="418"/>
      <c r="AW445" s="418"/>
      <c r="AX445" s="418"/>
      <c r="AY445" s="418"/>
      <c r="AZ445" s="418"/>
      <c r="BA445" s="418"/>
    </row>
    <row r="446" spans="40:53" ht="15.75" customHeight="1">
      <c r="AN446" s="418"/>
      <c r="AO446" s="418"/>
      <c r="AP446" s="418"/>
      <c r="AQ446" s="418"/>
      <c r="AR446" s="418"/>
      <c r="AS446" s="418"/>
      <c r="AT446" s="418"/>
      <c r="AU446" s="418"/>
      <c r="AV446" s="418"/>
      <c r="AW446" s="418"/>
      <c r="AX446" s="418"/>
      <c r="AY446" s="418"/>
      <c r="AZ446" s="418"/>
      <c r="BA446" s="418"/>
    </row>
    <row r="447" spans="40:53" ht="15.75" customHeight="1">
      <c r="AN447" s="418"/>
      <c r="AO447" s="418"/>
      <c r="AP447" s="418"/>
      <c r="AQ447" s="418"/>
      <c r="AR447" s="418"/>
      <c r="AS447" s="418"/>
      <c r="AT447" s="418"/>
      <c r="AU447" s="418"/>
      <c r="AV447" s="418"/>
      <c r="AW447" s="418"/>
      <c r="AX447" s="418"/>
      <c r="AY447" s="418"/>
      <c r="AZ447" s="418"/>
      <c r="BA447" s="418"/>
    </row>
    <row r="448" spans="40:53" ht="15.75" customHeight="1">
      <c r="AN448" s="418"/>
      <c r="AO448" s="418"/>
      <c r="AP448" s="418"/>
      <c r="AQ448" s="418"/>
      <c r="AR448" s="418"/>
      <c r="AS448" s="418"/>
      <c r="AT448" s="418"/>
      <c r="AU448" s="418"/>
      <c r="AV448" s="418"/>
      <c r="AW448" s="418"/>
      <c r="AX448" s="418"/>
      <c r="AY448" s="418"/>
      <c r="AZ448" s="418"/>
      <c r="BA448" s="418"/>
    </row>
    <row r="449" spans="40:53" ht="15.75" customHeight="1">
      <c r="AN449" s="418"/>
      <c r="AO449" s="418"/>
      <c r="AP449" s="418"/>
      <c r="AQ449" s="418"/>
      <c r="AR449" s="418"/>
      <c r="AS449" s="418"/>
      <c r="AT449" s="418"/>
      <c r="AU449" s="418"/>
      <c r="AV449" s="418"/>
      <c r="AW449" s="418"/>
      <c r="AX449" s="418"/>
      <c r="AY449" s="418"/>
      <c r="AZ449" s="418"/>
      <c r="BA449" s="418"/>
    </row>
    <row r="450" spans="40:53" ht="15.75" customHeight="1">
      <c r="AN450" s="418"/>
      <c r="AO450" s="418"/>
      <c r="AP450" s="418"/>
      <c r="AQ450" s="418"/>
      <c r="AR450" s="418"/>
      <c r="AS450" s="418"/>
      <c r="AT450" s="418"/>
      <c r="AU450" s="418"/>
      <c r="AV450" s="418"/>
      <c r="AW450" s="418"/>
      <c r="AX450" s="418"/>
      <c r="AY450" s="418"/>
      <c r="AZ450" s="418"/>
      <c r="BA450" s="418"/>
    </row>
    <row r="451" spans="40:53" ht="15.75" customHeight="1">
      <c r="AN451" s="418"/>
      <c r="AO451" s="418"/>
      <c r="AP451" s="418"/>
      <c r="AQ451" s="418"/>
      <c r="AR451" s="418"/>
      <c r="AS451" s="418"/>
      <c r="AT451" s="418"/>
      <c r="AU451" s="418"/>
      <c r="AV451" s="418"/>
      <c r="AW451" s="418"/>
      <c r="AX451" s="418"/>
      <c r="AY451" s="418"/>
      <c r="AZ451" s="418"/>
      <c r="BA451" s="418"/>
    </row>
    <row r="452" spans="40:53" ht="15.75" customHeight="1">
      <c r="AN452" s="418"/>
      <c r="AO452" s="418"/>
      <c r="AP452" s="418"/>
      <c r="AQ452" s="418"/>
      <c r="AR452" s="418"/>
      <c r="AS452" s="418"/>
      <c r="AT452" s="418"/>
      <c r="AU452" s="418"/>
      <c r="AV452" s="418"/>
      <c r="AW452" s="418"/>
      <c r="AX452" s="418"/>
      <c r="AY452" s="418"/>
      <c r="AZ452" s="418"/>
      <c r="BA452" s="418"/>
    </row>
    <row r="453" spans="40:53" ht="15.75" customHeight="1">
      <c r="AN453" s="418"/>
      <c r="AO453" s="418"/>
      <c r="AP453" s="418"/>
      <c r="AQ453" s="418"/>
      <c r="AR453" s="418"/>
      <c r="AS453" s="418"/>
      <c r="AT453" s="418"/>
      <c r="AU453" s="418"/>
      <c r="AV453" s="418"/>
      <c r="AW453" s="418"/>
      <c r="AX453" s="418"/>
      <c r="AY453" s="418"/>
      <c r="AZ453" s="418"/>
      <c r="BA453" s="418"/>
    </row>
    <row r="454" spans="40:53" ht="15.75" customHeight="1">
      <c r="AN454" s="418"/>
      <c r="AO454" s="418"/>
      <c r="AP454" s="418"/>
      <c r="AQ454" s="418"/>
      <c r="AR454" s="418"/>
      <c r="AS454" s="418"/>
      <c r="AT454" s="418"/>
      <c r="AU454" s="418"/>
      <c r="AV454" s="418"/>
      <c r="AW454" s="418"/>
      <c r="AX454" s="418"/>
      <c r="AY454" s="418"/>
      <c r="AZ454" s="418"/>
      <c r="BA454" s="418"/>
    </row>
    <row r="455" spans="40:53" ht="15.75" customHeight="1">
      <c r="AN455" s="418"/>
      <c r="AO455" s="418"/>
      <c r="AP455" s="418"/>
      <c r="AQ455" s="418"/>
      <c r="AR455" s="418"/>
      <c r="AS455" s="418"/>
      <c r="AT455" s="418"/>
      <c r="AU455" s="418"/>
      <c r="AV455" s="418"/>
      <c r="AW455" s="418"/>
      <c r="AX455" s="418"/>
      <c r="AY455" s="418"/>
      <c r="AZ455" s="418"/>
      <c r="BA455" s="418"/>
    </row>
    <row r="456" spans="40:53" ht="15.75" customHeight="1">
      <c r="AN456" s="418"/>
      <c r="AO456" s="418"/>
      <c r="AP456" s="418"/>
      <c r="AQ456" s="418"/>
      <c r="AR456" s="418"/>
      <c r="AS456" s="418"/>
      <c r="AT456" s="418"/>
      <c r="AU456" s="418"/>
      <c r="AV456" s="418"/>
      <c r="AW456" s="418"/>
      <c r="AX456" s="418"/>
      <c r="AY456" s="418"/>
      <c r="AZ456" s="418"/>
      <c r="BA456" s="418"/>
    </row>
    <row r="457" spans="40:53" ht="15.75" customHeight="1">
      <c r="AN457" s="418"/>
      <c r="AO457" s="418"/>
      <c r="AP457" s="418"/>
      <c r="AQ457" s="418"/>
      <c r="AR457" s="418"/>
      <c r="AS457" s="418"/>
      <c r="AT457" s="418"/>
      <c r="AU457" s="418"/>
      <c r="AV457" s="418"/>
      <c r="AW457" s="418"/>
      <c r="AX457" s="418"/>
      <c r="AY457" s="418"/>
      <c r="AZ457" s="418"/>
      <c r="BA457" s="418"/>
    </row>
    <row r="458" spans="40:53" ht="15.75" customHeight="1">
      <c r="AN458" s="418"/>
      <c r="AO458" s="418"/>
      <c r="AP458" s="418"/>
      <c r="AQ458" s="418"/>
      <c r="AR458" s="418"/>
      <c r="AS458" s="418"/>
      <c r="AT458" s="418"/>
      <c r="AU458" s="418"/>
      <c r="AV458" s="418"/>
      <c r="AW458" s="418"/>
      <c r="AX458" s="418"/>
      <c r="AY458" s="418"/>
      <c r="AZ458" s="418"/>
      <c r="BA458" s="418"/>
    </row>
    <row r="459" spans="40:53" ht="15.75" customHeight="1">
      <c r="AN459" s="418"/>
      <c r="AO459" s="418"/>
      <c r="AP459" s="418"/>
      <c r="AQ459" s="418"/>
      <c r="AR459" s="418"/>
      <c r="AS459" s="418"/>
      <c r="AT459" s="418"/>
      <c r="AU459" s="418"/>
      <c r="AV459" s="418"/>
      <c r="AW459" s="418"/>
      <c r="AX459" s="418"/>
      <c r="AY459" s="418"/>
      <c r="AZ459" s="418"/>
      <c r="BA459" s="418"/>
    </row>
    <row r="460" spans="40:53" ht="15.75" customHeight="1">
      <c r="AN460" s="418"/>
      <c r="AO460" s="418"/>
      <c r="AP460" s="418"/>
      <c r="AQ460" s="418"/>
      <c r="AR460" s="418"/>
      <c r="AS460" s="418"/>
      <c r="AT460" s="418"/>
      <c r="AU460" s="418"/>
      <c r="AV460" s="418"/>
      <c r="AW460" s="418"/>
      <c r="AX460" s="418"/>
      <c r="AY460" s="418"/>
      <c r="AZ460" s="418"/>
      <c r="BA460" s="418"/>
    </row>
    <row r="461" spans="40:53" ht="15.75" customHeight="1">
      <c r="AN461" s="418"/>
      <c r="AO461" s="418"/>
      <c r="AP461" s="418"/>
      <c r="AQ461" s="418"/>
      <c r="AR461" s="418"/>
      <c r="AS461" s="418"/>
      <c r="AT461" s="418"/>
      <c r="AU461" s="418"/>
      <c r="AV461" s="418"/>
      <c r="AW461" s="418"/>
      <c r="AX461" s="418"/>
      <c r="AY461" s="418"/>
      <c r="AZ461" s="418"/>
      <c r="BA461" s="418"/>
    </row>
    <row r="462" spans="40:53" ht="15.75" customHeight="1">
      <c r="AN462" s="418"/>
      <c r="AO462" s="418"/>
      <c r="AP462" s="418"/>
      <c r="AQ462" s="418"/>
      <c r="AR462" s="418"/>
      <c r="AS462" s="418"/>
      <c r="AT462" s="418"/>
      <c r="AU462" s="418"/>
      <c r="AV462" s="418"/>
      <c r="AW462" s="418"/>
      <c r="AX462" s="418"/>
      <c r="AY462" s="418"/>
      <c r="AZ462" s="418"/>
      <c r="BA462" s="418"/>
    </row>
    <row r="463" spans="40:53" ht="15.75" customHeight="1">
      <c r="AN463" s="418"/>
      <c r="AO463" s="418"/>
      <c r="AP463" s="418"/>
      <c r="AQ463" s="418"/>
      <c r="AR463" s="418"/>
      <c r="AS463" s="418"/>
      <c r="AT463" s="418"/>
      <c r="AU463" s="418"/>
      <c r="AV463" s="418"/>
      <c r="AW463" s="418"/>
      <c r="AX463" s="418"/>
      <c r="AY463" s="418"/>
      <c r="AZ463" s="418"/>
      <c r="BA463" s="418"/>
    </row>
    <row r="464" spans="40:53" ht="15.75" customHeight="1">
      <c r="AN464" s="418"/>
      <c r="AO464" s="418"/>
      <c r="AP464" s="418"/>
      <c r="AQ464" s="418"/>
      <c r="AR464" s="418"/>
      <c r="AS464" s="418"/>
      <c r="AT464" s="418"/>
      <c r="AU464" s="418"/>
      <c r="AV464" s="418"/>
      <c r="AW464" s="418"/>
      <c r="AX464" s="418"/>
      <c r="AY464" s="418"/>
      <c r="AZ464" s="418"/>
      <c r="BA464" s="418"/>
    </row>
    <row r="465" spans="40:53" ht="15.75" customHeight="1">
      <c r="AN465" s="418"/>
      <c r="AO465" s="418"/>
      <c r="AP465" s="418"/>
      <c r="AQ465" s="418"/>
      <c r="AR465" s="418"/>
      <c r="AS465" s="418"/>
      <c r="AT465" s="418"/>
      <c r="AU465" s="418"/>
      <c r="AV465" s="418"/>
      <c r="AW465" s="418"/>
      <c r="AX465" s="418"/>
      <c r="AY465" s="418"/>
      <c r="AZ465" s="418"/>
      <c r="BA465" s="418"/>
    </row>
    <row r="466" spans="40:53" ht="15.75" customHeight="1">
      <c r="AN466" s="418"/>
      <c r="AO466" s="418"/>
      <c r="AP466" s="418"/>
      <c r="AQ466" s="418"/>
      <c r="AR466" s="418"/>
      <c r="AS466" s="418"/>
      <c r="AT466" s="418"/>
      <c r="AU466" s="418"/>
      <c r="AV466" s="418"/>
      <c r="AW466" s="418"/>
      <c r="AX466" s="418"/>
      <c r="AY466" s="418"/>
      <c r="AZ466" s="418"/>
      <c r="BA466" s="418"/>
    </row>
    <row r="467" spans="40:53" ht="15.75" customHeight="1">
      <c r="AN467" s="418"/>
      <c r="AO467" s="418"/>
      <c r="AP467" s="418"/>
      <c r="AQ467" s="418"/>
      <c r="AR467" s="418"/>
      <c r="AS467" s="418"/>
      <c r="AT467" s="418"/>
      <c r="AU467" s="418"/>
      <c r="AV467" s="418"/>
      <c r="AW467" s="418"/>
      <c r="AX467" s="418"/>
      <c r="AY467" s="418"/>
      <c r="AZ467" s="418"/>
      <c r="BA467" s="418"/>
    </row>
    <row r="468" spans="40:53" ht="15.75" customHeight="1">
      <c r="AN468" s="418"/>
      <c r="AO468" s="418"/>
      <c r="AP468" s="418"/>
      <c r="AQ468" s="418"/>
      <c r="AR468" s="418"/>
      <c r="AS468" s="418"/>
      <c r="AT468" s="418"/>
      <c r="AU468" s="418"/>
      <c r="AV468" s="418"/>
      <c r="AW468" s="418"/>
      <c r="AX468" s="418"/>
      <c r="AY468" s="418"/>
      <c r="AZ468" s="418"/>
      <c r="BA468" s="418"/>
    </row>
    <row r="469" spans="40:53" ht="15.75" customHeight="1">
      <c r="AN469" s="418"/>
      <c r="AO469" s="418"/>
      <c r="AP469" s="418"/>
      <c r="AQ469" s="418"/>
      <c r="AR469" s="418"/>
      <c r="AS469" s="418"/>
      <c r="AT469" s="418"/>
      <c r="AU469" s="418"/>
      <c r="AV469" s="418"/>
      <c r="AW469" s="418"/>
      <c r="AX469" s="418"/>
      <c r="AY469" s="418"/>
      <c r="AZ469" s="418"/>
      <c r="BA469" s="418"/>
    </row>
    <row r="470" spans="40:53" ht="15.75" customHeight="1">
      <c r="AN470" s="418"/>
      <c r="AO470" s="418"/>
      <c r="AP470" s="418"/>
      <c r="AQ470" s="418"/>
      <c r="AR470" s="418"/>
      <c r="AS470" s="418"/>
      <c r="AT470" s="418"/>
      <c r="AU470" s="418"/>
      <c r="AV470" s="418"/>
      <c r="AW470" s="418"/>
      <c r="AX470" s="418"/>
      <c r="AY470" s="418"/>
      <c r="AZ470" s="418"/>
      <c r="BA470" s="418"/>
    </row>
    <row r="471" spans="40:53" ht="15.75" customHeight="1">
      <c r="AN471" s="418"/>
      <c r="AO471" s="418"/>
      <c r="AP471" s="418"/>
      <c r="AQ471" s="418"/>
      <c r="AR471" s="418"/>
      <c r="AS471" s="418"/>
      <c r="AT471" s="418"/>
      <c r="AU471" s="418"/>
      <c r="AV471" s="418"/>
      <c r="AW471" s="418"/>
      <c r="AX471" s="418"/>
      <c r="AY471" s="418"/>
      <c r="AZ471" s="418"/>
      <c r="BA471" s="418"/>
    </row>
    <row r="472" spans="40:53" ht="15.75" customHeight="1">
      <c r="AN472" s="418"/>
      <c r="AO472" s="418"/>
      <c r="AP472" s="418"/>
      <c r="AQ472" s="418"/>
      <c r="AR472" s="418"/>
      <c r="AS472" s="418"/>
      <c r="AT472" s="418"/>
      <c r="AU472" s="418"/>
      <c r="AV472" s="418"/>
      <c r="AW472" s="418"/>
      <c r="AX472" s="418"/>
      <c r="AY472" s="418"/>
      <c r="AZ472" s="418"/>
      <c r="BA472" s="418"/>
    </row>
    <row r="473" spans="40:53" ht="15.75" customHeight="1">
      <c r="AN473" s="418"/>
      <c r="AO473" s="418"/>
      <c r="AP473" s="418"/>
      <c r="AQ473" s="418"/>
      <c r="AR473" s="418"/>
      <c r="AS473" s="418"/>
      <c r="AT473" s="418"/>
      <c r="AU473" s="418"/>
      <c r="AV473" s="418"/>
      <c r="AW473" s="418"/>
      <c r="AX473" s="418"/>
      <c r="AY473" s="418"/>
      <c r="AZ473" s="418"/>
      <c r="BA473" s="418"/>
    </row>
    <row r="474" spans="40:53" ht="15.75" customHeight="1">
      <c r="AN474" s="418"/>
      <c r="AO474" s="418"/>
      <c r="AP474" s="418"/>
      <c r="AQ474" s="418"/>
      <c r="AR474" s="418"/>
      <c r="AS474" s="418"/>
      <c r="AT474" s="418"/>
      <c r="AU474" s="418"/>
      <c r="AV474" s="418"/>
      <c r="AW474" s="418"/>
      <c r="AX474" s="418"/>
      <c r="AY474" s="418"/>
      <c r="AZ474" s="418"/>
      <c r="BA474" s="418"/>
    </row>
    <row r="475" spans="40:53" ht="15.75" customHeight="1">
      <c r="AN475" s="418"/>
      <c r="AO475" s="418"/>
      <c r="AP475" s="418"/>
      <c r="AQ475" s="418"/>
      <c r="AR475" s="418"/>
      <c r="AS475" s="418"/>
      <c r="AT475" s="418"/>
      <c r="AU475" s="418"/>
      <c r="AV475" s="418"/>
      <c r="AW475" s="418"/>
      <c r="AX475" s="418"/>
      <c r="AY475" s="418"/>
      <c r="AZ475" s="418"/>
      <c r="BA475" s="418"/>
    </row>
    <row r="476" spans="40:53" ht="15.75" customHeight="1">
      <c r="AN476" s="418"/>
      <c r="AO476" s="418"/>
      <c r="AP476" s="418"/>
      <c r="AQ476" s="418"/>
      <c r="AR476" s="418"/>
      <c r="AS476" s="418"/>
      <c r="AT476" s="418"/>
      <c r="AU476" s="418"/>
      <c r="AV476" s="418"/>
      <c r="AW476" s="418"/>
      <c r="AX476" s="418"/>
      <c r="AY476" s="418"/>
      <c r="AZ476" s="418"/>
      <c r="BA476" s="418"/>
    </row>
    <row r="477" spans="40:53" ht="15.75" customHeight="1">
      <c r="AN477" s="418"/>
      <c r="AO477" s="418"/>
      <c r="AP477" s="418"/>
      <c r="AQ477" s="418"/>
      <c r="AR477" s="418"/>
      <c r="AS477" s="418"/>
      <c r="AT477" s="418"/>
      <c r="AU477" s="418"/>
      <c r="AV477" s="418"/>
      <c r="AW477" s="418"/>
      <c r="AX477" s="418"/>
      <c r="AY477" s="418"/>
      <c r="AZ477" s="418"/>
      <c r="BA477" s="418"/>
    </row>
    <row r="478" spans="40:53" ht="15.75" customHeight="1">
      <c r="AN478" s="418"/>
      <c r="AO478" s="418"/>
      <c r="AP478" s="418"/>
      <c r="AQ478" s="418"/>
      <c r="AR478" s="418"/>
      <c r="AS478" s="418"/>
      <c r="AT478" s="418"/>
      <c r="AU478" s="418"/>
      <c r="AV478" s="418"/>
      <c r="AW478" s="418"/>
      <c r="AX478" s="418"/>
      <c r="AY478" s="418"/>
      <c r="AZ478" s="418"/>
      <c r="BA478" s="418"/>
    </row>
    <row r="479" spans="40:53" ht="15.75" customHeight="1">
      <c r="AN479" s="418"/>
      <c r="AO479" s="418"/>
      <c r="AP479" s="418"/>
      <c r="AQ479" s="418"/>
      <c r="AR479" s="418"/>
      <c r="AS479" s="418"/>
      <c r="AT479" s="418"/>
      <c r="AU479" s="418"/>
      <c r="AV479" s="418"/>
      <c r="AW479" s="418"/>
      <c r="AX479" s="418"/>
      <c r="AY479" s="418"/>
      <c r="AZ479" s="418"/>
      <c r="BA479" s="418"/>
    </row>
    <row r="480" spans="40:53" ht="15.75" customHeight="1">
      <c r="AN480" s="418"/>
      <c r="AO480" s="418"/>
      <c r="AP480" s="418"/>
      <c r="AQ480" s="418"/>
      <c r="AR480" s="418"/>
      <c r="AS480" s="418"/>
      <c r="AT480" s="418"/>
      <c r="AU480" s="418"/>
      <c r="AV480" s="418"/>
      <c r="AW480" s="418"/>
      <c r="AX480" s="418"/>
      <c r="AY480" s="418"/>
      <c r="AZ480" s="418"/>
      <c r="BA480" s="418"/>
    </row>
    <row r="481" spans="40:53" ht="15.75" customHeight="1">
      <c r="AN481" s="418"/>
      <c r="AO481" s="418"/>
      <c r="AP481" s="418"/>
      <c r="AQ481" s="418"/>
      <c r="AR481" s="418"/>
      <c r="AS481" s="418"/>
      <c r="AT481" s="418"/>
      <c r="AU481" s="418"/>
      <c r="AV481" s="418"/>
      <c r="AW481" s="418"/>
      <c r="AX481" s="418"/>
      <c r="AY481" s="418"/>
      <c r="AZ481" s="418"/>
      <c r="BA481" s="418"/>
    </row>
    <row r="482" spans="40:53" ht="15.75" customHeight="1">
      <c r="AN482" s="418"/>
      <c r="AO482" s="418"/>
      <c r="AP482" s="418"/>
      <c r="AQ482" s="418"/>
      <c r="AR482" s="418"/>
      <c r="AS482" s="418"/>
      <c r="AT482" s="418"/>
      <c r="AU482" s="418"/>
      <c r="AV482" s="418"/>
      <c r="AW482" s="418"/>
      <c r="AX482" s="418"/>
      <c r="AY482" s="418"/>
      <c r="AZ482" s="418"/>
      <c r="BA482" s="418"/>
    </row>
    <row r="483" spans="40:53" ht="15.75" customHeight="1">
      <c r="AN483" s="418"/>
      <c r="AO483" s="418"/>
      <c r="AP483" s="418"/>
      <c r="AQ483" s="418"/>
      <c r="AR483" s="418"/>
      <c r="AS483" s="418"/>
      <c r="AT483" s="418"/>
      <c r="AU483" s="418"/>
      <c r="AV483" s="418"/>
      <c r="AW483" s="418"/>
      <c r="AX483" s="418"/>
      <c r="AY483" s="418"/>
      <c r="AZ483" s="418"/>
      <c r="BA483" s="418"/>
    </row>
    <row r="484" spans="40:53" ht="15.75" customHeight="1">
      <c r="AN484" s="418"/>
      <c r="AO484" s="418"/>
      <c r="AP484" s="418"/>
      <c r="AQ484" s="418"/>
      <c r="AR484" s="418"/>
      <c r="AS484" s="418"/>
      <c r="AT484" s="418"/>
      <c r="AU484" s="418"/>
      <c r="AV484" s="418"/>
      <c r="AW484" s="418"/>
      <c r="AX484" s="418"/>
      <c r="AY484" s="418"/>
      <c r="AZ484" s="418"/>
      <c r="BA484" s="418"/>
    </row>
    <row r="485" spans="40:53" ht="15.75" customHeight="1">
      <c r="AN485" s="418"/>
      <c r="AO485" s="418"/>
      <c r="AP485" s="418"/>
      <c r="AQ485" s="418"/>
      <c r="AR485" s="418"/>
      <c r="AS485" s="418"/>
      <c r="AT485" s="418"/>
      <c r="AU485" s="418"/>
      <c r="AV485" s="418"/>
      <c r="AW485" s="418"/>
      <c r="AX485" s="418"/>
      <c r="AY485" s="418"/>
      <c r="AZ485" s="418"/>
      <c r="BA485" s="418"/>
    </row>
    <row r="486" spans="40:53" ht="15.75" customHeight="1">
      <c r="AN486" s="418"/>
      <c r="AO486" s="418"/>
      <c r="AP486" s="418"/>
      <c r="AQ486" s="418"/>
      <c r="AR486" s="418"/>
      <c r="AS486" s="418"/>
      <c r="AT486" s="418"/>
      <c r="AU486" s="418"/>
      <c r="AV486" s="418"/>
      <c r="AW486" s="418"/>
      <c r="AX486" s="418"/>
      <c r="AY486" s="418"/>
      <c r="AZ486" s="418"/>
      <c r="BA486" s="418"/>
    </row>
    <row r="487" spans="40:53" ht="15.75" customHeight="1">
      <c r="AN487" s="418"/>
      <c r="AO487" s="418"/>
      <c r="AP487" s="418"/>
      <c r="AQ487" s="418"/>
      <c r="AR487" s="418"/>
      <c r="AS487" s="418"/>
      <c r="AT487" s="418"/>
      <c r="AU487" s="418"/>
      <c r="AV487" s="418"/>
      <c r="AW487" s="418"/>
      <c r="AX487" s="418"/>
      <c r="AY487" s="418"/>
      <c r="AZ487" s="418"/>
      <c r="BA487" s="418"/>
    </row>
    <row r="488" spans="40:53" ht="15.75" customHeight="1">
      <c r="AN488" s="418"/>
      <c r="AO488" s="418"/>
      <c r="AP488" s="418"/>
      <c r="AQ488" s="418"/>
      <c r="AR488" s="418"/>
      <c r="AS488" s="418"/>
      <c r="AT488" s="418"/>
      <c r="AU488" s="418"/>
      <c r="AV488" s="418"/>
      <c r="AW488" s="418"/>
      <c r="AX488" s="418"/>
      <c r="AY488" s="418"/>
      <c r="AZ488" s="418"/>
      <c r="BA488" s="418"/>
    </row>
    <row r="489" spans="40:53" ht="15.75" customHeight="1">
      <c r="AN489" s="418"/>
      <c r="AO489" s="418"/>
      <c r="AP489" s="418"/>
      <c r="AQ489" s="418"/>
      <c r="AR489" s="418"/>
      <c r="AS489" s="418"/>
      <c r="AT489" s="418"/>
      <c r="AU489" s="418"/>
      <c r="AV489" s="418"/>
      <c r="AW489" s="418"/>
      <c r="AX489" s="418"/>
      <c r="AY489" s="418"/>
      <c r="AZ489" s="418"/>
      <c r="BA489" s="418"/>
    </row>
    <row r="490" spans="40:53" ht="15.75" customHeight="1">
      <c r="AN490" s="418"/>
      <c r="AO490" s="418"/>
      <c r="AP490" s="418"/>
      <c r="AQ490" s="418"/>
      <c r="AR490" s="418"/>
      <c r="AS490" s="418"/>
      <c r="AT490" s="418"/>
      <c r="AU490" s="418"/>
      <c r="AV490" s="418"/>
      <c r="AW490" s="418"/>
      <c r="AX490" s="418"/>
      <c r="AY490" s="418"/>
      <c r="AZ490" s="418"/>
      <c r="BA490" s="418"/>
    </row>
    <row r="491" spans="40:53" ht="15.75" customHeight="1">
      <c r="AN491" s="418"/>
      <c r="AO491" s="418"/>
      <c r="AP491" s="418"/>
      <c r="AQ491" s="418"/>
      <c r="AR491" s="418"/>
      <c r="AS491" s="418"/>
      <c r="AT491" s="418"/>
      <c r="AU491" s="418"/>
      <c r="AV491" s="418"/>
      <c r="AW491" s="418"/>
      <c r="AX491" s="418"/>
      <c r="AY491" s="418"/>
      <c r="AZ491" s="418"/>
      <c r="BA491" s="418"/>
    </row>
    <row r="492" spans="40:53" ht="15.75" customHeight="1">
      <c r="AN492" s="418"/>
      <c r="AO492" s="418"/>
      <c r="AP492" s="418"/>
      <c r="AQ492" s="418"/>
      <c r="AR492" s="418"/>
      <c r="AS492" s="418"/>
      <c r="AT492" s="418"/>
      <c r="AU492" s="418"/>
      <c r="AV492" s="418"/>
      <c r="AW492" s="418"/>
      <c r="AX492" s="418"/>
      <c r="AY492" s="418"/>
      <c r="AZ492" s="418"/>
      <c r="BA492" s="418"/>
    </row>
    <row r="493" spans="40:53" ht="15.75" customHeight="1">
      <c r="AN493" s="418"/>
      <c r="AO493" s="418"/>
      <c r="AP493" s="418"/>
      <c r="AQ493" s="418"/>
      <c r="AR493" s="418"/>
      <c r="AS493" s="418"/>
      <c r="AT493" s="418"/>
      <c r="AU493" s="418"/>
      <c r="AV493" s="418"/>
      <c r="AW493" s="418"/>
      <c r="AX493" s="418"/>
      <c r="AY493" s="418"/>
      <c r="AZ493" s="418"/>
      <c r="BA493" s="418"/>
    </row>
    <row r="494" spans="40:53" ht="15.75" customHeight="1">
      <c r="AN494" s="418"/>
      <c r="AO494" s="418"/>
      <c r="AP494" s="418"/>
      <c r="AQ494" s="418"/>
      <c r="AR494" s="418"/>
      <c r="AS494" s="418"/>
      <c r="AT494" s="418"/>
      <c r="AU494" s="418"/>
      <c r="AV494" s="418"/>
      <c r="AW494" s="418"/>
      <c r="AX494" s="418"/>
      <c r="AY494" s="418"/>
      <c r="AZ494" s="418"/>
      <c r="BA494" s="418"/>
    </row>
    <row r="495" spans="40:53" ht="15.75" customHeight="1">
      <c r="AN495" s="418"/>
      <c r="AO495" s="418"/>
      <c r="AP495" s="418"/>
      <c r="AQ495" s="418"/>
      <c r="AR495" s="418"/>
      <c r="AS495" s="418"/>
      <c r="AT495" s="418"/>
      <c r="AU495" s="418"/>
      <c r="AV495" s="418"/>
      <c r="AW495" s="418"/>
      <c r="AX495" s="418"/>
      <c r="AY495" s="418"/>
      <c r="AZ495" s="418"/>
      <c r="BA495" s="418"/>
    </row>
    <row r="496" spans="40:53" ht="15.75" customHeight="1">
      <c r="AN496" s="418"/>
      <c r="AO496" s="418"/>
      <c r="AP496" s="418"/>
      <c r="AQ496" s="418"/>
      <c r="AR496" s="418"/>
      <c r="AS496" s="418"/>
      <c r="AT496" s="418"/>
      <c r="AU496" s="418"/>
      <c r="AV496" s="418"/>
      <c r="AW496" s="418"/>
      <c r="AX496" s="418"/>
      <c r="AY496" s="418"/>
      <c r="AZ496" s="418"/>
      <c r="BA496" s="418"/>
    </row>
    <row r="497" spans="40:53" ht="15.75" customHeight="1">
      <c r="AN497" s="418"/>
      <c r="AO497" s="418"/>
      <c r="AP497" s="418"/>
      <c r="AQ497" s="418"/>
      <c r="AR497" s="418"/>
      <c r="AS497" s="418"/>
      <c r="AT497" s="418"/>
      <c r="AU497" s="418"/>
      <c r="AV497" s="418"/>
      <c r="AW497" s="418"/>
      <c r="AX497" s="418"/>
      <c r="AY497" s="418"/>
      <c r="AZ497" s="418"/>
      <c r="BA497" s="418"/>
    </row>
    <row r="498" spans="40:53" ht="15.75" customHeight="1">
      <c r="AN498" s="418"/>
      <c r="AO498" s="418"/>
      <c r="AP498" s="418"/>
      <c r="AQ498" s="418"/>
      <c r="AR498" s="418"/>
      <c r="AS498" s="418"/>
      <c r="AT498" s="418"/>
      <c r="AU498" s="418"/>
      <c r="AV498" s="418"/>
      <c r="AW498" s="418"/>
      <c r="AX498" s="418"/>
      <c r="AY498" s="418"/>
      <c r="AZ498" s="418"/>
      <c r="BA498" s="418"/>
    </row>
    <row r="499" spans="40:53" ht="15.75" customHeight="1">
      <c r="AN499" s="418"/>
      <c r="AO499" s="418"/>
      <c r="AP499" s="418"/>
      <c r="AQ499" s="418"/>
      <c r="AR499" s="418"/>
      <c r="AS499" s="418"/>
      <c r="AT499" s="418"/>
      <c r="AU499" s="418"/>
      <c r="AV499" s="418"/>
      <c r="AW499" s="418"/>
      <c r="AX499" s="418"/>
      <c r="AY499" s="418"/>
      <c r="AZ499" s="418"/>
      <c r="BA499" s="418"/>
    </row>
    <row r="500" spans="40:53" ht="15.75" customHeight="1">
      <c r="AN500" s="418"/>
      <c r="AO500" s="418"/>
      <c r="AP500" s="418"/>
      <c r="AQ500" s="418"/>
      <c r="AR500" s="418"/>
      <c r="AS500" s="418"/>
      <c r="AT500" s="418"/>
      <c r="AU500" s="418"/>
      <c r="AV500" s="418"/>
      <c r="AW500" s="418"/>
      <c r="AX500" s="418"/>
      <c r="AY500" s="418"/>
      <c r="AZ500" s="418"/>
      <c r="BA500" s="418"/>
    </row>
    <row r="501" spans="40:53" ht="15.75" customHeight="1">
      <c r="AN501" s="418"/>
      <c r="AO501" s="418"/>
      <c r="AP501" s="418"/>
      <c r="AQ501" s="418"/>
      <c r="AR501" s="418"/>
      <c r="AS501" s="418"/>
      <c r="AT501" s="418"/>
      <c r="AU501" s="418"/>
      <c r="AV501" s="418"/>
      <c r="AW501" s="418"/>
      <c r="AX501" s="418"/>
      <c r="AY501" s="418"/>
      <c r="AZ501" s="418"/>
      <c r="BA501" s="418"/>
    </row>
    <row r="502" spans="40:53" ht="15.75" customHeight="1">
      <c r="AN502" s="418"/>
      <c r="AO502" s="418"/>
      <c r="AP502" s="418"/>
      <c r="AQ502" s="418"/>
      <c r="AR502" s="418"/>
      <c r="AS502" s="418"/>
      <c r="AT502" s="418"/>
      <c r="AU502" s="418"/>
      <c r="AV502" s="418"/>
      <c r="AW502" s="418"/>
      <c r="AX502" s="418"/>
      <c r="AY502" s="418"/>
      <c r="AZ502" s="418"/>
      <c r="BA502" s="418"/>
    </row>
    <row r="503" spans="40:53" ht="15.75" customHeight="1">
      <c r="AN503" s="418"/>
      <c r="AO503" s="418"/>
      <c r="AP503" s="418"/>
      <c r="AQ503" s="418"/>
      <c r="AR503" s="418"/>
      <c r="AS503" s="418"/>
      <c r="AT503" s="418"/>
      <c r="AU503" s="418"/>
      <c r="AV503" s="418"/>
      <c r="AW503" s="418"/>
      <c r="AX503" s="418"/>
      <c r="AY503" s="418"/>
      <c r="AZ503" s="418"/>
      <c r="BA503" s="418"/>
    </row>
    <row r="504" spans="40:53" ht="15.75" customHeight="1">
      <c r="AN504" s="418"/>
      <c r="AO504" s="418"/>
      <c r="AP504" s="418"/>
      <c r="AQ504" s="418"/>
      <c r="AR504" s="418"/>
      <c r="AS504" s="418"/>
      <c r="AT504" s="418"/>
      <c r="AU504" s="418"/>
      <c r="AV504" s="418"/>
      <c r="AW504" s="418"/>
      <c r="AX504" s="418"/>
      <c r="AY504" s="418"/>
      <c r="AZ504" s="418"/>
      <c r="BA504" s="418"/>
    </row>
    <row r="505" spans="40:53" ht="15.75" customHeight="1">
      <c r="AN505" s="418"/>
      <c r="AO505" s="418"/>
      <c r="AP505" s="418"/>
      <c r="AQ505" s="419"/>
      <c r="AR505" s="419"/>
      <c r="AS505" s="419"/>
      <c r="AT505" s="419"/>
      <c r="AU505" s="419"/>
      <c r="AV505" s="419"/>
      <c r="AW505" s="419"/>
      <c r="AX505" s="419"/>
      <c r="AY505" s="419"/>
      <c r="AZ505" s="419"/>
      <c r="BA505" s="419"/>
    </row>
    <row r="506" spans="40:53" ht="15.75" customHeight="1">
      <c r="AN506" s="418"/>
      <c r="AO506" s="418"/>
      <c r="AP506" s="418"/>
      <c r="AQ506" s="419"/>
      <c r="AR506" s="419"/>
      <c r="AS506" s="419"/>
      <c r="AT506" s="419"/>
      <c r="AU506" s="419"/>
      <c r="AV506" s="419"/>
      <c r="AW506" s="419"/>
      <c r="AX506" s="419"/>
      <c r="AY506" s="419"/>
      <c r="AZ506" s="419"/>
      <c r="BA506" s="419"/>
    </row>
    <row r="507" spans="40:53" ht="15.75" customHeight="1">
      <c r="AN507" s="418"/>
      <c r="AO507" s="418"/>
      <c r="AP507" s="418"/>
      <c r="AQ507" s="419"/>
      <c r="AR507" s="419"/>
      <c r="AS507" s="419"/>
      <c r="AT507" s="419"/>
      <c r="AU507" s="419"/>
      <c r="AV507" s="419"/>
      <c r="AW507" s="419"/>
      <c r="AX507" s="419"/>
      <c r="AY507" s="419"/>
      <c r="AZ507" s="419"/>
      <c r="BA507" s="419"/>
    </row>
    <row r="508" spans="40:53" ht="15.75" customHeight="1">
      <c r="AN508" s="418"/>
      <c r="AO508" s="418"/>
      <c r="AP508" s="418"/>
      <c r="AQ508" s="419"/>
      <c r="AR508" s="419"/>
      <c r="AS508" s="419"/>
      <c r="AT508" s="419"/>
      <c r="AU508" s="419"/>
      <c r="AV508" s="419"/>
      <c r="AW508" s="419"/>
      <c r="AX508" s="419"/>
      <c r="AY508" s="419"/>
      <c r="AZ508" s="419"/>
      <c r="BA508" s="419"/>
    </row>
    <row r="509" spans="40:53" ht="15.75" customHeight="1">
      <c r="AN509" s="418"/>
      <c r="AO509" s="418"/>
      <c r="AP509" s="418"/>
      <c r="AQ509" s="419"/>
      <c r="AR509" s="419"/>
      <c r="AS509" s="419"/>
      <c r="AT509" s="419"/>
      <c r="AU509" s="419"/>
      <c r="AV509" s="419"/>
      <c r="AW509" s="419"/>
      <c r="AX509" s="419"/>
      <c r="AY509" s="419"/>
      <c r="AZ509" s="419"/>
      <c r="BA509" s="419"/>
    </row>
    <row r="510" spans="40:53" ht="15.75" customHeight="1">
      <c r="AN510" s="418"/>
      <c r="AO510" s="418"/>
      <c r="AP510" s="418"/>
      <c r="AQ510" s="419"/>
      <c r="AR510" s="419"/>
      <c r="AS510" s="419"/>
      <c r="AT510" s="419"/>
      <c r="AU510" s="419"/>
      <c r="AV510" s="419"/>
      <c r="AW510" s="419"/>
      <c r="AX510" s="419"/>
      <c r="AY510" s="419"/>
      <c r="AZ510" s="419"/>
      <c r="BA510" s="419"/>
    </row>
    <row r="511" spans="40:53" ht="15.75" customHeight="1">
      <c r="AN511" s="418"/>
      <c r="AO511" s="418"/>
      <c r="AP511" s="418"/>
      <c r="AQ511" s="419"/>
      <c r="AR511" s="419"/>
      <c r="AS511" s="419"/>
      <c r="AT511" s="419"/>
      <c r="AU511" s="419"/>
      <c r="AV511" s="419"/>
      <c r="AW511" s="419"/>
      <c r="AX511" s="419"/>
      <c r="AY511" s="419"/>
      <c r="AZ511" s="419"/>
      <c r="BA511" s="419"/>
    </row>
    <row r="512" spans="40:53" ht="15.75" customHeight="1">
      <c r="AN512" s="418"/>
      <c r="AO512" s="418"/>
      <c r="AP512" s="418"/>
      <c r="AQ512" s="419"/>
      <c r="AR512" s="419"/>
      <c r="AS512" s="419"/>
      <c r="AT512" s="419"/>
      <c r="AU512" s="419"/>
      <c r="AV512" s="419"/>
      <c r="AW512" s="419"/>
      <c r="AX512" s="419"/>
      <c r="AY512" s="419"/>
      <c r="AZ512" s="419"/>
      <c r="BA512" s="419"/>
    </row>
    <row r="513" spans="40:55" ht="15.75" customHeight="1">
      <c r="AN513" s="418"/>
      <c r="AO513" s="418"/>
      <c r="AP513" s="418"/>
      <c r="AQ513" s="419"/>
      <c r="AR513" s="419"/>
      <c r="AS513" s="419"/>
      <c r="AT513" s="419"/>
      <c r="AU513" s="419"/>
      <c r="AV513" s="419"/>
      <c r="AW513" s="419"/>
      <c r="AX513" s="419"/>
      <c r="AY513" s="419"/>
      <c r="AZ513" s="419"/>
      <c r="BA513" s="419"/>
    </row>
    <row r="514" spans="40:55" ht="15.75" customHeight="1">
      <c r="AN514" s="418"/>
      <c r="AO514" s="418"/>
      <c r="AP514" s="418"/>
      <c r="AQ514" s="419"/>
      <c r="AR514" s="419"/>
      <c r="AS514" s="419"/>
      <c r="AT514" s="419"/>
      <c r="AU514" s="419"/>
      <c r="AV514" s="419"/>
      <c r="AW514" s="419"/>
      <c r="AX514" s="419"/>
      <c r="AY514" s="419"/>
      <c r="AZ514" s="419"/>
      <c r="BA514" s="419"/>
    </row>
    <row r="515" spans="40:55" ht="15.75" customHeight="1">
      <c r="AN515" s="418"/>
      <c r="AO515" s="418"/>
      <c r="AP515" s="418"/>
      <c r="AQ515" s="419"/>
      <c r="AR515" s="419"/>
      <c r="AS515" s="419"/>
      <c r="AT515" s="419"/>
      <c r="AU515" s="419"/>
      <c r="AV515" s="419"/>
      <c r="AW515" s="419"/>
      <c r="AX515" s="419"/>
      <c r="AY515" s="419"/>
      <c r="AZ515" s="419"/>
      <c r="BA515" s="419"/>
    </row>
    <row r="516" spans="40:55" ht="15.75" customHeight="1">
      <c r="AN516" s="418"/>
      <c r="AO516" s="418"/>
      <c r="AP516" s="418"/>
      <c r="AQ516" s="419"/>
      <c r="AR516" s="419"/>
      <c r="AS516" s="419"/>
      <c r="AT516" s="419"/>
      <c r="AU516" s="419"/>
      <c r="AV516" s="419"/>
      <c r="AW516" s="419"/>
      <c r="AX516" s="419"/>
      <c r="AY516" s="419"/>
      <c r="AZ516" s="419"/>
      <c r="BA516" s="419"/>
    </row>
    <row r="517" spans="40:55" ht="15.75" customHeight="1">
      <c r="AN517" s="418"/>
      <c r="AO517" s="418"/>
      <c r="AP517" s="418"/>
      <c r="AQ517" s="419"/>
      <c r="AR517" s="419"/>
      <c r="AS517" s="419"/>
      <c r="AT517" s="419"/>
      <c r="AU517" s="419"/>
      <c r="AV517" s="419"/>
      <c r="AW517" s="419"/>
      <c r="AX517" s="419"/>
      <c r="AY517" s="419"/>
      <c r="AZ517" s="419"/>
      <c r="BA517" s="419"/>
    </row>
    <row r="518" spans="40:55" ht="15.75" customHeight="1">
      <c r="AN518" s="418"/>
      <c r="AO518" s="418"/>
      <c r="AP518" s="418"/>
      <c r="AQ518" s="418"/>
      <c r="AR518" s="418"/>
      <c r="AS518" s="418"/>
      <c r="AT518" s="418"/>
      <c r="AU518" s="418"/>
      <c r="AV518" s="418"/>
      <c r="AW518" s="418"/>
      <c r="AX518" s="418"/>
      <c r="AY518" s="418"/>
      <c r="AZ518" s="418"/>
      <c r="BA518" s="418"/>
    </row>
    <row r="519" spans="40:55" ht="15.75" customHeight="1">
      <c r="AN519" s="418"/>
      <c r="AO519" s="418"/>
      <c r="AP519" s="418"/>
      <c r="AQ519" s="418"/>
      <c r="AR519" s="418"/>
      <c r="AS519" s="418"/>
      <c r="AT519" s="418"/>
      <c r="AU519" s="418"/>
      <c r="AV519" s="418"/>
      <c r="AW519" s="418"/>
      <c r="AX519" s="418"/>
      <c r="AY519" s="418"/>
      <c r="AZ519" s="418"/>
      <c r="BA519" s="418"/>
      <c r="BC519" s="312"/>
    </row>
    <row r="520" spans="40:55" ht="15.75" customHeight="1">
      <c r="AN520" s="418"/>
      <c r="AO520" s="418"/>
      <c r="AP520" s="418"/>
      <c r="AQ520" s="418"/>
      <c r="AR520" s="418"/>
      <c r="AS520" s="418"/>
      <c r="AT520" s="418"/>
      <c r="AU520" s="418"/>
      <c r="AV520" s="418"/>
      <c r="AW520" s="418"/>
      <c r="AX520" s="418"/>
      <c r="AY520" s="418"/>
      <c r="AZ520" s="418"/>
      <c r="BA520" s="418"/>
      <c r="BC520" s="312"/>
    </row>
    <row r="521" spans="40:55" ht="15.75" customHeight="1">
      <c r="AN521" s="418"/>
      <c r="AO521" s="418"/>
      <c r="AP521" s="418"/>
      <c r="AQ521" s="418"/>
      <c r="AR521" s="418"/>
      <c r="AS521" s="418"/>
      <c r="AT521" s="418"/>
      <c r="AU521" s="418"/>
      <c r="AV521" s="418"/>
      <c r="AW521" s="418"/>
      <c r="AX521" s="418"/>
      <c r="AY521" s="418"/>
      <c r="AZ521" s="418"/>
      <c r="BA521" s="418"/>
      <c r="BC521" s="312"/>
    </row>
    <row r="522" spans="40:55" ht="15.75" customHeight="1">
      <c r="AN522" s="418"/>
      <c r="AO522" s="418"/>
      <c r="AP522" s="418"/>
      <c r="AQ522" s="418"/>
      <c r="AR522" s="418"/>
      <c r="AS522" s="418"/>
      <c r="AT522" s="418"/>
      <c r="AU522" s="418"/>
      <c r="AV522" s="418"/>
      <c r="AW522" s="418"/>
      <c r="AX522" s="418"/>
      <c r="AY522" s="418"/>
      <c r="AZ522" s="418"/>
      <c r="BA522" s="418"/>
      <c r="BC522" s="312"/>
    </row>
    <row r="523" spans="40:55" ht="15.75" customHeight="1">
      <c r="AN523" s="418"/>
      <c r="AO523" s="418"/>
      <c r="AP523" s="418"/>
      <c r="AQ523" s="419"/>
      <c r="AR523" s="419"/>
      <c r="AS523" s="419"/>
      <c r="AT523" s="419"/>
      <c r="AU523" s="419"/>
      <c r="AV523" s="419"/>
      <c r="AW523" s="419"/>
      <c r="AX523" s="419"/>
      <c r="AY523" s="419"/>
      <c r="AZ523" s="419"/>
      <c r="BA523" s="419"/>
      <c r="BC523" s="447"/>
    </row>
    <row r="524" spans="40:55" ht="15.75" customHeight="1">
      <c r="AN524" s="418"/>
      <c r="AO524" s="418"/>
      <c r="AP524" s="418"/>
      <c r="AQ524" s="419"/>
      <c r="AR524" s="419"/>
      <c r="AS524" s="419"/>
      <c r="AT524" s="419"/>
      <c r="AU524" s="419"/>
      <c r="AV524" s="419"/>
      <c r="AW524" s="419"/>
      <c r="AX524" s="419"/>
      <c r="AY524" s="419"/>
      <c r="AZ524" s="419"/>
      <c r="BA524" s="419"/>
      <c r="BC524" s="312"/>
    </row>
    <row r="525" spans="40:55" ht="15.75" customHeight="1">
      <c r="AN525" s="418"/>
      <c r="AO525" s="418"/>
      <c r="AP525" s="418"/>
      <c r="AQ525" s="419"/>
      <c r="AR525" s="419"/>
      <c r="AS525" s="419"/>
      <c r="AT525" s="419"/>
      <c r="AU525" s="419"/>
      <c r="AV525" s="419"/>
      <c r="AW525" s="419"/>
      <c r="AX525" s="419"/>
      <c r="AY525" s="419"/>
      <c r="AZ525" s="419"/>
      <c r="BA525" s="419"/>
      <c r="BC525" s="312"/>
    </row>
    <row r="526" spans="40:55" ht="15.75" customHeight="1">
      <c r="AN526" s="418"/>
      <c r="AO526" s="418"/>
      <c r="AP526" s="418"/>
      <c r="AQ526" s="419"/>
      <c r="AR526" s="419"/>
      <c r="AS526" s="419"/>
      <c r="AT526" s="419"/>
      <c r="AU526" s="419"/>
      <c r="AV526" s="419"/>
      <c r="AW526" s="419"/>
      <c r="AX526" s="419"/>
      <c r="AY526" s="419"/>
      <c r="AZ526" s="419"/>
      <c r="BA526" s="419"/>
      <c r="BC526" s="312"/>
    </row>
    <row r="527" spans="40:55" ht="15.75" customHeight="1">
      <c r="AN527" s="418"/>
      <c r="AO527" s="418"/>
      <c r="AP527" s="418"/>
      <c r="AQ527" s="419"/>
      <c r="AR527" s="419"/>
      <c r="AS527" s="419"/>
      <c r="AT527" s="419"/>
      <c r="AU527" s="419"/>
      <c r="AV527" s="419"/>
      <c r="AW527" s="419"/>
      <c r="AX527" s="419"/>
      <c r="AY527" s="419"/>
      <c r="AZ527" s="419"/>
      <c r="BA527" s="419"/>
      <c r="BC527" s="447"/>
    </row>
    <row r="528" spans="40:55" ht="15.75" customHeight="1">
      <c r="AN528" s="418"/>
      <c r="AO528" s="418"/>
      <c r="AP528" s="418"/>
      <c r="AQ528" s="418"/>
      <c r="AR528" s="418"/>
      <c r="AS528" s="418"/>
      <c r="AT528" s="418"/>
      <c r="AU528" s="418"/>
      <c r="AV528" s="418"/>
      <c r="AW528" s="418"/>
      <c r="AX528" s="418"/>
      <c r="AY528" s="418"/>
      <c r="AZ528" s="418"/>
      <c r="BA528" s="418"/>
      <c r="BC528" s="312"/>
    </row>
    <row r="529" spans="40:55" ht="15.75" customHeight="1">
      <c r="AN529" s="418"/>
      <c r="AO529" s="418"/>
      <c r="AP529" s="418"/>
      <c r="AQ529" s="418"/>
      <c r="AR529" s="418"/>
      <c r="AS529" s="418"/>
      <c r="AT529" s="418"/>
      <c r="AU529" s="418"/>
      <c r="AV529" s="418"/>
      <c r="AW529" s="418"/>
      <c r="AX529" s="418"/>
      <c r="AY529" s="418"/>
      <c r="AZ529" s="418"/>
      <c r="BA529" s="418"/>
      <c r="BC529" s="312"/>
    </row>
    <row r="530" spans="40:55" ht="15.75" customHeight="1">
      <c r="AN530" s="418"/>
      <c r="AO530" s="418"/>
      <c r="AP530" s="418"/>
      <c r="AQ530" s="418"/>
      <c r="AR530" s="418"/>
      <c r="AS530" s="418"/>
      <c r="AT530" s="418"/>
      <c r="AU530" s="418"/>
      <c r="AV530" s="418"/>
      <c r="AW530" s="418"/>
      <c r="AX530" s="418"/>
      <c r="AY530" s="418"/>
      <c r="AZ530" s="418"/>
      <c r="BA530" s="418"/>
      <c r="BC530" s="312"/>
    </row>
    <row r="531" spans="40:55" ht="15.75" customHeight="1">
      <c r="AN531" s="418"/>
      <c r="AO531" s="418"/>
      <c r="AP531" s="418"/>
      <c r="AQ531" s="419"/>
      <c r="AR531" s="419"/>
      <c r="AS531" s="419"/>
      <c r="AT531" s="419"/>
      <c r="AU531" s="419"/>
      <c r="AV531" s="419"/>
      <c r="AW531" s="419"/>
      <c r="AX531" s="419"/>
      <c r="AY531" s="419"/>
      <c r="AZ531" s="419"/>
      <c r="BA531" s="419"/>
      <c r="BC531" s="312"/>
    </row>
    <row r="532" spans="40:55" ht="15.75" customHeight="1">
      <c r="AN532" s="418"/>
      <c r="AO532" s="418"/>
      <c r="AP532" s="418"/>
      <c r="AQ532" s="419"/>
      <c r="AR532" s="419"/>
      <c r="AS532" s="419"/>
      <c r="AT532" s="419"/>
      <c r="AU532" s="419"/>
      <c r="AV532" s="419"/>
      <c r="AW532" s="419"/>
      <c r="AX532" s="419"/>
      <c r="AY532" s="419"/>
      <c r="AZ532" s="419"/>
      <c r="BA532" s="419"/>
      <c r="BC532" s="312"/>
    </row>
    <row r="533" spans="40:55" ht="15.75" customHeight="1">
      <c r="AN533" s="418"/>
      <c r="AO533" s="418"/>
      <c r="AP533" s="418"/>
      <c r="AQ533" s="419"/>
      <c r="AR533" s="419"/>
      <c r="AS533" s="419"/>
      <c r="AT533" s="419"/>
      <c r="AU533" s="419"/>
      <c r="AV533" s="419"/>
      <c r="AW533" s="419"/>
      <c r="AX533" s="419"/>
      <c r="AY533" s="419"/>
      <c r="AZ533" s="419"/>
      <c r="BA533" s="419"/>
      <c r="BC533" s="312"/>
    </row>
    <row r="534" spans="40:55" ht="15.75" customHeight="1">
      <c r="AN534" s="418"/>
      <c r="AO534" s="418"/>
      <c r="AP534" s="418"/>
      <c r="AQ534" s="419"/>
      <c r="AR534" s="419"/>
      <c r="AS534" s="419"/>
      <c r="AT534" s="419"/>
      <c r="AU534" s="419"/>
      <c r="AV534" s="419"/>
      <c r="AW534" s="419"/>
      <c r="AX534" s="419"/>
      <c r="AY534" s="419"/>
      <c r="AZ534" s="419"/>
      <c r="BA534" s="419"/>
    </row>
    <row r="535" spans="40:55" ht="15.75" customHeight="1">
      <c r="AN535" s="418"/>
      <c r="AO535" s="418"/>
      <c r="AP535" s="418"/>
      <c r="AQ535" s="419"/>
      <c r="AR535" s="419"/>
      <c r="AS535" s="419"/>
      <c r="AT535" s="419"/>
      <c r="AU535" s="419"/>
      <c r="AV535" s="419"/>
      <c r="AW535" s="419"/>
      <c r="AX535" s="419"/>
      <c r="AY535" s="419"/>
      <c r="AZ535" s="419"/>
      <c r="BA535" s="419"/>
    </row>
    <row r="536" spans="40:55" ht="15.75" customHeight="1">
      <c r="AN536" s="418"/>
      <c r="AO536" s="418"/>
      <c r="AP536" s="418"/>
      <c r="AQ536" s="419"/>
      <c r="AR536" s="419"/>
      <c r="AS536" s="419"/>
      <c r="AT536" s="419"/>
      <c r="AU536" s="419"/>
      <c r="AV536" s="419"/>
      <c r="AW536" s="419"/>
      <c r="AX536" s="419"/>
      <c r="AY536" s="419"/>
      <c r="AZ536" s="419"/>
      <c r="BA536" s="419"/>
    </row>
    <row r="537" spans="40:55" ht="15.75" customHeight="1">
      <c r="AN537" s="418"/>
      <c r="AO537" s="418"/>
      <c r="AP537" s="418"/>
      <c r="AQ537" s="419"/>
      <c r="AR537" s="419"/>
      <c r="AS537" s="419"/>
      <c r="AT537" s="419"/>
      <c r="AU537" s="419"/>
      <c r="AV537" s="419"/>
      <c r="AW537" s="419"/>
      <c r="AX537" s="419"/>
      <c r="AY537" s="419"/>
      <c r="AZ537" s="419"/>
      <c r="BA537" s="419"/>
    </row>
    <row r="538" spans="40:55" ht="15.75" customHeight="1">
      <c r="AN538" s="418"/>
      <c r="AO538" s="418"/>
      <c r="AP538" s="418"/>
      <c r="AQ538" s="418"/>
      <c r="AR538" s="418"/>
      <c r="AS538" s="418"/>
      <c r="AT538" s="418"/>
      <c r="AU538" s="418"/>
      <c r="AV538" s="418"/>
      <c r="AW538" s="418"/>
      <c r="AX538" s="418"/>
      <c r="AY538" s="418"/>
      <c r="AZ538" s="418"/>
      <c r="BA538" s="418"/>
    </row>
    <row r="539" spans="40:55" ht="15.75" customHeight="1">
      <c r="AN539" s="418"/>
      <c r="AO539" s="418"/>
      <c r="AP539" s="418"/>
      <c r="AQ539" s="418"/>
      <c r="AR539" s="418"/>
      <c r="AS539" s="418"/>
      <c r="AT539" s="418"/>
      <c r="AU539" s="418"/>
      <c r="AV539" s="418"/>
      <c r="AW539" s="418"/>
      <c r="AX539" s="418"/>
      <c r="AY539" s="418"/>
      <c r="AZ539" s="418"/>
      <c r="BA539" s="418"/>
    </row>
    <row r="540" spans="40:55" ht="15.75" customHeight="1">
      <c r="AN540" s="418"/>
      <c r="AO540" s="418"/>
      <c r="AP540" s="418"/>
      <c r="AQ540" s="418"/>
      <c r="AR540" s="418"/>
      <c r="AS540" s="418"/>
      <c r="AT540" s="418"/>
      <c r="AU540" s="418"/>
      <c r="AV540" s="418"/>
      <c r="AW540" s="418"/>
      <c r="AX540" s="418"/>
      <c r="AY540" s="418"/>
      <c r="AZ540" s="418"/>
      <c r="BA540" s="418"/>
    </row>
    <row r="541" spans="40:55" ht="15.75" customHeight="1">
      <c r="AN541" s="418"/>
      <c r="AO541" s="418"/>
      <c r="AP541" s="418"/>
      <c r="AQ541" s="418"/>
      <c r="AR541" s="418"/>
      <c r="AS541" s="418"/>
      <c r="AT541" s="418"/>
      <c r="AU541" s="418"/>
      <c r="AV541" s="418"/>
      <c r="AW541" s="418"/>
      <c r="AX541" s="418"/>
      <c r="AY541" s="418"/>
      <c r="AZ541" s="418"/>
      <c r="BA541" s="418"/>
    </row>
    <row r="542" spans="40:55" ht="15.75" customHeight="1">
      <c r="AN542" s="418"/>
      <c r="AO542" s="418"/>
      <c r="AP542" s="418"/>
      <c r="AQ542" s="418"/>
      <c r="AR542" s="418"/>
      <c r="AS542" s="418"/>
      <c r="AT542" s="418"/>
      <c r="AU542" s="418"/>
      <c r="AV542" s="418"/>
      <c r="AW542" s="418"/>
      <c r="AX542" s="418"/>
      <c r="AY542" s="418"/>
      <c r="AZ542" s="418"/>
      <c r="BA542" s="418"/>
    </row>
    <row r="543" spans="40:55" ht="15.75" customHeight="1">
      <c r="AN543" s="418"/>
      <c r="AO543" s="418"/>
      <c r="AP543" s="418"/>
      <c r="AQ543" s="418"/>
      <c r="AR543" s="418"/>
      <c r="AS543" s="418"/>
      <c r="AT543" s="418"/>
      <c r="AU543" s="418"/>
      <c r="AV543" s="418"/>
      <c r="AW543" s="418"/>
      <c r="AX543" s="418"/>
      <c r="AY543" s="418"/>
      <c r="AZ543" s="418"/>
      <c r="BA543" s="418"/>
    </row>
    <row r="544" spans="40:55" ht="15.75" customHeight="1">
      <c r="AN544" s="418"/>
      <c r="AO544" s="418"/>
      <c r="AP544" s="418"/>
      <c r="AQ544" s="418"/>
      <c r="AR544" s="418"/>
      <c r="AS544" s="418"/>
      <c r="AT544" s="418"/>
      <c r="AU544" s="418"/>
      <c r="AV544" s="418"/>
      <c r="AW544" s="418"/>
      <c r="AX544" s="418"/>
      <c r="AY544" s="418"/>
      <c r="AZ544" s="418"/>
      <c r="BA544" s="418"/>
    </row>
    <row r="545" spans="40:53" ht="15.75" customHeight="1">
      <c r="AN545" s="418"/>
      <c r="AO545" s="418"/>
      <c r="AP545" s="418"/>
      <c r="AQ545" s="418"/>
      <c r="AR545" s="418"/>
      <c r="AS545" s="418"/>
      <c r="AT545" s="418"/>
      <c r="AU545" s="418"/>
      <c r="AV545" s="418"/>
      <c r="AW545" s="418"/>
      <c r="AX545" s="418"/>
      <c r="AY545" s="418"/>
      <c r="AZ545" s="418"/>
      <c r="BA545" s="418"/>
    </row>
    <row r="546" spans="40:53" ht="15.75" customHeight="1">
      <c r="AN546" s="418"/>
      <c r="AO546" s="418"/>
      <c r="AP546" s="418"/>
      <c r="AQ546" s="418"/>
      <c r="AR546" s="418"/>
      <c r="AS546" s="418"/>
      <c r="AT546" s="418"/>
      <c r="AU546" s="418"/>
      <c r="AV546" s="418"/>
      <c r="AW546" s="418"/>
      <c r="AX546" s="418"/>
      <c r="AY546" s="418"/>
      <c r="AZ546" s="418"/>
      <c r="BA546" s="418"/>
    </row>
    <row r="547" spans="40:53" ht="15.75" customHeight="1">
      <c r="AN547" s="418"/>
      <c r="AO547" s="418"/>
      <c r="AP547" s="418"/>
      <c r="AQ547" s="418"/>
      <c r="AR547" s="418"/>
      <c r="AS547" s="418"/>
      <c r="AT547" s="418"/>
      <c r="AU547" s="418"/>
      <c r="AV547" s="418"/>
      <c r="AW547" s="418"/>
      <c r="AX547" s="418"/>
      <c r="AY547" s="418"/>
      <c r="AZ547" s="418"/>
      <c r="BA547" s="418"/>
    </row>
    <row r="548" spans="40:53" ht="15.75" customHeight="1">
      <c r="AN548" s="418"/>
      <c r="AO548" s="418"/>
      <c r="AP548" s="418"/>
      <c r="AQ548" s="418"/>
      <c r="AR548" s="418"/>
      <c r="AS548" s="418"/>
      <c r="AT548" s="418"/>
      <c r="AU548" s="418"/>
      <c r="AV548" s="418"/>
      <c r="AW548" s="418"/>
      <c r="AX548" s="418"/>
      <c r="AY548" s="418"/>
      <c r="AZ548" s="418"/>
      <c r="BA548" s="418"/>
    </row>
    <row r="549" spans="40:53" ht="15.75" customHeight="1">
      <c r="AN549" s="418"/>
      <c r="AO549" s="418"/>
      <c r="AP549" s="418"/>
      <c r="AQ549" s="418"/>
      <c r="AR549" s="418"/>
      <c r="AS549" s="418"/>
      <c r="AT549" s="418"/>
      <c r="AU549" s="418"/>
      <c r="AV549" s="418"/>
      <c r="AW549" s="418"/>
      <c r="AX549" s="418"/>
      <c r="AY549" s="418"/>
      <c r="AZ549" s="418"/>
      <c r="BA549" s="418"/>
    </row>
    <row r="550" spans="40:53" ht="15.75" customHeight="1">
      <c r="AN550" s="418"/>
      <c r="AO550" s="418"/>
      <c r="AP550" s="418"/>
      <c r="AQ550" s="418"/>
      <c r="AR550" s="418"/>
      <c r="AS550" s="418"/>
      <c r="AT550" s="418"/>
      <c r="AU550" s="418"/>
      <c r="AV550" s="418"/>
      <c r="AW550" s="418"/>
      <c r="AX550" s="418"/>
      <c r="AY550" s="418"/>
      <c r="AZ550" s="418"/>
      <c r="BA550" s="418"/>
    </row>
    <row r="551" spans="40:53" ht="15.75" customHeight="1">
      <c r="AN551" s="418"/>
      <c r="AO551" s="418"/>
      <c r="AP551" s="418"/>
      <c r="AQ551" s="418"/>
      <c r="AR551" s="418"/>
      <c r="AS551" s="418"/>
      <c r="AT551" s="418"/>
      <c r="AU551" s="418"/>
      <c r="AV551" s="418"/>
      <c r="AW551" s="418"/>
      <c r="AX551" s="418"/>
      <c r="AY551" s="418"/>
      <c r="AZ551" s="418"/>
      <c r="BA551" s="418"/>
    </row>
    <row r="552" spans="40:53" ht="15.75" customHeight="1">
      <c r="AN552" s="418"/>
      <c r="AO552" s="418"/>
      <c r="AP552" s="418"/>
      <c r="AQ552" s="418"/>
      <c r="AR552" s="418"/>
      <c r="AS552" s="418"/>
      <c r="AT552" s="418"/>
      <c r="AU552" s="418"/>
      <c r="AV552" s="418"/>
      <c r="AW552" s="418"/>
      <c r="AX552" s="418"/>
      <c r="AY552" s="418"/>
      <c r="AZ552" s="418"/>
      <c r="BA552" s="418"/>
    </row>
    <row r="553" spans="40:53" ht="15.75" customHeight="1">
      <c r="AN553" s="418"/>
      <c r="AO553" s="418"/>
      <c r="AP553" s="418"/>
      <c r="AQ553" s="418"/>
      <c r="AR553" s="418"/>
      <c r="AS553" s="418"/>
      <c r="AT553" s="418"/>
      <c r="AU553" s="418"/>
      <c r="AV553" s="418"/>
      <c r="AW553" s="418"/>
      <c r="AX553" s="418"/>
      <c r="AY553" s="418"/>
      <c r="AZ553" s="418"/>
      <c r="BA553" s="418"/>
    </row>
    <row r="554" spans="40:53" ht="15.75" customHeight="1">
      <c r="AN554" s="418"/>
      <c r="AO554" s="418"/>
      <c r="AP554" s="418"/>
      <c r="AQ554" s="418"/>
      <c r="AR554" s="418"/>
      <c r="AS554" s="418"/>
      <c r="AT554" s="418"/>
      <c r="AU554" s="418"/>
      <c r="AV554" s="418"/>
      <c r="AW554" s="418"/>
      <c r="AX554" s="418"/>
      <c r="AY554" s="418"/>
      <c r="AZ554" s="418"/>
      <c r="BA554" s="418"/>
    </row>
    <row r="555" spans="40:53" ht="15.75" customHeight="1">
      <c r="AN555" s="418"/>
      <c r="AO555" s="418"/>
      <c r="AP555" s="418"/>
      <c r="AQ555" s="418"/>
      <c r="AR555" s="418"/>
      <c r="AS555" s="418"/>
      <c r="AT555" s="418"/>
      <c r="AU555" s="418"/>
      <c r="AV555" s="418"/>
      <c r="AW555" s="418"/>
      <c r="AX555" s="418"/>
      <c r="AY555" s="418"/>
      <c r="AZ555" s="418"/>
      <c r="BA555" s="418"/>
    </row>
    <row r="556" spans="40:53" ht="15.75" customHeight="1">
      <c r="AN556" s="418"/>
      <c r="AO556" s="418"/>
      <c r="AP556" s="418"/>
      <c r="AQ556" s="418"/>
      <c r="AR556" s="418"/>
      <c r="AS556" s="418"/>
      <c r="AT556" s="418"/>
      <c r="AU556" s="418"/>
      <c r="AV556" s="418"/>
      <c r="AW556" s="418"/>
      <c r="AX556" s="418"/>
      <c r="AY556" s="418"/>
      <c r="AZ556" s="418"/>
      <c r="BA556" s="418"/>
    </row>
    <row r="557" spans="40:53" ht="15.75" customHeight="1">
      <c r="AN557" s="418"/>
      <c r="AO557" s="418"/>
      <c r="AP557" s="418"/>
      <c r="AQ557" s="418"/>
      <c r="AR557" s="418"/>
      <c r="AS557" s="418"/>
      <c r="AT557" s="418"/>
      <c r="AU557" s="418"/>
      <c r="AV557" s="418"/>
      <c r="AW557" s="418"/>
      <c r="AX557" s="418"/>
      <c r="AY557" s="418"/>
      <c r="AZ557" s="418"/>
      <c r="BA557" s="418"/>
    </row>
    <row r="558" spans="40:53" ht="15.75" customHeight="1">
      <c r="AN558" s="418"/>
      <c r="AO558" s="418"/>
      <c r="AP558" s="418"/>
      <c r="AQ558" s="418"/>
      <c r="AR558" s="418"/>
      <c r="AS558" s="418"/>
      <c r="AT558" s="418"/>
      <c r="AU558" s="418"/>
      <c r="AV558" s="418"/>
      <c r="AW558" s="418"/>
      <c r="AX558" s="418"/>
      <c r="AY558" s="418"/>
      <c r="AZ558" s="418"/>
      <c r="BA558" s="418"/>
    </row>
    <row r="559" spans="40:53" ht="15.75" customHeight="1">
      <c r="AN559" s="418"/>
      <c r="AO559" s="418"/>
      <c r="AP559" s="418"/>
      <c r="AQ559" s="418"/>
      <c r="AR559" s="418"/>
      <c r="AS559" s="418"/>
      <c r="AT559" s="418"/>
      <c r="AU559" s="418"/>
      <c r="AV559" s="418"/>
      <c r="AW559" s="418"/>
      <c r="AX559" s="418"/>
      <c r="AY559" s="418"/>
      <c r="AZ559" s="418"/>
      <c r="BA559" s="418"/>
    </row>
    <row r="560" spans="40:53" ht="15.75" customHeight="1">
      <c r="AN560" s="418"/>
      <c r="AO560" s="418"/>
      <c r="AP560" s="418"/>
      <c r="AQ560" s="418"/>
      <c r="AR560" s="418"/>
      <c r="AS560" s="418"/>
      <c r="AT560" s="418"/>
      <c r="AU560" s="418"/>
      <c r="AV560" s="418"/>
      <c r="AW560" s="418"/>
      <c r="AX560" s="418"/>
      <c r="AY560" s="418"/>
      <c r="AZ560" s="418"/>
      <c r="BA560" s="418"/>
    </row>
    <row r="561" spans="40:53" ht="15.75" customHeight="1">
      <c r="AN561" s="418"/>
      <c r="AO561" s="418"/>
      <c r="AP561" s="418"/>
      <c r="AQ561" s="418"/>
      <c r="AR561" s="418"/>
      <c r="AS561" s="418"/>
      <c r="AT561" s="418"/>
      <c r="AU561" s="418"/>
      <c r="AV561" s="418"/>
      <c r="AW561" s="418"/>
      <c r="AX561" s="418"/>
      <c r="AY561" s="418"/>
      <c r="AZ561" s="418"/>
      <c r="BA561" s="418"/>
    </row>
    <row r="562" spans="40:53" ht="15.75" customHeight="1">
      <c r="AN562" s="418"/>
      <c r="AO562" s="418"/>
      <c r="AP562" s="418"/>
      <c r="AQ562" s="418"/>
      <c r="AR562" s="418"/>
      <c r="AS562" s="418"/>
      <c r="AT562" s="418"/>
      <c r="AU562" s="418"/>
      <c r="AV562" s="418"/>
      <c r="AW562" s="418"/>
      <c r="AX562" s="418"/>
      <c r="AY562" s="418"/>
      <c r="AZ562" s="418"/>
      <c r="BA562" s="418"/>
    </row>
    <row r="563" spans="40:53" ht="15.75" customHeight="1">
      <c r="AN563" s="418"/>
      <c r="AO563" s="418"/>
      <c r="AP563" s="418"/>
      <c r="AQ563" s="418"/>
      <c r="AR563" s="418"/>
      <c r="AS563" s="418"/>
      <c r="AT563" s="418"/>
      <c r="AU563" s="418"/>
      <c r="AV563" s="418"/>
      <c r="AW563" s="418"/>
      <c r="AX563" s="418"/>
      <c r="AY563" s="418"/>
      <c r="AZ563" s="418"/>
      <c r="BA563" s="418"/>
    </row>
    <row r="564" spans="40:53" ht="15.75" customHeight="1">
      <c r="AN564" s="418"/>
      <c r="AO564" s="418"/>
      <c r="AP564" s="418"/>
      <c r="AQ564" s="418"/>
      <c r="AR564" s="418"/>
      <c r="AS564" s="418"/>
      <c r="AT564" s="418"/>
      <c r="AU564" s="418"/>
      <c r="AV564" s="418"/>
      <c r="AW564" s="418"/>
      <c r="AX564" s="418"/>
      <c r="AY564" s="418"/>
      <c r="AZ564" s="418"/>
      <c r="BA564" s="418"/>
    </row>
    <row r="565" spans="40:53" ht="15.75" customHeight="1">
      <c r="AN565" s="418"/>
      <c r="AO565" s="418"/>
      <c r="AP565" s="418"/>
      <c r="AQ565" s="418"/>
      <c r="AR565" s="418"/>
      <c r="AS565" s="418"/>
      <c r="AT565" s="418"/>
      <c r="AU565" s="418"/>
      <c r="AV565" s="418"/>
      <c r="AW565" s="418"/>
      <c r="AX565" s="418"/>
      <c r="AY565" s="418"/>
      <c r="AZ565" s="418"/>
      <c r="BA565" s="418"/>
    </row>
    <row r="566" spans="40:53" ht="15.75" customHeight="1">
      <c r="AN566" s="418"/>
      <c r="AO566" s="418"/>
      <c r="AP566" s="418"/>
      <c r="AQ566" s="418"/>
      <c r="AR566" s="418"/>
      <c r="AS566" s="418"/>
      <c r="AT566" s="418"/>
      <c r="AU566" s="418"/>
      <c r="AV566" s="418"/>
      <c r="AW566" s="418"/>
      <c r="AX566" s="418"/>
      <c r="AY566" s="418"/>
      <c r="AZ566" s="418"/>
      <c r="BA566" s="418"/>
    </row>
    <row r="567" spans="40:53" ht="15.75" customHeight="1">
      <c r="AN567" s="418"/>
      <c r="AO567" s="418"/>
      <c r="AP567" s="418"/>
      <c r="AQ567" s="418"/>
      <c r="AR567" s="418"/>
      <c r="AS567" s="418"/>
      <c r="AT567" s="418"/>
      <c r="AU567" s="418"/>
      <c r="AV567" s="418"/>
      <c r="AW567" s="418"/>
      <c r="AX567" s="418"/>
      <c r="AY567" s="418"/>
      <c r="AZ567" s="418"/>
      <c r="BA567" s="418"/>
    </row>
    <row r="568" spans="40:53" ht="15.75" customHeight="1">
      <c r="AN568" s="418"/>
      <c r="AO568" s="418"/>
      <c r="AP568" s="418"/>
      <c r="AQ568" s="418"/>
      <c r="AR568" s="418"/>
      <c r="AS568" s="418"/>
      <c r="AT568" s="418"/>
      <c r="AU568" s="418"/>
      <c r="AV568" s="418"/>
      <c r="AW568" s="418"/>
      <c r="AX568" s="418"/>
      <c r="AY568" s="418"/>
      <c r="AZ568" s="418"/>
      <c r="BA568" s="418"/>
    </row>
    <row r="569" spans="40:53" ht="15.75" customHeight="1">
      <c r="AN569" s="418"/>
      <c r="AO569" s="418"/>
      <c r="AP569" s="418"/>
      <c r="AQ569" s="418"/>
      <c r="AR569" s="418"/>
      <c r="AS569" s="418"/>
      <c r="AT569" s="418"/>
      <c r="AU569" s="418"/>
      <c r="AV569" s="418"/>
      <c r="AW569" s="418"/>
      <c r="AX569" s="418"/>
      <c r="AY569" s="418"/>
      <c r="AZ569" s="418"/>
      <c r="BA569" s="418"/>
    </row>
    <row r="570" spans="40:53" ht="15.75" customHeight="1">
      <c r="AN570" s="418"/>
      <c r="AO570" s="418"/>
      <c r="AP570" s="418"/>
      <c r="AQ570" s="418"/>
      <c r="AR570" s="418"/>
      <c r="AS570" s="418"/>
      <c r="AT570" s="418"/>
      <c r="AU570" s="418"/>
      <c r="AV570" s="418"/>
      <c r="AW570" s="418"/>
      <c r="AX570" s="418"/>
      <c r="AY570" s="418"/>
      <c r="AZ570" s="418"/>
      <c r="BA570" s="418"/>
    </row>
    <row r="571" spans="40:53" ht="15.75" customHeight="1">
      <c r="AN571" s="418"/>
      <c r="AO571" s="418"/>
      <c r="AP571" s="418"/>
      <c r="AQ571" s="418"/>
      <c r="AR571" s="418"/>
      <c r="AS571" s="418"/>
      <c r="AT571" s="418"/>
      <c r="AU571" s="418"/>
      <c r="AV571" s="418"/>
      <c r="AW571" s="418"/>
      <c r="AX571" s="418"/>
      <c r="AY571" s="418"/>
      <c r="AZ571" s="418"/>
      <c r="BA571" s="418"/>
    </row>
    <row r="572" spans="40:53" ht="15.75" customHeight="1">
      <c r="AN572" s="418"/>
      <c r="AO572" s="418"/>
      <c r="AP572" s="418"/>
      <c r="AQ572" s="418"/>
      <c r="AR572" s="418"/>
      <c r="AS572" s="418"/>
      <c r="AT572" s="418"/>
      <c r="AU572" s="418"/>
      <c r="AV572" s="418"/>
      <c r="AW572" s="418"/>
      <c r="AX572" s="418"/>
      <c r="AY572" s="418"/>
      <c r="AZ572" s="418"/>
      <c r="BA572" s="418"/>
    </row>
    <row r="573" spans="40:53" ht="15.75" customHeight="1">
      <c r="AN573" s="418"/>
      <c r="AO573" s="418"/>
      <c r="AP573" s="418"/>
      <c r="AQ573" s="418"/>
      <c r="AR573" s="418"/>
      <c r="AS573" s="418"/>
      <c r="AT573" s="418"/>
      <c r="AU573" s="418"/>
      <c r="AV573" s="418"/>
      <c r="AW573" s="418"/>
      <c r="AX573" s="418"/>
      <c r="AY573" s="418"/>
      <c r="AZ573" s="418"/>
      <c r="BA573" s="418"/>
    </row>
    <row r="574" spans="40:53" ht="15.75" customHeight="1">
      <c r="AN574" s="418"/>
      <c r="AO574" s="418"/>
      <c r="AP574" s="418"/>
      <c r="AQ574" s="418"/>
      <c r="AR574" s="418"/>
      <c r="AS574" s="418"/>
      <c r="AT574" s="418"/>
      <c r="AU574" s="418"/>
      <c r="AV574" s="418"/>
      <c r="AW574" s="418"/>
      <c r="AX574" s="418"/>
      <c r="AY574" s="418"/>
      <c r="AZ574" s="418"/>
      <c r="BA574" s="418"/>
    </row>
    <row r="575" spans="40:53" ht="15.75" customHeight="1">
      <c r="AN575" s="418"/>
      <c r="AO575" s="418"/>
      <c r="AP575" s="418"/>
      <c r="AQ575" s="418"/>
      <c r="AR575" s="418"/>
      <c r="AS575" s="418"/>
      <c r="AT575" s="418"/>
      <c r="AU575" s="418"/>
      <c r="AV575" s="418"/>
      <c r="AW575" s="418"/>
      <c r="AX575" s="418"/>
      <c r="AY575" s="418"/>
      <c r="AZ575" s="418"/>
      <c r="BA575" s="418"/>
    </row>
    <row r="576" spans="40:53" ht="15.75" customHeight="1">
      <c r="AN576" s="418"/>
      <c r="AO576" s="418"/>
      <c r="AP576" s="418"/>
      <c r="AQ576" s="418"/>
      <c r="AR576" s="418"/>
      <c r="AS576" s="418"/>
      <c r="AT576" s="418"/>
      <c r="AU576" s="418"/>
      <c r="AV576" s="418"/>
      <c r="AW576" s="418"/>
      <c r="AX576" s="418"/>
      <c r="AY576" s="418"/>
      <c r="AZ576" s="418"/>
      <c r="BA576" s="418"/>
    </row>
    <row r="577" spans="40:53" ht="15.75" customHeight="1">
      <c r="AN577" s="418"/>
      <c r="AO577" s="418"/>
      <c r="AP577" s="418"/>
      <c r="AQ577" s="418"/>
      <c r="AR577" s="418"/>
      <c r="AS577" s="418"/>
      <c r="AT577" s="418"/>
      <c r="AU577" s="418"/>
      <c r="AV577" s="418"/>
      <c r="AW577" s="418"/>
      <c r="AX577" s="418"/>
      <c r="AY577" s="418"/>
      <c r="AZ577" s="418"/>
      <c r="BA577" s="418"/>
    </row>
    <row r="578" spans="40:53" ht="15.75" customHeight="1">
      <c r="AN578" s="418"/>
      <c r="AO578" s="418"/>
      <c r="AP578" s="418"/>
      <c r="AQ578" s="418"/>
      <c r="AR578" s="418"/>
      <c r="AS578" s="418"/>
      <c r="AT578" s="418"/>
      <c r="AU578" s="418"/>
      <c r="AV578" s="418"/>
      <c r="AW578" s="418"/>
      <c r="AX578" s="418"/>
      <c r="AY578" s="418"/>
      <c r="AZ578" s="418"/>
      <c r="BA578" s="418"/>
    </row>
    <row r="579" spans="40:53" ht="15.75" customHeight="1">
      <c r="AN579" s="418"/>
      <c r="AO579" s="418"/>
      <c r="AP579" s="418"/>
      <c r="AQ579" s="418"/>
      <c r="AR579" s="418"/>
      <c r="AS579" s="418"/>
      <c r="AT579" s="418"/>
      <c r="AU579" s="418"/>
      <c r="AV579" s="418"/>
      <c r="AW579" s="418"/>
      <c r="AX579" s="418"/>
      <c r="AY579" s="418"/>
      <c r="AZ579" s="418"/>
      <c r="BA579" s="418"/>
    </row>
    <row r="580" spans="40:53" ht="15.75" customHeight="1">
      <c r="AN580" s="418"/>
      <c r="AO580" s="418"/>
      <c r="AP580" s="418"/>
      <c r="AQ580" s="418"/>
      <c r="AR580" s="418"/>
      <c r="AS580" s="418"/>
      <c r="AT580" s="418"/>
      <c r="AU580" s="418"/>
      <c r="AV580" s="418"/>
      <c r="AW580" s="418"/>
      <c r="AX580" s="418"/>
      <c r="AY580" s="418"/>
      <c r="AZ580" s="418"/>
      <c r="BA580" s="418"/>
    </row>
    <row r="581" spans="40:53" ht="15.75" customHeight="1">
      <c r="AN581" s="418"/>
      <c r="AO581" s="418"/>
      <c r="AP581" s="418"/>
      <c r="AQ581" s="418"/>
      <c r="AR581" s="418"/>
      <c r="AS581" s="418"/>
      <c r="AT581" s="418"/>
      <c r="AU581" s="418"/>
      <c r="AV581" s="418"/>
      <c r="AW581" s="418"/>
      <c r="AX581" s="418"/>
      <c r="AY581" s="418"/>
      <c r="AZ581" s="418"/>
      <c r="BA581" s="418"/>
    </row>
    <row r="582" spans="40:53" ht="15.75" customHeight="1">
      <c r="AN582" s="418"/>
      <c r="AO582" s="418"/>
      <c r="AP582" s="418"/>
      <c r="AQ582" s="418"/>
      <c r="AR582" s="418"/>
      <c r="AS582" s="418"/>
      <c r="AT582" s="418"/>
      <c r="AU582" s="418"/>
      <c r="AV582" s="418"/>
      <c r="AW582" s="418"/>
      <c r="AX582" s="418"/>
      <c r="AY582" s="418"/>
      <c r="AZ582" s="418"/>
      <c r="BA582" s="418"/>
    </row>
    <row r="583" spans="40:53" ht="15.75" customHeight="1">
      <c r="AN583" s="418"/>
      <c r="AO583" s="418"/>
      <c r="AP583" s="418"/>
      <c r="AQ583" s="418"/>
      <c r="AR583" s="418"/>
      <c r="AS583" s="418"/>
      <c r="AT583" s="418"/>
      <c r="AU583" s="418"/>
      <c r="AV583" s="418"/>
      <c r="AW583" s="418"/>
      <c r="AX583" s="418"/>
      <c r="AY583" s="418"/>
      <c r="AZ583" s="418"/>
      <c r="BA583" s="418"/>
    </row>
    <row r="584" spans="40:53" ht="15.75" customHeight="1">
      <c r="AN584" s="418"/>
      <c r="AO584" s="418"/>
      <c r="AP584" s="418"/>
      <c r="AQ584" s="418"/>
      <c r="AR584" s="418"/>
      <c r="AS584" s="418"/>
      <c r="AT584" s="418"/>
      <c r="AU584" s="418"/>
      <c r="AV584" s="418"/>
      <c r="AW584" s="418"/>
      <c r="AX584" s="418"/>
      <c r="AY584" s="418"/>
      <c r="AZ584" s="418"/>
      <c r="BA584" s="418"/>
    </row>
    <row r="585" spans="40:53" ht="15.75" customHeight="1">
      <c r="AN585" s="418"/>
      <c r="AO585" s="418"/>
      <c r="AP585" s="418"/>
      <c r="AQ585" s="418"/>
      <c r="AR585" s="418"/>
      <c r="AS585" s="418"/>
      <c r="AT585" s="418"/>
      <c r="AU585" s="418"/>
      <c r="AV585" s="418"/>
      <c r="AW585" s="418"/>
      <c r="AX585" s="418"/>
      <c r="AY585" s="418"/>
      <c r="AZ585" s="418"/>
      <c r="BA585" s="418"/>
    </row>
    <row r="586" spans="40:53" ht="15.75" customHeight="1">
      <c r="AN586" s="418"/>
      <c r="AO586" s="418"/>
      <c r="AP586" s="418"/>
      <c r="AQ586" s="418"/>
      <c r="AR586" s="418"/>
      <c r="AS586" s="418"/>
      <c r="AT586" s="418"/>
      <c r="AU586" s="418"/>
      <c r="AV586" s="418"/>
      <c r="AW586" s="418"/>
      <c r="AX586" s="418"/>
      <c r="AY586" s="418"/>
      <c r="AZ586" s="418"/>
      <c r="BA586" s="418"/>
    </row>
    <row r="587" spans="40:53" ht="15.75" customHeight="1">
      <c r="AN587" s="418"/>
      <c r="AO587" s="418"/>
      <c r="AP587" s="418"/>
      <c r="AQ587" s="418"/>
      <c r="AR587" s="418"/>
      <c r="AS587" s="418"/>
      <c r="AT587" s="418"/>
      <c r="AU587" s="418"/>
      <c r="AV587" s="418"/>
      <c r="AW587" s="418"/>
      <c r="AX587" s="418"/>
      <c r="AY587" s="418"/>
      <c r="AZ587" s="418"/>
      <c r="BA587" s="418"/>
    </row>
    <row r="588" spans="40:53" ht="15.75" customHeight="1">
      <c r="AN588" s="418"/>
      <c r="AO588" s="418"/>
      <c r="AP588" s="418"/>
      <c r="AQ588" s="418"/>
      <c r="AR588" s="418"/>
      <c r="AS588" s="418"/>
      <c r="AT588" s="418"/>
      <c r="AU588" s="418"/>
      <c r="AV588" s="418"/>
      <c r="AW588" s="418"/>
      <c r="AX588" s="418"/>
      <c r="AY588" s="418"/>
      <c r="AZ588" s="418"/>
      <c r="BA588" s="418"/>
    </row>
    <row r="589" spans="40:53" ht="15.75" customHeight="1">
      <c r="AN589" s="418"/>
      <c r="AO589" s="418"/>
      <c r="AP589" s="418"/>
      <c r="AQ589" s="418"/>
      <c r="AR589" s="418"/>
      <c r="AS589" s="418"/>
      <c r="AT589" s="418"/>
      <c r="AU589" s="418"/>
      <c r="AV589" s="418"/>
      <c r="AW589" s="418"/>
      <c r="AX589" s="418"/>
      <c r="AY589" s="418"/>
      <c r="AZ589" s="418"/>
      <c r="BA589" s="418"/>
    </row>
    <row r="590" spans="40:53" ht="15.75" customHeight="1">
      <c r="AN590" s="418"/>
      <c r="AO590" s="418"/>
      <c r="AP590" s="418"/>
      <c r="AQ590" s="418"/>
      <c r="AR590" s="418"/>
      <c r="AS590" s="418"/>
      <c r="AT590" s="418"/>
      <c r="AU590" s="418"/>
      <c r="AV590" s="418"/>
      <c r="AW590" s="418"/>
      <c r="AX590" s="418"/>
      <c r="AY590" s="418"/>
      <c r="AZ590" s="418"/>
      <c r="BA590" s="418"/>
    </row>
    <row r="591" spans="40:53" ht="15.75" customHeight="1">
      <c r="AN591" s="418"/>
      <c r="AO591" s="418"/>
      <c r="AP591" s="418"/>
      <c r="AQ591" s="418"/>
      <c r="AR591" s="418"/>
      <c r="AS591" s="418"/>
      <c r="AT591" s="418"/>
      <c r="AU591" s="418"/>
      <c r="AV591" s="418"/>
      <c r="AW591" s="418"/>
      <c r="AX591" s="418"/>
      <c r="AY591" s="418"/>
      <c r="AZ591" s="418"/>
      <c r="BA591" s="418"/>
    </row>
    <row r="592" spans="40:53" ht="15.75" customHeight="1">
      <c r="AN592" s="418"/>
      <c r="AO592" s="418"/>
      <c r="AP592" s="418"/>
      <c r="AQ592" s="418"/>
      <c r="AR592" s="418"/>
      <c r="AS592" s="418"/>
      <c r="AT592" s="418"/>
      <c r="AU592" s="418"/>
      <c r="AV592" s="418"/>
      <c r="AW592" s="418"/>
      <c r="AX592" s="418"/>
      <c r="AY592" s="418"/>
      <c r="AZ592" s="418"/>
      <c r="BA592" s="418"/>
    </row>
    <row r="593" spans="40:65" ht="15.75" customHeight="1">
      <c r="AN593" s="418"/>
      <c r="AO593" s="418"/>
      <c r="AP593" s="418"/>
      <c r="AQ593" s="418"/>
      <c r="AR593" s="418"/>
      <c r="AS593" s="418"/>
      <c r="AT593" s="418"/>
      <c r="AU593" s="418"/>
      <c r="AV593" s="418"/>
      <c r="AW593" s="418"/>
      <c r="AX593" s="418"/>
      <c r="AY593" s="418"/>
      <c r="AZ593" s="418"/>
      <c r="BA593" s="418"/>
    </row>
    <row r="594" spans="40:65" ht="15.75" customHeight="1">
      <c r="AN594" s="418"/>
      <c r="AO594" s="418"/>
      <c r="AP594" s="418"/>
      <c r="AQ594" s="418"/>
      <c r="AR594" s="418"/>
      <c r="AS594" s="418"/>
      <c r="AT594" s="418"/>
      <c r="AU594" s="418"/>
      <c r="AV594" s="418"/>
      <c r="AW594" s="418"/>
      <c r="AX594" s="418"/>
      <c r="AY594" s="418"/>
      <c r="AZ594" s="418"/>
      <c r="BA594" s="418"/>
    </row>
    <row r="595" spans="40:65" ht="15.75" customHeight="1">
      <c r="AN595" s="418"/>
      <c r="AO595" s="418"/>
      <c r="AP595" s="418"/>
      <c r="AQ595" s="418"/>
      <c r="AR595" s="418"/>
      <c r="AS595" s="418"/>
      <c r="AT595" s="418"/>
      <c r="AU595" s="418"/>
      <c r="AV595" s="418"/>
      <c r="AW595" s="418"/>
      <c r="AX595" s="418"/>
      <c r="AY595" s="418"/>
      <c r="AZ595" s="418"/>
      <c r="BA595" s="418"/>
    </row>
    <row r="596" spans="40:65" ht="15.75" customHeight="1">
      <c r="AN596" s="418"/>
      <c r="AO596" s="418"/>
      <c r="AP596" s="418"/>
      <c r="AQ596" s="418"/>
      <c r="AR596" s="418"/>
      <c r="AS596" s="418"/>
      <c r="AT596" s="418"/>
      <c r="AU596" s="418"/>
      <c r="AV596" s="418"/>
      <c r="AW596" s="418"/>
      <c r="AX596" s="418"/>
      <c r="AY596" s="418"/>
      <c r="AZ596" s="418"/>
      <c r="BA596" s="418"/>
    </row>
    <row r="597" spans="40:65" ht="15.75" customHeight="1">
      <c r="AN597" s="418"/>
      <c r="AO597" s="418"/>
      <c r="AP597" s="418"/>
      <c r="AQ597" s="418"/>
      <c r="AR597" s="418"/>
      <c r="AS597" s="418"/>
      <c r="AT597" s="418"/>
      <c r="AU597" s="418"/>
      <c r="AV597" s="418"/>
      <c r="AW597" s="418"/>
      <c r="AX597" s="418"/>
      <c r="AY597" s="418"/>
      <c r="AZ597" s="418"/>
      <c r="BA597" s="418"/>
    </row>
    <row r="598" spans="40:65" ht="15.75" customHeight="1">
      <c r="AN598" s="418"/>
      <c r="AO598" s="418"/>
      <c r="AP598" s="418"/>
      <c r="AQ598" s="418"/>
      <c r="AR598" s="418"/>
      <c r="AS598" s="418"/>
      <c r="AT598" s="418"/>
      <c r="AU598" s="418"/>
      <c r="AV598" s="418"/>
      <c r="AW598" s="418"/>
      <c r="AX598" s="418"/>
      <c r="AY598" s="418"/>
      <c r="AZ598" s="418"/>
      <c r="BA598" s="418"/>
    </row>
    <row r="599" spans="40:65" ht="15.75" customHeight="1">
      <c r="AN599" s="418"/>
      <c r="AO599" s="418"/>
      <c r="AP599" s="418"/>
      <c r="AQ599" s="418"/>
      <c r="AR599" s="418"/>
      <c r="AS599" s="418"/>
      <c r="AT599" s="418"/>
      <c r="AU599" s="418"/>
      <c r="AV599" s="418"/>
      <c r="AW599" s="418"/>
      <c r="AX599" s="418"/>
      <c r="AY599" s="418"/>
      <c r="AZ599" s="418"/>
      <c r="BA599" s="418"/>
    </row>
    <row r="600" spans="40:65" ht="15.75" customHeight="1">
      <c r="AN600" s="418"/>
      <c r="AO600" s="418"/>
      <c r="AP600" s="418"/>
      <c r="AQ600" s="418"/>
      <c r="AR600" s="418"/>
      <c r="AS600" s="418"/>
      <c r="AT600" s="418"/>
      <c r="AU600" s="418"/>
      <c r="AV600" s="418"/>
      <c r="AW600" s="418"/>
      <c r="AX600" s="418"/>
      <c r="AY600" s="418"/>
      <c r="AZ600" s="418"/>
      <c r="BA600" s="418"/>
    </row>
    <row r="601" spans="40:65" ht="15.75" customHeight="1">
      <c r="AN601" s="418"/>
      <c r="AO601" s="418"/>
      <c r="AP601" s="418"/>
      <c r="AQ601" s="418"/>
      <c r="AR601" s="418"/>
      <c r="AS601" s="418"/>
      <c r="AT601" s="418"/>
      <c r="AU601" s="418"/>
      <c r="AV601" s="418"/>
      <c r="AW601" s="418"/>
      <c r="AX601" s="418"/>
      <c r="AY601" s="418"/>
      <c r="AZ601" s="418"/>
      <c r="BA601" s="418"/>
    </row>
    <row r="602" spans="40:65" ht="15.75" customHeight="1">
      <c r="AN602" s="418"/>
      <c r="AO602" s="418"/>
      <c r="AP602" s="418"/>
      <c r="AQ602" s="418"/>
      <c r="AR602" s="418"/>
      <c r="AS602" s="418"/>
      <c r="AT602" s="418"/>
      <c r="AU602" s="418"/>
      <c r="AV602" s="418"/>
      <c r="AW602" s="418"/>
      <c r="AX602" s="418"/>
      <c r="AY602" s="418"/>
      <c r="AZ602" s="418"/>
      <c r="BA602" s="418"/>
    </row>
    <row r="603" spans="40:65" ht="15.75" customHeight="1">
      <c r="AN603" s="418"/>
      <c r="AO603" s="418"/>
      <c r="AP603" s="418"/>
      <c r="AQ603" s="418"/>
      <c r="AR603" s="418"/>
      <c r="AS603" s="418"/>
      <c r="AT603" s="418"/>
      <c r="AU603" s="418"/>
      <c r="AV603" s="418"/>
      <c r="AW603" s="418"/>
      <c r="AX603" s="418"/>
      <c r="AY603" s="418"/>
      <c r="AZ603" s="418"/>
      <c r="BA603" s="418"/>
      <c r="BH603" s="312"/>
    </row>
    <row r="604" spans="40:65" ht="15.75" customHeight="1">
      <c r="AN604" s="418"/>
      <c r="AO604" s="418"/>
      <c r="AP604" s="418"/>
      <c r="AQ604" s="418"/>
      <c r="AR604" s="418"/>
      <c r="AS604" s="418"/>
      <c r="AT604" s="418"/>
      <c r="AU604" s="418"/>
      <c r="AV604" s="418"/>
      <c r="AW604" s="418"/>
      <c r="AX604" s="418"/>
      <c r="AY604" s="418"/>
      <c r="AZ604" s="418"/>
      <c r="BA604" s="418"/>
    </row>
    <row r="605" spans="40:65" ht="15.75" customHeight="1">
      <c r="AN605" s="418"/>
      <c r="AO605" s="418"/>
      <c r="AP605" s="418"/>
      <c r="AQ605" s="418"/>
      <c r="AR605" s="418"/>
      <c r="AS605" s="418"/>
      <c r="AT605" s="418"/>
      <c r="AU605" s="418"/>
      <c r="AV605" s="418"/>
      <c r="AW605" s="418"/>
      <c r="AX605" s="418"/>
      <c r="AY605" s="418"/>
      <c r="AZ605" s="418"/>
      <c r="BA605" s="418"/>
      <c r="BI605" s="312"/>
      <c r="BJ605" s="312"/>
      <c r="BK605" s="312"/>
      <c r="BL605" s="312"/>
      <c r="BM605" s="312"/>
    </row>
    <row r="606" spans="40:65" ht="15.75" customHeight="1">
      <c r="AN606" s="418"/>
      <c r="AO606" s="418"/>
      <c r="AP606" s="418"/>
      <c r="AQ606" s="418"/>
      <c r="AR606" s="418"/>
      <c r="AS606" s="418"/>
      <c r="AT606" s="418"/>
      <c r="AU606" s="418"/>
      <c r="AV606" s="418"/>
      <c r="AW606" s="418"/>
      <c r="AX606" s="418"/>
      <c r="AY606" s="418"/>
      <c r="AZ606" s="418"/>
      <c r="BA606" s="418"/>
    </row>
    <row r="607" spans="40:65" ht="15.75" customHeight="1">
      <c r="AN607" s="418"/>
      <c r="AO607" s="418"/>
      <c r="AP607" s="418"/>
      <c r="AQ607" s="418"/>
      <c r="AR607" s="418"/>
      <c r="AS607" s="418"/>
      <c r="AT607" s="418"/>
      <c r="AU607" s="418"/>
      <c r="AV607" s="418"/>
      <c r="AW607" s="418"/>
      <c r="AX607" s="418"/>
      <c r="AY607" s="418"/>
      <c r="AZ607" s="418"/>
      <c r="BA607" s="418"/>
    </row>
    <row r="608" spans="40:65" ht="15.75" customHeight="1">
      <c r="AN608" s="418"/>
      <c r="AO608" s="418"/>
      <c r="AP608" s="418"/>
      <c r="AQ608" s="418"/>
      <c r="AR608" s="418"/>
      <c r="AS608" s="418"/>
      <c r="AT608" s="418"/>
      <c r="AU608" s="418"/>
      <c r="AV608" s="418"/>
      <c r="AW608" s="418"/>
      <c r="AX608" s="418"/>
      <c r="AY608" s="418"/>
      <c r="AZ608" s="418"/>
      <c r="BA608" s="418"/>
    </row>
    <row r="609" spans="40:56" ht="15.75" customHeight="1">
      <c r="AN609" s="418"/>
      <c r="AO609" s="418"/>
      <c r="AP609" s="418"/>
      <c r="AQ609" s="418"/>
      <c r="AR609" s="418"/>
      <c r="AS609" s="418"/>
      <c r="AT609" s="418"/>
      <c r="AU609" s="418"/>
      <c r="AV609" s="418"/>
      <c r="AW609" s="418"/>
      <c r="AX609" s="418"/>
      <c r="AY609" s="418"/>
      <c r="AZ609" s="418"/>
      <c r="BA609" s="418"/>
    </row>
    <row r="610" spans="40:56" ht="15.75" customHeight="1">
      <c r="AN610" s="418"/>
      <c r="AO610" s="418"/>
      <c r="AP610" s="418"/>
      <c r="AQ610" s="418"/>
      <c r="AR610" s="418"/>
      <c r="AS610" s="418"/>
      <c r="AT610" s="418"/>
      <c r="AU610" s="418"/>
      <c r="AV610" s="418"/>
      <c r="AW610" s="418"/>
      <c r="AX610" s="418"/>
      <c r="AY610" s="418"/>
      <c r="AZ610" s="418"/>
      <c r="BA610" s="418"/>
    </row>
    <row r="611" spans="40:56" ht="15.75" customHeight="1">
      <c r="AN611" s="418"/>
      <c r="AO611" s="418"/>
      <c r="AP611" s="418"/>
      <c r="AQ611" s="418"/>
      <c r="AR611" s="418"/>
      <c r="AS611" s="418"/>
      <c r="AT611" s="418"/>
      <c r="AU611" s="418"/>
      <c r="AV611" s="418"/>
      <c r="AW611" s="418"/>
      <c r="AX611" s="418"/>
      <c r="AY611" s="418"/>
      <c r="AZ611" s="418"/>
      <c r="BA611" s="418"/>
    </row>
    <row r="612" spans="40:56" ht="15.75" customHeight="1">
      <c r="AN612" s="418"/>
      <c r="AO612" s="418"/>
      <c r="AP612" s="418"/>
      <c r="AQ612" s="418"/>
      <c r="AR612" s="418"/>
      <c r="AS612" s="418"/>
      <c r="AT612" s="418"/>
      <c r="AU612" s="418"/>
      <c r="AV612" s="418"/>
      <c r="AW612" s="418"/>
      <c r="AX612" s="418"/>
      <c r="AY612" s="418"/>
      <c r="AZ612" s="418"/>
      <c r="BA612" s="418"/>
    </row>
    <row r="613" spans="40:56" ht="15.75" customHeight="1">
      <c r="AN613" s="418"/>
      <c r="AO613" s="418"/>
      <c r="AP613" s="418"/>
      <c r="AQ613" s="418"/>
      <c r="AR613" s="418"/>
      <c r="AS613" s="418"/>
      <c r="AT613" s="418"/>
      <c r="AU613" s="418"/>
      <c r="AV613" s="418"/>
      <c r="AW613" s="418"/>
      <c r="AX613" s="418"/>
      <c r="AY613" s="418"/>
      <c r="AZ613" s="418"/>
      <c r="BA613" s="418"/>
    </row>
    <row r="614" spans="40:56" ht="15.75" customHeight="1">
      <c r="AN614" s="418"/>
      <c r="AO614" s="418"/>
      <c r="AP614" s="418"/>
      <c r="AQ614" s="418"/>
      <c r="AR614" s="418"/>
      <c r="AS614" s="418"/>
      <c r="AT614" s="418"/>
      <c r="AU614" s="418"/>
      <c r="AV614" s="418"/>
      <c r="AW614" s="418"/>
      <c r="AX614" s="418"/>
      <c r="AY614" s="418"/>
      <c r="AZ614" s="418"/>
      <c r="BA614" s="418"/>
    </row>
    <row r="615" spans="40:56" ht="15.75" customHeight="1">
      <c r="AN615" s="418"/>
      <c r="AO615" s="418"/>
      <c r="AP615" s="418"/>
      <c r="AQ615" s="418"/>
      <c r="AR615" s="418"/>
      <c r="AS615" s="418"/>
      <c r="AT615" s="418"/>
      <c r="AU615" s="418"/>
      <c r="AV615" s="418"/>
      <c r="AW615" s="418"/>
      <c r="AX615" s="418"/>
      <c r="AY615" s="418"/>
      <c r="AZ615" s="418"/>
      <c r="BA615" s="418"/>
    </row>
    <row r="616" spans="40:56" ht="15.75" customHeight="1">
      <c r="AN616" s="418"/>
      <c r="AO616" s="418"/>
      <c r="AP616" s="418"/>
      <c r="AQ616" s="418"/>
      <c r="AR616" s="418"/>
      <c r="AS616" s="418"/>
      <c r="AT616" s="418"/>
      <c r="AU616" s="418"/>
      <c r="AV616" s="418"/>
      <c r="AW616" s="418"/>
      <c r="AX616" s="418"/>
      <c r="AY616" s="418"/>
      <c r="AZ616" s="418"/>
      <c r="BA616" s="418"/>
    </row>
    <row r="617" spans="40:56" ht="15.75" customHeight="1">
      <c r="AN617" s="418"/>
      <c r="AO617" s="418"/>
      <c r="AP617" s="418"/>
      <c r="AQ617" s="418"/>
      <c r="AR617" s="418"/>
      <c r="AS617" s="418"/>
      <c r="AT617" s="418"/>
      <c r="AU617" s="418"/>
      <c r="AV617" s="418"/>
      <c r="AW617" s="418"/>
      <c r="AX617" s="418"/>
      <c r="AY617" s="418"/>
      <c r="AZ617" s="418"/>
      <c r="BA617" s="418"/>
    </row>
    <row r="618" spans="40:56" ht="15.75" customHeight="1">
      <c r="AN618" s="418"/>
      <c r="AO618" s="418"/>
      <c r="AP618" s="418"/>
      <c r="AQ618" s="418"/>
      <c r="AR618" s="418"/>
      <c r="AS618" s="418"/>
      <c r="AT618" s="418"/>
      <c r="AU618" s="418"/>
      <c r="AV618" s="418"/>
      <c r="AW618" s="418"/>
      <c r="AX618" s="418"/>
      <c r="AY618" s="418"/>
      <c r="AZ618" s="418"/>
      <c r="BA618" s="418"/>
    </row>
    <row r="619" spans="40:56" ht="15.75" customHeight="1">
      <c r="AN619" s="418"/>
      <c r="AO619" s="418"/>
      <c r="AP619" s="418"/>
      <c r="AQ619" s="418"/>
      <c r="AR619" s="418"/>
      <c r="AS619" s="418"/>
      <c r="AT619" s="418"/>
      <c r="AU619" s="418"/>
      <c r="AV619" s="418"/>
      <c r="AW619" s="418"/>
      <c r="AX619" s="418"/>
      <c r="AY619" s="418"/>
      <c r="AZ619" s="418"/>
      <c r="BA619" s="418"/>
    </row>
    <row r="620" spans="40:56" ht="15.75" customHeight="1">
      <c r="AN620" s="418"/>
      <c r="AO620" s="418"/>
      <c r="AP620" s="418"/>
      <c r="AQ620" s="418"/>
      <c r="AR620" s="418"/>
      <c r="AS620" s="418"/>
      <c r="AT620" s="418"/>
      <c r="AU620" s="418"/>
      <c r="AV620" s="418"/>
      <c r="AW620" s="418"/>
      <c r="AX620" s="418"/>
      <c r="AY620" s="418"/>
      <c r="AZ620" s="418"/>
      <c r="BA620" s="418"/>
      <c r="BC620" s="312"/>
      <c r="BD620" s="312"/>
    </row>
    <row r="621" spans="40:56" ht="15.75" customHeight="1">
      <c r="AN621" s="418"/>
      <c r="AO621" s="418"/>
      <c r="AP621" s="418"/>
      <c r="AQ621" s="418"/>
      <c r="AR621" s="418"/>
      <c r="AS621" s="418"/>
      <c r="AT621" s="418"/>
      <c r="AU621" s="418"/>
      <c r="AV621" s="418"/>
      <c r="AW621" s="418"/>
      <c r="AX621" s="418"/>
      <c r="AY621" s="418"/>
      <c r="AZ621" s="418"/>
      <c r="BA621" s="418"/>
    </row>
    <row r="622" spans="40:56" ht="15.75" customHeight="1">
      <c r="AN622" s="418"/>
      <c r="AO622" s="418"/>
      <c r="AP622" s="418"/>
      <c r="AQ622" s="418"/>
      <c r="AR622" s="418"/>
      <c r="AS622" s="418"/>
      <c r="AT622" s="418"/>
      <c r="AU622" s="418"/>
      <c r="AV622" s="418"/>
      <c r="AW622" s="418"/>
      <c r="AX622" s="418"/>
      <c r="AY622" s="418"/>
      <c r="AZ622" s="418"/>
      <c r="BA622" s="418"/>
    </row>
    <row r="623" spans="40:56" ht="15.75" customHeight="1">
      <c r="AN623" s="418"/>
      <c r="AO623" s="418"/>
      <c r="AP623" s="418"/>
      <c r="AQ623" s="418"/>
      <c r="AR623" s="418"/>
      <c r="AS623" s="418"/>
      <c r="AT623" s="418"/>
      <c r="AU623" s="418"/>
      <c r="AV623" s="418"/>
      <c r="AW623" s="418"/>
      <c r="AX623" s="418"/>
      <c r="AY623" s="418"/>
      <c r="AZ623" s="418"/>
      <c r="BA623" s="418"/>
    </row>
    <row r="624" spans="40:56" ht="15.75" customHeight="1">
      <c r="AN624" s="418"/>
      <c r="AO624" s="418"/>
      <c r="AP624" s="418"/>
      <c r="AQ624" s="418"/>
      <c r="AR624" s="418"/>
      <c r="AS624" s="418"/>
      <c r="AT624" s="418"/>
      <c r="AU624" s="418"/>
      <c r="AV624" s="418"/>
      <c r="AW624" s="418"/>
      <c r="AX624" s="418"/>
      <c r="AY624" s="418"/>
      <c r="AZ624" s="418"/>
      <c r="BA624" s="418"/>
    </row>
    <row r="625" spans="40:53" ht="15.75" customHeight="1">
      <c r="AN625" s="418"/>
      <c r="AO625" s="418"/>
      <c r="AP625" s="418"/>
      <c r="AQ625" s="418"/>
      <c r="AR625" s="418"/>
      <c r="AS625" s="418"/>
      <c r="AT625" s="418"/>
      <c r="AU625" s="418"/>
      <c r="AV625" s="418"/>
      <c r="AW625" s="418"/>
      <c r="AX625" s="418"/>
      <c r="AY625" s="418"/>
      <c r="AZ625" s="418"/>
      <c r="BA625" s="418"/>
    </row>
    <row r="626" spans="40:53" ht="15.75" customHeight="1">
      <c r="AN626" s="418"/>
      <c r="AO626" s="418"/>
      <c r="AP626" s="418"/>
      <c r="AQ626" s="418"/>
      <c r="AR626" s="418"/>
      <c r="AS626" s="418"/>
      <c r="AT626" s="418"/>
      <c r="AU626" s="418"/>
      <c r="AV626" s="418"/>
      <c r="AW626" s="418"/>
      <c r="AX626" s="418"/>
      <c r="AY626" s="418"/>
      <c r="AZ626" s="418"/>
      <c r="BA626" s="418"/>
    </row>
    <row r="627" spans="40:53" ht="15.75" customHeight="1">
      <c r="AN627" s="418"/>
      <c r="AO627" s="418"/>
      <c r="AP627" s="418"/>
      <c r="AQ627" s="418"/>
      <c r="AR627" s="418"/>
      <c r="AS627" s="418"/>
      <c r="AT627" s="418"/>
      <c r="AU627" s="418"/>
      <c r="AV627" s="418"/>
      <c r="AW627" s="418"/>
      <c r="AX627" s="418"/>
      <c r="AY627" s="418"/>
      <c r="AZ627" s="418"/>
      <c r="BA627" s="418"/>
    </row>
    <row r="628" spans="40:53" ht="15.75" customHeight="1">
      <c r="AN628" s="418"/>
      <c r="AO628" s="418"/>
      <c r="AP628" s="418"/>
      <c r="AQ628" s="418"/>
      <c r="AR628" s="418"/>
      <c r="AS628" s="418"/>
      <c r="AT628" s="418"/>
      <c r="AU628" s="418"/>
      <c r="AV628" s="418"/>
      <c r="AW628" s="418"/>
      <c r="AX628" s="418"/>
      <c r="AY628" s="418"/>
      <c r="AZ628" s="418"/>
      <c r="BA628" s="418"/>
    </row>
    <row r="629" spans="40:53" ht="15.75" customHeight="1">
      <c r="AN629" s="418"/>
      <c r="AO629" s="418"/>
      <c r="AP629" s="418"/>
      <c r="AQ629" s="418"/>
      <c r="AR629" s="418"/>
      <c r="AS629" s="418"/>
      <c r="AT629" s="418"/>
      <c r="AU629" s="418"/>
      <c r="AV629" s="418"/>
      <c r="AW629" s="418"/>
      <c r="AX629" s="418"/>
      <c r="AY629" s="418"/>
      <c r="AZ629" s="418"/>
      <c r="BA629" s="418"/>
    </row>
    <row r="630" spans="40:53" ht="15.75" customHeight="1">
      <c r="AN630" s="418"/>
      <c r="AO630" s="418"/>
      <c r="AP630" s="418"/>
      <c r="AQ630" s="418"/>
      <c r="AR630" s="418"/>
      <c r="AS630" s="418"/>
      <c r="AT630" s="418"/>
      <c r="AU630" s="418"/>
      <c r="AV630" s="418"/>
      <c r="AW630" s="418"/>
      <c r="AX630" s="418"/>
      <c r="AY630" s="418"/>
      <c r="AZ630" s="418"/>
      <c r="BA630" s="418"/>
    </row>
    <row r="631" spans="40:53" ht="15.75" customHeight="1">
      <c r="AN631" s="418"/>
      <c r="AO631" s="418"/>
      <c r="AP631" s="418"/>
      <c r="AQ631" s="418"/>
      <c r="AR631" s="418"/>
      <c r="AS631" s="418"/>
      <c r="AT631" s="418"/>
      <c r="AU631" s="418"/>
      <c r="AV631" s="418"/>
      <c r="AW631" s="418"/>
      <c r="AX631" s="418"/>
      <c r="AY631" s="418"/>
      <c r="AZ631" s="418"/>
      <c r="BA631" s="418"/>
    </row>
    <row r="632" spans="40:53" ht="15.75" customHeight="1">
      <c r="AN632" s="418"/>
      <c r="AO632" s="418"/>
      <c r="AP632" s="418"/>
      <c r="AQ632" s="418"/>
      <c r="AR632" s="418"/>
      <c r="AS632" s="418"/>
      <c r="AT632" s="418"/>
      <c r="AU632" s="418"/>
      <c r="AV632" s="418"/>
      <c r="AW632" s="418"/>
      <c r="AX632" s="418"/>
      <c r="AY632" s="418"/>
      <c r="AZ632" s="418"/>
      <c r="BA632" s="418"/>
    </row>
    <row r="633" spans="40:53" ht="15.75" customHeight="1">
      <c r="AN633" s="418"/>
      <c r="AO633" s="418"/>
      <c r="AP633" s="418"/>
      <c r="AQ633" s="418"/>
      <c r="AR633" s="418"/>
      <c r="AS633" s="418"/>
      <c r="AT633" s="418"/>
      <c r="AU633" s="418"/>
      <c r="AV633" s="418"/>
      <c r="AW633" s="418"/>
      <c r="AX633" s="418"/>
      <c r="AY633" s="418"/>
      <c r="AZ633" s="418"/>
      <c r="BA633" s="418"/>
    </row>
    <row r="634" spans="40:53" ht="15.75" customHeight="1">
      <c r="AN634" s="418"/>
      <c r="AO634" s="418"/>
      <c r="AP634" s="418"/>
      <c r="AQ634" s="418"/>
      <c r="AR634" s="418"/>
      <c r="AS634" s="418"/>
      <c r="AT634" s="418"/>
      <c r="AU634" s="418"/>
      <c r="AV634" s="418"/>
      <c r="AW634" s="418"/>
      <c r="AX634" s="418"/>
      <c r="AY634" s="418"/>
      <c r="AZ634" s="418"/>
      <c r="BA634" s="418"/>
    </row>
    <row r="635" spans="40:53" ht="15.75" customHeight="1">
      <c r="AN635" s="418"/>
      <c r="AO635" s="418"/>
      <c r="AP635" s="418"/>
      <c r="AQ635" s="418"/>
      <c r="AR635" s="418"/>
      <c r="AS635" s="418"/>
      <c r="AT635" s="418"/>
      <c r="AU635" s="418"/>
      <c r="AV635" s="418"/>
      <c r="AW635" s="418"/>
      <c r="AX635" s="418"/>
      <c r="AY635" s="418"/>
      <c r="AZ635" s="418"/>
      <c r="BA635" s="418"/>
    </row>
    <row r="636" spans="40:53" ht="15.75" customHeight="1">
      <c r="AN636" s="418"/>
      <c r="AO636" s="418"/>
      <c r="AP636" s="418"/>
      <c r="AQ636" s="418"/>
      <c r="AR636" s="418"/>
      <c r="AS636" s="418"/>
      <c r="AT636" s="418"/>
      <c r="AU636" s="418"/>
      <c r="AV636" s="418"/>
      <c r="AW636" s="418"/>
      <c r="AX636" s="418"/>
      <c r="AY636" s="418"/>
      <c r="AZ636" s="418"/>
      <c r="BA636" s="418"/>
    </row>
    <row r="637" spans="40:53" ht="15.75" customHeight="1">
      <c r="AN637" s="418"/>
      <c r="AO637" s="418"/>
      <c r="AP637" s="418"/>
      <c r="AQ637" s="418"/>
      <c r="AR637" s="418"/>
      <c r="AS637" s="418"/>
      <c r="AT637" s="418"/>
      <c r="AU637" s="418"/>
      <c r="AV637" s="418"/>
      <c r="AW637" s="418"/>
      <c r="AX637" s="418"/>
      <c r="AY637" s="418"/>
      <c r="AZ637" s="418"/>
      <c r="BA637" s="418"/>
    </row>
    <row r="638" spans="40:53" ht="15.75" customHeight="1">
      <c r="AN638" s="418"/>
      <c r="AO638" s="418"/>
      <c r="AP638" s="418"/>
      <c r="AQ638" s="418"/>
      <c r="AR638" s="418"/>
      <c r="AS638" s="418"/>
      <c r="AT638" s="418"/>
      <c r="AU638" s="418"/>
      <c r="AV638" s="418"/>
      <c r="AW638" s="418"/>
      <c r="AX638" s="418"/>
      <c r="AY638" s="418"/>
      <c r="AZ638" s="418"/>
      <c r="BA638" s="418"/>
    </row>
    <row r="639" spans="40:53" ht="15.75" customHeight="1">
      <c r="AN639" s="418"/>
      <c r="AO639" s="418"/>
      <c r="AP639" s="418"/>
      <c r="AQ639" s="418"/>
      <c r="AR639" s="418"/>
      <c r="AS639" s="418"/>
      <c r="AT639" s="418"/>
      <c r="AU639" s="418"/>
      <c r="AV639" s="418"/>
      <c r="AW639" s="418"/>
      <c r="AX639" s="418"/>
      <c r="AY639" s="418"/>
      <c r="AZ639" s="418"/>
      <c r="BA639" s="418"/>
    </row>
    <row r="640" spans="40:53" ht="15.75" customHeight="1">
      <c r="AN640" s="418"/>
      <c r="AO640" s="418"/>
      <c r="AP640" s="418"/>
      <c r="AQ640" s="418"/>
      <c r="AR640" s="418"/>
      <c r="AS640" s="418"/>
      <c r="AT640" s="418"/>
      <c r="AU640" s="418"/>
      <c r="AV640" s="418"/>
      <c r="AW640" s="418"/>
      <c r="AX640" s="418"/>
      <c r="AY640" s="418"/>
      <c r="AZ640" s="418"/>
      <c r="BA640" s="418"/>
    </row>
    <row r="641" spans="40:53" ht="15.75" customHeight="1">
      <c r="AN641" s="418"/>
      <c r="AO641" s="418"/>
      <c r="AP641" s="418"/>
      <c r="AQ641" s="418"/>
      <c r="AR641" s="418"/>
      <c r="AS641" s="418"/>
      <c r="AT641" s="418"/>
      <c r="AU641" s="418"/>
      <c r="AV641" s="418"/>
      <c r="AW641" s="418"/>
      <c r="AX641" s="418"/>
      <c r="AY641" s="418"/>
      <c r="AZ641" s="418"/>
      <c r="BA641" s="418"/>
    </row>
    <row r="642" spans="40:53" ht="15.75" customHeight="1">
      <c r="AN642" s="418"/>
      <c r="AO642" s="418"/>
      <c r="AP642" s="418"/>
      <c r="AQ642" s="418"/>
      <c r="AR642" s="418"/>
      <c r="AS642" s="418"/>
      <c r="AT642" s="418"/>
      <c r="AU642" s="418"/>
      <c r="AV642" s="418"/>
      <c r="AW642" s="418"/>
      <c r="AX642" s="418"/>
      <c r="AY642" s="418"/>
      <c r="AZ642" s="418"/>
      <c r="BA642" s="418"/>
    </row>
    <row r="643" spans="40:53" ht="15.75" customHeight="1">
      <c r="AN643" s="418"/>
      <c r="AO643" s="418"/>
      <c r="AP643" s="418"/>
      <c r="AQ643" s="418"/>
      <c r="AR643" s="418"/>
      <c r="AS643" s="418"/>
      <c r="AT643" s="418"/>
      <c r="AU643" s="418"/>
      <c r="AV643" s="418"/>
      <c r="AW643" s="418"/>
      <c r="AX643" s="418"/>
      <c r="AY643" s="418"/>
      <c r="AZ643" s="418"/>
      <c r="BA643" s="418"/>
    </row>
    <row r="644" spans="40:53" ht="15.75" customHeight="1">
      <c r="AN644" s="418"/>
      <c r="AO644" s="418"/>
      <c r="AP644" s="418"/>
      <c r="AQ644" s="418"/>
      <c r="AR644" s="418"/>
      <c r="AS644" s="418"/>
      <c r="AT644" s="418"/>
      <c r="AU644" s="418"/>
      <c r="AV644" s="418"/>
      <c r="AW644" s="418"/>
      <c r="AX644" s="418"/>
      <c r="AY644" s="418"/>
      <c r="AZ644" s="418"/>
      <c r="BA644" s="418"/>
    </row>
    <row r="645" spans="40:53" ht="15.75" customHeight="1">
      <c r="AN645" s="418"/>
      <c r="AO645" s="418"/>
      <c r="AP645" s="418"/>
      <c r="AQ645" s="418"/>
      <c r="AR645" s="418"/>
      <c r="AS645" s="418"/>
      <c r="AT645" s="418"/>
      <c r="AU645" s="418"/>
      <c r="AV645" s="418"/>
      <c r="AW645" s="418"/>
      <c r="AX645" s="418"/>
      <c r="AY645" s="418"/>
      <c r="AZ645" s="418"/>
      <c r="BA645" s="418"/>
    </row>
    <row r="646" spans="40:53" ht="15.75" customHeight="1">
      <c r="AN646" s="418"/>
      <c r="AO646" s="418"/>
      <c r="AP646" s="418"/>
      <c r="AQ646" s="418"/>
      <c r="AR646" s="418"/>
      <c r="AS646" s="418"/>
      <c r="AT646" s="418"/>
      <c r="AU646" s="418"/>
      <c r="AV646" s="418"/>
      <c r="AW646" s="418"/>
      <c r="AX646" s="418"/>
      <c r="AY646" s="418"/>
      <c r="AZ646" s="418"/>
      <c r="BA646" s="418"/>
    </row>
    <row r="647" spans="40:53" ht="15.75" customHeight="1">
      <c r="AN647" s="418"/>
      <c r="AO647" s="418"/>
      <c r="AP647" s="418"/>
      <c r="AQ647" s="418"/>
      <c r="AR647" s="418"/>
      <c r="AS647" s="418"/>
      <c r="AT647" s="418"/>
      <c r="AU647" s="418"/>
      <c r="AV647" s="418"/>
      <c r="AW647" s="418"/>
      <c r="AX647" s="418"/>
      <c r="AY647" s="418"/>
      <c r="AZ647" s="418"/>
      <c r="BA647" s="418"/>
    </row>
    <row r="648" spans="40:53" ht="15.75" customHeight="1">
      <c r="AN648" s="418"/>
      <c r="AO648" s="418"/>
      <c r="AP648" s="418"/>
      <c r="AQ648" s="418"/>
      <c r="AR648" s="418"/>
      <c r="AS648" s="418"/>
      <c r="AT648" s="418"/>
      <c r="AU648" s="418"/>
      <c r="AV648" s="418"/>
      <c r="AW648" s="418"/>
      <c r="AX648" s="418"/>
      <c r="AY648" s="418"/>
      <c r="AZ648" s="418"/>
      <c r="BA648" s="418"/>
    </row>
    <row r="649" spans="40:53" ht="15.75" customHeight="1">
      <c r="AN649" s="418"/>
      <c r="AO649" s="418"/>
      <c r="AP649" s="418"/>
      <c r="AQ649" s="418"/>
      <c r="AR649" s="418"/>
      <c r="AS649" s="418"/>
      <c r="AT649" s="418"/>
      <c r="AU649" s="418"/>
      <c r="AV649" s="418"/>
      <c r="AW649" s="418"/>
      <c r="AX649" s="418"/>
      <c r="AY649" s="418"/>
      <c r="AZ649" s="418"/>
      <c r="BA649" s="418"/>
    </row>
    <row r="650" spans="40:53" ht="15.75" customHeight="1">
      <c r="AN650" s="418"/>
      <c r="AO650" s="418"/>
      <c r="AP650" s="418"/>
      <c r="AQ650" s="418"/>
      <c r="AR650" s="418"/>
      <c r="AS650" s="418"/>
      <c r="AT650" s="418"/>
      <c r="AU650" s="418"/>
      <c r="AV650" s="418"/>
      <c r="AW650" s="418"/>
      <c r="AX650" s="418"/>
      <c r="AY650" s="418"/>
      <c r="AZ650" s="418"/>
      <c r="BA650" s="418"/>
    </row>
    <row r="651" spans="40:53" ht="15.75" customHeight="1">
      <c r="AN651" s="418"/>
      <c r="AO651" s="418"/>
      <c r="AP651" s="418"/>
      <c r="AQ651" s="418"/>
      <c r="AR651" s="418"/>
      <c r="AS651" s="418"/>
      <c r="AT651" s="418"/>
      <c r="AU651" s="418"/>
      <c r="AV651" s="418"/>
      <c r="AW651" s="418"/>
      <c r="AX651" s="418"/>
      <c r="AY651" s="418"/>
      <c r="AZ651" s="418"/>
      <c r="BA651" s="418"/>
    </row>
    <row r="652" spans="40:53" ht="15.75" customHeight="1">
      <c r="AN652" s="418"/>
      <c r="AO652" s="418"/>
      <c r="AP652" s="418"/>
      <c r="AQ652" s="418"/>
      <c r="AR652" s="418"/>
      <c r="AS652" s="418"/>
      <c r="AT652" s="418"/>
      <c r="AU652" s="418"/>
      <c r="AV652" s="418"/>
      <c r="AW652" s="418"/>
      <c r="AX652" s="418"/>
      <c r="AY652" s="418"/>
      <c r="AZ652" s="418"/>
      <c r="BA652" s="418"/>
    </row>
    <row r="653" spans="40:53" ht="15.75" customHeight="1">
      <c r="AN653" s="418"/>
      <c r="AO653" s="418"/>
      <c r="AP653" s="418"/>
      <c r="AQ653" s="418"/>
      <c r="AR653" s="418"/>
      <c r="AS653" s="418"/>
      <c r="AT653" s="418"/>
      <c r="AU653" s="418"/>
      <c r="AV653" s="418"/>
      <c r="AW653" s="418"/>
      <c r="AX653" s="418"/>
      <c r="AY653" s="418"/>
      <c r="AZ653" s="418"/>
      <c r="BA653" s="418"/>
    </row>
    <row r="654" spans="40:53" ht="15.75" customHeight="1">
      <c r="AN654" s="418"/>
      <c r="AO654" s="418"/>
      <c r="AP654" s="418"/>
      <c r="AQ654" s="418"/>
      <c r="AR654" s="418"/>
      <c r="AS654" s="418"/>
      <c r="AT654" s="418"/>
      <c r="AU654" s="418"/>
      <c r="AV654" s="418"/>
      <c r="AW654" s="418"/>
      <c r="AX654" s="418"/>
      <c r="AY654" s="418"/>
      <c r="AZ654" s="418"/>
      <c r="BA654" s="418"/>
    </row>
    <row r="655" spans="40:53" ht="15.75" customHeight="1">
      <c r="AN655" s="418"/>
      <c r="AO655" s="418"/>
      <c r="AP655" s="418"/>
      <c r="AQ655" s="418"/>
      <c r="AR655" s="418"/>
      <c r="AS655" s="418"/>
      <c r="AT655" s="418"/>
      <c r="AU655" s="418"/>
      <c r="AV655" s="418"/>
      <c r="AW655" s="418"/>
      <c r="AX655" s="418"/>
      <c r="AY655" s="418"/>
      <c r="AZ655" s="418"/>
      <c r="BA655" s="418"/>
    </row>
    <row r="656" spans="40:53" ht="15.75" customHeight="1">
      <c r="AN656" s="418"/>
      <c r="AO656" s="418"/>
      <c r="AP656" s="418"/>
      <c r="AQ656" s="418"/>
      <c r="AR656" s="418"/>
      <c r="AS656" s="418"/>
      <c r="AT656" s="418"/>
      <c r="AU656" s="418"/>
      <c r="AV656" s="418"/>
      <c r="AW656" s="418"/>
      <c r="AX656" s="418"/>
      <c r="AY656" s="418"/>
      <c r="AZ656" s="418"/>
      <c r="BA656" s="418"/>
    </row>
    <row r="657" spans="40:53" ht="15.75" customHeight="1">
      <c r="AN657" s="418"/>
      <c r="AO657" s="418"/>
      <c r="AP657" s="418"/>
      <c r="AQ657" s="418"/>
      <c r="AR657" s="418"/>
      <c r="AS657" s="418"/>
      <c r="AT657" s="418"/>
      <c r="AU657" s="418"/>
      <c r="AV657" s="418"/>
      <c r="AW657" s="418"/>
      <c r="AX657" s="418"/>
      <c r="AY657" s="418"/>
      <c r="AZ657" s="418"/>
      <c r="BA657" s="418"/>
    </row>
    <row r="658" spans="40:53" ht="15.75" customHeight="1">
      <c r="AN658" s="418"/>
      <c r="AO658" s="418"/>
      <c r="AP658" s="418"/>
      <c r="AQ658" s="418"/>
      <c r="AR658" s="418"/>
      <c r="AS658" s="418"/>
      <c r="AT658" s="418"/>
      <c r="AU658" s="418"/>
      <c r="AV658" s="418"/>
      <c r="AW658" s="418"/>
      <c r="AX658" s="418"/>
      <c r="AY658" s="418"/>
      <c r="AZ658" s="418"/>
      <c r="BA658" s="418"/>
    </row>
    <row r="659" spans="40:53" ht="15.75" customHeight="1">
      <c r="AN659" s="418"/>
      <c r="AO659" s="418"/>
      <c r="AP659" s="418"/>
      <c r="AQ659" s="418"/>
      <c r="AR659" s="418"/>
      <c r="AS659" s="418"/>
      <c r="AT659" s="418"/>
      <c r="AU659" s="418"/>
      <c r="AV659" s="418"/>
      <c r="AW659" s="418"/>
      <c r="AX659" s="418"/>
      <c r="AY659" s="418"/>
      <c r="AZ659" s="418"/>
      <c r="BA659" s="418"/>
    </row>
    <row r="660" spans="40:53" ht="15.75" customHeight="1">
      <c r="AN660" s="418"/>
      <c r="AO660" s="418"/>
      <c r="AP660" s="418"/>
      <c r="AQ660" s="418"/>
      <c r="AR660" s="418"/>
      <c r="AS660" s="418"/>
      <c r="AT660" s="418"/>
      <c r="AU660" s="418"/>
      <c r="AV660" s="418"/>
      <c r="AW660" s="418"/>
      <c r="AX660" s="418"/>
      <c r="AY660" s="418"/>
      <c r="AZ660" s="418"/>
      <c r="BA660" s="418"/>
    </row>
    <row r="661" spans="40:53" ht="15.75" customHeight="1">
      <c r="AN661" s="418"/>
      <c r="AO661" s="418"/>
      <c r="AP661" s="418"/>
      <c r="AQ661" s="418"/>
      <c r="AR661" s="418"/>
      <c r="AS661" s="418"/>
      <c r="AT661" s="418"/>
      <c r="AU661" s="418"/>
      <c r="AV661" s="418"/>
      <c r="AW661" s="418"/>
      <c r="AX661" s="418"/>
      <c r="AY661" s="418"/>
      <c r="AZ661" s="418"/>
      <c r="BA661" s="418"/>
    </row>
    <row r="662" spans="40:53" ht="15.75" customHeight="1">
      <c r="AN662" s="418"/>
      <c r="AO662" s="418"/>
      <c r="AP662" s="418"/>
      <c r="AQ662" s="418"/>
      <c r="AR662" s="418"/>
      <c r="AS662" s="418"/>
      <c r="AT662" s="418"/>
      <c r="AU662" s="418"/>
      <c r="AV662" s="418"/>
      <c r="AW662" s="418"/>
      <c r="AX662" s="418"/>
      <c r="AY662" s="418"/>
      <c r="AZ662" s="418"/>
      <c r="BA662" s="418"/>
    </row>
    <row r="663" spans="40:53" ht="15.75" customHeight="1">
      <c r="AN663" s="418"/>
      <c r="AO663" s="418"/>
      <c r="AP663" s="418"/>
      <c r="AQ663" s="418"/>
      <c r="AR663" s="418"/>
      <c r="AS663" s="418"/>
      <c r="AT663" s="418"/>
      <c r="AU663" s="418"/>
      <c r="AV663" s="418"/>
      <c r="AW663" s="418"/>
      <c r="AX663" s="418"/>
      <c r="AY663" s="418"/>
      <c r="AZ663" s="418"/>
      <c r="BA663" s="418"/>
    </row>
    <row r="664" spans="40:53" ht="15.75" customHeight="1">
      <c r="AN664" s="418"/>
      <c r="AO664" s="418"/>
      <c r="AP664" s="418"/>
      <c r="AQ664" s="418"/>
      <c r="AR664" s="418"/>
      <c r="AS664" s="418"/>
      <c r="AT664" s="418"/>
      <c r="AU664" s="418"/>
      <c r="AV664" s="418"/>
      <c r="AW664" s="418"/>
      <c r="AX664" s="418"/>
      <c r="AY664" s="418"/>
      <c r="AZ664" s="418"/>
      <c r="BA664" s="418"/>
    </row>
    <row r="665" spans="40:53" ht="15.75" customHeight="1">
      <c r="AN665" s="418"/>
      <c r="AO665" s="418"/>
      <c r="AP665" s="418"/>
      <c r="AQ665" s="418"/>
      <c r="AR665" s="418"/>
      <c r="AS665" s="418"/>
      <c r="AT665" s="418"/>
      <c r="AU665" s="418"/>
      <c r="AV665" s="418"/>
      <c r="AW665" s="418"/>
      <c r="AX665" s="418"/>
      <c r="AY665" s="418"/>
      <c r="AZ665" s="418"/>
      <c r="BA665" s="418"/>
    </row>
    <row r="666" spans="40:53" ht="15.75" customHeight="1">
      <c r="AN666" s="418"/>
      <c r="AO666" s="418"/>
      <c r="AP666" s="418"/>
      <c r="AQ666" s="418"/>
      <c r="AR666" s="418"/>
      <c r="AS666" s="418"/>
      <c r="AT666" s="418"/>
      <c r="AU666" s="418"/>
      <c r="AV666" s="418"/>
      <c r="AW666" s="418"/>
      <c r="AX666" s="418"/>
      <c r="AY666" s="418"/>
      <c r="AZ666" s="418"/>
      <c r="BA666" s="418"/>
    </row>
    <row r="667" spans="40:53" ht="15.75" customHeight="1">
      <c r="AN667" s="418"/>
      <c r="AO667" s="418"/>
      <c r="AP667" s="418"/>
      <c r="AQ667" s="418"/>
      <c r="AR667" s="418"/>
      <c r="AS667" s="418"/>
      <c r="AT667" s="418"/>
      <c r="AU667" s="418"/>
      <c r="AV667" s="418"/>
      <c r="AW667" s="418"/>
      <c r="AX667" s="418"/>
      <c r="AY667" s="418"/>
      <c r="AZ667" s="418"/>
      <c r="BA667" s="418"/>
    </row>
    <row r="668" spans="40:53" ht="15.75" customHeight="1">
      <c r="AN668" s="418"/>
      <c r="AO668" s="418"/>
      <c r="AP668" s="418"/>
      <c r="AQ668" s="418"/>
      <c r="AR668" s="418"/>
      <c r="AS668" s="418"/>
      <c r="AT668" s="418"/>
      <c r="AU668" s="418"/>
      <c r="AV668" s="418"/>
      <c r="AW668" s="418"/>
      <c r="AX668" s="418"/>
      <c r="AY668" s="418"/>
      <c r="AZ668" s="418"/>
      <c r="BA668" s="418"/>
    </row>
    <row r="669" spans="40:53" ht="15.75" customHeight="1">
      <c r="AN669" s="418"/>
      <c r="AO669" s="418"/>
      <c r="AP669" s="418"/>
      <c r="AQ669" s="418"/>
      <c r="AR669" s="418"/>
      <c r="AS669" s="418"/>
      <c r="AT669" s="418"/>
      <c r="AU669" s="418"/>
      <c r="AV669" s="418"/>
      <c r="AW669" s="418"/>
      <c r="AX669" s="418"/>
      <c r="AY669" s="418"/>
      <c r="AZ669" s="418"/>
      <c r="BA669" s="418"/>
    </row>
    <row r="670" spans="40:53" ht="15.75" customHeight="1">
      <c r="AN670" s="418"/>
      <c r="AO670" s="418"/>
      <c r="AP670" s="418"/>
      <c r="AQ670" s="418"/>
      <c r="AR670" s="418"/>
      <c r="AS670" s="418"/>
      <c r="AT670" s="418"/>
      <c r="AU670" s="418"/>
      <c r="AV670" s="418"/>
      <c r="AW670" s="418"/>
      <c r="AX670" s="418"/>
      <c r="AY670" s="418"/>
      <c r="AZ670" s="418"/>
      <c r="BA670" s="418"/>
    </row>
    <row r="671" spans="40:53" ht="15.75" customHeight="1">
      <c r="AN671" s="418"/>
      <c r="AO671" s="418"/>
      <c r="AP671" s="418"/>
      <c r="AQ671" s="418"/>
      <c r="AR671" s="418"/>
      <c r="AS671" s="418"/>
      <c r="AT671" s="418"/>
      <c r="AU671" s="418"/>
      <c r="AV671" s="418"/>
      <c r="AW671" s="418"/>
      <c r="AX671" s="418"/>
      <c r="AY671" s="418"/>
      <c r="AZ671" s="418"/>
      <c r="BA671" s="418"/>
    </row>
    <row r="672" spans="40:53" ht="15.75" customHeight="1">
      <c r="AN672" s="418"/>
      <c r="AO672" s="418"/>
      <c r="AP672" s="418"/>
      <c r="AQ672" s="418"/>
      <c r="AR672" s="418"/>
      <c r="AS672" s="418"/>
      <c r="AT672" s="418"/>
      <c r="AU672" s="418"/>
      <c r="AV672" s="418"/>
      <c r="AW672" s="418"/>
      <c r="AX672" s="418"/>
      <c r="AY672" s="418"/>
      <c r="AZ672" s="418"/>
      <c r="BA672" s="418"/>
    </row>
    <row r="673" spans="40:53" ht="15.75" customHeight="1">
      <c r="AN673" s="418"/>
      <c r="AO673" s="418"/>
      <c r="AP673" s="418"/>
      <c r="AQ673" s="418"/>
      <c r="AR673" s="418"/>
      <c r="AS673" s="418"/>
      <c r="AT673" s="418"/>
      <c r="AU673" s="418"/>
      <c r="AV673" s="418"/>
      <c r="AW673" s="418"/>
      <c r="AX673" s="418"/>
      <c r="AY673" s="418"/>
      <c r="AZ673" s="418"/>
      <c r="BA673" s="418"/>
    </row>
    <row r="674" spans="40:53" ht="15.75" customHeight="1">
      <c r="AN674" s="418"/>
      <c r="AO674" s="418"/>
      <c r="AP674" s="418"/>
      <c r="AQ674" s="418"/>
      <c r="AR674" s="418"/>
      <c r="AS674" s="418"/>
      <c r="AT674" s="418"/>
      <c r="AU674" s="418"/>
      <c r="AV674" s="418"/>
      <c r="AW674" s="418"/>
      <c r="AX674" s="418"/>
      <c r="AY674" s="418"/>
      <c r="AZ674" s="418"/>
      <c r="BA674" s="418"/>
    </row>
    <row r="675" spans="40:53" ht="15.75" customHeight="1">
      <c r="AN675" s="418"/>
      <c r="AO675" s="418"/>
      <c r="AP675" s="418"/>
      <c r="AQ675" s="418"/>
      <c r="AR675" s="418"/>
      <c r="AS675" s="418"/>
      <c r="AT675" s="418"/>
      <c r="AU675" s="418"/>
      <c r="AV675" s="418"/>
      <c r="AW675" s="418"/>
      <c r="AX675" s="418"/>
      <c r="AY675" s="418"/>
      <c r="AZ675" s="418"/>
      <c r="BA675" s="418"/>
    </row>
    <row r="676" spans="40:53" ht="15.75" customHeight="1">
      <c r="AN676" s="418"/>
      <c r="AO676" s="418"/>
      <c r="AP676" s="418"/>
      <c r="AQ676" s="418"/>
      <c r="AR676" s="418"/>
      <c r="AS676" s="418"/>
      <c r="AT676" s="418"/>
      <c r="AU676" s="418"/>
      <c r="AV676" s="418"/>
      <c r="AW676" s="418"/>
      <c r="AX676" s="418"/>
      <c r="AY676" s="418"/>
      <c r="AZ676" s="418"/>
      <c r="BA676" s="418"/>
    </row>
    <row r="677" spans="40:53" ht="15.75" customHeight="1">
      <c r="AN677" s="418"/>
      <c r="AO677" s="418"/>
      <c r="AP677" s="418"/>
      <c r="AQ677" s="418"/>
      <c r="AR677" s="418"/>
      <c r="AS677" s="418"/>
      <c r="AT677" s="418"/>
      <c r="AU677" s="418"/>
      <c r="AV677" s="418"/>
      <c r="AW677" s="418"/>
      <c r="AX677" s="418"/>
      <c r="AY677" s="418"/>
      <c r="AZ677" s="418"/>
      <c r="BA677" s="418"/>
    </row>
    <row r="678" spans="40:53" ht="15.75" customHeight="1">
      <c r="AN678" s="418"/>
      <c r="AO678" s="418"/>
      <c r="AP678" s="418"/>
      <c r="AQ678" s="418"/>
      <c r="AR678" s="418"/>
      <c r="AS678" s="418"/>
      <c r="AT678" s="418"/>
      <c r="AU678" s="418"/>
      <c r="AV678" s="418"/>
      <c r="AW678" s="418"/>
      <c r="AX678" s="418"/>
      <c r="AY678" s="418"/>
      <c r="AZ678" s="418"/>
      <c r="BA678" s="418"/>
    </row>
    <row r="679" spans="40:53" ht="15.75" customHeight="1">
      <c r="AN679" s="418"/>
      <c r="AO679" s="418"/>
      <c r="AP679" s="418"/>
      <c r="AQ679" s="418"/>
      <c r="AR679" s="418"/>
      <c r="AS679" s="418"/>
      <c r="AT679" s="418"/>
      <c r="AU679" s="418"/>
      <c r="AV679" s="418"/>
      <c r="AW679" s="418"/>
      <c r="AX679" s="418"/>
      <c r="AY679" s="418"/>
      <c r="AZ679" s="418"/>
      <c r="BA679" s="418"/>
    </row>
    <row r="680" spans="40:53" ht="15.75" customHeight="1">
      <c r="AN680" s="418"/>
      <c r="AO680" s="418"/>
      <c r="AP680" s="418"/>
      <c r="AQ680" s="418"/>
      <c r="AR680" s="418"/>
      <c r="AS680" s="418"/>
      <c r="AT680" s="418"/>
      <c r="AU680" s="418"/>
      <c r="AV680" s="418"/>
      <c r="AW680" s="418"/>
      <c r="AX680" s="418"/>
      <c r="AY680" s="418"/>
      <c r="AZ680" s="418"/>
      <c r="BA680" s="418"/>
    </row>
    <row r="681" spans="40:53" ht="15.75" customHeight="1">
      <c r="AN681" s="418"/>
      <c r="AO681" s="418"/>
      <c r="AP681" s="418"/>
      <c r="AQ681" s="418"/>
      <c r="AR681" s="418"/>
      <c r="AS681" s="418"/>
      <c r="AT681" s="418"/>
      <c r="AU681" s="418"/>
      <c r="AV681" s="418"/>
      <c r="AW681" s="418"/>
      <c r="AX681" s="418"/>
      <c r="AY681" s="418"/>
      <c r="AZ681" s="418"/>
      <c r="BA681" s="418"/>
    </row>
    <row r="682" spans="40:53" ht="15.75" customHeight="1">
      <c r="AN682" s="418"/>
      <c r="AO682" s="418"/>
      <c r="AP682" s="418"/>
      <c r="AQ682" s="418"/>
      <c r="AR682" s="418"/>
      <c r="AS682" s="418"/>
      <c r="AT682" s="418"/>
      <c r="AU682" s="418"/>
      <c r="AV682" s="418"/>
      <c r="AW682" s="418"/>
      <c r="AX682" s="418"/>
      <c r="AY682" s="418"/>
      <c r="AZ682" s="418"/>
      <c r="BA682" s="418"/>
    </row>
    <row r="683" spans="40:53" ht="15.75" customHeight="1">
      <c r="AN683" s="418"/>
      <c r="AO683" s="418"/>
      <c r="AP683" s="418"/>
      <c r="AQ683" s="418"/>
      <c r="AR683" s="418"/>
      <c r="AS683" s="418"/>
      <c r="AT683" s="418"/>
      <c r="AU683" s="418"/>
      <c r="AV683" s="418"/>
      <c r="AW683" s="418"/>
      <c r="AX683" s="418"/>
      <c r="AY683" s="418"/>
      <c r="AZ683" s="418"/>
      <c r="BA683" s="418"/>
    </row>
    <row r="684" spans="40:53" ht="15.75" customHeight="1">
      <c r="AN684" s="418"/>
      <c r="AO684" s="418"/>
      <c r="AP684" s="418"/>
      <c r="AQ684" s="418"/>
      <c r="AR684" s="418"/>
      <c r="AS684" s="418"/>
      <c r="AT684" s="418"/>
      <c r="AU684" s="418"/>
      <c r="AV684" s="418"/>
      <c r="AW684" s="418"/>
      <c r="AX684" s="418"/>
      <c r="AY684" s="418"/>
      <c r="AZ684" s="418"/>
      <c r="BA684" s="418"/>
    </row>
    <row r="685" spans="40:53" ht="15.75" customHeight="1">
      <c r="AN685" s="418"/>
      <c r="AO685" s="418"/>
      <c r="AP685" s="418"/>
      <c r="AQ685" s="418"/>
      <c r="AR685" s="418"/>
      <c r="AS685" s="418"/>
      <c r="AT685" s="418"/>
      <c r="AU685" s="418"/>
      <c r="AV685" s="418"/>
      <c r="AW685" s="418"/>
      <c r="AX685" s="418"/>
      <c r="AY685" s="418"/>
      <c r="AZ685" s="418"/>
      <c r="BA685" s="418"/>
    </row>
    <row r="686" spans="40:53" ht="15.75" customHeight="1">
      <c r="AN686" s="418"/>
      <c r="AO686" s="418"/>
      <c r="AP686" s="418"/>
      <c r="AQ686" s="418"/>
      <c r="AR686" s="418"/>
      <c r="AS686" s="418"/>
      <c r="AT686" s="418"/>
      <c r="AU686" s="418"/>
      <c r="AV686" s="418"/>
      <c r="AW686" s="418"/>
      <c r="AX686" s="418"/>
      <c r="AY686" s="418"/>
      <c r="AZ686" s="418"/>
      <c r="BA686" s="418"/>
    </row>
    <row r="687" spans="40:53" ht="15.75" customHeight="1">
      <c r="AN687" s="418"/>
      <c r="AO687" s="418"/>
      <c r="AP687" s="418"/>
      <c r="AQ687" s="418"/>
      <c r="AR687" s="418"/>
      <c r="AS687" s="418"/>
      <c r="AT687" s="418"/>
      <c r="AU687" s="418"/>
      <c r="AV687" s="418"/>
      <c r="AW687" s="418"/>
      <c r="AX687" s="418"/>
      <c r="AY687" s="418"/>
      <c r="AZ687" s="418"/>
      <c r="BA687" s="418"/>
    </row>
    <row r="688" spans="40:53" ht="15.75" customHeight="1">
      <c r="AN688" s="418"/>
      <c r="AO688" s="418"/>
      <c r="AP688" s="418"/>
      <c r="AQ688" s="418"/>
      <c r="AR688" s="418"/>
      <c r="AS688" s="418"/>
      <c r="AT688" s="418"/>
      <c r="AU688" s="418"/>
      <c r="AV688" s="418"/>
      <c r="AW688" s="418"/>
      <c r="AX688" s="418"/>
      <c r="AY688" s="418"/>
      <c r="AZ688" s="418"/>
      <c r="BA688" s="418"/>
    </row>
    <row r="689" spans="40:53" ht="15.75" customHeight="1">
      <c r="AN689" s="418"/>
      <c r="AO689" s="418"/>
      <c r="AP689" s="418"/>
      <c r="AQ689" s="418"/>
      <c r="AR689" s="418"/>
      <c r="AS689" s="418"/>
      <c r="AT689" s="418"/>
      <c r="AU689" s="418"/>
      <c r="AV689" s="418"/>
      <c r="AW689" s="418"/>
      <c r="AX689" s="418"/>
      <c r="AY689" s="418"/>
      <c r="AZ689" s="418"/>
      <c r="BA689" s="418"/>
    </row>
    <row r="690" spans="40:53" ht="15.75" customHeight="1">
      <c r="AN690" s="418"/>
      <c r="AO690" s="418"/>
      <c r="AP690" s="418"/>
      <c r="AQ690" s="418"/>
      <c r="AR690" s="418"/>
      <c r="AS690" s="418"/>
      <c r="AT690" s="418"/>
      <c r="AU690" s="418"/>
      <c r="AV690" s="418"/>
      <c r="AW690" s="418"/>
      <c r="AX690" s="418"/>
      <c r="AY690" s="418"/>
      <c r="AZ690" s="418"/>
      <c r="BA690" s="418"/>
    </row>
    <row r="691" spans="40:53" ht="15.75" customHeight="1">
      <c r="AN691" s="418"/>
      <c r="AO691" s="418"/>
      <c r="AP691" s="418"/>
      <c r="AQ691" s="418"/>
      <c r="AR691" s="418"/>
      <c r="AS691" s="418"/>
      <c r="AT691" s="418"/>
      <c r="AU691" s="418"/>
      <c r="AV691" s="418"/>
      <c r="AW691" s="418"/>
      <c r="AX691" s="418"/>
      <c r="AY691" s="418"/>
      <c r="AZ691" s="418"/>
      <c r="BA691" s="418"/>
    </row>
    <row r="692" spans="40:53" ht="15.75" customHeight="1">
      <c r="AN692" s="418"/>
      <c r="AO692" s="418"/>
      <c r="AP692" s="418"/>
      <c r="AQ692" s="418"/>
      <c r="AR692" s="418"/>
      <c r="AS692" s="418"/>
      <c r="AT692" s="418"/>
      <c r="AU692" s="418"/>
      <c r="AV692" s="418"/>
      <c r="AW692" s="418"/>
      <c r="AX692" s="418"/>
      <c r="AY692" s="418"/>
      <c r="AZ692" s="418"/>
      <c r="BA692" s="418"/>
    </row>
    <row r="693" spans="40:53" ht="15.75" customHeight="1">
      <c r="AN693" s="418"/>
      <c r="AO693" s="418"/>
      <c r="AP693" s="418"/>
      <c r="AQ693" s="418"/>
      <c r="AR693" s="418"/>
      <c r="AS693" s="418"/>
      <c r="AT693" s="418"/>
      <c r="AU693" s="418"/>
      <c r="AV693" s="418"/>
      <c r="AW693" s="418"/>
      <c r="AX693" s="418"/>
      <c r="AY693" s="418"/>
      <c r="AZ693" s="418"/>
      <c r="BA693" s="418"/>
    </row>
    <row r="694" spans="40:53" ht="15.75" customHeight="1">
      <c r="AN694" s="418"/>
      <c r="AO694" s="418"/>
      <c r="AP694" s="418"/>
      <c r="AQ694" s="418"/>
      <c r="AR694" s="418"/>
      <c r="AS694" s="418"/>
      <c r="AT694" s="418"/>
      <c r="AU694" s="418"/>
      <c r="AV694" s="418"/>
      <c r="AW694" s="418"/>
      <c r="AX694" s="418"/>
      <c r="AY694" s="418"/>
      <c r="AZ694" s="418"/>
      <c r="BA694" s="418"/>
    </row>
    <row r="695" spans="40:53" ht="15.75" customHeight="1">
      <c r="AN695" s="418"/>
      <c r="AO695" s="418"/>
      <c r="AP695" s="418"/>
      <c r="AQ695" s="418"/>
      <c r="AR695" s="418"/>
      <c r="AS695" s="418"/>
      <c r="AT695" s="418"/>
      <c r="AU695" s="418"/>
      <c r="AV695" s="418"/>
      <c r="AW695" s="418"/>
      <c r="AX695" s="418"/>
      <c r="AY695" s="418"/>
      <c r="AZ695" s="418"/>
      <c r="BA695" s="418"/>
    </row>
    <row r="696" spans="40:53" ht="15.75" customHeight="1">
      <c r="AN696" s="418"/>
      <c r="AO696" s="418"/>
      <c r="AP696" s="418"/>
      <c r="AQ696" s="418"/>
      <c r="AR696" s="418"/>
      <c r="AS696" s="418"/>
      <c r="AT696" s="418"/>
      <c r="AU696" s="418"/>
      <c r="AV696" s="418"/>
      <c r="AW696" s="418"/>
      <c r="AX696" s="418"/>
      <c r="AY696" s="418"/>
      <c r="AZ696" s="418"/>
      <c r="BA696" s="418"/>
    </row>
    <row r="697" spans="40:53" ht="15.75" customHeight="1">
      <c r="AN697" s="418"/>
      <c r="AO697" s="418"/>
      <c r="AP697" s="418"/>
      <c r="AQ697" s="418"/>
      <c r="AR697" s="418"/>
      <c r="AS697" s="418"/>
      <c r="AT697" s="418"/>
      <c r="AU697" s="418"/>
      <c r="AV697" s="418"/>
      <c r="AW697" s="418"/>
      <c r="AX697" s="418"/>
      <c r="AY697" s="418"/>
      <c r="AZ697" s="418"/>
      <c r="BA697" s="418"/>
    </row>
    <row r="698" spans="40:53" ht="15.75" customHeight="1">
      <c r="AN698" s="418"/>
      <c r="AO698" s="418"/>
      <c r="AP698" s="418"/>
      <c r="AQ698" s="418"/>
      <c r="AR698" s="418"/>
      <c r="AS698" s="418"/>
      <c r="AT698" s="418"/>
      <c r="AU698" s="418"/>
      <c r="AV698" s="418"/>
      <c r="AW698" s="418"/>
      <c r="AX698" s="418"/>
      <c r="AY698" s="418"/>
      <c r="AZ698" s="418"/>
      <c r="BA698" s="418"/>
    </row>
    <row r="699" spans="40:53" ht="15.75" customHeight="1">
      <c r="AN699" s="418"/>
      <c r="AO699" s="418"/>
      <c r="AP699" s="418"/>
      <c r="AQ699" s="418"/>
      <c r="AR699" s="418"/>
      <c r="AS699" s="418"/>
      <c r="AT699" s="418"/>
      <c r="AU699" s="418"/>
      <c r="AV699" s="418"/>
      <c r="AW699" s="418"/>
      <c r="AX699" s="418"/>
      <c r="AY699" s="418"/>
      <c r="AZ699" s="418"/>
      <c r="BA699" s="418"/>
    </row>
    <row r="700" spans="40:53" ht="15.75" customHeight="1">
      <c r="AN700" s="418"/>
      <c r="AO700" s="418"/>
      <c r="AP700" s="418"/>
      <c r="AQ700" s="418"/>
      <c r="AR700" s="418"/>
      <c r="AS700" s="418"/>
      <c r="AT700" s="418"/>
      <c r="AU700" s="418"/>
      <c r="AV700" s="418"/>
      <c r="AW700" s="418"/>
      <c r="AX700" s="418"/>
      <c r="AY700" s="418"/>
      <c r="AZ700" s="418"/>
      <c r="BA700" s="418"/>
    </row>
    <row r="701" spans="40:53" ht="15.75" customHeight="1">
      <c r="AN701" s="418"/>
      <c r="AO701" s="418"/>
      <c r="AP701" s="418"/>
      <c r="AQ701" s="418"/>
      <c r="AR701" s="418"/>
      <c r="AS701" s="418"/>
      <c r="AT701" s="418"/>
      <c r="AU701" s="418"/>
      <c r="AV701" s="418"/>
      <c r="AW701" s="418"/>
      <c r="AX701" s="418"/>
      <c r="AY701" s="418"/>
      <c r="AZ701" s="418"/>
      <c r="BA701" s="418"/>
    </row>
    <row r="702" spans="40:53" ht="15.75" customHeight="1">
      <c r="AN702" s="418"/>
      <c r="AO702" s="418"/>
      <c r="AP702" s="418"/>
      <c r="AQ702" s="418"/>
      <c r="AR702" s="418"/>
      <c r="AS702" s="418"/>
      <c r="AT702" s="418"/>
      <c r="AU702" s="418"/>
      <c r="AV702" s="418"/>
      <c r="AW702" s="418"/>
      <c r="AX702" s="418"/>
      <c r="AY702" s="418"/>
      <c r="AZ702" s="418"/>
      <c r="BA702" s="418"/>
    </row>
    <row r="703" spans="40:53" ht="15.75" customHeight="1">
      <c r="AN703" s="418"/>
      <c r="AO703" s="418"/>
      <c r="AP703" s="418"/>
      <c r="AQ703" s="418"/>
      <c r="AR703" s="418"/>
      <c r="AS703" s="418"/>
      <c r="AT703" s="418"/>
      <c r="AU703" s="418"/>
      <c r="AV703" s="418"/>
      <c r="AW703" s="418"/>
      <c r="AX703" s="418"/>
      <c r="AY703" s="418"/>
      <c r="AZ703" s="418"/>
      <c r="BA703" s="418"/>
    </row>
    <row r="704" spans="40:53" ht="15.75" customHeight="1">
      <c r="AN704" s="418"/>
      <c r="AO704" s="418"/>
      <c r="AP704" s="418"/>
      <c r="AQ704" s="418"/>
      <c r="AR704" s="418"/>
      <c r="AS704" s="418"/>
      <c r="AT704" s="418"/>
      <c r="AU704" s="418"/>
      <c r="AV704" s="418"/>
      <c r="AW704" s="418"/>
      <c r="AX704" s="418"/>
      <c r="AY704" s="418"/>
      <c r="AZ704" s="418"/>
      <c r="BA704" s="418"/>
    </row>
    <row r="705" spans="40:53" ht="15.75" customHeight="1">
      <c r="AN705" s="418"/>
      <c r="AO705" s="418"/>
      <c r="AP705" s="418"/>
      <c r="AQ705" s="418"/>
      <c r="AR705" s="418"/>
      <c r="AS705" s="418"/>
      <c r="AT705" s="418"/>
      <c r="AU705" s="418"/>
      <c r="AV705" s="418"/>
      <c r="AW705" s="418"/>
      <c r="AX705" s="418"/>
      <c r="AY705" s="418"/>
      <c r="AZ705" s="418"/>
      <c r="BA705" s="418"/>
    </row>
    <row r="706" spans="40:53" ht="15.75" customHeight="1">
      <c r="AN706" s="418"/>
      <c r="AO706" s="418"/>
      <c r="AP706" s="418"/>
      <c r="AQ706" s="418"/>
      <c r="AR706" s="418"/>
      <c r="AS706" s="418"/>
      <c r="AT706" s="418"/>
      <c r="AU706" s="418"/>
      <c r="AV706" s="418"/>
      <c r="AW706" s="418"/>
      <c r="AX706" s="418"/>
      <c r="AY706" s="418"/>
      <c r="AZ706" s="418"/>
      <c r="BA706" s="418"/>
    </row>
    <row r="707" spans="40:53" ht="15.75" customHeight="1">
      <c r="AN707" s="418"/>
      <c r="AO707" s="418"/>
      <c r="AP707" s="418"/>
      <c r="AQ707" s="418"/>
      <c r="AR707" s="418"/>
      <c r="AS707" s="418"/>
      <c r="AT707" s="418"/>
      <c r="AU707" s="418"/>
      <c r="AV707" s="418"/>
      <c r="AW707" s="418"/>
      <c r="AX707" s="418"/>
      <c r="AY707" s="418"/>
      <c r="AZ707" s="418"/>
      <c r="BA707" s="418"/>
    </row>
    <row r="708" spans="40:53" ht="15.75" customHeight="1">
      <c r="AN708" s="418"/>
      <c r="AO708" s="418"/>
      <c r="AP708" s="418"/>
      <c r="AQ708" s="418"/>
      <c r="AR708" s="418"/>
      <c r="AS708" s="418"/>
      <c r="AT708" s="418"/>
      <c r="AU708" s="418"/>
      <c r="AV708" s="418"/>
      <c r="AW708" s="418"/>
      <c r="AX708" s="418"/>
      <c r="AY708" s="418"/>
      <c r="AZ708" s="418"/>
      <c r="BA708" s="418"/>
    </row>
    <row r="709" spans="40:53" ht="15.75" customHeight="1">
      <c r="AN709" s="418"/>
      <c r="AO709" s="418"/>
      <c r="AP709" s="418"/>
      <c r="AQ709" s="418"/>
      <c r="AR709" s="418"/>
      <c r="AS709" s="418"/>
      <c r="AT709" s="418"/>
      <c r="AU709" s="418"/>
      <c r="AV709" s="418"/>
      <c r="AW709" s="418"/>
      <c r="AX709" s="418"/>
      <c r="AY709" s="418"/>
      <c r="AZ709" s="418"/>
      <c r="BA709" s="418"/>
    </row>
    <row r="710" spans="40:53" ht="15.75" customHeight="1">
      <c r="AN710" s="418"/>
      <c r="AO710" s="418"/>
      <c r="AP710" s="418"/>
      <c r="AQ710" s="418"/>
      <c r="AR710" s="418"/>
      <c r="AS710" s="418"/>
      <c r="AT710" s="418"/>
      <c r="AU710" s="418"/>
      <c r="AV710" s="418"/>
      <c r="AW710" s="418"/>
      <c r="AX710" s="418"/>
      <c r="AY710" s="418"/>
      <c r="AZ710" s="418"/>
      <c r="BA710" s="418"/>
    </row>
    <row r="711" spans="40:53" ht="15.75" customHeight="1">
      <c r="AN711" s="418"/>
      <c r="AO711" s="418"/>
      <c r="AP711" s="418"/>
      <c r="AQ711" s="418"/>
      <c r="AR711" s="418"/>
      <c r="AS711" s="418"/>
      <c r="AT711" s="418"/>
      <c r="AU711" s="418"/>
      <c r="AV711" s="418"/>
      <c r="AW711" s="418"/>
      <c r="AX711" s="418"/>
      <c r="AY711" s="418"/>
      <c r="AZ711" s="418"/>
      <c r="BA711" s="418"/>
    </row>
    <row r="712" spans="40:53" ht="15.75" customHeight="1">
      <c r="AN712" s="418"/>
      <c r="AO712" s="418"/>
      <c r="AP712" s="418"/>
      <c r="AQ712" s="418"/>
      <c r="AR712" s="418"/>
      <c r="AS712" s="418"/>
      <c r="AT712" s="418"/>
      <c r="AU712" s="418"/>
      <c r="AV712" s="418"/>
      <c r="AW712" s="418"/>
      <c r="AX712" s="418"/>
      <c r="AY712" s="418"/>
      <c r="AZ712" s="418"/>
      <c r="BA712" s="418"/>
    </row>
    <row r="713" spans="40:53" ht="15.75" customHeight="1">
      <c r="AN713" s="418"/>
      <c r="AO713" s="418"/>
      <c r="AP713" s="418"/>
      <c r="AQ713" s="418"/>
      <c r="AR713" s="418"/>
      <c r="AS713" s="418"/>
      <c r="AT713" s="418"/>
      <c r="AU713" s="418"/>
      <c r="AV713" s="418"/>
      <c r="AW713" s="418"/>
      <c r="AX713" s="418"/>
      <c r="AY713" s="418"/>
      <c r="AZ713" s="418"/>
      <c r="BA713" s="418"/>
    </row>
    <row r="714" spans="40:53" ht="15.75" customHeight="1">
      <c r="AN714" s="418"/>
      <c r="AO714" s="418"/>
      <c r="AP714" s="418"/>
      <c r="AQ714" s="418"/>
      <c r="AR714" s="418"/>
      <c r="AS714" s="418"/>
      <c r="AT714" s="418"/>
      <c r="AU714" s="418"/>
      <c r="AV714" s="418"/>
      <c r="AW714" s="418"/>
      <c r="AX714" s="418"/>
      <c r="AY714" s="418"/>
      <c r="AZ714" s="418"/>
      <c r="BA714" s="418"/>
    </row>
    <row r="715" spans="40:53" ht="15.75" customHeight="1">
      <c r="AN715" s="418"/>
      <c r="AO715" s="418"/>
      <c r="AP715" s="418"/>
      <c r="AQ715" s="418"/>
      <c r="AR715" s="418"/>
      <c r="AS715" s="418"/>
      <c r="AT715" s="418"/>
      <c r="AU715" s="418"/>
      <c r="AV715" s="418"/>
      <c r="AW715" s="418"/>
      <c r="AX715" s="418"/>
      <c r="AY715" s="418"/>
      <c r="AZ715" s="418"/>
      <c r="BA715" s="418"/>
    </row>
    <row r="716" spans="40:53" ht="15.75" customHeight="1">
      <c r="AN716" s="418"/>
      <c r="AO716" s="418"/>
      <c r="AP716" s="418"/>
      <c r="AQ716" s="418"/>
      <c r="AR716" s="418"/>
      <c r="AS716" s="418"/>
      <c r="AT716" s="418"/>
      <c r="AU716" s="418"/>
      <c r="AV716" s="418"/>
      <c r="AW716" s="418"/>
      <c r="AX716" s="418"/>
      <c r="AY716" s="418"/>
      <c r="AZ716" s="418"/>
      <c r="BA716" s="418"/>
    </row>
    <row r="717" spans="40:53" ht="15.75" customHeight="1">
      <c r="AN717" s="418"/>
      <c r="AO717" s="418"/>
      <c r="AP717" s="418"/>
      <c r="AQ717" s="418"/>
      <c r="AR717" s="418"/>
      <c r="AS717" s="418"/>
      <c r="AT717" s="418"/>
      <c r="AU717" s="418"/>
      <c r="AV717" s="418"/>
      <c r="AW717" s="418"/>
      <c r="AX717" s="418"/>
      <c r="AY717" s="418"/>
      <c r="AZ717" s="418"/>
      <c r="BA717" s="418"/>
    </row>
    <row r="718" spans="40:53" ht="15.75" customHeight="1">
      <c r="AN718" s="418"/>
      <c r="AO718" s="418"/>
      <c r="AP718" s="418"/>
      <c r="AQ718" s="418"/>
      <c r="AR718" s="418"/>
      <c r="AS718" s="418"/>
      <c r="AT718" s="418"/>
      <c r="AU718" s="418"/>
      <c r="AV718" s="418"/>
      <c r="AW718" s="418"/>
      <c r="AX718" s="418"/>
      <c r="AY718" s="418"/>
      <c r="AZ718" s="418"/>
      <c r="BA718" s="418"/>
    </row>
    <row r="719" spans="40:53" ht="15.75" customHeight="1">
      <c r="AN719" s="418"/>
      <c r="AO719" s="418"/>
      <c r="AP719" s="418"/>
      <c r="AQ719" s="418"/>
      <c r="AR719" s="418"/>
      <c r="AS719" s="418"/>
      <c r="AT719" s="418"/>
      <c r="AU719" s="418"/>
      <c r="AV719" s="418"/>
      <c r="AW719" s="418"/>
      <c r="AX719" s="418"/>
      <c r="AY719" s="418"/>
      <c r="AZ719" s="418"/>
      <c r="BA719" s="418"/>
    </row>
    <row r="720" spans="40:53" ht="15.75" customHeight="1">
      <c r="AN720" s="418"/>
      <c r="AO720" s="418"/>
      <c r="AP720" s="418"/>
      <c r="AQ720" s="418"/>
      <c r="AR720" s="418"/>
      <c r="AS720" s="418"/>
      <c r="AT720" s="418"/>
      <c r="AU720" s="418"/>
      <c r="AV720" s="418"/>
      <c r="AW720" s="418"/>
      <c r="AX720" s="418"/>
      <c r="AY720" s="418"/>
      <c r="AZ720" s="418"/>
      <c r="BA720" s="418"/>
    </row>
    <row r="721" spans="40:53" ht="15.75" customHeight="1">
      <c r="AN721" s="418"/>
      <c r="AO721" s="418"/>
      <c r="AP721" s="418"/>
      <c r="AQ721" s="418"/>
      <c r="AR721" s="418"/>
      <c r="AS721" s="418"/>
      <c r="AT721" s="418"/>
      <c r="AU721" s="418"/>
      <c r="AV721" s="418"/>
      <c r="AW721" s="418"/>
      <c r="AX721" s="418"/>
      <c r="AY721" s="418"/>
      <c r="AZ721" s="418"/>
      <c r="BA721" s="418"/>
    </row>
    <row r="722" spans="40:53" ht="15.75" customHeight="1">
      <c r="AN722" s="418"/>
      <c r="AO722" s="418"/>
      <c r="AP722" s="418"/>
      <c r="AQ722" s="418"/>
      <c r="AR722" s="418"/>
      <c r="AS722" s="418"/>
      <c r="AT722" s="418"/>
      <c r="AU722" s="418"/>
      <c r="AV722" s="418"/>
      <c r="AW722" s="418"/>
      <c r="AX722" s="418"/>
      <c r="AY722" s="418"/>
      <c r="AZ722" s="418"/>
      <c r="BA722" s="418"/>
    </row>
    <row r="723" spans="40:53" ht="15.75" customHeight="1">
      <c r="AN723" s="418"/>
      <c r="AO723" s="418"/>
      <c r="AP723" s="418"/>
      <c r="AQ723" s="418"/>
      <c r="AR723" s="418"/>
      <c r="AS723" s="418"/>
      <c r="AT723" s="418"/>
      <c r="AU723" s="418"/>
      <c r="AV723" s="418"/>
      <c r="AW723" s="418"/>
      <c r="AX723" s="418"/>
      <c r="AY723" s="418"/>
      <c r="AZ723" s="418"/>
      <c r="BA723" s="418"/>
    </row>
    <row r="724" spans="40:53" ht="15.75" customHeight="1">
      <c r="AN724" s="418"/>
      <c r="AO724" s="418"/>
      <c r="AP724" s="418"/>
      <c r="AQ724" s="418"/>
      <c r="AR724" s="418"/>
      <c r="AS724" s="418"/>
      <c r="AT724" s="418"/>
      <c r="AU724" s="418"/>
      <c r="AV724" s="418"/>
      <c r="AW724" s="418"/>
      <c r="AX724" s="418"/>
      <c r="AY724" s="418"/>
      <c r="AZ724" s="418"/>
      <c r="BA724" s="418"/>
    </row>
    <row r="725" spans="40:53" ht="15.75" customHeight="1">
      <c r="AN725" s="418"/>
      <c r="AO725" s="418"/>
      <c r="AP725" s="418"/>
      <c r="AQ725" s="418"/>
      <c r="AR725" s="418"/>
      <c r="AS725" s="418"/>
      <c r="AT725" s="418"/>
      <c r="AU725" s="418"/>
      <c r="AV725" s="418"/>
      <c r="AW725" s="418"/>
      <c r="AX725" s="418"/>
      <c r="AY725" s="418"/>
      <c r="AZ725" s="418"/>
      <c r="BA725" s="418"/>
    </row>
    <row r="726" spans="40:53" ht="15.75" customHeight="1">
      <c r="AN726" s="418"/>
      <c r="AO726" s="418"/>
      <c r="AP726" s="418"/>
      <c r="AQ726" s="418"/>
      <c r="AR726" s="418"/>
      <c r="AS726" s="418"/>
      <c r="AT726" s="418"/>
      <c r="AU726" s="418"/>
      <c r="AV726" s="418"/>
      <c r="AW726" s="418"/>
      <c r="AX726" s="418"/>
      <c r="AY726" s="418"/>
      <c r="AZ726" s="418"/>
      <c r="BA726" s="418"/>
    </row>
    <row r="727" spans="40:53" ht="15.75" customHeight="1">
      <c r="AN727" s="418"/>
      <c r="AO727" s="418"/>
      <c r="AP727" s="418"/>
      <c r="AQ727" s="418"/>
      <c r="AR727" s="418"/>
      <c r="AS727" s="418"/>
      <c r="AT727" s="418"/>
      <c r="AU727" s="418"/>
      <c r="AV727" s="418"/>
      <c r="AW727" s="418"/>
      <c r="AX727" s="418"/>
      <c r="AY727" s="418"/>
      <c r="AZ727" s="418"/>
      <c r="BA727" s="418"/>
    </row>
    <row r="728" spans="40:53" ht="15.75" customHeight="1">
      <c r="AN728" s="418"/>
      <c r="AO728" s="418"/>
      <c r="AP728" s="418"/>
      <c r="AQ728" s="418"/>
      <c r="AR728" s="418"/>
      <c r="AS728" s="418"/>
      <c r="AT728" s="418"/>
      <c r="AU728" s="418"/>
      <c r="AV728" s="418"/>
      <c r="AW728" s="418"/>
      <c r="AX728" s="418"/>
      <c r="AY728" s="418"/>
      <c r="AZ728" s="418"/>
      <c r="BA728" s="418"/>
    </row>
    <row r="729" spans="40:53" ht="15.75" customHeight="1">
      <c r="AN729" s="418"/>
      <c r="AO729" s="418"/>
      <c r="AP729" s="418"/>
      <c r="AQ729" s="418"/>
      <c r="AR729" s="418"/>
      <c r="AS729" s="418"/>
      <c r="AT729" s="418"/>
      <c r="AU729" s="418"/>
      <c r="AV729" s="418"/>
      <c r="AW729" s="418"/>
      <c r="AX729" s="418"/>
      <c r="AY729" s="418"/>
      <c r="AZ729" s="418"/>
      <c r="BA729" s="418"/>
    </row>
    <row r="730" spans="40:53" ht="15.75" customHeight="1">
      <c r="AN730" s="418"/>
      <c r="AO730" s="418"/>
      <c r="AP730" s="418"/>
      <c r="AQ730" s="418"/>
      <c r="AR730" s="418"/>
      <c r="AS730" s="418"/>
      <c r="AT730" s="418"/>
      <c r="AU730" s="418"/>
      <c r="AV730" s="418"/>
      <c r="AW730" s="418"/>
      <c r="AX730" s="418"/>
      <c r="AY730" s="418"/>
      <c r="AZ730" s="418"/>
      <c r="BA730" s="418"/>
    </row>
    <row r="731" spans="40:53" ht="15.75" customHeight="1">
      <c r="AN731" s="418"/>
      <c r="AO731" s="418"/>
      <c r="AP731" s="418"/>
      <c r="AQ731" s="418"/>
      <c r="AR731" s="418"/>
      <c r="AS731" s="418"/>
      <c r="AT731" s="418"/>
      <c r="AU731" s="418"/>
      <c r="AV731" s="418"/>
      <c r="AW731" s="418"/>
      <c r="AX731" s="418"/>
      <c r="AY731" s="418"/>
      <c r="AZ731" s="418"/>
      <c r="BA731" s="418"/>
    </row>
    <row r="732" spans="40:53" ht="15.75" customHeight="1">
      <c r="AN732" s="418"/>
      <c r="AO732" s="418"/>
      <c r="AP732" s="418"/>
      <c r="AQ732" s="418"/>
      <c r="AR732" s="418"/>
      <c r="AS732" s="418"/>
      <c r="AT732" s="418"/>
      <c r="AU732" s="418"/>
      <c r="AV732" s="418"/>
      <c r="AW732" s="418"/>
      <c r="AX732" s="418"/>
      <c r="AY732" s="418"/>
      <c r="AZ732" s="418"/>
      <c r="BA732" s="418"/>
    </row>
    <row r="733" spans="40:53" ht="15.75" customHeight="1">
      <c r="AN733" s="418"/>
      <c r="AO733" s="418"/>
      <c r="AP733" s="418"/>
      <c r="AQ733" s="418"/>
      <c r="AR733" s="418"/>
      <c r="AS733" s="418"/>
      <c r="AT733" s="418"/>
      <c r="AU733" s="418"/>
      <c r="AV733" s="418"/>
      <c r="AW733" s="418"/>
      <c r="AX733" s="418"/>
      <c r="AY733" s="418"/>
      <c r="AZ733" s="418"/>
      <c r="BA733" s="418"/>
    </row>
    <row r="734" spans="40:53" ht="15.75" customHeight="1">
      <c r="AN734" s="418"/>
      <c r="AO734" s="418"/>
      <c r="AP734" s="418"/>
      <c r="AQ734" s="418"/>
      <c r="AR734" s="418"/>
      <c r="AS734" s="418"/>
      <c r="AT734" s="418"/>
      <c r="AU734" s="418"/>
      <c r="AV734" s="418"/>
      <c r="AW734" s="418"/>
      <c r="AX734" s="418"/>
      <c r="AY734" s="418"/>
      <c r="AZ734" s="418"/>
      <c r="BA734" s="418"/>
    </row>
    <row r="735" spans="40:53" ht="15.75" customHeight="1">
      <c r="AN735" s="418"/>
      <c r="AO735" s="418"/>
      <c r="AP735" s="418"/>
      <c r="AQ735" s="418"/>
      <c r="AR735" s="418"/>
      <c r="AS735" s="418"/>
      <c r="AT735" s="418"/>
      <c r="AU735" s="418"/>
      <c r="AV735" s="418"/>
      <c r="AW735" s="418"/>
      <c r="AX735" s="418"/>
      <c r="AY735" s="418"/>
      <c r="AZ735" s="418"/>
      <c r="BA735" s="418"/>
    </row>
    <row r="736" spans="40:53" ht="15.75" customHeight="1">
      <c r="AN736" s="418"/>
      <c r="AO736" s="418"/>
      <c r="AP736" s="418"/>
      <c r="AQ736" s="418"/>
      <c r="AR736" s="418"/>
      <c r="AS736" s="418"/>
      <c r="AT736" s="418"/>
      <c r="AU736" s="418"/>
      <c r="AV736" s="418"/>
      <c r="AW736" s="418"/>
      <c r="AX736" s="418"/>
      <c r="AY736" s="418"/>
      <c r="AZ736" s="418"/>
      <c r="BA736" s="418"/>
    </row>
    <row r="737" spans="40:53" ht="15.75" customHeight="1">
      <c r="AN737" s="418"/>
      <c r="AO737" s="418"/>
      <c r="AP737" s="418"/>
      <c r="AQ737" s="418"/>
      <c r="AR737" s="418"/>
      <c r="AS737" s="418"/>
      <c r="AT737" s="418"/>
      <c r="AU737" s="418"/>
      <c r="AV737" s="418"/>
      <c r="AW737" s="418"/>
      <c r="AX737" s="418"/>
      <c r="AY737" s="418"/>
      <c r="AZ737" s="418"/>
      <c r="BA737" s="418"/>
    </row>
    <row r="738" spans="40:53" ht="15.75" customHeight="1">
      <c r="AN738" s="418"/>
      <c r="AO738" s="418"/>
      <c r="AP738" s="418"/>
      <c r="AQ738" s="418"/>
      <c r="AR738" s="418"/>
      <c r="AS738" s="418"/>
      <c r="AT738" s="418"/>
      <c r="AU738" s="418"/>
      <c r="AV738" s="418"/>
      <c r="AW738" s="418"/>
      <c r="AX738" s="418"/>
      <c r="AY738" s="418"/>
      <c r="AZ738" s="418"/>
      <c r="BA738" s="418"/>
    </row>
    <row r="739" spans="40:53" ht="15.75" customHeight="1">
      <c r="AN739" s="418"/>
      <c r="AO739" s="418"/>
      <c r="AP739" s="418"/>
      <c r="AQ739" s="418"/>
      <c r="AR739" s="418"/>
      <c r="AS739" s="418"/>
      <c r="AT739" s="418"/>
      <c r="AU739" s="418"/>
      <c r="AV739" s="418"/>
      <c r="AW739" s="418"/>
      <c r="AX739" s="418"/>
      <c r="AY739" s="418"/>
      <c r="AZ739" s="418"/>
      <c r="BA739" s="418"/>
    </row>
    <row r="740" spans="40:53" ht="15.75" customHeight="1">
      <c r="AN740" s="418"/>
      <c r="AO740" s="418"/>
      <c r="AP740" s="418"/>
      <c r="AQ740" s="418"/>
      <c r="AR740" s="418"/>
      <c r="AS740" s="418"/>
      <c r="AT740" s="418"/>
      <c r="AU740" s="418"/>
      <c r="AV740" s="418"/>
      <c r="AW740" s="418"/>
      <c r="AX740" s="418"/>
      <c r="AY740" s="418"/>
      <c r="AZ740" s="418"/>
      <c r="BA740" s="418"/>
    </row>
    <row r="741" spans="40:53" ht="15.75" customHeight="1">
      <c r="AN741" s="418"/>
      <c r="AO741" s="418"/>
      <c r="AP741" s="418"/>
      <c r="AQ741" s="418"/>
      <c r="AR741" s="418"/>
      <c r="AS741" s="418"/>
      <c r="AT741" s="418"/>
      <c r="AU741" s="418"/>
      <c r="AV741" s="418"/>
      <c r="AW741" s="418"/>
      <c r="AX741" s="418"/>
      <c r="AY741" s="418"/>
      <c r="AZ741" s="418"/>
      <c r="BA741" s="418"/>
    </row>
    <row r="742" spans="40:53" ht="15.75" customHeight="1">
      <c r="AN742" s="418"/>
      <c r="AO742" s="418"/>
      <c r="AP742" s="418"/>
      <c r="AQ742" s="418"/>
      <c r="AR742" s="418"/>
      <c r="AS742" s="418"/>
      <c r="AT742" s="418"/>
      <c r="AU742" s="418"/>
      <c r="AV742" s="418"/>
      <c r="AW742" s="418"/>
      <c r="AX742" s="418"/>
      <c r="AY742" s="418"/>
      <c r="AZ742" s="418"/>
      <c r="BA742" s="418"/>
    </row>
    <row r="743" spans="40:53" ht="15.75" customHeight="1">
      <c r="AN743" s="418"/>
      <c r="AO743" s="418"/>
      <c r="AP743" s="418"/>
      <c r="AQ743" s="418"/>
      <c r="AR743" s="418"/>
      <c r="AS743" s="418"/>
      <c r="AT743" s="418"/>
      <c r="AU743" s="418"/>
      <c r="AV743" s="418"/>
      <c r="AW743" s="418"/>
      <c r="AX743" s="418"/>
      <c r="AY743" s="418"/>
      <c r="AZ743" s="418"/>
      <c r="BA743" s="418"/>
    </row>
    <row r="744" spans="40:53" ht="15.75" customHeight="1">
      <c r="AN744" s="418"/>
      <c r="AO744" s="418"/>
      <c r="AP744" s="418"/>
      <c r="AQ744" s="418"/>
      <c r="AR744" s="418"/>
      <c r="AS744" s="418"/>
      <c r="AT744" s="418"/>
      <c r="AU744" s="418"/>
      <c r="AV744" s="418"/>
      <c r="AW744" s="418"/>
      <c r="AX744" s="418"/>
      <c r="AY744" s="418"/>
      <c r="AZ744" s="418"/>
      <c r="BA744" s="418"/>
    </row>
    <row r="745" spans="40:53" ht="15.75" customHeight="1">
      <c r="AN745" s="418"/>
      <c r="AO745" s="418"/>
      <c r="AP745" s="418"/>
      <c r="AQ745" s="418"/>
      <c r="AR745" s="418"/>
      <c r="AS745" s="418"/>
      <c r="AT745" s="418"/>
      <c r="AU745" s="418"/>
      <c r="AV745" s="418"/>
      <c r="AW745" s="418"/>
      <c r="AX745" s="418"/>
      <c r="AY745" s="418"/>
      <c r="AZ745" s="418"/>
      <c r="BA745" s="418"/>
    </row>
    <row r="746" spans="40:53" ht="15.75" customHeight="1">
      <c r="AN746" s="418"/>
      <c r="AO746" s="418"/>
      <c r="AP746" s="418"/>
      <c r="AQ746" s="418"/>
      <c r="AR746" s="418"/>
      <c r="AS746" s="418"/>
      <c r="AT746" s="418"/>
      <c r="AU746" s="418"/>
      <c r="AV746" s="418"/>
      <c r="AW746" s="418"/>
      <c r="AX746" s="418"/>
      <c r="AY746" s="418"/>
      <c r="AZ746" s="418"/>
      <c r="BA746" s="418"/>
    </row>
    <row r="747" spans="40:53" ht="15.75" customHeight="1">
      <c r="AN747" s="418"/>
      <c r="AO747" s="418"/>
      <c r="AP747" s="418"/>
      <c r="AQ747" s="418"/>
      <c r="AR747" s="418"/>
      <c r="AS747" s="418"/>
      <c r="AT747" s="418"/>
      <c r="AU747" s="418"/>
      <c r="AV747" s="418"/>
      <c r="AW747" s="418"/>
      <c r="AX747" s="418"/>
      <c r="AY747" s="418"/>
      <c r="AZ747" s="418"/>
      <c r="BA747" s="418"/>
    </row>
    <row r="748" spans="40:53" ht="15.75" customHeight="1">
      <c r="AN748" s="418"/>
      <c r="AO748" s="418"/>
      <c r="AP748" s="418"/>
      <c r="AQ748" s="418"/>
      <c r="AR748" s="418"/>
      <c r="AS748" s="418"/>
      <c r="AT748" s="418"/>
      <c r="AU748" s="418"/>
      <c r="AV748" s="418"/>
      <c r="AW748" s="418"/>
      <c r="AX748" s="418"/>
      <c r="AY748" s="418"/>
      <c r="AZ748" s="418"/>
      <c r="BA748" s="418"/>
    </row>
    <row r="749" spans="40:53" ht="15.75" customHeight="1">
      <c r="AN749" s="418"/>
      <c r="AO749" s="418"/>
      <c r="AP749" s="418"/>
      <c r="AQ749" s="418"/>
      <c r="AR749" s="418"/>
      <c r="AS749" s="418"/>
      <c r="AT749" s="418"/>
      <c r="AU749" s="418"/>
      <c r="AV749" s="418"/>
      <c r="AW749" s="418"/>
      <c r="AX749" s="418"/>
      <c r="AY749" s="418"/>
      <c r="AZ749" s="418"/>
      <c r="BA749" s="418"/>
    </row>
    <row r="750" spans="40:53" ht="15.75" customHeight="1">
      <c r="AN750" s="418"/>
      <c r="AO750" s="418"/>
      <c r="AP750" s="418"/>
      <c r="AQ750" s="418"/>
      <c r="AR750" s="418"/>
      <c r="AS750" s="418"/>
      <c r="AT750" s="418"/>
      <c r="AU750" s="418"/>
      <c r="AV750" s="418"/>
      <c r="AW750" s="418"/>
      <c r="AX750" s="418"/>
      <c r="AY750" s="418"/>
      <c r="AZ750" s="418"/>
      <c r="BA750" s="418"/>
    </row>
    <row r="751" spans="40:53" ht="15.75" customHeight="1">
      <c r="AN751" s="418"/>
      <c r="AO751" s="418"/>
      <c r="AP751" s="418"/>
      <c r="AQ751" s="418"/>
      <c r="AR751" s="418"/>
      <c r="AS751" s="418"/>
      <c r="AT751" s="418"/>
      <c r="AU751" s="418"/>
      <c r="AV751" s="418"/>
      <c r="AW751" s="418"/>
      <c r="AX751" s="418"/>
      <c r="AY751" s="418"/>
      <c r="AZ751" s="418"/>
      <c r="BA751" s="418"/>
    </row>
    <row r="752" spans="40:53" ht="15.75" customHeight="1">
      <c r="AN752" s="418"/>
      <c r="AO752" s="418"/>
      <c r="AP752" s="418"/>
      <c r="AQ752" s="418"/>
      <c r="AR752" s="418"/>
      <c r="AS752" s="418"/>
      <c r="AT752" s="418"/>
      <c r="AU752" s="418"/>
      <c r="AV752" s="418"/>
      <c r="AW752" s="418"/>
      <c r="AX752" s="418"/>
      <c r="AY752" s="418"/>
      <c r="AZ752" s="418"/>
      <c r="BA752" s="418"/>
    </row>
    <row r="753" spans="40:53" ht="15.75" customHeight="1">
      <c r="AN753" s="418"/>
      <c r="AO753" s="418"/>
      <c r="AP753" s="418"/>
      <c r="AQ753" s="418"/>
      <c r="AR753" s="418"/>
      <c r="AS753" s="418"/>
      <c r="AT753" s="418"/>
      <c r="AU753" s="418"/>
      <c r="AV753" s="418"/>
      <c r="AW753" s="418"/>
      <c r="AX753" s="418"/>
      <c r="AY753" s="418"/>
      <c r="AZ753" s="418"/>
      <c r="BA753" s="418"/>
    </row>
    <row r="754" spans="40:53" ht="15.75" customHeight="1">
      <c r="AN754" s="418"/>
      <c r="AO754" s="418"/>
      <c r="AP754" s="418"/>
      <c r="AQ754" s="418"/>
      <c r="AR754" s="418"/>
      <c r="AS754" s="418"/>
      <c r="AT754" s="418"/>
      <c r="AU754" s="418"/>
      <c r="AV754" s="418"/>
      <c r="AW754" s="418"/>
      <c r="AX754" s="418"/>
      <c r="AY754" s="418"/>
      <c r="AZ754" s="418"/>
      <c r="BA754" s="418"/>
    </row>
    <row r="755" spans="40:53" ht="15.75" customHeight="1">
      <c r="AN755" s="418"/>
      <c r="AO755" s="418"/>
      <c r="AP755" s="418"/>
      <c r="AQ755" s="418"/>
      <c r="AR755" s="418"/>
      <c r="AS755" s="418"/>
      <c r="AT755" s="418"/>
      <c r="AU755" s="418"/>
      <c r="AV755" s="418"/>
      <c r="AW755" s="418"/>
      <c r="AX755" s="418"/>
      <c r="AY755" s="418"/>
      <c r="AZ755" s="418"/>
      <c r="BA755" s="418"/>
    </row>
    <row r="756" spans="40:53" ht="15.75" customHeight="1">
      <c r="AN756" s="418"/>
      <c r="AO756" s="418"/>
      <c r="AP756" s="418"/>
      <c r="AQ756" s="418"/>
      <c r="AR756" s="418"/>
      <c r="AS756" s="418"/>
      <c r="AT756" s="418"/>
      <c r="AU756" s="418"/>
      <c r="AV756" s="418"/>
      <c r="AW756" s="418"/>
      <c r="AX756" s="418"/>
      <c r="AY756" s="418"/>
      <c r="AZ756" s="418"/>
      <c r="BA756" s="418"/>
    </row>
    <row r="757" spans="40:53" ht="15.75" customHeight="1">
      <c r="AN757" s="418"/>
      <c r="AO757" s="418"/>
      <c r="AP757" s="418"/>
      <c r="AQ757" s="418"/>
      <c r="AR757" s="418"/>
      <c r="AS757" s="418"/>
      <c r="AT757" s="418"/>
      <c r="AU757" s="418"/>
      <c r="AV757" s="418"/>
      <c r="AW757" s="418"/>
      <c r="AX757" s="418"/>
      <c r="AY757" s="418"/>
      <c r="AZ757" s="418"/>
      <c r="BA757" s="418"/>
    </row>
    <row r="758" spans="40:53" ht="15.75" customHeight="1">
      <c r="AN758" s="418"/>
      <c r="AO758" s="418"/>
      <c r="AP758" s="418"/>
      <c r="AQ758" s="418"/>
      <c r="AR758" s="418"/>
      <c r="AS758" s="418"/>
      <c r="AT758" s="418"/>
      <c r="AU758" s="418"/>
      <c r="AV758" s="418"/>
      <c r="AW758" s="418"/>
      <c r="AX758" s="418"/>
      <c r="AY758" s="418"/>
      <c r="AZ758" s="418"/>
      <c r="BA758" s="418"/>
    </row>
    <row r="759" spans="40:53" ht="15.75" customHeight="1">
      <c r="AN759" s="418"/>
      <c r="AO759" s="418"/>
      <c r="AP759" s="418"/>
      <c r="AQ759" s="418"/>
      <c r="AR759" s="418"/>
      <c r="AS759" s="418"/>
      <c r="AT759" s="418"/>
      <c r="AU759" s="418"/>
      <c r="AV759" s="418"/>
      <c r="AW759" s="418"/>
      <c r="AX759" s="418"/>
      <c r="AY759" s="418"/>
      <c r="AZ759" s="418"/>
      <c r="BA759" s="418"/>
    </row>
    <row r="760" spans="40:53" ht="15.75" customHeight="1">
      <c r="AN760" s="418"/>
      <c r="AO760" s="418"/>
      <c r="AP760" s="418"/>
      <c r="AQ760" s="418"/>
      <c r="AR760" s="418"/>
      <c r="AS760" s="418"/>
      <c r="AT760" s="418"/>
      <c r="AU760" s="418"/>
      <c r="AV760" s="418"/>
      <c r="AW760" s="418"/>
      <c r="AX760" s="418"/>
      <c r="AY760" s="418"/>
      <c r="AZ760" s="418"/>
      <c r="BA760" s="418"/>
    </row>
    <row r="761" spans="40:53" ht="15.75" customHeight="1">
      <c r="AN761" s="418"/>
      <c r="AO761" s="418"/>
      <c r="AP761" s="418"/>
      <c r="AQ761" s="418"/>
      <c r="AR761" s="418"/>
      <c r="AS761" s="418"/>
      <c r="AT761" s="418"/>
      <c r="AU761" s="418"/>
      <c r="AV761" s="418"/>
      <c r="AW761" s="418"/>
      <c r="AX761" s="418"/>
      <c r="AY761" s="418"/>
      <c r="AZ761" s="418"/>
      <c r="BA761" s="418"/>
    </row>
    <row r="762" spans="40:53" ht="15.75" customHeight="1">
      <c r="AN762" s="418"/>
      <c r="AO762" s="418"/>
      <c r="AP762" s="418"/>
      <c r="AQ762" s="418"/>
      <c r="AR762" s="418"/>
      <c r="AS762" s="418"/>
      <c r="AT762" s="418"/>
      <c r="AU762" s="418"/>
      <c r="AV762" s="418"/>
      <c r="AW762" s="418"/>
      <c r="AX762" s="418"/>
      <c r="AY762" s="418"/>
      <c r="AZ762" s="418"/>
      <c r="BA762" s="418"/>
    </row>
    <row r="763" spans="40:53" ht="15.75" customHeight="1">
      <c r="AN763" s="418"/>
      <c r="AO763" s="418"/>
      <c r="AP763" s="418"/>
      <c r="AQ763" s="418"/>
      <c r="AR763" s="418"/>
      <c r="AS763" s="418"/>
      <c r="AT763" s="418"/>
      <c r="AU763" s="418"/>
      <c r="AV763" s="418"/>
      <c r="AW763" s="418"/>
      <c r="AX763" s="418"/>
      <c r="AY763" s="418"/>
      <c r="AZ763" s="418"/>
      <c r="BA763" s="418"/>
    </row>
    <row r="764" spans="40:53" ht="15.75" customHeight="1">
      <c r="AN764" s="418"/>
      <c r="AO764" s="418"/>
      <c r="AP764" s="418"/>
      <c r="AQ764" s="418"/>
      <c r="AR764" s="418"/>
      <c r="AS764" s="418"/>
      <c r="AT764" s="418"/>
      <c r="AU764" s="418"/>
      <c r="AV764" s="418"/>
      <c r="AW764" s="418"/>
      <c r="AX764" s="418"/>
      <c r="AY764" s="418"/>
      <c r="AZ764" s="418"/>
      <c r="BA764" s="418"/>
    </row>
    <row r="765" spans="40:53" ht="15.75" customHeight="1">
      <c r="AN765" s="418"/>
      <c r="AO765" s="418"/>
      <c r="AP765" s="418"/>
      <c r="AQ765" s="418"/>
      <c r="AR765" s="418"/>
      <c r="AS765" s="418"/>
      <c r="AT765" s="418"/>
      <c r="AU765" s="418"/>
      <c r="AV765" s="418"/>
      <c r="AW765" s="418"/>
      <c r="AX765" s="418"/>
      <c r="AY765" s="418"/>
      <c r="AZ765" s="418"/>
      <c r="BA765" s="418"/>
    </row>
    <row r="766" spans="40:53" ht="15.75" customHeight="1">
      <c r="AN766" s="418"/>
      <c r="AO766" s="418"/>
      <c r="AP766" s="418"/>
      <c r="AQ766" s="418"/>
      <c r="AR766" s="418"/>
      <c r="AS766" s="418"/>
      <c r="AT766" s="418"/>
      <c r="AU766" s="418"/>
      <c r="AV766" s="418"/>
      <c r="AW766" s="418"/>
      <c r="AX766" s="418"/>
      <c r="AY766" s="418"/>
      <c r="AZ766" s="418"/>
      <c r="BA766" s="418"/>
    </row>
    <row r="767" spans="40:53" ht="15.75" customHeight="1">
      <c r="AN767" s="418"/>
      <c r="AO767" s="418"/>
      <c r="AP767" s="418"/>
      <c r="AQ767" s="418"/>
      <c r="AR767" s="418"/>
      <c r="AS767" s="418"/>
      <c r="AT767" s="418"/>
      <c r="AU767" s="418"/>
      <c r="AV767" s="418"/>
      <c r="AW767" s="418"/>
      <c r="AX767" s="418"/>
      <c r="AY767" s="418"/>
      <c r="AZ767" s="418"/>
      <c r="BA767" s="418"/>
    </row>
    <row r="768" spans="40:53" ht="15.75" customHeight="1">
      <c r="AN768" s="418"/>
      <c r="AO768" s="418"/>
      <c r="AP768" s="418"/>
      <c r="AQ768" s="418"/>
      <c r="AR768" s="418"/>
      <c r="AS768" s="418"/>
      <c r="AT768" s="418"/>
      <c r="AU768" s="418"/>
      <c r="AV768" s="418"/>
      <c r="AW768" s="418"/>
      <c r="AX768" s="418"/>
      <c r="AY768" s="418"/>
      <c r="AZ768" s="418"/>
      <c r="BA768" s="418"/>
    </row>
    <row r="769" spans="40:53" ht="15.75" customHeight="1">
      <c r="AN769" s="418"/>
      <c r="AO769" s="418"/>
      <c r="AP769" s="418"/>
      <c r="AQ769" s="418"/>
      <c r="AR769" s="418"/>
      <c r="AS769" s="418"/>
      <c r="AT769" s="418"/>
      <c r="AU769" s="418"/>
      <c r="AV769" s="418"/>
      <c r="AW769" s="418"/>
      <c r="AX769" s="418"/>
      <c r="AY769" s="418"/>
      <c r="AZ769" s="418"/>
      <c r="BA769" s="418"/>
    </row>
    <row r="770" spans="40:53" ht="15.75" customHeight="1">
      <c r="AN770" s="418"/>
      <c r="AO770" s="418"/>
      <c r="AP770" s="418"/>
      <c r="AQ770" s="418"/>
      <c r="AR770" s="418"/>
      <c r="AS770" s="418"/>
      <c r="AT770" s="418"/>
      <c r="AU770" s="418"/>
      <c r="AV770" s="418"/>
      <c r="AW770" s="418"/>
      <c r="AX770" s="418"/>
      <c r="AY770" s="418"/>
      <c r="AZ770" s="418"/>
      <c r="BA770" s="418"/>
    </row>
    <row r="771" spans="40:53" ht="15.75" customHeight="1">
      <c r="AN771" s="418"/>
      <c r="AO771" s="418"/>
      <c r="AP771" s="418"/>
      <c r="AQ771" s="418"/>
      <c r="AR771" s="418"/>
      <c r="AS771" s="418"/>
      <c r="AT771" s="418"/>
      <c r="AU771" s="418"/>
      <c r="AV771" s="418"/>
      <c r="AW771" s="418"/>
      <c r="AX771" s="418"/>
      <c r="AY771" s="418"/>
      <c r="AZ771" s="418"/>
      <c r="BA771" s="418"/>
    </row>
    <row r="772" spans="40:53" ht="15.75" customHeight="1">
      <c r="AN772" s="418"/>
      <c r="AO772" s="418"/>
      <c r="AP772" s="418"/>
      <c r="AQ772" s="418"/>
      <c r="AR772" s="418"/>
      <c r="AS772" s="418"/>
      <c r="AT772" s="418"/>
      <c r="AU772" s="418"/>
      <c r="AV772" s="418"/>
      <c r="AW772" s="418"/>
      <c r="AX772" s="418"/>
      <c r="AY772" s="418"/>
      <c r="AZ772" s="418"/>
      <c r="BA772" s="418"/>
    </row>
    <row r="773" spans="40:53" ht="15.75" customHeight="1">
      <c r="AN773" s="418"/>
      <c r="AO773" s="418"/>
      <c r="AP773" s="418"/>
      <c r="AQ773" s="418"/>
      <c r="AR773" s="418"/>
      <c r="AS773" s="418"/>
      <c r="AT773" s="418"/>
      <c r="AU773" s="418"/>
      <c r="AV773" s="418"/>
      <c r="AW773" s="418"/>
      <c r="AX773" s="418"/>
      <c r="AY773" s="418"/>
      <c r="AZ773" s="418"/>
      <c r="BA773" s="418"/>
    </row>
    <row r="774" spans="40:53" ht="15.75" customHeight="1">
      <c r="AN774" s="418"/>
      <c r="AO774" s="418"/>
      <c r="AP774" s="418"/>
      <c r="AQ774" s="418"/>
      <c r="AR774" s="418"/>
      <c r="AS774" s="418"/>
      <c r="AT774" s="418"/>
      <c r="AU774" s="418"/>
      <c r="AV774" s="418"/>
      <c r="AW774" s="418"/>
      <c r="AX774" s="418"/>
      <c r="AY774" s="418"/>
      <c r="AZ774" s="418"/>
      <c r="BA774" s="418"/>
    </row>
    <row r="775" spans="40:53" ht="15.75" customHeight="1">
      <c r="AN775" s="418"/>
      <c r="AO775" s="418"/>
      <c r="AP775" s="418"/>
      <c r="AQ775" s="418"/>
      <c r="AR775" s="418"/>
      <c r="AS775" s="418"/>
      <c r="AT775" s="418"/>
      <c r="AU775" s="418"/>
      <c r="AV775" s="418"/>
      <c r="AW775" s="418"/>
      <c r="AX775" s="418"/>
      <c r="AY775" s="418"/>
      <c r="AZ775" s="418"/>
      <c r="BA775" s="418"/>
    </row>
    <row r="776" spans="40:53" ht="15.75" customHeight="1">
      <c r="AN776" s="418"/>
      <c r="AO776" s="418"/>
      <c r="AP776" s="418"/>
      <c r="AQ776" s="418"/>
      <c r="AR776" s="418"/>
      <c r="AS776" s="418"/>
      <c r="AT776" s="418"/>
      <c r="AU776" s="418"/>
      <c r="AV776" s="418"/>
      <c r="AW776" s="418"/>
      <c r="AX776" s="418"/>
      <c r="AY776" s="418"/>
      <c r="AZ776" s="418"/>
      <c r="BA776" s="418"/>
    </row>
    <row r="777" spans="40:53" ht="15.75" customHeight="1">
      <c r="AN777" s="418"/>
      <c r="AO777" s="418"/>
      <c r="AP777" s="418"/>
      <c r="AQ777" s="418"/>
      <c r="AR777" s="418"/>
      <c r="AS777" s="418"/>
      <c r="AT777" s="418"/>
      <c r="AU777" s="418"/>
      <c r="AV777" s="418"/>
      <c r="AW777" s="418"/>
      <c r="AX777" s="418"/>
      <c r="AY777" s="418"/>
      <c r="AZ777" s="418"/>
      <c r="BA777" s="418"/>
    </row>
    <row r="778" spans="40:53" ht="15.75" customHeight="1">
      <c r="AN778" s="418"/>
      <c r="AO778" s="418"/>
      <c r="AP778" s="418"/>
      <c r="AQ778" s="418"/>
      <c r="AR778" s="418"/>
      <c r="AS778" s="418"/>
      <c r="AT778" s="418"/>
      <c r="AU778" s="418"/>
      <c r="AV778" s="418"/>
      <c r="AW778" s="418"/>
      <c r="AX778" s="418"/>
      <c r="AY778" s="418"/>
      <c r="AZ778" s="418"/>
      <c r="BA778" s="418"/>
    </row>
    <row r="779" spans="40:53" ht="15.75" customHeight="1">
      <c r="AN779" s="418"/>
      <c r="AO779" s="418"/>
      <c r="AP779" s="418"/>
      <c r="AQ779" s="418"/>
      <c r="AR779" s="418"/>
      <c r="AS779" s="418"/>
      <c r="AT779" s="418"/>
      <c r="AU779" s="418"/>
      <c r="AV779" s="418"/>
      <c r="AW779" s="418"/>
      <c r="AX779" s="418"/>
      <c r="AY779" s="418"/>
      <c r="AZ779" s="418"/>
      <c r="BA779" s="418"/>
    </row>
    <row r="780" spans="40:53" ht="15.75" customHeight="1">
      <c r="AN780" s="418"/>
      <c r="AO780" s="418"/>
      <c r="AP780" s="418"/>
      <c r="AQ780" s="418"/>
      <c r="AR780" s="418"/>
      <c r="AS780" s="418"/>
      <c r="AT780" s="418"/>
      <c r="AU780" s="418"/>
      <c r="AV780" s="418"/>
      <c r="AW780" s="418"/>
      <c r="AX780" s="418"/>
      <c r="AY780" s="418"/>
      <c r="AZ780" s="418"/>
      <c r="BA780" s="418"/>
    </row>
    <row r="781" spans="40:53" ht="15.75" customHeight="1">
      <c r="AN781" s="418"/>
      <c r="AO781" s="418"/>
      <c r="AP781" s="418"/>
      <c r="AQ781" s="418"/>
      <c r="AR781" s="418"/>
      <c r="AS781" s="418"/>
      <c r="AT781" s="418"/>
      <c r="AU781" s="418"/>
      <c r="AV781" s="418"/>
      <c r="AW781" s="418"/>
      <c r="AX781" s="418"/>
      <c r="AY781" s="418"/>
      <c r="AZ781" s="418"/>
      <c r="BA781" s="418"/>
    </row>
    <row r="782" spans="40:53" ht="15.75" customHeight="1">
      <c r="AN782" s="418"/>
      <c r="AO782" s="418"/>
      <c r="AP782" s="418"/>
      <c r="AQ782" s="418"/>
      <c r="AR782" s="418"/>
      <c r="AS782" s="418"/>
      <c r="AT782" s="418"/>
      <c r="AU782" s="418"/>
      <c r="AV782" s="418"/>
      <c r="AW782" s="418"/>
      <c r="AX782" s="418"/>
      <c r="AY782" s="418"/>
      <c r="AZ782" s="418"/>
      <c r="BA782" s="418"/>
    </row>
    <row r="783" spans="40:53" ht="15.75" customHeight="1">
      <c r="AN783" s="418"/>
      <c r="AO783" s="418"/>
      <c r="AP783" s="418"/>
      <c r="AQ783" s="418"/>
      <c r="AR783" s="418"/>
      <c r="AS783" s="418"/>
      <c r="AT783" s="418"/>
      <c r="AU783" s="418"/>
      <c r="AV783" s="418"/>
      <c r="AW783" s="418"/>
      <c r="AX783" s="418"/>
      <c r="AY783" s="418"/>
      <c r="AZ783" s="418"/>
      <c r="BA783" s="418"/>
    </row>
    <row r="784" spans="40:53" ht="15.75" customHeight="1">
      <c r="AN784" s="418"/>
      <c r="AO784" s="418"/>
      <c r="AP784" s="418"/>
      <c r="AQ784" s="418"/>
      <c r="AR784" s="418"/>
      <c r="AS784" s="418"/>
      <c r="AT784" s="418"/>
      <c r="AU784" s="418"/>
      <c r="AV784" s="418"/>
      <c r="AW784" s="418"/>
      <c r="AX784" s="418"/>
      <c r="AY784" s="418"/>
      <c r="AZ784" s="418"/>
      <c r="BA784" s="418"/>
    </row>
    <row r="785" spans="40:53" ht="15.75" customHeight="1">
      <c r="AN785" s="418"/>
      <c r="AO785" s="418"/>
      <c r="AP785" s="418"/>
      <c r="AQ785" s="418"/>
      <c r="AR785" s="418"/>
      <c r="AS785" s="418"/>
      <c r="AT785" s="418"/>
      <c r="AU785" s="418"/>
      <c r="AV785" s="418"/>
      <c r="AW785" s="418"/>
      <c r="AX785" s="418"/>
      <c r="AY785" s="418"/>
      <c r="AZ785" s="418"/>
      <c r="BA785" s="418"/>
    </row>
    <row r="786" spans="40:53" ht="15.75" customHeight="1">
      <c r="AN786" s="418"/>
      <c r="AO786" s="418"/>
      <c r="AP786" s="418"/>
      <c r="AQ786" s="418"/>
      <c r="AR786" s="418"/>
      <c r="AS786" s="418"/>
      <c r="AT786" s="418"/>
      <c r="AU786" s="418"/>
      <c r="AV786" s="418"/>
      <c r="AW786" s="418"/>
      <c r="AX786" s="418"/>
      <c r="AY786" s="418"/>
      <c r="AZ786" s="418"/>
      <c r="BA786" s="418"/>
    </row>
    <row r="787" spans="40:53" ht="15.75" customHeight="1">
      <c r="AN787" s="418"/>
      <c r="AO787" s="418"/>
      <c r="AP787" s="418"/>
      <c r="AQ787" s="418"/>
      <c r="AR787" s="418"/>
      <c r="AS787" s="418"/>
      <c r="AT787" s="418"/>
      <c r="AU787" s="418"/>
      <c r="AV787" s="418"/>
      <c r="AW787" s="418"/>
      <c r="AX787" s="418"/>
      <c r="AY787" s="418"/>
      <c r="AZ787" s="418"/>
      <c r="BA787" s="418"/>
    </row>
    <row r="788" spans="40:53" ht="15.75" customHeight="1">
      <c r="AN788" s="418"/>
      <c r="AO788" s="418"/>
      <c r="AP788" s="418"/>
      <c r="AQ788" s="418"/>
      <c r="AR788" s="418"/>
      <c r="AS788" s="418"/>
      <c r="AT788" s="418"/>
      <c r="AU788" s="418"/>
      <c r="AV788" s="418"/>
      <c r="AW788" s="418"/>
      <c r="AX788" s="418"/>
      <c r="AY788" s="418"/>
      <c r="AZ788" s="418"/>
      <c r="BA788" s="418"/>
    </row>
    <row r="789" spans="40:53" ht="15.75" customHeight="1">
      <c r="AN789" s="418"/>
      <c r="AO789" s="418"/>
      <c r="AP789" s="418"/>
      <c r="AQ789" s="418"/>
      <c r="AR789" s="418"/>
      <c r="AS789" s="418"/>
      <c r="AT789" s="418"/>
      <c r="AU789" s="418"/>
      <c r="AV789" s="418"/>
      <c r="AW789" s="418"/>
      <c r="AX789" s="418"/>
      <c r="AY789" s="418"/>
      <c r="AZ789" s="418"/>
      <c r="BA789" s="418"/>
    </row>
    <row r="790" spans="40:53" ht="15.75" customHeight="1">
      <c r="AN790" s="418"/>
      <c r="AO790" s="418"/>
      <c r="AP790" s="418"/>
      <c r="AQ790" s="418"/>
      <c r="AR790" s="418"/>
      <c r="AS790" s="418"/>
      <c r="AT790" s="418"/>
      <c r="AU790" s="418"/>
      <c r="AV790" s="418"/>
      <c r="AW790" s="418"/>
      <c r="AX790" s="418"/>
      <c r="AY790" s="418"/>
      <c r="AZ790" s="418"/>
      <c r="BA790" s="418"/>
    </row>
    <row r="791" spans="40:53" ht="15.75" customHeight="1">
      <c r="AN791" s="418"/>
      <c r="AO791" s="418"/>
      <c r="AP791" s="418"/>
      <c r="AQ791" s="418"/>
      <c r="AR791" s="418"/>
      <c r="AS791" s="418"/>
      <c r="AT791" s="418"/>
      <c r="AU791" s="418"/>
      <c r="AV791" s="418"/>
      <c r="AW791" s="418"/>
      <c r="AX791" s="418"/>
      <c r="AY791" s="418"/>
      <c r="AZ791" s="418"/>
      <c r="BA791" s="418"/>
    </row>
    <row r="792" spans="40:53" ht="15.75" customHeight="1">
      <c r="AN792" s="418"/>
      <c r="AO792" s="418"/>
      <c r="AP792" s="418"/>
      <c r="AQ792" s="418"/>
      <c r="AR792" s="418"/>
      <c r="AS792" s="418"/>
      <c r="AT792" s="418"/>
      <c r="AU792" s="418"/>
      <c r="AV792" s="418"/>
      <c r="AW792" s="418"/>
      <c r="AX792" s="418"/>
      <c r="AY792" s="418"/>
      <c r="AZ792" s="418"/>
      <c r="BA792" s="418"/>
    </row>
    <row r="793" spans="40:53" ht="15.75" customHeight="1">
      <c r="AN793" s="418"/>
      <c r="AO793" s="418"/>
      <c r="AP793" s="418"/>
      <c r="AQ793" s="418"/>
      <c r="AR793" s="418"/>
      <c r="AS793" s="418"/>
      <c r="AT793" s="418"/>
      <c r="AU793" s="418"/>
      <c r="AV793" s="418"/>
      <c r="AW793" s="418"/>
      <c r="AX793" s="418"/>
      <c r="AY793" s="418"/>
      <c r="AZ793" s="418"/>
      <c r="BA793" s="418"/>
    </row>
    <row r="794" spans="40:53" ht="15.75" customHeight="1">
      <c r="AN794" s="418"/>
      <c r="AO794" s="418"/>
      <c r="AP794" s="418"/>
      <c r="AQ794" s="418"/>
      <c r="AR794" s="418"/>
      <c r="AS794" s="418"/>
      <c r="AT794" s="418"/>
      <c r="AU794" s="418"/>
      <c r="AV794" s="418"/>
      <c r="AW794" s="418"/>
      <c r="AX794" s="418"/>
      <c r="AY794" s="418"/>
      <c r="AZ794" s="418"/>
      <c r="BA794" s="418"/>
    </row>
    <row r="795" spans="40:53" ht="15.75" customHeight="1">
      <c r="AN795" s="418"/>
      <c r="AO795" s="418"/>
      <c r="AP795" s="418"/>
      <c r="AQ795" s="418"/>
      <c r="AR795" s="418"/>
      <c r="AS795" s="418"/>
      <c r="AT795" s="418"/>
      <c r="AU795" s="418"/>
      <c r="AV795" s="418"/>
      <c r="AW795" s="418"/>
      <c r="AX795" s="418"/>
      <c r="AY795" s="418"/>
      <c r="AZ795" s="418"/>
      <c r="BA795" s="418"/>
    </row>
    <row r="796" spans="40:53" ht="15.75" customHeight="1">
      <c r="AN796" s="418"/>
      <c r="AO796" s="418"/>
      <c r="AP796" s="418"/>
      <c r="AQ796" s="418"/>
      <c r="AR796" s="418"/>
      <c r="AS796" s="418"/>
      <c r="AT796" s="418"/>
      <c r="AU796" s="418"/>
      <c r="AV796" s="418"/>
      <c r="AW796" s="418"/>
      <c r="AX796" s="418"/>
      <c r="AY796" s="418"/>
      <c r="AZ796" s="418"/>
      <c r="BA796" s="418"/>
    </row>
    <row r="797" spans="40:53" ht="15.75" customHeight="1">
      <c r="AN797" s="418"/>
      <c r="AO797" s="418"/>
      <c r="AP797" s="418"/>
      <c r="AQ797" s="418"/>
      <c r="AR797" s="418"/>
      <c r="AS797" s="418"/>
      <c r="AT797" s="418"/>
      <c r="AU797" s="418"/>
      <c r="AV797" s="418"/>
      <c r="AW797" s="418"/>
      <c r="AX797" s="418"/>
      <c r="AY797" s="418"/>
      <c r="AZ797" s="418"/>
      <c r="BA797" s="418"/>
    </row>
    <row r="798" spans="40:53" ht="15.75" customHeight="1">
      <c r="AN798" s="418"/>
      <c r="AO798" s="418"/>
      <c r="AP798" s="418"/>
      <c r="AQ798" s="418"/>
      <c r="AR798" s="418"/>
      <c r="AS798" s="418"/>
      <c r="AT798" s="418"/>
      <c r="AU798" s="418"/>
      <c r="AV798" s="418"/>
      <c r="AW798" s="418"/>
      <c r="AX798" s="418"/>
      <c r="AY798" s="418"/>
      <c r="AZ798" s="418"/>
      <c r="BA798" s="418"/>
    </row>
    <row r="799" spans="40:53" ht="15.75" customHeight="1">
      <c r="AN799" s="418"/>
      <c r="AO799" s="418"/>
      <c r="AP799" s="418"/>
      <c r="AQ799" s="418"/>
      <c r="AR799" s="418"/>
      <c r="AS799" s="418"/>
      <c r="AT799" s="418"/>
      <c r="AU799" s="418"/>
      <c r="AV799" s="418"/>
      <c r="AW799" s="418"/>
      <c r="AX799" s="418"/>
      <c r="AY799" s="418"/>
      <c r="AZ799" s="418"/>
      <c r="BA799" s="418"/>
    </row>
    <row r="800" spans="40:53" ht="15.75" customHeight="1">
      <c r="AN800" s="418"/>
      <c r="AO800" s="418"/>
      <c r="AP800" s="418"/>
      <c r="AQ800" s="418"/>
      <c r="AR800" s="418"/>
      <c r="AS800" s="418"/>
      <c r="AT800" s="418"/>
      <c r="AU800" s="418"/>
      <c r="AV800" s="418"/>
      <c r="AW800" s="418"/>
      <c r="AX800" s="418"/>
      <c r="AY800" s="418"/>
      <c r="AZ800" s="418"/>
      <c r="BA800" s="418"/>
    </row>
    <row r="801" spans="40:53" ht="15.75" customHeight="1">
      <c r="AN801" s="418"/>
      <c r="AO801" s="418"/>
      <c r="AP801" s="418"/>
      <c r="AQ801" s="418"/>
      <c r="AR801" s="418"/>
      <c r="AS801" s="418"/>
      <c r="AT801" s="418"/>
      <c r="AU801" s="418"/>
      <c r="AV801" s="418"/>
      <c r="AW801" s="418"/>
      <c r="AX801" s="418"/>
      <c r="AY801" s="418"/>
      <c r="AZ801" s="418"/>
      <c r="BA801" s="418"/>
    </row>
    <row r="802" spans="40:53" ht="15.75" customHeight="1">
      <c r="AN802" s="418"/>
      <c r="AO802" s="418"/>
      <c r="AP802" s="418"/>
      <c r="AQ802" s="418"/>
      <c r="AR802" s="418"/>
      <c r="AS802" s="418"/>
      <c r="AT802" s="418"/>
      <c r="AU802" s="418"/>
      <c r="AV802" s="418"/>
      <c r="AW802" s="418"/>
      <c r="AX802" s="418"/>
      <c r="AY802" s="418"/>
      <c r="AZ802" s="418"/>
      <c r="BA802" s="418"/>
    </row>
    <row r="803" spans="40:53" ht="15.75" customHeight="1">
      <c r="AN803" s="418"/>
      <c r="AO803" s="418"/>
      <c r="AP803" s="418"/>
      <c r="AQ803" s="418"/>
      <c r="AR803" s="418"/>
      <c r="AS803" s="418"/>
      <c r="AT803" s="418"/>
      <c r="AU803" s="418"/>
      <c r="AV803" s="418"/>
      <c r="AW803" s="418"/>
      <c r="AX803" s="418"/>
      <c r="AY803" s="418"/>
      <c r="AZ803" s="418"/>
      <c r="BA803" s="418"/>
    </row>
    <row r="804" spans="40:53" ht="15.75" customHeight="1">
      <c r="AN804" s="418"/>
      <c r="AO804" s="418"/>
      <c r="AP804" s="418"/>
      <c r="AQ804" s="418"/>
      <c r="AR804" s="418"/>
      <c r="AS804" s="418"/>
      <c r="AT804" s="418"/>
      <c r="AU804" s="418"/>
      <c r="AV804" s="418"/>
      <c r="AW804" s="418"/>
      <c r="AX804" s="418"/>
      <c r="AY804" s="418"/>
      <c r="AZ804" s="418"/>
      <c r="BA804" s="418"/>
    </row>
    <row r="805" spans="40:53" ht="15.75" customHeight="1">
      <c r="AN805" s="418"/>
      <c r="AO805" s="418"/>
      <c r="AP805" s="418"/>
      <c r="AQ805" s="418"/>
      <c r="AR805" s="418"/>
      <c r="AS805" s="418"/>
      <c r="AT805" s="418"/>
      <c r="AU805" s="418"/>
      <c r="AV805" s="418"/>
      <c r="AW805" s="418"/>
      <c r="AX805" s="418"/>
      <c r="AY805" s="418"/>
      <c r="AZ805" s="418"/>
      <c r="BA805" s="418"/>
    </row>
    <row r="806" spans="40:53" ht="15.75" customHeight="1">
      <c r="AN806" s="418"/>
      <c r="AO806" s="418"/>
      <c r="AP806" s="418"/>
      <c r="AQ806" s="418"/>
      <c r="AR806" s="418"/>
      <c r="AS806" s="418"/>
      <c r="AT806" s="418"/>
      <c r="AU806" s="418"/>
      <c r="AV806" s="418"/>
      <c r="AW806" s="418"/>
      <c r="AX806" s="418"/>
      <c r="AY806" s="418"/>
      <c r="AZ806" s="418"/>
      <c r="BA806" s="418"/>
    </row>
    <row r="807" spans="40:53" ht="15.75" customHeight="1">
      <c r="AN807" s="418"/>
      <c r="AO807" s="418"/>
      <c r="AP807" s="418"/>
      <c r="AQ807" s="418"/>
      <c r="AR807" s="418"/>
      <c r="AS807" s="418"/>
      <c r="AT807" s="418"/>
      <c r="AU807" s="418"/>
      <c r="AV807" s="418"/>
      <c r="AW807" s="418"/>
      <c r="AX807" s="418"/>
      <c r="AY807" s="418"/>
      <c r="AZ807" s="418"/>
      <c r="BA807" s="418"/>
    </row>
    <row r="808" spans="40:53" ht="15.75" customHeight="1">
      <c r="AN808" s="418"/>
      <c r="AO808" s="418"/>
      <c r="AP808" s="418"/>
      <c r="AQ808" s="418"/>
      <c r="AR808" s="418"/>
      <c r="AS808" s="418"/>
      <c r="AT808" s="418"/>
      <c r="AU808" s="418"/>
      <c r="AV808" s="418"/>
      <c r="AW808" s="418"/>
      <c r="AX808" s="418"/>
      <c r="AY808" s="418"/>
      <c r="AZ808" s="418"/>
      <c r="BA808" s="418"/>
    </row>
    <row r="809" spans="40:53" ht="15.75" customHeight="1">
      <c r="AN809" s="418"/>
      <c r="AO809" s="418"/>
      <c r="AP809" s="418"/>
      <c r="AQ809" s="418"/>
      <c r="AR809" s="418"/>
      <c r="AS809" s="418"/>
      <c r="AT809" s="418"/>
      <c r="AU809" s="418"/>
      <c r="AV809" s="418"/>
      <c r="AW809" s="418"/>
      <c r="AX809" s="418"/>
      <c r="AY809" s="418"/>
      <c r="AZ809" s="418"/>
      <c r="BA809" s="418"/>
    </row>
    <row r="810" spans="40:53" ht="15.75" customHeight="1">
      <c r="AN810" s="418"/>
      <c r="AO810" s="418"/>
      <c r="AP810" s="418"/>
      <c r="AQ810" s="418"/>
      <c r="AR810" s="418"/>
      <c r="AS810" s="418"/>
      <c r="AT810" s="418"/>
      <c r="AU810" s="418"/>
      <c r="AV810" s="418"/>
      <c r="AW810" s="418"/>
      <c r="AX810" s="418"/>
      <c r="AY810" s="418"/>
      <c r="AZ810" s="418"/>
      <c r="BA810" s="418"/>
    </row>
    <row r="811" spans="40:53" ht="15.75" customHeight="1">
      <c r="AN811" s="418"/>
      <c r="AO811" s="418"/>
      <c r="AP811" s="418"/>
      <c r="AQ811" s="418"/>
      <c r="AR811" s="418"/>
      <c r="AS811" s="418"/>
      <c r="AT811" s="418"/>
      <c r="AU811" s="418"/>
      <c r="AV811" s="418"/>
      <c r="AW811" s="418"/>
      <c r="AX811" s="418"/>
      <c r="AY811" s="418"/>
      <c r="AZ811" s="418"/>
      <c r="BA811" s="418"/>
    </row>
    <row r="812" spans="40:53" ht="15.75" customHeight="1">
      <c r="AN812" s="418"/>
      <c r="AO812" s="418"/>
      <c r="AP812" s="418"/>
      <c r="AQ812" s="418"/>
      <c r="AR812" s="418"/>
      <c r="AS812" s="418"/>
      <c r="AT812" s="418"/>
      <c r="AU812" s="418"/>
      <c r="AV812" s="418"/>
      <c r="AW812" s="418"/>
      <c r="AX812" s="418"/>
      <c r="AY812" s="418"/>
      <c r="AZ812" s="418"/>
      <c r="BA812" s="418"/>
    </row>
    <row r="813" spans="40:53" ht="15.75" customHeight="1">
      <c r="AN813" s="418"/>
      <c r="AO813" s="418"/>
      <c r="AP813" s="418"/>
      <c r="AQ813" s="418"/>
      <c r="AR813" s="418"/>
      <c r="AS813" s="418"/>
      <c r="AT813" s="418"/>
      <c r="AU813" s="418"/>
      <c r="AV813" s="418"/>
      <c r="AW813" s="418"/>
      <c r="AX813" s="418"/>
      <c r="AY813" s="418"/>
      <c r="AZ813" s="418"/>
      <c r="BA813" s="418"/>
    </row>
    <row r="814" spans="40:53" ht="15.75" customHeight="1">
      <c r="AN814" s="418"/>
      <c r="AO814" s="418"/>
      <c r="AP814" s="418"/>
      <c r="AQ814" s="418"/>
      <c r="AR814" s="418"/>
      <c r="AS814" s="418"/>
      <c r="AT814" s="418"/>
      <c r="AU814" s="418"/>
      <c r="AV814" s="418"/>
      <c r="AW814" s="418"/>
      <c r="AX814" s="418"/>
      <c r="AY814" s="418"/>
      <c r="AZ814" s="418"/>
      <c r="BA814" s="418"/>
    </row>
    <row r="815" spans="40:53" ht="15.75" customHeight="1">
      <c r="AN815" s="418"/>
      <c r="AO815" s="418"/>
      <c r="AP815" s="418"/>
      <c r="AQ815" s="418"/>
      <c r="AR815" s="418"/>
      <c r="AS815" s="418"/>
      <c r="AT815" s="418"/>
      <c r="AU815" s="418"/>
      <c r="AV815" s="418"/>
      <c r="AW815" s="418"/>
      <c r="AX815" s="418"/>
      <c r="AY815" s="418"/>
      <c r="AZ815" s="418"/>
      <c r="BA815" s="418"/>
    </row>
    <row r="816" spans="40:53" ht="15.75" customHeight="1">
      <c r="AN816" s="418"/>
      <c r="AO816" s="418"/>
      <c r="AP816" s="418"/>
      <c r="AQ816" s="418"/>
      <c r="AR816" s="418"/>
      <c r="AS816" s="418"/>
      <c r="AT816" s="418"/>
      <c r="AU816" s="418"/>
      <c r="AV816" s="418"/>
      <c r="AW816" s="418"/>
      <c r="AX816" s="418"/>
      <c r="AY816" s="418"/>
      <c r="AZ816" s="418"/>
      <c r="BA816" s="418"/>
    </row>
    <row r="817" spans="40:53" ht="15.75" customHeight="1">
      <c r="AN817" s="418"/>
      <c r="AO817" s="418"/>
      <c r="AP817" s="418"/>
      <c r="AQ817" s="418"/>
      <c r="AR817" s="418"/>
      <c r="AS817" s="418"/>
      <c r="AT817" s="418"/>
      <c r="AU817" s="418"/>
      <c r="AV817" s="418"/>
      <c r="AW817" s="418"/>
      <c r="AX817" s="418"/>
      <c r="AY817" s="418"/>
      <c r="AZ817" s="418"/>
      <c r="BA817" s="418"/>
    </row>
    <row r="818" spans="40:53" ht="15.75" customHeight="1">
      <c r="AN818" s="418"/>
      <c r="AO818" s="418"/>
      <c r="AP818" s="418"/>
      <c r="AQ818" s="418"/>
      <c r="AR818" s="418"/>
      <c r="AS818" s="418"/>
      <c r="AT818" s="418"/>
      <c r="AU818" s="418"/>
      <c r="AV818" s="418"/>
      <c r="AW818" s="418"/>
      <c r="AX818" s="418"/>
      <c r="AY818" s="418"/>
      <c r="AZ818" s="418"/>
      <c r="BA818" s="418"/>
    </row>
    <row r="819" spans="40:53" ht="15.75" customHeight="1">
      <c r="AN819" s="418"/>
      <c r="AO819" s="418"/>
      <c r="AP819" s="418"/>
      <c r="AQ819" s="418"/>
      <c r="AR819" s="418"/>
      <c r="AS819" s="418"/>
      <c r="AT819" s="418"/>
      <c r="AU819" s="418"/>
      <c r="AV819" s="418"/>
      <c r="AW819" s="418"/>
      <c r="AX819" s="418"/>
      <c r="AY819" s="418"/>
      <c r="AZ819" s="418"/>
      <c r="BA819" s="418"/>
    </row>
    <row r="820" spans="40:53" ht="15.75" customHeight="1">
      <c r="AN820" s="418"/>
      <c r="AO820" s="418"/>
      <c r="AP820" s="418"/>
      <c r="AQ820" s="418"/>
      <c r="AR820" s="418"/>
      <c r="AS820" s="418"/>
      <c r="AT820" s="418"/>
      <c r="AU820" s="418"/>
      <c r="AV820" s="418"/>
      <c r="AW820" s="418"/>
      <c r="AX820" s="418"/>
      <c r="AY820" s="418"/>
      <c r="AZ820" s="418"/>
      <c r="BA820" s="418"/>
    </row>
    <row r="821" spans="40:53" ht="15.75" customHeight="1">
      <c r="AN821" s="418"/>
      <c r="AO821" s="418"/>
      <c r="AP821" s="418"/>
      <c r="AQ821" s="418"/>
      <c r="AR821" s="418"/>
      <c r="AS821" s="418"/>
      <c r="AT821" s="418"/>
      <c r="AU821" s="418"/>
      <c r="AV821" s="418"/>
      <c r="AW821" s="418"/>
      <c r="AX821" s="418"/>
      <c r="AY821" s="418"/>
      <c r="AZ821" s="418"/>
      <c r="BA821" s="418"/>
    </row>
    <row r="822" spans="40:53" ht="15.75" customHeight="1">
      <c r="AN822" s="418"/>
      <c r="AO822" s="418"/>
      <c r="AP822" s="418"/>
      <c r="AQ822" s="418"/>
      <c r="AR822" s="418"/>
      <c r="AS822" s="418"/>
      <c r="AT822" s="418"/>
      <c r="AU822" s="418"/>
      <c r="AV822" s="418"/>
      <c r="AW822" s="418"/>
      <c r="AX822" s="418"/>
      <c r="AY822" s="418"/>
      <c r="AZ822" s="418"/>
      <c r="BA822" s="418"/>
    </row>
    <row r="823" spans="40:53" ht="15.75" customHeight="1">
      <c r="AN823" s="418"/>
      <c r="AO823" s="418"/>
      <c r="AP823" s="418"/>
      <c r="AQ823" s="418"/>
      <c r="AR823" s="418"/>
      <c r="AS823" s="418"/>
      <c r="AT823" s="418"/>
      <c r="AU823" s="418"/>
      <c r="AV823" s="418"/>
      <c r="AW823" s="418"/>
      <c r="AX823" s="418"/>
      <c r="AY823" s="418"/>
      <c r="AZ823" s="418"/>
      <c r="BA823" s="418"/>
    </row>
    <row r="824" spans="40:53" ht="15.75" customHeight="1">
      <c r="AN824" s="418"/>
      <c r="AO824" s="418"/>
      <c r="AP824" s="418"/>
      <c r="AQ824" s="418"/>
      <c r="AR824" s="418"/>
      <c r="AS824" s="418"/>
      <c r="AT824" s="418"/>
      <c r="AU824" s="418"/>
      <c r="AV824" s="418"/>
      <c r="AW824" s="418"/>
      <c r="AX824" s="418"/>
      <c r="AY824" s="418"/>
      <c r="AZ824" s="418"/>
      <c r="BA824" s="418"/>
    </row>
    <row r="825" spans="40:53" ht="15.75" customHeight="1">
      <c r="AN825" s="418"/>
      <c r="AO825" s="418"/>
      <c r="AP825" s="418"/>
      <c r="AQ825" s="418"/>
      <c r="AR825" s="418"/>
      <c r="AS825" s="418"/>
      <c r="AT825" s="418"/>
      <c r="AU825" s="418"/>
      <c r="AV825" s="418"/>
      <c r="AW825" s="418"/>
      <c r="AX825" s="418"/>
      <c r="AY825" s="418"/>
      <c r="AZ825" s="418"/>
      <c r="BA825" s="418"/>
    </row>
    <row r="826" spans="40:53" ht="15.75" customHeight="1">
      <c r="AN826" s="418"/>
      <c r="AO826" s="418"/>
      <c r="AP826" s="418"/>
      <c r="AQ826" s="418"/>
      <c r="AR826" s="418"/>
      <c r="AS826" s="418"/>
      <c r="AT826" s="418"/>
      <c r="AU826" s="418"/>
      <c r="AV826" s="418"/>
      <c r="AW826" s="418"/>
      <c r="AX826" s="418"/>
      <c r="AY826" s="418"/>
      <c r="AZ826" s="418"/>
      <c r="BA826" s="418"/>
    </row>
    <row r="827" spans="40:53" ht="15.75" customHeight="1">
      <c r="AN827" s="418"/>
      <c r="AO827" s="418"/>
      <c r="AP827" s="418"/>
      <c r="AQ827" s="418"/>
      <c r="AR827" s="418"/>
      <c r="AS827" s="418"/>
      <c r="AT827" s="418"/>
      <c r="AU827" s="418"/>
      <c r="AV827" s="418"/>
      <c r="AW827" s="418"/>
      <c r="AX827" s="418"/>
      <c r="AY827" s="418"/>
      <c r="AZ827" s="418"/>
      <c r="BA827" s="418"/>
    </row>
    <row r="828" spans="40:53" ht="15.75" customHeight="1">
      <c r="AN828" s="418"/>
      <c r="AO828" s="418"/>
      <c r="AP828" s="418"/>
      <c r="AQ828" s="418"/>
      <c r="AR828" s="418"/>
      <c r="AS828" s="418"/>
      <c r="AT828" s="418"/>
      <c r="AU828" s="418"/>
      <c r="AV828" s="418"/>
      <c r="AW828" s="418"/>
      <c r="AX828" s="418"/>
      <c r="AY828" s="418"/>
      <c r="AZ828" s="418"/>
      <c r="BA828" s="418"/>
    </row>
    <row r="829" spans="40:53" ht="15.75" customHeight="1">
      <c r="AN829" s="418"/>
      <c r="AO829" s="418"/>
      <c r="AP829" s="418"/>
      <c r="AQ829" s="418"/>
      <c r="AR829" s="418"/>
      <c r="AS829" s="418"/>
      <c r="AT829" s="418"/>
      <c r="AU829" s="418"/>
      <c r="AV829" s="418"/>
      <c r="AW829" s="418"/>
      <c r="AX829" s="418"/>
      <c r="AY829" s="418"/>
      <c r="AZ829" s="418"/>
      <c r="BA829" s="418"/>
    </row>
    <row r="830" spans="40:53" ht="15.75" customHeight="1">
      <c r="AN830" s="418"/>
      <c r="AO830" s="418"/>
      <c r="AP830" s="418"/>
      <c r="AQ830" s="418"/>
      <c r="AR830" s="418"/>
      <c r="AS830" s="418"/>
      <c r="AT830" s="418"/>
      <c r="AU830" s="418"/>
      <c r="AV830" s="418"/>
      <c r="AW830" s="418"/>
      <c r="AX830" s="418"/>
      <c r="AY830" s="418"/>
      <c r="AZ830" s="418"/>
      <c r="BA830" s="418"/>
    </row>
    <row r="831" spans="40:53" ht="15.75" customHeight="1">
      <c r="AN831" s="418"/>
      <c r="AO831" s="418"/>
      <c r="AP831" s="418"/>
      <c r="AQ831" s="418"/>
      <c r="AR831" s="418"/>
      <c r="AS831" s="418"/>
      <c r="AT831" s="418"/>
      <c r="AU831" s="418"/>
      <c r="AV831" s="418"/>
      <c r="AW831" s="418"/>
      <c r="AX831" s="418"/>
      <c r="AY831" s="418"/>
      <c r="AZ831" s="418"/>
      <c r="BA831" s="418"/>
    </row>
    <row r="832" spans="40:53" ht="15.75" customHeight="1">
      <c r="AN832" s="418"/>
      <c r="AO832" s="418"/>
      <c r="AP832" s="418"/>
      <c r="AQ832" s="418"/>
      <c r="AR832" s="418"/>
      <c r="AS832" s="418"/>
      <c r="AT832" s="418"/>
      <c r="AU832" s="418"/>
      <c r="AV832" s="418"/>
      <c r="AW832" s="418"/>
      <c r="AX832" s="418"/>
      <c r="AY832" s="418"/>
      <c r="AZ832" s="418"/>
      <c r="BA832" s="418"/>
    </row>
    <row r="833" spans="40:53" ht="15.75" customHeight="1">
      <c r="AN833" s="418"/>
      <c r="AO833" s="418"/>
      <c r="AP833" s="418"/>
      <c r="AQ833" s="418"/>
      <c r="AR833" s="418"/>
      <c r="AS833" s="418"/>
      <c r="AT833" s="418"/>
      <c r="AU833" s="418"/>
      <c r="AV833" s="418"/>
      <c r="AW833" s="418"/>
      <c r="AX833" s="418"/>
      <c r="AY833" s="418"/>
      <c r="AZ833" s="418"/>
      <c r="BA833" s="418"/>
    </row>
    <row r="834" spans="40:53" ht="15.75" customHeight="1">
      <c r="AN834" s="418"/>
      <c r="AO834" s="418"/>
      <c r="AP834" s="418"/>
      <c r="AQ834" s="418"/>
      <c r="AR834" s="418"/>
      <c r="AS834" s="418"/>
      <c r="AT834" s="418"/>
      <c r="AU834" s="418"/>
      <c r="AV834" s="418"/>
      <c r="AW834" s="418"/>
      <c r="AX834" s="418"/>
      <c r="AY834" s="418"/>
      <c r="AZ834" s="418"/>
      <c r="BA834" s="418"/>
    </row>
    <row r="835" spans="40:53" ht="15.75" customHeight="1">
      <c r="AN835" s="418"/>
      <c r="AO835" s="418"/>
      <c r="AP835" s="418"/>
      <c r="AQ835" s="418"/>
      <c r="AR835" s="418"/>
      <c r="AS835" s="418"/>
      <c r="AT835" s="418"/>
      <c r="AU835" s="418"/>
      <c r="AV835" s="418"/>
      <c r="AW835" s="418"/>
      <c r="AX835" s="418"/>
      <c r="AY835" s="418"/>
      <c r="AZ835" s="418"/>
      <c r="BA835" s="418"/>
    </row>
    <row r="836" spans="40:53" ht="15.75" customHeight="1">
      <c r="AN836" s="418"/>
      <c r="AO836" s="418"/>
      <c r="AP836" s="418"/>
      <c r="AQ836" s="418"/>
      <c r="AR836" s="418"/>
      <c r="AS836" s="418"/>
      <c r="AT836" s="418"/>
      <c r="AU836" s="418"/>
      <c r="AV836" s="418"/>
      <c r="AW836" s="418"/>
      <c r="AX836" s="418"/>
      <c r="AY836" s="418"/>
      <c r="AZ836" s="418"/>
      <c r="BA836" s="418"/>
    </row>
    <row r="837" spans="40:53" ht="15.75" customHeight="1">
      <c r="AN837" s="418"/>
      <c r="AO837" s="418"/>
      <c r="AP837" s="418"/>
      <c r="AQ837" s="418"/>
      <c r="AR837" s="418"/>
      <c r="AS837" s="418"/>
      <c r="AT837" s="418"/>
      <c r="AU837" s="418"/>
      <c r="AV837" s="418"/>
      <c r="AW837" s="418"/>
      <c r="AX837" s="418"/>
      <c r="AY837" s="418"/>
      <c r="AZ837" s="418"/>
      <c r="BA837" s="418"/>
    </row>
    <row r="838" spans="40:53" ht="15.75" customHeight="1">
      <c r="AN838" s="418"/>
      <c r="AO838" s="418"/>
      <c r="AP838" s="418"/>
      <c r="AQ838" s="418"/>
      <c r="AR838" s="418"/>
      <c r="AS838" s="418"/>
      <c r="AT838" s="418"/>
      <c r="AU838" s="418"/>
      <c r="AV838" s="418"/>
      <c r="AW838" s="418"/>
      <c r="AX838" s="418"/>
      <c r="AY838" s="418"/>
      <c r="AZ838" s="418"/>
      <c r="BA838" s="418"/>
    </row>
    <row r="839" spans="40:53" ht="15.75" customHeight="1">
      <c r="AN839" s="418"/>
      <c r="AO839" s="418"/>
      <c r="AP839" s="418"/>
      <c r="AQ839" s="418"/>
      <c r="AR839" s="418"/>
      <c r="AS839" s="418"/>
      <c r="AT839" s="418"/>
      <c r="AU839" s="418"/>
      <c r="AV839" s="418"/>
      <c r="AW839" s="418"/>
      <c r="AX839" s="418"/>
      <c r="AY839" s="418"/>
      <c r="AZ839" s="418"/>
      <c r="BA839" s="418"/>
    </row>
    <row r="840" spans="40:53" ht="15.75" customHeight="1">
      <c r="AN840" s="418"/>
      <c r="AO840" s="418"/>
      <c r="AP840" s="418"/>
      <c r="AQ840" s="418"/>
      <c r="AR840" s="418"/>
      <c r="AS840" s="418"/>
      <c r="AT840" s="418"/>
      <c r="AU840" s="418"/>
      <c r="AV840" s="418"/>
      <c r="AW840" s="418"/>
      <c r="AX840" s="418"/>
      <c r="AY840" s="418"/>
      <c r="AZ840" s="418"/>
      <c r="BA840" s="418"/>
    </row>
    <row r="841" spans="40:53" ht="15.75" customHeight="1">
      <c r="AN841" s="418"/>
      <c r="AO841" s="418"/>
      <c r="AP841" s="418"/>
      <c r="AQ841" s="418"/>
      <c r="AR841" s="418"/>
      <c r="AS841" s="418"/>
      <c r="AT841" s="418"/>
      <c r="AU841" s="418"/>
      <c r="AV841" s="418"/>
      <c r="AW841" s="418"/>
      <c r="AX841" s="418"/>
      <c r="AY841" s="418"/>
      <c r="AZ841" s="418"/>
      <c r="BA841" s="418"/>
    </row>
    <row r="842" spans="40:53" ht="15.75" customHeight="1">
      <c r="AN842" s="418"/>
      <c r="AO842" s="418"/>
      <c r="AP842" s="418"/>
      <c r="AQ842" s="418"/>
      <c r="AR842" s="418"/>
      <c r="AS842" s="418"/>
      <c r="AT842" s="418"/>
      <c r="AU842" s="418"/>
      <c r="AV842" s="418"/>
      <c r="AW842" s="418"/>
      <c r="AX842" s="418"/>
      <c r="AY842" s="418"/>
      <c r="AZ842" s="418"/>
      <c r="BA842" s="418"/>
    </row>
    <row r="843" spans="40:53" ht="15.75" customHeight="1">
      <c r="AN843" s="418"/>
      <c r="AO843" s="418"/>
      <c r="AP843" s="418"/>
      <c r="AQ843" s="418"/>
      <c r="AR843" s="418"/>
      <c r="AS843" s="418"/>
      <c r="AT843" s="418"/>
      <c r="AU843" s="418"/>
      <c r="AV843" s="418"/>
      <c r="AW843" s="418"/>
      <c r="AX843" s="418"/>
      <c r="AY843" s="418"/>
      <c r="AZ843" s="418"/>
      <c r="BA843" s="418"/>
    </row>
    <row r="844" spans="40:53" ht="15.75" customHeight="1">
      <c r="AN844" s="418"/>
      <c r="AO844" s="418"/>
      <c r="AP844" s="418"/>
      <c r="AQ844" s="418"/>
      <c r="AR844" s="418"/>
      <c r="AS844" s="418"/>
      <c r="AT844" s="418"/>
      <c r="AU844" s="418"/>
      <c r="AV844" s="418"/>
      <c r="AW844" s="418"/>
      <c r="AX844" s="418"/>
      <c r="AY844" s="418"/>
      <c r="AZ844" s="418"/>
      <c r="BA844" s="418"/>
    </row>
    <row r="845" spans="40:53" ht="15.75" customHeight="1">
      <c r="AN845" s="418"/>
      <c r="AO845" s="418"/>
      <c r="AP845" s="418"/>
      <c r="AQ845" s="418"/>
      <c r="AR845" s="418"/>
      <c r="AS845" s="418"/>
      <c r="AT845" s="418"/>
      <c r="AU845" s="418"/>
      <c r="AV845" s="418"/>
      <c r="AW845" s="418"/>
      <c r="AX845" s="418"/>
      <c r="AY845" s="418"/>
      <c r="AZ845" s="418"/>
      <c r="BA845" s="418"/>
    </row>
    <row r="846" spans="40:53" ht="15.75" customHeight="1">
      <c r="AN846" s="418"/>
      <c r="AO846" s="418"/>
      <c r="AP846" s="418"/>
      <c r="AQ846" s="418"/>
      <c r="AR846" s="418"/>
      <c r="AS846" s="418"/>
      <c r="AT846" s="418"/>
      <c r="AU846" s="418"/>
      <c r="AV846" s="418"/>
      <c r="AW846" s="418"/>
      <c r="AX846" s="418"/>
      <c r="AY846" s="418"/>
      <c r="AZ846" s="418"/>
      <c r="BA846" s="418"/>
    </row>
    <row r="847" spans="40:53" ht="15.75" customHeight="1">
      <c r="AN847" s="418"/>
      <c r="AO847" s="418"/>
      <c r="AP847" s="418"/>
      <c r="AQ847" s="418"/>
      <c r="AR847" s="418"/>
      <c r="AS847" s="418"/>
      <c r="AT847" s="418"/>
      <c r="AU847" s="418"/>
      <c r="AV847" s="418"/>
      <c r="AW847" s="418"/>
      <c r="AX847" s="418"/>
      <c r="AY847" s="418"/>
      <c r="AZ847" s="418"/>
      <c r="BA847" s="418"/>
    </row>
    <row r="848" spans="40:53" ht="15.75" customHeight="1">
      <c r="AN848" s="418"/>
      <c r="AO848" s="418"/>
      <c r="AP848" s="418"/>
      <c r="AQ848" s="418"/>
      <c r="AR848" s="418"/>
      <c r="AS848" s="418"/>
      <c r="AT848" s="418"/>
      <c r="AU848" s="418"/>
      <c r="AV848" s="418"/>
      <c r="AW848" s="418"/>
      <c r="AX848" s="418"/>
      <c r="AY848" s="418"/>
      <c r="AZ848" s="418"/>
      <c r="BA848" s="418"/>
    </row>
    <row r="849" spans="40:53" ht="15.75" customHeight="1">
      <c r="AN849" s="418"/>
      <c r="AO849" s="418"/>
      <c r="AP849" s="418"/>
      <c r="AQ849" s="418"/>
      <c r="AR849" s="418"/>
      <c r="AS849" s="418"/>
      <c r="AT849" s="418"/>
      <c r="AU849" s="418"/>
      <c r="AV849" s="418"/>
      <c r="AW849" s="418"/>
      <c r="AX849" s="418"/>
      <c r="AY849" s="418"/>
      <c r="AZ849" s="418"/>
      <c r="BA849" s="418"/>
    </row>
    <row r="850" spans="40:53" ht="15.75" customHeight="1">
      <c r="AN850" s="418"/>
      <c r="AO850" s="418"/>
      <c r="AP850" s="418"/>
      <c r="AQ850" s="418"/>
      <c r="AR850" s="418"/>
      <c r="AS850" s="418"/>
      <c r="AT850" s="418"/>
      <c r="AU850" s="418"/>
      <c r="AV850" s="418"/>
      <c r="AW850" s="418"/>
      <c r="AX850" s="418"/>
      <c r="AY850" s="418"/>
      <c r="AZ850" s="418"/>
      <c r="BA850" s="418"/>
    </row>
    <row r="851" spans="40:53" ht="15.75" customHeight="1">
      <c r="AN851" s="418"/>
      <c r="AO851" s="418"/>
      <c r="AP851" s="418"/>
      <c r="AQ851" s="418"/>
      <c r="AR851" s="418"/>
      <c r="AS851" s="418"/>
      <c r="AT851" s="418"/>
      <c r="AU851" s="418"/>
      <c r="AV851" s="418"/>
      <c r="AW851" s="418"/>
      <c r="AX851" s="418"/>
      <c r="AY851" s="418"/>
      <c r="AZ851" s="418"/>
      <c r="BA851" s="418"/>
    </row>
    <row r="852" spans="40:53" ht="15.75" customHeight="1">
      <c r="AN852" s="418"/>
      <c r="AO852" s="418"/>
      <c r="AP852" s="418"/>
      <c r="AQ852" s="418"/>
      <c r="AR852" s="418"/>
      <c r="AS852" s="418"/>
      <c r="AT852" s="418"/>
      <c r="AU852" s="418"/>
      <c r="AV852" s="418"/>
      <c r="AW852" s="418"/>
      <c r="AX852" s="418"/>
      <c r="AY852" s="418"/>
      <c r="AZ852" s="418"/>
      <c r="BA852" s="418"/>
    </row>
    <row r="853" spans="40:53" ht="15.75" customHeight="1">
      <c r="AN853" s="418"/>
      <c r="AO853" s="418"/>
      <c r="AP853" s="418"/>
      <c r="AQ853" s="418"/>
      <c r="AR853" s="418"/>
      <c r="AS853" s="418"/>
      <c r="AT853" s="418"/>
      <c r="AU853" s="418"/>
      <c r="AV853" s="418"/>
      <c r="AW853" s="418"/>
      <c r="AX853" s="418"/>
      <c r="AY853" s="418"/>
      <c r="AZ853" s="418"/>
      <c r="BA853" s="418"/>
    </row>
    <row r="854" spans="40:53" ht="15.75" customHeight="1">
      <c r="AN854" s="418"/>
      <c r="AO854" s="418"/>
      <c r="AP854" s="418"/>
      <c r="AQ854" s="418"/>
      <c r="AR854" s="418"/>
      <c r="AS854" s="418"/>
      <c r="AT854" s="418"/>
      <c r="AU854" s="418"/>
      <c r="AV854" s="418"/>
      <c r="AW854" s="418"/>
      <c r="AX854" s="418"/>
      <c r="AY854" s="418"/>
      <c r="AZ854" s="418"/>
      <c r="BA854" s="418"/>
    </row>
    <row r="855" spans="40:53" ht="15.75" customHeight="1">
      <c r="AN855" s="418"/>
      <c r="AO855" s="418"/>
      <c r="AP855" s="418"/>
      <c r="AQ855" s="418"/>
      <c r="AR855" s="418"/>
      <c r="AS855" s="418"/>
      <c r="AT855" s="418"/>
      <c r="AU855" s="418"/>
      <c r="AV855" s="418"/>
      <c r="AW855" s="418"/>
      <c r="AX855" s="418"/>
      <c r="AY855" s="418"/>
      <c r="AZ855" s="418"/>
      <c r="BA855" s="418"/>
    </row>
    <row r="856" spans="40:53" ht="15.75" customHeight="1">
      <c r="AN856" s="418"/>
      <c r="AO856" s="418"/>
      <c r="AP856" s="418"/>
      <c r="AQ856" s="418"/>
      <c r="AR856" s="418"/>
      <c r="AS856" s="418"/>
      <c r="AT856" s="418"/>
      <c r="AU856" s="418"/>
      <c r="AV856" s="418"/>
      <c r="AW856" s="418"/>
      <c r="AX856" s="418"/>
      <c r="AY856" s="418"/>
      <c r="AZ856" s="418"/>
      <c r="BA856" s="418"/>
    </row>
    <row r="857" spans="40:53" ht="15.75" customHeight="1">
      <c r="AN857" s="418"/>
      <c r="AO857" s="418"/>
      <c r="AP857" s="418"/>
      <c r="AQ857" s="418"/>
      <c r="AR857" s="418"/>
      <c r="AS857" s="418"/>
      <c r="AT857" s="418"/>
      <c r="AU857" s="418"/>
      <c r="AV857" s="418"/>
      <c r="AW857" s="418"/>
      <c r="AX857" s="418"/>
      <c r="AY857" s="418"/>
      <c r="AZ857" s="418"/>
      <c r="BA857" s="418"/>
    </row>
    <row r="858" spans="40:53" ht="15.75" customHeight="1">
      <c r="AN858" s="418"/>
      <c r="AO858" s="418"/>
      <c r="AP858" s="418"/>
      <c r="AQ858" s="418"/>
      <c r="AR858" s="418"/>
      <c r="AS858" s="418"/>
      <c r="AT858" s="418"/>
      <c r="AU858" s="418"/>
      <c r="AV858" s="418"/>
      <c r="AW858" s="418"/>
      <c r="AX858" s="418"/>
      <c r="AY858" s="418"/>
      <c r="AZ858" s="418"/>
      <c r="BA858" s="418"/>
    </row>
    <row r="859" spans="40:53" ht="15.75" customHeight="1">
      <c r="AN859" s="418"/>
      <c r="AO859" s="418"/>
      <c r="AP859" s="418"/>
      <c r="AQ859" s="418"/>
      <c r="AR859" s="418"/>
      <c r="AS859" s="418"/>
      <c r="AT859" s="418"/>
      <c r="AU859" s="418"/>
      <c r="AV859" s="418"/>
      <c r="AW859" s="418"/>
      <c r="AX859" s="418"/>
      <c r="AY859" s="418"/>
      <c r="AZ859" s="418"/>
      <c r="BA859" s="418"/>
    </row>
    <row r="860" spans="40:53" ht="15.75" customHeight="1">
      <c r="AN860" s="418"/>
      <c r="AO860" s="418"/>
      <c r="AP860" s="418"/>
      <c r="AQ860" s="418"/>
      <c r="AR860" s="418"/>
      <c r="AS860" s="418"/>
      <c r="AT860" s="418"/>
      <c r="AU860" s="418"/>
      <c r="AV860" s="418"/>
      <c r="AW860" s="418"/>
      <c r="AX860" s="418"/>
      <c r="AY860" s="418"/>
      <c r="AZ860" s="418"/>
      <c r="BA860" s="418"/>
    </row>
    <row r="861" spans="40:53" ht="15.75" customHeight="1">
      <c r="AN861" s="418"/>
      <c r="AO861" s="418"/>
      <c r="AP861" s="418"/>
      <c r="AQ861" s="418"/>
      <c r="AR861" s="418"/>
      <c r="AS861" s="418"/>
      <c r="AT861" s="418"/>
      <c r="AU861" s="418"/>
      <c r="AV861" s="418"/>
      <c r="AW861" s="418"/>
      <c r="AX861" s="418"/>
      <c r="AY861" s="418"/>
      <c r="AZ861" s="418"/>
      <c r="BA861" s="418"/>
    </row>
    <row r="862" spans="40:53" ht="15.75" customHeight="1">
      <c r="AN862" s="418"/>
      <c r="AO862" s="418"/>
      <c r="AP862" s="418"/>
      <c r="AQ862" s="418"/>
      <c r="AR862" s="418"/>
      <c r="AS862" s="418"/>
      <c r="AT862" s="418"/>
      <c r="AU862" s="418"/>
      <c r="AV862" s="418"/>
      <c r="AW862" s="418"/>
      <c r="AX862" s="418"/>
      <c r="AY862" s="418"/>
      <c r="AZ862" s="418"/>
      <c r="BA862" s="418"/>
    </row>
    <row r="863" spans="40:53" ht="15.75" customHeight="1">
      <c r="AN863" s="418"/>
      <c r="AO863" s="418"/>
      <c r="AP863" s="418"/>
      <c r="AQ863" s="418"/>
      <c r="AR863" s="418"/>
      <c r="AS863" s="418"/>
      <c r="AT863" s="418"/>
      <c r="AU863" s="418"/>
      <c r="AV863" s="418"/>
      <c r="AW863" s="418"/>
      <c r="AX863" s="418"/>
      <c r="AY863" s="418"/>
      <c r="AZ863" s="418"/>
      <c r="BA863" s="418"/>
    </row>
    <row r="864" spans="40:53" ht="15.75" customHeight="1">
      <c r="AN864" s="418"/>
      <c r="AO864" s="418"/>
      <c r="AP864" s="418"/>
      <c r="AQ864" s="418"/>
      <c r="AR864" s="418"/>
      <c r="AS864" s="418"/>
      <c r="AT864" s="418"/>
      <c r="AU864" s="418"/>
      <c r="AV864" s="418"/>
      <c r="AW864" s="418"/>
      <c r="AX864" s="418"/>
      <c r="AY864" s="418"/>
      <c r="AZ864" s="418"/>
      <c r="BA864" s="418"/>
    </row>
    <row r="865" spans="40:53" ht="15.75" customHeight="1">
      <c r="AN865" s="418"/>
      <c r="AO865" s="418"/>
      <c r="AP865" s="418"/>
      <c r="AQ865" s="418"/>
      <c r="AR865" s="418"/>
      <c r="AS865" s="418"/>
      <c r="AT865" s="418"/>
      <c r="AU865" s="418"/>
      <c r="AV865" s="418"/>
      <c r="AW865" s="418"/>
      <c r="AX865" s="418"/>
      <c r="AY865" s="418"/>
      <c r="AZ865" s="418"/>
      <c r="BA865" s="418"/>
    </row>
    <row r="866" spans="40:53" ht="15.75" customHeight="1">
      <c r="AN866" s="418"/>
      <c r="AO866" s="418"/>
      <c r="AP866" s="418"/>
      <c r="AQ866" s="418"/>
      <c r="AR866" s="418"/>
      <c r="AS866" s="418"/>
      <c r="AT866" s="418"/>
      <c r="AU866" s="418"/>
      <c r="AV866" s="418"/>
      <c r="AW866" s="418"/>
      <c r="AX866" s="418"/>
      <c r="AY866" s="418"/>
      <c r="AZ866" s="418"/>
      <c r="BA866" s="418"/>
    </row>
    <row r="867" spans="40:53" ht="15.75" customHeight="1">
      <c r="AN867" s="418"/>
      <c r="AO867" s="418"/>
      <c r="AP867" s="418"/>
      <c r="AQ867" s="418"/>
      <c r="AR867" s="418"/>
      <c r="AS867" s="418"/>
      <c r="AT867" s="418"/>
      <c r="AU867" s="418"/>
      <c r="AV867" s="418"/>
      <c r="AW867" s="418"/>
      <c r="AX867" s="418"/>
      <c r="AY867" s="418"/>
      <c r="AZ867" s="418"/>
      <c r="BA867" s="418"/>
    </row>
    <row r="868" spans="40:53" ht="15.75" customHeight="1">
      <c r="AN868" s="418"/>
      <c r="AO868" s="418"/>
      <c r="AP868" s="418"/>
      <c r="AQ868" s="418"/>
      <c r="AR868" s="418"/>
      <c r="AS868" s="418"/>
      <c r="AT868" s="418"/>
      <c r="AU868" s="418"/>
      <c r="AV868" s="418"/>
      <c r="AW868" s="418"/>
      <c r="AX868" s="418"/>
      <c r="AY868" s="418"/>
      <c r="AZ868" s="418"/>
      <c r="BA868" s="418"/>
    </row>
    <row r="869" spans="40:53" ht="15.75" customHeight="1">
      <c r="AN869" s="418"/>
      <c r="AO869" s="418"/>
      <c r="AP869" s="418"/>
      <c r="AQ869" s="418"/>
      <c r="AR869" s="418"/>
      <c r="AS869" s="418"/>
      <c r="AT869" s="418"/>
      <c r="AU869" s="418"/>
      <c r="AV869" s="418"/>
      <c r="AW869" s="418"/>
      <c r="AX869" s="418"/>
      <c r="AY869" s="418"/>
      <c r="AZ869" s="418"/>
      <c r="BA869" s="418"/>
    </row>
    <row r="870" spans="40:53" ht="15.75" customHeight="1">
      <c r="AN870" s="418"/>
      <c r="AO870" s="418"/>
      <c r="AP870" s="418"/>
      <c r="AQ870" s="418"/>
      <c r="AR870" s="418"/>
      <c r="AS870" s="418"/>
      <c r="AT870" s="418"/>
      <c r="AU870" s="418"/>
      <c r="AV870" s="418"/>
      <c r="AW870" s="418"/>
      <c r="AX870" s="418"/>
      <c r="AY870" s="418"/>
      <c r="AZ870" s="418"/>
      <c r="BA870" s="418"/>
    </row>
    <row r="871" spans="40:53" ht="15.75" customHeight="1">
      <c r="AN871" s="418"/>
      <c r="AO871" s="418"/>
      <c r="AP871" s="418"/>
      <c r="AQ871" s="418"/>
      <c r="AR871" s="418"/>
      <c r="AS871" s="418"/>
      <c r="AT871" s="418"/>
      <c r="AU871" s="418"/>
      <c r="AV871" s="418"/>
      <c r="AW871" s="418"/>
      <c r="AX871" s="418"/>
      <c r="AY871" s="418"/>
      <c r="AZ871" s="418"/>
      <c r="BA871" s="418"/>
    </row>
    <row r="872" spans="40:53" ht="15.75" customHeight="1">
      <c r="AN872" s="418"/>
      <c r="AO872" s="418"/>
      <c r="AP872" s="418"/>
      <c r="AQ872" s="418"/>
      <c r="AR872" s="418"/>
      <c r="AS872" s="418"/>
      <c r="AT872" s="418"/>
      <c r="AU872" s="418"/>
      <c r="AV872" s="418"/>
      <c r="AW872" s="418"/>
      <c r="AX872" s="418"/>
      <c r="AY872" s="418"/>
      <c r="AZ872" s="418"/>
      <c r="BA872" s="418"/>
    </row>
    <row r="873" spans="40:53" ht="15.75" customHeight="1">
      <c r="AN873" s="418"/>
      <c r="AO873" s="418"/>
      <c r="AP873" s="418"/>
      <c r="AQ873" s="418"/>
      <c r="AR873" s="418"/>
      <c r="AS873" s="418"/>
      <c r="AT873" s="418"/>
      <c r="AU873" s="418"/>
      <c r="AV873" s="418"/>
      <c r="AW873" s="418"/>
      <c r="AX873" s="418"/>
      <c r="AY873" s="418"/>
      <c r="AZ873" s="418"/>
      <c r="BA873" s="418"/>
    </row>
    <row r="874" spans="40:53" ht="15.75" customHeight="1">
      <c r="AN874" s="418"/>
      <c r="AO874" s="418"/>
      <c r="AP874" s="418"/>
      <c r="AQ874" s="418"/>
      <c r="AR874" s="418"/>
      <c r="AS874" s="418"/>
      <c r="AT874" s="418"/>
      <c r="AU874" s="418"/>
      <c r="AV874" s="418"/>
      <c r="AW874" s="418"/>
      <c r="AX874" s="418"/>
      <c r="AY874" s="418"/>
      <c r="AZ874" s="418"/>
      <c r="BA874" s="418"/>
    </row>
    <row r="875" spans="40:53" ht="15.75" customHeight="1">
      <c r="AN875" s="418"/>
      <c r="AO875" s="418"/>
      <c r="AP875" s="418"/>
      <c r="AQ875" s="418"/>
      <c r="AR875" s="418"/>
      <c r="AS875" s="418"/>
      <c r="AT875" s="418"/>
      <c r="AU875" s="418"/>
      <c r="AV875" s="418"/>
      <c r="AW875" s="418"/>
      <c r="AX875" s="418"/>
      <c r="AY875" s="418"/>
      <c r="AZ875" s="418"/>
      <c r="BA875" s="418"/>
    </row>
    <row r="876" spans="40:53" ht="15.75" customHeight="1">
      <c r="AN876" s="418"/>
      <c r="AO876" s="418"/>
      <c r="AP876" s="418"/>
      <c r="AQ876" s="418"/>
      <c r="AR876" s="418"/>
      <c r="AS876" s="418"/>
      <c r="AT876" s="418"/>
      <c r="AU876" s="418"/>
      <c r="AV876" s="418"/>
      <c r="AW876" s="418"/>
      <c r="AX876" s="418"/>
      <c r="AY876" s="418"/>
      <c r="AZ876" s="418"/>
      <c r="BA876" s="418"/>
    </row>
    <row r="877" spans="40:53" ht="15.75" customHeight="1">
      <c r="AN877" s="418"/>
      <c r="AO877" s="418"/>
      <c r="AP877" s="418"/>
      <c r="AQ877" s="418"/>
      <c r="AR877" s="418"/>
      <c r="AS877" s="418"/>
      <c r="AT877" s="418"/>
      <c r="AU877" s="418"/>
      <c r="AV877" s="418"/>
      <c r="AW877" s="418"/>
      <c r="AX877" s="418"/>
      <c r="AY877" s="418"/>
      <c r="AZ877" s="418"/>
      <c r="BA877" s="418"/>
    </row>
    <row r="878" spans="40:53" ht="15.75" customHeight="1">
      <c r="AN878" s="418"/>
      <c r="AO878" s="418"/>
      <c r="AP878" s="418"/>
      <c r="AQ878" s="418"/>
      <c r="AR878" s="418"/>
      <c r="AS878" s="418"/>
      <c r="AT878" s="418"/>
      <c r="AU878" s="418"/>
      <c r="AV878" s="418"/>
      <c r="AW878" s="418"/>
      <c r="AX878" s="418"/>
      <c r="AY878" s="418"/>
      <c r="AZ878" s="418"/>
      <c r="BA878" s="418"/>
    </row>
    <row r="879" spans="40:53" ht="15.75" customHeight="1">
      <c r="AN879" s="418"/>
      <c r="AO879" s="418"/>
      <c r="AP879" s="418"/>
      <c r="AQ879" s="418"/>
      <c r="AR879" s="418"/>
      <c r="AS879" s="418"/>
      <c r="AT879" s="418"/>
      <c r="AU879" s="418"/>
      <c r="AV879" s="418"/>
      <c r="AW879" s="418"/>
      <c r="AX879" s="418"/>
      <c r="AY879" s="418"/>
      <c r="AZ879" s="418"/>
      <c r="BA879" s="418"/>
    </row>
    <row r="880" spans="40:53" ht="15.75" customHeight="1">
      <c r="AN880" s="418"/>
      <c r="AO880" s="418"/>
      <c r="AP880" s="418"/>
      <c r="AQ880" s="418"/>
      <c r="AR880" s="418"/>
      <c r="AS880" s="418"/>
      <c r="AT880" s="418"/>
      <c r="AU880" s="418"/>
      <c r="AV880" s="418"/>
      <c r="AW880" s="418"/>
      <c r="AX880" s="418"/>
      <c r="AY880" s="418"/>
      <c r="AZ880" s="418"/>
      <c r="BA880" s="418"/>
    </row>
    <row r="881" spans="40:53" ht="15.75" customHeight="1">
      <c r="AN881" s="418"/>
      <c r="AO881" s="418"/>
      <c r="AP881" s="418"/>
      <c r="AQ881" s="418"/>
      <c r="AR881" s="418"/>
      <c r="AS881" s="418"/>
      <c r="AT881" s="418"/>
      <c r="AU881" s="418"/>
      <c r="AV881" s="418"/>
      <c r="AW881" s="418"/>
      <c r="AX881" s="418"/>
      <c r="AY881" s="418"/>
      <c r="AZ881" s="418"/>
      <c r="BA881" s="418"/>
    </row>
    <row r="882" spans="40:53" ht="15.75" customHeight="1">
      <c r="AN882" s="418"/>
      <c r="AO882" s="418"/>
      <c r="AP882" s="418"/>
      <c r="AQ882" s="418"/>
      <c r="AR882" s="418"/>
      <c r="AS882" s="418"/>
      <c r="AT882" s="418"/>
      <c r="AU882" s="418"/>
      <c r="AV882" s="418"/>
      <c r="AW882" s="418"/>
      <c r="AX882" s="418"/>
      <c r="AY882" s="418"/>
      <c r="AZ882" s="418"/>
      <c r="BA882" s="418"/>
    </row>
    <row r="883" spans="40:53" ht="15.75" customHeight="1">
      <c r="AN883" s="418"/>
      <c r="AO883" s="418"/>
      <c r="AP883" s="418"/>
      <c r="AQ883" s="418"/>
      <c r="AR883" s="418"/>
      <c r="AS883" s="418"/>
      <c r="AT883" s="418"/>
      <c r="AU883" s="418"/>
      <c r="AV883" s="418"/>
      <c r="AW883" s="418"/>
      <c r="AX883" s="418"/>
      <c r="AY883" s="418"/>
      <c r="AZ883" s="418"/>
      <c r="BA883" s="418"/>
    </row>
    <row r="884" spans="40:53" ht="15.75" customHeight="1">
      <c r="AN884" s="418"/>
      <c r="AO884" s="418"/>
      <c r="AP884" s="418"/>
      <c r="AQ884" s="418"/>
      <c r="AR884" s="418"/>
      <c r="AS884" s="418"/>
      <c r="AT884" s="418"/>
      <c r="AU884" s="418"/>
      <c r="AV884" s="418"/>
      <c r="AW884" s="418"/>
      <c r="AX884" s="418"/>
      <c r="AY884" s="418"/>
      <c r="AZ884" s="418"/>
      <c r="BA884" s="418"/>
    </row>
    <row r="885" spans="40:53" ht="15.75" customHeight="1">
      <c r="AN885" s="418"/>
      <c r="AO885" s="418"/>
      <c r="AP885" s="418"/>
      <c r="AQ885" s="418"/>
      <c r="AR885" s="418"/>
      <c r="AS885" s="418"/>
      <c r="AT885" s="418"/>
      <c r="AU885" s="418"/>
      <c r="AV885" s="418"/>
      <c r="AW885" s="418"/>
      <c r="AX885" s="418"/>
      <c r="AY885" s="418"/>
      <c r="AZ885" s="418"/>
      <c r="BA885" s="418"/>
    </row>
    <row r="886" spans="40:53" ht="15.75" customHeight="1">
      <c r="AN886" s="418"/>
      <c r="AO886" s="418"/>
      <c r="AP886" s="418"/>
      <c r="AQ886" s="418"/>
      <c r="AR886" s="418"/>
      <c r="AS886" s="418"/>
      <c r="AT886" s="418"/>
      <c r="AU886" s="418"/>
      <c r="AV886" s="418"/>
      <c r="AW886" s="418"/>
      <c r="AX886" s="418"/>
      <c r="AY886" s="418"/>
      <c r="AZ886" s="418"/>
      <c r="BA886" s="418"/>
    </row>
    <row r="887" spans="40:53" ht="15.75" customHeight="1">
      <c r="AN887" s="418"/>
      <c r="AO887" s="418"/>
      <c r="AP887" s="418"/>
      <c r="AQ887" s="418"/>
      <c r="AR887" s="418"/>
      <c r="AS887" s="418"/>
      <c r="AT887" s="418"/>
      <c r="AU887" s="418"/>
      <c r="AV887" s="418"/>
      <c r="AW887" s="418"/>
      <c r="AX887" s="418"/>
      <c r="AY887" s="418"/>
      <c r="AZ887" s="418"/>
      <c r="BA887" s="418"/>
    </row>
    <row r="888" spans="40:53" ht="15.75" customHeight="1">
      <c r="AN888" s="418"/>
      <c r="AO888" s="418"/>
      <c r="AP888" s="418"/>
      <c r="AQ888" s="418"/>
      <c r="AR888" s="418"/>
      <c r="AS888" s="418"/>
      <c r="AT888" s="418"/>
      <c r="AU888" s="418"/>
      <c r="AV888" s="418"/>
      <c r="AW888" s="418"/>
      <c r="AX888" s="418"/>
      <c r="AY888" s="418"/>
      <c r="AZ888" s="418"/>
      <c r="BA888" s="418"/>
    </row>
    <row r="889" spans="40:53" ht="15.75" customHeight="1">
      <c r="AN889" s="418"/>
      <c r="AO889" s="418"/>
      <c r="AP889" s="418"/>
      <c r="AQ889" s="418"/>
      <c r="AR889" s="418"/>
      <c r="AS889" s="418"/>
      <c r="AT889" s="418"/>
      <c r="AU889" s="418"/>
      <c r="AV889" s="418"/>
      <c r="AW889" s="418"/>
      <c r="AX889" s="418"/>
      <c r="AY889" s="418"/>
      <c r="AZ889" s="418"/>
      <c r="BA889" s="418"/>
    </row>
    <row r="890" spans="40:53" ht="15.75" customHeight="1">
      <c r="AN890" s="418"/>
      <c r="AO890" s="418"/>
      <c r="AP890" s="418"/>
      <c r="AQ890" s="418"/>
      <c r="AR890" s="418"/>
      <c r="AS890" s="418"/>
      <c r="AT890" s="418"/>
      <c r="AU890" s="418"/>
      <c r="AV890" s="418"/>
      <c r="AW890" s="418"/>
      <c r="AX890" s="418"/>
      <c r="AY890" s="418"/>
      <c r="AZ890" s="418"/>
      <c r="BA890" s="418"/>
    </row>
    <row r="891" spans="40:53" ht="15.75" customHeight="1">
      <c r="AN891" s="418"/>
      <c r="AO891" s="418"/>
      <c r="AP891" s="418"/>
      <c r="AQ891" s="418"/>
      <c r="AR891" s="418"/>
      <c r="AS891" s="418"/>
      <c r="AT891" s="418"/>
      <c r="AU891" s="418"/>
      <c r="AV891" s="418"/>
      <c r="AW891" s="418"/>
      <c r="AX891" s="418"/>
      <c r="AY891" s="418"/>
      <c r="AZ891" s="418"/>
      <c r="BA891" s="418"/>
    </row>
    <row r="892" spans="40:53" ht="15.75" customHeight="1">
      <c r="AN892" s="418"/>
      <c r="AO892" s="418"/>
      <c r="AP892" s="418"/>
      <c r="AQ892" s="418"/>
      <c r="AR892" s="418"/>
      <c r="AS892" s="418"/>
      <c r="AT892" s="418"/>
      <c r="AU892" s="418"/>
      <c r="AV892" s="418"/>
      <c r="AW892" s="418"/>
      <c r="AX892" s="418"/>
      <c r="AY892" s="418"/>
      <c r="AZ892" s="418"/>
      <c r="BA892" s="418"/>
    </row>
    <row r="893" spans="40:53" ht="15.75" customHeight="1">
      <c r="AN893" s="418"/>
      <c r="AO893" s="418"/>
      <c r="AP893" s="418"/>
      <c r="AQ893" s="418"/>
      <c r="AR893" s="418"/>
      <c r="AS893" s="418"/>
      <c r="AT893" s="418"/>
      <c r="AU893" s="418"/>
      <c r="AV893" s="418"/>
      <c r="AW893" s="418"/>
      <c r="AX893" s="418"/>
      <c r="AY893" s="418"/>
      <c r="AZ893" s="418"/>
      <c r="BA893" s="418"/>
    </row>
    <row r="894" spans="40:53" ht="15.75" customHeight="1">
      <c r="AN894" s="418"/>
      <c r="AO894" s="418"/>
      <c r="AP894" s="418"/>
      <c r="AQ894" s="418"/>
      <c r="AR894" s="418"/>
      <c r="AS894" s="418"/>
      <c r="AT894" s="418"/>
      <c r="AU894" s="418"/>
      <c r="AV894" s="418"/>
      <c r="AW894" s="418"/>
      <c r="AX894" s="418"/>
      <c r="AY894" s="418"/>
      <c r="AZ894" s="418"/>
      <c r="BA894" s="418"/>
    </row>
    <row r="895" spans="40:53" ht="15.75" customHeight="1">
      <c r="AN895" s="418"/>
      <c r="AO895" s="418"/>
      <c r="AP895" s="418"/>
      <c r="AQ895" s="418"/>
      <c r="AR895" s="418"/>
      <c r="AS895" s="418"/>
      <c r="AT895" s="418"/>
      <c r="AU895" s="418"/>
      <c r="AV895" s="418"/>
      <c r="AW895" s="418"/>
      <c r="AX895" s="418"/>
      <c r="AY895" s="418"/>
      <c r="AZ895" s="418"/>
      <c r="BA895" s="418"/>
    </row>
    <row r="896" spans="40:53" ht="15.75" customHeight="1">
      <c r="AN896" s="418"/>
      <c r="AO896" s="418"/>
      <c r="AP896" s="418"/>
      <c r="AQ896" s="418"/>
      <c r="AR896" s="418"/>
      <c r="AS896" s="418"/>
      <c r="AT896" s="418"/>
      <c r="AU896" s="418"/>
      <c r="AV896" s="418"/>
      <c r="AW896" s="418"/>
      <c r="AX896" s="418"/>
      <c r="AY896" s="418"/>
      <c r="AZ896" s="418"/>
      <c r="BA896" s="418"/>
    </row>
    <row r="897" spans="40:53" ht="15.75" customHeight="1">
      <c r="AN897" s="418"/>
      <c r="AO897" s="418"/>
      <c r="AP897" s="418"/>
      <c r="AQ897" s="418"/>
      <c r="AR897" s="418"/>
      <c r="AS897" s="418"/>
      <c r="AT897" s="418"/>
      <c r="AU897" s="418"/>
      <c r="AV897" s="418"/>
      <c r="AW897" s="418"/>
      <c r="AX897" s="418"/>
      <c r="AY897" s="418"/>
      <c r="AZ897" s="418"/>
      <c r="BA897" s="418"/>
    </row>
    <row r="898" spans="40:53" ht="15.75" customHeight="1">
      <c r="AN898" s="418"/>
      <c r="AO898" s="418"/>
      <c r="AP898" s="418"/>
      <c r="AQ898" s="418"/>
      <c r="AR898" s="418"/>
      <c r="AS898" s="418"/>
      <c r="AT898" s="418"/>
      <c r="AU898" s="418"/>
      <c r="AV898" s="418"/>
      <c r="AW898" s="418"/>
      <c r="AX898" s="418"/>
      <c r="AY898" s="418"/>
      <c r="AZ898" s="418"/>
      <c r="BA898" s="418"/>
    </row>
    <row r="899" spans="40:53" ht="15.75" customHeight="1">
      <c r="AN899" s="418"/>
      <c r="AO899" s="418"/>
      <c r="AP899" s="418"/>
      <c r="AQ899" s="418"/>
      <c r="AR899" s="418"/>
      <c r="AS899" s="418"/>
      <c r="AT899" s="418"/>
      <c r="AU899" s="418"/>
      <c r="AV899" s="418"/>
      <c r="AW899" s="418"/>
      <c r="AX899" s="418"/>
      <c r="AY899" s="418"/>
      <c r="AZ899" s="418"/>
      <c r="BA899" s="418"/>
    </row>
    <row r="900" spans="40:53" ht="15.75" customHeight="1">
      <c r="AN900" s="418"/>
      <c r="AO900" s="418"/>
      <c r="AP900" s="418"/>
      <c r="AQ900" s="418"/>
      <c r="AR900" s="418"/>
      <c r="AS900" s="418"/>
      <c r="AT900" s="418"/>
      <c r="AU900" s="418"/>
      <c r="AV900" s="418"/>
      <c r="AW900" s="418"/>
      <c r="AX900" s="418"/>
      <c r="AY900" s="418"/>
      <c r="AZ900" s="418"/>
      <c r="BA900" s="418"/>
    </row>
    <row r="901" spans="40:53" ht="15.75" customHeight="1">
      <c r="AN901" s="418"/>
      <c r="AO901" s="418"/>
      <c r="AP901" s="418"/>
      <c r="AQ901" s="418"/>
      <c r="AR901" s="418"/>
      <c r="AS901" s="418"/>
      <c r="AT901" s="418"/>
      <c r="AU901" s="418"/>
      <c r="AV901" s="418"/>
      <c r="AW901" s="418"/>
      <c r="AX901" s="418"/>
      <c r="AY901" s="418"/>
      <c r="AZ901" s="418"/>
      <c r="BA901" s="418"/>
    </row>
    <row r="902" spans="40:53" ht="15.75" customHeight="1">
      <c r="AN902" s="418"/>
      <c r="AO902" s="418"/>
      <c r="AP902" s="418"/>
      <c r="AQ902" s="418"/>
      <c r="AR902" s="418"/>
      <c r="AS902" s="418"/>
      <c r="AT902" s="418"/>
      <c r="AU902" s="418"/>
      <c r="AV902" s="418"/>
      <c r="AW902" s="418"/>
      <c r="AX902" s="418"/>
      <c r="AY902" s="418"/>
      <c r="AZ902" s="418"/>
      <c r="BA902" s="418"/>
    </row>
    <row r="903" spans="40:53" ht="15.75" customHeight="1">
      <c r="AN903" s="418"/>
      <c r="AO903" s="418"/>
      <c r="AP903" s="418"/>
      <c r="AQ903" s="418"/>
      <c r="AR903" s="418"/>
      <c r="AS903" s="418"/>
      <c r="AT903" s="418"/>
      <c r="AU903" s="418"/>
      <c r="AV903" s="418"/>
      <c r="AW903" s="418"/>
      <c r="AX903" s="418"/>
      <c r="AY903" s="418"/>
      <c r="AZ903" s="418"/>
      <c r="BA903" s="418"/>
    </row>
    <row r="904" spans="40:53" ht="15.75" customHeight="1">
      <c r="AN904" s="418"/>
      <c r="AO904" s="418"/>
      <c r="AP904" s="418"/>
      <c r="AQ904" s="418"/>
      <c r="AR904" s="418"/>
      <c r="AS904" s="418"/>
      <c r="AT904" s="418"/>
      <c r="AU904" s="418"/>
      <c r="AV904" s="418"/>
      <c r="AW904" s="418"/>
      <c r="AX904" s="418"/>
      <c r="AY904" s="418"/>
      <c r="AZ904" s="418"/>
      <c r="BA904" s="418"/>
    </row>
    <row r="905" spans="40:53" ht="15.75" customHeight="1">
      <c r="AN905" s="418"/>
      <c r="AO905" s="418"/>
      <c r="AP905" s="418"/>
      <c r="AQ905" s="418"/>
      <c r="AR905" s="418"/>
      <c r="AS905" s="418"/>
      <c r="AT905" s="418"/>
      <c r="AU905" s="418"/>
      <c r="AV905" s="418"/>
      <c r="AW905" s="418"/>
      <c r="AX905" s="418"/>
      <c r="AY905" s="418"/>
      <c r="AZ905" s="418"/>
      <c r="BA905" s="418"/>
    </row>
    <row r="906" spans="40:53" ht="15.75" customHeight="1">
      <c r="AN906" s="418"/>
      <c r="AO906" s="418"/>
      <c r="AP906" s="418"/>
      <c r="AQ906" s="418"/>
      <c r="AR906" s="418"/>
      <c r="AS906" s="418"/>
      <c r="AT906" s="418"/>
      <c r="AU906" s="418"/>
      <c r="AV906" s="418"/>
      <c r="AW906" s="418"/>
      <c r="AX906" s="418"/>
      <c r="AY906" s="418"/>
      <c r="AZ906" s="418"/>
      <c r="BA906" s="418"/>
    </row>
    <row r="907" spans="40:53" ht="15.75" customHeight="1">
      <c r="AN907" s="418"/>
      <c r="AO907" s="418"/>
      <c r="AP907" s="418"/>
      <c r="AQ907" s="418"/>
      <c r="AR907" s="418"/>
      <c r="AS907" s="418"/>
      <c r="AT907" s="418"/>
      <c r="AU907" s="418"/>
      <c r="AV907" s="418"/>
      <c r="AW907" s="418"/>
      <c r="AX907" s="418"/>
      <c r="AY907" s="418"/>
      <c r="AZ907" s="418"/>
      <c r="BA907" s="418"/>
    </row>
    <row r="908" spans="40:53" ht="15.75" customHeight="1">
      <c r="AN908" s="418"/>
      <c r="AO908" s="418"/>
      <c r="AP908" s="418"/>
      <c r="AQ908" s="418"/>
      <c r="AR908" s="418"/>
      <c r="AS908" s="418"/>
      <c r="AT908" s="418"/>
      <c r="AU908" s="418"/>
      <c r="AV908" s="418"/>
      <c r="AW908" s="418"/>
      <c r="AX908" s="418"/>
      <c r="AY908" s="418"/>
      <c r="AZ908" s="418"/>
      <c r="BA908" s="418"/>
    </row>
    <row r="909" spans="40:53" ht="15.75" customHeight="1">
      <c r="AN909" s="418"/>
      <c r="AO909" s="418"/>
      <c r="AP909" s="418"/>
      <c r="AQ909" s="418"/>
      <c r="AR909" s="418"/>
      <c r="AS909" s="418"/>
      <c r="AT909" s="418"/>
      <c r="AU909" s="418"/>
      <c r="AV909" s="418"/>
      <c r="AW909" s="418"/>
      <c r="AX909" s="418"/>
      <c r="AY909" s="418"/>
      <c r="AZ909" s="418"/>
      <c r="BA909" s="418"/>
    </row>
    <row r="910" spans="40:53" ht="15.75" customHeight="1">
      <c r="AN910" s="418"/>
      <c r="AO910" s="418"/>
      <c r="AP910" s="418"/>
      <c r="AQ910" s="418"/>
      <c r="AR910" s="418"/>
      <c r="AS910" s="418"/>
      <c r="AT910" s="418"/>
      <c r="AU910" s="418"/>
      <c r="AV910" s="418"/>
      <c r="AW910" s="418"/>
      <c r="AX910" s="418"/>
      <c r="AY910" s="418"/>
      <c r="AZ910" s="418"/>
      <c r="BA910" s="418"/>
    </row>
    <row r="911" spans="40:53" ht="15.75" customHeight="1">
      <c r="AN911" s="418"/>
      <c r="AO911" s="418"/>
      <c r="AP911" s="418"/>
      <c r="AQ911" s="418"/>
      <c r="AR911" s="418"/>
      <c r="AS911" s="418"/>
      <c r="AT911" s="418"/>
      <c r="AU911" s="418"/>
      <c r="AV911" s="418"/>
      <c r="AW911" s="418"/>
      <c r="AX911" s="418"/>
      <c r="AY911" s="418"/>
      <c r="AZ911" s="418"/>
      <c r="BA911" s="418"/>
    </row>
    <row r="912" spans="40:53" ht="15.75" customHeight="1">
      <c r="AN912" s="418"/>
      <c r="AO912" s="418"/>
      <c r="AP912" s="418"/>
      <c r="AQ912" s="418"/>
      <c r="AR912" s="418"/>
      <c r="AS912" s="418"/>
      <c r="AT912" s="418"/>
      <c r="AU912" s="418"/>
      <c r="AV912" s="418"/>
      <c r="AW912" s="418"/>
      <c r="AX912" s="418"/>
      <c r="AY912" s="418"/>
      <c r="AZ912" s="418"/>
      <c r="BA912" s="418"/>
    </row>
    <row r="913" spans="40:53" ht="15.75" customHeight="1">
      <c r="AN913" s="418"/>
      <c r="AO913" s="418"/>
      <c r="AP913" s="418"/>
      <c r="AQ913" s="418"/>
      <c r="AR913" s="418"/>
      <c r="AS913" s="418"/>
      <c r="AT913" s="418"/>
      <c r="AU913" s="418"/>
      <c r="AV913" s="418"/>
      <c r="AW913" s="418"/>
      <c r="AX913" s="418"/>
      <c r="AY913" s="418"/>
      <c r="AZ913" s="418"/>
      <c r="BA913" s="418"/>
    </row>
    <row r="914" spans="40:53" ht="15.75" customHeight="1">
      <c r="AN914" s="418"/>
      <c r="AO914" s="418"/>
      <c r="AP914" s="418"/>
      <c r="AQ914" s="418"/>
      <c r="AR914" s="418"/>
      <c r="AS914" s="418"/>
      <c r="AT914" s="418"/>
      <c r="AU914" s="418"/>
      <c r="AV914" s="418"/>
      <c r="AW914" s="418"/>
      <c r="AX914" s="418"/>
      <c r="AY914" s="418"/>
      <c r="AZ914" s="418"/>
      <c r="BA914" s="418"/>
    </row>
    <row r="915" spans="40:53" ht="15.75" customHeight="1">
      <c r="AN915" s="418"/>
      <c r="AO915" s="418"/>
      <c r="AP915" s="418"/>
      <c r="AQ915" s="418"/>
      <c r="AR915" s="418"/>
      <c r="AS915" s="418"/>
      <c r="AT915" s="418"/>
      <c r="AU915" s="418"/>
      <c r="AV915" s="418"/>
      <c r="AW915" s="418"/>
      <c r="AX915" s="418"/>
      <c r="AY915" s="418"/>
      <c r="AZ915" s="418"/>
      <c r="BA915" s="418"/>
    </row>
    <row r="916" spans="40:53" ht="15.75" customHeight="1">
      <c r="AN916" s="418"/>
      <c r="AO916" s="418"/>
      <c r="AP916" s="418"/>
      <c r="AQ916" s="418"/>
      <c r="AR916" s="418"/>
      <c r="AS916" s="418"/>
      <c r="AT916" s="418"/>
      <c r="AU916" s="418"/>
      <c r="AV916" s="418"/>
      <c r="AW916" s="418"/>
      <c r="AX916" s="418"/>
      <c r="AY916" s="418"/>
      <c r="AZ916" s="418"/>
      <c r="BA916" s="418"/>
    </row>
    <row r="917" spans="40:53" ht="15.75" customHeight="1">
      <c r="AN917" s="418"/>
      <c r="AO917" s="418"/>
      <c r="AP917" s="418"/>
      <c r="AQ917" s="418"/>
      <c r="AR917" s="418"/>
      <c r="AS917" s="418"/>
      <c r="AT917" s="418"/>
      <c r="AU917" s="418"/>
      <c r="AV917" s="418"/>
      <c r="AW917" s="418"/>
      <c r="AX917" s="418"/>
      <c r="AY917" s="418"/>
      <c r="AZ917" s="418"/>
      <c r="BA917" s="418"/>
    </row>
    <row r="918" spans="40:53" ht="15.75" customHeight="1">
      <c r="AN918" s="418"/>
      <c r="AO918" s="418"/>
      <c r="AP918" s="418"/>
      <c r="AQ918" s="418"/>
      <c r="AR918" s="418"/>
      <c r="AS918" s="418"/>
      <c r="AT918" s="418"/>
      <c r="AU918" s="418"/>
      <c r="AV918" s="418"/>
      <c r="AW918" s="418"/>
      <c r="AX918" s="418"/>
      <c r="AY918" s="418"/>
      <c r="AZ918" s="418"/>
      <c r="BA918" s="418"/>
    </row>
    <row r="919" spans="40:53" ht="15.75" customHeight="1">
      <c r="AN919" s="418"/>
      <c r="AO919" s="418"/>
      <c r="AP919" s="418"/>
      <c r="AQ919" s="418"/>
      <c r="AR919" s="418"/>
      <c r="AS919" s="418"/>
      <c r="AT919" s="418"/>
      <c r="AU919" s="418"/>
      <c r="AV919" s="418"/>
      <c r="AW919" s="418"/>
      <c r="AX919" s="418"/>
      <c r="AY919" s="418"/>
      <c r="AZ919" s="418"/>
      <c r="BA919" s="418"/>
    </row>
    <row r="920" spans="40:53" ht="15.75" customHeight="1">
      <c r="AN920" s="418"/>
      <c r="AO920" s="418"/>
      <c r="AP920" s="418"/>
      <c r="AQ920" s="418"/>
      <c r="AR920" s="418"/>
      <c r="AS920" s="418"/>
      <c r="AT920" s="418"/>
      <c r="AU920" s="418"/>
      <c r="AV920" s="418"/>
      <c r="AW920" s="418"/>
      <c r="AX920" s="418"/>
      <c r="AY920" s="418"/>
      <c r="AZ920" s="418"/>
      <c r="BA920" s="418"/>
    </row>
    <row r="921" spans="40:53" ht="15.75" customHeight="1">
      <c r="AN921" s="418"/>
      <c r="AO921" s="418"/>
      <c r="AP921" s="418"/>
      <c r="AQ921" s="418"/>
      <c r="AR921" s="418"/>
      <c r="AS921" s="418"/>
      <c r="AT921" s="418"/>
      <c r="AU921" s="418"/>
      <c r="AV921" s="418"/>
      <c r="AW921" s="418"/>
      <c r="AX921" s="418"/>
      <c r="AY921" s="418"/>
      <c r="AZ921" s="418"/>
      <c r="BA921" s="418"/>
    </row>
    <row r="922" spans="40:53" ht="15.75" customHeight="1">
      <c r="AN922" s="418"/>
      <c r="AO922" s="418"/>
      <c r="AP922" s="418"/>
      <c r="AQ922" s="418"/>
      <c r="AR922" s="418"/>
      <c r="AS922" s="418"/>
      <c r="AT922" s="418"/>
      <c r="AU922" s="418"/>
      <c r="AV922" s="418"/>
      <c r="AW922" s="418"/>
      <c r="AX922" s="418"/>
      <c r="AY922" s="418"/>
      <c r="AZ922" s="418"/>
      <c r="BA922" s="418"/>
    </row>
    <row r="923" spans="40:53" ht="15.75" customHeight="1">
      <c r="AN923" s="418"/>
      <c r="AO923" s="418"/>
      <c r="AP923" s="418"/>
      <c r="AQ923" s="418"/>
      <c r="AR923" s="418"/>
      <c r="AS923" s="418"/>
      <c r="AT923" s="418"/>
      <c r="AU923" s="418"/>
      <c r="AV923" s="418"/>
      <c r="AW923" s="418"/>
      <c r="AX923" s="418"/>
      <c r="AY923" s="418"/>
      <c r="AZ923" s="418"/>
      <c r="BA923" s="418"/>
    </row>
    <row r="924" spans="40:53" ht="15.75" customHeight="1">
      <c r="AN924" s="418"/>
      <c r="AO924" s="418"/>
      <c r="AP924" s="418"/>
      <c r="AQ924" s="418"/>
      <c r="AR924" s="418"/>
      <c r="AS924" s="418"/>
      <c r="AT924" s="418"/>
      <c r="AU924" s="418"/>
      <c r="AV924" s="418"/>
      <c r="AW924" s="418"/>
      <c r="AX924" s="418"/>
      <c r="AY924" s="418"/>
      <c r="AZ924" s="418"/>
      <c r="BA924" s="418"/>
    </row>
    <row r="925" spans="40:53" ht="15.75" customHeight="1">
      <c r="AN925" s="418"/>
      <c r="AO925" s="418"/>
      <c r="AP925" s="418"/>
      <c r="AQ925" s="418"/>
      <c r="AR925" s="418"/>
      <c r="AS925" s="418"/>
      <c r="AT925" s="418"/>
      <c r="AU925" s="418"/>
      <c r="AV925" s="418"/>
      <c r="AW925" s="418"/>
      <c r="AX925" s="418"/>
      <c r="AY925" s="418"/>
      <c r="AZ925" s="418"/>
      <c r="BA925" s="418"/>
    </row>
    <row r="926" spans="40:53" ht="15.75" customHeight="1">
      <c r="AN926" s="418"/>
      <c r="AO926" s="418"/>
      <c r="AP926" s="418"/>
      <c r="AQ926" s="418"/>
      <c r="AR926" s="418"/>
      <c r="AS926" s="418"/>
      <c r="AT926" s="418"/>
      <c r="AU926" s="418"/>
      <c r="AV926" s="418"/>
      <c r="AW926" s="418"/>
      <c r="AX926" s="418"/>
      <c r="AY926" s="418"/>
      <c r="AZ926" s="418"/>
      <c r="BA926" s="418"/>
    </row>
    <row r="927" spans="40:53" ht="15.75" customHeight="1">
      <c r="AN927" s="418"/>
      <c r="AO927" s="418"/>
      <c r="AP927" s="418"/>
      <c r="AQ927" s="418"/>
      <c r="AR927" s="418"/>
      <c r="AS927" s="418"/>
      <c r="AT927" s="418"/>
      <c r="AU927" s="418"/>
      <c r="AV927" s="418"/>
      <c r="AW927" s="418"/>
      <c r="AX927" s="418"/>
      <c r="AY927" s="418"/>
      <c r="AZ927" s="418"/>
      <c r="BA927" s="418"/>
    </row>
    <row r="928" spans="40:53" ht="15.75" customHeight="1">
      <c r="AN928" s="418"/>
      <c r="AO928" s="418"/>
      <c r="AP928" s="418"/>
      <c r="AQ928" s="418"/>
      <c r="AR928" s="418"/>
      <c r="AS928" s="418"/>
      <c r="AT928" s="418"/>
      <c r="AU928" s="418"/>
      <c r="AV928" s="418"/>
      <c r="AW928" s="418"/>
      <c r="AX928" s="418"/>
      <c r="AY928" s="418"/>
      <c r="AZ928" s="418"/>
      <c r="BA928" s="418"/>
    </row>
    <row r="929" spans="40:53" ht="15.75" customHeight="1">
      <c r="AN929" s="418"/>
      <c r="AO929" s="418"/>
      <c r="AP929" s="418"/>
      <c r="AQ929" s="418"/>
      <c r="AR929" s="418"/>
      <c r="AS929" s="418"/>
      <c r="AT929" s="418"/>
      <c r="AU929" s="418"/>
      <c r="AV929" s="418"/>
      <c r="AW929" s="418"/>
      <c r="AX929" s="418"/>
      <c r="AY929" s="418"/>
      <c r="AZ929" s="418"/>
      <c r="BA929" s="418"/>
    </row>
    <row r="930" spans="40:53" ht="15.75" customHeight="1">
      <c r="AN930" s="418"/>
      <c r="AO930" s="418"/>
      <c r="AP930" s="418"/>
      <c r="AQ930" s="418"/>
      <c r="AR930" s="418"/>
      <c r="AS930" s="418"/>
      <c r="AT930" s="418"/>
      <c r="AU930" s="418"/>
      <c r="AV930" s="418"/>
      <c r="AW930" s="418"/>
      <c r="AX930" s="418"/>
      <c r="AY930" s="418"/>
      <c r="AZ930" s="418"/>
      <c r="BA930" s="418"/>
    </row>
    <row r="931" spans="40:53" ht="15.75" customHeight="1">
      <c r="AN931" s="418"/>
      <c r="AO931" s="418"/>
      <c r="AP931" s="418"/>
      <c r="AQ931" s="418"/>
      <c r="AR931" s="418"/>
      <c r="AS931" s="418"/>
      <c r="AT931" s="418"/>
      <c r="AU931" s="418"/>
      <c r="AV931" s="418"/>
      <c r="AW931" s="418"/>
      <c r="AX931" s="418"/>
      <c r="AY931" s="418"/>
      <c r="AZ931" s="418"/>
      <c r="BA931" s="418"/>
    </row>
    <row r="932" spans="40:53" ht="15.75" customHeight="1">
      <c r="AN932" s="418"/>
      <c r="AO932" s="418"/>
      <c r="AP932" s="418"/>
      <c r="AQ932" s="418"/>
      <c r="AR932" s="418"/>
      <c r="AS932" s="418"/>
      <c r="AT932" s="418"/>
      <c r="AU932" s="418"/>
      <c r="AV932" s="418"/>
      <c r="AW932" s="418"/>
      <c r="AX932" s="418"/>
      <c r="AY932" s="418"/>
      <c r="AZ932" s="418"/>
      <c r="BA932" s="418"/>
    </row>
    <row r="933" spans="40:53" ht="15.75" customHeight="1">
      <c r="AN933" s="418"/>
      <c r="AO933" s="418"/>
      <c r="AP933" s="418"/>
      <c r="AQ933" s="418"/>
      <c r="AR933" s="418"/>
      <c r="AS933" s="418"/>
      <c r="AT933" s="418"/>
      <c r="AU933" s="418"/>
      <c r="AV933" s="418"/>
      <c r="AW933" s="418"/>
      <c r="AX933" s="418"/>
      <c r="AY933" s="418"/>
      <c r="AZ933" s="418"/>
      <c r="BA933" s="418"/>
    </row>
    <row r="934" spans="40:53" ht="15.75" customHeight="1">
      <c r="AN934" s="418"/>
      <c r="AO934" s="418"/>
      <c r="AP934" s="418"/>
      <c r="AQ934" s="418"/>
      <c r="AR934" s="418"/>
      <c r="AS934" s="418"/>
      <c r="AT934" s="418"/>
      <c r="AU934" s="418"/>
      <c r="AV934" s="418"/>
      <c r="AW934" s="418"/>
      <c r="AX934" s="418"/>
      <c r="AY934" s="418"/>
      <c r="AZ934" s="418"/>
      <c r="BA934" s="418"/>
    </row>
    <row r="935" spans="40:53" ht="15.75" customHeight="1">
      <c r="AN935" s="418"/>
      <c r="AO935" s="418"/>
      <c r="AP935" s="418"/>
      <c r="AQ935" s="418"/>
      <c r="AR935" s="418"/>
      <c r="AS935" s="418"/>
      <c r="AT935" s="418"/>
      <c r="AU935" s="418"/>
      <c r="AV935" s="418"/>
      <c r="AW935" s="418"/>
      <c r="AX935" s="418"/>
      <c r="AY935" s="418"/>
      <c r="AZ935" s="418"/>
      <c r="BA935" s="418"/>
    </row>
    <row r="936" spans="40:53" ht="15.75" customHeight="1">
      <c r="AN936" s="418"/>
      <c r="AO936" s="418"/>
      <c r="AP936" s="418"/>
      <c r="AQ936" s="418"/>
      <c r="AR936" s="418"/>
      <c r="AS936" s="418"/>
      <c r="AT936" s="418"/>
      <c r="AU936" s="418"/>
      <c r="AV936" s="418"/>
      <c r="AW936" s="418"/>
      <c r="AX936" s="418"/>
      <c r="AY936" s="418"/>
      <c r="AZ936" s="418"/>
      <c r="BA936" s="418"/>
    </row>
    <row r="937" spans="40:53" ht="15.75" customHeight="1">
      <c r="AN937" s="418"/>
      <c r="AO937" s="418"/>
      <c r="AP937" s="418"/>
      <c r="AQ937" s="418"/>
      <c r="AR937" s="418"/>
      <c r="AS937" s="418"/>
      <c r="AT937" s="418"/>
      <c r="AU937" s="418"/>
      <c r="AV937" s="418"/>
      <c r="AW937" s="418"/>
      <c r="AX937" s="418"/>
      <c r="AY937" s="418"/>
      <c r="AZ937" s="418"/>
      <c r="BA937" s="418"/>
    </row>
    <row r="938" spans="40:53" ht="15.75" customHeight="1">
      <c r="AN938" s="418"/>
      <c r="AO938" s="418"/>
      <c r="AP938" s="418"/>
      <c r="AQ938" s="418"/>
      <c r="AR938" s="418"/>
      <c r="AS938" s="418"/>
      <c r="AT938" s="418"/>
      <c r="AU938" s="418"/>
      <c r="AV938" s="418"/>
      <c r="AW938" s="418"/>
      <c r="AX938" s="418"/>
      <c r="AY938" s="418"/>
      <c r="AZ938" s="418"/>
      <c r="BA938" s="418"/>
    </row>
    <row r="939" spans="40:53" ht="15.75" customHeight="1">
      <c r="AN939" s="418"/>
      <c r="AO939" s="418"/>
      <c r="AP939" s="418"/>
      <c r="AQ939" s="418"/>
      <c r="AR939" s="418"/>
      <c r="AS939" s="418"/>
      <c r="AT939" s="418"/>
      <c r="AU939" s="418"/>
      <c r="AV939" s="418"/>
      <c r="AW939" s="418"/>
      <c r="AX939" s="418"/>
      <c r="AY939" s="418"/>
      <c r="AZ939" s="418"/>
      <c r="BA939" s="418"/>
    </row>
    <row r="940" spans="40:53" ht="15.75" customHeight="1">
      <c r="AN940" s="418"/>
      <c r="AO940" s="418"/>
      <c r="AP940" s="418"/>
      <c r="AQ940" s="418"/>
      <c r="AR940" s="418"/>
      <c r="AS940" s="418"/>
      <c r="AT940" s="418"/>
      <c r="AU940" s="418"/>
      <c r="AV940" s="418"/>
      <c r="AW940" s="418"/>
      <c r="AX940" s="418"/>
      <c r="AY940" s="418"/>
      <c r="AZ940" s="418"/>
      <c r="BA940" s="418"/>
    </row>
    <row r="941" spans="40:53" ht="15.75" customHeight="1">
      <c r="AN941" s="418"/>
      <c r="AO941" s="418"/>
      <c r="AP941" s="418"/>
      <c r="AQ941" s="418"/>
      <c r="AR941" s="418"/>
      <c r="AS941" s="418"/>
      <c r="AT941" s="418"/>
      <c r="AU941" s="418"/>
      <c r="AV941" s="418"/>
      <c r="AW941" s="418"/>
      <c r="AX941" s="418"/>
      <c r="AY941" s="418"/>
      <c r="AZ941" s="418"/>
      <c r="BA941" s="418"/>
    </row>
    <row r="942" spans="40:53" ht="15.75" customHeight="1">
      <c r="AN942" s="418"/>
      <c r="AO942" s="418"/>
      <c r="AP942" s="418"/>
      <c r="AQ942" s="418"/>
      <c r="AR942" s="418"/>
      <c r="AS942" s="418"/>
      <c r="AT942" s="418"/>
      <c r="AU942" s="418"/>
      <c r="AV942" s="418"/>
      <c r="AW942" s="418"/>
      <c r="AX942" s="418"/>
      <c r="AY942" s="418"/>
      <c r="AZ942" s="418"/>
      <c r="BA942" s="418"/>
    </row>
    <row r="943" spans="40:53" ht="15.75" customHeight="1">
      <c r="AN943" s="418"/>
      <c r="AO943" s="418"/>
      <c r="AP943" s="418"/>
      <c r="AQ943" s="418"/>
      <c r="AR943" s="418"/>
      <c r="AS943" s="418"/>
      <c r="AT943" s="418"/>
      <c r="AU943" s="418"/>
      <c r="AV943" s="418"/>
      <c r="AW943" s="418"/>
      <c r="AX943" s="418"/>
      <c r="AY943" s="418"/>
      <c r="AZ943" s="418"/>
      <c r="BA943" s="418"/>
    </row>
    <row r="944" spans="40:53" ht="15.75" customHeight="1">
      <c r="AN944" s="418"/>
      <c r="AO944" s="418"/>
      <c r="AP944" s="418"/>
      <c r="AQ944" s="418"/>
      <c r="AR944" s="418"/>
      <c r="AS944" s="418"/>
      <c r="AT944" s="418"/>
      <c r="AU944" s="418"/>
      <c r="AV944" s="418"/>
      <c r="AW944" s="418"/>
      <c r="AX944" s="418"/>
      <c r="AY944" s="418"/>
      <c r="AZ944" s="418"/>
      <c r="BA944" s="418"/>
    </row>
    <row r="945" spans="40:65" ht="15.75" customHeight="1">
      <c r="AN945" s="418"/>
      <c r="AO945" s="418"/>
      <c r="AP945" s="418"/>
      <c r="AQ945" s="418"/>
      <c r="AR945" s="418"/>
      <c r="AS945" s="418"/>
      <c r="AT945" s="418"/>
      <c r="AU945" s="418"/>
      <c r="AV945" s="418"/>
      <c r="AW945" s="418"/>
      <c r="AX945" s="418"/>
      <c r="AY945" s="418"/>
      <c r="AZ945" s="418"/>
      <c r="BA945" s="418"/>
    </row>
    <row r="946" spans="40:65" ht="15.75" customHeight="1">
      <c r="AN946" s="418"/>
      <c r="AO946" s="418"/>
      <c r="AP946" s="418"/>
      <c r="AQ946" s="418"/>
      <c r="AR946" s="418"/>
      <c r="AS946" s="418"/>
      <c r="AT946" s="418"/>
      <c r="AU946" s="418"/>
      <c r="AV946" s="418"/>
      <c r="AW946" s="418"/>
      <c r="AX946" s="418"/>
      <c r="AY946" s="418"/>
      <c r="AZ946" s="418"/>
      <c r="BA946" s="418"/>
    </row>
    <row r="947" spans="40:65" ht="15.75" customHeight="1">
      <c r="AN947" s="418"/>
      <c r="AO947" s="418"/>
      <c r="AP947" s="418"/>
      <c r="AQ947" s="418"/>
      <c r="AR947" s="418"/>
      <c r="AS947" s="418"/>
      <c r="AT947" s="418"/>
      <c r="AU947" s="418"/>
      <c r="AV947" s="418"/>
      <c r="AW947" s="418"/>
      <c r="AX947" s="418"/>
      <c r="AY947" s="418"/>
      <c r="AZ947" s="418"/>
      <c r="BA947" s="418"/>
    </row>
    <row r="948" spans="40:65" ht="15.75" customHeight="1">
      <c r="AN948" s="418"/>
      <c r="AO948" s="418"/>
      <c r="AP948" s="418"/>
      <c r="AQ948" s="418"/>
      <c r="AR948" s="418"/>
      <c r="AS948" s="418"/>
      <c r="AT948" s="418"/>
      <c r="AU948" s="418"/>
      <c r="AV948" s="418"/>
      <c r="AW948" s="418"/>
      <c r="AX948" s="418"/>
      <c r="AY948" s="418"/>
      <c r="AZ948" s="418"/>
      <c r="BA948" s="418"/>
    </row>
    <row r="949" spans="40:65" ht="15.75" customHeight="1">
      <c r="AN949" s="418"/>
      <c r="AO949" s="418"/>
      <c r="AP949" s="418"/>
      <c r="AQ949" s="418"/>
      <c r="AR949" s="418"/>
      <c r="AS949" s="418"/>
      <c r="AT949" s="418"/>
      <c r="AU949" s="418"/>
      <c r="AV949" s="418"/>
      <c r="AW949" s="418"/>
      <c r="AX949" s="418"/>
      <c r="AY949" s="418"/>
      <c r="AZ949" s="418"/>
      <c r="BA949" s="418"/>
    </row>
    <row r="950" spans="40:65" ht="15.75" customHeight="1">
      <c r="AN950" s="418"/>
      <c r="AO950" s="418"/>
      <c r="AP950" s="418"/>
      <c r="AQ950" s="418"/>
      <c r="AR950" s="418"/>
      <c r="AS950" s="418"/>
      <c r="AT950" s="418"/>
      <c r="AU950" s="418"/>
      <c r="AV950" s="418"/>
      <c r="AW950" s="418"/>
      <c r="AX950" s="418"/>
      <c r="AY950" s="418"/>
      <c r="AZ950" s="418"/>
      <c r="BA950" s="418"/>
    </row>
    <row r="951" spans="40:65" ht="15.75" customHeight="1">
      <c r="AN951" s="418"/>
      <c r="AO951" s="418"/>
      <c r="AP951" s="418"/>
      <c r="AQ951" s="418"/>
      <c r="AR951" s="418"/>
      <c r="AS951" s="418"/>
      <c r="AT951" s="418"/>
      <c r="AU951" s="418"/>
      <c r="AV951" s="418"/>
      <c r="AW951" s="418"/>
      <c r="AX951" s="418"/>
      <c r="AY951" s="418"/>
      <c r="AZ951" s="418"/>
      <c r="BA951" s="418"/>
    </row>
    <row r="952" spans="40:65" ht="15.75" customHeight="1">
      <c r="AN952" s="418"/>
      <c r="AO952" s="418"/>
      <c r="AP952" s="418"/>
      <c r="AQ952" s="418"/>
      <c r="AR952" s="418"/>
      <c r="AS952" s="418"/>
      <c r="AT952" s="418"/>
      <c r="AU952" s="418"/>
      <c r="AV952" s="418"/>
      <c r="AW952" s="418"/>
      <c r="AX952" s="418"/>
      <c r="AY952" s="418"/>
      <c r="AZ952" s="418"/>
      <c r="BA952" s="418"/>
    </row>
    <row r="953" spans="40:65" ht="15.75" customHeight="1">
      <c r="AN953" s="418"/>
      <c r="AO953" s="418"/>
      <c r="AP953" s="418"/>
      <c r="AQ953" s="418"/>
      <c r="AR953" s="418"/>
      <c r="AS953" s="418"/>
      <c r="AT953" s="418"/>
      <c r="AU953" s="418"/>
      <c r="AV953" s="418"/>
      <c r="AW953" s="418"/>
      <c r="AX953" s="418"/>
      <c r="AY953" s="418"/>
      <c r="AZ953" s="418"/>
      <c r="BA953" s="418"/>
      <c r="BH953" s="312"/>
      <c r="BI953" s="312"/>
      <c r="BJ953" s="312"/>
      <c r="BK953" s="312"/>
      <c r="BL953" s="312"/>
      <c r="BM953" s="312"/>
    </row>
    <row r="954" spans="40:65" ht="15.75" customHeight="1">
      <c r="AN954" s="418"/>
      <c r="AO954" s="418"/>
      <c r="AP954" s="418"/>
      <c r="AQ954" s="418"/>
      <c r="AR954" s="418"/>
      <c r="AS954" s="418"/>
      <c r="AT954" s="418"/>
      <c r="AU954" s="418"/>
      <c r="AV954" s="418"/>
      <c r="AW954" s="418"/>
      <c r="AX954" s="418"/>
      <c r="AY954" s="418"/>
      <c r="AZ954" s="418"/>
      <c r="BA954" s="418"/>
      <c r="BH954" s="312"/>
      <c r="BI954" s="312"/>
      <c r="BJ954" s="312"/>
      <c r="BK954" s="312"/>
      <c r="BL954" s="312"/>
      <c r="BM954" s="312"/>
    </row>
    <row r="955" spans="40:65" ht="15.75" customHeight="1">
      <c r="AN955" s="418"/>
      <c r="AO955" s="418"/>
      <c r="AP955" s="418"/>
      <c r="AQ955" s="418"/>
      <c r="AR955" s="418"/>
      <c r="AS955" s="418"/>
      <c r="AT955" s="418"/>
      <c r="AU955" s="418"/>
      <c r="AV955" s="418"/>
      <c r="AW955" s="418"/>
      <c r="AX955" s="418"/>
      <c r="AY955" s="418"/>
      <c r="AZ955" s="418"/>
      <c r="BA955" s="418"/>
      <c r="BH955" s="312"/>
      <c r="BI955" s="312"/>
      <c r="BJ955" s="312"/>
      <c r="BK955" s="312"/>
      <c r="BL955" s="312"/>
      <c r="BM955" s="312"/>
    </row>
    <row r="956" spans="40:65" ht="15.75" customHeight="1">
      <c r="AN956" s="418"/>
      <c r="AO956" s="418"/>
      <c r="AP956" s="418"/>
      <c r="AQ956" s="418"/>
      <c r="AR956" s="418"/>
      <c r="AS956" s="418"/>
      <c r="AT956" s="418"/>
      <c r="AU956" s="418"/>
      <c r="AV956" s="418"/>
      <c r="AW956" s="418"/>
      <c r="AX956" s="418"/>
      <c r="AY956" s="418"/>
      <c r="AZ956" s="418"/>
      <c r="BA956" s="418"/>
      <c r="BH956" s="312"/>
      <c r="BI956" s="312"/>
      <c r="BJ956" s="312"/>
      <c r="BK956" s="312"/>
      <c r="BL956" s="312"/>
      <c r="BM956" s="312"/>
    </row>
    <row r="957" spans="40:65" ht="15.75" customHeight="1">
      <c r="AN957" s="418"/>
      <c r="AO957" s="418"/>
      <c r="AP957" s="418"/>
      <c r="AQ957" s="418"/>
      <c r="AR957" s="418"/>
      <c r="AS957" s="418"/>
      <c r="AT957" s="418"/>
      <c r="AU957" s="418"/>
      <c r="AV957" s="418"/>
      <c r="AW957" s="418"/>
      <c r="AX957" s="418"/>
      <c r="AY957" s="418"/>
      <c r="AZ957" s="418"/>
      <c r="BA957" s="418"/>
      <c r="BH957" s="312"/>
      <c r="BI957" s="312"/>
      <c r="BJ957" s="312"/>
      <c r="BK957" s="312"/>
      <c r="BL957" s="312"/>
      <c r="BM957" s="312"/>
    </row>
    <row r="958" spans="40:65" ht="15.75" customHeight="1">
      <c r="AN958" s="418"/>
      <c r="AO958" s="418"/>
      <c r="AP958" s="418"/>
      <c r="AQ958" s="418"/>
      <c r="AR958" s="418"/>
      <c r="AS958" s="418"/>
      <c r="AT958" s="418"/>
      <c r="AU958" s="418"/>
      <c r="AV958" s="418"/>
      <c r="AW958" s="418"/>
      <c r="AX958" s="418"/>
      <c r="AY958" s="418"/>
      <c r="AZ958" s="418"/>
      <c r="BA958" s="418"/>
      <c r="BH958" s="312"/>
      <c r="BI958" s="312"/>
      <c r="BJ958" s="312"/>
      <c r="BK958" s="312"/>
      <c r="BL958" s="312"/>
      <c r="BM958" s="312"/>
    </row>
    <row r="959" spans="40:65" ht="15.75" customHeight="1">
      <c r="AN959" s="418"/>
      <c r="AO959" s="418"/>
      <c r="AP959" s="418"/>
      <c r="AQ959" s="418"/>
      <c r="AR959" s="418"/>
      <c r="AS959" s="418"/>
      <c r="AT959" s="418"/>
      <c r="AU959" s="418"/>
      <c r="AV959" s="418"/>
      <c r="AW959" s="418"/>
      <c r="AX959" s="418"/>
      <c r="AY959" s="418"/>
      <c r="AZ959" s="418"/>
      <c r="BA959" s="418"/>
      <c r="BH959" s="312"/>
      <c r="BI959" s="312"/>
      <c r="BJ959" s="312"/>
      <c r="BK959" s="312"/>
      <c r="BL959" s="312"/>
      <c r="BM959" s="312"/>
    </row>
    <row r="960" spans="40:65" ht="15.75" customHeight="1">
      <c r="AN960" s="418"/>
      <c r="AO960" s="418"/>
      <c r="AP960" s="418"/>
      <c r="AQ960" s="418"/>
      <c r="AR960" s="418"/>
      <c r="AS960" s="418"/>
      <c r="AT960" s="418"/>
      <c r="AU960" s="418"/>
      <c r="AV960" s="418"/>
      <c r="AW960" s="418"/>
      <c r="AX960" s="418"/>
      <c r="AY960" s="418"/>
      <c r="AZ960" s="418"/>
      <c r="BA960" s="418"/>
      <c r="BH960" s="312"/>
      <c r="BI960" s="312"/>
      <c r="BJ960" s="312"/>
      <c r="BK960" s="312"/>
      <c r="BL960" s="312"/>
      <c r="BM960" s="312"/>
    </row>
    <row r="961" spans="40:65" ht="15.75" customHeight="1">
      <c r="AN961" s="418"/>
      <c r="AO961" s="418"/>
      <c r="AP961" s="418"/>
      <c r="AQ961" s="418"/>
      <c r="AR961" s="418"/>
      <c r="AS961" s="418"/>
      <c r="AT961" s="418"/>
      <c r="AU961" s="418"/>
      <c r="AV961" s="418"/>
      <c r="AW961" s="418"/>
      <c r="AX961" s="418"/>
      <c r="AY961" s="418"/>
      <c r="AZ961" s="418"/>
      <c r="BA961" s="418"/>
      <c r="BH961" s="312"/>
      <c r="BI961" s="312"/>
      <c r="BJ961" s="312"/>
      <c r="BK961" s="312"/>
      <c r="BL961" s="312"/>
      <c r="BM961" s="312"/>
    </row>
    <row r="962" spans="40:65" ht="15.75" customHeight="1">
      <c r="AN962" s="418"/>
      <c r="AO962" s="418"/>
      <c r="AP962" s="418"/>
      <c r="AQ962" s="418"/>
      <c r="AR962" s="418"/>
      <c r="AS962" s="418"/>
      <c r="AT962" s="418"/>
      <c r="AU962" s="418"/>
      <c r="AV962" s="418"/>
      <c r="AW962" s="418"/>
      <c r="AX962" s="418"/>
      <c r="AY962" s="418"/>
      <c r="AZ962" s="418"/>
      <c r="BA962" s="418"/>
      <c r="BH962" s="312"/>
      <c r="BI962" s="312"/>
      <c r="BJ962" s="312"/>
      <c r="BK962" s="312"/>
      <c r="BL962" s="312"/>
      <c r="BM962" s="312"/>
    </row>
    <row r="963" spans="40:65" ht="15.75" customHeight="1">
      <c r="AN963" s="418"/>
      <c r="AO963" s="418"/>
      <c r="AP963" s="418"/>
      <c r="AQ963" s="418"/>
      <c r="AR963" s="418"/>
      <c r="AS963" s="418"/>
      <c r="AT963" s="418"/>
      <c r="AU963" s="418"/>
      <c r="AV963" s="418"/>
      <c r="AW963" s="418"/>
      <c r="AX963" s="418"/>
      <c r="AY963" s="418"/>
      <c r="AZ963" s="418"/>
      <c r="BA963" s="418"/>
      <c r="BH963" s="312"/>
      <c r="BI963" s="312"/>
      <c r="BJ963" s="312"/>
      <c r="BK963" s="312"/>
      <c r="BL963" s="312"/>
      <c r="BM963" s="312"/>
    </row>
    <row r="964" spans="40:65" ht="15.75" customHeight="1">
      <c r="AN964" s="418"/>
      <c r="AO964" s="418"/>
      <c r="AP964" s="418"/>
      <c r="AQ964" s="418"/>
      <c r="AR964" s="418"/>
      <c r="AS964" s="418"/>
      <c r="AT964" s="418"/>
      <c r="AU964" s="418"/>
      <c r="AV964" s="418"/>
      <c r="AW964" s="418"/>
      <c r="AX964" s="418"/>
      <c r="AY964" s="418"/>
      <c r="AZ964" s="418"/>
      <c r="BA964" s="418"/>
      <c r="BC964" s="312"/>
      <c r="BD964" s="312"/>
      <c r="BH964" s="312"/>
      <c r="BI964" s="312"/>
      <c r="BJ964" s="312"/>
      <c r="BK964" s="312"/>
      <c r="BL964" s="312"/>
      <c r="BM964" s="312"/>
    </row>
    <row r="965" spans="40:65" ht="15.75" customHeight="1">
      <c r="AN965" s="418"/>
      <c r="AO965" s="418"/>
      <c r="AP965" s="418"/>
      <c r="AQ965" s="418"/>
      <c r="AR965" s="418"/>
      <c r="AS965" s="418"/>
      <c r="AT965" s="418"/>
      <c r="AU965" s="418"/>
      <c r="AV965" s="418"/>
      <c r="AW965" s="418"/>
      <c r="AX965" s="418"/>
      <c r="AY965" s="418"/>
      <c r="AZ965" s="418"/>
      <c r="BA965" s="418"/>
      <c r="BC965" s="312"/>
      <c r="BD965" s="312"/>
      <c r="BH965" s="312"/>
      <c r="BI965" s="312"/>
      <c r="BJ965" s="312"/>
      <c r="BK965" s="312"/>
      <c r="BL965" s="312"/>
      <c r="BM965" s="312"/>
    </row>
    <row r="966" spans="40:65" ht="15.75" customHeight="1">
      <c r="AN966" s="418"/>
      <c r="AO966" s="418"/>
      <c r="AP966" s="418"/>
      <c r="AQ966" s="418"/>
      <c r="AR966" s="418"/>
      <c r="AS966" s="418"/>
      <c r="AT966" s="418"/>
      <c r="AU966" s="418"/>
      <c r="AV966" s="418"/>
      <c r="AW966" s="418"/>
      <c r="AX966" s="418"/>
      <c r="AY966" s="418"/>
      <c r="AZ966" s="418"/>
      <c r="BA966" s="418"/>
      <c r="BC966" s="312"/>
      <c r="BD966" s="312"/>
      <c r="BH966" s="312"/>
      <c r="BI966" s="312"/>
      <c r="BJ966" s="312"/>
      <c r="BK966" s="312"/>
      <c r="BL966" s="312"/>
      <c r="BM966" s="312"/>
    </row>
    <row r="967" spans="40:65" ht="15.75" customHeight="1">
      <c r="AN967" s="418"/>
      <c r="AO967" s="418"/>
      <c r="AP967" s="418"/>
      <c r="AQ967" s="418"/>
      <c r="AR967" s="418"/>
      <c r="AS967" s="418"/>
      <c r="AT967" s="418"/>
      <c r="AU967" s="418"/>
      <c r="AV967" s="418"/>
      <c r="AW967" s="418"/>
      <c r="AX967" s="418"/>
      <c r="AY967" s="418"/>
      <c r="AZ967" s="418"/>
      <c r="BA967" s="418"/>
      <c r="BC967" s="312"/>
      <c r="BD967" s="312"/>
      <c r="BH967" s="312"/>
      <c r="BI967" s="312"/>
      <c r="BJ967" s="312"/>
      <c r="BK967" s="312"/>
      <c r="BL967" s="312"/>
      <c r="BM967" s="312"/>
    </row>
    <row r="968" spans="40:65" ht="15.75" customHeight="1">
      <c r="AN968" s="418"/>
      <c r="AO968" s="418"/>
      <c r="AP968" s="418"/>
      <c r="AQ968" s="418"/>
      <c r="AR968" s="418"/>
      <c r="AS968" s="418"/>
      <c r="AT968" s="418"/>
      <c r="AU968" s="418"/>
      <c r="AV968" s="418"/>
      <c r="AW968" s="418"/>
      <c r="AX968" s="418"/>
      <c r="AY968" s="418"/>
      <c r="AZ968" s="418"/>
      <c r="BA968" s="418"/>
      <c r="BC968" s="312"/>
      <c r="BD968" s="312"/>
      <c r="BH968" s="312"/>
      <c r="BI968" s="312"/>
      <c r="BJ968" s="312"/>
      <c r="BK968" s="312"/>
      <c r="BL968" s="312"/>
      <c r="BM968" s="312"/>
    </row>
    <row r="969" spans="40:65" ht="15.75" customHeight="1">
      <c r="AN969" s="418"/>
      <c r="AO969" s="418"/>
      <c r="AP969" s="418"/>
      <c r="AQ969" s="418"/>
      <c r="AR969" s="418"/>
      <c r="AS969" s="418"/>
      <c r="AT969" s="418"/>
      <c r="AU969" s="418"/>
      <c r="AV969" s="418"/>
      <c r="AW969" s="418"/>
      <c r="AX969" s="418"/>
      <c r="AY969" s="418"/>
      <c r="AZ969" s="418"/>
      <c r="BA969" s="418"/>
      <c r="BC969" s="312"/>
      <c r="BD969" s="312"/>
      <c r="BH969" s="312"/>
      <c r="BI969" s="312"/>
      <c r="BJ969" s="312"/>
      <c r="BK969" s="312"/>
      <c r="BL969" s="312"/>
      <c r="BM969" s="312"/>
    </row>
    <row r="970" spans="40:65" ht="15.75" customHeight="1">
      <c r="AN970" s="418"/>
      <c r="AO970" s="418"/>
      <c r="AP970" s="418"/>
      <c r="AQ970" s="418"/>
      <c r="AR970" s="418"/>
      <c r="AS970" s="418"/>
      <c r="AT970" s="418"/>
      <c r="AU970" s="418"/>
      <c r="AV970" s="418"/>
      <c r="AW970" s="418"/>
      <c r="AX970" s="418"/>
      <c r="AY970" s="418"/>
      <c r="AZ970" s="418"/>
      <c r="BA970" s="418"/>
      <c r="BC970" s="312"/>
      <c r="BD970" s="312"/>
      <c r="BH970" s="312"/>
      <c r="BI970" s="312"/>
      <c r="BJ970" s="312"/>
      <c r="BK970" s="312"/>
      <c r="BL970" s="312"/>
      <c r="BM970" s="312"/>
    </row>
    <row r="971" spans="40:65" ht="15.75" customHeight="1">
      <c r="AN971" s="418"/>
      <c r="AO971" s="418"/>
      <c r="AP971" s="418"/>
      <c r="AQ971" s="418"/>
      <c r="AR971" s="418"/>
      <c r="AS971" s="418"/>
      <c r="AT971" s="418"/>
      <c r="AU971" s="418"/>
      <c r="AV971" s="418"/>
      <c r="AW971" s="418"/>
      <c r="AX971" s="418"/>
      <c r="AY971" s="418"/>
      <c r="AZ971" s="418"/>
      <c r="BA971" s="418"/>
      <c r="BC971" s="312"/>
      <c r="BD971" s="312"/>
      <c r="BH971" s="312"/>
      <c r="BI971" s="312"/>
      <c r="BJ971" s="312"/>
      <c r="BK971" s="312"/>
      <c r="BL971" s="312"/>
      <c r="BM971" s="312"/>
    </row>
    <row r="972" spans="40:65" ht="15.75" customHeight="1">
      <c r="AN972" s="418"/>
      <c r="AO972" s="418"/>
      <c r="AP972" s="418"/>
      <c r="AQ972" s="418"/>
      <c r="AR972" s="418"/>
      <c r="AS972" s="418"/>
      <c r="AT972" s="418"/>
      <c r="AU972" s="418"/>
      <c r="AV972" s="418"/>
      <c r="AW972" s="418"/>
      <c r="AX972" s="418"/>
      <c r="AY972" s="418"/>
      <c r="AZ972" s="418"/>
      <c r="BA972" s="418"/>
      <c r="BC972" s="312"/>
      <c r="BD972" s="312"/>
      <c r="BH972" s="312"/>
      <c r="BI972" s="312"/>
      <c r="BJ972" s="312"/>
      <c r="BK972" s="312"/>
      <c r="BL972" s="312"/>
      <c r="BM972" s="312"/>
    </row>
    <row r="973" spans="40:65" ht="15.75" customHeight="1">
      <c r="AN973" s="418"/>
      <c r="AO973" s="418"/>
      <c r="AP973" s="418"/>
      <c r="AQ973" s="418"/>
      <c r="AR973" s="418"/>
      <c r="AS973" s="418"/>
      <c r="AT973" s="418"/>
      <c r="AU973" s="418"/>
      <c r="AV973" s="418"/>
      <c r="AW973" s="418"/>
      <c r="AX973" s="418"/>
      <c r="AY973" s="418"/>
      <c r="AZ973" s="418"/>
      <c r="BA973" s="418"/>
      <c r="BC973" s="312"/>
      <c r="BD973" s="312"/>
      <c r="BH973" s="312"/>
      <c r="BI973" s="312"/>
      <c r="BJ973" s="312"/>
      <c r="BK973" s="312"/>
      <c r="BL973" s="312"/>
      <c r="BM973" s="312"/>
    </row>
    <row r="974" spans="40:65" ht="15.75" customHeight="1">
      <c r="AN974" s="418"/>
      <c r="AO974" s="418"/>
      <c r="AP974" s="418"/>
      <c r="AQ974" s="418"/>
      <c r="AR974" s="418"/>
      <c r="AS974" s="418"/>
      <c r="AT974" s="418"/>
      <c r="AU974" s="418"/>
      <c r="AV974" s="418"/>
      <c r="AW974" s="418"/>
      <c r="AX974" s="418"/>
      <c r="AY974" s="418"/>
      <c r="AZ974" s="418"/>
      <c r="BA974" s="418"/>
      <c r="BC974" s="312"/>
      <c r="BD974" s="312"/>
      <c r="BH974" s="312"/>
      <c r="BI974" s="312"/>
      <c r="BJ974" s="312"/>
      <c r="BK974" s="312"/>
      <c r="BL974" s="312"/>
      <c r="BM974" s="312"/>
    </row>
    <row r="975" spans="40:65" ht="15.75" customHeight="1">
      <c r="AN975" s="418"/>
      <c r="AO975" s="418"/>
      <c r="AP975" s="418"/>
      <c r="AQ975" s="418"/>
      <c r="AR975" s="418"/>
      <c r="AS975" s="418"/>
      <c r="AT975" s="418"/>
      <c r="AU975" s="418"/>
      <c r="AV975" s="418"/>
      <c r="AW975" s="418"/>
      <c r="AX975" s="418"/>
      <c r="AY975" s="418"/>
      <c r="AZ975" s="418"/>
      <c r="BA975" s="418"/>
      <c r="BC975" s="312"/>
      <c r="BD975" s="312"/>
      <c r="BH975" s="312"/>
      <c r="BI975" s="312"/>
      <c r="BJ975" s="312"/>
      <c r="BK975" s="312"/>
      <c r="BL975" s="312"/>
      <c r="BM975" s="312"/>
    </row>
    <row r="976" spans="40:65" ht="15.75" customHeight="1">
      <c r="AN976" s="418"/>
      <c r="AO976" s="418"/>
      <c r="AP976" s="418"/>
      <c r="AQ976" s="418"/>
      <c r="AR976" s="418"/>
      <c r="AS976" s="418"/>
      <c r="AT976" s="418"/>
      <c r="AU976" s="418"/>
      <c r="AV976" s="418"/>
      <c r="AW976" s="418"/>
      <c r="AX976" s="418"/>
      <c r="AY976" s="418"/>
      <c r="AZ976" s="418"/>
      <c r="BA976" s="418"/>
      <c r="BC976" s="312"/>
      <c r="BD976" s="312"/>
      <c r="BH976" s="312"/>
      <c r="BI976" s="312"/>
      <c r="BJ976" s="312"/>
      <c r="BK976" s="312"/>
      <c r="BL976" s="312"/>
      <c r="BM976" s="312"/>
    </row>
    <row r="977" spans="40:65" ht="15.75" customHeight="1">
      <c r="AN977" s="418"/>
      <c r="AO977" s="418"/>
      <c r="AP977" s="418"/>
      <c r="AQ977" s="418"/>
      <c r="AR977" s="418"/>
      <c r="AS977" s="418"/>
      <c r="AT977" s="418"/>
      <c r="AU977" s="418"/>
      <c r="AV977" s="418"/>
      <c r="AW977" s="418"/>
      <c r="AX977" s="418"/>
      <c r="AY977" s="418"/>
      <c r="AZ977" s="418"/>
      <c r="BA977" s="418"/>
      <c r="BC977" s="312"/>
      <c r="BD977" s="312"/>
      <c r="BH977" s="312"/>
      <c r="BI977" s="312"/>
      <c r="BJ977" s="312"/>
      <c r="BK977" s="312"/>
      <c r="BL977" s="312"/>
      <c r="BM977" s="312"/>
    </row>
    <row r="978" spans="40:65" ht="15.75" customHeight="1">
      <c r="AN978" s="418"/>
      <c r="AO978" s="418"/>
      <c r="AP978" s="418"/>
      <c r="AQ978" s="418"/>
      <c r="AR978" s="418"/>
      <c r="AS978" s="418"/>
      <c r="AT978" s="418"/>
      <c r="AU978" s="418"/>
      <c r="AV978" s="418"/>
      <c r="AW978" s="418"/>
      <c r="AX978" s="418"/>
      <c r="AY978" s="418"/>
      <c r="AZ978" s="418"/>
      <c r="BA978" s="418"/>
      <c r="BC978" s="312"/>
      <c r="BD978" s="312"/>
      <c r="BH978" s="312"/>
      <c r="BI978" s="312"/>
      <c r="BJ978" s="312"/>
      <c r="BK978" s="312"/>
      <c r="BL978" s="312"/>
      <c r="BM978" s="312"/>
    </row>
    <row r="979" spans="40:65" ht="15.75" customHeight="1">
      <c r="AN979" s="418"/>
      <c r="AO979" s="418"/>
      <c r="AP979" s="418"/>
      <c r="AQ979" s="418"/>
      <c r="AR979" s="418"/>
      <c r="AS979" s="418"/>
      <c r="AT979" s="418"/>
      <c r="AU979" s="418"/>
      <c r="AV979" s="418"/>
      <c r="AW979" s="418"/>
      <c r="AX979" s="418"/>
      <c r="AY979" s="418"/>
      <c r="AZ979" s="418"/>
      <c r="BA979" s="418"/>
      <c r="BC979" s="312"/>
      <c r="BD979" s="312"/>
      <c r="BH979" s="312"/>
      <c r="BI979" s="312"/>
      <c r="BJ979" s="312"/>
      <c r="BK979" s="312"/>
      <c r="BL979" s="312"/>
      <c r="BM979" s="312"/>
    </row>
    <row r="980" spans="40:65" ht="15.75" customHeight="1">
      <c r="AN980" s="418"/>
      <c r="AO980" s="418"/>
      <c r="AP980" s="418"/>
      <c r="AQ980" s="418"/>
      <c r="AR980" s="418"/>
      <c r="AS980" s="418"/>
      <c r="AT980" s="418"/>
      <c r="AU980" s="418"/>
      <c r="AV980" s="418"/>
      <c r="AW980" s="418"/>
      <c r="AX980" s="418"/>
      <c r="AY980" s="418"/>
      <c r="AZ980" s="418"/>
      <c r="BA980" s="418"/>
      <c r="BC980" s="312"/>
      <c r="BD980" s="312"/>
      <c r="BH980" s="312"/>
      <c r="BI980" s="312"/>
      <c r="BJ980" s="312"/>
      <c r="BK980" s="312"/>
      <c r="BL980" s="312"/>
      <c r="BM980" s="312"/>
    </row>
    <row r="981" spans="40:65" ht="15.75" customHeight="1">
      <c r="AN981" s="418"/>
      <c r="AO981" s="418"/>
      <c r="AP981" s="418"/>
      <c r="AQ981" s="418"/>
      <c r="AR981" s="418"/>
      <c r="AS981" s="418"/>
      <c r="AT981" s="418"/>
      <c r="AU981" s="418"/>
      <c r="AV981" s="418"/>
      <c r="AW981" s="418"/>
      <c r="AX981" s="418"/>
      <c r="AY981" s="418"/>
      <c r="AZ981" s="418"/>
      <c r="BA981" s="418"/>
      <c r="BC981" s="312"/>
      <c r="BD981" s="312"/>
      <c r="BH981" s="312"/>
      <c r="BI981" s="312"/>
      <c r="BJ981" s="312"/>
      <c r="BK981" s="312"/>
      <c r="BL981" s="312"/>
      <c r="BM981" s="312"/>
    </row>
    <row r="982" spans="40:65" ht="15.75" customHeight="1">
      <c r="AN982" s="418"/>
      <c r="AO982" s="418"/>
      <c r="AP982" s="418"/>
      <c r="AQ982" s="418"/>
      <c r="AR982" s="418"/>
      <c r="AS982" s="418"/>
      <c r="AT982" s="418"/>
      <c r="AU982" s="418"/>
      <c r="AV982" s="418"/>
      <c r="AW982" s="418"/>
      <c r="AX982" s="418"/>
      <c r="AY982" s="418"/>
      <c r="AZ982" s="418"/>
      <c r="BA982" s="418"/>
      <c r="BC982" s="312"/>
      <c r="BD982" s="312"/>
      <c r="BH982" s="312"/>
      <c r="BI982" s="312"/>
      <c r="BJ982" s="312"/>
      <c r="BK982" s="312"/>
      <c r="BL982" s="312"/>
      <c r="BM982" s="312"/>
    </row>
    <row r="983" spans="40:65" ht="15.75" customHeight="1">
      <c r="AN983" s="418"/>
      <c r="AO983" s="418"/>
      <c r="AP983" s="418"/>
      <c r="AQ983" s="418"/>
      <c r="AR983" s="418"/>
      <c r="AS983" s="418"/>
      <c r="AT983" s="418"/>
      <c r="AU983" s="418"/>
      <c r="AV983" s="418"/>
      <c r="AW983" s="418"/>
      <c r="AX983" s="418"/>
      <c r="AY983" s="418"/>
      <c r="AZ983" s="418"/>
      <c r="BA983" s="418"/>
      <c r="BC983" s="312"/>
      <c r="BD983" s="312"/>
      <c r="BH983" s="312"/>
      <c r="BI983" s="312"/>
      <c r="BJ983" s="312"/>
      <c r="BK983" s="312"/>
      <c r="BL983" s="312"/>
      <c r="BM983" s="312"/>
    </row>
    <row r="984" spans="40:65" ht="15.75" customHeight="1">
      <c r="AN984" s="418"/>
      <c r="AO984" s="418"/>
      <c r="AP984" s="418"/>
      <c r="AQ984" s="418"/>
      <c r="AR984" s="418"/>
      <c r="AS984" s="418"/>
      <c r="AT984" s="418"/>
      <c r="AU984" s="418"/>
      <c r="AV984" s="418"/>
      <c r="AW984" s="418"/>
      <c r="AX984" s="418"/>
      <c r="AY984" s="418"/>
      <c r="AZ984" s="418"/>
      <c r="BA984" s="418"/>
      <c r="BC984" s="312"/>
      <c r="BD984" s="312"/>
      <c r="BH984" s="312"/>
      <c r="BI984" s="312"/>
      <c r="BJ984" s="312"/>
      <c r="BK984" s="312"/>
      <c r="BL984" s="312"/>
      <c r="BM984" s="312"/>
    </row>
    <row r="985" spans="40:65" ht="15.75" customHeight="1">
      <c r="AN985" s="418"/>
      <c r="AO985" s="418"/>
      <c r="AP985" s="418"/>
      <c r="AQ985" s="418"/>
      <c r="AR985" s="418"/>
      <c r="AS985" s="418"/>
      <c r="AT985" s="418"/>
      <c r="AU985" s="418"/>
      <c r="AV985" s="418"/>
      <c r="AW985" s="418"/>
      <c r="AX985" s="418"/>
      <c r="AY985" s="418"/>
      <c r="AZ985" s="418"/>
      <c r="BA985" s="418"/>
      <c r="BC985" s="312"/>
      <c r="BD985" s="312"/>
      <c r="BH985" s="312"/>
      <c r="BI985" s="312"/>
      <c r="BJ985" s="312"/>
      <c r="BK985" s="312"/>
      <c r="BL985" s="312"/>
      <c r="BM985" s="312"/>
    </row>
    <row r="986" spans="40:65" ht="15.75" customHeight="1">
      <c r="AN986" s="418"/>
      <c r="AO986" s="418"/>
      <c r="AP986" s="418"/>
      <c r="AQ986" s="418"/>
      <c r="AR986" s="418"/>
      <c r="AS986" s="418"/>
      <c r="AT986" s="418"/>
      <c r="AU986" s="418"/>
      <c r="AV986" s="418"/>
      <c r="AW986" s="418"/>
      <c r="AX986" s="418"/>
      <c r="AY986" s="418"/>
      <c r="AZ986" s="418"/>
      <c r="BA986" s="418"/>
      <c r="BC986" s="312"/>
      <c r="BD986" s="312"/>
      <c r="BH986" s="312"/>
      <c r="BI986" s="312"/>
      <c r="BJ986" s="312"/>
      <c r="BK986" s="312"/>
      <c r="BL986" s="312"/>
      <c r="BM986" s="312"/>
    </row>
    <row r="987" spans="40:65" ht="15.75" customHeight="1">
      <c r="AN987" s="418"/>
      <c r="AO987" s="418"/>
      <c r="AP987" s="418"/>
      <c r="AQ987" s="418"/>
      <c r="AR987" s="418"/>
      <c r="AS987" s="418"/>
      <c r="AT987" s="418"/>
      <c r="AU987" s="418"/>
      <c r="AV987" s="418"/>
      <c r="AW987" s="418"/>
      <c r="AX987" s="418"/>
      <c r="AY987" s="418"/>
      <c r="AZ987" s="418"/>
      <c r="BA987" s="418"/>
      <c r="BC987" s="312"/>
      <c r="BD987" s="312"/>
      <c r="BH987" s="312"/>
      <c r="BI987" s="312"/>
      <c r="BJ987" s="312"/>
      <c r="BK987" s="312"/>
      <c r="BL987" s="312"/>
      <c r="BM987" s="312"/>
    </row>
    <row r="988" spans="40:65" ht="15.75" customHeight="1">
      <c r="AN988" s="418"/>
      <c r="AO988" s="418"/>
      <c r="AP988" s="418"/>
      <c r="AQ988" s="418"/>
      <c r="AR988" s="418"/>
      <c r="AS988" s="418"/>
      <c r="AT988" s="418"/>
      <c r="AU988" s="418"/>
      <c r="AV988" s="418"/>
      <c r="AW988" s="418"/>
      <c r="AX988" s="418"/>
      <c r="AY988" s="418"/>
      <c r="AZ988" s="418"/>
      <c r="BA988" s="418"/>
      <c r="BC988" s="312"/>
      <c r="BD988" s="312"/>
      <c r="BH988" s="312"/>
      <c r="BI988" s="312"/>
      <c r="BJ988" s="312"/>
      <c r="BK988" s="312"/>
      <c r="BL988" s="312"/>
      <c r="BM988" s="312"/>
    </row>
    <row r="989" spans="40:65" ht="15.75" customHeight="1">
      <c r="AN989" s="418"/>
      <c r="AO989" s="418"/>
      <c r="AP989" s="418"/>
      <c r="AQ989" s="418"/>
      <c r="AR989" s="418"/>
      <c r="AS989" s="418"/>
      <c r="AT989" s="418"/>
      <c r="AU989" s="418"/>
      <c r="AV989" s="418"/>
      <c r="AW989" s="418"/>
      <c r="AX989" s="418"/>
      <c r="AY989" s="418"/>
      <c r="AZ989" s="418"/>
      <c r="BA989" s="418"/>
      <c r="BC989" s="312"/>
      <c r="BD989" s="312"/>
      <c r="BH989" s="312"/>
      <c r="BI989" s="312"/>
      <c r="BJ989" s="312"/>
      <c r="BK989" s="312"/>
      <c r="BL989" s="312"/>
      <c r="BM989" s="312"/>
    </row>
    <row r="990" spans="40:65" ht="15.75" customHeight="1">
      <c r="AN990" s="418"/>
      <c r="AO990" s="418"/>
      <c r="AP990" s="418"/>
      <c r="AQ990" s="418"/>
      <c r="AR990" s="418"/>
      <c r="AS990" s="418"/>
      <c r="AT990" s="418"/>
      <c r="AU990" s="418"/>
      <c r="AV990" s="418"/>
      <c r="AW990" s="418"/>
      <c r="AX990" s="418"/>
      <c r="AY990" s="418"/>
      <c r="AZ990" s="418"/>
      <c r="BA990" s="418"/>
      <c r="BC990" s="312"/>
      <c r="BD990" s="312"/>
      <c r="BH990" s="312"/>
      <c r="BI990" s="312"/>
      <c r="BJ990" s="312"/>
      <c r="BK990" s="312"/>
      <c r="BL990" s="312"/>
      <c r="BM990" s="312"/>
    </row>
    <row r="991" spans="40:65" ht="15.75" customHeight="1">
      <c r="AN991" s="418"/>
      <c r="AO991" s="418"/>
      <c r="AP991" s="418"/>
      <c r="AQ991" s="418"/>
      <c r="AR991" s="418"/>
      <c r="AS991" s="418"/>
      <c r="AT991" s="418"/>
      <c r="AU991" s="418"/>
      <c r="AV991" s="418"/>
      <c r="AW991" s="418"/>
      <c r="AX991" s="418"/>
      <c r="AY991" s="418"/>
      <c r="AZ991" s="418"/>
      <c r="BA991" s="418"/>
      <c r="BC991" s="312"/>
      <c r="BD991" s="312"/>
      <c r="BH991" s="312"/>
      <c r="BI991" s="312"/>
      <c r="BJ991" s="312"/>
      <c r="BK991" s="312"/>
      <c r="BL991" s="312"/>
      <c r="BM991" s="312"/>
    </row>
    <row r="992" spans="40:65" ht="15.75" customHeight="1">
      <c r="AN992" s="418"/>
      <c r="AO992" s="418"/>
      <c r="AP992" s="418"/>
      <c r="AQ992" s="418"/>
      <c r="AR992" s="418"/>
      <c r="AS992" s="418"/>
      <c r="AT992" s="418"/>
      <c r="AU992" s="418"/>
      <c r="AV992" s="418"/>
      <c r="AW992" s="418"/>
      <c r="AX992" s="418"/>
      <c r="AY992" s="418"/>
      <c r="AZ992" s="418"/>
      <c r="BA992" s="418"/>
      <c r="BC992" s="312"/>
      <c r="BD992" s="312"/>
      <c r="BH992" s="312"/>
      <c r="BI992" s="312"/>
      <c r="BJ992" s="312"/>
      <c r="BK992" s="312"/>
      <c r="BL992" s="312"/>
      <c r="BM992" s="312"/>
    </row>
    <row r="993" spans="40:65" ht="15.75" customHeight="1">
      <c r="AN993" s="418"/>
      <c r="AO993" s="418"/>
      <c r="AP993" s="418"/>
      <c r="AQ993" s="418"/>
      <c r="AR993" s="418"/>
      <c r="AS993" s="418"/>
      <c r="AT993" s="418"/>
      <c r="AU993" s="418"/>
      <c r="AV993" s="418"/>
      <c r="AW993" s="418"/>
      <c r="AX993" s="418"/>
      <c r="AY993" s="418"/>
      <c r="AZ993" s="418"/>
      <c r="BA993" s="418"/>
      <c r="BC993" s="312"/>
      <c r="BD993" s="312"/>
      <c r="BH993" s="312"/>
      <c r="BI993" s="312"/>
      <c r="BJ993" s="312"/>
      <c r="BK993" s="312"/>
      <c r="BL993" s="312"/>
      <c r="BM993" s="312"/>
    </row>
    <row r="994" spans="40:65" ht="15.75" customHeight="1">
      <c r="AN994" s="418"/>
      <c r="AO994" s="418"/>
      <c r="AP994" s="418"/>
      <c r="AQ994" s="418"/>
      <c r="AR994" s="418"/>
      <c r="AS994" s="418"/>
      <c r="AT994" s="418"/>
      <c r="AU994" s="418"/>
      <c r="AV994" s="418"/>
      <c r="AW994" s="418"/>
      <c r="AX994" s="418"/>
      <c r="AY994" s="418"/>
      <c r="AZ994" s="418"/>
      <c r="BA994" s="418"/>
      <c r="BC994" s="312"/>
      <c r="BD994" s="312"/>
      <c r="BH994" s="312"/>
      <c r="BI994" s="312"/>
      <c r="BJ994" s="312"/>
      <c r="BK994" s="312"/>
      <c r="BL994" s="312"/>
      <c r="BM994" s="312"/>
    </row>
    <row r="995" spans="40:65" ht="15.75" customHeight="1">
      <c r="AN995" s="418"/>
      <c r="AO995" s="418"/>
      <c r="AP995" s="418"/>
      <c r="AQ995" s="418"/>
      <c r="AR995" s="418"/>
      <c r="AS995" s="418"/>
      <c r="AT995" s="418"/>
      <c r="AU995" s="418"/>
      <c r="AV995" s="418"/>
      <c r="AW995" s="418"/>
      <c r="AX995" s="418"/>
      <c r="AY995" s="418"/>
      <c r="AZ995" s="418"/>
      <c r="BA995" s="418"/>
      <c r="BC995" s="312"/>
      <c r="BD995" s="312"/>
    </row>
    <row r="996" spans="40:65" ht="15.75" customHeight="1">
      <c r="AN996" s="418"/>
      <c r="AO996" s="418"/>
      <c r="AP996" s="418"/>
      <c r="AQ996" s="418"/>
      <c r="AR996" s="418"/>
      <c r="AS996" s="418"/>
      <c r="AT996" s="418"/>
      <c r="AU996" s="418"/>
      <c r="AV996" s="418"/>
      <c r="AW996" s="418"/>
      <c r="AX996" s="418"/>
      <c r="AY996" s="418"/>
      <c r="AZ996" s="418"/>
      <c r="BA996" s="418"/>
      <c r="BC996" s="312"/>
      <c r="BD996" s="312"/>
    </row>
    <row r="997" spans="40:65" ht="15.75" customHeight="1">
      <c r="AN997" s="418"/>
      <c r="AO997" s="418"/>
      <c r="AP997" s="418"/>
      <c r="AQ997" s="418"/>
      <c r="AR997" s="418"/>
      <c r="AS997" s="418"/>
      <c r="AT997" s="418"/>
      <c r="AU997" s="418"/>
      <c r="AV997" s="418"/>
      <c r="AW997" s="418"/>
      <c r="AX997" s="418"/>
      <c r="AY997" s="418"/>
      <c r="AZ997" s="418"/>
      <c r="BA997" s="418"/>
      <c r="BC997" s="312"/>
      <c r="BD997" s="312"/>
    </row>
    <row r="998" spans="40:65" ht="15.75" customHeight="1">
      <c r="AN998" s="418"/>
      <c r="AO998" s="418"/>
      <c r="AP998" s="418"/>
      <c r="AQ998" s="418"/>
      <c r="AR998" s="418"/>
      <c r="AS998" s="418"/>
      <c r="AT998" s="418"/>
      <c r="AU998" s="418"/>
      <c r="AV998" s="418"/>
      <c r="AW998" s="418"/>
      <c r="AX998" s="418"/>
      <c r="AY998" s="418"/>
      <c r="AZ998" s="418"/>
      <c r="BA998" s="418"/>
      <c r="BC998" s="312"/>
      <c r="BD998" s="312"/>
    </row>
    <row r="999" spans="40:65" ht="15.75" customHeight="1">
      <c r="AN999" s="418"/>
      <c r="AO999" s="418"/>
      <c r="AP999" s="418"/>
      <c r="AQ999" s="418"/>
      <c r="AR999" s="418"/>
      <c r="AS999" s="418"/>
      <c r="AT999" s="418"/>
      <c r="AU999" s="418"/>
      <c r="AV999" s="418"/>
      <c r="AW999" s="418"/>
      <c r="AX999" s="418"/>
      <c r="AY999" s="418"/>
      <c r="AZ999" s="418"/>
      <c r="BA999" s="418"/>
      <c r="BC999" s="312"/>
      <c r="BD999" s="312"/>
    </row>
    <row r="1000" spans="40:65" ht="15.75" customHeight="1">
      <c r="AN1000" s="418"/>
      <c r="AO1000" s="418"/>
      <c r="AP1000" s="418"/>
      <c r="AQ1000" s="418"/>
      <c r="AR1000" s="418"/>
      <c r="AS1000" s="418"/>
      <c r="AT1000" s="418"/>
      <c r="AU1000" s="418"/>
      <c r="AV1000" s="418"/>
      <c r="AW1000" s="418"/>
      <c r="AX1000" s="418"/>
      <c r="AY1000" s="418"/>
      <c r="AZ1000" s="418"/>
      <c r="BA1000" s="418"/>
      <c r="BC1000" s="312"/>
      <c r="BD1000" s="312"/>
    </row>
    <row r="1001" spans="40:65" ht="15.75" customHeight="1">
      <c r="AN1001" s="418"/>
      <c r="AO1001" s="418"/>
      <c r="AP1001" s="418"/>
      <c r="AQ1001" s="418"/>
      <c r="AR1001" s="418"/>
      <c r="AS1001" s="418"/>
      <c r="AT1001" s="418"/>
      <c r="AU1001" s="418"/>
      <c r="AV1001" s="418"/>
      <c r="AW1001" s="418"/>
      <c r="AX1001" s="418"/>
      <c r="AY1001" s="418"/>
      <c r="AZ1001" s="418"/>
      <c r="BA1001" s="418"/>
      <c r="BC1001" s="312"/>
      <c r="BD1001" s="312"/>
    </row>
    <row r="1002" spans="40:65" ht="15.75" customHeight="1">
      <c r="AN1002" s="418"/>
      <c r="AO1002" s="418"/>
      <c r="AP1002" s="418"/>
      <c r="AQ1002" s="418"/>
      <c r="AR1002" s="418"/>
      <c r="AS1002" s="418"/>
      <c r="AT1002" s="418"/>
      <c r="AU1002" s="418"/>
      <c r="AV1002" s="418"/>
      <c r="AW1002" s="418"/>
      <c r="AX1002" s="418"/>
      <c r="AY1002" s="418"/>
      <c r="AZ1002" s="418"/>
      <c r="BA1002" s="418"/>
      <c r="BC1002" s="312"/>
      <c r="BD1002" s="312"/>
    </row>
    <row r="1003" spans="40:65" ht="15.75" customHeight="1">
      <c r="AN1003" s="418"/>
      <c r="AO1003" s="418"/>
      <c r="AP1003" s="418"/>
      <c r="AQ1003" s="418"/>
      <c r="AR1003" s="418"/>
      <c r="AS1003" s="418"/>
      <c r="AT1003" s="418"/>
      <c r="AU1003" s="418"/>
      <c r="AV1003" s="418"/>
      <c r="AW1003" s="418"/>
      <c r="AX1003" s="418"/>
      <c r="AY1003" s="418"/>
      <c r="AZ1003" s="418"/>
      <c r="BA1003" s="418"/>
      <c r="BC1003" s="312"/>
      <c r="BD1003" s="312"/>
    </row>
    <row r="1004" spans="40:65" ht="15.75" customHeight="1">
      <c r="AN1004" s="418"/>
      <c r="AO1004" s="418"/>
      <c r="AP1004" s="418"/>
      <c r="AQ1004" s="418"/>
      <c r="AR1004" s="418"/>
      <c r="AS1004" s="418"/>
      <c r="AT1004" s="418"/>
      <c r="AU1004" s="418"/>
      <c r="AV1004" s="418"/>
      <c r="AW1004" s="418"/>
      <c r="AX1004" s="418"/>
      <c r="AY1004" s="418"/>
      <c r="AZ1004" s="418"/>
      <c r="BA1004" s="418"/>
      <c r="BC1004" s="312"/>
      <c r="BD1004" s="312"/>
    </row>
    <row r="1005" spans="40:65" ht="15.75" customHeight="1">
      <c r="AN1005" s="418"/>
      <c r="AO1005" s="418"/>
      <c r="AP1005" s="418"/>
      <c r="AQ1005" s="418"/>
      <c r="AR1005" s="418"/>
      <c r="AS1005" s="418"/>
      <c r="AT1005" s="418"/>
      <c r="AU1005" s="418"/>
      <c r="AV1005" s="418"/>
      <c r="AW1005" s="418"/>
      <c r="AX1005" s="418"/>
      <c r="AY1005" s="418"/>
      <c r="AZ1005" s="418"/>
      <c r="BA1005" s="418"/>
      <c r="BC1005" s="312"/>
      <c r="BD1005" s="312"/>
    </row>
    <row r="1006" spans="40:65" ht="15.75" customHeight="1">
      <c r="AN1006" s="418"/>
      <c r="AO1006" s="418"/>
      <c r="AP1006" s="418"/>
      <c r="AQ1006" s="418"/>
      <c r="AR1006" s="418"/>
      <c r="AS1006" s="418"/>
      <c r="AT1006" s="418"/>
      <c r="AU1006" s="418"/>
      <c r="AV1006" s="418"/>
      <c r="AW1006" s="418"/>
      <c r="AX1006" s="418"/>
      <c r="AY1006" s="418"/>
      <c r="AZ1006" s="418"/>
      <c r="BA1006" s="418"/>
    </row>
    <row r="1007" spans="40:65" ht="15.75" customHeight="1">
      <c r="AN1007" s="418"/>
      <c r="AO1007" s="418"/>
      <c r="AP1007" s="418"/>
      <c r="AQ1007" s="418"/>
      <c r="AR1007" s="418"/>
      <c r="AS1007" s="418"/>
      <c r="AT1007" s="418"/>
      <c r="AU1007" s="418"/>
      <c r="AV1007" s="418"/>
      <c r="AW1007" s="418"/>
      <c r="AX1007" s="418"/>
      <c r="AY1007" s="418"/>
      <c r="AZ1007" s="418"/>
      <c r="BA1007" s="418"/>
    </row>
    <row r="1008" spans="40:65" ht="15.75" customHeight="1">
      <c r="AN1008" s="418"/>
      <c r="AO1008" s="418"/>
      <c r="AP1008" s="418"/>
      <c r="AQ1008" s="418"/>
      <c r="AR1008" s="418"/>
      <c r="AS1008" s="418"/>
      <c r="AT1008" s="418"/>
      <c r="AU1008" s="418"/>
      <c r="AV1008" s="418"/>
      <c r="AW1008" s="418"/>
      <c r="AX1008" s="418"/>
      <c r="AY1008" s="418"/>
      <c r="AZ1008" s="418"/>
      <c r="BA1008" s="418"/>
    </row>
    <row r="1009" spans="40:53" ht="15.75" customHeight="1">
      <c r="AN1009" s="418"/>
      <c r="AO1009" s="418"/>
      <c r="AP1009" s="418"/>
      <c r="AQ1009" s="418"/>
      <c r="AR1009" s="418"/>
      <c r="AS1009" s="418"/>
      <c r="AT1009" s="418"/>
      <c r="AU1009" s="418"/>
      <c r="AV1009" s="418"/>
      <c r="AW1009" s="418"/>
      <c r="AX1009" s="418"/>
      <c r="AY1009" s="418"/>
      <c r="AZ1009" s="418"/>
      <c r="BA1009" s="418"/>
    </row>
    <row r="1010" spans="40:53" ht="15.75" customHeight="1">
      <c r="AN1010" s="418"/>
      <c r="AO1010" s="418"/>
      <c r="AP1010" s="418"/>
      <c r="AQ1010" s="418"/>
      <c r="AR1010" s="418"/>
      <c r="AS1010" s="418"/>
      <c r="AT1010" s="418"/>
      <c r="AU1010" s="418"/>
      <c r="AV1010" s="418"/>
      <c r="AW1010" s="418"/>
      <c r="AX1010" s="418"/>
      <c r="AY1010" s="418"/>
      <c r="AZ1010" s="418"/>
      <c r="BA1010" s="418"/>
    </row>
    <row r="1011" spans="40:53" ht="15.75" customHeight="1">
      <c r="AN1011" s="418"/>
      <c r="AO1011" s="418"/>
      <c r="AP1011" s="418"/>
      <c r="AQ1011" s="418"/>
      <c r="AR1011" s="418"/>
      <c r="AS1011" s="418"/>
      <c r="AT1011" s="418"/>
      <c r="AU1011" s="418"/>
      <c r="AV1011" s="418"/>
      <c r="AW1011" s="418"/>
      <c r="AX1011" s="418"/>
      <c r="AY1011" s="418"/>
      <c r="AZ1011" s="418"/>
      <c r="BA1011" s="418"/>
    </row>
    <row r="1012" spans="40:53" ht="15.75" customHeight="1">
      <c r="AN1012" s="418"/>
      <c r="AO1012" s="418"/>
      <c r="AP1012" s="418"/>
      <c r="AQ1012" s="418"/>
      <c r="AR1012" s="418"/>
      <c r="AS1012" s="418"/>
      <c r="AT1012" s="418"/>
      <c r="AU1012" s="418"/>
      <c r="AV1012" s="418"/>
      <c r="AW1012" s="418"/>
      <c r="AX1012" s="418"/>
      <c r="AY1012" s="418"/>
      <c r="AZ1012" s="418"/>
      <c r="BA1012" s="418"/>
    </row>
    <row r="1013" spans="40:53" ht="15.75" customHeight="1">
      <c r="AN1013" s="418"/>
      <c r="AO1013" s="418"/>
      <c r="AP1013" s="418"/>
      <c r="AQ1013" s="418"/>
      <c r="AR1013" s="418"/>
      <c r="AS1013" s="418"/>
      <c r="AT1013" s="418"/>
      <c r="AU1013" s="418"/>
      <c r="AV1013" s="418"/>
      <c r="AW1013" s="418"/>
      <c r="AX1013" s="418"/>
      <c r="AY1013" s="418"/>
      <c r="AZ1013" s="418"/>
      <c r="BA1013" s="418"/>
    </row>
    <row r="1014" spans="40:53" ht="15.75" customHeight="1">
      <c r="AN1014" s="418"/>
      <c r="AO1014" s="418"/>
      <c r="AP1014" s="418"/>
      <c r="AQ1014" s="418"/>
      <c r="AR1014" s="418"/>
      <c r="AS1014" s="418"/>
      <c r="AT1014" s="418"/>
      <c r="AU1014" s="418"/>
      <c r="AV1014" s="418"/>
      <c r="AW1014" s="418"/>
      <c r="AX1014" s="418"/>
      <c r="AY1014" s="418"/>
      <c r="AZ1014" s="418"/>
      <c r="BA1014" s="418"/>
    </row>
    <row r="1015" spans="40:53" ht="15.75" customHeight="1">
      <c r="AN1015" s="418"/>
      <c r="AO1015" s="418"/>
      <c r="AP1015" s="418"/>
      <c r="AQ1015" s="418"/>
      <c r="AR1015" s="418"/>
      <c r="AS1015" s="418"/>
      <c r="AT1015" s="418"/>
      <c r="AU1015" s="418"/>
      <c r="AV1015" s="418"/>
      <c r="AW1015" s="418"/>
      <c r="AX1015" s="418"/>
      <c r="AY1015" s="418"/>
      <c r="AZ1015" s="418"/>
      <c r="BA1015" s="418"/>
    </row>
    <row r="1016" spans="40:53" ht="15.75" customHeight="1">
      <c r="AN1016" s="418"/>
      <c r="AO1016" s="418"/>
      <c r="AP1016" s="418"/>
      <c r="AQ1016" s="418"/>
      <c r="AR1016" s="418"/>
      <c r="AS1016" s="418"/>
      <c r="AT1016" s="418"/>
      <c r="AU1016" s="418"/>
      <c r="AV1016" s="418"/>
      <c r="AW1016" s="418"/>
      <c r="AX1016" s="418"/>
      <c r="AY1016" s="418"/>
      <c r="AZ1016" s="418"/>
      <c r="BA1016" s="418"/>
    </row>
    <row r="1017" spans="40:53" ht="15.75" customHeight="1">
      <c r="AN1017" s="418"/>
      <c r="AO1017" s="418"/>
      <c r="AP1017" s="418"/>
      <c r="AQ1017" s="418"/>
      <c r="AR1017" s="418"/>
      <c r="AS1017" s="418"/>
      <c r="AT1017" s="418"/>
      <c r="AU1017" s="418"/>
      <c r="AV1017" s="418"/>
      <c r="AW1017" s="418"/>
      <c r="AX1017" s="418"/>
      <c r="AY1017" s="418"/>
      <c r="AZ1017" s="418"/>
      <c r="BA1017" s="418"/>
    </row>
    <row r="1018" spans="40:53" ht="15.75" customHeight="1">
      <c r="AN1018" s="418"/>
      <c r="AO1018" s="418"/>
      <c r="AP1018" s="418"/>
      <c r="AQ1018" s="418"/>
      <c r="AR1018" s="418"/>
      <c r="AS1018" s="418"/>
      <c r="AT1018" s="418"/>
      <c r="AU1018" s="418"/>
      <c r="AV1018" s="418"/>
      <c r="AW1018" s="418"/>
      <c r="AX1018" s="418"/>
      <c r="AY1018" s="418"/>
      <c r="AZ1018" s="418"/>
      <c r="BA1018" s="418"/>
    </row>
    <row r="1019" spans="40:53" ht="15.75" customHeight="1">
      <c r="AN1019" s="418"/>
      <c r="AO1019" s="418"/>
      <c r="AP1019" s="418"/>
      <c r="AQ1019" s="418"/>
      <c r="AR1019" s="418"/>
      <c r="AS1019" s="418"/>
      <c r="AT1019" s="418"/>
      <c r="AU1019" s="418"/>
      <c r="AV1019" s="418"/>
      <c r="AW1019" s="418"/>
      <c r="AX1019" s="418"/>
      <c r="AY1019" s="418"/>
      <c r="AZ1019" s="418"/>
      <c r="BA1019" s="418"/>
    </row>
    <row r="1020" spans="40:53" ht="15.75" customHeight="1">
      <c r="AN1020" s="418"/>
      <c r="AO1020" s="418"/>
      <c r="AP1020" s="418"/>
      <c r="AQ1020" s="418"/>
      <c r="AR1020" s="418"/>
      <c r="AS1020" s="418"/>
      <c r="AT1020" s="418"/>
      <c r="AU1020" s="418"/>
      <c r="AV1020" s="418"/>
      <c r="AW1020" s="418"/>
      <c r="AX1020" s="418"/>
      <c r="AY1020" s="418"/>
      <c r="AZ1020" s="418"/>
      <c r="BA1020" s="418"/>
    </row>
    <row r="1021" spans="40:53" ht="15.75" customHeight="1">
      <c r="AN1021" s="418"/>
      <c r="AO1021" s="418"/>
      <c r="AP1021" s="418"/>
      <c r="AQ1021" s="418"/>
      <c r="AR1021" s="418"/>
      <c r="AS1021" s="418"/>
      <c r="AT1021" s="418"/>
      <c r="AU1021" s="418"/>
      <c r="AV1021" s="418"/>
      <c r="AW1021" s="418"/>
      <c r="AX1021" s="418"/>
      <c r="AY1021" s="418"/>
      <c r="AZ1021" s="418"/>
      <c r="BA1021" s="418"/>
    </row>
    <row r="1022" spans="40:53" ht="15.75" customHeight="1">
      <c r="AN1022" s="418"/>
      <c r="AO1022" s="418"/>
      <c r="AP1022" s="418"/>
      <c r="AQ1022" s="418"/>
      <c r="AR1022" s="418"/>
      <c r="AS1022" s="418"/>
      <c r="AT1022" s="418"/>
      <c r="AU1022" s="418"/>
      <c r="AV1022" s="418"/>
      <c r="AW1022" s="418"/>
      <c r="AX1022" s="418"/>
      <c r="AY1022" s="418"/>
      <c r="AZ1022" s="418"/>
      <c r="BA1022" s="418"/>
    </row>
    <row r="1023" spans="40:53" ht="15.75" customHeight="1">
      <c r="AN1023" s="418"/>
      <c r="AO1023" s="418"/>
      <c r="AP1023" s="418"/>
      <c r="AQ1023" s="418"/>
      <c r="AR1023" s="418"/>
      <c r="AS1023" s="418"/>
      <c r="AT1023" s="418"/>
      <c r="AU1023" s="418"/>
      <c r="AV1023" s="418"/>
      <c r="AW1023" s="418"/>
      <c r="AX1023" s="418"/>
      <c r="AY1023" s="418"/>
      <c r="AZ1023" s="418"/>
      <c r="BA1023" s="418"/>
    </row>
    <row r="1024" spans="40:53" ht="15.75" customHeight="1">
      <c r="AN1024" s="418"/>
      <c r="AO1024" s="418"/>
      <c r="AP1024" s="418"/>
      <c r="AQ1024" s="418"/>
      <c r="AR1024" s="418"/>
      <c r="AS1024" s="418"/>
      <c r="AT1024" s="418"/>
      <c r="AU1024" s="418"/>
      <c r="AV1024" s="418"/>
      <c r="AW1024" s="418"/>
      <c r="AX1024" s="418"/>
      <c r="AY1024" s="418"/>
      <c r="AZ1024" s="418"/>
      <c r="BA1024" s="418"/>
    </row>
    <row r="1025" spans="40:53" ht="15.75" customHeight="1">
      <c r="AN1025" s="418"/>
      <c r="AO1025" s="418"/>
      <c r="AP1025" s="418"/>
      <c r="AQ1025" s="418"/>
      <c r="AR1025" s="418"/>
      <c r="AS1025" s="418"/>
      <c r="AT1025" s="418"/>
      <c r="AU1025" s="418"/>
      <c r="AV1025" s="418"/>
      <c r="AW1025" s="418"/>
      <c r="AX1025" s="418"/>
      <c r="AY1025" s="418"/>
      <c r="AZ1025" s="418"/>
      <c r="BA1025" s="418"/>
    </row>
    <row r="1026" spans="40:53" ht="15.75" customHeight="1">
      <c r="AN1026" s="418"/>
      <c r="AO1026" s="418"/>
      <c r="AP1026" s="418"/>
      <c r="AQ1026" s="418"/>
      <c r="AR1026" s="418"/>
      <c r="AS1026" s="418"/>
      <c r="AT1026" s="418"/>
      <c r="AU1026" s="418"/>
      <c r="AV1026" s="418"/>
      <c r="AW1026" s="418"/>
      <c r="AX1026" s="418"/>
      <c r="AY1026" s="418"/>
      <c r="AZ1026" s="418"/>
      <c r="BA1026" s="418"/>
    </row>
    <row r="1027" spans="40:53" ht="15.75" customHeight="1">
      <c r="AN1027" s="418"/>
      <c r="AO1027" s="418"/>
      <c r="AP1027" s="418"/>
      <c r="AQ1027" s="418"/>
      <c r="AR1027" s="418"/>
      <c r="AS1027" s="418"/>
      <c r="AT1027" s="418"/>
      <c r="AU1027" s="418"/>
      <c r="AV1027" s="418"/>
      <c r="AW1027" s="418"/>
      <c r="AX1027" s="418"/>
      <c r="AY1027" s="418"/>
      <c r="AZ1027" s="418"/>
      <c r="BA1027" s="418"/>
    </row>
    <row r="1028" spans="40:53" ht="15.75" customHeight="1">
      <c r="AN1028" s="418"/>
      <c r="AO1028" s="418"/>
      <c r="AP1028" s="418"/>
      <c r="AQ1028" s="418"/>
      <c r="AR1028" s="418"/>
      <c r="AS1028" s="418"/>
      <c r="AT1028" s="418"/>
      <c r="AU1028" s="418"/>
      <c r="AV1028" s="418"/>
      <c r="AW1028" s="418"/>
      <c r="AX1028" s="418"/>
      <c r="AY1028" s="418"/>
      <c r="AZ1028" s="418"/>
      <c r="BA1028" s="418"/>
    </row>
    <row r="1029" spans="40:53" ht="15.75" customHeight="1">
      <c r="AN1029" s="418"/>
      <c r="AO1029" s="418"/>
      <c r="AP1029" s="418"/>
      <c r="AQ1029" s="418"/>
      <c r="AR1029" s="418"/>
      <c r="AS1029" s="418"/>
      <c r="AT1029" s="418"/>
      <c r="AU1029" s="418"/>
      <c r="AV1029" s="418"/>
      <c r="AW1029" s="418"/>
      <c r="AX1029" s="418"/>
      <c r="AY1029" s="418"/>
      <c r="AZ1029" s="418"/>
      <c r="BA1029" s="418"/>
    </row>
    <row r="1030" spans="40:53" ht="15.75" customHeight="1">
      <c r="AN1030" s="418"/>
      <c r="AO1030" s="418"/>
      <c r="AP1030" s="418"/>
      <c r="AQ1030" s="418"/>
      <c r="AR1030" s="418"/>
      <c r="AS1030" s="418"/>
      <c r="AT1030" s="418"/>
      <c r="AU1030" s="418"/>
      <c r="AV1030" s="418"/>
      <c r="AW1030" s="418"/>
      <c r="AX1030" s="418"/>
      <c r="AY1030" s="418"/>
      <c r="AZ1030" s="418"/>
      <c r="BA1030" s="418"/>
    </row>
    <row r="1031" spans="40:53" ht="15.75" customHeight="1">
      <c r="AN1031" s="418"/>
      <c r="AO1031" s="418"/>
      <c r="AP1031" s="418"/>
      <c r="AQ1031" s="418"/>
      <c r="AR1031" s="418"/>
      <c r="AS1031" s="418"/>
      <c r="AT1031" s="418"/>
      <c r="AU1031" s="418"/>
      <c r="AV1031" s="418"/>
      <c r="AW1031" s="418"/>
      <c r="AX1031" s="418"/>
      <c r="AY1031" s="418"/>
      <c r="AZ1031" s="418"/>
      <c r="BA1031" s="418"/>
    </row>
    <row r="1032" spans="40:53" ht="15.75" customHeight="1">
      <c r="AN1032" s="418"/>
      <c r="AO1032" s="418"/>
      <c r="AP1032" s="418"/>
      <c r="AQ1032" s="418"/>
      <c r="AR1032" s="418"/>
      <c r="AS1032" s="418"/>
      <c r="AT1032" s="418"/>
      <c r="AU1032" s="418"/>
      <c r="AV1032" s="418"/>
      <c r="AW1032" s="418"/>
      <c r="AX1032" s="418"/>
      <c r="AY1032" s="418"/>
      <c r="AZ1032" s="418"/>
      <c r="BA1032" s="418"/>
    </row>
    <row r="1033" spans="40:53" ht="15.75" customHeight="1">
      <c r="AN1033" s="418"/>
      <c r="AO1033" s="418"/>
      <c r="AP1033" s="418"/>
      <c r="AQ1033" s="418"/>
      <c r="AR1033" s="418"/>
      <c r="AS1033" s="418"/>
      <c r="AT1033" s="418"/>
      <c r="AU1033" s="418"/>
      <c r="AV1033" s="418"/>
      <c r="AW1033" s="418"/>
      <c r="AX1033" s="418"/>
      <c r="AY1033" s="418"/>
      <c r="AZ1033" s="418"/>
      <c r="BA1033" s="418"/>
    </row>
    <row r="1034" spans="40:53" ht="15.75" customHeight="1">
      <c r="AN1034" s="418"/>
      <c r="AO1034" s="418"/>
      <c r="AP1034" s="418"/>
      <c r="AQ1034" s="418"/>
      <c r="AR1034" s="418"/>
      <c r="AS1034" s="418"/>
      <c r="AT1034" s="418"/>
      <c r="AU1034" s="418"/>
      <c r="AV1034" s="418"/>
      <c r="AW1034" s="418"/>
      <c r="AX1034" s="418"/>
      <c r="AY1034" s="418"/>
      <c r="AZ1034" s="418"/>
      <c r="BA1034" s="418"/>
    </row>
    <row r="1035" spans="40:53" ht="15.75" customHeight="1">
      <c r="AN1035" s="418"/>
      <c r="AO1035" s="418"/>
      <c r="AP1035" s="418"/>
      <c r="AQ1035" s="418"/>
      <c r="AR1035" s="418"/>
      <c r="AS1035" s="418"/>
      <c r="AT1035" s="418"/>
      <c r="AU1035" s="418"/>
      <c r="AV1035" s="418"/>
      <c r="AW1035" s="418"/>
      <c r="AX1035" s="418"/>
      <c r="AY1035" s="418"/>
      <c r="AZ1035" s="418"/>
      <c r="BA1035" s="418"/>
    </row>
    <row r="1036" spans="40:53" ht="15.75" customHeight="1">
      <c r="AN1036" s="418"/>
      <c r="AO1036" s="418"/>
      <c r="AP1036" s="418"/>
      <c r="AQ1036" s="418"/>
      <c r="AR1036" s="418"/>
      <c r="AS1036" s="418"/>
      <c r="AT1036" s="418"/>
      <c r="AU1036" s="418"/>
      <c r="AV1036" s="418"/>
      <c r="AW1036" s="418"/>
      <c r="AX1036" s="418"/>
      <c r="AY1036" s="418"/>
      <c r="AZ1036" s="418"/>
      <c r="BA1036" s="418"/>
    </row>
    <row r="1037" spans="40:53" ht="15.75" customHeight="1">
      <c r="AN1037" s="418"/>
      <c r="AO1037" s="418"/>
      <c r="AP1037" s="418"/>
      <c r="AQ1037" s="418"/>
      <c r="AR1037" s="418"/>
      <c r="AS1037" s="418"/>
      <c r="AT1037" s="418"/>
      <c r="AU1037" s="418"/>
      <c r="AV1037" s="418"/>
      <c r="AW1037" s="418"/>
      <c r="AX1037" s="418"/>
      <c r="AY1037" s="418"/>
      <c r="AZ1037" s="418"/>
      <c r="BA1037" s="418"/>
    </row>
    <row r="1038" spans="40:53" ht="15.75" customHeight="1">
      <c r="AN1038" s="418"/>
      <c r="AO1038" s="418"/>
      <c r="AP1038" s="418"/>
      <c r="AQ1038" s="418"/>
      <c r="AR1038" s="418"/>
      <c r="AS1038" s="418"/>
      <c r="AT1038" s="418"/>
      <c r="AU1038" s="418"/>
      <c r="AV1038" s="418"/>
      <c r="AW1038" s="418"/>
      <c r="AX1038" s="418"/>
      <c r="AY1038" s="418"/>
      <c r="AZ1038" s="418"/>
      <c r="BA1038" s="418"/>
    </row>
    <row r="1039" spans="40:53" ht="15.75" customHeight="1">
      <c r="AN1039" s="418"/>
      <c r="AO1039" s="418"/>
      <c r="AP1039" s="418"/>
      <c r="AQ1039" s="418"/>
      <c r="AR1039" s="418"/>
      <c r="AS1039" s="418"/>
      <c r="AT1039" s="418"/>
      <c r="AU1039" s="418"/>
      <c r="AV1039" s="418"/>
      <c r="AW1039" s="418"/>
      <c r="AX1039" s="418"/>
      <c r="AY1039" s="418"/>
      <c r="AZ1039" s="418"/>
      <c r="BA1039" s="418"/>
    </row>
    <row r="1040" spans="40:53" ht="15.75" customHeight="1">
      <c r="AN1040" s="418"/>
      <c r="AO1040" s="418"/>
      <c r="AP1040" s="418"/>
      <c r="AQ1040" s="418"/>
      <c r="AR1040" s="418"/>
      <c r="AS1040" s="418"/>
      <c r="AT1040" s="418"/>
      <c r="AU1040" s="418"/>
      <c r="AV1040" s="418"/>
      <c r="AW1040" s="418"/>
      <c r="AX1040" s="418"/>
      <c r="AY1040" s="418"/>
      <c r="AZ1040" s="418"/>
      <c r="BA1040" s="418"/>
    </row>
    <row r="1041" spans="40:53" ht="15.75" customHeight="1">
      <c r="AN1041" s="418"/>
      <c r="AO1041" s="418"/>
      <c r="AP1041" s="418"/>
      <c r="AQ1041" s="418"/>
      <c r="AR1041" s="418"/>
      <c r="AS1041" s="418"/>
      <c r="AT1041" s="418"/>
      <c r="AU1041" s="418"/>
      <c r="AV1041" s="418"/>
      <c r="AW1041" s="418"/>
      <c r="AX1041" s="418"/>
      <c r="AY1041" s="418"/>
      <c r="AZ1041" s="418"/>
      <c r="BA1041" s="418"/>
    </row>
    <row r="1042" spans="40:53" ht="15.75" customHeight="1">
      <c r="AN1042" s="418"/>
      <c r="AO1042" s="418"/>
      <c r="AP1042" s="418"/>
      <c r="AQ1042" s="418"/>
      <c r="AR1042" s="418"/>
      <c r="AS1042" s="418"/>
      <c r="AT1042" s="418"/>
      <c r="AU1042" s="418"/>
      <c r="AV1042" s="418"/>
      <c r="AW1042" s="418"/>
      <c r="AX1042" s="418"/>
      <c r="AY1042" s="418"/>
      <c r="AZ1042" s="418"/>
      <c r="BA1042" s="418"/>
    </row>
    <row r="1043" spans="40:53" ht="15.75" customHeight="1">
      <c r="AN1043" s="418"/>
      <c r="AO1043" s="418"/>
      <c r="AP1043" s="418"/>
      <c r="AQ1043" s="418"/>
      <c r="AR1043" s="418"/>
      <c r="AS1043" s="418"/>
      <c r="AT1043" s="418"/>
      <c r="AU1043" s="418"/>
      <c r="AV1043" s="418"/>
      <c r="AW1043" s="418"/>
      <c r="AX1043" s="418"/>
      <c r="AY1043" s="418"/>
      <c r="AZ1043" s="418"/>
      <c r="BA1043" s="418"/>
    </row>
    <row r="1044" spans="40:53" ht="15.75" customHeight="1">
      <c r="AN1044" s="418"/>
      <c r="AO1044" s="418"/>
      <c r="AP1044" s="418"/>
      <c r="AQ1044" s="418"/>
      <c r="AR1044" s="418"/>
      <c r="AS1044" s="418"/>
      <c r="AT1044" s="418"/>
      <c r="AU1044" s="418"/>
      <c r="AV1044" s="418"/>
      <c r="AW1044" s="418"/>
      <c r="AX1044" s="418"/>
      <c r="AY1044" s="418"/>
      <c r="AZ1044" s="418"/>
      <c r="BA1044" s="418"/>
    </row>
    <row r="1045" spans="40:53" ht="15.75" customHeight="1">
      <c r="AN1045" s="418"/>
      <c r="AO1045" s="418"/>
      <c r="AP1045" s="418"/>
      <c r="AQ1045" s="418"/>
      <c r="AR1045" s="418"/>
      <c r="AS1045" s="418"/>
      <c r="AT1045" s="418"/>
      <c r="AU1045" s="418"/>
      <c r="AV1045" s="418"/>
      <c r="AW1045" s="418"/>
      <c r="AX1045" s="418"/>
      <c r="AY1045" s="418"/>
      <c r="AZ1045" s="418"/>
      <c r="BA1045" s="418"/>
    </row>
    <row r="1046" spans="40:53" ht="15.75" customHeight="1">
      <c r="AN1046" s="418"/>
      <c r="AO1046" s="418"/>
      <c r="AP1046" s="418"/>
      <c r="AQ1046" s="418"/>
      <c r="AR1046" s="418"/>
      <c r="AS1046" s="418"/>
      <c r="AT1046" s="418"/>
      <c r="AU1046" s="418"/>
      <c r="AV1046" s="418"/>
      <c r="AW1046" s="418"/>
      <c r="AX1046" s="418"/>
      <c r="AY1046" s="418"/>
      <c r="AZ1046" s="418"/>
      <c r="BA1046" s="418"/>
    </row>
    <row r="1047" spans="40:53" ht="15.75" customHeight="1">
      <c r="AN1047" s="418"/>
      <c r="AO1047" s="418"/>
      <c r="AP1047" s="418"/>
      <c r="AQ1047" s="418"/>
      <c r="AR1047" s="418"/>
      <c r="AS1047" s="418"/>
      <c r="AT1047" s="418"/>
      <c r="AU1047" s="418"/>
      <c r="AV1047" s="418"/>
      <c r="AW1047" s="418"/>
      <c r="AX1047" s="418"/>
      <c r="AY1047" s="418"/>
      <c r="AZ1047" s="418"/>
      <c r="BA1047" s="418"/>
    </row>
    <row r="1048" spans="40:53" ht="15.75" customHeight="1">
      <c r="AN1048" s="418"/>
      <c r="AO1048" s="418"/>
      <c r="AP1048" s="418"/>
      <c r="AQ1048" s="418"/>
      <c r="AR1048" s="418"/>
      <c r="AS1048" s="418"/>
      <c r="AT1048" s="418"/>
      <c r="AU1048" s="418"/>
      <c r="AV1048" s="418"/>
      <c r="AW1048" s="418"/>
      <c r="AX1048" s="418"/>
      <c r="AY1048" s="418"/>
      <c r="AZ1048" s="418"/>
      <c r="BA1048" s="418"/>
    </row>
    <row r="1049" spans="40:53" ht="15.75" customHeight="1">
      <c r="AN1049" s="418"/>
      <c r="AO1049" s="418"/>
      <c r="AP1049" s="418"/>
      <c r="AQ1049" s="418"/>
      <c r="AR1049" s="418"/>
      <c r="AS1049" s="418"/>
      <c r="AT1049" s="418"/>
      <c r="AU1049" s="418"/>
      <c r="AV1049" s="418"/>
      <c r="AW1049" s="418"/>
      <c r="AX1049" s="418"/>
      <c r="AY1049" s="418"/>
      <c r="AZ1049" s="418"/>
      <c r="BA1049" s="418"/>
    </row>
    <row r="1050" spans="40:53" ht="15.75" customHeight="1">
      <c r="AN1050" s="418"/>
      <c r="AO1050" s="418"/>
      <c r="AP1050" s="418"/>
      <c r="AQ1050" s="418"/>
      <c r="AR1050" s="418"/>
      <c r="AS1050" s="418"/>
      <c r="AT1050" s="418"/>
      <c r="AU1050" s="418"/>
      <c r="AV1050" s="418"/>
      <c r="AW1050" s="418"/>
      <c r="AX1050" s="418"/>
      <c r="AY1050" s="418"/>
      <c r="AZ1050" s="418"/>
      <c r="BA1050" s="418"/>
    </row>
    <row r="1051" spans="40:53" ht="15.75" customHeight="1">
      <c r="AN1051" s="418"/>
      <c r="AO1051" s="418"/>
      <c r="AP1051" s="418"/>
      <c r="AQ1051" s="418"/>
      <c r="AR1051" s="418"/>
      <c r="AS1051" s="418"/>
      <c r="AT1051" s="418"/>
      <c r="AU1051" s="418"/>
      <c r="AV1051" s="418"/>
      <c r="AW1051" s="418"/>
      <c r="AX1051" s="418"/>
      <c r="AY1051" s="418"/>
      <c r="AZ1051" s="418"/>
      <c r="BA1051" s="418"/>
    </row>
    <row r="1052" spans="40:53" ht="15.75" customHeight="1">
      <c r="AN1052" s="418"/>
      <c r="AO1052" s="418"/>
      <c r="AP1052" s="418"/>
      <c r="AQ1052" s="418"/>
      <c r="AR1052" s="418"/>
      <c r="AS1052" s="418"/>
      <c r="AT1052" s="418"/>
      <c r="AU1052" s="418"/>
      <c r="AV1052" s="418"/>
      <c r="AW1052" s="418"/>
      <c r="AX1052" s="418"/>
      <c r="AY1052" s="418"/>
      <c r="AZ1052" s="418"/>
      <c r="BA1052" s="418"/>
    </row>
    <row r="1053" spans="40:53" ht="15.75" customHeight="1">
      <c r="AN1053" s="418"/>
      <c r="AO1053" s="418"/>
      <c r="AP1053" s="418"/>
      <c r="AQ1053" s="418"/>
      <c r="AR1053" s="418"/>
      <c r="AS1053" s="418"/>
      <c r="AT1053" s="418"/>
      <c r="AU1053" s="418"/>
      <c r="AV1053" s="418"/>
      <c r="AW1053" s="418"/>
      <c r="AX1053" s="418"/>
      <c r="AY1053" s="418"/>
      <c r="AZ1053" s="418"/>
      <c r="BA1053" s="418"/>
    </row>
    <row r="1054" spans="40:53" ht="15.75" customHeight="1">
      <c r="AN1054" s="418"/>
      <c r="AO1054" s="418"/>
      <c r="AP1054" s="418"/>
      <c r="AQ1054" s="418"/>
      <c r="AR1054" s="418"/>
      <c r="AS1054" s="418"/>
      <c r="AT1054" s="418"/>
      <c r="AU1054" s="418"/>
      <c r="AV1054" s="418"/>
      <c r="AW1054" s="418"/>
      <c r="AX1054" s="418"/>
      <c r="AY1054" s="418"/>
      <c r="AZ1054" s="418"/>
      <c r="BA1054" s="418"/>
    </row>
    <row r="1055" spans="40:53" ht="15.75" customHeight="1">
      <c r="AN1055" s="418"/>
      <c r="AO1055" s="418"/>
      <c r="AP1055" s="418"/>
      <c r="AQ1055" s="418"/>
      <c r="AR1055" s="418"/>
      <c r="AS1055" s="418"/>
      <c r="AT1055" s="418"/>
      <c r="AU1055" s="418"/>
      <c r="AV1055" s="418"/>
      <c r="AW1055" s="418"/>
      <c r="AX1055" s="418"/>
      <c r="AY1055" s="418"/>
      <c r="AZ1055" s="418"/>
      <c r="BA1055" s="418"/>
    </row>
    <row r="1056" spans="40:53" ht="15.75" customHeight="1">
      <c r="AN1056" s="418"/>
      <c r="AO1056" s="418"/>
      <c r="AP1056" s="418"/>
      <c r="AQ1056" s="418"/>
      <c r="AR1056" s="418"/>
      <c r="AS1056" s="418"/>
      <c r="AT1056" s="418"/>
      <c r="AU1056" s="418"/>
      <c r="AV1056" s="418"/>
      <c r="AW1056" s="418"/>
      <c r="AX1056" s="418"/>
      <c r="AY1056" s="418"/>
      <c r="AZ1056" s="418"/>
      <c r="BA1056" s="418"/>
    </row>
    <row r="1057" spans="40:53" ht="15.75" customHeight="1">
      <c r="AN1057" s="418"/>
      <c r="AO1057" s="418"/>
      <c r="AP1057" s="418"/>
      <c r="AQ1057" s="418"/>
      <c r="AR1057" s="418"/>
      <c r="AS1057" s="418"/>
      <c r="AT1057" s="418"/>
      <c r="AU1057" s="418"/>
      <c r="AV1057" s="418"/>
      <c r="AW1057" s="418"/>
      <c r="AX1057" s="418"/>
      <c r="AY1057" s="418"/>
      <c r="AZ1057" s="418"/>
      <c r="BA1057" s="418"/>
    </row>
    <row r="1058" spans="40:53" ht="15.75" customHeight="1">
      <c r="AN1058" s="418"/>
      <c r="AO1058" s="418"/>
      <c r="AP1058" s="418"/>
      <c r="AQ1058" s="418"/>
      <c r="AR1058" s="418"/>
      <c r="AS1058" s="418"/>
      <c r="AT1058" s="418"/>
      <c r="AU1058" s="418"/>
      <c r="AV1058" s="418"/>
      <c r="AW1058" s="418"/>
      <c r="AX1058" s="418"/>
      <c r="AY1058" s="418"/>
      <c r="AZ1058" s="418"/>
      <c r="BA1058" s="418"/>
    </row>
    <row r="1059" spans="40:53" ht="15.75" customHeight="1">
      <c r="AN1059" s="418"/>
      <c r="AO1059" s="418"/>
      <c r="AP1059" s="418"/>
      <c r="AQ1059" s="418"/>
      <c r="AR1059" s="418"/>
      <c r="AS1059" s="418"/>
      <c r="AT1059" s="418"/>
      <c r="AU1059" s="418"/>
      <c r="AV1059" s="418"/>
      <c r="AW1059" s="418"/>
      <c r="AX1059" s="418"/>
      <c r="AY1059" s="418"/>
      <c r="AZ1059" s="418"/>
      <c r="BA1059" s="418"/>
    </row>
    <row r="1060" spans="40:53" ht="15.75" customHeight="1">
      <c r="AN1060" s="418"/>
      <c r="AO1060" s="418"/>
      <c r="AP1060" s="418"/>
      <c r="AQ1060" s="418"/>
      <c r="AR1060" s="418"/>
      <c r="AS1060" s="418"/>
      <c r="AT1060" s="418"/>
      <c r="AU1060" s="418"/>
      <c r="AV1060" s="418"/>
      <c r="AW1060" s="418"/>
      <c r="AX1060" s="418"/>
      <c r="AY1060" s="418"/>
      <c r="AZ1060" s="418"/>
      <c r="BA1060" s="418"/>
    </row>
    <row r="1061" spans="40:53" ht="15.75" customHeight="1">
      <c r="AN1061" s="418"/>
      <c r="AO1061" s="418"/>
      <c r="AP1061" s="418"/>
      <c r="AQ1061" s="418"/>
      <c r="AR1061" s="418"/>
      <c r="AS1061" s="418"/>
      <c r="AT1061" s="418"/>
      <c r="AU1061" s="418"/>
      <c r="AV1061" s="418"/>
      <c r="AW1061" s="418"/>
      <c r="AX1061" s="418"/>
      <c r="AY1061" s="418"/>
      <c r="AZ1061" s="418"/>
      <c r="BA1061" s="418"/>
    </row>
    <row r="1062" spans="40:53" ht="15.75" customHeight="1">
      <c r="AN1062" s="418"/>
      <c r="AO1062" s="418"/>
      <c r="AP1062" s="418"/>
      <c r="AQ1062" s="418"/>
      <c r="AR1062" s="418"/>
      <c r="AS1062" s="418"/>
      <c r="AT1062" s="418"/>
      <c r="AU1062" s="418"/>
      <c r="AV1062" s="418"/>
      <c r="AW1062" s="418"/>
      <c r="AX1062" s="418"/>
      <c r="AY1062" s="418"/>
      <c r="AZ1062" s="418"/>
      <c r="BA1062" s="418"/>
    </row>
    <row r="1063" spans="40:53" ht="15.75" customHeight="1">
      <c r="AN1063" s="418"/>
      <c r="AO1063" s="418"/>
      <c r="AP1063" s="418"/>
      <c r="AQ1063" s="418"/>
      <c r="AR1063" s="418"/>
      <c r="AS1063" s="418"/>
      <c r="AT1063" s="418"/>
      <c r="AU1063" s="418"/>
      <c r="AV1063" s="418"/>
      <c r="AW1063" s="418"/>
      <c r="AX1063" s="418"/>
      <c r="AY1063" s="418"/>
      <c r="AZ1063" s="418"/>
      <c r="BA1063" s="418"/>
    </row>
    <row r="1064" spans="40:53" ht="15.75" customHeight="1">
      <c r="AN1064" s="418"/>
      <c r="AO1064" s="418"/>
      <c r="AP1064" s="418"/>
      <c r="AQ1064" s="418"/>
      <c r="AR1064" s="418"/>
      <c r="AS1064" s="418"/>
      <c r="AT1064" s="418"/>
      <c r="AU1064" s="418"/>
      <c r="AV1064" s="418"/>
      <c r="AW1064" s="418"/>
      <c r="AX1064" s="418"/>
      <c r="AY1064" s="418"/>
      <c r="AZ1064" s="418"/>
      <c r="BA1064" s="418"/>
    </row>
    <row r="1065" spans="40:53" ht="15.75" customHeight="1">
      <c r="AN1065" s="418"/>
      <c r="AO1065" s="418"/>
      <c r="AP1065" s="418"/>
      <c r="AQ1065" s="418"/>
      <c r="AR1065" s="418"/>
      <c r="AS1065" s="418"/>
      <c r="AT1065" s="418"/>
      <c r="AU1065" s="418"/>
      <c r="AV1065" s="418"/>
      <c r="AW1065" s="418"/>
      <c r="AX1065" s="418"/>
      <c r="AY1065" s="418"/>
      <c r="AZ1065" s="418"/>
      <c r="BA1065" s="418"/>
    </row>
    <row r="1066" spans="40:53" ht="15.75" customHeight="1">
      <c r="AN1066" s="418"/>
      <c r="AO1066" s="418"/>
      <c r="AP1066" s="418"/>
      <c r="AQ1066" s="418"/>
      <c r="AR1066" s="418"/>
      <c r="AS1066" s="418"/>
      <c r="AT1066" s="418"/>
      <c r="AU1066" s="418"/>
      <c r="AV1066" s="418"/>
      <c r="AW1066" s="418"/>
      <c r="AX1066" s="418"/>
      <c r="AY1066" s="418"/>
      <c r="AZ1066" s="418"/>
      <c r="BA1066" s="418"/>
    </row>
    <row r="1067" spans="40:53" ht="15.75" customHeight="1">
      <c r="AN1067" s="418"/>
      <c r="AO1067" s="418"/>
      <c r="AP1067" s="418"/>
      <c r="AQ1067" s="418"/>
      <c r="AR1067" s="418"/>
      <c r="AS1067" s="418"/>
      <c r="AT1067" s="418"/>
      <c r="AU1067" s="418"/>
      <c r="AV1067" s="418"/>
      <c r="AW1067" s="418"/>
      <c r="AX1067" s="418"/>
      <c r="AY1067" s="418"/>
      <c r="AZ1067" s="418"/>
      <c r="BA1067" s="418"/>
    </row>
    <row r="1068" spans="40:53" ht="15.75" customHeight="1">
      <c r="AN1068" s="418"/>
      <c r="AO1068" s="418"/>
      <c r="AP1068" s="418"/>
      <c r="AQ1068" s="418"/>
      <c r="AR1068" s="418"/>
      <c r="AS1068" s="418"/>
      <c r="AT1068" s="418"/>
      <c r="AU1068" s="418"/>
      <c r="AV1068" s="418"/>
      <c r="AW1068" s="418"/>
      <c r="AX1068" s="418"/>
      <c r="AY1068" s="418"/>
      <c r="AZ1068" s="418"/>
      <c r="BA1068" s="418"/>
    </row>
    <row r="1069" spans="40:53" ht="15.75" customHeight="1">
      <c r="AN1069" s="418"/>
      <c r="AO1069" s="418"/>
      <c r="AP1069" s="418"/>
      <c r="AQ1069" s="418"/>
      <c r="AR1069" s="418"/>
      <c r="AS1069" s="418"/>
      <c r="AT1069" s="418"/>
      <c r="AU1069" s="418"/>
      <c r="AV1069" s="418"/>
      <c r="AW1069" s="418"/>
      <c r="AX1069" s="418"/>
      <c r="AY1069" s="418"/>
      <c r="AZ1069" s="418"/>
      <c r="BA1069" s="418"/>
    </row>
    <row r="1070" spans="40:53" ht="15.75" customHeight="1">
      <c r="AN1070" s="418"/>
      <c r="AO1070" s="418"/>
      <c r="AP1070" s="418"/>
      <c r="AQ1070" s="418"/>
      <c r="AR1070" s="418"/>
      <c r="AS1070" s="418"/>
      <c r="AT1070" s="418"/>
      <c r="AU1070" s="418"/>
      <c r="AV1070" s="418"/>
      <c r="AW1070" s="418"/>
      <c r="AX1070" s="418"/>
      <c r="AY1070" s="418"/>
      <c r="AZ1070" s="418"/>
      <c r="BA1070" s="418"/>
    </row>
    <row r="1071" spans="40:53" ht="15.75" customHeight="1">
      <c r="AN1071" s="418"/>
      <c r="AO1071" s="418"/>
      <c r="AP1071" s="418"/>
      <c r="AQ1071" s="418"/>
      <c r="AR1071" s="418"/>
      <c r="AS1071" s="418"/>
      <c r="AT1071" s="418"/>
      <c r="AU1071" s="418"/>
      <c r="AV1071" s="418"/>
      <c r="AW1071" s="418"/>
      <c r="AX1071" s="418"/>
      <c r="AY1071" s="418"/>
      <c r="AZ1071" s="418"/>
      <c r="BA1071" s="418"/>
    </row>
    <row r="1072" spans="40:53" ht="15.75" customHeight="1">
      <c r="AN1072" s="418"/>
      <c r="AO1072" s="418"/>
      <c r="AP1072" s="418"/>
      <c r="AQ1072" s="418"/>
      <c r="AR1072" s="418"/>
      <c r="AS1072" s="418"/>
      <c r="AT1072" s="418"/>
      <c r="AU1072" s="418"/>
      <c r="AV1072" s="418"/>
      <c r="AW1072" s="418"/>
      <c r="AX1072" s="418"/>
      <c r="AY1072" s="418"/>
      <c r="AZ1072" s="418"/>
      <c r="BA1072" s="418"/>
    </row>
    <row r="1073" spans="40:53" ht="15.75" customHeight="1">
      <c r="AN1073" s="418"/>
      <c r="AO1073" s="418"/>
      <c r="AP1073" s="418"/>
      <c r="AQ1073" s="418"/>
      <c r="AR1073" s="418"/>
      <c r="AS1073" s="418"/>
      <c r="AT1073" s="418"/>
      <c r="AU1073" s="418"/>
      <c r="AV1073" s="418"/>
      <c r="AW1073" s="418"/>
      <c r="AX1073" s="418"/>
      <c r="AY1073" s="418"/>
      <c r="AZ1073" s="418"/>
      <c r="BA1073" s="418"/>
    </row>
    <row r="1074" spans="40:53" ht="15.75" customHeight="1">
      <c r="AN1074" s="418"/>
      <c r="AO1074" s="418"/>
      <c r="AP1074" s="418"/>
      <c r="AQ1074" s="418"/>
      <c r="AR1074" s="418"/>
      <c r="AS1074" s="418"/>
      <c r="AT1074" s="418"/>
      <c r="AU1074" s="418"/>
      <c r="AV1074" s="418"/>
      <c r="AW1074" s="418"/>
      <c r="AX1074" s="418"/>
      <c r="AY1074" s="418"/>
      <c r="AZ1074" s="418"/>
      <c r="BA1074" s="418"/>
    </row>
    <row r="1075" spans="40:53" ht="15.75" customHeight="1">
      <c r="AN1075" s="418"/>
      <c r="AO1075" s="418"/>
      <c r="AP1075" s="418"/>
      <c r="AQ1075" s="418"/>
      <c r="AR1075" s="418"/>
      <c r="AS1075" s="418"/>
      <c r="AT1075" s="418"/>
      <c r="AU1075" s="418"/>
      <c r="AV1075" s="418"/>
      <c r="AW1075" s="418"/>
      <c r="AX1075" s="418"/>
      <c r="AY1075" s="418"/>
      <c r="AZ1075" s="418"/>
      <c r="BA1075" s="418"/>
    </row>
    <row r="1076" spans="40:53" ht="15.75" customHeight="1">
      <c r="AN1076" s="418"/>
      <c r="AO1076" s="418"/>
      <c r="AP1076" s="418"/>
      <c r="AQ1076" s="418"/>
      <c r="AR1076" s="418"/>
      <c r="AS1076" s="418"/>
      <c r="AT1076" s="418"/>
      <c r="AU1076" s="418"/>
      <c r="AV1076" s="418"/>
      <c r="AW1076" s="418"/>
      <c r="AX1076" s="418"/>
      <c r="AY1076" s="418"/>
      <c r="AZ1076" s="418"/>
      <c r="BA1076" s="418"/>
    </row>
    <row r="1077" spans="40:53" ht="15.75" customHeight="1">
      <c r="AN1077" s="418"/>
      <c r="AO1077" s="418"/>
      <c r="AP1077" s="418"/>
      <c r="AQ1077" s="418"/>
      <c r="AR1077" s="418"/>
      <c r="AS1077" s="418"/>
      <c r="AT1077" s="418"/>
      <c r="AU1077" s="418"/>
      <c r="AV1077" s="418"/>
      <c r="AW1077" s="418"/>
      <c r="AX1077" s="418"/>
      <c r="AY1077" s="418"/>
      <c r="AZ1077" s="418"/>
      <c r="BA1077" s="418"/>
    </row>
    <row r="1078" spans="40:53" ht="15.75" customHeight="1">
      <c r="AN1078" s="418"/>
      <c r="AO1078" s="418"/>
      <c r="AP1078" s="418"/>
      <c r="AQ1078" s="418"/>
      <c r="AR1078" s="418"/>
      <c r="AS1078" s="418"/>
      <c r="AT1078" s="418"/>
      <c r="AU1078" s="418"/>
      <c r="AV1078" s="418"/>
      <c r="AW1078" s="418"/>
      <c r="AX1078" s="418"/>
      <c r="AY1078" s="418"/>
      <c r="AZ1078" s="418"/>
      <c r="BA1078" s="418"/>
    </row>
    <row r="1079" spans="40:53" ht="15.75" customHeight="1">
      <c r="AN1079" s="418"/>
      <c r="AO1079" s="418"/>
      <c r="AP1079" s="418"/>
      <c r="AQ1079" s="418"/>
      <c r="AR1079" s="418"/>
      <c r="AS1079" s="418"/>
      <c r="AT1079" s="418"/>
      <c r="AU1079" s="418"/>
      <c r="AV1079" s="418"/>
      <c r="AW1079" s="418"/>
      <c r="AX1079" s="418"/>
      <c r="AY1079" s="418"/>
      <c r="AZ1079" s="418"/>
      <c r="BA1079" s="418"/>
    </row>
    <row r="1080" spans="40:53" ht="15.75" customHeight="1">
      <c r="AN1080" s="418"/>
      <c r="AO1080" s="418"/>
      <c r="AP1080" s="418"/>
      <c r="AQ1080" s="418"/>
      <c r="AR1080" s="418"/>
      <c r="AS1080" s="418"/>
      <c r="AT1080" s="418"/>
      <c r="AU1080" s="418"/>
      <c r="AV1080" s="418"/>
      <c r="AW1080" s="418"/>
      <c r="AX1080" s="418"/>
      <c r="AY1080" s="418"/>
      <c r="AZ1080" s="418"/>
      <c r="BA1080" s="418"/>
    </row>
    <row r="1081" spans="40:53" ht="15.75" customHeight="1">
      <c r="AN1081" s="418"/>
      <c r="AO1081" s="418"/>
      <c r="AP1081" s="418"/>
      <c r="AQ1081" s="418"/>
      <c r="AR1081" s="418"/>
      <c r="AS1081" s="418"/>
      <c r="AT1081" s="418"/>
      <c r="AU1081" s="418"/>
      <c r="AV1081" s="418"/>
      <c r="AW1081" s="418"/>
      <c r="AX1081" s="418"/>
      <c r="AY1081" s="418"/>
      <c r="AZ1081" s="418"/>
      <c r="BA1081" s="418"/>
    </row>
    <row r="1082" spans="40:53" ht="15.75" customHeight="1">
      <c r="AN1082" s="418"/>
      <c r="AO1082" s="418"/>
      <c r="AP1082" s="418"/>
      <c r="AQ1082" s="418"/>
      <c r="AR1082" s="418"/>
      <c r="AS1082" s="418"/>
      <c r="AT1082" s="418"/>
      <c r="AU1082" s="418"/>
      <c r="AV1082" s="418"/>
      <c r="AW1082" s="418"/>
      <c r="AX1082" s="418"/>
      <c r="AY1082" s="418"/>
      <c r="AZ1082" s="418"/>
      <c r="BA1082" s="418"/>
    </row>
    <row r="1083" spans="40:53" ht="15.75" customHeight="1">
      <c r="AN1083" s="418"/>
      <c r="AO1083" s="418"/>
      <c r="AP1083" s="418"/>
      <c r="AQ1083" s="418"/>
      <c r="AR1083" s="418"/>
      <c r="AS1083" s="418"/>
      <c r="AT1083" s="418"/>
      <c r="AU1083" s="418"/>
      <c r="AV1083" s="418"/>
      <c r="AW1083" s="418"/>
      <c r="AX1083" s="418"/>
      <c r="AY1083" s="418"/>
      <c r="AZ1083" s="418"/>
      <c r="BA1083" s="418"/>
    </row>
    <row r="1084" spans="40:53" ht="15.75" customHeight="1">
      <c r="AN1084" s="418"/>
      <c r="AO1084" s="418"/>
      <c r="AP1084" s="418"/>
      <c r="AQ1084" s="418"/>
      <c r="AR1084" s="418"/>
      <c r="AS1084" s="418"/>
      <c r="AT1084" s="418"/>
      <c r="AU1084" s="418"/>
      <c r="AV1084" s="418"/>
      <c r="AW1084" s="418"/>
      <c r="AX1084" s="418"/>
      <c r="AY1084" s="418"/>
      <c r="AZ1084" s="418"/>
      <c r="BA1084" s="418"/>
    </row>
    <row r="1085" spans="40:53" ht="15.75" customHeight="1">
      <c r="AN1085" s="418"/>
      <c r="AO1085" s="418"/>
      <c r="AP1085" s="418"/>
      <c r="AQ1085" s="418"/>
      <c r="AR1085" s="418"/>
      <c r="AS1085" s="418"/>
      <c r="AT1085" s="418"/>
      <c r="AU1085" s="418"/>
      <c r="AV1085" s="418"/>
      <c r="AW1085" s="418"/>
      <c r="AX1085" s="418"/>
      <c r="AY1085" s="418"/>
      <c r="AZ1085" s="418"/>
      <c r="BA1085" s="418"/>
    </row>
    <row r="1086" spans="40:53" ht="15.75" customHeight="1">
      <c r="AN1086" s="418"/>
      <c r="AO1086" s="418"/>
      <c r="AP1086" s="418"/>
      <c r="AQ1086" s="418"/>
      <c r="AR1086" s="418"/>
      <c r="AS1086" s="418"/>
      <c r="AT1086" s="418"/>
      <c r="AU1086" s="418"/>
      <c r="AV1086" s="418"/>
      <c r="AW1086" s="418"/>
      <c r="AX1086" s="418"/>
      <c r="AY1086" s="418"/>
      <c r="AZ1086" s="418"/>
      <c r="BA1086" s="418"/>
    </row>
    <row r="1087" spans="40:53" ht="15.75" customHeight="1">
      <c r="AN1087" s="418"/>
      <c r="AO1087" s="418"/>
      <c r="AP1087" s="418"/>
      <c r="AQ1087" s="418"/>
      <c r="AR1087" s="418"/>
      <c r="AS1087" s="418"/>
      <c r="AT1087" s="418"/>
      <c r="AU1087" s="418"/>
      <c r="AV1087" s="418"/>
      <c r="AW1087" s="418"/>
      <c r="AX1087" s="418"/>
      <c r="AY1087" s="418"/>
      <c r="AZ1087" s="418"/>
      <c r="BA1087" s="418"/>
    </row>
    <row r="1088" spans="40:53" ht="15.75" customHeight="1">
      <c r="AN1088" s="418"/>
      <c r="AO1088" s="418"/>
      <c r="AP1088" s="418"/>
      <c r="AQ1088" s="418"/>
      <c r="AR1088" s="418"/>
      <c r="AS1088" s="418"/>
      <c r="AT1088" s="418"/>
      <c r="AU1088" s="418"/>
      <c r="AV1088" s="418"/>
      <c r="AW1088" s="418"/>
      <c r="AX1088" s="418"/>
      <c r="AY1088" s="418"/>
      <c r="AZ1088" s="418"/>
      <c r="BA1088" s="418"/>
    </row>
    <row r="1089" spans="40:53" ht="15.75" customHeight="1">
      <c r="AN1089" s="418"/>
      <c r="AO1089" s="418"/>
      <c r="AP1089" s="418"/>
      <c r="AQ1089" s="418"/>
      <c r="AR1089" s="418"/>
      <c r="AS1089" s="418"/>
      <c r="AT1089" s="418"/>
      <c r="AU1089" s="418"/>
      <c r="AV1089" s="418"/>
      <c r="AW1089" s="418"/>
      <c r="AX1089" s="418"/>
      <c r="AY1089" s="418"/>
      <c r="AZ1089" s="418"/>
      <c r="BA1089" s="418"/>
    </row>
    <row r="1090" spans="40:53" ht="15.75" customHeight="1">
      <c r="AN1090" s="418"/>
      <c r="AO1090" s="418"/>
      <c r="AP1090" s="418"/>
      <c r="AQ1090" s="418"/>
      <c r="AR1090" s="418"/>
      <c r="AS1090" s="418"/>
      <c r="AT1090" s="418"/>
      <c r="AU1090" s="418"/>
      <c r="AV1090" s="418"/>
      <c r="AW1090" s="418"/>
      <c r="AX1090" s="418"/>
      <c r="AY1090" s="418"/>
      <c r="AZ1090" s="418"/>
      <c r="BA1090" s="418"/>
    </row>
    <row r="1091" spans="40:53" ht="15.75" customHeight="1">
      <c r="AN1091" s="418"/>
      <c r="AO1091" s="418"/>
      <c r="AP1091" s="418"/>
      <c r="AQ1091" s="418"/>
      <c r="AR1091" s="418"/>
      <c r="AS1091" s="418"/>
      <c r="AT1091" s="418"/>
      <c r="AU1091" s="418"/>
      <c r="AV1091" s="418"/>
      <c r="AW1091" s="418"/>
      <c r="AX1091" s="418"/>
      <c r="AY1091" s="418"/>
      <c r="AZ1091" s="418"/>
      <c r="BA1091" s="418"/>
    </row>
    <row r="1092" spans="40:53" ht="15.75" customHeight="1">
      <c r="AN1092" s="418"/>
      <c r="AO1092" s="418"/>
      <c r="AP1092" s="418"/>
      <c r="AQ1092" s="418"/>
      <c r="AR1092" s="418"/>
      <c r="AS1092" s="418"/>
      <c r="AT1092" s="418"/>
      <c r="AU1092" s="418"/>
      <c r="AV1092" s="418"/>
      <c r="AW1092" s="418"/>
      <c r="AX1092" s="418"/>
      <c r="AY1092" s="418"/>
      <c r="AZ1092" s="418"/>
      <c r="BA1092" s="418"/>
    </row>
    <row r="1093" spans="40:53" ht="15.75" customHeight="1">
      <c r="AN1093" s="418"/>
      <c r="AO1093" s="418"/>
      <c r="AP1093" s="418"/>
      <c r="AQ1093" s="418"/>
      <c r="AR1093" s="418"/>
      <c r="AS1093" s="418"/>
      <c r="AT1093" s="418"/>
      <c r="AU1093" s="418"/>
      <c r="AV1093" s="418"/>
      <c r="AW1093" s="418"/>
      <c r="AX1093" s="418"/>
      <c r="AY1093" s="418"/>
      <c r="AZ1093" s="418"/>
      <c r="BA1093" s="418"/>
    </row>
    <row r="1094" spans="40:53" ht="15.75" customHeight="1">
      <c r="AN1094" s="418"/>
      <c r="AO1094" s="418"/>
      <c r="AP1094" s="418"/>
      <c r="AQ1094" s="418"/>
      <c r="AR1094" s="418"/>
      <c r="AS1094" s="418"/>
      <c r="AT1094" s="418"/>
      <c r="AU1094" s="418"/>
      <c r="AV1094" s="418"/>
      <c r="AW1094" s="418"/>
      <c r="AX1094" s="418"/>
      <c r="AY1094" s="418"/>
      <c r="AZ1094" s="418"/>
      <c r="BA1094" s="418"/>
    </row>
    <row r="1095" spans="40:53" ht="15.75" customHeight="1">
      <c r="AN1095" s="418"/>
      <c r="AO1095" s="418"/>
      <c r="AP1095" s="418"/>
      <c r="AQ1095" s="418"/>
      <c r="AR1095" s="418"/>
      <c r="AS1095" s="418"/>
      <c r="AT1095" s="418"/>
      <c r="AU1095" s="418"/>
      <c r="AV1095" s="418"/>
      <c r="AW1095" s="418"/>
      <c r="AX1095" s="418"/>
      <c r="AY1095" s="418"/>
      <c r="AZ1095" s="418"/>
      <c r="BA1095" s="418"/>
    </row>
    <row r="1096" spans="40:53" ht="15.75" customHeight="1">
      <c r="AN1096" s="418"/>
      <c r="AO1096" s="418"/>
      <c r="AP1096" s="418"/>
      <c r="AQ1096" s="418"/>
      <c r="AR1096" s="418"/>
      <c r="AS1096" s="418"/>
      <c r="AT1096" s="418"/>
      <c r="AU1096" s="418"/>
      <c r="AV1096" s="418"/>
      <c r="AW1096" s="418"/>
      <c r="AX1096" s="418"/>
      <c r="AY1096" s="418"/>
      <c r="AZ1096" s="418"/>
      <c r="BA1096" s="418"/>
    </row>
    <row r="1097" spans="40:53" ht="15.75" customHeight="1">
      <c r="AN1097" s="418"/>
      <c r="AO1097" s="418"/>
      <c r="AP1097" s="418"/>
      <c r="AQ1097" s="418"/>
      <c r="AR1097" s="418"/>
      <c r="AS1097" s="418"/>
      <c r="AT1097" s="418"/>
      <c r="AU1097" s="418"/>
      <c r="AV1097" s="418"/>
      <c r="AW1097" s="418"/>
      <c r="AX1097" s="418"/>
      <c r="AY1097" s="418"/>
      <c r="AZ1097" s="418"/>
      <c r="BA1097" s="418"/>
    </row>
    <row r="1098" spans="40:53" ht="15.75" customHeight="1">
      <c r="AN1098" s="418"/>
      <c r="AO1098" s="418"/>
      <c r="AP1098" s="418"/>
      <c r="AQ1098" s="418"/>
      <c r="AR1098" s="418"/>
      <c r="AS1098" s="418"/>
      <c r="AT1098" s="418"/>
      <c r="AU1098" s="418"/>
      <c r="AV1098" s="418"/>
      <c r="AW1098" s="418"/>
      <c r="AX1098" s="418"/>
      <c r="AY1098" s="418"/>
      <c r="AZ1098" s="418"/>
      <c r="BA1098" s="418"/>
    </row>
    <row r="1099" spans="40:53" ht="15.75" customHeight="1">
      <c r="AN1099" s="418"/>
      <c r="AO1099" s="418"/>
      <c r="AP1099" s="418"/>
      <c r="AQ1099" s="418"/>
      <c r="AR1099" s="418"/>
      <c r="AS1099" s="418"/>
      <c r="AT1099" s="418"/>
      <c r="AU1099" s="418"/>
      <c r="AV1099" s="418"/>
      <c r="AW1099" s="418"/>
      <c r="AX1099" s="418"/>
      <c r="AY1099" s="418"/>
      <c r="AZ1099" s="418"/>
      <c r="BA1099" s="418"/>
    </row>
    <row r="1100" spans="40:53" ht="15.75" customHeight="1">
      <c r="AN1100" s="418"/>
      <c r="AO1100" s="418"/>
      <c r="AP1100" s="418"/>
      <c r="AQ1100" s="418"/>
      <c r="AR1100" s="418"/>
      <c r="AS1100" s="418"/>
      <c r="AT1100" s="418"/>
      <c r="AU1100" s="418"/>
      <c r="AV1100" s="418"/>
      <c r="AW1100" s="418"/>
      <c r="AX1100" s="418"/>
      <c r="AY1100" s="418"/>
      <c r="AZ1100" s="418"/>
      <c r="BA1100" s="418"/>
    </row>
    <row r="1101" spans="40:53" ht="15.75" customHeight="1">
      <c r="AN1101" s="418"/>
      <c r="AO1101" s="418"/>
      <c r="AP1101" s="418"/>
      <c r="AQ1101" s="418"/>
      <c r="AR1101" s="418"/>
      <c r="AS1101" s="418"/>
      <c r="AT1101" s="418"/>
      <c r="AU1101" s="418"/>
      <c r="AV1101" s="418"/>
      <c r="AW1101" s="418"/>
      <c r="AX1101" s="418"/>
      <c r="AY1101" s="418"/>
      <c r="AZ1101" s="418"/>
      <c r="BA1101" s="418"/>
    </row>
    <row r="1102" spans="40:53" ht="15.75" customHeight="1">
      <c r="AN1102" s="418"/>
      <c r="AO1102" s="418"/>
      <c r="AP1102" s="418"/>
      <c r="AQ1102" s="418"/>
      <c r="AR1102" s="418"/>
      <c r="AS1102" s="418"/>
      <c r="AT1102" s="418"/>
      <c r="AU1102" s="418"/>
      <c r="AV1102" s="418"/>
      <c r="AW1102" s="418"/>
      <c r="AX1102" s="418"/>
      <c r="AY1102" s="418"/>
      <c r="AZ1102" s="418"/>
      <c r="BA1102" s="418"/>
    </row>
    <row r="1103" spans="40:53" ht="15.75" customHeight="1">
      <c r="AN1103" s="418"/>
      <c r="AO1103" s="418"/>
      <c r="AP1103" s="418"/>
      <c r="AQ1103" s="418"/>
      <c r="AR1103" s="418"/>
      <c r="AS1103" s="418"/>
      <c r="AT1103" s="418"/>
      <c r="AU1103" s="418"/>
      <c r="AV1103" s="418"/>
      <c r="AW1103" s="418"/>
      <c r="AX1103" s="418"/>
      <c r="AY1103" s="418"/>
      <c r="AZ1103" s="418"/>
      <c r="BA1103" s="418"/>
    </row>
    <row r="1104" spans="40:53" ht="15.75" customHeight="1">
      <c r="AN1104" s="418"/>
      <c r="AO1104" s="418"/>
      <c r="AP1104" s="418"/>
      <c r="AQ1104" s="418"/>
      <c r="AR1104" s="418"/>
      <c r="AS1104" s="418"/>
      <c r="AT1104" s="418"/>
      <c r="AU1104" s="418"/>
      <c r="AV1104" s="418"/>
      <c r="AW1104" s="418"/>
      <c r="AX1104" s="418"/>
      <c r="AY1104" s="418"/>
      <c r="AZ1104" s="418"/>
      <c r="BA1104" s="418"/>
    </row>
    <row r="1105" spans="40:53" ht="15.75" customHeight="1">
      <c r="AN1105" s="418"/>
      <c r="AO1105" s="418"/>
      <c r="AP1105" s="418"/>
      <c r="AQ1105" s="418"/>
      <c r="AR1105" s="418"/>
      <c r="AS1105" s="418"/>
      <c r="AT1105" s="418"/>
      <c r="AU1105" s="418"/>
      <c r="AV1105" s="418"/>
      <c r="AW1105" s="418"/>
      <c r="AX1105" s="418"/>
      <c r="AY1105" s="418"/>
      <c r="AZ1105" s="418"/>
      <c r="BA1105" s="418"/>
    </row>
    <row r="1106" spans="40:53" ht="15.75" customHeight="1">
      <c r="AN1106" s="418"/>
      <c r="AO1106" s="418"/>
      <c r="AP1106" s="418"/>
      <c r="AQ1106" s="418"/>
      <c r="AR1106" s="418"/>
      <c r="AS1106" s="418"/>
      <c r="AT1106" s="418"/>
      <c r="AU1106" s="418"/>
      <c r="AV1106" s="418"/>
      <c r="AW1106" s="418"/>
      <c r="AX1106" s="418"/>
      <c r="AY1106" s="418"/>
      <c r="AZ1106" s="418"/>
      <c r="BA1106" s="418"/>
    </row>
    <row r="1107" spans="40:53" ht="15.75" customHeight="1">
      <c r="AN1107" s="418"/>
      <c r="AO1107" s="418"/>
      <c r="AP1107" s="418"/>
      <c r="AQ1107" s="418"/>
      <c r="AR1107" s="418"/>
      <c r="AS1107" s="418"/>
      <c r="AT1107" s="418"/>
      <c r="AU1107" s="418"/>
      <c r="AV1107" s="418"/>
      <c r="AW1107" s="418"/>
      <c r="AX1107" s="418"/>
      <c r="AY1107" s="418"/>
      <c r="AZ1107" s="418"/>
      <c r="BA1107" s="418"/>
    </row>
    <row r="1108" spans="40:53" ht="15.75" customHeight="1">
      <c r="AN1108" s="418"/>
      <c r="AO1108" s="418"/>
      <c r="AP1108" s="418"/>
      <c r="AQ1108" s="418"/>
      <c r="AR1108" s="418"/>
      <c r="AS1108" s="418"/>
      <c r="AT1108" s="418"/>
      <c r="AU1108" s="418"/>
      <c r="AV1108" s="418"/>
      <c r="AW1108" s="418"/>
      <c r="AX1108" s="418"/>
      <c r="AY1108" s="418"/>
      <c r="AZ1108" s="418"/>
      <c r="BA1108" s="418"/>
    </row>
    <row r="1109" spans="40:53" ht="15.75" customHeight="1">
      <c r="AN1109" s="418"/>
      <c r="AO1109" s="418"/>
      <c r="AP1109" s="418"/>
      <c r="AQ1109" s="418"/>
      <c r="AR1109" s="418"/>
      <c r="AS1109" s="418"/>
      <c r="AT1109" s="418"/>
      <c r="AU1109" s="418"/>
      <c r="AV1109" s="418"/>
      <c r="AW1109" s="418"/>
      <c r="AX1109" s="418"/>
      <c r="AY1109" s="418"/>
      <c r="AZ1109" s="418"/>
      <c r="BA1109" s="418"/>
    </row>
    <row r="1110" spans="40:53" ht="15.75" customHeight="1">
      <c r="AN1110" s="418"/>
      <c r="AO1110" s="418"/>
      <c r="AP1110" s="418"/>
      <c r="AQ1110" s="418"/>
      <c r="AR1110" s="418"/>
      <c r="AS1110" s="418"/>
      <c r="AT1110" s="418"/>
      <c r="AU1110" s="418"/>
      <c r="AV1110" s="418"/>
      <c r="AW1110" s="418"/>
      <c r="AX1110" s="418"/>
      <c r="AY1110" s="418"/>
      <c r="AZ1110" s="418"/>
      <c r="BA1110" s="418"/>
    </row>
    <row r="1111" spans="40:53" ht="15.75" customHeight="1">
      <c r="AN1111" s="418"/>
      <c r="AO1111" s="418"/>
      <c r="AP1111" s="418"/>
      <c r="AQ1111" s="418"/>
      <c r="AR1111" s="418"/>
      <c r="AS1111" s="418"/>
      <c r="AT1111" s="418"/>
      <c r="AU1111" s="418"/>
      <c r="AV1111" s="418"/>
      <c r="AW1111" s="418"/>
      <c r="AX1111" s="418"/>
      <c r="AY1111" s="418"/>
      <c r="AZ1111" s="418"/>
      <c r="BA1111" s="418"/>
    </row>
    <row r="1112" spans="40:53" ht="15.75" customHeight="1">
      <c r="AN1112" s="418"/>
      <c r="AO1112" s="418"/>
      <c r="AP1112" s="418"/>
      <c r="AQ1112" s="418"/>
      <c r="AR1112" s="418"/>
      <c r="AS1112" s="418"/>
      <c r="AT1112" s="418"/>
      <c r="AU1112" s="418"/>
      <c r="AV1112" s="418"/>
      <c r="AW1112" s="418"/>
      <c r="AX1112" s="418"/>
      <c r="AY1112" s="418"/>
      <c r="AZ1112" s="418"/>
      <c r="BA1112" s="418"/>
    </row>
    <row r="1113" spans="40:53" ht="15.75" customHeight="1">
      <c r="AN1113" s="418"/>
      <c r="AO1113" s="418"/>
      <c r="AP1113" s="418"/>
      <c r="AQ1113" s="418"/>
      <c r="AR1113" s="418"/>
      <c r="AS1113" s="418"/>
      <c r="AT1113" s="418"/>
      <c r="AU1113" s="418"/>
      <c r="AV1113" s="418"/>
      <c r="AW1113" s="418"/>
      <c r="AX1113" s="418"/>
      <c r="AY1113" s="418"/>
      <c r="AZ1113" s="418"/>
      <c r="BA1113" s="418"/>
    </row>
    <row r="1114" spans="40:53" ht="15.75" customHeight="1">
      <c r="AN1114" s="418"/>
      <c r="AO1114" s="418"/>
      <c r="AP1114" s="418"/>
      <c r="AQ1114" s="418"/>
      <c r="AR1114" s="418"/>
      <c r="AS1114" s="418"/>
      <c r="AT1114" s="418"/>
      <c r="AU1114" s="418"/>
      <c r="AV1114" s="418"/>
      <c r="AW1114" s="418"/>
      <c r="AX1114" s="418"/>
      <c r="AY1114" s="418"/>
      <c r="AZ1114" s="418"/>
      <c r="BA1114" s="418"/>
    </row>
    <row r="1115" spans="40:53" ht="15.75" customHeight="1">
      <c r="AN1115" s="418"/>
      <c r="AO1115" s="418"/>
      <c r="AP1115" s="418"/>
      <c r="AQ1115" s="418"/>
      <c r="AR1115" s="418"/>
      <c r="AS1115" s="418"/>
      <c r="AT1115" s="418"/>
      <c r="AU1115" s="418"/>
      <c r="AV1115" s="418"/>
      <c r="AW1115" s="418"/>
      <c r="AX1115" s="418"/>
      <c r="AY1115" s="418"/>
      <c r="AZ1115" s="418"/>
      <c r="BA1115" s="418"/>
    </row>
    <row r="1116" spans="40:53" ht="15.75" customHeight="1">
      <c r="AN1116" s="418"/>
      <c r="AO1116" s="418"/>
      <c r="AP1116" s="418"/>
      <c r="AQ1116" s="418"/>
      <c r="AR1116" s="418"/>
      <c r="AS1116" s="418"/>
      <c r="AT1116" s="418"/>
      <c r="AU1116" s="418"/>
      <c r="AV1116" s="418"/>
      <c r="AW1116" s="418"/>
      <c r="AX1116" s="418"/>
      <c r="AY1116" s="418"/>
      <c r="AZ1116" s="418"/>
      <c r="BA1116" s="418"/>
    </row>
    <row r="1117" spans="40:53" ht="15.75" customHeight="1">
      <c r="AN1117" s="418"/>
      <c r="AO1117" s="418"/>
      <c r="AP1117" s="418"/>
      <c r="AQ1117" s="418"/>
      <c r="AR1117" s="418"/>
      <c r="AS1117" s="418"/>
      <c r="AT1117" s="418"/>
      <c r="AU1117" s="418"/>
      <c r="AV1117" s="418"/>
      <c r="AW1117" s="418"/>
      <c r="AX1117" s="418"/>
      <c r="AY1117" s="418"/>
      <c r="AZ1117" s="418"/>
      <c r="BA1117" s="418"/>
    </row>
    <row r="1118" spans="40:53" ht="15.75" customHeight="1">
      <c r="AN1118" s="418"/>
      <c r="AO1118" s="418"/>
      <c r="AP1118" s="418"/>
      <c r="AQ1118" s="418"/>
      <c r="AR1118" s="418"/>
      <c r="AS1118" s="418"/>
      <c r="AT1118" s="418"/>
      <c r="AU1118" s="418"/>
      <c r="AV1118" s="418"/>
      <c r="AW1118" s="418"/>
      <c r="AX1118" s="418"/>
      <c r="AY1118" s="418"/>
      <c r="AZ1118" s="418"/>
      <c r="BA1118" s="418"/>
    </row>
    <row r="1119" spans="40:53" ht="15.75" customHeight="1">
      <c r="AN1119" s="418"/>
      <c r="AO1119" s="418"/>
      <c r="AP1119" s="418"/>
      <c r="AQ1119" s="418"/>
      <c r="AR1119" s="418"/>
      <c r="AS1119" s="418"/>
      <c r="AT1119" s="418"/>
      <c r="AU1119" s="418"/>
      <c r="AV1119" s="418"/>
      <c r="AW1119" s="418"/>
      <c r="AX1119" s="418"/>
      <c r="AY1119" s="418"/>
      <c r="AZ1119" s="418"/>
      <c r="BA1119" s="418"/>
    </row>
    <row r="1120" spans="40:53" ht="15.75" customHeight="1">
      <c r="AN1120" s="418"/>
      <c r="AO1120" s="418"/>
      <c r="AP1120" s="418"/>
      <c r="AQ1120" s="418"/>
      <c r="AR1120" s="418"/>
      <c r="AS1120" s="418"/>
      <c r="AT1120" s="418"/>
      <c r="AU1120" s="418"/>
      <c r="AV1120" s="418"/>
      <c r="AW1120" s="418"/>
      <c r="AX1120" s="418"/>
      <c r="AY1120" s="418"/>
      <c r="AZ1120" s="418"/>
      <c r="BA1120" s="418"/>
    </row>
    <row r="1121" spans="40:53" ht="15.75" customHeight="1">
      <c r="AN1121" s="418"/>
      <c r="AO1121" s="418"/>
      <c r="AP1121" s="418"/>
      <c r="AQ1121" s="418"/>
      <c r="AR1121" s="418"/>
      <c r="AS1121" s="418"/>
      <c r="AT1121" s="418"/>
      <c r="AU1121" s="418"/>
      <c r="AV1121" s="418"/>
      <c r="AW1121" s="418"/>
      <c r="AX1121" s="418"/>
      <c r="AY1121" s="418"/>
      <c r="AZ1121" s="418"/>
      <c r="BA1121" s="418"/>
    </row>
    <row r="1122" spans="40:53" ht="15.75" customHeight="1">
      <c r="AN1122" s="418"/>
      <c r="AO1122" s="418"/>
      <c r="AP1122" s="418"/>
      <c r="AQ1122" s="418"/>
      <c r="AR1122" s="418"/>
      <c r="AS1122" s="418"/>
      <c r="AT1122" s="418"/>
      <c r="AU1122" s="418"/>
      <c r="AV1122" s="418"/>
      <c r="AW1122" s="418"/>
      <c r="AX1122" s="418"/>
      <c r="AY1122" s="418"/>
      <c r="AZ1122" s="418"/>
      <c r="BA1122" s="418"/>
    </row>
    <row r="1123" spans="40:53" ht="15.75" customHeight="1">
      <c r="AN1123" s="418"/>
      <c r="AO1123" s="418"/>
      <c r="AP1123" s="418"/>
      <c r="AQ1123" s="418"/>
      <c r="AR1123" s="418"/>
      <c r="AS1123" s="418"/>
      <c r="AT1123" s="418"/>
      <c r="AU1123" s="418"/>
      <c r="AV1123" s="418"/>
      <c r="AW1123" s="418"/>
      <c r="AX1123" s="418"/>
      <c r="AY1123" s="418"/>
      <c r="AZ1123" s="418"/>
      <c r="BA1123" s="418"/>
    </row>
    <row r="1124" spans="40:53" ht="15.75" customHeight="1">
      <c r="AN1124" s="418"/>
      <c r="AO1124" s="418"/>
      <c r="AP1124" s="418"/>
      <c r="AQ1124" s="418"/>
      <c r="AR1124" s="418"/>
      <c r="AS1124" s="418"/>
      <c r="AT1124" s="418"/>
      <c r="AU1124" s="418"/>
      <c r="AV1124" s="418"/>
      <c r="AW1124" s="418"/>
      <c r="AX1124" s="418"/>
      <c r="AY1124" s="418"/>
      <c r="AZ1124" s="418"/>
      <c r="BA1124" s="418"/>
    </row>
    <row r="1125" spans="40:53" ht="15.75" customHeight="1">
      <c r="AN1125" s="418"/>
      <c r="AO1125" s="418"/>
      <c r="AP1125" s="418"/>
      <c r="AQ1125" s="418"/>
      <c r="AR1125" s="418"/>
      <c r="AS1125" s="418"/>
      <c r="AT1125" s="418"/>
      <c r="AU1125" s="418"/>
      <c r="AV1125" s="418"/>
      <c r="AW1125" s="418"/>
      <c r="AX1125" s="418"/>
      <c r="AY1125" s="418"/>
      <c r="AZ1125" s="418"/>
      <c r="BA1125" s="418"/>
    </row>
    <row r="1126" spans="40:53" ht="15.75" customHeight="1">
      <c r="AN1126" s="418"/>
      <c r="AO1126" s="418"/>
      <c r="AP1126" s="418"/>
      <c r="AQ1126" s="418"/>
      <c r="AR1126" s="418"/>
      <c r="AS1126" s="418"/>
      <c r="AT1126" s="418"/>
      <c r="AU1126" s="418"/>
      <c r="AV1126" s="418"/>
      <c r="AW1126" s="418"/>
      <c r="AX1126" s="418"/>
      <c r="AY1126" s="418"/>
      <c r="AZ1126" s="418"/>
      <c r="BA1126" s="418"/>
    </row>
    <row r="1127" spans="40:53" ht="15.75" customHeight="1">
      <c r="AN1127" s="418"/>
      <c r="AO1127" s="418"/>
      <c r="AP1127" s="418"/>
      <c r="AQ1127" s="418"/>
      <c r="AR1127" s="418"/>
      <c r="AS1127" s="418"/>
      <c r="AT1127" s="418"/>
      <c r="AU1127" s="418"/>
      <c r="AV1127" s="418"/>
      <c r="AW1127" s="418"/>
      <c r="AX1127" s="418"/>
      <c r="AY1127" s="418"/>
      <c r="AZ1127" s="418"/>
      <c r="BA1127" s="418"/>
    </row>
    <row r="1128" spans="40:53" ht="15.75" customHeight="1">
      <c r="AN1128" s="418"/>
      <c r="AO1128" s="418"/>
      <c r="AP1128" s="418"/>
      <c r="AQ1128" s="418"/>
      <c r="AR1128" s="418"/>
      <c r="AS1128" s="418"/>
      <c r="AT1128" s="418"/>
      <c r="AU1128" s="418"/>
      <c r="AV1128" s="418"/>
      <c r="AW1128" s="418"/>
      <c r="AX1128" s="418"/>
      <c r="AY1128" s="418"/>
      <c r="AZ1128" s="418"/>
      <c r="BA1128" s="418"/>
    </row>
    <row r="1129" spans="40:53" ht="15.75" customHeight="1">
      <c r="AN1129" s="418"/>
      <c r="AO1129" s="418"/>
      <c r="AP1129" s="418"/>
      <c r="AQ1129" s="418"/>
      <c r="AR1129" s="418"/>
      <c r="AS1129" s="418"/>
      <c r="AT1129" s="418"/>
      <c r="AU1129" s="418"/>
      <c r="AV1129" s="418"/>
      <c r="AW1129" s="418"/>
      <c r="AX1129" s="418"/>
      <c r="AY1129" s="418"/>
      <c r="AZ1129" s="418"/>
      <c r="BA1129" s="418"/>
    </row>
    <row r="1130" spans="40:53" ht="15.75" customHeight="1">
      <c r="AN1130" s="418"/>
      <c r="AO1130" s="418"/>
      <c r="AP1130" s="418"/>
      <c r="AQ1130" s="418"/>
      <c r="AR1130" s="418"/>
      <c r="AS1130" s="418"/>
      <c r="AT1130" s="418"/>
      <c r="AU1130" s="418"/>
      <c r="AV1130" s="418"/>
      <c r="AW1130" s="418"/>
      <c r="AX1130" s="418"/>
      <c r="AY1130" s="418"/>
      <c r="AZ1130" s="418"/>
      <c r="BA1130" s="418"/>
    </row>
    <row r="1131" spans="40:53" ht="15.75" customHeight="1">
      <c r="AN1131" s="418"/>
      <c r="AO1131" s="418"/>
      <c r="AP1131" s="418"/>
      <c r="AQ1131" s="418"/>
      <c r="AR1131" s="418"/>
      <c r="AS1131" s="418"/>
      <c r="AT1131" s="418"/>
      <c r="AU1131" s="418"/>
      <c r="AV1131" s="418"/>
      <c r="AW1131" s="418"/>
      <c r="AX1131" s="418"/>
      <c r="AY1131" s="418"/>
      <c r="AZ1131" s="418"/>
      <c r="BA1131" s="418"/>
    </row>
    <row r="1132" spans="40:53" ht="15.75" customHeight="1">
      <c r="AN1132" s="418"/>
      <c r="AO1132" s="418"/>
      <c r="AP1132" s="418"/>
      <c r="AQ1132" s="418"/>
      <c r="AR1132" s="418"/>
      <c r="AS1132" s="418"/>
      <c r="AT1132" s="418"/>
      <c r="AU1132" s="418"/>
      <c r="AV1132" s="418"/>
      <c r="AW1132" s="418"/>
      <c r="AX1132" s="418"/>
      <c r="AY1132" s="418"/>
      <c r="AZ1132" s="418"/>
      <c r="BA1132" s="418"/>
    </row>
    <row r="1133" spans="40:53" ht="15.75" customHeight="1">
      <c r="AN1133" s="418"/>
      <c r="AO1133" s="418"/>
      <c r="AP1133" s="418"/>
      <c r="AQ1133" s="418"/>
      <c r="AR1133" s="418"/>
      <c r="AS1133" s="418"/>
      <c r="AT1133" s="418"/>
      <c r="AU1133" s="418"/>
      <c r="AV1133" s="418"/>
      <c r="AW1133" s="418"/>
      <c r="AX1133" s="418"/>
      <c r="AY1133" s="418"/>
      <c r="AZ1133" s="418"/>
      <c r="BA1133" s="418"/>
    </row>
    <row r="1134" spans="40:53" ht="15.75" customHeight="1">
      <c r="AN1134" s="418"/>
      <c r="AO1134" s="418"/>
      <c r="AP1134" s="418"/>
      <c r="AQ1134" s="418"/>
      <c r="AR1134" s="418"/>
      <c r="AS1134" s="418"/>
      <c r="AT1134" s="418"/>
      <c r="AU1134" s="418"/>
      <c r="AV1134" s="418"/>
      <c r="AW1134" s="418"/>
      <c r="AX1134" s="418"/>
      <c r="AY1134" s="418"/>
      <c r="AZ1134" s="418"/>
      <c r="BA1134" s="418"/>
    </row>
    <row r="1135" spans="40:53" ht="15.75" customHeight="1">
      <c r="AN1135" s="418"/>
      <c r="AO1135" s="418"/>
      <c r="AP1135" s="418"/>
      <c r="AQ1135" s="418"/>
      <c r="AR1135" s="418"/>
      <c r="AS1135" s="418"/>
      <c r="AT1135" s="418"/>
      <c r="AU1135" s="418"/>
      <c r="AV1135" s="418"/>
      <c r="AW1135" s="418"/>
      <c r="AX1135" s="418"/>
      <c r="AY1135" s="418"/>
      <c r="AZ1135" s="418"/>
      <c r="BA1135" s="418"/>
    </row>
    <row r="1136" spans="40:53" ht="15.75" customHeight="1">
      <c r="AN1136" s="418"/>
      <c r="AO1136" s="418"/>
      <c r="AP1136" s="418"/>
      <c r="AQ1136" s="418"/>
      <c r="AR1136" s="418"/>
      <c r="AS1136" s="418"/>
      <c r="AT1136" s="418"/>
      <c r="AU1136" s="418"/>
      <c r="AV1136" s="418"/>
      <c r="AW1136" s="418"/>
      <c r="AX1136" s="418"/>
      <c r="AY1136" s="418"/>
      <c r="AZ1136" s="418"/>
      <c r="BA1136" s="418"/>
    </row>
    <row r="1137" spans="40:53" ht="15.75" customHeight="1">
      <c r="AN1137" s="418"/>
      <c r="AO1137" s="418"/>
      <c r="AP1137" s="418"/>
      <c r="AQ1137" s="418"/>
      <c r="AR1137" s="418"/>
      <c r="AS1137" s="418"/>
      <c r="AT1137" s="418"/>
      <c r="AU1137" s="418"/>
      <c r="AV1137" s="418"/>
      <c r="AW1137" s="418"/>
      <c r="AX1137" s="418"/>
      <c r="AY1137" s="418"/>
      <c r="AZ1137" s="418"/>
      <c r="BA1137" s="418"/>
    </row>
    <row r="1138" spans="40:53" ht="15.75" customHeight="1">
      <c r="AN1138" s="418"/>
      <c r="AO1138" s="418"/>
      <c r="AP1138" s="418"/>
      <c r="AQ1138" s="418"/>
      <c r="AR1138" s="418"/>
      <c r="AS1138" s="418"/>
      <c r="AT1138" s="418"/>
      <c r="AU1138" s="418"/>
      <c r="AV1138" s="418"/>
      <c r="AW1138" s="418"/>
      <c r="AX1138" s="418"/>
      <c r="AY1138" s="418"/>
      <c r="AZ1138" s="418"/>
      <c r="BA1138" s="418"/>
    </row>
    <row r="1139" spans="40:53" ht="15.75" customHeight="1">
      <c r="AN1139" s="418"/>
      <c r="AO1139" s="418"/>
      <c r="AP1139" s="418"/>
      <c r="AQ1139" s="418"/>
      <c r="AR1139" s="418"/>
      <c r="AS1139" s="418"/>
      <c r="AT1139" s="418"/>
      <c r="AU1139" s="418"/>
      <c r="AV1139" s="418"/>
      <c r="AW1139" s="418"/>
      <c r="AX1139" s="418"/>
      <c r="AY1139" s="418"/>
      <c r="AZ1139" s="418"/>
      <c r="BA1139" s="418"/>
    </row>
    <row r="1140" spans="40:53" ht="15.75" customHeight="1">
      <c r="AN1140" s="418"/>
      <c r="AO1140" s="418"/>
      <c r="AP1140" s="418"/>
      <c r="AQ1140" s="418"/>
      <c r="AR1140" s="418"/>
      <c r="AS1140" s="418"/>
      <c r="AT1140" s="418"/>
      <c r="AU1140" s="418"/>
      <c r="AV1140" s="418"/>
      <c r="AW1140" s="418"/>
      <c r="AX1140" s="418"/>
      <c r="AY1140" s="418"/>
      <c r="AZ1140" s="418"/>
      <c r="BA1140" s="418"/>
    </row>
    <row r="1141" spans="40:53" ht="15.75" customHeight="1">
      <c r="AN1141" s="418"/>
      <c r="AO1141" s="418"/>
      <c r="AP1141" s="418"/>
      <c r="AQ1141" s="418"/>
      <c r="AR1141" s="418"/>
      <c r="AS1141" s="418"/>
      <c r="AT1141" s="418"/>
      <c r="AU1141" s="418"/>
      <c r="AV1141" s="418"/>
      <c r="AW1141" s="418"/>
      <c r="AX1141" s="418"/>
      <c r="AY1141" s="418"/>
      <c r="AZ1141" s="418"/>
      <c r="BA1141" s="418"/>
    </row>
    <row r="1142" spans="40:53" ht="15.75" customHeight="1">
      <c r="AN1142" s="418"/>
      <c r="AO1142" s="418"/>
      <c r="AP1142" s="418"/>
      <c r="AQ1142" s="418"/>
      <c r="AR1142" s="418"/>
      <c r="AS1142" s="418"/>
      <c r="AT1142" s="418"/>
      <c r="AU1142" s="418"/>
      <c r="AV1142" s="418"/>
      <c r="AW1142" s="418"/>
      <c r="AX1142" s="418"/>
      <c r="AY1142" s="418"/>
      <c r="AZ1142" s="418"/>
      <c r="BA1142" s="418"/>
    </row>
    <row r="1143" spans="40:53" ht="15.75" customHeight="1">
      <c r="AN1143" s="418"/>
      <c r="AO1143" s="418"/>
      <c r="AP1143" s="418"/>
      <c r="AQ1143" s="418"/>
      <c r="AR1143" s="418"/>
      <c r="AS1143" s="418"/>
      <c r="AT1143" s="418"/>
      <c r="AU1143" s="418"/>
      <c r="AV1143" s="418"/>
      <c r="AW1143" s="418"/>
      <c r="AX1143" s="418"/>
      <c r="AY1143" s="418"/>
      <c r="AZ1143" s="418"/>
      <c r="BA1143" s="418"/>
    </row>
    <row r="1144" spans="40:53" ht="15.75" customHeight="1">
      <c r="AN1144" s="418"/>
      <c r="AO1144" s="418"/>
      <c r="AP1144" s="418"/>
      <c r="AQ1144" s="418"/>
      <c r="AR1144" s="418"/>
      <c r="AS1144" s="418"/>
      <c r="AT1144" s="418"/>
      <c r="AU1144" s="418"/>
      <c r="AV1144" s="418"/>
      <c r="AW1144" s="418"/>
      <c r="AX1144" s="418"/>
      <c r="AY1144" s="418"/>
      <c r="AZ1144" s="418"/>
      <c r="BA1144" s="418"/>
    </row>
    <row r="1145" spans="40:53" ht="15.75" customHeight="1">
      <c r="AN1145" s="418"/>
      <c r="AO1145" s="418"/>
      <c r="AP1145" s="418"/>
      <c r="AQ1145" s="418"/>
      <c r="AR1145" s="418"/>
      <c r="AS1145" s="418"/>
      <c r="AT1145" s="418"/>
      <c r="AU1145" s="418"/>
      <c r="AV1145" s="418"/>
      <c r="AW1145" s="418"/>
      <c r="AX1145" s="418"/>
      <c r="AY1145" s="418"/>
      <c r="AZ1145" s="418"/>
      <c r="BA1145" s="418"/>
    </row>
    <row r="1146" spans="40:53" ht="15.75" customHeight="1">
      <c r="AN1146" s="418"/>
      <c r="AO1146" s="418"/>
      <c r="AP1146" s="418"/>
      <c r="AQ1146" s="418"/>
      <c r="AR1146" s="418"/>
      <c r="AS1146" s="418"/>
      <c r="AT1146" s="418"/>
      <c r="AU1146" s="418"/>
      <c r="AV1146" s="418"/>
      <c r="AW1146" s="418"/>
      <c r="AX1146" s="418"/>
      <c r="AY1146" s="418"/>
      <c r="AZ1146" s="418"/>
      <c r="BA1146" s="418"/>
    </row>
    <row r="1147" spans="40:53" ht="15.75" customHeight="1">
      <c r="AN1147" s="418"/>
      <c r="AO1147" s="418"/>
      <c r="AP1147" s="418"/>
      <c r="AQ1147" s="418"/>
      <c r="AR1147" s="418"/>
      <c r="AS1147" s="418"/>
      <c r="AT1147" s="418"/>
      <c r="AU1147" s="418"/>
      <c r="AV1147" s="418"/>
      <c r="AW1147" s="418"/>
      <c r="AX1147" s="418"/>
      <c r="AY1147" s="418"/>
      <c r="AZ1147" s="418"/>
      <c r="BA1147" s="418"/>
    </row>
    <row r="1148" spans="40:53" ht="15.75" customHeight="1">
      <c r="AN1148" s="418"/>
      <c r="AO1148" s="418"/>
      <c r="AP1148" s="418"/>
      <c r="AQ1148" s="418"/>
      <c r="AR1148" s="418"/>
      <c r="AS1148" s="418"/>
      <c r="AT1148" s="418"/>
      <c r="AU1148" s="418"/>
      <c r="AV1148" s="418"/>
      <c r="AW1148" s="418"/>
      <c r="AX1148" s="418"/>
      <c r="AY1148" s="418"/>
      <c r="AZ1148" s="418"/>
      <c r="BA1148" s="418"/>
    </row>
    <row r="1149" spans="40:53" ht="15.75" customHeight="1">
      <c r="AN1149" s="418"/>
      <c r="AO1149" s="418"/>
      <c r="AP1149" s="418"/>
      <c r="AQ1149" s="418"/>
      <c r="AR1149" s="418"/>
      <c r="AS1149" s="418"/>
      <c r="AT1149" s="418"/>
      <c r="AU1149" s="418"/>
      <c r="AV1149" s="418"/>
      <c r="AW1149" s="418"/>
      <c r="AX1149" s="418"/>
      <c r="AY1149" s="418"/>
      <c r="AZ1149" s="418"/>
      <c r="BA1149" s="418"/>
    </row>
    <row r="1150" spans="40:53" ht="15.75" customHeight="1">
      <c r="AN1150" s="418"/>
      <c r="AO1150" s="418"/>
      <c r="AP1150" s="418"/>
      <c r="AQ1150" s="418"/>
      <c r="AR1150" s="418"/>
      <c r="AS1150" s="418"/>
      <c r="AT1150" s="418"/>
      <c r="AU1150" s="418"/>
      <c r="AV1150" s="418"/>
      <c r="AW1150" s="418"/>
      <c r="AX1150" s="418"/>
      <c r="AY1150" s="418"/>
      <c r="AZ1150" s="418"/>
      <c r="BA1150" s="418"/>
    </row>
    <row r="1151" spans="40:53" ht="15.75" customHeight="1">
      <c r="AN1151" s="418"/>
      <c r="AO1151" s="418"/>
      <c r="AP1151" s="418"/>
      <c r="AQ1151" s="418"/>
      <c r="AR1151" s="418"/>
      <c r="AS1151" s="418"/>
      <c r="AT1151" s="418"/>
      <c r="AU1151" s="418"/>
      <c r="AV1151" s="418"/>
      <c r="AW1151" s="418"/>
      <c r="AX1151" s="418"/>
      <c r="AY1151" s="418"/>
      <c r="AZ1151" s="418"/>
      <c r="BA1151" s="418"/>
    </row>
    <row r="1152" spans="40:53" ht="15.75" customHeight="1">
      <c r="AN1152" s="418"/>
      <c r="AO1152" s="418"/>
      <c r="AP1152" s="418"/>
      <c r="AQ1152" s="418"/>
      <c r="AR1152" s="418"/>
      <c r="AS1152" s="418"/>
      <c r="AT1152" s="418"/>
      <c r="AU1152" s="418"/>
      <c r="AV1152" s="418"/>
      <c r="AW1152" s="418"/>
      <c r="AX1152" s="418"/>
      <c r="AY1152" s="418"/>
      <c r="AZ1152" s="418"/>
      <c r="BA1152" s="418"/>
    </row>
    <row r="1153" spans="40:53" ht="15.75" customHeight="1">
      <c r="AN1153" s="418"/>
      <c r="AO1153" s="418"/>
      <c r="AP1153" s="418"/>
      <c r="AQ1153" s="418"/>
      <c r="AR1153" s="418"/>
      <c r="AS1153" s="418"/>
      <c r="AT1153" s="418"/>
      <c r="AU1153" s="418"/>
      <c r="AV1153" s="418"/>
      <c r="AW1153" s="418"/>
      <c r="AX1153" s="418"/>
      <c r="AY1153" s="418"/>
      <c r="AZ1153" s="418"/>
      <c r="BA1153" s="418"/>
    </row>
    <row r="1154" spans="40:53" ht="15.75" customHeight="1">
      <c r="AN1154" s="418"/>
      <c r="AO1154" s="418"/>
      <c r="AP1154" s="418"/>
      <c r="AQ1154" s="418"/>
      <c r="AR1154" s="418"/>
      <c r="AS1154" s="418"/>
      <c r="AT1154" s="418"/>
      <c r="AU1154" s="418"/>
      <c r="AV1154" s="418"/>
      <c r="AW1154" s="418"/>
      <c r="AX1154" s="418"/>
      <c r="AY1154" s="418"/>
      <c r="AZ1154" s="418"/>
      <c r="BA1154" s="418"/>
    </row>
    <row r="1155" spans="40:53" ht="15.75" customHeight="1">
      <c r="AN1155" s="418"/>
      <c r="AO1155" s="418"/>
      <c r="AP1155" s="418"/>
      <c r="AQ1155" s="418"/>
      <c r="AR1155" s="418"/>
      <c r="AS1155" s="418"/>
      <c r="AT1155" s="418"/>
      <c r="AU1155" s="418"/>
      <c r="AV1155" s="418"/>
      <c r="AW1155" s="418"/>
      <c r="AX1155" s="418"/>
      <c r="AY1155" s="418"/>
      <c r="AZ1155" s="418"/>
      <c r="BA1155" s="418"/>
    </row>
    <row r="1156" spans="40:53" ht="15.75" customHeight="1">
      <c r="AN1156" s="418"/>
      <c r="AO1156" s="418"/>
      <c r="AP1156" s="418"/>
      <c r="AQ1156" s="418"/>
      <c r="AR1156" s="418"/>
      <c r="AS1156" s="418"/>
      <c r="AT1156" s="418"/>
      <c r="AU1156" s="418"/>
      <c r="AV1156" s="418"/>
      <c r="AW1156" s="418"/>
      <c r="AX1156" s="418"/>
      <c r="AY1156" s="418"/>
      <c r="AZ1156" s="418"/>
      <c r="BA1156" s="418"/>
    </row>
    <row r="1157" spans="40:53" ht="15.75" customHeight="1">
      <c r="AN1157" s="418"/>
      <c r="AO1157" s="418"/>
      <c r="AP1157" s="418"/>
      <c r="AQ1157" s="418"/>
      <c r="AR1157" s="418"/>
      <c r="AS1157" s="418"/>
      <c r="AT1157" s="418"/>
      <c r="AU1157" s="418"/>
      <c r="AV1157" s="418"/>
      <c r="AW1157" s="418"/>
      <c r="AX1157" s="418"/>
      <c r="AY1157" s="418"/>
      <c r="AZ1157" s="418"/>
      <c r="BA1157" s="418"/>
    </row>
    <row r="1158" spans="40:53" ht="15.75" customHeight="1">
      <c r="AN1158" s="418"/>
      <c r="AO1158" s="418"/>
      <c r="AP1158" s="418"/>
      <c r="AQ1158" s="418"/>
      <c r="AR1158" s="418"/>
      <c r="AS1158" s="418"/>
      <c r="AT1158" s="418"/>
      <c r="AU1158" s="418"/>
      <c r="AV1158" s="418"/>
      <c r="AW1158" s="418"/>
      <c r="AX1158" s="418"/>
      <c r="AY1158" s="418"/>
      <c r="AZ1158" s="418"/>
      <c r="BA1158" s="418"/>
    </row>
    <row r="1159" spans="40:53" ht="15.75" customHeight="1">
      <c r="AN1159" s="418"/>
      <c r="AO1159" s="418"/>
      <c r="AP1159" s="418"/>
      <c r="AQ1159" s="418"/>
      <c r="AR1159" s="418"/>
      <c r="AS1159" s="418"/>
      <c r="AT1159" s="418"/>
      <c r="AU1159" s="418"/>
      <c r="AV1159" s="418"/>
      <c r="AW1159" s="418"/>
      <c r="AX1159" s="418"/>
      <c r="AY1159" s="418"/>
      <c r="AZ1159" s="418"/>
      <c r="BA1159" s="418"/>
    </row>
    <row r="1160" spans="40:53" ht="15.75" customHeight="1">
      <c r="AN1160" s="418"/>
      <c r="AO1160" s="418"/>
      <c r="AP1160" s="418"/>
      <c r="AQ1160" s="418"/>
      <c r="AR1160" s="418"/>
      <c r="AS1160" s="418"/>
      <c r="AT1160" s="418"/>
      <c r="AU1160" s="418"/>
      <c r="AV1160" s="418"/>
      <c r="AW1160" s="418"/>
      <c r="AX1160" s="418"/>
      <c r="AY1160" s="418"/>
      <c r="AZ1160" s="418"/>
      <c r="BA1160" s="418"/>
    </row>
    <row r="1161" spans="40:53" ht="15.75" customHeight="1">
      <c r="AN1161" s="418"/>
      <c r="AO1161" s="418"/>
      <c r="AP1161" s="418"/>
      <c r="AQ1161" s="418"/>
      <c r="AR1161" s="418"/>
      <c r="AS1161" s="418"/>
      <c r="AT1161" s="418"/>
      <c r="AU1161" s="418"/>
      <c r="AV1161" s="418"/>
      <c r="AW1161" s="418"/>
      <c r="AX1161" s="418"/>
      <c r="AY1161" s="418"/>
      <c r="AZ1161" s="418"/>
      <c r="BA1161" s="418"/>
    </row>
    <row r="1162" spans="40:53" ht="15.75" customHeight="1">
      <c r="AN1162" s="418"/>
      <c r="AO1162" s="418"/>
      <c r="AP1162" s="418"/>
      <c r="AQ1162" s="418"/>
      <c r="AR1162" s="418"/>
      <c r="AS1162" s="418"/>
      <c r="AT1162" s="418"/>
      <c r="AU1162" s="418"/>
      <c r="AV1162" s="418"/>
      <c r="AW1162" s="418"/>
      <c r="AX1162" s="418"/>
      <c r="AY1162" s="418"/>
      <c r="AZ1162" s="418"/>
      <c r="BA1162" s="418"/>
    </row>
    <row r="1163" spans="40:53" ht="15.75" customHeight="1">
      <c r="AN1163" s="418"/>
      <c r="AO1163" s="418"/>
      <c r="AP1163" s="418"/>
      <c r="AQ1163" s="418"/>
      <c r="AR1163" s="418"/>
      <c r="AS1163" s="418"/>
      <c r="AT1163" s="418"/>
      <c r="AU1163" s="418"/>
      <c r="AV1163" s="418"/>
      <c r="AW1163" s="418"/>
      <c r="AX1163" s="418"/>
      <c r="AY1163" s="418"/>
      <c r="AZ1163" s="418"/>
      <c r="BA1163" s="418"/>
    </row>
    <row r="1164" spans="40:53" ht="15.75" customHeight="1">
      <c r="AN1164" s="418"/>
      <c r="AO1164" s="418"/>
      <c r="AP1164" s="418"/>
      <c r="AQ1164" s="418"/>
      <c r="AR1164" s="418"/>
      <c r="AS1164" s="418"/>
      <c r="AT1164" s="418"/>
      <c r="AU1164" s="418"/>
      <c r="AV1164" s="418"/>
      <c r="AW1164" s="418"/>
      <c r="AX1164" s="418"/>
      <c r="AY1164" s="418"/>
      <c r="AZ1164" s="418"/>
      <c r="BA1164" s="418"/>
    </row>
    <row r="1165" spans="40:53" ht="15.75" customHeight="1">
      <c r="AN1165" s="418"/>
      <c r="AO1165" s="418"/>
      <c r="AP1165" s="418"/>
      <c r="AQ1165" s="418"/>
      <c r="AR1165" s="418"/>
      <c r="AS1165" s="418"/>
      <c r="AT1165" s="418"/>
      <c r="AU1165" s="418"/>
      <c r="AV1165" s="418"/>
      <c r="AW1165" s="418"/>
      <c r="AX1165" s="418"/>
      <c r="AY1165" s="418"/>
      <c r="AZ1165" s="418"/>
      <c r="BA1165" s="418"/>
    </row>
    <row r="1166" spans="40:53" ht="15.75" customHeight="1">
      <c r="AN1166" s="418"/>
      <c r="AO1166" s="418"/>
      <c r="AP1166" s="418"/>
      <c r="AQ1166" s="418"/>
      <c r="AR1166" s="418"/>
      <c r="AS1166" s="418"/>
      <c r="AT1166" s="418"/>
      <c r="AU1166" s="418"/>
      <c r="AV1166" s="418"/>
      <c r="AW1166" s="418"/>
      <c r="AX1166" s="418"/>
      <c r="AY1166" s="418"/>
      <c r="AZ1166" s="418"/>
      <c r="BA1166" s="418"/>
    </row>
    <row r="1167" spans="40:53" ht="15.75" customHeight="1">
      <c r="AN1167" s="418"/>
      <c r="AO1167" s="418"/>
      <c r="AP1167" s="418"/>
      <c r="AQ1167" s="418"/>
      <c r="AR1167" s="418"/>
      <c r="AS1167" s="418"/>
      <c r="AT1167" s="418"/>
      <c r="AU1167" s="418"/>
      <c r="AV1167" s="418"/>
      <c r="AW1167" s="418"/>
      <c r="AX1167" s="418"/>
      <c r="AY1167" s="418"/>
      <c r="AZ1167" s="418"/>
      <c r="BA1167" s="418"/>
    </row>
    <row r="1168" spans="40:53" ht="15.75" customHeight="1">
      <c r="AN1168" s="418"/>
      <c r="AO1168" s="418"/>
      <c r="AP1168" s="418"/>
      <c r="AQ1168" s="418"/>
      <c r="AR1168" s="418"/>
      <c r="AS1168" s="418"/>
      <c r="AT1168" s="418"/>
      <c r="AU1168" s="418"/>
      <c r="AV1168" s="418"/>
      <c r="AW1168" s="418"/>
      <c r="AX1168" s="418"/>
      <c r="AY1168" s="418"/>
      <c r="AZ1168" s="418"/>
      <c r="BA1168" s="418"/>
    </row>
    <row r="1169" spans="40:53" ht="15.75" customHeight="1">
      <c r="AN1169" s="418"/>
      <c r="AO1169" s="418"/>
      <c r="AP1169" s="418"/>
      <c r="AQ1169" s="418"/>
      <c r="AR1169" s="418"/>
      <c r="AS1169" s="418"/>
      <c r="AT1169" s="418"/>
      <c r="AU1169" s="418"/>
      <c r="AV1169" s="418"/>
      <c r="AW1169" s="418"/>
      <c r="AX1169" s="418"/>
      <c r="AY1169" s="418"/>
      <c r="AZ1169" s="418"/>
      <c r="BA1169" s="418"/>
    </row>
    <row r="1170" spans="40:53" ht="15.75" customHeight="1">
      <c r="AN1170" s="418"/>
      <c r="AO1170" s="418"/>
      <c r="AP1170" s="418"/>
      <c r="AQ1170" s="418"/>
      <c r="AR1170" s="418"/>
      <c r="AS1170" s="418"/>
      <c r="AT1170" s="418"/>
      <c r="AU1170" s="418"/>
      <c r="AV1170" s="418"/>
      <c r="AW1170" s="418"/>
      <c r="AX1170" s="418"/>
      <c r="AY1170" s="418"/>
      <c r="AZ1170" s="418"/>
      <c r="BA1170" s="418"/>
    </row>
    <row r="1171" spans="40:53" ht="15.75" customHeight="1">
      <c r="AN1171" s="418"/>
      <c r="AO1171" s="418"/>
      <c r="AP1171" s="418"/>
      <c r="AQ1171" s="418"/>
      <c r="AR1171" s="418"/>
      <c r="AS1171" s="418"/>
      <c r="AT1171" s="418"/>
      <c r="AU1171" s="418"/>
      <c r="AV1171" s="418"/>
      <c r="AW1171" s="418"/>
      <c r="AX1171" s="418"/>
      <c r="AY1171" s="418"/>
      <c r="AZ1171" s="418"/>
      <c r="BA1171" s="418"/>
    </row>
    <row r="1172" spans="40:53" ht="15.75" customHeight="1">
      <c r="AN1172" s="418"/>
      <c r="AO1172" s="418"/>
      <c r="AP1172" s="418"/>
      <c r="AQ1172" s="418"/>
      <c r="AR1172" s="418"/>
      <c r="AS1172" s="418"/>
      <c r="AT1172" s="418"/>
      <c r="AU1172" s="418"/>
      <c r="AV1172" s="418"/>
      <c r="AW1172" s="418"/>
      <c r="AX1172" s="418"/>
      <c r="AY1172" s="418"/>
      <c r="AZ1172" s="418"/>
      <c r="BA1172" s="418"/>
    </row>
    <row r="1173" spans="40:53" ht="15.75" customHeight="1">
      <c r="AN1173" s="418"/>
      <c r="AO1173" s="418"/>
      <c r="AP1173" s="418"/>
      <c r="AQ1173" s="418"/>
      <c r="AR1173" s="418"/>
      <c r="AS1173" s="418"/>
      <c r="AT1173" s="418"/>
      <c r="AU1173" s="418"/>
      <c r="AV1173" s="418"/>
      <c r="AW1173" s="418"/>
      <c r="AX1173" s="418"/>
      <c r="AY1173" s="418"/>
      <c r="AZ1173" s="418"/>
      <c r="BA1173" s="418"/>
    </row>
    <row r="1174" spans="40:53" ht="15.75" customHeight="1">
      <c r="AN1174" s="418"/>
      <c r="AO1174" s="418"/>
      <c r="AP1174" s="418"/>
      <c r="AQ1174" s="418"/>
      <c r="AR1174" s="418"/>
      <c r="AS1174" s="418"/>
      <c r="AT1174" s="418"/>
      <c r="AU1174" s="418"/>
      <c r="AV1174" s="418"/>
      <c r="AW1174" s="418"/>
      <c r="AX1174" s="418"/>
      <c r="AY1174" s="418"/>
      <c r="AZ1174" s="418"/>
      <c r="BA1174" s="418"/>
    </row>
    <row r="1175" spans="40:53" ht="15.75" customHeight="1">
      <c r="AN1175" s="418"/>
      <c r="AO1175" s="418"/>
      <c r="AP1175" s="418"/>
      <c r="AQ1175" s="418"/>
      <c r="AR1175" s="418"/>
      <c r="AS1175" s="418"/>
      <c r="AT1175" s="418"/>
      <c r="AU1175" s="418"/>
      <c r="AV1175" s="418"/>
      <c r="AW1175" s="418"/>
      <c r="AX1175" s="418"/>
      <c r="AY1175" s="418"/>
      <c r="AZ1175" s="418"/>
      <c r="BA1175" s="418"/>
    </row>
    <row r="1176" spans="40:53" ht="15.75" customHeight="1">
      <c r="AN1176" s="418"/>
      <c r="AO1176" s="418"/>
      <c r="AP1176" s="418"/>
      <c r="AQ1176" s="418"/>
      <c r="AR1176" s="418"/>
      <c r="AS1176" s="418"/>
      <c r="AT1176" s="418"/>
      <c r="AU1176" s="418"/>
      <c r="AV1176" s="418"/>
      <c r="AW1176" s="418"/>
      <c r="AX1176" s="418"/>
      <c r="AY1176" s="418"/>
      <c r="AZ1176" s="418"/>
      <c r="BA1176" s="418"/>
    </row>
    <row r="1177" spans="40:53" ht="15.75" customHeight="1">
      <c r="AN1177" s="418"/>
      <c r="AO1177" s="418"/>
      <c r="AP1177" s="418"/>
      <c r="AQ1177" s="418"/>
      <c r="AR1177" s="418"/>
      <c r="AS1177" s="418"/>
      <c r="AT1177" s="418"/>
      <c r="AU1177" s="418"/>
      <c r="AV1177" s="418"/>
      <c r="AW1177" s="418"/>
      <c r="AX1177" s="418"/>
      <c r="AY1177" s="418"/>
      <c r="AZ1177" s="418"/>
      <c r="BA1177" s="418"/>
    </row>
    <row r="1178" spans="40:53" ht="15.75" customHeight="1">
      <c r="AN1178" s="418"/>
      <c r="AO1178" s="418"/>
      <c r="AP1178" s="418"/>
      <c r="AQ1178" s="418"/>
      <c r="AR1178" s="418"/>
      <c r="AS1178" s="418"/>
      <c r="AT1178" s="418"/>
      <c r="AU1178" s="418"/>
      <c r="AV1178" s="418"/>
      <c r="AW1178" s="418"/>
      <c r="AX1178" s="418"/>
      <c r="AY1178" s="418"/>
      <c r="AZ1178" s="418"/>
      <c r="BA1178" s="418"/>
    </row>
    <row r="1179" spans="40:53" ht="15.75" customHeight="1">
      <c r="AN1179" s="418"/>
      <c r="AO1179" s="418"/>
      <c r="AP1179" s="418"/>
      <c r="AQ1179" s="418"/>
      <c r="AR1179" s="418"/>
      <c r="AS1179" s="418"/>
      <c r="AT1179" s="418"/>
      <c r="AU1179" s="418"/>
      <c r="AV1179" s="418"/>
      <c r="AW1179" s="418"/>
      <c r="AX1179" s="418"/>
      <c r="AY1179" s="418"/>
      <c r="AZ1179" s="418"/>
      <c r="BA1179" s="418"/>
    </row>
    <row r="1180" spans="40:53" ht="15.75" customHeight="1">
      <c r="AN1180" s="418"/>
      <c r="AO1180" s="418"/>
      <c r="AP1180" s="418"/>
      <c r="AQ1180" s="418"/>
      <c r="AR1180" s="418"/>
      <c r="AS1180" s="418"/>
      <c r="AT1180" s="418"/>
      <c r="AU1180" s="418"/>
      <c r="AV1180" s="418"/>
      <c r="AW1180" s="418"/>
      <c r="AX1180" s="418"/>
      <c r="AY1180" s="418"/>
      <c r="AZ1180" s="418"/>
      <c r="BA1180" s="418"/>
    </row>
    <row r="1181" spans="40:53" ht="15.75" customHeight="1">
      <c r="AN1181" s="418"/>
      <c r="AO1181" s="418"/>
      <c r="AP1181" s="418"/>
      <c r="AQ1181" s="418"/>
      <c r="AR1181" s="418"/>
      <c r="AS1181" s="418"/>
      <c r="AT1181" s="418"/>
      <c r="AU1181" s="418"/>
      <c r="AV1181" s="418"/>
      <c r="AW1181" s="418"/>
      <c r="AX1181" s="418"/>
      <c r="AY1181" s="418"/>
      <c r="AZ1181" s="418"/>
      <c r="BA1181" s="418"/>
    </row>
    <row r="1182" spans="40:53" ht="15.75" customHeight="1">
      <c r="AN1182" s="418"/>
      <c r="AO1182" s="418"/>
      <c r="AP1182" s="418"/>
      <c r="AQ1182" s="418"/>
      <c r="AR1182" s="418"/>
      <c r="AS1182" s="418"/>
      <c r="AT1182" s="418"/>
      <c r="AU1182" s="418"/>
      <c r="AV1182" s="418"/>
      <c r="AW1182" s="418"/>
      <c r="AX1182" s="418"/>
      <c r="AY1182" s="418"/>
      <c r="AZ1182" s="418"/>
      <c r="BA1182" s="418"/>
    </row>
    <row r="1183" spans="40:53" ht="15.75" customHeight="1">
      <c r="AN1183" s="418"/>
      <c r="AO1183" s="418"/>
      <c r="AP1183" s="418"/>
      <c r="AQ1183" s="418"/>
      <c r="AR1183" s="418"/>
      <c r="AS1183" s="418"/>
      <c r="AT1183" s="418"/>
      <c r="AU1183" s="418"/>
      <c r="AV1183" s="418"/>
      <c r="AW1183" s="418"/>
      <c r="AX1183" s="418"/>
      <c r="AY1183" s="418"/>
      <c r="AZ1183" s="418"/>
      <c r="BA1183" s="418"/>
    </row>
    <row r="1184" spans="40:53" ht="15.75" customHeight="1">
      <c r="AN1184" s="418"/>
      <c r="AO1184" s="418"/>
      <c r="AP1184" s="418"/>
      <c r="AQ1184" s="418"/>
      <c r="AR1184" s="418"/>
      <c r="AS1184" s="418"/>
      <c r="AT1184" s="418"/>
      <c r="AU1184" s="418"/>
      <c r="AV1184" s="418"/>
      <c r="AW1184" s="418"/>
      <c r="AX1184" s="418"/>
      <c r="AY1184" s="418"/>
      <c r="AZ1184" s="418"/>
      <c r="BA1184" s="418"/>
    </row>
    <row r="1185" spans="40:53" ht="15.75" customHeight="1">
      <c r="AN1185" s="418"/>
      <c r="AO1185" s="418"/>
      <c r="AP1185" s="418"/>
      <c r="AQ1185" s="418"/>
      <c r="AR1185" s="418"/>
      <c r="AS1185" s="418"/>
      <c r="AT1185" s="418"/>
      <c r="AU1185" s="418"/>
      <c r="AV1185" s="418"/>
      <c r="AW1185" s="418"/>
      <c r="AX1185" s="418"/>
      <c r="AY1185" s="418"/>
      <c r="AZ1185" s="418"/>
      <c r="BA1185" s="418"/>
    </row>
    <row r="1186" spans="40:53" ht="15.75" customHeight="1">
      <c r="AN1186" s="418"/>
      <c r="AO1186" s="418"/>
      <c r="AP1186" s="418"/>
      <c r="AQ1186" s="418"/>
      <c r="AR1186" s="418"/>
      <c r="AS1186" s="418"/>
      <c r="AT1186" s="418"/>
      <c r="AU1186" s="418"/>
      <c r="AV1186" s="418"/>
      <c r="AW1186" s="418"/>
      <c r="AX1186" s="418"/>
      <c r="AY1186" s="418"/>
      <c r="AZ1186" s="418"/>
      <c r="BA1186" s="418"/>
    </row>
    <row r="1187" spans="40:53" ht="15.75" customHeight="1">
      <c r="AN1187" s="418"/>
      <c r="AO1187" s="418"/>
      <c r="AP1187" s="418"/>
      <c r="AQ1187" s="418"/>
      <c r="AR1187" s="418"/>
      <c r="AS1187" s="418"/>
      <c r="AT1187" s="418"/>
      <c r="AU1187" s="418"/>
      <c r="AV1187" s="418"/>
      <c r="AW1187" s="418"/>
      <c r="AX1187" s="418"/>
      <c r="AY1187" s="418"/>
      <c r="AZ1187" s="418"/>
      <c r="BA1187" s="418"/>
    </row>
    <row r="1188" spans="40:53" ht="15.75" customHeight="1">
      <c r="AN1188" s="418"/>
      <c r="AO1188" s="418"/>
      <c r="AP1188" s="418"/>
      <c r="AQ1188" s="418"/>
      <c r="AR1188" s="418"/>
      <c r="AS1188" s="418"/>
      <c r="AT1188" s="418"/>
      <c r="AU1188" s="418"/>
      <c r="AV1188" s="418"/>
      <c r="AW1188" s="418"/>
      <c r="AX1188" s="418"/>
      <c r="AY1188" s="418"/>
      <c r="AZ1188" s="418"/>
      <c r="BA1188" s="418"/>
    </row>
    <row r="1189" spans="40:53" ht="15.75" customHeight="1">
      <c r="AN1189" s="418"/>
      <c r="AO1189" s="418"/>
      <c r="AP1189" s="418"/>
      <c r="AQ1189" s="418"/>
      <c r="AR1189" s="418"/>
      <c r="AS1189" s="418"/>
      <c r="AT1189" s="418"/>
      <c r="AU1189" s="418"/>
      <c r="AV1189" s="418"/>
      <c r="AW1189" s="418"/>
      <c r="AX1189" s="418"/>
      <c r="AY1189" s="418"/>
      <c r="AZ1189" s="418"/>
      <c r="BA1189" s="418"/>
    </row>
    <row r="1190" spans="40:53" ht="15.75" customHeight="1">
      <c r="AN1190" s="418"/>
      <c r="AO1190" s="418"/>
      <c r="AP1190" s="418"/>
      <c r="AQ1190" s="418"/>
      <c r="AR1190" s="418"/>
      <c r="AS1190" s="418"/>
      <c r="AT1190" s="418"/>
      <c r="AU1190" s="418"/>
      <c r="AV1190" s="418"/>
      <c r="AW1190" s="418"/>
      <c r="AX1190" s="418"/>
      <c r="AY1190" s="418"/>
      <c r="AZ1190" s="418"/>
      <c r="BA1190" s="418"/>
    </row>
    <row r="1191" spans="40:53" ht="15.75" customHeight="1">
      <c r="AN1191" s="418"/>
      <c r="AO1191" s="418"/>
      <c r="AP1191" s="418"/>
      <c r="AQ1191" s="418"/>
      <c r="AR1191" s="418"/>
      <c r="AS1191" s="418"/>
      <c r="AT1191" s="418"/>
      <c r="AU1191" s="418"/>
      <c r="AV1191" s="418"/>
      <c r="AW1191" s="418"/>
      <c r="AX1191" s="418"/>
      <c r="AY1191" s="418"/>
      <c r="AZ1191" s="418"/>
      <c r="BA1191" s="418"/>
    </row>
    <row r="1192" spans="40:53" ht="15.75" customHeight="1">
      <c r="AN1192" s="418"/>
      <c r="AO1192" s="418"/>
      <c r="AP1192" s="418"/>
      <c r="AQ1192" s="418"/>
      <c r="AR1192" s="418"/>
      <c r="AS1192" s="418"/>
      <c r="AT1192" s="418"/>
      <c r="AU1192" s="418"/>
      <c r="AV1192" s="418"/>
      <c r="AW1192" s="418"/>
      <c r="AX1192" s="418"/>
      <c r="AY1192" s="418"/>
      <c r="AZ1192" s="418"/>
      <c r="BA1192" s="418"/>
    </row>
    <row r="1193" spans="40:53" ht="15.75" customHeight="1">
      <c r="AN1193" s="418"/>
      <c r="AO1193" s="418"/>
      <c r="AP1193" s="418"/>
      <c r="AQ1193" s="418"/>
      <c r="AR1193" s="418"/>
      <c r="AS1193" s="418"/>
      <c r="AT1193" s="418"/>
      <c r="AU1193" s="418"/>
      <c r="AV1193" s="418"/>
      <c r="AW1193" s="418"/>
      <c r="AX1193" s="418"/>
      <c r="AY1193" s="418"/>
      <c r="AZ1193" s="418"/>
      <c r="BA1193" s="418"/>
    </row>
    <row r="1194" spans="40:53" ht="15.75" customHeight="1">
      <c r="AN1194" s="418"/>
      <c r="AO1194" s="418"/>
      <c r="AP1194" s="418"/>
      <c r="AQ1194" s="418"/>
      <c r="AR1194" s="418"/>
      <c r="AS1194" s="418"/>
      <c r="AT1194" s="418"/>
      <c r="AU1194" s="418"/>
      <c r="AV1194" s="418"/>
      <c r="AW1194" s="418"/>
      <c r="AX1194" s="418"/>
      <c r="AY1194" s="418"/>
      <c r="AZ1194" s="418"/>
      <c r="BA1194" s="418"/>
    </row>
    <row r="1195" spans="40:53" ht="15.75" customHeight="1">
      <c r="AN1195" s="418"/>
      <c r="AO1195" s="418"/>
      <c r="AP1195" s="418"/>
      <c r="AQ1195" s="418"/>
      <c r="AR1195" s="418"/>
      <c r="AS1195" s="418"/>
      <c r="AT1195" s="418"/>
      <c r="AU1195" s="418"/>
      <c r="AV1195" s="418"/>
      <c r="AW1195" s="418"/>
      <c r="AX1195" s="418"/>
      <c r="AY1195" s="418"/>
      <c r="AZ1195" s="418"/>
      <c r="BA1195" s="418"/>
    </row>
    <row r="1196" spans="40:53" ht="15.75" customHeight="1">
      <c r="AN1196" s="418"/>
      <c r="AO1196" s="418"/>
      <c r="AP1196" s="418"/>
      <c r="AQ1196" s="418"/>
      <c r="AR1196" s="418"/>
      <c r="AS1196" s="418"/>
      <c r="AT1196" s="418"/>
      <c r="AU1196" s="418"/>
      <c r="AV1196" s="418"/>
      <c r="AW1196" s="418"/>
      <c r="AX1196" s="418"/>
      <c r="AY1196" s="418"/>
      <c r="AZ1196" s="418"/>
      <c r="BA1196" s="418"/>
    </row>
    <row r="1197" spans="40:53" ht="15.75" customHeight="1">
      <c r="AN1197" s="418"/>
      <c r="AO1197" s="418"/>
      <c r="AP1197" s="418"/>
      <c r="AQ1197" s="418"/>
      <c r="AR1197" s="418"/>
      <c r="AS1197" s="418"/>
      <c r="AT1197" s="418"/>
      <c r="AU1197" s="418"/>
      <c r="AV1197" s="418"/>
      <c r="AW1197" s="418"/>
      <c r="AX1197" s="418"/>
      <c r="AY1197" s="418"/>
      <c r="AZ1197" s="418"/>
      <c r="BA1197" s="418"/>
    </row>
    <row r="1198" spans="40:53" ht="15.75" customHeight="1">
      <c r="AN1198" s="418"/>
      <c r="AO1198" s="418"/>
      <c r="AP1198" s="418"/>
      <c r="AQ1198" s="418"/>
      <c r="AR1198" s="418"/>
      <c r="AS1198" s="418"/>
      <c r="AT1198" s="418"/>
      <c r="AU1198" s="418"/>
      <c r="AV1198" s="418"/>
      <c r="AW1198" s="418"/>
      <c r="AX1198" s="418"/>
      <c r="AY1198" s="418"/>
      <c r="AZ1198" s="418"/>
      <c r="BA1198" s="418"/>
    </row>
    <row r="1199" spans="40:53" ht="15.75" customHeight="1">
      <c r="AN1199" s="418"/>
      <c r="AO1199" s="418"/>
      <c r="AP1199" s="418"/>
      <c r="AQ1199" s="418"/>
      <c r="AR1199" s="418"/>
      <c r="AS1199" s="418"/>
      <c r="AT1199" s="418"/>
      <c r="AU1199" s="418"/>
      <c r="AV1199" s="418"/>
      <c r="AW1199" s="418"/>
      <c r="AX1199" s="418"/>
      <c r="AY1199" s="418"/>
      <c r="AZ1199" s="418"/>
      <c r="BA1199" s="418"/>
    </row>
    <row r="1200" spans="40:53" ht="15.75" customHeight="1">
      <c r="AN1200" s="418"/>
      <c r="AO1200" s="418"/>
      <c r="AP1200" s="418"/>
      <c r="AQ1200" s="418"/>
      <c r="AR1200" s="418"/>
      <c r="AS1200" s="418"/>
      <c r="AT1200" s="418"/>
      <c r="AU1200" s="418"/>
      <c r="AV1200" s="418"/>
      <c r="AW1200" s="418"/>
      <c r="AX1200" s="418"/>
      <c r="AY1200" s="418"/>
      <c r="AZ1200" s="418"/>
      <c r="BA1200" s="418"/>
    </row>
    <row r="1201" spans="40:53" ht="15.75" customHeight="1">
      <c r="AN1201" s="418"/>
      <c r="AO1201" s="418"/>
      <c r="AP1201" s="418"/>
      <c r="AQ1201" s="418"/>
      <c r="AR1201" s="418"/>
      <c r="AS1201" s="418"/>
      <c r="AT1201" s="418"/>
      <c r="AU1201" s="418"/>
      <c r="AV1201" s="418"/>
      <c r="AW1201" s="418"/>
      <c r="AX1201" s="418"/>
      <c r="AY1201" s="418"/>
      <c r="AZ1201" s="418"/>
      <c r="BA1201" s="418"/>
    </row>
    <row r="1202" spans="40:53" ht="15.75" customHeight="1">
      <c r="AN1202" s="418"/>
      <c r="AO1202" s="418"/>
      <c r="AP1202" s="418"/>
      <c r="AQ1202" s="418"/>
      <c r="AR1202" s="418"/>
      <c r="AS1202" s="418"/>
      <c r="AT1202" s="418"/>
      <c r="AU1202" s="418"/>
      <c r="AV1202" s="418"/>
      <c r="AW1202" s="418"/>
      <c r="AX1202" s="418"/>
      <c r="AY1202" s="418"/>
      <c r="AZ1202" s="418"/>
      <c r="BA1202" s="418"/>
    </row>
    <row r="1203" spans="40:53" ht="15.75" customHeight="1">
      <c r="AN1203" s="418"/>
      <c r="AO1203" s="418"/>
      <c r="AP1203" s="418"/>
      <c r="AQ1203" s="418"/>
      <c r="AR1203" s="418"/>
      <c r="AS1203" s="418"/>
      <c r="AT1203" s="418"/>
      <c r="AU1203" s="418"/>
      <c r="AV1203" s="418"/>
      <c r="AW1203" s="418"/>
      <c r="AX1203" s="418"/>
      <c r="AY1203" s="418"/>
      <c r="AZ1203" s="418"/>
      <c r="BA1203" s="418"/>
    </row>
    <row r="1204" spans="40:53" ht="15.75" customHeight="1">
      <c r="AN1204" s="418"/>
      <c r="AO1204" s="418"/>
      <c r="AP1204" s="418"/>
      <c r="AQ1204" s="418"/>
      <c r="AR1204" s="418"/>
      <c r="AS1204" s="418"/>
      <c r="AT1204" s="418"/>
      <c r="AU1204" s="418"/>
      <c r="AV1204" s="418"/>
      <c r="AW1204" s="418"/>
      <c r="AX1204" s="418"/>
      <c r="AY1204" s="418"/>
      <c r="AZ1204" s="418"/>
      <c r="BA1204" s="418"/>
    </row>
    <row r="1205" spans="40:53" ht="15.75" customHeight="1">
      <c r="AN1205" s="418"/>
      <c r="AO1205" s="418"/>
      <c r="AP1205" s="418"/>
      <c r="AQ1205" s="418"/>
      <c r="AR1205" s="418"/>
      <c r="AS1205" s="418"/>
      <c r="AT1205" s="418"/>
      <c r="AU1205" s="418"/>
      <c r="AV1205" s="418"/>
      <c r="AW1205" s="418"/>
      <c r="AX1205" s="418"/>
      <c r="AY1205" s="418"/>
      <c r="AZ1205" s="418"/>
      <c r="BA1205" s="418"/>
    </row>
    <row r="1206" spans="40:53" ht="15.75" customHeight="1">
      <c r="AN1206" s="418"/>
      <c r="AO1206" s="418"/>
      <c r="AP1206" s="418"/>
      <c r="AQ1206" s="418"/>
      <c r="AR1206" s="418"/>
      <c r="AS1206" s="418"/>
      <c r="AT1206" s="418"/>
      <c r="AU1206" s="418"/>
      <c r="AV1206" s="418"/>
      <c r="AW1206" s="418"/>
      <c r="AX1206" s="418"/>
      <c r="AY1206" s="418"/>
      <c r="AZ1206" s="418"/>
      <c r="BA1206" s="418"/>
    </row>
    <row r="1207" spans="40:53" ht="15.75" customHeight="1">
      <c r="AN1207" s="418"/>
      <c r="AO1207" s="418"/>
      <c r="AP1207" s="418"/>
      <c r="AQ1207" s="418"/>
      <c r="AR1207" s="418"/>
      <c r="AS1207" s="418"/>
      <c r="AT1207" s="418"/>
      <c r="AU1207" s="418"/>
      <c r="AV1207" s="418"/>
      <c r="AW1207" s="418"/>
      <c r="AX1207" s="418"/>
      <c r="AY1207" s="418"/>
      <c r="AZ1207" s="418"/>
      <c r="BA1207" s="418"/>
    </row>
    <row r="1208" spans="40:53" ht="15.75" customHeight="1">
      <c r="AN1208" s="418"/>
      <c r="AO1208" s="418"/>
      <c r="AP1208" s="418"/>
      <c r="AQ1208" s="418"/>
      <c r="AR1208" s="418"/>
      <c r="AS1208" s="418"/>
      <c r="AT1208" s="418"/>
      <c r="AU1208" s="418"/>
      <c r="AV1208" s="418"/>
      <c r="AW1208" s="418"/>
      <c r="AX1208" s="418"/>
      <c r="AY1208" s="418"/>
      <c r="AZ1208" s="418"/>
      <c r="BA1208" s="418"/>
    </row>
    <row r="1209" spans="40:53" ht="15.75" customHeight="1">
      <c r="AN1209" s="418"/>
      <c r="AO1209" s="418"/>
      <c r="AP1209" s="418"/>
      <c r="AQ1209" s="418"/>
      <c r="AR1209" s="418"/>
      <c r="AS1209" s="418"/>
      <c r="AT1209" s="418"/>
      <c r="AU1209" s="418"/>
      <c r="AV1209" s="418"/>
      <c r="AW1209" s="418"/>
      <c r="AX1209" s="418"/>
      <c r="AY1209" s="418"/>
      <c r="AZ1209" s="418"/>
      <c r="BA1209" s="418"/>
    </row>
    <row r="1210" spans="40:53" ht="15.75" customHeight="1">
      <c r="AN1210" s="418"/>
      <c r="AO1210" s="418"/>
      <c r="AP1210" s="418"/>
      <c r="AQ1210" s="418"/>
      <c r="AR1210" s="418"/>
      <c r="AS1210" s="418"/>
      <c r="AT1210" s="418"/>
      <c r="AU1210" s="418"/>
      <c r="AV1210" s="418"/>
      <c r="AW1210" s="418"/>
      <c r="AX1210" s="418"/>
      <c r="AY1210" s="418"/>
      <c r="AZ1210" s="418"/>
      <c r="BA1210" s="418"/>
    </row>
    <row r="1211" spans="40:53" ht="15.75" customHeight="1">
      <c r="AN1211" s="418"/>
      <c r="AO1211" s="418"/>
      <c r="AP1211" s="418"/>
      <c r="AQ1211" s="418"/>
      <c r="AR1211" s="418"/>
      <c r="AS1211" s="418"/>
      <c r="AT1211" s="418"/>
      <c r="AU1211" s="418"/>
      <c r="AV1211" s="418"/>
      <c r="AW1211" s="418"/>
      <c r="AX1211" s="418"/>
      <c r="AY1211" s="418"/>
      <c r="AZ1211" s="418"/>
      <c r="BA1211" s="418"/>
    </row>
    <row r="1212" spans="40:53" ht="15.75" customHeight="1">
      <c r="AN1212" s="418"/>
      <c r="AO1212" s="418"/>
      <c r="AP1212" s="418"/>
      <c r="AQ1212" s="418"/>
      <c r="AR1212" s="418"/>
      <c r="AS1212" s="418"/>
      <c r="AT1212" s="418"/>
      <c r="AU1212" s="418"/>
      <c r="AV1212" s="418"/>
      <c r="AW1212" s="418"/>
      <c r="AX1212" s="418"/>
      <c r="AY1212" s="418"/>
      <c r="AZ1212" s="418"/>
      <c r="BA1212" s="418"/>
    </row>
    <row r="1213" spans="40:53" ht="15.75" customHeight="1">
      <c r="AN1213" s="418"/>
      <c r="AO1213" s="418"/>
      <c r="AP1213" s="418"/>
      <c r="AQ1213" s="418"/>
      <c r="AR1213" s="418"/>
      <c r="AS1213" s="418"/>
      <c r="AT1213" s="418"/>
      <c r="AU1213" s="418"/>
      <c r="AV1213" s="418"/>
      <c r="AW1213" s="418"/>
      <c r="AX1213" s="418"/>
      <c r="AY1213" s="418"/>
      <c r="AZ1213" s="418"/>
      <c r="BA1213" s="418"/>
    </row>
    <row r="1214" spans="40:53" ht="15.75" customHeight="1">
      <c r="AN1214" s="418"/>
      <c r="AO1214" s="418"/>
      <c r="AP1214" s="418"/>
      <c r="AQ1214" s="418"/>
      <c r="AR1214" s="418"/>
      <c r="AS1214" s="418"/>
      <c r="AT1214" s="418"/>
      <c r="AU1214" s="418"/>
      <c r="AV1214" s="418"/>
      <c r="AW1214" s="418"/>
      <c r="AX1214" s="418"/>
      <c r="AY1214" s="418"/>
      <c r="AZ1214" s="418"/>
      <c r="BA1214" s="418"/>
    </row>
    <row r="1215" spans="40:53" ht="15.75" customHeight="1">
      <c r="AN1215" s="418"/>
      <c r="AO1215" s="418"/>
      <c r="AP1215" s="418"/>
      <c r="AQ1215" s="418"/>
      <c r="AR1215" s="418"/>
      <c r="AS1215" s="418"/>
      <c r="AT1215" s="418"/>
      <c r="AU1215" s="418"/>
      <c r="AV1215" s="418"/>
      <c r="AW1215" s="418"/>
      <c r="AX1215" s="418"/>
      <c r="AY1215" s="418"/>
      <c r="AZ1215" s="418"/>
      <c r="BA1215" s="418"/>
    </row>
    <row r="1216" spans="40:53" ht="15.75" customHeight="1">
      <c r="AN1216" s="418"/>
      <c r="AO1216" s="418"/>
      <c r="AP1216" s="418"/>
      <c r="AQ1216" s="418"/>
      <c r="AR1216" s="418"/>
      <c r="AS1216" s="418"/>
      <c r="AT1216" s="418"/>
      <c r="AU1216" s="418"/>
      <c r="AV1216" s="418"/>
      <c r="AW1216" s="418"/>
      <c r="AX1216" s="418"/>
      <c r="AY1216" s="418"/>
      <c r="AZ1216" s="418"/>
      <c r="BA1216" s="418"/>
    </row>
    <row r="1217" spans="40:53" ht="15.75" customHeight="1">
      <c r="AN1217" s="418"/>
      <c r="AO1217" s="418"/>
      <c r="AP1217" s="418"/>
      <c r="AQ1217" s="418"/>
      <c r="AR1217" s="418"/>
      <c r="AS1217" s="418"/>
      <c r="AT1217" s="418"/>
      <c r="AU1217" s="418"/>
      <c r="AV1217" s="418"/>
      <c r="AW1217" s="418"/>
      <c r="AX1217" s="418"/>
      <c r="AY1217" s="418"/>
      <c r="AZ1217" s="418"/>
      <c r="BA1217" s="418"/>
    </row>
    <row r="1218" spans="40:53" ht="15.75" customHeight="1">
      <c r="AN1218" s="418"/>
      <c r="AO1218" s="418"/>
      <c r="AP1218" s="418"/>
      <c r="AQ1218" s="418"/>
      <c r="AR1218" s="418"/>
      <c r="AS1218" s="418"/>
      <c r="AT1218" s="418"/>
      <c r="AU1218" s="418"/>
      <c r="AV1218" s="418"/>
      <c r="AW1218" s="418"/>
      <c r="AX1218" s="418"/>
      <c r="AY1218" s="418"/>
      <c r="AZ1218" s="418"/>
      <c r="BA1218" s="418"/>
    </row>
    <row r="1219" spans="40:53" ht="15.75" customHeight="1">
      <c r="AN1219" s="418"/>
      <c r="AO1219" s="418"/>
      <c r="AP1219" s="418"/>
      <c r="AQ1219" s="418"/>
      <c r="AR1219" s="418"/>
      <c r="AS1219" s="418"/>
      <c r="AT1219" s="418"/>
      <c r="AU1219" s="418"/>
      <c r="AV1219" s="418"/>
      <c r="AW1219" s="418"/>
      <c r="AX1219" s="418"/>
      <c r="AY1219" s="418"/>
      <c r="AZ1219" s="418"/>
      <c r="BA1219" s="418"/>
    </row>
    <row r="1220" spans="40:53" ht="15.75" customHeight="1">
      <c r="AN1220" s="418"/>
      <c r="AO1220" s="418"/>
      <c r="AP1220" s="418"/>
      <c r="AQ1220" s="418"/>
      <c r="AR1220" s="418"/>
      <c r="AS1220" s="418"/>
      <c r="AT1220" s="418"/>
      <c r="AU1220" s="418"/>
      <c r="AV1220" s="418"/>
      <c r="AW1220" s="418"/>
      <c r="AX1220" s="418"/>
      <c r="AY1220" s="418"/>
      <c r="AZ1220" s="418"/>
      <c r="BA1220" s="418"/>
    </row>
    <row r="1221" spans="40:53" ht="15.75" customHeight="1">
      <c r="AN1221" s="418"/>
      <c r="AO1221" s="418"/>
      <c r="AP1221" s="418"/>
      <c r="AQ1221" s="418"/>
      <c r="AR1221" s="418"/>
      <c r="AS1221" s="418"/>
      <c r="AT1221" s="418"/>
      <c r="AU1221" s="418"/>
      <c r="AV1221" s="418"/>
      <c r="AW1221" s="418"/>
      <c r="AX1221" s="418"/>
      <c r="AY1221" s="418"/>
      <c r="AZ1221" s="418"/>
      <c r="BA1221" s="418"/>
    </row>
    <row r="1222" spans="40:53" ht="15.75" customHeight="1">
      <c r="AN1222" s="418"/>
      <c r="AO1222" s="418"/>
      <c r="AP1222" s="418"/>
      <c r="AQ1222" s="418"/>
      <c r="AR1222" s="418"/>
      <c r="AS1222" s="418"/>
      <c r="AT1222" s="418"/>
      <c r="AU1222" s="418"/>
      <c r="AV1222" s="418"/>
      <c r="AW1222" s="418"/>
      <c r="AX1222" s="418"/>
      <c r="AY1222" s="418"/>
      <c r="AZ1222" s="418"/>
      <c r="BA1222" s="418"/>
    </row>
    <row r="1223" spans="40:53" ht="15.75" customHeight="1">
      <c r="AN1223" s="418"/>
      <c r="AO1223" s="418"/>
      <c r="AP1223" s="418"/>
      <c r="AQ1223" s="418"/>
      <c r="AR1223" s="418"/>
      <c r="AS1223" s="418"/>
      <c r="AT1223" s="418"/>
      <c r="AU1223" s="418"/>
      <c r="AV1223" s="418"/>
      <c r="AW1223" s="418"/>
      <c r="AX1223" s="418"/>
      <c r="AY1223" s="418"/>
      <c r="AZ1223" s="418"/>
      <c r="BA1223" s="418"/>
    </row>
    <row r="1224" spans="40:53" ht="15.75" customHeight="1">
      <c r="AN1224" s="418"/>
      <c r="AO1224" s="418"/>
      <c r="AP1224" s="418"/>
      <c r="AQ1224" s="418"/>
      <c r="AR1224" s="418"/>
      <c r="AS1224" s="418"/>
      <c r="AT1224" s="418"/>
      <c r="AU1224" s="418"/>
      <c r="AV1224" s="418"/>
      <c r="AW1224" s="418"/>
      <c r="AX1224" s="418"/>
      <c r="AY1224" s="418"/>
      <c r="AZ1224" s="418"/>
      <c r="BA1224" s="418"/>
    </row>
    <row r="1225" spans="40:53" ht="15.75" customHeight="1">
      <c r="AN1225" s="418"/>
      <c r="AO1225" s="418"/>
      <c r="AP1225" s="418"/>
      <c r="AQ1225" s="418"/>
      <c r="AR1225" s="418"/>
      <c r="AS1225" s="418"/>
      <c r="AT1225" s="418"/>
      <c r="AU1225" s="418"/>
      <c r="AV1225" s="418"/>
      <c r="AW1225" s="418"/>
      <c r="AX1225" s="418"/>
      <c r="AY1225" s="418"/>
      <c r="AZ1225" s="418"/>
      <c r="BA1225" s="418"/>
    </row>
    <row r="1226" spans="40:53" ht="15.75" customHeight="1">
      <c r="AN1226" s="418"/>
      <c r="AO1226" s="418"/>
      <c r="AP1226" s="418"/>
      <c r="AQ1226" s="418"/>
      <c r="AR1226" s="418"/>
      <c r="AS1226" s="418"/>
      <c r="AT1226" s="418"/>
      <c r="AU1226" s="418"/>
      <c r="AV1226" s="418"/>
      <c r="AW1226" s="418"/>
      <c r="AX1226" s="418"/>
      <c r="AY1226" s="418"/>
      <c r="AZ1226" s="418"/>
      <c r="BA1226" s="418"/>
    </row>
    <row r="1227" spans="40:53" ht="15.75" customHeight="1">
      <c r="AN1227" s="418"/>
      <c r="AO1227" s="418"/>
      <c r="AP1227" s="418"/>
      <c r="AQ1227" s="418"/>
      <c r="AR1227" s="418"/>
      <c r="AS1227" s="418"/>
      <c r="AT1227" s="418"/>
      <c r="AU1227" s="418"/>
      <c r="AV1227" s="418"/>
      <c r="AW1227" s="418"/>
      <c r="AX1227" s="418"/>
      <c r="AY1227" s="418"/>
      <c r="AZ1227" s="418"/>
      <c r="BA1227" s="418"/>
    </row>
    <row r="1228" spans="40:53" ht="15.75" customHeight="1">
      <c r="AN1228" s="418"/>
      <c r="AO1228" s="418"/>
      <c r="AP1228" s="418"/>
      <c r="AQ1228" s="418"/>
      <c r="AR1228" s="418"/>
      <c r="AS1228" s="418"/>
      <c r="AT1228" s="418"/>
      <c r="AU1228" s="418"/>
      <c r="AV1228" s="418"/>
      <c r="AW1228" s="418"/>
      <c r="AX1228" s="418"/>
      <c r="AY1228" s="418"/>
      <c r="AZ1228" s="418"/>
      <c r="BA1228" s="418"/>
    </row>
    <row r="1229" spans="40:53" ht="15.75" customHeight="1">
      <c r="AN1229" s="418"/>
      <c r="AO1229" s="418"/>
      <c r="AP1229" s="418"/>
      <c r="AQ1229" s="418"/>
      <c r="AR1229" s="418"/>
      <c r="AS1229" s="418"/>
      <c r="AT1229" s="418"/>
      <c r="AU1229" s="418"/>
      <c r="AV1229" s="418"/>
      <c r="AW1229" s="418"/>
      <c r="AX1229" s="418"/>
      <c r="AY1229" s="418"/>
      <c r="AZ1229" s="418"/>
      <c r="BA1229" s="418"/>
    </row>
    <row r="1230" spans="40:53" ht="15.75" customHeight="1">
      <c r="AN1230" s="418"/>
      <c r="AO1230" s="418"/>
      <c r="AP1230" s="418"/>
      <c r="AQ1230" s="418"/>
      <c r="AR1230" s="418"/>
      <c r="AS1230" s="418"/>
      <c r="AT1230" s="418"/>
      <c r="AU1230" s="418"/>
      <c r="AV1230" s="418"/>
      <c r="AW1230" s="418"/>
      <c r="AX1230" s="418"/>
      <c r="AY1230" s="418"/>
      <c r="AZ1230" s="418"/>
      <c r="BA1230" s="418"/>
    </row>
    <row r="1231" spans="40:53" ht="15.75" customHeight="1">
      <c r="AN1231" s="418"/>
      <c r="AO1231" s="418"/>
      <c r="AP1231" s="418"/>
      <c r="AQ1231" s="418"/>
      <c r="AR1231" s="418"/>
      <c r="AS1231" s="418"/>
      <c r="AT1231" s="418"/>
      <c r="AU1231" s="418"/>
      <c r="AV1231" s="418"/>
      <c r="AW1231" s="418"/>
      <c r="AX1231" s="418"/>
      <c r="AY1231" s="418"/>
      <c r="AZ1231" s="418"/>
      <c r="BA1231" s="418"/>
    </row>
    <row r="1232" spans="40:53" ht="15.75" customHeight="1">
      <c r="AN1232" s="418"/>
      <c r="AO1232" s="418"/>
      <c r="AP1232" s="418"/>
      <c r="AQ1232" s="418"/>
      <c r="AR1232" s="418"/>
      <c r="AS1232" s="418"/>
      <c r="AT1232" s="418"/>
      <c r="AU1232" s="418"/>
      <c r="AV1232" s="418"/>
      <c r="AW1232" s="418"/>
      <c r="AX1232" s="418"/>
      <c r="AY1232" s="418"/>
      <c r="AZ1232" s="418"/>
      <c r="BA1232" s="418"/>
    </row>
    <row r="1233" spans="40:53" ht="15.75" customHeight="1">
      <c r="AN1233" s="418"/>
      <c r="AO1233" s="418"/>
      <c r="AP1233" s="418"/>
      <c r="AQ1233" s="418"/>
      <c r="AR1233" s="418"/>
      <c r="AS1233" s="418"/>
      <c r="AT1233" s="418"/>
      <c r="AU1233" s="418"/>
      <c r="AV1233" s="418"/>
      <c r="AW1233" s="418"/>
      <c r="AX1233" s="418"/>
      <c r="AY1233" s="418"/>
      <c r="AZ1233" s="418"/>
      <c r="BA1233" s="418"/>
    </row>
    <row r="1234" spans="40:53" ht="15.75" customHeight="1">
      <c r="AN1234" s="418"/>
      <c r="AO1234" s="418"/>
      <c r="AP1234" s="418"/>
      <c r="AQ1234" s="418"/>
      <c r="AR1234" s="418"/>
      <c r="AS1234" s="418"/>
      <c r="AT1234" s="418"/>
      <c r="AU1234" s="418"/>
      <c r="AV1234" s="418"/>
      <c r="AW1234" s="418"/>
      <c r="AX1234" s="418"/>
      <c r="AY1234" s="418"/>
      <c r="AZ1234" s="418"/>
      <c r="BA1234" s="418"/>
    </row>
    <row r="1235" spans="40:53" ht="15.75" customHeight="1">
      <c r="AN1235" s="418"/>
      <c r="AO1235" s="418"/>
      <c r="AP1235" s="418"/>
      <c r="AQ1235" s="418"/>
      <c r="AR1235" s="418"/>
      <c r="AS1235" s="418"/>
      <c r="AT1235" s="418"/>
      <c r="AU1235" s="418"/>
      <c r="AV1235" s="418"/>
      <c r="AW1235" s="418"/>
      <c r="AX1235" s="418"/>
      <c r="AY1235" s="418"/>
      <c r="AZ1235" s="418"/>
      <c r="BA1235" s="418"/>
    </row>
    <row r="1236" spans="40:53" ht="15.75" customHeight="1">
      <c r="AN1236" s="418"/>
      <c r="AO1236" s="418"/>
      <c r="AP1236" s="418"/>
      <c r="AQ1236" s="418"/>
      <c r="AR1236" s="418"/>
      <c r="AS1236" s="418"/>
      <c r="AT1236" s="418"/>
      <c r="AU1236" s="418"/>
      <c r="AV1236" s="418"/>
      <c r="AW1236" s="418"/>
      <c r="AX1236" s="418"/>
      <c r="AY1236" s="418"/>
      <c r="AZ1236" s="418"/>
      <c r="BA1236" s="418"/>
    </row>
    <row r="1237" spans="40:53" ht="15.75" customHeight="1">
      <c r="AN1237" s="418"/>
      <c r="AO1237" s="418"/>
      <c r="AP1237" s="418"/>
      <c r="AQ1237" s="418"/>
      <c r="AR1237" s="418"/>
      <c r="AS1237" s="418"/>
      <c r="AT1237" s="418"/>
      <c r="AU1237" s="418"/>
      <c r="AV1237" s="418"/>
      <c r="AW1237" s="418"/>
      <c r="AX1237" s="418"/>
      <c r="AY1237" s="418"/>
      <c r="AZ1237" s="418"/>
      <c r="BA1237" s="418"/>
    </row>
    <row r="1238" spans="40:53" ht="15.75" customHeight="1">
      <c r="AN1238" s="418"/>
      <c r="AO1238" s="418"/>
      <c r="AP1238" s="418"/>
      <c r="AQ1238" s="418"/>
      <c r="AR1238" s="418"/>
      <c r="AS1238" s="418"/>
      <c r="AT1238" s="418"/>
      <c r="AU1238" s="418"/>
      <c r="AV1238" s="418"/>
      <c r="AW1238" s="418"/>
      <c r="AX1238" s="418"/>
      <c r="AY1238" s="418"/>
      <c r="AZ1238" s="418"/>
      <c r="BA1238" s="418"/>
    </row>
    <row r="1239" spans="40:53" ht="15.75" customHeight="1">
      <c r="AN1239" s="418"/>
      <c r="AO1239" s="418"/>
      <c r="AP1239" s="418"/>
      <c r="AQ1239" s="418"/>
      <c r="AR1239" s="418"/>
      <c r="AS1239" s="418"/>
      <c r="AT1239" s="418"/>
      <c r="AU1239" s="418"/>
      <c r="AV1239" s="418"/>
      <c r="AW1239" s="418"/>
      <c r="AX1239" s="418"/>
      <c r="AY1239" s="418"/>
      <c r="AZ1239" s="418"/>
      <c r="BA1239" s="418"/>
    </row>
    <row r="1240" spans="40:53" ht="15.75" customHeight="1">
      <c r="AN1240" s="418"/>
      <c r="AO1240" s="418"/>
      <c r="AP1240" s="418"/>
      <c r="AQ1240" s="418"/>
      <c r="AR1240" s="418"/>
      <c r="AS1240" s="418"/>
      <c r="AT1240" s="418"/>
      <c r="AU1240" s="418"/>
      <c r="AV1240" s="418"/>
      <c r="AW1240" s="418"/>
      <c r="AX1240" s="418"/>
      <c r="AY1240" s="418"/>
      <c r="AZ1240" s="418"/>
      <c r="BA1240" s="418"/>
    </row>
    <row r="1241" spans="40:53" ht="15.75" customHeight="1">
      <c r="AN1241" s="418"/>
      <c r="AO1241" s="418"/>
      <c r="AP1241" s="418"/>
      <c r="AQ1241" s="418"/>
      <c r="AR1241" s="418"/>
      <c r="AS1241" s="418"/>
      <c r="AT1241" s="418"/>
      <c r="AU1241" s="418"/>
      <c r="AV1241" s="418"/>
      <c r="AW1241" s="418"/>
      <c r="AX1241" s="418"/>
      <c r="AY1241" s="418"/>
      <c r="AZ1241" s="418"/>
      <c r="BA1241" s="418"/>
    </row>
    <row r="1242" spans="40:53" ht="15.75" customHeight="1">
      <c r="AN1242" s="418"/>
      <c r="AO1242" s="418"/>
      <c r="AP1242" s="418"/>
      <c r="AQ1242" s="418"/>
      <c r="AR1242" s="418"/>
      <c r="AS1242" s="418"/>
      <c r="AT1242" s="418"/>
      <c r="AU1242" s="418"/>
      <c r="AV1242" s="418"/>
      <c r="AW1242" s="418"/>
      <c r="AX1242" s="418"/>
      <c r="AY1242" s="418"/>
      <c r="AZ1242" s="418"/>
      <c r="BA1242" s="418"/>
    </row>
    <row r="1243" spans="40:53" ht="15.75" customHeight="1">
      <c r="AN1243" s="418"/>
      <c r="AO1243" s="418"/>
      <c r="AP1243" s="418"/>
      <c r="AQ1243" s="418"/>
      <c r="AR1243" s="418"/>
      <c r="AS1243" s="418"/>
      <c r="AT1243" s="418"/>
      <c r="AU1243" s="418"/>
      <c r="AV1243" s="418"/>
      <c r="AW1243" s="418"/>
      <c r="AX1243" s="418"/>
      <c r="AY1243" s="418"/>
      <c r="AZ1243" s="418"/>
      <c r="BA1243" s="418"/>
    </row>
    <row r="1244" spans="40:53" ht="15.75" customHeight="1">
      <c r="AN1244" s="418"/>
      <c r="AO1244" s="418"/>
      <c r="AP1244" s="418"/>
      <c r="AQ1244" s="418"/>
      <c r="AR1244" s="418"/>
      <c r="AS1244" s="418"/>
      <c r="AT1244" s="418"/>
      <c r="AU1244" s="418"/>
      <c r="AV1244" s="418"/>
      <c r="AW1244" s="418"/>
      <c r="AX1244" s="418"/>
      <c r="AY1244" s="418"/>
      <c r="AZ1244" s="418"/>
      <c r="BA1244" s="418"/>
    </row>
    <row r="1245" spans="40:53" ht="15.75" customHeight="1">
      <c r="AN1245" s="418"/>
      <c r="AO1245" s="418"/>
      <c r="AP1245" s="418"/>
      <c r="AQ1245" s="418"/>
      <c r="AR1245" s="418"/>
      <c r="AS1245" s="418"/>
      <c r="AT1245" s="418"/>
      <c r="AU1245" s="418"/>
      <c r="AV1245" s="418"/>
      <c r="AW1245" s="418"/>
      <c r="AX1245" s="418"/>
      <c r="AY1245" s="418"/>
      <c r="AZ1245" s="418"/>
      <c r="BA1245" s="418"/>
    </row>
    <row r="1246" spans="40:53" ht="15.75" customHeight="1">
      <c r="AN1246" s="418"/>
      <c r="AO1246" s="418"/>
      <c r="AP1246" s="418"/>
      <c r="AQ1246" s="418"/>
      <c r="AR1246" s="418"/>
      <c r="AS1246" s="418"/>
      <c r="AT1246" s="418"/>
      <c r="AU1246" s="418"/>
      <c r="AV1246" s="418"/>
      <c r="AW1246" s="418"/>
      <c r="AX1246" s="418"/>
      <c r="AY1246" s="418"/>
      <c r="AZ1246" s="418"/>
      <c r="BA1246" s="418"/>
    </row>
    <row r="1247" spans="40:53" ht="15.75" customHeight="1">
      <c r="AN1247" s="418"/>
      <c r="AO1247" s="418"/>
      <c r="AP1247" s="418"/>
      <c r="AQ1247" s="418"/>
      <c r="AR1247" s="418"/>
      <c r="AS1247" s="418"/>
      <c r="AT1247" s="418"/>
      <c r="AU1247" s="418"/>
      <c r="AV1247" s="418"/>
      <c r="AW1247" s="418"/>
      <c r="AX1247" s="418"/>
      <c r="AY1247" s="418"/>
      <c r="AZ1247" s="418"/>
      <c r="BA1247" s="418"/>
    </row>
    <row r="1248" spans="40:53" ht="15.75" customHeight="1">
      <c r="AN1248" s="418"/>
      <c r="AO1248" s="418"/>
      <c r="AP1248" s="418"/>
      <c r="AQ1248" s="418"/>
      <c r="AR1248" s="418"/>
      <c r="AS1248" s="418"/>
      <c r="AT1248" s="418"/>
      <c r="AU1248" s="418"/>
      <c r="AV1248" s="418"/>
      <c r="AW1248" s="418"/>
      <c r="AX1248" s="418"/>
      <c r="AY1248" s="418"/>
      <c r="AZ1248" s="418"/>
      <c r="BA1248" s="418"/>
    </row>
    <row r="1249" spans="40:53" ht="15.75" customHeight="1">
      <c r="AN1249" s="418"/>
      <c r="AO1249" s="418"/>
      <c r="AP1249" s="418"/>
      <c r="AQ1249" s="418"/>
      <c r="AR1249" s="418"/>
      <c r="AS1249" s="418"/>
      <c r="AT1249" s="418"/>
      <c r="AU1249" s="418"/>
      <c r="AV1249" s="418"/>
      <c r="AW1249" s="418"/>
      <c r="AX1249" s="418"/>
      <c r="AY1249" s="418"/>
      <c r="AZ1249" s="418"/>
      <c r="BA1249" s="418"/>
    </row>
    <row r="1250" spans="40:53" ht="15.75" customHeight="1">
      <c r="AN1250" s="418"/>
      <c r="AO1250" s="418"/>
      <c r="AP1250" s="418"/>
      <c r="AQ1250" s="418"/>
      <c r="AR1250" s="418"/>
      <c r="AS1250" s="418"/>
      <c r="AT1250" s="418"/>
      <c r="AU1250" s="418"/>
      <c r="AV1250" s="418"/>
      <c r="AW1250" s="418"/>
      <c r="AX1250" s="418"/>
      <c r="AY1250" s="418"/>
      <c r="AZ1250" s="418"/>
      <c r="BA1250" s="418"/>
    </row>
    <row r="1251" spans="40:53" ht="15.75" customHeight="1">
      <c r="AN1251" s="418"/>
      <c r="AO1251" s="418"/>
      <c r="AP1251" s="418"/>
      <c r="AQ1251" s="418"/>
      <c r="AR1251" s="418"/>
      <c r="AS1251" s="418"/>
      <c r="AT1251" s="418"/>
      <c r="AU1251" s="418"/>
      <c r="AV1251" s="418"/>
      <c r="AW1251" s="418"/>
      <c r="AX1251" s="418"/>
      <c r="AY1251" s="418"/>
      <c r="AZ1251" s="418"/>
      <c r="BA1251" s="418"/>
    </row>
    <row r="1252" spans="40:53" ht="15.75" customHeight="1">
      <c r="AN1252" s="418"/>
      <c r="AO1252" s="418"/>
      <c r="AP1252" s="418"/>
      <c r="AQ1252" s="418"/>
      <c r="AR1252" s="418"/>
      <c r="AS1252" s="418"/>
      <c r="AT1252" s="418"/>
      <c r="AU1252" s="418"/>
      <c r="AV1252" s="418"/>
      <c r="AW1252" s="418"/>
      <c r="AX1252" s="418"/>
      <c r="AY1252" s="418"/>
      <c r="AZ1252" s="418"/>
      <c r="BA1252" s="418"/>
    </row>
    <row r="1253" spans="40:53" ht="15.75" customHeight="1">
      <c r="AN1253" s="418"/>
      <c r="AO1253" s="418"/>
      <c r="AP1253" s="418"/>
      <c r="AQ1253" s="418"/>
      <c r="AR1253" s="418"/>
      <c r="AS1253" s="418"/>
      <c r="AT1253" s="418"/>
      <c r="AU1253" s="418"/>
      <c r="AV1253" s="418"/>
      <c r="AW1253" s="418"/>
      <c r="AX1253" s="418"/>
      <c r="AY1253" s="418"/>
      <c r="AZ1253" s="418"/>
      <c r="BA1253" s="418"/>
    </row>
    <row r="1254" spans="40:53" ht="15.75" customHeight="1">
      <c r="AN1254" s="418"/>
      <c r="AO1254" s="418"/>
      <c r="AP1254" s="418"/>
      <c r="AQ1254" s="418"/>
      <c r="AR1254" s="418"/>
      <c r="AS1254" s="418"/>
      <c r="AT1254" s="418"/>
      <c r="AU1254" s="418"/>
      <c r="AV1254" s="418"/>
      <c r="AW1254" s="418"/>
      <c r="AX1254" s="418"/>
      <c r="AY1254" s="418"/>
      <c r="AZ1254" s="418"/>
      <c r="BA1254" s="418"/>
    </row>
    <row r="1255" spans="40:53" ht="15.75" customHeight="1">
      <c r="AN1255" s="418"/>
      <c r="AO1255" s="418"/>
      <c r="AP1255" s="418"/>
      <c r="AQ1255" s="418"/>
      <c r="AR1255" s="418"/>
      <c r="AS1255" s="418"/>
      <c r="AT1255" s="418"/>
      <c r="AU1255" s="418"/>
      <c r="AV1255" s="418"/>
      <c r="AW1255" s="418"/>
      <c r="AX1255" s="418"/>
      <c r="AY1255" s="418"/>
      <c r="AZ1255" s="418"/>
      <c r="BA1255" s="418"/>
    </row>
    <row r="1256" spans="40:53" ht="15.75" customHeight="1">
      <c r="AN1256" s="418"/>
      <c r="AO1256" s="418"/>
      <c r="AP1256" s="418"/>
      <c r="AQ1256" s="418"/>
      <c r="AR1256" s="418"/>
      <c r="AS1256" s="418"/>
      <c r="AT1256" s="418"/>
      <c r="AU1256" s="418"/>
      <c r="AV1256" s="418"/>
      <c r="AW1256" s="418"/>
      <c r="AX1256" s="418"/>
      <c r="AY1256" s="418"/>
      <c r="AZ1256" s="418"/>
      <c r="BA1256" s="418"/>
    </row>
    <row r="1257" spans="40:53" ht="15.75" customHeight="1">
      <c r="AN1257" s="418"/>
      <c r="AO1257" s="418"/>
      <c r="AP1257" s="418"/>
      <c r="AQ1257" s="418"/>
      <c r="AR1257" s="418"/>
      <c r="AS1257" s="418"/>
      <c r="AT1257" s="418"/>
      <c r="AU1257" s="418"/>
      <c r="AV1257" s="418"/>
      <c r="AW1257" s="418"/>
      <c r="AX1257" s="418"/>
      <c r="AY1257" s="418"/>
      <c r="AZ1257" s="418"/>
      <c r="BA1257" s="418"/>
    </row>
    <row r="1258" spans="40:53" ht="15.75" customHeight="1">
      <c r="AN1258" s="418"/>
      <c r="AO1258" s="418"/>
      <c r="AP1258" s="418"/>
      <c r="AQ1258" s="418"/>
      <c r="AR1258" s="418"/>
      <c r="AS1258" s="418"/>
      <c r="AT1258" s="418"/>
      <c r="AU1258" s="418"/>
      <c r="AV1258" s="418"/>
      <c r="AW1258" s="418"/>
      <c r="AX1258" s="418"/>
      <c r="AY1258" s="418"/>
      <c r="AZ1258" s="418"/>
      <c r="BA1258" s="418"/>
    </row>
    <row r="1259" spans="40:53" ht="15.75" customHeight="1">
      <c r="AN1259" s="418"/>
      <c r="AO1259" s="418"/>
      <c r="AP1259" s="418"/>
      <c r="AQ1259" s="418"/>
      <c r="AR1259" s="418"/>
      <c r="AS1259" s="418"/>
      <c r="AT1259" s="418"/>
      <c r="AU1259" s="418"/>
      <c r="AV1259" s="418"/>
      <c r="AW1259" s="418"/>
      <c r="AX1259" s="418"/>
      <c r="AY1259" s="418"/>
      <c r="AZ1259" s="418"/>
      <c r="BA1259" s="418"/>
    </row>
    <row r="1260" spans="40:53" ht="15.75" customHeight="1">
      <c r="AN1260" s="418"/>
      <c r="AO1260" s="418"/>
      <c r="AP1260" s="418"/>
      <c r="AQ1260" s="418"/>
      <c r="AR1260" s="418"/>
      <c r="AS1260" s="418"/>
      <c r="AT1260" s="418"/>
      <c r="AU1260" s="418"/>
      <c r="AV1260" s="418"/>
      <c r="AW1260" s="418"/>
      <c r="AX1260" s="418"/>
      <c r="AY1260" s="418"/>
      <c r="AZ1260" s="418"/>
      <c r="BA1260" s="418"/>
    </row>
    <row r="1261" spans="40:53" ht="15.75" customHeight="1">
      <c r="AN1261" s="418"/>
      <c r="AO1261" s="418"/>
      <c r="AP1261" s="418"/>
      <c r="AQ1261" s="418"/>
      <c r="AR1261" s="418"/>
      <c r="AS1261" s="418"/>
      <c r="AT1261" s="418"/>
      <c r="AU1261" s="418"/>
      <c r="AV1261" s="418"/>
      <c r="AW1261" s="418"/>
      <c r="AX1261" s="418"/>
      <c r="AY1261" s="418"/>
      <c r="AZ1261" s="418"/>
      <c r="BA1261" s="418"/>
    </row>
    <row r="1262" spans="40:53" ht="15.75" customHeight="1">
      <c r="AN1262" s="418"/>
      <c r="AO1262" s="418"/>
      <c r="AP1262" s="418"/>
      <c r="AQ1262" s="418"/>
      <c r="AR1262" s="418"/>
      <c r="AS1262" s="418"/>
      <c r="AT1262" s="418"/>
      <c r="AU1262" s="418"/>
      <c r="AV1262" s="418"/>
      <c r="AW1262" s="418"/>
      <c r="AX1262" s="418"/>
      <c r="AY1262" s="418"/>
      <c r="AZ1262" s="418"/>
      <c r="BA1262" s="418"/>
    </row>
    <row r="1263" spans="40:53" ht="15.75" customHeight="1">
      <c r="AN1263" s="418"/>
      <c r="AO1263" s="418"/>
      <c r="AP1263" s="418"/>
      <c r="AQ1263" s="418"/>
      <c r="AR1263" s="418"/>
      <c r="AS1263" s="418"/>
      <c r="AT1263" s="418"/>
      <c r="AU1263" s="418"/>
      <c r="AV1263" s="418"/>
      <c r="AW1263" s="418"/>
      <c r="AX1263" s="418"/>
      <c r="AY1263" s="418"/>
      <c r="AZ1263" s="418"/>
      <c r="BA1263" s="418"/>
    </row>
    <row r="1264" spans="40:53" ht="15.75" customHeight="1">
      <c r="AN1264" s="418"/>
      <c r="AO1264" s="418"/>
      <c r="AP1264" s="418"/>
      <c r="AQ1264" s="418"/>
      <c r="AR1264" s="418"/>
      <c r="AS1264" s="418"/>
      <c r="AT1264" s="418"/>
      <c r="AU1264" s="418"/>
      <c r="AV1264" s="418"/>
      <c r="AW1264" s="418"/>
      <c r="AX1264" s="418"/>
      <c r="AY1264" s="418"/>
      <c r="AZ1264" s="418"/>
      <c r="BA1264" s="418"/>
    </row>
    <row r="1265" spans="40:53" ht="15.75" customHeight="1">
      <c r="AN1265" s="418"/>
      <c r="AO1265" s="418"/>
      <c r="AP1265" s="418"/>
      <c r="AQ1265" s="418"/>
      <c r="AR1265" s="418"/>
      <c r="AS1265" s="418"/>
      <c r="AT1265" s="418"/>
      <c r="AU1265" s="418"/>
      <c r="AV1265" s="418"/>
      <c r="AW1265" s="418"/>
      <c r="AX1265" s="418"/>
      <c r="AY1265" s="418"/>
      <c r="AZ1265" s="418"/>
      <c r="BA1265" s="418"/>
    </row>
    <row r="1266" spans="40:53" ht="15.75" customHeight="1">
      <c r="AN1266" s="418"/>
      <c r="AO1266" s="418"/>
      <c r="AP1266" s="418"/>
      <c r="AQ1266" s="418"/>
      <c r="AR1266" s="418"/>
      <c r="AS1266" s="418"/>
      <c r="AT1266" s="418"/>
      <c r="AU1266" s="418"/>
      <c r="AV1266" s="418"/>
      <c r="AW1266" s="418"/>
      <c r="AX1266" s="418"/>
      <c r="AY1266" s="418"/>
      <c r="AZ1266" s="418"/>
      <c r="BA1266" s="418"/>
    </row>
    <row r="1267" spans="40:53" ht="15.75" customHeight="1">
      <c r="AN1267" s="418"/>
      <c r="AO1267" s="418"/>
      <c r="AP1267" s="418"/>
      <c r="AQ1267" s="418"/>
      <c r="AR1267" s="418"/>
      <c r="AS1267" s="418"/>
      <c r="AT1267" s="418"/>
      <c r="AU1267" s="418"/>
      <c r="AV1267" s="418"/>
      <c r="AW1267" s="418"/>
      <c r="AX1267" s="418"/>
      <c r="AY1267" s="418"/>
      <c r="AZ1267" s="418"/>
      <c r="BA1267" s="418"/>
    </row>
    <row r="1268" spans="40:53" ht="15.75" customHeight="1">
      <c r="AN1268" s="418"/>
      <c r="AO1268" s="418"/>
      <c r="AP1268" s="418"/>
      <c r="AQ1268" s="418"/>
      <c r="AR1268" s="418"/>
      <c r="AS1268" s="418"/>
      <c r="AT1268" s="418"/>
      <c r="AU1268" s="418"/>
      <c r="AV1268" s="418"/>
      <c r="AW1268" s="418"/>
      <c r="AX1268" s="418"/>
      <c r="AY1268" s="418"/>
      <c r="AZ1268" s="418"/>
      <c r="BA1268" s="418"/>
    </row>
    <row r="1269" spans="40:53" ht="15.75" customHeight="1">
      <c r="AN1269" s="418"/>
      <c r="AO1269" s="418"/>
      <c r="AP1269" s="418"/>
      <c r="AQ1269" s="418"/>
      <c r="AR1269" s="418"/>
      <c r="AS1269" s="418"/>
      <c r="AT1269" s="418"/>
      <c r="AU1269" s="418"/>
      <c r="AV1269" s="418"/>
      <c r="AW1269" s="418"/>
      <c r="AX1269" s="418"/>
      <c r="AY1269" s="418"/>
      <c r="AZ1269" s="418"/>
      <c r="BA1269" s="418"/>
    </row>
    <row r="1270" spans="40:53" ht="15.75" customHeight="1">
      <c r="AN1270" s="418"/>
      <c r="AO1270" s="418"/>
      <c r="AP1270" s="418"/>
      <c r="AQ1270" s="418"/>
      <c r="AR1270" s="418"/>
      <c r="AS1270" s="418"/>
      <c r="AT1270" s="418"/>
      <c r="AU1270" s="418"/>
      <c r="AV1270" s="418"/>
      <c r="AW1270" s="418"/>
      <c r="AX1270" s="418"/>
      <c r="AY1270" s="418"/>
      <c r="AZ1270" s="418"/>
      <c r="BA1270" s="418"/>
    </row>
    <row r="1271" spans="40:53" ht="15.75" customHeight="1">
      <c r="AN1271" s="418"/>
      <c r="AO1271" s="418"/>
      <c r="AP1271" s="418"/>
      <c r="AQ1271" s="418"/>
      <c r="AR1271" s="418"/>
      <c r="AS1271" s="418"/>
      <c r="AT1271" s="418"/>
      <c r="AU1271" s="418"/>
      <c r="AV1271" s="418"/>
      <c r="AW1271" s="418"/>
      <c r="AX1271" s="418"/>
      <c r="AY1271" s="418"/>
      <c r="AZ1271" s="418"/>
      <c r="BA1271" s="418"/>
    </row>
    <row r="1272" spans="40:53" ht="15.75" customHeight="1">
      <c r="AN1272" s="418"/>
      <c r="AO1272" s="418"/>
      <c r="AP1272" s="418"/>
      <c r="AQ1272" s="418"/>
      <c r="AR1272" s="418"/>
      <c r="AS1272" s="418"/>
      <c r="AT1272" s="418"/>
      <c r="AU1272" s="418"/>
      <c r="AV1272" s="418"/>
      <c r="AW1272" s="418"/>
      <c r="AX1272" s="418"/>
      <c r="AY1272" s="418"/>
      <c r="AZ1272" s="418"/>
      <c r="BA1272" s="418"/>
    </row>
    <row r="1273" spans="40:53" ht="15.75" customHeight="1">
      <c r="AN1273" s="418"/>
      <c r="AO1273" s="418"/>
      <c r="AP1273" s="418"/>
      <c r="AQ1273" s="418"/>
      <c r="AR1273" s="418"/>
      <c r="AS1273" s="418"/>
      <c r="AT1273" s="418"/>
      <c r="AU1273" s="418"/>
      <c r="AV1273" s="418"/>
      <c r="AW1273" s="418"/>
      <c r="AX1273" s="418"/>
      <c r="AY1273" s="418"/>
      <c r="AZ1273" s="418"/>
      <c r="BA1273" s="418"/>
    </row>
    <row r="1274" spans="40:53" ht="15.75" customHeight="1">
      <c r="AN1274" s="418"/>
      <c r="AO1274" s="418"/>
      <c r="AP1274" s="418"/>
      <c r="AQ1274" s="418"/>
      <c r="AR1274" s="418"/>
      <c r="AS1274" s="418"/>
      <c r="AT1274" s="418"/>
      <c r="AU1274" s="418"/>
      <c r="AV1274" s="418"/>
      <c r="AW1274" s="418"/>
      <c r="AX1274" s="418"/>
      <c r="AY1274" s="418"/>
      <c r="AZ1274" s="418"/>
      <c r="BA1274" s="418"/>
    </row>
    <row r="1275" spans="40:53" ht="15.75" customHeight="1">
      <c r="AN1275" s="418"/>
      <c r="AO1275" s="418"/>
      <c r="AP1275" s="418"/>
      <c r="AQ1275" s="418"/>
      <c r="AR1275" s="418"/>
      <c r="AS1275" s="418"/>
      <c r="AT1275" s="418"/>
      <c r="AU1275" s="418"/>
      <c r="AV1275" s="418"/>
      <c r="AW1275" s="418"/>
      <c r="AX1275" s="418"/>
      <c r="AY1275" s="418"/>
      <c r="AZ1275" s="418"/>
      <c r="BA1275" s="418"/>
    </row>
    <row r="1276" spans="40:53" ht="15.75" customHeight="1">
      <c r="AN1276" s="418"/>
      <c r="AO1276" s="418"/>
      <c r="AP1276" s="418"/>
      <c r="AQ1276" s="418"/>
      <c r="AR1276" s="418"/>
      <c r="AS1276" s="418"/>
      <c r="AT1276" s="418"/>
      <c r="AU1276" s="418"/>
      <c r="AV1276" s="418"/>
      <c r="AW1276" s="418"/>
      <c r="AX1276" s="418"/>
      <c r="AY1276" s="418"/>
      <c r="AZ1276" s="418"/>
      <c r="BA1276" s="418"/>
    </row>
    <row r="1277" spans="40:53" ht="15.75" customHeight="1">
      <c r="AN1277" s="418"/>
      <c r="AO1277" s="418"/>
      <c r="AP1277" s="418"/>
      <c r="AQ1277" s="418"/>
      <c r="AR1277" s="418"/>
      <c r="AS1277" s="418"/>
      <c r="AT1277" s="418"/>
      <c r="AU1277" s="418"/>
      <c r="AV1277" s="418"/>
      <c r="AW1277" s="418"/>
      <c r="AX1277" s="418"/>
      <c r="AY1277" s="418"/>
      <c r="AZ1277" s="418"/>
      <c r="BA1277" s="418"/>
    </row>
    <row r="1278" spans="40:53" ht="15.75" customHeight="1">
      <c r="AN1278" s="418"/>
      <c r="AO1278" s="418"/>
      <c r="AP1278" s="418"/>
      <c r="AQ1278" s="418"/>
      <c r="AR1278" s="418"/>
      <c r="AS1278" s="418"/>
      <c r="AT1278" s="418"/>
      <c r="AU1278" s="418"/>
      <c r="AV1278" s="418"/>
      <c r="AW1278" s="418"/>
      <c r="AX1278" s="418"/>
      <c r="AY1278" s="418"/>
      <c r="AZ1278" s="418"/>
      <c r="BA1278" s="418"/>
    </row>
    <row r="1279" spans="40:53" ht="15.75" customHeight="1">
      <c r="AN1279" s="418"/>
      <c r="AO1279" s="418"/>
      <c r="AP1279" s="418"/>
      <c r="AQ1279" s="418"/>
      <c r="AR1279" s="418"/>
      <c r="AS1279" s="418"/>
      <c r="AT1279" s="418"/>
      <c r="AU1279" s="418"/>
      <c r="AV1279" s="418"/>
      <c r="AW1279" s="418"/>
      <c r="AX1279" s="418"/>
      <c r="AY1279" s="418"/>
      <c r="AZ1279" s="418"/>
      <c r="BA1279" s="418"/>
    </row>
    <row r="1280" spans="40:53" ht="15.75" customHeight="1">
      <c r="AN1280" s="418"/>
      <c r="AO1280" s="418"/>
      <c r="AP1280" s="418"/>
      <c r="AQ1280" s="418"/>
      <c r="AR1280" s="418"/>
      <c r="AS1280" s="418"/>
      <c r="AT1280" s="418"/>
      <c r="AU1280" s="418"/>
      <c r="AV1280" s="418"/>
      <c r="AW1280" s="418"/>
      <c r="AX1280" s="418"/>
      <c r="AY1280" s="418"/>
      <c r="AZ1280" s="418"/>
      <c r="BA1280" s="418"/>
    </row>
    <row r="1281" spans="40:53" ht="15.75" customHeight="1">
      <c r="AN1281" s="418"/>
      <c r="AO1281" s="418"/>
      <c r="AP1281" s="418"/>
      <c r="AQ1281" s="418"/>
      <c r="AR1281" s="418"/>
      <c r="AS1281" s="418"/>
      <c r="AT1281" s="418"/>
      <c r="AU1281" s="418"/>
      <c r="AV1281" s="418"/>
      <c r="AW1281" s="418"/>
      <c r="AX1281" s="418"/>
      <c r="AY1281" s="418"/>
      <c r="AZ1281" s="418"/>
      <c r="BA1281" s="418"/>
    </row>
    <row r="1282" spans="40:53" ht="15.75" customHeight="1">
      <c r="AN1282" s="418"/>
      <c r="AO1282" s="418"/>
      <c r="AP1282" s="418"/>
      <c r="AQ1282" s="418"/>
      <c r="AR1282" s="418"/>
      <c r="AS1282" s="418"/>
      <c r="AT1282" s="418"/>
      <c r="AU1282" s="418"/>
      <c r="AV1282" s="418"/>
      <c r="AW1282" s="418"/>
      <c r="AX1282" s="418"/>
      <c r="AY1282" s="418"/>
      <c r="AZ1282" s="418"/>
      <c r="BA1282" s="418"/>
    </row>
    <row r="1283" spans="40:53" ht="15.75" customHeight="1">
      <c r="AN1283" s="418"/>
      <c r="AO1283" s="418"/>
      <c r="AP1283" s="418"/>
      <c r="AQ1283" s="418"/>
      <c r="AR1283" s="418"/>
      <c r="AS1283" s="418"/>
      <c r="AT1283" s="418"/>
      <c r="AU1283" s="418"/>
      <c r="AV1283" s="418"/>
      <c r="AW1283" s="418"/>
      <c r="AX1283" s="418"/>
      <c r="AY1283" s="418"/>
      <c r="AZ1283" s="418"/>
      <c r="BA1283" s="418"/>
    </row>
    <row r="1284" spans="40:53" ht="15.75" customHeight="1">
      <c r="AN1284" s="418"/>
      <c r="AO1284" s="418"/>
      <c r="AP1284" s="418"/>
      <c r="AQ1284" s="418"/>
      <c r="AR1284" s="418"/>
      <c r="AS1284" s="418"/>
      <c r="AT1284" s="418"/>
      <c r="AU1284" s="418"/>
      <c r="AV1284" s="418"/>
      <c r="AW1284" s="418"/>
      <c r="AX1284" s="418"/>
      <c r="AY1284" s="418"/>
      <c r="AZ1284" s="418"/>
      <c r="BA1284" s="418"/>
    </row>
    <row r="1285" spans="40:53" ht="15.75" customHeight="1">
      <c r="AN1285" s="418"/>
      <c r="AO1285" s="418"/>
      <c r="AP1285" s="418"/>
      <c r="AQ1285" s="418"/>
      <c r="AR1285" s="418"/>
      <c r="AS1285" s="418"/>
      <c r="AT1285" s="418"/>
      <c r="AU1285" s="418"/>
      <c r="AV1285" s="418"/>
      <c r="AW1285" s="418"/>
      <c r="AX1285" s="418"/>
      <c r="AY1285" s="418"/>
      <c r="AZ1285" s="418"/>
      <c r="BA1285" s="418"/>
    </row>
    <row r="1286" spans="40:53" ht="15.75" customHeight="1">
      <c r="AN1286" s="418"/>
      <c r="AO1286" s="418"/>
      <c r="AP1286" s="418"/>
      <c r="AQ1286" s="418"/>
      <c r="AR1286" s="418"/>
      <c r="AS1286" s="418"/>
      <c r="AT1286" s="418"/>
      <c r="AU1286" s="418"/>
      <c r="AV1286" s="418"/>
      <c r="AW1286" s="418"/>
      <c r="AX1286" s="418"/>
      <c r="AY1286" s="418"/>
      <c r="AZ1286" s="418"/>
      <c r="BA1286" s="418"/>
    </row>
    <row r="1287" spans="40:53" ht="15.75" customHeight="1">
      <c r="AN1287" s="418"/>
      <c r="AO1287" s="418"/>
      <c r="AP1287" s="418"/>
      <c r="AQ1287" s="418"/>
      <c r="AR1287" s="418"/>
      <c r="AS1287" s="418"/>
      <c r="AT1287" s="418"/>
      <c r="AU1287" s="418"/>
      <c r="AV1287" s="418"/>
      <c r="AW1287" s="418"/>
      <c r="AX1287" s="418"/>
      <c r="AY1287" s="418"/>
      <c r="AZ1287" s="418"/>
      <c r="BA1287" s="418"/>
    </row>
    <row r="1288" spans="40:53" ht="15.75" customHeight="1">
      <c r="AN1288" s="418"/>
      <c r="AO1288" s="418"/>
      <c r="AP1288" s="418"/>
      <c r="AQ1288" s="418"/>
      <c r="AR1288" s="418"/>
      <c r="AS1288" s="418"/>
      <c r="AT1288" s="418"/>
      <c r="AU1288" s="418"/>
      <c r="AV1288" s="418"/>
      <c r="AW1288" s="418"/>
      <c r="AX1288" s="418"/>
      <c r="AY1288" s="418"/>
      <c r="AZ1288" s="418"/>
      <c r="BA1288" s="418"/>
    </row>
    <row r="1289" spans="40:53" ht="15.75" customHeight="1">
      <c r="AN1289" s="418"/>
      <c r="AO1289" s="418"/>
      <c r="AP1289" s="418"/>
      <c r="AQ1289" s="418"/>
      <c r="AR1289" s="418"/>
      <c r="AS1289" s="418"/>
      <c r="AT1289" s="418"/>
      <c r="AU1289" s="418"/>
      <c r="AV1289" s="418"/>
      <c r="AW1289" s="418"/>
      <c r="AX1289" s="418"/>
      <c r="AY1289" s="418"/>
      <c r="AZ1289" s="418"/>
      <c r="BA1289" s="418"/>
    </row>
    <row r="1290" spans="40:53" ht="15.75" customHeight="1">
      <c r="AN1290" s="418"/>
      <c r="AO1290" s="418"/>
      <c r="AP1290" s="418"/>
      <c r="AQ1290" s="418"/>
      <c r="AR1290" s="418"/>
      <c r="AS1290" s="418"/>
      <c r="AT1290" s="418"/>
      <c r="AU1290" s="418"/>
      <c r="AV1290" s="418"/>
      <c r="AW1290" s="418"/>
      <c r="AX1290" s="418"/>
      <c r="AY1290" s="418"/>
      <c r="AZ1290" s="418"/>
      <c r="BA1290" s="418"/>
    </row>
    <row r="1291" spans="40:53" ht="15.75" customHeight="1">
      <c r="AN1291" s="418"/>
      <c r="AO1291" s="418"/>
      <c r="AP1291" s="418"/>
      <c r="AQ1291" s="418"/>
      <c r="AR1291" s="418"/>
      <c r="AS1291" s="418"/>
      <c r="AT1291" s="418"/>
      <c r="AU1291" s="418"/>
      <c r="AV1291" s="418"/>
      <c r="AW1291" s="418"/>
      <c r="AX1291" s="418"/>
      <c r="AY1291" s="418"/>
      <c r="AZ1291" s="418"/>
      <c r="BA1291" s="418"/>
    </row>
    <row r="1292" spans="40:53" ht="15.75" customHeight="1">
      <c r="AN1292" s="418"/>
      <c r="AO1292" s="418"/>
      <c r="AP1292" s="418"/>
      <c r="AQ1292" s="418"/>
      <c r="AR1292" s="418"/>
      <c r="AS1292" s="418"/>
      <c r="AT1292" s="418"/>
      <c r="AU1292" s="418"/>
      <c r="AV1292" s="418"/>
      <c r="AW1292" s="418"/>
      <c r="AX1292" s="418"/>
      <c r="AY1292" s="418"/>
      <c r="AZ1292" s="418"/>
      <c r="BA1292" s="418"/>
    </row>
    <row r="1293" spans="40:53" ht="15.75" customHeight="1">
      <c r="AN1293" s="418"/>
      <c r="AO1293" s="418"/>
      <c r="AP1293" s="418"/>
      <c r="AQ1293" s="418"/>
      <c r="AR1293" s="418"/>
      <c r="AS1293" s="418"/>
      <c r="AT1293" s="418"/>
      <c r="AU1293" s="418"/>
      <c r="AV1293" s="418"/>
      <c r="AW1293" s="418"/>
      <c r="AX1293" s="418"/>
      <c r="AY1293" s="418"/>
      <c r="AZ1293" s="418"/>
      <c r="BA1293" s="418"/>
    </row>
    <row r="1294" spans="40:53" ht="15.75" customHeight="1">
      <c r="AN1294" s="418"/>
      <c r="AO1294" s="418"/>
      <c r="AP1294" s="418"/>
      <c r="AQ1294" s="418"/>
      <c r="AR1294" s="418"/>
      <c r="AS1294" s="418"/>
      <c r="AT1294" s="418"/>
      <c r="AU1294" s="418"/>
      <c r="AV1294" s="418"/>
      <c r="AW1294" s="418"/>
      <c r="AX1294" s="418"/>
      <c r="AY1294" s="418"/>
      <c r="AZ1294" s="418"/>
      <c r="BA1294" s="418"/>
    </row>
    <row r="1295" spans="40:53" ht="15.75" customHeight="1">
      <c r="AN1295" s="418"/>
      <c r="AO1295" s="418"/>
      <c r="AP1295" s="418"/>
      <c r="AQ1295" s="418"/>
      <c r="AR1295" s="418"/>
      <c r="AS1295" s="418"/>
      <c r="AT1295" s="418"/>
      <c r="AU1295" s="418"/>
      <c r="AV1295" s="418"/>
      <c r="AW1295" s="418"/>
      <c r="AX1295" s="418"/>
      <c r="AY1295" s="418"/>
      <c r="AZ1295" s="418"/>
      <c r="BA1295" s="418"/>
    </row>
    <row r="1296" spans="40:53" ht="15.75" customHeight="1">
      <c r="AN1296" s="418"/>
      <c r="AO1296" s="418"/>
      <c r="AP1296" s="418"/>
      <c r="AQ1296" s="418"/>
      <c r="AR1296" s="418"/>
      <c r="AS1296" s="418"/>
      <c r="AT1296" s="418"/>
      <c r="AU1296" s="418"/>
      <c r="AV1296" s="418"/>
      <c r="AW1296" s="418"/>
      <c r="AX1296" s="418"/>
      <c r="AY1296" s="418"/>
      <c r="AZ1296" s="418"/>
      <c r="BA1296" s="418"/>
    </row>
    <row r="1297" spans="40:53" ht="15.75" customHeight="1">
      <c r="AN1297" s="418"/>
      <c r="AO1297" s="418"/>
      <c r="AP1297" s="418"/>
      <c r="AQ1297" s="418"/>
      <c r="AR1297" s="418"/>
      <c r="AS1297" s="418"/>
      <c r="AT1297" s="418"/>
      <c r="AU1297" s="418"/>
      <c r="AV1297" s="418"/>
      <c r="AW1297" s="418"/>
      <c r="AX1297" s="418"/>
      <c r="AY1297" s="418"/>
      <c r="AZ1297" s="418"/>
      <c r="BA1297" s="418"/>
    </row>
    <row r="1298" spans="40:53" ht="15.75" customHeight="1">
      <c r="AN1298" s="418"/>
      <c r="AO1298" s="418"/>
      <c r="AP1298" s="418"/>
      <c r="AQ1298" s="418"/>
      <c r="AR1298" s="418"/>
      <c r="AS1298" s="418"/>
      <c r="AT1298" s="418"/>
      <c r="AU1298" s="418"/>
      <c r="AV1298" s="418"/>
      <c r="AW1298" s="418"/>
      <c r="AX1298" s="418"/>
      <c r="AY1298" s="418"/>
      <c r="AZ1298" s="418"/>
      <c r="BA1298" s="418"/>
    </row>
    <row r="1299" spans="40:53" ht="15.75" customHeight="1">
      <c r="AN1299" s="418"/>
      <c r="AO1299" s="418"/>
      <c r="AP1299" s="418"/>
      <c r="AQ1299" s="418"/>
      <c r="AR1299" s="418"/>
      <c r="AS1299" s="418"/>
      <c r="AT1299" s="418"/>
      <c r="AU1299" s="418"/>
      <c r="AV1299" s="418"/>
      <c r="AW1299" s="418"/>
      <c r="AX1299" s="418"/>
      <c r="AY1299" s="418"/>
      <c r="AZ1299" s="418"/>
      <c r="BA1299" s="418"/>
    </row>
    <row r="1300" spans="40:53" ht="15.75" customHeight="1">
      <c r="AN1300" s="418"/>
      <c r="AO1300" s="418"/>
      <c r="AP1300" s="418"/>
      <c r="AQ1300" s="418"/>
      <c r="AR1300" s="418"/>
      <c r="AS1300" s="418"/>
      <c r="AT1300" s="418"/>
      <c r="AU1300" s="418"/>
      <c r="AV1300" s="418"/>
      <c r="AW1300" s="418"/>
      <c r="AX1300" s="418"/>
      <c r="AY1300" s="418"/>
      <c r="AZ1300" s="418"/>
      <c r="BA1300" s="418"/>
    </row>
    <row r="1301" spans="40:53" ht="15.75" customHeight="1">
      <c r="AN1301" s="418"/>
      <c r="AO1301" s="418"/>
      <c r="AP1301" s="418"/>
      <c r="AQ1301" s="418"/>
      <c r="AR1301" s="418"/>
      <c r="AS1301" s="418"/>
      <c r="AT1301" s="418"/>
      <c r="AU1301" s="418"/>
      <c r="AV1301" s="418"/>
      <c r="AW1301" s="418"/>
      <c r="AX1301" s="418"/>
      <c r="AY1301" s="418"/>
      <c r="AZ1301" s="418"/>
      <c r="BA1301" s="418"/>
    </row>
    <row r="1302" spans="40:53" ht="15.75" customHeight="1">
      <c r="AN1302" s="418"/>
      <c r="AO1302" s="418"/>
      <c r="AP1302" s="418"/>
      <c r="AQ1302" s="418"/>
      <c r="AR1302" s="418"/>
      <c r="AS1302" s="418"/>
      <c r="AT1302" s="418"/>
      <c r="AU1302" s="418"/>
      <c r="AV1302" s="418"/>
      <c r="AW1302" s="418"/>
      <c r="AX1302" s="418"/>
      <c r="AY1302" s="418"/>
      <c r="AZ1302" s="418"/>
      <c r="BA1302" s="418"/>
    </row>
    <row r="1303" spans="40:53" ht="15.75" customHeight="1">
      <c r="AN1303" s="418"/>
      <c r="AO1303" s="418"/>
      <c r="AP1303" s="418"/>
      <c r="AQ1303" s="418"/>
      <c r="AR1303" s="418"/>
      <c r="AS1303" s="418"/>
      <c r="AT1303" s="418"/>
      <c r="AU1303" s="418"/>
      <c r="AV1303" s="418"/>
      <c r="AW1303" s="418"/>
      <c r="AX1303" s="418"/>
      <c r="AY1303" s="418"/>
      <c r="AZ1303" s="418"/>
      <c r="BA1303" s="418"/>
    </row>
    <row r="1304" spans="40:53" ht="15.75" customHeight="1">
      <c r="AN1304" s="418"/>
      <c r="AO1304" s="418"/>
      <c r="AP1304" s="418"/>
      <c r="AQ1304" s="418"/>
      <c r="AR1304" s="418"/>
      <c r="AS1304" s="418"/>
      <c r="AT1304" s="418"/>
      <c r="AU1304" s="418"/>
      <c r="AV1304" s="418"/>
      <c r="AW1304" s="418"/>
      <c r="AX1304" s="418"/>
      <c r="AY1304" s="418"/>
      <c r="AZ1304" s="418"/>
      <c r="BA1304" s="418"/>
    </row>
    <row r="1305" spans="40:53" ht="15.75" customHeight="1">
      <c r="AN1305" s="418"/>
      <c r="AO1305" s="418"/>
      <c r="AP1305" s="418"/>
      <c r="AQ1305" s="418"/>
      <c r="AR1305" s="418"/>
      <c r="AS1305" s="418"/>
      <c r="AT1305" s="418"/>
      <c r="AU1305" s="418"/>
      <c r="AV1305" s="418"/>
      <c r="AW1305" s="418"/>
      <c r="AX1305" s="418"/>
      <c r="AY1305" s="418"/>
      <c r="AZ1305" s="418"/>
      <c r="BA1305" s="418"/>
    </row>
    <row r="1306" spans="40:53" ht="15.75" customHeight="1">
      <c r="AN1306" s="418"/>
      <c r="AO1306" s="418"/>
      <c r="AP1306" s="418"/>
      <c r="AQ1306" s="418"/>
      <c r="AR1306" s="418"/>
      <c r="AS1306" s="418"/>
      <c r="AT1306" s="418"/>
      <c r="AU1306" s="418"/>
      <c r="AV1306" s="418"/>
      <c r="AW1306" s="418"/>
      <c r="AX1306" s="418"/>
      <c r="AY1306" s="418"/>
      <c r="AZ1306" s="418"/>
      <c r="BA1306" s="418"/>
    </row>
    <row r="1307" spans="40:53" ht="15.75" customHeight="1">
      <c r="AN1307" s="418"/>
      <c r="AO1307" s="418"/>
      <c r="AP1307" s="418"/>
      <c r="AQ1307" s="418"/>
      <c r="AR1307" s="418"/>
      <c r="AS1307" s="418"/>
      <c r="AT1307" s="418"/>
      <c r="AU1307" s="418"/>
      <c r="AV1307" s="418"/>
      <c r="AW1307" s="418"/>
      <c r="AX1307" s="418"/>
      <c r="AY1307" s="418"/>
      <c r="AZ1307" s="418"/>
      <c r="BA1307" s="418"/>
    </row>
    <row r="1308" spans="40:53" ht="15.75" customHeight="1">
      <c r="AN1308" s="418"/>
      <c r="AO1308" s="418"/>
      <c r="AP1308" s="418"/>
      <c r="AQ1308" s="418"/>
      <c r="AR1308" s="418"/>
      <c r="AS1308" s="418"/>
      <c r="AT1308" s="418"/>
      <c r="AU1308" s="418"/>
      <c r="AV1308" s="418"/>
      <c r="AW1308" s="418"/>
      <c r="AX1308" s="418"/>
      <c r="AY1308" s="418"/>
      <c r="AZ1308" s="418"/>
      <c r="BA1308" s="418"/>
    </row>
    <row r="1309" spans="40:53" ht="15.75" customHeight="1">
      <c r="AN1309" s="418"/>
      <c r="AO1309" s="418"/>
      <c r="AP1309" s="418"/>
      <c r="AQ1309" s="418"/>
      <c r="AR1309" s="418"/>
      <c r="AS1309" s="418"/>
      <c r="AT1309" s="418"/>
      <c r="AU1309" s="418"/>
      <c r="AV1309" s="418"/>
      <c r="AW1309" s="418"/>
      <c r="AX1309" s="418"/>
      <c r="AY1309" s="418"/>
      <c r="AZ1309" s="418"/>
      <c r="BA1309" s="418"/>
    </row>
    <row r="1310" spans="40:53" ht="15.75" customHeight="1">
      <c r="AN1310" s="418"/>
      <c r="AO1310" s="418"/>
      <c r="AP1310" s="418"/>
      <c r="AQ1310" s="418"/>
      <c r="AR1310" s="418"/>
      <c r="AS1310" s="418"/>
      <c r="AT1310" s="418"/>
      <c r="AU1310" s="418"/>
      <c r="AV1310" s="418"/>
      <c r="AW1310" s="418"/>
      <c r="AX1310" s="418"/>
      <c r="AY1310" s="418"/>
      <c r="AZ1310" s="418"/>
      <c r="BA1310" s="418"/>
    </row>
    <row r="1311" spans="40:53" ht="15.75" customHeight="1">
      <c r="AN1311" s="418"/>
      <c r="AO1311" s="418"/>
      <c r="AP1311" s="418"/>
      <c r="AQ1311" s="418"/>
      <c r="AR1311" s="418"/>
      <c r="AS1311" s="418"/>
      <c r="AT1311" s="418"/>
      <c r="AU1311" s="418"/>
      <c r="AV1311" s="418"/>
      <c r="AW1311" s="418"/>
      <c r="AX1311" s="418"/>
      <c r="AY1311" s="418"/>
      <c r="AZ1311" s="418"/>
      <c r="BA1311" s="418"/>
    </row>
    <row r="1312" spans="40:53" ht="15.75" customHeight="1">
      <c r="AN1312" s="418"/>
      <c r="AO1312" s="418"/>
      <c r="AP1312" s="418"/>
      <c r="AQ1312" s="418"/>
      <c r="AR1312" s="418"/>
      <c r="AS1312" s="418"/>
      <c r="AT1312" s="418"/>
      <c r="AU1312" s="418"/>
      <c r="AV1312" s="418"/>
      <c r="AW1312" s="418"/>
      <c r="AX1312" s="418"/>
      <c r="AY1312" s="418"/>
      <c r="AZ1312" s="418"/>
      <c r="BA1312" s="418"/>
    </row>
    <row r="1313" spans="40:53" ht="15.75" customHeight="1">
      <c r="AN1313" s="418"/>
      <c r="AO1313" s="418"/>
      <c r="AP1313" s="418"/>
      <c r="AQ1313" s="418"/>
      <c r="AR1313" s="418"/>
      <c r="AS1313" s="418"/>
      <c r="AT1313" s="418"/>
      <c r="AU1313" s="418"/>
      <c r="AV1313" s="418"/>
      <c r="AW1313" s="418"/>
      <c r="AX1313" s="418"/>
      <c r="AY1313" s="418"/>
      <c r="AZ1313" s="418"/>
      <c r="BA1313" s="418"/>
    </row>
    <row r="1314" spans="40:53" ht="15.75" customHeight="1">
      <c r="AN1314" s="418"/>
      <c r="AO1314" s="418"/>
      <c r="AP1314" s="418"/>
      <c r="AQ1314" s="418"/>
      <c r="AR1314" s="418"/>
      <c r="AS1314" s="418"/>
      <c r="AT1314" s="418"/>
      <c r="AU1314" s="418"/>
      <c r="AV1314" s="418"/>
      <c r="AW1314" s="418"/>
      <c r="AX1314" s="418"/>
      <c r="AY1314" s="418"/>
      <c r="AZ1314" s="418"/>
      <c r="BA1314" s="418"/>
    </row>
    <row r="1315" spans="40:53" ht="15.75" customHeight="1">
      <c r="AN1315" s="418"/>
      <c r="AO1315" s="418"/>
      <c r="AP1315" s="418"/>
      <c r="AQ1315" s="418"/>
      <c r="AR1315" s="418"/>
      <c r="AS1315" s="418"/>
      <c r="AT1315" s="418"/>
      <c r="AU1315" s="418"/>
      <c r="AV1315" s="418"/>
      <c r="AW1315" s="418"/>
      <c r="AX1315" s="418"/>
      <c r="AY1315" s="418"/>
      <c r="AZ1315" s="418"/>
      <c r="BA1315" s="418"/>
    </row>
    <row r="1316" spans="40:53" ht="15.75" customHeight="1">
      <c r="AN1316" s="418"/>
      <c r="AO1316" s="418"/>
      <c r="AP1316" s="418"/>
      <c r="AQ1316" s="418"/>
      <c r="AR1316" s="418"/>
      <c r="AS1316" s="418"/>
      <c r="AT1316" s="418"/>
      <c r="AU1316" s="418"/>
      <c r="AV1316" s="418"/>
      <c r="AW1316" s="418"/>
      <c r="AX1316" s="418"/>
      <c r="AY1316" s="418"/>
      <c r="AZ1316" s="418"/>
      <c r="BA1316" s="418"/>
    </row>
    <row r="1317" spans="40:53" ht="15.75" customHeight="1">
      <c r="AN1317" s="418"/>
      <c r="AO1317" s="418"/>
      <c r="AP1317" s="418"/>
      <c r="AQ1317" s="418"/>
      <c r="AR1317" s="418"/>
      <c r="AS1317" s="418"/>
      <c r="AT1317" s="418"/>
      <c r="AU1317" s="418"/>
      <c r="AV1317" s="418"/>
      <c r="AW1317" s="418"/>
      <c r="AX1317" s="418"/>
      <c r="AY1317" s="418"/>
      <c r="AZ1317" s="418"/>
      <c r="BA1317" s="418"/>
    </row>
    <row r="1318" spans="40:53" ht="15.75" customHeight="1">
      <c r="AN1318" s="418"/>
      <c r="AO1318" s="418"/>
      <c r="AP1318" s="418"/>
      <c r="AQ1318" s="418"/>
      <c r="AR1318" s="418"/>
      <c r="AS1318" s="418"/>
      <c r="AT1318" s="418"/>
      <c r="AU1318" s="418"/>
      <c r="AV1318" s="418"/>
      <c r="AW1318" s="418"/>
      <c r="AX1318" s="418"/>
      <c r="AY1318" s="418"/>
      <c r="AZ1318" s="418"/>
      <c r="BA1318" s="418"/>
    </row>
    <row r="1319" spans="40:53" ht="15.75" customHeight="1">
      <c r="AN1319" s="418"/>
      <c r="AO1319" s="418"/>
      <c r="AP1319" s="418"/>
      <c r="AQ1319" s="418"/>
      <c r="AR1319" s="418"/>
      <c r="AS1319" s="418"/>
      <c r="AT1319" s="418"/>
      <c r="AU1319" s="418"/>
      <c r="AV1319" s="418"/>
      <c r="AW1319" s="418"/>
      <c r="AX1319" s="418"/>
      <c r="AY1319" s="418"/>
      <c r="AZ1319" s="418"/>
      <c r="BA1319" s="418"/>
    </row>
    <row r="1320" spans="40:53" ht="15.75" customHeight="1">
      <c r="AN1320" s="418"/>
      <c r="AO1320" s="418"/>
      <c r="AP1320" s="418"/>
      <c r="AQ1320" s="418"/>
      <c r="AR1320" s="418"/>
      <c r="AS1320" s="418"/>
      <c r="AT1320" s="418"/>
      <c r="AU1320" s="418"/>
      <c r="AV1320" s="418"/>
      <c r="AW1320" s="418"/>
      <c r="AX1320" s="418"/>
      <c r="AY1320" s="418"/>
      <c r="AZ1320" s="418"/>
      <c r="BA1320" s="418"/>
    </row>
    <row r="1321" spans="40:53" ht="15.75" customHeight="1">
      <c r="AN1321" s="418"/>
      <c r="AO1321" s="418"/>
      <c r="AP1321" s="418"/>
      <c r="AQ1321" s="418"/>
      <c r="AR1321" s="418"/>
      <c r="AS1321" s="418"/>
      <c r="AT1321" s="418"/>
      <c r="AU1321" s="418"/>
      <c r="AV1321" s="418"/>
      <c r="AW1321" s="418"/>
      <c r="AX1321" s="418"/>
      <c r="AY1321" s="418"/>
      <c r="AZ1321" s="418"/>
      <c r="BA1321" s="418"/>
    </row>
    <row r="1322" spans="40:53" ht="15.75" customHeight="1">
      <c r="AN1322" s="418"/>
      <c r="AO1322" s="418"/>
      <c r="AP1322" s="418"/>
      <c r="AQ1322" s="418"/>
      <c r="AR1322" s="418"/>
      <c r="AS1322" s="418"/>
      <c r="AT1322" s="418"/>
      <c r="AU1322" s="418"/>
      <c r="AV1322" s="418"/>
      <c r="AW1322" s="418"/>
      <c r="AX1322" s="418"/>
      <c r="AY1322" s="418"/>
      <c r="AZ1322" s="418"/>
      <c r="BA1322" s="418"/>
    </row>
    <row r="1323" spans="40:53" ht="15.75" customHeight="1">
      <c r="AN1323" s="418"/>
      <c r="AO1323" s="418"/>
      <c r="AP1323" s="418"/>
      <c r="AQ1323" s="418"/>
      <c r="AR1323" s="418"/>
      <c r="AS1323" s="418"/>
      <c r="AT1323" s="418"/>
      <c r="AU1323" s="418"/>
      <c r="AV1323" s="418"/>
      <c r="AW1323" s="418"/>
      <c r="AX1323" s="418"/>
      <c r="AY1323" s="418"/>
      <c r="AZ1323" s="418"/>
      <c r="BA1323" s="418"/>
    </row>
    <row r="1324" spans="40:53" ht="15.75" customHeight="1">
      <c r="AN1324" s="418"/>
      <c r="AO1324" s="418"/>
      <c r="AP1324" s="418"/>
      <c r="AQ1324" s="418"/>
      <c r="AR1324" s="418"/>
      <c r="AS1324" s="418"/>
      <c r="AT1324" s="418"/>
      <c r="AU1324" s="418"/>
      <c r="AV1324" s="418"/>
      <c r="AW1324" s="418"/>
      <c r="AX1324" s="418"/>
      <c r="AY1324" s="418"/>
      <c r="AZ1324" s="418"/>
      <c r="BA1324" s="418"/>
    </row>
    <row r="1325" spans="40:53" ht="15.75" customHeight="1">
      <c r="AN1325" s="418"/>
      <c r="AO1325" s="418"/>
      <c r="AP1325" s="418"/>
      <c r="AQ1325" s="418"/>
      <c r="AR1325" s="418"/>
      <c r="AS1325" s="418"/>
      <c r="AT1325" s="418"/>
      <c r="AU1325" s="418"/>
      <c r="AV1325" s="418"/>
      <c r="AW1325" s="418"/>
      <c r="AX1325" s="418"/>
      <c r="AY1325" s="418"/>
      <c r="AZ1325" s="418"/>
      <c r="BA1325" s="418"/>
    </row>
    <row r="1326" spans="40:53" ht="15.75" customHeight="1">
      <c r="AN1326" s="418"/>
      <c r="AO1326" s="418"/>
      <c r="AP1326" s="418"/>
      <c r="AQ1326" s="418"/>
      <c r="AR1326" s="418"/>
      <c r="AS1326" s="418"/>
      <c r="AT1326" s="418"/>
      <c r="AU1326" s="418"/>
      <c r="AV1326" s="418"/>
      <c r="AW1326" s="418"/>
      <c r="AX1326" s="418"/>
      <c r="AY1326" s="418"/>
      <c r="AZ1326" s="418"/>
      <c r="BA1326" s="418"/>
    </row>
    <row r="1327" spans="40:53" ht="15.75" customHeight="1">
      <c r="AN1327" s="418"/>
      <c r="AO1327" s="418"/>
      <c r="AP1327" s="418"/>
      <c r="AQ1327" s="418"/>
      <c r="AR1327" s="418"/>
      <c r="AS1327" s="418"/>
      <c r="AT1327" s="418"/>
      <c r="AU1327" s="418"/>
      <c r="AV1327" s="418"/>
      <c r="AW1327" s="418"/>
      <c r="AX1327" s="418"/>
      <c r="AY1327" s="418"/>
      <c r="AZ1327" s="418"/>
      <c r="BA1327" s="418"/>
    </row>
    <row r="1328" spans="40:53" ht="15.75" customHeight="1">
      <c r="AN1328" s="418"/>
      <c r="AO1328" s="418"/>
      <c r="AP1328" s="418"/>
      <c r="AQ1328" s="418"/>
      <c r="AR1328" s="418"/>
      <c r="AS1328" s="418"/>
      <c r="AT1328" s="418"/>
      <c r="AU1328" s="418"/>
      <c r="AV1328" s="418"/>
      <c r="AW1328" s="418"/>
      <c r="AX1328" s="418"/>
      <c r="AY1328" s="418"/>
      <c r="AZ1328" s="418"/>
      <c r="BA1328" s="418"/>
    </row>
    <row r="1329" spans="40:53" ht="15.75" customHeight="1">
      <c r="AN1329" s="418"/>
      <c r="AO1329" s="418"/>
      <c r="AP1329" s="418"/>
      <c r="AQ1329" s="418"/>
      <c r="AR1329" s="418"/>
      <c r="AS1329" s="418"/>
      <c r="AT1329" s="418"/>
      <c r="AU1329" s="418"/>
      <c r="AV1329" s="418"/>
      <c r="AW1329" s="418"/>
      <c r="AX1329" s="418"/>
      <c r="AY1329" s="418"/>
      <c r="AZ1329" s="418"/>
      <c r="BA1329" s="418"/>
    </row>
    <row r="1330" spans="40:53" ht="15.75" customHeight="1">
      <c r="AN1330" s="418"/>
      <c r="AO1330" s="418"/>
      <c r="AP1330" s="418"/>
      <c r="AQ1330" s="418"/>
      <c r="AR1330" s="418"/>
      <c r="AS1330" s="418"/>
      <c r="AT1330" s="418"/>
      <c r="AU1330" s="418"/>
      <c r="AV1330" s="418"/>
      <c r="AW1330" s="418"/>
      <c r="AX1330" s="418"/>
      <c r="AY1330" s="418"/>
      <c r="AZ1330" s="418"/>
      <c r="BA1330" s="418"/>
    </row>
    <row r="1331" spans="40:53" ht="15.75" customHeight="1">
      <c r="AN1331" s="418"/>
      <c r="AO1331" s="418"/>
      <c r="AP1331" s="418"/>
      <c r="AQ1331" s="418"/>
      <c r="AR1331" s="418"/>
      <c r="AS1331" s="418"/>
      <c r="AT1331" s="418"/>
      <c r="AU1331" s="418"/>
      <c r="AV1331" s="418"/>
      <c r="AW1331" s="418"/>
      <c r="AX1331" s="418"/>
      <c r="AY1331" s="418"/>
      <c r="AZ1331" s="418"/>
      <c r="BA1331" s="418"/>
    </row>
    <row r="1332" spans="40:53" ht="15.75" customHeight="1">
      <c r="AN1332" s="418"/>
      <c r="AO1332" s="418"/>
      <c r="AP1332" s="418"/>
      <c r="AQ1332" s="418"/>
      <c r="AR1332" s="418"/>
      <c r="AS1332" s="418"/>
      <c r="AT1332" s="418"/>
      <c r="AU1332" s="418"/>
      <c r="AV1332" s="418"/>
      <c r="AW1332" s="418"/>
      <c r="AX1332" s="418"/>
      <c r="AY1332" s="418"/>
      <c r="AZ1332" s="418"/>
      <c r="BA1332" s="418"/>
    </row>
    <row r="1333" spans="40:53" ht="15.75" customHeight="1">
      <c r="AN1333" s="418"/>
      <c r="AO1333" s="418"/>
      <c r="AP1333" s="418"/>
      <c r="AQ1333" s="418"/>
      <c r="AR1333" s="418"/>
      <c r="AS1333" s="418"/>
      <c r="AT1333" s="418"/>
      <c r="AU1333" s="418"/>
      <c r="AV1333" s="418"/>
      <c r="AW1333" s="418"/>
      <c r="AX1333" s="418"/>
      <c r="AY1333" s="418"/>
      <c r="AZ1333" s="418"/>
      <c r="BA1333" s="418"/>
    </row>
    <row r="1334" spans="40:53" ht="15.75" customHeight="1">
      <c r="AN1334" s="418"/>
      <c r="AO1334" s="418"/>
      <c r="AP1334" s="418"/>
      <c r="AQ1334" s="418"/>
      <c r="AR1334" s="418"/>
      <c r="AS1334" s="418"/>
      <c r="AT1334" s="418"/>
      <c r="AU1334" s="418"/>
      <c r="AV1334" s="418"/>
      <c r="AW1334" s="418"/>
      <c r="AX1334" s="418"/>
      <c r="AY1334" s="418"/>
      <c r="AZ1334" s="418"/>
      <c r="BA1334" s="418"/>
    </row>
    <row r="1335" spans="40:53" ht="15.75" customHeight="1">
      <c r="AN1335" s="418"/>
      <c r="AO1335" s="418"/>
      <c r="AP1335" s="418"/>
      <c r="AQ1335" s="418"/>
      <c r="AR1335" s="418"/>
      <c r="AS1335" s="418"/>
      <c r="AT1335" s="418"/>
      <c r="AU1335" s="418"/>
      <c r="AV1335" s="418"/>
      <c r="AW1335" s="418"/>
      <c r="AX1335" s="418"/>
      <c r="AY1335" s="418"/>
      <c r="AZ1335" s="418"/>
      <c r="BA1335" s="418"/>
    </row>
    <row r="1336" spans="40:53" ht="15.75" customHeight="1">
      <c r="AN1336" s="418"/>
      <c r="AO1336" s="418"/>
      <c r="AP1336" s="418"/>
      <c r="AQ1336" s="418"/>
      <c r="AR1336" s="418"/>
      <c r="AS1336" s="418"/>
      <c r="AT1336" s="418"/>
      <c r="AU1336" s="418"/>
      <c r="AV1336" s="418"/>
      <c r="AW1336" s="418"/>
      <c r="AX1336" s="418"/>
      <c r="AY1336" s="418"/>
      <c r="AZ1336" s="418"/>
      <c r="BA1336" s="418"/>
    </row>
    <row r="1337" spans="40:53" ht="15.75" customHeight="1">
      <c r="AN1337" s="418"/>
      <c r="AO1337" s="418"/>
      <c r="AP1337" s="418"/>
      <c r="AQ1337" s="418"/>
      <c r="AR1337" s="418"/>
      <c r="AS1337" s="418"/>
      <c r="AT1337" s="418"/>
      <c r="AU1337" s="418"/>
      <c r="AV1337" s="418"/>
      <c r="AW1337" s="418"/>
      <c r="AX1337" s="418"/>
      <c r="AY1337" s="418"/>
      <c r="AZ1337" s="418"/>
      <c r="BA1337" s="418"/>
    </row>
    <row r="1338" spans="40:53" ht="15.75" customHeight="1">
      <c r="AN1338" s="418"/>
      <c r="AO1338" s="418"/>
      <c r="AP1338" s="418"/>
      <c r="AQ1338" s="418"/>
      <c r="AR1338" s="418"/>
      <c r="AS1338" s="418"/>
      <c r="AT1338" s="418"/>
      <c r="AU1338" s="418"/>
      <c r="AV1338" s="418"/>
      <c r="AW1338" s="418"/>
      <c r="AX1338" s="418"/>
      <c r="AY1338" s="418"/>
      <c r="AZ1338" s="418"/>
      <c r="BA1338" s="418"/>
    </row>
    <row r="1339" spans="40:53" ht="15.75" customHeight="1">
      <c r="AN1339" s="418"/>
      <c r="AO1339" s="418"/>
      <c r="AP1339" s="418"/>
      <c r="AQ1339" s="418"/>
      <c r="AR1339" s="418"/>
      <c r="AS1339" s="418"/>
      <c r="AT1339" s="418"/>
      <c r="AU1339" s="418"/>
      <c r="AV1339" s="418"/>
      <c r="AW1339" s="418"/>
      <c r="AX1339" s="418"/>
      <c r="AY1339" s="418"/>
      <c r="AZ1339" s="418"/>
      <c r="BA1339" s="418"/>
    </row>
    <row r="1340" spans="40:53" ht="15.75" customHeight="1">
      <c r="AN1340" s="418"/>
      <c r="AO1340" s="418"/>
      <c r="AP1340" s="418"/>
      <c r="AQ1340" s="418"/>
      <c r="AR1340" s="418"/>
      <c r="AS1340" s="418"/>
      <c r="AT1340" s="418"/>
      <c r="AU1340" s="418"/>
      <c r="AV1340" s="418"/>
      <c r="AW1340" s="418"/>
      <c r="AX1340" s="418"/>
      <c r="AY1340" s="418"/>
      <c r="AZ1340" s="418"/>
      <c r="BA1340" s="418"/>
    </row>
    <row r="1341" spans="40:53" ht="15.75" customHeight="1">
      <c r="AN1341" s="418"/>
      <c r="AO1341" s="418"/>
      <c r="AP1341" s="418"/>
      <c r="AQ1341" s="418"/>
      <c r="AR1341" s="418"/>
      <c r="AS1341" s="418"/>
      <c r="AT1341" s="418"/>
      <c r="AU1341" s="418"/>
      <c r="AV1341" s="418"/>
      <c r="AW1341" s="418"/>
      <c r="AX1341" s="418"/>
      <c r="AY1341" s="418"/>
      <c r="AZ1341" s="418"/>
      <c r="BA1341" s="418"/>
    </row>
    <row r="1342" spans="40:53" ht="15.75" customHeight="1">
      <c r="AN1342" s="418"/>
      <c r="AO1342" s="418"/>
      <c r="AP1342" s="418"/>
      <c r="AQ1342" s="418"/>
      <c r="AR1342" s="418"/>
      <c r="AS1342" s="418"/>
      <c r="AT1342" s="418"/>
      <c r="AU1342" s="418"/>
      <c r="AV1342" s="418"/>
      <c r="AW1342" s="418"/>
      <c r="AX1342" s="418"/>
      <c r="AY1342" s="418"/>
      <c r="AZ1342" s="418"/>
      <c r="BA1342" s="418"/>
    </row>
    <row r="1343" spans="40:53" ht="15.75" customHeight="1">
      <c r="AN1343" s="418"/>
      <c r="AO1343" s="418"/>
      <c r="AP1343" s="418"/>
      <c r="AQ1343" s="418"/>
      <c r="AR1343" s="418"/>
      <c r="AS1343" s="418"/>
      <c r="AT1343" s="418"/>
      <c r="AU1343" s="418"/>
      <c r="AV1343" s="418"/>
      <c r="AW1343" s="418"/>
      <c r="AX1343" s="418"/>
      <c r="AY1343" s="418"/>
      <c r="AZ1343" s="418"/>
      <c r="BA1343" s="418"/>
    </row>
    <row r="1344" spans="40:53" ht="15.75" customHeight="1">
      <c r="AN1344" s="418"/>
      <c r="AO1344" s="418"/>
      <c r="AP1344" s="418"/>
      <c r="AQ1344" s="418"/>
      <c r="AR1344" s="418"/>
      <c r="AS1344" s="418"/>
      <c r="AT1344" s="418"/>
      <c r="AU1344" s="418"/>
      <c r="AV1344" s="418"/>
      <c r="AW1344" s="418"/>
      <c r="AX1344" s="418"/>
      <c r="AY1344" s="418"/>
      <c r="AZ1344" s="418"/>
      <c r="BA1344" s="418"/>
    </row>
    <row r="1345" spans="40:53" ht="15.75" customHeight="1">
      <c r="AN1345" s="418"/>
      <c r="AO1345" s="418"/>
      <c r="AP1345" s="418"/>
      <c r="AQ1345" s="418"/>
      <c r="AR1345" s="418"/>
      <c r="AS1345" s="418"/>
      <c r="AT1345" s="418"/>
      <c r="AU1345" s="418"/>
      <c r="AV1345" s="418"/>
      <c r="AW1345" s="418"/>
      <c r="AX1345" s="418"/>
      <c r="AY1345" s="418"/>
      <c r="AZ1345" s="418"/>
      <c r="BA1345" s="418"/>
    </row>
    <row r="1346" spans="40:53" ht="15.75" customHeight="1">
      <c r="AN1346" s="418"/>
      <c r="AO1346" s="418"/>
      <c r="AP1346" s="418"/>
      <c r="AQ1346" s="418"/>
      <c r="AR1346" s="418"/>
      <c r="AS1346" s="418"/>
      <c r="AT1346" s="418"/>
      <c r="AU1346" s="418"/>
      <c r="AV1346" s="418"/>
      <c r="AW1346" s="418"/>
      <c r="AX1346" s="418"/>
      <c r="AY1346" s="418"/>
      <c r="AZ1346" s="418"/>
      <c r="BA1346" s="418"/>
    </row>
    <row r="1347" spans="40:53" ht="15.75" customHeight="1">
      <c r="AN1347" s="418"/>
      <c r="AO1347" s="418"/>
      <c r="AP1347" s="418"/>
      <c r="AQ1347" s="418"/>
      <c r="AR1347" s="418"/>
      <c r="AS1347" s="418"/>
      <c r="AT1347" s="418"/>
      <c r="AU1347" s="418"/>
      <c r="AV1347" s="418"/>
      <c r="AW1347" s="418"/>
      <c r="AX1347" s="418"/>
      <c r="AY1347" s="418"/>
      <c r="AZ1347" s="418"/>
      <c r="BA1347" s="418"/>
    </row>
    <row r="1348" spans="40:53" ht="15.75" customHeight="1">
      <c r="AN1348" s="418"/>
      <c r="AO1348" s="418"/>
      <c r="AP1348" s="418"/>
      <c r="AQ1348" s="418"/>
      <c r="AR1348" s="418"/>
      <c r="AS1348" s="418"/>
      <c r="AT1348" s="418"/>
      <c r="AU1348" s="418"/>
      <c r="AV1348" s="418"/>
      <c r="AW1348" s="418"/>
      <c r="AX1348" s="418"/>
      <c r="AY1348" s="418"/>
      <c r="AZ1348" s="418"/>
      <c r="BA1348" s="418"/>
    </row>
    <row r="1349" spans="40:53" ht="15.75" customHeight="1">
      <c r="AN1349" s="418"/>
      <c r="AO1349" s="418"/>
      <c r="AP1349" s="418"/>
      <c r="AQ1349" s="418"/>
      <c r="AR1349" s="418"/>
      <c r="AS1349" s="418"/>
      <c r="AT1349" s="418"/>
      <c r="AU1349" s="418"/>
      <c r="AV1349" s="418"/>
      <c r="AW1349" s="418"/>
      <c r="AX1349" s="418"/>
      <c r="AY1349" s="418"/>
      <c r="AZ1349" s="418"/>
      <c r="BA1349" s="418"/>
    </row>
    <row r="1350" spans="40:53" ht="15.75" customHeight="1">
      <c r="AN1350" s="418"/>
      <c r="AO1350" s="418"/>
      <c r="AP1350" s="418"/>
      <c r="AQ1350" s="418"/>
      <c r="AR1350" s="418"/>
      <c r="AS1350" s="418"/>
      <c r="AT1350" s="418"/>
      <c r="AU1350" s="418"/>
      <c r="AV1350" s="418"/>
      <c r="AW1350" s="418"/>
      <c r="AX1350" s="418"/>
      <c r="AY1350" s="418"/>
      <c r="AZ1350" s="418"/>
      <c r="BA1350" s="418"/>
    </row>
    <row r="1351" spans="40:53" ht="15.75" customHeight="1">
      <c r="AN1351" s="418"/>
      <c r="AO1351" s="418"/>
      <c r="AP1351" s="418"/>
      <c r="AQ1351" s="418"/>
      <c r="AR1351" s="418"/>
      <c r="AS1351" s="418"/>
      <c r="AT1351" s="418"/>
      <c r="AU1351" s="418"/>
      <c r="AV1351" s="418"/>
      <c r="AW1351" s="418"/>
      <c r="AX1351" s="418"/>
      <c r="AY1351" s="418"/>
      <c r="AZ1351" s="418"/>
      <c r="BA1351" s="418"/>
    </row>
    <row r="1352" spans="40:53" ht="15.75" customHeight="1">
      <c r="AN1352" s="418"/>
      <c r="AO1352" s="418"/>
      <c r="AP1352" s="418"/>
      <c r="AQ1352" s="418"/>
      <c r="AR1352" s="418"/>
      <c r="AS1352" s="418"/>
      <c r="AT1352" s="418"/>
      <c r="AU1352" s="418"/>
      <c r="AV1352" s="418"/>
      <c r="AW1352" s="418"/>
      <c r="AX1352" s="418"/>
      <c r="AY1352" s="418"/>
      <c r="AZ1352" s="418"/>
      <c r="BA1352" s="418"/>
    </row>
    <row r="1353" spans="40:53" ht="15.75" customHeight="1">
      <c r="AN1353" s="418"/>
      <c r="AO1353" s="418"/>
      <c r="AP1353" s="418"/>
      <c r="AQ1353" s="418"/>
      <c r="AR1353" s="418"/>
      <c r="AS1353" s="418"/>
      <c r="AT1353" s="418"/>
      <c r="AU1353" s="418"/>
      <c r="AV1353" s="418"/>
      <c r="AW1353" s="418"/>
      <c r="AX1353" s="418"/>
      <c r="AY1353" s="418"/>
      <c r="AZ1353" s="418"/>
      <c r="BA1353" s="418"/>
    </row>
    <row r="1354" spans="40:53" ht="15.75" customHeight="1">
      <c r="AN1354" s="418"/>
      <c r="AO1354" s="418"/>
      <c r="AP1354" s="418"/>
      <c r="AQ1354" s="418"/>
      <c r="AR1354" s="418"/>
      <c r="AS1354" s="418"/>
      <c r="AT1354" s="418"/>
      <c r="AU1354" s="418"/>
      <c r="AV1354" s="418"/>
      <c r="AW1354" s="418"/>
      <c r="AX1354" s="418"/>
      <c r="AY1354" s="418"/>
      <c r="AZ1354" s="418"/>
      <c r="BA1354" s="418"/>
    </row>
    <row r="1355" spans="40:53" ht="15.75" customHeight="1">
      <c r="AN1355" s="418"/>
      <c r="AO1355" s="418"/>
      <c r="AP1355" s="418"/>
      <c r="AQ1355" s="418"/>
      <c r="AR1355" s="418"/>
      <c r="AS1355" s="418"/>
      <c r="AT1355" s="418"/>
      <c r="AU1355" s="418"/>
      <c r="AV1355" s="418"/>
      <c r="AW1355" s="418"/>
      <c r="AX1355" s="418"/>
      <c r="AY1355" s="418"/>
      <c r="AZ1355" s="418"/>
      <c r="BA1355" s="418"/>
    </row>
    <row r="1356" spans="40:53" ht="15.75" customHeight="1">
      <c r="AN1356" s="418"/>
      <c r="AO1356" s="418"/>
      <c r="AP1356" s="418"/>
      <c r="AQ1356" s="418"/>
      <c r="AR1356" s="418"/>
      <c r="AS1356" s="418"/>
      <c r="AT1356" s="418"/>
      <c r="AU1356" s="418"/>
      <c r="AV1356" s="418"/>
      <c r="AW1356" s="418"/>
      <c r="AX1356" s="418"/>
      <c r="AY1356" s="418"/>
      <c r="AZ1356" s="418"/>
      <c r="BA1356" s="418"/>
    </row>
    <row r="1357" spans="40:53" ht="15.75" customHeight="1">
      <c r="AN1357" s="418"/>
      <c r="AO1357" s="418"/>
      <c r="AP1357" s="418"/>
      <c r="AQ1357" s="418"/>
      <c r="AR1357" s="418"/>
      <c r="AS1357" s="418"/>
      <c r="AT1357" s="418"/>
      <c r="AU1357" s="418"/>
      <c r="AV1357" s="418"/>
      <c r="AW1357" s="418"/>
      <c r="AX1357" s="418"/>
      <c r="AY1357" s="418"/>
      <c r="AZ1357" s="418"/>
      <c r="BA1357" s="418"/>
    </row>
    <row r="1358" spans="40:53" ht="15.75" customHeight="1">
      <c r="AN1358" s="418"/>
      <c r="AO1358" s="418"/>
      <c r="AP1358" s="418"/>
      <c r="AQ1358" s="418"/>
      <c r="AR1358" s="418"/>
      <c r="AS1358" s="418"/>
      <c r="AT1358" s="418"/>
      <c r="AU1358" s="418"/>
      <c r="AV1358" s="418"/>
      <c r="AW1358" s="418"/>
      <c r="AX1358" s="418"/>
      <c r="AY1358" s="418"/>
      <c r="AZ1358" s="418"/>
      <c r="BA1358" s="418"/>
    </row>
    <row r="1359" spans="40:53" ht="15.75" customHeight="1">
      <c r="AN1359" s="418"/>
      <c r="AO1359" s="418"/>
      <c r="AP1359" s="418"/>
      <c r="AQ1359" s="418"/>
      <c r="AR1359" s="418"/>
      <c r="AS1359" s="418"/>
      <c r="AT1359" s="418"/>
      <c r="AU1359" s="418"/>
      <c r="AV1359" s="418"/>
      <c r="AW1359" s="418"/>
      <c r="AX1359" s="418"/>
      <c r="AY1359" s="418"/>
      <c r="AZ1359" s="418"/>
      <c r="BA1359" s="418"/>
    </row>
    <row r="1360" spans="40:53" ht="15.75" customHeight="1">
      <c r="AN1360" s="418"/>
      <c r="AO1360" s="418"/>
      <c r="AP1360" s="418"/>
      <c r="AQ1360" s="418"/>
      <c r="AR1360" s="418"/>
      <c r="AS1360" s="418"/>
      <c r="AT1360" s="418"/>
      <c r="AU1360" s="418"/>
      <c r="AV1360" s="418"/>
      <c r="AW1360" s="418"/>
      <c r="AX1360" s="418"/>
      <c r="AY1360" s="418"/>
      <c r="AZ1360" s="418"/>
      <c r="BA1360" s="418"/>
    </row>
    <row r="1361" spans="40:53" ht="15.75" customHeight="1">
      <c r="AN1361" s="418"/>
      <c r="AO1361" s="418"/>
      <c r="AP1361" s="418"/>
      <c r="AQ1361" s="418"/>
      <c r="AR1361" s="418"/>
      <c r="AS1361" s="418"/>
      <c r="AT1361" s="418"/>
      <c r="AU1361" s="418"/>
      <c r="AV1361" s="418"/>
      <c r="AW1361" s="418"/>
      <c r="AX1361" s="418"/>
      <c r="AY1361" s="418"/>
      <c r="AZ1361" s="418"/>
      <c r="BA1361" s="418"/>
    </row>
    <row r="1362" spans="40:53" ht="15.75" customHeight="1">
      <c r="AN1362" s="418"/>
      <c r="AO1362" s="418"/>
      <c r="AP1362" s="418"/>
      <c r="AQ1362" s="418"/>
      <c r="AR1362" s="418"/>
      <c r="AS1362" s="418"/>
      <c r="AT1362" s="418"/>
      <c r="AU1362" s="418"/>
      <c r="AV1362" s="418"/>
      <c r="AW1362" s="418"/>
      <c r="AX1362" s="418"/>
      <c r="AY1362" s="418"/>
      <c r="AZ1362" s="418"/>
      <c r="BA1362" s="418"/>
    </row>
    <row r="1363" spans="40:53" ht="15.75" customHeight="1">
      <c r="AN1363" s="418"/>
      <c r="AO1363" s="418"/>
      <c r="AP1363" s="418"/>
      <c r="AQ1363" s="418"/>
      <c r="AR1363" s="418"/>
      <c r="AS1363" s="418"/>
      <c r="AT1363" s="418"/>
      <c r="AU1363" s="418"/>
      <c r="AV1363" s="418"/>
      <c r="AW1363" s="418"/>
      <c r="AX1363" s="418"/>
      <c r="AY1363" s="418"/>
      <c r="AZ1363" s="418"/>
      <c r="BA1363" s="418"/>
    </row>
    <row r="1364" spans="40:53" ht="15.75" customHeight="1">
      <c r="AN1364" s="418"/>
      <c r="AO1364" s="418"/>
      <c r="AP1364" s="418"/>
      <c r="AQ1364" s="418"/>
      <c r="AR1364" s="418"/>
      <c r="AS1364" s="418"/>
      <c r="AT1364" s="418"/>
      <c r="AU1364" s="418"/>
      <c r="AV1364" s="418"/>
      <c r="AW1364" s="418"/>
      <c r="AX1364" s="418"/>
      <c r="AY1364" s="418"/>
      <c r="AZ1364" s="418"/>
      <c r="BA1364" s="418"/>
    </row>
    <row r="1365" spans="40:53" ht="15.75" customHeight="1">
      <c r="AN1365" s="418"/>
      <c r="AO1365" s="418"/>
      <c r="AP1365" s="418"/>
      <c r="AQ1365" s="418"/>
      <c r="AR1365" s="418"/>
      <c r="AS1365" s="418"/>
      <c r="AT1365" s="418"/>
      <c r="AU1365" s="418"/>
      <c r="AV1365" s="418"/>
      <c r="AW1365" s="418"/>
      <c r="AX1365" s="418"/>
      <c r="AY1365" s="418"/>
      <c r="AZ1365" s="418"/>
      <c r="BA1365" s="418"/>
    </row>
    <row r="1366" spans="40:53" ht="15.75" customHeight="1">
      <c r="AN1366" s="418"/>
      <c r="AO1366" s="418"/>
      <c r="AP1366" s="418"/>
      <c r="AQ1366" s="418"/>
      <c r="AR1366" s="418"/>
      <c r="AS1366" s="418"/>
      <c r="AT1366" s="418"/>
      <c r="AU1366" s="418"/>
      <c r="AV1366" s="418"/>
      <c r="AW1366" s="418"/>
      <c r="AX1366" s="418"/>
      <c r="AY1366" s="418"/>
      <c r="AZ1366" s="418"/>
      <c r="BA1366" s="418"/>
    </row>
    <row r="1367" spans="40:53" ht="15.75" customHeight="1">
      <c r="AN1367" s="418"/>
      <c r="AO1367" s="418"/>
      <c r="AP1367" s="418"/>
      <c r="AQ1367" s="418"/>
      <c r="AR1367" s="418"/>
      <c r="AS1367" s="418"/>
      <c r="AT1367" s="418"/>
      <c r="AU1367" s="418"/>
      <c r="AV1367" s="418"/>
      <c r="AW1367" s="418"/>
      <c r="AX1367" s="418"/>
      <c r="AY1367" s="418"/>
      <c r="AZ1367" s="418"/>
      <c r="BA1367" s="418"/>
    </row>
    <row r="1368" spans="40:53" ht="15.75" customHeight="1">
      <c r="AN1368" s="418"/>
      <c r="AO1368" s="418"/>
      <c r="AP1368" s="418"/>
      <c r="AQ1368" s="418"/>
      <c r="AR1368" s="418"/>
      <c r="AS1368" s="418"/>
      <c r="AT1368" s="418"/>
      <c r="AU1368" s="418"/>
      <c r="AV1368" s="418"/>
      <c r="AW1368" s="418"/>
      <c r="AX1368" s="418"/>
      <c r="AY1368" s="418"/>
      <c r="AZ1368" s="418"/>
      <c r="BA1368" s="418"/>
    </row>
    <row r="1369" spans="40:53" ht="15.75" customHeight="1">
      <c r="AN1369" s="418"/>
      <c r="AO1369" s="418"/>
      <c r="AP1369" s="418"/>
      <c r="AQ1369" s="418"/>
      <c r="AR1369" s="418"/>
      <c r="AS1369" s="418"/>
      <c r="AT1369" s="418"/>
      <c r="AU1369" s="418"/>
      <c r="AV1369" s="418"/>
      <c r="AW1369" s="418"/>
      <c r="AX1369" s="418"/>
      <c r="AY1369" s="418"/>
      <c r="AZ1369" s="418"/>
      <c r="BA1369" s="418"/>
    </row>
    <row r="1370" spans="40:53" ht="15.75" customHeight="1">
      <c r="AN1370" s="418"/>
      <c r="AO1370" s="418"/>
      <c r="AP1370" s="418"/>
      <c r="AQ1370" s="418"/>
      <c r="AR1370" s="418"/>
      <c r="AS1370" s="418"/>
      <c r="AT1370" s="418"/>
      <c r="AU1370" s="418"/>
      <c r="AV1370" s="418"/>
      <c r="AW1370" s="418"/>
      <c r="AX1370" s="418"/>
      <c r="AY1370" s="418"/>
      <c r="AZ1370" s="418"/>
      <c r="BA1370" s="418"/>
    </row>
    <row r="1371" spans="40:53" ht="15.75" customHeight="1">
      <c r="AN1371" s="418"/>
      <c r="AO1371" s="418"/>
      <c r="AP1371" s="418"/>
      <c r="AQ1371" s="418"/>
      <c r="AR1371" s="418"/>
      <c r="AS1371" s="418"/>
      <c r="AT1371" s="418"/>
      <c r="AU1371" s="418"/>
      <c r="AV1371" s="418"/>
      <c r="AW1371" s="418"/>
      <c r="AX1371" s="418"/>
      <c r="AY1371" s="418"/>
      <c r="AZ1371" s="418"/>
      <c r="BA1371" s="418"/>
    </row>
    <row r="1372" spans="40:53" ht="15.75" customHeight="1">
      <c r="AN1372" s="418"/>
      <c r="AO1372" s="418"/>
      <c r="AP1372" s="418"/>
      <c r="AQ1372" s="418"/>
      <c r="AR1372" s="418"/>
      <c r="AS1372" s="418"/>
      <c r="AT1372" s="418"/>
      <c r="AU1372" s="418"/>
      <c r="AV1372" s="418"/>
      <c r="AW1372" s="418"/>
      <c r="AX1372" s="418"/>
      <c r="AY1372" s="418"/>
      <c r="AZ1372" s="418"/>
      <c r="BA1372" s="418"/>
    </row>
    <row r="1373" spans="40:53" ht="15.75" customHeight="1">
      <c r="AN1373" s="418"/>
      <c r="AO1373" s="418"/>
      <c r="AP1373" s="418"/>
      <c r="AQ1373" s="418"/>
      <c r="AR1373" s="418"/>
      <c r="AS1373" s="418"/>
      <c r="AT1373" s="418"/>
      <c r="AU1373" s="418"/>
      <c r="AV1373" s="418"/>
      <c r="AW1373" s="418"/>
      <c r="AX1373" s="418"/>
      <c r="AY1373" s="418"/>
      <c r="AZ1373" s="418"/>
      <c r="BA1373" s="418"/>
    </row>
    <row r="1374" spans="40:53" ht="15.75" customHeight="1">
      <c r="AN1374" s="418"/>
      <c r="AO1374" s="418"/>
      <c r="AP1374" s="418"/>
      <c r="AQ1374" s="418"/>
      <c r="AR1374" s="418"/>
      <c r="AS1374" s="418"/>
      <c r="AT1374" s="418"/>
      <c r="AU1374" s="418"/>
      <c r="AV1374" s="418"/>
      <c r="AW1374" s="418"/>
      <c r="AX1374" s="418"/>
      <c r="AY1374" s="418"/>
      <c r="AZ1374" s="418"/>
      <c r="BA1374" s="418"/>
    </row>
    <row r="1375" spans="40:53" ht="15.75" customHeight="1">
      <c r="AN1375" s="418"/>
      <c r="AO1375" s="418"/>
      <c r="AP1375" s="418"/>
      <c r="AQ1375" s="418"/>
      <c r="AR1375" s="418"/>
      <c r="AS1375" s="418"/>
      <c r="AT1375" s="418"/>
      <c r="AU1375" s="418"/>
      <c r="AV1375" s="418"/>
      <c r="AW1375" s="418"/>
      <c r="AX1375" s="418"/>
      <c r="AY1375" s="418"/>
      <c r="AZ1375" s="418"/>
      <c r="BA1375" s="418"/>
    </row>
    <row r="1376" spans="40:53" ht="15.75" customHeight="1">
      <c r="AN1376" s="418"/>
      <c r="AO1376" s="418"/>
      <c r="AP1376" s="418"/>
      <c r="AQ1376" s="418"/>
      <c r="AR1376" s="418"/>
      <c r="AS1376" s="418"/>
      <c r="AT1376" s="418"/>
      <c r="AU1376" s="418"/>
      <c r="AV1376" s="418"/>
      <c r="AW1376" s="418"/>
      <c r="AX1376" s="418"/>
      <c r="AY1376" s="418"/>
      <c r="AZ1376" s="418"/>
      <c r="BA1376" s="418"/>
    </row>
    <row r="1377" spans="40:53" ht="15.75" customHeight="1">
      <c r="AN1377" s="418"/>
      <c r="AO1377" s="418"/>
      <c r="AP1377" s="418"/>
      <c r="AQ1377" s="418"/>
      <c r="AR1377" s="418"/>
      <c r="AS1377" s="418"/>
      <c r="AT1377" s="418"/>
      <c r="AU1377" s="418"/>
      <c r="AV1377" s="418"/>
      <c r="AW1377" s="418"/>
      <c r="AX1377" s="418"/>
      <c r="AY1377" s="418"/>
      <c r="AZ1377" s="418"/>
      <c r="BA1377" s="418"/>
    </row>
    <row r="1378" spans="40:53" ht="15.75" customHeight="1">
      <c r="AN1378" s="418"/>
      <c r="AO1378" s="418"/>
      <c r="AP1378" s="418"/>
      <c r="AQ1378" s="418"/>
      <c r="AR1378" s="418"/>
      <c r="AS1378" s="418"/>
      <c r="AT1378" s="418"/>
      <c r="AU1378" s="418"/>
      <c r="AV1378" s="418"/>
      <c r="AW1378" s="418"/>
      <c r="AX1378" s="418"/>
      <c r="AY1378" s="418"/>
      <c r="AZ1378" s="418"/>
      <c r="BA1378" s="418"/>
    </row>
    <row r="1379" spans="40:53" ht="15.75" customHeight="1">
      <c r="AN1379" s="418"/>
      <c r="AO1379" s="418"/>
      <c r="AP1379" s="418"/>
      <c r="AQ1379" s="418"/>
      <c r="AR1379" s="418"/>
      <c r="AS1379" s="418"/>
      <c r="AT1379" s="418"/>
      <c r="AU1379" s="418"/>
      <c r="AV1379" s="418"/>
      <c r="AW1379" s="418"/>
      <c r="AX1379" s="418"/>
      <c r="AY1379" s="418"/>
      <c r="AZ1379" s="418"/>
      <c r="BA1379" s="418"/>
    </row>
    <row r="1380" spans="40:53" ht="15.75" customHeight="1">
      <c r="AN1380" s="418"/>
      <c r="AO1380" s="418"/>
      <c r="AP1380" s="418"/>
      <c r="AQ1380" s="418"/>
      <c r="AR1380" s="418"/>
      <c r="AS1380" s="418"/>
      <c r="AT1380" s="418"/>
      <c r="AU1380" s="418"/>
      <c r="AV1380" s="418"/>
      <c r="AW1380" s="418"/>
      <c r="AX1380" s="418"/>
      <c r="AY1380" s="418"/>
      <c r="AZ1380" s="418"/>
      <c r="BA1380" s="418"/>
    </row>
    <row r="1381" spans="40:53" ht="15.75" customHeight="1">
      <c r="AN1381" s="418"/>
      <c r="AO1381" s="418"/>
      <c r="AP1381" s="418"/>
      <c r="AQ1381" s="418"/>
      <c r="AR1381" s="418"/>
      <c r="AS1381" s="418"/>
      <c r="AT1381" s="418"/>
      <c r="AU1381" s="418"/>
      <c r="AV1381" s="418"/>
      <c r="AW1381" s="418"/>
      <c r="AX1381" s="418"/>
      <c r="AY1381" s="418"/>
      <c r="AZ1381" s="418"/>
      <c r="BA1381" s="418"/>
    </row>
    <row r="1382" spans="40:53" ht="15.75" customHeight="1">
      <c r="AN1382" s="418"/>
      <c r="AO1382" s="418"/>
      <c r="AP1382" s="418"/>
      <c r="AQ1382" s="418"/>
      <c r="AR1382" s="418"/>
      <c r="AS1382" s="418"/>
      <c r="AT1382" s="418"/>
      <c r="AU1382" s="418"/>
      <c r="AV1382" s="418"/>
      <c r="AW1382" s="418"/>
      <c r="AX1382" s="418"/>
      <c r="AY1382" s="418"/>
      <c r="AZ1382" s="418"/>
      <c r="BA1382" s="418"/>
    </row>
    <row r="1383" spans="40:53" ht="15.75" customHeight="1">
      <c r="AN1383" s="418"/>
      <c r="AO1383" s="418"/>
      <c r="AP1383" s="418"/>
      <c r="AQ1383" s="418"/>
      <c r="AR1383" s="418"/>
      <c r="AS1383" s="418"/>
      <c r="AT1383" s="418"/>
      <c r="AU1383" s="418"/>
      <c r="AV1383" s="418"/>
      <c r="AW1383" s="418"/>
      <c r="AX1383" s="418"/>
      <c r="AY1383" s="418"/>
      <c r="AZ1383" s="418"/>
      <c r="BA1383" s="418"/>
    </row>
    <row r="1384" spans="40:53" ht="15.75" customHeight="1">
      <c r="AN1384" s="418"/>
      <c r="AO1384" s="418"/>
      <c r="AP1384" s="418"/>
      <c r="AQ1384" s="418"/>
      <c r="AR1384" s="418"/>
      <c r="AS1384" s="418"/>
      <c r="AT1384" s="418"/>
      <c r="AU1384" s="418"/>
      <c r="AV1384" s="418"/>
      <c r="AW1384" s="418"/>
      <c r="AX1384" s="418"/>
      <c r="AY1384" s="418"/>
      <c r="AZ1384" s="418"/>
      <c r="BA1384" s="418"/>
    </row>
    <row r="1385" spans="40:53" ht="15.75" customHeight="1">
      <c r="AN1385" s="418"/>
      <c r="AO1385" s="418"/>
      <c r="AP1385" s="418"/>
      <c r="AQ1385" s="418"/>
      <c r="AR1385" s="418"/>
      <c r="AS1385" s="418"/>
      <c r="AT1385" s="418"/>
      <c r="AU1385" s="418"/>
      <c r="AV1385" s="418"/>
      <c r="AW1385" s="418"/>
      <c r="AX1385" s="418"/>
      <c r="AY1385" s="418"/>
      <c r="AZ1385" s="418"/>
      <c r="BA1385" s="418"/>
    </row>
    <row r="1386" spans="40:53" ht="15.75" customHeight="1">
      <c r="AN1386" s="418"/>
      <c r="AO1386" s="418"/>
      <c r="AP1386" s="418"/>
      <c r="AQ1386" s="418"/>
      <c r="AR1386" s="418"/>
      <c r="AS1386" s="418"/>
      <c r="AT1386" s="418"/>
      <c r="AU1386" s="418"/>
      <c r="AV1386" s="418"/>
      <c r="AW1386" s="418"/>
      <c r="AX1386" s="418"/>
      <c r="AY1386" s="418"/>
      <c r="AZ1386" s="418"/>
      <c r="BA1386" s="418"/>
    </row>
    <row r="1387" spans="40:53" ht="15.75" customHeight="1">
      <c r="AN1387" s="418"/>
      <c r="AO1387" s="418"/>
      <c r="AP1387" s="418"/>
      <c r="AQ1387" s="418"/>
      <c r="AR1387" s="418"/>
      <c r="AS1387" s="418"/>
      <c r="AT1387" s="418"/>
      <c r="AU1387" s="418"/>
      <c r="AV1387" s="418"/>
      <c r="AW1387" s="418"/>
      <c r="AX1387" s="418"/>
      <c r="AY1387" s="418"/>
      <c r="AZ1387" s="418"/>
      <c r="BA1387" s="418"/>
    </row>
    <row r="1388" spans="40:53" ht="15.75" customHeight="1">
      <c r="AN1388" s="418"/>
      <c r="AO1388" s="418"/>
      <c r="AP1388" s="418"/>
      <c r="AQ1388" s="418"/>
      <c r="AR1388" s="418"/>
      <c r="AS1388" s="418"/>
      <c r="AT1388" s="418"/>
      <c r="AU1388" s="418"/>
      <c r="AV1388" s="418"/>
      <c r="AW1388" s="418"/>
      <c r="AX1388" s="418"/>
      <c r="AY1388" s="418"/>
      <c r="AZ1388" s="418"/>
      <c r="BA1388" s="418"/>
    </row>
    <row r="1389" spans="40:53" ht="15.75" customHeight="1">
      <c r="AN1389" s="418"/>
      <c r="AO1389" s="418"/>
      <c r="AP1389" s="418"/>
      <c r="AQ1389" s="418"/>
      <c r="AR1389" s="418"/>
      <c r="AS1389" s="418"/>
      <c r="AT1389" s="418"/>
      <c r="AU1389" s="418"/>
      <c r="AV1389" s="418"/>
      <c r="AW1389" s="418"/>
      <c r="AX1389" s="418"/>
      <c r="AY1389" s="418"/>
      <c r="AZ1389" s="418"/>
      <c r="BA1389" s="418"/>
    </row>
    <row r="1390" spans="40:53" ht="15.75" customHeight="1">
      <c r="AN1390" s="418"/>
      <c r="AO1390" s="418"/>
      <c r="AP1390" s="418"/>
      <c r="AQ1390" s="418"/>
      <c r="AR1390" s="418"/>
      <c r="AS1390" s="418"/>
      <c r="AT1390" s="418"/>
      <c r="AU1390" s="418"/>
      <c r="AV1390" s="418"/>
      <c r="AW1390" s="418"/>
      <c r="AX1390" s="418"/>
      <c r="AY1390" s="418"/>
      <c r="AZ1390" s="418"/>
      <c r="BA1390" s="418"/>
    </row>
    <row r="1391" spans="40:53" ht="15.75" customHeight="1">
      <c r="AN1391" s="418"/>
      <c r="AO1391" s="418"/>
      <c r="AP1391" s="418"/>
      <c r="AQ1391" s="418"/>
      <c r="AR1391" s="418"/>
      <c r="AS1391" s="418"/>
      <c r="AT1391" s="418"/>
      <c r="AU1391" s="418"/>
      <c r="AV1391" s="418"/>
      <c r="AW1391" s="418"/>
      <c r="AX1391" s="418"/>
      <c r="AY1391" s="418"/>
      <c r="AZ1391" s="418"/>
      <c r="BA1391" s="418"/>
    </row>
    <row r="1392" spans="40:53" ht="15.75" customHeight="1">
      <c r="AN1392" s="418"/>
      <c r="AO1392" s="418"/>
      <c r="AP1392" s="418"/>
      <c r="AQ1392" s="418"/>
      <c r="AR1392" s="418"/>
      <c r="AS1392" s="418"/>
      <c r="AT1392" s="418"/>
      <c r="AU1392" s="418"/>
      <c r="AV1392" s="418"/>
      <c r="AW1392" s="418"/>
      <c r="AX1392" s="418"/>
      <c r="AY1392" s="418"/>
      <c r="AZ1392" s="418"/>
      <c r="BA1392" s="418"/>
    </row>
    <row r="1393" spans="40:53" ht="15.75" customHeight="1">
      <c r="AN1393" s="418"/>
      <c r="AO1393" s="418"/>
      <c r="AP1393" s="418"/>
      <c r="AQ1393" s="418"/>
      <c r="AR1393" s="418"/>
      <c r="AS1393" s="418"/>
      <c r="AT1393" s="418"/>
      <c r="AU1393" s="418"/>
      <c r="AV1393" s="418"/>
      <c r="AW1393" s="418"/>
      <c r="AX1393" s="418"/>
      <c r="AY1393" s="418"/>
      <c r="AZ1393" s="418"/>
      <c r="BA1393" s="418"/>
    </row>
    <row r="1394" spans="40:53" ht="15.75" customHeight="1">
      <c r="AN1394" s="418"/>
      <c r="AO1394" s="418"/>
      <c r="AP1394" s="418"/>
      <c r="AQ1394" s="418"/>
      <c r="AR1394" s="418"/>
      <c r="AS1394" s="418"/>
      <c r="AT1394" s="418"/>
      <c r="AU1394" s="418"/>
      <c r="AV1394" s="418"/>
      <c r="AW1394" s="418"/>
      <c r="AX1394" s="418"/>
      <c r="AY1394" s="418"/>
      <c r="AZ1394" s="418"/>
      <c r="BA1394" s="418"/>
    </row>
    <row r="1395" spans="40:53" ht="15.75" customHeight="1">
      <c r="AN1395" s="418"/>
      <c r="AO1395" s="418"/>
      <c r="AP1395" s="418"/>
      <c r="AQ1395" s="418"/>
      <c r="AR1395" s="418"/>
      <c r="AS1395" s="418"/>
      <c r="AT1395" s="418"/>
      <c r="AU1395" s="418"/>
      <c r="AV1395" s="418"/>
      <c r="AW1395" s="418"/>
      <c r="AX1395" s="418"/>
      <c r="AY1395" s="418"/>
      <c r="AZ1395" s="418"/>
      <c r="BA1395" s="418"/>
    </row>
    <row r="1396" spans="40:53" ht="15.75" customHeight="1">
      <c r="AN1396" s="418"/>
      <c r="AO1396" s="418"/>
      <c r="AP1396" s="418"/>
      <c r="AQ1396" s="418"/>
      <c r="AR1396" s="418"/>
      <c r="AS1396" s="418"/>
      <c r="AT1396" s="418"/>
      <c r="AU1396" s="418"/>
      <c r="AV1396" s="418"/>
      <c r="AW1396" s="418"/>
      <c r="AX1396" s="418"/>
      <c r="AY1396" s="418"/>
      <c r="AZ1396" s="418"/>
      <c r="BA1396" s="418"/>
    </row>
    <row r="1397" spans="40:53" ht="15.75" customHeight="1">
      <c r="AN1397" s="418"/>
      <c r="AO1397" s="418"/>
      <c r="AP1397" s="418"/>
      <c r="AQ1397" s="418"/>
      <c r="AR1397" s="418"/>
      <c r="AS1397" s="418"/>
      <c r="AT1397" s="418"/>
      <c r="AU1397" s="418"/>
      <c r="AV1397" s="418"/>
      <c r="AW1397" s="418"/>
      <c r="AX1397" s="418"/>
      <c r="AY1397" s="418"/>
      <c r="AZ1397" s="418"/>
      <c r="BA1397" s="418"/>
    </row>
    <row r="1398" spans="40:53" ht="15.75" customHeight="1">
      <c r="AN1398" s="418"/>
      <c r="AO1398" s="418"/>
      <c r="AP1398" s="418"/>
      <c r="AQ1398" s="418"/>
      <c r="AR1398" s="418"/>
      <c r="AS1398" s="418"/>
      <c r="AT1398" s="418"/>
      <c r="AU1398" s="418"/>
      <c r="AV1398" s="418"/>
      <c r="AW1398" s="418"/>
      <c r="AX1398" s="418"/>
      <c r="AY1398" s="418"/>
      <c r="AZ1398" s="418"/>
      <c r="BA1398" s="418"/>
    </row>
    <row r="1399" spans="40:53" ht="15.75" customHeight="1">
      <c r="AN1399" s="418"/>
      <c r="AO1399" s="418"/>
      <c r="AP1399" s="418"/>
      <c r="AQ1399" s="418"/>
      <c r="AR1399" s="418"/>
      <c r="AS1399" s="418"/>
      <c r="AT1399" s="418"/>
      <c r="AU1399" s="418"/>
      <c r="AV1399" s="418"/>
      <c r="AW1399" s="418"/>
      <c r="AX1399" s="418"/>
      <c r="AY1399" s="418"/>
      <c r="AZ1399" s="418"/>
      <c r="BA1399" s="418"/>
    </row>
    <row r="1400" spans="40:53" ht="15.75" customHeight="1">
      <c r="AN1400" s="418"/>
      <c r="AO1400" s="418"/>
      <c r="AP1400" s="418"/>
      <c r="AQ1400" s="418"/>
      <c r="AR1400" s="418"/>
      <c r="AS1400" s="418"/>
      <c r="AT1400" s="418"/>
      <c r="AU1400" s="418"/>
      <c r="AV1400" s="418"/>
      <c r="AW1400" s="418"/>
      <c r="AX1400" s="418"/>
      <c r="AY1400" s="418"/>
      <c r="AZ1400" s="418"/>
      <c r="BA1400" s="418"/>
    </row>
    <row r="1401" spans="40:53" ht="15.75" customHeight="1">
      <c r="AN1401" s="418"/>
      <c r="AO1401" s="418"/>
      <c r="AP1401" s="418"/>
      <c r="AQ1401" s="418"/>
      <c r="AR1401" s="418"/>
      <c r="AS1401" s="418"/>
      <c r="AT1401" s="418"/>
      <c r="AU1401" s="418"/>
      <c r="AV1401" s="418"/>
      <c r="AW1401" s="418"/>
      <c r="AX1401" s="418"/>
      <c r="AY1401" s="418"/>
      <c r="AZ1401" s="418"/>
      <c r="BA1401" s="418"/>
    </row>
    <row r="1402" spans="40:53" ht="15.75" customHeight="1">
      <c r="AN1402" s="418"/>
      <c r="AO1402" s="418"/>
      <c r="AP1402" s="418"/>
      <c r="AQ1402" s="418"/>
      <c r="AR1402" s="418"/>
      <c r="AS1402" s="418"/>
      <c r="AT1402" s="418"/>
      <c r="AU1402" s="418"/>
      <c r="AV1402" s="418"/>
      <c r="AW1402" s="418"/>
      <c r="AX1402" s="418"/>
      <c r="AY1402" s="418"/>
      <c r="AZ1402" s="418"/>
      <c r="BA1402" s="418"/>
    </row>
    <row r="1403" spans="40:53" ht="15.75" customHeight="1">
      <c r="AN1403" s="418"/>
      <c r="AO1403" s="418"/>
      <c r="AP1403" s="418"/>
      <c r="AQ1403" s="418"/>
      <c r="AR1403" s="418"/>
      <c r="AS1403" s="418"/>
      <c r="AT1403" s="418"/>
      <c r="AU1403" s="418"/>
      <c r="AV1403" s="418"/>
      <c r="AW1403" s="418"/>
      <c r="AX1403" s="418"/>
      <c r="AY1403" s="418"/>
      <c r="AZ1403" s="418"/>
      <c r="BA1403" s="418"/>
    </row>
    <row r="1404" spans="40:53" ht="15.75" customHeight="1">
      <c r="AN1404" s="418"/>
      <c r="AO1404" s="418"/>
      <c r="AP1404" s="418"/>
      <c r="AQ1404" s="418"/>
      <c r="AR1404" s="418"/>
      <c r="AS1404" s="418"/>
      <c r="AT1404" s="418"/>
      <c r="AU1404" s="418"/>
      <c r="AV1404" s="418"/>
      <c r="AW1404" s="418"/>
      <c r="AX1404" s="418"/>
      <c r="AY1404" s="418"/>
      <c r="AZ1404" s="418"/>
      <c r="BA1404" s="418"/>
    </row>
    <row r="1405" spans="40:53" ht="15.75" customHeight="1">
      <c r="AN1405" s="418"/>
      <c r="AO1405" s="418"/>
      <c r="AP1405" s="418"/>
      <c r="AQ1405" s="418"/>
      <c r="AR1405" s="418"/>
      <c r="AS1405" s="418"/>
      <c r="AT1405" s="418"/>
      <c r="AU1405" s="418"/>
      <c r="AV1405" s="418"/>
      <c r="AW1405" s="418"/>
      <c r="AX1405" s="418"/>
      <c r="AY1405" s="418"/>
      <c r="AZ1405" s="418"/>
      <c r="BA1405" s="418"/>
    </row>
    <row r="1406" spans="40:53" ht="15.75" customHeight="1">
      <c r="AN1406" s="418"/>
      <c r="AO1406" s="418"/>
      <c r="AP1406" s="418"/>
      <c r="AQ1406" s="418"/>
      <c r="AR1406" s="418"/>
      <c r="AS1406" s="418"/>
      <c r="AT1406" s="418"/>
      <c r="AU1406" s="418"/>
      <c r="AV1406" s="418"/>
      <c r="AW1406" s="418"/>
      <c r="AX1406" s="418"/>
      <c r="AY1406" s="418"/>
      <c r="AZ1406" s="418"/>
      <c r="BA1406" s="418"/>
    </row>
    <row r="1407" spans="40:53" ht="15.75" customHeight="1">
      <c r="AN1407" s="418"/>
      <c r="AO1407" s="418"/>
      <c r="AP1407" s="418"/>
      <c r="AQ1407" s="418"/>
      <c r="AR1407" s="418"/>
      <c r="AS1407" s="418"/>
      <c r="AT1407" s="418"/>
      <c r="AU1407" s="418"/>
      <c r="AV1407" s="418"/>
      <c r="AW1407" s="418"/>
      <c r="AX1407" s="418"/>
      <c r="AY1407" s="418"/>
      <c r="AZ1407" s="418"/>
      <c r="BA1407" s="418"/>
    </row>
    <row r="1408" spans="40:53" ht="15.75" customHeight="1">
      <c r="AN1408" s="418"/>
      <c r="AO1408" s="418"/>
      <c r="AP1408" s="418"/>
      <c r="AQ1408" s="418"/>
      <c r="AR1408" s="418"/>
      <c r="AS1408" s="418"/>
      <c r="AT1408" s="418"/>
      <c r="AU1408" s="418"/>
      <c r="AV1408" s="418"/>
      <c r="AW1408" s="418"/>
      <c r="AX1408" s="418"/>
      <c r="AY1408" s="418"/>
      <c r="AZ1408" s="418"/>
      <c r="BA1408" s="418"/>
    </row>
    <row r="1409" spans="40:53" ht="15.75" customHeight="1">
      <c r="AN1409" s="418"/>
      <c r="AO1409" s="418"/>
      <c r="AP1409" s="418"/>
      <c r="AQ1409" s="418"/>
      <c r="AR1409" s="418"/>
      <c r="AS1409" s="418"/>
      <c r="AT1409" s="418"/>
      <c r="AU1409" s="418"/>
      <c r="AV1409" s="418"/>
      <c r="AW1409" s="418"/>
      <c r="AX1409" s="418"/>
      <c r="AY1409" s="418"/>
      <c r="AZ1409" s="418"/>
      <c r="BA1409" s="418"/>
    </row>
    <row r="1410" spans="40:53" ht="15.75" customHeight="1">
      <c r="AN1410" s="418"/>
      <c r="AO1410" s="418"/>
      <c r="AP1410" s="418"/>
      <c r="AQ1410" s="418"/>
      <c r="AR1410" s="418"/>
      <c r="AS1410" s="418"/>
      <c r="AT1410" s="418"/>
      <c r="AU1410" s="418"/>
      <c r="AV1410" s="418"/>
      <c r="AW1410" s="418"/>
      <c r="AX1410" s="418"/>
      <c r="AY1410" s="418"/>
      <c r="AZ1410" s="418"/>
      <c r="BA1410" s="418"/>
    </row>
    <row r="1411" spans="40:53" ht="15.75" customHeight="1">
      <c r="AN1411" s="418"/>
      <c r="AO1411" s="418"/>
      <c r="AP1411" s="418"/>
      <c r="AQ1411" s="418"/>
      <c r="AR1411" s="418"/>
      <c r="AS1411" s="418"/>
      <c r="AT1411" s="418"/>
      <c r="AU1411" s="418"/>
      <c r="AV1411" s="418"/>
      <c r="AW1411" s="418"/>
      <c r="AX1411" s="418"/>
      <c r="AY1411" s="418"/>
      <c r="AZ1411" s="418"/>
      <c r="BA1411" s="418"/>
    </row>
    <row r="1412" spans="40:53" ht="15.75" customHeight="1">
      <c r="AN1412" s="418"/>
      <c r="AO1412" s="418"/>
      <c r="AP1412" s="418"/>
      <c r="AQ1412" s="418"/>
      <c r="AR1412" s="418"/>
      <c r="AS1412" s="418"/>
      <c r="AT1412" s="418"/>
      <c r="AU1412" s="418"/>
      <c r="AV1412" s="418"/>
      <c r="AW1412" s="418"/>
      <c r="AX1412" s="418"/>
      <c r="AY1412" s="418"/>
      <c r="AZ1412" s="418"/>
      <c r="BA1412" s="418"/>
    </row>
    <row r="1413" spans="40:53" ht="15.75" customHeight="1">
      <c r="AN1413" s="418"/>
      <c r="AO1413" s="418"/>
      <c r="AP1413" s="418"/>
      <c r="AQ1413" s="418"/>
      <c r="AR1413" s="418"/>
      <c r="AS1413" s="418"/>
      <c r="AT1413" s="418"/>
      <c r="AU1413" s="418"/>
      <c r="AV1413" s="418"/>
      <c r="AW1413" s="418"/>
      <c r="AX1413" s="418"/>
      <c r="AY1413" s="418"/>
      <c r="AZ1413" s="418"/>
      <c r="BA1413" s="418"/>
    </row>
    <row r="1414" spans="40:53" ht="15.75" customHeight="1">
      <c r="AN1414" s="418"/>
      <c r="AO1414" s="418"/>
      <c r="AP1414" s="418"/>
      <c r="AQ1414" s="418"/>
      <c r="AR1414" s="418"/>
      <c r="AS1414" s="418"/>
      <c r="AT1414" s="418"/>
      <c r="AU1414" s="418"/>
      <c r="AV1414" s="418"/>
      <c r="AW1414" s="418"/>
      <c r="AX1414" s="418"/>
      <c r="AY1414" s="418"/>
      <c r="AZ1414" s="418"/>
      <c r="BA1414" s="418"/>
    </row>
    <row r="1415" spans="40:53" ht="15.75" customHeight="1">
      <c r="AN1415" s="418"/>
      <c r="AO1415" s="418"/>
      <c r="AP1415" s="418"/>
      <c r="AQ1415" s="418"/>
      <c r="AR1415" s="418"/>
      <c r="AS1415" s="418"/>
      <c r="AT1415" s="418"/>
      <c r="AU1415" s="418"/>
      <c r="AV1415" s="418"/>
      <c r="AW1415" s="418"/>
      <c r="AX1415" s="418"/>
      <c r="AY1415" s="418"/>
      <c r="AZ1415" s="418"/>
      <c r="BA1415" s="418"/>
    </row>
    <row r="1416" spans="40:53" ht="15.75" customHeight="1">
      <c r="AN1416" s="418"/>
      <c r="AO1416" s="418"/>
      <c r="AP1416" s="418"/>
      <c r="AQ1416" s="418"/>
      <c r="AR1416" s="418"/>
      <c r="AS1416" s="418"/>
      <c r="AT1416" s="418"/>
      <c r="AU1416" s="418"/>
      <c r="AV1416" s="418"/>
      <c r="AW1416" s="418"/>
      <c r="AX1416" s="418"/>
      <c r="AY1416" s="418"/>
      <c r="AZ1416" s="418"/>
      <c r="BA1416" s="418"/>
    </row>
    <row r="1417" spans="40:53" ht="15.75" customHeight="1">
      <c r="AN1417" s="418"/>
      <c r="AO1417" s="418"/>
      <c r="AP1417" s="418"/>
      <c r="AQ1417" s="418"/>
      <c r="AR1417" s="418"/>
      <c r="AS1417" s="418"/>
      <c r="AT1417" s="418"/>
      <c r="AU1417" s="418"/>
      <c r="AV1417" s="418"/>
      <c r="AW1417" s="418"/>
      <c r="AX1417" s="418"/>
      <c r="AY1417" s="418"/>
      <c r="AZ1417" s="418"/>
      <c r="BA1417" s="418"/>
    </row>
    <row r="1418" spans="40:53" ht="15.75" customHeight="1">
      <c r="AN1418" s="418"/>
      <c r="AO1418" s="418"/>
      <c r="AP1418" s="418"/>
      <c r="AQ1418" s="418"/>
      <c r="AR1418" s="418"/>
      <c r="AS1418" s="418"/>
      <c r="AT1418" s="418"/>
      <c r="AU1418" s="418"/>
      <c r="AV1418" s="418"/>
      <c r="AW1418" s="418"/>
      <c r="AX1418" s="418"/>
      <c r="AY1418" s="418"/>
      <c r="AZ1418" s="418"/>
      <c r="BA1418" s="418"/>
    </row>
    <row r="1419" spans="40:53" ht="15.75" customHeight="1">
      <c r="AN1419" s="418"/>
      <c r="AO1419" s="418"/>
      <c r="AP1419" s="418"/>
      <c r="AQ1419" s="418"/>
      <c r="AR1419" s="418"/>
      <c r="AS1419" s="418"/>
      <c r="AT1419" s="418"/>
      <c r="AU1419" s="418"/>
      <c r="AV1419" s="418"/>
      <c r="AW1419" s="418"/>
      <c r="AX1419" s="418"/>
      <c r="AY1419" s="418"/>
      <c r="AZ1419" s="418"/>
      <c r="BA1419" s="418"/>
    </row>
    <row r="1420" spans="40:53" ht="15.75" customHeight="1">
      <c r="AN1420" s="418"/>
      <c r="AO1420" s="418"/>
      <c r="AP1420" s="418"/>
      <c r="AQ1420" s="418"/>
      <c r="AR1420" s="418"/>
      <c r="AS1420" s="418"/>
      <c r="AT1420" s="418"/>
      <c r="AU1420" s="418"/>
      <c r="AV1420" s="418"/>
      <c r="AW1420" s="418"/>
      <c r="AX1420" s="418"/>
      <c r="AY1420" s="418"/>
      <c r="AZ1420" s="418"/>
      <c r="BA1420" s="418"/>
    </row>
    <row r="1421" spans="40:53" ht="15.75" customHeight="1">
      <c r="AN1421" s="418"/>
      <c r="AO1421" s="418"/>
      <c r="AP1421" s="418"/>
      <c r="AQ1421" s="418"/>
      <c r="AR1421" s="418"/>
      <c r="AS1421" s="418"/>
      <c r="AT1421" s="418"/>
      <c r="AU1421" s="418"/>
      <c r="AV1421" s="418"/>
      <c r="AW1421" s="418"/>
      <c r="AX1421" s="418"/>
      <c r="AY1421" s="418"/>
      <c r="AZ1421" s="418"/>
      <c r="BA1421" s="418"/>
    </row>
    <row r="1422" spans="40:53" ht="15.75" customHeight="1">
      <c r="AN1422" s="418"/>
      <c r="AO1422" s="418"/>
      <c r="AP1422" s="418"/>
      <c r="AQ1422" s="418"/>
      <c r="AR1422" s="418"/>
      <c r="AS1422" s="418"/>
      <c r="AT1422" s="418"/>
      <c r="AU1422" s="418"/>
      <c r="AV1422" s="418"/>
      <c r="AW1422" s="418"/>
      <c r="AX1422" s="418"/>
      <c r="AY1422" s="418"/>
      <c r="AZ1422" s="418"/>
      <c r="BA1422" s="418"/>
    </row>
    <row r="1423" spans="40:53" ht="15.75" customHeight="1">
      <c r="AN1423" s="418"/>
      <c r="AO1423" s="418"/>
      <c r="AP1423" s="418"/>
      <c r="AQ1423" s="418"/>
      <c r="AR1423" s="418"/>
      <c r="AS1423" s="418"/>
      <c r="AT1423" s="418"/>
      <c r="AU1423" s="418"/>
      <c r="AV1423" s="418"/>
      <c r="AW1423" s="418"/>
      <c r="AX1423" s="418"/>
      <c r="AY1423" s="418"/>
      <c r="AZ1423" s="418"/>
      <c r="BA1423" s="418"/>
    </row>
    <row r="1424" spans="40:53" ht="15.75" customHeight="1">
      <c r="AN1424" s="418"/>
      <c r="AO1424" s="418"/>
      <c r="AP1424" s="418"/>
      <c r="AQ1424" s="418"/>
      <c r="AR1424" s="418"/>
      <c r="AS1424" s="418"/>
      <c r="AT1424" s="418"/>
      <c r="AU1424" s="418"/>
      <c r="AV1424" s="418"/>
      <c r="AW1424" s="418"/>
      <c r="AX1424" s="418"/>
      <c r="AY1424" s="418"/>
      <c r="AZ1424" s="418"/>
      <c r="BA1424" s="418"/>
    </row>
    <row r="1425" spans="40:53" ht="15.75" customHeight="1">
      <c r="AN1425" s="418"/>
      <c r="AO1425" s="418"/>
      <c r="AP1425" s="418"/>
      <c r="AQ1425" s="418"/>
      <c r="AR1425" s="418"/>
      <c r="AS1425" s="418"/>
      <c r="AT1425" s="418"/>
      <c r="AU1425" s="418"/>
      <c r="AV1425" s="418"/>
      <c r="AW1425" s="418"/>
      <c r="AX1425" s="418"/>
      <c r="AY1425" s="418"/>
      <c r="AZ1425" s="418"/>
      <c r="BA1425" s="418"/>
    </row>
    <row r="1426" spans="40:53" ht="15.75" customHeight="1">
      <c r="AN1426" s="418"/>
      <c r="AO1426" s="418"/>
      <c r="AP1426" s="418"/>
      <c r="AQ1426" s="418"/>
      <c r="AR1426" s="418"/>
      <c r="AS1426" s="418"/>
      <c r="AT1426" s="418"/>
      <c r="AU1426" s="418"/>
      <c r="AV1426" s="418"/>
      <c r="AW1426" s="418"/>
      <c r="AX1426" s="418"/>
      <c r="AY1426" s="418"/>
      <c r="AZ1426" s="418"/>
      <c r="BA1426" s="418"/>
    </row>
    <row r="1427" spans="40:53" ht="15.75" customHeight="1">
      <c r="AN1427" s="418"/>
      <c r="AO1427" s="418"/>
      <c r="AP1427" s="418"/>
      <c r="AQ1427" s="418"/>
      <c r="AR1427" s="418"/>
      <c r="AS1427" s="418"/>
      <c r="AT1427" s="418"/>
      <c r="AU1427" s="418"/>
      <c r="AV1427" s="418"/>
      <c r="AW1427" s="418"/>
      <c r="AX1427" s="418"/>
      <c r="AY1427" s="418"/>
      <c r="AZ1427" s="418"/>
      <c r="BA1427" s="418"/>
    </row>
    <row r="1428" spans="40:53" ht="15.75" customHeight="1">
      <c r="AN1428" s="418"/>
      <c r="AO1428" s="418"/>
      <c r="AP1428" s="418"/>
      <c r="AQ1428" s="418"/>
      <c r="AR1428" s="418"/>
      <c r="AS1428" s="418"/>
      <c r="AT1428" s="418"/>
      <c r="AU1428" s="418"/>
      <c r="AV1428" s="418"/>
      <c r="AW1428" s="418"/>
      <c r="AX1428" s="418"/>
      <c r="AY1428" s="418"/>
      <c r="AZ1428" s="418"/>
      <c r="BA1428" s="418"/>
    </row>
    <row r="1429" spans="40:53" ht="15.75" customHeight="1">
      <c r="AN1429" s="418"/>
      <c r="AO1429" s="418"/>
      <c r="AP1429" s="418"/>
      <c r="AQ1429" s="418"/>
      <c r="AR1429" s="418"/>
      <c r="AS1429" s="418"/>
      <c r="AT1429" s="418"/>
      <c r="AU1429" s="418"/>
      <c r="AV1429" s="418"/>
      <c r="AW1429" s="418"/>
      <c r="AX1429" s="418"/>
      <c r="AY1429" s="418"/>
      <c r="AZ1429" s="418"/>
      <c r="BA1429" s="418"/>
    </row>
    <row r="1430" spans="40:53" ht="15.75" customHeight="1">
      <c r="AN1430" s="418"/>
      <c r="AO1430" s="418"/>
      <c r="AP1430" s="418"/>
      <c r="AQ1430" s="418"/>
      <c r="AR1430" s="418"/>
      <c r="AS1430" s="418"/>
      <c r="AT1430" s="418"/>
      <c r="AU1430" s="418"/>
      <c r="AV1430" s="418"/>
      <c r="AW1430" s="418"/>
      <c r="AX1430" s="418"/>
      <c r="AY1430" s="418"/>
      <c r="AZ1430" s="418"/>
      <c r="BA1430" s="418"/>
    </row>
    <row r="1431" spans="40:53" ht="15.75" customHeight="1">
      <c r="AN1431" s="418"/>
      <c r="AO1431" s="418"/>
      <c r="AP1431" s="418"/>
      <c r="AQ1431" s="418"/>
      <c r="AR1431" s="418"/>
      <c r="AS1431" s="418"/>
      <c r="AT1431" s="418"/>
      <c r="AU1431" s="418"/>
      <c r="AV1431" s="418"/>
      <c r="AW1431" s="418"/>
      <c r="AX1431" s="418"/>
      <c r="AY1431" s="418"/>
      <c r="AZ1431" s="418"/>
      <c r="BA1431" s="418"/>
    </row>
    <row r="1432" spans="40:53" ht="15.75" customHeight="1">
      <c r="AN1432" s="418"/>
      <c r="AO1432" s="418"/>
      <c r="AP1432" s="418"/>
      <c r="AQ1432" s="418"/>
      <c r="AR1432" s="418"/>
      <c r="AS1432" s="418"/>
      <c r="AT1432" s="418"/>
      <c r="AU1432" s="418"/>
      <c r="AV1432" s="418"/>
      <c r="AW1432" s="418"/>
      <c r="AX1432" s="418"/>
      <c r="AY1432" s="418"/>
      <c r="AZ1432" s="418"/>
      <c r="BA1432" s="418"/>
    </row>
    <row r="1433" spans="40:53" ht="15.75" customHeight="1">
      <c r="AN1433" s="418"/>
      <c r="AO1433" s="418"/>
      <c r="AP1433" s="418"/>
      <c r="AQ1433" s="418"/>
      <c r="AR1433" s="418"/>
      <c r="AS1433" s="418"/>
      <c r="AT1433" s="418"/>
      <c r="AU1433" s="418"/>
      <c r="AV1433" s="418"/>
      <c r="AW1433" s="418"/>
      <c r="AX1433" s="418"/>
      <c r="AY1433" s="418"/>
      <c r="AZ1433" s="418"/>
      <c r="BA1433" s="418"/>
    </row>
    <row r="1434" spans="40:53" ht="15.75" customHeight="1">
      <c r="AN1434" s="418"/>
      <c r="AO1434" s="418"/>
      <c r="AP1434" s="418"/>
      <c r="AQ1434" s="418"/>
      <c r="AR1434" s="418"/>
      <c r="AS1434" s="418"/>
      <c r="AT1434" s="418"/>
      <c r="AU1434" s="418"/>
      <c r="AV1434" s="418"/>
      <c r="AW1434" s="418"/>
      <c r="AX1434" s="418"/>
      <c r="AY1434" s="418"/>
      <c r="AZ1434" s="418"/>
      <c r="BA1434" s="418"/>
    </row>
    <row r="1435" spans="40:53" ht="15.75" customHeight="1">
      <c r="AN1435" s="418"/>
      <c r="AO1435" s="418"/>
      <c r="AP1435" s="418"/>
      <c r="AQ1435" s="418"/>
      <c r="AR1435" s="418"/>
      <c r="AS1435" s="418"/>
      <c r="AT1435" s="418"/>
      <c r="AU1435" s="418"/>
      <c r="AV1435" s="418"/>
      <c r="AW1435" s="418"/>
      <c r="AX1435" s="418"/>
      <c r="AY1435" s="418"/>
      <c r="AZ1435" s="418"/>
      <c r="BA1435" s="418"/>
    </row>
    <row r="1436" spans="40:53" ht="15.75" customHeight="1">
      <c r="AN1436" s="418"/>
      <c r="AO1436" s="418"/>
      <c r="AP1436" s="418"/>
      <c r="AQ1436" s="418"/>
      <c r="AR1436" s="418"/>
      <c r="AS1436" s="418"/>
      <c r="AT1436" s="418"/>
      <c r="AU1436" s="418"/>
      <c r="AV1436" s="418"/>
      <c r="AW1436" s="418"/>
      <c r="AX1436" s="418"/>
      <c r="AY1436" s="418"/>
      <c r="AZ1436" s="418"/>
      <c r="BA1436" s="418"/>
    </row>
    <row r="1437" spans="40:53" ht="15.75" customHeight="1">
      <c r="AN1437" s="418"/>
      <c r="AO1437" s="418"/>
      <c r="AP1437" s="418"/>
      <c r="AQ1437" s="418"/>
      <c r="AR1437" s="418"/>
      <c r="AS1437" s="418"/>
      <c r="AT1437" s="418"/>
      <c r="AU1437" s="418"/>
      <c r="AV1437" s="418"/>
      <c r="AW1437" s="418"/>
      <c r="AX1437" s="418"/>
      <c r="AY1437" s="418"/>
      <c r="AZ1437" s="418"/>
      <c r="BA1437" s="418"/>
    </row>
    <row r="1438" spans="40:53" ht="15.75" customHeight="1">
      <c r="AN1438" s="418"/>
      <c r="AO1438" s="418"/>
      <c r="AP1438" s="418"/>
      <c r="AQ1438" s="418"/>
      <c r="AR1438" s="418"/>
      <c r="AS1438" s="418"/>
      <c r="AT1438" s="418"/>
      <c r="AU1438" s="418"/>
      <c r="AV1438" s="418"/>
      <c r="AW1438" s="418"/>
      <c r="AX1438" s="418"/>
      <c r="AY1438" s="418"/>
      <c r="AZ1438" s="418"/>
      <c r="BA1438" s="418"/>
    </row>
    <row r="1439" spans="40:53" ht="15.75" customHeight="1">
      <c r="AN1439" s="418"/>
      <c r="AO1439" s="418"/>
      <c r="AP1439" s="418"/>
      <c r="AQ1439" s="418"/>
      <c r="AR1439" s="418"/>
      <c r="AS1439" s="418"/>
      <c r="AT1439" s="418"/>
      <c r="AU1439" s="418"/>
      <c r="AV1439" s="418"/>
      <c r="AW1439" s="418"/>
      <c r="AX1439" s="418"/>
      <c r="AY1439" s="418"/>
      <c r="AZ1439" s="418"/>
      <c r="BA1439" s="418"/>
    </row>
    <row r="1440" spans="40:53" ht="15.75" customHeight="1">
      <c r="AN1440" s="418"/>
      <c r="AO1440" s="418"/>
      <c r="AP1440" s="418"/>
      <c r="AQ1440" s="418"/>
      <c r="AR1440" s="418"/>
      <c r="AS1440" s="418"/>
      <c r="AT1440" s="418"/>
      <c r="AU1440" s="418"/>
      <c r="AV1440" s="418"/>
      <c r="AW1440" s="418"/>
      <c r="AX1440" s="418"/>
      <c r="AY1440" s="418"/>
      <c r="AZ1440" s="418"/>
      <c r="BA1440" s="418"/>
    </row>
    <row r="1441" spans="40:53" ht="15.75" customHeight="1">
      <c r="AN1441" s="418"/>
      <c r="AO1441" s="418"/>
      <c r="AP1441" s="418"/>
      <c r="AQ1441" s="418"/>
      <c r="AR1441" s="418"/>
      <c r="AS1441" s="418"/>
      <c r="AT1441" s="418"/>
      <c r="AU1441" s="418"/>
      <c r="AV1441" s="418"/>
      <c r="AW1441" s="418"/>
      <c r="AX1441" s="418"/>
      <c r="AY1441" s="418"/>
      <c r="AZ1441" s="418"/>
      <c r="BA1441" s="418"/>
    </row>
    <row r="1442" spans="40:53" ht="15.75" customHeight="1">
      <c r="AN1442" s="418"/>
      <c r="AO1442" s="418"/>
      <c r="AP1442" s="418"/>
      <c r="AQ1442" s="418"/>
      <c r="AR1442" s="418"/>
      <c r="AS1442" s="418"/>
      <c r="AT1442" s="418"/>
      <c r="AU1442" s="418"/>
      <c r="AV1442" s="418"/>
      <c r="AW1442" s="418"/>
      <c r="AX1442" s="418"/>
      <c r="AY1442" s="418"/>
      <c r="AZ1442" s="418"/>
      <c r="BA1442" s="418"/>
    </row>
    <row r="1443" spans="40:53" ht="15.75" customHeight="1">
      <c r="AN1443" s="418"/>
      <c r="AO1443" s="418"/>
      <c r="AP1443" s="418"/>
      <c r="AQ1443" s="418"/>
      <c r="AR1443" s="418"/>
      <c r="AS1443" s="418"/>
      <c r="AT1443" s="418"/>
      <c r="AU1443" s="418"/>
      <c r="AV1443" s="418"/>
      <c r="AW1443" s="418"/>
      <c r="AX1443" s="418"/>
      <c r="AY1443" s="418"/>
      <c r="AZ1443" s="418"/>
      <c r="BA1443" s="418"/>
    </row>
    <row r="1444" spans="40:53" ht="15.75" customHeight="1">
      <c r="AN1444" s="418"/>
      <c r="AO1444" s="418"/>
      <c r="AP1444" s="418"/>
      <c r="AQ1444" s="418"/>
      <c r="AR1444" s="418"/>
      <c r="AS1444" s="418"/>
      <c r="AT1444" s="418"/>
      <c r="AU1444" s="418"/>
      <c r="AV1444" s="418"/>
      <c r="AW1444" s="418"/>
      <c r="AX1444" s="418"/>
      <c r="AY1444" s="418"/>
      <c r="AZ1444" s="418"/>
      <c r="BA1444" s="418"/>
    </row>
    <row r="1445" spans="40:53" ht="15.75" customHeight="1">
      <c r="AN1445" s="418"/>
      <c r="AO1445" s="418"/>
      <c r="AP1445" s="418"/>
      <c r="AQ1445" s="418"/>
      <c r="AR1445" s="418"/>
      <c r="AS1445" s="418"/>
      <c r="AT1445" s="418"/>
      <c r="AU1445" s="418"/>
      <c r="AV1445" s="418"/>
      <c r="AW1445" s="418"/>
      <c r="AX1445" s="418"/>
      <c r="AY1445" s="418"/>
      <c r="AZ1445" s="418"/>
      <c r="BA1445" s="418"/>
    </row>
    <row r="1446" spans="40:53" ht="15.75" customHeight="1">
      <c r="AN1446" s="418"/>
      <c r="AO1446" s="418"/>
      <c r="AP1446" s="418"/>
      <c r="AQ1446" s="418"/>
      <c r="AR1446" s="418"/>
      <c r="AS1446" s="418"/>
      <c r="AT1446" s="418"/>
      <c r="AU1446" s="418"/>
      <c r="AV1446" s="418"/>
      <c r="AW1446" s="418"/>
      <c r="AX1446" s="418"/>
      <c r="AY1446" s="418"/>
      <c r="AZ1446" s="418"/>
      <c r="BA1446" s="418"/>
    </row>
    <row r="1447" spans="40:53" ht="15.75" customHeight="1">
      <c r="AN1447" s="418"/>
      <c r="AO1447" s="418"/>
      <c r="AP1447" s="418"/>
      <c r="AQ1447" s="418"/>
      <c r="AR1447" s="418"/>
      <c r="AS1447" s="418"/>
      <c r="AT1447" s="418"/>
      <c r="AU1447" s="418"/>
      <c r="AV1447" s="418"/>
      <c r="AW1447" s="418"/>
      <c r="AX1447" s="418"/>
      <c r="AY1447" s="418"/>
      <c r="AZ1447" s="418"/>
      <c r="BA1447" s="418"/>
    </row>
    <row r="1448" spans="40:53" ht="15.75" customHeight="1">
      <c r="AN1448" s="418"/>
      <c r="AO1448" s="418"/>
      <c r="AP1448" s="418"/>
      <c r="AQ1448" s="418"/>
      <c r="AR1448" s="418"/>
      <c r="AS1448" s="418"/>
      <c r="AT1448" s="418"/>
      <c r="AU1448" s="418"/>
      <c r="AV1448" s="418"/>
      <c r="AW1448" s="418"/>
      <c r="AX1448" s="418"/>
      <c r="AY1448" s="418"/>
      <c r="AZ1448" s="418"/>
      <c r="BA1448" s="418"/>
    </row>
    <row r="1449" spans="40:53" ht="15.75" customHeight="1">
      <c r="AN1449" s="418"/>
      <c r="AO1449" s="418"/>
      <c r="AP1449" s="418"/>
      <c r="AQ1449" s="418"/>
      <c r="AR1449" s="418"/>
      <c r="AS1449" s="418"/>
      <c r="AT1449" s="418"/>
      <c r="AU1449" s="418"/>
      <c r="AV1449" s="418"/>
      <c r="AW1449" s="418"/>
      <c r="AX1449" s="418"/>
      <c r="AY1449" s="418"/>
      <c r="AZ1449" s="418"/>
      <c r="BA1449" s="418"/>
    </row>
    <row r="1450" spans="40:53" ht="15.75" customHeight="1">
      <c r="AN1450" s="418"/>
      <c r="AO1450" s="418"/>
      <c r="AP1450" s="418"/>
      <c r="AQ1450" s="418"/>
      <c r="AR1450" s="418"/>
      <c r="AS1450" s="418"/>
      <c r="AT1450" s="418"/>
      <c r="AU1450" s="418"/>
      <c r="AV1450" s="418"/>
      <c r="AW1450" s="418"/>
      <c r="AX1450" s="418"/>
      <c r="AY1450" s="418"/>
      <c r="AZ1450" s="418"/>
      <c r="BA1450" s="418"/>
    </row>
    <row r="1451" spans="40:53" ht="15.75" customHeight="1">
      <c r="AN1451" s="418"/>
      <c r="AO1451" s="418"/>
      <c r="AP1451" s="418"/>
      <c r="AQ1451" s="418"/>
      <c r="AR1451" s="418"/>
      <c r="AS1451" s="418"/>
      <c r="AT1451" s="418"/>
      <c r="AU1451" s="418"/>
      <c r="AV1451" s="418"/>
      <c r="AW1451" s="418"/>
      <c r="AX1451" s="418"/>
      <c r="AY1451" s="418"/>
      <c r="AZ1451" s="418"/>
      <c r="BA1451" s="418"/>
    </row>
    <row r="1452" spans="40:53" ht="15.75" customHeight="1">
      <c r="AN1452" s="418"/>
      <c r="AO1452" s="418"/>
      <c r="AP1452" s="418"/>
      <c r="AQ1452" s="418"/>
      <c r="AR1452" s="418"/>
      <c r="AS1452" s="418"/>
      <c r="AT1452" s="418"/>
      <c r="AU1452" s="418"/>
      <c r="AV1452" s="418"/>
      <c r="AW1452" s="418"/>
      <c r="AX1452" s="418"/>
      <c r="AY1452" s="418"/>
      <c r="AZ1452" s="418"/>
      <c r="BA1452" s="418"/>
    </row>
    <row r="1453" spans="40:53" ht="15.75" customHeight="1">
      <c r="AN1453" s="418"/>
      <c r="AO1453" s="418"/>
      <c r="AP1453" s="418"/>
      <c r="AQ1453" s="418"/>
      <c r="AR1453" s="418"/>
      <c r="AS1453" s="418"/>
      <c r="AT1453" s="418"/>
      <c r="AU1453" s="418"/>
      <c r="AV1453" s="418"/>
      <c r="AW1453" s="418"/>
      <c r="AX1453" s="418"/>
      <c r="AY1453" s="418"/>
      <c r="AZ1453" s="418"/>
      <c r="BA1453" s="418"/>
    </row>
    <row r="1454" spans="40:53" ht="15.75" customHeight="1">
      <c r="AN1454" s="418"/>
      <c r="AO1454" s="418"/>
      <c r="AP1454" s="418"/>
      <c r="AQ1454" s="418"/>
      <c r="AR1454" s="418"/>
      <c r="AS1454" s="418"/>
      <c r="AT1454" s="418"/>
      <c r="AU1454" s="418"/>
      <c r="AV1454" s="418"/>
      <c r="AW1454" s="418"/>
      <c r="AX1454" s="418"/>
      <c r="AY1454" s="418"/>
      <c r="AZ1454" s="418"/>
      <c r="BA1454" s="418"/>
    </row>
    <row r="1455" spans="40:53" ht="15.75" customHeight="1">
      <c r="AN1455" s="418"/>
      <c r="AO1455" s="418"/>
      <c r="AP1455" s="418"/>
      <c r="AQ1455" s="418"/>
      <c r="AR1455" s="418"/>
      <c r="AS1455" s="418"/>
      <c r="AT1455" s="418"/>
      <c r="AU1455" s="418"/>
      <c r="AV1455" s="418"/>
      <c r="AW1455" s="418"/>
      <c r="AX1455" s="418"/>
      <c r="AY1455" s="418"/>
      <c r="AZ1455" s="418"/>
      <c r="BA1455" s="418"/>
    </row>
    <row r="1456" spans="40:53" ht="15.75" customHeight="1">
      <c r="AN1456" s="418"/>
      <c r="AO1456" s="418"/>
      <c r="AP1456" s="418"/>
      <c r="AQ1456" s="418"/>
      <c r="AR1456" s="418"/>
      <c r="AS1456" s="418"/>
      <c r="AT1456" s="418"/>
      <c r="AU1456" s="418"/>
      <c r="AV1456" s="418"/>
      <c r="AW1456" s="418"/>
      <c r="AX1456" s="418"/>
      <c r="AY1456" s="418"/>
      <c r="AZ1456" s="418"/>
      <c r="BA1456" s="418"/>
    </row>
    <row r="1457" spans="40:53" ht="15.75" customHeight="1">
      <c r="AN1457" s="418"/>
      <c r="AO1457" s="418"/>
      <c r="AP1457" s="418"/>
      <c r="AQ1457" s="418"/>
      <c r="AR1457" s="418"/>
      <c r="AS1457" s="418"/>
      <c r="AT1457" s="418"/>
      <c r="AU1457" s="418"/>
      <c r="AV1457" s="418"/>
      <c r="AW1457" s="418"/>
      <c r="AX1457" s="418"/>
      <c r="AY1457" s="418"/>
      <c r="AZ1457" s="418"/>
      <c r="BA1457" s="418"/>
    </row>
    <row r="1458" spans="40:53" ht="15.75" customHeight="1">
      <c r="AN1458" s="418"/>
      <c r="AO1458" s="418"/>
      <c r="AP1458" s="418"/>
      <c r="AQ1458" s="418"/>
      <c r="AR1458" s="418"/>
      <c r="AS1458" s="418"/>
      <c r="AT1458" s="418"/>
      <c r="AU1458" s="418"/>
      <c r="AV1458" s="418"/>
      <c r="AW1458" s="418"/>
      <c r="AX1458" s="418"/>
      <c r="AY1458" s="418"/>
      <c r="AZ1458" s="418"/>
      <c r="BA1458" s="418"/>
    </row>
    <row r="1459" spans="40:53" ht="15.75" customHeight="1">
      <c r="AN1459" s="418"/>
      <c r="AO1459" s="418"/>
      <c r="AP1459" s="418"/>
      <c r="AQ1459" s="418"/>
      <c r="AR1459" s="418"/>
      <c r="AS1459" s="418"/>
      <c r="AT1459" s="418"/>
      <c r="AU1459" s="418"/>
      <c r="AV1459" s="418"/>
      <c r="AW1459" s="418"/>
      <c r="AX1459" s="418"/>
      <c r="AY1459" s="418"/>
      <c r="AZ1459" s="418"/>
      <c r="BA1459" s="418"/>
    </row>
    <row r="1460" spans="40:53" ht="15.75" customHeight="1">
      <c r="AN1460" s="418"/>
      <c r="AO1460" s="418"/>
      <c r="AP1460" s="418"/>
      <c r="AQ1460" s="418"/>
      <c r="AR1460" s="418"/>
      <c r="AS1460" s="418"/>
      <c r="AT1460" s="418"/>
      <c r="AU1460" s="418"/>
      <c r="AV1460" s="418"/>
      <c r="AW1460" s="418"/>
      <c r="AX1460" s="418"/>
      <c r="AY1460" s="418"/>
      <c r="AZ1460" s="418"/>
      <c r="BA1460" s="418"/>
    </row>
    <row r="1461" spans="40:53" ht="15.75" customHeight="1">
      <c r="AN1461" s="418"/>
      <c r="AO1461" s="418"/>
      <c r="AP1461" s="418"/>
      <c r="AQ1461" s="418"/>
      <c r="AR1461" s="418"/>
      <c r="AS1461" s="418"/>
      <c r="AT1461" s="418"/>
      <c r="AU1461" s="418"/>
      <c r="AV1461" s="418"/>
      <c r="AW1461" s="418"/>
      <c r="AX1461" s="418"/>
      <c r="AY1461" s="418"/>
      <c r="AZ1461" s="418"/>
      <c r="BA1461" s="418"/>
    </row>
    <row r="1462" spans="40:53" ht="15.75" customHeight="1">
      <c r="AN1462" s="418"/>
      <c r="AO1462" s="418"/>
      <c r="AP1462" s="418"/>
      <c r="AQ1462" s="418"/>
      <c r="AR1462" s="418"/>
      <c r="AS1462" s="418"/>
      <c r="AT1462" s="418"/>
      <c r="AU1462" s="418"/>
      <c r="AV1462" s="418"/>
      <c r="AW1462" s="418"/>
      <c r="AX1462" s="418"/>
      <c r="AY1462" s="418"/>
      <c r="AZ1462" s="418"/>
      <c r="BA1462" s="418"/>
    </row>
    <row r="1463" spans="40:53" ht="15.75" customHeight="1">
      <c r="AN1463" s="418"/>
      <c r="AO1463" s="418"/>
      <c r="AP1463" s="418"/>
      <c r="AQ1463" s="418"/>
      <c r="AR1463" s="418"/>
      <c r="AS1463" s="418"/>
      <c r="AT1463" s="418"/>
      <c r="AU1463" s="418"/>
      <c r="AV1463" s="418"/>
      <c r="AW1463" s="418"/>
      <c r="AX1463" s="418"/>
      <c r="AY1463" s="418"/>
      <c r="AZ1463" s="418"/>
      <c r="BA1463" s="418"/>
    </row>
    <row r="1464" spans="40:53" ht="15.75" customHeight="1">
      <c r="AN1464" s="418"/>
      <c r="AO1464" s="418"/>
      <c r="AP1464" s="418"/>
      <c r="AQ1464" s="418"/>
      <c r="AR1464" s="418"/>
      <c r="AS1464" s="418"/>
      <c r="AT1464" s="418"/>
      <c r="AU1464" s="418"/>
      <c r="AV1464" s="418"/>
      <c r="AW1464" s="418"/>
      <c r="AX1464" s="418"/>
      <c r="AY1464" s="418"/>
      <c r="AZ1464" s="418"/>
      <c r="BA1464" s="418"/>
    </row>
    <row r="1465" spans="40:53" ht="15.75" customHeight="1">
      <c r="AN1465" s="418"/>
      <c r="AO1465" s="418"/>
      <c r="AP1465" s="418"/>
      <c r="AQ1465" s="418"/>
      <c r="AR1465" s="418"/>
      <c r="AS1465" s="418"/>
      <c r="AT1465" s="418"/>
      <c r="AU1465" s="418"/>
      <c r="AV1465" s="418"/>
      <c r="AW1465" s="418"/>
      <c r="AX1465" s="418"/>
      <c r="AY1465" s="418"/>
      <c r="AZ1465" s="418"/>
      <c r="BA1465" s="418"/>
    </row>
    <row r="1466" spans="40:53" ht="15.75" customHeight="1">
      <c r="AN1466" s="418"/>
      <c r="AO1466" s="418"/>
      <c r="AP1466" s="418"/>
      <c r="AQ1466" s="418"/>
      <c r="AR1466" s="418"/>
      <c r="AS1466" s="418"/>
      <c r="AT1466" s="418"/>
      <c r="AU1466" s="418"/>
      <c r="AV1466" s="418"/>
      <c r="AW1466" s="418"/>
      <c r="AX1466" s="418"/>
      <c r="AY1466" s="418"/>
      <c r="AZ1466" s="418"/>
      <c r="BA1466" s="418"/>
    </row>
    <row r="1467" spans="40:53" ht="15.75" customHeight="1">
      <c r="AN1467" s="418"/>
      <c r="AO1467" s="418"/>
      <c r="AP1467" s="418"/>
      <c r="AQ1467" s="418"/>
      <c r="AR1467" s="418"/>
      <c r="AS1467" s="418"/>
      <c r="AT1467" s="418"/>
      <c r="AU1467" s="418"/>
      <c r="AV1467" s="418"/>
      <c r="AW1467" s="418"/>
      <c r="AX1467" s="418"/>
      <c r="AY1467" s="418"/>
      <c r="AZ1467" s="418"/>
      <c r="BA1467" s="418"/>
    </row>
    <row r="1468" spans="40:53" ht="15.75" customHeight="1">
      <c r="AN1468" s="418"/>
      <c r="AO1468" s="418"/>
      <c r="AP1468" s="418"/>
      <c r="AQ1468" s="418"/>
      <c r="AR1468" s="418"/>
      <c r="AS1468" s="418"/>
      <c r="AT1468" s="418"/>
      <c r="AU1468" s="418"/>
      <c r="AV1468" s="418"/>
      <c r="AW1468" s="418"/>
      <c r="AX1468" s="418"/>
      <c r="AY1468" s="418"/>
      <c r="AZ1468" s="418"/>
      <c r="BA1468" s="418"/>
    </row>
    <row r="1469" spans="40:53" ht="15.75" customHeight="1">
      <c r="AN1469" s="418"/>
      <c r="AO1469" s="418"/>
      <c r="AP1469" s="418"/>
      <c r="AQ1469" s="418"/>
      <c r="AR1469" s="418"/>
      <c r="AS1469" s="418"/>
      <c r="AT1469" s="418"/>
      <c r="AU1469" s="418"/>
      <c r="AV1469" s="418"/>
      <c r="AW1469" s="418"/>
      <c r="AX1469" s="418"/>
      <c r="AY1469" s="418"/>
      <c r="AZ1469" s="418"/>
      <c r="BA1469" s="418"/>
    </row>
    <row r="1470" spans="40:53" ht="15.75" customHeight="1">
      <c r="AN1470" s="418"/>
      <c r="AO1470" s="418"/>
      <c r="AP1470" s="418"/>
      <c r="AQ1470" s="418"/>
      <c r="AR1470" s="418"/>
      <c r="AS1470" s="418"/>
      <c r="AT1470" s="418"/>
      <c r="AU1470" s="418"/>
      <c r="AV1470" s="418"/>
      <c r="AW1470" s="418"/>
      <c r="AX1470" s="418"/>
      <c r="AY1470" s="418"/>
      <c r="AZ1470" s="418"/>
      <c r="BA1470" s="418"/>
    </row>
    <row r="1471" spans="40:53" ht="15.75" customHeight="1">
      <c r="AN1471" s="418"/>
      <c r="AO1471" s="418"/>
      <c r="AP1471" s="418"/>
      <c r="AQ1471" s="418"/>
      <c r="AR1471" s="418"/>
      <c r="AS1471" s="418"/>
      <c r="AT1471" s="418"/>
      <c r="AU1471" s="418"/>
      <c r="AV1471" s="418"/>
      <c r="AW1471" s="418"/>
      <c r="AX1471" s="418"/>
      <c r="AY1471" s="418"/>
      <c r="AZ1471" s="418"/>
      <c r="BA1471" s="418"/>
    </row>
    <row r="1472" spans="40:53" ht="15.75" customHeight="1">
      <c r="AN1472" s="418"/>
      <c r="AO1472" s="418"/>
      <c r="AP1472" s="418"/>
      <c r="AQ1472" s="418"/>
      <c r="AR1472" s="418"/>
      <c r="AS1472" s="418"/>
      <c r="AT1472" s="418"/>
      <c r="AU1472" s="418"/>
      <c r="AV1472" s="418"/>
      <c r="AW1472" s="418"/>
      <c r="AX1472" s="418"/>
      <c r="AY1472" s="418"/>
      <c r="AZ1472" s="418"/>
      <c r="BA1472" s="418"/>
    </row>
    <row r="1473" spans="40:53" ht="15.75" customHeight="1">
      <c r="AN1473" s="418"/>
      <c r="AO1473" s="418"/>
      <c r="AP1473" s="418"/>
      <c r="AQ1473" s="418"/>
      <c r="AR1473" s="418"/>
      <c r="AS1473" s="418"/>
      <c r="AT1473" s="418"/>
      <c r="AU1473" s="418"/>
      <c r="AV1473" s="418"/>
      <c r="AW1473" s="418"/>
      <c r="AX1473" s="418"/>
      <c r="AY1473" s="418"/>
      <c r="AZ1473" s="418"/>
      <c r="BA1473" s="418"/>
    </row>
    <row r="1474" spans="40:53" ht="15.75" customHeight="1">
      <c r="AN1474" s="418"/>
      <c r="AO1474" s="418"/>
      <c r="AP1474" s="418"/>
      <c r="AQ1474" s="418"/>
      <c r="AR1474" s="418"/>
      <c r="AS1474" s="418"/>
      <c r="AT1474" s="418"/>
      <c r="AU1474" s="418"/>
      <c r="AV1474" s="418"/>
      <c r="AW1474" s="418"/>
      <c r="AX1474" s="418"/>
      <c r="AY1474" s="418"/>
      <c r="AZ1474" s="418"/>
      <c r="BA1474" s="418"/>
    </row>
    <row r="1475" spans="40:53" ht="15.75" customHeight="1">
      <c r="AN1475" s="418"/>
      <c r="AO1475" s="418"/>
      <c r="AP1475" s="418"/>
      <c r="AQ1475" s="418"/>
      <c r="AR1475" s="418"/>
      <c r="AS1475" s="418"/>
      <c r="AT1475" s="418"/>
      <c r="AU1475" s="418"/>
      <c r="AV1475" s="418"/>
      <c r="AW1475" s="418"/>
      <c r="AX1475" s="418"/>
      <c r="AY1475" s="418"/>
      <c r="AZ1475" s="418"/>
      <c r="BA1475" s="418"/>
    </row>
    <row r="1476" spans="40:53" ht="15.75" customHeight="1">
      <c r="AN1476" s="418"/>
      <c r="AO1476" s="418"/>
      <c r="AP1476" s="418"/>
      <c r="AQ1476" s="418"/>
      <c r="AR1476" s="418"/>
      <c r="AS1476" s="418"/>
      <c r="AT1476" s="418"/>
      <c r="AU1476" s="418"/>
      <c r="AV1476" s="418"/>
      <c r="AW1476" s="418"/>
      <c r="AX1476" s="418"/>
      <c r="AY1476" s="418"/>
      <c r="AZ1476" s="418"/>
      <c r="BA1476" s="418"/>
    </row>
    <row r="1477" spans="40:53" ht="15.75" customHeight="1">
      <c r="AN1477" s="418"/>
      <c r="AO1477" s="418"/>
      <c r="AP1477" s="418"/>
      <c r="AQ1477" s="418"/>
      <c r="AR1477" s="418"/>
      <c r="AS1477" s="418"/>
      <c r="AT1477" s="418"/>
      <c r="AU1477" s="418"/>
      <c r="AV1477" s="418"/>
      <c r="AW1477" s="418"/>
      <c r="AX1477" s="418"/>
      <c r="AY1477" s="418"/>
      <c r="AZ1477" s="418"/>
      <c r="BA1477" s="418"/>
    </row>
    <row r="1478" spans="40:53" ht="15.75" customHeight="1">
      <c r="AN1478" s="418"/>
      <c r="AO1478" s="418"/>
      <c r="AP1478" s="418"/>
      <c r="AQ1478" s="418"/>
      <c r="AR1478" s="418"/>
      <c r="AS1478" s="418"/>
      <c r="AT1478" s="418"/>
      <c r="AU1478" s="418"/>
      <c r="AV1478" s="418"/>
      <c r="AW1478" s="418"/>
      <c r="AX1478" s="418"/>
      <c r="AY1478" s="418"/>
      <c r="AZ1478" s="418"/>
      <c r="BA1478" s="418"/>
    </row>
    <row r="1479" spans="40:53" ht="15.75" customHeight="1">
      <c r="AN1479" s="418"/>
      <c r="AO1479" s="418"/>
      <c r="AP1479" s="418"/>
      <c r="AQ1479" s="418"/>
      <c r="AR1479" s="418"/>
      <c r="AS1479" s="418"/>
      <c r="AT1479" s="418"/>
      <c r="AU1479" s="418"/>
      <c r="AV1479" s="418"/>
      <c r="AW1479" s="418"/>
      <c r="AX1479" s="418"/>
      <c r="AY1479" s="418"/>
      <c r="AZ1479" s="418"/>
      <c r="BA1479" s="418"/>
    </row>
    <row r="1480" spans="40:53" ht="15.75" customHeight="1">
      <c r="AN1480" s="418"/>
      <c r="AO1480" s="418"/>
      <c r="AP1480" s="418"/>
      <c r="AQ1480" s="418"/>
      <c r="AR1480" s="418"/>
      <c r="AS1480" s="418"/>
      <c r="AT1480" s="418"/>
      <c r="AU1480" s="418"/>
      <c r="AV1480" s="418"/>
      <c r="AW1480" s="418"/>
      <c r="AX1480" s="418"/>
      <c r="AY1480" s="418"/>
      <c r="AZ1480" s="418"/>
      <c r="BA1480" s="418"/>
    </row>
    <row r="1481" spans="40:53" ht="15.75" customHeight="1">
      <c r="AN1481" s="418"/>
      <c r="AO1481" s="418"/>
      <c r="AP1481" s="418"/>
      <c r="AQ1481" s="418"/>
      <c r="AR1481" s="418"/>
      <c r="AS1481" s="418"/>
      <c r="AT1481" s="418"/>
      <c r="AU1481" s="418"/>
      <c r="AV1481" s="418"/>
      <c r="AW1481" s="418"/>
      <c r="AX1481" s="418"/>
      <c r="AY1481" s="418"/>
      <c r="AZ1481" s="418"/>
      <c r="BA1481" s="418"/>
    </row>
    <row r="1482" spans="40:53" ht="15.75" customHeight="1">
      <c r="AN1482" s="418"/>
      <c r="AO1482" s="418"/>
      <c r="AP1482" s="418"/>
      <c r="AQ1482" s="418"/>
      <c r="AR1482" s="418"/>
      <c r="AS1482" s="418"/>
      <c r="AT1482" s="418"/>
      <c r="AU1482" s="418"/>
      <c r="AV1482" s="418"/>
      <c r="AW1482" s="418"/>
      <c r="AX1482" s="418"/>
      <c r="AY1482" s="418"/>
      <c r="AZ1482" s="418"/>
      <c r="BA1482" s="418"/>
    </row>
    <row r="1483" spans="40:53" ht="15.75" customHeight="1">
      <c r="AN1483" s="418"/>
      <c r="AO1483" s="418"/>
      <c r="AP1483" s="418"/>
      <c r="AQ1483" s="418"/>
      <c r="AR1483" s="418"/>
      <c r="AS1483" s="418"/>
      <c r="AT1483" s="418"/>
      <c r="AU1483" s="418"/>
      <c r="AV1483" s="418"/>
      <c r="AW1483" s="418"/>
      <c r="AX1483" s="418"/>
      <c r="AY1483" s="418"/>
      <c r="AZ1483" s="418"/>
      <c r="BA1483" s="418"/>
    </row>
    <row r="1484" spans="40:53" ht="15.75" customHeight="1">
      <c r="AN1484" s="418"/>
      <c r="AO1484" s="418"/>
      <c r="AP1484" s="418"/>
      <c r="AQ1484" s="418"/>
      <c r="AR1484" s="418"/>
      <c r="AS1484" s="418"/>
      <c r="AT1484" s="418"/>
      <c r="AU1484" s="418"/>
      <c r="AV1484" s="418"/>
      <c r="AW1484" s="418"/>
      <c r="AX1484" s="418"/>
      <c r="AY1484" s="418"/>
      <c r="AZ1484" s="418"/>
      <c r="BA1484" s="418"/>
    </row>
    <row r="1485" spans="40:53" ht="15.75" customHeight="1">
      <c r="AN1485" s="418"/>
      <c r="AO1485" s="418"/>
      <c r="AP1485" s="418"/>
      <c r="AQ1485" s="418"/>
      <c r="AR1485" s="418"/>
      <c r="AS1485" s="418"/>
      <c r="AT1485" s="418"/>
      <c r="AU1485" s="418"/>
      <c r="AV1485" s="418"/>
      <c r="AW1485" s="418"/>
      <c r="AX1485" s="418"/>
      <c r="AY1485" s="418"/>
      <c r="AZ1485" s="418"/>
      <c r="BA1485" s="418"/>
    </row>
    <row r="1486" spans="40:53" ht="15.75" customHeight="1">
      <c r="AN1486" s="418"/>
      <c r="AO1486" s="418"/>
      <c r="AP1486" s="418"/>
      <c r="AQ1486" s="418"/>
      <c r="AR1486" s="418"/>
      <c r="AS1486" s="418"/>
      <c r="AT1486" s="418"/>
      <c r="AU1486" s="418"/>
      <c r="AV1486" s="418"/>
      <c r="AW1486" s="418"/>
      <c r="AX1486" s="418"/>
      <c r="AY1486" s="418"/>
      <c r="AZ1486" s="418"/>
      <c r="BA1486" s="418"/>
    </row>
    <row r="1487" spans="40:53" ht="15.75" customHeight="1">
      <c r="AN1487" s="418"/>
      <c r="AO1487" s="418"/>
      <c r="AP1487" s="418"/>
      <c r="AQ1487" s="418"/>
      <c r="AR1487" s="418"/>
      <c r="AS1487" s="418"/>
      <c r="AT1487" s="418"/>
      <c r="AU1487" s="418"/>
      <c r="AV1487" s="418"/>
      <c r="AW1487" s="418"/>
      <c r="AX1487" s="418"/>
      <c r="AY1487" s="418"/>
      <c r="AZ1487" s="418"/>
      <c r="BA1487" s="418"/>
    </row>
    <row r="1488" spans="40:53" ht="15.75" customHeight="1">
      <c r="AN1488" s="418"/>
      <c r="AO1488" s="418"/>
      <c r="AP1488" s="418"/>
      <c r="AQ1488" s="418"/>
      <c r="AR1488" s="418"/>
      <c r="AS1488" s="418"/>
      <c r="AT1488" s="418"/>
      <c r="AU1488" s="418"/>
      <c r="AV1488" s="418"/>
      <c r="AW1488" s="418"/>
      <c r="AX1488" s="418"/>
      <c r="AY1488" s="418"/>
      <c r="AZ1488" s="418"/>
      <c r="BA1488" s="418"/>
    </row>
    <row r="1489" spans="40:53" ht="15.75" customHeight="1">
      <c r="AN1489" s="418"/>
      <c r="AO1489" s="418"/>
      <c r="AP1489" s="418"/>
      <c r="AQ1489" s="418"/>
      <c r="AR1489" s="418"/>
      <c r="AS1489" s="418"/>
      <c r="AT1489" s="418"/>
      <c r="AU1489" s="418"/>
      <c r="AV1489" s="418"/>
      <c r="AW1489" s="418"/>
      <c r="AX1489" s="418"/>
      <c r="AY1489" s="418"/>
      <c r="AZ1489" s="418"/>
      <c r="BA1489" s="418"/>
    </row>
    <row r="1490" spans="40:53" ht="15.75" customHeight="1">
      <c r="AN1490" s="418"/>
      <c r="AO1490" s="418"/>
      <c r="AP1490" s="418"/>
      <c r="AQ1490" s="418"/>
      <c r="AR1490" s="418"/>
      <c r="AS1490" s="418"/>
      <c r="AT1490" s="418"/>
      <c r="AU1490" s="418"/>
      <c r="AV1490" s="418"/>
      <c r="AW1490" s="418"/>
      <c r="AX1490" s="418"/>
      <c r="AY1490" s="418"/>
      <c r="AZ1490" s="418"/>
      <c r="BA1490" s="418"/>
    </row>
    <row r="1491" spans="40:53" ht="15.75" customHeight="1">
      <c r="AN1491" s="418"/>
      <c r="AO1491" s="418"/>
      <c r="AP1491" s="418"/>
      <c r="AQ1491" s="418"/>
      <c r="AR1491" s="418"/>
      <c r="AS1491" s="418"/>
      <c r="AT1491" s="418"/>
      <c r="AU1491" s="418"/>
      <c r="AV1491" s="418"/>
      <c r="AW1491" s="418"/>
      <c r="AX1491" s="418"/>
      <c r="AY1491" s="418"/>
      <c r="AZ1491" s="418"/>
      <c r="BA1491" s="418"/>
    </row>
    <row r="1492" spans="40:53" ht="15.75" customHeight="1">
      <c r="AN1492" s="418"/>
      <c r="AO1492" s="418"/>
      <c r="AP1492" s="418"/>
      <c r="AQ1492" s="418"/>
      <c r="AR1492" s="418"/>
      <c r="AS1492" s="418"/>
      <c r="AT1492" s="418"/>
      <c r="AU1492" s="418"/>
      <c r="AV1492" s="418"/>
      <c r="AW1492" s="418"/>
      <c r="AX1492" s="418"/>
      <c r="AY1492" s="418"/>
      <c r="AZ1492" s="418"/>
      <c r="BA1492" s="418"/>
    </row>
    <row r="1493" spans="40:53" ht="15.75" customHeight="1">
      <c r="AN1493" s="418"/>
      <c r="AO1493" s="418"/>
      <c r="AP1493" s="418"/>
      <c r="AQ1493" s="418"/>
      <c r="AR1493" s="418"/>
      <c r="AS1493" s="418"/>
      <c r="AT1493" s="418"/>
      <c r="AU1493" s="418"/>
      <c r="AV1493" s="418"/>
      <c r="AW1493" s="418"/>
      <c r="AX1493" s="418"/>
      <c r="AY1493" s="418"/>
      <c r="AZ1493" s="418"/>
      <c r="BA1493" s="418"/>
    </row>
    <row r="1494" spans="40:53" ht="15.75" customHeight="1">
      <c r="AN1494" s="418"/>
      <c r="AO1494" s="418"/>
      <c r="AP1494" s="418"/>
      <c r="AQ1494" s="418"/>
      <c r="AR1494" s="418"/>
      <c r="AS1494" s="418"/>
      <c r="AT1494" s="418"/>
      <c r="AU1494" s="418"/>
      <c r="AV1494" s="418"/>
      <c r="AW1494" s="418"/>
      <c r="AX1494" s="418"/>
      <c r="AY1494" s="418"/>
      <c r="AZ1494" s="418"/>
      <c r="BA1494" s="418"/>
    </row>
    <row r="1495" spans="40:53" ht="15.75" customHeight="1">
      <c r="AN1495" s="418"/>
      <c r="AO1495" s="418"/>
      <c r="AP1495" s="418"/>
      <c r="AQ1495" s="418"/>
      <c r="AR1495" s="418"/>
      <c r="AS1495" s="418"/>
      <c r="AT1495" s="418"/>
      <c r="AU1495" s="418"/>
      <c r="AV1495" s="418"/>
      <c r="AW1495" s="418"/>
      <c r="AX1495" s="418"/>
      <c r="AY1495" s="418"/>
      <c r="AZ1495" s="418"/>
      <c r="BA1495" s="418"/>
    </row>
    <row r="1496" spans="40:53" ht="15.75" customHeight="1">
      <c r="AN1496" s="418"/>
      <c r="AO1496" s="418"/>
      <c r="AP1496" s="418"/>
      <c r="AQ1496" s="418"/>
      <c r="AR1496" s="418"/>
      <c r="AS1496" s="418"/>
      <c r="AT1496" s="418"/>
      <c r="AU1496" s="418"/>
      <c r="AV1496" s="418"/>
      <c r="AW1496" s="418"/>
      <c r="AX1496" s="418"/>
      <c r="AY1496" s="418"/>
      <c r="AZ1496" s="418"/>
      <c r="BA1496" s="418"/>
    </row>
    <row r="1497" spans="40:53" ht="15.75" customHeight="1">
      <c r="AN1497" s="418"/>
      <c r="AO1497" s="418"/>
      <c r="AP1497" s="418"/>
      <c r="AQ1497" s="418"/>
      <c r="AR1497" s="418"/>
      <c r="AS1497" s="418"/>
      <c r="AT1497" s="418"/>
      <c r="AU1497" s="418"/>
      <c r="AV1497" s="418"/>
      <c r="AW1497" s="418"/>
      <c r="AX1497" s="418"/>
      <c r="AY1497" s="418"/>
      <c r="AZ1497" s="418"/>
      <c r="BA1497" s="418"/>
    </row>
    <row r="1498" spans="40:53" ht="15.75" customHeight="1">
      <c r="AN1498" s="418"/>
      <c r="AO1498" s="418"/>
      <c r="AP1498" s="418"/>
      <c r="AQ1498" s="418"/>
      <c r="AR1498" s="418"/>
      <c r="AS1498" s="418"/>
      <c r="AT1498" s="418"/>
      <c r="AU1498" s="418"/>
      <c r="AV1498" s="418"/>
      <c r="AW1498" s="418"/>
      <c r="AX1498" s="418"/>
      <c r="AY1498" s="418"/>
      <c r="AZ1498" s="418"/>
      <c r="BA1498" s="418"/>
    </row>
    <row r="1499" spans="40:53" ht="15.75" customHeight="1">
      <c r="AN1499" s="418"/>
      <c r="AO1499" s="418"/>
      <c r="AP1499" s="418"/>
      <c r="AQ1499" s="418"/>
      <c r="AR1499" s="418"/>
      <c r="AS1499" s="418"/>
      <c r="AT1499" s="418"/>
      <c r="AU1499" s="418"/>
      <c r="AV1499" s="418"/>
      <c r="AW1499" s="418"/>
      <c r="AX1499" s="418"/>
      <c r="AY1499" s="418"/>
      <c r="AZ1499" s="418"/>
      <c r="BA1499" s="418"/>
    </row>
    <row r="1500" spans="40:53" ht="15.75" customHeight="1">
      <c r="AN1500" s="418"/>
      <c r="AO1500" s="418"/>
      <c r="AP1500" s="418"/>
      <c r="AQ1500" s="418"/>
      <c r="AR1500" s="418"/>
      <c r="AS1500" s="418"/>
      <c r="AT1500" s="418"/>
      <c r="AU1500" s="418"/>
      <c r="AV1500" s="418"/>
      <c r="AW1500" s="418"/>
      <c r="AX1500" s="418"/>
      <c r="AY1500" s="418"/>
      <c r="AZ1500" s="418"/>
      <c r="BA1500" s="418"/>
    </row>
    <row r="1501" spans="40:53" ht="15.75" customHeight="1">
      <c r="AN1501" s="418"/>
      <c r="AO1501" s="418"/>
      <c r="AP1501" s="418"/>
      <c r="AQ1501" s="418"/>
      <c r="AR1501" s="418"/>
      <c r="AS1501" s="418"/>
      <c r="AT1501" s="418"/>
      <c r="AU1501" s="418"/>
      <c r="AV1501" s="418"/>
      <c r="AW1501" s="418"/>
      <c r="AX1501" s="418"/>
      <c r="AY1501" s="418"/>
      <c r="AZ1501" s="418"/>
      <c r="BA1501" s="418"/>
    </row>
    <row r="1502" spans="40:53" ht="15.75" customHeight="1">
      <c r="AN1502" s="418"/>
      <c r="AO1502" s="418"/>
      <c r="AP1502" s="418"/>
      <c r="AQ1502" s="418"/>
      <c r="AR1502" s="418"/>
      <c r="AS1502" s="418"/>
      <c r="AT1502" s="418"/>
      <c r="AU1502" s="418"/>
      <c r="AV1502" s="418"/>
      <c r="AW1502" s="418"/>
      <c r="AX1502" s="418"/>
      <c r="AY1502" s="418"/>
      <c r="AZ1502" s="418"/>
      <c r="BA1502" s="418"/>
    </row>
    <row r="1503" spans="40:53" ht="15.75" customHeight="1">
      <c r="AN1503" s="418"/>
      <c r="AO1503" s="418"/>
      <c r="AP1503" s="418"/>
      <c r="AQ1503" s="418"/>
      <c r="AR1503" s="418"/>
      <c r="AS1503" s="418"/>
      <c r="AT1503" s="418"/>
      <c r="AU1503" s="418"/>
      <c r="AV1503" s="418"/>
      <c r="AW1503" s="418"/>
      <c r="AX1503" s="418"/>
      <c r="AY1503" s="418"/>
      <c r="AZ1503" s="418"/>
      <c r="BA1503" s="418"/>
    </row>
    <row r="1504" spans="40:53" ht="15.75" customHeight="1">
      <c r="AN1504" s="418"/>
      <c r="AO1504" s="418"/>
      <c r="AP1504" s="418"/>
      <c r="AQ1504" s="418"/>
      <c r="AR1504" s="418"/>
      <c r="AS1504" s="418"/>
      <c r="AT1504" s="418"/>
      <c r="AU1504" s="418"/>
      <c r="AV1504" s="418"/>
      <c r="AW1504" s="418"/>
      <c r="AX1504" s="418"/>
      <c r="AY1504" s="418"/>
      <c r="AZ1504" s="418"/>
      <c r="BA1504" s="418"/>
    </row>
    <row r="1505" spans="40:53" ht="15.75" customHeight="1">
      <c r="AN1505" s="418"/>
      <c r="AO1505" s="418"/>
      <c r="AP1505" s="418"/>
      <c r="AQ1505" s="418"/>
      <c r="AR1505" s="418"/>
      <c r="AS1505" s="418"/>
      <c r="AT1505" s="418"/>
      <c r="AU1505" s="418"/>
      <c r="AV1505" s="418"/>
      <c r="AW1505" s="418"/>
      <c r="AX1505" s="418"/>
      <c r="AY1505" s="418"/>
      <c r="AZ1505" s="418"/>
      <c r="BA1505" s="418"/>
    </row>
    <row r="1506" spans="40:53" ht="15.75" customHeight="1">
      <c r="AN1506" s="418"/>
      <c r="AO1506" s="418"/>
      <c r="AP1506" s="418"/>
      <c r="AQ1506" s="418"/>
      <c r="AR1506" s="418"/>
      <c r="AS1506" s="418"/>
      <c r="AT1506" s="418"/>
      <c r="AU1506" s="418"/>
      <c r="AV1506" s="418"/>
      <c r="AW1506" s="418"/>
      <c r="AX1506" s="418"/>
      <c r="AY1506" s="418"/>
      <c r="AZ1506" s="418"/>
      <c r="BA1506" s="418"/>
    </row>
    <row r="1507" spans="40:53" ht="15.75" customHeight="1">
      <c r="AN1507" s="418"/>
      <c r="AO1507" s="418"/>
      <c r="AP1507" s="418"/>
      <c r="AQ1507" s="418"/>
      <c r="AR1507" s="418"/>
      <c r="AS1507" s="418"/>
      <c r="AT1507" s="418"/>
      <c r="AU1507" s="418"/>
      <c r="AV1507" s="418"/>
      <c r="AW1507" s="418"/>
      <c r="AX1507" s="418"/>
      <c r="AY1507" s="418"/>
      <c r="AZ1507" s="418"/>
      <c r="BA1507" s="418"/>
    </row>
    <row r="1508" spans="40:53" ht="15.75" customHeight="1">
      <c r="AN1508" s="418"/>
      <c r="AO1508" s="418"/>
      <c r="AP1508" s="418"/>
      <c r="AQ1508" s="418"/>
      <c r="AR1508" s="418"/>
      <c r="AS1508" s="418"/>
      <c r="AT1508" s="418"/>
      <c r="AU1508" s="418"/>
      <c r="AV1508" s="418"/>
      <c r="AW1508" s="418"/>
      <c r="AX1508" s="418"/>
      <c r="AY1508" s="418"/>
      <c r="AZ1508" s="418"/>
      <c r="BA1508" s="418"/>
    </row>
    <row r="1509" spans="40:53" ht="15.75" customHeight="1">
      <c r="AN1509" s="418"/>
      <c r="AO1509" s="418"/>
      <c r="AP1509" s="418"/>
      <c r="AQ1509" s="418"/>
      <c r="AR1509" s="418"/>
      <c r="AS1509" s="418"/>
      <c r="AT1509" s="418"/>
      <c r="AU1509" s="418"/>
      <c r="AV1509" s="418"/>
      <c r="AW1509" s="418"/>
      <c r="AX1509" s="418"/>
      <c r="AY1509" s="418"/>
      <c r="AZ1509" s="418"/>
      <c r="BA1509" s="418"/>
    </row>
    <row r="1510" spans="40:53" ht="15.75" customHeight="1">
      <c r="AN1510" s="418"/>
      <c r="AO1510" s="418"/>
      <c r="AP1510" s="418"/>
      <c r="AQ1510" s="418"/>
      <c r="AR1510" s="418"/>
      <c r="AS1510" s="418"/>
      <c r="AT1510" s="418"/>
      <c r="AU1510" s="418"/>
      <c r="AV1510" s="418"/>
      <c r="AW1510" s="418"/>
      <c r="AX1510" s="418"/>
      <c r="AY1510" s="418"/>
      <c r="AZ1510" s="418"/>
      <c r="BA1510" s="418"/>
    </row>
    <row r="1511" spans="40:53" ht="15.75" customHeight="1">
      <c r="AN1511" s="418"/>
      <c r="AO1511" s="418"/>
      <c r="AP1511" s="418"/>
      <c r="AQ1511" s="418"/>
      <c r="AR1511" s="418"/>
      <c r="AS1511" s="418"/>
      <c r="AT1511" s="418"/>
      <c r="AU1511" s="418"/>
      <c r="AV1511" s="418"/>
      <c r="AW1511" s="418"/>
      <c r="AX1511" s="418"/>
      <c r="AY1511" s="418"/>
      <c r="AZ1511" s="418"/>
      <c r="BA1511" s="418"/>
    </row>
    <row r="1512" spans="40:53" ht="15.75" customHeight="1">
      <c r="AN1512" s="418"/>
      <c r="AO1512" s="418"/>
      <c r="AP1512" s="418"/>
      <c r="AQ1512" s="418"/>
      <c r="AR1512" s="418"/>
      <c r="AS1512" s="418"/>
      <c r="AT1512" s="418"/>
      <c r="AU1512" s="418"/>
      <c r="AV1512" s="418"/>
      <c r="AW1512" s="418"/>
      <c r="AX1512" s="418"/>
      <c r="AY1512" s="418"/>
      <c r="AZ1512" s="418"/>
      <c r="BA1512" s="418"/>
    </row>
    <row r="1513" spans="40:53" ht="15.75" customHeight="1">
      <c r="AN1513" s="418"/>
      <c r="AO1513" s="418"/>
      <c r="AP1513" s="418"/>
      <c r="AQ1513" s="418"/>
      <c r="AR1513" s="418"/>
      <c r="AS1513" s="418"/>
      <c r="AT1513" s="418"/>
      <c r="AU1513" s="418"/>
      <c r="AV1513" s="418"/>
      <c r="AW1513" s="418"/>
      <c r="AX1513" s="418"/>
      <c r="AY1513" s="418"/>
      <c r="AZ1513" s="418"/>
      <c r="BA1513" s="418"/>
    </row>
    <row r="1514" spans="40:53" ht="15.75" customHeight="1">
      <c r="AN1514" s="418"/>
      <c r="AO1514" s="418"/>
      <c r="AP1514" s="418"/>
      <c r="AQ1514" s="418"/>
      <c r="AR1514" s="418"/>
      <c r="AS1514" s="418"/>
      <c r="AT1514" s="418"/>
      <c r="AU1514" s="418"/>
      <c r="AV1514" s="418"/>
      <c r="AW1514" s="418"/>
      <c r="AX1514" s="418"/>
      <c r="AY1514" s="418"/>
      <c r="AZ1514" s="418"/>
      <c r="BA1514" s="418"/>
    </row>
    <row r="1515" spans="40:53" ht="15.75" customHeight="1">
      <c r="AN1515" s="418"/>
      <c r="AO1515" s="418"/>
      <c r="AP1515" s="418"/>
      <c r="AQ1515" s="418"/>
      <c r="AR1515" s="418"/>
      <c r="AS1515" s="418"/>
      <c r="AT1515" s="418"/>
      <c r="AU1515" s="418"/>
      <c r="AV1515" s="418"/>
      <c r="AW1515" s="418"/>
      <c r="AX1515" s="418"/>
      <c r="AY1515" s="418"/>
      <c r="AZ1515" s="418"/>
      <c r="BA1515" s="418"/>
    </row>
    <row r="1516" spans="40:53" ht="15.75" customHeight="1">
      <c r="AN1516" s="418"/>
      <c r="AO1516" s="418"/>
      <c r="AP1516" s="418"/>
      <c r="AQ1516" s="418"/>
      <c r="AR1516" s="418"/>
      <c r="AS1516" s="418"/>
      <c r="AT1516" s="418"/>
      <c r="AU1516" s="418"/>
      <c r="AV1516" s="418"/>
      <c r="AW1516" s="418"/>
      <c r="AX1516" s="418"/>
      <c r="AY1516" s="418"/>
      <c r="AZ1516" s="418"/>
      <c r="BA1516" s="418"/>
    </row>
    <row r="1517" spans="40:53" ht="15.75" customHeight="1">
      <c r="AN1517" s="418"/>
      <c r="AO1517" s="418"/>
      <c r="AP1517" s="418"/>
      <c r="AQ1517" s="418"/>
      <c r="AR1517" s="418"/>
      <c r="AS1517" s="418"/>
      <c r="AT1517" s="418"/>
      <c r="AU1517" s="418"/>
      <c r="AV1517" s="418"/>
      <c r="AW1517" s="418"/>
      <c r="AX1517" s="418"/>
      <c r="AY1517" s="418"/>
      <c r="AZ1517" s="418"/>
      <c r="BA1517" s="418"/>
    </row>
    <row r="1518" spans="40:53" ht="15.75" customHeight="1">
      <c r="AN1518" s="418"/>
      <c r="AO1518" s="418"/>
      <c r="AP1518" s="418"/>
      <c r="AQ1518" s="418"/>
      <c r="AR1518" s="418"/>
      <c r="AS1518" s="418"/>
      <c r="AT1518" s="418"/>
      <c r="AU1518" s="418"/>
      <c r="AV1518" s="418"/>
      <c r="AW1518" s="418"/>
      <c r="AX1518" s="418"/>
      <c r="AY1518" s="418"/>
      <c r="AZ1518" s="418"/>
      <c r="BA1518" s="418"/>
    </row>
    <row r="1519" spans="40:53" ht="15.75" customHeight="1">
      <c r="AN1519" s="418"/>
      <c r="AO1519" s="418"/>
      <c r="AP1519" s="418"/>
      <c r="AQ1519" s="418"/>
      <c r="AR1519" s="418"/>
      <c r="AS1519" s="418"/>
      <c r="AT1519" s="418"/>
      <c r="AU1519" s="418"/>
      <c r="AV1519" s="418"/>
      <c r="AW1519" s="418"/>
      <c r="AX1519" s="418"/>
      <c r="AY1519" s="418"/>
      <c r="AZ1519" s="418"/>
      <c r="BA1519" s="418"/>
    </row>
    <row r="1520" spans="40:53" ht="15.75" customHeight="1">
      <c r="AN1520" s="418"/>
      <c r="AO1520" s="418"/>
      <c r="AP1520" s="418"/>
      <c r="AQ1520" s="418"/>
      <c r="AR1520" s="418"/>
      <c r="AS1520" s="418"/>
      <c r="AT1520" s="418"/>
      <c r="AU1520" s="418"/>
      <c r="AV1520" s="418"/>
      <c r="AW1520" s="418"/>
      <c r="AX1520" s="418"/>
      <c r="AY1520" s="418"/>
      <c r="AZ1520" s="418"/>
      <c r="BA1520" s="418"/>
    </row>
    <row r="1521" spans="40:53" ht="15.75" customHeight="1">
      <c r="AN1521" s="418"/>
      <c r="AO1521" s="418"/>
      <c r="AP1521" s="418"/>
      <c r="AQ1521" s="418"/>
      <c r="AR1521" s="418"/>
      <c r="AS1521" s="418"/>
      <c r="AT1521" s="418"/>
      <c r="AU1521" s="418"/>
      <c r="AV1521" s="418"/>
      <c r="AW1521" s="418"/>
      <c r="AX1521" s="418"/>
      <c r="AY1521" s="418"/>
      <c r="AZ1521" s="418"/>
      <c r="BA1521" s="418"/>
    </row>
    <row r="1522" spans="40:53" ht="15.75" customHeight="1">
      <c r="AN1522" s="418"/>
      <c r="AO1522" s="418"/>
      <c r="AP1522" s="418"/>
      <c r="AQ1522" s="418"/>
      <c r="AR1522" s="418"/>
      <c r="AS1522" s="418"/>
      <c r="AT1522" s="418"/>
      <c r="AU1522" s="418"/>
      <c r="AV1522" s="418"/>
      <c r="AW1522" s="418"/>
      <c r="AX1522" s="418"/>
      <c r="AY1522" s="418"/>
      <c r="AZ1522" s="418"/>
      <c r="BA1522" s="418"/>
    </row>
    <row r="1523" spans="40:53" ht="15.75" customHeight="1">
      <c r="AN1523" s="418"/>
      <c r="AO1523" s="418"/>
      <c r="AP1523" s="418"/>
      <c r="AQ1523" s="418"/>
      <c r="AR1523" s="418"/>
      <c r="AS1523" s="418"/>
      <c r="AT1523" s="418"/>
      <c r="AU1523" s="418"/>
      <c r="AV1523" s="418"/>
      <c r="AW1523" s="418"/>
      <c r="AX1523" s="418"/>
      <c r="AY1523" s="418"/>
      <c r="AZ1523" s="418"/>
      <c r="BA1523" s="418"/>
    </row>
    <row r="1524" spans="40:53" ht="15.75" customHeight="1">
      <c r="AN1524" s="418"/>
      <c r="AO1524" s="418"/>
      <c r="AP1524" s="418"/>
      <c r="AQ1524" s="418"/>
      <c r="AR1524" s="418"/>
      <c r="AS1524" s="418"/>
      <c r="AT1524" s="418"/>
      <c r="AU1524" s="418"/>
      <c r="AV1524" s="418"/>
      <c r="AW1524" s="418"/>
      <c r="AX1524" s="418"/>
      <c r="AY1524" s="418"/>
      <c r="AZ1524" s="418"/>
      <c r="BA1524" s="418"/>
    </row>
    <row r="1525" spans="40:53" ht="15.75" customHeight="1">
      <c r="AN1525" s="418"/>
      <c r="AO1525" s="418"/>
      <c r="AP1525" s="418"/>
      <c r="AQ1525" s="418"/>
      <c r="AR1525" s="418"/>
      <c r="AS1525" s="418"/>
      <c r="AT1525" s="418"/>
      <c r="AU1525" s="418"/>
      <c r="AV1525" s="418"/>
      <c r="AW1525" s="418"/>
      <c r="AX1525" s="418"/>
      <c r="AY1525" s="418"/>
      <c r="AZ1525" s="418"/>
      <c r="BA1525" s="418"/>
    </row>
    <row r="1526" spans="40:53" ht="15.75" customHeight="1">
      <c r="AN1526" s="418"/>
      <c r="AO1526" s="418"/>
      <c r="AP1526" s="418"/>
      <c r="AQ1526" s="418"/>
      <c r="AR1526" s="418"/>
      <c r="AS1526" s="418"/>
      <c r="AT1526" s="418"/>
      <c r="AU1526" s="418"/>
      <c r="AV1526" s="418"/>
      <c r="AW1526" s="418"/>
      <c r="AX1526" s="418"/>
      <c r="AY1526" s="418"/>
      <c r="AZ1526" s="418"/>
      <c r="BA1526" s="418"/>
    </row>
    <row r="1527" spans="40:53" ht="15.75" customHeight="1">
      <c r="AN1527" s="418"/>
      <c r="AO1527" s="418"/>
      <c r="AP1527" s="418"/>
      <c r="AQ1527" s="418"/>
      <c r="AR1527" s="418"/>
      <c r="AS1527" s="418"/>
      <c r="AT1527" s="418"/>
      <c r="AU1527" s="418"/>
      <c r="AV1527" s="418"/>
      <c r="AW1527" s="418"/>
      <c r="AX1527" s="418"/>
      <c r="AY1527" s="418"/>
      <c r="AZ1527" s="418"/>
      <c r="BA1527" s="418"/>
    </row>
    <row r="1528" spans="40:53" ht="15.75" customHeight="1">
      <c r="AN1528" s="418"/>
      <c r="AO1528" s="418"/>
      <c r="AP1528" s="418"/>
      <c r="AQ1528" s="418"/>
      <c r="AR1528" s="418"/>
      <c r="AS1528" s="418"/>
      <c r="AT1528" s="418"/>
      <c r="AU1528" s="418"/>
      <c r="AV1528" s="418"/>
      <c r="AW1528" s="418"/>
      <c r="AX1528" s="418"/>
      <c r="AY1528" s="418"/>
      <c r="AZ1528" s="418"/>
      <c r="BA1528" s="418"/>
    </row>
    <row r="1529" spans="40:53" ht="15.75" customHeight="1">
      <c r="AN1529" s="418"/>
      <c r="AO1529" s="418"/>
      <c r="AP1529" s="418"/>
      <c r="AQ1529" s="418"/>
      <c r="AR1529" s="418"/>
      <c r="AS1529" s="418"/>
      <c r="AT1529" s="418"/>
      <c r="AU1529" s="418"/>
      <c r="AV1529" s="418"/>
      <c r="AW1529" s="418"/>
      <c r="AX1529" s="418"/>
      <c r="AY1529" s="418"/>
      <c r="AZ1529" s="418"/>
      <c r="BA1529" s="418"/>
    </row>
    <row r="1530" spans="40:53" ht="15.75" customHeight="1">
      <c r="AN1530" s="418"/>
      <c r="AO1530" s="418"/>
      <c r="AP1530" s="418"/>
      <c r="AQ1530" s="418"/>
      <c r="AR1530" s="418"/>
      <c r="AS1530" s="418"/>
      <c r="AT1530" s="418"/>
      <c r="AU1530" s="418"/>
      <c r="AV1530" s="418"/>
      <c r="AW1530" s="418"/>
      <c r="AX1530" s="418"/>
      <c r="AY1530" s="418"/>
      <c r="AZ1530" s="418"/>
      <c r="BA1530" s="418"/>
    </row>
    <row r="1531" spans="40:53" ht="15.75" customHeight="1">
      <c r="AN1531" s="418"/>
      <c r="AO1531" s="418"/>
      <c r="AP1531" s="418"/>
      <c r="AQ1531" s="418"/>
      <c r="AR1531" s="418"/>
      <c r="AS1531" s="418"/>
      <c r="AT1531" s="418"/>
      <c r="AU1531" s="418"/>
      <c r="AV1531" s="418"/>
      <c r="AW1531" s="418"/>
      <c r="AX1531" s="418"/>
      <c r="AY1531" s="418"/>
      <c r="AZ1531" s="418"/>
      <c r="BA1531" s="418"/>
    </row>
    <row r="1532" spans="40:53" ht="15.75" customHeight="1">
      <c r="AN1532" s="418"/>
      <c r="AO1532" s="418"/>
      <c r="AP1532" s="418"/>
      <c r="AQ1532" s="418"/>
      <c r="AR1532" s="418"/>
      <c r="AS1532" s="418"/>
      <c r="AT1532" s="418"/>
      <c r="AU1532" s="418"/>
      <c r="AV1532" s="418"/>
      <c r="AW1532" s="418"/>
      <c r="AX1532" s="418"/>
      <c r="AY1532" s="418"/>
      <c r="AZ1532" s="418"/>
      <c r="BA1532" s="418"/>
    </row>
    <row r="1533" spans="40:53" ht="15.75" customHeight="1">
      <c r="AN1533" s="418"/>
      <c r="AO1533" s="418"/>
      <c r="AP1533" s="418"/>
      <c r="AQ1533" s="418"/>
      <c r="AR1533" s="418"/>
      <c r="AS1533" s="418"/>
      <c r="AT1533" s="418"/>
      <c r="AU1533" s="418"/>
      <c r="AV1533" s="418"/>
      <c r="AW1533" s="418"/>
      <c r="AX1533" s="418"/>
      <c r="AY1533" s="418"/>
      <c r="AZ1533" s="418"/>
      <c r="BA1533" s="418"/>
    </row>
    <row r="1534" spans="40:53" ht="15.75" customHeight="1">
      <c r="AN1534" s="418"/>
      <c r="AO1534" s="418"/>
      <c r="AP1534" s="418"/>
      <c r="AQ1534" s="418"/>
      <c r="AR1534" s="418"/>
      <c r="AS1534" s="418"/>
      <c r="AT1534" s="418"/>
      <c r="AU1534" s="418"/>
      <c r="AV1534" s="418"/>
      <c r="AW1534" s="418"/>
      <c r="AX1534" s="418"/>
      <c r="AY1534" s="418"/>
      <c r="AZ1534" s="418"/>
      <c r="BA1534" s="418"/>
    </row>
    <row r="1535" spans="40:53" ht="15.75" customHeight="1">
      <c r="AN1535" s="418"/>
      <c r="AO1535" s="418"/>
      <c r="AP1535" s="418"/>
      <c r="AQ1535" s="418"/>
      <c r="AR1535" s="418"/>
      <c r="AS1535" s="418"/>
      <c r="AT1535" s="418"/>
      <c r="AU1535" s="418"/>
      <c r="AV1535" s="418"/>
      <c r="AW1535" s="418"/>
      <c r="AX1535" s="418"/>
      <c r="AY1535" s="418"/>
      <c r="AZ1535" s="418"/>
      <c r="BA1535" s="418"/>
    </row>
    <row r="1536" spans="40:53" ht="15.75" customHeight="1">
      <c r="AN1536" s="418"/>
      <c r="AO1536" s="418"/>
      <c r="AP1536" s="418"/>
      <c r="AQ1536" s="418"/>
      <c r="AR1536" s="418"/>
      <c r="AS1536" s="418"/>
      <c r="AT1536" s="418"/>
      <c r="AU1536" s="418"/>
      <c r="AV1536" s="418"/>
      <c r="AW1536" s="418"/>
      <c r="AX1536" s="418"/>
      <c r="AY1536" s="418"/>
      <c r="AZ1536" s="418"/>
      <c r="BA1536" s="418"/>
    </row>
    <row r="1537" spans="40:53" ht="15.75" customHeight="1">
      <c r="AN1537" s="418"/>
      <c r="AO1537" s="418"/>
      <c r="AP1537" s="418"/>
      <c r="AQ1537" s="418"/>
      <c r="AR1537" s="418"/>
      <c r="AS1537" s="418"/>
      <c r="AT1537" s="418"/>
      <c r="AU1537" s="418"/>
      <c r="AV1537" s="418"/>
      <c r="AW1537" s="418"/>
      <c r="AX1537" s="418"/>
      <c r="AY1537" s="418"/>
      <c r="AZ1537" s="418"/>
      <c r="BA1537" s="418"/>
    </row>
    <row r="1538" spans="40:53" ht="15.75" customHeight="1">
      <c r="AN1538" s="418"/>
      <c r="AO1538" s="418"/>
      <c r="AP1538" s="418"/>
      <c r="AQ1538" s="418"/>
      <c r="AR1538" s="418"/>
      <c r="AS1538" s="418"/>
      <c r="AT1538" s="418"/>
      <c r="AU1538" s="418"/>
      <c r="AV1538" s="418"/>
      <c r="AW1538" s="418"/>
      <c r="AX1538" s="418"/>
      <c r="AY1538" s="418"/>
      <c r="AZ1538" s="418"/>
      <c r="BA1538" s="418"/>
    </row>
    <row r="1539" spans="40:53" ht="15.75" customHeight="1">
      <c r="AN1539" s="418"/>
      <c r="AO1539" s="418"/>
      <c r="AP1539" s="418"/>
      <c r="AQ1539" s="418"/>
      <c r="AR1539" s="418"/>
      <c r="AS1539" s="418"/>
      <c r="AT1539" s="418"/>
      <c r="AU1539" s="418"/>
      <c r="AV1539" s="418"/>
      <c r="AW1539" s="418"/>
      <c r="AX1539" s="418"/>
      <c r="AY1539" s="418"/>
      <c r="AZ1539" s="418"/>
      <c r="BA1539" s="418"/>
    </row>
    <row r="1540" spans="40:53" ht="15.75" customHeight="1">
      <c r="AN1540" s="418"/>
      <c r="AO1540" s="418"/>
      <c r="AP1540" s="418"/>
      <c r="AQ1540" s="418"/>
      <c r="AR1540" s="418"/>
      <c r="AS1540" s="418"/>
      <c r="AT1540" s="418"/>
      <c r="AU1540" s="418"/>
      <c r="AV1540" s="418"/>
      <c r="AW1540" s="418"/>
      <c r="AX1540" s="418"/>
      <c r="AY1540" s="418"/>
      <c r="AZ1540" s="418"/>
      <c r="BA1540" s="418"/>
    </row>
    <row r="1541" spans="40:53" ht="15.75" customHeight="1">
      <c r="AN1541" s="418"/>
      <c r="AO1541" s="418"/>
      <c r="AP1541" s="418"/>
      <c r="AQ1541" s="418"/>
      <c r="AR1541" s="418"/>
      <c r="AS1541" s="418"/>
      <c r="AT1541" s="418"/>
      <c r="AU1541" s="418"/>
      <c r="AV1541" s="418"/>
      <c r="AW1541" s="418"/>
      <c r="AX1541" s="418"/>
      <c r="AY1541" s="418"/>
      <c r="AZ1541" s="418"/>
      <c r="BA1541" s="418"/>
    </row>
    <row r="1542" spans="40:53" ht="15.75" customHeight="1">
      <c r="AN1542" s="418"/>
      <c r="AO1542" s="418"/>
      <c r="AP1542" s="418"/>
      <c r="AQ1542" s="418"/>
      <c r="AR1542" s="418"/>
      <c r="AS1542" s="418"/>
      <c r="AT1542" s="418"/>
      <c r="AU1542" s="418"/>
      <c r="AV1542" s="418"/>
      <c r="AW1542" s="418"/>
      <c r="AX1542" s="418"/>
      <c r="AY1542" s="418"/>
      <c r="AZ1542" s="418"/>
      <c r="BA1542" s="418"/>
    </row>
    <row r="1543" spans="40:53" ht="15.75" customHeight="1">
      <c r="AN1543" s="418"/>
      <c r="AO1543" s="418"/>
      <c r="AP1543" s="418"/>
      <c r="AQ1543" s="418"/>
      <c r="AR1543" s="418"/>
      <c r="AS1543" s="418"/>
      <c r="AT1543" s="418"/>
      <c r="AU1543" s="418"/>
      <c r="AV1543" s="418"/>
      <c r="AW1543" s="418"/>
      <c r="AX1543" s="418"/>
      <c r="AY1543" s="418"/>
      <c r="AZ1543" s="418"/>
      <c r="BA1543" s="418"/>
    </row>
    <row r="1544" spans="40:53" ht="15.75" customHeight="1">
      <c r="AN1544" s="418"/>
      <c r="AO1544" s="418"/>
      <c r="AP1544" s="418"/>
      <c r="AQ1544" s="418"/>
      <c r="AR1544" s="418"/>
      <c r="AS1544" s="418"/>
      <c r="AT1544" s="418"/>
      <c r="AU1544" s="418"/>
      <c r="AV1544" s="418"/>
      <c r="AW1544" s="418"/>
      <c r="AX1544" s="418"/>
      <c r="AY1544" s="418"/>
      <c r="AZ1544" s="418"/>
      <c r="BA1544" s="418"/>
    </row>
    <row r="1545" spans="40:53" ht="15.75" customHeight="1">
      <c r="AN1545" s="418"/>
      <c r="AO1545" s="418"/>
      <c r="AP1545" s="418"/>
      <c r="AQ1545" s="418"/>
      <c r="AR1545" s="418"/>
      <c r="AS1545" s="418"/>
      <c r="AT1545" s="418"/>
      <c r="AU1545" s="418"/>
      <c r="AV1545" s="418"/>
      <c r="AW1545" s="418"/>
      <c r="AX1545" s="418"/>
      <c r="AY1545" s="418"/>
      <c r="AZ1545" s="418"/>
      <c r="BA1545" s="418"/>
    </row>
    <row r="1546" spans="40:53" ht="15.75" customHeight="1">
      <c r="AN1546" s="418"/>
      <c r="AO1546" s="418"/>
      <c r="AP1546" s="418"/>
      <c r="AQ1546" s="418"/>
      <c r="AR1546" s="418"/>
      <c r="AS1546" s="418"/>
      <c r="AT1546" s="418"/>
      <c r="AU1546" s="418"/>
      <c r="AV1546" s="418"/>
      <c r="AW1546" s="418"/>
      <c r="AX1546" s="418"/>
      <c r="AY1546" s="418"/>
      <c r="AZ1546" s="418"/>
      <c r="BA1546" s="418"/>
    </row>
    <row r="1547" spans="40:53" ht="15.75" customHeight="1">
      <c r="AN1547" s="418"/>
      <c r="AO1547" s="418"/>
      <c r="AP1547" s="418"/>
      <c r="AQ1547" s="418"/>
      <c r="AR1547" s="418"/>
      <c r="AS1547" s="418"/>
      <c r="AT1547" s="418"/>
      <c r="AU1547" s="418"/>
      <c r="AV1547" s="418"/>
      <c r="AW1547" s="418"/>
      <c r="AX1547" s="418"/>
      <c r="AY1547" s="418"/>
      <c r="AZ1547" s="418"/>
      <c r="BA1547" s="418"/>
    </row>
    <row r="1548" spans="40:53" ht="15.75" customHeight="1">
      <c r="AN1548" s="418"/>
      <c r="AO1548" s="418"/>
      <c r="AP1548" s="418"/>
      <c r="AQ1548" s="418"/>
      <c r="AR1548" s="418"/>
      <c r="AS1548" s="418"/>
      <c r="AT1548" s="418"/>
      <c r="AU1548" s="418"/>
      <c r="AV1548" s="418"/>
      <c r="AW1548" s="418"/>
      <c r="AX1548" s="418"/>
      <c r="AY1548" s="418"/>
      <c r="AZ1548" s="418"/>
      <c r="BA1548" s="418"/>
    </row>
    <row r="1549" spans="40:53" ht="15.75" customHeight="1">
      <c r="AN1549" s="418"/>
      <c r="AO1549" s="418"/>
      <c r="AP1549" s="418"/>
      <c r="AQ1549" s="418"/>
      <c r="AR1549" s="418"/>
      <c r="AS1549" s="418"/>
      <c r="AT1549" s="418"/>
      <c r="AU1549" s="418"/>
      <c r="AV1549" s="418"/>
      <c r="AW1549" s="418"/>
      <c r="AX1549" s="418"/>
      <c r="AY1549" s="418"/>
      <c r="AZ1549" s="418"/>
      <c r="BA1549" s="418"/>
    </row>
    <row r="1550" spans="40:53" ht="15.75" customHeight="1">
      <c r="AN1550" s="418"/>
      <c r="AO1550" s="418"/>
      <c r="AP1550" s="418"/>
      <c r="AQ1550" s="418"/>
      <c r="AR1550" s="418"/>
      <c r="AS1550" s="418"/>
      <c r="AT1550" s="418"/>
      <c r="AU1550" s="418"/>
      <c r="AV1550" s="418"/>
      <c r="AW1550" s="418"/>
      <c r="AX1550" s="418"/>
      <c r="AY1550" s="418"/>
      <c r="AZ1550" s="418"/>
      <c r="BA1550" s="418"/>
    </row>
    <row r="1551" spans="40:53" ht="15.75" customHeight="1">
      <c r="AN1551" s="418"/>
      <c r="AO1551" s="418"/>
      <c r="AP1551" s="418"/>
      <c r="AQ1551" s="418"/>
      <c r="AR1551" s="418"/>
      <c r="AS1551" s="418"/>
      <c r="AT1551" s="418"/>
      <c r="AU1551" s="418"/>
      <c r="AV1551" s="418"/>
      <c r="AW1551" s="418"/>
      <c r="AX1551" s="418"/>
      <c r="AY1551" s="418"/>
      <c r="AZ1551" s="418"/>
      <c r="BA1551" s="418"/>
    </row>
    <row r="1552" spans="40:53" ht="15.75" customHeight="1">
      <c r="AN1552" s="418"/>
      <c r="AO1552" s="418"/>
      <c r="AP1552" s="418"/>
      <c r="AQ1552" s="418"/>
      <c r="AR1552" s="418"/>
      <c r="AS1552" s="418"/>
      <c r="AT1552" s="418"/>
      <c r="AU1552" s="418"/>
      <c r="AV1552" s="418"/>
      <c r="AW1552" s="418"/>
      <c r="AX1552" s="418"/>
      <c r="AY1552" s="418"/>
      <c r="AZ1552" s="418"/>
      <c r="BA1552" s="418"/>
    </row>
    <row r="1553" spans="40:53" ht="15.75" customHeight="1">
      <c r="AN1553" s="418"/>
      <c r="AO1553" s="418"/>
      <c r="AP1553" s="418"/>
      <c r="AQ1553" s="418"/>
      <c r="AR1553" s="418"/>
      <c r="AS1553" s="418"/>
      <c r="AT1553" s="418"/>
      <c r="AU1553" s="418"/>
      <c r="AV1553" s="418"/>
      <c r="AW1553" s="418"/>
      <c r="AX1553" s="418"/>
      <c r="AY1553" s="418"/>
      <c r="AZ1553" s="418"/>
      <c r="BA1553" s="418"/>
    </row>
    <row r="1554" spans="40:53" ht="15.75" customHeight="1">
      <c r="AN1554" s="418"/>
      <c r="AO1554" s="418"/>
      <c r="AP1554" s="418"/>
      <c r="AQ1554" s="418"/>
      <c r="AR1554" s="418"/>
      <c r="AS1554" s="418"/>
      <c r="AT1554" s="418"/>
      <c r="AU1554" s="418"/>
      <c r="AV1554" s="418"/>
      <c r="AW1554" s="418"/>
      <c r="AX1554" s="418"/>
      <c r="AY1554" s="418"/>
      <c r="AZ1554" s="418"/>
      <c r="BA1554" s="418"/>
    </row>
    <row r="1555" spans="40:53" ht="15.75" customHeight="1">
      <c r="AN1555" s="418"/>
      <c r="AO1555" s="418"/>
      <c r="AP1555" s="418"/>
      <c r="AQ1555" s="418"/>
      <c r="AR1555" s="418"/>
      <c r="AS1555" s="418"/>
      <c r="AT1555" s="418"/>
      <c r="AU1555" s="418"/>
      <c r="AV1555" s="418"/>
      <c r="AW1555" s="418"/>
      <c r="AX1555" s="418"/>
      <c r="AY1555" s="418"/>
      <c r="AZ1555" s="418"/>
      <c r="BA1555" s="418"/>
    </row>
    <row r="1556" spans="40:53" ht="15.75" customHeight="1">
      <c r="AN1556" s="418"/>
      <c r="AO1556" s="418"/>
      <c r="AP1556" s="418"/>
      <c r="AQ1556" s="418"/>
      <c r="AR1556" s="418"/>
      <c r="AS1556" s="418"/>
      <c r="AT1556" s="418"/>
      <c r="AU1556" s="418"/>
      <c r="AV1556" s="418"/>
      <c r="AW1556" s="418"/>
      <c r="AX1556" s="418"/>
      <c r="AY1556" s="418"/>
      <c r="AZ1556" s="418"/>
      <c r="BA1556" s="418"/>
    </row>
    <row r="1557" spans="40:53" ht="15.75" customHeight="1">
      <c r="AN1557" s="418"/>
      <c r="AO1557" s="418"/>
      <c r="AP1557" s="418"/>
      <c r="AQ1557" s="418"/>
      <c r="AR1557" s="418"/>
      <c r="AS1557" s="418"/>
      <c r="AT1557" s="418"/>
      <c r="AU1557" s="418"/>
      <c r="AV1557" s="418"/>
      <c r="AW1557" s="418"/>
      <c r="AX1557" s="418"/>
      <c r="AY1557" s="418"/>
      <c r="AZ1557" s="418"/>
      <c r="BA1557" s="418"/>
    </row>
    <row r="1558" spans="40:53" ht="15.75" customHeight="1">
      <c r="AN1558" s="418"/>
      <c r="AO1558" s="418"/>
      <c r="AP1558" s="418"/>
      <c r="AQ1558" s="418"/>
      <c r="AR1558" s="418"/>
      <c r="AS1558" s="418"/>
      <c r="AT1558" s="418"/>
      <c r="AU1558" s="418"/>
      <c r="AV1558" s="418"/>
      <c r="AW1558" s="418"/>
      <c r="AX1558" s="418"/>
      <c r="AY1558" s="418"/>
      <c r="AZ1558" s="418"/>
      <c r="BA1558" s="418"/>
    </row>
    <row r="1559" spans="40:53" ht="15.75" customHeight="1">
      <c r="AN1559" s="418"/>
      <c r="AO1559" s="418"/>
      <c r="AP1559" s="418"/>
      <c r="AQ1559" s="418"/>
      <c r="AR1559" s="418"/>
      <c r="AS1559" s="418"/>
      <c r="AT1559" s="418"/>
      <c r="AU1559" s="418"/>
      <c r="AV1559" s="418"/>
      <c r="AW1559" s="418"/>
      <c r="AX1559" s="418"/>
      <c r="AY1559" s="418"/>
      <c r="AZ1559" s="418"/>
      <c r="BA1559" s="418"/>
    </row>
    <row r="1560" spans="40:53" ht="15.75" customHeight="1">
      <c r="AN1560" s="418"/>
      <c r="AO1560" s="418"/>
      <c r="AP1560" s="418"/>
      <c r="AQ1560" s="418"/>
      <c r="AR1560" s="418"/>
      <c r="AS1560" s="418"/>
      <c r="AT1560" s="418"/>
      <c r="AU1560" s="418"/>
      <c r="AV1560" s="418"/>
      <c r="AW1560" s="418"/>
      <c r="AX1560" s="418"/>
      <c r="AY1560" s="418"/>
      <c r="AZ1560" s="418"/>
      <c r="BA1560" s="418"/>
    </row>
    <row r="1561" spans="40:53" ht="15.75" customHeight="1">
      <c r="AN1561" s="418"/>
      <c r="AO1561" s="418"/>
      <c r="AP1561" s="418"/>
      <c r="AQ1561" s="418"/>
      <c r="AR1561" s="418"/>
      <c r="AS1561" s="418"/>
      <c r="AT1561" s="418"/>
      <c r="AU1561" s="418"/>
      <c r="AV1561" s="418"/>
      <c r="AW1561" s="418"/>
      <c r="AX1561" s="418"/>
      <c r="AY1561" s="418"/>
      <c r="AZ1561" s="418"/>
      <c r="BA1561" s="418"/>
    </row>
    <row r="1562" spans="40:53" ht="15.75" customHeight="1">
      <c r="AN1562" s="418"/>
      <c r="AO1562" s="418"/>
      <c r="AP1562" s="418"/>
      <c r="AQ1562" s="418"/>
      <c r="AR1562" s="418"/>
      <c r="AS1562" s="418"/>
      <c r="AT1562" s="418"/>
      <c r="AU1562" s="418"/>
      <c r="AV1562" s="418"/>
      <c r="AW1562" s="418"/>
      <c r="AX1562" s="418"/>
      <c r="AY1562" s="418"/>
      <c r="AZ1562" s="418"/>
      <c r="BA1562" s="418"/>
    </row>
    <row r="1563" spans="40:53" ht="15.75" customHeight="1">
      <c r="AN1563" s="418"/>
      <c r="AO1563" s="418"/>
      <c r="AP1563" s="418"/>
      <c r="AQ1563" s="418"/>
      <c r="AR1563" s="418"/>
      <c r="AS1563" s="418"/>
      <c r="AT1563" s="418"/>
      <c r="AU1563" s="418"/>
      <c r="AV1563" s="418"/>
      <c r="AW1563" s="418"/>
      <c r="AX1563" s="418"/>
      <c r="AY1563" s="418"/>
      <c r="AZ1563" s="418"/>
      <c r="BA1563" s="418"/>
    </row>
    <row r="1564" spans="40:53" ht="15.75" customHeight="1">
      <c r="AN1564" s="418"/>
      <c r="AO1564" s="418"/>
      <c r="AP1564" s="418"/>
      <c r="AQ1564" s="418"/>
      <c r="AR1564" s="418"/>
      <c r="AS1564" s="418"/>
      <c r="AT1564" s="418"/>
      <c r="AU1564" s="418"/>
      <c r="AV1564" s="418"/>
      <c r="AW1564" s="418"/>
      <c r="AX1564" s="418"/>
      <c r="AY1564" s="418"/>
      <c r="AZ1564" s="418"/>
      <c r="BA1564" s="418"/>
    </row>
    <row r="1565" spans="40:53" ht="15.75" customHeight="1">
      <c r="AN1565" s="418"/>
      <c r="AO1565" s="418"/>
      <c r="AP1565" s="418"/>
      <c r="AQ1565" s="418"/>
      <c r="AR1565" s="418"/>
      <c r="AS1565" s="418"/>
      <c r="AT1565" s="418"/>
      <c r="AU1565" s="418"/>
      <c r="AV1565" s="418"/>
      <c r="AW1565" s="418"/>
      <c r="AX1565" s="418"/>
      <c r="AY1565" s="418"/>
      <c r="AZ1565" s="418"/>
      <c r="BA1565" s="418"/>
    </row>
    <row r="1566" spans="40:53" ht="15.75" customHeight="1">
      <c r="AN1566" s="418"/>
      <c r="AO1566" s="418"/>
      <c r="AP1566" s="418"/>
      <c r="AQ1566" s="418"/>
      <c r="AR1566" s="418"/>
      <c r="AS1566" s="418"/>
      <c r="AT1566" s="418"/>
      <c r="AU1566" s="418"/>
      <c r="AV1566" s="418"/>
      <c r="AW1566" s="418"/>
      <c r="AX1566" s="418"/>
      <c r="AY1566" s="418"/>
      <c r="AZ1566" s="418"/>
      <c r="BA1566" s="418"/>
    </row>
    <row r="1567" spans="40:53" ht="15.75" customHeight="1">
      <c r="AN1567" s="418"/>
      <c r="AO1567" s="418"/>
      <c r="AP1567" s="418"/>
      <c r="AQ1567" s="418"/>
      <c r="AR1567" s="418"/>
      <c r="AS1567" s="418"/>
      <c r="AT1567" s="418"/>
      <c r="AU1567" s="418"/>
      <c r="AV1567" s="418"/>
      <c r="AW1567" s="418"/>
      <c r="AX1567" s="418"/>
      <c r="AY1567" s="418"/>
      <c r="AZ1567" s="418"/>
      <c r="BA1567" s="418"/>
    </row>
    <row r="1568" spans="40:53" ht="15.75" customHeight="1">
      <c r="AN1568" s="418"/>
      <c r="AO1568" s="418"/>
      <c r="AP1568" s="418"/>
      <c r="AQ1568" s="418"/>
      <c r="AR1568" s="418"/>
      <c r="AS1568" s="418"/>
      <c r="AT1568" s="418"/>
      <c r="AU1568" s="418"/>
      <c r="AV1568" s="418"/>
      <c r="AW1568" s="418"/>
      <c r="AX1568" s="418"/>
      <c r="AY1568" s="418"/>
      <c r="AZ1568" s="418"/>
      <c r="BA1568" s="418"/>
    </row>
    <row r="1569" spans="40:53" ht="15.75" customHeight="1">
      <c r="AN1569" s="418"/>
      <c r="AO1569" s="418"/>
      <c r="AP1569" s="418"/>
      <c r="AQ1569" s="418"/>
      <c r="AR1569" s="418"/>
      <c r="AS1569" s="418"/>
      <c r="AT1569" s="418"/>
      <c r="AU1569" s="418"/>
      <c r="AV1569" s="418"/>
      <c r="AW1569" s="418"/>
      <c r="AX1569" s="418"/>
      <c r="AY1569" s="418"/>
      <c r="AZ1569" s="418"/>
      <c r="BA1569" s="418"/>
    </row>
    <row r="1570" spans="40:53" ht="15.75" customHeight="1">
      <c r="AN1570" s="418"/>
      <c r="AO1570" s="418"/>
      <c r="AP1570" s="418"/>
      <c r="AQ1570" s="418"/>
      <c r="AR1570" s="418"/>
      <c r="AS1570" s="418"/>
      <c r="AT1570" s="418"/>
      <c r="AU1570" s="418"/>
      <c r="AV1570" s="418"/>
      <c r="AW1570" s="418"/>
      <c r="AX1570" s="418"/>
      <c r="AY1570" s="418"/>
      <c r="AZ1570" s="418"/>
      <c r="BA1570" s="418"/>
    </row>
    <row r="1571" spans="40:53" ht="15.75" customHeight="1">
      <c r="AN1571" s="418"/>
      <c r="AO1571" s="418"/>
      <c r="AP1571" s="418"/>
      <c r="AQ1571" s="418"/>
      <c r="AR1571" s="418"/>
      <c r="AS1571" s="418"/>
      <c r="AT1571" s="418"/>
      <c r="AU1571" s="418"/>
      <c r="AV1571" s="418"/>
      <c r="AW1571" s="418"/>
      <c r="AX1571" s="418"/>
      <c r="AY1571" s="418"/>
      <c r="AZ1571" s="418"/>
      <c r="BA1571" s="418"/>
    </row>
    <row r="1572" spans="40:53" ht="15.75" customHeight="1">
      <c r="AN1572" s="418"/>
      <c r="AO1572" s="418"/>
      <c r="AP1572" s="418"/>
      <c r="AQ1572" s="418"/>
      <c r="AR1572" s="418"/>
      <c r="AS1572" s="418"/>
      <c r="AT1572" s="418"/>
      <c r="AU1572" s="418"/>
      <c r="AV1572" s="418"/>
      <c r="AW1572" s="418"/>
      <c r="AX1572" s="418"/>
      <c r="AY1572" s="418"/>
      <c r="AZ1572" s="418"/>
      <c r="BA1572" s="418"/>
    </row>
    <row r="1573" spans="40:53" ht="15.75" customHeight="1">
      <c r="AN1573" s="418"/>
      <c r="AO1573" s="418"/>
      <c r="AP1573" s="418"/>
      <c r="AQ1573" s="418"/>
      <c r="AR1573" s="418"/>
      <c r="AS1573" s="418"/>
      <c r="AT1573" s="418"/>
      <c r="AU1573" s="418"/>
      <c r="AV1573" s="418"/>
      <c r="AW1573" s="418"/>
      <c r="AX1573" s="418"/>
      <c r="AY1573" s="418"/>
      <c r="AZ1573" s="418"/>
      <c r="BA1573" s="418"/>
    </row>
    <row r="1574" spans="40:53" ht="15.75" customHeight="1">
      <c r="AN1574" s="418"/>
      <c r="AO1574" s="418"/>
      <c r="AP1574" s="418"/>
      <c r="AQ1574" s="418"/>
      <c r="AR1574" s="418"/>
      <c r="AS1574" s="418"/>
      <c r="AT1574" s="418"/>
      <c r="AU1574" s="418"/>
      <c r="AV1574" s="418"/>
      <c r="AW1574" s="418"/>
      <c r="AX1574" s="418"/>
      <c r="AY1574" s="418"/>
      <c r="AZ1574" s="418"/>
      <c r="BA1574" s="418"/>
    </row>
    <row r="1575" spans="40:53" ht="15.75" customHeight="1">
      <c r="AN1575" s="418"/>
      <c r="AO1575" s="418"/>
      <c r="AP1575" s="418"/>
      <c r="AQ1575" s="418"/>
      <c r="AR1575" s="418"/>
      <c r="AS1575" s="418"/>
      <c r="AT1575" s="418"/>
      <c r="AU1575" s="418"/>
      <c r="AV1575" s="418"/>
      <c r="AW1575" s="418"/>
      <c r="AX1575" s="418"/>
      <c r="AY1575" s="418"/>
      <c r="AZ1575" s="418"/>
      <c r="BA1575" s="418"/>
    </row>
    <row r="1576" spans="40:53" ht="15.75" customHeight="1">
      <c r="AN1576" s="418"/>
      <c r="AO1576" s="418"/>
      <c r="AP1576" s="418"/>
      <c r="AQ1576" s="418"/>
      <c r="AR1576" s="418"/>
      <c r="AS1576" s="418"/>
      <c r="AT1576" s="418"/>
      <c r="AU1576" s="418"/>
      <c r="AV1576" s="418"/>
      <c r="AW1576" s="418"/>
      <c r="AX1576" s="418"/>
      <c r="AY1576" s="418"/>
      <c r="AZ1576" s="418"/>
      <c r="BA1576" s="418"/>
    </row>
    <row r="1577" spans="40:53" ht="15.75" customHeight="1">
      <c r="AN1577" s="418"/>
      <c r="AO1577" s="418"/>
      <c r="AP1577" s="418"/>
      <c r="AQ1577" s="418"/>
      <c r="AR1577" s="418"/>
      <c r="AS1577" s="418"/>
      <c r="AT1577" s="418"/>
      <c r="AU1577" s="418"/>
      <c r="AV1577" s="418"/>
      <c r="AW1577" s="418"/>
      <c r="AX1577" s="418"/>
      <c r="AY1577" s="418"/>
      <c r="AZ1577" s="418"/>
      <c r="BA1577" s="418"/>
    </row>
    <row r="1578" spans="40:53" ht="15.75" customHeight="1">
      <c r="AN1578" s="418"/>
      <c r="AO1578" s="418"/>
      <c r="AP1578" s="418"/>
      <c r="AQ1578" s="418"/>
      <c r="AR1578" s="418"/>
      <c r="AS1578" s="418"/>
      <c r="AT1578" s="418"/>
      <c r="AU1578" s="418"/>
      <c r="AV1578" s="418"/>
      <c r="AW1578" s="418"/>
      <c r="AX1578" s="418"/>
      <c r="AY1578" s="418"/>
      <c r="AZ1578" s="418"/>
      <c r="BA1578" s="418"/>
    </row>
    <row r="1579" spans="40:53" ht="15.75" customHeight="1">
      <c r="AN1579" s="418"/>
      <c r="AO1579" s="418"/>
      <c r="AP1579" s="418"/>
      <c r="AQ1579" s="418"/>
      <c r="AR1579" s="418"/>
      <c r="AS1579" s="418"/>
      <c r="AT1579" s="418"/>
      <c r="AU1579" s="418"/>
      <c r="AV1579" s="418"/>
      <c r="AW1579" s="418"/>
      <c r="AX1579" s="418"/>
      <c r="AY1579" s="418"/>
      <c r="AZ1579" s="418"/>
      <c r="BA1579" s="418"/>
    </row>
    <row r="1580" spans="40:53" ht="15.75" customHeight="1">
      <c r="AN1580" s="418"/>
      <c r="AO1580" s="418"/>
      <c r="AP1580" s="418"/>
      <c r="AQ1580" s="418"/>
      <c r="AR1580" s="418"/>
      <c r="AS1580" s="418"/>
      <c r="AT1580" s="418"/>
      <c r="AU1580" s="418"/>
      <c r="AV1580" s="418"/>
      <c r="AW1580" s="418"/>
      <c r="AX1580" s="418"/>
      <c r="AY1580" s="418"/>
      <c r="AZ1580" s="418"/>
      <c r="BA1580" s="418"/>
    </row>
    <row r="1581" spans="40:53" ht="15.75" customHeight="1">
      <c r="AN1581" s="418"/>
      <c r="AO1581" s="418"/>
      <c r="AP1581" s="418"/>
      <c r="AQ1581" s="418"/>
      <c r="AR1581" s="418"/>
      <c r="AS1581" s="418"/>
      <c r="AT1581" s="418"/>
      <c r="AU1581" s="418"/>
      <c r="AV1581" s="418"/>
      <c r="AW1581" s="418"/>
      <c r="AX1581" s="418"/>
      <c r="AY1581" s="418"/>
      <c r="AZ1581" s="418"/>
      <c r="BA1581" s="418"/>
    </row>
    <row r="1582" spans="40:53" ht="15.75" customHeight="1">
      <c r="AN1582" s="418"/>
      <c r="AO1582" s="418"/>
      <c r="AP1582" s="418"/>
      <c r="AQ1582" s="418"/>
      <c r="AR1582" s="418"/>
      <c r="AS1582" s="418"/>
      <c r="AT1582" s="418"/>
      <c r="AU1582" s="418"/>
      <c r="AV1582" s="418"/>
      <c r="AW1582" s="418"/>
      <c r="AX1582" s="418"/>
      <c r="AY1582" s="418"/>
      <c r="AZ1582" s="418"/>
      <c r="BA1582" s="418"/>
    </row>
    <row r="1583" spans="40:53" ht="15.75" customHeight="1">
      <c r="AN1583" s="418"/>
      <c r="AO1583" s="418"/>
      <c r="AP1583" s="418"/>
      <c r="AQ1583" s="418"/>
      <c r="AR1583" s="418"/>
      <c r="AS1583" s="418"/>
      <c r="AT1583" s="418"/>
      <c r="AU1583" s="418"/>
      <c r="AV1583" s="418"/>
      <c r="AW1583" s="418"/>
      <c r="AX1583" s="418"/>
      <c r="AY1583" s="418"/>
      <c r="AZ1583" s="418"/>
      <c r="BA1583" s="418"/>
    </row>
    <row r="1584" spans="40:53" ht="15.75" customHeight="1">
      <c r="AN1584" s="418"/>
      <c r="AO1584" s="418"/>
      <c r="AP1584" s="418"/>
      <c r="AQ1584" s="418"/>
      <c r="AR1584" s="418"/>
      <c r="AS1584" s="418"/>
      <c r="AT1584" s="418"/>
      <c r="AU1584" s="418"/>
      <c r="AV1584" s="418"/>
      <c r="AW1584" s="418"/>
      <c r="AX1584" s="418"/>
      <c r="AY1584" s="418"/>
      <c r="AZ1584" s="418"/>
      <c r="BA1584" s="418"/>
    </row>
    <row r="1585" spans="40:53" ht="15.75" customHeight="1">
      <c r="AN1585" s="418"/>
      <c r="AO1585" s="418"/>
      <c r="AP1585" s="418"/>
      <c r="AQ1585" s="418"/>
      <c r="AR1585" s="418"/>
      <c r="AS1585" s="418"/>
      <c r="AT1585" s="418"/>
      <c r="AU1585" s="418"/>
      <c r="AV1585" s="418"/>
      <c r="AW1585" s="418"/>
      <c r="AX1585" s="418"/>
      <c r="AY1585" s="418"/>
      <c r="AZ1585" s="418"/>
      <c r="BA1585" s="418"/>
    </row>
    <row r="1586" spans="40:53" ht="15.75" customHeight="1">
      <c r="AN1586" s="418"/>
      <c r="AO1586" s="418"/>
      <c r="AP1586" s="418"/>
      <c r="AQ1586" s="418"/>
      <c r="AR1586" s="418"/>
      <c r="AS1586" s="418"/>
      <c r="AT1586" s="418"/>
      <c r="AU1586" s="418"/>
      <c r="AV1586" s="418"/>
      <c r="AW1586" s="418"/>
      <c r="AX1586" s="418"/>
      <c r="AY1586" s="418"/>
      <c r="AZ1586" s="418"/>
      <c r="BA1586" s="418"/>
    </row>
    <row r="1587" spans="40:53" ht="15.75" customHeight="1">
      <c r="AN1587" s="418"/>
      <c r="AO1587" s="418"/>
      <c r="AP1587" s="418"/>
      <c r="AQ1587" s="418"/>
      <c r="AR1587" s="418"/>
      <c r="AS1587" s="418"/>
      <c r="AT1587" s="418"/>
      <c r="AU1587" s="418"/>
      <c r="AV1587" s="418"/>
      <c r="AW1587" s="418"/>
      <c r="AX1587" s="418"/>
      <c r="AY1587" s="418"/>
      <c r="AZ1587" s="418"/>
      <c r="BA1587" s="418"/>
    </row>
    <row r="1588" spans="40:53" ht="15.75" customHeight="1">
      <c r="AN1588" s="418"/>
      <c r="AO1588" s="418"/>
      <c r="AP1588" s="418"/>
      <c r="AQ1588" s="418"/>
      <c r="AR1588" s="418"/>
      <c r="AS1588" s="418"/>
      <c r="AT1588" s="418"/>
      <c r="AU1588" s="418"/>
      <c r="AV1588" s="418"/>
      <c r="AW1588" s="418"/>
      <c r="AX1588" s="418"/>
      <c r="AY1588" s="418"/>
      <c r="AZ1588" s="418"/>
      <c r="BA1588" s="418"/>
    </row>
    <row r="1589" spans="40:53" ht="15.75" customHeight="1">
      <c r="AN1589" s="418"/>
      <c r="AO1589" s="418"/>
      <c r="AP1589" s="418"/>
      <c r="AQ1589" s="418"/>
      <c r="AR1589" s="418"/>
      <c r="AS1589" s="418"/>
      <c r="AT1589" s="418"/>
      <c r="AU1589" s="418"/>
      <c r="AV1589" s="418"/>
      <c r="AW1589" s="418"/>
      <c r="AX1589" s="418"/>
      <c r="AY1589" s="418"/>
      <c r="AZ1589" s="418"/>
      <c r="BA1589" s="418"/>
    </row>
    <row r="1590" spans="40:53" ht="15.75" customHeight="1">
      <c r="AN1590" s="418"/>
      <c r="AO1590" s="418"/>
      <c r="AP1590" s="418"/>
      <c r="AQ1590" s="418"/>
      <c r="AR1590" s="418"/>
      <c r="AS1590" s="418"/>
      <c r="AT1590" s="418"/>
      <c r="AU1590" s="418"/>
      <c r="AV1590" s="418"/>
      <c r="AW1590" s="418"/>
      <c r="AX1590" s="418"/>
      <c r="AY1590" s="418"/>
      <c r="AZ1590" s="418"/>
      <c r="BA1590" s="418"/>
    </row>
    <row r="1591" spans="40:53" ht="15.75" customHeight="1">
      <c r="AN1591" s="418"/>
      <c r="AO1591" s="418"/>
      <c r="AP1591" s="418"/>
      <c r="AQ1591" s="418"/>
      <c r="AR1591" s="418"/>
      <c r="AS1591" s="418"/>
      <c r="AT1591" s="418"/>
      <c r="AU1591" s="418"/>
      <c r="AV1591" s="418"/>
      <c r="AW1591" s="418"/>
      <c r="AX1591" s="418"/>
      <c r="AY1591" s="418"/>
      <c r="AZ1591" s="418"/>
      <c r="BA1591" s="418"/>
    </row>
    <row r="1592" spans="40:53" ht="15.75" customHeight="1">
      <c r="AN1592" s="418"/>
      <c r="AO1592" s="418"/>
      <c r="AP1592" s="418"/>
      <c r="AQ1592" s="418"/>
      <c r="AR1592" s="418"/>
      <c r="AS1592" s="418"/>
      <c r="AT1592" s="418"/>
      <c r="AU1592" s="418"/>
      <c r="AV1592" s="418"/>
      <c r="AW1592" s="418"/>
      <c r="AX1592" s="418"/>
      <c r="AY1592" s="418"/>
      <c r="AZ1592" s="418"/>
      <c r="BA1592" s="418"/>
    </row>
    <row r="1593" spans="40:53" ht="15.75" customHeight="1">
      <c r="AN1593" s="418"/>
      <c r="AO1593" s="418"/>
      <c r="AP1593" s="418"/>
      <c r="AQ1593" s="418"/>
      <c r="AR1593" s="418"/>
      <c r="AS1593" s="418"/>
      <c r="AT1593" s="418"/>
      <c r="AU1593" s="418"/>
      <c r="AV1593" s="418"/>
      <c r="AW1593" s="418"/>
      <c r="AX1593" s="418"/>
      <c r="AY1593" s="418"/>
      <c r="AZ1593" s="418"/>
      <c r="BA1593" s="418"/>
    </row>
    <row r="1594" spans="40:53" ht="15.75" customHeight="1">
      <c r="AN1594" s="418"/>
      <c r="AO1594" s="418"/>
      <c r="AP1594" s="418"/>
      <c r="AQ1594" s="418"/>
      <c r="AR1594" s="418"/>
      <c r="AS1594" s="418"/>
      <c r="AT1594" s="418"/>
      <c r="AU1594" s="418"/>
      <c r="AV1594" s="418"/>
      <c r="AW1594" s="418"/>
      <c r="AX1594" s="418"/>
      <c r="AY1594" s="418"/>
      <c r="AZ1594" s="418"/>
      <c r="BA1594" s="418"/>
    </row>
    <row r="1595" spans="40:53" ht="15.75" customHeight="1">
      <c r="AN1595" s="418"/>
      <c r="AO1595" s="418"/>
      <c r="AP1595" s="418"/>
      <c r="AQ1595" s="418"/>
      <c r="AR1595" s="418"/>
      <c r="AS1595" s="418"/>
      <c r="AT1595" s="418"/>
      <c r="AU1595" s="418"/>
      <c r="AV1595" s="418"/>
      <c r="AW1595" s="418"/>
      <c r="AX1595" s="418"/>
      <c r="AY1595" s="418"/>
      <c r="AZ1595" s="418"/>
      <c r="BA1595" s="418"/>
    </row>
    <row r="1596" spans="40:53" ht="15.75" customHeight="1">
      <c r="AN1596" s="418"/>
      <c r="AO1596" s="418"/>
      <c r="AP1596" s="418"/>
      <c r="AQ1596" s="418"/>
      <c r="AR1596" s="418"/>
      <c r="AS1596" s="418"/>
      <c r="AT1596" s="418"/>
      <c r="AU1596" s="418"/>
      <c r="AV1596" s="418"/>
      <c r="AW1596" s="418"/>
      <c r="AX1596" s="418"/>
      <c r="AY1596" s="418"/>
      <c r="AZ1596" s="418"/>
      <c r="BA1596" s="418"/>
    </row>
    <row r="1597" spans="40:53" ht="15.75" customHeight="1">
      <c r="AN1597" s="418"/>
      <c r="AO1597" s="418"/>
      <c r="AP1597" s="418"/>
      <c r="AQ1597" s="418"/>
      <c r="AR1597" s="418"/>
      <c r="AS1597" s="418"/>
      <c r="AT1597" s="418"/>
      <c r="AU1597" s="418"/>
      <c r="AV1597" s="418"/>
      <c r="AW1597" s="418"/>
      <c r="AX1597" s="418"/>
      <c r="AY1597" s="418"/>
      <c r="AZ1597" s="418"/>
      <c r="BA1597" s="418"/>
    </row>
    <row r="1598" spans="40:53" ht="15.75" customHeight="1">
      <c r="AN1598" s="418"/>
      <c r="AO1598" s="418"/>
      <c r="AP1598" s="418"/>
      <c r="AQ1598" s="418"/>
      <c r="AR1598" s="418"/>
      <c r="AS1598" s="418"/>
      <c r="AT1598" s="418"/>
      <c r="AU1598" s="418"/>
      <c r="AV1598" s="418"/>
      <c r="AW1598" s="418"/>
      <c r="AX1598" s="418"/>
      <c r="AY1598" s="418"/>
      <c r="AZ1598" s="418"/>
      <c r="BA1598" s="418"/>
    </row>
    <row r="1599" spans="40:53" ht="15.75" customHeight="1">
      <c r="AN1599" s="418"/>
      <c r="AO1599" s="418"/>
      <c r="AP1599" s="418"/>
      <c r="AQ1599" s="418"/>
      <c r="AR1599" s="418"/>
      <c r="AS1599" s="418"/>
      <c r="AT1599" s="418"/>
      <c r="AU1599" s="418"/>
      <c r="AV1599" s="418"/>
      <c r="AW1599" s="418"/>
      <c r="AX1599" s="418"/>
      <c r="AY1599" s="418"/>
      <c r="AZ1599" s="418"/>
      <c r="BA1599" s="418"/>
    </row>
    <row r="1600" spans="40:53" ht="15.75" customHeight="1">
      <c r="AN1600" s="418"/>
      <c r="AO1600" s="418"/>
      <c r="AP1600" s="418"/>
      <c r="AQ1600" s="418"/>
      <c r="AR1600" s="418"/>
      <c r="AS1600" s="418"/>
      <c r="AT1600" s="418"/>
      <c r="AU1600" s="418"/>
      <c r="AV1600" s="418"/>
      <c r="AW1600" s="418"/>
      <c r="AX1600" s="418"/>
      <c r="AY1600" s="418"/>
      <c r="AZ1600" s="418"/>
      <c r="BA1600" s="418"/>
    </row>
    <row r="1601" spans="40:53" ht="15.75" customHeight="1">
      <c r="AN1601" s="418"/>
      <c r="AO1601" s="418"/>
      <c r="AP1601" s="418"/>
      <c r="AQ1601" s="418"/>
      <c r="AR1601" s="418"/>
      <c r="AS1601" s="418"/>
      <c r="AT1601" s="418"/>
      <c r="AU1601" s="418"/>
      <c r="AV1601" s="418"/>
      <c r="AW1601" s="418"/>
      <c r="AX1601" s="418"/>
      <c r="AY1601" s="418"/>
      <c r="AZ1601" s="418"/>
      <c r="BA1601" s="418"/>
    </row>
    <row r="1602" spans="40:53" ht="15.75" customHeight="1">
      <c r="AN1602" s="418"/>
      <c r="AO1602" s="418"/>
      <c r="AP1602" s="418"/>
      <c r="AQ1602" s="418"/>
      <c r="AR1602" s="418"/>
      <c r="AS1602" s="418"/>
      <c r="AT1602" s="418"/>
      <c r="AU1602" s="418"/>
      <c r="AV1602" s="418"/>
      <c r="AW1602" s="418"/>
      <c r="AX1602" s="418"/>
      <c r="AY1602" s="418"/>
      <c r="AZ1602" s="418"/>
      <c r="BA1602" s="418"/>
    </row>
    <row r="1603" spans="40:53" ht="15.75" customHeight="1">
      <c r="AN1603" s="418"/>
      <c r="AO1603" s="418"/>
      <c r="AP1603" s="418"/>
      <c r="AQ1603" s="418"/>
      <c r="AR1603" s="418"/>
      <c r="AS1603" s="418"/>
      <c r="AT1603" s="418"/>
      <c r="AU1603" s="418"/>
      <c r="AV1603" s="418"/>
      <c r="AW1603" s="418"/>
      <c r="AX1603" s="418"/>
      <c r="AY1603" s="418"/>
      <c r="AZ1603" s="418"/>
      <c r="BA1603" s="418"/>
    </row>
    <row r="1604" spans="40:53" ht="15.75" customHeight="1">
      <c r="AN1604" s="418"/>
      <c r="AO1604" s="418"/>
      <c r="AP1604" s="418"/>
      <c r="AQ1604" s="418"/>
      <c r="AR1604" s="418"/>
      <c r="AS1604" s="418"/>
      <c r="AT1604" s="418"/>
      <c r="AU1604" s="418"/>
      <c r="AV1604" s="418"/>
      <c r="AW1604" s="418"/>
      <c r="AX1604" s="418"/>
      <c r="AY1604" s="418"/>
      <c r="AZ1604" s="418"/>
      <c r="BA1604" s="418"/>
    </row>
    <row r="1605" spans="40:53" ht="15.75" customHeight="1">
      <c r="AN1605" s="418"/>
      <c r="AO1605" s="418"/>
      <c r="AP1605" s="418"/>
      <c r="AQ1605" s="418"/>
      <c r="AR1605" s="418"/>
      <c r="AS1605" s="418"/>
      <c r="AT1605" s="418"/>
      <c r="AU1605" s="418"/>
      <c r="AV1605" s="418"/>
      <c r="AW1605" s="418"/>
      <c r="AX1605" s="418"/>
      <c r="AY1605" s="418"/>
      <c r="AZ1605" s="418"/>
      <c r="BA1605" s="418"/>
    </row>
    <row r="1606" spans="40:53" ht="15.75" customHeight="1">
      <c r="AN1606" s="418"/>
      <c r="AO1606" s="418"/>
      <c r="AP1606" s="418"/>
      <c r="AQ1606" s="418"/>
      <c r="AR1606" s="418"/>
      <c r="AS1606" s="418"/>
      <c r="AT1606" s="418"/>
      <c r="AU1606" s="418"/>
      <c r="AV1606" s="418"/>
      <c r="AW1606" s="418"/>
      <c r="AX1606" s="418"/>
      <c r="AY1606" s="418"/>
      <c r="AZ1606" s="418"/>
      <c r="BA1606" s="418"/>
    </row>
    <row r="1607" spans="40:53" ht="15.75" customHeight="1">
      <c r="AN1607" s="418"/>
      <c r="AO1607" s="418"/>
      <c r="AP1607" s="418"/>
      <c r="AQ1607" s="418"/>
      <c r="AR1607" s="418"/>
      <c r="AS1607" s="418"/>
      <c r="AT1607" s="418"/>
      <c r="AU1607" s="418"/>
      <c r="AV1607" s="418"/>
      <c r="AW1607" s="418"/>
      <c r="AX1607" s="418"/>
      <c r="AY1607" s="418"/>
      <c r="AZ1607" s="418"/>
      <c r="BA1607" s="418"/>
    </row>
    <row r="1608" spans="40:53" ht="15.75" customHeight="1">
      <c r="AN1608" s="418"/>
      <c r="AO1608" s="418"/>
      <c r="AP1608" s="418"/>
      <c r="AQ1608" s="418"/>
      <c r="AR1608" s="418"/>
      <c r="AS1608" s="418"/>
      <c r="AT1608" s="418"/>
      <c r="AU1608" s="418"/>
      <c r="AV1608" s="418"/>
      <c r="AW1608" s="418"/>
      <c r="AX1608" s="418"/>
      <c r="AY1608" s="418"/>
      <c r="AZ1608" s="418"/>
      <c r="BA1608" s="418"/>
    </row>
    <row r="1609" spans="40:53" ht="15.75" customHeight="1">
      <c r="AN1609" s="418"/>
      <c r="AO1609" s="418"/>
      <c r="AP1609" s="418"/>
      <c r="AQ1609" s="418"/>
      <c r="AR1609" s="418"/>
      <c r="AS1609" s="418"/>
      <c r="AT1609" s="418"/>
      <c r="AU1609" s="418"/>
      <c r="AV1609" s="418"/>
      <c r="AW1609" s="418"/>
      <c r="AX1609" s="418"/>
      <c r="AY1609" s="418"/>
      <c r="AZ1609" s="418"/>
      <c r="BA1609" s="418"/>
    </row>
    <row r="1610" spans="40:53" ht="15.75" customHeight="1">
      <c r="AN1610" s="418"/>
      <c r="AO1610" s="418"/>
      <c r="AP1610" s="418"/>
      <c r="AQ1610" s="418"/>
      <c r="AR1610" s="418"/>
      <c r="AS1610" s="418"/>
      <c r="AT1610" s="418"/>
      <c r="AU1610" s="418"/>
      <c r="AV1610" s="418"/>
      <c r="AW1610" s="418"/>
      <c r="AX1610" s="418"/>
      <c r="AY1610" s="418"/>
      <c r="AZ1610" s="418"/>
      <c r="BA1610" s="418"/>
    </row>
    <row r="1611" spans="40:53" ht="15.75" customHeight="1">
      <c r="AN1611" s="418"/>
      <c r="AO1611" s="418"/>
      <c r="AP1611" s="418"/>
      <c r="AQ1611" s="418"/>
      <c r="AR1611" s="418"/>
      <c r="AS1611" s="418"/>
      <c r="AT1611" s="418"/>
      <c r="AU1611" s="418"/>
      <c r="AV1611" s="418"/>
      <c r="AW1611" s="418"/>
      <c r="AX1611" s="418"/>
      <c r="AY1611" s="418"/>
      <c r="AZ1611" s="418"/>
      <c r="BA1611" s="418"/>
    </row>
    <row r="1612" spans="40:53" ht="15.75" customHeight="1">
      <c r="AN1612" s="418"/>
      <c r="AO1612" s="418"/>
      <c r="AP1612" s="418"/>
      <c r="AQ1612" s="418"/>
      <c r="AR1612" s="418"/>
      <c r="AS1612" s="418"/>
      <c r="AT1612" s="418"/>
      <c r="AU1612" s="418"/>
      <c r="AV1612" s="418"/>
      <c r="AW1612" s="418"/>
      <c r="AX1612" s="418"/>
      <c r="AY1612" s="418"/>
      <c r="AZ1612" s="418"/>
      <c r="BA1612" s="418"/>
    </row>
    <row r="1613" spans="40:53" ht="15.75" customHeight="1">
      <c r="AN1613" s="418"/>
      <c r="AO1613" s="418"/>
      <c r="AP1613" s="418"/>
      <c r="AQ1613" s="418"/>
      <c r="AR1613" s="418"/>
      <c r="AS1613" s="418"/>
      <c r="AT1613" s="418"/>
      <c r="AU1613" s="418"/>
      <c r="AV1613" s="418"/>
      <c r="AW1613" s="418"/>
      <c r="AX1613" s="418"/>
      <c r="AY1613" s="418"/>
      <c r="AZ1613" s="418"/>
      <c r="BA1613" s="418"/>
    </row>
    <row r="1614" spans="40:53" ht="15.75" customHeight="1">
      <c r="AN1614" s="418"/>
      <c r="AO1614" s="418"/>
      <c r="AP1614" s="418"/>
      <c r="AQ1614" s="418"/>
      <c r="AR1614" s="418"/>
      <c r="AS1614" s="418"/>
      <c r="AT1614" s="418"/>
      <c r="AU1614" s="418"/>
      <c r="AV1614" s="418"/>
      <c r="AW1614" s="418"/>
      <c r="AX1614" s="418"/>
      <c r="AY1614" s="418"/>
      <c r="AZ1614" s="418"/>
      <c r="BA1614" s="418"/>
    </row>
    <row r="1615" spans="40:53" ht="15.75" customHeight="1">
      <c r="AN1615" s="418"/>
      <c r="AO1615" s="418"/>
      <c r="AP1615" s="418"/>
      <c r="AQ1615" s="418"/>
      <c r="AR1615" s="418"/>
      <c r="AS1615" s="418"/>
      <c r="AT1615" s="418"/>
      <c r="AU1615" s="418"/>
      <c r="AV1615" s="418"/>
      <c r="AW1615" s="418"/>
      <c r="AX1615" s="418"/>
      <c r="AY1615" s="418"/>
      <c r="AZ1615" s="418"/>
      <c r="BA1615" s="418"/>
    </row>
    <row r="1616" spans="40:53" ht="15.75" customHeight="1">
      <c r="AN1616" s="418"/>
      <c r="AO1616" s="418"/>
      <c r="AP1616" s="418"/>
      <c r="AQ1616" s="418"/>
      <c r="AR1616" s="418"/>
      <c r="AS1616" s="418"/>
      <c r="AT1616" s="418"/>
      <c r="AU1616" s="418"/>
      <c r="AV1616" s="418"/>
      <c r="AW1616" s="418"/>
      <c r="AX1616" s="418"/>
      <c r="AY1616" s="418"/>
      <c r="AZ1616" s="418"/>
      <c r="BA1616" s="418"/>
    </row>
    <row r="1617" spans="40:53" ht="15.75" customHeight="1">
      <c r="AN1617" s="418"/>
      <c r="AO1617" s="418"/>
      <c r="AP1617" s="418"/>
      <c r="AQ1617" s="418"/>
      <c r="AR1617" s="418"/>
      <c r="AS1617" s="418"/>
      <c r="AT1617" s="418"/>
      <c r="AU1617" s="418"/>
      <c r="AV1617" s="418"/>
      <c r="AW1617" s="418"/>
      <c r="AX1617" s="418"/>
      <c r="AY1617" s="418"/>
      <c r="AZ1617" s="418"/>
      <c r="BA1617" s="418"/>
    </row>
    <row r="1618" spans="40:53" ht="15.75" customHeight="1">
      <c r="AN1618" s="418"/>
      <c r="AO1618" s="418"/>
      <c r="AP1618" s="418"/>
      <c r="AQ1618" s="418"/>
      <c r="AR1618" s="418"/>
      <c r="AS1618" s="418"/>
      <c r="AT1618" s="418"/>
      <c r="AU1618" s="418"/>
      <c r="AV1618" s="418"/>
      <c r="AW1618" s="418"/>
      <c r="AX1618" s="418"/>
      <c r="AY1618" s="418"/>
      <c r="AZ1618" s="418"/>
      <c r="BA1618" s="418"/>
    </row>
    <row r="1619" spans="40:53" ht="15.75" customHeight="1">
      <c r="AN1619" s="418"/>
      <c r="AO1619" s="418"/>
      <c r="AP1619" s="418"/>
      <c r="AQ1619" s="418"/>
      <c r="AR1619" s="418"/>
      <c r="AS1619" s="418"/>
      <c r="AT1619" s="418"/>
      <c r="AU1619" s="418"/>
      <c r="AV1619" s="418"/>
      <c r="AW1619" s="418"/>
      <c r="AX1619" s="418"/>
      <c r="AY1619" s="418"/>
      <c r="AZ1619" s="418"/>
      <c r="BA1619" s="418"/>
    </row>
    <row r="1620" spans="40:53" ht="15.75" customHeight="1">
      <c r="AN1620" s="418"/>
      <c r="AO1620" s="418"/>
      <c r="AP1620" s="418"/>
      <c r="AQ1620" s="418"/>
      <c r="AR1620" s="418"/>
      <c r="AS1620" s="418"/>
      <c r="AT1620" s="418"/>
      <c r="AU1620" s="418"/>
      <c r="AV1620" s="418"/>
      <c r="AW1620" s="418"/>
      <c r="AX1620" s="418"/>
      <c r="AY1620" s="418"/>
      <c r="AZ1620" s="418"/>
      <c r="BA1620" s="418"/>
    </row>
    <row r="1621" spans="40:53" ht="15.75" customHeight="1">
      <c r="AN1621" s="418"/>
      <c r="AO1621" s="418"/>
      <c r="AP1621" s="418"/>
      <c r="AQ1621" s="418"/>
      <c r="AR1621" s="418"/>
      <c r="AS1621" s="418"/>
      <c r="AT1621" s="418"/>
      <c r="AU1621" s="418"/>
      <c r="AV1621" s="418"/>
      <c r="AW1621" s="418"/>
      <c r="AX1621" s="418"/>
      <c r="AY1621" s="418"/>
      <c r="AZ1621" s="418"/>
      <c r="BA1621" s="418"/>
    </row>
    <row r="1622" spans="40:53" ht="15.75" customHeight="1">
      <c r="AN1622" s="418"/>
      <c r="AO1622" s="418"/>
      <c r="AP1622" s="418"/>
      <c r="AQ1622" s="418"/>
      <c r="AR1622" s="418"/>
      <c r="AS1622" s="418"/>
      <c r="AT1622" s="418"/>
      <c r="AU1622" s="418"/>
      <c r="AV1622" s="418"/>
      <c r="AW1622" s="418"/>
      <c r="AX1622" s="418"/>
      <c r="AY1622" s="418"/>
      <c r="AZ1622" s="418"/>
      <c r="BA1622" s="418"/>
    </row>
    <row r="1623" spans="40:53" ht="15.75" customHeight="1">
      <c r="AN1623" s="418"/>
      <c r="AO1623" s="418"/>
      <c r="AP1623" s="418"/>
      <c r="AQ1623" s="418"/>
      <c r="AR1623" s="418"/>
      <c r="AS1623" s="418"/>
      <c r="AT1623" s="418"/>
      <c r="AU1623" s="418"/>
      <c r="AV1623" s="418"/>
      <c r="AW1623" s="418"/>
      <c r="AX1623" s="418"/>
      <c r="AY1623" s="418"/>
      <c r="AZ1623" s="418"/>
      <c r="BA1623" s="418"/>
    </row>
    <row r="1624" spans="40:53" ht="15.75" customHeight="1">
      <c r="AN1624" s="418"/>
      <c r="AO1624" s="418"/>
      <c r="AP1624" s="418"/>
      <c r="AQ1624" s="418"/>
      <c r="AR1624" s="418"/>
      <c r="AS1624" s="418"/>
      <c r="AT1624" s="418"/>
      <c r="AU1624" s="418"/>
      <c r="AV1624" s="418"/>
      <c r="AW1624" s="418"/>
      <c r="AX1624" s="418"/>
      <c r="AY1624" s="418"/>
      <c r="AZ1624" s="418"/>
      <c r="BA1624" s="418"/>
    </row>
    <row r="1625" spans="40:53" ht="15.75" customHeight="1">
      <c r="AN1625" s="418"/>
      <c r="AO1625" s="418"/>
      <c r="AP1625" s="418"/>
      <c r="AQ1625" s="418"/>
      <c r="AR1625" s="418"/>
      <c r="AS1625" s="418"/>
      <c r="AT1625" s="418"/>
      <c r="AU1625" s="418"/>
      <c r="AV1625" s="418"/>
      <c r="AW1625" s="418"/>
      <c r="AX1625" s="418"/>
      <c r="AY1625" s="418"/>
      <c r="AZ1625" s="418"/>
      <c r="BA1625" s="418"/>
    </row>
    <row r="1626" spans="40:53" ht="15.75" customHeight="1">
      <c r="AN1626" s="418"/>
      <c r="AO1626" s="418"/>
      <c r="AP1626" s="418"/>
      <c r="AQ1626" s="418"/>
      <c r="AR1626" s="418"/>
      <c r="AS1626" s="418"/>
      <c r="AT1626" s="418"/>
      <c r="AU1626" s="418"/>
      <c r="AV1626" s="418"/>
      <c r="AW1626" s="418"/>
      <c r="AX1626" s="418"/>
      <c r="AY1626" s="418"/>
      <c r="AZ1626" s="418"/>
      <c r="BA1626" s="418"/>
    </row>
    <row r="1627" spans="40:53" ht="15.75" customHeight="1">
      <c r="AN1627" s="418"/>
      <c r="AO1627" s="418"/>
      <c r="AP1627" s="418"/>
      <c r="AQ1627" s="418"/>
      <c r="AR1627" s="418"/>
      <c r="AS1627" s="418"/>
      <c r="AT1627" s="418"/>
      <c r="AU1627" s="418"/>
      <c r="AV1627" s="418"/>
      <c r="AW1627" s="418"/>
      <c r="AX1627" s="418"/>
      <c r="AY1627" s="418"/>
      <c r="AZ1627" s="418"/>
      <c r="BA1627" s="418"/>
    </row>
    <row r="1628" spans="40:53" ht="15.75" customHeight="1">
      <c r="AN1628" s="418"/>
      <c r="AO1628" s="418"/>
      <c r="AP1628" s="418"/>
      <c r="AQ1628" s="418"/>
      <c r="AR1628" s="418"/>
      <c r="AS1628" s="418"/>
      <c r="AT1628" s="418"/>
      <c r="AU1628" s="418"/>
      <c r="AV1628" s="418"/>
      <c r="AW1628" s="418"/>
      <c r="AX1628" s="418"/>
      <c r="AY1628" s="418"/>
      <c r="AZ1628" s="418"/>
      <c r="BA1628" s="418"/>
    </row>
    <row r="1629" spans="40:53" ht="15.75" customHeight="1">
      <c r="AN1629" s="418"/>
      <c r="AO1629" s="418"/>
      <c r="AP1629" s="418"/>
      <c r="AQ1629" s="418"/>
      <c r="AR1629" s="418"/>
      <c r="AS1629" s="418"/>
      <c r="AT1629" s="418"/>
      <c r="AU1629" s="418"/>
      <c r="AV1629" s="418"/>
      <c r="AW1629" s="418"/>
      <c r="AX1629" s="418"/>
      <c r="AY1629" s="418"/>
      <c r="AZ1629" s="418"/>
      <c r="BA1629" s="418"/>
    </row>
    <row r="1630" spans="40:53" ht="15.75" customHeight="1">
      <c r="AN1630" s="418"/>
      <c r="AO1630" s="418"/>
      <c r="AP1630" s="418"/>
      <c r="AQ1630" s="418"/>
      <c r="AR1630" s="418"/>
      <c r="AS1630" s="418"/>
      <c r="AT1630" s="418"/>
      <c r="AU1630" s="418"/>
      <c r="AV1630" s="418"/>
      <c r="AW1630" s="418"/>
      <c r="AX1630" s="418"/>
      <c r="AY1630" s="418"/>
      <c r="AZ1630" s="418"/>
      <c r="BA1630" s="418"/>
    </row>
    <row r="1631" spans="40:53" ht="15.75" customHeight="1">
      <c r="AN1631" s="418"/>
      <c r="AO1631" s="418"/>
      <c r="AP1631" s="418"/>
      <c r="AQ1631" s="418"/>
      <c r="AR1631" s="418"/>
      <c r="AS1631" s="418"/>
      <c r="AT1631" s="418"/>
      <c r="AU1631" s="418"/>
      <c r="AV1631" s="418"/>
      <c r="AW1631" s="418"/>
      <c r="AX1631" s="418"/>
      <c r="AY1631" s="418"/>
      <c r="AZ1631" s="418"/>
      <c r="BA1631" s="418"/>
    </row>
    <row r="1632" spans="40:53" ht="15.75" customHeight="1">
      <c r="AN1632" s="418"/>
      <c r="AO1632" s="418"/>
      <c r="AP1632" s="418"/>
      <c r="AQ1632" s="418"/>
      <c r="AR1632" s="418"/>
      <c r="AS1632" s="418"/>
      <c r="AT1632" s="418"/>
      <c r="AU1632" s="418"/>
      <c r="AV1632" s="418"/>
      <c r="AW1632" s="418"/>
      <c r="AX1632" s="418"/>
      <c r="AY1632" s="418"/>
      <c r="AZ1632" s="418"/>
      <c r="BA1632" s="418"/>
    </row>
    <row r="1633" spans="40:53" ht="15.75" customHeight="1">
      <c r="AN1633" s="418"/>
      <c r="AO1633" s="418"/>
      <c r="AP1633" s="418"/>
      <c r="AQ1633" s="418"/>
      <c r="AR1633" s="418"/>
      <c r="AS1633" s="418"/>
      <c r="AT1633" s="418"/>
      <c r="AU1633" s="418"/>
      <c r="AV1633" s="418"/>
      <c r="AW1633" s="418"/>
      <c r="AX1633" s="418"/>
      <c r="AY1633" s="418"/>
      <c r="AZ1633" s="418"/>
      <c r="BA1633" s="418"/>
    </row>
    <row r="1634" spans="40:53" ht="15.75" customHeight="1">
      <c r="AN1634" s="418"/>
      <c r="AO1634" s="418"/>
      <c r="AP1634" s="418"/>
      <c r="AQ1634" s="418"/>
      <c r="AR1634" s="418"/>
      <c r="AS1634" s="418"/>
      <c r="AT1634" s="418"/>
      <c r="AU1634" s="418"/>
      <c r="AV1634" s="418"/>
      <c r="AW1634" s="418"/>
      <c r="AX1634" s="418"/>
      <c r="AY1634" s="418"/>
      <c r="AZ1634" s="418"/>
      <c r="BA1634" s="418"/>
    </row>
    <row r="1635" spans="40:53" ht="15.75" customHeight="1">
      <c r="AN1635" s="418"/>
      <c r="AO1635" s="418"/>
      <c r="AP1635" s="418"/>
      <c r="AQ1635" s="418"/>
      <c r="AR1635" s="418"/>
      <c r="AS1635" s="418"/>
      <c r="AT1635" s="418"/>
      <c r="AU1635" s="418"/>
      <c r="AV1635" s="418"/>
      <c r="AW1635" s="418"/>
      <c r="AX1635" s="418"/>
      <c r="AY1635" s="418"/>
      <c r="AZ1635" s="418"/>
      <c r="BA1635" s="418"/>
    </row>
    <row r="1636" spans="40:53" ht="15.75" customHeight="1">
      <c r="AN1636" s="418"/>
      <c r="AO1636" s="418"/>
      <c r="AP1636" s="418"/>
      <c r="AQ1636" s="418"/>
      <c r="AR1636" s="418"/>
      <c r="AS1636" s="418"/>
      <c r="AT1636" s="418"/>
      <c r="AU1636" s="418"/>
      <c r="AV1636" s="418"/>
      <c r="AW1636" s="418"/>
      <c r="AX1636" s="418"/>
      <c r="AY1636" s="418"/>
      <c r="AZ1636" s="418"/>
      <c r="BA1636" s="418"/>
    </row>
    <row r="1637" spans="40:53" ht="15.75" customHeight="1">
      <c r="AN1637" s="418"/>
      <c r="AO1637" s="418"/>
      <c r="AP1637" s="418"/>
      <c r="AQ1637" s="418"/>
      <c r="AR1637" s="418"/>
      <c r="AS1637" s="418"/>
      <c r="AT1637" s="418"/>
      <c r="AU1637" s="418"/>
      <c r="AV1637" s="418"/>
      <c r="AW1637" s="418"/>
      <c r="AX1637" s="418"/>
      <c r="AY1637" s="418"/>
      <c r="AZ1637" s="418"/>
      <c r="BA1637" s="418"/>
    </row>
    <row r="1638" spans="40:53" ht="15.75" customHeight="1">
      <c r="AN1638" s="418"/>
      <c r="AO1638" s="418"/>
      <c r="AP1638" s="418"/>
      <c r="AQ1638" s="418"/>
      <c r="AR1638" s="418"/>
      <c r="AS1638" s="418"/>
      <c r="AT1638" s="418"/>
      <c r="AU1638" s="418"/>
      <c r="AV1638" s="418"/>
      <c r="AW1638" s="418"/>
      <c r="AX1638" s="418"/>
      <c r="AY1638" s="418"/>
      <c r="AZ1638" s="418"/>
      <c r="BA1638" s="418"/>
    </row>
    <row r="1639" spans="40:53" ht="15.75" customHeight="1">
      <c r="AN1639" s="418"/>
      <c r="AO1639" s="418"/>
      <c r="AP1639" s="418"/>
      <c r="AQ1639" s="418"/>
      <c r="AR1639" s="418"/>
      <c r="AS1639" s="418"/>
      <c r="AT1639" s="418"/>
      <c r="AU1639" s="418"/>
      <c r="AV1639" s="418"/>
      <c r="AW1639" s="418"/>
      <c r="AX1639" s="418"/>
      <c r="AY1639" s="418"/>
      <c r="AZ1639" s="418"/>
      <c r="BA1639" s="418"/>
    </row>
    <row r="1640" spans="40:53" ht="15.75" customHeight="1">
      <c r="AN1640" s="418"/>
      <c r="AO1640" s="418"/>
      <c r="AP1640" s="418"/>
      <c r="AQ1640" s="418"/>
      <c r="AR1640" s="418"/>
      <c r="AS1640" s="418"/>
      <c r="AT1640" s="418"/>
      <c r="AU1640" s="418"/>
      <c r="AV1640" s="418"/>
      <c r="AW1640" s="418"/>
      <c r="AX1640" s="418"/>
      <c r="AY1640" s="418"/>
      <c r="AZ1640" s="418"/>
      <c r="BA1640" s="418"/>
    </row>
    <row r="1641" spans="40:53" ht="15.75" customHeight="1">
      <c r="AN1641" s="418"/>
      <c r="AO1641" s="418"/>
      <c r="AP1641" s="418"/>
      <c r="AQ1641" s="418"/>
      <c r="AR1641" s="418"/>
      <c r="AS1641" s="418"/>
      <c r="AT1641" s="418"/>
      <c r="AU1641" s="418"/>
      <c r="AV1641" s="418"/>
      <c r="AW1641" s="418"/>
      <c r="AX1641" s="418"/>
      <c r="AY1641" s="418"/>
      <c r="AZ1641" s="418"/>
      <c r="BA1641" s="418"/>
    </row>
    <row r="1642" spans="40:53" ht="15.75" customHeight="1">
      <c r="AN1642" s="418"/>
      <c r="AO1642" s="418"/>
      <c r="AP1642" s="418"/>
      <c r="AQ1642" s="418"/>
      <c r="AR1642" s="418"/>
      <c r="AS1642" s="418"/>
      <c r="AT1642" s="418"/>
      <c r="AU1642" s="418"/>
      <c r="AV1642" s="418"/>
      <c r="AW1642" s="418"/>
      <c r="AX1642" s="418"/>
      <c r="AY1642" s="418"/>
      <c r="AZ1642" s="418"/>
      <c r="BA1642" s="418"/>
    </row>
    <row r="1643" spans="40:53" ht="15.75" customHeight="1">
      <c r="AN1643" s="418"/>
      <c r="AO1643" s="418"/>
      <c r="AP1643" s="418"/>
      <c r="AQ1643" s="418"/>
      <c r="AR1643" s="418"/>
      <c r="AS1643" s="418"/>
      <c r="AT1643" s="418"/>
      <c r="AU1643" s="418"/>
      <c r="AV1643" s="418"/>
      <c r="AW1643" s="418"/>
      <c r="AX1643" s="418"/>
      <c r="AY1643" s="418"/>
      <c r="AZ1643" s="418"/>
      <c r="BA1643" s="418"/>
    </row>
    <row r="1644" spans="40:53" ht="15.75" customHeight="1">
      <c r="AN1644" s="418"/>
      <c r="AO1644" s="418"/>
      <c r="AP1644" s="418"/>
      <c r="AQ1644" s="418"/>
      <c r="AR1644" s="418"/>
      <c r="AS1644" s="418"/>
      <c r="AT1644" s="418"/>
      <c r="AU1644" s="418"/>
      <c r="AV1644" s="418"/>
      <c r="AW1644" s="418"/>
      <c r="AX1644" s="418"/>
      <c r="AY1644" s="418"/>
      <c r="AZ1644" s="418"/>
      <c r="BA1644" s="418"/>
    </row>
    <row r="1645" spans="40:53" ht="15.75" customHeight="1">
      <c r="AN1645" s="418"/>
      <c r="AO1645" s="418"/>
      <c r="AP1645" s="418"/>
      <c r="AQ1645" s="418"/>
      <c r="AR1645" s="418"/>
      <c r="AS1645" s="418"/>
      <c r="AT1645" s="418"/>
      <c r="AU1645" s="418"/>
      <c r="AV1645" s="418"/>
      <c r="AW1645" s="418"/>
      <c r="AX1645" s="418"/>
      <c r="AY1645" s="418"/>
      <c r="AZ1645" s="418"/>
      <c r="BA1645" s="418"/>
    </row>
    <row r="1646" spans="40:53" ht="15.75" customHeight="1">
      <c r="AN1646" s="418"/>
      <c r="AO1646" s="418"/>
      <c r="AP1646" s="418"/>
      <c r="AQ1646" s="418"/>
      <c r="AR1646" s="418"/>
      <c r="AS1646" s="418"/>
      <c r="AT1646" s="418"/>
      <c r="AU1646" s="418"/>
      <c r="AV1646" s="418"/>
      <c r="AW1646" s="418"/>
      <c r="AX1646" s="418"/>
      <c r="AY1646" s="418"/>
      <c r="AZ1646" s="418"/>
      <c r="BA1646" s="418"/>
    </row>
    <row r="1647" spans="40:53" ht="15.75" customHeight="1">
      <c r="AN1647" s="418"/>
      <c r="AO1647" s="418"/>
      <c r="AP1647" s="418"/>
      <c r="AQ1647" s="418"/>
      <c r="AR1647" s="418"/>
      <c r="AS1647" s="418"/>
      <c r="AT1647" s="418"/>
      <c r="AU1647" s="418"/>
      <c r="AV1647" s="418"/>
      <c r="AW1647" s="418"/>
      <c r="AX1647" s="418"/>
      <c r="AY1647" s="418"/>
      <c r="AZ1647" s="418"/>
      <c r="BA1647" s="418"/>
    </row>
    <row r="1648" spans="40:53" ht="15.75" customHeight="1">
      <c r="AN1648" s="418"/>
      <c r="AO1648" s="418"/>
      <c r="AP1648" s="418"/>
      <c r="AQ1648" s="418"/>
      <c r="AR1648" s="418"/>
      <c r="AS1648" s="418"/>
      <c r="AT1648" s="418"/>
      <c r="AU1648" s="418"/>
      <c r="AV1648" s="418"/>
      <c r="AW1648" s="418"/>
      <c r="AX1648" s="418"/>
      <c r="AY1648" s="418"/>
      <c r="AZ1648" s="418"/>
      <c r="BA1648" s="418"/>
    </row>
    <row r="1649" spans="40:53" ht="15.75" customHeight="1">
      <c r="AN1649" s="418"/>
      <c r="AO1649" s="418"/>
      <c r="AP1649" s="418"/>
      <c r="AQ1649" s="418"/>
      <c r="AR1649" s="418"/>
      <c r="AS1649" s="418"/>
      <c r="AT1649" s="418"/>
      <c r="AU1649" s="418"/>
      <c r="AV1649" s="418"/>
      <c r="AW1649" s="418"/>
      <c r="AX1649" s="418"/>
      <c r="AY1649" s="418"/>
      <c r="AZ1649" s="418"/>
      <c r="BA1649" s="418"/>
    </row>
    <row r="1650" spans="40:53" ht="15.75" customHeight="1">
      <c r="AN1650" s="418"/>
      <c r="AO1650" s="418"/>
      <c r="AP1650" s="418"/>
      <c r="AQ1650" s="418"/>
      <c r="AR1650" s="418"/>
      <c r="AS1650" s="418"/>
      <c r="AT1650" s="418"/>
      <c r="AU1650" s="418"/>
      <c r="AV1650" s="418"/>
      <c r="AW1650" s="418"/>
      <c r="AX1650" s="418"/>
      <c r="AY1650" s="418"/>
      <c r="AZ1650" s="418"/>
      <c r="BA1650" s="418"/>
    </row>
    <row r="1651" spans="40:53" ht="15.75" customHeight="1">
      <c r="AN1651" s="418"/>
      <c r="AO1651" s="418"/>
      <c r="AP1651" s="418"/>
      <c r="AQ1651" s="418"/>
      <c r="AR1651" s="418"/>
      <c r="AS1651" s="418"/>
      <c r="AT1651" s="418"/>
      <c r="AU1651" s="418"/>
      <c r="AV1651" s="418"/>
      <c r="AW1651" s="418"/>
      <c r="AX1651" s="418"/>
      <c r="AY1651" s="418"/>
      <c r="AZ1651" s="418"/>
      <c r="BA1651" s="418"/>
    </row>
    <row r="1652" spans="40:53" ht="15.75" customHeight="1">
      <c r="AN1652" s="418"/>
      <c r="AO1652" s="418"/>
      <c r="AP1652" s="418"/>
      <c r="AQ1652" s="418"/>
      <c r="AR1652" s="418"/>
      <c r="AS1652" s="418"/>
      <c r="AT1652" s="418"/>
      <c r="AU1652" s="418"/>
      <c r="AV1652" s="418"/>
      <c r="AW1652" s="418"/>
      <c r="AX1652" s="418"/>
      <c r="AY1652" s="418"/>
      <c r="AZ1652" s="418"/>
      <c r="BA1652" s="418"/>
    </row>
    <row r="1653" spans="40:53" ht="15.75" customHeight="1">
      <c r="AN1653" s="418"/>
      <c r="AO1653" s="418"/>
      <c r="AP1653" s="418"/>
      <c r="AQ1653" s="418"/>
      <c r="AR1653" s="418"/>
      <c r="AS1653" s="418"/>
      <c r="AT1653" s="418"/>
      <c r="AU1653" s="418"/>
      <c r="AV1653" s="418"/>
      <c r="AW1653" s="418"/>
      <c r="AX1653" s="418"/>
      <c r="AY1653" s="418"/>
      <c r="AZ1653" s="418"/>
      <c r="BA1653" s="418"/>
    </row>
    <row r="1654" spans="40:53" ht="15.75" customHeight="1">
      <c r="AN1654" s="418"/>
      <c r="AO1654" s="418"/>
      <c r="AP1654" s="418"/>
      <c r="AQ1654" s="418"/>
      <c r="AR1654" s="418"/>
      <c r="AS1654" s="418"/>
      <c r="AT1654" s="418"/>
      <c r="AU1654" s="418"/>
      <c r="AV1654" s="418"/>
      <c r="AW1654" s="418"/>
      <c r="AX1654" s="418"/>
      <c r="AY1654" s="418"/>
      <c r="AZ1654" s="418"/>
      <c r="BA1654" s="418"/>
    </row>
    <row r="1655" spans="40:53" ht="15.75" customHeight="1">
      <c r="AN1655" s="418"/>
      <c r="AO1655" s="418"/>
      <c r="AP1655" s="418"/>
      <c r="AQ1655" s="418"/>
      <c r="AR1655" s="418"/>
      <c r="AS1655" s="418"/>
      <c r="AT1655" s="418"/>
      <c r="AU1655" s="418"/>
      <c r="AV1655" s="418"/>
      <c r="AW1655" s="418"/>
      <c r="AX1655" s="418"/>
      <c r="AY1655" s="418"/>
      <c r="AZ1655" s="418"/>
      <c r="BA1655" s="418"/>
    </row>
    <row r="1656" spans="40:53" ht="15.75" customHeight="1">
      <c r="AN1656" s="418"/>
      <c r="AO1656" s="418"/>
      <c r="AP1656" s="418"/>
      <c r="AQ1656" s="418"/>
      <c r="AR1656" s="418"/>
      <c r="AS1656" s="418"/>
      <c r="AT1656" s="418"/>
      <c r="AU1656" s="418"/>
      <c r="AV1656" s="418"/>
      <c r="AW1656" s="418"/>
      <c r="AX1656" s="418"/>
      <c r="AY1656" s="418"/>
      <c r="AZ1656" s="418"/>
      <c r="BA1656" s="418"/>
    </row>
    <row r="1657" spans="40:53" ht="15.75" customHeight="1">
      <c r="AN1657" s="418"/>
      <c r="AO1657" s="418"/>
      <c r="AP1657" s="418"/>
      <c r="AQ1657" s="418"/>
      <c r="AR1657" s="418"/>
      <c r="AS1657" s="418"/>
      <c r="AT1657" s="418"/>
      <c r="AU1657" s="418"/>
      <c r="AV1657" s="418"/>
      <c r="AW1657" s="418"/>
      <c r="AX1657" s="418"/>
      <c r="AY1657" s="418"/>
      <c r="AZ1657" s="418"/>
      <c r="BA1657" s="418"/>
    </row>
    <row r="1658" spans="40:53" ht="15.75" customHeight="1">
      <c r="AN1658" s="418"/>
      <c r="AO1658" s="418"/>
      <c r="AP1658" s="418"/>
      <c r="AQ1658" s="418"/>
      <c r="AR1658" s="418"/>
      <c r="AS1658" s="418"/>
      <c r="AT1658" s="418"/>
      <c r="AU1658" s="418"/>
      <c r="AV1658" s="418"/>
      <c r="AW1658" s="418"/>
      <c r="AX1658" s="418"/>
      <c r="AY1658" s="418"/>
      <c r="AZ1658" s="418"/>
      <c r="BA1658" s="418"/>
    </row>
    <row r="1659" spans="40:53" ht="15.75" customHeight="1">
      <c r="AN1659" s="418"/>
      <c r="AO1659" s="418"/>
      <c r="AP1659" s="418"/>
      <c r="AQ1659" s="418"/>
      <c r="AR1659" s="418"/>
      <c r="AS1659" s="418"/>
      <c r="AT1659" s="418"/>
      <c r="AU1659" s="418"/>
      <c r="AV1659" s="418"/>
      <c r="AW1659" s="418"/>
      <c r="AX1659" s="418"/>
      <c r="AY1659" s="418"/>
      <c r="AZ1659" s="418"/>
      <c r="BA1659" s="418"/>
    </row>
    <row r="1660" spans="40:53" ht="15.75" customHeight="1">
      <c r="AN1660" s="418"/>
      <c r="AO1660" s="418"/>
      <c r="AP1660" s="418"/>
      <c r="AQ1660" s="418"/>
      <c r="AR1660" s="418"/>
      <c r="AS1660" s="418"/>
      <c r="AT1660" s="418"/>
      <c r="AU1660" s="418"/>
      <c r="AV1660" s="418"/>
      <c r="AW1660" s="418"/>
      <c r="AX1660" s="418"/>
      <c r="AY1660" s="418"/>
      <c r="AZ1660" s="418"/>
      <c r="BA1660" s="418"/>
    </row>
    <row r="1661" spans="40:53" ht="15.75" customHeight="1">
      <c r="AN1661" s="418"/>
      <c r="AO1661" s="418"/>
      <c r="AP1661" s="418"/>
      <c r="AQ1661" s="418"/>
      <c r="AR1661" s="418"/>
      <c r="AS1661" s="418"/>
      <c r="AT1661" s="418"/>
      <c r="AU1661" s="418"/>
      <c r="AV1661" s="418"/>
      <c r="AW1661" s="418"/>
      <c r="AX1661" s="418"/>
      <c r="AY1661" s="418"/>
      <c r="AZ1661" s="418"/>
      <c r="BA1661" s="418"/>
    </row>
    <row r="1662" spans="40:53" ht="15.75" customHeight="1">
      <c r="AN1662" s="418"/>
      <c r="AO1662" s="418"/>
      <c r="AP1662" s="418"/>
      <c r="AQ1662" s="418"/>
      <c r="AR1662" s="418"/>
      <c r="AS1662" s="418"/>
      <c r="AT1662" s="418"/>
      <c r="AU1662" s="418"/>
      <c r="AV1662" s="418"/>
      <c r="AW1662" s="418"/>
      <c r="AX1662" s="418"/>
      <c r="AY1662" s="418"/>
      <c r="AZ1662" s="418"/>
      <c r="BA1662" s="418"/>
    </row>
    <row r="1663" spans="40:53" ht="15.75" customHeight="1">
      <c r="AN1663" s="418"/>
      <c r="AO1663" s="418"/>
      <c r="AP1663" s="418"/>
      <c r="AQ1663" s="418"/>
      <c r="AR1663" s="418"/>
      <c r="AS1663" s="418"/>
      <c r="AT1663" s="418"/>
      <c r="AU1663" s="418"/>
      <c r="AV1663" s="418"/>
      <c r="AW1663" s="418"/>
      <c r="AX1663" s="418"/>
      <c r="AY1663" s="418"/>
      <c r="AZ1663" s="418"/>
      <c r="BA1663" s="418"/>
    </row>
    <row r="1664" spans="40:53" ht="15.75" customHeight="1">
      <c r="AN1664" s="418"/>
      <c r="AO1664" s="418"/>
      <c r="AP1664" s="418"/>
      <c r="AQ1664" s="418"/>
      <c r="AR1664" s="418"/>
      <c r="AS1664" s="418"/>
      <c r="AT1664" s="418"/>
      <c r="AU1664" s="418"/>
      <c r="AV1664" s="418"/>
      <c r="AW1664" s="418"/>
      <c r="AX1664" s="418"/>
      <c r="AY1664" s="418"/>
      <c r="AZ1664" s="418"/>
      <c r="BA1664" s="418"/>
    </row>
    <row r="1665" spans="40:53" ht="15.75" customHeight="1">
      <c r="AN1665" s="418"/>
      <c r="AO1665" s="418"/>
      <c r="AP1665" s="418"/>
      <c r="AQ1665" s="418"/>
      <c r="AR1665" s="418"/>
      <c r="AS1665" s="418"/>
      <c r="AT1665" s="418"/>
      <c r="AU1665" s="418"/>
      <c r="AV1665" s="418"/>
      <c r="AW1665" s="418"/>
      <c r="AX1665" s="418"/>
      <c r="AY1665" s="418"/>
      <c r="AZ1665" s="418"/>
      <c r="BA1665" s="418"/>
    </row>
    <row r="1666" spans="40:53" ht="15.75" customHeight="1">
      <c r="AN1666" s="418"/>
      <c r="AO1666" s="418"/>
      <c r="AP1666" s="418"/>
      <c r="AQ1666" s="418"/>
      <c r="AR1666" s="418"/>
      <c r="AS1666" s="418"/>
      <c r="AT1666" s="418"/>
      <c r="AU1666" s="418"/>
      <c r="AV1666" s="418"/>
      <c r="AW1666" s="418"/>
      <c r="AX1666" s="418"/>
      <c r="AY1666" s="418"/>
      <c r="AZ1666" s="418"/>
      <c r="BA1666" s="418"/>
    </row>
    <row r="1667" spans="40:53" ht="15.75" customHeight="1">
      <c r="AN1667" s="418"/>
      <c r="AO1667" s="418"/>
      <c r="AP1667" s="418"/>
      <c r="AQ1667" s="418"/>
      <c r="AR1667" s="418"/>
      <c r="AS1667" s="418"/>
      <c r="AT1667" s="418"/>
      <c r="AU1667" s="418"/>
      <c r="AV1667" s="418"/>
      <c r="AW1667" s="418"/>
      <c r="AX1667" s="418"/>
      <c r="AY1667" s="418"/>
      <c r="AZ1667" s="418"/>
      <c r="BA1667" s="418"/>
    </row>
    <row r="1668" spans="40:53" ht="15.75" customHeight="1">
      <c r="AN1668" s="418"/>
      <c r="AO1668" s="418"/>
      <c r="AP1668" s="418"/>
      <c r="AQ1668" s="418"/>
      <c r="AR1668" s="418"/>
      <c r="AS1668" s="418"/>
      <c r="AT1668" s="418"/>
      <c r="AU1668" s="418"/>
      <c r="AV1668" s="418"/>
      <c r="AW1668" s="418"/>
      <c r="AX1668" s="418"/>
      <c r="AY1668" s="418"/>
      <c r="AZ1668" s="418"/>
      <c r="BA1668" s="418"/>
    </row>
    <row r="1669" spans="40:53" ht="15.75" customHeight="1">
      <c r="AN1669" s="418"/>
      <c r="AO1669" s="418"/>
      <c r="AP1669" s="418"/>
      <c r="AQ1669" s="418"/>
      <c r="AR1669" s="418"/>
      <c r="AS1669" s="418"/>
      <c r="AT1669" s="418"/>
      <c r="AU1669" s="418"/>
      <c r="AV1669" s="418"/>
      <c r="AW1669" s="418"/>
      <c r="AX1669" s="418"/>
      <c r="AY1669" s="418"/>
      <c r="AZ1669" s="418"/>
      <c r="BA1669" s="418"/>
    </row>
    <row r="1670" spans="40:53" ht="15.75" customHeight="1">
      <c r="AN1670" s="418"/>
      <c r="AO1670" s="418"/>
      <c r="AP1670" s="418"/>
      <c r="AQ1670" s="418"/>
      <c r="AR1670" s="418"/>
      <c r="AS1670" s="418"/>
      <c r="AT1670" s="418"/>
      <c r="AU1670" s="418"/>
      <c r="AV1670" s="418"/>
      <c r="AW1670" s="418"/>
      <c r="AX1670" s="418"/>
      <c r="AY1670" s="418"/>
      <c r="AZ1670" s="418"/>
      <c r="BA1670" s="418"/>
    </row>
    <row r="1671" spans="40:53" ht="15.75" customHeight="1">
      <c r="AN1671" s="418"/>
      <c r="AO1671" s="418"/>
      <c r="AP1671" s="418"/>
      <c r="AQ1671" s="418"/>
      <c r="AR1671" s="418"/>
      <c r="AS1671" s="418"/>
      <c r="AT1671" s="418"/>
      <c r="AU1671" s="418"/>
      <c r="AV1671" s="418"/>
      <c r="AW1671" s="418"/>
      <c r="AX1671" s="418"/>
      <c r="AY1671" s="418"/>
      <c r="AZ1671" s="418"/>
      <c r="BA1671" s="418"/>
    </row>
    <row r="1672" spans="40:53" ht="15.75" customHeight="1">
      <c r="AN1672" s="418"/>
      <c r="AO1672" s="418"/>
      <c r="AP1672" s="418"/>
      <c r="AQ1672" s="418"/>
      <c r="AR1672" s="418"/>
      <c r="AS1672" s="418"/>
      <c r="AT1672" s="418"/>
      <c r="AU1672" s="418"/>
      <c r="AV1672" s="418"/>
      <c r="AW1672" s="418"/>
      <c r="AX1672" s="418"/>
      <c r="AY1672" s="418"/>
      <c r="AZ1672" s="418"/>
      <c r="BA1672" s="418"/>
    </row>
    <row r="1673" spans="40:53" ht="15.75" customHeight="1">
      <c r="AN1673" s="418"/>
      <c r="AO1673" s="418"/>
      <c r="AP1673" s="418"/>
      <c r="AQ1673" s="418"/>
      <c r="AR1673" s="418"/>
      <c r="AS1673" s="418"/>
      <c r="AT1673" s="418"/>
      <c r="AU1673" s="418"/>
      <c r="AV1673" s="418"/>
      <c r="AW1673" s="418"/>
      <c r="AX1673" s="418"/>
      <c r="AY1673" s="418"/>
      <c r="AZ1673" s="418"/>
      <c r="BA1673" s="418"/>
    </row>
    <row r="1674" spans="40:53" ht="15.75" customHeight="1">
      <c r="AN1674" s="418"/>
      <c r="AO1674" s="418"/>
      <c r="AP1674" s="418"/>
      <c r="AQ1674" s="418"/>
      <c r="AR1674" s="418"/>
      <c r="AS1674" s="418"/>
      <c r="AT1674" s="418"/>
      <c r="AU1674" s="418"/>
      <c r="AV1674" s="418"/>
      <c r="AW1674" s="418"/>
      <c r="AX1674" s="418"/>
      <c r="AY1674" s="418"/>
      <c r="AZ1674" s="418"/>
      <c r="BA1674" s="418"/>
    </row>
    <row r="1675" spans="40:53" ht="15.75" customHeight="1">
      <c r="AN1675" s="418"/>
      <c r="AO1675" s="418"/>
      <c r="AP1675" s="418"/>
      <c r="AQ1675" s="418"/>
      <c r="AR1675" s="418"/>
      <c r="AS1675" s="418"/>
      <c r="AT1675" s="418"/>
      <c r="AU1675" s="418"/>
      <c r="AV1675" s="418"/>
      <c r="AW1675" s="418"/>
      <c r="AX1675" s="418"/>
      <c r="AY1675" s="418"/>
      <c r="AZ1675" s="418"/>
      <c r="BA1675" s="418"/>
    </row>
    <row r="1676" spans="40:53" ht="15.75" customHeight="1">
      <c r="AN1676" s="418"/>
      <c r="AO1676" s="418"/>
      <c r="AP1676" s="418"/>
      <c r="AQ1676" s="418"/>
      <c r="AR1676" s="418"/>
      <c r="AS1676" s="418"/>
      <c r="AT1676" s="418"/>
      <c r="AU1676" s="418"/>
      <c r="AV1676" s="418"/>
      <c r="AW1676" s="418"/>
      <c r="AX1676" s="418"/>
      <c r="AY1676" s="418"/>
      <c r="AZ1676" s="418"/>
      <c r="BA1676" s="418"/>
    </row>
    <row r="1677" spans="40:53" ht="15.75" customHeight="1">
      <c r="AN1677" s="418"/>
      <c r="AO1677" s="418"/>
      <c r="AP1677" s="418"/>
      <c r="AQ1677" s="418"/>
      <c r="AR1677" s="418"/>
      <c r="AS1677" s="418"/>
      <c r="AT1677" s="418"/>
      <c r="AU1677" s="418"/>
      <c r="AV1677" s="418"/>
      <c r="AW1677" s="418"/>
      <c r="AX1677" s="418"/>
      <c r="AY1677" s="418"/>
      <c r="AZ1677" s="418"/>
      <c r="BA1677" s="418"/>
    </row>
    <row r="1678" spans="40:53" ht="15.75" customHeight="1">
      <c r="AN1678" s="418"/>
      <c r="AO1678" s="418"/>
      <c r="AP1678" s="418"/>
      <c r="AQ1678" s="418"/>
      <c r="AR1678" s="418"/>
      <c r="AS1678" s="418"/>
      <c r="AT1678" s="418"/>
      <c r="AU1678" s="418"/>
      <c r="AV1678" s="418"/>
      <c r="AW1678" s="418"/>
      <c r="AX1678" s="418"/>
      <c r="AY1678" s="418"/>
      <c r="AZ1678" s="418"/>
      <c r="BA1678" s="418"/>
    </row>
    <row r="1679" spans="40:53" ht="15.75" customHeight="1">
      <c r="AN1679" s="418"/>
      <c r="AO1679" s="418"/>
      <c r="AP1679" s="418"/>
      <c r="AQ1679" s="418"/>
      <c r="AR1679" s="418"/>
      <c r="AS1679" s="418"/>
      <c r="AT1679" s="418"/>
      <c r="AU1679" s="418"/>
      <c r="AV1679" s="418"/>
      <c r="AW1679" s="418"/>
      <c r="AX1679" s="418"/>
      <c r="AY1679" s="418"/>
      <c r="AZ1679" s="418"/>
      <c r="BA1679" s="418"/>
    </row>
    <row r="1680" spans="40:53" ht="15.75" customHeight="1">
      <c r="AN1680" s="418"/>
      <c r="AO1680" s="418"/>
      <c r="AP1680" s="418"/>
      <c r="AQ1680" s="418"/>
      <c r="AR1680" s="418"/>
      <c r="AS1680" s="418"/>
      <c r="AT1680" s="418"/>
      <c r="AU1680" s="418"/>
      <c r="AV1680" s="418"/>
      <c r="AW1680" s="418"/>
      <c r="AX1680" s="418"/>
      <c r="AY1680" s="418"/>
      <c r="AZ1680" s="418"/>
      <c r="BA1680" s="418"/>
    </row>
    <row r="1681" spans="40:53" ht="15.75" customHeight="1">
      <c r="AN1681" s="418"/>
      <c r="AO1681" s="418"/>
      <c r="AP1681" s="418"/>
      <c r="AQ1681" s="418"/>
      <c r="AR1681" s="418"/>
      <c r="AS1681" s="418"/>
      <c r="AT1681" s="418"/>
      <c r="AU1681" s="418"/>
      <c r="AV1681" s="418"/>
      <c r="AW1681" s="418"/>
      <c r="AX1681" s="418"/>
      <c r="AY1681" s="418"/>
      <c r="AZ1681" s="418"/>
      <c r="BA1681" s="418"/>
    </row>
    <row r="1682" spans="40:53" ht="15.75" customHeight="1">
      <c r="AN1682" s="418"/>
      <c r="AO1682" s="418"/>
      <c r="AP1682" s="418"/>
      <c r="AQ1682" s="418"/>
      <c r="AR1682" s="418"/>
      <c r="AS1682" s="418"/>
      <c r="AT1682" s="418"/>
      <c r="AU1682" s="418"/>
      <c r="AV1682" s="418"/>
      <c r="AW1682" s="418"/>
      <c r="AX1682" s="418"/>
      <c r="AY1682" s="418"/>
      <c r="AZ1682" s="418"/>
      <c r="BA1682" s="418"/>
    </row>
    <row r="1683" spans="40:53" ht="15.75" customHeight="1">
      <c r="AN1683" s="418"/>
      <c r="AO1683" s="418"/>
      <c r="AP1683" s="418"/>
      <c r="AQ1683" s="418"/>
      <c r="AR1683" s="418"/>
      <c r="AS1683" s="418"/>
      <c r="AT1683" s="418"/>
      <c r="AU1683" s="418"/>
      <c r="AV1683" s="418"/>
      <c r="AW1683" s="418"/>
      <c r="AX1683" s="418"/>
      <c r="AY1683" s="418"/>
      <c r="AZ1683" s="418"/>
      <c r="BA1683" s="418"/>
    </row>
    <row r="1684" spans="40:53" ht="15.75" customHeight="1">
      <c r="AN1684" s="418"/>
      <c r="AO1684" s="418"/>
      <c r="AP1684" s="418"/>
      <c r="AQ1684" s="418"/>
      <c r="AR1684" s="418"/>
      <c r="AS1684" s="418"/>
      <c r="AT1684" s="418"/>
      <c r="AU1684" s="418"/>
      <c r="AV1684" s="418"/>
      <c r="AW1684" s="418"/>
      <c r="AX1684" s="418"/>
      <c r="AY1684" s="418"/>
      <c r="AZ1684" s="418"/>
      <c r="BA1684" s="418"/>
    </row>
    <row r="1685" spans="40:53" ht="15.75" customHeight="1">
      <c r="AN1685" s="418"/>
      <c r="AO1685" s="418"/>
      <c r="AP1685" s="418"/>
      <c r="AQ1685" s="418"/>
      <c r="AR1685" s="418"/>
      <c r="AS1685" s="418"/>
      <c r="AT1685" s="418"/>
      <c r="AU1685" s="418"/>
      <c r="AV1685" s="418"/>
      <c r="AW1685" s="418"/>
      <c r="AX1685" s="418"/>
      <c r="AY1685" s="418"/>
      <c r="AZ1685" s="418"/>
      <c r="BA1685" s="418"/>
    </row>
    <row r="1686" spans="40:53" ht="15.75" customHeight="1">
      <c r="AN1686" s="418"/>
      <c r="AO1686" s="418"/>
      <c r="AP1686" s="418"/>
      <c r="AQ1686" s="418"/>
      <c r="AR1686" s="418"/>
      <c r="AS1686" s="418"/>
      <c r="AT1686" s="418"/>
      <c r="AU1686" s="418"/>
      <c r="AV1686" s="418"/>
      <c r="AW1686" s="418"/>
      <c r="AX1686" s="418"/>
      <c r="AY1686" s="418"/>
      <c r="AZ1686" s="418"/>
      <c r="BA1686" s="418"/>
    </row>
    <row r="1687" spans="40:53" ht="15.75" customHeight="1">
      <c r="AN1687" s="418"/>
      <c r="AO1687" s="418"/>
      <c r="AP1687" s="418"/>
      <c r="AQ1687" s="418"/>
      <c r="AR1687" s="418"/>
      <c r="AS1687" s="418"/>
      <c r="AT1687" s="418"/>
      <c r="AU1687" s="418"/>
      <c r="AV1687" s="418"/>
      <c r="AW1687" s="418"/>
      <c r="AX1687" s="418"/>
      <c r="AY1687" s="418"/>
      <c r="AZ1687" s="418"/>
      <c r="BA1687" s="418"/>
    </row>
    <row r="1688" spans="40:53" ht="15.75" customHeight="1">
      <c r="AN1688" s="418"/>
      <c r="AO1688" s="418"/>
      <c r="AP1688" s="418"/>
      <c r="AQ1688" s="418"/>
      <c r="AR1688" s="418"/>
      <c r="AS1688" s="418"/>
      <c r="AT1688" s="418"/>
      <c r="AU1688" s="418"/>
      <c r="AV1688" s="418"/>
      <c r="AW1688" s="418"/>
      <c r="AX1688" s="418"/>
      <c r="AY1688" s="418"/>
      <c r="AZ1688" s="418"/>
      <c r="BA1688" s="418"/>
    </row>
    <row r="1689" spans="40:53" ht="15.75" customHeight="1">
      <c r="AN1689" s="418"/>
      <c r="AO1689" s="418"/>
      <c r="AP1689" s="418"/>
      <c r="AQ1689" s="418"/>
      <c r="AR1689" s="418"/>
      <c r="AS1689" s="418"/>
      <c r="AT1689" s="418"/>
      <c r="AU1689" s="418"/>
      <c r="AV1689" s="418"/>
      <c r="AW1689" s="418"/>
      <c r="AX1689" s="418"/>
      <c r="AY1689" s="418"/>
      <c r="AZ1689" s="418"/>
      <c r="BA1689" s="418"/>
    </row>
    <row r="1690" spans="40:53" ht="15.75" customHeight="1">
      <c r="AN1690" s="418"/>
      <c r="AO1690" s="418"/>
      <c r="AP1690" s="418"/>
      <c r="AQ1690" s="418"/>
      <c r="AR1690" s="418"/>
      <c r="AS1690" s="418"/>
      <c r="AT1690" s="418"/>
      <c r="AU1690" s="418"/>
      <c r="AV1690" s="418"/>
      <c r="AW1690" s="418"/>
      <c r="AX1690" s="418"/>
      <c r="AY1690" s="418"/>
      <c r="AZ1690" s="418"/>
      <c r="BA1690" s="418"/>
    </row>
    <row r="1691" spans="40:53" ht="15.75" customHeight="1">
      <c r="AN1691" s="418"/>
      <c r="AO1691" s="418"/>
      <c r="AP1691" s="418"/>
      <c r="AQ1691" s="418"/>
      <c r="AR1691" s="418"/>
      <c r="AS1691" s="418"/>
      <c r="AT1691" s="418"/>
      <c r="AU1691" s="418"/>
      <c r="AV1691" s="418"/>
      <c r="AW1691" s="418"/>
      <c r="AX1691" s="418"/>
      <c r="AY1691" s="418"/>
      <c r="AZ1691" s="418"/>
      <c r="BA1691" s="418"/>
    </row>
    <row r="1692" spans="40:53" ht="15.75" customHeight="1">
      <c r="AN1692" s="418"/>
      <c r="AO1692" s="418"/>
      <c r="AP1692" s="418"/>
      <c r="AQ1692" s="418"/>
      <c r="AR1692" s="418"/>
      <c r="AS1692" s="418"/>
      <c r="AT1692" s="418"/>
      <c r="AU1692" s="418"/>
      <c r="AV1692" s="418"/>
      <c r="AW1692" s="418"/>
      <c r="AX1692" s="418"/>
      <c r="AY1692" s="418"/>
      <c r="AZ1692" s="418"/>
      <c r="BA1692" s="418"/>
    </row>
    <row r="1693" spans="40:53" ht="15.75" customHeight="1">
      <c r="AN1693" s="418"/>
      <c r="AO1693" s="418"/>
      <c r="AP1693" s="418"/>
      <c r="AQ1693" s="418"/>
      <c r="AR1693" s="418"/>
      <c r="AS1693" s="418"/>
      <c r="AT1693" s="418"/>
      <c r="AU1693" s="418"/>
      <c r="AV1693" s="418"/>
      <c r="AW1693" s="418"/>
      <c r="AX1693" s="418"/>
      <c r="AY1693" s="418"/>
      <c r="AZ1693" s="418"/>
      <c r="BA1693" s="418"/>
    </row>
    <row r="1694" spans="40:53" ht="15.75" customHeight="1">
      <c r="AN1694" s="418"/>
      <c r="AO1694" s="418"/>
      <c r="AP1694" s="418"/>
      <c r="AQ1694" s="418"/>
      <c r="AR1694" s="418"/>
      <c r="AS1694" s="418"/>
      <c r="AT1694" s="418"/>
      <c r="AU1694" s="418"/>
      <c r="AV1694" s="418"/>
      <c r="AW1694" s="418"/>
      <c r="AX1694" s="418"/>
      <c r="AY1694" s="418"/>
      <c r="AZ1694" s="418"/>
      <c r="BA1694" s="418"/>
    </row>
    <row r="1695" spans="40:53" ht="15.75" customHeight="1">
      <c r="AN1695" s="418"/>
      <c r="AO1695" s="418"/>
      <c r="AP1695" s="418"/>
      <c r="AQ1695" s="418"/>
      <c r="AR1695" s="418"/>
      <c r="AS1695" s="418"/>
      <c r="AT1695" s="418"/>
      <c r="AU1695" s="418"/>
      <c r="AV1695" s="418"/>
      <c r="AW1695" s="418"/>
      <c r="AX1695" s="418"/>
      <c r="AY1695" s="418"/>
      <c r="AZ1695" s="418"/>
      <c r="BA1695" s="418"/>
    </row>
    <row r="1696" spans="40:53" ht="15.75" customHeight="1">
      <c r="AN1696" s="418"/>
      <c r="AO1696" s="418"/>
      <c r="AP1696" s="418"/>
      <c r="AQ1696" s="418"/>
      <c r="AR1696" s="418"/>
      <c r="AS1696" s="418"/>
      <c r="AT1696" s="418"/>
      <c r="AU1696" s="418"/>
      <c r="AV1696" s="418"/>
      <c r="AW1696" s="418"/>
      <c r="AX1696" s="418"/>
      <c r="AY1696" s="418"/>
      <c r="AZ1696" s="418"/>
      <c r="BA1696" s="418"/>
    </row>
    <row r="1697" spans="40:53" ht="15.75" customHeight="1">
      <c r="AN1697" s="418"/>
      <c r="AO1697" s="418"/>
      <c r="AP1697" s="418"/>
      <c r="AQ1697" s="418"/>
      <c r="AR1697" s="418"/>
      <c r="AS1697" s="418"/>
      <c r="AT1697" s="418"/>
      <c r="AU1697" s="418"/>
      <c r="AV1697" s="418"/>
      <c r="AW1697" s="418"/>
      <c r="AX1697" s="418"/>
      <c r="AY1697" s="418"/>
      <c r="AZ1697" s="418"/>
      <c r="BA1697" s="418"/>
    </row>
    <row r="1698" spans="40:53" ht="15.75" customHeight="1">
      <c r="AN1698" s="418"/>
      <c r="AO1698" s="418"/>
      <c r="AP1698" s="418"/>
      <c r="AQ1698" s="418"/>
      <c r="AR1698" s="418"/>
      <c r="AS1698" s="418"/>
      <c r="AT1698" s="418"/>
      <c r="AU1698" s="418"/>
      <c r="AV1698" s="418"/>
      <c r="AW1698" s="418"/>
      <c r="AX1698" s="418"/>
      <c r="AY1698" s="418"/>
      <c r="AZ1698" s="418"/>
      <c r="BA1698" s="418"/>
    </row>
    <row r="1699" spans="40:53" ht="15.75" customHeight="1">
      <c r="AN1699" s="418"/>
      <c r="AO1699" s="418"/>
      <c r="AP1699" s="418"/>
      <c r="AQ1699" s="418"/>
      <c r="AR1699" s="418"/>
      <c r="AS1699" s="418"/>
      <c r="AT1699" s="418"/>
      <c r="AU1699" s="418"/>
      <c r="AV1699" s="418"/>
      <c r="AW1699" s="418"/>
      <c r="AX1699" s="418"/>
      <c r="AY1699" s="418"/>
      <c r="AZ1699" s="418"/>
      <c r="BA1699" s="418"/>
    </row>
    <row r="1700" spans="40:53" ht="15.75" customHeight="1">
      <c r="AN1700" s="418"/>
      <c r="AO1700" s="418"/>
      <c r="AP1700" s="418"/>
      <c r="AQ1700" s="418"/>
      <c r="AR1700" s="418"/>
      <c r="AS1700" s="418"/>
      <c r="AT1700" s="418"/>
      <c r="AU1700" s="418"/>
      <c r="AV1700" s="418"/>
      <c r="AW1700" s="418"/>
      <c r="AX1700" s="418"/>
      <c r="AY1700" s="418"/>
      <c r="AZ1700" s="418"/>
      <c r="BA1700" s="418"/>
    </row>
    <row r="1701" spans="40:53" ht="15.75" customHeight="1">
      <c r="AN1701" s="418"/>
      <c r="AO1701" s="418"/>
      <c r="AP1701" s="418"/>
      <c r="AQ1701" s="418"/>
      <c r="AR1701" s="418"/>
      <c r="AS1701" s="418"/>
      <c r="AT1701" s="418"/>
      <c r="AU1701" s="418"/>
      <c r="AV1701" s="418"/>
      <c r="AW1701" s="418"/>
      <c r="AX1701" s="418"/>
      <c r="AY1701" s="418"/>
      <c r="AZ1701" s="418"/>
      <c r="BA1701" s="418"/>
    </row>
    <row r="1702" spans="40:53" ht="15.75" customHeight="1">
      <c r="AN1702" s="418"/>
      <c r="AO1702" s="418"/>
      <c r="AP1702" s="418"/>
      <c r="AQ1702" s="418"/>
      <c r="AR1702" s="418"/>
      <c r="AS1702" s="418"/>
      <c r="AT1702" s="418"/>
      <c r="AU1702" s="418"/>
      <c r="AV1702" s="418"/>
      <c r="AW1702" s="418"/>
      <c r="AX1702" s="418"/>
      <c r="AY1702" s="418"/>
      <c r="AZ1702" s="418"/>
      <c r="BA1702" s="418"/>
    </row>
    <row r="1703" spans="40:53" ht="15.75" customHeight="1">
      <c r="AN1703" s="418"/>
      <c r="AO1703" s="418"/>
      <c r="AP1703" s="418"/>
      <c r="AQ1703" s="418"/>
      <c r="AR1703" s="418"/>
      <c r="AS1703" s="418"/>
      <c r="AT1703" s="418"/>
      <c r="AU1703" s="418"/>
      <c r="AV1703" s="418"/>
      <c r="AW1703" s="418"/>
      <c r="AX1703" s="418"/>
      <c r="AY1703" s="418"/>
      <c r="AZ1703" s="418"/>
      <c r="BA1703" s="418"/>
    </row>
    <row r="1704" spans="40:53" ht="15.75" customHeight="1">
      <c r="AN1704" s="418"/>
      <c r="AO1704" s="418"/>
      <c r="AP1704" s="418"/>
      <c r="AQ1704" s="418"/>
      <c r="AR1704" s="418"/>
      <c r="AS1704" s="418"/>
      <c r="AT1704" s="418"/>
      <c r="AU1704" s="418"/>
      <c r="AV1704" s="418"/>
      <c r="AW1704" s="418"/>
      <c r="AX1704" s="418"/>
      <c r="AY1704" s="418"/>
      <c r="AZ1704" s="418"/>
      <c r="BA1704" s="418"/>
    </row>
    <row r="1705" spans="40:53" ht="15.75" customHeight="1">
      <c r="AN1705" s="418"/>
      <c r="AO1705" s="418"/>
      <c r="AP1705" s="418"/>
      <c r="AQ1705" s="418"/>
      <c r="AR1705" s="418"/>
      <c r="AS1705" s="418"/>
      <c r="AT1705" s="418"/>
      <c r="AU1705" s="418"/>
      <c r="AV1705" s="418"/>
      <c r="AW1705" s="418"/>
      <c r="AX1705" s="418"/>
      <c r="AY1705" s="418"/>
      <c r="AZ1705" s="418"/>
      <c r="BA1705" s="418"/>
    </row>
    <row r="1706" spans="40:53" ht="15.75" customHeight="1">
      <c r="AN1706" s="418"/>
      <c r="AO1706" s="418"/>
      <c r="AP1706" s="418"/>
      <c r="AQ1706" s="418"/>
      <c r="AR1706" s="418"/>
      <c r="AS1706" s="418"/>
      <c r="AT1706" s="418"/>
      <c r="AU1706" s="418"/>
      <c r="AV1706" s="418"/>
      <c r="AW1706" s="418"/>
      <c r="AX1706" s="418"/>
      <c r="AY1706" s="418"/>
      <c r="AZ1706" s="418"/>
      <c r="BA1706" s="418"/>
    </row>
    <row r="1707" spans="40:53" ht="15.75" customHeight="1">
      <c r="AN1707" s="418"/>
      <c r="AO1707" s="418"/>
      <c r="AP1707" s="418"/>
      <c r="AQ1707" s="418"/>
      <c r="AR1707" s="418"/>
      <c r="AS1707" s="418"/>
      <c r="AT1707" s="418"/>
      <c r="AU1707" s="418"/>
      <c r="AV1707" s="418"/>
      <c r="AW1707" s="418"/>
      <c r="AX1707" s="418"/>
      <c r="AY1707" s="418"/>
      <c r="AZ1707" s="418"/>
      <c r="BA1707" s="418"/>
    </row>
    <row r="1708" spans="40:53" ht="15.75" customHeight="1">
      <c r="AN1708" s="418"/>
      <c r="AO1708" s="418"/>
      <c r="AP1708" s="418"/>
      <c r="AQ1708" s="418"/>
      <c r="AR1708" s="418"/>
      <c r="AS1708" s="418"/>
      <c r="AT1708" s="418"/>
      <c r="AU1708" s="418"/>
      <c r="AV1708" s="418"/>
      <c r="AW1708" s="418"/>
      <c r="AX1708" s="418"/>
      <c r="AY1708" s="418"/>
      <c r="AZ1708" s="418"/>
      <c r="BA1708" s="418"/>
    </row>
    <row r="1709" spans="40:53" ht="15.75" customHeight="1">
      <c r="AN1709" s="418"/>
      <c r="AO1709" s="418"/>
      <c r="AP1709" s="418"/>
      <c r="AQ1709" s="418"/>
      <c r="AR1709" s="418"/>
      <c r="AS1709" s="418"/>
      <c r="AT1709" s="418"/>
      <c r="AU1709" s="418"/>
      <c r="AV1709" s="418"/>
      <c r="AW1709" s="418"/>
      <c r="AX1709" s="418"/>
      <c r="AY1709" s="418"/>
      <c r="AZ1709" s="418"/>
      <c r="BA1709" s="418"/>
    </row>
    <row r="1710" spans="40:53" ht="15.75" customHeight="1">
      <c r="AN1710" s="418"/>
      <c r="AO1710" s="418"/>
      <c r="AP1710" s="418"/>
      <c r="AQ1710" s="418"/>
      <c r="AR1710" s="418"/>
      <c r="AS1710" s="418"/>
      <c r="AT1710" s="418"/>
      <c r="AU1710" s="418"/>
      <c r="AV1710" s="418"/>
      <c r="AW1710" s="418"/>
      <c r="AX1710" s="418"/>
      <c r="AY1710" s="418"/>
      <c r="AZ1710" s="418"/>
      <c r="BA1710" s="418"/>
    </row>
    <row r="1711" spans="40:53" ht="15.75" customHeight="1">
      <c r="AN1711" s="418"/>
      <c r="AO1711" s="418"/>
      <c r="AP1711" s="418"/>
      <c r="AQ1711" s="418"/>
      <c r="AR1711" s="418"/>
      <c r="AS1711" s="418"/>
      <c r="AT1711" s="418"/>
      <c r="AU1711" s="418"/>
      <c r="AV1711" s="418"/>
      <c r="AW1711" s="418"/>
      <c r="AX1711" s="418"/>
      <c r="AY1711" s="418"/>
      <c r="AZ1711" s="418"/>
      <c r="BA1711" s="418"/>
    </row>
    <row r="1712" spans="40:53" ht="15.75" customHeight="1">
      <c r="AN1712" s="418"/>
      <c r="AO1712" s="418"/>
      <c r="AP1712" s="418"/>
      <c r="AQ1712" s="418"/>
      <c r="AR1712" s="418"/>
      <c r="AS1712" s="418"/>
      <c r="AT1712" s="418"/>
      <c r="AU1712" s="418"/>
      <c r="AV1712" s="418"/>
      <c r="AW1712" s="418"/>
      <c r="AX1712" s="418"/>
      <c r="AY1712" s="418"/>
      <c r="AZ1712" s="418"/>
      <c r="BA1712" s="418"/>
    </row>
    <row r="1713" spans="40:53" ht="15.75" customHeight="1">
      <c r="AN1713" s="418"/>
      <c r="AO1713" s="418"/>
      <c r="AP1713" s="418"/>
      <c r="AQ1713" s="418"/>
      <c r="AR1713" s="418"/>
      <c r="AS1713" s="418"/>
      <c r="AT1713" s="418"/>
      <c r="AU1713" s="418"/>
      <c r="AV1713" s="418"/>
      <c r="AW1713" s="418"/>
      <c r="AX1713" s="418"/>
      <c r="AY1713" s="418"/>
      <c r="AZ1713" s="418"/>
      <c r="BA1713" s="418"/>
    </row>
    <row r="1714" spans="40:53" ht="15.75" customHeight="1">
      <c r="AN1714" s="418"/>
      <c r="AO1714" s="418"/>
      <c r="AP1714" s="418"/>
      <c r="AQ1714" s="418"/>
      <c r="AR1714" s="418"/>
      <c r="AS1714" s="418"/>
      <c r="AT1714" s="418"/>
      <c r="AU1714" s="418"/>
      <c r="AV1714" s="418"/>
      <c r="AW1714" s="418"/>
      <c r="AX1714" s="418"/>
      <c r="AY1714" s="418"/>
      <c r="AZ1714" s="418"/>
      <c r="BA1714" s="418"/>
    </row>
    <row r="1715" spans="40:53" ht="15.75" customHeight="1">
      <c r="AN1715" s="418"/>
      <c r="AO1715" s="418"/>
      <c r="AP1715" s="418"/>
      <c r="AQ1715" s="418"/>
      <c r="AR1715" s="418"/>
      <c r="AS1715" s="418"/>
      <c r="AT1715" s="418"/>
      <c r="AU1715" s="418"/>
      <c r="AV1715" s="418"/>
      <c r="AW1715" s="418"/>
      <c r="AX1715" s="418"/>
      <c r="AY1715" s="418"/>
      <c r="AZ1715" s="418"/>
      <c r="BA1715" s="418"/>
    </row>
    <row r="1716" spans="40:53" ht="15.75" customHeight="1">
      <c r="AN1716" s="418"/>
      <c r="AO1716" s="418"/>
      <c r="AP1716" s="418"/>
      <c r="AQ1716" s="418"/>
      <c r="AR1716" s="418"/>
      <c r="AS1716" s="418"/>
      <c r="AT1716" s="418"/>
      <c r="AU1716" s="418"/>
      <c r="AV1716" s="418"/>
      <c r="AW1716" s="418"/>
      <c r="AX1716" s="418"/>
      <c r="AY1716" s="418"/>
      <c r="AZ1716" s="418"/>
      <c r="BA1716" s="418"/>
    </row>
    <row r="1717" spans="40:53" ht="15.75" customHeight="1">
      <c r="AN1717" s="418"/>
      <c r="AO1717" s="418"/>
      <c r="AP1717" s="418"/>
      <c r="AQ1717" s="418"/>
      <c r="AR1717" s="418"/>
      <c r="AS1717" s="418"/>
      <c r="AT1717" s="418"/>
      <c r="AU1717" s="418"/>
      <c r="AV1717" s="418"/>
      <c r="AW1717" s="418"/>
      <c r="AX1717" s="418"/>
      <c r="AY1717" s="418"/>
      <c r="AZ1717" s="418"/>
      <c r="BA1717" s="418"/>
    </row>
    <row r="1718" spans="40:53" ht="15.75" customHeight="1">
      <c r="AN1718" s="418"/>
      <c r="AO1718" s="418"/>
      <c r="AP1718" s="418"/>
      <c r="AQ1718" s="418"/>
      <c r="AR1718" s="418"/>
      <c r="AS1718" s="418"/>
      <c r="AT1718" s="418"/>
      <c r="AU1718" s="418"/>
      <c r="AV1718" s="418"/>
      <c r="AW1718" s="418"/>
      <c r="AX1718" s="418"/>
      <c r="AY1718" s="418"/>
      <c r="AZ1718" s="418"/>
      <c r="BA1718" s="418"/>
    </row>
    <row r="1719" spans="40:53" ht="15.75" customHeight="1">
      <c r="AN1719" s="418"/>
      <c r="AO1719" s="418"/>
      <c r="AP1719" s="418"/>
      <c r="AQ1719" s="418"/>
      <c r="AR1719" s="418"/>
      <c r="AS1719" s="418"/>
      <c r="AT1719" s="418"/>
      <c r="AU1719" s="418"/>
      <c r="AV1719" s="418"/>
      <c r="AW1719" s="418"/>
      <c r="AX1719" s="418"/>
      <c r="AY1719" s="418"/>
      <c r="AZ1719" s="418"/>
      <c r="BA1719" s="418"/>
    </row>
    <row r="1720" spans="40:53" ht="15.75" customHeight="1">
      <c r="AN1720" s="418"/>
      <c r="AO1720" s="418"/>
      <c r="AP1720" s="418"/>
      <c r="AQ1720" s="418"/>
      <c r="AR1720" s="418"/>
      <c r="AS1720" s="418"/>
      <c r="AT1720" s="418"/>
      <c r="AU1720" s="418"/>
      <c r="AV1720" s="418"/>
      <c r="AW1720" s="418"/>
      <c r="AX1720" s="418"/>
      <c r="AY1720" s="418"/>
      <c r="AZ1720" s="418"/>
      <c r="BA1720" s="418"/>
    </row>
    <row r="1721" spans="40:53" ht="15.75" customHeight="1">
      <c r="AN1721" s="418"/>
      <c r="AO1721" s="418"/>
      <c r="AP1721" s="418"/>
      <c r="AQ1721" s="418"/>
      <c r="AR1721" s="418"/>
      <c r="AS1721" s="418"/>
      <c r="AT1721" s="418"/>
      <c r="AU1721" s="418"/>
      <c r="AV1721" s="418"/>
      <c r="AW1721" s="418"/>
      <c r="AX1721" s="418"/>
      <c r="AY1721" s="418"/>
      <c r="AZ1721" s="418"/>
      <c r="BA1721" s="418"/>
    </row>
    <row r="1722" spans="40:53" ht="15.75" customHeight="1">
      <c r="AN1722" s="418"/>
      <c r="AO1722" s="418"/>
      <c r="AP1722" s="418"/>
      <c r="AQ1722" s="418"/>
      <c r="AR1722" s="418"/>
      <c r="AS1722" s="418"/>
      <c r="AT1722" s="418"/>
      <c r="AU1722" s="418"/>
      <c r="AV1722" s="418"/>
      <c r="AW1722" s="418"/>
      <c r="AX1722" s="418"/>
      <c r="AY1722" s="418"/>
      <c r="AZ1722" s="418"/>
      <c r="BA1722" s="418"/>
    </row>
    <row r="1723" spans="40:53" ht="15.75" customHeight="1">
      <c r="AN1723" s="418"/>
      <c r="AO1723" s="418"/>
      <c r="AP1723" s="418"/>
      <c r="AQ1723" s="418"/>
      <c r="AR1723" s="418"/>
      <c r="AS1723" s="418"/>
      <c r="AT1723" s="418"/>
      <c r="AU1723" s="418"/>
      <c r="AV1723" s="418"/>
      <c r="AW1723" s="418"/>
      <c r="AX1723" s="418"/>
      <c r="AY1723" s="418"/>
      <c r="AZ1723" s="418"/>
      <c r="BA1723" s="418"/>
    </row>
    <row r="1724" spans="40:53" ht="15.75" customHeight="1">
      <c r="AN1724" s="418"/>
      <c r="AO1724" s="418"/>
      <c r="AP1724" s="418"/>
      <c r="AQ1724" s="418"/>
      <c r="AR1724" s="418"/>
      <c r="AS1724" s="418"/>
      <c r="AT1724" s="418"/>
      <c r="AU1724" s="418"/>
      <c r="AV1724" s="418"/>
      <c r="AW1724" s="418"/>
      <c r="AX1724" s="418"/>
      <c r="AY1724" s="418"/>
      <c r="AZ1724" s="418"/>
      <c r="BA1724" s="418"/>
    </row>
    <row r="1725" spans="40:53" ht="15.75" customHeight="1">
      <c r="AN1725" s="418"/>
      <c r="AO1725" s="418"/>
      <c r="AP1725" s="418"/>
      <c r="AQ1725" s="418"/>
      <c r="AR1725" s="418"/>
      <c r="AS1725" s="418"/>
      <c r="AT1725" s="418"/>
      <c r="AU1725" s="418"/>
      <c r="AV1725" s="418"/>
      <c r="AW1725" s="418"/>
      <c r="AX1725" s="418"/>
      <c r="AY1725" s="418"/>
      <c r="AZ1725" s="418"/>
      <c r="BA1725" s="418"/>
    </row>
    <row r="1726" spans="40:53" ht="15.75" customHeight="1">
      <c r="AN1726" s="418"/>
      <c r="AO1726" s="418"/>
      <c r="AP1726" s="418"/>
      <c r="AQ1726" s="418"/>
      <c r="AR1726" s="418"/>
      <c r="AS1726" s="418"/>
      <c r="AT1726" s="418"/>
      <c r="AU1726" s="418"/>
      <c r="AV1726" s="418"/>
      <c r="AW1726" s="418"/>
      <c r="AX1726" s="418"/>
      <c r="AY1726" s="418"/>
      <c r="AZ1726" s="418"/>
      <c r="BA1726" s="418"/>
    </row>
    <row r="1727" spans="40:53" ht="15.75" customHeight="1">
      <c r="AN1727" s="418"/>
      <c r="AO1727" s="418"/>
      <c r="AP1727" s="418"/>
      <c r="AQ1727" s="418"/>
      <c r="AR1727" s="418"/>
      <c r="AS1727" s="418"/>
      <c r="AT1727" s="418"/>
      <c r="AU1727" s="418"/>
      <c r="AV1727" s="418"/>
      <c r="AW1727" s="418"/>
      <c r="AX1727" s="418"/>
      <c r="AY1727" s="418"/>
      <c r="AZ1727" s="418"/>
      <c r="BA1727" s="418"/>
    </row>
    <row r="1728" spans="40:53" ht="15.75" customHeight="1">
      <c r="AN1728" s="418"/>
      <c r="AO1728" s="418"/>
      <c r="AP1728" s="418"/>
      <c r="AQ1728" s="418"/>
      <c r="AR1728" s="418"/>
      <c r="AS1728" s="418"/>
      <c r="AT1728" s="418"/>
      <c r="AU1728" s="418"/>
      <c r="AV1728" s="418"/>
      <c r="AW1728" s="418"/>
      <c r="AX1728" s="418"/>
      <c r="AY1728" s="418"/>
      <c r="AZ1728" s="418"/>
      <c r="BA1728" s="418"/>
    </row>
    <row r="1729" spans="40:53" ht="15.75" customHeight="1">
      <c r="AN1729" s="418"/>
      <c r="AO1729" s="418"/>
      <c r="AP1729" s="418"/>
      <c r="AQ1729" s="418"/>
      <c r="AR1729" s="418"/>
      <c r="AS1729" s="418"/>
      <c r="AT1729" s="418"/>
      <c r="AU1729" s="418"/>
      <c r="AV1729" s="418"/>
      <c r="AW1729" s="418"/>
      <c r="AX1729" s="418"/>
      <c r="AY1729" s="418"/>
      <c r="AZ1729" s="418"/>
      <c r="BA1729" s="418"/>
    </row>
    <row r="1730" spans="40:53" ht="15.75" customHeight="1">
      <c r="AN1730" s="418"/>
      <c r="AO1730" s="418"/>
      <c r="AP1730" s="418"/>
      <c r="AQ1730" s="418"/>
      <c r="AR1730" s="418"/>
      <c r="AS1730" s="418"/>
      <c r="AT1730" s="418"/>
      <c r="AU1730" s="418"/>
      <c r="AV1730" s="418"/>
      <c r="AW1730" s="418"/>
      <c r="AX1730" s="418"/>
      <c r="AY1730" s="418"/>
      <c r="AZ1730" s="418"/>
      <c r="BA1730" s="418"/>
    </row>
    <row r="1731" spans="40:53" ht="15.75" customHeight="1">
      <c r="AN1731" s="418"/>
      <c r="AO1731" s="418"/>
      <c r="AP1731" s="418"/>
      <c r="AQ1731" s="418"/>
      <c r="AR1731" s="418"/>
      <c r="AS1731" s="418"/>
      <c r="AT1731" s="418"/>
      <c r="AU1731" s="418"/>
      <c r="AV1731" s="418"/>
      <c r="AW1731" s="418"/>
      <c r="AX1731" s="418"/>
      <c r="AY1731" s="418"/>
      <c r="AZ1731" s="418"/>
      <c r="BA1731" s="418"/>
    </row>
    <row r="1732" spans="40:53" ht="15.75" customHeight="1">
      <c r="AN1732" s="418"/>
      <c r="AO1732" s="418"/>
      <c r="AP1732" s="418"/>
      <c r="AQ1732" s="418"/>
      <c r="AR1732" s="418"/>
      <c r="AS1732" s="418"/>
      <c r="AT1732" s="418"/>
      <c r="AU1732" s="418"/>
      <c r="AV1732" s="418"/>
      <c r="AW1732" s="418"/>
      <c r="AX1732" s="418"/>
      <c r="AY1732" s="418"/>
      <c r="AZ1732" s="418"/>
      <c r="BA1732" s="418"/>
    </row>
    <row r="1733" spans="40:53" ht="15.75" customHeight="1">
      <c r="AN1733" s="418"/>
      <c r="AO1733" s="418"/>
      <c r="AP1733" s="418"/>
      <c r="AQ1733" s="418"/>
      <c r="AR1733" s="418"/>
      <c r="AS1733" s="418"/>
      <c r="AT1733" s="418"/>
      <c r="AU1733" s="418"/>
      <c r="AV1733" s="418"/>
      <c r="AW1733" s="418"/>
      <c r="AX1733" s="418"/>
      <c r="AY1733" s="418"/>
      <c r="AZ1733" s="418"/>
      <c r="BA1733" s="418"/>
    </row>
    <row r="1734" spans="40:53" ht="15.75" customHeight="1">
      <c r="AN1734" s="418"/>
      <c r="AO1734" s="418"/>
      <c r="AP1734" s="418"/>
      <c r="AQ1734" s="418"/>
      <c r="AR1734" s="418"/>
      <c r="AS1734" s="418"/>
      <c r="AT1734" s="418"/>
      <c r="AU1734" s="418"/>
      <c r="AV1734" s="418"/>
      <c r="AW1734" s="418"/>
      <c r="AX1734" s="418"/>
      <c r="AY1734" s="418"/>
      <c r="AZ1734" s="418"/>
      <c r="BA1734" s="418"/>
    </row>
    <row r="1735" spans="40:53" ht="15.75" customHeight="1">
      <c r="AN1735" s="418"/>
      <c r="AO1735" s="418"/>
      <c r="AP1735" s="418"/>
      <c r="AQ1735" s="418"/>
      <c r="AR1735" s="418"/>
      <c r="AS1735" s="418"/>
      <c r="AT1735" s="418"/>
      <c r="AU1735" s="418"/>
      <c r="AV1735" s="418"/>
      <c r="AW1735" s="418"/>
      <c r="AX1735" s="418"/>
      <c r="AY1735" s="418"/>
      <c r="AZ1735" s="418"/>
      <c r="BA1735" s="418"/>
    </row>
    <row r="1736" spans="40:53" ht="15.75" customHeight="1">
      <c r="AN1736" s="418"/>
      <c r="AO1736" s="418"/>
      <c r="AP1736" s="418"/>
      <c r="AQ1736" s="418"/>
      <c r="AR1736" s="418"/>
      <c r="AS1736" s="418"/>
      <c r="AT1736" s="418"/>
      <c r="AU1736" s="418"/>
      <c r="AV1736" s="418"/>
      <c r="AW1736" s="418"/>
      <c r="AX1736" s="418"/>
      <c r="AY1736" s="418"/>
      <c r="AZ1736" s="418"/>
      <c r="BA1736" s="418"/>
    </row>
    <row r="1737" spans="40:53" ht="15.75" customHeight="1">
      <c r="AN1737" s="418"/>
      <c r="AO1737" s="418"/>
      <c r="AP1737" s="418"/>
      <c r="AQ1737" s="418"/>
      <c r="AR1737" s="418"/>
      <c r="AS1737" s="418"/>
      <c r="AT1737" s="418"/>
      <c r="AU1737" s="418"/>
      <c r="AV1737" s="418"/>
      <c r="AW1737" s="418"/>
      <c r="AX1737" s="418"/>
      <c r="AY1737" s="418"/>
      <c r="AZ1737" s="418"/>
      <c r="BA1737" s="418"/>
    </row>
    <row r="1738" spans="40:53" ht="15.75" customHeight="1">
      <c r="AN1738" s="418"/>
      <c r="AO1738" s="418"/>
      <c r="AP1738" s="418"/>
      <c r="AQ1738" s="418"/>
      <c r="AR1738" s="418"/>
      <c r="AS1738" s="418"/>
      <c r="AT1738" s="418"/>
      <c r="AU1738" s="418"/>
      <c r="AV1738" s="418"/>
      <c r="AW1738" s="418"/>
      <c r="AX1738" s="418"/>
      <c r="AY1738" s="418"/>
      <c r="AZ1738" s="418"/>
      <c r="BA1738" s="418"/>
    </row>
    <row r="1739" spans="40:53" ht="15.75" customHeight="1">
      <c r="AN1739" s="418"/>
      <c r="AO1739" s="418"/>
      <c r="AP1739" s="418"/>
      <c r="AQ1739" s="418"/>
      <c r="AR1739" s="418"/>
      <c r="AS1739" s="418"/>
      <c r="AT1739" s="418"/>
      <c r="AU1739" s="418"/>
      <c r="AV1739" s="418"/>
      <c r="AW1739" s="418"/>
      <c r="AX1739" s="418"/>
      <c r="AY1739" s="418"/>
      <c r="AZ1739" s="418"/>
      <c r="BA1739" s="418"/>
    </row>
    <row r="1740" spans="40:53" ht="15.75" customHeight="1">
      <c r="AN1740" s="418"/>
      <c r="AO1740" s="418"/>
      <c r="AP1740" s="418"/>
      <c r="AQ1740" s="418"/>
      <c r="AR1740" s="418"/>
      <c r="AS1740" s="418"/>
      <c r="AT1740" s="418"/>
      <c r="AU1740" s="418"/>
      <c r="AV1740" s="418"/>
      <c r="AW1740" s="418"/>
      <c r="AX1740" s="418"/>
      <c r="AY1740" s="418"/>
      <c r="AZ1740" s="418"/>
      <c r="BA1740" s="418"/>
    </row>
    <row r="1741" spans="40:53" ht="15.75" customHeight="1">
      <c r="AN1741" s="418"/>
      <c r="AO1741" s="418"/>
      <c r="AP1741" s="418"/>
      <c r="AQ1741" s="418"/>
      <c r="AR1741" s="418"/>
      <c r="AS1741" s="418"/>
      <c r="AT1741" s="418"/>
      <c r="AU1741" s="418"/>
      <c r="AV1741" s="418"/>
      <c r="AW1741" s="418"/>
      <c r="AX1741" s="418"/>
      <c r="AY1741" s="418"/>
      <c r="AZ1741" s="418"/>
      <c r="BA1741" s="418"/>
    </row>
    <row r="1742" spans="40:53" ht="15.75" customHeight="1">
      <c r="AN1742" s="418"/>
      <c r="AO1742" s="418"/>
      <c r="AP1742" s="418"/>
      <c r="AQ1742" s="418"/>
      <c r="AR1742" s="418"/>
      <c r="AS1742" s="418"/>
      <c r="AT1742" s="418"/>
      <c r="AU1742" s="418"/>
      <c r="AV1742" s="418"/>
      <c r="AW1742" s="418"/>
      <c r="AX1742" s="418"/>
      <c r="AY1742" s="418"/>
      <c r="AZ1742" s="418"/>
      <c r="BA1742" s="418"/>
    </row>
    <row r="1743" spans="40:53" ht="15.75" customHeight="1">
      <c r="AN1743" s="418"/>
      <c r="AO1743" s="418"/>
      <c r="AP1743" s="418"/>
      <c r="AQ1743" s="418"/>
      <c r="AR1743" s="418"/>
      <c r="AS1743" s="418"/>
      <c r="AT1743" s="418"/>
      <c r="AU1743" s="418"/>
      <c r="AV1743" s="418"/>
      <c r="AW1743" s="418"/>
      <c r="AX1743" s="418"/>
      <c r="AY1743" s="418"/>
      <c r="AZ1743" s="418"/>
      <c r="BA1743" s="418"/>
    </row>
    <row r="1744" spans="40:53" ht="15.75" customHeight="1">
      <c r="AN1744" s="418"/>
      <c r="AO1744" s="418"/>
      <c r="AP1744" s="418"/>
      <c r="AQ1744" s="418"/>
      <c r="AR1744" s="418"/>
      <c r="AS1744" s="418"/>
      <c r="AT1744" s="418"/>
      <c r="AU1744" s="418"/>
      <c r="AV1744" s="418"/>
      <c r="AW1744" s="418"/>
      <c r="AX1744" s="418"/>
      <c r="AY1744" s="418"/>
      <c r="AZ1744" s="418"/>
      <c r="BA1744" s="418"/>
    </row>
    <row r="1745" spans="40:53" ht="15.75" customHeight="1">
      <c r="AN1745" s="418"/>
      <c r="AO1745" s="418"/>
      <c r="AP1745" s="418"/>
      <c r="AQ1745" s="418"/>
      <c r="AR1745" s="418"/>
      <c r="AS1745" s="418"/>
      <c r="AT1745" s="418"/>
      <c r="AU1745" s="418"/>
      <c r="AV1745" s="418"/>
      <c r="AW1745" s="418"/>
      <c r="AX1745" s="418"/>
      <c r="AY1745" s="418"/>
      <c r="AZ1745" s="418"/>
      <c r="BA1745" s="418"/>
    </row>
    <row r="1746" spans="40:53" ht="15.75" customHeight="1">
      <c r="AN1746" s="418"/>
      <c r="AO1746" s="418"/>
      <c r="AP1746" s="418"/>
      <c r="AQ1746" s="418"/>
      <c r="AR1746" s="418"/>
      <c r="AS1746" s="418"/>
      <c r="AT1746" s="418"/>
      <c r="AU1746" s="418"/>
      <c r="AV1746" s="418"/>
      <c r="AW1746" s="418"/>
      <c r="AX1746" s="418"/>
      <c r="AY1746" s="418"/>
      <c r="AZ1746" s="418"/>
      <c r="BA1746" s="418"/>
    </row>
    <row r="1747" spans="40:53" ht="15.75" customHeight="1">
      <c r="AN1747" s="418"/>
      <c r="AO1747" s="418"/>
      <c r="AP1747" s="418"/>
      <c r="AQ1747" s="418"/>
      <c r="AR1747" s="418"/>
      <c r="AS1747" s="418"/>
      <c r="AT1747" s="418"/>
      <c r="AU1747" s="418"/>
      <c r="AV1747" s="418"/>
      <c r="AW1747" s="418"/>
      <c r="AX1747" s="418"/>
      <c r="AY1747" s="418"/>
      <c r="AZ1747" s="418"/>
      <c r="BA1747" s="418"/>
    </row>
    <row r="1748" spans="40:53" ht="15.75" customHeight="1">
      <c r="AN1748" s="418"/>
      <c r="AO1748" s="418"/>
      <c r="AP1748" s="418"/>
      <c r="AQ1748" s="418"/>
      <c r="AR1748" s="418"/>
      <c r="AS1748" s="418"/>
      <c r="AT1748" s="418"/>
      <c r="AU1748" s="418"/>
      <c r="AV1748" s="418"/>
      <c r="AW1748" s="418"/>
      <c r="AX1748" s="418"/>
      <c r="AY1748" s="418"/>
      <c r="AZ1748" s="418"/>
      <c r="BA1748" s="418"/>
    </row>
    <row r="1749" spans="40:53" ht="15.75" customHeight="1">
      <c r="AN1749" s="418"/>
      <c r="AO1749" s="418"/>
      <c r="AP1749" s="418"/>
      <c r="AQ1749" s="418"/>
      <c r="AR1749" s="418"/>
      <c r="AS1749" s="418"/>
      <c r="AT1749" s="418"/>
      <c r="AU1749" s="418"/>
      <c r="AV1749" s="418"/>
      <c r="AW1749" s="418"/>
      <c r="AX1749" s="418"/>
      <c r="AY1749" s="418"/>
      <c r="AZ1749" s="418"/>
      <c r="BA1749" s="418"/>
    </row>
    <row r="1750" spans="40:53" ht="15.75" customHeight="1">
      <c r="AN1750" s="418"/>
      <c r="AO1750" s="418"/>
      <c r="AP1750" s="418"/>
      <c r="AQ1750" s="418"/>
      <c r="AR1750" s="418"/>
      <c r="AS1750" s="418"/>
      <c r="AT1750" s="418"/>
      <c r="AU1750" s="418"/>
      <c r="AV1750" s="418"/>
      <c r="AW1750" s="418"/>
      <c r="AX1750" s="418"/>
      <c r="AY1750" s="418"/>
      <c r="AZ1750" s="418"/>
      <c r="BA1750" s="418"/>
    </row>
    <row r="1751" spans="40:53" ht="15.75" customHeight="1">
      <c r="AN1751" s="418"/>
      <c r="AO1751" s="418"/>
      <c r="AP1751" s="418"/>
      <c r="AQ1751" s="418"/>
      <c r="AR1751" s="418"/>
      <c r="AS1751" s="418"/>
      <c r="AT1751" s="418"/>
      <c r="AU1751" s="418"/>
      <c r="AV1751" s="418"/>
      <c r="AW1751" s="418"/>
      <c r="AX1751" s="418"/>
      <c r="AY1751" s="418"/>
      <c r="AZ1751" s="418"/>
      <c r="BA1751" s="418"/>
    </row>
    <row r="1752" spans="40:53" ht="15.75" customHeight="1">
      <c r="AN1752" s="418"/>
      <c r="AO1752" s="418"/>
      <c r="AP1752" s="418"/>
      <c r="AQ1752" s="418"/>
      <c r="AR1752" s="418"/>
      <c r="AS1752" s="418"/>
      <c r="AT1752" s="418"/>
      <c r="AU1752" s="418"/>
      <c r="AV1752" s="418"/>
      <c r="AW1752" s="418"/>
      <c r="AX1752" s="418"/>
      <c r="AY1752" s="418"/>
      <c r="AZ1752" s="418"/>
      <c r="BA1752" s="418"/>
    </row>
    <row r="1753" spans="40:53" ht="15.75" customHeight="1">
      <c r="AN1753" s="418"/>
      <c r="AO1753" s="418"/>
      <c r="AP1753" s="418"/>
      <c r="AQ1753" s="418"/>
      <c r="AR1753" s="418"/>
      <c r="AS1753" s="418"/>
      <c r="AT1753" s="418"/>
      <c r="AU1753" s="418"/>
      <c r="AV1753" s="418"/>
      <c r="AW1753" s="418"/>
      <c r="AX1753" s="418"/>
      <c r="AY1753" s="418"/>
      <c r="AZ1753" s="418"/>
      <c r="BA1753" s="418"/>
    </row>
    <row r="1754" spans="40:53" ht="15.75" customHeight="1">
      <c r="AN1754" s="418"/>
      <c r="AO1754" s="418"/>
      <c r="AP1754" s="418"/>
      <c r="AQ1754" s="418"/>
      <c r="AR1754" s="418"/>
      <c r="AS1754" s="418"/>
      <c r="AT1754" s="418"/>
      <c r="AU1754" s="418"/>
      <c r="AV1754" s="418"/>
      <c r="AW1754" s="418"/>
      <c r="AX1754" s="418"/>
      <c r="AY1754" s="418"/>
      <c r="AZ1754" s="418"/>
      <c r="BA1754" s="418"/>
    </row>
    <row r="1755" spans="40:53" ht="15.75" customHeight="1">
      <c r="AN1755" s="418"/>
      <c r="AO1755" s="418"/>
      <c r="AP1755" s="418"/>
      <c r="AQ1755" s="418"/>
      <c r="AR1755" s="418"/>
      <c r="AS1755" s="418"/>
      <c r="AT1755" s="418"/>
      <c r="AU1755" s="418"/>
      <c r="AV1755" s="418"/>
      <c r="AW1755" s="418"/>
      <c r="AX1755" s="418"/>
      <c r="AY1755" s="418"/>
      <c r="AZ1755" s="418"/>
      <c r="BA1755" s="418"/>
    </row>
    <row r="1756" spans="40:53" ht="15.75" customHeight="1">
      <c r="AN1756" s="418"/>
      <c r="AO1756" s="418"/>
      <c r="AP1756" s="418"/>
      <c r="AQ1756" s="418"/>
      <c r="AR1756" s="418"/>
      <c r="AS1756" s="418"/>
      <c r="AT1756" s="418"/>
      <c r="AU1756" s="418"/>
      <c r="AV1756" s="418"/>
      <c r="AW1756" s="418"/>
      <c r="AX1756" s="418"/>
      <c r="AY1756" s="418"/>
      <c r="AZ1756" s="418"/>
      <c r="BA1756" s="418"/>
    </row>
    <row r="1757" spans="40:53" ht="15.75" customHeight="1">
      <c r="AN1757" s="418"/>
      <c r="AO1757" s="418"/>
      <c r="AP1757" s="418"/>
      <c r="AQ1757" s="418"/>
      <c r="AR1757" s="418"/>
      <c r="AS1757" s="418"/>
      <c r="AT1757" s="418"/>
      <c r="AU1757" s="418"/>
      <c r="AV1757" s="418"/>
      <c r="AW1757" s="418"/>
      <c r="AX1757" s="418"/>
      <c r="AY1757" s="418"/>
      <c r="AZ1757" s="418"/>
      <c r="BA1757" s="418"/>
    </row>
    <row r="1758" spans="40:53" ht="15.75" customHeight="1">
      <c r="AN1758" s="418"/>
      <c r="AO1758" s="418"/>
      <c r="AP1758" s="418"/>
      <c r="AQ1758" s="418"/>
      <c r="AR1758" s="418"/>
      <c r="AS1758" s="418"/>
      <c r="AT1758" s="418"/>
      <c r="AU1758" s="418"/>
      <c r="AV1758" s="418"/>
      <c r="AW1758" s="418"/>
      <c r="AX1758" s="418"/>
      <c r="AY1758" s="418"/>
      <c r="AZ1758" s="418"/>
      <c r="BA1758" s="418"/>
    </row>
    <row r="1759" spans="40:53" ht="15.75" customHeight="1">
      <c r="AN1759" s="418"/>
      <c r="AO1759" s="418"/>
      <c r="AP1759" s="418"/>
      <c r="AQ1759" s="418"/>
      <c r="AR1759" s="418"/>
      <c r="AS1759" s="418"/>
      <c r="AT1759" s="418"/>
      <c r="AU1759" s="418"/>
      <c r="AV1759" s="418"/>
      <c r="AW1759" s="418"/>
      <c r="AX1759" s="418"/>
      <c r="AY1759" s="418"/>
      <c r="AZ1759" s="418"/>
      <c r="BA1759" s="418"/>
    </row>
    <row r="1760" spans="40:53" ht="15.75" customHeight="1">
      <c r="AN1760" s="418"/>
      <c r="AO1760" s="418"/>
      <c r="AP1760" s="418"/>
      <c r="AQ1760" s="418"/>
      <c r="AR1760" s="418"/>
      <c r="AS1760" s="418"/>
      <c r="AT1760" s="418"/>
      <c r="AU1760" s="418"/>
      <c r="AV1760" s="418"/>
      <c r="AW1760" s="418"/>
      <c r="AX1760" s="418"/>
      <c r="AY1760" s="418"/>
      <c r="AZ1760" s="418"/>
      <c r="BA1760" s="418"/>
    </row>
    <row r="1761" spans="40:53" ht="15.75" customHeight="1">
      <c r="AN1761" s="418"/>
      <c r="AO1761" s="418"/>
      <c r="AP1761" s="418"/>
      <c r="AQ1761" s="418"/>
      <c r="AR1761" s="418"/>
      <c r="AS1761" s="418"/>
      <c r="AT1761" s="418"/>
      <c r="AU1761" s="418"/>
      <c r="AV1761" s="418"/>
      <c r="AW1761" s="418"/>
      <c r="AX1761" s="418"/>
      <c r="AY1761" s="418"/>
      <c r="AZ1761" s="418"/>
      <c r="BA1761" s="418"/>
    </row>
    <row r="1762" spans="40:53" ht="15.75" customHeight="1">
      <c r="AN1762" s="418"/>
      <c r="AO1762" s="418"/>
      <c r="AP1762" s="418"/>
      <c r="AQ1762" s="418"/>
      <c r="AR1762" s="418"/>
      <c r="AS1762" s="418"/>
      <c r="AT1762" s="418"/>
      <c r="AU1762" s="418"/>
      <c r="AV1762" s="418"/>
      <c r="AW1762" s="418"/>
      <c r="AX1762" s="418"/>
      <c r="AY1762" s="418"/>
      <c r="AZ1762" s="418"/>
      <c r="BA1762" s="418"/>
    </row>
    <row r="1763" spans="40:53" ht="15.75" customHeight="1">
      <c r="AN1763" s="418"/>
      <c r="AO1763" s="418"/>
      <c r="AP1763" s="418"/>
      <c r="AQ1763" s="418"/>
      <c r="AR1763" s="418"/>
      <c r="AS1763" s="418"/>
      <c r="AT1763" s="418"/>
      <c r="AU1763" s="418"/>
      <c r="AV1763" s="418"/>
      <c r="AW1763" s="418"/>
      <c r="AX1763" s="418"/>
      <c r="AY1763" s="418"/>
      <c r="AZ1763" s="418"/>
      <c r="BA1763" s="418"/>
    </row>
    <row r="1764" spans="40:53" ht="15.75" customHeight="1">
      <c r="AN1764" s="418"/>
      <c r="AO1764" s="418"/>
      <c r="AP1764" s="418"/>
      <c r="AQ1764" s="418"/>
      <c r="AR1764" s="418"/>
      <c r="AS1764" s="418"/>
      <c r="AT1764" s="418"/>
      <c r="AU1764" s="418"/>
      <c r="AV1764" s="418"/>
      <c r="AW1764" s="418"/>
      <c r="AX1764" s="418"/>
      <c r="AY1764" s="418"/>
      <c r="AZ1764" s="418"/>
      <c r="BA1764" s="418"/>
    </row>
    <row r="1765" spans="40:53" ht="15.75" customHeight="1">
      <c r="AN1765" s="418"/>
      <c r="AO1765" s="418"/>
      <c r="AP1765" s="418"/>
      <c r="AQ1765" s="418"/>
      <c r="AR1765" s="418"/>
      <c r="AS1765" s="418"/>
      <c r="AT1765" s="418"/>
      <c r="AU1765" s="418"/>
      <c r="AV1765" s="418"/>
      <c r="AW1765" s="418"/>
      <c r="AX1765" s="418"/>
      <c r="AY1765" s="418"/>
      <c r="AZ1765" s="418"/>
      <c r="BA1765" s="418"/>
    </row>
    <row r="1766" spans="40:53" ht="15.75" customHeight="1">
      <c r="AN1766" s="418"/>
      <c r="AO1766" s="418"/>
      <c r="AP1766" s="418"/>
      <c r="AQ1766" s="418"/>
      <c r="AR1766" s="418"/>
      <c r="AS1766" s="418"/>
      <c r="AT1766" s="418"/>
      <c r="AU1766" s="418"/>
      <c r="AV1766" s="418"/>
      <c r="AW1766" s="418"/>
      <c r="AX1766" s="418"/>
      <c r="AY1766" s="418"/>
      <c r="AZ1766" s="418"/>
      <c r="BA1766" s="418"/>
    </row>
    <row r="1767" spans="40:53" ht="15.75" customHeight="1">
      <c r="AN1767" s="418"/>
      <c r="AO1767" s="418"/>
      <c r="AP1767" s="418"/>
      <c r="AQ1767" s="418"/>
      <c r="AR1767" s="418"/>
      <c r="AS1767" s="418"/>
      <c r="AT1767" s="418"/>
      <c r="AU1767" s="418"/>
      <c r="AV1767" s="418"/>
      <c r="AW1767" s="418"/>
      <c r="AX1767" s="418"/>
      <c r="AY1767" s="418"/>
      <c r="AZ1767" s="418"/>
      <c r="BA1767" s="418"/>
    </row>
    <row r="1768" spans="40:53" ht="15.75" customHeight="1">
      <c r="AN1768" s="418"/>
      <c r="AO1768" s="418"/>
      <c r="AP1768" s="418"/>
      <c r="AQ1768" s="418"/>
      <c r="AR1768" s="418"/>
      <c r="AS1768" s="418"/>
      <c r="AT1768" s="418"/>
      <c r="AU1768" s="418"/>
      <c r="AV1768" s="418"/>
      <c r="AW1768" s="418"/>
      <c r="AX1768" s="418"/>
      <c r="AY1768" s="418"/>
      <c r="AZ1768" s="418"/>
      <c r="BA1768" s="418"/>
    </row>
    <row r="1769" spans="40:53" ht="15.75" customHeight="1">
      <c r="AN1769" s="418"/>
      <c r="AO1769" s="418"/>
      <c r="AP1769" s="418"/>
      <c r="AQ1769" s="418"/>
      <c r="AR1769" s="418"/>
      <c r="AS1769" s="418"/>
      <c r="AT1769" s="418"/>
      <c r="AU1769" s="418"/>
      <c r="AV1769" s="418"/>
      <c r="AW1769" s="418"/>
      <c r="AX1769" s="418"/>
      <c r="AY1769" s="418"/>
      <c r="AZ1769" s="418"/>
      <c r="BA1769" s="418"/>
    </row>
    <row r="1770" spans="40:53" ht="15.75" customHeight="1">
      <c r="AN1770" s="418"/>
      <c r="AO1770" s="418"/>
      <c r="AP1770" s="418"/>
      <c r="AQ1770" s="418"/>
      <c r="AR1770" s="418"/>
      <c r="AS1770" s="418"/>
      <c r="AT1770" s="418"/>
      <c r="AU1770" s="418"/>
      <c r="AV1770" s="418"/>
      <c r="AW1770" s="418"/>
      <c r="AX1770" s="418"/>
      <c r="AY1770" s="418"/>
      <c r="AZ1770" s="418"/>
      <c r="BA1770" s="418"/>
    </row>
    <row r="1771" spans="40:53" ht="15.75" customHeight="1">
      <c r="AN1771" s="418"/>
      <c r="AO1771" s="418"/>
      <c r="AP1771" s="418"/>
      <c r="AQ1771" s="418"/>
      <c r="AR1771" s="418"/>
      <c r="AS1771" s="418"/>
      <c r="AT1771" s="418"/>
      <c r="AU1771" s="418"/>
      <c r="AV1771" s="418"/>
      <c r="AW1771" s="418"/>
      <c r="AX1771" s="418"/>
      <c r="AY1771" s="418"/>
      <c r="AZ1771" s="418"/>
      <c r="BA1771" s="418"/>
    </row>
    <row r="1772" spans="40:53" ht="15.75" customHeight="1">
      <c r="AN1772" s="418"/>
      <c r="AO1772" s="418"/>
      <c r="AP1772" s="418"/>
      <c r="AQ1772" s="418"/>
      <c r="AR1772" s="418"/>
      <c r="AS1772" s="418"/>
      <c r="AT1772" s="418"/>
      <c r="AU1772" s="418"/>
      <c r="AV1772" s="418"/>
      <c r="AW1772" s="418"/>
      <c r="AX1772" s="418"/>
      <c r="AY1772" s="418"/>
      <c r="AZ1772" s="418"/>
      <c r="BA1772" s="418"/>
    </row>
    <row r="1773" spans="40:53" ht="15.75" customHeight="1">
      <c r="AN1773" s="418"/>
      <c r="AO1773" s="418"/>
      <c r="AP1773" s="418"/>
      <c r="AQ1773" s="418"/>
      <c r="AR1773" s="418"/>
      <c r="AS1773" s="418"/>
      <c r="AT1773" s="418"/>
      <c r="AU1773" s="418"/>
      <c r="AV1773" s="418"/>
      <c r="AW1773" s="418"/>
      <c r="AX1773" s="418"/>
      <c r="AY1773" s="418"/>
      <c r="AZ1773" s="418"/>
      <c r="BA1773" s="418"/>
    </row>
    <row r="1774" spans="40:53" ht="15.75" customHeight="1">
      <c r="AN1774" s="418"/>
      <c r="AO1774" s="418"/>
      <c r="AP1774" s="418"/>
      <c r="AQ1774" s="418"/>
      <c r="AR1774" s="418"/>
      <c r="AS1774" s="418"/>
      <c r="AT1774" s="418"/>
      <c r="AU1774" s="418"/>
      <c r="AV1774" s="418"/>
      <c r="AW1774" s="418"/>
      <c r="AX1774" s="418"/>
      <c r="AY1774" s="418"/>
      <c r="AZ1774" s="418"/>
      <c r="BA1774" s="418"/>
    </row>
    <row r="1775" spans="40:53" ht="15.75" customHeight="1">
      <c r="AN1775" s="418"/>
      <c r="AO1775" s="418"/>
      <c r="AP1775" s="418"/>
      <c r="AQ1775" s="418"/>
      <c r="AR1775" s="418"/>
      <c r="AS1775" s="418"/>
      <c r="AT1775" s="418"/>
      <c r="AU1775" s="418"/>
      <c r="AV1775" s="418"/>
      <c r="AW1775" s="418"/>
      <c r="AX1775" s="418"/>
      <c r="AY1775" s="418"/>
      <c r="AZ1775" s="418"/>
      <c r="BA1775" s="418"/>
    </row>
    <row r="1776" spans="40:53" ht="15.75" customHeight="1">
      <c r="AN1776" s="418"/>
      <c r="AO1776" s="418"/>
      <c r="AP1776" s="418"/>
      <c r="AQ1776" s="418"/>
      <c r="AR1776" s="418"/>
      <c r="AS1776" s="418"/>
      <c r="AT1776" s="418"/>
      <c r="AU1776" s="418"/>
      <c r="AV1776" s="418"/>
      <c r="AW1776" s="418"/>
      <c r="AX1776" s="418"/>
      <c r="AY1776" s="418"/>
      <c r="AZ1776" s="418"/>
      <c r="BA1776" s="418"/>
    </row>
    <row r="1777" spans="40:53" ht="15.75" customHeight="1">
      <c r="AN1777" s="418"/>
      <c r="AO1777" s="418"/>
      <c r="AP1777" s="418"/>
      <c r="AQ1777" s="418"/>
      <c r="AR1777" s="418"/>
      <c r="AS1777" s="418"/>
      <c r="AT1777" s="418"/>
      <c r="AU1777" s="418"/>
      <c r="AV1777" s="418"/>
      <c r="AW1777" s="418"/>
      <c r="AX1777" s="418"/>
      <c r="AY1777" s="418"/>
      <c r="AZ1777" s="418"/>
      <c r="BA1777" s="418"/>
    </row>
    <row r="1778" spans="40:53" ht="15.75" customHeight="1">
      <c r="AN1778" s="418"/>
      <c r="AO1778" s="418"/>
      <c r="AP1778" s="418"/>
      <c r="AQ1778" s="418"/>
      <c r="AR1778" s="418"/>
      <c r="AS1778" s="418"/>
      <c r="AT1778" s="418"/>
      <c r="AU1778" s="418"/>
      <c r="AV1778" s="418"/>
      <c r="AW1778" s="418"/>
      <c r="AX1778" s="418"/>
      <c r="AY1778" s="418"/>
      <c r="AZ1778" s="418"/>
      <c r="BA1778" s="418"/>
    </row>
    <row r="1779" spans="40:53" ht="15.75" customHeight="1">
      <c r="AN1779" s="418"/>
      <c r="AO1779" s="418"/>
      <c r="AP1779" s="418"/>
      <c r="AQ1779" s="418"/>
      <c r="AR1779" s="418"/>
      <c r="AS1779" s="418"/>
      <c r="AT1779" s="418"/>
      <c r="AU1779" s="418"/>
      <c r="AV1779" s="418"/>
      <c r="AW1779" s="418"/>
      <c r="AX1779" s="418"/>
      <c r="AY1779" s="418"/>
      <c r="AZ1779" s="418"/>
      <c r="BA1779" s="418"/>
    </row>
    <row r="1780" spans="40:53" ht="15.75" customHeight="1">
      <c r="AN1780" s="418"/>
      <c r="AO1780" s="418"/>
      <c r="AP1780" s="418"/>
      <c r="AQ1780" s="418"/>
      <c r="AR1780" s="418"/>
      <c r="AS1780" s="418"/>
      <c r="AT1780" s="418"/>
      <c r="AU1780" s="418"/>
      <c r="AV1780" s="418"/>
      <c r="AW1780" s="418"/>
      <c r="AX1780" s="418"/>
      <c r="AY1780" s="418"/>
      <c r="AZ1780" s="418"/>
      <c r="BA1780" s="418"/>
    </row>
    <row r="1781" spans="40:53" ht="15.75" customHeight="1">
      <c r="AN1781" s="418"/>
      <c r="AO1781" s="418"/>
      <c r="AP1781" s="418"/>
      <c r="AQ1781" s="418"/>
      <c r="AR1781" s="418"/>
      <c r="AS1781" s="418"/>
      <c r="AT1781" s="418"/>
      <c r="AU1781" s="418"/>
      <c r="AV1781" s="418"/>
      <c r="AW1781" s="418"/>
      <c r="AX1781" s="418"/>
      <c r="AY1781" s="418"/>
      <c r="AZ1781" s="418"/>
      <c r="BA1781" s="418"/>
    </row>
    <row r="1782" spans="40:53" ht="15.75" customHeight="1">
      <c r="AN1782" s="418"/>
      <c r="AO1782" s="418"/>
      <c r="AP1782" s="418"/>
      <c r="AQ1782" s="418"/>
      <c r="AR1782" s="418"/>
      <c r="AS1782" s="418"/>
      <c r="AT1782" s="418"/>
      <c r="AU1782" s="418"/>
      <c r="AV1782" s="418"/>
      <c r="AW1782" s="418"/>
      <c r="AX1782" s="418"/>
      <c r="AY1782" s="418"/>
      <c r="AZ1782" s="418"/>
      <c r="BA1782" s="418"/>
    </row>
    <row r="1783" spans="40:53" ht="15.75" customHeight="1">
      <c r="AN1783" s="418"/>
      <c r="AO1783" s="418"/>
      <c r="AP1783" s="418"/>
      <c r="AQ1783" s="418"/>
      <c r="AR1783" s="418"/>
      <c r="AS1783" s="418"/>
      <c r="AT1783" s="418"/>
      <c r="AU1783" s="418"/>
      <c r="AV1783" s="418"/>
      <c r="AW1783" s="418"/>
      <c r="AX1783" s="418"/>
      <c r="AY1783" s="418"/>
      <c r="AZ1783" s="418"/>
      <c r="BA1783" s="418"/>
    </row>
    <row r="1784" spans="40:53" ht="15.75" customHeight="1">
      <c r="AN1784" s="418"/>
      <c r="AO1784" s="418"/>
      <c r="AP1784" s="418"/>
      <c r="AQ1784" s="418"/>
      <c r="AR1784" s="418"/>
      <c r="AS1784" s="418"/>
      <c r="AT1784" s="418"/>
      <c r="AU1784" s="418"/>
      <c r="AV1784" s="418"/>
      <c r="AW1784" s="418"/>
      <c r="AX1784" s="418"/>
      <c r="AY1784" s="418"/>
      <c r="AZ1784" s="418"/>
      <c r="BA1784" s="418"/>
    </row>
    <row r="1785" spans="40:53" ht="15.75" customHeight="1">
      <c r="AN1785" s="418"/>
      <c r="AO1785" s="418"/>
      <c r="AP1785" s="418"/>
      <c r="AQ1785" s="418"/>
      <c r="AR1785" s="418"/>
      <c r="AS1785" s="418"/>
      <c r="AT1785" s="418"/>
      <c r="AU1785" s="418"/>
      <c r="AV1785" s="418"/>
      <c r="AW1785" s="418"/>
      <c r="AX1785" s="418"/>
      <c r="AY1785" s="418"/>
      <c r="AZ1785" s="418"/>
      <c r="BA1785" s="418"/>
    </row>
    <row r="1786" spans="40:53" ht="15.75" customHeight="1">
      <c r="AN1786" s="418"/>
      <c r="AO1786" s="418"/>
      <c r="AP1786" s="418"/>
      <c r="AQ1786" s="418"/>
      <c r="AR1786" s="418"/>
      <c r="AS1786" s="418"/>
      <c r="AT1786" s="418"/>
      <c r="AU1786" s="418"/>
      <c r="AV1786" s="418"/>
      <c r="AW1786" s="418"/>
      <c r="AX1786" s="418"/>
      <c r="AY1786" s="418"/>
      <c r="AZ1786" s="418"/>
      <c r="BA1786" s="418"/>
    </row>
    <row r="1787" spans="40:53" ht="15.75" customHeight="1">
      <c r="AN1787" s="418"/>
      <c r="AO1787" s="418"/>
      <c r="AP1787" s="418"/>
      <c r="AQ1787" s="418"/>
      <c r="AR1787" s="418"/>
      <c r="AS1787" s="418"/>
      <c r="AT1787" s="418"/>
      <c r="AU1787" s="418"/>
      <c r="AV1787" s="418"/>
      <c r="AW1787" s="418"/>
      <c r="AX1787" s="418"/>
      <c r="AY1787" s="418"/>
      <c r="AZ1787" s="418"/>
      <c r="BA1787" s="418"/>
    </row>
    <row r="1788" spans="40:53" ht="15.75" customHeight="1">
      <c r="AN1788" s="418"/>
      <c r="AO1788" s="418"/>
      <c r="AP1788" s="418"/>
      <c r="AQ1788" s="418"/>
      <c r="AR1788" s="418"/>
      <c r="AS1788" s="418"/>
      <c r="AT1788" s="418"/>
      <c r="AU1788" s="418"/>
      <c r="AV1788" s="418"/>
      <c r="AW1788" s="418"/>
      <c r="AX1788" s="418"/>
      <c r="AY1788" s="418"/>
      <c r="AZ1788" s="418"/>
      <c r="BA1788" s="418"/>
    </row>
    <row r="1789" spans="40:53" ht="15.75" customHeight="1">
      <c r="AN1789" s="418"/>
      <c r="AO1789" s="418"/>
      <c r="AP1789" s="418"/>
      <c r="AQ1789" s="418"/>
      <c r="AR1789" s="418"/>
      <c r="AS1789" s="418"/>
      <c r="AT1789" s="418"/>
      <c r="AU1789" s="418"/>
      <c r="AV1789" s="418"/>
      <c r="AW1789" s="418"/>
      <c r="AX1789" s="418"/>
      <c r="AY1789" s="418"/>
      <c r="AZ1789" s="418"/>
      <c r="BA1789" s="418"/>
    </row>
    <row r="1790" spans="40:53" ht="15.75" customHeight="1">
      <c r="AN1790" s="418"/>
      <c r="AO1790" s="418"/>
      <c r="AP1790" s="418"/>
      <c r="AQ1790" s="418"/>
      <c r="AR1790" s="418"/>
      <c r="AS1790" s="418"/>
      <c r="AT1790" s="418"/>
      <c r="AU1790" s="418"/>
      <c r="AV1790" s="418"/>
      <c r="AW1790" s="418"/>
      <c r="AX1790" s="418"/>
      <c r="AY1790" s="418"/>
      <c r="AZ1790" s="418"/>
      <c r="BA1790" s="418"/>
    </row>
    <row r="1791" spans="40:53" ht="15.75" customHeight="1">
      <c r="AN1791" s="418"/>
      <c r="AO1791" s="418"/>
      <c r="AP1791" s="418"/>
      <c r="AQ1791" s="418"/>
      <c r="AR1791" s="418"/>
      <c r="AS1791" s="418"/>
      <c r="AT1791" s="418"/>
      <c r="AU1791" s="418"/>
      <c r="AV1791" s="418"/>
      <c r="AW1791" s="418"/>
      <c r="AX1791" s="418"/>
      <c r="AY1791" s="418"/>
      <c r="AZ1791" s="418"/>
      <c r="BA1791" s="418"/>
    </row>
    <row r="1792" spans="40:53" ht="15.75" customHeight="1">
      <c r="AN1792" s="418"/>
      <c r="AO1792" s="418"/>
      <c r="AP1792" s="418"/>
      <c r="AQ1792" s="418"/>
      <c r="AR1792" s="418"/>
      <c r="AS1792" s="418"/>
      <c r="AT1792" s="418"/>
      <c r="AU1792" s="418"/>
      <c r="AV1792" s="418"/>
      <c r="AW1792" s="418"/>
      <c r="AX1792" s="418"/>
      <c r="AY1792" s="418"/>
      <c r="AZ1792" s="418"/>
      <c r="BA1792" s="418"/>
    </row>
    <row r="1793" spans="40:53" ht="15.75" customHeight="1">
      <c r="AN1793" s="418"/>
      <c r="AO1793" s="418"/>
      <c r="AP1793" s="418"/>
      <c r="AQ1793" s="418"/>
      <c r="AR1793" s="418"/>
      <c r="AS1793" s="418"/>
      <c r="AT1793" s="418"/>
      <c r="AU1793" s="418"/>
      <c r="AV1793" s="418"/>
      <c r="AW1793" s="418"/>
      <c r="AX1793" s="418"/>
      <c r="AY1793" s="418"/>
      <c r="AZ1793" s="418"/>
      <c r="BA1793" s="418"/>
    </row>
    <row r="1794" spans="40:53" ht="15.75" customHeight="1">
      <c r="AN1794" s="418"/>
      <c r="AO1794" s="418"/>
      <c r="AP1794" s="418"/>
      <c r="AQ1794" s="418"/>
      <c r="AR1794" s="418"/>
      <c r="AS1794" s="418"/>
      <c r="AT1794" s="418"/>
      <c r="AU1794" s="418"/>
      <c r="AV1794" s="418"/>
      <c r="AW1794" s="418"/>
      <c r="AX1794" s="418"/>
      <c r="AY1794" s="418"/>
      <c r="AZ1794" s="418"/>
      <c r="BA1794" s="418"/>
    </row>
    <row r="1795" spans="40:53" ht="15.75" customHeight="1">
      <c r="AN1795" s="418"/>
      <c r="AO1795" s="418"/>
      <c r="AP1795" s="418"/>
      <c r="AQ1795" s="418"/>
      <c r="AR1795" s="418"/>
      <c r="AS1795" s="418"/>
      <c r="AT1795" s="418"/>
      <c r="AU1795" s="418"/>
      <c r="AV1795" s="418"/>
      <c r="AW1795" s="418"/>
      <c r="AX1795" s="418"/>
      <c r="AY1795" s="418"/>
      <c r="AZ1795" s="418"/>
      <c r="BA1795" s="418"/>
    </row>
    <row r="1796" spans="40:53" ht="15.75" customHeight="1">
      <c r="AN1796" s="418"/>
      <c r="AO1796" s="418"/>
      <c r="AP1796" s="418"/>
      <c r="AQ1796" s="418"/>
      <c r="AR1796" s="418"/>
      <c r="AS1796" s="418"/>
      <c r="AT1796" s="418"/>
      <c r="AU1796" s="418"/>
      <c r="AV1796" s="418"/>
      <c r="AW1796" s="418"/>
      <c r="AX1796" s="418"/>
      <c r="AY1796" s="418"/>
      <c r="AZ1796" s="418"/>
      <c r="BA1796" s="418"/>
    </row>
    <row r="1797" spans="40:53" ht="15.75" customHeight="1">
      <c r="AN1797" s="418"/>
      <c r="AO1797" s="418"/>
      <c r="AP1797" s="418"/>
      <c r="AQ1797" s="418"/>
      <c r="AR1797" s="418"/>
      <c r="AS1797" s="418"/>
      <c r="AT1797" s="418"/>
      <c r="AU1797" s="418"/>
      <c r="AV1797" s="418"/>
      <c r="AW1797" s="418"/>
      <c r="AX1797" s="418"/>
      <c r="AY1797" s="418"/>
      <c r="AZ1797" s="418"/>
      <c r="BA1797" s="418"/>
    </row>
    <row r="1798" spans="40:53" ht="15.75" customHeight="1">
      <c r="AN1798" s="418"/>
      <c r="AO1798" s="418"/>
      <c r="AP1798" s="418"/>
      <c r="AQ1798" s="418"/>
      <c r="AR1798" s="418"/>
      <c r="AS1798" s="418"/>
      <c r="AT1798" s="418"/>
      <c r="AU1798" s="418"/>
      <c r="AV1798" s="418"/>
      <c r="AW1798" s="418"/>
      <c r="AX1798" s="418"/>
      <c r="AY1798" s="418"/>
      <c r="AZ1798" s="418"/>
      <c r="BA1798" s="418"/>
    </row>
    <row r="1799" spans="40:53" ht="15.75" customHeight="1">
      <c r="AN1799" s="418"/>
      <c r="AO1799" s="418"/>
      <c r="AP1799" s="418"/>
      <c r="AQ1799" s="418"/>
      <c r="AR1799" s="418"/>
      <c r="AS1799" s="418"/>
      <c r="AT1799" s="418"/>
      <c r="AU1799" s="418"/>
      <c r="AV1799" s="418"/>
      <c r="AW1799" s="418"/>
      <c r="AX1799" s="418"/>
      <c r="AY1799" s="418"/>
      <c r="AZ1799" s="418"/>
      <c r="BA1799" s="418"/>
    </row>
    <row r="1800" spans="40:53" ht="15.75" customHeight="1">
      <c r="AN1800" s="418"/>
      <c r="AO1800" s="418"/>
      <c r="AP1800" s="418"/>
      <c r="AQ1800" s="418"/>
      <c r="AR1800" s="418"/>
      <c r="AS1800" s="418"/>
      <c r="AT1800" s="418"/>
      <c r="AU1800" s="418"/>
      <c r="AV1800" s="418"/>
      <c r="AW1800" s="418"/>
      <c r="AX1800" s="418"/>
      <c r="AY1800" s="418"/>
      <c r="AZ1800" s="418"/>
      <c r="BA1800" s="418"/>
    </row>
    <row r="1801" spans="40:53" ht="15.75" customHeight="1">
      <c r="AN1801" s="418"/>
      <c r="AO1801" s="418"/>
      <c r="AP1801" s="418"/>
      <c r="AQ1801" s="418"/>
      <c r="AR1801" s="418"/>
      <c r="AS1801" s="418"/>
      <c r="AT1801" s="418"/>
      <c r="AU1801" s="418"/>
      <c r="AV1801" s="418"/>
      <c r="AW1801" s="418"/>
      <c r="AX1801" s="418"/>
      <c r="AY1801" s="418"/>
      <c r="AZ1801" s="418"/>
      <c r="BA1801" s="418"/>
    </row>
    <row r="1802" spans="40:53" ht="15.75" customHeight="1">
      <c r="AN1802" s="418"/>
      <c r="AO1802" s="418"/>
      <c r="AP1802" s="418"/>
      <c r="AQ1802" s="418"/>
      <c r="AR1802" s="418"/>
      <c r="AS1802" s="418"/>
      <c r="AT1802" s="418"/>
      <c r="AU1802" s="418"/>
      <c r="AV1802" s="418"/>
      <c r="AW1802" s="418"/>
      <c r="AX1802" s="418"/>
      <c r="AY1802" s="418"/>
      <c r="AZ1802" s="418"/>
      <c r="BA1802" s="418"/>
    </row>
    <row r="1803" spans="40:53" ht="15.75" customHeight="1">
      <c r="AN1803" s="418"/>
      <c r="AO1803" s="418"/>
      <c r="AP1803" s="418"/>
      <c r="AQ1803" s="418"/>
      <c r="AR1803" s="418"/>
      <c r="AS1803" s="418"/>
      <c r="AT1803" s="418"/>
      <c r="AU1803" s="418"/>
      <c r="AV1803" s="418"/>
      <c r="AW1803" s="418"/>
      <c r="AX1803" s="418"/>
      <c r="AY1803" s="418"/>
      <c r="AZ1803" s="418"/>
      <c r="BA1803" s="418"/>
    </row>
    <row r="1804" spans="40:53" ht="15.75" customHeight="1">
      <c r="AN1804" s="418"/>
      <c r="AO1804" s="418"/>
      <c r="AP1804" s="418"/>
      <c r="AQ1804" s="418"/>
      <c r="AR1804" s="418"/>
      <c r="AS1804" s="418"/>
      <c r="AT1804" s="418"/>
      <c r="AU1804" s="418"/>
      <c r="AV1804" s="418"/>
      <c r="AW1804" s="418"/>
      <c r="AX1804" s="418"/>
      <c r="AY1804" s="418"/>
      <c r="AZ1804" s="418"/>
      <c r="BA1804" s="418"/>
    </row>
    <row r="1805" spans="40:53" ht="15.75" customHeight="1">
      <c r="AN1805" s="418"/>
      <c r="AO1805" s="418"/>
      <c r="AP1805" s="418"/>
      <c r="AQ1805" s="418"/>
      <c r="AR1805" s="418"/>
      <c r="AS1805" s="418"/>
      <c r="AT1805" s="418"/>
      <c r="AU1805" s="418"/>
      <c r="AV1805" s="418"/>
      <c r="AW1805" s="418"/>
      <c r="AX1805" s="418"/>
      <c r="AY1805" s="418"/>
      <c r="AZ1805" s="418"/>
      <c r="BA1805" s="418"/>
    </row>
    <row r="1806" spans="40:53" ht="15.75" customHeight="1">
      <c r="AN1806" s="418"/>
      <c r="AO1806" s="418"/>
      <c r="AP1806" s="418"/>
      <c r="AQ1806" s="418"/>
      <c r="AR1806" s="418"/>
      <c r="AS1806" s="418"/>
      <c r="AT1806" s="418"/>
      <c r="AU1806" s="418"/>
      <c r="AV1806" s="418"/>
      <c r="AW1806" s="418"/>
      <c r="AX1806" s="418"/>
      <c r="AY1806" s="418"/>
      <c r="AZ1806" s="418"/>
      <c r="BA1806" s="418"/>
    </row>
    <row r="1807" spans="40:53" ht="15.75" customHeight="1">
      <c r="AN1807" s="418"/>
      <c r="AO1807" s="418"/>
      <c r="AP1807" s="418"/>
      <c r="AQ1807" s="418"/>
      <c r="AR1807" s="418"/>
      <c r="AS1807" s="418"/>
      <c r="AT1807" s="418"/>
      <c r="AU1807" s="418"/>
      <c r="AV1807" s="418"/>
      <c r="AW1807" s="418"/>
      <c r="AX1807" s="418"/>
      <c r="AY1807" s="418"/>
      <c r="AZ1807" s="418"/>
      <c r="BA1807" s="418"/>
    </row>
    <row r="1808" spans="40:53" ht="15.75" customHeight="1">
      <c r="AN1808" s="418"/>
      <c r="AO1808" s="418"/>
      <c r="AP1808" s="418"/>
      <c r="AQ1808" s="418"/>
      <c r="AR1808" s="418"/>
      <c r="AS1808" s="418"/>
      <c r="AT1808" s="418"/>
      <c r="AU1808" s="418"/>
      <c r="AV1808" s="418"/>
      <c r="AW1808" s="418"/>
      <c r="AX1808" s="418"/>
      <c r="AY1808" s="418"/>
      <c r="AZ1808" s="418"/>
      <c r="BA1808" s="418"/>
    </row>
    <row r="1809" spans="40:53" ht="15.75" customHeight="1">
      <c r="AN1809" s="418"/>
      <c r="AO1809" s="418"/>
      <c r="AP1809" s="418"/>
      <c r="AQ1809" s="418"/>
      <c r="AR1809" s="418"/>
      <c r="AS1809" s="418"/>
      <c r="AT1809" s="418"/>
      <c r="AU1809" s="418"/>
      <c r="AV1809" s="418"/>
      <c r="AW1809" s="418"/>
      <c r="AX1809" s="418"/>
      <c r="AY1809" s="418"/>
      <c r="AZ1809" s="418"/>
      <c r="BA1809" s="418"/>
    </row>
    <row r="1810" spans="40:53" ht="15.75" customHeight="1">
      <c r="AN1810" s="418"/>
      <c r="AO1810" s="418"/>
      <c r="AP1810" s="418"/>
      <c r="AQ1810" s="418"/>
      <c r="AR1810" s="418"/>
      <c r="AS1810" s="418"/>
      <c r="AT1810" s="418"/>
      <c r="AU1810" s="418"/>
      <c r="AV1810" s="418"/>
      <c r="AW1810" s="418"/>
      <c r="AX1810" s="418"/>
      <c r="AY1810" s="418"/>
      <c r="AZ1810" s="418"/>
      <c r="BA1810" s="418"/>
    </row>
    <row r="1811" spans="40:53" ht="15.75" customHeight="1">
      <c r="AN1811" s="418"/>
      <c r="AO1811" s="418"/>
      <c r="AP1811" s="418"/>
      <c r="AQ1811" s="418"/>
      <c r="AR1811" s="418"/>
      <c r="AS1811" s="418"/>
      <c r="AT1811" s="418"/>
      <c r="AU1811" s="418"/>
      <c r="AV1811" s="418"/>
      <c r="AW1811" s="418"/>
      <c r="AX1811" s="418"/>
      <c r="AY1811" s="418"/>
      <c r="AZ1811" s="418"/>
      <c r="BA1811" s="418"/>
    </row>
    <row r="1812" spans="40:53" ht="15.75" customHeight="1">
      <c r="AN1812" s="418"/>
      <c r="AO1812" s="418"/>
      <c r="AP1812" s="418"/>
      <c r="AQ1812" s="418"/>
      <c r="AR1812" s="418"/>
      <c r="AS1812" s="418"/>
      <c r="AT1812" s="418"/>
      <c r="AU1812" s="418"/>
      <c r="AV1812" s="418"/>
      <c r="AW1812" s="418"/>
      <c r="AX1812" s="418"/>
      <c r="AY1812" s="418"/>
      <c r="AZ1812" s="418"/>
      <c r="BA1812" s="418"/>
    </row>
    <row r="1813" spans="40:53" ht="15.75" customHeight="1">
      <c r="AN1813" s="418"/>
      <c r="AO1813" s="418"/>
      <c r="AP1813" s="418"/>
      <c r="AQ1813" s="418"/>
      <c r="AR1813" s="418"/>
      <c r="AS1813" s="418"/>
      <c r="AT1813" s="418"/>
      <c r="AU1813" s="418"/>
      <c r="AV1813" s="418"/>
      <c r="AW1813" s="418"/>
      <c r="AX1813" s="418"/>
      <c r="AY1813" s="418"/>
      <c r="AZ1813" s="418"/>
      <c r="BA1813" s="418"/>
    </row>
    <row r="1814" spans="40:53" ht="15.75" customHeight="1">
      <c r="AN1814" s="418"/>
      <c r="AO1814" s="418"/>
      <c r="AP1814" s="418"/>
      <c r="AQ1814" s="418"/>
      <c r="AR1814" s="418"/>
      <c r="AS1814" s="418"/>
      <c r="AT1814" s="418"/>
      <c r="AU1814" s="418"/>
      <c r="AV1814" s="418"/>
      <c r="AW1814" s="418"/>
      <c r="AX1814" s="418"/>
      <c r="AY1814" s="418"/>
      <c r="AZ1814" s="418"/>
      <c r="BA1814" s="418"/>
    </row>
    <row r="1815" spans="40:53" ht="15.75" customHeight="1">
      <c r="AN1815" s="418"/>
      <c r="AO1815" s="418"/>
      <c r="AP1815" s="418"/>
      <c r="AQ1815" s="418"/>
      <c r="AR1815" s="418"/>
      <c r="AS1815" s="418"/>
      <c r="AT1815" s="418"/>
      <c r="AU1815" s="418"/>
      <c r="AV1815" s="418"/>
      <c r="AW1815" s="418"/>
      <c r="AX1815" s="418"/>
      <c r="AY1815" s="418"/>
      <c r="AZ1815" s="418"/>
      <c r="BA1815" s="418"/>
    </row>
    <row r="1816" spans="40:53" ht="15.75" customHeight="1">
      <c r="AN1816" s="418"/>
      <c r="AO1816" s="418"/>
      <c r="AP1816" s="418"/>
      <c r="AQ1816" s="418"/>
      <c r="AR1816" s="418"/>
      <c r="AS1816" s="418"/>
      <c r="AT1816" s="418"/>
      <c r="AU1816" s="418"/>
      <c r="AV1816" s="418"/>
      <c r="AW1816" s="418"/>
      <c r="AX1816" s="418"/>
      <c r="AY1816" s="418"/>
      <c r="AZ1816" s="418"/>
      <c r="BA1816" s="418"/>
    </row>
    <row r="1817" spans="40:53" ht="15.75" customHeight="1">
      <c r="AN1817" s="418"/>
      <c r="AO1817" s="418"/>
      <c r="AP1817" s="418"/>
      <c r="AQ1817" s="418"/>
      <c r="AR1817" s="418"/>
      <c r="AS1817" s="418"/>
      <c r="AT1817" s="418"/>
      <c r="AU1817" s="418"/>
      <c r="AV1817" s="418"/>
      <c r="AW1817" s="418"/>
      <c r="AX1817" s="418"/>
      <c r="AY1817" s="418"/>
      <c r="AZ1817" s="418"/>
      <c r="BA1817" s="418"/>
    </row>
    <row r="1818" spans="40:53" ht="15.75" customHeight="1">
      <c r="AN1818" s="418"/>
      <c r="AO1818" s="418"/>
      <c r="AP1818" s="418"/>
      <c r="AQ1818" s="418"/>
      <c r="AR1818" s="418"/>
      <c r="AS1818" s="418"/>
      <c r="AT1818" s="418"/>
      <c r="AU1818" s="418"/>
      <c r="AV1818" s="418"/>
      <c r="AW1818" s="418"/>
      <c r="AX1818" s="418"/>
      <c r="AY1818" s="418"/>
      <c r="AZ1818" s="418"/>
      <c r="BA1818" s="418"/>
    </row>
    <row r="1819" spans="40:53" ht="15.75" customHeight="1">
      <c r="AN1819" s="418"/>
      <c r="AO1819" s="418"/>
      <c r="AP1819" s="418"/>
      <c r="AQ1819" s="418"/>
      <c r="AR1819" s="418"/>
      <c r="AS1819" s="418"/>
      <c r="AT1819" s="418"/>
      <c r="AU1819" s="418"/>
      <c r="AV1819" s="418"/>
      <c r="AW1819" s="418"/>
      <c r="AX1819" s="418"/>
      <c r="AY1819" s="418"/>
      <c r="AZ1819" s="418"/>
      <c r="BA1819" s="418"/>
    </row>
    <row r="1820" spans="40:53" ht="15.75" customHeight="1">
      <c r="AN1820" s="418"/>
      <c r="AO1820" s="418"/>
      <c r="AP1820" s="418"/>
      <c r="AQ1820" s="418"/>
      <c r="AR1820" s="418"/>
      <c r="AS1820" s="418"/>
      <c r="AT1820" s="418"/>
      <c r="AU1820" s="418"/>
      <c r="AV1820" s="418"/>
      <c r="AW1820" s="418"/>
      <c r="AX1820" s="418"/>
      <c r="AY1820" s="418"/>
      <c r="AZ1820" s="418"/>
      <c r="BA1820" s="418"/>
    </row>
    <row r="1821" spans="40:53" ht="15.75" customHeight="1">
      <c r="AN1821" s="418"/>
      <c r="AO1821" s="418"/>
      <c r="AP1821" s="418"/>
      <c r="AQ1821" s="418"/>
      <c r="AR1821" s="418"/>
      <c r="AS1821" s="418"/>
      <c r="AT1821" s="418"/>
      <c r="AU1821" s="418"/>
      <c r="AV1821" s="418"/>
      <c r="AW1821" s="418"/>
      <c r="AX1821" s="418"/>
      <c r="AY1821" s="418"/>
      <c r="AZ1821" s="418"/>
      <c r="BA1821" s="418"/>
    </row>
    <row r="1822" spans="40:53" ht="15.75" customHeight="1">
      <c r="AN1822" s="418"/>
      <c r="AO1822" s="418"/>
      <c r="AP1822" s="418"/>
      <c r="AQ1822" s="418"/>
      <c r="AR1822" s="418"/>
      <c r="AS1822" s="418"/>
      <c r="AT1822" s="418"/>
      <c r="AU1822" s="418"/>
      <c r="AV1822" s="418"/>
      <c r="AW1822" s="418"/>
      <c r="AX1822" s="418"/>
      <c r="AY1822" s="418"/>
      <c r="AZ1822" s="418"/>
      <c r="BA1822" s="418"/>
    </row>
    <row r="1823" spans="40:53" ht="15.75" customHeight="1">
      <c r="AN1823" s="418"/>
      <c r="AO1823" s="418"/>
      <c r="AP1823" s="418"/>
      <c r="AQ1823" s="418"/>
      <c r="AR1823" s="418"/>
      <c r="AS1823" s="418"/>
      <c r="AT1823" s="418"/>
      <c r="AU1823" s="418"/>
      <c r="AV1823" s="418"/>
      <c r="AW1823" s="418"/>
      <c r="AX1823" s="418"/>
      <c r="AY1823" s="418"/>
      <c r="AZ1823" s="418"/>
      <c r="BA1823" s="418"/>
    </row>
    <row r="1824" spans="40:53" ht="15.75" customHeight="1">
      <c r="AN1824" s="418"/>
      <c r="AO1824" s="418"/>
      <c r="AP1824" s="418"/>
      <c r="AQ1824" s="418"/>
      <c r="AR1824" s="418"/>
      <c r="AS1824" s="418"/>
      <c r="AT1824" s="418"/>
      <c r="AU1824" s="418"/>
      <c r="AV1824" s="418"/>
      <c r="AW1824" s="418"/>
      <c r="AX1824" s="418"/>
      <c r="AY1824" s="418"/>
      <c r="AZ1824" s="418"/>
      <c r="BA1824" s="418"/>
    </row>
    <row r="1825" spans="40:53" ht="15.75" customHeight="1">
      <c r="AN1825" s="418"/>
      <c r="AO1825" s="418"/>
      <c r="AP1825" s="418"/>
      <c r="AQ1825" s="418"/>
      <c r="AR1825" s="418"/>
      <c r="AS1825" s="418"/>
      <c r="AT1825" s="418"/>
      <c r="AU1825" s="418"/>
      <c r="AV1825" s="418"/>
      <c r="AW1825" s="418"/>
      <c r="AX1825" s="418"/>
      <c r="AY1825" s="418"/>
      <c r="AZ1825" s="418"/>
      <c r="BA1825" s="418"/>
    </row>
    <row r="1826" spans="40:53" ht="15.75" customHeight="1">
      <c r="AN1826" s="418"/>
      <c r="AO1826" s="418"/>
      <c r="AP1826" s="418"/>
      <c r="AQ1826" s="418"/>
      <c r="AR1826" s="418"/>
      <c r="AS1826" s="418"/>
      <c r="AT1826" s="418"/>
      <c r="AU1826" s="418"/>
      <c r="AV1826" s="418"/>
      <c r="AW1826" s="418"/>
      <c r="AX1826" s="418"/>
      <c r="AY1826" s="418"/>
      <c r="AZ1826" s="418"/>
      <c r="BA1826" s="418"/>
    </row>
    <row r="1827" spans="40:53" ht="15.75" customHeight="1">
      <c r="AN1827" s="418"/>
      <c r="AO1827" s="418"/>
      <c r="AP1827" s="418"/>
      <c r="AQ1827" s="418"/>
      <c r="AR1827" s="418"/>
      <c r="AS1827" s="418"/>
      <c r="AT1827" s="418"/>
      <c r="AU1827" s="418"/>
      <c r="AV1827" s="418"/>
      <c r="AW1827" s="418"/>
      <c r="AX1827" s="418"/>
      <c r="AY1827" s="418"/>
      <c r="AZ1827" s="418"/>
      <c r="BA1827" s="418"/>
    </row>
    <row r="1828" spans="40:53" ht="15.75" customHeight="1">
      <c r="AN1828" s="418"/>
      <c r="AO1828" s="418"/>
      <c r="AP1828" s="418"/>
      <c r="AQ1828" s="418"/>
      <c r="AR1828" s="418"/>
      <c r="AS1828" s="418"/>
      <c r="AT1828" s="418"/>
      <c r="AU1828" s="418"/>
      <c r="AV1828" s="418"/>
      <c r="AW1828" s="418"/>
      <c r="AX1828" s="418"/>
      <c r="AY1828" s="418"/>
      <c r="AZ1828" s="418"/>
      <c r="BA1828" s="418"/>
    </row>
    <row r="1829" spans="40:53" ht="15.75" customHeight="1">
      <c r="AN1829" s="418"/>
      <c r="AO1829" s="418"/>
      <c r="AP1829" s="418"/>
      <c r="AQ1829" s="418"/>
      <c r="AR1829" s="418"/>
      <c r="AS1829" s="418"/>
      <c r="AT1829" s="418"/>
      <c r="AU1829" s="418"/>
      <c r="AV1829" s="418"/>
      <c r="AW1829" s="418"/>
      <c r="AX1829" s="418"/>
      <c r="AY1829" s="418"/>
      <c r="AZ1829" s="418"/>
      <c r="BA1829" s="418"/>
    </row>
    <row r="1830" spans="40:53" ht="15.75" customHeight="1">
      <c r="AN1830" s="418"/>
      <c r="AO1830" s="418"/>
      <c r="AP1830" s="418"/>
      <c r="AQ1830" s="418"/>
      <c r="AR1830" s="418"/>
      <c r="AS1830" s="418"/>
      <c r="AT1830" s="418"/>
      <c r="AU1830" s="418"/>
      <c r="AV1830" s="418"/>
      <c r="AW1830" s="418"/>
      <c r="AX1830" s="418"/>
      <c r="AY1830" s="418"/>
      <c r="AZ1830" s="418"/>
      <c r="BA1830" s="418"/>
    </row>
    <row r="1831" spans="40:53" ht="15.75" customHeight="1">
      <c r="AN1831" s="418"/>
      <c r="AO1831" s="418"/>
      <c r="AP1831" s="418"/>
      <c r="AQ1831" s="418"/>
      <c r="AR1831" s="418"/>
      <c r="AS1831" s="418"/>
      <c r="AT1831" s="418"/>
      <c r="AU1831" s="418"/>
      <c r="AV1831" s="418"/>
      <c r="AW1831" s="418"/>
      <c r="AX1831" s="418"/>
      <c r="AY1831" s="418"/>
      <c r="AZ1831" s="418"/>
      <c r="BA1831" s="418"/>
    </row>
    <row r="1832" spans="40:53" ht="15.75" customHeight="1">
      <c r="AN1832" s="418"/>
      <c r="AO1832" s="418"/>
      <c r="AP1832" s="418"/>
      <c r="AQ1832" s="418"/>
      <c r="AR1832" s="418"/>
      <c r="AS1832" s="418"/>
      <c r="AT1832" s="418"/>
      <c r="AU1832" s="418"/>
      <c r="AV1832" s="418"/>
      <c r="AW1832" s="418"/>
      <c r="AX1832" s="418"/>
      <c r="AY1832" s="418"/>
      <c r="AZ1832" s="418"/>
      <c r="BA1832" s="418"/>
    </row>
    <row r="1833" spans="40:53" ht="15.75" customHeight="1">
      <c r="AN1833" s="418"/>
      <c r="AO1833" s="418"/>
      <c r="AP1833" s="418"/>
      <c r="AQ1833" s="418"/>
      <c r="AR1833" s="418"/>
      <c r="AS1833" s="418"/>
      <c r="AT1833" s="418"/>
      <c r="AU1833" s="418"/>
      <c r="AV1833" s="418"/>
      <c r="AW1833" s="418"/>
      <c r="AX1833" s="418"/>
      <c r="AY1833" s="418"/>
      <c r="AZ1833" s="418"/>
      <c r="BA1833" s="418"/>
    </row>
    <row r="1834" spans="40:53" ht="15.75" customHeight="1">
      <c r="AN1834" s="418"/>
      <c r="AO1834" s="418"/>
      <c r="AP1834" s="418"/>
      <c r="AQ1834" s="418"/>
      <c r="AR1834" s="418"/>
      <c r="AS1834" s="418"/>
      <c r="AT1834" s="418"/>
      <c r="AU1834" s="418"/>
      <c r="AV1834" s="418"/>
      <c r="AW1834" s="418"/>
      <c r="AX1834" s="418"/>
      <c r="AY1834" s="418"/>
      <c r="AZ1834" s="418"/>
      <c r="BA1834" s="418"/>
    </row>
    <row r="1835" spans="40:53" ht="15.75" customHeight="1">
      <c r="AN1835" s="418"/>
      <c r="AO1835" s="418"/>
      <c r="AP1835" s="418"/>
      <c r="AQ1835" s="418"/>
      <c r="AR1835" s="418"/>
      <c r="AS1835" s="418"/>
      <c r="AT1835" s="418"/>
      <c r="AU1835" s="418"/>
      <c r="AV1835" s="418"/>
      <c r="AW1835" s="418"/>
      <c r="AX1835" s="418"/>
      <c r="AY1835" s="418"/>
      <c r="AZ1835" s="418"/>
      <c r="BA1835" s="418"/>
    </row>
    <row r="1836" spans="40:53" ht="15.75" customHeight="1">
      <c r="AN1836" s="418"/>
      <c r="AO1836" s="418"/>
      <c r="AP1836" s="418"/>
      <c r="AQ1836" s="418"/>
      <c r="AR1836" s="418"/>
      <c r="AS1836" s="418"/>
      <c r="AT1836" s="418"/>
      <c r="AU1836" s="418"/>
      <c r="AV1836" s="418"/>
      <c r="AW1836" s="418"/>
      <c r="AX1836" s="418"/>
      <c r="AY1836" s="418"/>
      <c r="AZ1836" s="418"/>
      <c r="BA1836" s="418"/>
    </row>
    <row r="1837" spans="40:53" ht="15.75" customHeight="1">
      <c r="AN1837" s="418"/>
      <c r="AO1837" s="418"/>
      <c r="AP1837" s="418"/>
      <c r="AQ1837" s="418"/>
      <c r="AR1837" s="418"/>
      <c r="AS1837" s="418"/>
      <c r="AT1837" s="418"/>
      <c r="AU1837" s="418"/>
      <c r="AV1837" s="418"/>
      <c r="AW1837" s="418"/>
      <c r="AX1837" s="418"/>
      <c r="AY1837" s="418"/>
      <c r="AZ1837" s="418"/>
      <c r="BA1837" s="418"/>
    </row>
    <row r="1838" spans="40:53" ht="15.75" customHeight="1">
      <c r="AN1838" s="418"/>
      <c r="AO1838" s="418"/>
      <c r="AP1838" s="418"/>
      <c r="AQ1838" s="418"/>
      <c r="AR1838" s="418"/>
      <c r="AS1838" s="418"/>
      <c r="AT1838" s="418"/>
      <c r="AU1838" s="418"/>
      <c r="AV1838" s="418"/>
      <c r="AW1838" s="418"/>
      <c r="AX1838" s="418"/>
      <c r="AY1838" s="418"/>
      <c r="AZ1838" s="418"/>
      <c r="BA1838" s="418"/>
    </row>
    <row r="1839" spans="40:53" ht="15.75" customHeight="1">
      <c r="AN1839" s="418"/>
      <c r="AO1839" s="418"/>
      <c r="AP1839" s="418"/>
      <c r="AQ1839" s="418"/>
      <c r="AR1839" s="418"/>
      <c r="AS1839" s="418"/>
      <c r="AT1839" s="418"/>
      <c r="AU1839" s="418"/>
      <c r="AV1839" s="418"/>
      <c r="AW1839" s="418"/>
      <c r="AX1839" s="418"/>
      <c r="AY1839" s="418"/>
      <c r="AZ1839" s="418"/>
      <c r="BA1839" s="418"/>
    </row>
    <row r="1840" spans="40:53" ht="15.75" customHeight="1">
      <c r="AN1840" s="418"/>
      <c r="AO1840" s="418"/>
      <c r="AP1840" s="418"/>
      <c r="AQ1840" s="418"/>
      <c r="AR1840" s="418"/>
      <c r="AS1840" s="418"/>
      <c r="AT1840" s="418"/>
      <c r="AU1840" s="418"/>
      <c r="AV1840" s="418"/>
      <c r="AW1840" s="418"/>
      <c r="AX1840" s="418"/>
      <c r="AY1840" s="418"/>
      <c r="AZ1840" s="418"/>
      <c r="BA1840" s="418"/>
    </row>
    <row r="1841" spans="40:53" ht="15.75" customHeight="1">
      <c r="AN1841" s="418"/>
      <c r="AO1841" s="418"/>
      <c r="AP1841" s="418"/>
      <c r="AQ1841" s="418"/>
      <c r="AR1841" s="418"/>
      <c r="AS1841" s="418"/>
      <c r="AT1841" s="418"/>
      <c r="AU1841" s="418"/>
      <c r="AV1841" s="418"/>
      <c r="AW1841" s="418"/>
      <c r="AX1841" s="418"/>
      <c r="AY1841" s="418"/>
      <c r="AZ1841" s="418"/>
      <c r="BA1841" s="418"/>
    </row>
    <row r="1842" spans="40:53" ht="15.75" customHeight="1">
      <c r="AN1842" s="418"/>
      <c r="AO1842" s="418"/>
      <c r="AP1842" s="418"/>
      <c r="AQ1842" s="418"/>
      <c r="AR1842" s="418"/>
      <c r="AS1842" s="418"/>
      <c r="AT1842" s="418"/>
      <c r="AU1842" s="418"/>
      <c r="AV1842" s="418"/>
      <c r="AW1842" s="418"/>
      <c r="AX1842" s="418"/>
      <c r="AY1842" s="418"/>
      <c r="AZ1842" s="418"/>
      <c r="BA1842" s="418"/>
    </row>
    <row r="1843" spans="40:53" ht="15.75" customHeight="1">
      <c r="AN1843" s="418"/>
      <c r="AO1843" s="418"/>
      <c r="AP1843" s="418"/>
      <c r="AQ1843" s="418"/>
      <c r="AR1843" s="418"/>
      <c r="AS1843" s="418"/>
      <c r="AT1843" s="418"/>
      <c r="AU1843" s="418"/>
      <c r="AV1843" s="418"/>
      <c r="AW1843" s="418"/>
      <c r="AX1843" s="418"/>
      <c r="AY1843" s="418"/>
      <c r="AZ1843" s="418"/>
      <c r="BA1843" s="418"/>
    </row>
    <row r="1844" spans="40:53" ht="15.75" customHeight="1">
      <c r="AN1844" s="418"/>
      <c r="AO1844" s="418"/>
      <c r="AP1844" s="418"/>
      <c r="AQ1844" s="418"/>
      <c r="AR1844" s="418"/>
      <c r="AS1844" s="418"/>
      <c r="AT1844" s="418"/>
      <c r="AU1844" s="418"/>
      <c r="AV1844" s="418"/>
      <c r="AW1844" s="418"/>
      <c r="AX1844" s="418"/>
      <c r="AY1844" s="418"/>
      <c r="AZ1844" s="418"/>
      <c r="BA1844" s="418"/>
    </row>
    <row r="1845" spans="40:53" ht="15.75" customHeight="1">
      <c r="AN1845" s="418"/>
      <c r="AO1845" s="418"/>
      <c r="AP1845" s="418"/>
      <c r="AQ1845" s="418"/>
      <c r="AR1845" s="418"/>
      <c r="AS1845" s="418"/>
      <c r="AT1845" s="418"/>
      <c r="AU1845" s="418"/>
      <c r="AV1845" s="418"/>
      <c r="AW1845" s="418"/>
      <c r="AX1845" s="418"/>
      <c r="AY1845" s="418"/>
      <c r="AZ1845" s="418"/>
      <c r="BA1845" s="418"/>
    </row>
    <row r="1846" spans="40:53" ht="15.75" customHeight="1">
      <c r="AN1846" s="418"/>
      <c r="AO1846" s="418"/>
      <c r="AP1846" s="418"/>
      <c r="AQ1846" s="418"/>
      <c r="AR1846" s="418"/>
      <c r="AS1846" s="418"/>
      <c r="AT1846" s="418"/>
      <c r="AU1846" s="418"/>
      <c r="AV1846" s="418"/>
      <c r="AW1846" s="418"/>
      <c r="AX1846" s="418"/>
      <c r="AY1846" s="418"/>
      <c r="AZ1846" s="418"/>
      <c r="BA1846" s="418"/>
    </row>
    <row r="1847" spans="40:53" ht="15.75" customHeight="1">
      <c r="AN1847" s="418"/>
      <c r="AO1847" s="418"/>
      <c r="AP1847" s="418"/>
      <c r="AQ1847" s="418"/>
      <c r="AR1847" s="418"/>
      <c r="AS1847" s="418"/>
      <c r="AT1847" s="418"/>
      <c r="AU1847" s="418"/>
      <c r="AV1847" s="418"/>
      <c r="AW1847" s="418"/>
      <c r="AX1847" s="418"/>
      <c r="AY1847" s="418"/>
      <c r="AZ1847" s="418"/>
      <c r="BA1847" s="418"/>
    </row>
    <row r="1848" spans="40:53" ht="15.75" customHeight="1">
      <c r="AN1848" s="418"/>
      <c r="AO1848" s="418"/>
      <c r="AP1848" s="418"/>
      <c r="AQ1848" s="418"/>
      <c r="AR1848" s="418"/>
      <c r="AS1848" s="418"/>
      <c r="AT1848" s="418"/>
      <c r="AU1848" s="418"/>
      <c r="AV1848" s="418"/>
      <c r="AW1848" s="418"/>
      <c r="AX1848" s="418"/>
      <c r="AY1848" s="418"/>
      <c r="AZ1848" s="418"/>
      <c r="BA1848" s="418"/>
    </row>
    <row r="1849" spans="40:53" ht="15.75" customHeight="1">
      <c r="AN1849" s="418"/>
      <c r="AO1849" s="418"/>
      <c r="AP1849" s="418"/>
      <c r="AQ1849" s="418"/>
      <c r="AR1849" s="418"/>
      <c r="AS1849" s="418"/>
      <c r="AT1849" s="418"/>
      <c r="AU1849" s="418"/>
      <c r="AV1849" s="418"/>
      <c r="AW1849" s="418"/>
      <c r="AX1849" s="418"/>
      <c r="AY1849" s="418"/>
      <c r="AZ1849" s="418"/>
      <c r="BA1849" s="418"/>
    </row>
    <row r="1850" spans="40:53" ht="15.75" customHeight="1">
      <c r="AN1850" s="418"/>
      <c r="AO1850" s="418"/>
      <c r="AP1850" s="418"/>
      <c r="AQ1850" s="418"/>
      <c r="AR1850" s="418"/>
      <c r="AS1850" s="418"/>
      <c r="AT1850" s="418"/>
      <c r="AU1850" s="418"/>
      <c r="AV1850" s="418"/>
      <c r="AW1850" s="418"/>
      <c r="AX1850" s="418"/>
      <c r="AY1850" s="418"/>
      <c r="AZ1850" s="418"/>
      <c r="BA1850" s="418"/>
    </row>
    <row r="1851" spans="40:53" ht="15.75" customHeight="1">
      <c r="AN1851" s="418"/>
      <c r="AO1851" s="418"/>
      <c r="AP1851" s="418"/>
      <c r="AQ1851" s="418"/>
      <c r="AR1851" s="418"/>
      <c r="AS1851" s="418"/>
      <c r="AT1851" s="418"/>
      <c r="AU1851" s="418"/>
      <c r="AV1851" s="418"/>
      <c r="AW1851" s="418"/>
      <c r="AX1851" s="418"/>
      <c r="AY1851" s="418"/>
      <c r="AZ1851" s="418"/>
      <c r="BA1851" s="418"/>
    </row>
    <row r="1852" spans="40:53" ht="15.75" customHeight="1">
      <c r="AN1852" s="418"/>
      <c r="AO1852" s="418"/>
      <c r="AP1852" s="418"/>
      <c r="AQ1852" s="418"/>
      <c r="AR1852" s="418"/>
      <c r="AS1852" s="418"/>
      <c r="AT1852" s="418"/>
      <c r="AU1852" s="418"/>
      <c r="AV1852" s="418"/>
      <c r="AW1852" s="418"/>
      <c r="AX1852" s="418"/>
      <c r="AY1852" s="418"/>
      <c r="AZ1852" s="418"/>
      <c r="BA1852" s="418"/>
    </row>
    <row r="1853" spans="40:53" ht="15.75" customHeight="1">
      <c r="AN1853" s="418"/>
      <c r="AO1853" s="418"/>
      <c r="AP1853" s="418"/>
      <c r="AQ1853" s="418"/>
      <c r="AR1853" s="418"/>
      <c r="AS1853" s="418"/>
      <c r="AT1853" s="418"/>
      <c r="AU1853" s="418"/>
      <c r="AV1853" s="418"/>
      <c r="AW1853" s="418"/>
      <c r="AX1853" s="418"/>
      <c r="AY1853" s="418"/>
      <c r="AZ1853" s="418"/>
      <c r="BA1853" s="418"/>
    </row>
    <row r="1854" spans="40:53" ht="15.75" customHeight="1">
      <c r="AN1854" s="418"/>
      <c r="AO1854" s="418"/>
      <c r="AP1854" s="418"/>
      <c r="AQ1854" s="418"/>
      <c r="AR1854" s="418"/>
      <c r="AS1854" s="418"/>
      <c r="AT1854" s="418"/>
      <c r="AU1854" s="418"/>
      <c r="AV1854" s="418"/>
      <c r="AW1854" s="418"/>
      <c r="AX1854" s="418"/>
      <c r="AY1854" s="418"/>
      <c r="AZ1854" s="418"/>
      <c r="BA1854" s="418"/>
    </row>
    <row r="1855" spans="40:53" ht="15.75" customHeight="1">
      <c r="AN1855" s="418"/>
      <c r="AO1855" s="418"/>
      <c r="AP1855" s="418"/>
      <c r="AQ1855" s="418"/>
      <c r="AR1855" s="418"/>
      <c r="AS1855" s="418"/>
      <c r="AT1855" s="418"/>
      <c r="AU1855" s="418"/>
      <c r="AV1855" s="418"/>
      <c r="AW1855" s="418"/>
      <c r="AX1855" s="418"/>
      <c r="AY1855" s="418"/>
      <c r="AZ1855" s="418"/>
      <c r="BA1855" s="418"/>
    </row>
    <row r="1856" spans="40:53" ht="15.75" customHeight="1">
      <c r="AN1856" s="418"/>
      <c r="AO1856" s="418"/>
      <c r="AP1856" s="418"/>
      <c r="AQ1856" s="418"/>
      <c r="AR1856" s="418"/>
      <c r="AS1856" s="418"/>
      <c r="AT1856" s="418"/>
      <c r="AU1856" s="418"/>
      <c r="AV1856" s="418"/>
      <c r="AW1856" s="418"/>
      <c r="AX1856" s="418"/>
      <c r="AY1856" s="418"/>
      <c r="AZ1856" s="418"/>
      <c r="BA1856" s="418"/>
    </row>
    <row r="1857" spans="40:53" ht="15.75" customHeight="1">
      <c r="AN1857" s="418"/>
      <c r="AO1857" s="418"/>
      <c r="AP1857" s="418"/>
      <c r="AQ1857" s="418"/>
      <c r="AR1857" s="418"/>
      <c r="AS1857" s="418"/>
      <c r="AT1857" s="418"/>
      <c r="AU1857" s="418"/>
      <c r="AV1857" s="418"/>
      <c r="AW1857" s="418"/>
      <c r="AX1857" s="418"/>
      <c r="AY1857" s="418"/>
      <c r="AZ1857" s="418"/>
      <c r="BA1857" s="418"/>
    </row>
    <row r="1858" spans="40:53" ht="15.75" customHeight="1">
      <c r="AN1858" s="418"/>
      <c r="AO1858" s="418"/>
      <c r="AP1858" s="418"/>
      <c r="AQ1858" s="418"/>
      <c r="AR1858" s="418"/>
      <c r="AS1858" s="418"/>
      <c r="AT1858" s="418"/>
      <c r="AU1858" s="418"/>
      <c r="AV1858" s="418"/>
      <c r="AW1858" s="418"/>
      <c r="AX1858" s="418"/>
      <c r="AY1858" s="418"/>
      <c r="AZ1858" s="418"/>
      <c r="BA1858" s="418"/>
    </row>
    <row r="1859" spans="40:53" ht="15.75" customHeight="1">
      <c r="AN1859" s="418"/>
      <c r="AO1859" s="418"/>
      <c r="AP1859" s="418"/>
      <c r="AQ1859" s="418"/>
      <c r="AR1859" s="418"/>
      <c r="AS1859" s="418"/>
      <c r="AT1859" s="418"/>
      <c r="AU1859" s="418"/>
      <c r="AV1859" s="418"/>
      <c r="AW1859" s="418"/>
      <c r="AX1859" s="418"/>
      <c r="AY1859" s="418"/>
      <c r="AZ1859" s="418"/>
      <c r="BA1859" s="418"/>
    </row>
    <row r="1860" spans="40:53" ht="15.75" customHeight="1">
      <c r="AN1860" s="418"/>
      <c r="AO1860" s="418"/>
      <c r="AP1860" s="418"/>
      <c r="AQ1860" s="418"/>
      <c r="AR1860" s="418"/>
      <c r="AS1860" s="418"/>
      <c r="AT1860" s="418"/>
      <c r="AU1860" s="418"/>
      <c r="AV1860" s="418"/>
      <c r="AW1860" s="418"/>
      <c r="AX1860" s="418"/>
      <c r="AY1860" s="418"/>
      <c r="AZ1860" s="418"/>
      <c r="BA1860" s="418"/>
    </row>
    <row r="1861" spans="40:53" ht="15.75" customHeight="1">
      <c r="AN1861" s="418"/>
      <c r="AO1861" s="418"/>
      <c r="AP1861" s="418"/>
      <c r="AQ1861" s="418"/>
      <c r="AR1861" s="418"/>
      <c r="AS1861" s="418"/>
      <c r="AT1861" s="418"/>
      <c r="AU1861" s="418"/>
      <c r="AV1861" s="418"/>
      <c r="AW1861" s="418"/>
      <c r="AX1861" s="418"/>
      <c r="AY1861" s="418"/>
      <c r="AZ1861" s="418"/>
      <c r="BA1861" s="418"/>
    </row>
    <row r="1862" spans="40:53" ht="15.75" customHeight="1">
      <c r="AN1862" s="418"/>
      <c r="AO1862" s="418"/>
      <c r="AP1862" s="418"/>
      <c r="AQ1862" s="418"/>
      <c r="AR1862" s="418"/>
      <c r="AS1862" s="418"/>
      <c r="AT1862" s="418"/>
      <c r="AU1862" s="418"/>
      <c r="AV1862" s="418"/>
      <c r="AW1862" s="418"/>
      <c r="AX1862" s="418"/>
      <c r="AY1862" s="418"/>
      <c r="AZ1862" s="418"/>
      <c r="BA1862" s="418"/>
    </row>
    <row r="1863" spans="40:53" ht="15.75" customHeight="1">
      <c r="AN1863" s="418"/>
      <c r="AO1863" s="418"/>
      <c r="AP1863" s="418"/>
      <c r="AQ1863" s="418"/>
      <c r="AR1863" s="418"/>
      <c r="AS1863" s="418"/>
      <c r="AT1863" s="418"/>
      <c r="AU1863" s="418"/>
      <c r="AV1863" s="418"/>
      <c r="AW1863" s="418"/>
      <c r="AX1863" s="418"/>
      <c r="AY1863" s="418"/>
      <c r="AZ1863" s="418"/>
      <c r="BA1863" s="418"/>
    </row>
    <row r="1864" spans="40:53" ht="15.75" customHeight="1">
      <c r="AN1864" s="418"/>
      <c r="AO1864" s="418"/>
      <c r="AP1864" s="418"/>
      <c r="AQ1864" s="418"/>
      <c r="AR1864" s="418"/>
      <c r="AS1864" s="418"/>
      <c r="AT1864" s="418"/>
      <c r="AU1864" s="418"/>
      <c r="AV1864" s="418"/>
      <c r="AW1864" s="418"/>
      <c r="AX1864" s="418"/>
      <c r="AY1864" s="418"/>
      <c r="AZ1864" s="418"/>
      <c r="BA1864" s="418"/>
    </row>
    <row r="1865" spans="40:53" ht="15.75" customHeight="1">
      <c r="AN1865" s="418"/>
      <c r="AO1865" s="418"/>
      <c r="AP1865" s="418"/>
      <c r="AQ1865" s="418"/>
      <c r="AR1865" s="418"/>
      <c r="AS1865" s="418"/>
      <c r="AT1865" s="418"/>
      <c r="AU1865" s="418"/>
      <c r="AV1865" s="418"/>
      <c r="AW1865" s="418"/>
      <c r="AX1865" s="418"/>
      <c r="AY1865" s="418"/>
      <c r="AZ1865" s="418"/>
      <c r="BA1865" s="418"/>
    </row>
    <row r="1866" spans="40:53" ht="15.75" customHeight="1">
      <c r="AN1866" s="418"/>
      <c r="AO1866" s="418"/>
      <c r="AP1866" s="418"/>
      <c r="AQ1866" s="418"/>
      <c r="AR1866" s="418"/>
      <c r="AS1866" s="418"/>
      <c r="AT1866" s="418"/>
      <c r="AU1866" s="418"/>
      <c r="AV1866" s="418"/>
      <c r="AW1866" s="418"/>
      <c r="AX1866" s="418"/>
      <c r="AY1866" s="418"/>
      <c r="AZ1866" s="418"/>
      <c r="BA1866" s="418"/>
    </row>
    <row r="1867" spans="40:53" ht="15.75" customHeight="1">
      <c r="AN1867" s="418"/>
      <c r="AO1867" s="418"/>
      <c r="AP1867" s="418"/>
      <c r="AQ1867" s="418"/>
      <c r="AR1867" s="418"/>
      <c r="AS1867" s="418"/>
      <c r="AT1867" s="418"/>
      <c r="AU1867" s="418"/>
      <c r="AV1867" s="418"/>
      <c r="AW1867" s="418"/>
      <c r="AX1867" s="418"/>
      <c r="AY1867" s="418"/>
      <c r="AZ1867" s="418"/>
      <c r="BA1867" s="418"/>
    </row>
    <row r="1868" spans="40:53" ht="15.75" customHeight="1">
      <c r="AN1868" s="418"/>
      <c r="AO1868" s="418"/>
      <c r="AP1868" s="418"/>
      <c r="AQ1868" s="418"/>
      <c r="AR1868" s="418"/>
      <c r="AS1868" s="418"/>
      <c r="AT1868" s="418"/>
      <c r="AU1868" s="418"/>
      <c r="AV1868" s="418"/>
      <c r="AW1868" s="418"/>
      <c r="AX1868" s="418"/>
      <c r="AY1868" s="418"/>
      <c r="AZ1868" s="418"/>
      <c r="BA1868" s="418"/>
    </row>
    <row r="1869" spans="40:53" ht="15.75" customHeight="1">
      <c r="AN1869" s="418"/>
      <c r="AO1869" s="418"/>
      <c r="AP1869" s="418"/>
      <c r="AQ1869" s="418"/>
      <c r="AR1869" s="418"/>
      <c r="AS1869" s="418"/>
      <c r="AT1869" s="418"/>
      <c r="AU1869" s="418"/>
      <c r="AV1869" s="418"/>
      <c r="AW1869" s="418"/>
      <c r="AX1869" s="418"/>
      <c r="AY1869" s="418"/>
      <c r="AZ1869" s="418"/>
      <c r="BA1869" s="418"/>
    </row>
    <row r="1870" spans="40:53" ht="15.75" customHeight="1">
      <c r="AN1870" s="418"/>
      <c r="AO1870" s="418"/>
      <c r="AP1870" s="418"/>
      <c r="AQ1870" s="418"/>
      <c r="AR1870" s="418"/>
      <c r="AS1870" s="418"/>
      <c r="AT1870" s="418"/>
      <c r="AU1870" s="418"/>
      <c r="AV1870" s="418"/>
      <c r="AW1870" s="418"/>
      <c r="AX1870" s="418"/>
      <c r="AY1870" s="418"/>
      <c r="AZ1870" s="418"/>
      <c r="BA1870" s="418"/>
    </row>
    <row r="1871" spans="40:53" ht="15.75" customHeight="1">
      <c r="AN1871" s="418"/>
      <c r="AO1871" s="418"/>
      <c r="AP1871" s="418"/>
      <c r="AQ1871" s="418"/>
      <c r="AR1871" s="418"/>
      <c r="AS1871" s="418"/>
      <c r="AT1871" s="418"/>
      <c r="AU1871" s="418"/>
      <c r="AV1871" s="418"/>
      <c r="AW1871" s="418"/>
      <c r="AX1871" s="418"/>
      <c r="AY1871" s="418"/>
      <c r="AZ1871" s="418"/>
      <c r="BA1871" s="418"/>
    </row>
    <row r="1872" spans="40:53" ht="15.75" customHeight="1">
      <c r="AN1872" s="418"/>
      <c r="AO1872" s="418"/>
      <c r="AP1872" s="418"/>
      <c r="AQ1872" s="418"/>
      <c r="AR1872" s="418"/>
      <c r="AS1872" s="418"/>
      <c r="AT1872" s="418"/>
      <c r="AU1872" s="418"/>
      <c r="AV1872" s="418"/>
      <c r="AW1872" s="418"/>
      <c r="AX1872" s="418"/>
      <c r="AY1872" s="418"/>
      <c r="AZ1872" s="418"/>
      <c r="BA1872" s="418"/>
    </row>
    <row r="1873" spans="40:53" ht="15.75" customHeight="1">
      <c r="AN1873" s="418"/>
      <c r="AO1873" s="418"/>
      <c r="AP1873" s="418"/>
      <c r="AQ1873" s="418"/>
      <c r="AR1873" s="418"/>
      <c r="AS1873" s="418"/>
      <c r="AT1873" s="418"/>
      <c r="AU1873" s="418"/>
      <c r="AV1873" s="418"/>
      <c r="AW1873" s="418"/>
      <c r="AX1873" s="418"/>
      <c r="AY1873" s="418"/>
      <c r="AZ1873" s="418"/>
      <c r="BA1873" s="418"/>
    </row>
    <row r="1874" spans="40:53" ht="15.75" customHeight="1">
      <c r="AN1874" s="418"/>
      <c r="AO1874" s="418"/>
      <c r="AP1874" s="418"/>
      <c r="AQ1874" s="418"/>
      <c r="AR1874" s="418"/>
      <c r="AS1874" s="418"/>
      <c r="AT1874" s="418"/>
      <c r="AU1874" s="418"/>
      <c r="AV1874" s="418"/>
      <c r="AW1874" s="418"/>
      <c r="AX1874" s="418"/>
      <c r="AY1874" s="418"/>
      <c r="AZ1874" s="418"/>
      <c r="BA1874" s="418"/>
    </row>
    <row r="1875" spans="40:53" ht="15.75" customHeight="1">
      <c r="AN1875" s="418"/>
      <c r="AO1875" s="418"/>
      <c r="AP1875" s="418"/>
      <c r="AQ1875" s="418"/>
      <c r="AR1875" s="418"/>
      <c r="AS1875" s="418"/>
      <c r="AT1875" s="418"/>
      <c r="AU1875" s="418"/>
      <c r="AV1875" s="418"/>
      <c r="AW1875" s="418"/>
      <c r="AX1875" s="418"/>
      <c r="AY1875" s="418"/>
      <c r="AZ1875" s="418"/>
      <c r="BA1875" s="418"/>
    </row>
    <row r="1876" spans="40:53" ht="15.75" customHeight="1">
      <c r="AN1876" s="418"/>
      <c r="AO1876" s="418"/>
      <c r="AP1876" s="418"/>
      <c r="AQ1876" s="418"/>
      <c r="AR1876" s="418"/>
      <c r="AS1876" s="418"/>
      <c r="AT1876" s="418"/>
      <c r="AU1876" s="418"/>
      <c r="AV1876" s="418"/>
      <c r="AW1876" s="418"/>
      <c r="AX1876" s="418"/>
      <c r="AY1876" s="418"/>
      <c r="AZ1876" s="418"/>
      <c r="BA1876" s="418"/>
    </row>
    <row r="1877" spans="40:53" ht="15.75" customHeight="1">
      <c r="AN1877" s="418"/>
      <c r="AO1877" s="418"/>
      <c r="AP1877" s="418"/>
      <c r="AQ1877" s="418"/>
      <c r="AR1877" s="418"/>
      <c r="AS1877" s="418"/>
      <c r="AT1877" s="418"/>
      <c r="AU1877" s="418"/>
      <c r="AV1877" s="418"/>
      <c r="AW1877" s="418"/>
      <c r="AX1877" s="418"/>
      <c r="AY1877" s="418"/>
      <c r="AZ1877" s="418"/>
      <c r="BA1877" s="418"/>
    </row>
    <row r="1878" spans="40:53" ht="15.75" customHeight="1">
      <c r="AN1878" s="418"/>
      <c r="AO1878" s="418"/>
      <c r="AP1878" s="418"/>
      <c r="AQ1878" s="418"/>
      <c r="AR1878" s="418"/>
      <c r="AS1878" s="418"/>
      <c r="AT1878" s="418"/>
      <c r="AU1878" s="418"/>
      <c r="AV1878" s="418"/>
      <c r="AW1878" s="418"/>
      <c r="AX1878" s="418"/>
      <c r="AY1878" s="418"/>
      <c r="AZ1878" s="418"/>
      <c r="BA1878" s="418"/>
    </row>
    <row r="1879" spans="40:53" ht="15.75" customHeight="1">
      <c r="AN1879" s="418"/>
      <c r="AO1879" s="418"/>
      <c r="AP1879" s="418"/>
      <c r="AQ1879" s="418"/>
      <c r="AR1879" s="418"/>
      <c r="AS1879" s="418"/>
      <c r="AT1879" s="418"/>
      <c r="AU1879" s="418"/>
      <c r="AV1879" s="418"/>
      <c r="AW1879" s="418"/>
      <c r="AX1879" s="418"/>
      <c r="AY1879" s="418"/>
      <c r="AZ1879" s="418"/>
      <c r="BA1879" s="418"/>
    </row>
    <row r="1880" spans="40:53" ht="15.75" customHeight="1">
      <c r="AN1880" s="418"/>
      <c r="AO1880" s="418"/>
      <c r="AP1880" s="418"/>
      <c r="AQ1880" s="418"/>
      <c r="AR1880" s="418"/>
      <c r="AS1880" s="418"/>
      <c r="AT1880" s="418"/>
      <c r="AU1880" s="418"/>
      <c r="AV1880" s="418"/>
      <c r="AW1880" s="418"/>
      <c r="AX1880" s="418"/>
      <c r="AY1880" s="418"/>
      <c r="AZ1880" s="418"/>
      <c r="BA1880" s="418"/>
    </row>
    <row r="1881" spans="40:53" ht="15.75" customHeight="1">
      <c r="AN1881" s="418"/>
      <c r="AO1881" s="418"/>
      <c r="AP1881" s="418"/>
      <c r="AQ1881" s="418"/>
      <c r="AR1881" s="418"/>
      <c r="AS1881" s="418"/>
      <c r="AT1881" s="418"/>
      <c r="AU1881" s="418"/>
      <c r="AV1881" s="418"/>
      <c r="AW1881" s="418"/>
      <c r="AX1881" s="418"/>
      <c r="AY1881" s="418"/>
      <c r="AZ1881" s="418"/>
      <c r="BA1881" s="418"/>
    </row>
    <row r="1882" spans="40:53" ht="15.75" customHeight="1">
      <c r="AN1882" s="418"/>
      <c r="AO1882" s="418"/>
      <c r="AP1882" s="418"/>
      <c r="AQ1882" s="418"/>
      <c r="AR1882" s="418"/>
      <c r="AS1882" s="418"/>
      <c r="AT1882" s="418"/>
      <c r="AU1882" s="418"/>
      <c r="AV1882" s="418"/>
      <c r="AW1882" s="418"/>
      <c r="AX1882" s="418"/>
      <c r="AY1882" s="418"/>
      <c r="AZ1882" s="418"/>
      <c r="BA1882" s="418"/>
    </row>
    <row r="1883" spans="40:53" ht="15.75" customHeight="1">
      <c r="AN1883" s="418"/>
      <c r="AO1883" s="418"/>
      <c r="AP1883" s="418"/>
      <c r="AQ1883" s="418"/>
      <c r="AR1883" s="418"/>
      <c r="AS1883" s="418"/>
      <c r="AT1883" s="418"/>
      <c r="AU1883" s="418"/>
      <c r="AV1883" s="418"/>
      <c r="AW1883" s="418"/>
      <c r="AX1883" s="418"/>
      <c r="AY1883" s="418"/>
      <c r="AZ1883" s="418"/>
      <c r="BA1883" s="418"/>
    </row>
    <row r="1884" spans="40:53" ht="15.75" customHeight="1">
      <c r="AN1884" s="418"/>
      <c r="AO1884" s="418"/>
      <c r="AP1884" s="418"/>
      <c r="AQ1884" s="418"/>
      <c r="AR1884" s="418"/>
      <c r="AS1884" s="418"/>
      <c r="AT1884" s="418"/>
      <c r="AU1884" s="418"/>
      <c r="AV1884" s="418"/>
      <c r="AW1884" s="418"/>
      <c r="AX1884" s="418"/>
      <c r="AY1884" s="418"/>
      <c r="AZ1884" s="418"/>
      <c r="BA1884" s="418"/>
    </row>
    <row r="1885" spans="40:53" ht="15.75" customHeight="1">
      <c r="AN1885" s="418"/>
      <c r="AO1885" s="418"/>
      <c r="AP1885" s="418"/>
      <c r="AQ1885" s="418"/>
      <c r="AR1885" s="418"/>
      <c r="AS1885" s="418"/>
      <c r="AT1885" s="418"/>
      <c r="AU1885" s="418"/>
      <c r="AV1885" s="418"/>
      <c r="AW1885" s="418"/>
      <c r="AX1885" s="418"/>
      <c r="AY1885" s="418"/>
      <c r="AZ1885" s="418"/>
      <c r="BA1885" s="418"/>
    </row>
    <row r="1886" spans="40:53" ht="15.75" customHeight="1">
      <c r="AN1886" s="418"/>
      <c r="AO1886" s="418"/>
      <c r="AP1886" s="418"/>
      <c r="AQ1886" s="418"/>
      <c r="AR1886" s="418"/>
      <c r="AS1886" s="418"/>
      <c r="AT1886" s="418"/>
      <c r="AU1886" s="418"/>
      <c r="AV1886" s="418"/>
      <c r="AW1886" s="418"/>
      <c r="AX1886" s="418"/>
      <c r="AY1886" s="418"/>
      <c r="AZ1886" s="418"/>
      <c r="BA1886" s="418"/>
    </row>
    <row r="1887" spans="40:53" ht="15.75" customHeight="1">
      <c r="AN1887" s="418"/>
      <c r="AO1887" s="418"/>
      <c r="AP1887" s="418"/>
      <c r="AQ1887" s="418"/>
      <c r="AR1887" s="418"/>
      <c r="AS1887" s="418"/>
      <c r="AT1887" s="418"/>
      <c r="AU1887" s="418"/>
      <c r="AV1887" s="418"/>
      <c r="AW1887" s="418"/>
      <c r="AX1887" s="418"/>
      <c r="AY1887" s="418"/>
      <c r="AZ1887" s="418"/>
      <c r="BA1887" s="418"/>
    </row>
    <row r="1888" spans="40:53" ht="15.75" customHeight="1">
      <c r="AN1888" s="418"/>
      <c r="AO1888" s="418"/>
      <c r="AP1888" s="418"/>
      <c r="AQ1888" s="418"/>
      <c r="AR1888" s="418"/>
      <c r="AS1888" s="418"/>
      <c r="AT1888" s="418"/>
      <c r="AU1888" s="418"/>
      <c r="AV1888" s="418"/>
      <c r="AW1888" s="418"/>
      <c r="AX1888" s="418"/>
      <c r="AY1888" s="418"/>
      <c r="AZ1888" s="418"/>
      <c r="BA1888" s="418"/>
    </row>
    <row r="1889" spans="40:53" ht="15.75" customHeight="1">
      <c r="AN1889" s="418"/>
      <c r="AO1889" s="418"/>
      <c r="AP1889" s="418"/>
      <c r="AQ1889" s="418"/>
      <c r="AR1889" s="418"/>
      <c r="AS1889" s="418"/>
      <c r="AT1889" s="418"/>
      <c r="AU1889" s="418"/>
      <c r="AV1889" s="418"/>
      <c r="AW1889" s="418"/>
      <c r="AX1889" s="418"/>
      <c r="AY1889" s="418"/>
      <c r="AZ1889" s="418"/>
      <c r="BA1889" s="418"/>
    </row>
    <row r="1890" spans="40:53" ht="15.75" customHeight="1">
      <c r="AN1890" s="418"/>
      <c r="AO1890" s="418"/>
      <c r="AP1890" s="418"/>
      <c r="AQ1890" s="418"/>
      <c r="AR1890" s="418"/>
      <c r="AS1890" s="418"/>
      <c r="AT1890" s="418"/>
      <c r="AU1890" s="418"/>
      <c r="AV1890" s="418"/>
      <c r="AW1890" s="418"/>
      <c r="AX1890" s="418"/>
      <c r="AY1890" s="418"/>
      <c r="AZ1890" s="418"/>
      <c r="BA1890" s="418"/>
    </row>
    <row r="1891" spans="40:53" ht="15.75" customHeight="1">
      <c r="AN1891" s="418"/>
      <c r="AO1891" s="418"/>
      <c r="AP1891" s="418"/>
      <c r="AQ1891" s="418"/>
      <c r="AR1891" s="418"/>
      <c r="AS1891" s="418"/>
      <c r="AT1891" s="418"/>
      <c r="AU1891" s="418"/>
      <c r="AV1891" s="418"/>
      <c r="AW1891" s="418"/>
      <c r="AX1891" s="418"/>
      <c r="AY1891" s="418"/>
      <c r="AZ1891" s="418"/>
      <c r="BA1891" s="418"/>
    </row>
    <row r="1892" spans="40:53" ht="15.75" customHeight="1">
      <c r="AN1892" s="418"/>
      <c r="AO1892" s="418"/>
      <c r="AP1892" s="418"/>
      <c r="AQ1892" s="418"/>
      <c r="AR1892" s="418"/>
      <c r="AS1892" s="418"/>
      <c r="AT1892" s="418"/>
      <c r="AU1892" s="418"/>
      <c r="AV1892" s="418"/>
      <c r="AW1892" s="418"/>
      <c r="AX1892" s="418"/>
      <c r="AY1892" s="418"/>
      <c r="AZ1892" s="418"/>
      <c r="BA1892" s="418"/>
    </row>
    <row r="1893" spans="40:53" ht="15.75" customHeight="1">
      <c r="AN1893" s="418"/>
      <c r="AO1893" s="418"/>
      <c r="AP1893" s="418"/>
      <c r="AQ1893" s="418"/>
      <c r="AR1893" s="418"/>
      <c r="AS1893" s="418"/>
      <c r="AT1893" s="418"/>
      <c r="AU1893" s="418"/>
      <c r="AV1893" s="418"/>
      <c r="AW1893" s="418"/>
      <c r="AX1893" s="418"/>
      <c r="AY1893" s="418"/>
      <c r="AZ1893" s="418"/>
      <c r="BA1893" s="418"/>
    </row>
    <row r="1894" spans="40:53" ht="15.75" customHeight="1">
      <c r="AN1894" s="418"/>
      <c r="AO1894" s="418"/>
      <c r="AP1894" s="418"/>
      <c r="AQ1894" s="418"/>
      <c r="AR1894" s="418"/>
      <c r="AS1894" s="418"/>
      <c r="AT1894" s="418"/>
      <c r="AU1894" s="418"/>
      <c r="AV1894" s="418"/>
      <c r="AW1894" s="418"/>
      <c r="AX1894" s="418"/>
      <c r="AY1894" s="418"/>
      <c r="AZ1894" s="418"/>
      <c r="BA1894" s="418"/>
    </row>
    <row r="1895" spans="40:53" ht="15.75" customHeight="1">
      <c r="AN1895" s="418"/>
      <c r="AO1895" s="418"/>
      <c r="AP1895" s="418"/>
      <c r="AQ1895" s="418"/>
      <c r="AR1895" s="418"/>
      <c r="AS1895" s="418"/>
      <c r="AT1895" s="418"/>
      <c r="AU1895" s="418"/>
      <c r="AV1895" s="418"/>
      <c r="AW1895" s="418"/>
      <c r="AX1895" s="418"/>
      <c r="AY1895" s="418"/>
      <c r="AZ1895" s="418"/>
      <c r="BA1895" s="418"/>
    </row>
    <row r="1896" spans="40:53" ht="15.75" customHeight="1">
      <c r="AN1896" s="418"/>
      <c r="AO1896" s="418"/>
      <c r="AP1896" s="418"/>
      <c r="AQ1896" s="418"/>
      <c r="AR1896" s="418"/>
      <c r="AS1896" s="418"/>
      <c r="AT1896" s="418"/>
      <c r="AU1896" s="418"/>
      <c r="AV1896" s="418"/>
      <c r="AW1896" s="418"/>
      <c r="AX1896" s="418"/>
      <c r="AY1896" s="418"/>
      <c r="AZ1896" s="418"/>
      <c r="BA1896" s="418"/>
    </row>
    <row r="1897" spans="40:53" ht="15.75" customHeight="1">
      <c r="AN1897" s="418"/>
      <c r="AO1897" s="418"/>
      <c r="AP1897" s="418"/>
      <c r="AQ1897" s="418"/>
      <c r="AR1897" s="418"/>
      <c r="AS1897" s="418"/>
      <c r="AT1897" s="418"/>
      <c r="AU1897" s="418"/>
      <c r="AV1897" s="418"/>
      <c r="AW1897" s="418"/>
      <c r="AX1897" s="418"/>
      <c r="AY1897" s="418"/>
      <c r="AZ1897" s="418"/>
      <c r="BA1897" s="418"/>
    </row>
    <row r="1898" spans="40:53" ht="15.75" customHeight="1">
      <c r="AN1898" s="418"/>
      <c r="AO1898" s="418"/>
      <c r="AP1898" s="418"/>
      <c r="AQ1898" s="418"/>
      <c r="AR1898" s="418"/>
      <c r="AS1898" s="418"/>
      <c r="AT1898" s="418"/>
      <c r="AU1898" s="418"/>
      <c r="AV1898" s="418"/>
      <c r="AW1898" s="418"/>
      <c r="AX1898" s="418"/>
      <c r="AY1898" s="418"/>
      <c r="AZ1898" s="418"/>
      <c r="BA1898" s="418"/>
    </row>
    <row r="1899" spans="40:53" ht="15.75" customHeight="1">
      <c r="AN1899" s="418"/>
      <c r="AO1899" s="418"/>
      <c r="AP1899" s="418"/>
      <c r="AQ1899" s="418"/>
      <c r="AR1899" s="418"/>
      <c r="AS1899" s="418"/>
      <c r="AT1899" s="418"/>
      <c r="AU1899" s="418"/>
      <c r="AV1899" s="418"/>
      <c r="AW1899" s="418"/>
      <c r="AX1899" s="418"/>
      <c r="AY1899" s="418"/>
      <c r="AZ1899" s="418"/>
      <c r="BA1899" s="418"/>
    </row>
    <row r="1900" spans="40:53" ht="15.75" customHeight="1">
      <c r="AN1900" s="418"/>
      <c r="AO1900" s="418"/>
      <c r="AP1900" s="418"/>
      <c r="AQ1900" s="418"/>
      <c r="AR1900" s="418"/>
      <c r="AS1900" s="418"/>
      <c r="AT1900" s="418"/>
      <c r="AU1900" s="418"/>
      <c r="AV1900" s="418"/>
      <c r="AW1900" s="418"/>
      <c r="AX1900" s="418"/>
      <c r="AY1900" s="418"/>
      <c r="AZ1900" s="418"/>
      <c r="BA1900" s="418"/>
    </row>
    <row r="1901" spans="40:53" ht="15.75" customHeight="1">
      <c r="AN1901" s="418"/>
      <c r="AO1901" s="418"/>
      <c r="AP1901" s="418"/>
      <c r="AQ1901" s="418"/>
      <c r="AR1901" s="418"/>
      <c r="AS1901" s="418"/>
      <c r="AT1901" s="418"/>
      <c r="AU1901" s="418"/>
      <c r="AV1901" s="418"/>
      <c r="AW1901" s="418"/>
      <c r="AX1901" s="418"/>
      <c r="AY1901" s="418"/>
      <c r="AZ1901" s="418"/>
      <c r="BA1901" s="418"/>
    </row>
    <row r="1902" spans="40:53" ht="15.75" customHeight="1">
      <c r="AN1902" s="418"/>
      <c r="AO1902" s="418"/>
      <c r="AP1902" s="418"/>
      <c r="AQ1902" s="418"/>
      <c r="AR1902" s="418"/>
      <c r="AS1902" s="418"/>
      <c r="AT1902" s="418"/>
      <c r="AU1902" s="418"/>
      <c r="AV1902" s="418"/>
      <c r="AW1902" s="418"/>
      <c r="AX1902" s="418"/>
      <c r="AY1902" s="418"/>
      <c r="AZ1902" s="418"/>
      <c r="BA1902" s="418"/>
    </row>
    <row r="1903" spans="40:53" ht="15.75" customHeight="1">
      <c r="AN1903" s="418"/>
      <c r="AO1903" s="418"/>
      <c r="AP1903" s="418"/>
      <c r="AQ1903" s="418"/>
      <c r="AR1903" s="418"/>
      <c r="AS1903" s="418"/>
      <c r="AT1903" s="418"/>
      <c r="AU1903" s="418"/>
      <c r="AV1903" s="418"/>
      <c r="AW1903" s="418"/>
      <c r="AX1903" s="418"/>
      <c r="AY1903" s="418"/>
      <c r="AZ1903" s="418"/>
      <c r="BA1903" s="418"/>
    </row>
    <row r="1904" spans="40:53" ht="15.75" customHeight="1">
      <c r="AN1904" s="418"/>
      <c r="AO1904" s="418"/>
      <c r="AP1904" s="418"/>
      <c r="AQ1904" s="418"/>
      <c r="AR1904" s="418"/>
      <c r="AS1904" s="418"/>
      <c r="AT1904" s="418"/>
      <c r="AU1904" s="418"/>
      <c r="AV1904" s="418"/>
      <c r="AW1904" s="418"/>
      <c r="AX1904" s="418"/>
      <c r="AY1904" s="418"/>
      <c r="AZ1904" s="418"/>
      <c r="BA1904" s="418"/>
    </row>
    <row r="1905" spans="40:53" ht="15.75" customHeight="1">
      <c r="AN1905" s="418"/>
      <c r="AO1905" s="418"/>
      <c r="AP1905" s="418"/>
      <c r="AQ1905" s="418"/>
      <c r="AR1905" s="418"/>
      <c r="AS1905" s="418"/>
      <c r="AT1905" s="418"/>
      <c r="AU1905" s="418"/>
      <c r="AV1905" s="418"/>
      <c r="AW1905" s="418"/>
      <c r="AX1905" s="418"/>
      <c r="AY1905" s="418"/>
      <c r="AZ1905" s="418"/>
      <c r="BA1905" s="418"/>
    </row>
    <row r="1906" spans="40:53" ht="15.75" customHeight="1">
      <c r="AN1906" s="418"/>
      <c r="AO1906" s="418"/>
      <c r="AP1906" s="418"/>
      <c r="AQ1906" s="418"/>
      <c r="AR1906" s="418"/>
      <c r="AS1906" s="418"/>
      <c r="AT1906" s="418"/>
      <c r="AU1906" s="418"/>
      <c r="AV1906" s="418"/>
      <c r="AW1906" s="418"/>
      <c r="AX1906" s="418"/>
      <c r="AY1906" s="418"/>
      <c r="AZ1906" s="418"/>
      <c r="BA1906" s="418"/>
    </row>
    <row r="1907" spans="40:53" ht="15.75" customHeight="1">
      <c r="AN1907" s="418"/>
      <c r="AO1907" s="418"/>
      <c r="AP1907" s="418"/>
      <c r="AQ1907" s="418"/>
      <c r="AR1907" s="418"/>
      <c r="AS1907" s="418"/>
      <c r="AT1907" s="418"/>
      <c r="AU1907" s="418"/>
      <c r="AV1907" s="418"/>
      <c r="AW1907" s="418"/>
      <c r="AX1907" s="418"/>
      <c r="AY1907" s="418"/>
      <c r="AZ1907" s="418"/>
      <c r="BA1907" s="418"/>
    </row>
    <row r="1908" spans="40:53" ht="15.75" customHeight="1">
      <c r="AN1908" s="418"/>
      <c r="AO1908" s="418"/>
      <c r="AP1908" s="418"/>
      <c r="AQ1908" s="418"/>
      <c r="AR1908" s="418"/>
      <c r="AS1908" s="418"/>
      <c r="AT1908" s="418"/>
      <c r="AU1908" s="418"/>
      <c r="AV1908" s="418"/>
      <c r="AW1908" s="418"/>
      <c r="AX1908" s="418"/>
      <c r="AY1908" s="418"/>
      <c r="AZ1908" s="418"/>
      <c r="BA1908" s="418"/>
    </row>
    <row r="1909" spans="40:53" ht="15.75" customHeight="1">
      <c r="AN1909" s="418"/>
      <c r="AO1909" s="418"/>
      <c r="AP1909" s="418"/>
      <c r="AQ1909" s="418"/>
      <c r="AR1909" s="418"/>
      <c r="AS1909" s="418"/>
      <c r="AT1909" s="418"/>
      <c r="AU1909" s="418"/>
      <c r="AV1909" s="418"/>
      <c r="AW1909" s="418"/>
      <c r="AX1909" s="418"/>
      <c r="AY1909" s="418"/>
      <c r="AZ1909" s="418"/>
      <c r="BA1909" s="418"/>
    </row>
    <row r="1910" spans="40:53" ht="15.75" customHeight="1">
      <c r="AN1910" s="418"/>
      <c r="AO1910" s="418"/>
      <c r="AP1910" s="418"/>
      <c r="AQ1910" s="418"/>
      <c r="AR1910" s="418"/>
      <c r="AS1910" s="418"/>
      <c r="AT1910" s="418"/>
      <c r="AU1910" s="418"/>
      <c r="AV1910" s="418"/>
      <c r="AW1910" s="418"/>
      <c r="AX1910" s="418"/>
      <c r="AY1910" s="418"/>
      <c r="AZ1910" s="418"/>
      <c r="BA1910" s="418"/>
    </row>
    <row r="1911" spans="40:53" ht="15.75" customHeight="1">
      <c r="AN1911" s="418"/>
      <c r="AO1911" s="418"/>
      <c r="AP1911" s="418"/>
      <c r="AQ1911" s="418"/>
      <c r="AR1911" s="418"/>
      <c r="AS1911" s="418"/>
      <c r="AT1911" s="418"/>
      <c r="AU1911" s="418"/>
      <c r="AV1911" s="418"/>
      <c r="AW1911" s="418"/>
      <c r="AX1911" s="418"/>
      <c r="AY1911" s="418"/>
      <c r="AZ1911" s="418"/>
      <c r="BA1911" s="418"/>
    </row>
    <row r="1912" spans="40:53" ht="15.75" customHeight="1">
      <c r="AN1912" s="418"/>
      <c r="AO1912" s="418"/>
      <c r="AP1912" s="418"/>
      <c r="AQ1912" s="418"/>
      <c r="AR1912" s="418"/>
      <c r="AS1912" s="418"/>
      <c r="AT1912" s="418"/>
      <c r="AU1912" s="418"/>
      <c r="AV1912" s="418"/>
      <c r="AW1912" s="418"/>
      <c r="AX1912" s="418"/>
      <c r="AY1912" s="418"/>
      <c r="AZ1912" s="418"/>
      <c r="BA1912" s="418"/>
    </row>
    <row r="1913" spans="40:53" ht="15.75" customHeight="1">
      <c r="AN1913" s="418"/>
      <c r="AO1913" s="418"/>
      <c r="AP1913" s="418"/>
      <c r="AQ1913" s="418"/>
      <c r="AR1913" s="418"/>
      <c r="AS1913" s="418"/>
      <c r="AT1913" s="418"/>
      <c r="AU1913" s="418"/>
      <c r="AV1913" s="418"/>
      <c r="AW1913" s="418"/>
      <c r="AX1913" s="418"/>
      <c r="AY1913" s="418"/>
      <c r="AZ1913" s="418"/>
      <c r="BA1913" s="418"/>
    </row>
    <row r="1914" spans="40:53" ht="15.75" customHeight="1">
      <c r="AN1914" s="418"/>
      <c r="AO1914" s="418"/>
      <c r="AP1914" s="418"/>
      <c r="AQ1914" s="418"/>
      <c r="AR1914" s="418"/>
      <c r="AS1914" s="418"/>
      <c r="AT1914" s="418"/>
      <c r="AU1914" s="418"/>
      <c r="AV1914" s="418"/>
      <c r="AW1914" s="418"/>
      <c r="AX1914" s="418"/>
      <c r="AY1914" s="418"/>
      <c r="AZ1914" s="418"/>
      <c r="BA1914" s="418"/>
    </row>
    <row r="1915" spans="40:53" ht="15.75" customHeight="1">
      <c r="AN1915" s="418"/>
      <c r="AO1915" s="418"/>
      <c r="AP1915" s="418"/>
      <c r="AQ1915" s="418"/>
      <c r="AR1915" s="418"/>
      <c r="AS1915" s="418"/>
      <c r="AT1915" s="418"/>
      <c r="AU1915" s="418"/>
      <c r="AV1915" s="418"/>
      <c r="AW1915" s="418"/>
      <c r="AX1915" s="418"/>
      <c r="AY1915" s="418"/>
      <c r="AZ1915" s="418"/>
      <c r="BA1915" s="418"/>
    </row>
    <row r="1916" spans="40:53" ht="15.75" customHeight="1">
      <c r="AN1916" s="418"/>
      <c r="AO1916" s="418"/>
      <c r="AP1916" s="418"/>
      <c r="AQ1916" s="418"/>
      <c r="AR1916" s="418"/>
      <c r="AS1916" s="418"/>
      <c r="AT1916" s="418"/>
      <c r="AU1916" s="418"/>
      <c r="AV1916" s="418"/>
      <c r="AW1916" s="418"/>
      <c r="AX1916" s="418"/>
      <c r="AY1916" s="418"/>
      <c r="AZ1916" s="418"/>
      <c r="BA1916" s="418"/>
    </row>
    <row r="1917" spans="40:53" ht="15.75" customHeight="1">
      <c r="AN1917" s="418"/>
      <c r="AO1917" s="418"/>
      <c r="AP1917" s="418"/>
      <c r="AQ1917" s="418"/>
      <c r="AR1917" s="418"/>
      <c r="AS1917" s="418"/>
      <c r="AT1917" s="418"/>
      <c r="AU1917" s="418"/>
      <c r="AV1917" s="418"/>
      <c r="AW1917" s="418"/>
      <c r="AX1917" s="418"/>
      <c r="AY1917" s="418"/>
      <c r="AZ1917" s="418"/>
      <c r="BA1917" s="418"/>
    </row>
    <row r="1918" spans="40:53" ht="15.75" customHeight="1">
      <c r="AN1918" s="418"/>
      <c r="AO1918" s="418"/>
      <c r="AP1918" s="418"/>
      <c r="AQ1918" s="418"/>
      <c r="AR1918" s="418"/>
      <c r="AS1918" s="418"/>
      <c r="AT1918" s="418"/>
      <c r="AU1918" s="418"/>
      <c r="AV1918" s="418"/>
      <c r="AW1918" s="418"/>
      <c r="AX1918" s="418"/>
      <c r="AY1918" s="418"/>
      <c r="AZ1918" s="418"/>
      <c r="BA1918" s="418"/>
    </row>
    <row r="1919" spans="40:53" ht="15.75" customHeight="1">
      <c r="AN1919" s="418"/>
      <c r="AO1919" s="418"/>
      <c r="AP1919" s="418"/>
      <c r="AQ1919" s="418"/>
      <c r="AR1919" s="418"/>
      <c r="AS1919" s="418"/>
      <c r="AT1919" s="418"/>
      <c r="AU1919" s="418"/>
      <c r="AV1919" s="418"/>
      <c r="AW1919" s="418"/>
      <c r="AX1919" s="418"/>
      <c r="AY1919" s="418"/>
      <c r="AZ1919" s="418"/>
      <c r="BA1919" s="418"/>
    </row>
    <row r="1920" spans="40:53" ht="15.75" customHeight="1">
      <c r="AN1920" s="418"/>
      <c r="AO1920" s="418"/>
      <c r="AP1920" s="418"/>
      <c r="AQ1920" s="418"/>
      <c r="AR1920" s="418"/>
      <c r="AS1920" s="418"/>
      <c r="AT1920" s="418"/>
      <c r="AU1920" s="418"/>
      <c r="AV1920" s="418"/>
      <c r="AW1920" s="418"/>
      <c r="AX1920" s="418"/>
      <c r="AY1920" s="418"/>
      <c r="AZ1920" s="418"/>
      <c r="BA1920" s="418"/>
    </row>
    <row r="1921" spans="40:53" ht="15.75" customHeight="1">
      <c r="AN1921" s="418"/>
      <c r="AO1921" s="418"/>
      <c r="AP1921" s="418"/>
      <c r="AQ1921" s="418"/>
      <c r="AR1921" s="418"/>
      <c r="AS1921" s="418"/>
      <c r="AT1921" s="418"/>
      <c r="AU1921" s="418"/>
      <c r="AV1921" s="418"/>
      <c r="AW1921" s="418"/>
      <c r="AX1921" s="418"/>
      <c r="AY1921" s="418"/>
      <c r="AZ1921" s="418"/>
      <c r="BA1921" s="418"/>
    </row>
    <row r="1922" spans="40:53" ht="15.75" customHeight="1">
      <c r="AN1922" s="418"/>
      <c r="AO1922" s="418"/>
      <c r="AP1922" s="418"/>
      <c r="AQ1922" s="418"/>
      <c r="AR1922" s="418"/>
      <c r="AS1922" s="418"/>
      <c r="AT1922" s="418"/>
      <c r="AU1922" s="418"/>
      <c r="AV1922" s="418"/>
      <c r="AW1922" s="418"/>
      <c r="AX1922" s="418"/>
      <c r="AY1922" s="418"/>
      <c r="AZ1922" s="418"/>
      <c r="BA1922" s="418"/>
    </row>
    <row r="1923" spans="40:53" ht="15.75" customHeight="1">
      <c r="AN1923" s="418"/>
      <c r="AO1923" s="418"/>
      <c r="AP1923" s="418"/>
      <c r="AQ1923" s="418"/>
      <c r="AR1923" s="418"/>
      <c r="AS1923" s="418"/>
      <c r="AT1923" s="418"/>
      <c r="AU1923" s="418"/>
      <c r="AV1923" s="418"/>
      <c r="AW1923" s="418"/>
      <c r="AX1923" s="418"/>
      <c r="AY1923" s="418"/>
      <c r="AZ1923" s="418"/>
      <c r="BA1923" s="418"/>
    </row>
    <row r="1924" spans="40:53" ht="15.75" customHeight="1">
      <c r="AN1924" s="418"/>
      <c r="AO1924" s="418"/>
      <c r="AP1924" s="418"/>
      <c r="AQ1924" s="418"/>
      <c r="AR1924" s="418"/>
      <c r="AS1924" s="418"/>
      <c r="AT1924" s="418"/>
      <c r="AU1924" s="418"/>
      <c r="AV1924" s="418"/>
      <c r="AW1924" s="418"/>
      <c r="AX1924" s="418"/>
      <c r="AY1924" s="418"/>
      <c r="AZ1924" s="418"/>
      <c r="BA1924" s="418"/>
    </row>
    <row r="1925" spans="40:53" ht="15.75" customHeight="1">
      <c r="AN1925" s="418"/>
      <c r="AO1925" s="418"/>
      <c r="AP1925" s="418"/>
      <c r="AQ1925" s="418"/>
      <c r="AR1925" s="418"/>
      <c r="AS1925" s="418"/>
      <c r="AT1925" s="418"/>
      <c r="AU1925" s="418"/>
      <c r="AV1925" s="418"/>
      <c r="AW1925" s="418"/>
      <c r="AX1925" s="418"/>
      <c r="AY1925" s="418"/>
      <c r="AZ1925" s="418"/>
      <c r="BA1925" s="418"/>
    </row>
    <row r="1926" spans="40:53" ht="15.75" customHeight="1">
      <c r="AN1926" s="418"/>
      <c r="AO1926" s="418"/>
      <c r="AP1926" s="418"/>
      <c r="AQ1926" s="418"/>
      <c r="AR1926" s="418"/>
      <c r="AS1926" s="418"/>
      <c r="AT1926" s="418"/>
      <c r="AU1926" s="418"/>
      <c r="AV1926" s="418"/>
      <c r="AW1926" s="418"/>
      <c r="AX1926" s="418"/>
      <c r="AY1926" s="418"/>
      <c r="AZ1926" s="418"/>
      <c r="BA1926" s="418"/>
    </row>
    <row r="1927" spans="40:53" ht="15.75" customHeight="1">
      <c r="AN1927" s="418"/>
      <c r="AO1927" s="418"/>
      <c r="AP1927" s="418"/>
      <c r="AQ1927" s="418"/>
      <c r="AR1927" s="418"/>
      <c r="AS1927" s="418"/>
      <c r="AT1927" s="418"/>
      <c r="AU1927" s="418"/>
      <c r="AV1927" s="418"/>
      <c r="AW1927" s="418"/>
      <c r="AX1927" s="418"/>
      <c r="AY1927" s="418"/>
      <c r="AZ1927" s="418"/>
      <c r="BA1927" s="418"/>
    </row>
    <row r="1928" spans="40:53" ht="15.75" customHeight="1">
      <c r="AN1928" s="418"/>
      <c r="AO1928" s="418"/>
      <c r="AP1928" s="418"/>
      <c r="AQ1928" s="418"/>
      <c r="AR1928" s="418"/>
      <c r="AS1928" s="418"/>
      <c r="AT1928" s="418"/>
      <c r="AU1928" s="418"/>
      <c r="AV1928" s="418"/>
      <c r="AW1928" s="418"/>
      <c r="AX1928" s="418"/>
      <c r="AY1928" s="418"/>
      <c r="AZ1928" s="418"/>
      <c r="BA1928" s="418"/>
    </row>
    <row r="1929" spans="40:53" ht="15.75" customHeight="1">
      <c r="AN1929" s="418"/>
      <c r="AO1929" s="418"/>
      <c r="AP1929" s="418"/>
      <c r="AQ1929" s="418"/>
      <c r="AR1929" s="418"/>
      <c r="AS1929" s="418"/>
      <c r="AT1929" s="418"/>
      <c r="AU1929" s="418"/>
      <c r="AV1929" s="418"/>
      <c r="AW1929" s="418"/>
      <c r="AX1929" s="418"/>
      <c r="AY1929" s="418"/>
      <c r="AZ1929" s="418"/>
      <c r="BA1929" s="418"/>
    </row>
    <row r="1930" spans="40:53" ht="15.75" customHeight="1">
      <c r="AN1930" s="418"/>
      <c r="AO1930" s="418"/>
      <c r="AP1930" s="418"/>
      <c r="AQ1930" s="418"/>
      <c r="AR1930" s="418"/>
      <c r="AS1930" s="418"/>
      <c r="AT1930" s="418"/>
      <c r="AU1930" s="418"/>
      <c r="AV1930" s="418"/>
      <c r="AW1930" s="418"/>
      <c r="AX1930" s="418"/>
      <c r="AY1930" s="418"/>
      <c r="AZ1930" s="418"/>
      <c r="BA1930" s="418"/>
    </row>
    <row r="1931" spans="40:53" ht="15.75" customHeight="1">
      <c r="AN1931" s="418"/>
      <c r="AO1931" s="418"/>
      <c r="AP1931" s="418"/>
      <c r="AQ1931" s="418"/>
      <c r="AR1931" s="418"/>
      <c r="AS1931" s="418"/>
      <c r="AT1931" s="418"/>
      <c r="AU1931" s="418"/>
      <c r="AV1931" s="418"/>
      <c r="AW1931" s="418"/>
      <c r="AX1931" s="418"/>
      <c r="AY1931" s="418"/>
      <c r="AZ1931" s="418"/>
      <c r="BA1931" s="418"/>
    </row>
    <row r="1932" spans="40:53" ht="15.75" customHeight="1">
      <c r="AN1932" s="418"/>
      <c r="AO1932" s="418"/>
      <c r="AP1932" s="418"/>
      <c r="AQ1932" s="418"/>
      <c r="AR1932" s="418"/>
      <c r="AS1932" s="418"/>
      <c r="AT1932" s="418"/>
      <c r="AU1932" s="418"/>
      <c r="AV1932" s="418"/>
      <c r="AW1932" s="418"/>
      <c r="AX1932" s="418"/>
      <c r="AY1932" s="418"/>
      <c r="AZ1932" s="418"/>
      <c r="BA1932" s="418"/>
    </row>
    <row r="1933" spans="40:53" ht="15.75" customHeight="1">
      <c r="AN1933" s="418"/>
      <c r="AO1933" s="418"/>
      <c r="AP1933" s="418"/>
      <c r="AQ1933" s="418"/>
      <c r="AR1933" s="418"/>
      <c r="AS1933" s="418"/>
      <c r="AT1933" s="418"/>
      <c r="AU1933" s="418"/>
      <c r="AV1933" s="418"/>
      <c r="AW1933" s="418"/>
      <c r="AX1933" s="418"/>
      <c r="AY1933" s="418"/>
      <c r="AZ1933" s="418"/>
      <c r="BA1933" s="418"/>
    </row>
    <row r="1934" spans="40:53" ht="15.75" customHeight="1">
      <c r="AN1934" s="418"/>
      <c r="AO1934" s="418"/>
      <c r="AP1934" s="418"/>
      <c r="AQ1934" s="418"/>
      <c r="AR1934" s="418"/>
      <c r="AS1934" s="418"/>
      <c r="AT1934" s="418"/>
      <c r="AU1934" s="418"/>
      <c r="AV1934" s="418"/>
      <c r="AW1934" s="418"/>
      <c r="AX1934" s="418"/>
      <c r="AY1934" s="418"/>
      <c r="AZ1934" s="418"/>
      <c r="BA1934" s="418"/>
    </row>
    <row r="1935" spans="40:53" ht="15.75" customHeight="1">
      <c r="AN1935" s="418"/>
      <c r="AO1935" s="418"/>
      <c r="AP1935" s="418"/>
      <c r="AQ1935" s="418"/>
      <c r="AR1935" s="418"/>
      <c r="AS1935" s="418"/>
      <c r="AT1935" s="418"/>
      <c r="AU1935" s="418"/>
      <c r="AV1935" s="418"/>
      <c r="AW1935" s="418"/>
      <c r="AX1935" s="418"/>
      <c r="AY1935" s="418"/>
      <c r="AZ1935" s="418"/>
      <c r="BA1935" s="418"/>
    </row>
    <row r="1936" spans="40:53" ht="15.75" customHeight="1">
      <c r="AN1936" s="418"/>
      <c r="AO1936" s="418"/>
      <c r="AP1936" s="418"/>
      <c r="AQ1936" s="418"/>
      <c r="AR1936" s="418"/>
      <c r="AS1936" s="418"/>
      <c r="AT1936" s="418"/>
      <c r="AU1936" s="418"/>
      <c r="AV1936" s="418"/>
      <c r="AW1936" s="418"/>
      <c r="AX1936" s="418"/>
      <c r="AY1936" s="418"/>
      <c r="AZ1936" s="418"/>
      <c r="BA1936" s="418"/>
    </row>
    <row r="1937" spans="40:53" ht="15.75" customHeight="1">
      <c r="AN1937" s="418"/>
      <c r="AO1937" s="418"/>
      <c r="AP1937" s="418"/>
      <c r="AQ1937" s="418"/>
      <c r="AR1937" s="418"/>
      <c r="AS1937" s="418"/>
      <c r="AT1937" s="418"/>
      <c r="AU1937" s="418"/>
      <c r="AV1937" s="418"/>
      <c r="AW1937" s="418"/>
      <c r="AX1937" s="418"/>
      <c r="AY1937" s="418"/>
      <c r="AZ1937" s="418"/>
      <c r="BA1937" s="418"/>
    </row>
    <row r="1938" spans="40:53" ht="15.75" customHeight="1">
      <c r="AN1938" s="418"/>
      <c r="AO1938" s="418"/>
      <c r="AP1938" s="418"/>
      <c r="AQ1938" s="418"/>
      <c r="AR1938" s="418"/>
      <c r="AS1938" s="418"/>
      <c r="AT1938" s="418"/>
      <c r="AU1938" s="418"/>
      <c r="AV1938" s="418"/>
      <c r="AW1938" s="418"/>
      <c r="AX1938" s="418"/>
      <c r="AY1938" s="418"/>
      <c r="AZ1938" s="418"/>
      <c r="BA1938" s="418"/>
    </row>
    <row r="1939" spans="40:53" ht="15.75" customHeight="1">
      <c r="AN1939" s="418"/>
      <c r="AO1939" s="418"/>
      <c r="AP1939" s="418"/>
      <c r="AQ1939" s="418"/>
      <c r="AR1939" s="418"/>
      <c r="AS1939" s="418"/>
      <c r="AT1939" s="418"/>
      <c r="AU1939" s="418"/>
      <c r="AV1939" s="418"/>
      <c r="AW1939" s="418"/>
      <c r="AX1939" s="418"/>
      <c r="AY1939" s="418"/>
      <c r="AZ1939" s="418"/>
      <c r="BA1939" s="418"/>
    </row>
    <row r="1940" spans="40:53" ht="15.75" customHeight="1">
      <c r="AN1940" s="418"/>
      <c r="AO1940" s="418"/>
      <c r="AP1940" s="418"/>
      <c r="AQ1940" s="418"/>
      <c r="AR1940" s="418"/>
      <c r="AS1940" s="418"/>
      <c r="AT1940" s="418"/>
      <c r="AU1940" s="418"/>
      <c r="AV1940" s="418"/>
      <c r="AW1940" s="418"/>
      <c r="AX1940" s="418"/>
      <c r="AY1940" s="418"/>
      <c r="AZ1940" s="418"/>
      <c r="BA1940" s="418"/>
    </row>
    <row r="1941" spans="40:53" ht="15.75" customHeight="1">
      <c r="AN1941" s="418"/>
      <c r="AO1941" s="418"/>
      <c r="AP1941" s="418"/>
      <c r="AQ1941" s="418"/>
      <c r="AR1941" s="418"/>
      <c r="AS1941" s="418"/>
      <c r="AT1941" s="418"/>
      <c r="AU1941" s="418"/>
      <c r="AV1941" s="418"/>
      <c r="AW1941" s="418"/>
      <c r="AX1941" s="418"/>
      <c r="AY1941" s="418"/>
      <c r="AZ1941" s="418"/>
      <c r="BA1941" s="418"/>
    </row>
    <row r="1942" spans="40:53" ht="15.75" customHeight="1">
      <c r="AN1942" s="418"/>
      <c r="AO1942" s="418"/>
      <c r="AP1942" s="418"/>
      <c r="AQ1942" s="418"/>
      <c r="AR1942" s="418"/>
      <c r="AS1942" s="418"/>
      <c r="AT1942" s="418"/>
      <c r="AU1942" s="418"/>
      <c r="AV1942" s="418"/>
      <c r="AW1942" s="418"/>
      <c r="AX1942" s="418"/>
      <c r="AY1942" s="418"/>
      <c r="AZ1942" s="418"/>
      <c r="BA1942" s="418"/>
    </row>
    <row r="1943" spans="40:53" ht="15.75" customHeight="1">
      <c r="AN1943" s="418"/>
      <c r="AO1943" s="418"/>
      <c r="AP1943" s="418"/>
      <c r="AQ1943" s="418"/>
      <c r="AR1943" s="418"/>
      <c r="AS1943" s="418"/>
      <c r="AT1943" s="418"/>
      <c r="AU1943" s="418"/>
      <c r="AV1943" s="418"/>
      <c r="AW1943" s="418"/>
      <c r="AX1943" s="418"/>
      <c r="AY1943" s="418"/>
      <c r="AZ1943" s="418"/>
      <c r="BA1943" s="418"/>
    </row>
    <row r="1944" spans="40:53" ht="15.75" customHeight="1">
      <c r="AN1944" s="418"/>
      <c r="AO1944" s="418"/>
      <c r="AP1944" s="418"/>
      <c r="AQ1944" s="418"/>
      <c r="AR1944" s="418"/>
      <c r="AS1944" s="418"/>
      <c r="AT1944" s="418"/>
      <c r="AU1944" s="418"/>
      <c r="AV1944" s="418"/>
      <c r="AW1944" s="418"/>
      <c r="AX1944" s="418"/>
      <c r="AY1944" s="418"/>
      <c r="AZ1944" s="418"/>
      <c r="BA1944" s="418"/>
    </row>
    <row r="1945" spans="40:53" ht="15.75" customHeight="1">
      <c r="AN1945" s="418"/>
      <c r="AO1945" s="418"/>
      <c r="AP1945" s="418"/>
      <c r="AQ1945" s="418"/>
      <c r="AR1945" s="418"/>
      <c r="AS1945" s="418"/>
      <c r="AT1945" s="418"/>
      <c r="AU1945" s="418"/>
      <c r="AV1945" s="418"/>
      <c r="AW1945" s="418"/>
      <c r="AX1945" s="418"/>
      <c r="AY1945" s="418"/>
      <c r="AZ1945" s="418"/>
      <c r="BA1945" s="418"/>
    </row>
    <row r="1946" spans="40:53" ht="15.75" customHeight="1">
      <c r="AN1946" s="418"/>
      <c r="AO1946" s="418"/>
      <c r="AP1946" s="418"/>
      <c r="AQ1946" s="418"/>
      <c r="AR1946" s="418"/>
      <c r="AS1946" s="418"/>
      <c r="AT1946" s="418"/>
      <c r="AU1946" s="418"/>
      <c r="AV1946" s="418"/>
      <c r="AW1946" s="418"/>
      <c r="AX1946" s="418"/>
      <c r="AY1946" s="418"/>
      <c r="AZ1946" s="418"/>
      <c r="BA1946" s="418"/>
    </row>
    <row r="1947" spans="40:53" ht="15.75" customHeight="1">
      <c r="AN1947" s="418"/>
      <c r="AO1947" s="418"/>
      <c r="AP1947" s="418"/>
      <c r="AQ1947" s="418"/>
      <c r="AR1947" s="418"/>
      <c r="AS1947" s="418"/>
      <c r="AT1947" s="418"/>
      <c r="AU1947" s="418"/>
      <c r="AV1947" s="418"/>
      <c r="AW1947" s="418"/>
      <c r="AX1947" s="418"/>
      <c r="AY1947" s="418"/>
      <c r="AZ1947" s="418"/>
      <c r="BA1947" s="418"/>
    </row>
    <row r="1948" spans="40:53" ht="15.75" customHeight="1">
      <c r="AN1948" s="418"/>
      <c r="AO1948" s="418"/>
      <c r="AP1948" s="418"/>
      <c r="AQ1948" s="418"/>
      <c r="AR1948" s="418"/>
      <c r="AS1948" s="418"/>
      <c r="AT1948" s="418"/>
      <c r="AU1948" s="418"/>
      <c r="AV1948" s="418"/>
      <c r="AW1948" s="418"/>
      <c r="AX1948" s="418"/>
      <c r="AY1948" s="418"/>
      <c r="AZ1948" s="418"/>
      <c r="BA1948" s="418"/>
    </row>
    <row r="1949" spans="40:53" ht="15.75" customHeight="1">
      <c r="AN1949" s="418"/>
      <c r="AO1949" s="418"/>
      <c r="AP1949" s="418"/>
      <c r="AQ1949" s="418"/>
      <c r="AR1949" s="418"/>
      <c r="AS1949" s="418"/>
      <c r="AT1949" s="418"/>
      <c r="AU1949" s="418"/>
      <c r="AV1949" s="418"/>
      <c r="AW1949" s="418"/>
      <c r="AX1949" s="418"/>
      <c r="AY1949" s="418"/>
      <c r="AZ1949" s="418"/>
      <c r="BA1949" s="418"/>
    </row>
    <row r="1950" spans="40:53" ht="15.75" customHeight="1">
      <c r="AN1950" s="418"/>
      <c r="AO1950" s="418"/>
      <c r="AP1950" s="418"/>
      <c r="AQ1950" s="418"/>
      <c r="AR1950" s="418"/>
      <c r="AS1950" s="418"/>
      <c r="AT1950" s="418"/>
      <c r="AU1950" s="418"/>
      <c r="AV1950" s="418"/>
      <c r="AW1950" s="418"/>
      <c r="AX1950" s="418"/>
      <c r="AY1950" s="418"/>
      <c r="AZ1950" s="418"/>
      <c r="BA1950" s="418"/>
    </row>
    <row r="1951" spans="40:53" ht="15.75" customHeight="1">
      <c r="AN1951" s="418"/>
      <c r="AO1951" s="418"/>
      <c r="AP1951" s="418"/>
      <c r="AQ1951" s="418"/>
      <c r="AR1951" s="418"/>
      <c r="AS1951" s="418"/>
      <c r="AT1951" s="418"/>
      <c r="AU1951" s="418"/>
      <c r="AV1951" s="418"/>
      <c r="AW1951" s="418"/>
      <c r="AX1951" s="418"/>
      <c r="AY1951" s="418"/>
      <c r="AZ1951" s="418"/>
      <c r="BA1951" s="418"/>
    </row>
    <row r="1952" spans="40:53" ht="15.75" customHeight="1">
      <c r="AN1952" s="418"/>
      <c r="AO1952" s="418"/>
      <c r="AP1952" s="418"/>
      <c r="AQ1952" s="418"/>
      <c r="AR1952" s="418"/>
      <c r="AS1952" s="418"/>
      <c r="AT1952" s="418"/>
      <c r="AU1952" s="418"/>
      <c r="AV1952" s="418"/>
      <c r="AW1952" s="418"/>
      <c r="AX1952" s="418"/>
      <c r="AY1952" s="418"/>
      <c r="AZ1952" s="418"/>
      <c r="BA1952" s="418"/>
    </row>
    <row r="1953" spans="40:53" ht="15.75" customHeight="1">
      <c r="AN1953" s="418"/>
      <c r="AO1953" s="418"/>
      <c r="AP1953" s="418"/>
      <c r="AQ1953" s="418"/>
      <c r="AR1953" s="418"/>
      <c r="AS1953" s="418"/>
      <c r="AT1953" s="418"/>
      <c r="AU1953" s="418"/>
      <c r="AV1953" s="418"/>
      <c r="AW1953" s="418"/>
      <c r="AX1953" s="418"/>
      <c r="AY1953" s="418"/>
      <c r="AZ1953" s="418"/>
      <c r="BA1953" s="418"/>
    </row>
    <row r="1954" spans="40:53" ht="15.75" customHeight="1">
      <c r="AN1954" s="418"/>
      <c r="AO1954" s="418"/>
      <c r="AP1954" s="418"/>
      <c r="AQ1954" s="418"/>
      <c r="AR1954" s="418"/>
      <c r="AS1954" s="418"/>
      <c r="AT1954" s="418"/>
      <c r="AU1954" s="418"/>
      <c r="AV1954" s="418"/>
      <c r="AW1954" s="418"/>
      <c r="AX1954" s="418"/>
      <c r="AY1954" s="418"/>
      <c r="AZ1954" s="418"/>
      <c r="BA1954" s="418"/>
    </row>
    <row r="1955" spans="40:53" ht="15.75" customHeight="1">
      <c r="AN1955" s="418"/>
      <c r="AO1955" s="418"/>
      <c r="AP1955" s="418"/>
      <c r="AQ1955" s="418"/>
      <c r="AR1955" s="418"/>
      <c r="AS1955" s="418"/>
      <c r="AT1955" s="418"/>
      <c r="AU1955" s="418"/>
      <c r="AV1955" s="418"/>
      <c r="AW1955" s="418"/>
      <c r="AX1955" s="418"/>
      <c r="AY1955" s="418"/>
      <c r="AZ1955" s="418"/>
      <c r="BA1955" s="418"/>
    </row>
    <row r="1956" spans="40:53" ht="15.75" customHeight="1">
      <c r="AN1956" s="418"/>
      <c r="AO1956" s="418"/>
      <c r="AP1956" s="418"/>
      <c r="AQ1956" s="418"/>
      <c r="AR1956" s="418"/>
      <c r="AS1956" s="418"/>
      <c r="AT1956" s="418"/>
      <c r="AU1956" s="418"/>
      <c r="AV1956" s="418"/>
      <c r="AW1956" s="418"/>
      <c r="AX1956" s="418"/>
      <c r="AY1956" s="418"/>
      <c r="AZ1956" s="418"/>
      <c r="BA1956" s="418"/>
    </row>
    <row r="1957" spans="40:53" ht="15.75" customHeight="1">
      <c r="AN1957" s="418"/>
      <c r="AO1957" s="418"/>
      <c r="AP1957" s="418"/>
      <c r="AQ1957" s="418"/>
      <c r="AR1957" s="418"/>
      <c r="AS1957" s="418"/>
      <c r="AT1957" s="418"/>
      <c r="AU1957" s="418"/>
      <c r="AV1957" s="418"/>
      <c r="AW1957" s="418"/>
      <c r="AX1957" s="418"/>
      <c r="AY1957" s="418"/>
      <c r="AZ1957" s="418"/>
      <c r="BA1957" s="418"/>
    </row>
    <row r="1958" spans="40:53" ht="15.75" customHeight="1">
      <c r="AN1958" s="418"/>
      <c r="AO1958" s="418"/>
      <c r="AP1958" s="418"/>
      <c r="AQ1958" s="418"/>
      <c r="AR1958" s="418"/>
      <c r="AS1958" s="418"/>
      <c r="AT1958" s="418"/>
      <c r="AU1958" s="418"/>
      <c r="AV1958" s="418"/>
      <c r="AW1958" s="418"/>
      <c r="AX1958" s="418"/>
      <c r="AY1958" s="418"/>
      <c r="AZ1958" s="418"/>
      <c r="BA1958" s="418"/>
    </row>
    <row r="1959" spans="40:53" ht="15.75" customHeight="1">
      <c r="AN1959" s="418"/>
      <c r="AO1959" s="418"/>
      <c r="AP1959" s="418"/>
      <c r="AQ1959" s="418"/>
      <c r="AR1959" s="418"/>
      <c r="AS1959" s="418"/>
      <c r="AT1959" s="418"/>
      <c r="AU1959" s="418"/>
      <c r="AV1959" s="418"/>
      <c r="AW1959" s="418"/>
      <c r="AX1959" s="418"/>
      <c r="AY1959" s="418"/>
      <c r="AZ1959" s="418"/>
      <c r="BA1959" s="418"/>
    </row>
    <row r="1960" spans="40:53" ht="15.75" customHeight="1">
      <c r="AN1960" s="418"/>
      <c r="AO1960" s="418"/>
      <c r="AP1960" s="418"/>
      <c r="AQ1960" s="418"/>
      <c r="AR1960" s="418"/>
      <c r="AS1960" s="418"/>
      <c r="AT1960" s="418"/>
      <c r="AU1960" s="418"/>
      <c r="AV1960" s="418"/>
      <c r="AW1960" s="418"/>
      <c r="AX1960" s="418"/>
      <c r="AY1960" s="418"/>
      <c r="AZ1960" s="418"/>
      <c r="BA1960" s="418"/>
    </row>
    <row r="1961" spans="40:53" ht="15.75" customHeight="1">
      <c r="AN1961" s="418"/>
      <c r="AO1961" s="418"/>
      <c r="AP1961" s="418"/>
      <c r="AQ1961" s="418"/>
      <c r="AR1961" s="418"/>
      <c r="AS1961" s="418"/>
      <c r="AT1961" s="418"/>
      <c r="AU1961" s="418"/>
      <c r="AV1961" s="418"/>
      <c r="AW1961" s="418"/>
      <c r="AX1961" s="418"/>
      <c r="AY1961" s="418"/>
      <c r="AZ1961" s="418"/>
      <c r="BA1961" s="418"/>
    </row>
    <row r="1962" spans="40:53" ht="15.75" customHeight="1">
      <c r="AN1962" s="418"/>
      <c r="AO1962" s="418"/>
      <c r="AP1962" s="418"/>
      <c r="AQ1962" s="418"/>
      <c r="AR1962" s="418"/>
      <c r="AS1962" s="418"/>
      <c r="AT1962" s="418"/>
      <c r="AU1962" s="418"/>
      <c r="AV1962" s="418"/>
      <c r="AW1962" s="418"/>
      <c r="AX1962" s="418"/>
      <c r="AY1962" s="418"/>
      <c r="AZ1962" s="418"/>
      <c r="BA1962" s="418"/>
    </row>
    <row r="1963" spans="40:53" ht="15.75" customHeight="1">
      <c r="AN1963" s="418"/>
      <c r="AO1963" s="418"/>
      <c r="AP1963" s="418"/>
      <c r="AQ1963" s="418"/>
      <c r="AR1963" s="418"/>
      <c r="AS1963" s="418"/>
      <c r="AT1963" s="418"/>
      <c r="AU1963" s="418"/>
      <c r="AV1963" s="418"/>
      <c r="AW1963" s="418"/>
      <c r="AX1963" s="418"/>
      <c r="AY1963" s="418"/>
      <c r="AZ1963" s="418"/>
      <c r="BA1963" s="418"/>
    </row>
    <row r="1964" spans="40:53" ht="15.75" customHeight="1">
      <c r="AN1964" s="418"/>
      <c r="AO1964" s="418"/>
      <c r="AP1964" s="418"/>
      <c r="AQ1964" s="418"/>
      <c r="AR1964" s="418"/>
      <c r="AS1964" s="418"/>
      <c r="AT1964" s="418"/>
      <c r="AU1964" s="418"/>
      <c r="AV1964" s="418"/>
      <c r="AW1964" s="418"/>
      <c r="AX1964" s="418"/>
      <c r="AY1964" s="418"/>
      <c r="AZ1964" s="418"/>
      <c r="BA1964" s="418"/>
    </row>
    <row r="1965" spans="40:53" ht="15.75" customHeight="1">
      <c r="AN1965" s="418"/>
      <c r="AO1965" s="418"/>
      <c r="AP1965" s="418"/>
      <c r="AQ1965" s="418"/>
      <c r="AR1965" s="418"/>
      <c r="AS1965" s="418"/>
      <c r="AT1965" s="418"/>
      <c r="AU1965" s="418"/>
      <c r="AV1965" s="418"/>
      <c r="AW1965" s="418"/>
      <c r="AX1965" s="418"/>
      <c r="AY1965" s="418"/>
      <c r="AZ1965" s="418"/>
      <c r="BA1965" s="418"/>
    </row>
    <row r="1966" spans="40:53" ht="15.75" customHeight="1">
      <c r="AN1966" s="418"/>
      <c r="AO1966" s="418"/>
      <c r="AP1966" s="418"/>
      <c r="AQ1966" s="418"/>
      <c r="AR1966" s="418"/>
      <c r="AS1966" s="418"/>
      <c r="AT1966" s="418"/>
      <c r="AU1966" s="418"/>
      <c r="AV1966" s="418"/>
      <c r="AW1966" s="418"/>
      <c r="AX1966" s="418"/>
      <c r="AY1966" s="418"/>
      <c r="AZ1966" s="418"/>
      <c r="BA1966" s="418"/>
    </row>
    <row r="1967" spans="40:53" ht="15.75" customHeight="1">
      <c r="AN1967" s="418"/>
      <c r="AO1967" s="418"/>
      <c r="AP1967" s="418"/>
      <c r="AQ1967" s="418"/>
      <c r="AR1967" s="418"/>
      <c r="AS1967" s="418"/>
      <c r="AT1967" s="418"/>
      <c r="AU1967" s="418"/>
      <c r="AV1967" s="418"/>
      <c r="AW1967" s="418"/>
      <c r="AX1967" s="418"/>
      <c r="AY1967" s="418"/>
      <c r="AZ1967" s="418"/>
      <c r="BA1967" s="418"/>
    </row>
    <row r="1968" spans="40:53" ht="15.75" customHeight="1">
      <c r="AN1968" s="418"/>
      <c r="AO1968" s="418"/>
      <c r="AP1968" s="418"/>
      <c r="AQ1968" s="418"/>
      <c r="AR1968" s="418"/>
      <c r="AS1968" s="418"/>
      <c r="AT1968" s="418"/>
      <c r="AU1968" s="418"/>
      <c r="AV1968" s="418"/>
      <c r="AW1968" s="418"/>
      <c r="AX1968" s="418"/>
      <c r="AY1968" s="418"/>
      <c r="AZ1968" s="418"/>
      <c r="BA1968" s="418"/>
    </row>
    <row r="1969" spans="40:53" ht="15.75" customHeight="1">
      <c r="AN1969" s="418"/>
      <c r="AO1969" s="418"/>
      <c r="AP1969" s="418"/>
      <c r="AQ1969" s="418"/>
      <c r="AR1969" s="418"/>
      <c r="AS1969" s="418"/>
      <c r="AT1969" s="418"/>
      <c r="AU1969" s="418"/>
      <c r="AV1969" s="418"/>
      <c r="AW1969" s="418"/>
      <c r="AX1969" s="418"/>
      <c r="AY1969" s="418"/>
      <c r="AZ1969" s="418"/>
      <c r="BA1969" s="418"/>
    </row>
    <row r="1970" spans="40:53" ht="15.75" customHeight="1">
      <c r="AN1970" s="418"/>
      <c r="AO1970" s="418"/>
      <c r="AP1970" s="418"/>
      <c r="AQ1970" s="418"/>
      <c r="AR1970" s="418"/>
      <c r="AS1970" s="418"/>
      <c r="AT1970" s="418"/>
      <c r="AU1970" s="418"/>
      <c r="AV1970" s="418"/>
      <c r="AW1970" s="418"/>
      <c r="AX1970" s="418"/>
      <c r="AY1970" s="418"/>
      <c r="AZ1970" s="418"/>
      <c r="BA1970" s="418"/>
    </row>
    <row r="1971" spans="40:53" ht="15.75" customHeight="1">
      <c r="AN1971" s="418"/>
      <c r="AO1971" s="418"/>
      <c r="AP1971" s="418"/>
      <c r="AQ1971" s="418"/>
      <c r="AR1971" s="418"/>
      <c r="AS1971" s="418"/>
      <c r="AT1971" s="418"/>
      <c r="AU1971" s="418"/>
      <c r="AV1971" s="418"/>
      <c r="AW1971" s="418"/>
      <c r="AX1971" s="418"/>
      <c r="AY1971" s="418"/>
      <c r="AZ1971" s="418"/>
      <c r="BA1971" s="418"/>
    </row>
    <row r="1972" spans="40:53" ht="15.75" customHeight="1">
      <c r="AN1972" s="418"/>
      <c r="AO1972" s="418"/>
      <c r="AP1972" s="418"/>
      <c r="AQ1972" s="418"/>
      <c r="AR1972" s="418"/>
      <c r="AS1972" s="418"/>
      <c r="AT1972" s="418"/>
      <c r="AU1972" s="418"/>
      <c r="AV1972" s="418"/>
      <c r="AW1972" s="418"/>
      <c r="AX1972" s="418"/>
      <c r="AY1972" s="418"/>
      <c r="AZ1972" s="418"/>
      <c r="BA1972" s="418"/>
    </row>
    <row r="1973" spans="40:53" ht="15.75" customHeight="1">
      <c r="AN1973" s="418"/>
      <c r="AO1973" s="418"/>
      <c r="AP1973" s="418"/>
      <c r="AQ1973" s="418"/>
      <c r="AR1973" s="418"/>
      <c r="AS1973" s="418"/>
      <c r="AT1973" s="418"/>
      <c r="AU1973" s="418"/>
      <c r="AV1973" s="418"/>
      <c r="AW1973" s="418"/>
      <c r="AX1973" s="418"/>
      <c r="AY1973" s="418"/>
      <c r="AZ1973" s="418"/>
      <c r="BA1973" s="418"/>
    </row>
    <row r="1974" spans="40:53" ht="15.75" customHeight="1">
      <c r="AN1974" s="418"/>
      <c r="AO1974" s="418"/>
      <c r="AP1974" s="418"/>
      <c r="AQ1974" s="418"/>
      <c r="AR1974" s="418"/>
      <c r="AS1974" s="418"/>
      <c r="AT1974" s="418"/>
      <c r="AU1974" s="418"/>
      <c r="AV1974" s="418"/>
      <c r="AW1974" s="418"/>
      <c r="AX1974" s="418"/>
      <c r="AY1974" s="418"/>
      <c r="AZ1974" s="418"/>
      <c r="BA1974" s="418"/>
    </row>
    <row r="1975" spans="40:53" ht="15.75" customHeight="1">
      <c r="AN1975" s="418"/>
      <c r="AO1975" s="418"/>
      <c r="AP1975" s="418"/>
      <c r="AQ1975" s="418"/>
      <c r="AR1975" s="418"/>
      <c r="AS1975" s="418"/>
      <c r="AT1975" s="418"/>
      <c r="AU1975" s="418"/>
      <c r="AV1975" s="418"/>
      <c r="AW1975" s="418"/>
      <c r="AX1975" s="418"/>
      <c r="AY1975" s="418"/>
      <c r="AZ1975" s="418"/>
      <c r="BA1975" s="418"/>
    </row>
    <row r="1976" spans="40:53" ht="15.75" customHeight="1">
      <c r="AN1976" s="418"/>
      <c r="AO1976" s="418"/>
      <c r="AP1976" s="418"/>
      <c r="AQ1976" s="418"/>
      <c r="AR1976" s="418"/>
      <c r="AS1976" s="418"/>
      <c r="AT1976" s="418"/>
      <c r="AU1976" s="418"/>
      <c r="AV1976" s="418"/>
      <c r="AW1976" s="418"/>
      <c r="AX1976" s="418"/>
      <c r="AY1976" s="418"/>
      <c r="AZ1976" s="418"/>
      <c r="BA1976" s="418"/>
    </row>
    <row r="1977" spans="40:53" ht="15.75" customHeight="1">
      <c r="AN1977" s="418"/>
      <c r="AO1977" s="418"/>
      <c r="AP1977" s="418"/>
      <c r="AQ1977" s="418"/>
      <c r="AR1977" s="418"/>
      <c r="AS1977" s="418"/>
      <c r="AT1977" s="418"/>
      <c r="AU1977" s="418"/>
      <c r="AV1977" s="418"/>
      <c r="AW1977" s="418"/>
      <c r="AX1977" s="418"/>
      <c r="AY1977" s="418"/>
      <c r="AZ1977" s="418"/>
      <c r="BA1977" s="418"/>
    </row>
    <row r="1978" spans="40:53" ht="15.75" customHeight="1">
      <c r="AN1978" s="418"/>
      <c r="AO1978" s="418"/>
      <c r="AP1978" s="418"/>
      <c r="AQ1978" s="418"/>
      <c r="AR1978" s="418"/>
      <c r="AS1978" s="418"/>
      <c r="AT1978" s="418"/>
      <c r="AU1978" s="418"/>
      <c r="AV1978" s="418"/>
      <c r="AW1978" s="418"/>
      <c r="AX1978" s="418"/>
      <c r="AY1978" s="418"/>
      <c r="AZ1978" s="418"/>
      <c r="BA1978" s="418"/>
    </row>
    <row r="1979" spans="40:53" ht="15.75" customHeight="1">
      <c r="AN1979" s="418"/>
      <c r="AO1979" s="418"/>
      <c r="AP1979" s="418"/>
      <c r="AQ1979" s="418"/>
      <c r="AR1979" s="418"/>
      <c r="AS1979" s="418"/>
      <c r="AT1979" s="418"/>
      <c r="AU1979" s="418"/>
      <c r="AV1979" s="418"/>
      <c r="AW1979" s="418"/>
      <c r="AX1979" s="418"/>
      <c r="AY1979" s="418"/>
      <c r="AZ1979" s="418"/>
      <c r="BA1979" s="418"/>
    </row>
    <row r="1980" spans="40:53" ht="15.75" customHeight="1">
      <c r="AN1980" s="418"/>
      <c r="AO1980" s="418"/>
      <c r="AP1980" s="418"/>
      <c r="AQ1980" s="418"/>
      <c r="AR1980" s="418"/>
      <c r="AS1980" s="418"/>
      <c r="AT1980" s="418"/>
      <c r="AU1980" s="418"/>
      <c r="AV1980" s="418"/>
      <c r="AW1980" s="418"/>
      <c r="AX1980" s="418"/>
      <c r="AY1980" s="418"/>
      <c r="AZ1980" s="418"/>
      <c r="BA1980" s="418"/>
    </row>
    <row r="1981" spans="40:53" ht="15.75" customHeight="1">
      <c r="AN1981" s="418"/>
      <c r="AO1981" s="418"/>
      <c r="AP1981" s="418"/>
      <c r="AQ1981" s="418"/>
      <c r="AR1981" s="418"/>
      <c r="AS1981" s="418"/>
      <c r="AT1981" s="418"/>
      <c r="AU1981" s="418"/>
      <c r="AV1981" s="418"/>
      <c r="AW1981" s="418"/>
      <c r="AX1981" s="418"/>
      <c r="AY1981" s="418"/>
      <c r="AZ1981" s="418"/>
      <c r="BA1981" s="418"/>
    </row>
    <row r="1982" spans="40:53" ht="15.75" customHeight="1">
      <c r="AN1982" s="418"/>
      <c r="AO1982" s="418"/>
      <c r="AP1982" s="418"/>
      <c r="AQ1982" s="418"/>
      <c r="AR1982" s="418"/>
      <c r="AS1982" s="418"/>
      <c r="AT1982" s="418"/>
      <c r="AU1982" s="418"/>
      <c r="AV1982" s="418"/>
      <c r="AW1982" s="418"/>
      <c r="AX1982" s="418"/>
      <c r="AY1982" s="418"/>
      <c r="AZ1982" s="418"/>
      <c r="BA1982" s="418"/>
    </row>
    <row r="1983" spans="40:53" ht="15.75" customHeight="1">
      <c r="AN1983" s="418"/>
      <c r="AO1983" s="418"/>
      <c r="AP1983" s="418"/>
      <c r="AQ1983" s="418"/>
      <c r="AR1983" s="418"/>
      <c r="AS1983" s="418"/>
      <c r="AT1983" s="418"/>
      <c r="AU1983" s="418"/>
      <c r="AV1983" s="418"/>
      <c r="AW1983" s="418"/>
      <c r="AX1983" s="418"/>
      <c r="AY1983" s="418"/>
      <c r="AZ1983" s="418"/>
      <c r="BA1983" s="418"/>
    </row>
    <row r="1984" spans="40:53" ht="15.75" customHeight="1">
      <c r="AN1984" s="418"/>
      <c r="AO1984" s="418"/>
      <c r="AP1984" s="418"/>
      <c r="AQ1984" s="418"/>
      <c r="AR1984" s="418"/>
      <c r="AS1984" s="418"/>
      <c r="AT1984" s="418"/>
      <c r="AU1984" s="418"/>
      <c r="AV1984" s="418"/>
      <c r="AW1984" s="418"/>
      <c r="AX1984" s="418"/>
      <c r="AY1984" s="418"/>
      <c r="AZ1984" s="418"/>
      <c r="BA1984" s="418"/>
    </row>
    <row r="1985" spans="40:53" ht="15.75" customHeight="1">
      <c r="AN1985" s="418"/>
      <c r="AO1985" s="418"/>
      <c r="AP1985" s="418"/>
      <c r="AQ1985" s="418"/>
      <c r="AR1985" s="418"/>
      <c r="AS1985" s="418"/>
      <c r="AT1985" s="418"/>
      <c r="AU1985" s="418"/>
      <c r="AV1985" s="418"/>
      <c r="AW1985" s="418"/>
      <c r="AX1985" s="418"/>
      <c r="AY1985" s="418"/>
      <c r="AZ1985" s="418"/>
      <c r="BA1985" s="418"/>
    </row>
    <row r="1986" spans="40:53" ht="15.75" customHeight="1">
      <c r="AN1986" s="418"/>
      <c r="AO1986" s="418"/>
      <c r="AP1986" s="418"/>
      <c r="AQ1986" s="418"/>
      <c r="AR1986" s="418"/>
      <c r="AS1986" s="418"/>
      <c r="AT1986" s="418"/>
      <c r="AU1986" s="418"/>
      <c r="AV1986" s="418"/>
      <c r="AW1986" s="418"/>
      <c r="AX1986" s="418"/>
      <c r="AY1986" s="418"/>
      <c r="AZ1986" s="418"/>
      <c r="BA1986" s="418"/>
    </row>
    <row r="1987" spans="40:53" ht="15.75" customHeight="1">
      <c r="AN1987" s="418"/>
      <c r="AO1987" s="418"/>
      <c r="AP1987" s="418"/>
      <c r="AQ1987" s="418"/>
      <c r="AR1987" s="418"/>
      <c r="AS1987" s="418"/>
      <c r="AT1987" s="418"/>
      <c r="AU1987" s="418"/>
      <c r="AV1987" s="418"/>
      <c r="AW1987" s="418"/>
      <c r="AX1987" s="418"/>
      <c r="AY1987" s="418"/>
      <c r="AZ1987" s="418"/>
      <c r="BA1987" s="418"/>
    </row>
    <row r="1988" spans="40:53" ht="15.75" customHeight="1">
      <c r="AN1988" s="418"/>
      <c r="AO1988" s="418"/>
      <c r="AP1988" s="418"/>
      <c r="AQ1988" s="418"/>
      <c r="AR1988" s="418"/>
      <c r="AS1988" s="418"/>
      <c r="AT1988" s="418"/>
      <c r="AU1988" s="418"/>
      <c r="AV1988" s="418"/>
      <c r="AW1988" s="418"/>
      <c r="AX1988" s="418"/>
      <c r="AY1988" s="418"/>
      <c r="AZ1988" s="418"/>
      <c r="BA1988" s="418"/>
    </row>
    <row r="1989" spans="40:53" ht="15.75" customHeight="1">
      <c r="AN1989" s="418"/>
      <c r="AO1989" s="418"/>
      <c r="AP1989" s="418"/>
      <c r="AQ1989" s="418"/>
      <c r="AR1989" s="418"/>
      <c r="AS1989" s="418"/>
      <c r="AT1989" s="418"/>
      <c r="AU1989" s="418"/>
      <c r="AV1989" s="418"/>
      <c r="AW1989" s="418"/>
      <c r="AX1989" s="418"/>
      <c r="AY1989" s="418"/>
      <c r="AZ1989" s="418"/>
      <c r="BA1989" s="418"/>
    </row>
    <row r="1990" spans="40:53" ht="15.75" customHeight="1">
      <c r="AN1990" s="418"/>
      <c r="AO1990" s="418"/>
      <c r="AP1990" s="418"/>
      <c r="AQ1990" s="418"/>
      <c r="AR1990" s="418"/>
      <c r="AS1990" s="418"/>
      <c r="AT1990" s="418"/>
      <c r="AU1990" s="418"/>
      <c r="AV1990" s="418"/>
      <c r="AW1990" s="418"/>
      <c r="AX1990" s="418"/>
      <c r="AY1990" s="418"/>
      <c r="AZ1990" s="418"/>
      <c r="BA1990" s="418"/>
    </row>
    <row r="1991" spans="40:53" ht="15.75" customHeight="1">
      <c r="AN1991" s="418"/>
      <c r="AO1991" s="418"/>
      <c r="AP1991" s="418"/>
      <c r="AQ1991" s="418"/>
      <c r="AR1991" s="418"/>
      <c r="AS1991" s="418"/>
      <c r="AT1991" s="418"/>
      <c r="AU1991" s="418"/>
      <c r="AV1991" s="418"/>
      <c r="AW1991" s="418"/>
      <c r="AX1991" s="418"/>
      <c r="AY1991" s="418"/>
      <c r="AZ1991" s="418"/>
      <c r="BA1991" s="418"/>
    </row>
    <row r="1992" spans="40:53" ht="15.75" customHeight="1">
      <c r="AN1992" s="418"/>
      <c r="AO1992" s="418"/>
      <c r="AP1992" s="418"/>
      <c r="AQ1992" s="418"/>
      <c r="AR1992" s="418"/>
      <c r="AS1992" s="418"/>
      <c r="AT1992" s="418"/>
      <c r="AU1992" s="418"/>
      <c r="AV1992" s="418"/>
      <c r="AW1992" s="418"/>
      <c r="AX1992" s="418"/>
      <c r="AY1992" s="418"/>
      <c r="AZ1992" s="418"/>
      <c r="BA1992" s="418"/>
    </row>
    <row r="1993" spans="40:53" ht="15.75" customHeight="1">
      <c r="AN1993" s="418"/>
      <c r="AO1993" s="418"/>
      <c r="AP1993" s="418"/>
      <c r="AQ1993" s="418"/>
      <c r="AR1993" s="418"/>
      <c r="AS1993" s="418"/>
      <c r="AT1993" s="418"/>
      <c r="AU1993" s="418"/>
      <c r="AV1993" s="418"/>
      <c r="AW1993" s="418"/>
      <c r="AX1993" s="418"/>
      <c r="AY1993" s="418"/>
      <c r="AZ1993" s="418"/>
      <c r="BA1993" s="418"/>
    </row>
    <row r="1994" spans="40:53" ht="15.75" customHeight="1">
      <c r="AN1994" s="418"/>
      <c r="AO1994" s="418"/>
      <c r="AP1994" s="418"/>
      <c r="AQ1994" s="418"/>
      <c r="AR1994" s="418"/>
      <c r="AS1994" s="418"/>
      <c r="AT1994" s="418"/>
      <c r="AU1994" s="418"/>
      <c r="AV1994" s="418"/>
      <c r="AW1994" s="418"/>
      <c r="AX1994" s="418"/>
      <c r="AY1994" s="418"/>
      <c r="AZ1994" s="418"/>
      <c r="BA1994" s="418"/>
    </row>
    <row r="1995" spans="40:53" ht="15.75" customHeight="1">
      <c r="AN1995" s="418"/>
      <c r="AO1995" s="418"/>
      <c r="AP1995" s="418"/>
      <c r="AQ1995" s="418"/>
      <c r="AR1995" s="418"/>
      <c r="AS1995" s="418"/>
      <c r="AT1995" s="418"/>
      <c r="AU1995" s="418"/>
      <c r="AV1995" s="418"/>
      <c r="AW1995" s="418"/>
      <c r="AX1995" s="418"/>
      <c r="AY1995" s="418"/>
      <c r="AZ1995" s="418"/>
      <c r="BA1995" s="418"/>
    </row>
    <row r="1996" spans="40:53" ht="15.75" customHeight="1">
      <c r="AN1996" s="418"/>
      <c r="AO1996" s="418"/>
      <c r="AP1996" s="418"/>
      <c r="AQ1996" s="418"/>
      <c r="AR1996" s="418"/>
      <c r="AS1996" s="418"/>
      <c r="AT1996" s="418"/>
      <c r="AU1996" s="418"/>
      <c r="AV1996" s="418"/>
      <c r="AW1996" s="418"/>
      <c r="AX1996" s="418"/>
      <c r="AY1996" s="418"/>
      <c r="AZ1996" s="418"/>
      <c r="BA1996" s="418"/>
    </row>
    <row r="1997" spans="40:53" ht="15.75" customHeight="1">
      <c r="AN1997" s="418"/>
      <c r="AO1997" s="418"/>
      <c r="AP1997" s="418"/>
      <c r="AQ1997" s="418"/>
      <c r="AR1997" s="418"/>
      <c r="AS1997" s="418"/>
      <c r="AT1997" s="418"/>
      <c r="AU1997" s="418"/>
      <c r="AV1997" s="418"/>
      <c r="AW1997" s="418"/>
      <c r="AX1997" s="418"/>
      <c r="AY1997" s="418"/>
      <c r="AZ1997" s="418"/>
      <c r="BA1997" s="418"/>
    </row>
    <row r="1998" spans="40:53" ht="15.75" customHeight="1">
      <c r="AN1998" s="418"/>
      <c r="AO1998" s="418"/>
      <c r="AP1998" s="418"/>
      <c r="AQ1998" s="418"/>
      <c r="AR1998" s="418"/>
      <c r="AS1998" s="418"/>
      <c r="AT1998" s="418"/>
      <c r="AU1998" s="418"/>
      <c r="AV1998" s="418"/>
      <c r="AW1998" s="418"/>
      <c r="AX1998" s="418"/>
      <c r="AY1998" s="418"/>
      <c r="AZ1998" s="418"/>
      <c r="BA1998" s="418"/>
    </row>
    <row r="1999" spans="40:53" ht="15.75" customHeight="1">
      <c r="AN1999" s="418"/>
      <c r="AO1999" s="418"/>
      <c r="AP1999" s="418"/>
      <c r="AQ1999" s="418"/>
      <c r="AR1999" s="418"/>
      <c r="AS1999" s="418"/>
      <c r="AT1999" s="418"/>
      <c r="AU1999" s="418"/>
      <c r="AV1999" s="418"/>
      <c r="AW1999" s="418"/>
      <c r="AX1999" s="418"/>
      <c r="AY1999" s="418"/>
      <c r="AZ1999" s="418"/>
      <c r="BA1999" s="418"/>
    </row>
    <row r="2000" spans="40:53" ht="15.75" customHeight="1">
      <c r="AN2000" s="418"/>
      <c r="AO2000" s="418"/>
      <c r="AP2000" s="418"/>
      <c r="AQ2000" s="418"/>
      <c r="AR2000" s="418"/>
      <c r="AS2000" s="418"/>
      <c r="AT2000" s="418"/>
      <c r="AU2000" s="418"/>
      <c r="AV2000" s="418"/>
      <c r="AW2000" s="418"/>
      <c r="AX2000" s="418"/>
      <c r="AY2000" s="418"/>
      <c r="AZ2000" s="418"/>
      <c r="BA2000" s="418"/>
    </row>
    <row r="2001" spans="40:53" ht="15.75" customHeight="1">
      <c r="AN2001" s="418"/>
      <c r="AO2001" s="418"/>
      <c r="AP2001" s="418"/>
      <c r="AQ2001" s="418"/>
      <c r="AR2001" s="418"/>
      <c r="AS2001" s="418"/>
      <c r="AT2001" s="418"/>
      <c r="AU2001" s="418"/>
      <c r="AV2001" s="418"/>
      <c r="AW2001" s="418"/>
      <c r="AX2001" s="418"/>
      <c r="AY2001" s="418"/>
      <c r="AZ2001" s="418"/>
      <c r="BA2001" s="418"/>
    </row>
    <row r="2002" spans="40:53" ht="15.75" customHeight="1">
      <c r="AN2002" s="418"/>
      <c r="AO2002" s="418"/>
      <c r="AP2002" s="418"/>
      <c r="AQ2002" s="418"/>
      <c r="AR2002" s="418"/>
      <c r="AS2002" s="418"/>
      <c r="AT2002" s="418"/>
      <c r="AU2002" s="418"/>
      <c r="AV2002" s="418"/>
      <c r="AW2002" s="418"/>
      <c r="AX2002" s="418"/>
      <c r="AY2002" s="418"/>
      <c r="AZ2002" s="418"/>
      <c r="BA2002" s="418"/>
    </row>
    <row r="2003" spans="40:53" ht="15.75" customHeight="1">
      <c r="AN2003" s="418"/>
      <c r="AO2003" s="418"/>
      <c r="AP2003" s="418"/>
      <c r="AQ2003" s="418"/>
      <c r="AR2003" s="418"/>
      <c r="AS2003" s="418"/>
      <c r="AT2003" s="418"/>
      <c r="AU2003" s="418"/>
      <c r="AV2003" s="418"/>
      <c r="AW2003" s="418"/>
      <c r="AX2003" s="418"/>
      <c r="AY2003" s="418"/>
      <c r="AZ2003" s="418"/>
      <c r="BA2003" s="418"/>
    </row>
    <row r="2004" spans="40:53" ht="15.75" customHeight="1">
      <c r="AN2004" s="418"/>
      <c r="AO2004" s="418"/>
      <c r="AP2004" s="418"/>
      <c r="AQ2004" s="418"/>
      <c r="AR2004" s="418"/>
      <c r="AS2004" s="418"/>
      <c r="AT2004" s="418"/>
      <c r="AU2004" s="418"/>
      <c r="AV2004" s="418"/>
      <c r="AW2004" s="418"/>
      <c r="AX2004" s="418"/>
      <c r="AY2004" s="418"/>
      <c r="AZ2004" s="418"/>
      <c r="BA2004" s="418"/>
    </row>
    <row r="2005" spans="40:53" ht="15.75" customHeight="1">
      <c r="AN2005" s="418"/>
      <c r="AO2005" s="418"/>
      <c r="AP2005" s="418"/>
      <c r="AQ2005" s="418"/>
      <c r="AR2005" s="418"/>
      <c r="AS2005" s="418"/>
      <c r="AT2005" s="418"/>
      <c r="AU2005" s="418"/>
      <c r="AV2005" s="418"/>
      <c r="AW2005" s="418"/>
      <c r="AX2005" s="418"/>
      <c r="AY2005" s="418"/>
      <c r="AZ2005" s="418"/>
      <c r="BA2005" s="418"/>
    </row>
    <row r="2006" spans="40:53" ht="15.75" customHeight="1">
      <c r="AN2006" s="418"/>
      <c r="AO2006" s="418"/>
      <c r="AP2006" s="418"/>
      <c r="AQ2006" s="418"/>
      <c r="AR2006" s="418"/>
      <c r="AS2006" s="418"/>
      <c r="AT2006" s="418"/>
      <c r="AU2006" s="418"/>
      <c r="AV2006" s="418"/>
      <c r="AW2006" s="418"/>
      <c r="AX2006" s="418"/>
      <c r="AY2006" s="418"/>
      <c r="AZ2006" s="418"/>
      <c r="BA2006" s="418"/>
    </row>
    <row r="2007" spans="40:53" ht="15.75" customHeight="1">
      <c r="AN2007" s="418"/>
      <c r="AO2007" s="418"/>
      <c r="AP2007" s="418"/>
      <c r="AQ2007" s="418"/>
      <c r="AR2007" s="418"/>
      <c r="AS2007" s="418"/>
      <c r="AT2007" s="418"/>
      <c r="AU2007" s="418"/>
      <c r="AV2007" s="418"/>
      <c r="AW2007" s="418"/>
      <c r="AX2007" s="418"/>
      <c r="AY2007" s="418"/>
      <c r="AZ2007" s="418"/>
      <c r="BA2007" s="418"/>
    </row>
    <row r="2008" spans="40:53" ht="15.75" customHeight="1">
      <c r="AN2008" s="418"/>
      <c r="AO2008" s="418"/>
      <c r="AP2008" s="418"/>
      <c r="AQ2008" s="418"/>
      <c r="AR2008" s="418"/>
      <c r="AS2008" s="418"/>
      <c r="AT2008" s="418"/>
      <c r="AU2008" s="418"/>
      <c r="AV2008" s="418"/>
      <c r="AW2008" s="418"/>
      <c r="AX2008" s="418"/>
      <c r="AY2008" s="418"/>
      <c r="AZ2008" s="418"/>
      <c r="BA2008" s="418"/>
    </row>
    <row r="2009" spans="40:53" ht="15.75" customHeight="1">
      <c r="AN2009" s="418"/>
      <c r="AO2009" s="418"/>
      <c r="AP2009" s="418"/>
      <c r="AQ2009" s="418"/>
      <c r="AR2009" s="418"/>
      <c r="AS2009" s="418"/>
      <c r="AT2009" s="418"/>
      <c r="AU2009" s="418"/>
      <c r="AV2009" s="418"/>
      <c r="AW2009" s="418"/>
      <c r="AX2009" s="418"/>
      <c r="AY2009" s="418"/>
      <c r="AZ2009" s="418"/>
      <c r="BA2009" s="418"/>
    </row>
    <row r="2010" spans="40:53" ht="15.75" customHeight="1">
      <c r="AN2010" s="418"/>
      <c r="AO2010" s="418"/>
      <c r="AP2010" s="418"/>
      <c r="AQ2010" s="418"/>
      <c r="AR2010" s="418"/>
      <c r="AS2010" s="418"/>
      <c r="AT2010" s="418"/>
      <c r="AU2010" s="418"/>
      <c r="AV2010" s="418"/>
      <c r="AW2010" s="418"/>
      <c r="AX2010" s="418"/>
      <c r="AY2010" s="418"/>
      <c r="AZ2010" s="418"/>
      <c r="BA2010" s="418"/>
    </row>
    <row r="2011" spans="40:53" ht="15.75" customHeight="1">
      <c r="AN2011" s="418"/>
      <c r="AO2011" s="418"/>
      <c r="AP2011" s="418"/>
      <c r="AQ2011" s="418"/>
      <c r="AR2011" s="418"/>
      <c r="AS2011" s="418"/>
      <c r="AT2011" s="418"/>
      <c r="AU2011" s="418"/>
      <c r="AV2011" s="418"/>
      <c r="AW2011" s="418"/>
      <c r="AX2011" s="418"/>
      <c r="AY2011" s="418"/>
      <c r="AZ2011" s="418"/>
      <c r="BA2011" s="418"/>
    </row>
    <row r="2012" spans="40:53" ht="15.75" customHeight="1">
      <c r="AN2012" s="418"/>
      <c r="AO2012" s="418"/>
      <c r="AP2012" s="418"/>
      <c r="AQ2012" s="418"/>
      <c r="AR2012" s="418"/>
      <c r="AS2012" s="418"/>
      <c r="AT2012" s="418"/>
      <c r="AU2012" s="418"/>
      <c r="AV2012" s="418"/>
      <c r="AW2012" s="418"/>
      <c r="AX2012" s="418"/>
      <c r="AY2012" s="418"/>
      <c r="AZ2012" s="418"/>
      <c r="BA2012" s="418"/>
    </row>
    <row r="2013" spans="40:53" ht="15.75" customHeight="1">
      <c r="AN2013" s="418"/>
      <c r="AO2013" s="418"/>
      <c r="AP2013" s="418"/>
      <c r="AQ2013" s="418"/>
      <c r="AR2013" s="418"/>
      <c r="AS2013" s="418"/>
      <c r="AT2013" s="418"/>
      <c r="AU2013" s="418"/>
      <c r="AV2013" s="418"/>
      <c r="AW2013" s="418"/>
      <c r="AX2013" s="418"/>
      <c r="AY2013" s="418"/>
      <c r="AZ2013" s="418"/>
      <c r="BA2013" s="418"/>
    </row>
    <row r="2014" spans="40:53" ht="15.75" customHeight="1">
      <c r="AN2014" s="418"/>
      <c r="AO2014" s="418"/>
      <c r="AP2014" s="418"/>
      <c r="AQ2014" s="418"/>
      <c r="AR2014" s="418"/>
      <c r="AS2014" s="418"/>
      <c r="AT2014" s="418"/>
      <c r="AU2014" s="418"/>
      <c r="AV2014" s="418"/>
      <c r="AW2014" s="418"/>
      <c r="AX2014" s="418"/>
      <c r="AY2014" s="418"/>
      <c r="AZ2014" s="418"/>
      <c r="BA2014" s="418"/>
    </row>
    <row r="2015" spans="40:53" ht="15.75" customHeight="1">
      <c r="AN2015" s="418"/>
      <c r="AO2015" s="418"/>
      <c r="AP2015" s="418"/>
      <c r="AQ2015" s="418"/>
      <c r="AR2015" s="418"/>
      <c r="AS2015" s="418"/>
      <c r="AT2015" s="418"/>
      <c r="AU2015" s="418"/>
      <c r="AV2015" s="418"/>
      <c r="AW2015" s="418"/>
      <c r="AX2015" s="418"/>
      <c r="AY2015" s="418"/>
      <c r="AZ2015" s="418"/>
      <c r="BA2015" s="418"/>
    </row>
    <row r="2016" spans="40:53" ht="15.75" customHeight="1">
      <c r="AN2016" s="418"/>
      <c r="AO2016" s="418"/>
      <c r="AP2016" s="418"/>
      <c r="AQ2016" s="418"/>
      <c r="AR2016" s="418"/>
      <c r="AS2016" s="418"/>
      <c r="AT2016" s="418"/>
      <c r="AU2016" s="418"/>
      <c r="AV2016" s="418"/>
      <c r="AW2016" s="418"/>
      <c r="AX2016" s="418"/>
      <c r="AY2016" s="418"/>
      <c r="AZ2016" s="418"/>
      <c r="BA2016" s="418"/>
    </row>
    <row r="2017" spans="40:53" ht="15.75" customHeight="1">
      <c r="AN2017" s="418"/>
      <c r="AO2017" s="418"/>
      <c r="AP2017" s="418"/>
      <c r="AQ2017" s="418"/>
      <c r="AR2017" s="418"/>
      <c r="AS2017" s="418"/>
      <c r="AT2017" s="418"/>
      <c r="AU2017" s="418"/>
      <c r="AV2017" s="418"/>
      <c r="AW2017" s="418"/>
      <c r="AX2017" s="418"/>
      <c r="AY2017" s="418"/>
      <c r="AZ2017" s="418"/>
      <c r="BA2017" s="418"/>
    </row>
    <row r="2018" spans="40:53" ht="15.75" customHeight="1">
      <c r="AN2018" s="418"/>
      <c r="AO2018" s="418"/>
      <c r="AP2018" s="418"/>
      <c r="AQ2018" s="418"/>
      <c r="AR2018" s="418"/>
      <c r="AS2018" s="418"/>
      <c r="AT2018" s="418"/>
      <c r="AU2018" s="418"/>
      <c r="AV2018" s="418"/>
      <c r="AW2018" s="418"/>
      <c r="AX2018" s="418"/>
      <c r="AY2018" s="418"/>
      <c r="AZ2018" s="418"/>
      <c r="BA2018" s="418"/>
    </row>
    <row r="2019" spans="40:53" ht="15.75" customHeight="1">
      <c r="AN2019" s="418"/>
      <c r="AO2019" s="418"/>
      <c r="AP2019" s="418"/>
      <c r="AQ2019" s="418"/>
      <c r="AR2019" s="418"/>
      <c r="AS2019" s="418"/>
      <c r="AT2019" s="418"/>
      <c r="AU2019" s="418"/>
      <c r="AV2019" s="418"/>
      <c r="AW2019" s="418"/>
      <c r="AX2019" s="418"/>
      <c r="AY2019" s="418"/>
      <c r="AZ2019" s="418"/>
      <c r="BA2019" s="418"/>
    </row>
    <row r="2020" spans="40:53" ht="15.75" customHeight="1">
      <c r="AN2020" s="418"/>
      <c r="AO2020" s="418"/>
      <c r="AP2020" s="418"/>
      <c r="AQ2020" s="418"/>
      <c r="AR2020" s="418"/>
      <c r="AS2020" s="418"/>
      <c r="AT2020" s="418"/>
      <c r="AU2020" s="418"/>
      <c r="AV2020" s="418"/>
      <c r="AW2020" s="418"/>
      <c r="AX2020" s="418"/>
      <c r="AY2020" s="418"/>
      <c r="AZ2020" s="418"/>
      <c r="BA2020" s="418"/>
    </row>
    <row r="2021" spans="40:53" ht="15.75" customHeight="1">
      <c r="AN2021" s="418"/>
      <c r="AO2021" s="418"/>
      <c r="AP2021" s="418"/>
      <c r="AQ2021" s="418"/>
      <c r="AR2021" s="418"/>
      <c r="AS2021" s="418"/>
      <c r="AT2021" s="418"/>
      <c r="AU2021" s="418"/>
      <c r="AV2021" s="418"/>
      <c r="AW2021" s="418"/>
      <c r="AX2021" s="418"/>
      <c r="AY2021" s="418"/>
      <c r="AZ2021" s="418"/>
      <c r="BA2021" s="418"/>
    </row>
    <row r="2022" spans="40:53" ht="15.75" customHeight="1">
      <c r="AN2022" s="418"/>
      <c r="AO2022" s="418"/>
      <c r="AP2022" s="418"/>
      <c r="AQ2022" s="418"/>
      <c r="AR2022" s="418"/>
      <c r="AS2022" s="418"/>
      <c r="AT2022" s="418"/>
      <c r="AU2022" s="418"/>
      <c r="AV2022" s="418"/>
      <c r="AW2022" s="418"/>
      <c r="AX2022" s="418"/>
      <c r="AY2022" s="418"/>
      <c r="AZ2022" s="418"/>
      <c r="BA2022" s="418"/>
    </row>
    <row r="2023" spans="40:53" ht="15.75" customHeight="1">
      <c r="AN2023" s="418"/>
      <c r="AO2023" s="418"/>
      <c r="AP2023" s="418"/>
      <c r="AQ2023" s="418"/>
      <c r="AR2023" s="418"/>
      <c r="AS2023" s="418"/>
      <c r="AT2023" s="418"/>
      <c r="AU2023" s="418"/>
      <c r="AV2023" s="418"/>
      <c r="AW2023" s="418"/>
      <c r="AX2023" s="418"/>
      <c r="AY2023" s="418"/>
      <c r="AZ2023" s="418"/>
      <c r="BA2023" s="418"/>
    </row>
    <row r="2024" spans="40:53" ht="15.75" customHeight="1">
      <c r="AN2024" s="418"/>
      <c r="AO2024" s="418"/>
      <c r="AP2024" s="418"/>
      <c r="AQ2024" s="418"/>
      <c r="AR2024" s="418"/>
      <c r="AS2024" s="418"/>
      <c r="AT2024" s="418"/>
      <c r="AU2024" s="418"/>
      <c r="AV2024" s="418"/>
      <c r="AW2024" s="418"/>
      <c r="AX2024" s="418"/>
      <c r="AY2024" s="418"/>
      <c r="AZ2024" s="418"/>
      <c r="BA2024" s="418"/>
    </row>
    <row r="2025" spans="40:53" ht="15.75" customHeight="1">
      <c r="AN2025" s="418"/>
      <c r="AO2025" s="418"/>
      <c r="AP2025" s="418"/>
      <c r="AQ2025" s="418"/>
      <c r="AR2025" s="418"/>
      <c r="AS2025" s="418"/>
      <c r="AT2025" s="418"/>
      <c r="AU2025" s="418"/>
      <c r="AV2025" s="418"/>
      <c r="AW2025" s="418"/>
      <c r="AX2025" s="418"/>
      <c r="AY2025" s="418"/>
      <c r="AZ2025" s="418"/>
      <c r="BA2025" s="418"/>
    </row>
    <row r="2026" spans="40:53" ht="15.75" customHeight="1">
      <c r="AN2026" s="418"/>
      <c r="AO2026" s="418"/>
      <c r="AP2026" s="418"/>
      <c r="AQ2026" s="418"/>
      <c r="AR2026" s="418"/>
      <c r="AS2026" s="418"/>
      <c r="AT2026" s="418"/>
      <c r="AU2026" s="418"/>
      <c r="AV2026" s="418"/>
      <c r="AW2026" s="418"/>
      <c r="AX2026" s="418"/>
      <c r="AY2026" s="418"/>
      <c r="AZ2026" s="418"/>
      <c r="BA2026" s="418"/>
    </row>
    <row r="2027" spans="40:53" ht="15.75" customHeight="1">
      <c r="AN2027" s="418"/>
      <c r="AO2027" s="418"/>
      <c r="AP2027" s="418"/>
      <c r="AQ2027" s="418"/>
      <c r="AR2027" s="418"/>
      <c r="AS2027" s="418"/>
      <c r="AT2027" s="418"/>
      <c r="AU2027" s="418"/>
      <c r="AV2027" s="418"/>
      <c r="AW2027" s="418"/>
      <c r="AX2027" s="418"/>
      <c r="AY2027" s="418"/>
      <c r="AZ2027" s="418"/>
      <c r="BA2027" s="418"/>
    </row>
    <row r="2028" spans="40:53" ht="15.75" customHeight="1">
      <c r="AN2028" s="418"/>
      <c r="AO2028" s="418"/>
      <c r="AP2028" s="418"/>
      <c r="AQ2028" s="418"/>
      <c r="AR2028" s="418"/>
      <c r="AS2028" s="418"/>
      <c r="AT2028" s="418"/>
      <c r="AU2028" s="418"/>
      <c r="AV2028" s="418"/>
      <c r="AW2028" s="418"/>
      <c r="AX2028" s="418"/>
      <c r="AY2028" s="418"/>
      <c r="AZ2028" s="418"/>
      <c r="BA2028" s="418"/>
    </row>
    <row r="2029" spans="40:53" ht="15.75" customHeight="1">
      <c r="AN2029" s="418"/>
      <c r="AO2029" s="418"/>
      <c r="AP2029" s="418"/>
      <c r="AQ2029" s="418"/>
      <c r="AR2029" s="418"/>
      <c r="AS2029" s="418"/>
      <c r="AT2029" s="418"/>
      <c r="AU2029" s="418"/>
      <c r="AV2029" s="418"/>
      <c r="AW2029" s="418"/>
      <c r="AX2029" s="418"/>
      <c r="AY2029" s="418"/>
      <c r="AZ2029" s="418"/>
      <c r="BA2029" s="418"/>
    </row>
    <row r="2030" spans="40:53" ht="15.75" customHeight="1">
      <c r="AN2030" s="418"/>
      <c r="AO2030" s="418"/>
      <c r="AP2030" s="418"/>
      <c r="AQ2030" s="418"/>
      <c r="AR2030" s="418"/>
      <c r="AS2030" s="418"/>
      <c r="AT2030" s="418"/>
      <c r="AU2030" s="418"/>
      <c r="AV2030" s="418"/>
      <c r="AW2030" s="418"/>
      <c r="AX2030" s="418"/>
      <c r="AY2030" s="418"/>
      <c r="AZ2030" s="418"/>
      <c r="BA2030" s="418"/>
    </row>
    <row r="2031" spans="40:53" ht="15.75" customHeight="1">
      <c r="AN2031" s="418"/>
      <c r="AO2031" s="418"/>
      <c r="AP2031" s="418"/>
      <c r="AQ2031" s="418"/>
      <c r="AR2031" s="418"/>
      <c r="AS2031" s="418"/>
      <c r="AT2031" s="418"/>
      <c r="AU2031" s="418"/>
      <c r="AV2031" s="418"/>
      <c r="AW2031" s="418"/>
      <c r="AX2031" s="418"/>
      <c r="AY2031" s="418"/>
      <c r="AZ2031" s="418"/>
      <c r="BA2031" s="418"/>
    </row>
    <row r="2032" spans="40:53" ht="15.75" customHeight="1">
      <c r="AN2032" s="418"/>
      <c r="AO2032" s="418"/>
      <c r="AP2032" s="418"/>
      <c r="AQ2032" s="418"/>
      <c r="AR2032" s="418"/>
      <c r="AS2032" s="418"/>
      <c r="AT2032" s="418"/>
      <c r="AU2032" s="418"/>
      <c r="AV2032" s="418"/>
      <c r="AW2032" s="418"/>
      <c r="AX2032" s="418"/>
      <c r="AY2032" s="418"/>
      <c r="AZ2032" s="418"/>
      <c r="BA2032" s="418"/>
    </row>
    <row r="2033" spans="40:53" ht="15.75" customHeight="1">
      <c r="AN2033" s="418"/>
      <c r="AO2033" s="418"/>
      <c r="AP2033" s="418"/>
      <c r="AQ2033" s="418"/>
      <c r="AR2033" s="418"/>
      <c r="AS2033" s="418"/>
      <c r="AT2033" s="418"/>
      <c r="AU2033" s="418"/>
      <c r="AV2033" s="418"/>
      <c r="AW2033" s="418"/>
      <c r="AX2033" s="418"/>
      <c r="AY2033" s="418"/>
      <c r="AZ2033" s="418"/>
      <c r="BA2033" s="418"/>
    </row>
    <row r="2034" spans="40:53" ht="15.75" customHeight="1">
      <c r="AN2034" s="418"/>
      <c r="AO2034" s="418"/>
      <c r="AP2034" s="418"/>
      <c r="AQ2034" s="418"/>
      <c r="AR2034" s="418"/>
      <c r="AS2034" s="418"/>
      <c r="AT2034" s="418"/>
      <c r="AU2034" s="418"/>
      <c r="AV2034" s="418"/>
      <c r="AW2034" s="418"/>
      <c r="AX2034" s="418"/>
      <c r="AY2034" s="418"/>
      <c r="AZ2034" s="418"/>
      <c r="BA2034" s="418"/>
    </row>
    <row r="2035" spans="40:53" ht="15.75" customHeight="1">
      <c r="AN2035" s="418"/>
      <c r="AO2035" s="418"/>
      <c r="AP2035" s="418"/>
      <c r="AQ2035" s="418"/>
      <c r="AR2035" s="418"/>
      <c r="AS2035" s="418"/>
      <c r="AT2035" s="418"/>
      <c r="AU2035" s="418"/>
      <c r="AV2035" s="418"/>
      <c r="AW2035" s="418"/>
      <c r="AX2035" s="418"/>
      <c r="AY2035" s="418"/>
      <c r="AZ2035" s="418"/>
      <c r="BA2035" s="418"/>
    </row>
    <row r="2036" spans="40:53" ht="15.75" customHeight="1">
      <c r="AN2036" s="418"/>
      <c r="AO2036" s="418"/>
      <c r="AP2036" s="418"/>
      <c r="AQ2036" s="418"/>
      <c r="AR2036" s="418"/>
      <c r="AS2036" s="418"/>
      <c r="AT2036" s="418"/>
      <c r="AU2036" s="418"/>
      <c r="AV2036" s="418"/>
      <c r="AW2036" s="418"/>
      <c r="AX2036" s="418"/>
      <c r="AY2036" s="418"/>
      <c r="AZ2036" s="418"/>
      <c r="BA2036" s="418"/>
    </row>
    <row r="2037" spans="40:53" ht="15.75" customHeight="1">
      <c r="AN2037" s="418"/>
      <c r="AO2037" s="418"/>
      <c r="AP2037" s="418"/>
      <c r="AQ2037" s="418"/>
      <c r="AR2037" s="418"/>
      <c r="AS2037" s="418"/>
      <c r="AT2037" s="418"/>
      <c r="AU2037" s="418"/>
      <c r="AV2037" s="418"/>
      <c r="AW2037" s="418"/>
      <c r="AX2037" s="418"/>
      <c r="AY2037" s="418"/>
      <c r="AZ2037" s="418"/>
      <c r="BA2037" s="418"/>
    </row>
    <row r="2038" spans="40:53" ht="15.75" customHeight="1">
      <c r="AN2038" s="418"/>
      <c r="AO2038" s="418"/>
      <c r="AP2038" s="418"/>
      <c r="AQ2038" s="418"/>
      <c r="AR2038" s="418"/>
      <c r="AS2038" s="418"/>
      <c r="AT2038" s="418"/>
      <c r="AU2038" s="418"/>
      <c r="AV2038" s="418"/>
      <c r="AW2038" s="418"/>
      <c r="AX2038" s="418"/>
      <c r="AY2038" s="418"/>
      <c r="AZ2038" s="418"/>
      <c r="BA2038" s="418"/>
    </row>
    <row r="2039" spans="40:53" ht="15.75" customHeight="1">
      <c r="AN2039" s="418"/>
      <c r="AO2039" s="418"/>
      <c r="AP2039" s="418"/>
      <c r="AQ2039" s="418"/>
      <c r="AR2039" s="418"/>
      <c r="AS2039" s="418"/>
      <c r="AT2039" s="418"/>
      <c r="AU2039" s="418"/>
      <c r="AV2039" s="418"/>
      <c r="AW2039" s="418"/>
      <c r="AX2039" s="418"/>
      <c r="AY2039" s="418"/>
      <c r="AZ2039" s="418"/>
      <c r="BA2039" s="418"/>
    </row>
    <row r="2040" spans="40:53" ht="15.75" customHeight="1">
      <c r="AN2040" s="418"/>
      <c r="AO2040" s="418"/>
      <c r="AP2040" s="418"/>
      <c r="AQ2040" s="418"/>
      <c r="AR2040" s="418"/>
      <c r="AS2040" s="418"/>
      <c r="AT2040" s="418"/>
      <c r="AU2040" s="418"/>
      <c r="AV2040" s="418"/>
      <c r="AW2040" s="418"/>
      <c r="AX2040" s="418"/>
      <c r="AY2040" s="418"/>
      <c r="AZ2040" s="418"/>
      <c r="BA2040" s="418"/>
    </row>
    <row r="2041" spans="40:53" ht="15.75" customHeight="1">
      <c r="AN2041" s="418"/>
      <c r="AO2041" s="418"/>
      <c r="AP2041" s="418"/>
      <c r="AQ2041" s="418"/>
      <c r="AR2041" s="418"/>
      <c r="AS2041" s="418"/>
      <c r="AT2041" s="418"/>
      <c r="AU2041" s="418"/>
      <c r="AV2041" s="418"/>
      <c r="AW2041" s="418"/>
      <c r="AX2041" s="418"/>
      <c r="AY2041" s="418"/>
      <c r="AZ2041" s="418"/>
      <c r="BA2041" s="418"/>
    </row>
    <row r="2042" spans="40:53" ht="15.75" customHeight="1">
      <c r="AN2042" s="418"/>
      <c r="AO2042" s="418"/>
      <c r="AP2042" s="418"/>
      <c r="AQ2042" s="418"/>
      <c r="AR2042" s="418"/>
      <c r="AS2042" s="418"/>
      <c r="AT2042" s="418"/>
      <c r="AU2042" s="418"/>
      <c r="AV2042" s="418"/>
      <c r="AW2042" s="418"/>
      <c r="AX2042" s="418"/>
      <c r="AY2042" s="418"/>
      <c r="AZ2042" s="418"/>
      <c r="BA2042" s="418"/>
    </row>
    <row r="2043" spans="40:53" ht="15.75" customHeight="1">
      <c r="AN2043" s="418"/>
      <c r="AO2043" s="418"/>
      <c r="AP2043" s="418"/>
      <c r="AQ2043" s="418"/>
      <c r="AR2043" s="418"/>
      <c r="AS2043" s="418"/>
      <c r="AT2043" s="418"/>
      <c r="AU2043" s="418"/>
      <c r="AV2043" s="418"/>
      <c r="AW2043" s="418"/>
      <c r="AX2043" s="418"/>
      <c r="AY2043" s="418"/>
      <c r="AZ2043" s="418"/>
      <c r="BA2043" s="418"/>
    </row>
    <row r="2044" spans="40:53" ht="15.75" customHeight="1">
      <c r="AN2044" s="418"/>
      <c r="AO2044" s="418"/>
      <c r="AP2044" s="418"/>
      <c r="AQ2044" s="418"/>
      <c r="AR2044" s="418"/>
      <c r="AS2044" s="418"/>
      <c r="AT2044" s="418"/>
      <c r="AU2044" s="418"/>
      <c r="AV2044" s="418"/>
      <c r="AW2044" s="418"/>
      <c r="AX2044" s="418"/>
      <c r="AY2044" s="418"/>
      <c r="AZ2044" s="418"/>
      <c r="BA2044" s="418"/>
    </row>
    <row r="2045" spans="40:53" ht="15.75" customHeight="1">
      <c r="AN2045" s="418"/>
      <c r="AO2045" s="418"/>
      <c r="AP2045" s="418"/>
      <c r="AQ2045" s="418"/>
      <c r="AR2045" s="418"/>
      <c r="AS2045" s="418"/>
      <c r="AT2045" s="418"/>
      <c r="AU2045" s="418"/>
      <c r="AV2045" s="418"/>
      <c r="AW2045" s="418"/>
      <c r="AX2045" s="418"/>
      <c r="AY2045" s="418"/>
      <c r="AZ2045" s="418"/>
      <c r="BA2045" s="418"/>
    </row>
    <row r="2046" spans="40:53" ht="15.75" customHeight="1">
      <c r="AN2046" s="418"/>
      <c r="AO2046" s="418"/>
      <c r="AP2046" s="418"/>
      <c r="AQ2046" s="418"/>
      <c r="AR2046" s="418"/>
      <c r="AS2046" s="418"/>
      <c r="AT2046" s="418"/>
      <c r="AU2046" s="418"/>
      <c r="AV2046" s="418"/>
      <c r="AW2046" s="418"/>
      <c r="AX2046" s="418"/>
      <c r="AY2046" s="418"/>
      <c r="AZ2046" s="418"/>
      <c r="BA2046" s="418"/>
    </row>
    <row r="2047" spans="40:53" ht="15.75" customHeight="1">
      <c r="AN2047" s="418"/>
      <c r="AO2047" s="418"/>
      <c r="AP2047" s="418"/>
      <c r="AQ2047" s="418"/>
      <c r="AR2047" s="418"/>
      <c r="AS2047" s="418"/>
      <c r="AT2047" s="418"/>
      <c r="AU2047" s="418"/>
      <c r="AV2047" s="418"/>
      <c r="AW2047" s="418"/>
      <c r="AX2047" s="418"/>
      <c r="AY2047" s="418"/>
      <c r="AZ2047" s="418"/>
      <c r="BA2047" s="418"/>
    </row>
    <row r="2048" spans="40:53" ht="15.75" customHeight="1">
      <c r="AN2048" s="418"/>
      <c r="AO2048" s="418"/>
      <c r="AP2048" s="418"/>
      <c r="AQ2048" s="418"/>
      <c r="AR2048" s="418"/>
      <c r="AS2048" s="418"/>
      <c r="AT2048" s="418"/>
      <c r="AU2048" s="418"/>
      <c r="AV2048" s="418"/>
      <c r="AW2048" s="418"/>
      <c r="AX2048" s="418"/>
      <c r="AY2048" s="418"/>
      <c r="AZ2048" s="418"/>
      <c r="BA2048" s="418"/>
    </row>
    <row r="2049" spans="40:53" ht="15.75" customHeight="1">
      <c r="AN2049" s="418"/>
      <c r="AO2049" s="418"/>
      <c r="AP2049" s="418"/>
      <c r="AQ2049" s="418"/>
      <c r="AR2049" s="418"/>
      <c r="AS2049" s="418"/>
      <c r="AT2049" s="418"/>
      <c r="AU2049" s="418"/>
      <c r="AV2049" s="418"/>
      <c r="AW2049" s="418"/>
      <c r="AX2049" s="418"/>
      <c r="AY2049" s="418"/>
      <c r="AZ2049" s="418"/>
      <c r="BA2049" s="418"/>
    </row>
    <row r="2050" spans="40:53" ht="15.75" customHeight="1">
      <c r="AN2050" s="418"/>
      <c r="AO2050" s="418"/>
      <c r="AP2050" s="418"/>
      <c r="AQ2050" s="418"/>
      <c r="AR2050" s="418"/>
      <c r="AS2050" s="418"/>
      <c r="AT2050" s="418"/>
      <c r="AU2050" s="418"/>
      <c r="AV2050" s="418"/>
      <c r="AW2050" s="418"/>
      <c r="AX2050" s="418"/>
      <c r="AY2050" s="418"/>
      <c r="AZ2050" s="418"/>
      <c r="BA2050" s="418"/>
    </row>
    <row r="2051" spans="40:53" ht="15.75" customHeight="1">
      <c r="AN2051" s="418"/>
      <c r="AO2051" s="418"/>
      <c r="AP2051" s="418"/>
      <c r="AQ2051" s="418"/>
      <c r="AR2051" s="418"/>
      <c r="AS2051" s="418"/>
      <c r="AT2051" s="418"/>
      <c r="AU2051" s="418"/>
      <c r="AV2051" s="418"/>
      <c r="AW2051" s="418"/>
      <c r="AX2051" s="418"/>
      <c r="AY2051" s="418"/>
      <c r="AZ2051" s="418"/>
      <c r="BA2051" s="418"/>
    </row>
    <row r="2052" spans="40:53" ht="15.75" customHeight="1">
      <c r="AN2052" s="418"/>
      <c r="AO2052" s="418"/>
      <c r="AP2052" s="418"/>
      <c r="AQ2052" s="418"/>
      <c r="AR2052" s="418"/>
      <c r="AS2052" s="418"/>
      <c r="AT2052" s="418"/>
      <c r="AU2052" s="418"/>
      <c r="AV2052" s="418"/>
      <c r="AW2052" s="418"/>
      <c r="AX2052" s="418"/>
      <c r="AY2052" s="418"/>
      <c r="AZ2052" s="418"/>
      <c r="BA2052" s="418"/>
    </row>
    <row r="2053" spans="40:53" ht="15.75" customHeight="1">
      <c r="AN2053" s="418"/>
      <c r="AO2053" s="418"/>
      <c r="AP2053" s="418"/>
      <c r="AQ2053" s="418"/>
      <c r="AR2053" s="418"/>
      <c r="AS2053" s="418"/>
      <c r="AT2053" s="418"/>
      <c r="AU2053" s="418"/>
      <c r="AV2053" s="418"/>
      <c r="AW2053" s="418"/>
      <c r="AX2053" s="418"/>
      <c r="AY2053" s="418"/>
      <c r="AZ2053" s="418"/>
      <c r="BA2053" s="418"/>
    </row>
    <row r="2054" spans="40:53" ht="15.75" customHeight="1">
      <c r="AN2054" s="418"/>
      <c r="AO2054" s="418"/>
      <c r="AP2054" s="418"/>
      <c r="AQ2054" s="418"/>
      <c r="AR2054" s="418"/>
      <c r="AS2054" s="418"/>
      <c r="AT2054" s="418"/>
      <c r="AU2054" s="418"/>
      <c r="AV2054" s="418"/>
      <c r="AW2054" s="418"/>
      <c r="AX2054" s="418"/>
      <c r="AY2054" s="418"/>
      <c r="AZ2054" s="418"/>
      <c r="BA2054" s="418"/>
    </row>
    <row r="2055" spans="40:53" ht="15.75" customHeight="1">
      <c r="AN2055" s="418"/>
      <c r="AO2055" s="418"/>
      <c r="AP2055" s="418"/>
      <c r="AQ2055" s="418"/>
      <c r="AR2055" s="418"/>
      <c r="AS2055" s="418"/>
      <c r="AT2055" s="418"/>
      <c r="AU2055" s="418"/>
      <c r="AV2055" s="418"/>
      <c r="AW2055" s="418"/>
      <c r="AX2055" s="418"/>
      <c r="AY2055" s="418"/>
      <c r="AZ2055" s="418"/>
      <c r="BA2055" s="418"/>
    </row>
    <row r="2056" spans="40:53" ht="15.75" customHeight="1">
      <c r="AN2056" s="418"/>
      <c r="AO2056" s="418"/>
      <c r="AP2056" s="418"/>
      <c r="AQ2056" s="418"/>
      <c r="AR2056" s="418"/>
      <c r="AS2056" s="418"/>
      <c r="AT2056" s="418"/>
      <c r="AU2056" s="418"/>
      <c r="AV2056" s="418"/>
      <c r="AW2056" s="418"/>
      <c r="AX2056" s="418"/>
      <c r="AY2056" s="418"/>
      <c r="AZ2056" s="418"/>
      <c r="BA2056" s="418"/>
    </row>
    <row r="2057" spans="40:53" ht="15.75" customHeight="1">
      <c r="AN2057" s="418"/>
      <c r="AO2057" s="418"/>
      <c r="AP2057" s="418"/>
      <c r="AQ2057" s="418"/>
      <c r="AR2057" s="418"/>
      <c r="AS2057" s="418"/>
      <c r="AT2057" s="418"/>
      <c r="AU2057" s="418"/>
      <c r="AV2057" s="418"/>
      <c r="AW2057" s="418"/>
      <c r="AX2057" s="418"/>
      <c r="AY2057" s="418"/>
      <c r="AZ2057" s="418"/>
      <c r="BA2057" s="418"/>
    </row>
    <row r="2058" spans="40:53" ht="15.75" customHeight="1">
      <c r="AN2058" s="418"/>
      <c r="AO2058" s="418"/>
      <c r="AP2058" s="418"/>
      <c r="AQ2058" s="418"/>
      <c r="AR2058" s="418"/>
      <c r="AS2058" s="418"/>
      <c r="AT2058" s="418"/>
      <c r="AU2058" s="418"/>
      <c r="AV2058" s="418"/>
      <c r="AW2058" s="418"/>
      <c r="AX2058" s="418"/>
      <c r="AY2058" s="418"/>
      <c r="AZ2058" s="418"/>
      <c r="BA2058" s="418"/>
    </row>
    <row r="2059" spans="40:53" ht="15.75" customHeight="1">
      <c r="AN2059" s="418"/>
      <c r="AO2059" s="418"/>
      <c r="AP2059" s="418"/>
      <c r="AQ2059" s="418"/>
      <c r="AR2059" s="418"/>
      <c r="AS2059" s="418"/>
      <c r="AT2059" s="418"/>
      <c r="AU2059" s="418"/>
      <c r="AV2059" s="418"/>
      <c r="AW2059" s="418"/>
      <c r="AX2059" s="418"/>
      <c r="AY2059" s="418"/>
      <c r="AZ2059" s="418"/>
      <c r="BA2059" s="418"/>
    </row>
    <row r="2060" spans="40:53" ht="15.75" customHeight="1">
      <c r="AN2060" s="418"/>
      <c r="AO2060" s="418"/>
      <c r="AP2060" s="418"/>
      <c r="AQ2060" s="418"/>
      <c r="AR2060" s="418"/>
      <c r="AS2060" s="418"/>
      <c r="AT2060" s="418"/>
      <c r="AU2060" s="418"/>
      <c r="AV2060" s="418"/>
      <c r="AW2060" s="418"/>
      <c r="AX2060" s="418"/>
      <c r="AY2060" s="418"/>
      <c r="AZ2060" s="418"/>
      <c r="BA2060" s="418"/>
    </row>
    <row r="2061" spans="40:53" ht="15.75" customHeight="1">
      <c r="AN2061" s="418"/>
      <c r="AO2061" s="418"/>
      <c r="AP2061" s="418"/>
      <c r="AQ2061" s="418"/>
      <c r="AR2061" s="418"/>
      <c r="AS2061" s="418"/>
      <c r="AT2061" s="418"/>
      <c r="AU2061" s="418"/>
      <c r="AV2061" s="418"/>
      <c r="AW2061" s="418"/>
      <c r="AX2061" s="418"/>
      <c r="AY2061" s="418"/>
      <c r="AZ2061" s="418"/>
      <c r="BA2061" s="418"/>
    </row>
    <row r="2062" spans="40:53" ht="15.75" customHeight="1">
      <c r="AN2062" s="418"/>
      <c r="AO2062" s="418"/>
      <c r="AP2062" s="418"/>
      <c r="AQ2062" s="418"/>
      <c r="AR2062" s="418"/>
      <c r="AS2062" s="418"/>
      <c r="AT2062" s="418"/>
      <c r="AU2062" s="418"/>
      <c r="AV2062" s="418"/>
      <c r="AW2062" s="418"/>
      <c r="AX2062" s="418"/>
      <c r="AY2062" s="418"/>
      <c r="AZ2062" s="418"/>
      <c r="BA2062" s="418"/>
    </row>
    <row r="2063" spans="40:53" ht="15.75" customHeight="1">
      <c r="AN2063" s="418"/>
      <c r="AO2063" s="418"/>
      <c r="AP2063" s="418"/>
      <c r="AQ2063" s="418"/>
      <c r="AR2063" s="418"/>
      <c r="AS2063" s="418"/>
      <c r="AT2063" s="418"/>
      <c r="AU2063" s="418"/>
      <c r="AV2063" s="418"/>
      <c r="AW2063" s="418"/>
      <c r="AX2063" s="418"/>
      <c r="AY2063" s="418"/>
      <c r="AZ2063" s="418"/>
      <c r="BA2063" s="418"/>
    </row>
    <row r="2064" spans="40:53" ht="15.75" customHeight="1">
      <c r="AN2064" s="418"/>
      <c r="AO2064" s="418"/>
      <c r="AP2064" s="418"/>
      <c r="AQ2064" s="418"/>
      <c r="AR2064" s="418"/>
      <c r="AS2064" s="418"/>
      <c r="AT2064" s="418"/>
      <c r="AU2064" s="418"/>
      <c r="AV2064" s="418"/>
      <c r="AW2064" s="418"/>
      <c r="AX2064" s="418"/>
      <c r="AY2064" s="418"/>
      <c r="AZ2064" s="418"/>
      <c r="BA2064" s="418"/>
    </row>
    <row r="2065" spans="40:53" ht="15.75" customHeight="1">
      <c r="AN2065" s="418"/>
      <c r="AO2065" s="418"/>
      <c r="AP2065" s="418"/>
      <c r="AQ2065" s="418"/>
      <c r="AR2065" s="418"/>
      <c r="AS2065" s="418"/>
      <c r="AT2065" s="418"/>
      <c r="AU2065" s="418"/>
      <c r="AV2065" s="418"/>
      <c r="AW2065" s="418"/>
      <c r="AX2065" s="418"/>
      <c r="AY2065" s="418"/>
      <c r="AZ2065" s="418"/>
      <c r="BA2065" s="418"/>
    </row>
    <row r="2066" spans="40:53" ht="15.75" customHeight="1">
      <c r="AN2066" s="418"/>
      <c r="AO2066" s="418"/>
      <c r="AP2066" s="418"/>
      <c r="AQ2066" s="418"/>
      <c r="AR2066" s="418"/>
      <c r="AS2066" s="418"/>
      <c r="AT2066" s="418"/>
      <c r="AU2066" s="418"/>
      <c r="AV2066" s="418"/>
      <c r="AW2066" s="418"/>
      <c r="AX2066" s="418"/>
      <c r="AY2066" s="418"/>
      <c r="AZ2066" s="418"/>
      <c r="BA2066" s="418"/>
    </row>
    <row r="2067" spans="40:53" ht="15.75" customHeight="1">
      <c r="AN2067" s="418"/>
      <c r="AO2067" s="418"/>
      <c r="AP2067" s="418"/>
      <c r="AQ2067" s="418"/>
      <c r="AR2067" s="418"/>
      <c r="AS2067" s="418"/>
      <c r="AT2067" s="418"/>
      <c r="AU2067" s="418"/>
      <c r="AV2067" s="418"/>
      <c r="AW2067" s="418"/>
      <c r="AX2067" s="418"/>
      <c r="AY2067" s="418"/>
      <c r="AZ2067" s="418"/>
      <c r="BA2067" s="418"/>
    </row>
    <row r="2068" spans="40:53" ht="15.75" customHeight="1">
      <c r="AN2068" s="418"/>
      <c r="AO2068" s="418"/>
      <c r="AP2068" s="418"/>
      <c r="AQ2068" s="418"/>
      <c r="AR2068" s="418"/>
      <c r="AS2068" s="418"/>
      <c r="AT2068" s="418"/>
      <c r="AU2068" s="418"/>
      <c r="AV2068" s="418"/>
      <c r="AW2068" s="418"/>
      <c r="AX2068" s="418"/>
      <c r="AY2068" s="418"/>
      <c r="AZ2068" s="418"/>
      <c r="BA2068" s="418"/>
    </row>
    <row r="2069" spans="40:53" ht="15.75" customHeight="1">
      <c r="AN2069" s="418"/>
      <c r="AO2069" s="418"/>
      <c r="AP2069" s="418"/>
      <c r="AQ2069" s="418"/>
      <c r="AR2069" s="418"/>
      <c r="AS2069" s="418"/>
      <c r="AT2069" s="418"/>
      <c r="AU2069" s="418"/>
      <c r="AV2069" s="418"/>
      <c r="AW2069" s="418"/>
      <c r="AX2069" s="418"/>
      <c r="AY2069" s="418"/>
      <c r="AZ2069" s="418"/>
      <c r="BA2069" s="418"/>
    </row>
    <row r="2070" spans="40:53" ht="15.75" customHeight="1">
      <c r="AN2070" s="418"/>
      <c r="AO2070" s="418"/>
      <c r="AP2070" s="418"/>
      <c r="AQ2070" s="418"/>
      <c r="AR2070" s="418"/>
      <c r="AS2070" s="418"/>
      <c r="AT2070" s="418"/>
      <c r="AU2070" s="418"/>
      <c r="AV2070" s="418"/>
      <c r="AW2070" s="418"/>
      <c r="AX2070" s="418"/>
      <c r="AY2070" s="418"/>
      <c r="AZ2070" s="418"/>
      <c r="BA2070" s="418"/>
    </row>
    <row r="2071" spans="40:53" ht="15.75" customHeight="1">
      <c r="AN2071" s="418"/>
      <c r="AO2071" s="418"/>
      <c r="AP2071" s="418"/>
      <c r="AQ2071" s="418"/>
      <c r="AR2071" s="418"/>
      <c r="AS2071" s="418"/>
      <c r="AT2071" s="418"/>
      <c r="AU2071" s="418"/>
      <c r="AV2071" s="418"/>
      <c r="AW2071" s="418"/>
      <c r="AX2071" s="418"/>
      <c r="AY2071" s="418"/>
      <c r="AZ2071" s="418"/>
      <c r="BA2071" s="418"/>
    </row>
    <row r="2072" spans="40:53" ht="15.75" customHeight="1">
      <c r="AN2072" s="418"/>
      <c r="AO2072" s="418"/>
      <c r="AP2072" s="418"/>
      <c r="AQ2072" s="418"/>
      <c r="AR2072" s="418"/>
      <c r="AS2072" s="418"/>
      <c r="AT2072" s="418"/>
      <c r="AU2072" s="418"/>
      <c r="AV2072" s="418"/>
      <c r="AW2072" s="418"/>
      <c r="AX2072" s="418"/>
      <c r="AY2072" s="418"/>
      <c r="AZ2072" s="418"/>
      <c r="BA2072" s="418"/>
    </row>
    <row r="2073" spans="40:53" ht="15.75" customHeight="1">
      <c r="AN2073" s="418"/>
      <c r="AO2073" s="418"/>
      <c r="AP2073" s="418"/>
      <c r="AQ2073" s="418"/>
      <c r="AR2073" s="418"/>
      <c r="AS2073" s="418"/>
      <c r="AT2073" s="418"/>
      <c r="AU2073" s="418"/>
      <c r="AV2073" s="418"/>
      <c r="AW2073" s="418"/>
      <c r="AX2073" s="418"/>
      <c r="AY2073" s="418"/>
      <c r="AZ2073" s="418"/>
      <c r="BA2073" s="418"/>
    </row>
    <row r="2074" spans="40:53" ht="15.75" customHeight="1">
      <c r="AN2074" s="418"/>
      <c r="AO2074" s="418"/>
      <c r="AP2074" s="418"/>
      <c r="AQ2074" s="418"/>
      <c r="AR2074" s="418"/>
      <c r="AS2074" s="418"/>
      <c r="AT2074" s="418"/>
      <c r="AU2074" s="418"/>
      <c r="AV2074" s="418"/>
      <c r="AW2074" s="418"/>
      <c r="AX2074" s="418"/>
      <c r="AY2074" s="418"/>
      <c r="AZ2074" s="418"/>
      <c r="BA2074" s="418"/>
    </row>
    <row r="2075" spans="40:53" ht="15.75" customHeight="1">
      <c r="AN2075" s="418"/>
      <c r="AO2075" s="418"/>
      <c r="AP2075" s="418"/>
      <c r="AQ2075" s="418"/>
      <c r="AR2075" s="418"/>
      <c r="AS2075" s="418"/>
      <c r="AT2075" s="418"/>
      <c r="AU2075" s="418"/>
      <c r="AV2075" s="418"/>
      <c r="AW2075" s="418"/>
      <c r="AX2075" s="418"/>
      <c r="AY2075" s="418"/>
      <c r="AZ2075" s="418"/>
      <c r="BA2075" s="418"/>
    </row>
    <row r="2076" spans="40:53" ht="15.75" customHeight="1">
      <c r="AN2076" s="418"/>
      <c r="AO2076" s="418"/>
      <c r="AP2076" s="418"/>
      <c r="AQ2076" s="418"/>
      <c r="AR2076" s="418"/>
      <c r="AS2076" s="418"/>
      <c r="AT2076" s="418"/>
      <c r="AU2076" s="418"/>
      <c r="AV2076" s="418"/>
      <c r="AW2076" s="418"/>
      <c r="AX2076" s="418"/>
      <c r="AY2076" s="418"/>
      <c r="AZ2076" s="418"/>
      <c r="BA2076" s="418"/>
    </row>
    <row r="2077" spans="40:53" ht="15.75" customHeight="1">
      <c r="AN2077" s="418"/>
      <c r="AO2077" s="418"/>
      <c r="AP2077" s="418"/>
      <c r="AQ2077" s="418"/>
      <c r="AR2077" s="418"/>
      <c r="AS2077" s="418"/>
      <c r="AT2077" s="418"/>
      <c r="AU2077" s="418"/>
      <c r="AV2077" s="418"/>
      <c r="AW2077" s="418"/>
      <c r="AX2077" s="418"/>
      <c r="AY2077" s="418"/>
      <c r="AZ2077" s="418"/>
      <c r="BA2077" s="418"/>
    </row>
    <row r="2078" spans="40:53" ht="15.75" customHeight="1">
      <c r="AN2078" s="418"/>
      <c r="AO2078" s="418"/>
      <c r="AP2078" s="418"/>
      <c r="AQ2078" s="418"/>
      <c r="AR2078" s="418"/>
      <c r="AS2078" s="418"/>
      <c r="AT2078" s="418"/>
      <c r="AU2078" s="418"/>
      <c r="AV2078" s="418"/>
      <c r="AW2078" s="418"/>
      <c r="AX2078" s="418"/>
      <c r="AY2078" s="418"/>
      <c r="AZ2078" s="418"/>
      <c r="BA2078" s="418"/>
    </row>
    <row r="2079" spans="40:53" ht="15.75" customHeight="1">
      <c r="AN2079" s="418"/>
      <c r="AO2079" s="418"/>
      <c r="AP2079" s="418"/>
      <c r="AQ2079" s="418"/>
      <c r="AR2079" s="418"/>
      <c r="AS2079" s="418"/>
      <c r="AT2079" s="418"/>
      <c r="AU2079" s="418"/>
      <c r="AV2079" s="418"/>
      <c r="AW2079" s="418"/>
      <c r="AX2079" s="418"/>
      <c r="AY2079" s="418"/>
      <c r="AZ2079" s="418"/>
      <c r="BA2079" s="418"/>
    </row>
    <row r="2080" spans="40:53" ht="15.75" customHeight="1">
      <c r="AN2080" s="418"/>
      <c r="AO2080" s="418"/>
      <c r="AP2080" s="418"/>
      <c r="AQ2080" s="418"/>
      <c r="AR2080" s="418"/>
      <c r="AS2080" s="418"/>
      <c r="AT2080" s="418"/>
      <c r="AU2080" s="418"/>
      <c r="AV2080" s="418"/>
      <c r="AW2080" s="418"/>
      <c r="AX2080" s="418"/>
      <c r="AY2080" s="418"/>
      <c r="AZ2080" s="418"/>
      <c r="BA2080" s="418"/>
    </row>
    <row r="2081" spans="40:53" ht="15.75" customHeight="1">
      <c r="AN2081" s="418"/>
      <c r="AO2081" s="418"/>
      <c r="AP2081" s="418"/>
      <c r="AQ2081" s="418"/>
      <c r="AR2081" s="418"/>
      <c r="AS2081" s="418"/>
      <c r="AT2081" s="418"/>
      <c r="AU2081" s="418"/>
      <c r="AV2081" s="418"/>
      <c r="AW2081" s="418"/>
      <c r="AX2081" s="418"/>
      <c r="AY2081" s="418"/>
      <c r="AZ2081" s="418"/>
      <c r="BA2081" s="418"/>
    </row>
    <row r="2082" spans="40:53" ht="15.75" customHeight="1">
      <c r="AN2082" s="418"/>
      <c r="AO2082" s="418"/>
      <c r="AP2082" s="418"/>
      <c r="AQ2082" s="418"/>
      <c r="AR2082" s="418"/>
      <c r="AS2082" s="418"/>
      <c r="AT2082" s="418"/>
      <c r="AU2082" s="418"/>
      <c r="AV2082" s="418"/>
      <c r="AW2082" s="418"/>
      <c r="AX2082" s="418"/>
      <c r="AY2082" s="418"/>
      <c r="AZ2082" s="418"/>
      <c r="BA2082" s="418"/>
    </row>
    <row r="2083" spans="40:53" ht="15.75" customHeight="1">
      <c r="AN2083" s="418"/>
      <c r="AO2083" s="418"/>
      <c r="AP2083" s="418"/>
      <c r="AQ2083" s="418"/>
      <c r="AR2083" s="418"/>
      <c r="AS2083" s="418"/>
      <c r="AT2083" s="418"/>
      <c r="AU2083" s="418"/>
      <c r="AV2083" s="418"/>
      <c r="AW2083" s="418"/>
      <c r="AX2083" s="418"/>
      <c r="AY2083" s="418"/>
      <c r="AZ2083" s="418"/>
      <c r="BA2083" s="418"/>
    </row>
    <row r="2084" spans="40:53" ht="15.75" customHeight="1">
      <c r="AN2084" s="418"/>
      <c r="AO2084" s="418"/>
      <c r="AP2084" s="418"/>
      <c r="AQ2084" s="418"/>
      <c r="AR2084" s="418"/>
      <c r="AS2084" s="418"/>
      <c r="AT2084" s="418"/>
      <c r="AU2084" s="418"/>
      <c r="AV2084" s="418"/>
      <c r="AW2084" s="418"/>
      <c r="AX2084" s="418"/>
      <c r="AY2084" s="418"/>
      <c r="AZ2084" s="418"/>
      <c r="BA2084" s="418"/>
    </row>
    <row r="2085" spans="40:53" ht="15.75" customHeight="1">
      <c r="AN2085" s="418"/>
      <c r="AO2085" s="418"/>
      <c r="AP2085" s="418"/>
      <c r="AQ2085" s="418"/>
      <c r="AR2085" s="418"/>
      <c r="AS2085" s="418"/>
      <c r="AT2085" s="418"/>
      <c r="AU2085" s="418"/>
      <c r="AV2085" s="418"/>
      <c r="AW2085" s="418"/>
      <c r="AX2085" s="418"/>
      <c r="AY2085" s="418"/>
      <c r="AZ2085" s="418"/>
      <c r="BA2085" s="418"/>
    </row>
    <row r="2086" spans="40:53" ht="15.75" customHeight="1">
      <c r="AN2086" s="418"/>
      <c r="AO2086" s="418"/>
      <c r="AP2086" s="418"/>
      <c r="AQ2086" s="418"/>
      <c r="AR2086" s="418"/>
      <c r="AS2086" s="418"/>
      <c r="AT2086" s="418"/>
      <c r="AU2086" s="418"/>
      <c r="AV2086" s="418"/>
      <c r="AW2086" s="418"/>
      <c r="AX2086" s="418"/>
      <c r="AY2086" s="418"/>
      <c r="AZ2086" s="418"/>
      <c r="BA2086" s="418"/>
    </row>
    <row r="2087" spans="40:53" ht="15.75" customHeight="1">
      <c r="AN2087" s="418"/>
      <c r="AO2087" s="418"/>
      <c r="AP2087" s="418"/>
      <c r="AQ2087" s="418"/>
      <c r="AR2087" s="418"/>
      <c r="AS2087" s="418"/>
      <c r="AT2087" s="418"/>
      <c r="AU2087" s="418"/>
      <c r="AV2087" s="418"/>
      <c r="AW2087" s="418"/>
      <c r="AX2087" s="418"/>
      <c r="AY2087" s="418"/>
      <c r="AZ2087" s="418"/>
      <c r="BA2087" s="418"/>
    </row>
    <row r="2088" spans="40:53" ht="15.75" customHeight="1">
      <c r="AN2088" s="418"/>
      <c r="AO2088" s="418"/>
      <c r="AP2088" s="418"/>
      <c r="AQ2088" s="418"/>
      <c r="AR2088" s="418"/>
      <c r="AS2088" s="418"/>
      <c r="AT2088" s="418"/>
      <c r="AU2088" s="418"/>
      <c r="AV2088" s="418"/>
      <c r="AW2088" s="418"/>
      <c r="AX2088" s="418"/>
      <c r="AY2088" s="418"/>
      <c r="AZ2088" s="418"/>
      <c r="BA2088" s="418"/>
    </row>
    <row r="2089" spans="40:53" ht="15.75" customHeight="1">
      <c r="AN2089" s="418"/>
      <c r="AO2089" s="418"/>
      <c r="AP2089" s="418"/>
      <c r="AQ2089" s="418"/>
      <c r="AR2089" s="418"/>
      <c r="AS2089" s="418"/>
      <c r="AT2089" s="418"/>
      <c r="AU2089" s="418"/>
      <c r="AV2089" s="418"/>
      <c r="AW2089" s="418"/>
      <c r="AX2089" s="418"/>
      <c r="AY2089" s="418"/>
      <c r="AZ2089" s="418"/>
      <c r="BA2089" s="418"/>
    </row>
    <row r="2090" spans="40:53" ht="15.75" customHeight="1">
      <c r="AN2090" s="418"/>
      <c r="AO2090" s="418"/>
      <c r="AP2090" s="418"/>
      <c r="AQ2090" s="418"/>
      <c r="AR2090" s="418"/>
      <c r="AS2090" s="418"/>
      <c r="AT2090" s="418"/>
      <c r="AU2090" s="418"/>
      <c r="AV2090" s="418"/>
      <c r="AW2090" s="418"/>
      <c r="AX2090" s="418"/>
      <c r="AY2090" s="418"/>
      <c r="AZ2090" s="418"/>
      <c r="BA2090" s="418"/>
    </row>
    <row r="2091" spans="40:53" ht="15.75" customHeight="1">
      <c r="AN2091" s="418"/>
      <c r="AO2091" s="418"/>
      <c r="AP2091" s="418"/>
      <c r="AQ2091" s="418"/>
      <c r="AR2091" s="418"/>
      <c r="AS2091" s="418"/>
      <c r="AT2091" s="418"/>
      <c r="AU2091" s="418"/>
      <c r="AV2091" s="418"/>
      <c r="AW2091" s="418"/>
      <c r="AX2091" s="418"/>
      <c r="AY2091" s="418"/>
      <c r="AZ2091" s="418"/>
      <c r="BA2091" s="418"/>
    </row>
    <row r="2092" spans="40:53" ht="15.75" customHeight="1">
      <c r="AN2092" s="418"/>
      <c r="AO2092" s="418"/>
      <c r="AP2092" s="418"/>
      <c r="AQ2092" s="418"/>
      <c r="AR2092" s="418"/>
      <c r="AS2092" s="418"/>
      <c r="AT2092" s="418"/>
      <c r="AU2092" s="418"/>
      <c r="AV2092" s="418"/>
      <c r="AW2092" s="418"/>
      <c r="AX2092" s="418"/>
      <c r="AY2092" s="418"/>
      <c r="AZ2092" s="418"/>
      <c r="BA2092" s="418"/>
    </row>
    <row r="2093" spans="40:53" ht="15.75" customHeight="1">
      <c r="AN2093" s="418"/>
      <c r="AO2093" s="418"/>
      <c r="AP2093" s="418"/>
      <c r="AQ2093" s="418"/>
      <c r="AR2093" s="418"/>
      <c r="AS2093" s="418"/>
      <c r="AT2093" s="418"/>
      <c r="AU2093" s="418"/>
      <c r="AV2093" s="418"/>
      <c r="AW2093" s="418"/>
      <c r="AX2093" s="418"/>
      <c r="AY2093" s="418"/>
      <c r="AZ2093" s="418"/>
      <c r="BA2093" s="418"/>
    </row>
    <row r="2094" spans="40:53" ht="15.75" customHeight="1">
      <c r="AN2094" s="418"/>
      <c r="AO2094" s="418"/>
      <c r="AP2094" s="418"/>
      <c r="AQ2094" s="418"/>
      <c r="AR2094" s="418"/>
      <c r="AS2094" s="418"/>
      <c r="AT2094" s="418"/>
      <c r="AU2094" s="418"/>
      <c r="AV2094" s="418"/>
      <c r="AW2094" s="418"/>
      <c r="AX2094" s="418"/>
      <c r="AY2094" s="418"/>
      <c r="AZ2094" s="418"/>
      <c r="BA2094" s="418"/>
    </row>
    <row r="2095" spans="40:53" ht="15.75" customHeight="1">
      <c r="AN2095" s="418"/>
      <c r="AO2095" s="418"/>
      <c r="AP2095" s="418"/>
      <c r="AQ2095" s="418"/>
      <c r="AR2095" s="418"/>
      <c r="AS2095" s="418"/>
      <c r="AT2095" s="418"/>
      <c r="AU2095" s="418"/>
      <c r="AV2095" s="418"/>
      <c r="AW2095" s="418"/>
      <c r="AX2095" s="418"/>
      <c r="AY2095" s="418"/>
      <c r="AZ2095" s="418"/>
      <c r="BA2095" s="418"/>
    </row>
    <row r="2096" spans="40:53" ht="15.75" customHeight="1">
      <c r="AN2096" s="418"/>
      <c r="AO2096" s="418"/>
      <c r="AP2096" s="418"/>
      <c r="AQ2096" s="418"/>
      <c r="AR2096" s="418"/>
      <c r="AS2096" s="418"/>
      <c r="AT2096" s="418"/>
      <c r="AU2096" s="418"/>
      <c r="AV2096" s="418"/>
      <c r="AW2096" s="418"/>
      <c r="AX2096" s="418"/>
      <c r="AY2096" s="418"/>
      <c r="AZ2096" s="418"/>
      <c r="BA2096" s="418"/>
    </row>
    <row r="2097" spans="40:53" ht="15.75" customHeight="1">
      <c r="AN2097" s="418"/>
      <c r="AO2097" s="418"/>
      <c r="AP2097" s="418"/>
      <c r="AQ2097" s="418"/>
      <c r="AR2097" s="418"/>
      <c r="AS2097" s="418"/>
      <c r="AT2097" s="418"/>
      <c r="AU2097" s="418"/>
      <c r="AV2097" s="418"/>
      <c r="AW2097" s="418"/>
      <c r="AX2097" s="418"/>
      <c r="AY2097" s="418"/>
      <c r="AZ2097" s="418"/>
      <c r="BA2097" s="418"/>
    </row>
    <row r="2098" spans="40:53" ht="15.75" customHeight="1">
      <c r="AN2098" s="418"/>
      <c r="AO2098" s="418"/>
      <c r="AP2098" s="418"/>
      <c r="AQ2098" s="418"/>
      <c r="AR2098" s="418"/>
      <c r="AS2098" s="418"/>
      <c r="AT2098" s="418"/>
      <c r="AU2098" s="418"/>
      <c r="AV2098" s="418"/>
      <c r="AW2098" s="418"/>
      <c r="AX2098" s="418"/>
      <c r="AY2098" s="418"/>
      <c r="AZ2098" s="418"/>
      <c r="BA2098" s="418"/>
    </row>
    <row r="2099" spans="40:53" ht="15.75" customHeight="1">
      <c r="AN2099" s="418"/>
      <c r="AO2099" s="418"/>
      <c r="AP2099" s="418"/>
      <c r="AQ2099" s="418"/>
      <c r="AR2099" s="418"/>
      <c r="AS2099" s="418"/>
      <c r="AT2099" s="418"/>
      <c r="AU2099" s="418"/>
      <c r="AV2099" s="418"/>
      <c r="AW2099" s="418"/>
      <c r="AX2099" s="418"/>
      <c r="AY2099" s="418"/>
      <c r="AZ2099" s="418"/>
      <c r="BA2099" s="418"/>
    </row>
    <row r="2100" spans="40:53" ht="15.75" customHeight="1">
      <c r="AN2100" s="418"/>
      <c r="AO2100" s="418"/>
      <c r="AP2100" s="418"/>
      <c r="AQ2100" s="418"/>
      <c r="AR2100" s="418"/>
      <c r="AS2100" s="418"/>
      <c r="AT2100" s="418"/>
      <c r="AU2100" s="418"/>
      <c r="AV2100" s="418"/>
      <c r="AW2100" s="418"/>
      <c r="AX2100" s="418"/>
      <c r="AY2100" s="418"/>
      <c r="AZ2100" s="418"/>
      <c r="BA2100" s="418"/>
    </row>
    <row r="2101" spans="40:53" ht="15.75" customHeight="1">
      <c r="AN2101" s="418"/>
      <c r="AO2101" s="418"/>
      <c r="AP2101" s="418"/>
      <c r="AQ2101" s="418"/>
      <c r="AR2101" s="418"/>
      <c r="AS2101" s="418"/>
      <c r="AT2101" s="418"/>
      <c r="AU2101" s="418"/>
      <c r="AV2101" s="418"/>
      <c r="AW2101" s="418"/>
      <c r="AX2101" s="418"/>
      <c r="AY2101" s="418"/>
      <c r="AZ2101" s="418"/>
      <c r="BA2101" s="418"/>
    </row>
    <row r="2102" spans="40:53" ht="15.75" customHeight="1">
      <c r="AN2102" s="418"/>
      <c r="AO2102" s="418"/>
      <c r="AP2102" s="418"/>
      <c r="AQ2102" s="418"/>
      <c r="AR2102" s="418"/>
      <c r="AS2102" s="418"/>
      <c r="AT2102" s="418"/>
      <c r="AU2102" s="418"/>
      <c r="AV2102" s="418"/>
      <c r="AW2102" s="418"/>
      <c r="AX2102" s="418"/>
      <c r="AY2102" s="418"/>
      <c r="AZ2102" s="418"/>
      <c r="BA2102" s="418"/>
    </row>
    <row r="2103" spans="40:53" ht="15.75" customHeight="1">
      <c r="AN2103" s="418"/>
      <c r="AO2103" s="418"/>
      <c r="AP2103" s="418"/>
      <c r="AQ2103" s="418"/>
      <c r="AR2103" s="418"/>
      <c r="AS2103" s="418"/>
      <c r="AT2103" s="418"/>
      <c r="AU2103" s="418"/>
      <c r="AV2103" s="418"/>
      <c r="AW2103" s="418"/>
      <c r="AX2103" s="418"/>
      <c r="AY2103" s="418"/>
      <c r="AZ2103" s="418"/>
      <c r="BA2103" s="418"/>
    </row>
    <row r="2104" spans="40:53" ht="15.75" customHeight="1">
      <c r="AN2104" s="418"/>
      <c r="AO2104" s="418"/>
      <c r="AP2104" s="418"/>
      <c r="AQ2104" s="418"/>
      <c r="AR2104" s="418"/>
      <c r="AS2104" s="418"/>
      <c r="AT2104" s="418"/>
      <c r="AU2104" s="418"/>
      <c r="AV2104" s="418"/>
      <c r="AW2104" s="418"/>
      <c r="AX2104" s="418"/>
      <c r="AY2104" s="418"/>
      <c r="AZ2104" s="418"/>
      <c r="BA2104" s="418"/>
    </row>
    <row r="2105" spans="40:53" ht="15.75" customHeight="1">
      <c r="AN2105" s="418"/>
      <c r="AO2105" s="418"/>
      <c r="AP2105" s="418"/>
      <c r="AQ2105" s="418"/>
      <c r="AR2105" s="418"/>
      <c r="AS2105" s="418"/>
      <c r="AT2105" s="418"/>
      <c r="AU2105" s="418"/>
      <c r="AV2105" s="418"/>
      <c r="AW2105" s="418"/>
      <c r="AX2105" s="418"/>
      <c r="AY2105" s="418"/>
      <c r="AZ2105" s="418"/>
      <c r="BA2105" s="418"/>
    </row>
    <row r="2106" spans="40:53" ht="15.75" customHeight="1">
      <c r="AN2106" s="418"/>
      <c r="AO2106" s="418"/>
      <c r="AP2106" s="418"/>
      <c r="AQ2106" s="418"/>
      <c r="AR2106" s="418"/>
      <c r="AS2106" s="418"/>
      <c r="AT2106" s="418"/>
      <c r="AU2106" s="418"/>
      <c r="AV2106" s="418"/>
      <c r="AW2106" s="418"/>
      <c r="AX2106" s="418"/>
      <c r="AY2106" s="418"/>
      <c r="AZ2106" s="418"/>
      <c r="BA2106" s="418"/>
    </row>
    <row r="2107" spans="40:53" ht="15.75" customHeight="1">
      <c r="AN2107" s="418"/>
      <c r="AO2107" s="418"/>
      <c r="AP2107" s="418"/>
      <c r="AQ2107" s="418"/>
      <c r="AR2107" s="418"/>
      <c r="AS2107" s="418"/>
      <c r="AT2107" s="418"/>
      <c r="AU2107" s="418"/>
      <c r="AV2107" s="418"/>
      <c r="AW2107" s="418"/>
      <c r="AX2107" s="418"/>
      <c r="AY2107" s="418"/>
      <c r="AZ2107" s="418"/>
      <c r="BA2107" s="418"/>
    </row>
    <row r="2108" spans="40:53" ht="15.75" customHeight="1">
      <c r="AN2108" s="418"/>
      <c r="AO2108" s="418"/>
      <c r="AP2108" s="418"/>
      <c r="AQ2108" s="418"/>
      <c r="AR2108" s="418"/>
      <c r="AS2108" s="418"/>
      <c r="AT2108" s="418"/>
      <c r="AU2108" s="418"/>
      <c r="AV2108" s="418"/>
      <c r="AW2108" s="418"/>
      <c r="AX2108" s="418"/>
      <c r="AY2108" s="418"/>
      <c r="AZ2108" s="418"/>
      <c r="BA2108" s="418"/>
    </row>
    <row r="2109" spans="40:53" ht="15.75" customHeight="1">
      <c r="AN2109" s="418"/>
      <c r="AO2109" s="418"/>
      <c r="AP2109" s="418"/>
      <c r="AQ2109" s="418"/>
      <c r="AR2109" s="418"/>
      <c r="AS2109" s="418"/>
      <c r="AT2109" s="418"/>
      <c r="AU2109" s="418"/>
      <c r="AV2109" s="418"/>
      <c r="AW2109" s="418"/>
      <c r="AX2109" s="418"/>
      <c r="AY2109" s="418"/>
      <c r="AZ2109" s="418"/>
      <c r="BA2109" s="418"/>
    </row>
    <row r="2110" spans="40:53" ht="15.75" customHeight="1">
      <c r="AN2110" s="418"/>
      <c r="AO2110" s="418"/>
      <c r="AP2110" s="418"/>
      <c r="AQ2110" s="418"/>
      <c r="AR2110" s="418"/>
      <c r="AS2110" s="418"/>
      <c r="AT2110" s="418"/>
      <c r="AU2110" s="418"/>
      <c r="AV2110" s="418"/>
      <c r="AW2110" s="418"/>
      <c r="AX2110" s="418"/>
      <c r="AY2110" s="418"/>
      <c r="AZ2110" s="418"/>
      <c r="BA2110" s="418"/>
    </row>
    <row r="2111" spans="40:53" ht="15.75" customHeight="1">
      <c r="AN2111" s="418"/>
      <c r="AO2111" s="418"/>
      <c r="AP2111" s="418"/>
      <c r="AQ2111" s="418"/>
      <c r="AR2111" s="418"/>
      <c r="AS2111" s="418"/>
      <c r="AT2111" s="418"/>
      <c r="AU2111" s="418"/>
      <c r="AV2111" s="418"/>
      <c r="AW2111" s="418"/>
      <c r="AX2111" s="418"/>
      <c r="AY2111" s="418"/>
      <c r="AZ2111" s="418"/>
      <c r="BA2111" s="418"/>
    </row>
    <row r="2112" spans="40:53" ht="15.75" customHeight="1">
      <c r="AN2112" s="418"/>
      <c r="AO2112" s="418"/>
      <c r="AP2112" s="418"/>
      <c r="AQ2112" s="418"/>
      <c r="AR2112" s="418"/>
      <c r="AS2112" s="418"/>
      <c r="AT2112" s="418"/>
      <c r="AU2112" s="418"/>
      <c r="AV2112" s="418"/>
      <c r="AW2112" s="418"/>
      <c r="AX2112" s="418"/>
      <c r="AY2112" s="418"/>
      <c r="AZ2112" s="418"/>
      <c r="BA2112" s="418"/>
    </row>
    <row r="2113" spans="40:53" ht="15.75" customHeight="1">
      <c r="AN2113" s="418"/>
      <c r="AO2113" s="418"/>
      <c r="AP2113" s="418"/>
      <c r="AQ2113" s="418"/>
      <c r="AR2113" s="418"/>
      <c r="AS2113" s="418"/>
      <c r="AT2113" s="418"/>
      <c r="AU2113" s="418"/>
      <c r="AV2113" s="418"/>
      <c r="AW2113" s="418"/>
      <c r="AX2113" s="418"/>
      <c r="AY2113" s="418"/>
      <c r="AZ2113" s="418"/>
      <c r="BA2113" s="418"/>
    </row>
    <row r="2114" spans="40:53" ht="15.75" customHeight="1">
      <c r="AN2114" s="418"/>
      <c r="AO2114" s="418"/>
      <c r="AP2114" s="418"/>
      <c r="AQ2114" s="418"/>
      <c r="AR2114" s="418"/>
      <c r="AS2114" s="418"/>
      <c r="AT2114" s="418"/>
      <c r="AU2114" s="418"/>
      <c r="AV2114" s="418"/>
      <c r="AW2114" s="418"/>
      <c r="AX2114" s="418"/>
      <c r="AY2114" s="418"/>
      <c r="AZ2114" s="418"/>
      <c r="BA2114" s="418"/>
    </row>
    <row r="2115" spans="40:53" ht="15.75" customHeight="1">
      <c r="AN2115" s="418"/>
      <c r="AO2115" s="418"/>
      <c r="AP2115" s="418"/>
      <c r="AQ2115" s="418"/>
      <c r="AR2115" s="418"/>
      <c r="AS2115" s="418"/>
      <c r="AT2115" s="418"/>
      <c r="AU2115" s="418"/>
      <c r="AV2115" s="418"/>
      <c r="AW2115" s="418"/>
      <c r="AX2115" s="418"/>
      <c r="AY2115" s="418"/>
      <c r="AZ2115" s="418"/>
      <c r="BA2115" s="418"/>
    </row>
    <row r="2116" spans="40:53" ht="15.75" customHeight="1">
      <c r="AN2116" s="418"/>
      <c r="AO2116" s="418"/>
      <c r="AP2116" s="418"/>
      <c r="AQ2116" s="418"/>
      <c r="AR2116" s="418"/>
      <c r="AS2116" s="418"/>
      <c r="AT2116" s="418"/>
      <c r="AU2116" s="418"/>
      <c r="AV2116" s="418"/>
      <c r="AW2116" s="418"/>
      <c r="AX2116" s="418"/>
      <c r="AY2116" s="418"/>
      <c r="AZ2116" s="418"/>
      <c r="BA2116" s="418"/>
    </row>
    <row r="2117" spans="40:53" ht="15.75" customHeight="1">
      <c r="AN2117" s="418"/>
      <c r="AO2117" s="418"/>
      <c r="AP2117" s="418"/>
      <c r="AQ2117" s="418"/>
      <c r="AR2117" s="418"/>
      <c r="AS2117" s="418"/>
      <c r="AT2117" s="418"/>
      <c r="AU2117" s="418"/>
      <c r="AV2117" s="418"/>
      <c r="AW2117" s="418"/>
      <c r="AX2117" s="418"/>
      <c r="AY2117" s="418"/>
      <c r="AZ2117" s="418"/>
      <c r="BA2117" s="418"/>
    </row>
    <row r="2118" spans="40:53" ht="15.75" customHeight="1">
      <c r="AN2118" s="418"/>
      <c r="AO2118" s="418"/>
      <c r="AP2118" s="418"/>
      <c r="AQ2118" s="418"/>
      <c r="AR2118" s="418"/>
      <c r="AS2118" s="418"/>
      <c r="AT2118" s="418"/>
      <c r="AU2118" s="418"/>
      <c r="AV2118" s="418"/>
      <c r="AW2118" s="418"/>
      <c r="AX2118" s="418"/>
      <c r="AY2118" s="418"/>
      <c r="AZ2118" s="418"/>
      <c r="BA2118" s="418"/>
    </row>
    <row r="2119" spans="40:53" ht="15.75" customHeight="1">
      <c r="AN2119" s="418"/>
      <c r="AO2119" s="418"/>
      <c r="AP2119" s="418"/>
      <c r="AQ2119" s="418"/>
      <c r="AR2119" s="418"/>
      <c r="AS2119" s="418"/>
      <c r="AT2119" s="418"/>
      <c r="AU2119" s="418"/>
      <c r="AV2119" s="418"/>
      <c r="AW2119" s="418"/>
      <c r="AX2119" s="418"/>
      <c r="AY2119" s="418"/>
      <c r="AZ2119" s="418"/>
      <c r="BA2119" s="418"/>
    </row>
    <row r="2120" spans="40:53" ht="15.75" customHeight="1">
      <c r="AN2120" s="418"/>
      <c r="AO2120" s="418"/>
      <c r="AP2120" s="418"/>
      <c r="AQ2120" s="418"/>
      <c r="AR2120" s="418"/>
      <c r="AS2120" s="418"/>
      <c r="AT2120" s="418"/>
      <c r="AU2120" s="418"/>
      <c r="AV2120" s="418"/>
      <c r="AW2120" s="418"/>
      <c r="AX2120" s="418"/>
      <c r="AY2120" s="418"/>
      <c r="AZ2120" s="418"/>
      <c r="BA2120" s="418"/>
    </row>
    <row r="2121" spans="40:53" ht="15.75" customHeight="1">
      <c r="AN2121" s="418"/>
      <c r="AO2121" s="418"/>
      <c r="AP2121" s="418"/>
      <c r="AQ2121" s="418"/>
      <c r="AR2121" s="418"/>
      <c r="AS2121" s="418"/>
      <c r="AT2121" s="418"/>
      <c r="AU2121" s="418"/>
      <c r="AV2121" s="418"/>
      <c r="AW2121" s="418"/>
      <c r="AX2121" s="418"/>
      <c r="AY2121" s="418"/>
      <c r="AZ2121" s="418"/>
      <c r="BA2121" s="418"/>
    </row>
    <row r="2122" spans="40:53" ht="15.75" customHeight="1">
      <c r="AN2122" s="418"/>
      <c r="AO2122" s="418"/>
      <c r="AP2122" s="418"/>
      <c r="AQ2122" s="418"/>
      <c r="AR2122" s="418"/>
      <c r="AS2122" s="418"/>
      <c r="AT2122" s="418"/>
      <c r="AU2122" s="418"/>
      <c r="AV2122" s="418"/>
      <c r="AW2122" s="418"/>
      <c r="AX2122" s="418"/>
      <c r="AY2122" s="418"/>
      <c r="AZ2122" s="418"/>
      <c r="BA2122" s="418"/>
    </row>
    <row r="2123" spans="40:53" ht="15.75" customHeight="1">
      <c r="AN2123" s="418"/>
      <c r="AO2123" s="418"/>
      <c r="AP2123" s="418"/>
      <c r="AQ2123" s="418"/>
      <c r="AR2123" s="418"/>
      <c r="AS2123" s="418"/>
      <c r="AT2123" s="418"/>
      <c r="AU2123" s="418"/>
      <c r="AV2123" s="418"/>
      <c r="AW2123" s="418"/>
      <c r="AX2123" s="418"/>
      <c r="AY2123" s="418"/>
      <c r="AZ2123" s="418"/>
      <c r="BA2123" s="418"/>
    </row>
    <row r="2124" spans="40:53" ht="15.75" customHeight="1">
      <c r="AN2124" s="418"/>
      <c r="AO2124" s="418"/>
      <c r="AP2124" s="418"/>
      <c r="AQ2124" s="418"/>
      <c r="AR2124" s="418"/>
      <c r="AS2124" s="418"/>
      <c r="AT2124" s="418"/>
      <c r="AU2124" s="418"/>
      <c r="AV2124" s="418"/>
      <c r="AW2124" s="418"/>
      <c r="AX2124" s="418"/>
      <c r="AY2124" s="418"/>
      <c r="AZ2124" s="418"/>
      <c r="BA2124" s="418"/>
    </row>
    <row r="2125" spans="40:53" ht="15.75" customHeight="1">
      <c r="AN2125" s="418"/>
      <c r="AO2125" s="418"/>
      <c r="AP2125" s="418"/>
      <c r="AQ2125" s="418"/>
      <c r="AR2125" s="418"/>
      <c r="AS2125" s="418"/>
      <c r="AT2125" s="418"/>
      <c r="AU2125" s="418"/>
      <c r="AV2125" s="418"/>
      <c r="AW2125" s="418"/>
      <c r="AX2125" s="418"/>
      <c r="AY2125" s="418"/>
      <c r="AZ2125" s="418"/>
      <c r="BA2125" s="418"/>
    </row>
    <row r="2126" spans="40:53" ht="15.75" customHeight="1">
      <c r="AN2126" s="418"/>
      <c r="AO2126" s="418"/>
      <c r="AP2126" s="418"/>
      <c r="AQ2126" s="418"/>
      <c r="AR2126" s="418"/>
      <c r="AS2126" s="418"/>
      <c r="AT2126" s="418"/>
      <c r="AU2126" s="418"/>
      <c r="AV2126" s="418"/>
      <c r="AW2126" s="418"/>
      <c r="AX2126" s="418"/>
      <c r="AY2126" s="418"/>
      <c r="AZ2126" s="418"/>
      <c r="BA2126" s="418"/>
    </row>
    <row r="2127" spans="40:53" ht="15.75" customHeight="1">
      <c r="AN2127" s="418"/>
      <c r="AO2127" s="418"/>
      <c r="AP2127" s="418"/>
      <c r="AQ2127" s="418"/>
      <c r="AR2127" s="418"/>
      <c r="AS2127" s="418"/>
      <c r="AT2127" s="418"/>
      <c r="AU2127" s="418"/>
      <c r="AV2127" s="418"/>
      <c r="AW2127" s="418"/>
      <c r="AX2127" s="418"/>
      <c r="AY2127" s="418"/>
      <c r="AZ2127" s="418"/>
      <c r="BA2127" s="418"/>
    </row>
    <row r="2128" spans="40:53" ht="15.75" customHeight="1">
      <c r="AN2128" s="418"/>
      <c r="AO2128" s="418"/>
      <c r="AP2128" s="418"/>
      <c r="AQ2128" s="418"/>
      <c r="AR2128" s="418"/>
      <c r="AS2128" s="418"/>
      <c r="AT2128" s="418"/>
      <c r="AU2128" s="418"/>
      <c r="AV2128" s="418"/>
      <c r="AW2128" s="418"/>
      <c r="AX2128" s="418"/>
      <c r="AY2128" s="418"/>
      <c r="AZ2128" s="418"/>
      <c r="BA2128" s="418"/>
    </row>
    <row r="2129" spans="40:53" ht="15.75" customHeight="1">
      <c r="AN2129" s="418"/>
      <c r="AO2129" s="418"/>
      <c r="AP2129" s="418"/>
      <c r="AQ2129" s="418"/>
      <c r="AR2129" s="418"/>
      <c r="AS2129" s="418"/>
      <c r="AT2129" s="418"/>
      <c r="AU2129" s="418"/>
      <c r="AV2129" s="418"/>
      <c r="AW2129" s="418"/>
      <c r="AX2129" s="418"/>
      <c r="AY2129" s="418"/>
      <c r="AZ2129" s="418"/>
      <c r="BA2129" s="418"/>
    </row>
    <row r="2130" spans="40:53" ht="15.75" customHeight="1">
      <c r="AN2130" s="418"/>
      <c r="AO2130" s="418"/>
      <c r="AP2130" s="418"/>
      <c r="AQ2130" s="418"/>
      <c r="AR2130" s="418"/>
      <c r="AS2130" s="418"/>
      <c r="AT2130" s="418"/>
      <c r="AU2130" s="418"/>
      <c r="AV2130" s="418"/>
      <c r="AW2130" s="418"/>
      <c r="AX2130" s="418"/>
      <c r="AY2130" s="418"/>
      <c r="AZ2130" s="418"/>
      <c r="BA2130" s="418"/>
    </row>
    <row r="2131" spans="40:53" ht="15.75" customHeight="1">
      <c r="AN2131" s="418"/>
      <c r="AO2131" s="418"/>
      <c r="AP2131" s="418"/>
      <c r="AQ2131" s="418"/>
      <c r="AR2131" s="418"/>
      <c r="AS2131" s="418"/>
      <c r="AT2131" s="418"/>
      <c r="AU2131" s="418"/>
      <c r="AV2131" s="418"/>
      <c r="AW2131" s="418"/>
      <c r="AX2131" s="418"/>
      <c r="AY2131" s="418"/>
      <c r="AZ2131" s="418"/>
      <c r="BA2131" s="418"/>
    </row>
    <row r="2132" spans="40:53" ht="15.75" customHeight="1">
      <c r="AN2132" s="418"/>
      <c r="AO2132" s="418"/>
      <c r="AP2132" s="418"/>
      <c r="AQ2132" s="418"/>
      <c r="AR2132" s="418"/>
      <c r="AS2132" s="418"/>
      <c r="AT2132" s="418"/>
      <c r="AU2132" s="418"/>
      <c r="AV2132" s="418"/>
      <c r="AW2132" s="418"/>
      <c r="AX2132" s="418"/>
      <c r="AY2132" s="418"/>
      <c r="AZ2132" s="418"/>
      <c r="BA2132" s="418"/>
    </row>
    <row r="2133" spans="40:53" ht="15.75" customHeight="1">
      <c r="AN2133" s="418"/>
      <c r="AO2133" s="418"/>
      <c r="AP2133" s="418"/>
      <c r="AQ2133" s="418"/>
      <c r="AR2133" s="418"/>
      <c r="AS2133" s="418"/>
      <c r="AT2133" s="418"/>
      <c r="AU2133" s="418"/>
      <c r="AV2133" s="418"/>
      <c r="AW2133" s="418"/>
      <c r="AX2133" s="418"/>
      <c r="AY2133" s="418"/>
      <c r="AZ2133" s="418"/>
      <c r="BA2133" s="418"/>
    </row>
    <row r="2134" spans="40:53" ht="15.75" customHeight="1">
      <c r="AN2134" s="418"/>
      <c r="AO2134" s="418"/>
      <c r="AP2134" s="418"/>
      <c r="AQ2134" s="418"/>
      <c r="AR2134" s="418"/>
      <c r="AS2134" s="418"/>
      <c r="AT2134" s="418"/>
      <c r="AU2134" s="418"/>
      <c r="AV2134" s="418"/>
      <c r="AW2134" s="418"/>
      <c r="AX2134" s="418"/>
      <c r="AY2134" s="418"/>
      <c r="AZ2134" s="418"/>
      <c r="BA2134" s="418"/>
    </row>
    <row r="2135" spans="40:53" ht="15.75" customHeight="1">
      <c r="AN2135" s="418"/>
      <c r="AO2135" s="418"/>
      <c r="AP2135" s="418"/>
      <c r="AQ2135" s="418"/>
      <c r="AR2135" s="418"/>
      <c r="AS2135" s="418"/>
      <c r="AT2135" s="418"/>
      <c r="AU2135" s="418"/>
      <c r="AV2135" s="418"/>
      <c r="AW2135" s="418"/>
      <c r="AX2135" s="418"/>
      <c r="AY2135" s="418"/>
      <c r="AZ2135" s="418"/>
      <c r="BA2135" s="418"/>
    </row>
    <row r="2136" spans="40:53" ht="15.75" customHeight="1">
      <c r="AN2136" s="418"/>
      <c r="AO2136" s="418"/>
      <c r="AP2136" s="418"/>
      <c r="AQ2136" s="418"/>
      <c r="AR2136" s="418"/>
      <c r="AS2136" s="418"/>
      <c r="AT2136" s="418"/>
      <c r="AU2136" s="418"/>
      <c r="AV2136" s="418"/>
      <c r="AW2136" s="418"/>
      <c r="AX2136" s="418"/>
      <c r="AY2136" s="418"/>
      <c r="AZ2136" s="418"/>
      <c r="BA2136" s="418"/>
    </row>
    <row r="2137" spans="40:53" ht="15.75" customHeight="1">
      <c r="AN2137" s="418"/>
      <c r="AO2137" s="418"/>
      <c r="AP2137" s="418"/>
      <c r="AQ2137" s="418"/>
      <c r="AR2137" s="418"/>
      <c r="AS2137" s="418"/>
      <c r="AT2137" s="418"/>
      <c r="AU2137" s="418"/>
      <c r="AV2137" s="418"/>
      <c r="AW2137" s="418"/>
      <c r="AX2137" s="418"/>
      <c r="AY2137" s="418"/>
      <c r="AZ2137" s="418"/>
      <c r="BA2137" s="418"/>
    </row>
    <row r="2138" spans="40:53" ht="15.75" customHeight="1">
      <c r="AN2138" s="418"/>
      <c r="AO2138" s="418"/>
      <c r="AP2138" s="418"/>
      <c r="AQ2138" s="418"/>
      <c r="AR2138" s="418"/>
      <c r="AS2138" s="418"/>
      <c r="AT2138" s="418"/>
      <c r="AU2138" s="418"/>
      <c r="AV2138" s="418"/>
      <c r="AW2138" s="418"/>
      <c r="AX2138" s="418"/>
      <c r="AY2138" s="418"/>
      <c r="AZ2138" s="418"/>
      <c r="BA2138" s="418"/>
    </row>
    <row r="2139" spans="40:53" ht="15.75" customHeight="1">
      <c r="AN2139" s="418"/>
      <c r="AO2139" s="418"/>
      <c r="AP2139" s="418"/>
      <c r="AQ2139" s="418"/>
      <c r="AR2139" s="418"/>
      <c r="AS2139" s="418"/>
      <c r="AT2139" s="418"/>
      <c r="AU2139" s="418"/>
      <c r="AV2139" s="418"/>
      <c r="AW2139" s="418"/>
      <c r="AX2139" s="418"/>
      <c r="AY2139" s="418"/>
      <c r="AZ2139" s="418"/>
      <c r="BA2139" s="418"/>
    </row>
    <row r="2140" spans="40:53" ht="15.75" customHeight="1">
      <c r="AN2140" s="418"/>
      <c r="AO2140" s="418"/>
      <c r="AP2140" s="418"/>
      <c r="AQ2140" s="418"/>
      <c r="AR2140" s="418"/>
      <c r="AS2140" s="418"/>
      <c r="AT2140" s="418"/>
      <c r="AU2140" s="418"/>
      <c r="AV2140" s="418"/>
      <c r="AW2140" s="418"/>
      <c r="AX2140" s="418"/>
      <c r="AY2140" s="418"/>
      <c r="AZ2140" s="418"/>
      <c r="BA2140" s="418"/>
    </row>
    <row r="2141" spans="40:53" ht="15.75" customHeight="1">
      <c r="AN2141" s="418"/>
      <c r="AO2141" s="418"/>
      <c r="AP2141" s="418"/>
      <c r="AQ2141" s="418"/>
      <c r="AR2141" s="418"/>
      <c r="AS2141" s="418"/>
      <c r="AT2141" s="418"/>
      <c r="AU2141" s="418"/>
      <c r="AV2141" s="418"/>
      <c r="AW2141" s="418"/>
      <c r="AX2141" s="418"/>
      <c r="AY2141" s="418"/>
      <c r="AZ2141" s="418"/>
      <c r="BA2141" s="418"/>
    </row>
    <row r="2142" spans="40:53" ht="15.75" customHeight="1">
      <c r="AN2142" s="418"/>
      <c r="AO2142" s="418"/>
      <c r="AP2142" s="418"/>
      <c r="AQ2142" s="418"/>
      <c r="AR2142" s="418"/>
      <c r="AS2142" s="418"/>
      <c r="AT2142" s="418"/>
      <c r="AU2142" s="418"/>
      <c r="AV2142" s="418"/>
      <c r="AW2142" s="418"/>
      <c r="AX2142" s="418"/>
      <c r="AY2142" s="418"/>
      <c r="AZ2142" s="418"/>
      <c r="BA2142" s="418"/>
    </row>
    <row r="2143" spans="40:53" ht="15.75" customHeight="1">
      <c r="AN2143" s="418"/>
      <c r="AO2143" s="418"/>
      <c r="AP2143" s="418"/>
      <c r="AQ2143" s="418"/>
      <c r="AR2143" s="418"/>
      <c r="AS2143" s="418"/>
      <c r="AT2143" s="418"/>
      <c r="AU2143" s="418"/>
      <c r="AV2143" s="418"/>
      <c r="AW2143" s="418"/>
      <c r="AX2143" s="418"/>
      <c r="AY2143" s="418"/>
      <c r="AZ2143" s="418"/>
      <c r="BA2143" s="418"/>
    </row>
    <row r="2144" spans="40:53" ht="15.75" customHeight="1">
      <c r="AN2144" s="418"/>
      <c r="AO2144" s="418"/>
      <c r="AP2144" s="418"/>
      <c r="AQ2144" s="418"/>
      <c r="AR2144" s="418"/>
      <c r="AS2144" s="418"/>
      <c r="AT2144" s="418"/>
      <c r="AU2144" s="418"/>
      <c r="AV2144" s="418"/>
      <c r="AW2144" s="418"/>
      <c r="AX2144" s="418"/>
      <c r="AY2144" s="418"/>
      <c r="AZ2144" s="418"/>
      <c r="BA2144" s="418"/>
    </row>
    <row r="2145" spans="40:53" ht="15.75" customHeight="1">
      <c r="AN2145" s="418"/>
      <c r="AO2145" s="418"/>
      <c r="AP2145" s="418"/>
      <c r="AQ2145" s="418"/>
      <c r="AR2145" s="418"/>
      <c r="AS2145" s="418"/>
      <c r="AT2145" s="418"/>
      <c r="AU2145" s="418"/>
      <c r="AV2145" s="418"/>
      <c r="AW2145" s="418"/>
      <c r="AX2145" s="418"/>
      <c r="AY2145" s="418"/>
      <c r="AZ2145" s="418"/>
      <c r="BA2145" s="418"/>
    </row>
    <row r="2146" spans="40:53" ht="15.75" customHeight="1">
      <c r="AN2146" s="418"/>
      <c r="AO2146" s="418"/>
      <c r="AP2146" s="418"/>
      <c r="AQ2146" s="418"/>
      <c r="AR2146" s="418"/>
      <c r="AS2146" s="418"/>
      <c r="AT2146" s="418"/>
      <c r="AU2146" s="418"/>
      <c r="AV2146" s="418"/>
      <c r="AW2146" s="418"/>
      <c r="AX2146" s="418"/>
      <c r="AY2146" s="418"/>
      <c r="AZ2146" s="418"/>
      <c r="BA2146" s="418"/>
    </row>
    <row r="2147" spans="40:53" ht="15.75" customHeight="1">
      <c r="AN2147" s="418"/>
      <c r="AO2147" s="418"/>
      <c r="AP2147" s="418"/>
      <c r="AQ2147" s="418"/>
      <c r="AR2147" s="418"/>
      <c r="AS2147" s="418"/>
      <c r="AT2147" s="418"/>
      <c r="AU2147" s="418"/>
      <c r="AV2147" s="418"/>
      <c r="AW2147" s="418"/>
      <c r="AX2147" s="418"/>
      <c r="AY2147" s="418"/>
      <c r="AZ2147" s="418"/>
      <c r="BA2147" s="418"/>
    </row>
    <row r="2148" spans="40:53" ht="15.75" customHeight="1">
      <c r="AN2148" s="418"/>
      <c r="AO2148" s="418"/>
      <c r="AP2148" s="418"/>
      <c r="AQ2148" s="418"/>
      <c r="AR2148" s="418"/>
      <c r="AS2148" s="418"/>
      <c r="AT2148" s="418"/>
      <c r="AU2148" s="418"/>
      <c r="AV2148" s="418"/>
      <c r="AW2148" s="418"/>
      <c r="AX2148" s="418"/>
      <c r="AY2148" s="418"/>
      <c r="AZ2148" s="418"/>
      <c r="BA2148" s="418"/>
    </row>
    <row r="2149" spans="40:53" ht="15.75" customHeight="1">
      <c r="AN2149" s="418"/>
      <c r="AO2149" s="418"/>
      <c r="AP2149" s="418"/>
      <c r="AQ2149" s="418"/>
      <c r="AR2149" s="418"/>
      <c r="AS2149" s="418"/>
      <c r="AT2149" s="418"/>
      <c r="AU2149" s="418"/>
      <c r="AV2149" s="418"/>
      <c r="AW2149" s="418"/>
      <c r="AX2149" s="418"/>
      <c r="AY2149" s="418"/>
      <c r="AZ2149" s="418"/>
      <c r="BA2149" s="418"/>
    </row>
    <row r="2150" spans="40:53" ht="15.75" customHeight="1">
      <c r="AN2150" s="418"/>
      <c r="AO2150" s="418"/>
      <c r="AP2150" s="418"/>
      <c r="AQ2150" s="418"/>
      <c r="AR2150" s="418"/>
      <c r="AS2150" s="418"/>
      <c r="AT2150" s="418"/>
      <c r="AU2150" s="418"/>
      <c r="AV2150" s="418"/>
      <c r="AW2150" s="418"/>
      <c r="AX2150" s="418"/>
      <c r="AY2150" s="418"/>
      <c r="AZ2150" s="418"/>
      <c r="BA2150" s="418"/>
    </row>
    <row r="2151" spans="40:53" ht="15.75" customHeight="1">
      <c r="AN2151" s="418"/>
      <c r="AO2151" s="418"/>
      <c r="AP2151" s="418"/>
      <c r="AQ2151" s="418"/>
      <c r="AR2151" s="418"/>
      <c r="AS2151" s="418"/>
      <c r="AT2151" s="418"/>
      <c r="AU2151" s="418"/>
      <c r="AV2151" s="418"/>
      <c r="AW2151" s="418"/>
      <c r="AX2151" s="418"/>
      <c r="AY2151" s="418"/>
      <c r="AZ2151" s="418"/>
      <c r="BA2151" s="418"/>
    </row>
    <row r="2152" spans="40:53" ht="15.75" customHeight="1">
      <c r="AN2152" s="418"/>
      <c r="AO2152" s="418"/>
      <c r="AP2152" s="418"/>
      <c r="AQ2152" s="418"/>
      <c r="AR2152" s="418"/>
      <c r="AS2152" s="418"/>
      <c r="AT2152" s="418"/>
      <c r="AU2152" s="418"/>
      <c r="AV2152" s="418"/>
      <c r="AW2152" s="418"/>
      <c r="AX2152" s="418"/>
      <c r="AY2152" s="418"/>
      <c r="AZ2152" s="418"/>
      <c r="BA2152" s="418"/>
    </row>
    <row r="2153" spans="40:53" ht="15.75" customHeight="1">
      <c r="AN2153" s="418"/>
      <c r="AO2153" s="418"/>
      <c r="AP2153" s="418"/>
      <c r="AQ2153" s="418"/>
      <c r="AR2153" s="418"/>
      <c r="AS2153" s="418"/>
      <c r="AT2153" s="418"/>
      <c r="AU2153" s="418"/>
      <c r="AV2153" s="418"/>
      <c r="AW2153" s="418"/>
      <c r="AX2153" s="418"/>
      <c r="AY2153" s="418"/>
      <c r="AZ2153" s="418"/>
      <c r="BA2153" s="418"/>
    </row>
    <row r="2154" spans="40:53" ht="15.75" customHeight="1">
      <c r="AN2154" s="418"/>
      <c r="AO2154" s="418"/>
      <c r="AP2154" s="418"/>
      <c r="AQ2154" s="418"/>
      <c r="AR2154" s="418"/>
      <c r="AS2154" s="418"/>
      <c r="AT2154" s="418"/>
      <c r="AU2154" s="418"/>
      <c r="AV2154" s="418"/>
      <c r="AW2154" s="418"/>
      <c r="AX2154" s="418"/>
      <c r="AY2154" s="418"/>
      <c r="AZ2154" s="418"/>
      <c r="BA2154" s="418"/>
    </row>
    <row r="2155" spans="40:53" ht="15.75" customHeight="1">
      <c r="AN2155" s="418"/>
      <c r="AO2155" s="418"/>
      <c r="AP2155" s="418"/>
      <c r="AQ2155" s="418"/>
      <c r="AR2155" s="418"/>
      <c r="AS2155" s="418"/>
      <c r="AT2155" s="418"/>
      <c r="AU2155" s="418"/>
      <c r="AV2155" s="418"/>
      <c r="AW2155" s="418"/>
      <c r="AX2155" s="418"/>
      <c r="AY2155" s="418"/>
      <c r="AZ2155" s="418"/>
      <c r="BA2155" s="418"/>
    </row>
    <row r="2156" spans="40:53" ht="15.75" customHeight="1">
      <c r="AN2156" s="418"/>
      <c r="AO2156" s="418"/>
      <c r="AP2156" s="418"/>
      <c r="AQ2156" s="418"/>
      <c r="AR2156" s="418"/>
      <c r="AS2156" s="418"/>
      <c r="AT2156" s="418"/>
      <c r="AU2156" s="418"/>
      <c r="AV2156" s="418"/>
      <c r="AW2156" s="418"/>
      <c r="AX2156" s="418"/>
      <c r="AY2156" s="418"/>
      <c r="AZ2156" s="418"/>
      <c r="BA2156" s="418"/>
    </row>
    <row r="2157" spans="40:53" ht="15.75" customHeight="1">
      <c r="AN2157" s="418"/>
      <c r="AO2157" s="418"/>
      <c r="AP2157" s="418"/>
      <c r="AQ2157" s="418"/>
      <c r="AR2157" s="418"/>
      <c r="AS2157" s="418"/>
      <c r="AT2157" s="418"/>
      <c r="AU2157" s="418"/>
      <c r="AV2157" s="418"/>
      <c r="AW2157" s="418"/>
      <c r="AX2157" s="418"/>
      <c r="AY2157" s="418"/>
      <c r="AZ2157" s="418"/>
      <c r="BA2157" s="418"/>
    </row>
    <row r="2158" spans="40:53" ht="15.75" customHeight="1">
      <c r="AN2158" s="418"/>
      <c r="AO2158" s="418"/>
      <c r="AP2158" s="418"/>
      <c r="AQ2158" s="418"/>
      <c r="AR2158" s="418"/>
      <c r="AS2158" s="418"/>
      <c r="AT2158" s="418"/>
      <c r="AU2158" s="418"/>
      <c r="AV2158" s="418"/>
      <c r="AW2158" s="418"/>
      <c r="AX2158" s="418"/>
      <c r="AY2158" s="418"/>
      <c r="AZ2158" s="418"/>
      <c r="BA2158" s="418"/>
    </row>
    <row r="2159" spans="40:53" ht="15.75" customHeight="1">
      <c r="AN2159" s="418"/>
      <c r="AO2159" s="418"/>
      <c r="AP2159" s="418"/>
      <c r="AQ2159" s="418"/>
      <c r="AR2159" s="418"/>
      <c r="AS2159" s="418"/>
      <c r="AT2159" s="418"/>
      <c r="AU2159" s="418"/>
      <c r="AV2159" s="418"/>
      <c r="AW2159" s="418"/>
      <c r="AX2159" s="418"/>
      <c r="AY2159" s="418"/>
      <c r="AZ2159" s="418"/>
      <c r="BA2159" s="418"/>
    </row>
    <row r="2160" spans="40:53" ht="15.75" customHeight="1">
      <c r="AN2160" s="418"/>
      <c r="AO2160" s="418"/>
      <c r="AP2160" s="418"/>
      <c r="AQ2160" s="418"/>
      <c r="AR2160" s="418"/>
      <c r="AS2160" s="418"/>
      <c r="AT2160" s="418"/>
      <c r="AU2160" s="418"/>
      <c r="AV2160" s="418"/>
      <c r="AW2160" s="418"/>
      <c r="AX2160" s="418"/>
      <c r="AY2160" s="418"/>
      <c r="AZ2160" s="418"/>
      <c r="BA2160" s="418"/>
    </row>
    <row r="2161" spans="40:53" ht="15.75" customHeight="1">
      <c r="AN2161" s="418"/>
      <c r="AO2161" s="418"/>
      <c r="AP2161" s="418"/>
      <c r="AQ2161" s="418"/>
      <c r="AR2161" s="418"/>
      <c r="AS2161" s="418"/>
      <c r="AT2161" s="418"/>
      <c r="AU2161" s="418"/>
      <c r="AV2161" s="418"/>
      <c r="AW2161" s="418"/>
      <c r="AX2161" s="418"/>
      <c r="AY2161" s="418"/>
      <c r="AZ2161" s="418"/>
      <c r="BA2161" s="418"/>
    </row>
    <row r="2162" spans="40:53" ht="15.75" customHeight="1">
      <c r="AN2162" s="418"/>
      <c r="AO2162" s="418"/>
      <c r="AP2162" s="418"/>
      <c r="AQ2162" s="418"/>
      <c r="AR2162" s="418"/>
      <c r="AS2162" s="418"/>
      <c r="AT2162" s="418"/>
      <c r="AU2162" s="418"/>
      <c r="AV2162" s="418"/>
      <c r="AW2162" s="418"/>
      <c r="AX2162" s="418"/>
      <c r="AY2162" s="418"/>
      <c r="AZ2162" s="418"/>
      <c r="BA2162" s="418"/>
    </row>
    <row r="2163" spans="40:53" ht="15.75" customHeight="1">
      <c r="AN2163" s="418"/>
      <c r="AO2163" s="418"/>
      <c r="AP2163" s="418"/>
      <c r="AQ2163" s="418"/>
      <c r="AR2163" s="418"/>
      <c r="AS2163" s="418"/>
      <c r="AT2163" s="418"/>
      <c r="AU2163" s="418"/>
      <c r="AV2163" s="418"/>
      <c r="AW2163" s="418"/>
      <c r="AX2163" s="418"/>
      <c r="AY2163" s="418"/>
      <c r="AZ2163" s="418"/>
      <c r="BA2163" s="418"/>
    </row>
    <row r="2164" spans="40:53" ht="15.75" customHeight="1">
      <c r="AN2164" s="418"/>
      <c r="AO2164" s="418"/>
      <c r="AP2164" s="418"/>
      <c r="AQ2164" s="418"/>
      <c r="AR2164" s="418"/>
      <c r="AS2164" s="418"/>
      <c r="AT2164" s="418"/>
      <c r="AU2164" s="418"/>
      <c r="AV2164" s="418"/>
      <c r="AW2164" s="418"/>
      <c r="AX2164" s="418"/>
      <c r="AY2164" s="418"/>
      <c r="AZ2164" s="418"/>
      <c r="BA2164" s="418"/>
    </row>
    <row r="2165" spans="40:53" ht="15.75" customHeight="1">
      <c r="AN2165" s="418"/>
      <c r="AO2165" s="418"/>
      <c r="AP2165" s="418"/>
      <c r="AQ2165" s="418"/>
      <c r="AR2165" s="418"/>
      <c r="AS2165" s="418"/>
      <c r="AT2165" s="418"/>
      <c r="AU2165" s="418"/>
      <c r="AV2165" s="418"/>
      <c r="AW2165" s="418"/>
      <c r="AX2165" s="418"/>
      <c r="AY2165" s="418"/>
      <c r="AZ2165" s="418"/>
      <c r="BA2165" s="418"/>
    </row>
    <row r="2166" spans="40:53" ht="15.75" customHeight="1">
      <c r="AN2166" s="418"/>
      <c r="AO2166" s="418"/>
      <c r="AP2166" s="418"/>
      <c r="AQ2166" s="418"/>
      <c r="AR2166" s="418"/>
      <c r="AS2166" s="418"/>
      <c r="AT2166" s="418"/>
      <c r="AU2166" s="418"/>
      <c r="AV2166" s="418"/>
      <c r="AW2166" s="418"/>
      <c r="AX2166" s="418"/>
      <c r="AY2166" s="418"/>
      <c r="AZ2166" s="418"/>
      <c r="BA2166" s="418"/>
    </row>
    <row r="2167" spans="40:53" ht="15.75" customHeight="1">
      <c r="AN2167" s="418"/>
      <c r="AO2167" s="418"/>
      <c r="AP2167" s="418"/>
      <c r="AQ2167" s="418"/>
      <c r="AR2167" s="418"/>
      <c r="AS2167" s="418"/>
      <c r="AT2167" s="418"/>
      <c r="AU2167" s="418"/>
      <c r="AV2167" s="418"/>
      <c r="AW2167" s="418"/>
      <c r="AX2167" s="418"/>
      <c r="AY2167" s="418"/>
      <c r="AZ2167" s="418"/>
      <c r="BA2167" s="418"/>
    </row>
  </sheetData>
  <autoFilter ref="A2:BA36">
    <filterColumn colId="13" showButton="0"/>
    <filterColumn colId="14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8" showButton="0"/>
    <filterColumn colId="29" showButton="0"/>
    <filterColumn colId="39" showButton="0"/>
    <filterColumn colId="40" showButton="0"/>
    <filterColumn colId="42" showButton="0"/>
    <filterColumn colId="43" showButton="0"/>
    <filterColumn colId="45" showButton="0"/>
    <filterColumn colId="46" showButton="0"/>
  </autoFilter>
  <mergeCells count="9">
    <mergeCell ref="A1:BA1"/>
    <mergeCell ref="W2:Y2"/>
    <mergeCell ref="Z2:AB2"/>
    <mergeCell ref="N2:P2"/>
    <mergeCell ref="AT2:AV2"/>
    <mergeCell ref="T2:V2"/>
    <mergeCell ref="AC2:AE2"/>
    <mergeCell ref="AN2:AP2"/>
    <mergeCell ref="AQ2:AS2"/>
  </mergeCells>
  <phoneticPr fontId="0" type="noConversion"/>
  <printOptions horizontalCentered="1" gridLines="1"/>
  <pageMargins left="0.39370078740157483" right="0.39370078740157483" top="0.98425196850393704" bottom="1.1811023622047245" header="0.31496062992125984" footer="0.31496062992125984"/>
  <pageSetup paperSize="8" scale="55" fitToHeight="0" orientation="landscape" cellComments="asDisplayed" r:id="rId1"/>
  <headerFooter alignWithMargins="0">
    <oddHeader>&amp;L&amp;G&amp;C
LAYOUT AND EQUIPMENT
EP11 
KP11+813 - KP30+900
&amp;R&amp;G</oddHeader>
    <oddFooter>&amp;L
&amp;F&amp;C&amp;G
&amp;D&amp;R
Pag &amp;P of &amp;N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7"/>
    <pageSetUpPr fitToPage="1"/>
  </sheetPr>
  <dimension ref="A1:BM2164"/>
  <sheetViews>
    <sheetView zoomScale="70" zoomScaleNormal="70" zoomScaleSheetLayoutView="80" workbookViewId="0">
      <pane xSplit="3" ySplit="1" topLeftCell="H2" activePane="bottomRight" state="frozen"/>
      <selection activeCell="C20" sqref="C20"/>
      <selection pane="topRight" activeCell="C20" sqref="C20"/>
      <selection pane="bottomLeft" activeCell="C20" sqref="C20"/>
      <selection pane="bottomRight" activeCell="C20" sqref="C20"/>
    </sheetView>
  </sheetViews>
  <sheetFormatPr baseColWidth="10" defaultColWidth="11.42578125" defaultRowHeight="15.75" customHeight="1"/>
  <cols>
    <col min="1" max="1" width="18.85546875" style="462" customWidth="1"/>
    <col min="2" max="2" width="10" style="462" customWidth="1"/>
    <col min="3" max="3" width="13.140625" style="466" hidden="1" customWidth="1"/>
    <col min="4" max="4" width="13.5703125" style="462" hidden="1" customWidth="1"/>
    <col min="5" max="5" width="10.85546875" style="462" hidden="1" customWidth="1"/>
    <col min="6" max="7" width="9.5703125" style="462" hidden="1" customWidth="1"/>
    <col min="8" max="8" width="18" style="462" customWidth="1"/>
    <col min="9" max="9" width="15.140625" style="462" customWidth="1"/>
    <col min="10" max="10" width="13.140625" style="466" hidden="1" customWidth="1"/>
    <col min="11" max="11" width="15.85546875" style="462" customWidth="1"/>
    <col min="12" max="12" width="16.42578125" style="462" customWidth="1"/>
    <col min="13" max="13" width="15.85546875" style="462" customWidth="1"/>
    <col min="14" max="14" width="12.5703125" style="462" customWidth="1"/>
    <col min="15" max="16" width="9.140625" style="462" customWidth="1"/>
    <col min="17" max="19" width="11.42578125" style="462" customWidth="1"/>
    <col min="20" max="28" width="7.5703125" style="462" customWidth="1"/>
    <col min="29" max="29" width="10" style="462" bestFit="1" customWidth="1"/>
    <col min="30" max="31" width="7.5703125" style="462" customWidth="1"/>
    <col min="32" max="39" width="11.42578125" style="462" customWidth="1"/>
    <col min="40" max="40" width="6.85546875" style="436" customWidth="1"/>
    <col min="41" max="42" width="6.85546875" style="436" hidden="1" customWidth="1"/>
    <col min="43" max="48" width="6.85546875" style="312" hidden="1" customWidth="1"/>
    <col min="49" max="49" width="9.140625" style="312" hidden="1" customWidth="1"/>
    <col min="50" max="50" width="10.85546875" style="312" hidden="1" customWidth="1"/>
    <col min="51" max="52" width="9.85546875" style="312" hidden="1" customWidth="1"/>
    <col min="53" max="53" width="15.140625" style="312" hidden="1" customWidth="1"/>
    <col min="54" max="54" width="11.42578125" style="462" customWidth="1"/>
    <col min="55" max="55" width="54.85546875" style="1119" customWidth="1"/>
    <col min="56" max="56" width="15.85546875" style="1119" customWidth="1"/>
    <col min="57" max="57" width="2.85546875" style="307" customWidth="1"/>
    <col min="58" max="58" width="45.85546875" style="307" customWidth="1"/>
    <col min="59" max="59" width="19.140625" style="307" customWidth="1"/>
    <col min="60" max="60" width="4.85546875" style="1119" customWidth="1"/>
    <col min="61" max="61" width="22.85546875" style="1119" customWidth="1"/>
    <col min="62" max="65" width="11.42578125" style="1119" customWidth="1"/>
    <col min="66" max="16384" width="11.42578125" style="462"/>
  </cols>
  <sheetData>
    <row r="1" spans="1:65" ht="36.75" customHeight="1" thickBot="1">
      <c r="A1" s="1245" t="s">
        <v>1220</v>
      </c>
      <c r="B1" s="1246"/>
      <c r="C1" s="1246"/>
      <c r="D1" s="1246"/>
      <c r="E1" s="1246"/>
      <c r="F1" s="1246"/>
      <c r="G1" s="1246"/>
      <c r="H1" s="1246"/>
      <c r="I1" s="1246"/>
      <c r="J1" s="1246"/>
      <c r="K1" s="1246"/>
      <c r="L1" s="1246"/>
      <c r="M1" s="1246"/>
      <c r="N1" s="1246"/>
      <c r="O1" s="1246"/>
      <c r="P1" s="1246"/>
      <c r="Q1" s="1246"/>
      <c r="R1" s="1246"/>
      <c r="S1" s="1246"/>
      <c r="T1" s="1246"/>
      <c r="U1" s="1246"/>
      <c r="V1" s="1246"/>
      <c r="W1" s="1246"/>
      <c r="X1" s="1246"/>
      <c r="Y1" s="1246"/>
      <c r="Z1" s="1246"/>
      <c r="AA1" s="1246"/>
      <c r="AB1" s="1246"/>
      <c r="AC1" s="1246"/>
      <c r="AD1" s="1246"/>
      <c r="AE1" s="1246"/>
      <c r="AF1" s="1246"/>
      <c r="AG1" s="1246"/>
      <c r="AH1" s="1246"/>
      <c r="AI1" s="1246"/>
      <c r="AJ1" s="1246"/>
      <c r="AK1" s="1246"/>
      <c r="AL1" s="1246"/>
      <c r="AM1" s="1246"/>
      <c r="AN1" s="1246"/>
      <c r="AO1" s="1246"/>
      <c r="AP1" s="1246"/>
      <c r="AQ1" s="1246"/>
      <c r="AR1" s="1246"/>
      <c r="AS1" s="1246"/>
      <c r="AT1" s="1246"/>
      <c r="AU1" s="1246"/>
      <c r="AV1" s="1246"/>
      <c r="AW1" s="1246"/>
      <c r="AX1" s="1246"/>
      <c r="AY1" s="1246"/>
      <c r="AZ1" s="1246"/>
      <c r="BA1" s="1246"/>
      <c r="BC1" s="306"/>
    </row>
    <row r="2" spans="1:65" ht="42" customHeight="1" thickBot="1">
      <c r="A2" s="261" t="s">
        <v>1594</v>
      </c>
      <c r="B2" s="261" t="s">
        <v>460</v>
      </c>
      <c r="C2" s="265" t="s">
        <v>3013</v>
      </c>
      <c r="D2" s="261" t="s">
        <v>1595</v>
      </c>
      <c r="E2" s="261" t="s">
        <v>662</v>
      </c>
      <c r="F2" s="261" t="s">
        <v>461</v>
      </c>
      <c r="G2" s="261" t="s">
        <v>3016</v>
      </c>
      <c r="H2" s="261" t="s">
        <v>464</v>
      </c>
      <c r="I2" s="261" t="s">
        <v>463</v>
      </c>
      <c r="J2" s="265" t="s">
        <v>975</v>
      </c>
      <c r="K2" s="261" t="s">
        <v>1600</v>
      </c>
      <c r="L2" s="261" t="s">
        <v>465</v>
      </c>
      <c r="M2" s="261" t="s">
        <v>462</v>
      </c>
      <c r="N2" s="1247" t="s">
        <v>466</v>
      </c>
      <c r="O2" s="1248"/>
      <c r="P2" s="1249"/>
      <c r="Q2" s="261" t="s">
        <v>661</v>
      </c>
      <c r="R2" s="261" t="s">
        <v>663</v>
      </c>
      <c r="S2" s="261" t="s">
        <v>664</v>
      </c>
      <c r="T2" s="1247" t="s">
        <v>471</v>
      </c>
      <c r="U2" s="1248"/>
      <c r="V2" s="1249"/>
      <c r="W2" s="1247" t="s">
        <v>2628</v>
      </c>
      <c r="X2" s="1248"/>
      <c r="Y2" s="1249"/>
      <c r="Z2" s="1247" t="s">
        <v>1596</v>
      </c>
      <c r="AA2" s="1248"/>
      <c r="AB2" s="1249"/>
      <c r="AC2" s="1247" t="s">
        <v>665</v>
      </c>
      <c r="AD2" s="1248"/>
      <c r="AE2" s="1249"/>
      <c r="AF2" s="261" t="s">
        <v>666</v>
      </c>
      <c r="AG2" s="261" t="s">
        <v>3015</v>
      </c>
      <c r="AH2" s="261" t="s">
        <v>667</v>
      </c>
      <c r="AI2" s="261" t="s">
        <v>668</v>
      </c>
      <c r="AJ2" s="261" t="s">
        <v>669</v>
      </c>
      <c r="AK2" s="261" t="s">
        <v>467</v>
      </c>
      <c r="AL2" s="1125" t="s">
        <v>468</v>
      </c>
      <c r="AM2" s="1125" t="s">
        <v>671</v>
      </c>
      <c r="AN2" s="1247" t="s">
        <v>2626</v>
      </c>
      <c r="AO2" s="1248"/>
      <c r="AP2" s="1249"/>
      <c r="AQ2" s="1247" t="s">
        <v>472</v>
      </c>
      <c r="AR2" s="1248"/>
      <c r="AS2" s="1249"/>
      <c r="AT2" s="1247" t="s">
        <v>670</v>
      </c>
      <c r="AU2" s="1248"/>
      <c r="AV2" s="1249"/>
      <c r="AW2" s="1125" t="s">
        <v>1597</v>
      </c>
      <c r="AX2" s="1125" t="s">
        <v>1598</v>
      </c>
      <c r="AY2" s="1125" t="s">
        <v>1599</v>
      </c>
      <c r="AZ2" s="1125" t="s">
        <v>2723</v>
      </c>
      <c r="BA2" s="261" t="s">
        <v>3011</v>
      </c>
      <c r="BC2" s="153" t="s">
        <v>976</v>
      </c>
      <c r="BD2" s="154"/>
      <c r="BE2" s="155"/>
      <c r="BF2" s="156" t="s">
        <v>976</v>
      </c>
      <c r="BG2" s="157"/>
      <c r="BH2" s="158"/>
      <c r="BI2" s="1026" t="s">
        <v>977</v>
      </c>
      <c r="BJ2" s="1027" t="s">
        <v>926</v>
      </c>
      <c r="BK2" s="1027" t="s">
        <v>927</v>
      </c>
      <c r="BL2" s="1027" t="s">
        <v>928</v>
      </c>
      <c r="BM2" s="1038" t="s">
        <v>198</v>
      </c>
    </row>
    <row r="3" spans="1:65" ht="15.75" customHeight="1" thickBot="1">
      <c r="D3" s="467"/>
      <c r="E3" s="467"/>
      <c r="F3" s="468"/>
      <c r="N3" s="1103" t="s">
        <v>123</v>
      </c>
      <c r="O3" s="1103" t="s">
        <v>124</v>
      </c>
      <c r="P3" s="1103" t="s">
        <v>125</v>
      </c>
      <c r="T3" s="1104" t="s">
        <v>126</v>
      </c>
      <c r="U3" s="1105" t="s">
        <v>127</v>
      </c>
      <c r="V3" s="1104" t="s">
        <v>128</v>
      </c>
      <c r="W3" s="1104" t="s">
        <v>129</v>
      </c>
      <c r="X3" s="1105" t="s">
        <v>130</v>
      </c>
      <c r="Y3" s="1104" t="s">
        <v>131</v>
      </c>
      <c r="Z3" s="1104" t="s">
        <v>132</v>
      </c>
      <c r="AA3" s="1105" t="s">
        <v>133</v>
      </c>
      <c r="AB3" s="1104" t="s">
        <v>134</v>
      </c>
      <c r="AC3" s="1104" t="s">
        <v>135</v>
      </c>
      <c r="AD3" s="1105" t="s">
        <v>136</v>
      </c>
      <c r="AE3" s="1104" t="s">
        <v>137</v>
      </c>
      <c r="AN3" s="1104" t="s">
        <v>129</v>
      </c>
      <c r="AO3" s="1104" t="s">
        <v>130</v>
      </c>
      <c r="AP3" s="1104" t="s">
        <v>131</v>
      </c>
      <c r="AQ3" s="1104" t="s">
        <v>645</v>
      </c>
      <c r="AR3" s="1104" t="s">
        <v>646</v>
      </c>
      <c r="AS3" s="1104" t="s">
        <v>647</v>
      </c>
      <c r="AT3" s="1104" t="s">
        <v>648</v>
      </c>
      <c r="AU3" s="1104" t="s">
        <v>649</v>
      </c>
      <c r="AV3" s="1104" t="s">
        <v>650</v>
      </c>
      <c r="AW3" s="462"/>
      <c r="AX3" s="462"/>
      <c r="AY3" s="462"/>
      <c r="AZ3" s="462"/>
      <c r="BA3" s="462"/>
      <c r="BC3" s="1106"/>
      <c r="BD3" s="169"/>
      <c r="BE3" s="155"/>
      <c r="BF3" s="1106"/>
      <c r="BG3" s="169"/>
      <c r="BI3" s="1039"/>
      <c r="BJ3" s="1028"/>
      <c r="BK3" s="1028"/>
      <c r="BL3" s="1028"/>
      <c r="BM3" s="314"/>
    </row>
    <row r="4" spans="1:65" ht="15.75" hidden="1" customHeight="1">
      <c r="A4" s="291"/>
      <c r="B4" s="391"/>
      <c r="C4" s="288"/>
      <c r="D4" s="1121"/>
      <c r="E4" s="1121"/>
      <c r="F4" s="289"/>
      <c r="G4" s="292"/>
      <c r="H4" s="291"/>
      <c r="I4" s="294"/>
      <c r="J4" s="288"/>
      <c r="K4" s="1121"/>
      <c r="L4" s="1121"/>
      <c r="M4" s="1121"/>
      <c r="N4" s="291"/>
      <c r="O4" s="291"/>
      <c r="P4" s="1121"/>
      <c r="Q4" s="1121"/>
      <c r="R4" s="1121"/>
      <c r="S4" s="1121"/>
      <c r="T4" s="1121"/>
      <c r="U4" s="1121"/>
      <c r="V4" s="1121"/>
      <c r="W4" s="1121"/>
      <c r="X4" s="1121"/>
      <c r="Y4" s="1121"/>
      <c r="Z4" s="1121"/>
      <c r="AA4" s="1121"/>
      <c r="AB4" s="1121"/>
      <c r="AC4" s="1121"/>
      <c r="AD4" s="1121"/>
      <c r="AE4" s="1121"/>
      <c r="AF4" s="1121"/>
      <c r="AG4" s="1121"/>
      <c r="AH4" s="1121"/>
      <c r="AI4" s="477"/>
      <c r="AJ4" s="1121"/>
      <c r="AK4" s="241"/>
      <c r="AL4" s="1121"/>
      <c r="AM4" s="1121"/>
      <c r="AN4" s="241"/>
      <c r="AO4" s="241"/>
      <c r="AP4" s="241"/>
      <c r="AQ4" s="1121"/>
      <c r="AR4" s="1121"/>
      <c r="AS4" s="1121"/>
      <c r="AT4" s="1121"/>
      <c r="AU4" s="1121"/>
      <c r="AV4" s="1121"/>
      <c r="AW4" s="315"/>
      <c r="AX4" s="315"/>
      <c r="AY4" s="1121"/>
      <c r="AZ4" s="1121"/>
      <c r="BA4" s="1121"/>
      <c r="BC4" s="1107" t="s">
        <v>985</v>
      </c>
      <c r="BD4" s="1056"/>
      <c r="BE4" s="298"/>
      <c r="BF4" s="1108" t="s">
        <v>1002</v>
      </c>
      <c r="BG4" s="1109"/>
      <c r="BI4" s="316" t="s">
        <v>929</v>
      </c>
      <c r="BJ4" s="317">
        <v>21000</v>
      </c>
      <c r="BK4" s="317">
        <v>21150</v>
      </c>
      <c r="BL4" s="1028">
        <v>2</v>
      </c>
      <c r="BM4" s="314">
        <f>+(BK4-BJ4)*BL4/1000</f>
        <v>0.3</v>
      </c>
    </row>
    <row r="5" spans="1:65" ht="15.75" customHeight="1">
      <c r="A5" s="291"/>
      <c r="B5" s="391" t="s">
        <v>2499</v>
      </c>
      <c r="C5" s="288">
        <v>21054</v>
      </c>
      <c r="D5" s="1121"/>
      <c r="E5" s="1121"/>
      <c r="F5" s="289">
        <v>0</v>
      </c>
      <c r="G5" s="292"/>
      <c r="H5" s="291"/>
      <c r="I5" s="294"/>
      <c r="J5" s="288"/>
      <c r="K5" s="1121"/>
      <c r="L5" s="1121" t="s">
        <v>882</v>
      </c>
      <c r="M5" s="1121" t="s">
        <v>2675</v>
      </c>
      <c r="N5" s="291"/>
      <c r="O5" s="291"/>
      <c r="P5" s="1121"/>
      <c r="Q5" s="1121"/>
      <c r="R5" s="1121"/>
      <c r="S5" s="1121"/>
      <c r="T5" s="1121"/>
      <c r="U5" s="1121"/>
      <c r="V5" s="1121"/>
      <c r="W5" s="1121"/>
      <c r="X5" s="1121"/>
      <c r="Y5" s="1121"/>
      <c r="Z5" s="1121"/>
      <c r="AA5" s="1121"/>
      <c r="AB5" s="1121"/>
      <c r="AC5" s="1121"/>
      <c r="AD5" s="1121"/>
      <c r="AE5" s="1121"/>
      <c r="AF5" s="1121"/>
      <c r="AG5" s="1121"/>
      <c r="AH5" s="1121"/>
      <c r="AI5" s="477"/>
      <c r="AJ5" s="1121"/>
      <c r="AK5" s="241"/>
      <c r="AL5" s="1121" t="s">
        <v>2518</v>
      </c>
      <c r="AM5" s="1121" t="s">
        <v>1228</v>
      </c>
      <c r="AN5" s="241">
        <v>5.5</v>
      </c>
      <c r="AO5" s="241"/>
      <c r="AP5" s="241"/>
      <c r="AQ5" s="1121"/>
      <c r="AR5" s="1121"/>
      <c r="AS5" s="1121"/>
      <c r="AT5" s="1121"/>
      <c r="AU5" s="1121"/>
      <c r="AV5" s="1121"/>
      <c r="AW5" s="315" t="s">
        <v>2634</v>
      </c>
      <c r="AX5" s="315" t="s">
        <v>1639</v>
      </c>
      <c r="AY5" s="1121">
        <v>3.8</v>
      </c>
      <c r="AZ5" s="1121"/>
      <c r="BA5" s="1121"/>
      <c r="BC5" s="1107" t="s">
        <v>979</v>
      </c>
      <c r="BD5" s="1056"/>
      <c r="BE5" s="298"/>
      <c r="BF5" s="1108" t="s">
        <v>1031</v>
      </c>
      <c r="BG5" s="1109" t="s">
        <v>473</v>
      </c>
      <c r="BI5" s="316"/>
      <c r="BJ5" s="317"/>
      <c r="BK5" s="317"/>
      <c r="BL5" s="1028"/>
      <c r="BM5" s="314">
        <f>+(BK5-BJ5)*BL5/1000</f>
        <v>0</v>
      </c>
    </row>
    <row r="6" spans="1:65" ht="15.75" customHeight="1">
      <c r="A6" s="291"/>
      <c r="B6" s="391"/>
      <c r="C6" s="288"/>
      <c r="D6" s="1121"/>
      <c r="E6" s="1121"/>
      <c r="F6" s="289"/>
      <c r="G6" s="292">
        <v>10</v>
      </c>
      <c r="H6" s="291"/>
      <c r="I6" s="294"/>
      <c r="J6" s="288"/>
      <c r="K6" s="1121"/>
      <c r="L6" s="1121"/>
      <c r="M6" s="1121"/>
      <c r="N6" s="291"/>
      <c r="O6" s="291"/>
      <c r="P6" s="1121"/>
      <c r="Q6" s="1121"/>
      <c r="R6" s="1121"/>
      <c r="S6" s="1121"/>
      <c r="T6" s="1121"/>
      <c r="U6" s="1121"/>
      <c r="V6" s="1121"/>
      <c r="W6" s="1121"/>
      <c r="X6" s="1121"/>
      <c r="Y6" s="1121"/>
      <c r="Z6" s="1121"/>
      <c r="AA6" s="1121"/>
      <c r="AB6" s="1121"/>
      <c r="AC6" s="1121"/>
      <c r="AD6" s="1121"/>
      <c r="AE6" s="1121"/>
      <c r="AF6" s="1121"/>
      <c r="AG6" s="1121"/>
      <c r="AH6" s="1121"/>
      <c r="AI6" s="477"/>
      <c r="AJ6" s="1121"/>
      <c r="AK6" s="241"/>
      <c r="AL6" s="1121"/>
      <c r="AM6" s="1121"/>
      <c r="AN6" s="241"/>
      <c r="AO6" s="241"/>
      <c r="AP6" s="241"/>
      <c r="AQ6" s="1121">
        <f>+FL_1($T$7,$T$5,$G$6,1200,9.28, 1*$F$7)</f>
        <v>3.113446654387272E-4</v>
      </c>
      <c r="AR6" s="1121"/>
      <c r="AS6" s="1121"/>
      <c r="AT6" s="1121"/>
      <c r="AU6" s="1121"/>
      <c r="AV6" s="1121"/>
      <c r="AW6" s="1121"/>
      <c r="AX6" s="1121"/>
      <c r="AY6" s="1121" t="s">
        <v>695</v>
      </c>
      <c r="AZ6" s="1121"/>
      <c r="BA6" s="1121"/>
      <c r="BC6" s="1107" t="s">
        <v>981</v>
      </c>
      <c r="BD6" s="328"/>
      <c r="BE6" s="298"/>
      <c r="BF6" s="1108" t="s">
        <v>1032</v>
      </c>
      <c r="BG6" s="1109" t="s">
        <v>474</v>
      </c>
      <c r="BI6" s="316"/>
      <c r="BJ6" s="317"/>
      <c r="BK6" s="317"/>
      <c r="BL6" s="306"/>
      <c r="BM6" s="314">
        <f>+(BK6-BJ6)*BL6/1000</f>
        <v>0</v>
      </c>
    </row>
    <row r="7" spans="1:65" ht="15.75" customHeight="1">
      <c r="A7" s="291"/>
      <c r="B7" s="391" t="s">
        <v>2500</v>
      </c>
      <c r="C7" s="288">
        <f>C5+G6</f>
        <v>21064</v>
      </c>
      <c r="D7" s="1121"/>
      <c r="E7" s="1121"/>
      <c r="F7" s="289">
        <v>1000</v>
      </c>
      <c r="G7" s="292"/>
      <c r="H7" s="291"/>
      <c r="I7" s="294"/>
      <c r="J7" s="288"/>
      <c r="K7" s="1121"/>
      <c r="L7" s="1121" t="s">
        <v>2515</v>
      </c>
      <c r="M7" s="1121" t="s">
        <v>2788</v>
      </c>
      <c r="N7" s="291" t="s">
        <v>144</v>
      </c>
      <c r="O7" s="291"/>
      <c r="P7" s="1121"/>
      <c r="Q7" s="1121">
        <v>0</v>
      </c>
      <c r="R7" s="1121">
        <v>0</v>
      </c>
      <c r="S7" s="1121"/>
      <c r="T7" s="1121">
        <v>-30</v>
      </c>
      <c r="U7" s="1121"/>
      <c r="V7" s="1121"/>
      <c r="W7" s="1121">
        <v>1.4</v>
      </c>
      <c r="X7" s="1121"/>
      <c r="Y7" s="1121"/>
      <c r="Z7" s="1121"/>
      <c r="AA7" s="1121"/>
      <c r="AB7" s="1121"/>
      <c r="AC7" s="1121" t="s">
        <v>2972</v>
      </c>
      <c r="AD7" s="1121"/>
      <c r="AE7" s="1121"/>
      <c r="AF7" s="1121"/>
      <c r="AG7" s="288">
        <v>21064</v>
      </c>
      <c r="AH7" s="1121">
        <v>2483</v>
      </c>
      <c r="AI7" s="477">
        <v>690</v>
      </c>
      <c r="AJ7" s="1121"/>
      <c r="AK7" s="241"/>
      <c r="AL7" s="1121" t="s">
        <v>894</v>
      </c>
      <c r="AM7" s="1121" t="s">
        <v>1228</v>
      </c>
      <c r="AN7" s="241">
        <v>5.5</v>
      </c>
      <c r="AO7" s="241"/>
      <c r="AP7" s="241"/>
      <c r="AQ7" s="1121"/>
      <c r="AR7" s="1121"/>
      <c r="AS7" s="1121"/>
      <c r="AT7" s="1121">
        <f>+ab($T$7,$T$5,$T$9,$G$6,$G$8, -1*$F$7,1200)</f>
        <v>-3.8321288746804383</v>
      </c>
      <c r="AU7" s="1121"/>
      <c r="AV7" s="1121"/>
      <c r="AW7" s="315" t="s">
        <v>2634</v>
      </c>
      <c r="AX7" s="315" t="s">
        <v>1639</v>
      </c>
      <c r="AY7" s="1121">
        <v>5.5</v>
      </c>
      <c r="AZ7" s="1121"/>
      <c r="BA7" s="1121"/>
      <c r="BC7" s="1107" t="s">
        <v>980</v>
      </c>
      <c r="BD7" s="330"/>
      <c r="BE7" s="298"/>
      <c r="BF7" s="1108"/>
      <c r="BG7" s="1109"/>
      <c r="BI7" s="316"/>
      <c r="BJ7" s="317"/>
      <c r="BK7" s="317"/>
      <c r="BL7" s="306"/>
      <c r="BM7" s="314">
        <f>+(BK7-BJ7)*BL7/1000</f>
        <v>0</v>
      </c>
    </row>
    <row r="8" spans="1:65" ht="38.25" customHeight="1" thickBot="1">
      <c r="A8" s="291"/>
      <c r="B8" s="391"/>
      <c r="C8" s="288"/>
      <c r="D8" s="1121"/>
      <c r="E8" s="1121"/>
      <c r="F8" s="289"/>
      <c r="G8" s="292">
        <v>30</v>
      </c>
      <c r="H8" s="291"/>
      <c r="I8" s="294"/>
      <c r="J8" s="288"/>
      <c r="K8" s="1121"/>
      <c r="L8" s="1121"/>
      <c r="M8" s="1121"/>
      <c r="N8" s="1121"/>
      <c r="O8" s="1121"/>
      <c r="P8" s="1121"/>
      <c r="Q8" s="1121"/>
      <c r="R8" s="1121"/>
      <c r="S8" s="315">
        <f>AG9-AG7</f>
        <v>30</v>
      </c>
      <c r="T8" s="1121"/>
      <c r="U8" s="1121"/>
      <c r="V8" s="1121"/>
      <c r="W8" s="1121"/>
      <c r="X8" s="1121"/>
      <c r="Y8" s="1121"/>
      <c r="Z8" s="1121"/>
      <c r="AA8" s="1121"/>
      <c r="AB8" s="1121"/>
      <c r="AC8" s="1121"/>
      <c r="AD8" s="1121"/>
      <c r="AE8" s="1121"/>
      <c r="AF8" s="1121"/>
      <c r="AG8" s="288"/>
      <c r="AH8" s="1121"/>
      <c r="AI8" s="477"/>
      <c r="AJ8" s="1121"/>
      <c r="AK8" s="241"/>
      <c r="AL8" s="1121"/>
      <c r="AM8" s="1121"/>
      <c r="AN8" s="241"/>
      <c r="AO8" s="241"/>
      <c r="AP8" s="241"/>
      <c r="AQ8" s="1121">
        <f>+FL_2($T$9,$T$7,$G$8,1200,9.28, 1*$F$9)</f>
        <v>-0.49950632883695745</v>
      </c>
      <c r="AR8" s="1121"/>
      <c r="AS8" s="1121"/>
      <c r="AT8" s="1121"/>
      <c r="AU8" s="1121"/>
      <c r="AV8" s="1121"/>
      <c r="AW8" s="1121"/>
      <c r="AX8" s="1121"/>
      <c r="AY8" s="1121" t="s">
        <v>695</v>
      </c>
      <c r="AZ8" s="1121"/>
      <c r="BA8" s="1121"/>
      <c r="BC8" s="1107" t="s">
        <v>978</v>
      </c>
      <c r="BD8" s="331"/>
      <c r="BE8" s="298"/>
      <c r="BF8" s="1110" t="s">
        <v>888</v>
      </c>
      <c r="BG8" s="170"/>
      <c r="BI8" s="1040" t="s">
        <v>973</v>
      </c>
      <c r="BJ8" s="1029"/>
      <c r="BK8" s="1029"/>
      <c r="BL8" s="1029"/>
      <c r="BM8" s="1041">
        <f>SUM(BM4:BM7)</f>
        <v>0.3</v>
      </c>
    </row>
    <row r="9" spans="1:65" ht="15.75" customHeight="1">
      <c r="A9" s="291"/>
      <c r="B9" s="1111" t="s">
        <v>2501</v>
      </c>
      <c r="C9" s="288">
        <f>C7+G8</f>
        <v>21094</v>
      </c>
      <c r="D9" s="1121"/>
      <c r="E9" s="1121"/>
      <c r="F9" s="289">
        <v>1000</v>
      </c>
      <c r="G9" s="292"/>
      <c r="H9" s="291"/>
      <c r="I9" s="294"/>
      <c r="J9" s="288"/>
      <c r="K9" s="1121"/>
      <c r="L9" s="1121" t="s">
        <v>2515</v>
      </c>
      <c r="M9" s="1121" t="s">
        <v>2788</v>
      </c>
      <c r="N9" s="291" t="s">
        <v>144</v>
      </c>
      <c r="O9" s="291"/>
      <c r="P9" s="1121"/>
      <c r="Q9" s="1121">
        <v>0</v>
      </c>
      <c r="R9" s="1121">
        <v>0</v>
      </c>
      <c r="S9" s="1121"/>
      <c r="T9" s="1121">
        <v>-30</v>
      </c>
      <c r="U9" s="1121"/>
      <c r="V9" s="1121"/>
      <c r="W9" s="1121">
        <v>1.4</v>
      </c>
      <c r="X9" s="1121"/>
      <c r="Y9" s="1121"/>
      <c r="Z9" s="1121"/>
      <c r="AA9" s="1121"/>
      <c r="AB9" s="1121"/>
      <c r="AC9" s="1121" t="s">
        <v>2972</v>
      </c>
      <c r="AD9" s="1121"/>
      <c r="AE9" s="1121"/>
      <c r="AF9" s="1121"/>
      <c r="AG9" s="288">
        <v>21094</v>
      </c>
      <c r="AH9" s="1121">
        <v>3743</v>
      </c>
      <c r="AI9" s="477">
        <v>880</v>
      </c>
      <c r="AJ9" s="1121"/>
      <c r="AK9" s="241"/>
      <c r="AL9" s="1121" t="s">
        <v>894</v>
      </c>
      <c r="AM9" s="1121" t="s">
        <v>1228</v>
      </c>
      <c r="AN9" s="241">
        <v>5.5</v>
      </c>
      <c r="AO9" s="241"/>
      <c r="AP9" s="241"/>
      <c r="AQ9" s="1121"/>
      <c r="AR9" s="1121"/>
      <c r="AS9" s="1121"/>
      <c r="AT9" s="1121">
        <f>+ab($T$9,$T$7,$T$11,$G$8,$G$10, -1*$F$9,1200)</f>
        <v>-2.8196724550755943</v>
      </c>
      <c r="AU9" s="1121"/>
      <c r="AV9" s="1121"/>
      <c r="AW9" s="315" t="s">
        <v>2634</v>
      </c>
      <c r="AX9" s="315" t="s">
        <v>1639</v>
      </c>
      <c r="AY9" s="1121">
        <v>5.5</v>
      </c>
      <c r="AZ9" s="1121"/>
      <c r="BA9" s="1121"/>
      <c r="BC9" s="1107" t="s">
        <v>982</v>
      </c>
      <c r="BD9" s="332"/>
      <c r="BE9" s="298"/>
      <c r="BF9" s="1108" t="s">
        <v>1051</v>
      </c>
      <c r="BG9" s="1109" t="s">
        <v>1050</v>
      </c>
      <c r="BI9" s="307"/>
      <c r="BJ9" s="307"/>
      <c r="BK9" s="307"/>
      <c r="BL9" s="307"/>
      <c r="BM9" s="307"/>
    </row>
    <row r="10" spans="1:65" ht="15.75" customHeight="1">
      <c r="A10" s="291"/>
      <c r="B10" s="391"/>
      <c r="C10" s="288"/>
      <c r="D10" s="1121"/>
      <c r="E10" s="1121"/>
      <c r="F10" s="289"/>
      <c r="G10" s="292">
        <v>6</v>
      </c>
      <c r="H10" s="291"/>
      <c r="I10" s="294"/>
      <c r="J10" s="288"/>
      <c r="K10" s="1121"/>
      <c r="L10" s="1121"/>
      <c r="M10" s="1121"/>
      <c r="N10" s="291"/>
      <c r="O10" s="291"/>
      <c r="P10" s="1121"/>
      <c r="Q10" s="1121"/>
      <c r="R10" s="1121"/>
      <c r="S10" s="1121"/>
      <c r="T10" s="1121"/>
      <c r="U10" s="1121"/>
      <c r="V10" s="1121"/>
      <c r="W10" s="1121"/>
      <c r="X10" s="1121"/>
      <c r="Y10" s="1121"/>
      <c r="Z10" s="1121"/>
      <c r="AA10" s="1121"/>
      <c r="AB10" s="1121"/>
      <c r="AC10" s="1121"/>
      <c r="AD10" s="1121"/>
      <c r="AE10" s="1121"/>
      <c r="AF10" s="1121"/>
      <c r="AG10" s="288"/>
      <c r="AH10" s="1121"/>
      <c r="AI10" s="477"/>
      <c r="AJ10" s="1121"/>
      <c r="AK10" s="241"/>
      <c r="AL10" s="1121"/>
      <c r="AM10" s="1121"/>
      <c r="AN10" s="241"/>
      <c r="AO10" s="241"/>
      <c r="AP10" s="241"/>
      <c r="AQ10" s="1121"/>
      <c r="AR10" s="1121"/>
      <c r="AS10" s="1121"/>
      <c r="AT10" s="1121"/>
      <c r="AU10" s="1121"/>
      <c r="AV10" s="1121"/>
      <c r="AW10" s="1121"/>
      <c r="AX10" s="1121"/>
      <c r="AY10" s="1121" t="s">
        <v>695</v>
      </c>
      <c r="AZ10" s="1121"/>
      <c r="BA10" s="1121"/>
      <c r="BC10" s="1107" t="s">
        <v>983</v>
      </c>
      <c r="BD10" s="333"/>
      <c r="BE10" s="298"/>
      <c r="BF10" s="1108" t="s">
        <v>2046</v>
      </c>
      <c r="BG10" s="1109" t="s">
        <v>893</v>
      </c>
      <c r="BI10" s="1030" t="s">
        <v>974</v>
      </c>
      <c r="BJ10" s="1030"/>
      <c r="BK10" s="1030"/>
      <c r="BL10" s="1031"/>
      <c r="BM10" s="1042">
        <f>+BM8/2</f>
        <v>0.15</v>
      </c>
    </row>
    <row r="11" spans="1:65" ht="15.75" customHeight="1">
      <c r="A11" s="291"/>
      <c r="B11" s="1111" t="s">
        <v>2575</v>
      </c>
      <c r="C11" s="288">
        <f>C9+G10</f>
        <v>21100</v>
      </c>
      <c r="D11" s="1121"/>
      <c r="E11" s="1121"/>
      <c r="F11" s="289">
        <v>0</v>
      </c>
      <c r="G11" s="292"/>
      <c r="H11" s="291"/>
      <c r="I11" s="291"/>
      <c r="J11" s="288"/>
      <c r="K11" s="1121"/>
      <c r="L11" s="1121" t="s">
        <v>2515</v>
      </c>
      <c r="M11" s="1121" t="s">
        <v>2788</v>
      </c>
      <c r="N11" s="291"/>
      <c r="O11" s="291"/>
      <c r="P11" s="1121"/>
      <c r="Q11" s="1121">
        <v>0</v>
      </c>
      <c r="R11" s="1121">
        <v>0</v>
      </c>
      <c r="S11" s="315">
        <f>AG13-AG9</f>
        <v>22.979999999999563</v>
      </c>
      <c r="T11" s="1121"/>
      <c r="U11" s="1121"/>
      <c r="V11" s="1121"/>
      <c r="W11" s="1121"/>
      <c r="X11" s="1121"/>
      <c r="Y11" s="1121"/>
      <c r="Z11" s="1121"/>
      <c r="AA11" s="1121"/>
      <c r="AB11" s="1121"/>
      <c r="AC11" s="1121"/>
      <c r="AD11" s="1121"/>
      <c r="AE11" s="1121"/>
      <c r="AF11" s="1121"/>
      <c r="AG11" s="288"/>
      <c r="AH11" s="1121"/>
      <c r="AI11" s="477"/>
      <c r="AJ11" s="1121"/>
      <c r="AK11" s="241"/>
      <c r="AL11" s="1121" t="s">
        <v>894</v>
      </c>
      <c r="AM11" s="1121" t="s">
        <v>1228</v>
      </c>
      <c r="AN11" s="241">
        <v>5.5</v>
      </c>
      <c r="AO11" s="241"/>
      <c r="AP11" s="241"/>
      <c r="AQ11" s="1121"/>
      <c r="AR11" s="1121"/>
      <c r="AS11" s="1121"/>
      <c r="AT11" s="1121"/>
      <c r="AU11" s="1121"/>
      <c r="AV11" s="1121"/>
      <c r="AW11" s="315" t="s">
        <v>2634</v>
      </c>
      <c r="AX11" s="315" t="s">
        <v>1639</v>
      </c>
      <c r="AY11" s="1121">
        <v>5.5</v>
      </c>
      <c r="AZ11" s="1121"/>
      <c r="BA11" s="1121"/>
      <c r="BC11" s="1107"/>
      <c r="BD11" s="324"/>
      <c r="BE11" s="298"/>
      <c r="BF11" s="1108" t="s">
        <v>2047</v>
      </c>
      <c r="BG11" s="1109" t="s">
        <v>892</v>
      </c>
      <c r="BI11" s="307"/>
      <c r="BJ11" s="307"/>
      <c r="BK11" s="307"/>
      <c r="BL11" s="307"/>
      <c r="BM11" s="307"/>
    </row>
    <row r="12" spans="1:65" ht="15.75" customHeight="1">
      <c r="A12" s="291"/>
      <c r="B12" s="391"/>
      <c r="C12" s="288"/>
      <c r="D12" s="1121"/>
      <c r="E12" s="1121"/>
      <c r="F12" s="289"/>
      <c r="G12" s="292">
        <v>16.5</v>
      </c>
      <c r="H12" s="291"/>
      <c r="I12" s="291"/>
      <c r="J12" s="288"/>
      <c r="K12" s="1121"/>
      <c r="L12" s="1121"/>
      <c r="M12" s="1121"/>
      <c r="N12" s="291"/>
      <c r="O12" s="291"/>
      <c r="P12" s="1121"/>
      <c r="Q12" s="1121"/>
      <c r="R12" s="1121"/>
      <c r="S12" s="1121"/>
      <c r="T12" s="1121"/>
      <c r="U12" s="1121"/>
      <c r="V12" s="1121"/>
      <c r="W12" s="1121"/>
      <c r="X12" s="1121"/>
      <c r="Y12" s="1121"/>
      <c r="Z12" s="1121"/>
      <c r="AA12" s="1121"/>
      <c r="AB12" s="1121"/>
      <c r="AC12" s="1121"/>
      <c r="AD12" s="1121"/>
      <c r="AE12" s="1121"/>
      <c r="AF12" s="1121"/>
      <c r="AG12" s="288"/>
      <c r="AH12" s="1121"/>
      <c r="AI12" s="477"/>
      <c r="AJ12" s="1121"/>
      <c r="AK12" s="241"/>
      <c r="AL12" s="1121"/>
      <c r="AM12" s="1121"/>
      <c r="AN12" s="241"/>
      <c r="AO12" s="241"/>
      <c r="AP12" s="241"/>
      <c r="AQ12" s="1121"/>
      <c r="AR12" s="1121"/>
      <c r="AS12" s="1121"/>
      <c r="AT12" s="1121"/>
      <c r="AU12" s="1121"/>
      <c r="AV12" s="1121"/>
      <c r="AW12" s="1121"/>
      <c r="AX12" s="1121"/>
      <c r="AY12" s="1121" t="s">
        <v>695</v>
      </c>
      <c r="AZ12" s="1121"/>
      <c r="BA12" s="1121"/>
      <c r="BC12" s="1110" t="s">
        <v>984</v>
      </c>
      <c r="BD12" s="170"/>
      <c r="BE12" s="155"/>
      <c r="BF12" s="1108"/>
      <c r="BG12" s="1109"/>
      <c r="BI12" s="1032" t="s">
        <v>932</v>
      </c>
      <c r="BJ12" s="1032" t="s">
        <v>926</v>
      </c>
      <c r="BK12" s="1032" t="s">
        <v>927</v>
      </c>
      <c r="BL12" s="1032" t="s">
        <v>928</v>
      </c>
      <c r="BM12" s="1032" t="s">
        <v>198</v>
      </c>
    </row>
    <row r="13" spans="1:65" ht="15.75" customHeight="1" thickBot="1">
      <c r="A13" s="291"/>
      <c r="B13" s="391" t="s">
        <v>2502</v>
      </c>
      <c r="C13" s="288">
        <f>C11+G12</f>
        <v>21116.5</v>
      </c>
      <c r="D13" s="1121"/>
      <c r="E13" s="1121"/>
      <c r="F13" s="289">
        <v>0</v>
      </c>
      <c r="G13" s="292"/>
      <c r="H13" s="291"/>
      <c r="I13" s="291" t="s">
        <v>1223</v>
      </c>
      <c r="J13" s="288">
        <f>C13+7.5</f>
        <v>21124</v>
      </c>
      <c r="K13" s="1121" t="s">
        <v>658</v>
      </c>
      <c r="L13" s="1121" t="s">
        <v>230</v>
      </c>
      <c r="M13" s="1121" t="s">
        <v>2682</v>
      </c>
      <c r="N13" s="291" t="s">
        <v>145</v>
      </c>
      <c r="O13" s="291"/>
      <c r="P13" s="1121"/>
      <c r="Q13" s="1121">
        <v>0</v>
      </c>
      <c r="R13" s="1121">
        <v>0</v>
      </c>
      <c r="S13" s="1121"/>
      <c r="T13" s="1121">
        <v>30</v>
      </c>
      <c r="U13" s="1121"/>
      <c r="V13" s="1121"/>
      <c r="W13" s="1121">
        <v>1.4</v>
      </c>
      <c r="X13" s="1121"/>
      <c r="Y13" s="1121"/>
      <c r="Z13" s="1121">
        <v>100</v>
      </c>
      <c r="AA13" s="1121"/>
      <c r="AB13" s="1121"/>
      <c r="AC13" s="1121" t="s">
        <v>2963</v>
      </c>
      <c r="AD13" s="1121"/>
      <c r="AE13" s="1121"/>
      <c r="AF13" s="1121"/>
      <c r="AG13" s="288">
        <v>21116.98</v>
      </c>
      <c r="AH13" s="1121">
        <v>2094</v>
      </c>
      <c r="AI13" s="477">
        <v>779</v>
      </c>
      <c r="AJ13" s="1121"/>
      <c r="AK13" s="241"/>
      <c r="AL13" s="1121"/>
      <c r="AM13" s="1121" t="s">
        <v>1228</v>
      </c>
      <c r="AN13" s="241">
        <v>5.5</v>
      </c>
      <c r="AO13" s="241"/>
      <c r="AP13" s="241"/>
      <c r="AQ13" s="1121"/>
      <c r="AR13" s="1121"/>
      <c r="AS13" s="1121"/>
      <c r="AT13" s="1121">
        <f>+ab($T$13,$T$9,$T$15,$G$12,$G$14, -1*$F$13,1200)</f>
        <v>3.8998116605603665</v>
      </c>
      <c r="AU13" s="1121"/>
      <c r="AV13" s="1121"/>
      <c r="AW13" s="315" t="s">
        <v>2634</v>
      </c>
      <c r="AX13" s="315" t="s">
        <v>1639</v>
      </c>
      <c r="AY13" s="1121">
        <v>3.4</v>
      </c>
      <c r="AZ13" s="1121">
        <v>2.5</v>
      </c>
      <c r="BA13" s="1121"/>
      <c r="BC13" s="1108" t="s">
        <v>987</v>
      </c>
      <c r="BD13" s="1109" t="s">
        <v>138</v>
      </c>
      <c r="BE13" s="155"/>
      <c r="BF13" s="1110" t="s">
        <v>869</v>
      </c>
      <c r="BG13" s="170"/>
      <c r="BI13" s="1030"/>
      <c r="BJ13" s="1030"/>
      <c r="BK13" s="1030"/>
      <c r="BL13" s="1031"/>
      <c r="BM13" s="1042">
        <f>SUM(BM14:BM19)+SUM(BM24:BM32)</f>
        <v>0</v>
      </c>
    </row>
    <row r="14" spans="1:65" ht="15.75" customHeight="1">
      <c r="A14" s="291"/>
      <c r="B14" s="391"/>
      <c r="C14" s="288"/>
      <c r="D14" s="1121"/>
      <c r="E14" s="1121"/>
      <c r="F14" s="289"/>
      <c r="G14" s="292">
        <v>23.5</v>
      </c>
      <c r="H14" s="291"/>
      <c r="I14" s="291" t="s">
        <v>2668</v>
      </c>
      <c r="J14" s="288">
        <f>C13+9.5</f>
        <v>21126</v>
      </c>
      <c r="K14" s="1121" t="s">
        <v>658</v>
      </c>
      <c r="L14" s="1121"/>
      <c r="M14" s="1121"/>
      <c r="N14" s="291"/>
      <c r="O14" s="291"/>
      <c r="P14" s="1121"/>
      <c r="Q14" s="1121"/>
      <c r="R14" s="1121"/>
      <c r="S14" s="1121"/>
      <c r="T14" s="1121"/>
      <c r="U14" s="1121"/>
      <c r="V14" s="1121"/>
      <c r="W14" s="1121"/>
      <c r="X14" s="1121"/>
      <c r="Y14" s="1121"/>
      <c r="Z14" s="1121"/>
      <c r="AA14" s="1121"/>
      <c r="AB14" s="1121"/>
      <c r="AC14" s="1121"/>
      <c r="AD14" s="1121"/>
      <c r="AE14" s="1121"/>
      <c r="AF14" s="1121"/>
      <c r="AG14" s="1121"/>
      <c r="AH14" s="1121"/>
      <c r="AI14" s="477"/>
      <c r="AJ14" s="1121"/>
      <c r="AK14" s="241"/>
      <c r="AL14" s="1121"/>
      <c r="AM14" s="1121"/>
      <c r="AN14" s="241"/>
      <c r="AO14" s="241"/>
      <c r="AP14" s="241"/>
      <c r="AQ14" s="1121">
        <f>+FL_1($T$15,$T$13,$G$14,1200,9.28, 1*$F$15)</f>
        <v>0.30000000000000321</v>
      </c>
      <c r="AR14" s="1121"/>
      <c r="AS14" s="1121"/>
      <c r="AU14" s="1121"/>
      <c r="AV14" s="1121"/>
      <c r="AW14" s="315" t="s">
        <v>2634</v>
      </c>
      <c r="AX14" s="315" t="s">
        <v>1639</v>
      </c>
      <c r="AY14" s="1121"/>
      <c r="AZ14" s="1121">
        <v>2.5</v>
      </c>
      <c r="BA14" s="1121"/>
      <c r="BC14" s="1108" t="s">
        <v>988</v>
      </c>
      <c r="BD14" s="1109" t="s">
        <v>986</v>
      </c>
      <c r="BE14" s="155"/>
      <c r="BF14" s="1108" t="s">
        <v>1023</v>
      </c>
      <c r="BG14" s="1109" t="s">
        <v>144</v>
      </c>
      <c r="BI14" s="1043"/>
      <c r="BJ14" s="1033"/>
      <c r="BK14" s="1033"/>
      <c r="BL14" s="1034"/>
      <c r="BM14" s="1044">
        <f t="shared" ref="BM14:BM19" si="0">+(BK14-BJ14)*BL14/1000</f>
        <v>0</v>
      </c>
    </row>
    <row r="15" spans="1:65" ht="15.75" customHeight="1">
      <c r="A15" s="291"/>
      <c r="B15" s="391" t="s">
        <v>2503</v>
      </c>
      <c r="C15" s="288">
        <f>C13+G14</f>
        <v>21140</v>
      </c>
      <c r="D15" s="1121"/>
      <c r="E15" s="1121"/>
      <c r="F15" s="289">
        <v>0</v>
      </c>
      <c r="G15" s="292"/>
      <c r="H15" s="291" t="s">
        <v>138</v>
      </c>
      <c r="I15" s="291" t="s">
        <v>656</v>
      </c>
      <c r="J15" s="288"/>
      <c r="K15" s="1121"/>
      <c r="L15" s="1121" t="s">
        <v>1061</v>
      </c>
      <c r="M15" s="1121" t="s">
        <v>2672</v>
      </c>
      <c r="N15" s="291"/>
      <c r="O15" s="291"/>
      <c r="P15" s="1121"/>
      <c r="Q15" s="1121">
        <v>0</v>
      </c>
      <c r="R15" s="1121">
        <v>0</v>
      </c>
      <c r="S15" s="1121"/>
      <c r="T15" s="1121"/>
      <c r="U15" s="1121"/>
      <c r="V15" s="1121"/>
      <c r="W15" s="1121"/>
      <c r="X15" s="1121"/>
      <c r="Y15" s="1121"/>
      <c r="Z15" s="1121"/>
      <c r="AA15" s="1121"/>
      <c r="AB15" s="1121"/>
      <c r="AC15" s="1121"/>
      <c r="AD15" s="1121"/>
      <c r="AE15" s="1121"/>
      <c r="AF15" s="1121"/>
      <c r="AG15" s="1121"/>
      <c r="AH15" s="1121"/>
      <c r="AI15" s="477"/>
      <c r="AJ15" s="1121"/>
      <c r="AK15" s="241"/>
      <c r="AL15" s="1121"/>
      <c r="AM15" s="1121" t="s">
        <v>1228</v>
      </c>
      <c r="AN15" s="241">
        <v>5.5</v>
      </c>
      <c r="AO15" s="241"/>
      <c r="AP15" s="241"/>
      <c r="AQ15" s="1121"/>
      <c r="AR15" s="1121"/>
      <c r="AS15" s="1121"/>
      <c r="AT15" s="1121"/>
      <c r="AU15" s="1121"/>
      <c r="AV15" s="1121"/>
      <c r="AW15" s="315" t="s">
        <v>2634</v>
      </c>
      <c r="AX15" s="315" t="s">
        <v>1639</v>
      </c>
      <c r="AY15" s="1121">
        <v>3.4</v>
      </c>
      <c r="AZ15" s="1121"/>
      <c r="BA15" s="1121"/>
      <c r="BC15" s="1108" t="s">
        <v>990</v>
      </c>
      <c r="BD15" s="1109" t="s">
        <v>651</v>
      </c>
      <c r="BE15" s="155"/>
      <c r="BF15" s="1108" t="s">
        <v>1052</v>
      </c>
      <c r="BG15" s="1109" t="s">
        <v>145</v>
      </c>
      <c r="BI15" s="316"/>
      <c r="BJ15" s="317"/>
      <c r="BK15" s="317"/>
      <c r="BL15" s="1028"/>
      <c r="BM15" s="314">
        <f t="shared" si="0"/>
        <v>0</v>
      </c>
    </row>
    <row r="16" spans="1:65" ht="15.75" customHeight="1">
      <c r="A16" s="291"/>
      <c r="B16" s="391"/>
      <c r="C16" s="288"/>
      <c r="D16" s="289"/>
      <c r="E16" s="289"/>
      <c r="F16" s="291"/>
      <c r="G16" s="292"/>
      <c r="H16" s="1121"/>
      <c r="I16" s="1121"/>
      <c r="J16" s="288">
        <f>C15+7.5</f>
        <v>21147.5</v>
      </c>
      <c r="K16" s="1121" t="s">
        <v>653</v>
      </c>
      <c r="L16" s="291"/>
      <c r="M16" s="1121"/>
      <c r="N16" s="291"/>
      <c r="O16" s="291"/>
      <c r="P16" s="1121"/>
      <c r="Q16" s="1121"/>
      <c r="R16" s="1121"/>
      <c r="S16" s="1121"/>
      <c r="T16" s="1121"/>
      <c r="U16" s="1121"/>
      <c r="V16" s="1121"/>
      <c r="W16" s="1121"/>
      <c r="X16" s="1121"/>
      <c r="Y16" s="1121"/>
      <c r="Z16" s="1121"/>
      <c r="AA16" s="1121"/>
      <c r="AB16" s="1121"/>
      <c r="AC16" s="1121"/>
      <c r="AD16" s="1121"/>
      <c r="AE16" s="1121"/>
      <c r="AF16" s="1121"/>
      <c r="AG16" s="1121"/>
      <c r="AH16" s="1121"/>
      <c r="AI16" s="477"/>
      <c r="AJ16" s="1121"/>
      <c r="AK16" s="241"/>
      <c r="AL16" s="1121"/>
      <c r="AM16" s="1121"/>
      <c r="AN16" s="241"/>
      <c r="AO16" s="241"/>
      <c r="AP16" s="241"/>
      <c r="AQ16" s="1121"/>
      <c r="AR16" s="1121"/>
      <c r="AS16" s="1121"/>
      <c r="AT16" s="1121"/>
      <c r="AU16" s="1121"/>
      <c r="AV16" s="1121"/>
      <c r="AW16" s="315" t="s">
        <v>2634</v>
      </c>
      <c r="AX16" s="315" t="s">
        <v>1639</v>
      </c>
      <c r="AY16" s="1121"/>
      <c r="AZ16" s="1121">
        <v>2.5</v>
      </c>
      <c r="BA16" s="1121"/>
      <c r="BC16" s="1108" t="s">
        <v>989</v>
      </c>
      <c r="BD16" s="1109" t="s">
        <v>652</v>
      </c>
      <c r="BE16" s="155"/>
      <c r="BF16" s="1108" t="s">
        <v>1024</v>
      </c>
      <c r="BG16" s="1109" t="s">
        <v>140</v>
      </c>
      <c r="BI16" s="316"/>
      <c r="BJ16" s="317"/>
      <c r="BK16" s="317"/>
      <c r="BL16" s="1028"/>
      <c r="BM16" s="314">
        <f t="shared" si="0"/>
        <v>0</v>
      </c>
    </row>
    <row r="17" spans="1:65" ht="15.75" customHeight="1">
      <c r="A17" s="312"/>
      <c r="B17" s="312"/>
      <c r="C17" s="1112"/>
      <c r="D17" s="312"/>
      <c r="E17" s="312"/>
      <c r="F17" s="312"/>
      <c r="G17" s="312"/>
      <c r="H17" s="312"/>
      <c r="I17" s="312"/>
      <c r="J17" s="1112"/>
      <c r="K17" s="312"/>
      <c r="L17" s="312"/>
      <c r="M17" s="312"/>
      <c r="N17" s="312"/>
      <c r="O17" s="312"/>
      <c r="P17" s="312"/>
      <c r="Q17" s="312"/>
      <c r="R17" s="312"/>
      <c r="S17" s="312"/>
      <c r="T17" s="312"/>
      <c r="U17" s="312"/>
      <c r="V17" s="312"/>
      <c r="W17" s="312"/>
      <c r="X17" s="312"/>
      <c r="Y17" s="312"/>
      <c r="Z17" s="312"/>
      <c r="AA17" s="312"/>
      <c r="AB17" s="312"/>
      <c r="AC17" s="312"/>
      <c r="AD17" s="312"/>
      <c r="AE17" s="312"/>
      <c r="AF17" s="418"/>
      <c r="AG17" s="312"/>
      <c r="AH17" s="312"/>
      <c r="AI17" s="1077"/>
      <c r="AJ17" s="312"/>
      <c r="AL17" s="312"/>
      <c r="AM17" s="312"/>
      <c r="AN17" s="462"/>
      <c r="AO17" s="462"/>
      <c r="AP17" s="462"/>
      <c r="AY17" s="312" t="str">
        <f>IF(AX18="PT",VLOOKUP(M18,'Foundation Calculation'!$L$2:$R$15,VLOOKUP(AW18,'Foundation Calculation'!$I$2:$J$8,2,FALSE),0),IF(AX18="K",VLOOKUP(M18,'Foundation Calculation'!$L$17:$R$29,VLOOKUP(AW18,'Foundation Calculation'!$I$2:$J$8,2,FALSE),0),""))</f>
        <v/>
      </c>
      <c r="BC17" s="1108" t="s">
        <v>992</v>
      </c>
      <c r="BD17" s="1109" t="s">
        <v>955</v>
      </c>
      <c r="BE17" s="155"/>
      <c r="BF17" s="1108" t="s">
        <v>1025</v>
      </c>
      <c r="BG17" s="1109" t="s">
        <v>673</v>
      </c>
      <c r="BI17" s="316"/>
      <c r="BJ17" s="317"/>
      <c r="BK17" s="317"/>
      <c r="BL17" s="1028"/>
      <c r="BM17" s="314">
        <f t="shared" si="0"/>
        <v>0</v>
      </c>
    </row>
    <row r="18" spans="1:65" ht="15.75" customHeight="1">
      <c r="A18" s="312"/>
      <c r="B18" s="312"/>
      <c r="C18" s="312"/>
      <c r="D18" s="312"/>
      <c r="E18" s="312"/>
      <c r="F18" s="312"/>
      <c r="G18" s="312"/>
      <c r="H18" s="312"/>
      <c r="I18" s="312"/>
      <c r="J18" s="1112"/>
      <c r="K18" s="312"/>
      <c r="L18" s="312"/>
      <c r="M18" s="312"/>
      <c r="N18" s="312"/>
      <c r="O18" s="312"/>
      <c r="P18" s="312"/>
      <c r="Q18" s="312"/>
      <c r="R18" s="312"/>
      <c r="S18" s="312"/>
      <c r="T18" s="312"/>
      <c r="U18" s="312"/>
      <c r="V18" s="312"/>
      <c r="W18" s="312"/>
      <c r="X18" s="312"/>
      <c r="Y18" s="312"/>
      <c r="Z18" s="312"/>
      <c r="AA18" s="312"/>
      <c r="AB18" s="312"/>
      <c r="AC18" s="312"/>
      <c r="AD18" s="312"/>
      <c r="AE18" s="312"/>
      <c r="AF18" s="418"/>
      <c r="AG18" s="312"/>
      <c r="AH18" s="312"/>
      <c r="AI18" s="1077"/>
      <c r="AJ18" s="312"/>
      <c r="AL18" s="312"/>
      <c r="AM18" s="312"/>
      <c r="AN18" s="462"/>
      <c r="AO18" s="462"/>
      <c r="AP18" s="462"/>
      <c r="BC18" s="1108" t="s">
        <v>991</v>
      </c>
      <c r="BD18" s="1109" t="s">
        <v>956</v>
      </c>
      <c r="BE18" s="155"/>
      <c r="BF18" s="1108" t="s">
        <v>1026</v>
      </c>
      <c r="BG18" s="1109" t="s">
        <v>674</v>
      </c>
      <c r="BI18" s="316"/>
      <c r="BJ18" s="317"/>
      <c r="BK18" s="317"/>
      <c r="BL18" s="306"/>
      <c r="BM18" s="314">
        <f t="shared" si="0"/>
        <v>0</v>
      </c>
    </row>
    <row r="19" spans="1:65" ht="15.75" customHeight="1">
      <c r="A19" s="312"/>
      <c r="B19" s="312"/>
      <c r="C19" s="312"/>
      <c r="D19" s="312"/>
      <c r="E19" s="312"/>
      <c r="F19" s="312"/>
      <c r="G19" s="312"/>
      <c r="H19" s="312"/>
      <c r="I19" s="312"/>
      <c r="J19" s="1112"/>
      <c r="K19" s="312"/>
      <c r="L19" s="312"/>
      <c r="M19" s="312"/>
      <c r="N19" s="312"/>
      <c r="O19" s="312"/>
      <c r="P19" s="312"/>
      <c r="Q19" s="312"/>
      <c r="R19" s="312"/>
      <c r="S19" s="312"/>
      <c r="T19" s="312"/>
      <c r="U19" s="312"/>
      <c r="V19" s="312"/>
      <c r="W19" s="312"/>
      <c r="X19" s="312"/>
      <c r="Y19" s="312"/>
      <c r="Z19" s="312"/>
      <c r="AA19" s="312"/>
      <c r="AB19" s="312"/>
      <c r="AC19" s="312"/>
      <c r="AD19" s="312"/>
      <c r="AE19" s="312"/>
      <c r="AF19" s="418"/>
      <c r="AG19" s="312"/>
      <c r="AH19" s="312"/>
      <c r="AI19" s="1077"/>
      <c r="AJ19" s="312"/>
      <c r="AL19" s="312"/>
      <c r="AM19" s="312"/>
      <c r="AN19" s="462"/>
      <c r="AO19" s="462"/>
      <c r="AP19" s="462"/>
      <c r="BC19" s="1108" t="s">
        <v>993</v>
      </c>
      <c r="BD19" s="1109" t="s">
        <v>954</v>
      </c>
      <c r="BE19" s="155"/>
      <c r="BF19" s="1108" t="s">
        <v>1027</v>
      </c>
      <c r="BG19" s="1109" t="s">
        <v>675</v>
      </c>
      <c r="BI19" s="316"/>
      <c r="BJ19" s="1035"/>
      <c r="BK19" s="1035"/>
      <c r="BL19" s="336"/>
      <c r="BM19" s="1045">
        <f t="shared" si="0"/>
        <v>0</v>
      </c>
    </row>
    <row r="20" spans="1:65" ht="15.75" customHeight="1">
      <c r="A20" s="312"/>
      <c r="B20" s="312"/>
      <c r="C20" s="312"/>
      <c r="D20" s="312"/>
      <c r="E20" s="312"/>
      <c r="F20" s="312"/>
      <c r="G20" s="312"/>
      <c r="H20" s="312"/>
      <c r="I20" s="312"/>
      <c r="J20" s="1112"/>
      <c r="K20" s="312"/>
      <c r="L20" s="312"/>
      <c r="M20" s="312"/>
      <c r="N20" s="312"/>
      <c r="O20" s="312"/>
      <c r="P20" s="312"/>
      <c r="Q20" s="312"/>
      <c r="R20" s="312"/>
      <c r="S20" s="312"/>
      <c r="T20" s="312"/>
      <c r="U20" s="312"/>
      <c r="V20" s="312"/>
      <c r="W20" s="312"/>
      <c r="X20" s="312"/>
      <c r="Y20" s="312"/>
      <c r="Z20" s="312"/>
      <c r="AA20" s="312"/>
      <c r="AB20" s="312"/>
      <c r="AC20" s="312"/>
      <c r="AD20" s="312"/>
      <c r="AE20" s="312"/>
      <c r="AF20" s="418"/>
      <c r="AG20" s="312"/>
      <c r="AH20" s="312"/>
      <c r="AI20" s="1077"/>
      <c r="AJ20" s="312"/>
      <c r="AL20" s="312"/>
      <c r="AM20" s="312"/>
      <c r="AN20" s="462"/>
      <c r="AO20" s="462"/>
      <c r="AP20" s="462"/>
      <c r="BC20" s="1108" t="s">
        <v>1605</v>
      </c>
      <c r="BD20" s="1109" t="s">
        <v>1059</v>
      </c>
      <c r="BE20" s="155"/>
      <c r="BF20" s="1108" t="s">
        <v>1028</v>
      </c>
      <c r="BG20" s="1109" t="s">
        <v>916</v>
      </c>
      <c r="BI20" s="1046" t="s">
        <v>1084</v>
      </c>
      <c r="BJ20" s="306"/>
      <c r="BK20" s="306"/>
      <c r="BL20" s="306"/>
      <c r="BM20" s="1047">
        <f>SUM(BM14:BM19)</f>
        <v>0</v>
      </c>
    </row>
    <row r="21" spans="1:65" ht="15.75" customHeight="1">
      <c r="A21" s="467"/>
      <c r="B21" s="467"/>
      <c r="C21" s="467"/>
      <c r="D21" s="467"/>
      <c r="E21" s="467"/>
      <c r="F21" s="467"/>
      <c r="G21" s="467"/>
      <c r="H21" s="467"/>
      <c r="I21" s="467"/>
      <c r="J21" s="1112"/>
      <c r="K21" s="312"/>
      <c r="L21" s="312"/>
      <c r="M21" s="312"/>
      <c r="N21" s="467"/>
      <c r="O21" s="467"/>
      <c r="P21" s="312"/>
      <c r="Q21" s="312"/>
      <c r="R21" s="312"/>
      <c r="S21" s="312"/>
      <c r="T21" s="312"/>
      <c r="U21" s="312"/>
      <c r="V21" s="312"/>
      <c r="W21" s="312"/>
      <c r="X21" s="312"/>
      <c r="Y21" s="312"/>
      <c r="Z21" s="312"/>
      <c r="AA21" s="312"/>
      <c r="AB21" s="312"/>
      <c r="AC21" s="312"/>
      <c r="AD21" s="312"/>
      <c r="AE21" s="312"/>
      <c r="AF21" s="418"/>
      <c r="AG21" s="312"/>
      <c r="AH21" s="312"/>
      <c r="AI21" s="1077"/>
      <c r="AJ21" s="312"/>
      <c r="AL21" s="312"/>
      <c r="AM21" s="312"/>
      <c r="AN21" s="462"/>
      <c r="AO21" s="462"/>
      <c r="AP21" s="462"/>
      <c r="BC21" s="1108" t="s">
        <v>1039</v>
      </c>
      <c r="BD21" s="1109" t="s">
        <v>143</v>
      </c>
      <c r="BE21" s="155"/>
      <c r="BF21" s="1108" t="s">
        <v>1029</v>
      </c>
      <c r="BG21" s="1109" t="s">
        <v>917</v>
      </c>
      <c r="BI21" s="316"/>
      <c r="BJ21" s="306"/>
      <c r="BK21" s="306"/>
      <c r="BL21" s="306"/>
      <c r="BM21" s="338"/>
    </row>
    <row r="22" spans="1:65" ht="15.75" customHeight="1" thickBot="1">
      <c r="A22" s="312"/>
      <c r="B22" s="312"/>
      <c r="C22" s="312"/>
      <c r="D22" s="312"/>
      <c r="E22" s="312"/>
      <c r="F22" s="312"/>
      <c r="G22" s="312"/>
      <c r="H22" s="312"/>
      <c r="I22" s="312"/>
      <c r="J22" s="1112"/>
      <c r="K22" s="312"/>
      <c r="L22" s="312"/>
      <c r="M22" s="312"/>
      <c r="N22" s="467"/>
      <c r="O22" s="421"/>
      <c r="P22" s="312"/>
      <c r="Q22" s="312"/>
      <c r="R22" s="312"/>
      <c r="S22" s="312"/>
      <c r="T22" s="312"/>
      <c r="U22" s="312"/>
      <c r="V22" s="312"/>
      <c r="W22" s="312"/>
      <c r="X22" s="312"/>
      <c r="Y22" s="312"/>
      <c r="Z22" s="312"/>
      <c r="AA22" s="312"/>
      <c r="AB22" s="312"/>
      <c r="AC22" s="312"/>
      <c r="AD22" s="312"/>
      <c r="AE22" s="312"/>
      <c r="AF22" s="418"/>
      <c r="AG22" s="312"/>
      <c r="AH22" s="312"/>
      <c r="AI22" s="1077"/>
      <c r="AJ22" s="312"/>
      <c r="AL22" s="312"/>
      <c r="AM22" s="312"/>
      <c r="AN22" s="462"/>
      <c r="AO22" s="462"/>
      <c r="AP22" s="462"/>
      <c r="BC22" s="1108" t="s">
        <v>1040</v>
      </c>
      <c r="BD22" s="1109" t="s">
        <v>142</v>
      </c>
      <c r="BE22" s="155"/>
      <c r="BF22" s="1108" t="s">
        <v>1030</v>
      </c>
      <c r="BG22" s="1109" t="s">
        <v>918</v>
      </c>
      <c r="BI22" s="1040" t="s">
        <v>1086</v>
      </c>
      <c r="BJ22" s="1029"/>
      <c r="BK22" s="1029"/>
      <c r="BL22" s="1029"/>
      <c r="BM22" s="1041">
        <f>SUM(BK14:BK19)/1000-SUM(BJ14:BJ19)/1000</f>
        <v>0</v>
      </c>
    </row>
    <row r="23" spans="1:65" ht="15.75" customHeight="1" thickBot="1">
      <c r="A23" s="312"/>
      <c r="B23" s="312"/>
      <c r="C23" s="312"/>
      <c r="D23" s="312"/>
      <c r="E23" s="312"/>
      <c r="F23" s="312"/>
      <c r="G23" s="312"/>
      <c r="H23" s="312"/>
      <c r="I23" s="312"/>
      <c r="J23" s="1112"/>
      <c r="K23" s="312"/>
      <c r="L23" s="312"/>
      <c r="M23" s="312"/>
      <c r="N23" s="467"/>
      <c r="O23" s="421"/>
      <c r="P23" s="312"/>
      <c r="Q23" s="312"/>
      <c r="R23" s="312"/>
      <c r="S23" s="312"/>
      <c r="T23" s="312"/>
      <c r="U23" s="312"/>
      <c r="V23" s="312"/>
      <c r="W23" s="312"/>
      <c r="X23" s="312"/>
      <c r="Y23" s="312"/>
      <c r="Z23" s="312"/>
      <c r="AA23" s="312"/>
      <c r="AB23" s="312"/>
      <c r="AC23" s="312"/>
      <c r="AD23" s="312"/>
      <c r="AE23" s="312"/>
      <c r="AF23" s="418"/>
      <c r="AG23" s="312"/>
      <c r="AH23" s="312"/>
      <c r="AI23" s="312"/>
      <c r="AJ23" s="312"/>
      <c r="AL23" s="312"/>
      <c r="AM23" s="312"/>
      <c r="AN23" s="462"/>
      <c r="AO23" s="462"/>
      <c r="AP23" s="462"/>
      <c r="BC23" s="1108" t="s">
        <v>2048</v>
      </c>
      <c r="BD23" s="1109" t="s">
        <v>2016</v>
      </c>
      <c r="BE23" s="155"/>
      <c r="BF23" s="1108"/>
      <c r="BG23" s="1109"/>
      <c r="BI23" s="307"/>
      <c r="BJ23" s="307"/>
      <c r="BK23" s="307"/>
      <c r="BL23" s="307"/>
      <c r="BM23" s="307"/>
    </row>
    <row r="24" spans="1:65" ht="15.75" customHeight="1">
      <c r="B24" s="514"/>
      <c r="C24" s="424"/>
      <c r="D24" s="419"/>
      <c r="E24" s="447"/>
      <c r="G24" s="420"/>
      <c r="H24" s="312"/>
      <c r="I24" s="1113"/>
      <c r="J24" s="1112"/>
      <c r="K24" s="312"/>
      <c r="L24" s="312"/>
      <c r="M24" s="312"/>
      <c r="N24" s="467"/>
      <c r="O24" s="467"/>
      <c r="P24" s="312"/>
      <c r="Q24" s="312"/>
      <c r="R24" s="312"/>
      <c r="S24" s="312"/>
      <c r="T24" s="312"/>
      <c r="U24" s="312"/>
      <c r="V24" s="312"/>
      <c r="W24" s="312"/>
      <c r="X24" s="312"/>
      <c r="Y24" s="312"/>
      <c r="Z24" s="312"/>
      <c r="AA24" s="312"/>
      <c r="AB24" s="312"/>
      <c r="AC24" s="312"/>
      <c r="AD24" s="312"/>
      <c r="AE24" s="312"/>
      <c r="AF24" s="418"/>
      <c r="AG24" s="312"/>
      <c r="AH24" s="312"/>
      <c r="AI24" s="312"/>
      <c r="AJ24" s="312"/>
      <c r="AL24" s="312"/>
      <c r="AM24" s="312"/>
      <c r="AN24" s="462"/>
      <c r="AO24" s="462"/>
      <c r="AP24" s="462"/>
      <c r="BC24" s="1108"/>
      <c r="BD24" s="1109"/>
      <c r="BF24" s="1110" t="s">
        <v>1003</v>
      </c>
      <c r="BG24" s="170"/>
      <c r="BI24" s="1043"/>
      <c r="BJ24" s="1033"/>
      <c r="BK24" s="1033"/>
      <c r="BL24" s="1034"/>
      <c r="BM24" s="1044">
        <f t="shared" ref="BM24:BM31" si="1">+(BK24-BJ24)*BL24/1000</f>
        <v>0</v>
      </c>
    </row>
    <row r="25" spans="1:65" ht="15.75" customHeight="1">
      <c r="B25" s="514"/>
      <c r="C25" s="424"/>
      <c r="D25" s="419"/>
      <c r="E25" s="447"/>
      <c r="G25" s="420"/>
      <c r="J25" s="1112"/>
      <c r="K25" s="312"/>
      <c r="L25" s="312"/>
      <c r="M25" s="312"/>
      <c r="N25" s="467"/>
      <c r="O25" s="467"/>
      <c r="P25" s="312"/>
      <c r="Q25" s="312"/>
      <c r="R25" s="312"/>
      <c r="S25" s="312"/>
      <c r="T25" s="312"/>
      <c r="U25" s="312"/>
      <c r="V25" s="312"/>
      <c r="W25" s="312"/>
      <c r="X25" s="312"/>
      <c r="Y25" s="312"/>
      <c r="Z25" s="312"/>
      <c r="AA25" s="312"/>
      <c r="AB25" s="312"/>
      <c r="AC25" s="312"/>
      <c r="AD25" s="312"/>
      <c r="AE25" s="312"/>
      <c r="AF25" s="418"/>
      <c r="AG25" s="312"/>
      <c r="AH25" s="312"/>
      <c r="AI25" s="1077"/>
      <c r="AJ25" s="312"/>
      <c r="AL25" s="312"/>
      <c r="AM25" s="312"/>
      <c r="AN25" s="462"/>
      <c r="AO25" s="462"/>
      <c r="AP25" s="462"/>
      <c r="BC25" s="1110" t="s">
        <v>994</v>
      </c>
      <c r="BD25" s="170"/>
      <c r="BF25" s="1108" t="s">
        <v>1020</v>
      </c>
      <c r="BG25" s="1109" t="s">
        <v>960</v>
      </c>
      <c r="BI25" s="316"/>
      <c r="BJ25" s="317"/>
      <c r="BK25" s="317"/>
      <c r="BL25" s="1028"/>
      <c r="BM25" s="314">
        <f t="shared" si="1"/>
        <v>0</v>
      </c>
    </row>
    <row r="26" spans="1:65" ht="15.75" customHeight="1">
      <c r="B26" s="514"/>
      <c r="C26" s="424"/>
      <c r="D26" s="419"/>
      <c r="E26" s="447"/>
      <c r="G26" s="420"/>
      <c r="J26" s="1112"/>
      <c r="K26" s="312"/>
      <c r="L26" s="312"/>
      <c r="M26" s="312"/>
      <c r="N26" s="467"/>
      <c r="O26" s="467"/>
      <c r="P26" s="312"/>
      <c r="Q26" s="312"/>
      <c r="R26" s="312"/>
      <c r="S26" s="312"/>
      <c r="T26" s="312"/>
      <c r="U26" s="312"/>
      <c r="V26" s="312"/>
      <c r="W26" s="312"/>
      <c r="X26" s="312"/>
      <c r="Y26" s="312"/>
      <c r="Z26" s="312"/>
      <c r="AA26" s="312"/>
      <c r="AB26" s="312"/>
      <c r="AC26" s="312"/>
      <c r="AD26" s="312"/>
      <c r="AE26" s="312"/>
      <c r="AF26" s="418"/>
      <c r="AG26" s="312"/>
      <c r="AH26" s="312"/>
      <c r="AI26" s="1077"/>
      <c r="AJ26" s="312"/>
      <c r="AL26" s="312"/>
      <c r="AM26" s="312"/>
      <c r="AN26" s="462"/>
      <c r="AO26" s="462"/>
      <c r="AP26" s="462"/>
      <c r="BC26" s="1108" t="s">
        <v>995</v>
      </c>
      <c r="BD26" s="1109" t="s">
        <v>656</v>
      </c>
      <c r="BF26" s="1108" t="s">
        <v>1021</v>
      </c>
      <c r="BG26" s="1109" t="s">
        <v>959</v>
      </c>
      <c r="BI26" s="316"/>
      <c r="BJ26" s="317"/>
      <c r="BK26" s="317"/>
      <c r="BL26" s="1028"/>
      <c r="BM26" s="314">
        <f t="shared" si="1"/>
        <v>0</v>
      </c>
    </row>
    <row r="27" spans="1:65" ht="15.75" customHeight="1">
      <c r="B27" s="514"/>
      <c r="C27" s="424"/>
      <c r="D27" s="419"/>
      <c r="E27" s="447"/>
      <c r="G27" s="420"/>
      <c r="J27" s="1112"/>
      <c r="K27" s="312"/>
      <c r="L27" s="312"/>
      <c r="M27" s="312"/>
      <c r="N27" s="467"/>
      <c r="O27" s="312"/>
      <c r="P27" s="312"/>
      <c r="Q27" s="312"/>
      <c r="R27" s="312"/>
      <c r="S27" s="312"/>
      <c r="T27" s="312"/>
      <c r="U27" s="312"/>
      <c r="V27" s="312"/>
      <c r="W27" s="312"/>
      <c r="X27" s="312"/>
      <c r="Y27" s="312"/>
      <c r="Z27" s="312"/>
      <c r="AA27" s="312"/>
      <c r="AB27" s="312"/>
      <c r="AC27" s="312"/>
      <c r="AD27" s="312"/>
      <c r="AE27" s="312"/>
      <c r="AF27" s="418"/>
      <c r="AG27" s="312"/>
      <c r="AH27" s="312"/>
      <c r="AI27" s="1077"/>
      <c r="AJ27" s="312"/>
      <c r="AL27" s="312"/>
      <c r="AM27" s="312"/>
      <c r="AN27" s="462"/>
      <c r="AO27" s="462"/>
      <c r="AP27" s="462"/>
      <c r="BC27" s="1108" t="s">
        <v>996</v>
      </c>
      <c r="BD27" s="1109" t="s">
        <v>657</v>
      </c>
      <c r="BF27" s="1108" t="s">
        <v>1022</v>
      </c>
      <c r="BG27" s="1109" t="s">
        <v>963</v>
      </c>
      <c r="BI27" s="316"/>
      <c r="BJ27" s="317"/>
      <c r="BK27" s="317"/>
      <c r="BL27" s="1028"/>
      <c r="BM27" s="314">
        <f t="shared" si="1"/>
        <v>0</v>
      </c>
    </row>
    <row r="28" spans="1:65" ht="15.75" customHeight="1">
      <c r="B28" s="514"/>
      <c r="C28" s="424"/>
      <c r="D28" s="1131"/>
      <c r="E28" s="447"/>
      <c r="G28" s="420"/>
      <c r="J28" s="1112"/>
      <c r="K28" s="312"/>
      <c r="L28" s="312"/>
      <c r="M28" s="312"/>
      <c r="N28" s="312"/>
      <c r="O28" s="467"/>
      <c r="P28" s="312"/>
      <c r="Q28" s="312"/>
      <c r="R28" s="312"/>
      <c r="S28" s="312"/>
      <c r="T28" s="312"/>
      <c r="U28" s="312"/>
      <c r="V28" s="312"/>
      <c r="W28" s="312"/>
      <c r="X28" s="312"/>
      <c r="Y28" s="312"/>
      <c r="Z28" s="312"/>
      <c r="AA28" s="312"/>
      <c r="AB28" s="312"/>
      <c r="AC28" s="312"/>
      <c r="AD28" s="312"/>
      <c r="AE28" s="312"/>
      <c r="AF28" s="418"/>
      <c r="AG28" s="312"/>
      <c r="AH28" s="312"/>
      <c r="AI28" s="1077"/>
      <c r="AJ28" s="312"/>
      <c r="AL28" s="312"/>
      <c r="AM28" s="312"/>
      <c r="AN28" s="462"/>
      <c r="AO28" s="462"/>
      <c r="AP28" s="462"/>
      <c r="BC28" s="1108" t="s">
        <v>997</v>
      </c>
      <c r="BD28" s="1109" t="s">
        <v>912</v>
      </c>
      <c r="BF28" s="1108" t="s">
        <v>1591</v>
      </c>
      <c r="BG28" s="1109" t="s">
        <v>1592</v>
      </c>
      <c r="BI28" s="316"/>
      <c r="BJ28" s="317"/>
      <c r="BK28" s="317"/>
      <c r="BL28" s="1028"/>
      <c r="BM28" s="314">
        <f t="shared" si="1"/>
        <v>0</v>
      </c>
    </row>
    <row r="29" spans="1:65" ht="15.75" customHeight="1">
      <c r="B29" s="514"/>
      <c r="C29" s="424"/>
      <c r="D29" s="419"/>
      <c r="E29" s="447"/>
      <c r="G29" s="420"/>
      <c r="H29" s="1113"/>
      <c r="I29" s="1116"/>
      <c r="J29" s="1112"/>
      <c r="K29" s="312"/>
      <c r="L29" s="312"/>
      <c r="M29" s="312"/>
      <c r="N29" s="467"/>
      <c r="O29" s="312"/>
      <c r="P29" s="312"/>
      <c r="Q29" s="312"/>
      <c r="R29" s="312"/>
      <c r="S29" s="312"/>
      <c r="T29" s="312"/>
      <c r="U29" s="312"/>
      <c r="V29" s="312"/>
      <c r="W29" s="312"/>
      <c r="X29" s="312"/>
      <c r="Y29" s="312"/>
      <c r="Z29" s="312"/>
      <c r="AA29" s="312"/>
      <c r="AB29" s="312"/>
      <c r="AC29" s="312"/>
      <c r="AD29" s="312"/>
      <c r="AE29" s="312"/>
      <c r="AF29" s="418"/>
      <c r="AG29" s="312"/>
      <c r="AH29" s="312"/>
      <c r="AI29" s="1077"/>
      <c r="AJ29" s="312"/>
      <c r="AL29" s="312"/>
      <c r="AM29" s="312"/>
      <c r="AN29" s="462"/>
      <c r="AO29" s="462"/>
      <c r="AP29" s="462"/>
      <c r="BC29" s="1108" t="s">
        <v>998</v>
      </c>
      <c r="BD29" s="1109" t="s">
        <v>911</v>
      </c>
      <c r="BF29" s="1108" t="s">
        <v>1005</v>
      </c>
      <c r="BG29" s="1109" t="s">
        <v>961</v>
      </c>
      <c r="BI29" s="316"/>
      <c r="BJ29" s="317"/>
      <c r="BK29" s="317"/>
      <c r="BL29" s="1028"/>
      <c r="BM29" s="314">
        <f t="shared" si="1"/>
        <v>0</v>
      </c>
    </row>
    <row r="30" spans="1:65" ht="15.75" customHeight="1">
      <c r="B30" s="514"/>
      <c r="C30" s="424"/>
      <c r="D30" s="419"/>
      <c r="E30" s="447"/>
      <c r="G30" s="420"/>
      <c r="H30" s="1113"/>
      <c r="I30" s="1117"/>
      <c r="J30" s="1112"/>
      <c r="K30" s="312"/>
      <c r="L30" s="312"/>
      <c r="M30" s="312"/>
      <c r="N30" s="467"/>
      <c r="O30" s="467"/>
      <c r="P30" s="312"/>
      <c r="Q30" s="312"/>
      <c r="R30" s="312"/>
      <c r="S30" s="312"/>
      <c r="T30" s="312"/>
      <c r="U30" s="312"/>
      <c r="V30" s="312"/>
      <c r="W30" s="312"/>
      <c r="X30" s="312"/>
      <c r="Y30" s="312"/>
      <c r="Z30" s="312"/>
      <c r="AA30" s="312"/>
      <c r="AB30" s="312"/>
      <c r="AC30" s="312"/>
      <c r="AD30" s="312"/>
      <c r="AE30" s="312"/>
      <c r="AF30" s="418"/>
      <c r="AG30" s="312"/>
      <c r="AH30" s="312"/>
      <c r="AI30" s="1077"/>
      <c r="AJ30" s="312"/>
      <c r="AL30" s="312"/>
      <c r="AM30" s="312"/>
      <c r="AN30" s="462"/>
      <c r="AO30" s="462"/>
      <c r="AP30" s="462"/>
      <c r="BC30" s="1108" t="s">
        <v>1604</v>
      </c>
      <c r="BD30" s="1109" t="s">
        <v>1081</v>
      </c>
      <c r="BF30" s="1108" t="s">
        <v>1602</v>
      </c>
      <c r="BG30" s="1109" t="s">
        <v>1603</v>
      </c>
      <c r="BI30" s="316"/>
      <c r="BJ30" s="317"/>
      <c r="BK30" s="317"/>
      <c r="BL30" s="306"/>
      <c r="BM30" s="314">
        <f t="shared" si="1"/>
        <v>0</v>
      </c>
    </row>
    <row r="31" spans="1:65" ht="15.75" customHeight="1">
      <c r="B31" s="514"/>
      <c r="C31" s="424"/>
      <c r="D31" s="419"/>
      <c r="E31" s="447"/>
      <c r="G31" s="420"/>
      <c r="H31" s="1113"/>
      <c r="I31" s="1116"/>
      <c r="J31" s="1112"/>
      <c r="K31" s="312"/>
      <c r="L31" s="312"/>
      <c r="M31" s="312"/>
      <c r="N31" s="467"/>
      <c r="O31" s="467"/>
      <c r="P31" s="312"/>
      <c r="Q31" s="312"/>
      <c r="R31" s="312"/>
      <c r="S31" s="312"/>
      <c r="T31" s="312"/>
      <c r="U31" s="312"/>
      <c r="V31" s="312"/>
      <c r="W31" s="312"/>
      <c r="X31" s="312"/>
      <c r="Y31" s="312"/>
      <c r="Z31" s="312"/>
      <c r="AA31" s="312"/>
      <c r="AB31" s="312"/>
      <c r="AC31" s="312"/>
      <c r="AD31" s="312"/>
      <c r="AE31" s="312"/>
      <c r="AF31" s="418"/>
      <c r="AG31" s="312"/>
      <c r="AH31" s="312"/>
      <c r="AI31" s="1077"/>
      <c r="AJ31" s="312"/>
      <c r="AL31" s="312"/>
      <c r="AM31" s="312"/>
      <c r="AN31" s="462"/>
      <c r="AO31" s="462"/>
      <c r="AP31" s="462"/>
      <c r="BC31" s="1108" t="s">
        <v>1041</v>
      </c>
      <c r="BD31" s="1109" t="s">
        <v>1224</v>
      </c>
      <c r="BF31" s="1108" t="s">
        <v>1368</v>
      </c>
      <c r="BG31" s="1109" t="s">
        <v>1590</v>
      </c>
      <c r="BI31" s="316"/>
      <c r="BJ31" s="317"/>
      <c r="BK31" s="317"/>
      <c r="BL31" s="306"/>
      <c r="BM31" s="314">
        <f t="shared" si="1"/>
        <v>0</v>
      </c>
    </row>
    <row r="32" spans="1:65" ht="15.75" customHeight="1">
      <c r="B32" s="514"/>
      <c r="C32" s="424"/>
      <c r="D32" s="419"/>
      <c r="E32" s="447"/>
      <c r="G32" s="420"/>
      <c r="H32" s="1113"/>
      <c r="I32" s="1117"/>
      <c r="J32" s="1112"/>
      <c r="K32" s="312"/>
      <c r="L32" s="312"/>
      <c r="M32" s="312"/>
      <c r="N32" s="467"/>
      <c r="O32" s="467"/>
      <c r="P32" s="312"/>
      <c r="Q32" s="312"/>
      <c r="R32" s="312"/>
      <c r="S32" s="312"/>
      <c r="T32" s="312"/>
      <c r="U32" s="312"/>
      <c r="V32" s="312"/>
      <c r="W32" s="312"/>
      <c r="X32" s="312"/>
      <c r="Y32" s="312"/>
      <c r="Z32" s="312"/>
      <c r="AA32" s="312"/>
      <c r="AB32" s="312"/>
      <c r="AC32" s="312"/>
      <c r="AD32" s="312"/>
      <c r="AE32" s="312"/>
      <c r="AF32" s="418"/>
      <c r="AG32" s="312"/>
      <c r="AH32" s="312"/>
      <c r="AI32" s="1077"/>
      <c r="AJ32" s="312"/>
      <c r="AL32" s="312"/>
      <c r="AM32" s="312"/>
      <c r="AN32" s="462"/>
      <c r="AO32" s="462"/>
      <c r="AP32" s="462"/>
      <c r="BC32" s="1108" t="s">
        <v>1044</v>
      </c>
      <c r="BD32" s="1109" t="s">
        <v>1223</v>
      </c>
      <c r="BF32" s="1108" t="s">
        <v>1369</v>
      </c>
      <c r="BG32" s="1109" t="s">
        <v>1593</v>
      </c>
      <c r="BI32" s="1039"/>
      <c r="BJ32" s="1028"/>
      <c r="BK32" s="1028"/>
      <c r="BL32" s="1028"/>
      <c r="BM32" s="314"/>
    </row>
    <row r="33" spans="2:65" ht="15.75" customHeight="1">
      <c r="B33" s="514"/>
      <c r="C33" s="424"/>
      <c r="D33" s="419"/>
      <c r="E33" s="447"/>
      <c r="G33" s="420"/>
      <c r="H33" s="1113"/>
      <c r="I33" s="1113"/>
      <c r="J33" s="1112"/>
      <c r="K33" s="312"/>
      <c r="L33" s="312"/>
      <c r="M33" s="312"/>
      <c r="N33" s="467"/>
      <c r="O33" s="467"/>
      <c r="P33" s="312"/>
      <c r="Q33" s="312"/>
      <c r="R33" s="312"/>
      <c r="S33" s="312"/>
      <c r="T33" s="312"/>
      <c r="U33" s="312"/>
      <c r="V33" s="312"/>
      <c r="W33" s="312"/>
      <c r="X33" s="312"/>
      <c r="Y33" s="312"/>
      <c r="Z33" s="312"/>
      <c r="AA33" s="312"/>
      <c r="AB33" s="312"/>
      <c r="AC33" s="312"/>
      <c r="AD33" s="312"/>
      <c r="AE33" s="312"/>
      <c r="AF33" s="418"/>
      <c r="AG33" s="312"/>
      <c r="AH33" s="312"/>
      <c r="AI33" s="1077"/>
      <c r="AJ33" s="312"/>
      <c r="AL33" s="312"/>
      <c r="AM33" s="312"/>
      <c r="AN33" s="462"/>
      <c r="AO33" s="462"/>
      <c r="AP33" s="462"/>
      <c r="BC33" s="1108" t="s">
        <v>1042</v>
      </c>
      <c r="BD33" s="1109" t="s">
        <v>1225</v>
      </c>
      <c r="BE33" s="155"/>
      <c r="BF33" s="1108" t="s">
        <v>1365</v>
      </c>
      <c r="BG33" s="1109" t="s">
        <v>944</v>
      </c>
      <c r="BI33" s="1039" t="s">
        <v>934</v>
      </c>
      <c r="BJ33" s="1028"/>
      <c r="BK33" s="1028"/>
      <c r="BL33" s="1028"/>
      <c r="BM33" s="314">
        <f>SUM(BM24:BM32)</f>
        <v>0</v>
      </c>
    </row>
    <row r="34" spans="2:65" ht="15.75" customHeight="1">
      <c r="B34" s="514"/>
      <c r="C34" s="424"/>
      <c r="D34" s="419"/>
      <c r="E34" s="447"/>
      <c r="G34" s="420"/>
      <c r="J34" s="1112"/>
      <c r="K34" s="312"/>
      <c r="L34" s="312"/>
      <c r="M34" s="418"/>
      <c r="N34" s="467"/>
      <c r="O34" s="467"/>
      <c r="P34" s="312"/>
      <c r="Q34" s="312"/>
      <c r="R34" s="312"/>
      <c r="S34" s="312"/>
      <c r="T34" s="312"/>
      <c r="U34" s="312"/>
      <c r="V34" s="312"/>
      <c r="W34" s="312"/>
      <c r="X34" s="312"/>
      <c r="Y34" s="312"/>
      <c r="Z34" s="312"/>
      <c r="AA34" s="312"/>
      <c r="AB34" s="312"/>
      <c r="AC34" s="312"/>
      <c r="AD34" s="312"/>
      <c r="AE34" s="312"/>
      <c r="AF34" s="418"/>
      <c r="AG34" s="312"/>
      <c r="AH34" s="312"/>
      <c r="AI34" s="1077"/>
      <c r="AJ34" s="312"/>
      <c r="AL34" s="312"/>
      <c r="AM34" s="312"/>
      <c r="AN34" s="462"/>
      <c r="AO34" s="462"/>
      <c r="AP34" s="462"/>
      <c r="BC34" s="1108" t="s">
        <v>1043</v>
      </c>
      <c r="BD34" s="1109" t="s">
        <v>1226</v>
      </c>
      <c r="BE34" s="155"/>
      <c r="BF34" s="1108"/>
      <c r="BG34" s="1109"/>
      <c r="BI34" s="1039"/>
      <c r="BJ34" s="1028"/>
      <c r="BK34" s="1028"/>
      <c r="BL34" s="1028"/>
      <c r="BM34" s="314"/>
    </row>
    <row r="35" spans="2:65" ht="15.75" customHeight="1">
      <c r="B35" s="514"/>
      <c r="C35" s="424"/>
      <c r="D35" s="419"/>
      <c r="E35" s="447"/>
      <c r="G35" s="420"/>
      <c r="J35" s="1112"/>
      <c r="K35" s="312"/>
      <c r="L35" s="312"/>
      <c r="M35" s="312"/>
      <c r="N35" s="467"/>
      <c r="O35" s="467"/>
      <c r="P35" s="312"/>
      <c r="Q35" s="312"/>
      <c r="R35" s="312"/>
      <c r="S35" s="312"/>
      <c r="T35" s="312"/>
      <c r="U35" s="312"/>
      <c r="V35" s="312"/>
      <c r="W35" s="312"/>
      <c r="X35" s="312"/>
      <c r="Y35" s="312"/>
      <c r="Z35" s="312"/>
      <c r="AA35" s="312"/>
      <c r="AB35" s="312"/>
      <c r="AC35" s="312"/>
      <c r="AD35" s="312"/>
      <c r="AE35" s="312"/>
      <c r="AF35" s="418"/>
      <c r="AG35" s="312"/>
      <c r="AH35" s="312"/>
      <c r="AI35" s="1077"/>
      <c r="AJ35" s="312"/>
      <c r="AL35" s="312"/>
      <c r="AM35" s="312"/>
      <c r="AN35" s="462"/>
      <c r="AO35" s="462"/>
      <c r="AP35" s="462"/>
      <c r="BC35" s="1108" t="s">
        <v>1045</v>
      </c>
      <c r="BD35" s="1109" t="s">
        <v>1004</v>
      </c>
      <c r="BE35" s="155"/>
      <c r="BF35" s="1108" t="s">
        <v>1008</v>
      </c>
      <c r="BG35" s="1109" t="s">
        <v>967</v>
      </c>
      <c r="BI35" s="316"/>
      <c r="BJ35" s="306"/>
      <c r="BK35" s="306"/>
      <c r="BL35" s="306"/>
      <c r="BM35" s="338"/>
    </row>
    <row r="36" spans="2:65" ht="15.75" customHeight="1" thickBot="1">
      <c r="B36" s="514"/>
      <c r="C36" s="424"/>
      <c r="D36" s="419"/>
      <c r="E36" s="447"/>
      <c r="G36" s="420"/>
      <c r="H36" s="312"/>
      <c r="I36" s="312"/>
      <c r="J36" s="1112"/>
      <c r="K36" s="312"/>
      <c r="L36" s="312"/>
      <c r="M36" s="418"/>
      <c r="N36" s="312"/>
      <c r="O36" s="467"/>
      <c r="P36" s="312"/>
      <c r="Q36" s="312"/>
      <c r="R36" s="312"/>
      <c r="S36" s="312"/>
      <c r="T36" s="312"/>
      <c r="U36" s="312"/>
      <c r="V36" s="312"/>
      <c r="W36" s="312"/>
      <c r="X36" s="312"/>
      <c r="Y36" s="312"/>
      <c r="Z36" s="312"/>
      <c r="AA36" s="312"/>
      <c r="AB36" s="312"/>
      <c r="AC36" s="312"/>
      <c r="AD36" s="312"/>
      <c r="AE36" s="312"/>
      <c r="AF36" s="418"/>
      <c r="AG36" s="312"/>
      <c r="AH36" s="312"/>
      <c r="AI36" s="1077"/>
      <c r="AJ36" s="312"/>
      <c r="AL36" s="312"/>
      <c r="AM36" s="312"/>
      <c r="AN36" s="462"/>
      <c r="AO36" s="462"/>
      <c r="AP36" s="462"/>
      <c r="BC36" s="1108"/>
      <c r="BD36" s="1109"/>
      <c r="BE36" s="1119"/>
      <c r="BF36" s="1108" t="s">
        <v>1009</v>
      </c>
      <c r="BG36" s="1109" t="s">
        <v>1006</v>
      </c>
      <c r="BI36" s="1040" t="s">
        <v>1085</v>
      </c>
      <c r="BJ36" s="1029"/>
      <c r="BK36" s="1029"/>
      <c r="BL36" s="1029"/>
      <c r="BM36" s="1114">
        <f>SUM(BK24:BK31)-SUM(BJ24:BJ31)</f>
        <v>0</v>
      </c>
    </row>
    <row r="37" spans="2:65" ht="15.75" customHeight="1">
      <c r="B37" s="514"/>
      <c r="C37" s="424"/>
      <c r="D37" s="419"/>
      <c r="E37" s="447"/>
      <c r="G37" s="420"/>
      <c r="H37" s="312"/>
      <c r="I37" s="312"/>
      <c r="J37" s="1112"/>
      <c r="K37" s="312"/>
      <c r="L37" s="312"/>
      <c r="M37" s="312"/>
      <c r="N37" s="467"/>
      <c r="O37" s="467"/>
      <c r="P37" s="312"/>
      <c r="Q37" s="312"/>
      <c r="R37" s="312"/>
      <c r="S37" s="312"/>
      <c r="T37" s="312"/>
      <c r="U37" s="312"/>
      <c r="V37" s="312"/>
      <c r="W37" s="312"/>
      <c r="X37" s="312"/>
      <c r="Y37" s="312"/>
      <c r="Z37" s="312"/>
      <c r="AA37" s="312"/>
      <c r="AB37" s="312"/>
      <c r="AC37" s="312"/>
      <c r="AD37" s="312"/>
      <c r="AE37" s="312"/>
      <c r="AF37" s="418"/>
      <c r="AG37" s="312"/>
      <c r="AH37" s="312"/>
      <c r="AI37" s="1077"/>
      <c r="AJ37" s="312"/>
      <c r="AL37" s="312"/>
      <c r="AM37" s="312"/>
      <c r="AN37" s="462"/>
      <c r="AO37" s="462"/>
      <c r="AP37" s="462"/>
      <c r="BC37" s="1110" t="s">
        <v>999</v>
      </c>
      <c r="BD37" s="170"/>
      <c r="BE37" s="1119"/>
      <c r="BF37" s="1108" t="s">
        <v>1010</v>
      </c>
      <c r="BG37" s="1109" t="s">
        <v>962</v>
      </c>
    </row>
    <row r="38" spans="2:65" ht="15.75" customHeight="1">
      <c r="B38" s="514"/>
      <c r="C38" s="424"/>
      <c r="D38" s="419"/>
      <c r="E38" s="447"/>
      <c r="G38" s="420"/>
      <c r="H38" s="312"/>
      <c r="I38" s="312"/>
      <c r="J38" s="1112"/>
      <c r="K38" s="312"/>
      <c r="L38" s="312"/>
      <c r="M38" s="418"/>
      <c r="N38" s="467"/>
      <c r="O38" s="467"/>
      <c r="P38" s="312"/>
      <c r="Q38" s="312"/>
      <c r="R38" s="312"/>
      <c r="S38" s="312"/>
      <c r="T38" s="312"/>
      <c r="U38" s="312"/>
      <c r="V38" s="312"/>
      <c r="W38" s="312"/>
      <c r="X38" s="312"/>
      <c r="Y38" s="312"/>
      <c r="Z38" s="312"/>
      <c r="AA38" s="312"/>
      <c r="AB38" s="312"/>
      <c r="AC38" s="312"/>
      <c r="AD38" s="312"/>
      <c r="AE38" s="312"/>
      <c r="AF38" s="418"/>
      <c r="AG38" s="312"/>
      <c r="AH38" s="312"/>
      <c r="AI38" s="1077"/>
      <c r="AJ38" s="312"/>
      <c r="AL38" s="312"/>
      <c r="AM38" s="312"/>
      <c r="AN38" s="462"/>
      <c r="AO38" s="462"/>
      <c r="AP38" s="462"/>
      <c r="BC38" s="1108" t="s">
        <v>1046</v>
      </c>
      <c r="BD38" s="1109" t="s">
        <v>653</v>
      </c>
      <c r="BE38" s="1119"/>
      <c r="BF38" s="1108" t="s">
        <v>1011</v>
      </c>
      <c r="BG38" s="1109" t="s">
        <v>971</v>
      </c>
    </row>
    <row r="39" spans="2:65" ht="15.75" customHeight="1">
      <c r="B39" s="514"/>
      <c r="C39" s="424"/>
      <c r="D39" s="419"/>
      <c r="E39" s="447"/>
      <c r="G39" s="420"/>
      <c r="H39" s="312"/>
      <c r="I39" s="447"/>
      <c r="J39" s="1112"/>
      <c r="K39" s="312"/>
      <c r="L39" s="312"/>
      <c r="M39" s="312"/>
      <c r="N39" s="467"/>
      <c r="O39" s="467"/>
      <c r="P39" s="312"/>
      <c r="Q39" s="312"/>
      <c r="R39" s="312"/>
      <c r="S39" s="312"/>
      <c r="T39" s="312"/>
      <c r="U39" s="312"/>
      <c r="V39" s="312"/>
      <c r="W39" s="312"/>
      <c r="X39" s="312"/>
      <c r="Y39" s="312"/>
      <c r="Z39" s="312"/>
      <c r="AA39" s="312"/>
      <c r="AB39" s="312"/>
      <c r="AC39" s="312"/>
      <c r="AD39" s="312"/>
      <c r="AE39" s="312"/>
      <c r="AF39" s="418"/>
      <c r="AG39" s="312"/>
      <c r="AH39" s="312"/>
      <c r="AI39" s="1077"/>
      <c r="AJ39" s="312"/>
      <c r="AL39" s="312"/>
      <c r="AM39" s="312"/>
      <c r="AN39" s="462"/>
      <c r="AO39" s="462"/>
      <c r="AP39" s="462"/>
      <c r="BC39" s="1108" t="s">
        <v>1047</v>
      </c>
      <c r="BD39" s="1109" t="s">
        <v>658</v>
      </c>
      <c r="BE39" s="1119"/>
      <c r="BF39" s="1108" t="s">
        <v>1012</v>
      </c>
      <c r="BG39" s="1109" t="s">
        <v>966</v>
      </c>
    </row>
    <row r="40" spans="2:65" ht="15.75" customHeight="1">
      <c r="B40" s="514"/>
      <c r="C40" s="424"/>
      <c r="D40" s="419"/>
      <c r="E40" s="419"/>
      <c r="G40" s="420"/>
      <c r="H40" s="312"/>
      <c r="I40" s="1068"/>
      <c r="J40" s="1112"/>
      <c r="K40" s="312"/>
      <c r="L40" s="312"/>
      <c r="M40" s="418"/>
      <c r="N40" s="467"/>
      <c r="O40" s="467"/>
      <c r="P40" s="312"/>
      <c r="Q40" s="312"/>
      <c r="R40" s="312"/>
      <c r="S40" s="312"/>
      <c r="T40" s="312"/>
      <c r="U40" s="312"/>
      <c r="V40" s="312"/>
      <c r="W40" s="312"/>
      <c r="X40" s="312"/>
      <c r="Y40" s="312"/>
      <c r="Z40" s="312"/>
      <c r="AA40" s="312"/>
      <c r="AB40" s="312"/>
      <c r="AC40" s="312"/>
      <c r="AD40" s="312"/>
      <c r="AE40" s="312"/>
      <c r="AF40" s="418"/>
      <c r="AG40" s="312"/>
      <c r="AH40" s="312"/>
      <c r="AI40" s="1077"/>
      <c r="AJ40" s="312"/>
      <c r="AL40" s="312"/>
      <c r="AM40" s="312"/>
      <c r="AN40" s="462"/>
      <c r="AO40" s="462"/>
      <c r="AP40" s="462"/>
      <c r="BC40" s="1108" t="s">
        <v>1049</v>
      </c>
      <c r="BD40" s="1109" t="s">
        <v>654</v>
      </c>
      <c r="BE40" s="1119"/>
      <c r="BF40" s="1108" t="s">
        <v>1013</v>
      </c>
      <c r="BG40" s="1109" t="s">
        <v>1007</v>
      </c>
    </row>
    <row r="41" spans="2:65" ht="15.75" customHeight="1">
      <c r="B41" s="514"/>
      <c r="C41" s="424"/>
      <c r="D41" s="419"/>
      <c r="E41" s="419"/>
      <c r="G41" s="420"/>
      <c r="H41" s="312"/>
      <c r="I41" s="312"/>
      <c r="J41" s="1112"/>
      <c r="K41" s="312"/>
      <c r="L41" s="312"/>
      <c r="M41" s="312"/>
      <c r="N41" s="467"/>
      <c r="O41" s="467"/>
      <c r="P41" s="312"/>
      <c r="Q41" s="312"/>
      <c r="R41" s="312"/>
      <c r="S41" s="312"/>
      <c r="T41" s="312"/>
      <c r="U41" s="312"/>
      <c r="V41" s="312"/>
      <c r="W41" s="312"/>
      <c r="X41" s="312"/>
      <c r="Y41" s="312"/>
      <c r="Z41" s="312"/>
      <c r="AA41" s="312"/>
      <c r="AB41" s="312"/>
      <c r="AC41" s="312"/>
      <c r="AD41" s="312"/>
      <c r="AE41" s="312"/>
      <c r="AF41" s="418"/>
      <c r="AG41" s="312"/>
      <c r="AH41" s="312"/>
      <c r="AI41" s="1077"/>
      <c r="AJ41" s="312"/>
      <c r="AL41" s="312"/>
      <c r="AM41" s="312"/>
      <c r="AN41" s="462"/>
      <c r="AO41" s="462"/>
      <c r="AP41" s="462"/>
      <c r="BC41" s="1108" t="s">
        <v>1048</v>
      </c>
      <c r="BD41" s="1109" t="s">
        <v>659</v>
      </c>
      <c r="BE41" s="1119"/>
      <c r="BF41" s="1108" t="s">
        <v>1014</v>
      </c>
      <c r="BG41" s="1109" t="s">
        <v>970</v>
      </c>
    </row>
    <row r="42" spans="2:65" ht="15.75" customHeight="1">
      <c r="B42" s="514"/>
      <c r="C42" s="424"/>
      <c r="D42" s="419"/>
      <c r="E42" s="419"/>
      <c r="G42" s="420"/>
      <c r="H42" s="312"/>
      <c r="I42" s="312"/>
      <c r="J42" s="1112"/>
      <c r="K42" s="312"/>
      <c r="L42" s="312"/>
      <c r="M42" s="418"/>
      <c r="N42" s="467"/>
      <c r="O42" s="467"/>
      <c r="P42" s="312"/>
      <c r="Q42" s="312"/>
      <c r="R42" s="312"/>
      <c r="S42" s="312"/>
      <c r="T42" s="312"/>
      <c r="U42" s="312"/>
      <c r="V42" s="312"/>
      <c r="W42" s="312"/>
      <c r="X42" s="312"/>
      <c r="Y42" s="312"/>
      <c r="Z42" s="312"/>
      <c r="AA42" s="312"/>
      <c r="AB42" s="312"/>
      <c r="AC42" s="312"/>
      <c r="AD42" s="312"/>
      <c r="AE42" s="312"/>
      <c r="AF42" s="418"/>
      <c r="AG42" s="312"/>
      <c r="AH42" s="312"/>
      <c r="AI42" s="1077"/>
      <c r="AJ42" s="312"/>
      <c r="AL42" s="312"/>
      <c r="AM42" s="312"/>
      <c r="AN42" s="462"/>
      <c r="AO42" s="462"/>
      <c r="AP42" s="462"/>
      <c r="BC42" s="1108" t="s">
        <v>1608</v>
      </c>
      <c r="BD42" s="1109" t="s">
        <v>1055</v>
      </c>
      <c r="BE42" s="1119"/>
      <c r="BF42" s="1108"/>
      <c r="BG42" s="1109"/>
    </row>
    <row r="43" spans="2:65" ht="15.75" customHeight="1">
      <c r="B43" s="514"/>
      <c r="C43" s="424"/>
      <c r="D43" s="419"/>
      <c r="E43" s="419"/>
      <c r="G43" s="420"/>
      <c r="H43" s="1113"/>
      <c r="I43" s="312"/>
      <c r="J43" s="1112"/>
      <c r="K43" s="312"/>
      <c r="L43" s="312"/>
      <c r="M43" s="312"/>
      <c r="N43" s="467"/>
      <c r="O43" s="467"/>
      <c r="P43" s="312"/>
      <c r="Q43" s="312"/>
      <c r="R43" s="312"/>
      <c r="S43" s="312"/>
      <c r="T43" s="312"/>
      <c r="U43" s="312"/>
      <c r="V43" s="312"/>
      <c r="W43" s="312"/>
      <c r="X43" s="312"/>
      <c r="Y43" s="312"/>
      <c r="Z43" s="312"/>
      <c r="AA43" s="312"/>
      <c r="AB43" s="312"/>
      <c r="AC43" s="312"/>
      <c r="AD43" s="312"/>
      <c r="AE43" s="312"/>
      <c r="AF43" s="418"/>
      <c r="AG43" s="312"/>
      <c r="AH43" s="312"/>
      <c r="AI43" s="1077"/>
      <c r="AJ43" s="312"/>
      <c r="AL43" s="312"/>
      <c r="AM43" s="312"/>
      <c r="AN43" s="462"/>
      <c r="AO43" s="462"/>
      <c r="AP43" s="462"/>
      <c r="BC43" s="1108" t="s">
        <v>1607</v>
      </c>
      <c r="BD43" s="1109" t="s">
        <v>1060</v>
      </c>
      <c r="BE43" s="1119"/>
      <c r="BF43" s="1110" t="s">
        <v>1015</v>
      </c>
      <c r="BG43" s="170"/>
    </row>
    <row r="44" spans="2:65" ht="15.75" customHeight="1">
      <c r="B44" s="514"/>
      <c r="C44" s="424"/>
      <c r="D44" s="419"/>
      <c r="E44" s="419"/>
      <c r="G44" s="420"/>
      <c r="H44" s="467"/>
      <c r="I44" s="467"/>
      <c r="J44" s="1112"/>
      <c r="K44" s="312"/>
      <c r="L44" s="312"/>
      <c r="M44" s="418"/>
      <c r="N44" s="312"/>
      <c r="O44" s="421"/>
      <c r="P44" s="418"/>
      <c r="Q44" s="418"/>
      <c r="R44" s="418"/>
      <c r="S44" s="418"/>
      <c r="T44" s="418"/>
      <c r="U44" s="418"/>
      <c r="V44" s="418"/>
      <c r="W44" s="418"/>
      <c r="X44" s="418"/>
      <c r="Y44" s="418"/>
      <c r="Z44" s="418"/>
      <c r="AA44" s="418"/>
      <c r="AB44" s="418"/>
      <c r="AC44" s="418"/>
      <c r="AD44" s="418"/>
      <c r="AE44" s="418"/>
      <c r="AF44" s="418"/>
      <c r="AG44" s="418"/>
      <c r="AH44" s="418"/>
      <c r="AI44" s="493"/>
      <c r="AJ44" s="418"/>
      <c r="AL44" s="312"/>
      <c r="AM44" s="312"/>
      <c r="AN44" s="462"/>
      <c r="AO44" s="462"/>
      <c r="AP44" s="462"/>
      <c r="BC44" s="1108" t="s">
        <v>1609</v>
      </c>
      <c r="BD44" s="1109" t="s">
        <v>1606</v>
      </c>
      <c r="BE44" s="1119"/>
      <c r="BF44" s="1108" t="s">
        <v>1016</v>
      </c>
      <c r="BG44" s="1109" t="s">
        <v>1001</v>
      </c>
    </row>
    <row r="45" spans="2:65" ht="15.75" customHeight="1">
      <c r="B45" s="514"/>
      <c r="C45" s="424"/>
      <c r="D45" s="419"/>
      <c r="E45" s="419"/>
      <c r="G45" s="420"/>
      <c r="H45" s="421"/>
      <c r="I45" s="421"/>
      <c r="J45" s="1112"/>
      <c r="K45" s="312"/>
      <c r="L45" s="312"/>
      <c r="M45" s="312"/>
      <c r="N45" s="467"/>
      <c r="O45" s="467"/>
      <c r="P45" s="312"/>
      <c r="Q45" s="312"/>
      <c r="R45" s="312"/>
      <c r="S45" s="312"/>
      <c r="T45" s="312"/>
      <c r="U45" s="312"/>
      <c r="V45" s="312"/>
      <c r="W45" s="312"/>
      <c r="X45" s="312"/>
      <c r="Y45" s="312"/>
      <c r="Z45" s="312"/>
      <c r="AA45" s="312"/>
      <c r="AB45" s="312"/>
      <c r="AC45" s="312"/>
      <c r="AD45" s="312"/>
      <c r="AE45" s="312"/>
      <c r="AF45" s="418"/>
      <c r="AG45" s="312"/>
      <c r="AH45" s="312"/>
      <c r="AI45" s="1077"/>
      <c r="AJ45" s="312"/>
      <c r="AL45" s="312"/>
      <c r="AM45" s="312"/>
      <c r="AN45" s="462"/>
      <c r="AO45" s="462"/>
      <c r="AP45" s="462"/>
      <c r="BC45" s="1108"/>
      <c r="BD45" s="314"/>
      <c r="BE45" s="1119"/>
      <c r="BF45" s="1108" t="s">
        <v>1017</v>
      </c>
      <c r="BG45" s="1109" t="s">
        <v>1684</v>
      </c>
    </row>
    <row r="46" spans="2:65" ht="15.75" customHeight="1">
      <c r="B46" s="514"/>
      <c r="C46" s="424"/>
      <c r="D46" s="419"/>
      <c r="E46" s="419"/>
      <c r="G46" s="420"/>
      <c r="H46" s="421"/>
      <c r="I46" s="467"/>
      <c r="J46" s="1112"/>
      <c r="K46" s="312"/>
      <c r="L46" s="418"/>
      <c r="M46" s="418"/>
      <c r="N46" s="467"/>
      <c r="O46" s="421"/>
      <c r="P46" s="418"/>
      <c r="Q46" s="418"/>
      <c r="R46" s="418"/>
      <c r="S46" s="418"/>
      <c r="T46" s="418"/>
      <c r="U46" s="418"/>
      <c r="V46" s="418"/>
      <c r="W46" s="418"/>
      <c r="X46" s="418"/>
      <c r="Y46" s="418"/>
      <c r="Z46" s="418"/>
      <c r="AA46" s="418"/>
      <c r="AB46" s="418"/>
      <c r="AC46" s="418"/>
      <c r="AD46" s="418"/>
      <c r="AE46" s="418"/>
      <c r="AF46" s="418"/>
      <c r="AG46" s="418"/>
      <c r="AH46" s="418"/>
      <c r="AI46" s="493"/>
      <c r="AJ46" s="418"/>
      <c r="AL46" s="418"/>
      <c r="AM46" s="418"/>
      <c r="AN46" s="462"/>
      <c r="AO46" s="462"/>
      <c r="AP46" s="462"/>
      <c r="BC46" s="1110" t="s">
        <v>1000</v>
      </c>
      <c r="BD46" s="170"/>
      <c r="BE46" s="1119"/>
      <c r="BF46" s="1108" t="s">
        <v>1018</v>
      </c>
      <c r="BG46" s="1109" t="s">
        <v>1685</v>
      </c>
    </row>
    <row r="47" spans="2:65" ht="15.75" customHeight="1">
      <c r="B47" s="514"/>
      <c r="C47" s="424"/>
      <c r="D47" s="419"/>
      <c r="E47" s="419"/>
      <c r="G47" s="420"/>
      <c r="H47" s="421"/>
      <c r="I47" s="467"/>
      <c r="J47" s="1112"/>
      <c r="K47" s="312"/>
      <c r="L47" s="312"/>
      <c r="M47" s="312"/>
      <c r="N47" s="467"/>
      <c r="O47" s="467"/>
      <c r="P47" s="312"/>
      <c r="Q47" s="312"/>
      <c r="R47" s="312"/>
      <c r="S47" s="312"/>
      <c r="T47" s="312"/>
      <c r="U47" s="312"/>
      <c r="V47" s="312"/>
      <c r="W47" s="312"/>
      <c r="X47" s="312"/>
      <c r="Y47" s="312"/>
      <c r="Z47" s="312"/>
      <c r="AA47" s="312"/>
      <c r="AB47" s="312"/>
      <c r="AC47" s="312"/>
      <c r="AD47" s="312"/>
      <c r="AE47" s="312"/>
      <c r="AF47" s="418"/>
      <c r="AG47" s="312"/>
      <c r="AH47" s="312"/>
      <c r="AI47" s="1077"/>
      <c r="AJ47" s="312"/>
      <c r="AL47" s="312"/>
      <c r="AM47" s="312"/>
      <c r="AN47" s="462"/>
      <c r="AO47" s="462"/>
      <c r="AP47" s="462"/>
      <c r="BC47" s="1108" t="s">
        <v>1033</v>
      </c>
      <c r="BD47" s="1109" t="s">
        <v>655</v>
      </c>
      <c r="BF47" s="1108" t="s">
        <v>1019</v>
      </c>
      <c r="BG47" s="1109" t="s">
        <v>141</v>
      </c>
    </row>
    <row r="48" spans="2:65" ht="15.75" customHeight="1">
      <c r="B48" s="514"/>
      <c r="C48" s="424"/>
      <c r="D48" s="419"/>
      <c r="E48" s="419"/>
      <c r="G48" s="420"/>
      <c r="H48" s="467"/>
      <c r="I48" s="467"/>
      <c r="J48" s="1112"/>
      <c r="K48" s="312"/>
      <c r="L48" s="418"/>
      <c r="M48" s="418"/>
      <c r="N48" s="312"/>
      <c r="O48" s="421"/>
      <c r="P48" s="418"/>
      <c r="Q48" s="418"/>
      <c r="R48" s="418"/>
      <c r="S48" s="418"/>
      <c r="T48" s="418"/>
      <c r="U48" s="418"/>
      <c r="V48" s="418"/>
      <c r="W48" s="418"/>
      <c r="X48" s="418"/>
      <c r="Y48" s="418"/>
      <c r="Z48" s="418"/>
      <c r="AA48" s="418"/>
      <c r="AB48" s="418"/>
      <c r="AC48" s="418"/>
      <c r="AD48" s="418"/>
      <c r="AE48" s="418"/>
      <c r="AF48" s="418"/>
      <c r="AG48" s="418"/>
      <c r="AH48" s="418"/>
      <c r="AI48" s="493"/>
      <c r="AJ48" s="418"/>
      <c r="AL48" s="418"/>
      <c r="AM48" s="418"/>
      <c r="AN48" s="462"/>
      <c r="AO48" s="462"/>
      <c r="AP48" s="462"/>
      <c r="BC48" s="1108" t="s">
        <v>1034</v>
      </c>
      <c r="BD48" s="1109" t="s">
        <v>139</v>
      </c>
      <c r="BF48" s="316"/>
      <c r="BG48" s="338"/>
    </row>
    <row r="49" spans="1:65" ht="15.75" customHeight="1">
      <c r="B49" s="514"/>
      <c r="C49" s="424"/>
      <c r="D49" s="419"/>
      <c r="E49" s="419"/>
      <c r="G49" s="420"/>
      <c r="H49" s="312"/>
      <c r="I49" s="447"/>
      <c r="J49" s="1112"/>
      <c r="K49" s="312"/>
      <c r="L49" s="312"/>
      <c r="M49" s="312"/>
      <c r="N49" s="467"/>
      <c r="O49" s="467"/>
      <c r="P49" s="312"/>
      <c r="Q49" s="312"/>
      <c r="R49" s="312"/>
      <c r="S49" s="312"/>
      <c r="T49" s="312"/>
      <c r="U49" s="312"/>
      <c r="V49" s="312"/>
      <c r="W49" s="312"/>
      <c r="X49" s="312"/>
      <c r="Y49" s="312"/>
      <c r="Z49" s="312"/>
      <c r="AA49" s="312"/>
      <c r="AB49" s="312"/>
      <c r="AC49" s="312"/>
      <c r="AD49" s="312"/>
      <c r="AE49" s="312"/>
      <c r="AF49" s="418"/>
      <c r="AG49" s="312"/>
      <c r="AH49" s="312"/>
      <c r="AI49" s="1077"/>
      <c r="AJ49" s="312"/>
      <c r="AL49" s="312"/>
      <c r="AM49" s="312"/>
      <c r="AN49" s="462"/>
      <c r="AO49" s="462"/>
      <c r="AP49" s="462"/>
      <c r="BC49" s="1108" t="s">
        <v>1035</v>
      </c>
      <c r="BD49" s="1109" t="s">
        <v>229</v>
      </c>
      <c r="BF49" s="1110" t="s">
        <v>671</v>
      </c>
      <c r="BG49" s="170"/>
    </row>
    <row r="50" spans="1:65" ht="15.75" customHeight="1">
      <c r="B50" s="514"/>
      <c r="C50" s="424"/>
      <c r="D50" s="514"/>
      <c r="E50" s="419"/>
      <c r="F50" s="447"/>
      <c r="G50" s="419"/>
      <c r="H50" s="421"/>
      <c r="I50" s="467"/>
      <c r="J50" s="469"/>
      <c r="L50" s="418"/>
      <c r="M50" s="418"/>
      <c r="N50" s="312"/>
      <c r="O50" s="421"/>
      <c r="P50" s="421"/>
      <c r="Q50" s="418"/>
      <c r="R50" s="418"/>
      <c r="S50" s="418"/>
      <c r="T50" s="418"/>
      <c r="U50" s="418"/>
      <c r="V50" s="418"/>
      <c r="W50" s="418"/>
      <c r="X50" s="418"/>
      <c r="Y50" s="418"/>
      <c r="Z50" s="418"/>
      <c r="AA50" s="418"/>
      <c r="AB50" s="418"/>
      <c r="AC50" s="418"/>
      <c r="AD50" s="418"/>
      <c r="AE50" s="418"/>
      <c r="AF50" s="418"/>
      <c r="AG50" s="418"/>
      <c r="AH50" s="418"/>
      <c r="AI50" s="418"/>
      <c r="AJ50" s="493"/>
      <c r="AK50" s="418"/>
      <c r="AL50" s="418"/>
      <c r="AM50" s="418"/>
      <c r="AN50" s="462"/>
      <c r="AO50" s="462"/>
      <c r="AP50" s="462"/>
      <c r="BC50" s="1108" t="s">
        <v>1036</v>
      </c>
      <c r="BD50" s="1109" t="s">
        <v>239</v>
      </c>
      <c r="BF50" s="1108" t="s">
        <v>1686</v>
      </c>
      <c r="BG50" s="1109" t="s">
        <v>1227</v>
      </c>
    </row>
    <row r="51" spans="1:65" ht="15.75" customHeight="1">
      <c r="B51" s="514"/>
      <c r="C51" s="424"/>
      <c r="D51" s="514"/>
      <c r="E51" s="419"/>
      <c r="F51" s="447"/>
      <c r="G51" s="419"/>
      <c r="H51" s="312"/>
      <c r="I51" s="447"/>
      <c r="J51" s="469"/>
      <c r="K51" s="312"/>
      <c r="L51" s="312"/>
      <c r="M51" s="312"/>
      <c r="N51" s="467"/>
      <c r="O51" s="421"/>
      <c r="P51" s="421"/>
      <c r="Q51" s="418"/>
      <c r="R51" s="418"/>
      <c r="S51" s="418"/>
      <c r="T51" s="418"/>
      <c r="U51" s="418"/>
      <c r="V51" s="418"/>
      <c r="W51" s="418"/>
      <c r="X51" s="418"/>
      <c r="Y51" s="418"/>
      <c r="Z51" s="418"/>
      <c r="AA51" s="418"/>
      <c r="AB51" s="418"/>
      <c r="AC51" s="418"/>
      <c r="AD51" s="418"/>
      <c r="AE51" s="418"/>
      <c r="AF51" s="418"/>
      <c r="AG51" s="418"/>
      <c r="AH51" s="418"/>
      <c r="AI51" s="418"/>
      <c r="AJ51" s="493"/>
      <c r="AK51" s="418"/>
      <c r="AL51" s="418"/>
      <c r="AM51" s="418"/>
      <c r="AN51" s="462"/>
      <c r="AO51" s="462"/>
      <c r="AP51" s="462"/>
      <c r="BC51" s="1108" t="s">
        <v>1037</v>
      </c>
      <c r="BD51" s="1109" t="s">
        <v>458</v>
      </c>
      <c r="BF51" s="1108" t="s">
        <v>1687</v>
      </c>
      <c r="BG51" s="1109" t="s">
        <v>1228</v>
      </c>
    </row>
    <row r="52" spans="1:65" ht="15.75" customHeight="1">
      <c r="B52" s="514"/>
      <c r="C52" s="424"/>
      <c r="D52" s="514"/>
      <c r="E52" s="419"/>
      <c r="F52" s="447"/>
      <c r="G52" s="419"/>
      <c r="H52" s="467"/>
      <c r="I52" s="467"/>
      <c r="J52" s="469"/>
      <c r="K52" s="312"/>
      <c r="L52" s="418"/>
      <c r="M52" s="418"/>
      <c r="N52" s="312"/>
      <c r="O52" s="421"/>
      <c r="P52" s="421"/>
      <c r="Q52" s="418"/>
      <c r="R52" s="418"/>
      <c r="S52" s="418"/>
      <c r="T52" s="418"/>
      <c r="U52" s="418"/>
      <c r="V52" s="418"/>
      <c r="W52" s="418"/>
      <c r="X52" s="418"/>
      <c r="Y52" s="418"/>
      <c r="Z52" s="418"/>
      <c r="AA52" s="418"/>
      <c r="AB52" s="418"/>
      <c r="AC52" s="418"/>
      <c r="AD52" s="418"/>
      <c r="AE52" s="418"/>
      <c r="AF52" s="418"/>
      <c r="AG52" s="418"/>
      <c r="AH52" s="418"/>
      <c r="AI52" s="418"/>
      <c r="AJ52" s="493"/>
      <c r="AK52" s="418"/>
      <c r="AL52" s="418"/>
      <c r="AM52" s="418"/>
      <c r="AN52" s="462"/>
      <c r="AO52" s="462"/>
      <c r="AP52" s="462"/>
      <c r="BC52" s="1108" t="s">
        <v>1038</v>
      </c>
      <c r="BD52" s="1109" t="s">
        <v>905</v>
      </c>
      <c r="BF52" s="1108" t="s">
        <v>1688</v>
      </c>
      <c r="BG52" s="1109" t="s">
        <v>1690</v>
      </c>
    </row>
    <row r="53" spans="1:65" ht="15.75" customHeight="1" thickBot="1">
      <c r="B53" s="514"/>
      <c r="C53" s="424"/>
      <c r="D53" s="514"/>
      <c r="E53" s="419"/>
      <c r="F53" s="447"/>
      <c r="G53" s="419"/>
      <c r="H53" s="312"/>
      <c r="I53" s="312"/>
      <c r="J53" s="1112"/>
      <c r="K53" s="312"/>
      <c r="L53" s="418"/>
      <c r="M53" s="418"/>
      <c r="N53" s="467"/>
      <c r="O53" s="421"/>
      <c r="P53" s="421"/>
      <c r="Q53" s="418"/>
      <c r="R53" s="418"/>
      <c r="S53" s="418"/>
      <c r="T53" s="418"/>
      <c r="U53" s="418"/>
      <c r="V53" s="418"/>
      <c r="W53" s="418"/>
      <c r="X53" s="418"/>
      <c r="Y53" s="418"/>
      <c r="Z53" s="418"/>
      <c r="AA53" s="418"/>
      <c r="AB53" s="418"/>
      <c r="AC53" s="418"/>
      <c r="AD53" s="418"/>
      <c r="AE53" s="418"/>
      <c r="AF53" s="418"/>
      <c r="AG53" s="418"/>
      <c r="AH53" s="418"/>
      <c r="AI53" s="418"/>
      <c r="AJ53" s="493"/>
      <c r="AK53" s="418"/>
      <c r="AL53" s="418"/>
      <c r="AM53" s="418"/>
      <c r="AN53" s="462"/>
      <c r="AO53" s="462"/>
      <c r="AP53" s="462"/>
      <c r="BC53" s="348"/>
      <c r="BD53" s="349"/>
      <c r="BF53" s="1108" t="s">
        <v>1689</v>
      </c>
      <c r="BG53" s="1109" t="s">
        <v>1691</v>
      </c>
    </row>
    <row r="54" spans="1:65" ht="15.75" customHeight="1" thickBot="1">
      <c r="B54" s="514"/>
      <c r="C54" s="424"/>
      <c r="D54" s="514"/>
      <c r="E54" s="419"/>
      <c r="F54" s="447"/>
      <c r="G54" s="419"/>
      <c r="H54" s="312"/>
      <c r="I54" s="312"/>
      <c r="J54" s="1112"/>
      <c r="K54" s="312"/>
      <c r="L54" s="418"/>
      <c r="M54" s="418"/>
      <c r="N54" s="467"/>
      <c r="O54" s="421"/>
      <c r="P54" s="421"/>
      <c r="Q54" s="418"/>
      <c r="R54" s="418"/>
      <c r="S54" s="418"/>
      <c r="T54" s="418"/>
      <c r="U54" s="418"/>
      <c r="V54" s="418"/>
      <c r="W54" s="418"/>
      <c r="X54" s="418"/>
      <c r="Y54" s="418"/>
      <c r="Z54" s="418"/>
      <c r="AA54" s="418"/>
      <c r="AB54" s="418"/>
      <c r="AC54" s="418"/>
      <c r="AD54" s="418"/>
      <c r="AE54" s="418"/>
      <c r="AF54" s="418"/>
      <c r="AG54" s="418"/>
      <c r="AH54" s="418"/>
      <c r="AI54" s="418"/>
      <c r="AJ54" s="493"/>
      <c r="AK54" s="418"/>
      <c r="AL54" s="418"/>
      <c r="AM54" s="418"/>
      <c r="AN54" s="462"/>
      <c r="AO54" s="462"/>
      <c r="AP54" s="462"/>
      <c r="BC54" s="307"/>
      <c r="BD54" s="350"/>
      <c r="BF54" s="348"/>
      <c r="BG54" s="351"/>
      <c r="BH54" s="307"/>
      <c r="BI54" s="307"/>
      <c r="BJ54" s="307"/>
      <c r="BK54" s="307"/>
      <c r="BL54" s="307"/>
      <c r="BM54" s="307"/>
    </row>
    <row r="55" spans="1:65" ht="15.75" customHeight="1">
      <c r="B55" s="514"/>
      <c r="C55" s="424"/>
      <c r="D55" s="514"/>
      <c r="E55" s="419"/>
      <c r="F55" s="447"/>
      <c r="G55" s="419"/>
      <c r="H55" s="312"/>
      <c r="I55" s="312"/>
      <c r="J55" s="1112"/>
      <c r="K55" s="312"/>
      <c r="L55" s="418"/>
      <c r="M55" s="418"/>
      <c r="N55" s="467"/>
      <c r="O55" s="421"/>
      <c r="P55" s="421"/>
      <c r="Q55" s="418"/>
      <c r="R55" s="418"/>
      <c r="S55" s="418"/>
      <c r="T55" s="418"/>
      <c r="U55" s="418"/>
      <c r="V55" s="418"/>
      <c r="W55" s="418"/>
      <c r="X55" s="418"/>
      <c r="Y55" s="418"/>
      <c r="Z55" s="418"/>
      <c r="AA55" s="418"/>
      <c r="AB55" s="418"/>
      <c r="AC55" s="418"/>
      <c r="AD55" s="418"/>
      <c r="AE55" s="418"/>
      <c r="AF55" s="418"/>
      <c r="AG55" s="418"/>
      <c r="AH55" s="418"/>
      <c r="AI55" s="418"/>
      <c r="AJ55" s="493"/>
      <c r="AK55" s="418"/>
      <c r="AL55" s="418"/>
      <c r="AM55" s="418"/>
      <c r="AN55" s="462"/>
      <c r="AO55" s="462"/>
      <c r="AP55" s="462"/>
      <c r="BC55" s="307"/>
      <c r="BD55" s="350"/>
      <c r="BH55" s="307"/>
      <c r="BI55" s="307"/>
      <c r="BJ55" s="307"/>
      <c r="BK55" s="307"/>
      <c r="BL55" s="307"/>
      <c r="BM55" s="307"/>
    </row>
    <row r="56" spans="1:65" ht="15.75" customHeight="1">
      <c r="B56" s="514"/>
      <c r="C56" s="424"/>
      <c r="D56" s="514"/>
      <c r="E56" s="419"/>
      <c r="F56" s="447"/>
      <c r="G56" s="419"/>
      <c r="H56" s="312"/>
      <c r="I56" s="312"/>
      <c r="J56" s="1112"/>
      <c r="K56" s="312"/>
      <c r="L56" s="418"/>
      <c r="M56" s="418"/>
      <c r="N56" s="467"/>
      <c r="O56" s="421"/>
      <c r="P56" s="421"/>
      <c r="Q56" s="418"/>
      <c r="R56" s="418"/>
      <c r="S56" s="418"/>
      <c r="T56" s="418"/>
      <c r="U56" s="418"/>
      <c r="V56" s="418"/>
      <c r="W56" s="418"/>
      <c r="X56" s="418"/>
      <c r="Y56" s="418"/>
      <c r="Z56" s="418"/>
      <c r="AA56" s="418"/>
      <c r="AB56" s="418"/>
      <c r="AC56" s="418"/>
      <c r="AD56" s="418"/>
      <c r="AE56" s="418"/>
      <c r="AF56" s="418"/>
      <c r="AG56" s="418"/>
      <c r="AH56" s="418"/>
      <c r="AI56" s="418"/>
      <c r="AJ56" s="493"/>
      <c r="AK56" s="418"/>
      <c r="AL56" s="418"/>
      <c r="AM56" s="418"/>
      <c r="AN56" s="462"/>
      <c r="AO56" s="462"/>
      <c r="AP56" s="462"/>
      <c r="BC56" s="307"/>
      <c r="BD56" s="350"/>
      <c r="BH56" s="307"/>
      <c r="BI56" s="307"/>
      <c r="BJ56" s="307"/>
      <c r="BK56" s="307"/>
      <c r="BL56" s="307"/>
      <c r="BM56" s="307"/>
    </row>
    <row r="57" spans="1:65" ht="15.75" customHeight="1">
      <c r="B57" s="514"/>
      <c r="C57" s="424"/>
      <c r="D57" s="514"/>
      <c r="E57" s="419"/>
      <c r="F57" s="447"/>
      <c r="G57" s="419"/>
      <c r="H57" s="312"/>
      <c r="I57" s="312"/>
      <c r="J57" s="1112"/>
      <c r="K57" s="312"/>
      <c r="L57" s="418"/>
      <c r="M57" s="418"/>
      <c r="N57" s="467"/>
      <c r="O57" s="421"/>
      <c r="P57" s="421"/>
      <c r="Q57" s="418"/>
      <c r="R57" s="418"/>
      <c r="S57" s="418"/>
      <c r="T57" s="418"/>
      <c r="U57" s="418"/>
      <c r="V57" s="418"/>
      <c r="W57" s="418"/>
      <c r="X57" s="418"/>
      <c r="Y57" s="418"/>
      <c r="Z57" s="418"/>
      <c r="AA57" s="418"/>
      <c r="AB57" s="418"/>
      <c r="AC57" s="418"/>
      <c r="AD57" s="418"/>
      <c r="AE57" s="418"/>
      <c r="AF57" s="418"/>
      <c r="AG57" s="418"/>
      <c r="AH57" s="418"/>
      <c r="AI57" s="418"/>
      <c r="AJ57" s="493"/>
      <c r="AK57" s="418"/>
      <c r="AL57" s="418"/>
      <c r="AM57" s="418"/>
      <c r="AN57" s="462"/>
      <c r="AO57" s="462"/>
      <c r="AP57" s="462"/>
      <c r="BC57" s="307"/>
      <c r="BD57" s="350"/>
      <c r="BE57" s="155"/>
      <c r="BH57" s="307"/>
      <c r="BI57" s="307"/>
      <c r="BJ57" s="307"/>
      <c r="BK57" s="307"/>
      <c r="BL57" s="307"/>
      <c r="BM57" s="307"/>
    </row>
    <row r="58" spans="1:65" ht="15.75" customHeight="1">
      <c r="B58" s="514"/>
      <c r="C58" s="424"/>
      <c r="D58" s="514"/>
      <c r="E58" s="419"/>
      <c r="F58" s="447"/>
      <c r="G58" s="419"/>
      <c r="H58" s="312"/>
      <c r="I58" s="312"/>
      <c r="J58" s="1112"/>
      <c r="K58" s="312"/>
      <c r="L58" s="418"/>
      <c r="M58" s="418"/>
      <c r="N58" s="312"/>
      <c r="O58" s="421"/>
      <c r="P58" s="421"/>
      <c r="Q58" s="418"/>
      <c r="R58" s="418"/>
      <c r="S58" s="418"/>
      <c r="T58" s="418"/>
      <c r="U58" s="418"/>
      <c r="V58" s="418"/>
      <c r="W58" s="418"/>
      <c r="X58" s="418"/>
      <c r="Y58" s="418"/>
      <c r="Z58" s="418"/>
      <c r="AA58" s="418"/>
      <c r="AB58" s="418"/>
      <c r="AC58" s="418"/>
      <c r="AD58" s="418"/>
      <c r="AE58" s="418"/>
      <c r="AF58" s="418"/>
      <c r="AG58" s="418"/>
      <c r="AH58" s="418"/>
      <c r="AI58" s="418"/>
      <c r="AJ58" s="493"/>
      <c r="AK58" s="418"/>
      <c r="AL58" s="418"/>
      <c r="AM58" s="418"/>
      <c r="AN58" s="462"/>
      <c r="AO58" s="462"/>
      <c r="AP58" s="462"/>
      <c r="BC58" s="307"/>
      <c r="BD58" s="350"/>
      <c r="BE58" s="155"/>
      <c r="BH58" s="307"/>
      <c r="BI58" s="307"/>
      <c r="BJ58" s="307"/>
      <c r="BK58" s="307"/>
      <c r="BL58" s="307"/>
      <c r="BM58" s="307"/>
    </row>
    <row r="59" spans="1:65" ht="15.75" customHeight="1">
      <c r="B59" s="514"/>
      <c r="C59" s="424"/>
      <c r="D59" s="514"/>
      <c r="E59" s="419"/>
      <c r="F59" s="447"/>
      <c r="G59" s="419"/>
      <c r="H59" s="312"/>
      <c r="I59" s="312"/>
      <c r="J59" s="1112"/>
      <c r="K59" s="312"/>
      <c r="L59" s="418"/>
      <c r="M59" s="418"/>
      <c r="N59" s="467"/>
      <c r="O59" s="421"/>
      <c r="P59" s="421"/>
      <c r="Q59" s="418"/>
      <c r="R59" s="418"/>
      <c r="S59" s="418"/>
      <c r="T59" s="418"/>
      <c r="U59" s="418"/>
      <c r="V59" s="418"/>
      <c r="W59" s="418"/>
      <c r="X59" s="418"/>
      <c r="Y59" s="418"/>
      <c r="Z59" s="418"/>
      <c r="AA59" s="418"/>
      <c r="AB59" s="418"/>
      <c r="AC59" s="418"/>
      <c r="AD59" s="418"/>
      <c r="AE59" s="418"/>
      <c r="AF59" s="418"/>
      <c r="AG59" s="418"/>
      <c r="AH59" s="418"/>
      <c r="AI59" s="418"/>
      <c r="AJ59" s="493"/>
      <c r="AK59" s="418"/>
      <c r="AL59" s="418"/>
      <c r="AM59" s="418"/>
      <c r="AN59" s="462"/>
      <c r="AO59" s="462"/>
      <c r="AP59" s="462"/>
      <c r="BC59" s="307"/>
      <c r="BD59" s="350"/>
      <c r="BE59" s="155"/>
      <c r="BH59" s="307"/>
      <c r="BI59" s="307"/>
      <c r="BJ59" s="307"/>
      <c r="BK59" s="307"/>
      <c r="BL59" s="307"/>
      <c r="BM59" s="307"/>
    </row>
    <row r="60" spans="1:65" ht="15.75" customHeight="1">
      <c r="A60" s="467"/>
      <c r="B60" s="514"/>
      <c r="C60" s="424"/>
      <c r="D60" s="514"/>
      <c r="E60" s="419"/>
      <c r="F60" s="447"/>
      <c r="G60" s="419"/>
      <c r="H60" s="312"/>
      <c r="I60" s="312"/>
      <c r="J60" s="1112"/>
      <c r="K60" s="312"/>
      <c r="L60" s="418"/>
      <c r="M60" s="418"/>
      <c r="N60" s="312"/>
      <c r="O60" s="421"/>
      <c r="P60" s="421"/>
      <c r="Q60" s="418"/>
      <c r="R60" s="418"/>
      <c r="S60" s="418"/>
      <c r="T60" s="418"/>
      <c r="U60" s="418"/>
      <c r="V60" s="418"/>
      <c r="W60" s="418"/>
      <c r="X60" s="418"/>
      <c r="Y60" s="418"/>
      <c r="Z60" s="418"/>
      <c r="AA60" s="418"/>
      <c r="AB60" s="418"/>
      <c r="AC60" s="418"/>
      <c r="AD60" s="418"/>
      <c r="AE60" s="418"/>
      <c r="AF60" s="418"/>
      <c r="AG60" s="418"/>
      <c r="AH60" s="418"/>
      <c r="AI60" s="418"/>
      <c r="AJ60" s="493"/>
      <c r="AK60" s="418"/>
      <c r="AL60" s="418"/>
      <c r="AM60" s="418"/>
      <c r="AN60" s="462"/>
      <c r="AO60" s="462"/>
      <c r="AP60" s="462"/>
      <c r="BC60" s="307"/>
      <c r="BD60" s="350"/>
      <c r="BE60" s="155"/>
      <c r="BF60" s="155"/>
      <c r="BG60" s="155"/>
      <c r="BH60" s="307"/>
      <c r="BI60" s="307"/>
      <c r="BJ60" s="307"/>
      <c r="BK60" s="307"/>
      <c r="BL60" s="307"/>
      <c r="BM60" s="307"/>
    </row>
    <row r="61" spans="1:65" ht="15.75" customHeight="1">
      <c r="A61" s="467"/>
      <c r="B61" s="514"/>
      <c r="C61" s="424"/>
      <c r="D61" s="514"/>
      <c r="E61" s="419"/>
      <c r="F61" s="447"/>
      <c r="G61" s="419"/>
      <c r="H61" s="467"/>
      <c r="I61" s="467"/>
      <c r="J61" s="469"/>
      <c r="K61" s="312"/>
      <c r="L61" s="418"/>
      <c r="M61" s="418"/>
      <c r="N61" s="467"/>
      <c r="O61" s="421"/>
      <c r="P61" s="421"/>
      <c r="Q61" s="418"/>
      <c r="R61" s="418"/>
      <c r="S61" s="418"/>
      <c r="T61" s="418"/>
      <c r="U61" s="418"/>
      <c r="V61" s="418"/>
      <c r="W61" s="418"/>
      <c r="X61" s="418"/>
      <c r="Y61" s="418"/>
      <c r="Z61" s="418"/>
      <c r="AA61" s="418"/>
      <c r="AB61" s="418"/>
      <c r="AC61" s="418"/>
      <c r="AD61" s="418"/>
      <c r="AE61" s="418"/>
      <c r="AF61" s="418"/>
      <c r="AG61" s="418"/>
      <c r="AH61" s="418"/>
      <c r="AI61" s="418"/>
      <c r="AJ61" s="493"/>
      <c r="AK61" s="418"/>
      <c r="AL61" s="418"/>
      <c r="AM61" s="418"/>
      <c r="AN61" s="462"/>
      <c r="AO61" s="462"/>
      <c r="AP61" s="462"/>
      <c r="BC61" s="307"/>
      <c r="BD61" s="307"/>
      <c r="BH61" s="307"/>
      <c r="BI61" s="307"/>
      <c r="BJ61" s="307"/>
      <c r="BK61" s="307"/>
      <c r="BL61" s="307"/>
      <c r="BM61" s="307"/>
    </row>
    <row r="62" spans="1:65" ht="15.75" customHeight="1">
      <c r="A62" s="467"/>
      <c r="B62" s="514"/>
      <c r="C62" s="424"/>
      <c r="D62" s="514"/>
      <c r="E62" s="419"/>
      <c r="F62" s="447"/>
      <c r="G62" s="419"/>
      <c r="H62" s="467"/>
      <c r="I62" s="467"/>
      <c r="J62" s="469"/>
      <c r="K62" s="312"/>
      <c r="L62" s="418"/>
      <c r="M62" s="418"/>
      <c r="N62" s="467"/>
      <c r="O62" s="421"/>
      <c r="P62" s="421"/>
      <c r="Q62" s="418"/>
      <c r="R62" s="418"/>
      <c r="S62" s="418"/>
      <c r="T62" s="418"/>
      <c r="U62" s="418"/>
      <c r="V62" s="418"/>
      <c r="W62" s="418"/>
      <c r="X62" s="418"/>
      <c r="Y62" s="418"/>
      <c r="Z62" s="418"/>
      <c r="AA62" s="418"/>
      <c r="AB62" s="418"/>
      <c r="AC62" s="418"/>
      <c r="AD62" s="418"/>
      <c r="AE62" s="418"/>
      <c r="AF62" s="418"/>
      <c r="AG62" s="418"/>
      <c r="AH62" s="418"/>
      <c r="AI62" s="418"/>
      <c r="AJ62" s="493"/>
      <c r="AK62" s="418"/>
      <c r="AL62" s="418"/>
      <c r="AM62" s="418"/>
      <c r="AN62" s="462"/>
      <c r="AO62" s="462"/>
      <c r="AP62" s="462"/>
      <c r="BF62" s="155"/>
      <c r="BG62" s="155"/>
      <c r="BH62" s="307"/>
      <c r="BI62" s="307"/>
      <c r="BJ62" s="307"/>
      <c r="BK62" s="307"/>
      <c r="BL62" s="307"/>
      <c r="BM62" s="307"/>
    </row>
    <row r="63" spans="1:65" ht="15.75" customHeight="1">
      <c r="A63" s="467"/>
      <c r="B63" s="514"/>
      <c r="C63" s="424"/>
      <c r="D63" s="514"/>
      <c r="E63" s="419"/>
      <c r="F63" s="447"/>
      <c r="G63" s="419"/>
      <c r="H63" s="467"/>
      <c r="I63" s="467"/>
      <c r="J63" s="469"/>
      <c r="K63" s="312"/>
      <c r="L63" s="418"/>
      <c r="M63" s="418"/>
      <c r="N63" s="467"/>
      <c r="O63" s="421"/>
      <c r="P63" s="421"/>
      <c r="Q63" s="418"/>
      <c r="R63" s="418"/>
      <c r="S63" s="418"/>
      <c r="T63" s="418"/>
      <c r="U63" s="418"/>
      <c r="V63" s="418"/>
      <c r="W63" s="418"/>
      <c r="X63" s="418"/>
      <c r="Y63" s="418"/>
      <c r="Z63" s="418"/>
      <c r="AA63" s="418"/>
      <c r="AB63" s="418"/>
      <c r="AC63" s="418"/>
      <c r="AD63" s="418"/>
      <c r="AE63" s="418"/>
      <c r="AF63" s="418"/>
      <c r="AG63" s="418"/>
      <c r="AH63" s="418"/>
      <c r="AI63" s="418"/>
      <c r="AJ63" s="493"/>
      <c r="AK63" s="418"/>
      <c r="AL63" s="418"/>
      <c r="AM63" s="418"/>
      <c r="AN63" s="462"/>
      <c r="AO63" s="462"/>
      <c r="AP63" s="462"/>
      <c r="BF63" s="155"/>
      <c r="BG63" s="155"/>
      <c r="BH63" s="307"/>
      <c r="BI63" s="307"/>
      <c r="BJ63" s="307"/>
      <c r="BK63" s="307"/>
      <c r="BL63" s="307"/>
      <c r="BM63" s="307"/>
    </row>
    <row r="64" spans="1:65" ht="15.75" customHeight="1">
      <c r="A64" s="467"/>
      <c r="B64" s="514"/>
      <c r="C64" s="424"/>
      <c r="D64" s="514"/>
      <c r="E64" s="419"/>
      <c r="F64" s="447"/>
      <c r="G64" s="419"/>
      <c r="H64" s="467"/>
      <c r="I64" s="467"/>
      <c r="J64" s="469"/>
      <c r="K64" s="312"/>
      <c r="L64" s="418"/>
      <c r="M64" s="418"/>
      <c r="N64" s="467"/>
      <c r="O64" s="421"/>
      <c r="P64" s="421"/>
      <c r="Q64" s="418"/>
      <c r="R64" s="418"/>
      <c r="S64" s="418"/>
      <c r="T64" s="418"/>
      <c r="U64" s="418"/>
      <c r="V64" s="418"/>
      <c r="W64" s="418"/>
      <c r="X64" s="418"/>
      <c r="Y64" s="418"/>
      <c r="Z64" s="418"/>
      <c r="AA64" s="418"/>
      <c r="AB64" s="418"/>
      <c r="AC64" s="418"/>
      <c r="AD64" s="418"/>
      <c r="AE64" s="418"/>
      <c r="AF64" s="418"/>
      <c r="AG64" s="418"/>
      <c r="AH64" s="418"/>
      <c r="AI64" s="418"/>
      <c r="AJ64" s="418"/>
      <c r="AK64" s="418"/>
      <c r="AL64" s="418"/>
      <c r="AM64" s="418"/>
      <c r="AN64" s="462"/>
      <c r="AO64" s="462"/>
      <c r="AP64" s="462"/>
      <c r="BF64" s="155"/>
      <c r="BG64" s="155"/>
      <c r="BH64" s="307"/>
      <c r="BI64" s="307"/>
      <c r="BJ64" s="307"/>
      <c r="BK64" s="307"/>
      <c r="BL64" s="307"/>
      <c r="BM64" s="307"/>
    </row>
    <row r="65" spans="1:59" ht="15.75" customHeight="1">
      <c r="A65" s="467"/>
      <c r="B65" s="514"/>
      <c r="C65" s="424"/>
      <c r="D65" s="514"/>
      <c r="E65" s="419"/>
      <c r="F65" s="447"/>
      <c r="G65" s="419"/>
      <c r="H65" s="467"/>
      <c r="I65" s="467"/>
      <c r="J65" s="469"/>
      <c r="K65" s="312"/>
      <c r="L65" s="418"/>
      <c r="M65" s="418"/>
      <c r="N65" s="467"/>
      <c r="O65" s="421"/>
      <c r="P65" s="421"/>
      <c r="Q65" s="418"/>
      <c r="R65" s="418"/>
      <c r="S65" s="418"/>
      <c r="T65" s="418"/>
      <c r="U65" s="418"/>
      <c r="V65" s="418"/>
      <c r="W65" s="418"/>
      <c r="X65" s="418"/>
      <c r="Y65" s="418"/>
      <c r="Z65" s="418"/>
      <c r="AA65" s="418"/>
      <c r="AB65" s="418"/>
      <c r="AC65" s="418"/>
      <c r="AD65" s="418"/>
      <c r="AE65" s="418"/>
      <c r="AF65" s="418"/>
      <c r="AG65" s="418"/>
      <c r="AH65" s="418"/>
      <c r="AI65" s="418"/>
      <c r="AJ65" s="418"/>
      <c r="AK65" s="418"/>
      <c r="AL65" s="418"/>
      <c r="AM65" s="418"/>
      <c r="AN65" s="462"/>
      <c r="AO65" s="462"/>
      <c r="AP65" s="462"/>
      <c r="BC65" s="307"/>
      <c r="BD65" s="307"/>
      <c r="BF65" s="155"/>
      <c r="BG65" s="155"/>
    </row>
    <row r="66" spans="1:59" ht="15.75" customHeight="1">
      <c r="A66" s="467"/>
      <c r="B66" s="514"/>
      <c r="C66" s="424"/>
      <c r="D66" s="514"/>
      <c r="E66" s="419"/>
      <c r="F66" s="447"/>
      <c r="G66" s="419"/>
      <c r="H66" s="421"/>
      <c r="I66" s="429"/>
      <c r="J66" s="469"/>
      <c r="K66" s="312"/>
      <c r="L66" s="418"/>
      <c r="M66" s="418"/>
      <c r="N66" s="312"/>
      <c r="O66" s="421"/>
      <c r="P66" s="421"/>
      <c r="Q66" s="418"/>
      <c r="R66" s="418"/>
      <c r="S66" s="418"/>
      <c r="T66" s="418"/>
      <c r="U66" s="418"/>
      <c r="V66" s="418"/>
      <c r="W66" s="418"/>
      <c r="X66" s="418"/>
      <c r="Y66" s="418"/>
      <c r="Z66" s="418"/>
      <c r="AA66" s="418"/>
      <c r="AB66" s="418"/>
      <c r="AC66" s="418"/>
      <c r="AD66" s="418"/>
      <c r="AE66" s="418"/>
      <c r="AF66" s="418"/>
      <c r="AG66" s="418"/>
      <c r="AH66" s="418"/>
      <c r="AI66" s="418"/>
      <c r="AJ66" s="418"/>
      <c r="AK66" s="418"/>
      <c r="AL66" s="418"/>
      <c r="AM66" s="418"/>
      <c r="AN66" s="462"/>
      <c r="AO66" s="462"/>
      <c r="AP66" s="462"/>
      <c r="BC66" s="307"/>
      <c r="BD66" s="307"/>
    </row>
    <row r="67" spans="1:59" ht="15.75" customHeight="1">
      <c r="A67" s="467"/>
      <c r="B67" s="514"/>
      <c r="C67" s="424"/>
      <c r="D67" s="514"/>
      <c r="E67" s="419"/>
      <c r="F67" s="447"/>
      <c r="G67" s="419"/>
      <c r="H67" s="421"/>
      <c r="I67" s="467"/>
      <c r="J67" s="469"/>
      <c r="K67" s="312"/>
      <c r="L67" s="418"/>
      <c r="M67" s="418"/>
      <c r="N67" s="467"/>
      <c r="O67" s="421"/>
      <c r="P67" s="421"/>
      <c r="Q67" s="418"/>
      <c r="R67" s="418"/>
      <c r="S67" s="418"/>
      <c r="T67" s="418"/>
      <c r="U67" s="418"/>
      <c r="V67" s="418"/>
      <c r="W67" s="418"/>
      <c r="X67" s="418"/>
      <c r="Y67" s="418"/>
      <c r="Z67" s="418"/>
      <c r="AA67" s="418"/>
      <c r="AB67" s="418"/>
      <c r="AC67" s="418"/>
      <c r="AD67" s="418"/>
      <c r="AE67" s="418"/>
      <c r="AF67" s="418"/>
      <c r="AG67" s="418"/>
      <c r="AH67" s="418"/>
      <c r="AI67" s="418"/>
      <c r="AJ67" s="418"/>
      <c r="AK67" s="418"/>
      <c r="AL67" s="418"/>
      <c r="AM67" s="418"/>
      <c r="AN67" s="462"/>
      <c r="AO67" s="462"/>
      <c r="AP67" s="462"/>
      <c r="BC67" s="307"/>
      <c r="BD67" s="307"/>
    </row>
    <row r="68" spans="1:59" ht="15.75" customHeight="1">
      <c r="A68" s="467"/>
      <c r="B68" s="514"/>
      <c r="C68" s="424"/>
      <c r="D68" s="514"/>
      <c r="E68" s="419"/>
      <c r="F68" s="447"/>
      <c r="G68" s="419"/>
      <c r="H68" s="467"/>
      <c r="I68" s="468"/>
      <c r="J68" s="469"/>
      <c r="K68" s="312"/>
      <c r="L68" s="418"/>
      <c r="M68" s="418"/>
      <c r="N68" s="312"/>
      <c r="O68" s="421"/>
      <c r="P68" s="421"/>
      <c r="Q68" s="418"/>
      <c r="R68" s="418"/>
      <c r="S68" s="418"/>
      <c r="T68" s="418"/>
      <c r="U68" s="418"/>
      <c r="V68" s="418"/>
      <c r="W68" s="418"/>
      <c r="X68" s="418"/>
      <c r="Y68" s="418"/>
      <c r="Z68" s="418"/>
      <c r="AA68" s="418"/>
      <c r="AB68" s="418"/>
      <c r="AC68" s="418"/>
      <c r="AD68" s="418"/>
      <c r="AE68" s="418"/>
      <c r="AF68" s="418"/>
      <c r="AG68" s="418"/>
      <c r="AH68" s="418"/>
      <c r="AI68" s="418"/>
      <c r="AJ68" s="418"/>
      <c r="AK68" s="418"/>
      <c r="AL68" s="418"/>
      <c r="AM68" s="418"/>
      <c r="AN68" s="462"/>
      <c r="AO68" s="462"/>
      <c r="AP68" s="462"/>
      <c r="BC68" s="307"/>
      <c r="BD68" s="307"/>
    </row>
    <row r="69" spans="1:59" ht="15.75" customHeight="1">
      <c r="A69" s="467"/>
      <c r="B69" s="514"/>
      <c r="C69" s="424"/>
      <c r="D69" s="514"/>
      <c r="E69" s="419"/>
      <c r="F69" s="447"/>
      <c r="G69" s="419"/>
      <c r="H69" s="467"/>
      <c r="I69" s="467"/>
      <c r="J69" s="469"/>
      <c r="K69" s="312"/>
      <c r="L69" s="418"/>
      <c r="M69" s="418"/>
      <c r="N69" s="467"/>
      <c r="O69" s="421"/>
      <c r="P69" s="421"/>
      <c r="Q69" s="418"/>
      <c r="R69" s="418"/>
      <c r="S69" s="418"/>
      <c r="T69" s="418"/>
      <c r="U69" s="418"/>
      <c r="V69" s="418"/>
      <c r="W69" s="418"/>
      <c r="X69" s="418"/>
      <c r="Y69" s="418"/>
      <c r="Z69" s="418"/>
      <c r="AA69" s="418"/>
      <c r="AB69" s="418"/>
      <c r="AC69" s="418"/>
      <c r="AD69" s="418"/>
      <c r="AE69" s="418"/>
      <c r="AF69" s="418"/>
      <c r="AG69" s="418"/>
      <c r="AH69" s="418"/>
      <c r="AI69" s="418"/>
      <c r="AJ69" s="418"/>
      <c r="AK69" s="418"/>
      <c r="AL69" s="418"/>
      <c r="AM69" s="418"/>
      <c r="AN69" s="462"/>
      <c r="AO69" s="462"/>
      <c r="AP69" s="462"/>
      <c r="BC69" s="307"/>
      <c r="BD69" s="307"/>
    </row>
    <row r="70" spans="1:59" ht="15.75" customHeight="1">
      <c r="A70" s="467"/>
      <c r="B70" s="514"/>
      <c r="C70" s="424"/>
      <c r="D70" s="514"/>
      <c r="E70" s="419"/>
      <c r="F70" s="447"/>
      <c r="G70" s="419"/>
      <c r="H70" s="312"/>
      <c r="I70" s="312"/>
      <c r="J70" s="1112"/>
      <c r="K70" s="312"/>
      <c r="L70" s="418"/>
      <c r="M70" s="418"/>
      <c r="N70" s="467"/>
      <c r="O70" s="421"/>
      <c r="P70" s="421"/>
      <c r="Q70" s="418"/>
      <c r="R70" s="418"/>
      <c r="S70" s="418"/>
      <c r="T70" s="418"/>
      <c r="U70" s="418"/>
      <c r="V70" s="418"/>
      <c r="W70" s="418"/>
      <c r="X70" s="418"/>
      <c r="Y70" s="418"/>
      <c r="Z70" s="418"/>
      <c r="AA70" s="418"/>
      <c r="AB70" s="418"/>
      <c r="AC70" s="418"/>
      <c r="AD70" s="418"/>
      <c r="AE70" s="418"/>
      <c r="AF70" s="418"/>
      <c r="AG70" s="418"/>
      <c r="AH70" s="418"/>
      <c r="AI70" s="418"/>
      <c r="AJ70" s="418"/>
      <c r="AK70" s="418"/>
      <c r="AL70" s="418"/>
      <c r="AM70" s="418"/>
      <c r="AN70" s="462"/>
      <c r="AO70" s="462"/>
      <c r="AP70" s="462"/>
      <c r="BC70" s="307"/>
      <c r="BD70" s="307"/>
    </row>
    <row r="71" spans="1:59" ht="15.75" customHeight="1">
      <c r="A71" s="467"/>
      <c r="B71" s="514"/>
      <c r="C71" s="424"/>
      <c r="D71" s="514"/>
      <c r="E71" s="419"/>
      <c r="F71" s="447"/>
      <c r="G71" s="419"/>
      <c r="H71" s="312"/>
      <c r="I71" s="312"/>
      <c r="J71" s="1112"/>
      <c r="K71" s="312"/>
      <c r="L71" s="418"/>
      <c r="M71" s="418"/>
      <c r="N71" s="467"/>
      <c r="O71" s="421"/>
      <c r="P71" s="421"/>
      <c r="Q71" s="418"/>
      <c r="R71" s="418"/>
      <c r="S71" s="418"/>
      <c r="T71" s="418"/>
      <c r="U71" s="418"/>
      <c r="V71" s="418"/>
      <c r="W71" s="418"/>
      <c r="X71" s="418"/>
      <c r="Y71" s="418"/>
      <c r="Z71" s="418"/>
      <c r="AA71" s="418"/>
      <c r="AB71" s="418"/>
      <c r="AC71" s="418"/>
      <c r="AD71" s="418"/>
      <c r="AE71" s="418"/>
      <c r="AF71" s="418"/>
      <c r="AG71" s="418"/>
      <c r="AH71" s="418"/>
      <c r="AI71" s="418"/>
      <c r="AJ71" s="418"/>
      <c r="AK71" s="418"/>
      <c r="AL71" s="418"/>
      <c r="AM71" s="418"/>
      <c r="AN71" s="462"/>
      <c r="AO71" s="462"/>
      <c r="AP71" s="462"/>
      <c r="BC71" s="307"/>
      <c r="BD71" s="307"/>
    </row>
    <row r="72" spans="1:59" ht="15.75" customHeight="1">
      <c r="A72" s="467"/>
      <c r="B72" s="514"/>
      <c r="C72" s="424"/>
      <c r="D72" s="514"/>
      <c r="E72" s="419"/>
      <c r="F72" s="447"/>
      <c r="G72" s="419"/>
      <c r="H72" s="421"/>
      <c r="I72" s="421"/>
      <c r="J72" s="492"/>
      <c r="K72" s="418"/>
      <c r="L72" s="418"/>
      <c r="M72" s="418"/>
      <c r="N72" s="467"/>
      <c r="O72" s="421"/>
      <c r="P72" s="421"/>
      <c r="Q72" s="418"/>
      <c r="R72" s="418"/>
      <c r="S72" s="418"/>
      <c r="T72" s="418"/>
      <c r="U72" s="418"/>
      <c r="V72" s="418"/>
      <c r="W72" s="418"/>
      <c r="X72" s="418"/>
      <c r="Y72" s="418"/>
      <c r="Z72" s="418"/>
      <c r="AA72" s="418"/>
      <c r="AB72" s="418"/>
      <c r="AC72" s="418"/>
      <c r="AD72" s="418"/>
      <c r="AE72" s="418"/>
      <c r="AF72" s="418"/>
      <c r="AG72" s="418"/>
      <c r="AH72" s="418"/>
      <c r="AI72" s="418"/>
      <c r="AJ72" s="418"/>
      <c r="AK72" s="418"/>
      <c r="AL72" s="418"/>
      <c r="AM72" s="418"/>
      <c r="AN72" s="462"/>
      <c r="AO72" s="462"/>
      <c r="AP72" s="462"/>
      <c r="BC72" s="307"/>
      <c r="BD72" s="307"/>
    </row>
    <row r="73" spans="1:59" ht="15.75" customHeight="1">
      <c r="A73" s="467"/>
      <c r="B73" s="514"/>
      <c r="C73" s="424"/>
      <c r="D73" s="514"/>
      <c r="E73" s="419"/>
      <c r="F73" s="447"/>
      <c r="G73" s="419"/>
      <c r="H73" s="421"/>
      <c r="I73" s="421"/>
      <c r="J73" s="492"/>
      <c r="K73" s="418"/>
      <c r="L73" s="418"/>
      <c r="M73" s="418"/>
      <c r="N73" s="467"/>
      <c r="O73" s="421"/>
      <c r="P73" s="421"/>
      <c r="Q73" s="418"/>
      <c r="R73" s="418"/>
      <c r="S73" s="418"/>
      <c r="T73" s="418"/>
      <c r="U73" s="418"/>
      <c r="V73" s="418"/>
      <c r="W73" s="418"/>
      <c r="X73" s="418"/>
      <c r="Y73" s="418"/>
      <c r="Z73" s="418"/>
      <c r="AA73" s="418"/>
      <c r="AB73" s="418"/>
      <c r="AC73" s="418"/>
      <c r="AD73" s="418"/>
      <c r="AE73" s="418"/>
      <c r="AF73" s="418"/>
      <c r="AG73" s="418"/>
      <c r="AH73" s="418"/>
      <c r="AI73" s="418"/>
      <c r="AJ73" s="418"/>
      <c r="AK73" s="418"/>
      <c r="AL73" s="418"/>
      <c r="AM73" s="418"/>
      <c r="AN73" s="462"/>
      <c r="AO73" s="462"/>
      <c r="AP73" s="462"/>
      <c r="BC73" s="307"/>
      <c r="BD73" s="307"/>
    </row>
    <row r="74" spans="1:59" ht="15.75" customHeight="1">
      <c r="A74" s="467"/>
      <c r="B74" s="514"/>
      <c r="C74" s="424"/>
      <c r="D74" s="514"/>
      <c r="E74" s="419"/>
      <c r="F74" s="419"/>
      <c r="G74" s="419"/>
      <c r="H74" s="421"/>
      <c r="I74" s="421"/>
      <c r="J74" s="492"/>
      <c r="K74" s="418"/>
      <c r="L74" s="418"/>
      <c r="M74" s="418"/>
      <c r="N74" s="312"/>
      <c r="O74" s="421"/>
      <c r="P74" s="421"/>
      <c r="Q74" s="418"/>
      <c r="R74" s="418"/>
      <c r="S74" s="418"/>
      <c r="T74" s="418"/>
      <c r="U74" s="418"/>
      <c r="V74" s="418"/>
      <c r="W74" s="418"/>
      <c r="X74" s="418"/>
      <c r="Y74" s="418"/>
      <c r="Z74" s="418"/>
      <c r="AA74" s="418"/>
      <c r="AB74" s="418"/>
      <c r="AC74" s="418"/>
      <c r="AD74" s="418"/>
      <c r="AE74" s="418"/>
      <c r="AF74" s="418"/>
      <c r="AG74" s="418"/>
      <c r="AH74" s="418"/>
      <c r="AI74" s="418"/>
      <c r="AJ74" s="418"/>
      <c r="AK74" s="418"/>
      <c r="AL74" s="418"/>
      <c r="AM74" s="418"/>
      <c r="AN74" s="462"/>
      <c r="AO74" s="462"/>
      <c r="AP74" s="462"/>
      <c r="BC74" s="307"/>
      <c r="BD74" s="307"/>
    </row>
    <row r="75" spans="1:59" ht="15.75" customHeight="1">
      <c r="A75" s="467"/>
      <c r="B75" s="514"/>
      <c r="C75" s="424"/>
      <c r="D75" s="514"/>
      <c r="E75" s="419"/>
      <c r="F75" s="419"/>
      <c r="G75" s="419"/>
      <c r="H75" s="421"/>
      <c r="I75" s="421"/>
      <c r="J75" s="492"/>
      <c r="K75" s="418"/>
      <c r="L75" s="418"/>
      <c r="M75" s="418"/>
      <c r="N75" s="467"/>
      <c r="O75" s="421"/>
      <c r="P75" s="421"/>
      <c r="Q75" s="418"/>
      <c r="R75" s="418"/>
      <c r="S75" s="418"/>
      <c r="T75" s="418"/>
      <c r="U75" s="418"/>
      <c r="V75" s="418"/>
      <c r="W75" s="418"/>
      <c r="X75" s="418"/>
      <c r="Y75" s="418"/>
      <c r="Z75" s="418"/>
      <c r="AA75" s="418"/>
      <c r="AB75" s="418"/>
      <c r="AC75" s="418"/>
      <c r="AD75" s="418"/>
      <c r="AE75" s="418"/>
      <c r="AF75" s="418"/>
      <c r="AG75" s="418"/>
      <c r="AH75" s="418"/>
      <c r="AI75" s="418"/>
      <c r="AJ75" s="418"/>
      <c r="AK75" s="418"/>
      <c r="AL75" s="418"/>
      <c r="AM75" s="418"/>
      <c r="AN75" s="462"/>
      <c r="AO75" s="462"/>
      <c r="AP75" s="462"/>
      <c r="BC75" s="307"/>
      <c r="BD75" s="307"/>
    </row>
    <row r="76" spans="1:59" ht="15.75" customHeight="1">
      <c r="A76" s="467"/>
      <c r="B76" s="514"/>
      <c r="C76" s="424"/>
      <c r="D76" s="514"/>
      <c r="E76" s="419"/>
      <c r="F76" s="419"/>
      <c r="G76" s="419"/>
      <c r="H76" s="421"/>
      <c r="I76" s="421"/>
      <c r="J76" s="492"/>
      <c r="K76" s="418"/>
      <c r="L76" s="418"/>
      <c r="M76" s="418"/>
      <c r="N76" s="312"/>
      <c r="O76" s="421"/>
      <c r="P76" s="421"/>
      <c r="Q76" s="418"/>
      <c r="R76" s="418"/>
      <c r="S76" s="418"/>
      <c r="T76" s="418"/>
      <c r="U76" s="418"/>
      <c r="V76" s="418"/>
      <c r="W76" s="418"/>
      <c r="X76" s="418"/>
      <c r="Y76" s="418"/>
      <c r="Z76" s="418"/>
      <c r="AA76" s="418"/>
      <c r="AB76" s="418"/>
      <c r="AC76" s="418"/>
      <c r="AD76" s="418"/>
      <c r="AE76" s="418"/>
      <c r="AF76" s="418"/>
      <c r="AG76" s="418"/>
      <c r="AH76" s="418"/>
      <c r="AI76" s="418"/>
      <c r="AJ76" s="418"/>
      <c r="AK76" s="418"/>
      <c r="AL76" s="418"/>
      <c r="AM76" s="418"/>
      <c r="AN76" s="462"/>
      <c r="AO76" s="462"/>
      <c r="AP76" s="462"/>
    </row>
    <row r="77" spans="1:59" ht="15.75" customHeight="1">
      <c r="A77" s="467"/>
      <c r="B77" s="514"/>
      <c r="C77" s="424"/>
      <c r="D77" s="514"/>
      <c r="E77" s="419"/>
      <c r="F77" s="419"/>
      <c r="G77" s="419"/>
      <c r="H77" s="421"/>
      <c r="I77" s="421"/>
      <c r="J77" s="492"/>
      <c r="K77" s="418"/>
      <c r="L77" s="418"/>
      <c r="M77" s="418"/>
      <c r="N77" s="467"/>
      <c r="O77" s="312"/>
      <c r="P77" s="312"/>
      <c r="Q77" s="418"/>
      <c r="R77" s="418"/>
      <c r="S77" s="418"/>
      <c r="T77" s="418"/>
      <c r="U77" s="418"/>
      <c r="V77" s="418"/>
      <c r="W77" s="418"/>
      <c r="X77" s="418"/>
      <c r="Y77" s="418"/>
      <c r="Z77" s="418"/>
      <c r="AA77" s="418"/>
      <c r="AB77" s="418"/>
      <c r="AC77" s="418"/>
      <c r="AD77" s="418"/>
      <c r="AE77" s="418"/>
      <c r="AF77" s="418"/>
      <c r="AG77" s="418"/>
      <c r="AH77" s="418"/>
      <c r="AI77" s="418"/>
      <c r="AJ77" s="418"/>
      <c r="AK77" s="418"/>
      <c r="AL77" s="418"/>
      <c r="AM77" s="418"/>
      <c r="AN77" s="462"/>
      <c r="AO77" s="462"/>
      <c r="AP77" s="462"/>
    </row>
    <row r="78" spans="1:59" ht="15.75" customHeight="1">
      <c r="A78" s="467"/>
      <c r="B78" s="514"/>
      <c r="C78" s="424"/>
      <c r="D78" s="514"/>
      <c r="E78" s="419"/>
      <c r="F78" s="419"/>
      <c r="G78" s="419"/>
      <c r="H78" s="421"/>
      <c r="I78" s="421"/>
      <c r="J78" s="492"/>
      <c r="K78" s="418"/>
      <c r="L78" s="418"/>
      <c r="M78" s="418"/>
      <c r="N78" s="467"/>
      <c r="O78" s="421"/>
      <c r="P78" s="421"/>
      <c r="Q78" s="418"/>
      <c r="R78" s="418"/>
      <c r="S78" s="418"/>
      <c r="T78" s="418"/>
      <c r="U78" s="418"/>
      <c r="V78" s="418"/>
      <c r="W78" s="418"/>
      <c r="X78" s="418"/>
      <c r="Y78" s="418"/>
      <c r="Z78" s="418"/>
      <c r="AA78" s="418"/>
      <c r="AB78" s="418"/>
      <c r="AC78" s="418"/>
      <c r="AD78" s="418"/>
      <c r="AE78" s="418"/>
      <c r="AF78" s="418"/>
      <c r="AG78" s="418"/>
      <c r="AH78" s="418"/>
      <c r="AI78" s="418"/>
      <c r="AJ78" s="418"/>
      <c r="AK78" s="418"/>
      <c r="AL78" s="418"/>
      <c r="AM78" s="418"/>
      <c r="AN78" s="462"/>
      <c r="AO78" s="462"/>
      <c r="AP78" s="462"/>
    </row>
    <row r="79" spans="1:59" ht="15.75" customHeight="1">
      <c r="A79" s="467"/>
      <c r="B79" s="514"/>
      <c r="C79" s="424"/>
      <c r="D79" s="514"/>
      <c r="E79" s="419"/>
      <c r="F79" s="419"/>
      <c r="G79" s="419"/>
      <c r="H79" s="421"/>
      <c r="I79" s="421"/>
      <c r="J79" s="492"/>
      <c r="K79" s="418"/>
      <c r="L79" s="418"/>
      <c r="M79" s="418"/>
      <c r="N79" s="467"/>
      <c r="O79" s="312"/>
      <c r="P79" s="312"/>
      <c r="Q79" s="418"/>
      <c r="R79" s="418"/>
      <c r="S79" s="418"/>
      <c r="T79" s="418"/>
      <c r="U79" s="418"/>
      <c r="V79" s="418"/>
      <c r="W79" s="418"/>
      <c r="X79" s="418"/>
      <c r="Y79" s="418"/>
      <c r="Z79" s="418"/>
      <c r="AA79" s="418"/>
      <c r="AB79" s="418"/>
      <c r="AC79" s="418"/>
      <c r="AD79" s="418"/>
      <c r="AE79" s="418"/>
      <c r="AF79" s="418"/>
      <c r="AG79" s="418"/>
      <c r="AH79" s="418"/>
      <c r="AI79" s="418"/>
      <c r="AJ79" s="418"/>
      <c r="AK79" s="418"/>
      <c r="AL79" s="418"/>
      <c r="AM79" s="418"/>
      <c r="AN79" s="462"/>
      <c r="AO79" s="462"/>
      <c r="AP79" s="462"/>
    </row>
    <row r="80" spans="1:59" ht="15.75" customHeight="1">
      <c r="A80" s="467"/>
      <c r="B80" s="514"/>
      <c r="C80" s="424"/>
      <c r="D80" s="514"/>
      <c r="E80" s="419"/>
      <c r="F80" s="419"/>
      <c r="G80" s="419"/>
      <c r="H80" s="421"/>
      <c r="I80" s="425"/>
      <c r="J80" s="492"/>
      <c r="K80" s="418"/>
      <c r="L80" s="418"/>
      <c r="M80" s="418"/>
      <c r="N80" s="467"/>
      <c r="O80" s="421"/>
      <c r="P80" s="421"/>
      <c r="Q80" s="418"/>
      <c r="R80" s="418"/>
      <c r="S80" s="418"/>
      <c r="T80" s="418"/>
      <c r="U80" s="418"/>
      <c r="V80" s="418"/>
      <c r="W80" s="418"/>
      <c r="X80" s="418"/>
      <c r="Y80" s="418"/>
      <c r="Z80" s="418"/>
      <c r="AA80" s="418"/>
      <c r="AB80" s="418"/>
      <c r="AC80" s="418"/>
      <c r="AD80" s="418"/>
      <c r="AE80" s="418"/>
      <c r="AF80" s="418"/>
      <c r="AG80" s="418"/>
      <c r="AH80" s="418"/>
      <c r="AI80" s="418"/>
      <c r="AJ80" s="418"/>
      <c r="AK80" s="418"/>
      <c r="AL80" s="418"/>
      <c r="AM80" s="418"/>
      <c r="AN80" s="462"/>
      <c r="AO80" s="462"/>
      <c r="AP80" s="462"/>
    </row>
    <row r="81" spans="1:59" ht="15.75" customHeight="1">
      <c r="A81" s="467"/>
      <c r="B81" s="514"/>
      <c r="C81" s="424"/>
      <c r="D81" s="514"/>
      <c r="E81" s="419"/>
      <c r="F81" s="419"/>
      <c r="G81" s="419"/>
      <c r="H81" s="421"/>
      <c r="I81" s="467"/>
      <c r="J81" s="492"/>
      <c r="K81" s="418"/>
      <c r="L81" s="418"/>
      <c r="M81" s="418"/>
      <c r="N81" s="467"/>
      <c r="O81" s="421"/>
      <c r="P81" s="421"/>
      <c r="Q81" s="418"/>
      <c r="R81" s="418"/>
      <c r="S81" s="418"/>
      <c r="T81" s="418"/>
      <c r="U81" s="418"/>
      <c r="V81" s="418"/>
      <c r="W81" s="418"/>
      <c r="X81" s="418"/>
      <c r="Y81" s="418"/>
      <c r="Z81" s="418"/>
      <c r="AA81" s="418"/>
      <c r="AB81" s="418"/>
      <c r="AC81" s="418"/>
      <c r="AD81" s="418"/>
      <c r="AE81" s="418"/>
      <c r="AF81" s="418"/>
      <c r="AG81" s="418"/>
      <c r="AH81" s="418"/>
      <c r="AI81" s="418"/>
      <c r="AJ81" s="418"/>
      <c r="AK81" s="418"/>
      <c r="AL81" s="418"/>
      <c r="AM81" s="418"/>
      <c r="AN81" s="462"/>
      <c r="AO81" s="462"/>
      <c r="AP81" s="462"/>
    </row>
    <row r="82" spans="1:59" ht="15.75" customHeight="1">
      <c r="A82" s="467"/>
      <c r="B82" s="514"/>
      <c r="C82" s="424"/>
      <c r="D82" s="514"/>
      <c r="E82" s="419"/>
      <c r="F82" s="419"/>
      <c r="G82" s="419"/>
      <c r="H82" s="421"/>
      <c r="I82" s="421"/>
      <c r="J82" s="492"/>
      <c r="K82" s="418"/>
      <c r="L82" s="418"/>
      <c r="M82" s="418"/>
      <c r="N82" s="467"/>
      <c r="O82" s="421"/>
      <c r="P82" s="421"/>
      <c r="Q82" s="418"/>
      <c r="R82" s="418"/>
      <c r="S82" s="418"/>
      <c r="T82" s="418"/>
      <c r="U82" s="418"/>
      <c r="V82" s="418"/>
      <c r="W82" s="418"/>
      <c r="X82" s="418"/>
      <c r="Y82" s="418"/>
      <c r="Z82" s="418"/>
      <c r="AA82" s="418"/>
      <c r="AB82" s="418"/>
      <c r="AC82" s="418"/>
      <c r="AD82" s="418"/>
      <c r="AE82" s="418"/>
      <c r="AF82" s="418"/>
      <c r="AG82" s="418"/>
      <c r="AH82" s="418"/>
      <c r="AI82" s="418"/>
      <c r="AJ82" s="418"/>
      <c r="AK82" s="418"/>
      <c r="AL82" s="418"/>
      <c r="AM82" s="418"/>
      <c r="AN82" s="462"/>
      <c r="AO82" s="462"/>
      <c r="AP82" s="462"/>
    </row>
    <row r="83" spans="1:59" ht="15.75" customHeight="1">
      <c r="A83" s="467"/>
      <c r="B83" s="514"/>
      <c r="C83" s="424"/>
      <c r="D83" s="514"/>
      <c r="E83" s="419"/>
      <c r="F83" s="419"/>
      <c r="G83" s="419"/>
      <c r="H83" s="421"/>
      <c r="I83" s="421"/>
      <c r="J83" s="492"/>
      <c r="K83" s="418"/>
      <c r="L83" s="418"/>
      <c r="M83" s="418"/>
      <c r="N83" s="467"/>
      <c r="O83" s="421"/>
      <c r="P83" s="421"/>
      <c r="Q83" s="418"/>
      <c r="R83" s="418"/>
      <c r="S83" s="418"/>
      <c r="T83" s="418"/>
      <c r="U83" s="418"/>
      <c r="V83" s="418"/>
      <c r="W83" s="418"/>
      <c r="X83" s="418"/>
      <c r="Y83" s="418"/>
      <c r="Z83" s="418"/>
      <c r="AA83" s="418"/>
      <c r="AB83" s="418"/>
      <c r="AC83" s="418"/>
      <c r="AD83" s="418"/>
      <c r="AE83" s="418"/>
      <c r="AF83" s="418"/>
      <c r="AG83" s="418"/>
      <c r="AH83" s="418"/>
      <c r="AI83" s="418"/>
      <c r="AJ83" s="418"/>
      <c r="AK83" s="418"/>
      <c r="AL83" s="418"/>
      <c r="AM83" s="418"/>
      <c r="AN83" s="462"/>
      <c r="AO83" s="462"/>
      <c r="AP83" s="462"/>
    </row>
    <row r="84" spans="1:59" ht="15.75" customHeight="1">
      <c r="A84" s="467"/>
      <c r="B84" s="514"/>
      <c r="C84" s="424"/>
      <c r="D84" s="514"/>
      <c r="E84" s="419"/>
      <c r="F84" s="419"/>
      <c r="G84" s="419"/>
      <c r="H84" s="421"/>
      <c r="I84" s="421"/>
      <c r="J84" s="492"/>
      <c r="K84" s="418"/>
      <c r="L84" s="418"/>
      <c r="M84" s="418"/>
      <c r="N84" s="312"/>
      <c r="O84" s="421"/>
      <c r="P84" s="421"/>
      <c r="Q84" s="418"/>
      <c r="R84" s="418"/>
      <c r="S84" s="418"/>
      <c r="T84" s="418"/>
      <c r="U84" s="418"/>
      <c r="V84" s="418"/>
      <c r="W84" s="418"/>
      <c r="X84" s="418"/>
      <c r="Y84" s="418"/>
      <c r="Z84" s="418"/>
      <c r="AA84" s="418"/>
      <c r="AB84" s="418"/>
      <c r="AC84" s="418"/>
      <c r="AD84" s="418"/>
      <c r="AE84" s="418"/>
      <c r="AF84" s="418"/>
      <c r="AG84" s="418"/>
      <c r="AH84" s="418"/>
      <c r="AI84" s="418"/>
      <c r="AJ84" s="418"/>
      <c r="AK84" s="418"/>
      <c r="AL84" s="418"/>
      <c r="AM84" s="418"/>
      <c r="AN84" s="462"/>
      <c r="AO84" s="462"/>
      <c r="AP84" s="462"/>
    </row>
    <row r="85" spans="1:59" ht="15.75" customHeight="1">
      <c r="A85" s="467"/>
      <c r="B85" s="514"/>
      <c r="C85" s="424"/>
      <c r="D85" s="514"/>
      <c r="E85" s="419"/>
      <c r="F85" s="419"/>
      <c r="G85" s="419"/>
      <c r="H85" s="421"/>
      <c r="I85" s="421"/>
      <c r="J85" s="492"/>
      <c r="K85" s="418"/>
      <c r="L85" s="418"/>
      <c r="M85" s="418"/>
      <c r="N85" s="467"/>
      <c r="O85" s="421"/>
      <c r="P85" s="421"/>
      <c r="Q85" s="418"/>
      <c r="R85" s="418"/>
      <c r="S85" s="418"/>
      <c r="T85" s="418"/>
      <c r="U85" s="418"/>
      <c r="V85" s="418"/>
      <c r="W85" s="418"/>
      <c r="X85" s="418"/>
      <c r="Y85" s="418"/>
      <c r="Z85" s="418"/>
      <c r="AA85" s="418"/>
      <c r="AB85" s="418"/>
      <c r="AC85" s="418"/>
      <c r="AD85" s="418"/>
      <c r="AE85" s="418"/>
      <c r="AF85" s="418"/>
      <c r="AG85" s="418"/>
      <c r="AH85" s="418"/>
      <c r="AI85" s="418"/>
      <c r="AJ85" s="418"/>
      <c r="AK85" s="418"/>
      <c r="AL85" s="418"/>
      <c r="AM85" s="418"/>
      <c r="AN85" s="462"/>
      <c r="AO85" s="462"/>
      <c r="AP85" s="462"/>
      <c r="BC85" s="307"/>
      <c r="BE85" s="362"/>
    </row>
    <row r="86" spans="1:59" ht="15.75" customHeight="1">
      <c r="A86" s="467"/>
      <c r="B86" s="514"/>
      <c r="C86" s="424"/>
      <c r="D86" s="514"/>
      <c r="E86" s="419"/>
      <c r="F86" s="419"/>
      <c r="G86" s="419"/>
      <c r="H86" s="421"/>
      <c r="I86" s="425"/>
      <c r="J86" s="492"/>
      <c r="K86" s="418"/>
      <c r="L86" s="418"/>
      <c r="M86" s="418"/>
      <c r="N86" s="467"/>
      <c r="O86" s="421"/>
      <c r="P86" s="421"/>
      <c r="Q86" s="418"/>
      <c r="R86" s="418"/>
      <c r="S86" s="418"/>
      <c r="T86" s="418"/>
      <c r="U86" s="418"/>
      <c r="V86" s="418"/>
      <c r="W86" s="418"/>
      <c r="X86" s="418"/>
      <c r="Y86" s="418"/>
      <c r="Z86" s="418"/>
      <c r="AA86" s="418"/>
      <c r="AB86" s="418"/>
      <c r="AC86" s="418"/>
      <c r="AD86" s="418"/>
      <c r="AE86" s="418"/>
      <c r="AF86" s="418"/>
      <c r="AG86" s="418"/>
      <c r="AH86" s="418"/>
      <c r="AI86" s="418"/>
      <c r="AJ86" s="418"/>
      <c r="AK86" s="418"/>
      <c r="AL86" s="418"/>
      <c r="AM86" s="418"/>
      <c r="AN86" s="462"/>
      <c r="AO86" s="462"/>
      <c r="AP86" s="462"/>
      <c r="BC86" s="307"/>
      <c r="BD86" s="350"/>
    </row>
    <row r="87" spans="1:59" ht="15.75" customHeight="1">
      <c r="A87" s="467"/>
      <c r="B87" s="514"/>
      <c r="C87" s="424"/>
      <c r="D87" s="514"/>
      <c r="E87" s="419"/>
      <c r="F87" s="419"/>
      <c r="G87" s="419"/>
      <c r="H87" s="421"/>
      <c r="I87" s="421"/>
      <c r="J87" s="492"/>
      <c r="K87" s="418"/>
      <c r="L87" s="418"/>
      <c r="M87" s="418"/>
      <c r="N87" s="467"/>
      <c r="O87" s="421"/>
      <c r="P87" s="421"/>
      <c r="Q87" s="418"/>
      <c r="R87" s="418"/>
      <c r="S87" s="418"/>
      <c r="T87" s="418"/>
      <c r="U87" s="418"/>
      <c r="V87" s="418"/>
      <c r="W87" s="418"/>
      <c r="X87" s="418"/>
      <c r="Y87" s="418"/>
      <c r="Z87" s="418"/>
      <c r="AA87" s="418"/>
      <c r="AB87" s="418"/>
      <c r="AC87" s="418"/>
      <c r="AD87" s="418"/>
      <c r="AE87" s="418"/>
      <c r="AF87" s="418"/>
      <c r="AG87" s="418"/>
      <c r="AH87" s="418"/>
      <c r="AI87" s="418"/>
      <c r="AJ87" s="418"/>
      <c r="AK87" s="418"/>
      <c r="AL87" s="418"/>
      <c r="AM87" s="418"/>
      <c r="AN87" s="462"/>
      <c r="AO87" s="462"/>
      <c r="AP87" s="462"/>
      <c r="BC87" s="307"/>
    </row>
    <row r="88" spans="1:59" ht="15.75" customHeight="1">
      <c r="A88" s="467"/>
      <c r="B88" s="514"/>
      <c r="C88" s="424"/>
      <c r="D88" s="514"/>
      <c r="E88" s="419"/>
      <c r="F88" s="419"/>
      <c r="G88" s="419"/>
      <c r="H88" s="421"/>
      <c r="I88" s="421"/>
      <c r="J88" s="492"/>
      <c r="K88" s="418"/>
      <c r="L88" s="418"/>
      <c r="M88" s="418"/>
      <c r="N88" s="467"/>
      <c r="O88" s="421"/>
      <c r="P88" s="421"/>
      <c r="Q88" s="418"/>
      <c r="R88" s="418"/>
      <c r="S88" s="418"/>
      <c r="T88" s="418"/>
      <c r="U88" s="418"/>
      <c r="V88" s="418"/>
      <c r="W88" s="418"/>
      <c r="X88" s="418"/>
      <c r="Y88" s="418"/>
      <c r="Z88" s="418"/>
      <c r="AA88" s="418"/>
      <c r="AB88" s="418"/>
      <c r="AC88" s="418"/>
      <c r="AD88" s="418"/>
      <c r="AE88" s="418"/>
      <c r="AF88" s="418"/>
      <c r="AG88" s="418"/>
      <c r="AH88" s="418"/>
      <c r="AI88" s="418"/>
      <c r="AJ88" s="418"/>
      <c r="AK88" s="418"/>
      <c r="AL88" s="418"/>
      <c r="AM88" s="418"/>
      <c r="AN88" s="462"/>
      <c r="AO88" s="462"/>
      <c r="AP88" s="462"/>
      <c r="BC88" s="307"/>
    </row>
    <row r="89" spans="1:59" ht="15.75" customHeight="1">
      <c r="A89" s="467"/>
      <c r="B89" s="514"/>
      <c r="C89" s="424"/>
      <c r="D89" s="514"/>
      <c r="E89" s="419"/>
      <c r="F89" s="419"/>
      <c r="G89" s="419"/>
      <c r="H89" s="421"/>
      <c r="I89" s="421"/>
      <c r="J89" s="492"/>
      <c r="K89" s="418"/>
      <c r="L89" s="418"/>
      <c r="M89" s="418"/>
      <c r="N89" s="467"/>
      <c r="O89" s="421"/>
      <c r="P89" s="421"/>
      <c r="Q89" s="418"/>
      <c r="R89" s="418"/>
      <c r="S89" s="418"/>
      <c r="T89" s="418"/>
      <c r="U89" s="418"/>
      <c r="V89" s="418"/>
      <c r="W89" s="418"/>
      <c r="X89" s="418"/>
      <c r="Y89" s="418"/>
      <c r="Z89" s="418"/>
      <c r="AA89" s="418"/>
      <c r="AB89" s="418"/>
      <c r="AC89" s="418"/>
      <c r="AD89" s="418"/>
      <c r="AE89" s="418"/>
      <c r="AF89" s="418"/>
      <c r="AG89" s="418"/>
      <c r="AH89" s="418"/>
      <c r="AI89" s="418"/>
      <c r="AJ89" s="418"/>
      <c r="AK89" s="418"/>
      <c r="AL89" s="418"/>
      <c r="AM89" s="418"/>
      <c r="AN89" s="462"/>
      <c r="AO89" s="462"/>
      <c r="AP89" s="462"/>
      <c r="BC89" s="307"/>
    </row>
    <row r="90" spans="1:59" ht="15.75" customHeight="1">
      <c r="A90" s="467"/>
      <c r="B90" s="514"/>
      <c r="C90" s="424"/>
      <c r="D90" s="514"/>
      <c r="E90" s="419"/>
      <c r="F90" s="419"/>
      <c r="G90" s="419"/>
      <c r="H90" s="421"/>
      <c r="I90" s="421"/>
      <c r="J90" s="492"/>
      <c r="K90" s="418"/>
      <c r="L90" s="418"/>
      <c r="M90" s="418"/>
      <c r="N90" s="312"/>
      <c r="O90" s="421"/>
      <c r="P90" s="421"/>
      <c r="Q90" s="418"/>
      <c r="R90" s="418"/>
      <c r="S90" s="418"/>
      <c r="T90" s="418"/>
      <c r="U90" s="418"/>
      <c r="V90" s="418"/>
      <c r="W90" s="418"/>
      <c r="X90" s="418"/>
      <c r="Y90" s="418"/>
      <c r="Z90" s="418"/>
      <c r="AA90" s="418"/>
      <c r="AB90" s="418"/>
      <c r="AC90" s="418"/>
      <c r="AD90" s="418"/>
      <c r="AE90" s="418"/>
      <c r="AF90" s="418"/>
      <c r="AG90" s="418"/>
      <c r="AH90" s="418"/>
      <c r="AI90" s="418"/>
      <c r="AJ90" s="418"/>
      <c r="AK90" s="418"/>
      <c r="AL90" s="418"/>
      <c r="AM90" s="418"/>
      <c r="AN90" s="462"/>
      <c r="AO90" s="462"/>
      <c r="AP90" s="462"/>
      <c r="BC90" s="307"/>
      <c r="BF90" s="362"/>
      <c r="BG90" s="362"/>
    </row>
    <row r="91" spans="1:59" ht="15.75" customHeight="1">
      <c r="A91" s="467"/>
      <c r="B91" s="514"/>
      <c r="C91" s="424"/>
      <c r="D91" s="514"/>
      <c r="E91" s="419"/>
      <c r="F91" s="419"/>
      <c r="G91" s="419"/>
      <c r="H91" s="421"/>
      <c r="I91" s="421"/>
      <c r="J91" s="492"/>
      <c r="K91" s="418"/>
      <c r="L91" s="418"/>
      <c r="M91" s="418"/>
      <c r="N91" s="467"/>
      <c r="O91" s="467"/>
      <c r="P91" s="421"/>
      <c r="Q91" s="418"/>
      <c r="R91" s="418"/>
      <c r="S91" s="418"/>
      <c r="T91" s="418"/>
      <c r="U91" s="418"/>
      <c r="V91" s="418"/>
      <c r="W91" s="418"/>
      <c r="X91" s="418"/>
      <c r="Y91" s="418"/>
      <c r="Z91" s="418"/>
      <c r="AA91" s="418"/>
      <c r="AB91" s="418"/>
      <c r="AC91" s="418"/>
      <c r="AD91" s="418"/>
      <c r="AE91" s="418"/>
      <c r="AF91" s="418"/>
      <c r="AG91" s="418"/>
      <c r="AH91" s="418"/>
      <c r="AI91" s="418"/>
      <c r="AJ91" s="418"/>
      <c r="AK91" s="418"/>
      <c r="AL91" s="418"/>
      <c r="AM91" s="418"/>
      <c r="AN91" s="462"/>
      <c r="AO91" s="462"/>
      <c r="AP91" s="462"/>
      <c r="BC91" s="307"/>
    </row>
    <row r="92" spans="1:59" ht="15.75" customHeight="1">
      <c r="A92" s="467"/>
      <c r="B92" s="514"/>
      <c r="C92" s="424"/>
      <c r="D92" s="514"/>
      <c r="E92" s="419"/>
      <c r="F92" s="419"/>
      <c r="G92" s="419"/>
      <c r="H92" s="312"/>
      <c r="I92" s="467"/>
      <c r="J92" s="469"/>
      <c r="K92" s="312"/>
      <c r="L92" s="312"/>
      <c r="M92" s="312"/>
      <c r="N92" s="312"/>
      <c r="O92" s="1115"/>
      <c r="P92" s="421"/>
      <c r="Q92" s="418"/>
      <c r="R92" s="418"/>
      <c r="S92" s="418"/>
      <c r="T92" s="418"/>
      <c r="U92" s="418"/>
      <c r="V92" s="418"/>
      <c r="W92" s="418"/>
      <c r="X92" s="418"/>
      <c r="Y92" s="418"/>
      <c r="Z92" s="418"/>
      <c r="AA92" s="418"/>
      <c r="AB92" s="418"/>
      <c r="AC92" s="418"/>
      <c r="AD92" s="418"/>
      <c r="AE92" s="418"/>
      <c r="AF92" s="418"/>
      <c r="AG92" s="418"/>
      <c r="AH92" s="418"/>
      <c r="AI92" s="418"/>
      <c r="AJ92" s="418"/>
      <c r="AK92" s="418"/>
      <c r="AL92" s="418"/>
      <c r="AM92" s="418"/>
      <c r="AN92" s="462"/>
      <c r="AO92" s="462"/>
      <c r="AP92" s="462"/>
      <c r="BC92" s="307"/>
    </row>
    <row r="93" spans="1:59" ht="15.75" customHeight="1">
      <c r="A93" s="467"/>
      <c r="B93" s="514"/>
      <c r="C93" s="424"/>
      <c r="D93" s="514"/>
      <c r="E93" s="419"/>
      <c r="F93" s="419"/>
      <c r="G93" s="419"/>
      <c r="H93" s="467"/>
      <c r="I93" s="421"/>
      <c r="J93" s="469"/>
      <c r="K93" s="312"/>
      <c r="L93" s="418"/>
      <c r="M93" s="312"/>
      <c r="N93" s="467"/>
      <c r="O93" s="467"/>
      <c r="P93" s="421"/>
      <c r="Q93" s="418"/>
      <c r="R93" s="418"/>
      <c r="S93" s="418"/>
      <c r="T93" s="418"/>
      <c r="U93" s="418"/>
      <c r="V93" s="418"/>
      <c r="W93" s="418"/>
      <c r="X93" s="418"/>
      <c r="Y93" s="418"/>
      <c r="Z93" s="418"/>
      <c r="AA93" s="418"/>
      <c r="AB93" s="418"/>
      <c r="AC93" s="418"/>
      <c r="AD93" s="418"/>
      <c r="AE93" s="418"/>
      <c r="AF93" s="418"/>
      <c r="AG93" s="418"/>
      <c r="AH93" s="418"/>
      <c r="AI93" s="418"/>
      <c r="AJ93" s="418"/>
      <c r="AK93" s="418"/>
      <c r="AL93" s="418"/>
      <c r="AM93" s="418"/>
      <c r="AN93" s="462"/>
      <c r="AO93" s="462"/>
      <c r="AP93" s="462"/>
      <c r="BC93" s="307"/>
    </row>
    <row r="94" spans="1:59" ht="15.75" customHeight="1">
      <c r="A94" s="467"/>
      <c r="B94" s="514"/>
      <c r="C94" s="424"/>
      <c r="D94" s="514"/>
      <c r="E94" s="419"/>
      <c r="F94" s="419"/>
      <c r="G94" s="419"/>
      <c r="H94" s="467"/>
      <c r="I94" s="468"/>
      <c r="J94" s="469"/>
      <c r="K94" s="312"/>
      <c r="L94" s="312"/>
      <c r="M94" s="312"/>
      <c r="N94" s="467"/>
      <c r="O94" s="467"/>
      <c r="P94" s="421"/>
      <c r="Q94" s="418"/>
      <c r="R94" s="418"/>
      <c r="S94" s="418"/>
      <c r="T94" s="418"/>
      <c r="U94" s="418"/>
      <c r="V94" s="418"/>
      <c r="W94" s="418"/>
      <c r="X94" s="418"/>
      <c r="Y94" s="418"/>
      <c r="Z94" s="418"/>
      <c r="AA94" s="418"/>
      <c r="AB94" s="418"/>
      <c r="AC94" s="418"/>
      <c r="AD94" s="418"/>
      <c r="AE94" s="418"/>
      <c r="AF94" s="418"/>
      <c r="AG94" s="418"/>
      <c r="AH94" s="418"/>
      <c r="AI94" s="418"/>
      <c r="AJ94" s="418"/>
      <c r="AK94" s="418"/>
      <c r="AL94" s="418"/>
      <c r="AM94" s="418"/>
      <c r="AN94" s="462"/>
      <c r="AO94" s="462"/>
      <c r="AP94" s="462"/>
      <c r="BC94" s="307"/>
    </row>
    <row r="95" spans="1:59" ht="15.75" customHeight="1">
      <c r="A95" s="467"/>
      <c r="B95" s="514"/>
      <c r="C95" s="424"/>
      <c r="D95" s="514"/>
      <c r="E95" s="419"/>
      <c r="F95" s="419"/>
      <c r="G95" s="419"/>
      <c r="H95" s="467"/>
      <c r="I95" s="467"/>
      <c r="J95" s="469"/>
      <c r="K95" s="312"/>
      <c r="L95" s="418"/>
      <c r="M95" s="418"/>
      <c r="N95" s="467"/>
      <c r="O95" s="467"/>
      <c r="P95" s="421"/>
      <c r="Q95" s="418"/>
      <c r="R95" s="418"/>
      <c r="S95" s="418"/>
      <c r="T95" s="418"/>
      <c r="U95" s="418"/>
      <c r="V95" s="418"/>
      <c r="W95" s="418"/>
      <c r="X95" s="418"/>
      <c r="Y95" s="418"/>
      <c r="Z95" s="418"/>
      <c r="AA95" s="418"/>
      <c r="AB95" s="418"/>
      <c r="AC95" s="418"/>
      <c r="AD95" s="418"/>
      <c r="AE95" s="418"/>
      <c r="AF95" s="418"/>
      <c r="AG95" s="418"/>
      <c r="AH95" s="418"/>
      <c r="AI95" s="418"/>
      <c r="AJ95" s="418"/>
      <c r="AK95" s="418"/>
      <c r="AL95" s="418"/>
      <c r="AM95" s="418"/>
      <c r="AN95" s="462"/>
      <c r="AO95" s="462"/>
      <c r="AP95" s="462"/>
      <c r="BC95" s="307"/>
    </row>
    <row r="96" spans="1:59" ht="15.75" customHeight="1">
      <c r="B96" s="514"/>
      <c r="C96" s="424"/>
      <c r="D96" s="514"/>
      <c r="E96" s="419"/>
      <c r="F96" s="419"/>
      <c r="G96" s="419"/>
      <c r="H96" s="467"/>
      <c r="I96" s="467"/>
      <c r="J96" s="469"/>
      <c r="K96" s="312"/>
      <c r="L96" s="312"/>
      <c r="M96" s="312"/>
      <c r="N96" s="467"/>
      <c r="O96" s="467"/>
      <c r="P96" s="421"/>
      <c r="Q96" s="418"/>
      <c r="R96" s="418"/>
      <c r="S96" s="418"/>
      <c r="T96" s="418"/>
      <c r="U96" s="418"/>
      <c r="V96" s="418"/>
      <c r="W96" s="418"/>
      <c r="X96" s="418"/>
      <c r="Y96" s="418"/>
      <c r="Z96" s="418"/>
      <c r="AA96" s="418"/>
      <c r="AB96" s="418"/>
      <c r="AC96" s="418"/>
      <c r="AD96" s="418"/>
      <c r="AE96" s="418"/>
      <c r="AF96" s="418"/>
      <c r="AG96" s="418"/>
      <c r="AH96" s="418"/>
      <c r="AI96" s="418"/>
      <c r="AJ96" s="418"/>
      <c r="AK96" s="418"/>
      <c r="AL96" s="418"/>
      <c r="AM96" s="418"/>
      <c r="AN96" s="462"/>
      <c r="AO96" s="462"/>
      <c r="AP96" s="462"/>
      <c r="BC96" s="307"/>
    </row>
    <row r="97" spans="2:55" ht="15.75" customHeight="1">
      <c r="B97" s="514"/>
      <c r="C97" s="424"/>
      <c r="D97" s="514"/>
      <c r="E97" s="419"/>
      <c r="F97" s="419"/>
      <c r="G97" s="419"/>
      <c r="H97" s="467"/>
      <c r="I97" s="312"/>
      <c r="J97" s="469"/>
      <c r="K97" s="312"/>
      <c r="L97" s="418"/>
      <c r="M97" s="312"/>
      <c r="N97" s="467"/>
      <c r="O97" s="467"/>
      <c r="P97" s="421"/>
      <c r="Q97" s="418"/>
      <c r="R97" s="418"/>
      <c r="S97" s="418"/>
      <c r="T97" s="418"/>
      <c r="U97" s="418"/>
      <c r="V97" s="418"/>
      <c r="W97" s="418"/>
      <c r="X97" s="418"/>
      <c r="Y97" s="418"/>
      <c r="Z97" s="418"/>
      <c r="AA97" s="418"/>
      <c r="AB97" s="418"/>
      <c r="AC97" s="418"/>
      <c r="AD97" s="418"/>
      <c r="AE97" s="418"/>
      <c r="AF97" s="418"/>
      <c r="AG97" s="418"/>
      <c r="AH97" s="418"/>
      <c r="AI97" s="418"/>
      <c r="AJ97" s="418"/>
      <c r="AK97" s="418"/>
      <c r="AL97" s="418"/>
      <c r="AM97" s="418"/>
      <c r="AN97" s="462"/>
      <c r="AO97" s="462"/>
      <c r="AP97" s="462"/>
      <c r="BC97" s="307"/>
    </row>
    <row r="98" spans="2:55" ht="15.75" customHeight="1">
      <c r="B98" s="514"/>
      <c r="C98" s="424"/>
      <c r="D98" s="514"/>
      <c r="E98" s="419"/>
      <c r="F98" s="419"/>
      <c r="G98" s="419"/>
      <c r="H98" s="467"/>
      <c r="I98" s="467"/>
      <c r="J98" s="469"/>
      <c r="K98" s="312"/>
      <c r="L98" s="312"/>
      <c r="M98" s="312"/>
      <c r="N98" s="312"/>
      <c r="O98" s="467"/>
      <c r="P98" s="421"/>
      <c r="Q98" s="418"/>
      <c r="R98" s="418"/>
      <c r="S98" s="418"/>
      <c r="T98" s="418"/>
      <c r="U98" s="418"/>
      <c r="V98" s="418"/>
      <c r="W98" s="418"/>
      <c r="X98" s="418"/>
      <c r="Y98" s="418"/>
      <c r="Z98" s="418"/>
      <c r="AA98" s="418"/>
      <c r="AB98" s="418"/>
      <c r="AC98" s="418"/>
      <c r="AD98" s="418"/>
      <c r="AE98" s="418"/>
      <c r="AF98" s="418"/>
      <c r="AG98" s="418"/>
      <c r="AH98" s="418"/>
      <c r="AI98" s="418"/>
      <c r="AJ98" s="418"/>
      <c r="AK98" s="418"/>
      <c r="AL98" s="418"/>
      <c r="AM98" s="418"/>
      <c r="AN98" s="462"/>
      <c r="AO98" s="462"/>
      <c r="AP98" s="462"/>
      <c r="BC98" s="307"/>
    </row>
    <row r="99" spans="2:55" ht="15.75" customHeight="1">
      <c r="B99" s="514"/>
      <c r="C99" s="424"/>
      <c r="D99" s="419"/>
      <c r="E99" s="418"/>
      <c r="F99" s="419"/>
      <c r="G99" s="419"/>
      <c r="H99" s="467"/>
      <c r="I99" s="467"/>
      <c r="J99" s="469"/>
      <c r="K99" s="312"/>
      <c r="L99" s="418"/>
      <c r="M99" s="312"/>
      <c r="N99" s="467"/>
      <c r="O99" s="467"/>
      <c r="P99" s="421"/>
      <c r="Q99" s="418"/>
      <c r="R99" s="418"/>
      <c r="S99" s="418"/>
      <c r="T99" s="418"/>
      <c r="U99" s="418"/>
      <c r="V99" s="418"/>
      <c r="W99" s="418"/>
      <c r="X99" s="418"/>
      <c r="Y99" s="418"/>
      <c r="Z99" s="418"/>
      <c r="AA99" s="418"/>
      <c r="AB99" s="418"/>
      <c r="AC99" s="418"/>
      <c r="AD99" s="418"/>
      <c r="AE99" s="418"/>
      <c r="AF99" s="418"/>
      <c r="AG99" s="418"/>
      <c r="AH99" s="418"/>
      <c r="AI99" s="418"/>
      <c r="AJ99" s="418"/>
      <c r="AK99" s="418"/>
      <c r="AL99" s="418"/>
      <c r="AM99" s="418"/>
      <c r="AN99" s="462"/>
      <c r="AO99" s="462"/>
      <c r="AP99" s="462"/>
      <c r="BC99" s="307"/>
    </row>
    <row r="100" spans="2:55" ht="15.75" customHeight="1">
      <c r="B100" s="416"/>
      <c r="C100" s="424"/>
      <c r="D100" s="419"/>
      <c r="E100" s="418"/>
      <c r="F100" s="419"/>
      <c r="G100" s="419"/>
      <c r="H100" s="467"/>
      <c r="I100" s="467"/>
      <c r="J100" s="469"/>
      <c r="K100" s="312"/>
      <c r="L100" s="312"/>
      <c r="M100" s="312"/>
      <c r="N100" s="467"/>
      <c r="O100" s="467"/>
      <c r="P100" s="421"/>
      <c r="Q100" s="418"/>
      <c r="R100" s="418"/>
      <c r="S100" s="418"/>
      <c r="T100" s="418"/>
      <c r="U100" s="418"/>
      <c r="V100" s="418"/>
      <c r="W100" s="418"/>
      <c r="X100" s="418"/>
      <c r="Y100" s="418"/>
      <c r="Z100" s="418"/>
      <c r="AA100" s="418"/>
      <c r="AB100" s="418"/>
      <c r="AC100" s="418"/>
      <c r="AD100" s="418"/>
      <c r="AE100" s="418"/>
      <c r="AF100" s="418"/>
      <c r="AG100" s="418"/>
      <c r="AH100" s="418"/>
      <c r="AI100" s="418"/>
      <c r="AJ100" s="418"/>
      <c r="AK100" s="418"/>
      <c r="AL100" s="418"/>
      <c r="AM100" s="418"/>
      <c r="AN100" s="462"/>
      <c r="AO100" s="462"/>
      <c r="AP100" s="462"/>
      <c r="BC100" s="307"/>
    </row>
    <row r="101" spans="2:55" ht="15.75" customHeight="1">
      <c r="B101" s="514"/>
      <c r="C101" s="424"/>
      <c r="D101" s="419"/>
      <c r="E101" s="418"/>
      <c r="F101" s="419"/>
      <c r="G101" s="419"/>
      <c r="H101" s="421"/>
      <c r="I101" s="421"/>
      <c r="J101" s="492"/>
      <c r="K101" s="418"/>
      <c r="L101" s="418"/>
      <c r="M101" s="418"/>
      <c r="N101" s="421"/>
      <c r="O101" s="421"/>
      <c r="P101" s="421"/>
      <c r="Q101" s="418"/>
      <c r="R101" s="418"/>
      <c r="S101" s="418"/>
      <c r="T101" s="418"/>
      <c r="U101" s="418"/>
      <c r="V101" s="418"/>
      <c r="W101" s="418"/>
      <c r="X101" s="418"/>
      <c r="Y101" s="418"/>
      <c r="Z101" s="418"/>
      <c r="AA101" s="418"/>
      <c r="AB101" s="418"/>
      <c r="AC101" s="418"/>
      <c r="AD101" s="418"/>
      <c r="AE101" s="418"/>
      <c r="AF101" s="418"/>
      <c r="AG101" s="418"/>
      <c r="AH101" s="418"/>
      <c r="AI101" s="418"/>
      <c r="AJ101" s="418"/>
      <c r="AK101" s="418"/>
      <c r="AL101" s="418"/>
      <c r="AM101" s="418"/>
      <c r="AN101" s="462"/>
      <c r="AO101" s="462"/>
      <c r="AP101" s="462"/>
      <c r="BC101" s="307"/>
    </row>
    <row r="102" spans="2:55" ht="15.75" customHeight="1">
      <c r="B102" s="416"/>
      <c r="C102" s="424"/>
      <c r="D102" s="419"/>
      <c r="E102" s="418"/>
      <c r="F102" s="419"/>
      <c r="G102" s="419"/>
      <c r="H102" s="421"/>
      <c r="I102" s="421"/>
      <c r="J102" s="492"/>
      <c r="K102" s="418"/>
      <c r="L102" s="418"/>
      <c r="M102" s="418"/>
      <c r="N102" s="421"/>
      <c r="O102" s="421"/>
      <c r="P102" s="421"/>
      <c r="Q102" s="418"/>
      <c r="R102" s="418"/>
      <c r="S102" s="418"/>
      <c r="T102" s="418"/>
      <c r="U102" s="418"/>
      <c r="V102" s="418"/>
      <c r="W102" s="418"/>
      <c r="X102" s="418"/>
      <c r="Y102" s="418"/>
      <c r="Z102" s="418"/>
      <c r="AA102" s="418"/>
      <c r="AB102" s="418"/>
      <c r="AC102" s="418"/>
      <c r="AD102" s="418"/>
      <c r="AE102" s="418"/>
      <c r="AF102" s="418"/>
      <c r="AG102" s="418"/>
      <c r="AH102" s="418"/>
      <c r="AI102" s="418"/>
      <c r="AJ102" s="418"/>
      <c r="AK102" s="418"/>
      <c r="AL102" s="418"/>
      <c r="AM102" s="418"/>
      <c r="AN102" s="462"/>
      <c r="AO102" s="462"/>
      <c r="AP102" s="462"/>
      <c r="BC102" s="307"/>
    </row>
    <row r="103" spans="2:55" ht="15.75" customHeight="1">
      <c r="B103" s="416"/>
      <c r="C103" s="424"/>
      <c r="D103" s="419"/>
      <c r="E103" s="418"/>
      <c r="F103" s="419"/>
      <c r="G103" s="419"/>
      <c r="H103" s="421"/>
      <c r="I103" s="421"/>
      <c r="J103" s="492"/>
      <c r="K103" s="418"/>
      <c r="L103" s="418"/>
      <c r="M103" s="418"/>
      <c r="N103" s="421"/>
      <c r="O103" s="421"/>
      <c r="P103" s="421"/>
      <c r="Q103" s="418"/>
      <c r="R103" s="418"/>
      <c r="S103" s="418"/>
      <c r="T103" s="418"/>
      <c r="U103" s="418"/>
      <c r="V103" s="418"/>
      <c r="W103" s="418"/>
      <c r="X103" s="418"/>
      <c r="Y103" s="418"/>
      <c r="Z103" s="418"/>
      <c r="AA103" s="418"/>
      <c r="AB103" s="418"/>
      <c r="AC103" s="418"/>
      <c r="AD103" s="418"/>
      <c r="AE103" s="418"/>
      <c r="AF103" s="418"/>
      <c r="AG103" s="418"/>
      <c r="AH103" s="418"/>
      <c r="AI103" s="418"/>
      <c r="AJ103" s="418"/>
      <c r="AK103" s="418"/>
      <c r="AL103" s="418"/>
      <c r="AM103" s="418"/>
      <c r="AN103" s="462"/>
      <c r="AO103" s="462"/>
      <c r="AP103" s="462"/>
      <c r="BC103" s="307"/>
    </row>
    <row r="104" spans="2:55" ht="15.75" customHeight="1">
      <c r="B104" s="416"/>
      <c r="C104" s="424"/>
      <c r="D104" s="419"/>
      <c r="E104" s="418"/>
      <c r="F104" s="419"/>
      <c r="G104" s="419"/>
      <c r="H104" s="421"/>
      <c r="I104" s="421"/>
      <c r="J104" s="492"/>
      <c r="K104" s="418"/>
      <c r="L104" s="418"/>
      <c r="M104" s="418"/>
      <c r="N104" s="421"/>
      <c r="O104" s="421"/>
      <c r="P104" s="421"/>
      <c r="Q104" s="418"/>
      <c r="R104" s="418"/>
      <c r="S104" s="418"/>
      <c r="T104" s="418"/>
      <c r="U104" s="418"/>
      <c r="V104" s="418"/>
      <c r="W104" s="418"/>
      <c r="X104" s="418"/>
      <c r="Y104" s="418"/>
      <c r="Z104" s="418"/>
      <c r="AA104" s="418"/>
      <c r="AB104" s="418"/>
      <c r="AC104" s="418"/>
      <c r="AD104" s="418"/>
      <c r="AE104" s="418"/>
      <c r="AF104" s="418"/>
      <c r="AG104" s="418"/>
      <c r="AH104" s="418"/>
      <c r="AI104" s="418"/>
      <c r="AJ104" s="418"/>
      <c r="AK104" s="418"/>
      <c r="AL104" s="418"/>
      <c r="AM104" s="418"/>
      <c r="AN104" s="462"/>
      <c r="AO104" s="462"/>
      <c r="AP104" s="462"/>
      <c r="BC104" s="307"/>
    </row>
    <row r="105" spans="2:55" ht="15.75" customHeight="1">
      <c r="B105" s="416"/>
      <c r="C105" s="424"/>
      <c r="D105" s="419"/>
      <c r="E105" s="418"/>
      <c r="F105" s="419"/>
      <c r="G105" s="419"/>
      <c r="H105" s="421"/>
      <c r="I105" s="421"/>
      <c r="J105" s="492"/>
      <c r="K105" s="418"/>
      <c r="L105" s="418"/>
      <c r="M105" s="418"/>
      <c r="N105" s="421"/>
      <c r="O105" s="421"/>
      <c r="P105" s="421"/>
      <c r="Q105" s="418"/>
      <c r="R105" s="418"/>
      <c r="S105" s="418"/>
      <c r="T105" s="418"/>
      <c r="U105" s="418"/>
      <c r="V105" s="418"/>
      <c r="W105" s="418"/>
      <c r="X105" s="418"/>
      <c r="Y105" s="418"/>
      <c r="Z105" s="418"/>
      <c r="AA105" s="418"/>
      <c r="AB105" s="418"/>
      <c r="AC105" s="418"/>
      <c r="AD105" s="418"/>
      <c r="AE105" s="418"/>
      <c r="AF105" s="418"/>
      <c r="AG105" s="418"/>
      <c r="AH105" s="418"/>
      <c r="AI105" s="418"/>
      <c r="AJ105" s="418"/>
      <c r="AK105" s="418"/>
      <c r="AL105" s="418"/>
      <c r="AM105" s="418"/>
      <c r="AN105" s="462"/>
      <c r="AO105" s="462"/>
      <c r="AP105" s="462"/>
      <c r="BC105" s="307"/>
    </row>
    <row r="106" spans="2:55" ht="15.75" customHeight="1">
      <c r="B106" s="416"/>
      <c r="C106" s="424"/>
      <c r="D106" s="419"/>
      <c r="E106" s="418"/>
      <c r="F106" s="419"/>
      <c r="G106" s="419"/>
      <c r="H106" s="421"/>
      <c r="I106" s="421"/>
      <c r="J106" s="492"/>
      <c r="K106" s="418"/>
      <c r="L106" s="418"/>
      <c r="M106" s="418"/>
      <c r="N106" s="421"/>
      <c r="O106" s="421"/>
      <c r="P106" s="421"/>
      <c r="Q106" s="418"/>
      <c r="R106" s="418"/>
      <c r="S106" s="418"/>
      <c r="T106" s="418"/>
      <c r="U106" s="418"/>
      <c r="V106" s="418"/>
      <c r="W106" s="418"/>
      <c r="X106" s="418"/>
      <c r="Y106" s="418"/>
      <c r="Z106" s="418"/>
      <c r="AA106" s="418"/>
      <c r="AB106" s="418"/>
      <c r="AC106" s="418"/>
      <c r="AD106" s="418"/>
      <c r="AE106" s="418"/>
      <c r="AF106" s="418"/>
      <c r="AG106" s="418"/>
      <c r="AH106" s="418"/>
      <c r="AI106" s="418"/>
      <c r="AJ106" s="418"/>
      <c r="AK106" s="418"/>
      <c r="AL106" s="418"/>
      <c r="AM106" s="418"/>
      <c r="AN106" s="462"/>
      <c r="AO106" s="462"/>
      <c r="AP106" s="462"/>
      <c r="BC106" s="307"/>
    </row>
    <row r="107" spans="2:55" ht="15.75" customHeight="1">
      <c r="B107" s="416"/>
      <c r="C107" s="424"/>
      <c r="D107" s="419"/>
      <c r="E107" s="418"/>
      <c r="F107" s="419"/>
      <c r="G107" s="419"/>
      <c r="H107" s="421"/>
      <c r="I107" s="421"/>
      <c r="J107" s="492"/>
      <c r="K107" s="418"/>
      <c r="L107" s="418"/>
      <c r="M107" s="418"/>
      <c r="N107" s="421"/>
      <c r="O107" s="421"/>
      <c r="P107" s="421"/>
      <c r="Q107" s="418"/>
      <c r="R107" s="418"/>
      <c r="S107" s="418"/>
      <c r="T107" s="418"/>
      <c r="U107" s="418"/>
      <c r="V107" s="418"/>
      <c r="W107" s="418"/>
      <c r="X107" s="418"/>
      <c r="Y107" s="418"/>
      <c r="Z107" s="418"/>
      <c r="AA107" s="418"/>
      <c r="AB107" s="418"/>
      <c r="AC107" s="418"/>
      <c r="AD107" s="418"/>
      <c r="AE107" s="418"/>
      <c r="AF107" s="418"/>
      <c r="AG107" s="418"/>
      <c r="AH107" s="418"/>
      <c r="AI107" s="418"/>
      <c r="AJ107" s="418"/>
      <c r="AK107" s="418"/>
      <c r="AL107" s="418"/>
      <c r="AM107" s="418"/>
      <c r="AN107" s="462"/>
      <c r="AO107" s="462"/>
      <c r="AP107" s="462"/>
      <c r="BC107" s="307"/>
    </row>
    <row r="108" spans="2:55" ht="15.75" customHeight="1">
      <c r="B108" s="416"/>
      <c r="C108" s="424"/>
      <c r="D108" s="419"/>
      <c r="E108" s="418"/>
      <c r="F108" s="419"/>
      <c r="G108" s="419"/>
      <c r="H108" s="421"/>
      <c r="I108" s="421"/>
      <c r="J108" s="492"/>
      <c r="K108" s="418"/>
      <c r="L108" s="418"/>
      <c r="M108" s="418"/>
      <c r="N108" s="421"/>
      <c r="O108" s="421"/>
      <c r="P108" s="421"/>
      <c r="Q108" s="418"/>
      <c r="R108" s="418"/>
      <c r="S108" s="418"/>
      <c r="T108" s="418"/>
      <c r="U108" s="418"/>
      <c r="V108" s="418"/>
      <c r="W108" s="418"/>
      <c r="X108" s="418"/>
      <c r="Y108" s="418"/>
      <c r="Z108" s="418"/>
      <c r="AA108" s="418"/>
      <c r="AB108" s="418"/>
      <c r="AC108" s="418"/>
      <c r="AD108" s="418"/>
      <c r="AE108" s="418"/>
      <c r="AF108" s="418"/>
      <c r="AG108" s="418"/>
      <c r="AH108" s="418"/>
      <c r="AI108" s="418"/>
      <c r="AJ108" s="418"/>
      <c r="AK108" s="418"/>
      <c r="AL108" s="418"/>
      <c r="AM108" s="418"/>
      <c r="AN108" s="462"/>
      <c r="AO108" s="462"/>
      <c r="AP108" s="462"/>
      <c r="BC108" s="307"/>
    </row>
    <row r="109" spans="2:55" ht="15.75" customHeight="1">
      <c r="B109" s="416"/>
      <c r="C109" s="424"/>
      <c r="D109" s="419"/>
      <c r="E109" s="418"/>
      <c r="F109" s="419"/>
      <c r="G109" s="419"/>
      <c r="H109" s="421"/>
      <c r="I109" s="421"/>
      <c r="J109" s="492"/>
      <c r="K109" s="418"/>
      <c r="L109" s="418"/>
      <c r="M109" s="418"/>
      <c r="N109" s="421"/>
      <c r="O109" s="421"/>
      <c r="P109" s="421"/>
      <c r="Q109" s="418"/>
      <c r="R109" s="418"/>
      <c r="S109" s="418"/>
      <c r="T109" s="418"/>
      <c r="U109" s="418"/>
      <c r="V109" s="418"/>
      <c r="W109" s="418"/>
      <c r="X109" s="418"/>
      <c r="Y109" s="418"/>
      <c r="Z109" s="418"/>
      <c r="AA109" s="418"/>
      <c r="AB109" s="418"/>
      <c r="AC109" s="418"/>
      <c r="AD109" s="418"/>
      <c r="AE109" s="418"/>
      <c r="AF109" s="418"/>
      <c r="AG109" s="418"/>
      <c r="AH109" s="418"/>
      <c r="AI109" s="418"/>
      <c r="AJ109" s="418"/>
      <c r="AK109" s="418"/>
      <c r="AL109" s="418"/>
      <c r="AM109" s="418"/>
      <c r="AN109" s="462"/>
      <c r="AO109" s="462"/>
      <c r="AP109" s="462"/>
      <c r="BC109" s="307"/>
    </row>
    <row r="110" spans="2:55" ht="15.75" customHeight="1">
      <c r="B110" s="416"/>
      <c r="C110" s="424"/>
      <c r="D110" s="419"/>
      <c r="E110" s="418"/>
      <c r="F110" s="419"/>
      <c r="G110" s="419"/>
      <c r="H110" s="421"/>
      <c r="I110" s="421"/>
      <c r="J110" s="492"/>
      <c r="K110" s="418"/>
      <c r="L110" s="418"/>
      <c r="M110" s="418"/>
      <c r="N110" s="421"/>
      <c r="O110" s="421"/>
      <c r="P110" s="421"/>
      <c r="Q110" s="418"/>
      <c r="R110" s="418"/>
      <c r="S110" s="418"/>
      <c r="T110" s="418"/>
      <c r="U110" s="418"/>
      <c r="V110" s="418"/>
      <c r="W110" s="418"/>
      <c r="X110" s="418"/>
      <c r="Y110" s="418"/>
      <c r="Z110" s="418"/>
      <c r="AA110" s="418"/>
      <c r="AB110" s="418"/>
      <c r="AC110" s="418"/>
      <c r="AD110" s="418"/>
      <c r="AE110" s="418"/>
      <c r="AF110" s="418"/>
      <c r="AG110" s="418"/>
      <c r="AH110" s="418"/>
      <c r="AI110" s="418"/>
      <c r="AJ110" s="418"/>
      <c r="AK110" s="418"/>
      <c r="AL110" s="418"/>
      <c r="AM110" s="418"/>
      <c r="AN110" s="462"/>
      <c r="AO110" s="462"/>
      <c r="AP110" s="462"/>
      <c r="BC110" s="307"/>
    </row>
    <row r="111" spans="2:55" ht="15.75" customHeight="1">
      <c r="B111" s="416"/>
      <c r="C111" s="424"/>
      <c r="D111" s="419"/>
      <c r="E111" s="418"/>
      <c r="F111" s="419"/>
      <c r="G111" s="419"/>
      <c r="H111" s="421"/>
      <c r="I111" s="421"/>
      <c r="J111" s="492"/>
      <c r="K111" s="418"/>
      <c r="L111" s="418"/>
      <c r="M111" s="418"/>
      <c r="N111" s="421"/>
      <c r="O111" s="421"/>
      <c r="P111" s="421"/>
      <c r="Q111" s="418"/>
      <c r="R111" s="418"/>
      <c r="S111" s="418"/>
      <c r="T111" s="418"/>
      <c r="U111" s="418"/>
      <c r="V111" s="418"/>
      <c r="W111" s="418"/>
      <c r="X111" s="418"/>
      <c r="Y111" s="418"/>
      <c r="Z111" s="418"/>
      <c r="AA111" s="418"/>
      <c r="AB111" s="418"/>
      <c r="AC111" s="418"/>
      <c r="AD111" s="418"/>
      <c r="AE111" s="418"/>
      <c r="AF111" s="418"/>
      <c r="AG111" s="418"/>
      <c r="AH111" s="418"/>
      <c r="AI111" s="418"/>
      <c r="AJ111" s="418"/>
      <c r="AK111" s="418"/>
      <c r="AL111" s="418"/>
      <c r="AM111" s="418"/>
      <c r="AN111" s="462"/>
      <c r="AO111" s="462"/>
      <c r="AP111" s="462"/>
      <c r="BC111" s="307"/>
    </row>
    <row r="112" spans="2:55" ht="15.75" customHeight="1">
      <c r="B112" s="416"/>
      <c r="C112" s="424"/>
      <c r="D112" s="419"/>
      <c r="E112" s="418"/>
      <c r="F112" s="419"/>
      <c r="G112" s="419"/>
      <c r="H112" s="421"/>
      <c r="I112" s="421"/>
      <c r="J112" s="492"/>
      <c r="K112" s="418"/>
      <c r="L112" s="418"/>
      <c r="M112" s="418"/>
      <c r="N112" s="421"/>
      <c r="O112" s="421"/>
      <c r="P112" s="421"/>
      <c r="Q112" s="418"/>
      <c r="R112" s="418"/>
      <c r="S112" s="418"/>
      <c r="T112" s="418"/>
      <c r="U112" s="418"/>
      <c r="V112" s="418"/>
      <c r="W112" s="418"/>
      <c r="X112" s="418"/>
      <c r="Y112" s="418"/>
      <c r="Z112" s="418"/>
      <c r="AA112" s="418"/>
      <c r="AB112" s="418"/>
      <c r="AC112" s="418"/>
      <c r="AD112" s="418"/>
      <c r="AE112" s="418"/>
      <c r="AF112" s="418"/>
      <c r="AG112" s="418"/>
      <c r="AH112" s="418"/>
      <c r="AI112" s="418"/>
      <c r="AJ112" s="418"/>
      <c r="AK112" s="418"/>
      <c r="AL112" s="418"/>
      <c r="AM112" s="418"/>
      <c r="AN112" s="462"/>
      <c r="AO112" s="462"/>
      <c r="AP112" s="462"/>
      <c r="BC112" s="307"/>
    </row>
    <row r="113" spans="2:55" ht="15.75" customHeight="1">
      <c r="B113" s="416"/>
      <c r="C113" s="424"/>
      <c r="D113" s="419"/>
      <c r="E113" s="418"/>
      <c r="F113" s="419"/>
      <c r="G113" s="419"/>
      <c r="H113" s="421"/>
      <c r="I113" s="421"/>
      <c r="J113" s="492"/>
      <c r="K113" s="418"/>
      <c r="L113" s="418"/>
      <c r="M113" s="418"/>
      <c r="N113" s="421"/>
      <c r="O113" s="421"/>
      <c r="P113" s="421"/>
      <c r="Q113" s="418"/>
      <c r="R113" s="418"/>
      <c r="S113" s="418"/>
      <c r="T113" s="418"/>
      <c r="U113" s="418"/>
      <c r="V113" s="418"/>
      <c r="W113" s="418"/>
      <c r="X113" s="418"/>
      <c r="Y113" s="418"/>
      <c r="Z113" s="418"/>
      <c r="AA113" s="418"/>
      <c r="AB113" s="418"/>
      <c r="AC113" s="418"/>
      <c r="AD113" s="418"/>
      <c r="AE113" s="418"/>
      <c r="AF113" s="418"/>
      <c r="AG113" s="418"/>
      <c r="AH113" s="418"/>
      <c r="AI113" s="418"/>
      <c r="AJ113" s="418"/>
      <c r="AK113" s="418"/>
      <c r="AL113" s="418"/>
      <c r="AM113" s="418"/>
      <c r="AN113" s="462"/>
      <c r="AO113" s="462"/>
      <c r="AP113" s="462"/>
      <c r="BC113" s="307"/>
    </row>
    <row r="114" spans="2:55" ht="15.75" customHeight="1">
      <c r="B114" s="416"/>
      <c r="C114" s="424"/>
      <c r="D114" s="419"/>
      <c r="E114" s="418"/>
      <c r="F114" s="419"/>
      <c r="G114" s="419"/>
      <c r="H114" s="421"/>
      <c r="I114" s="421"/>
      <c r="J114" s="492"/>
      <c r="K114" s="418"/>
      <c r="L114" s="418"/>
      <c r="M114" s="418"/>
      <c r="N114" s="421"/>
      <c r="O114" s="421"/>
      <c r="P114" s="421"/>
      <c r="Q114" s="418"/>
      <c r="R114" s="418"/>
      <c r="S114" s="418"/>
      <c r="T114" s="418"/>
      <c r="U114" s="418"/>
      <c r="V114" s="418"/>
      <c r="W114" s="418"/>
      <c r="X114" s="418"/>
      <c r="Y114" s="418"/>
      <c r="Z114" s="418"/>
      <c r="AA114" s="418"/>
      <c r="AB114" s="418"/>
      <c r="AC114" s="418"/>
      <c r="AD114" s="418"/>
      <c r="AE114" s="418"/>
      <c r="AF114" s="418"/>
      <c r="AG114" s="418"/>
      <c r="AH114" s="418"/>
      <c r="AI114" s="418"/>
      <c r="AJ114" s="418"/>
      <c r="AK114" s="418"/>
      <c r="AL114" s="418"/>
      <c r="AM114" s="418"/>
      <c r="AN114" s="462"/>
      <c r="AO114" s="462"/>
      <c r="AP114" s="462"/>
      <c r="BC114" s="307"/>
    </row>
    <row r="115" spans="2:55" ht="15.75" customHeight="1">
      <c r="B115" s="416"/>
      <c r="C115" s="424"/>
      <c r="D115" s="419"/>
      <c r="E115" s="418"/>
      <c r="F115" s="419"/>
      <c r="G115" s="419"/>
      <c r="H115" s="421"/>
      <c r="I115" s="421"/>
      <c r="J115" s="492"/>
      <c r="K115" s="418"/>
      <c r="L115" s="418"/>
      <c r="M115" s="418"/>
      <c r="N115" s="421"/>
      <c r="O115" s="421"/>
      <c r="P115" s="421"/>
      <c r="Q115" s="418"/>
      <c r="R115" s="418"/>
      <c r="S115" s="418"/>
      <c r="T115" s="418"/>
      <c r="U115" s="418"/>
      <c r="V115" s="418"/>
      <c r="W115" s="418"/>
      <c r="X115" s="418"/>
      <c r="Y115" s="418"/>
      <c r="Z115" s="418"/>
      <c r="AA115" s="418"/>
      <c r="AB115" s="418"/>
      <c r="AC115" s="418"/>
      <c r="AD115" s="418"/>
      <c r="AE115" s="418"/>
      <c r="AF115" s="418"/>
      <c r="AG115" s="418"/>
      <c r="AH115" s="418"/>
      <c r="AI115" s="418"/>
      <c r="AJ115" s="418"/>
      <c r="AK115" s="418"/>
      <c r="AL115" s="418"/>
      <c r="AM115" s="418"/>
      <c r="AN115" s="462"/>
      <c r="AO115" s="462"/>
      <c r="AP115" s="462"/>
      <c r="BC115" s="307"/>
    </row>
    <row r="116" spans="2:55" ht="15.75" customHeight="1">
      <c r="B116" s="1080"/>
      <c r="C116" s="424"/>
      <c r="D116" s="447"/>
      <c r="E116" s="418"/>
      <c r="F116" s="447"/>
      <c r="G116" s="447"/>
      <c r="H116" s="418"/>
      <c r="I116" s="418"/>
      <c r="J116" s="1112"/>
      <c r="K116" s="312"/>
      <c r="L116" s="312"/>
      <c r="M116" s="312"/>
      <c r="N116" s="312"/>
      <c r="O116" s="312"/>
      <c r="P116" s="418"/>
      <c r="Q116" s="312"/>
      <c r="R116" s="312"/>
      <c r="S116" s="312"/>
      <c r="T116" s="312"/>
      <c r="U116" s="312"/>
      <c r="V116" s="312"/>
      <c r="W116" s="312"/>
      <c r="X116" s="312"/>
      <c r="Y116" s="312"/>
      <c r="Z116" s="312"/>
      <c r="AA116" s="312"/>
      <c r="AB116" s="312"/>
      <c r="AC116" s="312"/>
      <c r="AD116" s="312"/>
      <c r="AE116" s="312"/>
      <c r="AF116" s="312"/>
      <c r="AG116" s="418"/>
      <c r="AH116" s="312"/>
      <c r="AI116" s="312"/>
      <c r="AJ116" s="312"/>
      <c r="AK116" s="312"/>
      <c r="AL116" s="312"/>
      <c r="AM116" s="312"/>
      <c r="AN116" s="462"/>
      <c r="AO116" s="462"/>
      <c r="AP116" s="462"/>
      <c r="BC116" s="307"/>
    </row>
    <row r="117" spans="2:55" ht="15.75" customHeight="1">
      <c r="B117" s="1080"/>
      <c r="C117" s="424"/>
      <c r="D117" s="447"/>
      <c r="E117" s="418"/>
      <c r="F117" s="447"/>
      <c r="G117" s="312"/>
      <c r="H117" s="418"/>
      <c r="I117" s="312"/>
      <c r="J117" s="1112"/>
      <c r="K117" s="312"/>
      <c r="L117" s="312"/>
      <c r="M117" s="312"/>
      <c r="N117" s="312"/>
      <c r="O117" s="312"/>
      <c r="P117" s="312"/>
      <c r="Q117" s="312"/>
      <c r="R117" s="312"/>
      <c r="S117" s="312"/>
      <c r="T117" s="312"/>
      <c r="U117" s="312"/>
      <c r="V117" s="312"/>
      <c r="W117" s="312"/>
      <c r="X117" s="312"/>
      <c r="Y117" s="312"/>
      <c r="Z117" s="312"/>
      <c r="AA117" s="312"/>
      <c r="AB117" s="312"/>
      <c r="AC117" s="312"/>
      <c r="AD117" s="312"/>
      <c r="AE117" s="312"/>
      <c r="AF117" s="312"/>
      <c r="AG117" s="418"/>
      <c r="AH117" s="312"/>
      <c r="AI117" s="312"/>
      <c r="AJ117" s="312"/>
      <c r="AK117" s="312"/>
      <c r="AL117" s="312"/>
      <c r="AM117" s="312"/>
      <c r="AN117" s="312"/>
      <c r="AO117" s="312"/>
      <c r="AP117" s="312"/>
      <c r="BC117" s="307"/>
    </row>
    <row r="118" spans="2:55" ht="15.75" customHeight="1">
      <c r="B118" s="1080"/>
      <c r="C118" s="424"/>
      <c r="D118" s="447"/>
      <c r="E118" s="418"/>
      <c r="F118" s="447"/>
      <c r="G118" s="447"/>
      <c r="H118" s="312"/>
      <c r="I118" s="418"/>
      <c r="J118" s="1112"/>
      <c r="K118" s="312"/>
      <c r="L118" s="312"/>
      <c r="M118" s="312"/>
      <c r="N118" s="312"/>
      <c r="O118" s="312"/>
      <c r="P118" s="312"/>
      <c r="Q118" s="312"/>
      <c r="R118" s="312"/>
      <c r="S118" s="312"/>
      <c r="T118" s="312"/>
      <c r="U118" s="312"/>
      <c r="V118" s="312"/>
      <c r="W118" s="312"/>
      <c r="X118" s="312"/>
      <c r="Y118" s="312"/>
      <c r="Z118" s="312"/>
      <c r="AA118" s="312"/>
      <c r="AB118" s="312"/>
      <c r="AC118" s="312"/>
      <c r="AD118" s="312"/>
      <c r="AE118" s="312"/>
      <c r="AF118" s="312"/>
      <c r="AG118" s="418"/>
      <c r="AH118" s="312"/>
      <c r="AI118" s="312"/>
      <c r="AJ118" s="312"/>
      <c r="AK118" s="312"/>
      <c r="AL118" s="312"/>
      <c r="AM118" s="312"/>
      <c r="AN118" s="312"/>
      <c r="AO118" s="312"/>
      <c r="AP118" s="312"/>
      <c r="AQ118" s="418"/>
      <c r="AR118" s="418"/>
      <c r="AS118" s="418"/>
      <c r="AT118" s="418"/>
      <c r="AU118" s="418"/>
      <c r="AV118" s="418"/>
      <c r="AW118" s="418"/>
      <c r="AX118" s="418"/>
      <c r="AY118" s="418"/>
      <c r="AZ118" s="418"/>
      <c r="BA118" s="418"/>
      <c r="BC118" s="307"/>
    </row>
    <row r="119" spans="2:55" ht="15.75" customHeight="1">
      <c r="C119" s="424"/>
      <c r="H119" s="467"/>
      <c r="I119" s="467"/>
      <c r="J119" s="469"/>
      <c r="K119" s="467"/>
      <c r="L119" s="467"/>
      <c r="M119" s="467"/>
      <c r="N119" s="467"/>
      <c r="O119" s="467"/>
      <c r="P119" s="467"/>
      <c r="Q119" s="467"/>
      <c r="R119" s="467"/>
      <c r="S119" s="467"/>
      <c r="T119" s="467"/>
      <c r="U119" s="467"/>
      <c r="V119" s="467"/>
      <c r="W119" s="467"/>
      <c r="X119" s="467"/>
      <c r="Y119" s="467"/>
      <c r="Z119" s="467"/>
      <c r="AA119" s="467"/>
      <c r="AB119" s="467"/>
      <c r="AC119" s="467"/>
      <c r="AD119" s="467"/>
      <c r="AE119" s="467"/>
      <c r="AF119" s="467"/>
      <c r="AG119" s="467"/>
      <c r="AH119" s="467"/>
      <c r="AI119" s="467"/>
      <c r="AJ119" s="467"/>
      <c r="AK119" s="467"/>
      <c r="AL119" s="467"/>
      <c r="AM119" s="467"/>
      <c r="AN119" s="312"/>
      <c r="AO119" s="312"/>
      <c r="AP119" s="312"/>
      <c r="BC119" s="307"/>
    </row>
    <row r="120" spans="2:55" ht="15.75" customHeight="1">
      <c r="C120" s="424"/>
      <c r="H120" s="467"/>
      <c r="I120" s="467"/>
      <c r="J120" s="469"/>
      <c r="K120" s="467"/>
      <c r="L120" s="467"/>
      <c r="M120" s="467"/>
      <c r="N120" s="467"/>
      <c r="O120" s="467"/>
      <c r="P120" s="467"/>
      <c r="Q120" s="467"/>
      <c r="R120" s="467"/>
      <c r="S120" s="467"/>
      <c r="T120" s="467"/>
      <c r="U120" s="467"/>
      <c r="V120" s="467"/>
      <c r="W120" s="467"/>
      <c r="X120" s="467"/>
      <c r="Y120" s="467"/>
      <c r="Z120" s="467"/>
      <c r="AA120" s="467"/>
      <c r="AB120" s="467"/>
      <c r="AC120" s="467"/>
      <c r="AD120" s="467"/>
      <c r="AE120" s="467"/>
      <c r="AF120" s="467"/>
      <c r="AG120" s="467"/>
      <c r="AH120" s="467"/>
      <c r="AI120" s="467"/>
      <c r="AJ120" s="467"/>
      <c r="AK120" s="467"/>
      <c r="AL120" s="467"/>
      <c r="AM120" s="467"/>
      <c r="AN120" s="312"/>
      <c r="AO120" s="312"/>
      <c r="AP120" s="312"/>
      <c r="BC120" s="307"/>
    </row>
    <row r="121" spans="2:55" ht="15.75" customHeight="1">
      <c r="C121" s="424"/>
      <c r="H121" s="467"/>
      <c r="I121" s="467"/>
      <c r="J121" s="469"/>
      <c r="K121" s="467"/>
      <c r="L121" s="467"/>
      <c r="M121" s="467"/>
      <c r="N121" s="467"/>
      <c r="O121" s="467"/>
      <c r="P121" s="467"/>
      <c r="Q121" s="467"/>
      <c r="R121" s="467"/>
      <c r="S121" s="467"/>
      <c r="T121" s="467"/>
      <c r="U121" s="467"/>
      <c r="V121" s="467"/>
      <c r="W121" s="467"/>
      <c r="X121" s="467"/>
      <c r="Y121" s="467"/>
      <c r="Z121" s="467"/>
      <c r="AA121" s="467"/>
      <c r="AB121" s="467"/>
      <c r="AC121" s="467"/>
      <c r="AD121" s="467"/>
      <c r="AE121" s="467"/>
      <c r="AF121" s="467"/>
      <c r="AG121" s="467"/>
      <c r="AH121" s="467"/>
      <c r="AI121" s="467"/>
      <c r="AJ121" s="467"/>
      <c r="AK121" s="467"/>
      <c r="AL121" s="467"/>
      <c r="AM121" s="467"/>
      <c r="AN121" s="312"/>
      <c r="AO121" s="312"/>
      <c r="AP121" s="312"/>
      <c r="BC121" s="307"/>
    </row>
    <row r="122" spans="2:55" ht="15.75" customHeight="1">
      <c r="C122" s="424"/>
      <c r="H122" s="467"/>
      <c r="I122" s="467"/>
      <c r="J122" s="469"/>
      <c r="K122" s="467"/>
      <c r="L122" s="467"/>
      <c r="M122" s="467"/>
      <c r="N122" s="467"/>
      <c r="O122" s="467"/>
      <c r="P122" s="467"/>
      <c r="Q122" s="467"/>
      <c r="R122" s="467"/>
      <c r="S122" s="467"/>
      <c r="T122" s="467"/>
      <c r="U122" s="467"/>
      <c r="V122" s="467"/>
      <c r="W122" s="467"/>
      <c r="X122" s="467"/>
      <c r="Y122" s="467"/>
      <c r="Z122" s="467"/>
      <c r="AA122" s="467"/>
      <c r="AB122" s="467"/>
      <c r="AC122" s="467"/>
      <c r="AD122" s="467"/>
      <c r="AE122" s="467"/>
      <c r="AF122" s="467"/>
      <c r="AG122" s="467"/>
      <c r="AH122" s="467"/>
      <c r="AI122" s="467"/>
      <c r="AJ122" s="467"/>
      <c r="AK122" s="467"/>
      <c r="AL122" s="467"/>
      <c r="AM122" s="467"/>
      <c r="AN122" s="312"/>
      <c r="AO122" s="312"/>
      <c r="AP122" s="312"/>
      <c r="BC122" s="307"/>
    </row>
    <row r="123" spans="2:55" ht="15.75" customHeight="1">
      <c r="C123" s="424"/>
      <c r="H123" s="467"/>
      <c r="I123" s="467"/>
      <c r="J123" s="469"/>
      <c r="K123" s="467"/>
      <c r="L123" s="467"/>
      <c r="M123" s="467"/>
      <c r="N123" s="467"/>
      <c r="O123" s="467"/>
      <c r="P123" s="467"/>
      <c r="Q123" s="467"/>
      <c r="R123" s="467"/>
      <c r="S123" s="467"/>
      <c r="T123" s="467"/>
      <c r="U123" s="467"/>
      <c r="V123" s="467"/>
      <c r="W123" s="467"/>
      <c r="X123" s="467"/>
      <c r="Y123" s="467"/>
      <c r="Z123" s="467"/>
      <c r="AA123" s="467"/>
      <c r="AB123" s="467"/>
      <c r="AC123" s="467"/>
      <c r="AD123" s="467"/>
      <c r="AE123" s="467"/>
      <c r="AF123" s="467"/>
      <c r="AG123" s="467"/>
      <c r="AH123" s="467"/>
      <c r="AI123" s="467"/>
      <c r="AJ123" s="467"/>
      <c r="AK123" s="467"/>
      <c r="AL123" s="467"/>
      <c r="AM123" s="467"/>
      <c r="AN123" s="418"/>
      <c r="AO123" s="418"/>
      <c r="AP123" s="418"/>
      <c r="AQ123" s="418"/>
      <c r="AR123" s="418"/>
      <c r="AS123" s="418"/>
      <c r="AT123" s="418"/>
      <c r="AU123" s="418"/>
      <c r="AV123" s="418"/>
      <c r="AW123" s="418"/>
      <c r="AX123" s="418"/>
      <c r="AY123" s="418"/>
      <c r="AZ123" s="418"/>
      <c r="BA123" s="418"/>
      <c r="BC123" s="307"/>
    </row>
    <row r="124" spans="2:55" ht="15.75" customHeight="1">
      <c r="C124" s="424"/>
      <c r="H124" s="467"/>
      <c r="I124" s="467"/>
      <c r="J124" s="469"/>
      <c r="K124" s="467"/>
      <c r="L124" s="467"/>
      <c r="M124" s="467"/>
      <c r="N124" s="467"/>
      <c r="O124" s="467"/>
      <c r="P124" s="467"/>
      <c r="Q124" s="467"/>
      <c r="R124" s="467"/>
      <c r="S124" s="467"/>
      <c r="T124" s="467"/>
      <c r="U124" s="467"/>
      <c r="V124" s="467"/>
      <c r="W124" s="467"/>
      <c r="X124" s="467"/>
      <c r="Y124" s="467"/>
      <c r="Z124" s="467"/>
      <c r="AA124" s="467"/>
      <c r="AB124" s="467"/>
      <c r="AC124" s="467"/>
      <c r="AD124" s="467"/>
      <c r="AE124" s="467"/>
      <c r="AF124" s="467"/>
      <c r="AG124" s="467"/>
      <c r="AH124" s="467"/>
      <c r="AI124" s="467"/>
      <c r="AJ124" s="467"/>
      <c r="AK124" s="467"/>
      <c r="AL124" s="467"/>
      <c r="AM124" s="467"/>
      <c r="AN124" s="418"/>
      <c r="AO124" s="418"/>
      <c r="AP124" s="418"/>
      <c r="AQ124" s="418"/>
      <c r="AR124" s="418"/>
      <c r="AS124" s="418"/>
      <c r="AT124" s="418"/>
      <c r="AU124" s="418"/>
      <c r="AV124" s="418"/>
      <c r="AW124" s="418"/>
      <c r="AX124" s="418"/>
      <c r="AY124" s="418"/>
      <c r="AZ124" s="418"/>
      <c r="BA124" s="418"/>
      <c r="BC124" s="307"/>
    </row>
    <row r="125" spans="2:55" ht="15.75" customHeight="1">
      <c r="C125" s="424"/>
      <c r="H125" s="467"/>
      <c r="I125" s="467"/>
      <c r="J125" s="469"/>
      <c r="K125" s="467"/>
      <c r="L125" s="467"/>
      <c r="M125" s="467"/>
      <c r="N125" s="467"/>
      <c r="O125" s="467"/>
      <c r="P125" s="467"/>
      <c r="Q125" s="467"/>
      <c r="R125" s="467"/>
      <c r="S125" s="467"/>
      <c r="T125" s="467"/>
      <c r="U125" s="467"/>
      <c r="V125" s="467"/>
      <c r="W125" s="467"/>
      <c r="X125" s="467"/>
      <c r="Y125" s="467"/>
      <c r="Z125" s="467"/>
      <c r="AA125" s="467"/>
      <c r="AB125" s="467"/>
      <c r="AC125" s="467"/>
      <c r="AD125" s="467"/>
      <c r="AE125" s="467"/>
      <c r="AF125" s="467"/>
      <c r="AG125" s="467"/>
      <c r="AH125" s="467"/>
      <c r="AI125" s="467"/>
      <c r="AJ125" s="467"/>
      <c r="AK125" s="467"/>
      <c r="AL125" s="467"/>
      <c r="AM125" s="467"/>
      <c r="AN125" s="418"/>
      <c r="AO125" s="418"/>
      <c r="AP125" s="418"/>
      <c r="AQ125" s="418"/>
      <c r="AR125" s="418"/>
      <c r="AS125" s="418"/>
      <c r="AT125" s="418"/>
      <c r="AU125" s="418"/>
      <c r="AV125" s="418"/>
      <c r="AW125" s="418"/>
      <c r="AX125" s="418"/>
      <c r="AY125" s="418"/>
      <c r="AZ125" s="418"/>
      <c r="BA125" s="418"/>
      <c r="BC125" s="307"/>
    </row>
    <row r="126" spans="2:55" ht="15.75" customHeight="1">
      <c r="C126" s="424"/>
      <c r="H126" s="467"/>
      <c r="I126" s="467"/>
      <c r="J126" s="469"/>
      <c r="K126" s="467"/>
      <c r="L126" s="467"/>
      <c r="M126" s="467"/>
      <c r="N126" s="467"/>
      <c r="O126" s="467"/>
      <c r="P126" s="467"/>
      <c r="Q126" s="467"/>
      <c r="R126" s="467"/>
      <c r="S126" s="467"/>
      <c r="T126" s="467"/>
      <c r="U126" s="467"/>
      <c r="V126" s="467"/>
      <c r="W126" s="467"/>
      <c r="X126" s="467"/>
      <c r="Y126" s="467"/>
      <c r="Z126" s="467"/>
      <c r="AA126" s="467"/>
      <c r="AB126" s="467"/>
      <c r="AC126" s="467"/>
      <c r="AD126" s="467"/>
      <c r="AE126" s="467"/>
      <c r="AF126" s="467"/>
      <c r="AG126" s="467"/>
      <c r="AH126" s="467"/>
      <c r="AI126" s="467"/>
      <c r="AJ126" s="467"/>
      <c r="AK126" s="467"/>
      <c r="AL126" s="467"/>
      <c r="AM126" s="467"/>
      <c r="AN126" s="418"/>
      <c r="AO126" s="418"/>
      <c r="AP126" s="418"/>
      <c r="AQ126" s="418"/>
      <c r="AR126" s="418"/>
      <c r="AS126" s="418"/>
      <c r="AT126" s="418"/>
      <c r="AU126" s="418"/>
      <c r="AV126" s="418"/>
      <c r="AW126" s="418"/>
      <c r="AX126" s="418"/>
      <c r="AY126" s="418"/>
      <c r="AZ126" s="418"/>
      <c r="BA126" s="418"/>
      <c r="BC126" s="307"/>
    </row>
    <row r="127" spans="2:55" ht="15.75" customHeight="1">
      <c r="C127" s="424"/>
      <c r="H127" s="467"/>
      <c r="I127" s="467"/>
      <c r="J127" s="469"/>
      <c r="K127" s="467"/>
      <c r="L127" s="467"/>
      <c r="M127" s="467"/>
      <c r="N127" s="467"/>
      <c r="O127" s="467"/>
      <c r="P127" s="467"/>
      <c r="Q127" s="467"/>
      <c r="R127" s="467"/>
      <c r="S127" s="467"/>
      <c r="T127" s="467"/>
      <c r="U127" s="467"/>
      <c r="V127" s="467"/>
      <c r="W127" s="467"/>
      <c r="X127" s="467"/>
      <c r="Y127" s="467"/>
      <c r="Z127" s="467"/>
      <c r="AA127" s="467"/>
      <c r="AB127" s="467"/>
      <c r="AC127" s="467"/>
      <c r="AD127" s="467"/>
      <c r="AE127" s="467"/>
      <c r="AF127" s="467"/>
      <c r="AG127" s="467"/>
      <c r="AH127" s="467"/>
      <c r="AI127" s="467"/>
      <c r="AJ127" s="467"/>
      <c r="AK127" s="467"/>
      <c r="AL127" s="467"/>
      <c r="AM127" s="467"/>
      <c r="AN127" s="418"/>
      <c r="AO127" s="418"/>
      <c r="AP127" s="418"/>
      <c r="AQ127" s="418"/>
      <c r="AR127" s="418"/>
      <c r="AS127" s="418"/>
      <c r="AT127" s="418"/>
      <c r="AU127" s="418"/>
      <c r="AV127" s="418"/>
      <c r="AW127" s="418"/>
      <c r="AX127" s="418"/>
      <c r="AY127" s="418"/>
      <c r="AZ127" s="418"/>
      <c r="BA127" s="418"/>
      <c r="BC127" s="307"/>
    </row>
    <row r="128" spans="2:55" ht="15.75" customHeight="1">
      <c r="C128" s="424"/>
      <c r="H128" s="467"/>
      <c r="I128" s="467"/>
      <c r="J128" s="469"/>
      <c r="K128" s="467"/>
      <c r="L128" s="467"/>
      <c r="M128" s="467"/>
      <c r="N128" s="467"/>
      <c r="O128" s="467"/>
      <c r="P128" s="467"/>
      <c r="Q128" s="467"/>
      <c r="R128" s="467"/>
      <c r="S128" s="467"/>
      <c r="T128" s="467"/>
      <c r="U128" s="467"/>
      <c r="V128" s="467"/>
      <c r="W128" s="467"/>
      <c r="X128" s="467"/>
      <c r="Y128" s="467"/>
      <c r="Z128" s="467"/>
      <c r="AA128" s="467"/>
      <c r="AB128" s="467"/>
      <c r="AC128" s="467"/>
      <c r="AD128" s="467"/>
      <c r="AE128" s="467"/>
      <c r="AF128" s="467"/>
      <c r="AG128" s="467"/>
      <c r="AH128" s="467"/>
      <c r="AI128" s="467"/>
      <c r="AJ128" s="467"/>
      <c r="AK128" s="467"/>
      <c r="AL128" s="467"/>
      <c r="AM128" s="467"/>
      <c r="AN128" s="418"/>
      <c r="AO128" s="418"/>
      <c r="AP128" s="418"/>
      <c r="AQ128" s="418"/>
      <c r="AR128" s="418"/>
      <c r="AS128" s="418"/>
      <c r="AT128" s="418"/>
      <c r="AU128" s="418"/>
      <c r="AV128" s="418"/>
      <c r="AW128" s="418"/>
      <c r="AX128" s="418"/>
      <c r="AY128" s="418"/>
      <c r="AZ128" s="418"/>
      <c r="BA128" s="418"/>
      <c r="BC128" s="307"/>
    </row>
    <row r="129" spans="3:57" ht="15.75" customHeight="1">
      <c r="C129" s="424"/>
      <c r="H129" s="467"/>
      <c r="I129" s="467"/>
      <c r="J129" s="469"/>
      <c r="K129" s="467"/>
      <c r="L129" s="467"/>
      <c r="M129" s="467"/>
      <c r="N129" s="467"/>
      <c r="O129" s="467"/>
      <c r="P129" s="467"/>
      <c r="Q129" s="467"/>
      <c r="R129" s="467"/>
      <c r="S129" s="467"/>
      <c r="T129" s="467"/>
      <c r="U129" s="467"/>
      <c r="V129" s="467"/>
      <c r="W129" s="467"/>
      <c r="X129" s="467"/>
      <c r="Y129" s="467"/>
      <c r="Z129" s="467"/>
      <c r="AA129" s="467"/>
      <c r="AB129" s="467"/>
      <c r="AC129" s="467"/>
      <c r="AD129" s="467"/>
      <c r="AE129" s="467"/>
      <c r="AF129" s="467"/>
      <c r="AG129" s="467"/>
      <c r="AH129" s="467"/>
      <c r="AI129" s="467"/>
      <c r="AJ129" s="467"/>
      <c r="AK129" s="467"/>
      <c r="AL129" s="467"/>
      <c r="AM129" s="467"/>
      <c r="AN129" s="418"/>
      <c r="AO129" s="418"/>
      <c r="AP129" s="418"/>
      <c r="AQ129" s="418"/>
      <c r="AR129" s="418"/>
      <c r="AS129" s="418"/>
      <c r="AT129" s="418"/>
      <c r="AU129" s="418"/>
      <c r="AV129" s="418"/>
      <c r="AW129" s="418"/>
      <c r="AX129" s="418"/>
      <c r="AY129" s="418"/>
      <c r="AZ129" s="418"/>
      <c r="BA129" s="418"/>
      <c r="BC129" s="307"/>
    </row>
    <row r="130" spans="3:57" ht="15.75" customHeight="1">
      <c r="C130" s="424"/>
      <c r="H130" s="467"/>
      <c r="I130" s="467"/>
      <c r="J130" s="469"/>
      <c r="K130" s="467"/>
      <c r="L130" s="467"/>
      <c r="M130" s="467"/>
      <c r="N130" s="467"/>
      <c r="O130" s="467"/>
      <c r="P130" s="467"/>
      <c r="Q130" s="467"/>
      <c r="R130" s="467"/>
      <c r="S130" s="467"/>
      <c r="T130" s="467"/>
      <c r="U130" s="467"/>
      <c r="V130" s="467"/>
      <c r="W130" s="467"/>
      <c r="X130" s="467"/>
      <c r="Y130" s="467"/>
      <c r="Z130" s="467"/>
      <c r="AA130" s="467"/>
      <c r="AB130" s="467"/>
      <c r="AC130" s="467"/>
      <c r="AD130" s="467"/>
      <c r="AE130" s="467"/>
      <c r="AF130" s="467"/>
      <c r="AG130" s="467"/>
      <c r="AH130" s="467"/>
      <c r="AI130" s="467"/>
      <c r="AJ130" s="467"/>
      <c r="AK130" s="467"/>
      <c r="AL130" s="467"/>
      <c r="AM130" s="467"/>
      <c r="AN130" s="418"/>
      <c r="AO130" s="418"/>
      <c r="AP130" s="418"/>
      <c r="AQ130" s="418"/>
      <c r="AR130" s="418"/>
      <c r="AS130" s="418"/>
      <c r="AT130" s="418"/>
      <c r="AU130" s="418"/>
      <c r="AV130" s="418"/>
      <c r="AW130" s="418"/>
      <c r="AX130" s="418"/>
      <c r="AY130" s="418"/>
      <c r="AZ130" s="418"/>
      <c r="BA130" s="418"/>
      <c r="BC130" s="307"/>
    </row>
    <row r="131" spans="3:57" ht="15.75" customHeight="1">
      <c r="C131" s="424"/>
      <c r="H131" s="467"/>
      <c r="I131" s="467"/>
      <c r="J131" s="469"/>
      <c r="K131" s="467"/>
      <c r="L131" s="467"/>
      <c r="M131" s="467"/>
      <c r="N131" s="467"/>
      <c r="O131" s="467"/>
      <c r="P131" s="467"/>
      <c r="Q131" s="467"/>
      <c r="R131" s="467"/>
      <c r="S131" s="467"/>
      <c r="T131" s="467"/>
      <c r="U131" s="467"/>
      <c r="V131" s="467"/>
      <c r="W131" s="467"/>
      <c r="X131" s="467"/>
      <c r="Y131" s="467"/>
      <c r="Z131" s="467"/>
      <c r="AA131" s="467"/>
      <c r="AB131" s="467"/>
      <c r="AC131" s="467"/>
      <c r="AD131" s="467"/>
      <c r="AE131" s="467"/>
      <c r="AF131" s="467"/>
      <c r="AG131" s="467"/>
      <c r="AH131" s="467"/>
      <c r="AI131" s="467"/>
      <c r="AJ131" s="467"/>
      <c r="AK131" s="467"/>
      <c r="AL131" s="467"/>
      <c r="AM131" s="467"/>
      <c r="AN131" s="418"/>
      <c r="AO131" s="418"/>
      <c r="AP131" s="418"/>
      <c r="AQ131" s="418"/>
      <c r="AR131" s="418"/>
      <c r="AS131" s="418"/>
      <c r="AT131" s="418"/>
      <c r="AU131" s="418"/>
      <c r="AV131" s="418"/>
      <c r="AW131" s="418"/>
      <c r="AX131" s="418"/>
      <c r="AY131" s="418"/>
      <c r="AZ131" s="418"/>
      <c r="BA131" s="418"/>
      <c r="BC131" s="307"/>
    </row>
    <row r="132" spans="3:57" ht="15.75" customHeight="1">
      <c r="C132" s="424"/>
      <c r="H132" s="467"/>
      <c r="I132" s="467"/>
      <c r="J132" s="469"/>
      <c r="K132" s="467"/>
      <c r="L132" s="467"/>
      <c r="M132" s="467"/>
      <c r="N132" s="467"/>
      <c r="O132" s="467"/>
      <c r="P132" s="467"/>
      <c r="Q132" s="467"/>
      <c r="R132" s="467"/>
      <c r="S132" s="467"/>
      <c r="T132" s="467"/>
      <c r="U132" s="467"/>
      <c r="V132" s="467"/>
      <c r="W132" s="467"/>
      <c r="X132" s="467"/>
      <c r="Y132" s="467"/>
      <c r="Z132" s="467"/>
      <c r="AA132" s="467"/>
      <c r="AB132" s="467"/>
      <c r="AC132" s="467"/>
      <c r="AD132" s="467"/>
      <c r="AE132" s="467"/>
      <c r="AF132" s="467"/>
      <c r="AG132" s="467"/>
      <c r="AH132" s="467"/>
      <c r="AI132" s="467"/>
      <c r="AJ132" s="467"/>
      <c r="AK132" s="467"/>
      <c r="AL132" s="467"/>
      <c r="AM132" s="467"/>
      <c r="AN132" s="418"/>
      <c r="AO132" s="418"/>
      <c r="AP132" s="418"/>
      <c r="AQ132" s="418"/>
      <c r="AR132" s="418"/>
      <c r="AS132" s="418"/>
      <c r="AT132" s="418"/>
      <c r="AU132" s="418"/>
      <c r="AV132" s="418"/>
      <c r="AW132" s="418"/>
      <c r="AX132" s="418"/>
      <c r="AY132" s="418"/>
      <c r="AZ132" s="418"/>
      <c r="BA132" s="418"/>
      <c r="BC132" s="307"/>
    </row>
    <row r="133" spans="3:57" ht="15.75" customHeight="1">
      <c r="C133" s="424"/>
      <c r="H133" s="467"/>
      <c r="I133" s="467"/>
      <c r="J133" s="469"/>
      <c r="K133" s="467"/>
      <c r="L133" s="467"/>
      <c r="M133" s="467"/>
      <c r="N133" s="467"/>
      <c r="O133" s="467"/>
      <c r="P133" s="467"/>
      <c r="Q133" s="467"/>
      <c r="R133" s="467"/>
      <c r="S133" s="467"/>
      <c r="T133" s="467"/>
      <c r="U133" s="467"/>
      <c r="V133" s="467"/>
      <c r="W133" s="467"/>
      <c r="X133" s="467"/>
      <c r="Y133" s="467"/>
      <c r="Z133" s="467"/>
      <c r="AA133" s="467"/>
      <c r="AB133" s="467"/>
      <c r="AC133" s="467"/>
      <c r="AD133" s="467"/>
      <c r="AE133" s="467"/>
      <c r="AF133" s="467"/>
      <c r="AG133" s="467"/>
      <c r="AH133" s="467"/>
      <c r="AI133" s="467"/>
      <c r="AJ133" s="467"/>
      <c r="AK133" s="467"/>
      <c r="AL133" s="467"/>
      <c r="AM133" s="467"/>
      <c r="AN133" s="418"/>
      <c r="AO133" s="418"/>
      <c r="AP133" s="418"/>
      <c r="AQ133" s="418"/>
      <c r="AR133" s="418"/>
      <c r="AS133" s="418"/>
      <c r="AT133" s="418"/>
      <c r="AU133" s="418"/>
      <c r="AV133" s="418"/>
      <c r="AW133" s="418"/>
      <c r="AX133" s="418"/>
      <c r="AY133" s="418"/>
      <c r="AZ133" s="418"/>
      <c r="BA133" s="418"/>
      <c r="BC133" s="307"/>
    </row>
    <row r="134" spans="3:57" ht="15.75" customHeight="1">
      <c r="C134" s="424"/>
      <c r="H134" s="467"/>
      <c r="I134" s="467"/>
      <c r="J134" s="469"/>
      <c r="K134" s="467"/>
      <c r="L134" s="467"/>
      <c r="M134" s="467"/>
      <c r="N134" s="467"/>
      <c r="O134" s="467"/>
      <c r="P134" s="467"/>
      <c r="Q134" s="467"/>
      <c r="R134" s="467"/>
      <c r="S134" s="467"/>
      <c r="T134" s="467"/>
      <c r="U134" s="467"/>
      <c r="V134" s="467"/>
      <c r="W134" s="467"/>
      <c r="X134" s="467"/>
      <c r="Y134" s="467"/>
      <c r="Z134" s="467"/>
      <c r="AA134" s="467"/>
      <c r="AB134" s="467"/>
      <c r="AC134" s="467"/>
      <c r="AD134" s="467"/>
      <c r="AE134" s="467"/>
      <c r="AF134" s="467"/>
      <c r="AG134" s="467"/>
      <c r="AH134" s="467"/>
      <c r="AI134" s="467"/>
      <c r="AJ134" s="467"/>
      <c r="AK134" s="467"/>
      <c r="AL134" s="467"/>
      <c r="AM134" s="467"/>
      <c r="AN134" s="418"/>
      <c r="AO134" s="418"/>
      <c r="AP134" s="418"/>
      <c r="AQ134" s="418"/>
      <c r="AR134" s="418"/>
      <c r="AS134" s="418"/>
      <c r="AT134" s="418"/>
      <c r="AU134" s="418"/>
      <c r="AV134" s="418"/>
      <c r="AW134" s="418"/>
      <c r="AX134" s="418"/>
      <c r="AY134" s="418"/>
      <c r="AZ134" s="418"/>
      <c r="BA134" s="418"/>
      <c r="BC134" s="307"/>
    </row>
    <row r="135" spans="3:57" ht="15.75" customHeight="1">
      <c r="C135" s="424"/>
      <c r="H135" s="467"/>
      <c r="I135" s="467"/>
      <c r="J135" s="469"/>
      <c r="K135" s="467"/>
      <c r="L135" s="467"/>
      <c r="M135" s="467"/>
      <c r="N135" s="467"/>
      <c r="O135" s="467"/>
      <c r="P135" s="467"/>
      <c r="Q135" s="467"/>
      <c r="R135" s="467"/>
      <c r="S135" s="467"/>
      <c r="T135" s="467"/>
      <c r="U135" s="467"/>
      <c r="V135" s="467"/>
      <c r="W135" s="467"/>
      <c r="X135" s="467"/>
      <c r="Y135" s="467"/>
      <c r="Z135" s="467"/>
      <c r="AA135" s="467"/>
      <c r="AB135" s="467"/>
      <c r="AC135" s="467"/>
      <c r="AD135" s="467"/>
      <c r="AE135" s="467"/>
      <c r="AF135" s="467"/>
      <c r="AG135" s="467"/>
      <c r="AH135" s="467"/>
      <c r="AI135" s="467"/>
      <c r="AJ135" s="467"/>
      <c r="AK135" s="467"/>
      <c r="AL135" s="467"/>
      <c r="AM135" s="467"/>
      <c r="AN135" s="418"/>
      <c r="AO135" s="418"/>
      <c r="AP135" s="418"/>
      <c r="AQ135" s="418"/>
      <c r="AR135" s="418"/>
      <c r="AS135" s="418"/>
      <c r="AT135" s="418"/>
      <c r="AU135" s="418"/>
      <c r="AV135" s="418"/>
      <c r="AW135" s="418"/>
      <c r="AX135" s="418"/>
      <c r="AY135" s="418"/>
      <c r="AZ135" s="418"/>
      <c r="BA135" s="418"/>
      <c r="BC135" s="307"/>
    </row>
    <row r="136" spans="3:57" ht="15.75" customHeight="1">
      <c r="C136" s="424"/>
      <c r="H136" s="467"/>
      <c r="I136" s="467"/>
      <c r="J136" s="469"/>
      <c r="K136" s="467"/>
      <c r="L136" s="467"/>
      <c r="M136" s="467"/>
      <c r="N136" s="467"/>
      <c r="O136" s="467"/>
      <c r="P136" s="467"/>
      <c r="Q136" s="467"/>
      <c r="R136" s="467"/>
      <c r="S136" s="467"/>
      <c r="T136" s="467"/>
      <c r="U136" s="467"/>
      <c r="V136" s="467"/>
      <c r="W136" s="467"/>
      <c r="X136" s="467"/>
      <c r="Y136" s="467"/>
      <c r="Z136" s="467"/>
      <c r="AA136" s="467"/>
      <c r="AB136" s="467"/>
      <c r="AC136" s="467"/>
      <c r="AD136" s="467"/>
      <c r="AE136" s="467"/>
      <c r="AF136" s="467"/>
      <c r="AG136" s="467"/>
      <c r="AH136" s="467"/>
      <c r="AI136" s="467"/>
      <c r="AJ136" s="467"/>
      <c r="AK136" s="467"/>
      <c r="AL136" s="467"/>
      <c r="AM136" s="467"/>
      <c r="AN136" s="418"/>
      <c r="AO136" s="418"/>
      <c r="AP136" s="418"/>
      <c r="AQ136" s="418"/>
      <c r="AR136" s="418"/>
      <c r="AS136" s="418"/>
      <c r="AT136" s="418"/>
      <c r="AU136" s="418"/>
      <c r="AV136" s="418"/>
      <c r="AW136" s="418"/>
      <c r="AX136" s="418"/>
      <c r="AY136" s="418"/>
      <c r="AZ136" s="418"/>
      <c r="BA136" s="418"/>
      <c r="BC136" s="307"/>
    </row>
    <row r="137" spans="3:57" ht="15.75" customHeight="1">
      <c r="C137" s="424"/>
      <c r="H137" s="467"/>
      <c r="I137" s="467"/>
      <c r="J137" s="469"/>
      <c r="K137" s="467"/>
      <c r="L137" s="467"/>
      <c r="M137" s="467"/>
      <c r="N137" s="467"/>
      <c r="O137" s="467"/>
      <c r="P137" s="467"/>
      <c r="Q137" s="467"/>
      <c r="R137" s="467"/>
      <c r="S137" s="467"/>
      <c r="T137" s="467"/>
      <c r="U137" s="467"/>
      <c r="V137" s="467"/>
      <c r="W137" s="467"/>
      <c r="X137" s="467"/>
      <c r="Y137" s="467"/>
      <c r="Z137" s="467"/>
      <c r="AA137" s="467"/>
      <c r="AB137" s="467"/>
      <c r="AC137" s="467"/>
      <c r="AD137" s="467"/>
      <c r="AE137" s="467"/>
      <c r="AF137" s="467"/>
      <c r="AG137" s="467"/>
      <c r="AH137" s="467"/>
      <c r="AI137" s="467"/>
      <c r="AJ137" s="467"/>
      <c r="AK137" s="467"/>
      <c r="AL137" s="467"/>
      <c r="AM137" s="467"/>
      <c r="AN137" s="418"/>
      <c r="AO137" s="418"/>
      <c r="AP137" s="418"/>
      <c r="AQ137" s="418"/>
      <c r="AR137" s="418"/>
      <c r="AS137" s="418"/>
      <c r="AT137" s="418"/>
      <c r="AU137" s="418"/>
      <c r="AV137" s="418"/>
      <c r="AW137" s="418"/>
      <c r="AX137" s="418"/>
      <c r="AY137" s="418"/>
      <c r="AZ137" s="418"/>
      <c r="BA137" s="418"/>
      <c r="BC137" s="307"/>
    </row>
    <row r="138" spans="3:57" ht="15.75" customHeight="1">
      <c r="C138" s="424"/>
      <c r="H138" s="467"/>
      <c r="I138" s="467"/>
      <c r="J138" s="469"/>
      <c r="K138" s="467"/>
      <c r="L138" s="467"/>
      <c r="M138" s="467"/>
      <c r="N138" s="467"/>
      <c r="O138" s="467"/>
      <c r="P138" s="467"/>
      <c r="Q138" s="467"/>
      <c r="R138" s="467"/>
      <c r="S138" s="467"/>
      <c r="T138" s="467"/>
      <c r="U138" s="467"/>
      <c r="V138" s="467"/>
      <c r="W138" s="467"/>
      <c r="X138" s="467"/>
      <c r="Y138" s="467"/>
      <c r="Z138" s="467"/>
      <c r="AA138" s="467"/>
      <c r="AB138" s="467"/>
      <c r="AC138" s="467"/>
      <c r="AD138" s="467"/>
      <c r="AE138" s="467"/>
      <c r="AF138" s="467"/>
      <c r="AG138" s="467"/>
      <c r="AH138" s="467"/>
      <c r="AI138" s="467"/>
      <c r="AJ138" s="467"/>
      <c r="AK138" s="467"/>
      <c r="AL138" s="467"/>
      <c r="AM138" s="467"/>
      <c r="AN138" s="418"/>
      <c r="AO138" s="418"/>
      <c r="AP138" s="418"/>
      <c r="AQ138" s="418"/>
      <c r="AR138" s="418"/>
      <c r="AS138" s="418"/>
      <c r="AT138" s="418"/>
      <c r="AU138" s="418"/>
      <c r="AV138" s="418"/>
      <c r="AW138" s="418"/>
      <c r="AX138" s="418"/>
      <c r="AY138" s="418"/>
      <c r="AZ138" s="418"/>
      <c r="BA138" s="418"/>
      <c r="BC138" s="307"/>
    </row>
    <row r="139" spans="3:57" ht="15.75" customHeight="1">
      <c r="C139" s="424"/>
      <c r="H139" s="467"/>
      <c r="I139" s="467"/>
      <c r="J139" s="469"/>
      <c r="K139" s="467"/>
      <c r="L139" s="467"/>
      <c r="M139" s="467"/>
      <c r="N139" s="467"/>
      <c r="O139" s="467"/>
      <c r="P139" s="467"/>
      <c r="Q139" s="467"/>
      <c r="R139" s="467"/>
      <c r="S139" s="467"/>
      <c r="T139" s="467"/>
      <c r="U139" s="467"/>
      <c r="V139" s="467"/>
      <c r="W139" s="467"/>
      <c r="X139" s="467"/>
      <c r="Y139" s="467"/>
      <c r="Z139" s="467"/>
      <c r="AA139" s="467"/>
      <c r="AB139" s="467"/>
      <c r="AC139" s="467"/>
      <c r="AD139" s="467"/>
      <c r="AE139" s="467"/>
      <c r="AF139" s="467"/>
      <c r="AG139" s="467"/>
      <c r="AH139" s="467"/>
      <c r="AI139" s="467"/>
      <c r="AJ139" s="467"/>
      <c r="AK139" s="467"/>
      <c r="AL139" s="467"/>
      <c r="AM139" s="467"/>
      <c r="AN139" s="418"/>
      <c r="AO139" s="418"/>
      <c r="AP139" s="418"/>
      <c r="AQ139" s="418"/>
      <c r="AR139" s="418"/>
      <c r="AS139" s="418"/>
      <c r="AT139" s="418"/>
      <c r="AU139" s="418"/>
      <c r="AV139" s="418"/>
      <c r="AW139" s="418"/>
      <c r="AX139" s="418"/>
      <c r="AY139" s="418"/>
      <c r="AZ139" s="418"/>
      <c r="BA139" s="418"/>
      <c r="BC139" s="307"/>
    </row>
    <row r="140" spans="3:57" ht="15.75" customHeight="1">
      <c r="C140" s="424"/>
      <c r="H140" s="467"/>
      <c r="I140" s="467"/>
      <c r="J140" s="469"/>
      <c r="K140" s="467"/>
      <c r="L140" s="467"/>
      <c r="M140" s="467"/>
      <c r="N140" s="467"/>
      <c r="O140" s="467"/>
      <c r="P140" s="467"/>
      <c r="Q140" s="467"/>
      <c r="R140" s="467"/>
      <c r="S140" s="467"/>
      <c r="T140" s="467"/>
      <c r="U140" s="467"/>
      <c r="V140" s="467"/>
      <c r="W140" s="467"/>
      <c r="X140" s="467"/>
      <c r="Y140" s="467"/>
      <c r="Z140" s="467"/>
      <c r="AA140" s="467"/>
      <c r="AB140" s="467"/>
      <c r="AC140" s="467"/>
      <c r="AD140" s="467"/>
      <c r="AE140" s="467"/>
      <c r="AF140" s="467"/>
      <c r="AG140" s="467"/>
      <c r="AH140" s="467"/>
      <c r="AI140" s="467"/>
      <c r="AJ140" s="467"/>
      <c r="AK140" s="467"/>
      <c r="AL140" s="467"/>
      <c r="AM140" s="467"/>
      <c r="AN140" s="418"/>
      <c r="AO140" s="418"/>
      <c r="AP140" s="418"/>
      <c r="AQ140" s="418"/>
      <c r="AR140" s="418"/>
      <c r="AS140" s="418"/>
      <c r="AT140" s="418"/>
      <c r="AU140" s="418"/>
      <c r="AV140" s="418"/>
      <c r="AW140" s="418"/>
      <c r="AX140" s="418"/>
      <c r="AY140" s="418"/>
      <c r="AZ140" s="418"/>
      <c r="BA140" s="418"/>
      <c r="BC140" s="307"/>
    </row>
    <row r="141" spans="3:57" ht="15.75" customHeight="1">
      <c r="C141" s="424"/>
      <c r="H141" s="467"/>
      <c r="I141" s="467"/>
      <c r="J141" s="469"/>
      <c r="K141" s="467"/>
      <c r="L141" s="467"/>
      <c r="M141" s="467"/>
      <c r="N141" s="467"/>
      <c r="O141" s="467"/>
      <c r="P141" s="467"/>
      <c r="Q141" s="467"/>
      <c r="R141" s="467"/>
      <c r="S141" s="467"/>
      <c r="T141" s="467"/>
      <c r="U141" s="467"/>
      <c r="V141" s="467"/>
      <c r="W141" s="467"/>
      <c r="X141" s="467"/>
      <c r="Y141" s="467"/>
      <c r="Z141" s="467"/>
      <c r="AA141" s="467"/>
      <c r="AB141" s="467"/>
      <c r="AC141" s="467"/>
      <c r="AD141" s="467"/>
      <c r="AE141" s="467"/>
      <c r="AF141" s="467"/>
      <c r="AG141" s="467"/>
      <c r="AH141" s="467"/>
      <c r="AI141" s="467"/>
      <c r="AJ141" s="467"/>
      <c r="AK141" s="467"/>
      <c r="AL141" s="467"/>
      <c r="AM141" s="467"/>
      <c r="AN141" s="418"/>
      <c r="AO141" s="418"/>
      <c r="AP141" s="418"/>
      <c r="AQ141" s="418"/>
      <c r="AR141" s="418"/>
      <c r="AS141" s="418"/>
      <c r="AT141" s="418"/>
      <c r="AU141" s="418"/>
      <c r="AV141" s="418"/>
      <c r="AW141" s="418"/>
      <c r="AX141" s="418"/>
      <c r="AY141" s="418"/>
      <c r="AZ141" s="418"/>
      <c r="BA141" s="418"/>
      <c r="BC141" s="307"/>
      <c r="BE141" s="362"/>
    </row>
    <row r="142" spans="3:57" ht="15.75" customHeight="1">
      <c r="C142" s="424"/>
      <c r="H142" s="467"/>
      <c r="I142" s="467"/>
      <c r="J142" s="469"/>
      <c r="K142" s="467"/>
      <c r="L142" s="467"/>
      <c r="M142" s="467"/>
      <c r="N142" s="467"/>
      <c r="O142" s="467"/>
      <c r="P142" s="467"/>
      <c r="Q142" s="467"/>
      <c r="R142" s="467"/>
      <c r="S142" s="467"/>
      <c r="T142" s="467"/>
      <c r="U142" s="467"/>
      <c r="V142" s="467"/>
      <c r="W142" s="467"/>
      <c r="X142" s="467"/>
      <c r="Y142" s="467"/>
      <c r="Z142" s="467"/>
      <c r="AA142" s="467"/>
      <c r="AB142" s="467"/>
      <c r="AC142" s="467"/>
      <c r="AD142" s="467"/>
      <c r="AE142" s="467"/>
      <c r="AF142" s="467"/>
      <c r="AG142" s="467"/>
      <c r="AH142" s="467"/>
      <c r="AI142" s="467"/>
      <c r="AJ142" s="467"/>
      <c r="AK142" s="467"/>
      <c r="AL142" s="467"/>
      <c r="AM142" s="467"/>
      <c r="AN142" s="418"/>
      <c r="AO142" s="418"/>
      <c r="AP142" s="418"/>
      <c r="AQ142" s="418"/>
      <c r="AR142" s="418"/>
      <c r="AS142" s="418"/>
      <c r="AT142" s="418"/>
      <c r="AU142" s="418"/>
      <c r="AV142" s="418"/>
      <c r="AW142" s="418"/>
      <c r="AX142" s="418"/>
      <c r="AY142" s="418"/>
      <c r="AZ142" s="418"/>
      <c r="BA142" s="418"/>
      <c r="BC142" s="307"/>
      <c r="BD142" s="350"/>
    </row>
    <row r="143" spans="3:57" ht="15.75" customHeight="1">
      <c r="C143" s="424"/>
      <c r="AN143" s="418"/>
      <c r="AO143" s="418"/>
      <c r="AP143" s="418"/>
      <c r="AQ143" s="418"/>
      <c r="AR143" s="418"/>
      <c r="AS143" s="418"/>
      <c r="AT143" s="418"/>
      <c r="AU143" s="418"/>
      <c r="AV143" s="418"/>
      <c r="AW143" s="418"/>
      <c r="AX143" s="418"/>
      <c r="AY143" s="418"/>
      <c r="AZ143" s="418"/>
      <c r="BA143" s="418"/>
      <c r="BC143" s="307"/>
    </row>
    <row r="144" spans="3:57" ht="15.75" customHeight="1">
      <c r="C144" s="424"/>
      <c r="AN144" s="418"/>
      <c r="AO144" s="418"/>
      <c r="AP144" s="418"/>
      <c r="AQ144" s="418"/>
      <c r="AR144" s="418"/>
      <c r="AS144" s="418"/>
      <c r="AT144" s="418"/>
      <c r="AU144" s="418"/>
      <c r="AV144" s="418"/>
      <c r="AW144" s="418"/>
      <c r="AX144" s="418"/>
      <c r="AY144" s="418"/>
      <c r="AZ144" s="418"/>
      <c r="BA144" s="418"/>
      <c r="BC144" s="307"/>
    </row>
    <row r="145" spans="3:59" ht="15.75" customHeight="1">
      <c r="C145" s="424"/>
      <c r="AN145" s="418"/>
      <c r="AO145" s="418"/>
      <c r="AP145" s="418"/>
      <c r="AQ145" s="418"/>
      <c r="AR145" s="418"/>
      <c r="AS145" s="418"/>
      <c r="AT145" s="418"/>
      <c r="AU145" s="418"/>
      <c r="AV145" s="418"/>
      <c r="AW145" s="418"/>
      <c r="AX145" s="418"/>
      <c r="AY145" s="418"/>
      <c r="AZ145" s="418"/>
      <c r="BA145" s="418"/>
      <c r="BC145" s="307"/>
    </row>
    <row r="146" spans="3:59" ht="15.75" customHeight="1">
      <c r="C146" s="424"/>
      <c r="AN146" s="418"/>
      <c r="AO146" s="418"/>
      <c r="AP146" s="418"/>
      <c r="AQ146" s="418"/>
      <c r="AR146" s="418"/>
      <c r="AS146" s="418"/>
      <c r="AT146" s="418"/>
      <c r="AU146" s="418"/>
      <c r="AV146" s="418"/>
      <c r="AW146" s="418"/>
      <c r="AX146" s="418"/>
      <c r="AY146" s="418"/>
      <c r="AZ146" s="418"/>
      <c r="BA146" s="418"/>
      <c r="BC146" s="307"/>
      <c r="BF146" s="362"/>
      <c r="BG146" s="362"/>
    </row>
    <row r="147" spans="3:59" ht="15.75" customHeight="1">
      <c r="C147" s="424"/>
      <c r="AN147" s="418"/>
      <c r="AO147" s="418"/>
      <c r="AP147" s="418"/>
      <c r="AQ147" s="418"/>
      <c r="AR147" s="418"/>
      <c r="AS147" s="418"/>
      <c r="AT147" s="418"/>
      <c r="AU147" s="418"/>
      <c r="AV147" s="418"/>
      <c r="AW147" s="418"/>
      <c r="AX147" s="418"/>
      <c r="AY147" s="418"/>
      <c r="AZ147" s="418"/>
      <c r="BA147" s="418"/>
      <c r="BC147" s="307"/>
    </row>
    <row r="148" spans="3:59" ht="15.75" customHeight="1">
      <c r="C148" s="424"/>
      <c r="AN148" s="418"/>
      <c r="AO148" s="418"/>
      <c r="AP148" s="418"/>
      <c r="AQ148" s="418"/>
      <c r="AR148" s="418"/>
      <c r="AS148" s="418"/>
      <c r="AT148" s="418"/>
      <c r="AU148" s="418"/>
      <c r="AV148" s="418"/>
      <c r="AW148" s="418"/>
      <c r="AX148" s="418"/>
      <c r="AY148" s="418"/>
      <c r="AZ148" s="418"/>
      <c r="BA148" s="418"/>
      <c r="BC148" s="307"/>
    </row>
    <row r="149" spans="3:59" ht="15.75" customHeight="1">
      <c r="C149" s="424"/>
      <c r="AN149" s="418"/>
      <c r="AO149" s="418"/>
      <c r="AP149" s="418"/>
      <c r="AQ149" s="418"/>
      <c r="AR149" s="418"/>
      <c r="AS149" s="418"/>
      <c r="AT149" s="418"/>
      <c r="AU149" s="418"/>
      <c r="AV149" s="418"/>
      <c r="AW149" s="418"/>
      <c r="AX149" s="418"/>
      <c r="AY149" s="418"/>
      <c r="AZ149" s="418"/>
      <c r="BA149" s="418"/>
      <c r="BC149" s="307"/>
    </row>
    <row r="150" spans="3:59" ht="15.75" customHeight="1">
      <c r="C150" s="424"/>
      <c r="AN150" s="418"/>
      <c r="AO150" s="418"/>
      <c r="AP150" s="418"/>
      <c r="AQ150" s="418"/>
      <c r="AR150" s="418"/>
      <c r="AS150" s="418"/>
      <c r="AT150" s="418"/>
      <c r="AU150" s="418"/>
      <c r="AV150" s="418"/>
      <c r="AW150" s="418"/>
      <c r="AX150" s="418"/>
      <c r="AY150" s="418"/>
      <c r="AZ150" s="418"/>
      <c r="BA150" s="418"/>
      <c r="BC150" s="307"/>
    </row>
    <row r="151" spans="3:59" ht="15.75" customHeight="1">
      <c r="C151" s="424"/>
      <c r="AN151" s="418"/>
      <c r="AO151" s="418"/>
      <c r="AP151" s="418"/>
      <c r="AQ151" s="418"/>
      <c r="AR151" s="418"/>
      <c r="AS151" s="418"/>
      <c r="AT151" s="418"/>
      <c r="AU151" s="418"/>
      <c r="AV151" s="418"/>
      <c r="AW151" s="418"/>
      <c r="AX151" s="418"/>
      <c r="AY151" s="418"/>
      <c r="AZ151" s="418"/>
      <c r="BA151" s="418"/>
      <c r="BC151" s="307"/>
    </row>
    <row r="152" spans="3:59" ht="15.75" customHeight="1">
      <c r="C152" s="424"/>
      <c r="AN152" s="418"/>
      <c r="AO152" s="418"/>
      <c r="AP152" s="418"/>
      <c r="AQ152" s="418"/>
      <c r="AR152" s="418"/>
      <c r="AS152" s="418"/>
      <c r="AT152" s="418"/>
      <c r="AU152" s="418"/>
      <c r="AV152" s="418"/>
      <c r="AW152" s="418"/>
      <c r="AX152" s="418"/>
      <c r="AY152" s="418"/>
      <c r="AZ152" s="418"/>
      <c r="BA152" s="418"/>
      <c r="BC152" s="307"/>
    </row>
    <row r="153" spans="3:59" ht="15.75" customHeight="1">
      <c r="C153" s="424"/>
      <c r="AN153" s="418"/>
      <c r="AO153" s="418"/>
      <c r="AP153" s="418"/>
      <c r="AQ153" s="418"/>
      <c r="AR153" s="418"/>
      <c r="AS153" s="418"/>
      <c r="AT153" s="418"/>
      <c r="AU153" s="418"/>
      <c r="AV153" s="418"/>
      <c r="AW153" s="418"/>
      <c r="AX153" s="418"/>
      <c r="AY153" s="418"/>
      <c r="AZ153" s="418"/>
      <c r="BA153" s="418"/>
      <c r="BC153" s="307"/>
    </row>
    <row r="154" spans="3:59" ht="15.75" customHeight="1">
      <c r="C154" s="424"/>
      <c r="AN154" s="418"/>
      <c r="AO154" s="418"/>
      <c r="AP154" s="418"/>
      <c r="AQ154" s="418"/>
      <c r="AR154" s="418"/>
      <c r="AS154" s="418"/>
      <c r="AT154" s="418"/>
      <c r="AU154" s="418"/>
      <c r="AV154" s="418"/>
      <c r="AW154" s="418"/>
      <c r="AX154" s="418"/>
      <c r="AY154" s="418"/>
      <c r="AZ154" s="418"/>
      <c r="BA154" s="418"/>
      <c r="BC154" s="307"/>
    </row>
    <row r="155" spans="3:59" ht="15.75" customHeight="1">
      <c r="C155" s="424"/>
      <c r="AN155" s="418"/>
      <c r="AO155" s="418"/>
      <c r="AP155" s="418"/>
      <c r="AQ155" s="418"/>
      <c r="AR155" s="418"/>
      <c r="AS155" s="418"/>
      <c r="AT155" s="418"/>
      <c r="AU155" s="418"/>
      <c r="AV155" s="418"/>
      <c r="AW155" s="418"/>
      <c r="AX155" s="418"/>
      <c r="AY155" s="418"/>
      <c r="AZ155" s="418"/>
      <c r="BA155" s="418"/>
      <c r="BC155" s="307"/>
    </row>
    <row r="156" spans="3:59" ht="15.75" customHeight="1">
      <c r="C156" s="424"/>
      <c r="AN156" s="418"/>
      <c r="AO156" s="418"/>
      <c r="AP156" s="418"/>
      <c r="AQ156" s="418"/>
      <c r="AR156" s="418"/>
      <c r="AS156" s="418"/>
      <c r="AT156" s="418"/>
      <c r="AU156" s="418"/>
      <c r="AV156" s="418"/>
      <c r="AW156" s="418"/>
      <c r="AX156" s="418"/>
      <c r="AY156" s="418"/>
      <c r="AZ156" s="418"/>
      <c r="BA156" s="418"/>
      <c r="BC156" s="307"/>
    </row>
    <row r="157" spans="3:59" ht="15.75" customHeight="1">
      <c r="C157" s="424"/>
      <c r="AN157" s="418"/>
      <c r="AO157" s="418"/>
      <c r="AP157" s="418"/>
      <c r="AQ157" s="418"/>
      <c r="AR157" s="418"/>
      <c r="AS157" s="418"/>
      <c r="AT157" s="418"/>
      <c r="AU157" s="418"/>
      <c r="AV157" s="418"/>
      <c r="AW157" s="418"/>
      <c r="AX157" s="418"/>
      <c r="AY157" s="418"/>
      <c r="AZ157" s="418"/>
      <c r="BA157" s="418"/>
      <c r="BC157" s="307"/>
    </row>
    <row r="158" spans="3:59" ht="15.75" customHeight="1">
      <c r="C158" s="424"/>
      <c r="AN158" s="418"/>
      <c r="AO158" s="418"/>
      <c r="AP158" s="418"/>
      <c r="AQ158" s="418"/>
      <c r="AR158" s="418"/>
      <c r="AS158" s="418"/>
      <c r="AT158" s="418"/>
      <c r="AU158" s="418"/>
      <c r="AV158" s="418"/>
      <c r="AW158" s="418"/>
      <c r="AX158" s="418"/>
      <c r="AY158" s="418"/>
      <c r="AZ158" s="418"/>
      <c r="BA158" s="418"/>
      <c r="BC158" s="307"/>
    </row>
    <row r="159" spans="3:59" ht="15.75" customHeight="1">
      <c r="C159" s="424"/>
      <c r="AN159" s="418"/>
      <c r="AO159" s="418"/>
      <c r="AP159" s="418"/>
      <c r="AQ159" s="418"/>
      <c r="AR159" s="418"/>
      <c r="AS159" s="418"/>
      <c r="AT159" s="418"/>
      <c r="AU159" s="418"/>
      <c r="AV159" s="418"/>
      <c r="AW159" s="418"/>
      <c r="AX159" s="418"/>
      <c r="AY159" s="418"/>
      <c r="AZ159" s="418"/>
      <c r="BA159" s="418"/>
      <c r="BC159" s="307"/>
    </row>
    <row r="160" spans="3:59" ht="15.75" customHeight="1">
      <c r="C160" s="424"/>
      <c r="AN160" s="418"/>
      <c r="AO160" s="418"/>
      <c r="AP160" s="418"/>
      <c r="AQ160" s="418"/>
      <c r="AR160" s="418"/>
      <c r="AS160" s="418"/>
      <c r="AT160" s="418"/>
      <c r="AU160" s="418"/>
      <c r="AV160" s="418"/>
      <c r="AW160" s="418"/>
      <c r="AX160" s="418"/>
      <c r="AY160" s="418"/>
      <c r="AZ160" s="418"/>
      <c r="BA160" s="418"/>
      <c r="BC160" s="307"/>
    </row>
    <row r="161" spans="3:55" ht="15.75" customHeight="1">
      <c r="C161" s="424"/>
      <c r="AN161" s="418"/>
      <c r="AO161" s="418"/>
      <c r="AP161" s="418"/>
      <c r="AQ161" s="418"/>
      <c r="AR161" s="418"/>
      <c r="AS161" s="418"/>
      <c r="AT161" s="418"/>
      <c r="AU161" s="418"/>
      <c r="AV161" s="418"/>
      <c r="AW161" s="418"/>
      <c r="AX161" s="418"/>
      <c r="AY161" s="418"/>
      <c r="AZ161" s="418"/>
      <c r="BA161" s="418"/>
      <c r="BC161" s="307"/>
    </row>
    <row r="162" spans="3:55" ht="15.75" customHeight="1">
      <c r="C162" s="424"/>
      <c r="AN162" s="418"/>
      <c r="AO162" s="418"/>
      <c r="AP162" s="418"/>
      <c r="AQ162" s="418"/>
      <c r="AR162" s="418"/>
      <c r="AS162" s="418"/>
      <c r="AT162" s="418"/>
      <c r="AU162" s="418"/>
      <c r="AV162" s="418"/>
      <c r="AW162" s="418"/>
      <c r="AX162" s="418"/>
      <c r="AY162" s="418"/>
      <c r="AZ162" s="418"/>
      <c r="BA162" s="418"/>
      <c r="BC162" s="307"/>
    </row>
    <row r="163" spans="3:55" ht="15.75" customHeight="1">
      <c r="C163" s="424"/>
      <c r="AN163" s="418"/>
      <c r="AO163" s="418"/>
      <c r="AP163" s="418"/>
      <c r="AQ163" s="418"/>
      <c r="AR163" s="418"/>
      <c r="AS163" s="418"/>
      <c r="AT163" s="418"/>
      <c r="AU163" s="418"/>
      <c r="AV163" s="418"/>
      <c r="AW163" s="418"/>
      <c r="AX163" s="418"/>
      <c r="AY163" s="418"/>
      <c r="AZ163" s="418"/>
      <c r="BA163" s="418"/>
      <c r="BC163" s="307"/>
    </row>
    <row r="164" spans="3:55" ht="15.75" customHeight="1">
      <c r="C164" s="424"/>
      <c r="AN164" s="418"/>
      <c r="AO164" s="418"/>
      <c r="AP164" s="418"/>
      <c r="AQ164" s="418"/>
      <c r="AR164" s="418"/>
      <c r="AS164" s="418"/>
      <c r="AT164" s="418"/>
      <c r="AU164" s="418"/>
      <c r="AV164" s="418"/>
      <c r="AW164" s="418"/>
      <c r="AX164" s="418"/>
      <c r="AY164" s="418"/>
      <c r="AZ164" s="418"/>
      <c r="BA164" s="418"/>
      <c r="BC164" s="307"/>
    </row>
    <row r="165" spans="3:55" ht="15.75" customHeight="1">
      <c r="C165" s="424"/>
      <c r="AN165" s="418"/>
      <c r="AO165" s="418"/>
      <c r="AP165" s="418"/>
      <c r="AQ165" s="418"/>
      <c r="AR165" s="418"/>
      <c r="AS165" s="418"/>
      <c r="AT165" s="418"/>
      <c r="AU165" s="418"/>
      <c r="AV165" s="418"/>
      <c r="AW165" s="418"/>
      <c r="AX165" s="418"/>
      <c r="AY165" s="418"/>
      <c r="AZ165" s="418"/>
      <c r="BA165" s="418"/>
      <c r="BC165" s="307"/>
    </row>
    <row r="166" spans="3:55" ht="15.75" customHeight="1">
      <c r="C166" s="424"/>
      <c r="AN166" s="418"/>
      <c r="AO166" s="418"/>
      <c r="AP166" s="418"/>
      <c r="AQ166" s="418"/>
      <c r="AR166" s="418"/>
      <c r="AS166" s="418"/>
      <c r="AT166" s="418"/>
      <c r="AU166" s="418"/>
      <c r="AV166" s="418"/>
      <c r="AW166" s="418"/>
      <c r="AX166" s="418"/>
      <c r="AY166" s="418"/>
      <c r="AZ166" s="418"/>
      <c r="BA166" s="418"/>
      <c r="BC166" s="307"/>
    </row>
    <row r="167" spans="3:55" ht="15.75" customHeight="1">
      <c r="C167" s="424"/>
      <c r="AN167" s="418"/>
      <c r="AO167" s="418"/>
      <c r="AP167" s="418"/>
      <c r="AQ167" s="418"/>
      <c r="AR167" s="418"/>
      <c r="AS167" s="418"/>
      <c r="AT167" s="418"/>
      <c r="AU167" s="418"/>
      <c r="AV167" s="418"/>
      <c r="AW167" s="418"/>
      <c r="AX167" s="418"/>
      <c r="AY167" s="418"/>
      <c r="AZ167" s="418"/>
      <c r="BA167" s="418"/>
      <c r="BC167" s="307"/>
    </row>
    <row r="168" spans="3:55" ht="15.75" customHeight="1">
      <c r="C168" s="424"/>
      <c r="AN168" s="418"/>
      <c r="AO168" s="418"/>
      <c r="AP168" s="418"/>
      <c r="AQ168" s="418"/>
      <c r="AR168" s="418"/>
      <c r="AS168" s="418"/>
      <c r="AT168" s="418"/>
      <c r="AU168" s="418"/>
      <c r="AV168" s="418"/>
      <c r="AW168" s="418"/>
      <c r="AX168" s="418"/>
      <c r="AY168" s="418"/>
      <c r="AZ168" s="418"/>
      <c r="BA168" s="418"/>
      <c r="BC168" s="307"/>
    </row>
    <row r="169" spans="3:55" ht="15.75" customHeight="1">
      <c r="C169" s="424"/>
      <c r="AN169" s="418"/>
      <c r="AO169" s="418"/>
      <c r="AP169" s="418"/>
      <c r="AQ169" s="418"/>
      <c r="AR169" s="418"/>
      <c r="AS169" s="418"/>
      <c r="AT169" s="418"/>
      <c r="AU169" s="418"/>
      <c r="AV169" s="418"/>
      <c r="AW169" s="418"/>
      <c r="AX169" s="418"/>
      <c r="AY169" s="418"/>
      <c r="AZ169" s="418"/>
      <c r="BA169" s="418"/>
      <c r="BC169" s="307"/>
    </row>
    <row r="170" spans="3:55" ht="15.75" customHeight="1">
      <c r="C170" s="424"/>
      <c r="AN170" s="418"/>
      <c r="AO170" s="418"/>
      <c r="AP170" s="418"/>
      <c r="AQ170" s="418"/>
      <c r="AR170" s="418"/>
      <c r="AS170" s="418"/>
      <c r="AT170" s="418"/>
      <c r="AU170" s="418"/>
      <c r="AV170" s="418"/>
      <c r="AW170" s="418"/>
      <c r="AX170" s="418"/>
      <c r="AY170" s="418"/>
      <c r="AZ170" s="418"/>
      <c r="BA170" s="418"/>
      <c r="BC170" s="307"/>
    </row>
    <row r="171" spans="3:55" ht="15.75" customHeight="1">
      <c r="C171" s="424"/>
      <c r="AN171" s="418"/>
      <c r="AO171" s="418"/>
      <c r="AP171" s="418"/>
      <c r="AQ171" s="418"/>
      <c r="AR171" s="418"/>
      <c r="AS171" s="418"/>
      <c r="AT171" s="418"/>
      <c r="AU171" s="418"/>
      <c r="AV171" s="418"/>
      <c r="AW171" s="418"/>
      <c r="AX171" s="418"/>
      <c r="AY171" s="418"/>
      <c r="AZ171" s="418"/>
      <c r="BA171" s="418"/>
      <c r="BC171" s="307"/>
    </row>
    <row r="172" spans="3:55" ht="15.75" customHeight="1">
      <c r="C172" s="424"/>
      <c r="AN172" s="418"/>
      <c r="AO172" s="418"/>
      <c r="AP172" s="418"/>
      <c r="AQ172" s="418"/>
      <c r="AR172" s="418"/>
      <c r="AS172" s="418"/>
      <c r="AT172" s="418"/>
      <c r="AU172" s="418"/>
      <c r="AV172" s="418"/>
      <c r="AW172" s="418"/>
      <c r="AX172" s="418"/>
      <c r="AY172" s="418"/>
      <c r="AZ172" s="418"/>
      <c r="BA172" s="418"/>
      <c r="BC172" s="307"/>
    </row>
    <row r="173" spans="3:55" ht="15.75" customHeight="1">
      <c r="C173" s="424"/>
      <c r="AN173" s="418"/>
      <c r="AO173" s="418"/>
      <c r="AP173" s="418"/>
      <c r="AQ173" s="418"/>
      <c r="AR173" s="418"/>
      <c r="AS173" s="418"/>
      <c r="AT173" s="418"/>
      <c r="AU173" s="418"/>
      <c r="AV173" s="418"/>
      <c r="AW173" s="418"/>
      <c r="AX173" s="418"/>
      <c r="AY173" s="418"/>
      <c r="AZ173" s="418"/>
      <c r="BA173" s="418"/>
      <c r="BC173" s="307"/>
    </row>
    <row r="174" spans="3:55" ht="15.75" customHeight="1">
      <c r="C174" s="424"/>
      <c r="AN174" s="418"/>
      <c r="AO174" s="418"/>
      <c r="AP174" s="418"/>
      <c r="AQ174" s="418"/>
      <c r="AR174" s="418"/>
      <c r="AS174" s="418"/>
      <c r="AT174" s="418"/>
      <c r="AU174" s="418"/>
      <c r="AV174" s="418"/>
      <c r="AW174" s="418"/>
      <c r="AX174" s="418"/>
      <c r="AY174" s="418"/>
      <c r="AZ174" s="418"/>
      <c r="BA174" s="418"/>
      <c r="BC174" s="307"/>
    </row>
    <row r="175" spans="3:55" ht="15.75" customHeight="1">
      <c r="C175" s="424"/>
      <c r="AN175" s="418"/>
      <c r="AO175" s="418"/>
      <c r="AP175" s="418"/>
      <c r="AQ175" s="418"/>
      <c r="AR175" s="418"/>
      <c r="AS175" s="418"/>
      <c r="AT175" s="418"/>
      <c r="AU175" s="418"/>
      <c r="AV175" s="418"/>
      <c r="AW175" s="418"/>
      <c r="AX175" s="418"/>
      <c r="AY175" s="418"/>
      <c r="AZ175" s="418"/>
      <c r="BA175" s="418"/>
      <c r="BC175" s="307"/>
    </row>
    <row r="176" spans="3:55" ht="15.75" customHeight="1">
      <c r="C176" s="424"/>
      <c r="AN176" s="418"/>
      <c r="AO176" s="418"/>
      <c r="AP176" s="418"/>
      <c r="AQ176" s="418"/>
      <c r="AR176" s="418"/>
      <c r="AS176" s="418"/>
      <c r="AT176" s="418"/>
      <c r="AU176" s="418"/>
      <c r="AV176" s="418"/>
      <c r="AW176" s="418"/>
      <c r="AX176" s="418"/>
      <c r="AY176" s="418"/>
      <c r="AZ176" s="418"/>
      <c r="BA176" s="418"/>
      <c r="BC176" s="307"/>
    </row>
    <row r="177" spans="3:55" ht="15.75" customHeight="1">
      <c r="C177" s="424"/>
      <c r="AN177" s="418"/>
      <c r="AO177" s="418"/>
      <c r="AP177" s="418"/>
      <c r="AQ177" s="418"/>
      <c r="AR177" s="418"/>
      <c r="AS177" s="418"/>
      <c r="AT177" s="418"/>
      <c r="AU177" s="418"/>
      <c r="AV177" s="418"/>
      <c r="AW177" s="418"/>
      <c r="AX177" s="418"/>
      <c r="AY177" s="418"/>
      <c r="AZ177" s="418"/>
      <c r="BA177" s="418"/>
      <c r="BC177" s="307"/>
    </row>
    <row r="178" spans="3:55" ht="15.75" customHeight="1">
      <c r="C178" s="424"/>
      <c r="AN178" s="418"/>
      <c r="AO178" s="418"/>
      <c r="AP178" s="418"/>
      <c r="AQ178" s="418"/>
      <c r="AR178" s="418"/>
      <c r="AS178" s="418"/>
      <c r="AT178" s="418"/>
      <c r="AU178" s="418"/>
      <c r="AV178" s="418"/>
      <c r="AW178" s="418"/>
      <c r="AX178" s="418"/>
      <c r="AY178" s="418"/>
      <c r="AZ178" s="418"/>
      <c r="BA178" s="418"/>
      <c r="BC178" s="307"/>
    </row>
    <row r="179" spans="3:55" ht="15.75" customHeight="1">
      <c r="C179" s="424"/>
      <c r="AN179" s="418"/>
      <c r="AO179" s="418"/>
      <c r="AP179" s="418"/>
      <c r="AQ179" s="418"/>
      <c r="AR179" s="418"/>
      <c r="AS179" s="418"/>
      <c r="AT179" s="418"/>
      <c r="AU179" s="418"/>
      <c r="AV179" s="418"/>
      <c r="AW179" s="418"/>
      <c r="AX179" s="418"/>
      <c r="AY179" s="418"/>
      <c r="AZ179" s="418"/>
      <c r="BA179" s="418"/>
      <c r="BC179" s="307"/>
    </row>
    <row r="180" spans="3:55" ht="15.75" customHeight="1">
      <c r="C180" s="424"/>
      <c r="AN180" s="418"/>
      <c r="AO180" s="418"/>
      <c r="AP180" s="418"/>
      <c r="AQ180" s="418"/>
      <c r="AR180" s="418"/>
      <c r="AS180" s="418"/>
      <c r="AT180" s="418"/>
      <c r="AU180" s="418"/>
      <c r="AV180" s="418"/>
      <c r="AW180" s="418"/>
      <c r="AX180" s="418"/>
      <c r="AY180" s="418"/>
      <c r="AZ180" s="418"/>
      <c r="BA180" s="418"/>
      <c r="BC180" s="307"/>
    </row>
    <row r="181" spans="3:55" ht="15.75" customHeight="1">
      <c r="C181" s="424"/>
      <c r="AN181" s="418"/>
      <c r="AO181" s="418"/>
      <c r="AP181" s="418"/>
      <c r="AQ181" s="418"/>
      <c r="AR181" s="418"/>
      <c r="AS181" s="418"/>
      <c r="AT181" s="418"/>
      <c r="AU181" s="418"/>
      <c r="AV181" s="418"/>
      <c r="AW181" s="418"/>
      <c r="AX181" s="418"/>
      <c r="AY181" s="418"/>
      <c r="AZ181" s="418"/>
      <c r="BA181" s="418"/>
      <c r="BC181" s="307"/>
    </row>
    <row r="182" spans="3:55" ht="15.75" customHeight="1">
      <c r="C182" s="424"/>
      <c r="AN182" s="418"/>
      <c r="AO182" s="418"/>
      <c r="AP182" s="418"/>
      <c r="AQ182" s="418"/>
      <c r="AR182" s="418"/>
      <c r="AS182" s="418"/>
      <c r="AT182" s="418"/>
      <c r="AU182" s="418"/>
      <c r="AV182" s="418"/>
      <c r="AW182" s="418"/>
      <c r="AX182" s="418"/>
      <c r="AY182" s="418"/>
      <c r="AZ182" s="418"/>
      <c r="BA182" s="418"/>
      <c r="BC182" s="307"/>
    </row>
    <row r="183" spans="3:55" ht="15.75" customHeight="1">
      <c r="C183" s="424"/>
      <c r="AN183" s="418"/>
      <c r="AO183" s="418"/>
      <c r="AP183" s="418"/>
      <c r="AQ183" s="418"/>
      <c r="AR183" s="418"/>
      <c r="AS183" s="418"/>
      <c r="AT183" s="418"/>
      <c r="AU183" s="418"/>
      <c r="AV183" s="418"/>
      <c r="AW183" s="418"/>
      <c r="AX183" s="418"/>
      <c r="AY183" s="418"/>
      <c r="AZ183" s="418"/>
      <c r="BA183" s="418"/>
      <c r="BC183" s="307"/>
    </row>
    <row r="184" spans="3:55" ht="15.75" customHeight="1">
      <c r="C184" s="424"/>
      <c r="AN184" s="418"/>
      <c r="AO184" s="418"/>
      <c r="AP184" s="418"/>
      <c r="AQ184" s="418"/>
      <c r="AR184" s="418"/>
      <c r="AS184" s="418"/>
      <c r="AT184" s="418"/>
      <c r="AU184" s="418"/>
      <c r="AV184" s="418"/>
      <c r="AW184" s="418"/>
      <c r="AX184" s="418"/>
      <c r="AY184" s="418"/>
      <c r="AZ184" s="418"/>
      <c r="BA184" s="418"/>
      <c r="BC184" s="307"/>
    </row>
    <row r="185" spans="3:55" ht="15.75" customHeight="1">
      <c r="C185" s="424"/>
      <c r="AN185" s="418"/>
      <c r="AO185" s="418"/>
      <c r="AP185" s="418"/>
      <c r="AQ185" s="418"/>
      <c r="AR185" s="418"/>
      <c r="AS185" s="418"/>
      <c r="AT185" s="418"/>
      <c r="AU185" s="418"/>
      <c r="AV185" s="418"/>
      <c r="AW185" s="418"/>
      <c r="AX185" s="418"/>
      <c r="AY185" s="418"/>
      <c r="AZ185" s="418"/>
      <c r="BA185" s="418"/>
      <c r="BC185" s="307"/>
    </row>
    <row r="186" spans="3:55" ht="15.75" customHeight="1">
      <c r="C186" s="424"/>
      <c r="AN186" s="418"/>
      <c r="AO186" s="418"/>
      <c r="AP186" s="418"/>
      <c r="AQ186" s="418"/>
      <c r="AR186" s="418"/>
      <c r="AS186" s="418"/>
      <c r="AT186" s="418"/>
      <c r="AU186" s="418"/>
      <c r="AV186" s="418"/>
      <c r="AW186" s="418"/>
      <c r="AX186" s="418"/>
      <c r="AY186" s="418"/>
      <c r="AZ186" s="418"/>
      <c r="BA186" s="418"/>
      <c r="BC186" s="307"/>
    </row>
    <row r="187" spans="3:55" ht="15.75" customHeight="1">
      <c r="C187" s="424"/>
      <c r="AN187" s="418"/>
      <c r="AO187" s="418"/>
      <c r="AP187" s="418"/>
      <c r="AQ187" s="418"/>
      <c r="AR187" s="418"/>
      <c r="AS187" s="418"/>
      <c r="AT187" s="418"/>
      <c r="AU187" s="418"/>
      <c r="AV187" s="418"/>
      <c r="AW187" s="418"/>
      <c r="AX187" s="418"/>
      <c r="AY187" s="418"/>
      <c r="AZ187" s="418"/>
      <c r="BA187" s="418"/>
      <c r="BC187" s="307"/>
    </row>
    <row r="188" spans="3:55" ht="15.75" customHeight="1">
      <c r="C188" s="424"/>
      <c r="AN188" s="418"/>
      <c r="AO188" s="418"/>
      <c r="AP188" s="418"/>
      <c r="AQ188" s="418"/>
      <c r="AR188" s="418"/>
      <c r="AS188" s="418"/>
      <c r="AT188" s="418"/>
      <c r="AU188" s="418"/>
      <c r="AV188" s="418"/>
      <c r="AW188" s="418"/>
      <c r="AX188" s="418"/>
      <c r="AY188" s="418"/>
      <c r="AZ188" s="418"/>
      <c r="BA188" s="418"/>
      <c r="BC188" s="307"/>
    </row>
    <row r="189" spans="3:55" ht="15.75" customHeight="1">
      <c r="C189" s="424"/>
      <c r="AN189" s="418"/>
      <c r="AO189" s="418"/>
      <c r="AP189" s="418"/>
      <c r="AQ189" s="418"/>
      <c r="AR189" s="418"/>
      <c r="AS189" s="418"/>
      <c r="AT189" s="418"/>
      <c r="AU189" s="418"/>
      <c r="AV189" s="418"/>
      <c r="AW189" s="418"/>
      <c r="AX189" s="418"/>
      <c r="AY189" s="418"/>
      <c r="AZ189" s="418"/>
      <c r="BA189" s="418"/>
      <c r="BC189" s="307"/>
    </row>
    <row r="190" spans="3:55" ht="15.75" customHeight="1">
      <c r="C190" s="424"/>
      <c r="AN190" s="418"/>
      <c r="AO190" s="418"/>
      <c r="AP190" s="418"/>
      <c r="AQ190" s="418"/>
      <c r="AR190" s="418"/>
      <c r="AS190" s="418"/>
      <c r="AT190" s="418"/>
      <c r="AU190" s="418"/>
      <c r="AV190" s="418"/>
      <c r="AW190" s="418"/>
      <c r="AX190" s="418"/>
      <c r="AY190" s="418"/>
      <c r="AZ190" s="418"/>
      <c r="BA190" s="418"/>
      <c r="BC190" s="307"/>
    </row>
    <row r="191" spans="3:55" ht="15.75" customHeight="1">
      <c r="C191" s="424"/>
      <c r="AN191" s="418"/>
      <c r="AO191" s="418"/>
      <c r="AP191" s="418"/>
      <c r="AQ191" s="418"/>
      <c r="AR191" s="418"/>
      <c r="AS191" s="418"/>
      <c r="AT191" s="418"/>
      <c r="AU191" s="418"/>
      <c r="AV191" s="418"/>
      <c r="AW191" s="418"/>
      <c r="AX191" s="418"/>
      <c r="AY191" s="418"/>
      <c r="AZ191" s="418"/>
      <c r="BA191" s="418"/>
      <c r="BC191" s="307"/>
    </row>
    <row r="192" spans="3:55" ht="15.75" customHeight="1">
      <c r="C192" s="424"/>
      <c r="AN192" s="418"/>
      <c r="AO192" s="418"/>
      <c r="AP192" s="418"/>
      <c r="AQ192" s="418"/>
      <c r="AR192" s="418"/>
      <c r="AS192" s="418"/>
      <c r="AT192" s="418"/>
      <c r="AU192" s="418"/>
      <c r="AV192" s="418"/>
      <c r="AW192" s="418"/>
      <c r="AX192" s="418"/>
      <c r="AY192" s="418"/>
      <c r="AZ192" s="418"/>
      <c r="BA192" s="418"/>
      <c r="BC192" s="307"/>
    </row>
    <row r="193" spans="3:59" ht="15.75" customHeight="1">
      <c r="C193" s="424"/>
      <c r="AN193" s="418"/>
      <c r="AO193" s="418"/>
      <c r="AP193" s="418"/>
      <c r="AQ193" s="418"/>
      <c r="AR193" s="418"/>
      <c r="AS193" s="418"/>
      <c r="AT193" s="418"/>
      <c r="AU193" s="418"/>
      <c r="AV193" s="418"/>
      <c r="AW193" s="418"/>
      <c r="AX193" s="418"/>
      <c r="AY193" s="418"/>
      <c r="AZ193" s="418"/>
      <c r="BA193" s="418"/>
      <c r="BC193" s="307"/>
    </row>
    <row r="194" spans="3:59" ht="15.75" customHeight="1">
      <c r="C194" s="424"/>
      <c r="AN194" s="418"/>
      <c r="AO194" s="418"/>
      <c r="AP194" s="418"/>
      <c r="AQ194" s="418"/>
      <c r="AR194" s="418"/>
      <c r="AS194" s="418"/>
      <c r="AT194" s="418"/>
      <c r="AU194" s="418"/>
      <c r="AV194" s="418"/>
      <c r="AW194" s="418"/>
      <c r="AX194" s="418"/>
      <c r="AY194" s="418"/>
      <c r="AZ194" s="418"/>
      <c r="BA194" s="418"/>
      <c r="BC194" s="307"/>
      <c r="BE194" s="362"/>
    </row>
    <row r="195" spans="3:59" ht="15.75" customHeight="1">
      <c r="C195" s="424"/>
      <c r="AN195" s="418"/>
      <c r="AO195" s="418"/>
      <c r="AP195" s="418"/>
      <c r="AQ195" s="418"/>
      <c r="AR195" s="418"/>
      <c r="AS195" s="418"/>
      <c r="AT195" s="418"/>
      <c r="AU195" s="418"/>
      <c r="AV195" s="418"/>
      <c r="AW195" s="418"/>
      <c r="AX195" s="418"/>
      <c r="AY195" s="418"/>
      <c r="AZ195" s="418"/>
      <c r="BA195" s="418"/>
      <c r="BC195" s="307"/>
      <c r="BD195" s="350"/>
    </row>
    <row r="196" spans="3:59" ht="15.75" customHeight="1">
      <c r="C196" s="424"/>
      <c r="AN196" s="418"/>
      <c r="AO196" s="418"/>
      <c r="AP196" s="418"/>
      <c r="AQ196" s="418"/>
      <c r="AR196" s="418"/>
      <c r="AS196" s="418"/>
      <c r="AT196" s="418"/>
      <c r="AU196" s="418"/>
      <c r="AV196" s="418"/>
      <c r="AW196" s="418"/>
      <c r="AX196" s="418"/>
      <c r="AY196" s="418"/>
      <c r="AZ196" s="418"/>
      <c r="BA196" s="418"/>
      <c r="BC196" s="307"/>
    </row>
    <row r="197" spans="3:59" ht="15.75" customHeight="1">
      <c r="C197" s="424"/>
      <c r="AN197" s="418"/>
      <c r="AO197" s="418"/>
      <c r="AP197" s="418"/>
      <c r="AQ197" s="418"/>
      <c r="AR197" s="418"/>
      <c r="AS197" s="418"/>
      <c r="AT197" s="418"/>
      <c r="AU197" s="418"/>
      <c r="AV197" s="418"/>
      <c r="AW197" s="418"/>
      <c r="AX197" s="418"/>
      <c r="AY197" s="418"/>
      <c r="AZ197" s="418"/>
      <c r="BA197" s="418"/>
      <c r="BC197" s="307"/>
    </row>
    <row r="198" spans="3:59" ht="15.75" customHeight="1">
      <c r="C198" s="424"/>
      <c r="AN198" s="418"/>
      <c r="AO198" s="418"/>
      <c r="AP198" s="418"/>
      <c r="AQ198" s="418"/>
      <c r="AR198" s="418"/>
      <c r="AS198" s="418"/>
      <c r="AT198" s="418"/>
      <c r="AU198" s="418"/>
      <c r="AV198" s="418"/>
      <c r="AW198" s="418"/>
      <c r="AX198" s="418"/>
      <c r="AY198" s="418"/>
      <c r="AZ198" s="418"/>
      <c r="BA198" s="418"/>
      <c r="BC198" s="307"/>
    </row>
    <row r="199" spans="3:59" ht="15.75" customHeight="1">
      <c r="C199" s="424"/>
      <c r="AN199" s="421"/>
      <c r="AO199" s="421"/>
      <c r="AP199" s="421"/>
      <c r="AQ199" s="421"/>
      <c r="AR199" s="421"/>
      <c r="AS199" s="421"/>
      <c r="AT199" s="421"/>
      <c r="AU199" s="421"/>
      <c r="AV199" s="421"/>
      <c r="AW199" s="421"/>
      <c r="AX199" s="421"/>
      <c r="AY199" s="421"/>
      <c r="AZ199" s="421"/>
      <c r="BA199" s="421"/>
      <c r="BC199" s="307"/>
      <c r="BF199" s="362"/>
      <c r="BG199" s="362"/>
    </row>
    <row r="200" spans="3:59" ht="15.75" customHeight="1">
      <c r="C200" s="424"/>
      <c r="AN200" s="421"/>
      <c r="AO200" s="421"/>
      <c r="AP200" s="421"/>
      <c r="AQ200" s="421"/>
      <c r="AR200" s="421"/>
      <c r="AS200" s="421"/>
      <c r="AT200" s="421"/>
      <c r="AU200" s="421"/>
      <c r="AV200" s="421"/>
      <c r="AW200" s="421"/>
      <c r="AX200" s="421"/>
      <c r="AY200" s="421"/>
      <c r="AZ200" s="421"/>
      <c r="BA200" s="421"/>
      <c r="BC200" s="307"/>
    </row>
    <row r="201" spans="3:59" ht="15.75" customHeight="1">
      <c r="C201" s="424"/>
      <c r="AN201" s="421"/>
      <c r="AO201" s="421"/>
      <c r="AP201" s="421"/>
      <c r="AQ201" s="421"/>
      <c r="AR201" s="421"/>
      <c r="AS201" s="421"/>
      <c r="AT201" s="421"/>
      <c r="AU201" s="421"/>
      <c r="AV201" s="421"/>
      <c r="AW201" s="421"/>
      <c r="AX201" s="421"/>
      <c r="AY201" s="421"/>
      <c r="AZ201" s="421"/>
      <c r="BA201" s="421"/>
      <c r="BC201" s="307"/>
    </row>
    <row r="202" spans="3:59" ht="15.75" customHeight="1">
      <c r="C202" s="424"/>
      <c r="AN202" s="421"/>
      <c r="AO202" s="421"/>
      <c r="AP202" s="421"/>
      <c r="AQ202" s="421"/>
      <c r="AR202" s="421"/>
      <c r="AS202" s="421"/>
      <c r="AT202" s="421"/>
      <c r="AU202" s="421"/>
      <c r="AV202" s="421"/>
      <c r="AW202" s="421"/>
      <c r="AX202" s="421"/>
      <c r="AY202" s="421"/>
      <c r="AZ202" s="421"/>
      <c r="BA202" s="421"/>
      <c r="BC202" s="307"/>
    </row>
    <row r="203" spans="3:59" ht="15.75" customHeight="1">
      <c r="C203" s="424"/>
      <c r="AN203" s="421"/>
      <c r="AO203" s="421"/>
      <c r="AP203" s="421"/>
      <c r="AQ203" s="421"/>
      <c r="AR203" s="421"/>
      <c r="AS203" s="421"/>
      <c r="AT203" s="421"/>
      <c r="AU203" s="421"/>
      <c r="AV203" s="421"/>
      <c r="AW203" s="421"/>
      <c r="AX203" s="421"/>
      <c r="AY203" s="421"/>
      <c r="AZ203" s="421"/>
      <c r="BA203" s="421"/>
      <c r="BC203" s="307"/>
    </row>
    <row r="204" spans="3:59" ht="15.75" customHeight="1">
      <c r="C204" s="424"/>
      <c r="AN204" s="418"/>
      <c r="AO204" s="418"/>
      <c r="AP204" s="418"/>
      <c r="AQ204" s="418"/>
      <c r="AR204" s="418"/>
      <c r="AS204" s="418"/>
      <c r="AT204" s="418"/>
      <c r="AU204" s="418"/>
      <c r="AV204" s="418"/>
      <c r="AW204" s="418"/>
      <c r="AX204" s="418"/>
      <c r="AY204" s="418"/>
      <c r="AZ204" s="418"/>
      <c r="BA204" s="418"/>
      <c r="BC204" s="307"/>
    </row>
    <row r="205" spans="3:59" ht="15.75" customHeight="1">
      <c r="C205" s="424"/>
      <c r="AN205" s="418"/>
      <c r="AO205" s="418"/>
      <c r="AP205" s="418"/>
      <c r="AQ205" s="418"/>
      <c r="AR205" s="418"/>
      <c r="AS205" s="418"/>
      <c r="AT205" s="418"/>
      <c r="AU205" s="418"/>
      <c r="AV205" s="418"/>
      <c r="AW205" s="418"/>
      <c r="AX205" s="418"/>
      <c r="AY205" s="418"/>
      <c r="AZ205" s="418"/>
      <c r="BA205" s="418"/>
      <c r="BC205" s="307"/>
    </row>
    <row r="206" spans="3:59" ht="15.75" customHeight="1">
      <c r="C206" s="424"/>
      <c r="AN206" s="418"/>
      <c r="AO206" s="418"/>
      <c r="AP206" s="418"/>
      <c r="AQ206" s="418"/>
      <c r="AR206" s="418"/>
      <c r="AS206" s="418"/>
      <c r="AT206" s="418"/>
      <c r="AU206" s="418"/>
      <c r="AV206" s="418"/>
      <c r="AW206" s="418"/>
      <c r="AX206" s="418"/>
      <c r="AY206" s="418"/>
      <c r="AZ206" s="418"/>
      <c r="BA206" s="418"/>
      <c r="BC206" s="307"/>
    </row>
    <row r="207" spans="3:59" ht="15.75" customHeight="1">
      <c r="C207" s="424"/>
      <c r="AN207" s="418"/>
      <c r="AO207" s="418"/>
      <c r="AP207" s="418"/>
      <c r="AQ207" s="418"/>
      <c r="AR207" s="418"/>
      <c r="AS207" s="418"/>
      <c r="AT207" s="418"/>
      <c r="AU207" s="418"/>
      <c r="AV207" s="418"/>
      <c r="AW207" s="418"/>
      <c r="AX207" s="418"/>
      <c r="AY207" s="418"/>
      <c r="AZ207" s="418"/>
      <c r="BA207" s="418"/>
      <c r="BC207" s="307"/>
    </row>
    <row r="208" spans="3:59" ht="15.75" customHeight="1">
      <c r="C208" s="424"/>
      <c r="AN208" s="418"/>
      <c r="AO208" s="418"/>
      <c r="AP208" s="418"/>
      <c r="AQ208" s="418"/>
      <c r="AR208" s="418"/>
      <c r="AS208" s="418"/>
      <c r="AT208" s="418"/>
      <c r="AU208" s="418"/>
      <c r="AV208" s="418"/>
      <c r="AW208" s="418"/>
      <c r="AX208" s="418"/>
      <c r="AY208" s="418"/>
      <c r="AZ208" s="418"/>
      <c r="BA208" s="418"/>
      <c r="BC208" s="307"/>
    </row>
    <row r="209" spans="3:55" ht="15.75" customHeight="1">
      <c r="C209" s="424"/>
      <c r="AN209" s="418"/>
      <c r="AO209" s="418"/>
      <c r="AP209" s="418"/>
      <c r="AQ209" s="418"/>
      <c r="AR209" s="418"/>
      <c r="AS209" s="418"/>
      <c r="AT209" s="418"/>
      <c r="AU209" s="418"/>
      <c r="AV209" s="418"/>
      <c r="AW209" s="418"/>
      <c r="AX209" s="418"/>
      <c r="AY209" s="418"/>
      <c r="AZ209" s="418"/>
      <c r="BA209" s="418"/>
      <c r="BC209" s="307"/>
    </row>
    <row r="210" spans="3:55" ht="15.75" customHeight="1">
      <c r="C210" s="424"/>
      <c r="AN210" s="418"/>
      <c r="AO210" s="418"/>
      <c r="AP210" s="418"/>
      <c r="AQ210" s="418"/>
      <c r="AR210" s="418"/>
      <c r="AS210" s="418"/>
      <c r="AT210" s="418"/>
      <c r="AU210" s="418"/>
      <c r="AV210" s="418"/>
      <c r="AW210" s="418"/>
      <c r="AX210" s="418"/>
      <c r="AY210" s="418"/>
      <c r="AZ210" s="418"/>
      <c r="BA210" s="418"/>
      <c r="BC210" s="307"/>
    </row>
    <row r="211" spans="3:55" ht="15.75" customHeight="1">
      <c r="C211" s="424"/>
      <c r="AN211" s="418"/>
      <c r="AO211" s="418"/>
      <c r="AP211" s="418"/>
      <c r="AQ211" s="418"/>
      <c r="AR211" s="418"/>
      <c r="AS211" s="418"/>
      <c r="AT211" s="418"/>
      <c r="AU211" s="418"/>
      <c r="AV211" s="418"/>
      <c r="AW211" s="418"/>
      <c r="AX211" s="418"/>
      <c r="AY211" s="418"/>
      <c r="AZ211" s="418"/>
      <c r="BA211" s="418"/>
      <c r="BC211" s="307"/>
    </row>
    <row r="212" spans="3:55" ht="15.75" customHeight="1">
      <c r="C212" s="424"/>
      <c r="AN212" s="418"/>
      <c r="AO212" s="418"/>
      <c r="AP212" s="418"/>
      <c r="AQ212" s="418"/>
      <c r="AR212" s="418"/>
      <c r="AS212" s="418"/>
      <c r="AT212" s="418"/>
      <c r="AU212" s="418"/>
      <c r="AV212" s="418"/>
      <c r="AW212" s="418"/>
      <c r="AX212" s="418"/>
      <c r="AY212" s="418"/>
      <c r="AZ212" s="418"/>
      <c r="BA212" s="418"/>
      <c r="BC212" s="307"/>
    </row>
    <row r="213" spans="3:55" ht="15.75" customHeight="1">
      <c r="C213" s="424"/>
      <c r="AN213" s="418"/>
      <c r="AO213" s="418"/>
      <c r="AP213" s="418"/>
      <c r="AQ213" s="418"/>
      <c r="AR213" s="418"/>
      <c r="AS213" s="418"/>
      <c r="AT213" s="418"/>
      <c r="AU213" s="418"/>
      <c r="AV213" s="418"/>
      <c r="AW213" s="418"/>
      <c r="AX213" s="418"/>
      <c r="AY213" s="418"/>
      <c r="AZ213" s="418"/>
      <c r="BA213" s="418"/>
      <c r="BC213" s="307"/>
    </row>
    <row r="214" spans="3:55" ht="15.75" customHeight="1">
      <c r="C214" s="424"/>
      <c r="AN214" s="418"/>
      <c r="AO214" s="418"/>
      <c r="AP214" s="418"/>
      <c r="AQ214" s="418"/>
      <c r="AR214" s="418"/>
      <c r="AS214" s="418"/>
      <c r="AT214" s="418"/>
      <c r="AU214" s="418"/>
      <c r="AV214" s="418"/>
      <c r="AW214" s="418"/>
      <c r="AX214" s="418"/>
      <c r="AY214" s="418"/>
      <c r="AZ214" s="418"/>
      <c r="BA214" s="418"/>
      <c r="BC214" s="307"/>
    </row>
    <row r="215" spans="3:55" ht="15.75" customHeight="1">
      <c r="C215" s="424"/>
      <c r="AN215" s="418"/>
      <c r="AO215" s="418"/>
      <c r="AP215" s="418"/>
      <c r="AQ215" s="418"/>
      <c r="AR215" s="418"/>
      <c r="AS215" s="418"/>
      <c r="AT215" s="418"/>
      <c r="AU215" s="418"/>
      <c r="AV215" s="418"/>
      <c r="AW215" s="418"/>
      <c r="AX215" s="418"/>
      <c r="AY215" s="418"/>
      <c r="AZ215" s="418"/>
      <c r="BA215" s="418"/>
      <c r="BC215" s="307"/>
    </row>
    <row r="216" spans="3:55" ht="15.75" customHeight="1">
      <c r="C216" s="424"/>
      <c r="AN216" s="418"/>
      <c r="AO216" s="418"/>
      <c r="AP216" s="418"/>
      <c r="AQ216" s="418"/>
      <c r="AR216" s="418"/>
      <c r="AS216" s="418"/>
      <c r="AT216" s="418"/>
      <c r="AU216" s="418"/>
      <c r="AV216" s="418"/>
      <c r="AW216" s="418"/>
      <c r="AX216" s="418"/>
      <c r="AY216" s="418"/>
      <c r="AZ216" s="418"/>
      <c r="BA216" s="418"/>
      <c r="BC216" s="307"/>
    </row>
    <row r="217" spans="3:55" ht="15.75" customHeight="1">
      <c r="C217" s="424"/>
      <c r="AN217" s="418"/>
      <c r="AO217" s="418"/>
      <c r="AP217" s="418"/>
      <c r="AQ217" s="418"/>
      <c r="AR217" s="418"/>
      <c r="AS217" s="418"/>
      <c r="AT217" s="418"/>
      <c r="AU217" s="418"/>
      <c r="AV217" s="418"/>
      <c r="AW217" s="418"/>
      <c r="AX217" s="418"/>
      <c r="AY217" s="418"/>
      <c r="AZ217" s="418"/>
      <c r="BA217" s="418"/>
      <c r="BC217" s="307"/>
    </row>
    <row r="218" spans="3:55" ht="15.75" customHeight="1">
      <c r="C218" s="424"/>
      <c r="AN218" s="418"/>
      <c r="AO218" s="418"/>
      <c r="AP218" s="418"/>
      <c r="AQ218" s="418"/>
      <c r="AR218" s="418"/>
      <c r="AS218" s="418"/>
      <c r="AT218" s="418"/>
      <c r="AU218" s="418"/>
      <c r="AV218" s="418"/>
      <c r="AW218" s="418"/>
      <c r="AX218" s="418"/>
      <c r="AY218" s="418"/>
      <c r="AZ218" s="418"/>
      <c r="BA218" s="418"/>
      <c r="BC218" s="307"/>
    </row>
    <row r="219" spans="3:55" ht="15.75" customHeight="1">
      <c r="C219" s="424"/>
      <c r="AN219" s="418"/>
      <c r="AO219" s="418"/>
      <c r="AP219" s="418"/>
      <c r="AQ219" s="418"/>
      <c r="AR219" s="418"/>
      <c r="AS219" s="418"/>
      <c r="AT219" s="418"/>
      <c r="AU219" s="418"/>
      <c r="AV219" s="418"/>
      <c r="AW219" s="418"/>
      <c r="AX219" s="418"/>
      <c r="AY219" s="418"/>
      <c r="AZ219" s="418"/>
      <c r="BA219" s="418"/>
      <c r="BC219" s="307"/>
    </row>
    <row r="220" spans="3:55" ht="15.75" customHeight="1">
      <c r="C220" s="424"/>
      <c r="AN220" s="418"/>
      <c r="AO220" s="418"/>
      <c r="AP220" s="418"/>
      <c r="AQ220" s="418"/>
      <c r="AR220" s="418"/>
      <c r="AS220" s="418"/>
      <c r="AT220" s="418"/>
      <c r="AU220" s="418"/>
      <c r="AV220" s="418"/>
      <c r="AW220" s="418"/>
      <c r="AX220" s="418"/>
      <c r="AY220" s="418"/>
      <c r="AZ220" s="418"/>
      <c r="BA220" s="418"/>
      <c r="BC220" s="307"/>
    </row>
    <row r="221" spans="3:55" ht="15.75" customHeight="1">
      <c r="C221" s="424"/>
      <c r="AN221" s="418"/>
      <c r="AO221" s="418"/>
      <c r="AP221" s="418"/>
      <c r="AQ221" s="418"/>
      <c r="AR221" s="418"/>
      <c r="AS221" s="418"/>
      <c r="AT221" s="418"/>
      <c r="AU221" s="418"/>
      <c r="AV221" s="418"/>
      <c r="AW221" s="418"/>
      <c r="AX221" s="418"/>
      <c r="AY221" s="418"/>
      <c r="AZ221" s="418"/>
      <c r="BA221" s="418"/>
      <c r="BC221" s="307"/>
    </row>
    <row r="222" spans="3:55" ht="15.75" customHeight="1">
      <c r="C222" s="424"/>
      <c r="AN222" s="418"/>
      <c r="AO222" s="418"/>
      <c r="AP222" s="418"/>
      <c r="AQ222" s="418"/>
      <c r="AR222" s="418"/>
      <c r="AS222" s="418"/>
      <c r="AT222" s="418"/>
      <c r="AU222" s="418"/>
      <c r="AV222" s="418"/>
      <c r="AW222" s="418"/>
      <c r="AX222" s="418"/>
      <c r="AY222" s="418"/>
      <c r="AZ222" s="418"/>
      <c r="BA222" s="418"/>
      <c r="BC222" s="307"/>
    </row>
    <row r="223" spans="3:55" ht="15.75" customHeight="1">
      <c r="C223" s="424"/>
      <c r="AN223" s="418"/>
      <c r="AO223" s="418"/>
      <c r="AP223" s="418"/>
      <c r="AQ223" s="418"/>
      <c r="AR223" s="418"/>
      <c r="AS223" s="418"/>
      <c r="AT223" s="418"/>
      <c r="AU223" s="418"/>
      <c r="AV223" s="418"/>
      <c r="AW223" s="418"/>
      <c r="AX223" s="418"/>
      <c r="AY223" s="418"/>
      <c r="AZ223" s="418"/>
      <c r="BA223" s="418"/>
      <c r="BC223" s="307"/>
    </row>
    <row r="224" spans="3:55" ht="15.75" customHeight="1">
      <c r="C224" s="424"/>
      <c r="AN224" s="418"/>
      <c r="AO224" s="418"/>
      <c r="AP224" s="418"/>
      <c r="AQ224" s="418"/>
      <c r="AR224" s="418"/>
      <c r="AS224" s="418"/>
      <c r="AT224" s="418"/>
      <c r="AU224" s="418"/>
      <c r="AV224" s="418"/>
      <c r="AW224" s="418"/>
      <c r="AX224" s="418"/>
      <c r="AY224" s="418"/>
      <c r="AZ224" s="418"/>
      <c r="BA224" s="418"/>
      <c r="BC224" s="307"/>
    </row>
    <row r="225" spans="3:55" ht="15.75" customHeight="1">
      <c r="C225" s="424"/>
      <c r="AN225" s="418"/>
      <c r="AO225" s="418"/>
      <c r="AP225" s="418"/>
      <c r="AQ225" s="418"/>
      <c r="AR225" s="418"/>
      <c r="AS225" s="418"/>
      <c r="AT225" s="418"/>
      <c r="AU225" s="418"/>
      <c r="AV225" s="418"/>
      <c r="AW225" s="418"/>
      <c r="AX225" s="418"/>
      <c r="AY225" s="418"/>
      <c r="AZ225" s="418"/>
      <c r="BA225" s="418"/>
      <c r="BC225" s="307"/>
    </row>
    <row r="226" spans="3:55" ht="15.75" customHeight="1">
      <c r="C226" s="424"/>
      <c r="AN226" s="418"/>
      <c r="AO226" s="418"/>
      <c r="AP226" s="418"/>
      <c r="AQ226" s="418"/>
      <c r="AR226" s="418"/>
      <c r="AS226" s="418"/>
      <c r="AT226" s="418"/>
      <c r="AU226" s="418"/>
      <c r="AV226" s="418"/>
      <c r="AW226" s="418"/>
      <c r="AX226" s="418"/>
      <c r="AY226" s="418"/>
      <c r="AZ226" s="418"/>
      <c r="BA226" s="418"/>
      <c r="BC226" s="307"/>
    </row>
    <row r="227" spans="3:55" ht="15.75" customHeight="1">
      <c r="C227" s="424"/>
      <c r="AN227" s="418"/>
      <c r="AO227" s="418"/>
      <c r="AP227" s="418"/>
      <c r="AQ227" s="418"/>
      <c r="AR227" s="418"/>
      <c r="AS227" s="418"/>
      <c r="AT227" s="418"/>
      <c r="AU227" s="418"/>
      <c r="AV227" s="418"/>
      <c r="AW227" s="418"/>
      <c r="AX227" s="418"/>
      <c r="AY227" s="418"/>
      <c r="AZ227" s="418"/>
      <c r="BA227" s="418"/>
      <c r="BC227" s="307"/>
    </row>
    <row r="228" spans="3:55" ht="15.75" customHeight="1">
      <c r="C228" s="424"/>
      <c r="AN228" s="418"/>
      <c r="AO228" s="418"/>
      <c r="AP228" s="418"/>
      <c r="AQ228" s="418"/>
      <c r="AR228" s="418"/>
      <c r="AS228" s="418"/>
      <c r="AT228" s="418"/>
      <c r="AU228" s="418"/>
      <c r="AV228" s="418"/>
      <c r="AW228" s="418"/>
      <c r="AX228" s="418"/>
      <c r="AY228" s="418"/>
      <c r="AZ228" s="418"/>
      <c r="BA228" s="418"/>
      <c r="BC228" s="307"/>
    </row>
    <row r="229" spans="3:55" ht="15.75" customHeight="1">
      <c r="C229" s="424"/>
      <c r="AN229" s="418"/>
      <c r="AO229" s="418"/>
      <c r="AP229" s="418"/>
      <c r="AQ229" s="418"/>
      <c r="AR229" s="418"/>
      <c r="AS229" s="418"/>
      <c r="AT229" s="418"/>
      <c r="AU229" s="418"/>
      <c r="AV229" s="418"/>
      <c r="AW229" s="418"/>
      <c r="AX229" s="418"/>
      <c r="AY229" s="418"/>
      <c r="AZ229" s="418"/>
      <c r="BA229" s="418"/>
      <c r="BC229" s="307"/>
    </row>
    <row r="230" spans="3:55" ht="15.75" customHeight="1">
      <c r="C230" s="424"/>
      <c r="AN230" s="418"/>
      <c r="AO230" s="418"/>
      <c r="AP230" s="418"/>
      <c r="AQ230" s="418"/>
      <c r="AR230" s="418"/>
      <c r="AS230" s="418"/>
      <c r="AT230" s="418"/>
      <c r="AU230" s="418"/>
      <c r="AV230" s="418"/>
      <c r="AW230" s="418"/>
      <c r="AX230" s="418"/>
      <c r="AY230" s="418"/>
      <c r="AZ230" s="418"/>
      <c r="BA230" s="418"/>
      <c r="BC230" s="307"/>
    </row>
    <row r="231" spans="3:55" ht="15.75" customHeight="1">
      <c r="C231" s="424"/>
      <c r="AN231" s="418"/>
      <c r="AO231" s="418"/>
      <c r="AP231" s="418"/>
      <c r="AQ231" s="418"/>
      <c r="AR231" s="418"/>
      <c r="AS231" s="418"/>
      <c r="AT231" s="418"/>
      <c r="AU231" s="418"/>
      <c r="AV231" s="418"/>
      <c r="AW231" s="418"/>
      <c r="AX231" s="418"/>
      <c r="AY231" s="418"/>
      <c r="AZ231" s="418"/>
      <c r="BA231" s="418"/>
      <c r="BC231" s="307"/>
    </row>
    <row r="232" spans="3:55" ht="15.75" customHeight="1">
      <c r="C232" s="424"/>
      <c r="AN232" s="418"/>
      <c r="AO232" s="418"/>
      <c r="AP232" s="418"/>
      <c r="AQ232" s="418"/>
      <c r="AR232" s="418"/>
      <c r="AS232" s="418"/>
      <c r="AT232" s="418"/>
      <c r="AU232" s="418"/>
      <c r="AV232" s="418"/>
      <c r="AW232" s="418"/>
      <c r="AX232" s="418"/>
      <c r="AY232" s="418"/>
      <c r="AZ232" s="418"/>
      <c r="BA232" s="418"/>
      <c r="BC232" s="307"/>
    </row>
    <row r="233" spans="3:55" ht="15.75" customHeight="1">
      <c r="C233" s="424"/>
      <c r="AN233" s="418"/>
      <c r="AO233" s="418"/>
      <c r="AP233" s="418"/>
      <c r="AQ233" s="418"/>
      <c r="AR233" s="418"/>
      <c r="AS233" s="418"/>
      <c r="AT233" s="418"/>
      <c r="AU233" s="418"/>
      <c r="AV233" s="418"/>
      <c r="AW233" s="418"/>
      <c r="AX233" s="418"/>
      <c r="AY233" s="418"/>
      <c r="AZ233" s="418"/>
      <c r="BA233" s="418"/>
      <c r="BC233" s="307"/>
    </row>
    <row r="234" spans="3:55" ht="15.75" customHeight="1">
      <c r="C234" s="424"/>
      <c r="AN234" s="418"/>
      <c r="AO234" s="418"/>
      <c r="AP234" s="418"/>
      <c r="AQ234" s="418"/>
      <c r="AR234" s="418"/>
      <c r="AS234" s="418"/>
      <c r="AT234" s="418"/>
      <c r="AU234" s="418"/>
      <c r="AV234" s="418"/>
      <c r="AW234" s="418"/>
      <c r="AX234" s="418"/>
      <c r="AY234" s="418"/>
      <c r="AZ234" s="418"/>
      <c r="BA234" s="418"/>
      <c r="BC234" s="307"/>
    </row>
    <row r="235" spans="3:55" ht="15.75" customHeight="1">
      <c r="C235" s="424"/>
      <c r="AN235" s="418"/>
      <c r="AO235" s="418"/>
      <c r="AP235" s="418"/>
      <c r="AQ235" s="418"/>
      <c r="AR235" s="418"/>
      <c r="AS235" s="418"/>
      <c r="AT235" s="418"/>
      <c r="AU235" s="418"/>
      <c r="AV235" s="418"/>
      <c r="AW235" s="418"/>
      <c r="AX235" s="418"/>
      <c r="AY235" s="418"/>
      <c r="AZ235" s="418"/>
      <c r="BA235" s="418"/>
      <c r="BC235" s="307"/>
    </row>
    <row r="236" spans="3:55" ht="15.75" customHeight="1">
      <c r="C236" s="424"/>
      <c r="AN236" s="418"/>
      <c r="AO236" s="418"/>
      <c r="AP236" s="418"/>
      <c r="AQ236" s="418"/>
      <c r="AR236" s="418"/>
      <c r="AS236" s="418"/>
      <c r="AT236" s="418"/>
      <c r="AU236" s="418"/>
      <c r="AV236" s="418"/>
      <c r="AW236" s="418"/>
      <c r="AX236" s="418"/>
      <c r="AY236" s="418"/>
      <c r="AZ236" s="418"/>
      <c r="BA236" s="418"/>
      <c r="BC236" s="307"/>
    </row>
    <row r="237" spans="3:55" ht="15.75" customHeight="1">
      <c r="C237" s="424"/>
      <c r="AN237" s="418"/>
      <c r="AO237" s="418"/>
      <c r="AP237" s="418"/>
      <c r="AQ237" s="418"/>
      <c r="AR237" s="418"/>
      <c r="AS237" s="418"/>
      <c r="AT237" s="418"/>
      <c r="AU237" s="418"/>
      <c r="AV237" s="418"/>
      <c r="AW237" s="418"/>
      <c r="AX237" s="418"/>
      <c r="AY237" s="418"/>
      <c r="AZ237" s="418"/>
      <c r="BA237" s="418"/>
      <c r="BC237" s="307"/>
    </row>
    <row r="238" spans="3:55" ht="15.75" customHeight="1">
      <c r="C238" s="424"/>
      <c r="AN238" s="418"/>
      <c r="AO238" s="418"/>
      <c r="AP238" s="418"/>
      <c r="AQ238" s="418"/>
      <c r="AR238" s="418"/>
      <c r="AS238" s="418"/>
      <c r="AT238" s="418"/>
      <c r="AU238" s="418"/>
      <c r="AV238" s="418"/>
      <c r="AW238" s="418"/>
      <c r="AX238" s="418"/>
      <c r="AY238" s="418"/>
      <c r="AZ238" s="418"/>
      <c r="BA238" s="418"/>
      <c r="BC238" s="307"/>
    </row>
    <row r="239" spans="3:55" ht="15.75" customHeight="1">
      <c r="C239" s="424"/>
      <c r="AN239" s="418"/>
      <c r="AO239" s="418"/>
      <c r="AP239" s="418"/>
      <c r="AQ239" s="418"/>
      <c r="AR239" s="418"/>
      <c r="AS239" s="418"/>
      <c r="AT239" s="418"/>
      <c r="AU239" s="418"/>
      <c r="AV239" s="418"/>
      <c r="AW239" s="418"/>
      <c r="AX239" s="418"/>
      <c r="AY239" s="418"/>
      <c r="AZ239" s="418"/>
      <c r="BA239" s="418"/>
      <c r="BC239" s="307"/>
    </row>
    <row r="240" spans="3:55" ht="15.75" customHeight="1">
      <c r="C240" s="424"/>
      <c r="AN240" s="418"/>
      <c r="AO240" s="418"/>
      <c r="AP240" s="418"/>
      <c r="AQ240" s="418"/>
      <c r="AR240" s="418"/>
      <c r="AS240" s="418"/>
      <c r="AT240" s="418"/>
      <c r="AU240" s="418"/>
      <c r="AV240" s="418"/>
      <c r="AW240" s="418"/>
      <c r="AX240" s="418"/>
      <c r="AY240" s="418"/>
      <c r="AZ240" s="418"/>
      <c r="BA240" s="418"/>
      <c r="BC240" s="307"/>
    </row>
    <row r="241" spans="3:55" ht="15.75" customHeight="1">
      <c r="C241" s="424"/>
      <c r="AN241" s="418"/>
      <c r="AO241" s="418"/>
      <c r="AP241" s="418"/>
      <c r="AQ241" s="418"/>
      <c r="AR241" s="418"/>
      <c r="AS241" s="418"/>
      <c r="AT241" s="418"/>
      <c r="AU241" s="418"/>
      <c r="AV241" s="418"/>
      <c r="AW241" s="418"/>
      <c r="AX241" s="418"/>
      <c r="AY241" s="418"/>
      <c r="AZ241" s="418"/>
      <c r="BA241" s="418"/>
      <c r="BC241" s="307"/>
    </row>
    <row r="242" spans="3:55" ht="15.75" customHeight="1">
      <c r="C242" s="424"/>
      <c r="AN242" s="418"/>
      <c r="AO242" s="418"/>
      <c r="AP242" s="418"/>
      <c r="AQ242" s="418"/>
      <c r="AR242" s="418"/>
      <c r="AS242" s="418"/>
      <c r="AT242" s="418"/>
      <c r="AU242" s="418"/>
      <c r="AV242" s="418"/>
      <c r="AW242" s="418"/>
      <c r="AX242" s="418"/>
      <c r="AY242" s="418"/>
      <c r="AZ242" s="418"/>
      <c r="BA242" s="418"/>
      <c r="BC242" s="307"/>
    </row>
    <row r="243" spans="3:55" ht="15.75" customHeight="1">
      <c r="C243" s="424"/>
      <c r="AN243" s="418"/>
      <c r="AO243" s="418"/>
      <c r="AP243" s="418"/>
      <c r="AQ243" s="418"/>
      <c r="AR243" s="418"/>
      <c r="AS243" s="418"/>
      <c r="AT243" s="418"/>
      <c r="AU243" s="418"/>
      <c r="AV243" s="418"/>
      <c r="AW243" s="418"/>
      <c r="AX243" s="418"/>
      <c r="AY243" s="418"/>
      <c r="AZ243" s="418"/>
      <c r="BA243" s="418"/>
      <c r="BC243" s="307"/>
    </row>
    <row r="244" spans="3:55" ht="15.75" customHeight="1">
      <c r="C244" s="424"/>
      <c r="AN244" s="418"/>
      <c r="AO244" s="418"/>
      <c r="AP244" s="418"/>
      <c r="AQ244" s="418"/>
      <c r="AR244" s="418"/>
      <c r="AS244" s="418"/>
      <c r="AT244" s="418"/>
      <c r="AU244" s="418"/>
      <c r="AV244" s="418"/>
      <c r="AW244" s="418"/>
      <c r="AX244" s="418"/>
      <c r="AY244" s="418"/>
      <c r="AZ244" s="418"/>
      <c r="BA244" s="418"/>
      <c r="BC244" s="307"/>
    </row>
    <row r="245" spans="3:55" ht="15.75" customHeight="1">
      <c r="C245" s="424"/>
      <c r="AN245" s="418"/>
      <c r="AO245" s="418"/>
      <c r="AP245" s="418"/>
      <c r="AQ245" s="418"/>
      <c r="AR245" s="418"/>
      <c r="AS245" s="418"/>
      <c r="AT245" s="418"/>
      <c r="AU245" s="418"/>
      <c r="AV245" s="418"/>
      <c r="AW245" s="418"/>
      <c r="AX245" s="418"/>
      <c r="AY245" s="418"/>
      <c r="AZ245" s="418"/>
      <c r="BA245" s="418"/>
      <c r="BC245" s="307"/>
    </row>
    <row r="246" spans="3:55" ht="15.75" customHeight="1">
      <c r="C246" s="424"/>
      <c r="AN246" s="418"/>
      <c r="AO246" s="418"/>
      <c r="AP246" s="418"/>
      <c r="AQ246" s="418"/>
      <c r="AR246" s="418"/>
      <c r="AS246" s="418"/>
      <c r="AT246" s="418"/>
      <c r="AU246" s="418"/>
      <c r="AV246" s="418"/>
      <c r="AW246" s="418"/>
      <c r="AX246" s="418"/>
      <c r="AY246" s="418"/>
      <c r="AZ246" s="418"/>
      <c r="BA246" s="418"/>
      <c r="BC246" s="307"/>
    </row>
    <row r="247" spans="3:55" ht="15.75" customHeight="1">
      <c r="C247" s="424"/>
      <c r="AN247" s="418"/>
      <c r="AO247" s="418"/>
      <c r="AP247" s="418"/>
      <c r="AQ247" s="418"/>
      <c r="AR247" s="418"/>
      <c r="AS247" s="418"/>
      <c r="AT247" s="418"/>
      <c r="AU247" s="418"/>
      <c r="AV247" s="418"/>
      <c r="AW247" s="418"/>
      <c r="AX247" s="418"/>
      <c r="AY247" s="418"/>
      <c r="AZ247" s="418"/>
      <c r="BA247" s="418"/>
      <c r="BC247" s="307"/>
    </row>
    <row r="248" spans="3:55" ht="15.75" customHeight="1">
      <c r="C248" s="424"/>
      <c r="AN248" s="418"/>
      <c r="AO248" s="418"/>
      <c r="AP248" s="418"/>
      <c r="AQ248" s="418"/>
      <c r="AR248" s="418"/>
      <c r="AS248" s="418"/>
      <c r="AT248" s="418"/>
      <c r="AU248" s="418"/>
      <c r="AV248" s="418"/>
      <c r="AW248" s="418"/>
      <c r="AX248" s="418"/>
      <c r="AY248" s="418"/>
      <c r="AZ248" s="418"/>
      <c r="BA248" s="418"/>
      <c r="BC248" s="307"/>
    </row>
    <row r="249" spans="3:55" ht="15.75" customHeight="1">
      <c r="C249" s="424"/>
      <c r="AN249" s="418"/>
      <c r="AO249" s="418"/>
      <c r="AP249" s="418"/>
      <c r="AQ249" s="418"/>
      <c r="AR249" s="418"/>
      <c r="AS249" s="418"/>
      <c r="AT249" s="418"/>
      <c r="AU249" s="418"/>
      <c r="AV249" s="418"/>
      <c r="AW249" s="418"/>
      <c r="AX249" s="418"/>
      <c r="AY249" s="418"/>
      <c r="AZ249" s="418"/>
      <c r="BA249" s="418"/>
    </row>
    <row r="250" spans="3:55" ht="15.75" customHeight="1">
      <c r="C250" s="424"/>
      <c r="AN250" s="418"/>
      <c r="AO250" s="418"/>
      <c r="AP250" s="418"/>
      <c r="AQ250" s="418"/>
      <c r="AR250" s="418"/>
      <c r="AS250" s="418"/>
      <c r="AT250" s="418"/>
      <c r="AU250" s="418"/>
      <c r="AV250" s="418"/>
      <c r="AW250" s="418"/>
      <c r="AX250" s="418"/>
      <c r="AY250" s="418"/>
      <c r="AZ250" s="418"/>
      <c r="BA250" s="418"/>
    </row>
    <row r="251" spans="3:55" ht="15.75" customHeight="1">
      <c r="C251" s="424"/>
      <c r="AN251" s="418"/>
      <c r="AO251" s="418"/>
      <c r="AP251" s="418"/>
      <c r="AQ251" s="418"/>
      <c r="AR251" s="418"/>
      <c r="AS251" s="418"/>
      <c r="AT251" s="418"/>
      <c r="AU251" s="418"/>
      <c r="AV251" s="418"/>
      <c r="AW251" s="418"/>
      <c r="AX251" s="418"/>
      <c r="AY251" s="418"/>
      <c r="AZ251" s="418"/>
      <c r="BA251" s="418"/>
    </row>
    <row r="252" spans="3:55" ht="15.75" customHeight="1">
      <c r="C252" s="424"/>
      <c r="AN252" s="418"/>
      <c r="AO252" s="418"/>
      <c r="AP252" s="418"/>
      <c r="AQ252" s="418"/>
      <c r="AR252" s="418"/>
      <c r="AS252" s="418"/>
      <c r="AT252" s="418"/>
      <c r="AU252" s="418"/>
      <c r="AV252" s="418"/>
      <c r="AW252" s="418"/>
      <c r="AX252" s="418"/>
      <c r="AY252" s="418"/>
      <c r="AZ252" s="418"/>
      <c r="BA252" s="418"/>
    </row>
    <row r="253" spans="3:55" ht="15.75" customHeight="1">
      <c r="C253" s="424"/>
      <c r="AN253" s="418"/>
      <c r="AO253" s="418"/>
      <c r="AP253" s="418"/>
      <c r="AQ253" s="418"/>
      <c r="AR253" s="418"/>
      <c r="AS253" s="418"/>
      <c r="AT253" s="418"/>
      <c r="AU253" s="418"/>
      <c r="AV253" s="418"/>
      <c r="AW253" s="418"/>
      <c r="AX253" s="418"/>
      <c r="AY253" s="418"/>
      <c r="AZ253" s="418"/>
      <c r="BA253" s="418"/>
    </row>
    <row r="254" spans="3:55" ht="15.75" customHeight="1">
      <c r="C254" s="424"/>
      <c r="AN254" s="418"/>
      <c r="AO254" s="418"/>
      <c r="AP254" s="418"/>
      <c r="AQ254" s="418"/>
      <c r="AR254" s="418"/>
      <c r="AS254" s="418"/>
      <c r="AT254" s="418"/>
      <c r="AU254" s="418"/>
      <c r="AV254" s="418"/>
      <c r="AW254" s="418"/>
      <c r="AX254" s="418"/>
      <c r="AY254" s="418"/>
      <c r="AZ254" s="418"/>
      <c r="BA254" s="418"/>
    </row>
    <row r="255" spans="3:55" ht="15.75" customHeight="1">
      <c r="C255" s="424"/>
      <c r="AN255" s="418"/>
      <c r="AO255" s="418"/>
      <c r="AP255" s="418"/>
      <c r="AQ255" s="418"/>
      <c r="AR255" s="418"/>
      <c r="AS255" s="418"/>
      <c r="AT255" s="418"/>
      <c r="AU255" s="418"/>
      <c r="AV255" s="418"/>
      <c r="AW255" s="418"/>
      <c r="AX255" s="418"/>
      <c r="AY255" s="418"/>
      <c r="AZ255" s="418"/>
      <c r="BA255" s="418"/>
    </row>
    <row r="256" spans="3:55" ht="15.75" customHeight="1">
      <c r="C256" s="424"/>
      <c r="AN256" s="418"/>
      <c r="AO256" s="418"/>
      <c r="AP256" s="418"/>
      <c r="AQ256" s="418"/>
      <c r="AR256" s="418"/>
      <c r="AS256" s="418"/>
      <c r="AT256" s="418"/>
      <c r="AU256" s="418"/>
      <c r="AV256" s="418"/>
      <c r="AW256" s="418"/>
      <c r="AX256" s="418"/>
      <c r="AY256" s="418"/>
      <c r="AZ256" s="418"/>
      <c r="BA256" s="418"/>
    </row>
    <row r="257" spans="3:53" ht="15.75" customHeight="1">
      <c r="C257" s="424"/>
      <c r="AN257" s="418"/>
      <c r="AO257" s="418"/>
      <c r="AP257" s="418"/>
      <c r="AQ257" s="418"/>
      <c r="AR257" s="418"/>
      <c r="AS257" s="418"/>
      <c r="AT257" s="418"/>
      <c r="AU257" s="418"/>
      <c r="AV257" s="418"/>
      <c r="AW257" s="418"/>
      <c r="AX257" s="418"/>
      <c r="AY257" s="418"/>
      <c r="AZ257" s="418"/>
      <c r="BA257" s="418"/>
    </row>
    <row r="258" spans="3:53" ht="15.75" customHeight="1">
      <c r="C258" s="424"/>
      <c r="AN258" s="418"/>
      <c r="AO258" s="418"/>
      <c r="AP258" s="418"/>
      <c r="AQ258" s="418"/>
      <c r="AR258" s="418"/>
      <c r="AS258" s="418"/>
      <c r="AT258" s="418"/>
      <c r="AU258" s="418"/>
      <c r="AV258" s="418"/>
      <c r="AW258" s="418"/>
      <c r="AX258" s="418"/>
      <c r="AY258" s="418"/>
      <c r="AZ258" s="418"/>
      <c r="BA258" s="418"/>
    </row>
    <row r="259" spans="3:53" ht="15.75" customHeight="1">
      <c r="C259" s="424"/>
      <c r="AN259" s="418"/>
      <c r="AO259" s="418"/>
      <c r="AP259" s="418"/>
      <c r="AQ259" s="418"/>
      <c r="AR259" s="418"/>
      <c r="AS259" s="418"/>
      <c r="AT259" s="418"/>
      <c r="AU259" s="418"/>
      <c r="AV259" s="418"/>
      <c r="AW259" s="418"/>
      <c r="AX259" s="418"/>
      <c r="AY259" s="418"/>
      <c r="AZ259" s="418"/>
      <c r="BA259" s="418"/>
    </row>
    <row r="260" spans="3:53" ht="15.75" customHeight="1">
      <c r="C260" s="424"/>
      <c r="AN260" s="418"/>
      <c r="AO260" s="418"/>
      <c r="AP260" s="418"/>
      <c r="AQ260" s="418"/>
      <c r="AR260" s="418"/>
      <c r="AS260" s="418"/>
      <c r="AT260" s="418"/>
      <c r="AU260" s="418"/>
      <c r="AV260" s="418"/>
      <c r="AW260" s="418"/>
      <c r="AX260" s="418"/>
      <c r="AY260" s="418"/>
      <c r="AZ260" s="418"/>
      <c r="BA260" s="418"/>
    </row>
    <row r="261" spans="3:53" ht="15.75" customHeight="1">
      <c r="C261" s="424"/>
      <c r="AN261" s="418"/>
      <c r="AO261" s="418"/>
      <c r="AP261" s="418"/>
      <c r="AQ261" s="418"/>
      <c r="AR261" s="418"/>
      <c r="AS261" s="418"/>
      <c r="AT261" s="418"/>
      <c r="AU261" s="418"/>
      <c r="AV261" s="418"/>
      <c r="AW261" s="418"/>
      <c r="AX261" s="418"/>
      <c r="AY261" s="418"/>
      <c r="AZ261" s="418"/>
      <c r="BA261" s="418"/>
    </row>
    <row r="262" spans="3:53" ht="15.75" customHeight="1">
      <c r="C262" s="424"/>
      <c r="AN262" s="418"/>
      <c r="AO262" s="418"/>
      <c r="AP262" s="418"/>
      <c r="AQ262" s="418"/>
      <c r="AR262" s="418"/>
      <c r="AS262" s="418"/>
      <c r="AT262" s="418"/>
      <c r="AU262" s="418"/>
      <c r="AV262" s="418"/>
      <c r="AW262" s="418"/>
      <c r="AX262" s="418"/>
      <c r="AY262" s="418"/>
      <c r="AZ262" s="418"/>
      <c r="BA262" s="418"/>
    </row>
    <row r="263" spans="3:53" ht="15.75" customHeight="1">
      <c r="C263" s="424"/>
      <c r="AN263" s="418"/>
      <c r="AO263" s="418"/>
      <c r="AP263" s="418"/>
      <c r="AQ263" s="418"/>
      <c r="AR263" s="418"/>
      <c r="AS263" s="418"/>
      <c r="AT263" s="418"/>
      <c r="AU263" s="418"/>
      <c r="AV263" s="418"/>
      <c r="AW263" s="418"/>
      <c r="AX263" s="418"/>
      <c r="AY263" s="418"/>
      <c r="AZ263" s="418"/>
      <c r="BA263" s="418"/>
    </row>
    <row r="264" spans="3:53" ht="15.75" customHeight="1">
      <c r="C264" s="424"/>
      <c r="AN264" s="418"/>
      <c r="AO264" s="418"/>
      <c r="AP264" s="418"/>
      <c r="AQ264" s="418"/>
      <c r="AR264" s="418"/>
      <c r="AS264" s="418"/>
      <c r="AT264" s="418"/>
      <c r="AU264" s="418"/>
      <c r="AV264" s="418"/>
      <c r="AW264" s="418"/>
      <c r="AX264" s="418"/>
      <c r="AY264" s="418"/>
      <c r="AZ264" s="418"/>
      <c r="BA264" s="418"/>
    </row>
    <row r="265" spans="3:53" ht="15.75" customHeight="1">
      <c r="C265" s="424"/>
      <c r="AN265" s="418"/>
      <c r="AO265" s="418"/>
      <c r="AP265" s="418"/>
      <c r="AQ265" s="418"/>
      <c r="AR265" s="418"/>
      <c r="AS265" s="418"/>
      <c r="AT265" s="418"/>
      <c r="AU265" s="418"/>
      <c r="AV265" s="418"/>
      <c r="AW265" s="418"/>
      <c r="AX265" s="418"/>
      <c r="AY265" s="418"/>
      <c r="AZ265" s="418"/>
      <c r="BA265" s="418"/>
    </row>
    <row r="266" spans="3:53" ht="15.75" customHeight="1">
      <c r="C266" s="424"/>
      <c r="AN266" s="418"/>
      <c r="AO266" s="418"/>
      <c r="AP266" s="418"/>
      <c r="AQ266" s="418"/>
      <c r="AR266" s="418"/>
      <c r="AS266" s="418"/>
      <c r="AT266" s="418"/>
      <c r="AU266" s="418"/>
      <c r="AV266" s="418"/>
      <c r="AW266" s="418"/>
      <c r="AX266" s="418"/>
      <c r="AY266" s="418"/>
      <c r="AZ266" s="418"/>
      <c r="BA266" s="418"/>
    </row>
    <row r="267" spans="3:53" ht="15.75" customHeight="1">
      <c r="C267" s="424"/>
      <c r="AN267" s="418"/>
      <c r="AO267" s="418"/>
      <c r="AP267" s="418"/>
      <c r="AQ267" s="418"/>
      <c r="AR267" s="418"/>
      <c r="AS267" s="418"/>
      <c r="AT267" s="418"/>
      <c r="AU267" s="418"/>
      <c r="AV267" s="418"/>
      <c r="AW267" s="418"/>
      <c r="AX267" s="418"/>
      <c r="AY267" s="418"/>
      <c r="AZ267" s="418"/>
      <c r="BA267" s="418"/>
    </row>
    <row r="268" spans="3:53" ht="15.75" customHeight="1">
      <c r="C268" s="424"/>
      <c r="AN268" s="418"/>
      <c r="AO268" s="418"/>
      <c r="AP268" s="418"/>
      <c r="AQ268" s="418"/>
      <c r="AR268" s="418"/>
      <c r="AS268" s="418"/>
      <c r="AT268" s="418"/>
      <c r="AU268" s="418"/>
      <c r="AV268" s="418"/>
      <c r="AW268" s="418"/>
      <c r="AX268" s="418"/>
      <c r="AY268" s="418"/>
      <c r="AZ268" s="418"/>
      <c r="BA268" s="418"/>
    </row>
    <row r="269" spans="3:53" ht="15.75" customHeight="1">
      <c r="C269" s="424"/>
      <c r="AN269" s="418"/>
      <c r="AO269" s="418"/>
      <c r="AP269" s="418"/>
      <c r="AQ269" s="418"/>
      <c r="AR269" s="418"/>
      <c r="AS269" s="418"/>
      <c r="AT269" s="418"/>
      <c r="AU269" s="418"/>
      <c r="AV269" s="418"/>
      <c r="AW269" s="418"/>
      <c r="AX269" s="418"/>
      <c r="AY269" s="418"/>
      <c r="AZ269" s="418"/>
      <c r="BA269" s="418"/>
    </row>
    <row r="270" spans="3:53" ht="15.75" customHeight="1">
      <c r="C270" s="424"/>
      <c r="AN270" s="418"/>
      <c r="AO270" s="418"/>
      <c r="AP270" s="418"/>
      <c r="AQ270" s="418"/>
      <c r="AR270" s="418"/>
      <c r="AS270" s="418"/>
      <c r="AT270" s="418"/>
      <c r="AU270" s="418"/>
      <c r="AV270" s="418"/>
      <c r="AW270" s="418"/>
      <c r="AX270" s="418"/>
      <c r="AY270" s="418"/>
      <c r="AZ270" s="418"/>
      <c r="BA270" s="418"/>
    </row>
    <row r="271" spans="3:53" ht="15.75" customHeight="1">
      <c r="C271" s="424"/>
      <c r="AN271" s="418"/>
      <c r="AO271" s="418"/>
      <c r="AP271" s="418"/>
      <c r="AQ271" s="418"/>
      <c r="AR271" s="418"/>
      <c r="AS271" s="418"/>
      <c r="AT271" s="418"/>
      <c r="AU271" s="418"/>
      <c r="AV271" s="418"/>
      <c r="AW271" s="418"/>
      <c r="AX271" s="418"/>
      <c r="AY271" s="418"/>
      <c r="AZ271" s="418"/>
      <c r="BA271" s="418"/>
    </row>
    <row r="272" spans="3:53" ht="15.75" customHeight="1">
      <c r="C272" s="424"/>
      <c r="AN272" s="418"/>
      <c r="AO272" s="418"/>
      <c r="AP272" s="418"/>
      <c r="AQ272" s="418"/>
      <c r="AR272" s="418"/>
      <c r="AS272" s="418"/>
      <c r="AT272" s="418"/>
      <c r="AU272" s="418"/>
      <c r="AV272" s="418"/>
      <c r="AW272" s="418"/>
      <c r="AX272" s="418"/>
      <c r="AY272" s="418"/>
      <c r="AZ272" s="418"/>
      <c r="BA272" s="418"/>
    </row>
    <row r="273" spans="3:59" ht="15.75" customHeight="1">
      <c r="C273" s="424"/>
      <c r="AN273" s="418"/>
      <c r="AO273" s="418"/>
      <c r="AP273" s="418"/>
      <c r="AQ273" s="418"/>
      <c r="AR273" s="418"/>
      <c r="AS273" s="418"/>
      <c r="AT273" s="418"/>
      <c r="AU273" s="418"/>
      <c r="AV273" s="418"/>
      <c r="AW273" s="418"/>
      <c r="AX273" s="418"/>
      <c r="AY273" s="418"/>
      <c r="AZ273" s="418"/>
      <c r="BA273" s="418"/>
    </row>
    <row r="274" spans="3:59" ht="15.75" customHeight="1">
      <c r="C274" s="424"/>
      <c r="AN274" s="418"/>
      <c r="AO274" s="418"/>
      <c r="AP274" s="418"/>
      <c r="AQ274" s="418"/>
      <c r="AR274" s="418"/>
      <c r="AS274" s="418"/>
      <c r="AT274" s="418"/>
      <c r="AU274" s="418"/>
      <c r="AV274" s="418"/>
      <c r="AW274" s="418"/>
      <c r="AX274" s="418"/>
      <c r="AY274" s="418"/>
      <c r="AZ274" s="418"/>
      <c r="BA274" s="418"/>
    </row>
    <row r="275" spans="3:59" ht="15.75" customHeight="1">
      <c r="C275" s="424"/>
      <c r="AN275" s="418"/>
      <c r="AO275" s="418"/>
      <c r="AP275" s="418"/>
      <c r="AQ275" s="418"/>
      <c r="AR275" s="418"/>
      <c r="AS275" s="418"/>
      <c r="AT275" s="418"/>
      <c r="AU275" s="418"/>
      <c r="AV275" s="418"/>
      <c r="AW275" s="418"/>
      <c r="AX275" s="418"/>
      <c r="AY275" s="418"/>
      <c r="AZ275" s="418"/>
      <c r="BA275" s="418"/>
    </row>
    <row r="276" spans="3:59" ht="15.75" customHeight="1">
      <c r="C276" s="424"/>
      <c r="AN276" s="418"/>
      <c r="AO276" s="418"/>
      <c r="AP276" s="418"/>
      <c r="AQ276" s="418"/>
      <c r="AR276" s="418"/>
      <c r="AS276" s="418"/>
      <c r="AT276" s="418"/>
      <c r="AU276" s="418"/>
      <c r="AV276" s="418"/>
      <c r="AW276" s="418"/>
      <c r="AX276" s="418"/>
      <c r="AY276" s="418"/>
      <c r="AZ276" s="418"/>
      <c r="BA276" s="418"/>
      <c r="BE276" s="362"/>
    </row>
    <row r="277" spans="3:59" ht="15.75" customHeight="1">
      <c r="C277" s="424"/>
      <c r="AN277" s="418"/>
      <c r="AO277" s="418"/>
      <c r="AP277" s="418"/>
      <c r="AQ277" s="418"/>
      <c r="AR277" s="418"/>
      <c r="AS277" s="418"/>
      <c r="AT277" s="418"/>
      <c r="AU277" s="418"/>
      <c r="AV277" s="418"/>
      <c r="AW277" s="418"/>
      <c r="AX277" s="418"/>
      <c r="AY277" s="418"/>
      <c r="AZ277" s="418"/>
      <c r="BA277" s="418"/>
      <c r="BD277" s="350"/>
    </row>
    <row r="278" spans="3:59" ht="15.75" customHeight="1">
      <c r="C278" s="424"/>
      <c r="AN278" s="418"/>
      <c r="AO278" s="418"/>
      <c r="AP278" s="418"/>
      <c r="AQ278" s="418"/>
      <c r="AR278" s="418"/>
      <c r="AS278" s="418"/>
      <c r="AT278" s="418"/>
      <c r="AU278" s="418"/>
      <c r="AV278" s="418"/>
      <c r="AW278" s="418"/>
      <c r="AX278" s="418"/>
      <c r="AY278" s="418"/>
      <c r="AZ278" s="418"/>
      <c r="BA278" s="418"/>
    </row>
    <row r="279" spans="3:59" ht="15.75" customHeight="1">
      <c r="C279" s="424"/>
      <c r="AN279" s="418"/>
      <c r="AO279" s="418"/>
      <c r="AP279" s="418"/>
      <c r="AQ279" s="418"/>
      <c r="AR279" s="418"/>
      <c r="AS279" s="418"/>
      <c r="AT279" s="418"/>
      <c r="AU279" s="418"/>
      <c r="AV279" s="418"/>
      <c r="AW279" s="418"/>
      <c r="AX279" s="418"/>
      <c r="AY279" s="418"/>
      <c r="AZ279" s="418"/>
      <c r="BA279" s="418"/>
    </row>
    <row r="280" spans="3:59" ht="15.75" customHeight="1">
      <c r="C280" s="424"/>
      <c r="AN280" s="418"/>
      <c r="AO280" s="418"/>
      <c r="AP280" s="418"/>
      <c r="AQ280" s="418"/>
      <c r="AR280" s="418"/>
      <c r="AS280" s="418"/>
      <c r="AT280" s="418"/>
      <c r="AU280" s="418"/>
      <c r="AV280" s="418"/>
      <c r="AW280" s="418"/>
      <c r="AX280" s="418"/>
      <c r="AY280" s="418"/>
      <c r="AZ280" s="418"/>
      <c r="BA280" s="418"/>
    </row>
    <row r="281" spans="3:59" ht="15.75" customHeight="1">
      <c r="C281" s="424"/>
      <c r="AN281" s="418"/>
      <c r="AO281" s="418"/>
      <c r="AP281" s="418"/>
      <c r="AQ281" s="418"/>
      <c r="AR281" s="418"/>
      <c r="AS281" s="418"/>
      <c r="AT281" s="418"/>
      <c r="AU281" s="418"/>
      <c r="AV281" s="418"/>
      <c r="AW281" s="418"/>
      <c r="AX281" s="418"/>
      <c r="AY281" s="418"/>
      <c r="AZ281" s="418"/>
      <c r="BA281" s="418"/>
      <c r="BF281" s="362"/>
      <c r="BG281" s="362"/>
    </row>
    <row r="282" spans="3:59" ht="15.75" customHeight="1">
      <c r="C282" s="424"/>
      <c r="AN282" s="418"/>
      <c r="AO282" s="418"/>
      <c r="AP282" s="418"/>
      <c r="AQ282" s="418"/>
      <c r="AR282" s="418"/>
      <c r="AS282" s="418"/>
      <c r="AT282" s="418"/>
      <c r="AU282" s="418"/>
      <c r="AV282" s="418"/>
      <c r="AW282" s="418"/>
      <c r="AX282" s="418"/>
      <c r="AY282" s="418"/>
      <c r="AZ282" s="418"/>
      <c r="BA282" s="418"/>
    </row>
    <row r="283" spans="3:59" ht="15.75" customHeight="1">
      <c r="C283" s="424"/>
      <c r="AN283" s="418"/>
      <c r="AO283" s="418"/>
      <c r="AP283" s="418"/>
      <c r="AQ283" s="418"/>
      <c r="AR283" s="418"/>
      <c r="AS283" s="418"/>
      <c r="AT283" s="418"/>
      <c r="AU283" s="418"/>
      <c r="AV283" s="418"/>
      <c r="AW283" s="418"/>
      <c r="AX283" s="418"/>
      <c r="AY283" s="418"/>
      <c r="AZ283" s="418"/>
      <c r="BA283" s="418"/>
    </row>
    <row r="284" spans="3:59" ht="15.75" customHeight="1">
      <c r="C284" s="424"/>
      <c r="AN284" s="418"/>
      <c r="AO284" s="418"/>
      <c r="AP284" s="418"/>
      <c r="AQ284" s="418"/>
      <c r="AR284" s="418"/>
      <c r="AS284" s="418"/>
      <c r="AT284" s="418"/>
      <c r="AU284" s="418"/>
      <c r="AV284" s="418"/>
      <c r="AW284" s="418"/>
      <c r="AX284" s="418"/>
      <c r="AY284" s="418"/>
      <c r="AZ284" s="418"/>
      <c r="BA284" s="418"/>
    </row>
    <row r="285" spans="3:59" ht="15.75" customHeight="1">
      <c r="C285" s="424"/>
      <c r="AN285" s="418"/>
      <c r="AO285" s="418"/>
      <c r="AP285" s="418"/>
      <c r="AQ285" s="418"/>
      <c r="AR285" s="418"/>
      <c r="AS285" s="418"/>
      <c r="AT285" s="418"/>
      <c r="AU285" s="418"/>
      <c r="AV285" s="418"/>
      <c r="AW285" s="418"/>
      <c r="AX285" s="418"/>
      <c r="AY285" s="418"/>
      <c r="AZ285" s="418"/>
      <c r="BA285" s="418"/>
    </row>
    <row r="286" spans="3:59" ht="15.75" customHeight="1">
      <c r="C286" s="424"/>
      <c r="AN286" s="418"/>
      <c r="AO286" s="418"/>
      <c r="AP286" s="418"/>
      <c r="AQ286" s="418"/>
      <c r="AR286" s="418"/>
      <c r="AS286" s="418"/>
      <c r="AT286" s="418"/>
      <c r="AU286" s="418"/>
      <c r="AV286" s="418"/>
      <c r="AW286" s="418"/>
      <c r="AX286" s="418"/>
      <c r="AY286" s="418"/>
      <c r="AZ286" s="418"/>
      <c r="BA286" s="418"/>
    </row>
    <row r="287" spans="3:59" ht="15.75" customHeight="1">
      <c r="C287" s="424"/>
      <c r="AN287" s="418"/>
      <c r="AO287" s="418"/>
      <c r="AP287" s="418"/>
      <c r="AQ287" s="418"/>
      <c r="AR287" s="418"/>
      <c r="AS287" s="418"/>
      <c r="AT287" s="418"/>
      <c r="AU287" s="418"/>
      <c r="AV287" s="418"/>
      <c r="AW287" s="418"/>
      <c r="AX287" s="418"/>
      <c r="AY287" s="418"/>
      <c r="AZ287" s="418"/>
      <c r="BA287" s="418"/>
    </row>
    <row r="288" spans="3:59" ht="15.75" customHeight="1">
      <c r="C288" s="424"/>
      <c r="AN288" s="418"/>
      <c r="AO288" s="418"/>
      <c r="AP288" s="418"/>
      <c r="AQ288" s="418"/>
      <c r="AR288" s="418"/>
      <c r="AS288" s="418"/>
      <c r="AT288" s="418"/>
      <c r="AU288" s="418"/>
      <c r="AV288" s="418"/>
      <c r="AW288" s="418"/>
      <c r="AX288" s="418"/>
      <c r="AY288" s="418"/>
      <c r="AZ288" s="418"/>
      <c r="BA288" s="418"/>
    </row>
    <row r="289" spans="3:53" ht="15.75" customHeight="1">
      <c r="C289" s="424"/>
      <c r="AN289" s="418"/>
      <c r="AO289" s="418"/>
      <c r="AP289" s="418"/>
      <c r="AQ289" s="418"/>
      <c r="AR289" s="418"/>
      <c r="AS289" s="418"/>
      <c r="AT289" s="418"/>
      <c r="AU289" s="418"/>
      <c r="AV289" s="418"/>
      <c r="AW289" s="418"/>
      <c r="AX289" s="418"/>
      <c r="AY289" s="418"/>
      <c r="AZ289" s="418"/>
      <c r="BA289" s="418"/>
    </row>
    <row r="290" spans="3:53" ht="15.75" customHeight="1">
      <c r="C290" s="424"/>
      <c r="AN290" s="418"/>
      <c r="AO290" s="418"/>
      <c r="AP290" s="418"/>
      <c r="AQ290" s="418"/>
      <c r="AR290" s="418"/>
      <c r="AS290" s="418"/>
      <c r="AT290" s="418"/>
      <c r="AU290" s="418"/>
      <c r="AV290" s="418"/>
      <c r="AW290" s="418"/>
      <c r="AX290" s="418"/>
      <c r="AY290" s="418"/>
      <c r="AZ290" s="418"/>
      <c r="BA290" s="418"/>
    </row>
    <row r="291" spans="3:53" ht="15.75" customHeight="1">
      <c r="C291" s="424"/>
      <c r="AN291" s="418"/>
      <c r="AO291" s="418"/>
      <c r="AP291" s="418"/>
      <c r="AQ291" s="418"/>
      <c r="AR291" s="418"/>
      <c r="AS291" s="418"/>
      <c r="AT291" s="418"/>
      <c r="AU291" s="418"/>
      <c r="AV291" s="418"/>
      <c r="AW291" s="418"/>
      <c r="AX291" s="418"/>
      <c r="AY291" s="418"/>
      <c r="AZ291" s="418"/>
      <c r="BA291" s="418"/>
    </row>
    <row r="292" spans="3:53" ht="15.75" customHeight="1">
      <c r="C292" s="424"/>
      <c r="AN292" s="418"/>
      <c r="AO292" s="418"/>
      <c r="AP292" s="418"/>
      <c r="AQ292" s="418"/>
      <c r="AR292" s="418"/>
      <c r="AS292" s="418"/>
      <c r="AT292" s="418"/>
      <c r="AU292" s="418"/>
      <c r="AV292" s="418"/>
      <c r="AW292" s="418"/>
      <c r="AX292" s="418"/>
      <c r="AY292" s="418"/>
      <c r="AZ292" s="418"/>
      <c r="BA292" s="418"/>
    </row>
    <row r="293" spans="3:53" ht="15.75" customHeight="1">
      <c r="C293" s="424"/>
      <c r="AN293" s="418"/>
      <c r="AO293" s="418"/>
      <c r="AP293" s="418"/>
      <c r="AQ293" s="418"/>
      <c r="AR293" s="418"/>
      <c r="AS293" s="418"/>
      <c r="AT293" s="418"/>
      <c r="AU293" s="418"/>
      <c r="AV293" s="418"/>
      <c r="AW293" s="418"/>
      <c r="AX293" s="418"/>
      <c r="AY293" s="418"/>
      <c r="AZ293" s="418"/>
      <c r="BA293" s="418"/>
    </row>
    <row r="294" spans="3:53" ht="15.75" customHeight="1">
      <c r="C294" s="424"/>
      <c r="AN294" s="418"/>
      <c r="AO294" s="418"/>
      <c r="AP294" s="418"/>
      <c r="AQ294" s="418"/>
      <c r="AR294" s="418"/>
      <c r="AS294" s="418"/>
      <c r="AT294" s="418"/>
      <c r="AU294" s="418"/>
      <c r="AV294" s="418"/>
      <c r="AW294" s="418"/>
      <c r="AX294" s="418"/>
      <c r="AY294" s="418"/>
      <c r="AZ294" s="418"/>
      <c r="BA294" s="418"/>
    </row>
    <row r="295" spans="3:53" ht="15.75" customHeight="1">
      <c r="C295" s="424"/>
      <c r="AN295" s="418"/>
      <c r="AO295" s="418"/>
      <c r="AP295" s="418"/>
      <c r="AQ295" s="418"/>
      <c r="AR295" s="418"/>
      <c r="AS295" s="418"/>
      <c r="AT295" s="418"/>
      <c r="AU295" s="418"/>
      <c r="AV295" s="418"/>
      <c r="AW295" s="418"/>
      <c r="AX295" s="418"/>
      <c r="AY295" s="418"/>
      <c r="AZ295" s="418"/>
      <c r="BA295" s="418"/>
    </row>
    <row r="296" spans="3:53" ht="15.75" customHeight="1">
      <c r="C296" s="424"/>
      <c r="AN296" s="418"/>
      <c r="AO296" s="418"/>
      <c r="AP296" s="418"/>
      <c r="AQ296" s="418"/>
      <c r="AR296" s="418"/>
      <c r="AS296" s="418"/>
      <c r="AT296" s="418"/>
      <c r="AU296" s="418"/>
      <c r="AV296" s="418"/>
      <c r="AW296" s="418"/>
      <c r="AX296" s="418"/>
      <c r="AY296" s="418"/>
      <c r="AZ296" s="418"/>
      <c r="BA296" s="418"/>
    </row>
    <row r="297" spans="3:53" ht="15.75" customHeight="1">
      <c r="C297" s="424"/>
      <c r="AN297" s="418"/>
      <c r="AO297" s="418"/>
      <c r="AP297" s="418"/>
      <c r="AQ297" s="418"/>
      <c r="AR297" s="418"/>
      <c r="AS297" s="418"/>
      <c r="AT297" s="418"/>
      <c r="AU297" s="418"/>
      <c r="AV297" s="418"/>
      <c r="AW297" s="418"/>
      <c r="AX297" s="418"/>
      <c r="AY297" s="418"/>
      <c r="AZ297" s="418"/>
      <c r="BA297" s="418"/>
    </row>
    <row r="298" spans="3:53" ht="15.75" customHeight="1">
      <c r="C298" s="424"/>
      <c r="AN298" s="418"/>
      <c r="AO298" s="418"/>
      <c r="AP298" s="418"/>
      <c r="AQ298" s="418"/>
      <c r="AR298" s="418"/>
      <c r="AS298" s="418"/>
      <c r="AT298" s="418"/>
      <c r="AU298" s="418"/>
      <c r="AV298" s="418"/>
      <c r="AW298" s="418"/>
      <c r="AX298" s="418"/>
      <c r="AY298" s="418"/>
      <c r="AZ298" s="418"/>
      <c r="BA298" s="418"/>
    </row>
    <row r="299" spans="3:53" ht="15.75" customHeight="1">
      <c r="C299" s="424"/>
      <c r="AN299" s="418"/>
      <c r="AO299" s="418"/>
      <c r="AP299" s="418"/>
      <c r="AQ299" s="418"/>
      <c r="AR299" s="418"/>
      <c r="AS299" s="418"/>
      <c r="AT299" s="418"/>
      <c r="AU299" s="418"/>
      <c r="AV299" s="418"/>
      <c r="AW299" s="418"/>
      <c r="AX299" s="418"/>
      <c r="AY299" s="418"/>
      <c r="AZ299" s="418"/>
      <c r="BA299" s="418"/>
    </row>
    <row r="300" spans="3:53" ht="15.75" customHeight="1">
      <c r="C300" s="424"/>
      <c r="AN300" s="418"/>
      <c r="AO300" s="418"/>
      <c r="AP300" s="418"/>
      <c r="AQ300" s="418"/>
      <c r="AR300" s="418"/>
      <c r="AS300" s="418"/>
      <c r="AT300" s="418"/>
      <c r="AU300" s="418"/>
      <c r="AV300" s="418"/>
      <c r="AW300" s="418"/>
      <c r="AX300" s="418"/>
      <c r="AY300" s="418"/>
      <c r="AZ300" s="418"/>
      <c r="BA300" s="418"/>
    </row>
    <row r="301" spans="3:53" ht="15.75" customHeight="1">
      <c r="C301" s="424"/>
      <c r="AN301" s="418"/>
      <c r="AO301" s="418"/>
      <c r="AP301" s="418"/>
      <c r="AQ301" s="418"/>
      <c r="AR301" s="418"/>
      <c r="AS301" s="418"/>
      <c r="AT301" s="418"/>
      <c r="AU301" s="418"/>
      <c r="AV301" s="418"/>
      <c r="AW301" s="418"/>
      <c r="AX301" s="418"/>
      <c r="AY301" s="418"/>
      <c r="AZ301" s="418"/>
      <c r="BA301" s="418"/>
    </row>
    <row r="302" spans="3:53" ht="15.75" customHeight="1">
      <c r="C302" s="424"/>
      <c r="AN302" s="418"/>
      <c r="AO302" s="418"/>
      <c r="AP302" s="418"/>
      <c r="AQ302" s="418"/>
      <c r="AR302" s="418"/>
      <c r="AS302" s="418"/>
      <c r="AT302" s="418"/>
      <c r="AU302" s="418"/>
      <c r="AV302" s="418"/>
      <c r="AW302" s="418"/>
      <c r="AX302" s="418"/>
      <c r="AY302" s="418"/>
      <c r="AZ302" s="418"/>
      <c r="BA302" s="418"/>
    </row>
    <row r="303" spans="3:53" ht="15.75" customHeight="1">
      <c r="C303" s="424"/>
      <c r="AN303" s="418"/>
      <c r="AO303" s="418"/>
      <c r="AP303" s="418"/>
      <c r="AQ303" s="418"/>
      <c r="AR303" s="418"/>
      <c r="AS303" s="418"/>
      <c r="AT303" s="418"/>
      <c r="AU303" s="418"/>
      <c r="AV303" s="418"/>
      <c r="AW303" s="418"/>
      <c r="AX303" s="418"/>
      <c r="AY303" s="418"/>
      <c r="AZ303" s="418"/>
      <c r="BA303" s="418"/>
    </row>
    <row r="304" spans="3:53" ht="15.75" customHeight="1">
      <c r="C304" s="424"/>
      <c r="AN304" s="418"/>
      <c r="AO304" s="418"/>
      <c r="AP304" s="418"/>
      <c r="AQ304" s="418"/>
      <c r="AR304" s="418"/>
      <c r="AS304" s="418"/>
      <c r="AT304" s="418"/>
      <c r="AU304" s="418"/>
      <c r="AV304" s="418"/>
      <c r="AW304" s="418"/>
      <c r="AX304" s="418"/>
      <c r="AY304" s="418"/>
      <c r="AZ304" s="418"/>
      <c r="BA304" s="418"/>
    </row>
    <row r="305" spans="3:59" ht="15.75" customHeight="1">
      <c r="C305" s="424"/>
      <c r="AN305" s="418"/>
      <c r="AO305" s="418"/>
      <c r="AP305" s="418"/>
      <c r="AQ305" s="418"/>
      <c r="AR305" s="418"/>
      <c r="AS305" s="418"/>
      <c r="AT305" s="418"/>
      <c r="AU305" s="418"/>
      <c r="AV305" s="418"/>
      <c r="AW305" s="418"/>
      <c r="AX305" s="418"/>
      <c r="AY305" s="418"/>
      <c r="AZ305" s="418"/>
      <c r="BA305" s="418"/>
    </row>
    <row r="306" spans="3:59" ht="15.75" customHeight="1">
      <c r="C306" s="424"/>
      <c r="AN306" s="418"/>
      <c r="AO306" s="418"/>
      <c r="AP306" s="418"/>
      <c r="AQ306" s="418"/>
      <c r="AR306" s="418"/>
      <c r="AS306" s="418"/>
      <c r="AT306" s="418"/>
      <c r="AU306" s="418"/>
      <c r="AV306" s="418"/>
      <c r="AW306" s="418"/>
      <c r="AX306" s="418"/>
      <c r="AY306" s="418"/>
      <c r="AZ306" s="418"/>
      <c r="BA306" s="418"/>
    </row>
    <row r="307" spans="3:59" ht="15.75" customHeight="1">
      <c r="C307" s="424"/>
      <c r="AN307" s="418"/>
      <c r="AO307" s="418"/>
      <c r="AP307" s="418"/>
      <c r="AQ307" s="418"/>
      <c r="AR307" s="418"/>
      <c r="AS307" s="418"/>
      <c r="AT307" s="418"/>
      <c r="AU307" s="418"/>
      <c r="AV307" s="418"/>
      <c r="AW307" s="418"/>
      <c r="AX307" s="418"/>
      <c r="AY307" s="418"/>
      <c r="AZ307" s="418"/>
      <c r="BA307" s="418"/>
    </row>
    <row r="308" spans="3:59" ht="15.75" customHeight="1">
      <c r="C308" s="424"/>
      <c r="AN308" s="418"/>
      <c r="AO308" s="418"/>
      <c r="AP308" s="418"/>
      <c r="AQ308" s="418"/>
      <c r="AR308" s="418"/>
      <c r="AS308" s="418"/>
      <c r="AT308" s="418"/>
      <c r="AU308" s="418"/>
      <c r="AV308" s="418"/>
      <c r="AW308" s="418"/>
      <c r="AX308" s="418"/>
      <c r="AY308" s="418"/>
      <c r="AZ308" s="418"/>
      <c r="BA308" s="418"/>
    </row>
    <row r="309" spans="3:59" ht="15.75" customHeight="1">
      <c r="C309" s="424"/>
      <c r="AN309" s="418"/>
      <c r="AO309" s="418"/>
      <c r="AP309" s="418"/>
      <c r="AQ309" s="418"/>
      <c r="AR309" s="418"/>
      <c r="AS309" s="418"/>
      <c r="AT309" s="418"/>
      <c r="AU309" s="418"/>
      <c r="AV309" s="418"/>
      <c r="AW309" s="418"/>
      <c r="AX309" s="418"/>
      <c r="AY309" s="418"/>
      <c r="AZ309" s="418"/>
      <c r="BA309" s="418"/>
    </row>
    <row r="310" spans="3:59" ht="15.75" customHeight="1">
      <c r="C310" s="424"/>
      <c r="AN310" s="418"/>
      <c r="AO310" s="418"/>
      <c r="AP310" s="418"/>
      <c r="AQ310" s="418"/>
      <c r="AR310" s="418"/>
      <c r="AS310" s="418"/>
      <c r="AT310" s="418"/>
      <c r="AU310" s="418"/>
      <c r="AV310" s="418"/>
      <c r="AW310" s="418"/>
      <c r="AX310" s="418"/>
      <c r="AY310" s="418"/>
      <c r="AZ310" s="418"/>
      <c r="BA310" s="418"/>
    </row>
    <row r="311" spans="3:59" ht="15.75" customHeight="1">
      <c r="C311" s="424"/>
      <c r="AN311" s="418"/>
      <c r="AO311" s="418"/>
      <c r="AP311" s="418"/>
      <c r="AQ311" s="418"/>
      <c r="AR311" s="418"/>
      <c r="AS311" s="418"/>
      <c r="AT311" s="418"/>
      <c r="AU311" s="418"/>
      <c r="AV311" s="418"/>
      <c r="AW311" s="418"/>
      <c r="AX311" s="418"/>
      <c r="AY311" s="418"/>
      <c r="AZ311" s="418"/>
      <c r="BA311" s="418"/>
      <c r="BE311" s="362"/>
    </row>
    <row r="312" spans="3:59" ht="15.75" customHeight="1">
      <c r="C312" s="424"/>
      <c r="AN312" s="418"/>
      <c r="AO312" s="418"/>
      <c r="AP312" s="418"/>
      <c r="AQ312" s="418"/>
      <c r="AR312" s="418"/>
      <c r="AS312" s="418"/>
      <c r="AT312" s="418"/>
      <c r="AU312" s="418"/>
      <c r="AV312" s="418"/>
      <c r="AW312" s="418"/>
      <c r="AX312" s="418"/>
      <c r="AY312" s="418"/>
      <c r="AZ312" s="418"/>
      <c r="BA312" s="418"/>
      <c r="BD312" s="350"/>
    </row>
    <row r="313" spans="3:59" ht="15.75" customHeight="1">
      <c r="C313" s="424"/>
      <c r="AN313" s="418"/>
      <c r="AO313" s="418"/>
      <c r="AP313" s="418"/>
      <c r="AQ313" s="418"/>
      <c r="AR313" s="418"/>
      <c r="AS313" s="418"/>
      <c r="AT313" s="418"/>
      <c r="AU313" s="418"/>
      <c r="AV313" s="418"/>
      <c r="AW313" s="418"/>
      <c r="AX313" s="418"/>
      <c r="AY313" s="418"/>
      <c r="AZ313" s="418"/>
      <c r="BA313" s="418"/>
    </row>
    <row r="314" spans="3:59" ht="15.75" customHeight="1">
      <c r="C314" s="424"/>
      <c r="AN314" s="418"/>
      <c r="AO314" s="418"/>
      <c r="AP314" s="418"/>
      <c r="AQ314" s="418"/>
      <c r="AR314" s="418"/>
      <c r="AS314" s="418"/>
      <c r="AT314" s="418"/>
      <c r="AU314" s="418"/>
      <c r="AV314" s="418"/>
      <c r="AW314" s="418"/>
      <c r="AX314" s="418"/>
      <c r="AY314" s="418"/>
      <c r="AZ314" s="418"/>
      <c r="BA314" s="418"/>
    </row>
    <row r="315" spans="3:59" ht="15.75" customHeight="1">
      <c r="C315" s="424"/>
      <c r="AN315" s="418"/>
      <c r="AO315" s="418"/>
      <c r="AP315" s="418"/>
      <c r="AQ315" s="418"/>
      <c r="AR315" s="418"/>
      <c r="AS315" s="418"/>
      <c r="AT315" s="418"/>
      <c r="AU315" s="418"/>
      <c r="AV315" s="418"/>
      <c r="AW315" s="418"/>
      <c r="AX315" s="418"/>
      <c r="AY315" s="418"/>
      <c r="AZ315" s="418"/>
      <c r="BA315" s="418"/>
    </row>
    <row r="316" spans="3:59" ht="15.75" customHeight="1">
      <c r="C316" s="424"/>
      <c r="AN316" s="418"/>
      <c r="AO316" s="418"/>
      <c r="AP316" s="418"/>
      <c r="AQ316" s="418"/>
      <c r="AR316" s="418"/>
      <c r="AS316" s="418"/>
      <c r="AT316" s="418"/>
      <c r="AU316" s="418"/>
      <c r="AV316" s="418"/>
      <c r="AW316" s="418"/>
      <c r="AX316" s="418"/>
      <c r="AY316" s="418"/>
      <c r="AZ316" s="418"/>
      <c r="BA316" s="418"/>
      <c r="BF316" s="362"/>
      <c r="BG316" s="362"/>
    </row>
    <row r="317" spans="3:59" ht="15.75" customHeight="1">
      <c r="C317" s="424"/>
      <c r="AN317" s="418"/>
      <c r="AO317" s="418"/>
      <c r="AP317" s="418"/>
      <c r="AQ317" s="418"/>
      <c r="AR317" s="418"/>
      <c r="AS317" s="418"/>
      <c r="AT317" s="418"/>
      <c r="AU317" s="418"/>
      <c r="AV317" s="418"/>
      <c r="AW317" s="418"/>
      <c r="AX317" s="418"/>
      <c r="AY317" s="418"/>
      <c r="AZ317" s="418"/>
      <c r="BA317" s="418"/>
    </row>
    <row r="318" spans="3:59" ht="15.75" customHeight="1">
      <c r="C318" s="424"/>
      <c r="AN318" s="418"/>
      <c r="AO318" s="418"/>
      <c r="AP318" s="418"/>
      <c r="AQ318" s="418"/>
      <c r="AR318" s="418"/>
      <c r="AS318" s="418"/>
      <c r="AT318" s="418"/>
      <c r="AU318" s="418"/>
      <c r="AV318" s="418"/>
      <c r="AW318" s="418"/>
      <c r="AX318" s="418"/>
      <c r="AY318" s="418"/>
      <c r="AZ318" s="418"/>
      <c r="BA318" s="418"/>
    </row>
    <row r="319" spans="3:59" ht="15.75" customHeight="1">
      <c r="C319" s="424"/>
      <c r="AN319" s="418"/>
      <c r="AO319" s="418"/>
      <c r="AP319" s="418"/>
      <c r="AQ319" s="418"/>
      <c r="AR319" s="418"/>
      <c r="AS319" s="418"/>
      <c r="AT319" s="418"/>
      <c r="AU319" s="418"/>
      <c r="AV319" s="418"/>
      <c r="AW319" s="418"/>
      <c r="AX319" s="418"/>
      <c r="AY319" s="418"/>
      <c r="AZ319" s="418"/>
      <c r="BA319" s="418"/>
    </row>
    <row r="320" spans="3:59" ht="15.75" customHeight="1">
      <c r="C320" s="424"/>
      <c r="AN320" s="418"/>
      <c r="AO320" s="418"/>
      <c r="AP320" s="418"/>
      <c r="AQ320" s="418"/>
      <c r="AR320" s="418"/>
      <c r="AS320" s="418"/>
      <c r="AT320" s="418"/>
      <c r="AU320" s="418"/>
      <c r="AV320" s="418"/>
      <c r="AW320" s="418"/>
      <c r="AX320" s="418"/>
      <c r="AY320" s="418"/>
      <c r="AZ320" s="418"/>
      <c r="BA320" s="418"/>
    </row>
    <row r="321" spans="3:53" ht="15.75" customHeight="1">
      <c r="C321" s="424"/>
      <c r="AN321" s="418"/>
      <c r="AO321" s="418"/>
      <c r="AP321" s="418"/>
      <c r="AQ321" s="418"/>
      <c r="AR321" s="418"/>
      <c r="AS321" s="418"/>
      <c r="AT321" s="418"/>
      <c r="AU321" s="418"/>
      <c r="AV321" s="418"/>
      <c r="AW321" s="418"/>
      <c r="AX321" s="418"/>
      <c r="AY321" s="418"/>
      <c r="AZ321" s="418"/>
      <c r="BA321" s="418"/>
    </row>
    <row r="322" spans="3:53" ht="15.75" customHeight="1">
      <c r="C322" s="424"/>
      <c r="AN322" s="418"/>
      <c r="AO322" s="418"/>
      <c r="AP322" s="418"/>
      <c r="AQ322" s="418"/>
      <c r="AR322" s="418"/>
      <c r="AS322" s="418"/>
      <c r="AT322" s="418"/>
      <c r="AU322" s="418"/>
      <c r="AV322" s="418"/>
      <c r="AW322" s="418"/>
      <c r="AX322" s="418"/>
      <c r="AY322" s="418"/>
      <c r="AZ322" s="418"/>
      <c r="BA322" s="418"/>
    </row>
    <row r="323" spans="3:53" ht="15.75" customHeight="1">
      <c r="C323" s="424"/>
      <c r="AN323" s="418"/>
      <c r="AO323" s="418"/>
      <c r="AP323" s="418"/>
      <c r="AQ323" s="418"/>
      <c r="AR323" s="418"/>
      <c r="AS323" s="418"/>
      <c r="AT323" s="418"/>
      <c r="AU323" s="418"/>
      <c r="AV323" s="418"/>
      <c r="AW323" s="418"/>
      <c r="AX323" s="418"/>
      <c r="AY323" s="418"/>
      <c r="AZ323" s="418"/>
      <c r="BA323" s="418"/>
    </row>
    <row r="324" spans="3:53" ht="15.75" customHeight="1">
      <c r="C324" s="424"/>
      <c r="AN324" s="418"/>
      <c r="AO324" s="418"/>
      <c r="AP324" s="418"/>
      <c r="AQ324" s="418"/>
      <c r="AR324" s="418"/>
      <c r="AS324" s="418"/>
      <c r="AT324" s="418"/>
      <c r="AU324" s="418"/>
      <c r="AV324" s="418"/>
      <c r="AW324" s="418"/>
      <c r="AX324" s="418"/>
      <c r="AY324" s="418"/>
      <c r="AZ324" s="418"/>
      <c r="BA324" s="418"/>
    </row>
    <row r="325" spans="3:53" ht="15.75" customHeight="1">
      <c r="C325" s="424"/>
      <c r="AN325" s="418"/>
      <c r="AO325" s="418"/>
      <c r="AP325" s="418"/>
      <c r="AQ325" s="418"/>
      <c r="AR325" s="418"/>
      <c r="AS325" s="418"/>
      <c r="AT325" s="418"/>
      <c r="AU325" s="418"/>
      <c r="AV325" s="418"/>
      <c r="AW325" s="418"/>
      <c r="AX325" s="418"/>
      <c r="AY325" s="418"/>
      <c r="AZ325" s="418"/>
      <c r="BA325" s="418"/>
    </row>
    <row r="326" spans="3:53" ht="15.75" customHeight="1">
      <c r="C326" s="424"/>
      <c r="AN326" s="418"/>
      <c r="AO326" s="418"/>
      <c r="AP326" s="418"/>
      <c r="AQ326" s="418"/>
      <c r="AR326" s="418"/>
      <c r="AS326" s="418"/>
      <c r="AT326" s="418"/>
      <c r="AU326" s="418"/>
      <c r="AV326" s="418"/>
      <c r="AW326" s="418"/>
      <c r="AX326" s="418"/>
      <c r="AY326" s="418"/>
      <c r="AZ326" s="418"/>
      <c r="BA326" s="418"/>
    </row>
    <row r="327" spans="3:53" ht="15.75" customHeight="1">
      <c r="C327" s="424"/>
      <c r="AN327" s="418"/>
      <c r="AO327" s="418"/>
      <c r="AP327" s="418"/>
      <c r="AQ327" s="418"/>
      <c r="AR327" s="418"/>
      <c r="AS327" s="418"/>
      <c r="AT327" s="418"/>
      <c r="AU327" s="418"/>
      <c r="AV327" s="418"/>
      <c r="AW327" s="418"/>
      <c r="AX327" s="418"/>
      <c r="AY327" s="418"/>
      <c r="AZ327" s="418"/>
      <c r="BA327" s="418"/>
    </row>
    <row r="328" spans="3:53" ht="15.75" customHeight="1">
      <c r="C328" s="424"/>
      <c r="AN328" s="418"/>
      <c r="AO328" s="418"/>
      <c r="AP328" s="418"/>
      <c r="AQ328" s="418"/>
      <c r="AR328" s="418"/>
      <c r="AS328" s="418"/>
      <c r="AT328" s="418"/>
      <c r="AU328" s="418"/>
      <c r="AV328" s="418"/>
      <c r="AW328" s="418"/>
      <c r="AX328" s="418"/>
      <c r="AY328" s="418"/>
      <c r="AZ328" s="418"/>
      <c r="BA328" s="418"/>
    </row>
    <row r="329" spans="3:53" ht="15.75" customHeight="1">
      <c r="C329" s="424"/>
      <c r="AN329" s="418"/>
      <c r="AO329" s="418"/>
      <c r="AP329" s="418"/>
      <c r="AQ329" s="418"/>
      <c r="AR329" s="418"/>
      <c r="AS329" s="418"/>
      <c r="AT329" s="418"/>
      <c r="AU329" s="418"/>
      <c r="AV329" s="418"/>
      <c r="AW329" s="418"/>
      <c r="AX329" s="418"/>
      <c r="AY329" s="418"/>
      <c r="AZ329" s="418"/>
      <c r="BA329" s="418"/>
    </row>
    <row r="330" spans="3:53" ht="15.75" customHeight="1">
      <c r="C330" s="424"/>
      <c r="AN330" s="418"/>
      <c r="AO330" s="418"/>
      <c r="AP330" s="418"/>
      <c r="AQ330" s="418"/>
      <c r="AR330" s="418"/>
      <c r="AS330" s="418"/>
      <c r="AT330" s="418"/>
      <c r="AU330" s="418"/>
      <c r="AV330" s="418"/>
      <c r="AW330" s="418"/>
      <c r="AX330" s="418"/>
      <c r="AY330" s="418"/>
      <c r="AZ330" s="418"/>
      <c r="BA330" s="418"/>
    </row>
    <row r="331" spans="3:53" ht="15.75" customHeight="1">
      <c r="C331" s="424"/>
      <c r="AN331" s="418"/>
      <c r="AO331" s="418"/>
      <c r="AP331" s="418"/>
      <c r="AQ331" s="418"/>
      <c r="AR331" s="418"/>
      <c r="AS331" s="418"/>
      <c r="AT331" s="418"/>
      <c r="AU331" s="418"/>
      <c r="AV331" s="418"/>
      <c r="AW331" s="418"/>
      <c r="AX331" s="418"/>
      <c r="AY331" s="418"/>
      <c r="AZ331" s="418"/>
      <c r="BA331" s="418"/>
    </row>
    <row r="332" spans="3:53" ht="15.75" customHeight="1">
      <c r="C332" s="424"/>
      <c r="AN332" s="418"/>
      <c r="AO332" s="418"/>
      <c r="AP332" s="418"/>
      <c r="AQ332" s="418"/>
      <c r="AR332" s="418"/>
      <c r="AS332" s="418"/>
      <c r="AT332" s="418"/>
      <c r="AU332" s="418"/>
      <c r="AV332" s="418"/>
      <c r="AW332" s="418"/>
      <c r="AX332" s="418"/>
      <c r="AY332" s="418"/>
      <c r="AZ332" s="418"/>
      <c r="BA332" s="418"/>
    </row>
    <row r="333" spans="3:53" ht="15.75" customHeight="1">
      <c r="C333" s="424"/>
      <c r="AN333" s="418"/>
      <c r="AO333" s="418"/>
      <c r="AP333" s="418"/>
      <c r="AQ333" s="418"/>
      <c r="AR333" s="418"/>
      <c r="AS333" s="418"/>
      <c r="AT333" s="418"/>
      <c r="AU333" s="418"/>
      <c r="AV333" s="418"/>
      <c r="AW333" s="418"/>
      <c r="AX333" s="418"/>
      <c r="AY333" s="418"/>
      <c r="AZ333" s="418"/>
      <c r="BA333" s="418"/>
    </row>
    <row r="334" spans="3:53" ht="15.75" customHeight="1">
      <c r="C334" s="424"/>
      <c r="AN334" s="418"/>
      <c r="AO334" s="418"/>
      <c r="AP334" s="418"/>
      <c r="AQ334" s="418"/>
      <c r="AR334" s="418"/>
      <c r="AS334" s="418"/>
      <c r="AT334" s="418"/>
      <c r="AU334" s="418"/>
      <c r="AV334" s="418"/>
      <c r="AW334" s="418"/>
      <c r="AX334" s="418"/>
      <c r="AY334" s="418"/>
      <c r="AZ334" s="418"/>
      <c r="BA334" s="418"/>
    </row>
    <row r="335" spans="3:53" ht="15.75" customHeight="1">
      <c r="C335" s="424"/>
      <c r="AN335" s="418"/>
      <c r="AO335" s="418"/>
      <c r="AP335" s="418"/>
      <c r="AQ335" s="418"/>
      <c r="AR335" s="418"/>
      <c r="AS335" s="418"/>
      <c r="AT335" s="418"/>
      <c r="AU335" s="418"/>
      <c r="AV335" s="418"/>
      <c r="AW335" s="418"/>
      <c r="AX335" s="418"/>
      <c r="AY335" s="418"/>
      <c r="AZ335" s="418"/>
      <c r="BA335" s="418"/>
    </row>
    <row r="336" spans="3:53" ht="15.75" customHeight="1">
      <c r="C336" s="424"/>
      <c r="AN336" s="418"/>
      <c r="AO336" s="418"/>
      <c r="AP336" s="418"/>
      <c r="AQ336" s="418"/>
      <c r="AR336" s="418"/>
      <c r="AS336" s="418"/>
      <c r="AT336" s="418"/>
      <c r="AU336" s="418"/>
      <c r="AV336" s="418"/>
      <c r="AW336" s="418"/>
      <c r="AX336" s="418"/>
      <c r="AY336" s="418"/>
      <c r="AZ336" s="418"/>
      <c r="BA336" s="418"/>
    </row>
    <row r="337" spans="3:53" ht="15.75" customHeight="1">
      <c r="C337" s="424"/>
      <c r="AN337" s="418"/>
      <c r="AO337" s="418"/>
      <c r="AP337" s="418"/>
      <c r="AQ337" s="418"/>
      <c r="AR337" s="418"/>
      <c r="AS337" s="418"/>
      <c r="AT337" s="418"/>
      <c r="AU337" s="418"/>
      <c r="AV337" s="418"/>
      <c r="AW337" s="418"/>
      <c r="AX337" s="418"/>
      <c r="AY337" s="418"/>
      <c r="AZ337" s="418"/>
      <c r="BA337" s="418"/>
    </row>
    <row r="338" spans="3:53" ht="15.75" customHeight="1">
      <c r="C338" s="424"/>
      <c r="AN338" s="418"/>
      <c r="AO338" s="418"/>
      <c r="AP338" s="418"/>
      <c r="AQ338" s="418"/>
      <c r="AR338" s="418"/>
      <c r="AS338" s="418"/>
      <c r="AT338" s="418"/>
      <c r="AU338" s="418"/>
      <c r="AV338" s="418"/>
      <c r="AW338" s="418"/>
      <c r="AX338" s="418"/>
      <c r="AY338" s="418"/>
      <c r="AZ338" s="418"/>
      <c r="BA338" s="418"/>
    </row>
    <row r="339" spans="3:53" ht="15.75" customHeight="1">
      <c r="C339" s="424"/>
      <c r="AN339" s="418"/>
      <c r="AO339" s="418"/>
      <c r="AP339" s="418"/>
      <c r="AQ339" s="418"/>
      <c r="AR339" s="418"/>
      <c r="AS339" s="418"/>
      <c r="AT339" s="418"/>
      <c r="AU339" s="418"/>
      <c r="AV339" s="418"/>
      <c r="AW339" s="418"/>
      <c r="AX339" s="418"/>
      <c r="AY339" s="418"/>
      <c r="AZ339" s="418"/>
      <c r="BA339" s="418"/>
    </row>
    <row r="340" spans="3:53" ht="15.75" customHeight="1">
      <c r="C340" s="424"/>
      <c r="AN340" s="418"/>
      <c r="AO340" s="418"/>
      <c r="AP340" s="418"/>
      <c r="AQ340" s="418"/>
      <c r="AR340" s="418"/>
      <c r="AS340" s="418"/>
      <c r="AT340" s="418"/>
      <c r="AU340" s="418"/>
      <c r="AV340" s="418"/>
      <c r="AW340" s="418"/>
      <c r="AX340" s="418"/>
      <c r="AY340" s="418"/>
      <c r="AZ340" s="418"/>
      <c r="BA340" s="418"/>
    </row>
    <row r="341" spans="3:53" ht="15.75" customHeight="1">
      <c r="C341" s="424"/>
      <c r="AN341" s="418"/>
      <c r="AO341" s="418"/>
      <c r="AP341" s="418"/>
      <c r="AQ341" s="418"/>
      <c r="AR341" s="418"/>
      <c r="AS341" s="418"/>
      <c r="AT341" s="418"/>
      <c r="AU341" s="418"/>
      <c r="AV341" s="418"/>
      <c r="AW341" s="418"/>
      <c r="AX341" s="418"/>
      <c r="AY341" s="418"/>
      <c r="AZ341" s="418"/>
      <c r="BA341" s="418"/>
    </row>
    <row r="342" spans="3:53" ht="15.75" customHeight="1">
      <c r="C342" s="424"/>
      <c r="AN342" s="418"/>
      <c r="AO342" s="418"/>
      <c r="AP342" s="418"/>
      <c r="AQ342" s="418"/>
      <c r="AR342" s="418"/>
      <c r="AS342" s="418"/>
      <c r="AT342" s="418"/>
      <c r="AU342" s="418"/>
      <c r="AV342" s="418"/>
      <c r="AW342" s="418"/>
      <c r="AX342" s="418"/>
      <c r="AY342" s="418"/>
      <c r="AZ342" s="418"/>
      <c r="BA342" s="418"/>
    </row>
    <row r="343" spans="3:53" ht="15.75" customHeight="1">
      <c r="C343" s="424"/>
      <c r="AN343" s="418"/>
      <c r="AO343" s="418"/>
      <c r="AP343" s="418"/>
      <c r="AQ343" s="418"/>
      <c r="AR343" s="418"/>
      <c r="AS343" s="418"/>
      <c r="AT343" s="418"/>
      <c r="AU343" s="418"/>
      <c r="AV343" s="418"/>
      <c r="AW343" s="418"/>
      <c r="AX343" s="418"/>
      <c r="AY343" s="418"/>
      <c r="AZ343" s="418"/>
      <c r="BA343" s="418"/>
    </row>
    <row r="344" spans="3:53" ht="15.75" customHeight="1">
      <c r="C344" s="424"/>
      <c r="AN344" s="418"/>
      <c r="AO344" s="418"/>
      <c r="AP344" s="418"/>
      <c r="AQ344" s="418"/>
      <c r="AR344" s="418"/>
      <c r="AS344" s="418"/>
      <c r="AT344" s="418"/>
      <c r="AU344" s="418"/>
      <c r="AV344" s="418"/>
      <c r="AW344" s="418"/>
      <c r="AX344" s="418"/>
      <c r="AY344" s="418"/>
      <c r="AZ344" s="418"/>
      <c r="BA344" s="418"/>
    </row>
    <row r="345" spans="3:53" ht="15.75" customHeight="1">
      <c r="C345" s="424"/>
      <c r="AN345" s="418"/>
      <c r="AO345" s="418"/>
      <c r="AP345" s="418"/>
      <c r="AQ345" s="418"/>
      <c r="AR345" s="418"/>
      <c r="AS345" s="418"/>
      <c r="AT345" s="418"/>
      <c r="AU345" s="418"/>
      <c r="AV345" s="418"/>
      <c r="AW345" s="418"/>
      <c r="AX345" s="418"/>
      <c r="AY345" s="418"/>
      <c r="AZ345" s="418"/>
      <c r="BA345" s="418"/>
    </row>
    <row r="346" spans="3:53" ht="15.75" customHeight="1">
      <c r="AN346" s="418"/>
      <c r="AO346" s="418"/>
      <c r="AP346" s="418"/>
      <c r="AQ346" s="418"/>
      <c r="AR346" s="418"/>
      <c r="AS346" s="418"/>
      <c r="AT346" s="418"/>
      <c r="AU346" s="418"/>
      <c r="AV346" s="418"/>
      <c r="AW346" s="418"/>
      <c r="AX346" s="418"/>
      <c r="AY346" s="418"/>
      <c r="AZ346" s="418"/>
      <c r="BA346" s="418"/>
    </row>
    <row r="347" spans="3:53" ht="15.75" customHeight="1">
      <c r="AN347" s="418"/>
      <c r="AO347" s="418"/>
      <c r="AP347" s="418"/>
      <c r="AQ347" s="418"/>
      <c r="AR347" s="418"/>
      <c r="AS347" s="418"/>
      <c r="AT347" s="418"/>
      <c r="AU347" s="418"/>
      <c r="AV347" s="418"/>
      <c r="AW347" s="418"/>
      <c r="AX347" s="418"/>
      <c r="AY347" s="418"/>
      <c r="AZ347" s="418"/>
      <c r="BA347" s="418"/>
    </row>
    <row r="348" spans="3:53" ht="15.75" customHeight="1">
      <c r="AN348" s="418"/>
      <c r="AO348" s="418"/>
      <c r="AP348" s="418"/>
      <c r="AQ348" s="418"/>
      <c r="AR348" s="418"/>
      <c r="AS348" s="418"/>
      <c r="AT348" s="418"/>
      <c r="AU348" s="418"/>
      <c r="AV348" s="418"/>
      <c r="AW348" s="418"/>
      <c r="AX348" s="418"/>
      <c r="AY348" s="418"/>
      <c r="AZ348" s="418"/>
      <c r="BA348" s="418"/>
    </row>
    <row r="349" spans="3:53" ht="15.75" customHeight="1">
      <c r="AN349" s="418"/>
      <c r="AO349" s="418"/>
      <c r="AP349" s="418"/>
      <c r="AQ349" s="418"/>
      <c r="AR349" s="418"/>
      <c r="AS349" s="418"/>
      <c r="AT349" s="418"/>
      <c r="AU349" s="418"/>
      <c r="AV349" s="418"/>
      <c r="AW349" s="418"/>
      <c r="AX349" s="418"/>
      <c r="AY349" s="418"/>
      <c r="AZ349" s="418"/>
      <c r="BA349" s="418"/>
    </row>
    <row r="350" spans="3:53" ht="15.75" customHeight="1">
      <c r="AN350" s="418"/>
      <c r="AO350" s="418"/>
      <c r="AP350" s="418"/>
      <c r="AQ350" s="418"/>
      <c r="AR350" s="418"/>
      <c r="AS350" s="418"/>
      <c r="AT350" s="418"/>
      <c r="AU350" s="418"/>
      <c r="AV350" s="418"/>
      <c r="AW350" s="418"/>
      <c r="AX350" s="418"/>
      <c r="AY350" s="418"/>
      <c r="AZ350" s="418"/>
      <c r="BA350" s="418"/>
    </row>
    <row r="351" spans="3:53" ht="15.75" customHeight="1">
      <c r="AN351" s="418"/>
      <c r="AO351" s="418"/>
      <c r="AP351" s="418"/>
      <c r="AQ351" s="418"/>
      <c r="AR351" s="418"/>
      <c r="AS351" s="418"/>
      <c r="AT351" s="418"/>
      <c r="AU351" s="418"/>
      <c r="AV351" s="418"/>
      <c r="AW351" s="418"/>
      <c r="AX351" s="418"/>
      <c r="AY351" s="418"/>
      <c r="AZ351" s="418"/>
      <c r="BA351" s="418"/>
    </row>
    <row r="352" spans="3:53" ht="15.75" customHeight="1">
      <c r="AN352" s="418"/>
      <c r="AO352" s="418"/>
      <c r="AP352" s="418"/>
      <c r="AQ352" s="418"/>
      <c r="AR352" s="418"/>
      <c r="AS352" s="418"/>
      <c r="AT352" s="418"/>
      <c r="AU352" s="418"/>
      <c r="AV352" s="418"/>
      <c r="AW352" s="418"/>
      <c r="AX352" s="418"/>
      <c r="AY352" s="418"/>
      <c r="AZ352" s="418"/>
      <c r="BA352" s="418"/>
    </row>
    <row r="353" spans="40:53" ht="15.75" customHeight="1">
      <c r="AN353" s="418"/>
      <c r="AO353" s="418"/>
      <c r="AP353" s="418"/>
      <c r="AQ353" s="418"/>
      <c r="AR353" s="418"/>
      <c r="AS353" s="418"/>
      <c r="AT353" s="418"/>
      <c r="AU353" s="418"/>
      <c r="AV353" s="418"/>
      <c r="AW353" s="418"/>
      <c r="AX353" s="418"/>
      <c r="AY353" s="418"/>
      <c r="AZ353" s="418"/>
      <c r="BA353" s="418"/>
    </row>
    <row r="354" spans="40:53" ht="15.75" customHeight="1">
      <c r="AN354" s="418"/>
      <c r="AO354" s="418"/>
      <c r="AP354" s="418"/>
      <c r="AQ354" s="418"/>
      <c r="AR354" s="418"/>
      <c r="AS354" s="418"/>
      <c r="AT354" s="418"/>
      <c r="AU354" s="418"/>
      <c r="AV354" s="418"/>
      <c r="AW354" s="418"/>
      <c r="AX354" s="418"/>
      <c r="AY354" s="418"/>
      <c r="AZ354" s="418"/>
      <c r="BA354" s="418"/>
    </row>
    <row r="355" spans="40:53" ht="15.75" customHeight="1">
      <c r="AN355" s="418"/>
      <c r="AO355" s="418"/>
      <c r="AP355" s="418"/>
      <c r="AQ355" s="418"/>
      <c r="AR355" s="418"/>
      <c r="AS355" s="418"/>
      <c r="AT355" s="418"/>
      <c r="AU355" s="418"/>
      <c r="AV355" s="418"/>
      <c r="AW355" s="418"/>
      <c r="AX355" s="418"/>
      <c r="AY355" s="418"/>
      <c r="AZ355" s="418"/>
      <c r="BA355" s="418"/>
    </row>
    <row r="356" spans="40:53" ht="15.75" customHeight="1">
      <c r="AN356" s="418"/>
      <c r="AO356" s="418"/>
      <c r="AP356" s="418"/>
      <c r="AQ356" s="418"/>
      <c r="AR356" s="418"/>
      <c r="AS356" s="418"/>
      <c r="AT356" s="418"/>
      <c r="AU356" s="418"/>
      <c r="AV356" s="418"/>
      <c r="AW356" s="418"/>
      <c r="AX356" s="418"/>
      <c r="AY356" s="418"/>
      <c r="AZ356" s="418"/>
      <c r="BA356" s="418"/>
    </row>
    <row r="357" spans="40:53" ht="15.75" customHeight="1">
      <c r="AN357" s="418"/>
      <c r="AO357" s="418"/>
      <c r="AP357" s="418"/>
      <c r="AQ357" s="418"/>
      <c r="AR357" s="418"/>
      <c r="AS357" s="418"/>
      <c r="AT357" s="418"/>
      <c r="AU357" s="418"/>
      <c r="AV357" s="418"/>
      <c r="AW357" s="418"/>
      <c r="AX357" s="418"/>
      <c r="AY357" s="418"/>
      <c r="AZ357" s="418"/>
      <c r="BA357" s="418"/>
    </row>
    <row r="358" spans="40:53" ht="15.75" customHeight="1">
      <c r="AN358" s="418"/>
      <c r="AO358" s="418"/>
      <c r="AP358" s="418"/>
      <c r="AQ358" s="418"/>
      <c r="AR358" s="418"/>
      <c r="AS358" s="418"/>
      <c r="AT358" s="418"/>
      <c r="AU358" s="418"/>
      <c r="AV358" s="418"/>
      <c r="AW358" s="418"/>
      <c r="AX358" s="418"/>
      <c r="AY358" s="418"/>
      <c r="AZ358" s="418"/>
      <c r="BA358" s="418"/>
    </row>
    <row r="359" spans="40:53" ht="15.75" customHeight="1">
      <c r="AN359" s="418"/>
      <c r="AO359" s="418"/>
      <c r="AP359" s="418"/>
      <c r="AQ359" s="418"/>
      <c r="AR359" s="418"/>
      <c r="AS359" s="418"/>
      <c r="AT359" s="418"/>
      <c r="AU359" s="418"/>
      <c r="AV359" s="418"/>
      <c r="AW359" s="418"/>
      <c r="AX359" s="418"/>
      <c r="AY359" s="418"/>
      <c r="AZ359" s="418"/>
      <c r="BA359" s="418"/>
    </row>
    <row r="360" spans="40:53" ht="15.75" customHeight="1">
      <c r="AN360" s="418"/>
      <c r="AO360" s="418"/>
      <c r="AP360" s="418"/>
      <c r="AQ360" s="418"/>
      <c r="AR360" s="418"/>
      <c r="AS360" s="418"/>
      <c r="AT360" s="418"/>
      <c r="AU360" s="418"/>
      <c r="AV360" s="418"/>
      <c r="AW360" s="418"/>
      <c r="AX360" s="418"/>
      <c r="AY360" s="418"/>
      <c r="AZ360" s="418"/>
      <c r="BA360" s="418"/>
    </row>
    <row r="361" spans="40:53" ht="15.75" customHeight="1">
      <c r="AN361" s="418"/>
      <c r="AO361" s="418"/>
      <c r="AP361" s="418"/>
      <c r="AQ361" s="418"/>
      <c r="AR361" s="418"/>
      <c r="AS361" s="418"/>
      <c r="AT361" s="418"/>
      <c r="AU361" s="418"/>
      <c r="AV361" s="418"/>
      <c r="AW361" s="418"/>
      <c r="AX361" s="418"/>
      <c r="AY361" s="418"/>
      <c r="AZ361" s="418"/>
      <c r="BA361" s="418"/>
    </row>
    <row r="362" spans="40:53" ht="15.75" customHeight="1">
      <c r="AN362" s="418"/>
      <c r="AO362" s="418"/>
      <c r="AP362" s="418"/>
      <c r="AQ362" s="418"/>
      <c r="AR362" s="418"/>
      <c r="AS362" s="418"/>
      <c r="AT362" s="418"/>
      <c r="AU362" s="418"/>
      <c r="AV362" s="418"/>
      <c r="AW362" s="418"/>
      <c r="AX362" s="418"/>
      <c r="AY362" s="418"/>
      <c r="AZ362" s="418"/>
      <c r="BA362" s="418"/>
    </row>
    <row r="363" spans="40:53" ht="15.75" customHeight="1">
      <c r="AN363" s="418"/>
      <c r="AO363" s="418"/>
      <c r="AP363" s="418"/>
      <c r="AQ363" s="418"/>
      <c r="AR363" s="418"/>
      <c r="AS363" s="418"/>
      <c r="AT363" s="418"/>
      <c r="AU363" s="418"/>
      <c r="AV363" s="418"/>
      <c r="AW363" s="418"/>
      <c r="AX363" s="418"/>
      <c r="AY363" s="418"/>
      <c r="AZ363" s="418"/>
      <c r="BA363" s="418"/>
    </row>
    <row r="364" spans="40:53" ht="15.75" customHeight="1">
      <c r="AN364" s="418"/>
      <c r="AO364" s="418"/>
      <c r="AP364" s="418"/>
      <c r="AQ364" s="418"/>
      <c r="AR364" s="418"/>
      <c r="AS364" s="418"/>
      <c r="AT364" s="418"/>
      <c r="AU364" s="418"/>
      <c r="AV364" s="418"/>
      <c r="AW364" s="418"/>
      <c r="AX364" s="418"/>
      <c r="AY364" s="418"/>
      <c r="AZ364" s="418"/>
      <c r="BA364" s="418"/>
    </row>
    <row r="365" spans="40:53" ht="15.75" customHeight="1">
      <c r="AN365" s="418"/>
      <c r="AO365" s="418"/>
      <c r="AP365" s="418"/>
      <c r="AQ365" s="418"/>
      <c r="AR365" s="418"/>
      <c r="AS365" s="418"/>
      <c r="AT365" s="418"/>
      <c r="AU365" s="418"/>
      <c r="AV365" s="418"/>
      <c r="AW365" s="418"/>
      <c r="AX365" s="418"/>
      <c r="AY365" s="418"/>
      <c r="AZ365" s="418"/>
      <c r="BA365" s="418"/>
    </row>
    <row r="366" spans="40:53" ht="15.75" customHeight="1">
      <c r="AN366" s="418"/>
      <c r="AO366" s="418"/>
      <c r="AP366" s="418"/>
      <c r="AQ366" s="418"/>
      <c r="AR366" s="418"/>
      <c r="AS366" s="418"/>
      <c r="AT366" s="418"/>
      <c r="AU366" s="418"/>
      <c r="AV366" s="418"/>
      <c r="AW366" s="418"/>
      <c r="AX366" s="418"/>
      <c r="AY366" s="418"/>
      <c r="AZ366" s="418"/>
      <c r="BA366" s="418"/>
    </row>
    <row r="367" spans="40:53" ht="15.75" customHeight="1">
      <c r="AN367" s="418"/>
      <c r="AO367" s="418"/>
      <c r="AP367" s="418"/>
      <c r="AQ367" s="418"/>
      <c r="AR367" s="418"/>
      <c r="AS367" s="418"/>
      <c r="AT367" s="418"/>
      <c r="AU367" s="418"/>
      <c r="AV367" s="418"/>
      <c r="AW367" s="418"/>
      <c r="AX367" s="418"/>
      <c r="AY367" s="418"/>
      <c r="AZ367" s="418"/>
      <c r="BA367" s="418"/>
    </row>
    <row r="368" spans="40:53" ht="15.75" customHeight="1">
      <c r="AN368" s="418"/>
      <c r="AO368" s="418"/>
      <c r="AP368" s="418"/>
      <c r="AQ368" s="418"/>
      <c r="AR368" s="418"/>
      <c r="AS368" s="418"/>
      <c r="AT368" s="418"/>
      <c r="AU368" s="418"/>
      <c r="AV368" s="418"/>
      <c r="AW368" s="418"/>
      <c r="AX368" s="418"/>
      <c r="AY368" s="418"/>
      <c r="AZ368" s="418"/>
      <c r="BA368" s="418"/>
    </row>
    <row r="369" spans="40:53" ht="15.75" customHeight="1">
      <c r="AN369" s="418"/>
      <c r="AO369" s="418"/>
      <c r="AP369" s="418"/>
      <c r="AQ369" s="418"/>
      <c r="AR369" s="418"/>
      <c r="AS369" s="418"/>
      <c r="AT369" s="418"/>
      <c r="AU369" s="418"/>
      <c r="AV369" s="418"/>
      <c r="AW369" s="418"/>
      <c r="AX369" s="418"/>
      <c r="AY369" s="418"/>
      <c r="AZ369" s="418"/>
      <c r="BA369" s="418"/>
    </row>
    <row r="370" spans="40:53" ht="15.75" customHeight="1">
      <c r="AN370" s="418"/>
      <c r="AO370" s="418"/>
      <c r="AP370" s="418"/>
      <c r="AQ370" s="418"/>
      <c r="AR370" s="418"/>
      <c r="AS370" s="418"/>
      <c r="AT370" s="418"/>
      <c r="AU370" s="418"/>
      <c r="AV370" s="418"/>
      <c r="AW370" s="418"/>
      <c r="AX370" s="418"/>
      <c r="AY370" s="418"/>
      <c r="AZ370" s="418"/>
      <c r="BA370" s="418"/>
    </row>
    <row r="371" spans="40:53" ht="15.75" customHeight="1">
      <c r="AN371" s="418"/>
      <c r="AO371" s="418"/>
      <c r="AP371" s="418"/>
      <c r="AQ371" s="418"/>
      <c r="AR371" s="418"/>
      <c r="AS371" s="418"/>
      <c r="AT371" s="418"/>
      <c r="AU371" s="418"/>
      <c r="AV371" s="418"/>
      <c r="AW371" s="418"/>
      <c r="AX371" s="418"/>
      <c r="AY371" s="418"/>
      <c r="AZ371" s="418"/>
      <c r="BA371" s="418"/>
    </row>
    <row r="372" spans="40:53" ht="15.75" customHeight="1">
      <c r="AN372" s="418"/>
      <c r="AO372" s="418"/>
      <c r="AP372" s="418"/>
      <c r="AQ372" s="418"/>
      <c r="AR372" s="418"/>
      <c r="AS372" s="418"/>
      <c r="AT372" s="418"/>
      <c r="AU372" s="418"/>
      <c r="AV372" s="418"/>
      <c r="AW372" s="418"/>
      <c r="AX372" s="418"/>
      <c r="AY372" s="418"/>
      <c r="AZ372" s="418"/>
      <c r="BA372" s="418"/>
    </row>
    <row r="373" spans="40:53" ht="15.75" customHeight="1">
      <c r="AN373" s="418"/>
      <c r="AO373" s="418"/>
      <c r="AP373" s="418"/>
      <c r="AQ373" s="418"/>
      <c r="AR373" s="418"/>
      <c r="AS373" s="418"/>
      <c r="AT373" s="418"/>
      <c r="AU373" s="418"/>
      <c r="AV373" s="418"/>
      <c r="AW373" s="418"/>
      <c r="AX373" s="418"/>
      <c r="AY373" s="418"/>
      <c r="AZ373" s="418"/>
      <c r="BA373" s="418"/>
    </row>
    <row r="374" spans="40:53" ht="15.75" customHeight="1">
      <c r="AN374" s="418"/>
      <c r="AO374" s="418"/>
      <c r="AP374" s="418"/>
      <c r="AQ374" s="418"/>
      <c r="AR374" s="418"/>
      <c r="AS374" s="418"/>
      <c r="AT374" s="418"/>
      <c r="AU374" s="418"/>
      <c r="AV374" s="418"/>
      <c r="AW374" s="418"/>
      <c r="AX374" s="418"/>
      <c r="AY374" s="418"/>
      <c r="AZ374" s="418"/>
      <c r="BA374" s="418"/>
    </row>
    <row r="375" spans="40:53" ht="15.75" customHeight="1">
      <c r="AN375" s="418"/>
      <c r="AO375" s="418"/>
      <c r="AP375" s="418"/>
      <c r="AQ375" s="418"/>
      <c r="AR375" s="418"/>
      <c r="AS375" s="418"/>
      <c r="AT375" s="418"/>
      <c r="AU375" s="418"/>
      <c r="AV375" s="418"/>
      <c r="AW375" s="418"/>
      <c r="AX375" s="418"/>
      <c r="AY375" s="418"/>
      <c r="AZ375" s="418"/>
      <c r="BA375" s="418"/>
    </row>
    <row r="376" spans="40:53" ht="15.75" customHeight="1">
      <c r="AN376" s="418"/>
      <c r="AO376" s="418"/>
      <c r="AP376" s="418"/>
      <c r="AQ376" s="418"/>
      <c r="AR376" s="418"/>
      <c r="AS376" s="418"/>
      <c r="AT376" s="418"/>
      <c r="AU376" s="418"/>
      <c r="AV376" s="418"/>
      <c r="AW376" s="418"/>
      <c r="AX376" s="418"/>
      <c r="AY376" s="418"/>
      <c r="AZ376" s="418"/>
      <c r="BA376" s="418"/>
    </row>
    <row r="377" spans="40:53" ht="15.75" customHeight="1">
      <c r="AN377" s="418"/>
      <c r="AO377" s="418"/>
      <c r="AP377" s="418"/>
      <c r="AQ377" s="418"/>
      <c r="AR377" s="418"/>
      <c r="AS377" s="418"/>
      <c r="AT377" s="418"/>
      <c r="AU377" s="418"/>
      <c r="AV377" s="418"/>
      <c r="AW377" s="418"/>
      <c r="AX377" s="418"/>
      <c r="AY377" s="418"/>
      <c r="AZ377" s="418"/>
      <c r="BA377" s="418"/>
    </row>
    <row r="378" spans="40:53" ht="15.75" customHeight="1">
      <c r="AN378" s="418"/>
      <c r="AO378" s="418"/>
      <c r="AP378" s="418"/>
      <c r="AQ378" s="418"/>
      <c r="AR378" s="418"/>
      <c r="AS378" s="418"/>
      <c r="AT378" s="418"/>
      <c r="AU378" s="418"/>
      <c r="AV378" s="418"/>
      <c r="AW378" s="418"/>
      <c r="AX378" s="418"/>
      <c r="AY378" s="418"/>
      <c r="AZ378" s="418"/>
      <c r="BA378" s="418"/>
    </row>
    <row r="379" spans="40:53" ht="15.75" customHeight="1">
      <c r="AN379" s="418"/>
      <c r="AO379" s="418"/>
      <c r="AP379" s="418"/>
      <c r="AQ379" s="418"/>
      <c r="AR379" s="418"/>
      <c r="AS379" s="418"/>
      <c r="AT379" s="418"/>
      <c r="AU379" s="418"/>
      <c r="AV379" s="418"/>
      <c r="AW379" s="418"/>
      <c r="AX379" s="418"/>
      <c r="AY379" s="418"/>
      <c r="AZ379" s="418"/>
      <c r="BA379" s="418"/>
    </row>
    <row r="380" spans="40:53" ht="15.75" customHeight="1">
      <c r="AN380" s="418"/>
      <c r="AO380" s="418"/>
      <c r="AP380" s="418"/>
      <c r="AQ380" s="418"/>
      <c r="AR380" s="418"/>
      <c r="AS380" s="418"/>
      <c r="AT380" s="418"/>
      <c r="AU380" s="418"/>
      <c r="AV380" s="418"/>
      <c r="AW380" s="418"/>
      <c r="AX380" s="418"/>
      <c r="AY380" s="418"/>
      <c r="AZ380" s="418"/>
      <c r="BA380" s="418"/>
    </row>
    <row r="381" spans="40:53" ht="15.75" customHeight="1">
      <c r="AN381" s="418"/>
      <c r="AO381" s="418"/>
      <c r="AP381" s="418"/>
      <c r="AQ381" s="418"/>
      <c r="AR381" s="418"/>
      <c r="AS381" s="418"/>
      <c r="AT381" s="418"/>
      <c r="AU381" s="418"/>
      <c r="AV381" s="418"/>
      <c r="AW381" s="418"/>
      <c r="AX381" s="418"/>
      <c r="AY381" s="418"/>
      <c r="AZ381" s="418"/>
      <c r="BA381" s="418"/>
    </row>
    <row r="382" spans="40:53" ht="15.75" customHeight="1">
      <c r="AN382" s="418"/>
      <c r="AO382" s="418"/>
      <c r="AP382" s="418"/>
      <c r="AQ382" s="418"/>
      <c r="AR382" s="418"/>
      <c r="AS382" s="418"/>
      <c r="AT382" s="418"/>
      <c r="AU382" s="418"/>
      <c r="AV382" s="418"/>
      <c r="AW382" s="418"/>
      <c r="AX382" s="418"/>
      <c r="AY382" s="418"/>
      <c r="AZ382" s="418"/>
      <c r="BA382" s="418"/>
    </row>
    <row r="383" spans="40:53" ht="15.75" customHeight="1">
      <c r="AN383" s="418"/>
      <c r="AO383" s="418"/>
      <c r="AP383" s="418"/>
      <c r="AQ383" s="418"/>
      <c r="AR383" s="418"/>
      <c r="AS383" s="418"/>
      <c r="AT383" s="418"/>
      <c r="AU383" s="418"/>
      <c r="AV383" s="418"/>
      <c r="AW383" s="418"/>
      <c r="AX383" s="418"/>
      <c r="AY383" s="418"/>
      <c r="AZ383" s="418"/>
      <c r="BA383" s="418"/>
    </row>
    <row r="384" spans="40:53" ht="15.75" customHeight="1">
      <c r="AN384" s="418"/>
      <c r="AO384" s="418"/>
      <c r="AP384" s="418"/>
      <c r="AQ384" s="418"/>
      <c r="AR384" s="418"/>
      <c r="AS384" s="418"/>
      <c r="AT384" s="418"/>
      <c r="AU384" s="418"/>
      <c r="AV384" s="418"/>
      <c r="AW384" s="418"/>
      <c r="AX384" s="418"/>
      <c r="AY384" s="418"/>
      <c r="AZ384" s="418"/>
      <c r="BA384" s="418"/>
    </row>
    <row r="385" spans="40:53" ht="15.75" customHeight="1">
      <c r="AN385" s="418"/>
      <c r="AO385" s="418"/>
      <c r="AP385" s="418"/>
      <c r="AQ385" s="418"/>
      <c r="AR385" s="418"/>
      <c r="AS385" s="418"/>
      <c r="AT385" s="418"/>
      <c r="AU385" s="418"/>
      <c r="AV385" s="418"/>
      <c r="AW385" s="418"/>
      <c r="AX385" s="418"/>
      <c r="AY385" s="418"/>
      <c r="AZ385" s="418"/>
      <c r="BA385" s="418"/>
    </row>
    <row r="386" spans="40:53" ht="15.75" customHeight="1">
      <c r="AN386" s="418"/>
      <c r="AO386" s="418"/>
      <c r="AP386" s="418"/>
      <c r="AQ386" s="418"/>
      <c r="AR386" s="418"/>
      <c r="AS386" s="418"/>
      <c r="AT386" s="418"/>
      <c r="AU386" s="418"/>
      <c r="AV386" s="418"/>
      <c r="AW386" s="418"/>
      <c r="AX386" s="418"/>
      <c r="AY386" s="418"/>
      <c r="AZ386" s="418"/>
      <c r="BA386" s="418"/>
    </row>
    <row r="387" spans="40:53" ht="15.75" customHeight="1">
      <c r="AN387" s="418"/>
      <c r="AO387" s="418"/>
      <c r="AP387" s="418"/>
      <c r="AQ387" s="418"/>
      <c r="AR387" s="418"/>
      <c r="AS387" s="418"/>
      <c r="AT387" s="418"/>
      <c r="AU387" s="418"/>
      <c r="AV387" s="418"/>
      <c r="AW387" s="418"/>
      <c r="AX387" s="418"/>
      <c r="AY387" s="418"/>
      <c r="AZ387" s="418"/>
      <c r="BA387" s="418"/>
    </row>
    <row r="388" spans="40:53" ht="15.75" customHeight="1">
      <c r="AN388" s="418"/>
      <c r="AO388" s="418"/>
      <c r="AP388" s="418"/>
      <c r="AQ388" s="418"/>
      <c r="AR388" s="418"/>
      <c r="AS388" s="418"/>
      <c r="AT388" s="418"/>
      <c r="AU388" s="418"/>
      <c r="AV388" s="418"/>
      <c r="AW388" s="418"/>
      <c r="AX388" s="418"/>
      <c r="AY388" s="418"/>
      <c r="AZ388" s="418"/>
      <c r="BA388" s="418"/>
    </row>
    <row r="389" spans="40:53" ht="15.75" customHeight="1">
      <c r="AN389" s="418"/>
      <c r="AO389" s="418"/>
      <c r="AP389" s="418"/>
      <c r="AQ389" s="418"/>
      <c r="AR389" s="418"/>
      <c r="AS389" s="418"/>
      <c r="AT389" s="418"/>
      <c r="AU389" s="418"/>
      <c r="AV389" s="418"/>
      <c r="AW389" s="418"/>
      <c r="AX389" s="418"/>
      <c r="AY389" s="418"/>
      <c r="AZ389" s="418"/>
      <c r="BA389" s="418"/>
    </row>
    <row r="390" spans="40:53" ht="15.75" customHeight="1">
      <c r="AN390" s="418"/>
      <c r="AO390" s="418"/>
      <c r="AP390" s="418"/>
      <c r="AQ390" s="418"/>
      <c r="AR390" s="418"/>
      <c r="AS390" s="418"/>
      <c r="AT390" s="418"/>
      <c r="AU390" s="418"/>
      <c r="AV390" s="418"/>
      <c r="AW390" s="418"/>
      <c r="AX390" s="418"/>
      <c r="AY390" s="418"/>
      <c r="AZ390" s="418"/>
      <c r="BA390" s="418"/>
    </row>
    <row r="391" spans="40:53" ht="15.75" customHeight="1">
      <c r="AN391" s="418"/>
      <c r="AO391" s="418"/>
      <c r="AP391" s="418"/>
      <c r="AQ391" s="418"/>
      <c r="AR391" s="418"/>
      <c r="AS391" s="418"/>
      <c r="AT391" s="418"/>
      <c r="AU391" s="418"/>
      <c r="AV391" s="418"/>
      <c r="AW391" s="418"/>
      <c r="AX391" s="418"/>
      <c r="AY391" s="418"/>
      <c r="AZ391" s="418"/>
      <c r="BA391" s="418"/>
    </row>
    <row r="392" spans="40:53" ht="15.75" customHeight="1">
      <c r="AN392" s="418"/>
      <c r="AO392" s="418"/>
      <c r="AP392" s="418"/>
      <c r="AQ392" s="418"/>
      <c r="AR392" s="418"/>
      <c r="AS392" s="418"/>
      <c r="AT392" s="418"/>
      <c r="AU392" s="418"/>
      <c r="AV392" s="418"/>
      <c r="AW392" s="418"/>
      <c r="AX392" s="418"/>
      <c r="AY392" s="418"/>
      <c r="AZ392" s="418"/>
      <c r="BA392" s="418"/>
    </row>
    <row r="393" spans="40:53" ht="15.75" customHeight="1">
      <c r="AN393" s="418"/>
      <c r="AO393" s="418"/>
      <c r="AP393" s="418"/>
      <c r="AQ393" s="418"/>
      <c r="AR393" s="418"/>
      <c r="AS393" s="418"/>
      <c r="AT393" s="418"/>
      <c r="AU393" s="418"/>
      <c r="AV393" s="418"/>
      <c r="AW393" s="418"/>
      <c r="AX393" s="418"/>
      <c r="AY393" s="418"/>
      <c r="AZ393" s="418"/>
      <c r="BA393" s="418"/>
    </row>
    <row r="394" spans="40:53" ht="15.75" customHeight="1">
      <c r="AN394" s="418"/>
      <c r="AO394" s="418"/>
      <c r="AP394" s="418"/>
      <c r="AQ394" s="418"/>
      <c r="AR394" s="418"/>
      <c r="AS394" s="418"/>
      <c r="AT394" s="418"/>
      <c r="AU394" s="418"/>
      <c r="AV394" s="418"/>
      <c r="AW394" s="418"/>
      <c r="AX394" s="418"/>
      <c r="AY394" s="418"/>
      <c r="AZ394" s="418"/>
      <c r="BA394" s="418"/>
    </row>
    <row r="395" spans="40:53" ht="15.75" customHeight="1">
      <c r="AN395" s="418"/>
      <c r="AO395" s="418"/>
      <c r="AP395" s="418"/>
      <c r="AQ395" s="418"/>
      <c r="AR395" s="418"/>
      <c r="AS395" s="418"/>
      <c r="AT395" s="418"/>
      <c r="AU395" s="418"/>
      <c r="AV395" s="418"/>
      <c r="AW395" s="418"/>
      <c r="AX395" s="418"/>
      <c r="AY395" s="418"/>
      <c r="AZ395" s="418"/>
      <c r="BA395" s="418"/>
    </row>
    <row r="396" spans="40:53" ht="15.75" customHeight="1">
      <c r="AN396" s="418"/>
      <c r="AO396" s="418"/>
      <c r="AP396" s="418"/>
      <c r="AQ396" s="418"/>
      <c r="AR396" s="418"/>
      <c r="AS396" s="418"/>
      <c r="AT396" s="418"/>
      <c r="AU396" s="418"/>
      <c r="AV396" s="418"/>
      <c r="AW396" s="418"/>
      <c r="AX396" s="418"/>
      <c r="AY396" s="418"/>
      <c r="AZ396" s="418"/>
      <c r="BA396" s="418"/>
    </row>
    <row r="397" spans="40:53" ht="15.75" customHeight="1">
      <c r="AN397" s="418"/>
      <c r="AO397" s="418"/>
      <c r="AP397" s="418"/>
      <c r="AQ397" s="418"/>
      <c r="AR397" s="418"/>
      <c r="AS397" s="418"/>
      <c r="AT397" s="418"/>
      <c r="AU397" s="418"/>
      <c r="AV397" s="418"/>
      <c r="AW397" s="418"/>
      <c r="AX397" s="418"/>
      <c r="AY397" s="418"/>
      <c r="AZ397" s="418"/>
      <c r="BA397" s="418"/>
    </row>
    <row r="398" spans="40:53" ht="15.75" customHeight="1">
      <c r="AN398" s="418"/>
      <c r="AO398" s="418"/>
      <c r="AP398" s="418"/>
      <c r="AQ398" s="418"/>
      <c r="AR398" s="418"/>
      <c r="AS398" s="418"/>
      <c r="AT398" s="418"/>
      <c r="AU398" s="418"/>
      <c r="AV398" s="418"/>
      <c r="AW398" s="418"/>
      <c r="AX398" s="418"/>
      <c r="AY398" s="418"/>
      <c r="AZ398" s="418"/>
      <c r="BA398" s="418"/>
    </row>
    <row r="399" spans="40:53" ht="15.75" customHeight="1">
      <c r="AN399" s="418"/>
      <c r="AO399" s="418"/>
      <c r="AP399" s="418"/>
      <c r="AQ399" s="418"/>
      <c r="AR399" s="418"/>
      <c r="AS399" s="418"/>
      <c r="AT399" s="418"/>
      <c r="AU399" s="418"/>
      <c r="AV399" s="418"/>
      <c r="AW399" s="418"/>
      <c r="AX399" s="418"/>
      <c r="AY399" s="418"/>
      <c r="AZ399" s="418"/>
      <c r="BA399" s="418"/>
    </row>
    <row r="400" spans="40:53" ht="15.75" customHeight="1">
      <c r="AN400" s="418"/>
      <c r="AO400" s="418"/>
      <c r="AP400" s="418"/>
      <c r="AQ400" s="418"/>
      <c r="AR400" s="418"/>
      <c r="AS400" s="418"/>
      <c r="AT400" s="418"/>
      <c r="AU400" s="418"/>
      <c r="AV400" s="418"/>
      <c r="AW400" s="418"/>
      <c r="AX400" s="418"/>
      <c r="AY400" s="418"/>
      <c r="AZ400" s="418"/>
      <c r="BA400" s="418"/>
    </row>
    <row r="401" spans="40:53" ht="15.75" customHeight="1">
      <c r="AN401" s="418"/>
      <c r="AO401" s="418"/>
      <c r="AP401" s="418"/>
      <c r="AQ401" s="418"/>
      <c r="AR401" s="418"/>
      <c r="AS401" s="418"/>
      <c r="AT401" s="418"/>
      <c r="AU401" s="418"/>
      <c r="AV401" s="418"/>
      <c r="AW401" s="418"/>
      <c r="AX401" s="418"/>
      <c r="AY401" s="418"/>
      <c r="AZ401" s="418"/>
      <c r="BA401" s="418"/>
    </row>
    <row r="402" spans="40:53" ht="15.75" customHeight="1">
      <c r="AN402" s="418"/>
      <c r="AO402" s="418"/>
      <c r="AP402" s="418"/>
      <c r="AQ402" s="418"/>
      <c r="AR402" s="418"/>
      <c r="AS402" s="418"/>
      <c r="AT402" s="418"/>
      <c r="AU402" s="418"/>
      <c r="AV402" s="418"/>
      <c r="AW402" s="418"/>
      <c r="AX402" s="418"/>
      <c r="AY402" s="418"/>
      <c r="AZ402" s="418"/>
      <c r="BA402" s="418"/>
    </row>
    <row r="403" spans="40:53" ht="15.75" customHeight="1">
      <c r="AN403" s="418"/>
      <c r="AO403" s="418"/>
      <c r="AP403" s="418"/>
      <c r="AQ403" s="418"/>
      <c r="AR403" s="418"/>
      <c r="AS403" s="418"/>
      <c r="AT403" s="418"/>
      <c r="AU403" s="418"/>
      <c r="AV403" s="418"/>
      <c r="AW403" s="418"/>
      <c r="AX403" s="418"/>
      <c r="AY403" s="418"/>
      <c r="AZ403" s="418"/>
      <c r="BA403" s="418"/>
    </row>
    <row r="404" spans="40:53" ht="15.75" customHeight="1">
      <c r="AN404" s="418"/>
      <c r="AO404" s="418"/>
      <c r="AP404" s="418"/>
      <c r="AQ404" s="418"/>
      <c r="AR404" s="418"/>
      <c r="AS404" s="418"/>
      <c r="AT404" s="418"/>
      <c r="AU404" s="418"/>
      <c r="AV404" s="418"/>
      <c r="AW404" s="418"/>
      <c r="AX404" s="418"/>
      <c r="AY404" s="418"/>
      <c r="AZ404" s="418"/>
      <c r="BA404" s="418"/>
    </row>
    <row r="405" spans="40:53" ht="15.75" customHeight="1">
      <c r="AN405" s="418"/>
      <c r="AO405" s="418"/>
      <c r="AP405" s="418"/>
      <c r="AQ405" s="418"/>
      <c r="AR405" s="418"/>
      <c r="AS405" s="418"/>
      <c r="AT405" s="418"/>
      <c r="AU405" s="418"/>
      <c r="AV405" s="418"/>
      <c r="AW405" s="418"/>
      <c r="AX405" s="418"/>
      <c r="AY405" s="418"/>
      <c r="AZ405" s="418"/>
      <c r="BA405" s="418"/>
    </row>
    <row r="406" spans="40:53" ht="15.75" customHeight="1">
      <c r="AN406" s="418"/>
      <c r="AO406" s="418"/>
      <c r="AP406" s="418"/>
      <c r="AQ406" s="418"/>
      <c r="AR406" s="418"/>
      <c r="AS406" s="418"/>
      <c r="AT406" s="418"/>
      <c r="AU406" s="418"/>
      <c r="AV406" s="418"/>
      <c r="AW406" s="418"/>
      <c r="AX406" s="418"/>
      <c r="AY406" s="418"/>
      <c r="AZ406" s="418"/>
      <c r="BA406" s="418"/>
    </row>
    <row r="407" spans="40:53" ht="15.75" customHeight="1">
      <c r="AN407" s="418"/>
      <c r="AO407" s="418"/>
      <c r="AP407" s="418"/>
      <c r="AQ407" s="418"/>
      <c r="AR407" s="418"/>
      <c r="AS407" s="418"/>
      <c r="AT407" s="418"/>
      <c r="AU407" s="418"/>
      <c r="AV407" s="418"/>
      <c r="AW407" s="418"/>
      <c r="AX407" s="418"/>
      <c r="AY407" s="418"/>
      <c r="AZ407" s="418"/>
      <c r="BA407" s="418"/>
    </row>
    <row r="408" spans="40:53" ht="15.75" customHeight="1">
      <c r="AN408" s="418"/>
      <c r="AO408" s="418"/>
      <c r="AP408" s="418"/>
      <c r="AQ408" s="418"/>
      <c r="AR408" s="418"/>
      <c r="AS408" s="418"/>
      <c r="AT408" s="418"/>
      <c r="AU408" s="418"/>
      <c r="AV408" s="418"/>
      <c r="AW408" s="418"/>
      <c r="AX408" s="418"/>
      <c r="AY408" s="418"/>
      <c r="AZ408" s="418"/>
      <c r="BA408" s="418"/>
    </row>
    <row r="409" spans="40:53" ht="15.75" customHeight="1">
      <c r="AN409" s="418"/>
      <c r="AO409" s="418"/>
      <c r="AP409" s="418"/>
      <c r="AQ409" s="418"/>
      <c r="AR409" s="418"/>
      <c r="AS409" s="418"/>
      <c r="AT409" s="418"/>
      <c r="AU409" s="418"/>
      <c r="AV409" s="418"/>
      <c r="AW409" s="418"/>
      <c r="AX409" s="418"/>
      <c r="AY409" s="418"/>
      <c r="AZ409" s="418"/>
      <c r="BA409" s="418"/>
    </row>
    <row r="410" spans="40:53" ht="15.75" customHeight="1">
      <c r="AN410" s="418"/>
      <c r="AO410" s="418"/>
      <c r="AP410" s="418"/>
      <c r="AQ410" s="418"/>
      <c r="AR410" s="418"/>
      <c r="AS410" s="418"/>
      <c r="AT410" s="418"/>
      <c r="AU410" s="418"/>
      <c r="AV410" s="418"/>
      <c r="AW410" s="418"/>
      <c r="AX410" s="418"/>
      <c r="AY410" s="418"/>
      <c r="AZ410" s="418"/>
      <c r="BA410" s="418"/>
    </row>
    <row r="411" spans="40:53" ht="15.75" customHeight="1">
      <c r="AN411" s="418"/>
      <c r="AO411" s="418"/>
      <c r="AP411" s="418"/>
      <c r="AQ411" s="418"/>
      <c r="AR411" s="418"/>
      <c r="AS411" s="418"/>
      <c r="AT411" s="418"/>
      <c r="AU411" s="418"/>
      <c r="AV411" s="418"/>
      <c r="AW411" s="418"/>
      <c r="AX411" s="418"/>
      <c r="AY411" s="418"/>
      <c r="AZ411" s="418"/>
      <c r="BA411" s="418"/>
    </row>
    <row r="412" spans="40:53" ht="15.75" customHeight="1">
      <c r="AN412" s="418"/>
      <c r="AO412" s="418"/>
      <c r="AP412" s="418"/>
      <c r="AQ412" s="418"/>
      <c r="AR412" s="418"/>
      <c r="AS412" s="418"/>
      <c r="AT412" s="418"/>
      <c r="AU412" s="418"/>
      <c r="AV412" s="418"/>
      <c r="AW412" s="418"/>
      <c r="AX412" s="418"/>
      <c r="AY412" s="418"/>
      <c r="AZ412" s="418"/>
      <c r="BA412" s="418"/>
    </row>
    <row r="413" spans="40:53" ht="15.75" customHeight="1">
      <c r="AN413" s="418"/>
      <c r="AO413" s="418"/>
      <c r="AP413" s="418"/>
      <c r="AQ413" s="418"/>
      <c r="AR413" s="418"/>
      <c r="AS413" s="418"/>
      <c r="AT413" s="418"/>
      <c r="AU413" s="418"/>
      <c r="AV413" s="418"/>
      <c r="AW413" s="418"/>
      <c r="AX413" s="418"/>
      <c r="AY413" s="418"/>
      <c r="AZ413" s="418"/>
      <c r="BA413" s="418"/>
    </row>
    <row r="414" spans="40:53" ht="15.75" customHeight="1">
      <c r="AN414" s="418"/>
      <c r="AO414" s="418"/>
      <c r="AP414" s="418"/>
      <c r="AQ414" s="418"/>
      <c r="AR414" s="418"/>
      <c r="AS414" s="418"/>
      <c r="AT414" s="418"/>
      <c r="AU414" s="418"/>
      <c r="AV414" s="418"/>
      <c r="AW414" s="418"/>
      <c r="AX414" s="418"/>
      <c r="AY414" s="418"/>
      <c r="AZ414" s="418"/>
      <c r="BA414" s="418"/>
    </row>
    <row r="415" spans="40:53" ht="15.75" customHeight="1">
      <c r="AN415" s="418"/>
      <c r="AO415" s="418"/>
      <c r="AP415" s="418"/>
      <c r="AQ415" s="418"/>
      <c r="AR415" s="418"/>
      <c r="AS415" s="418"/>
      <c r="AT415" s="418"/>
      <c r="AU415" s="418"/>
      <c r="AV415" s="418"/>
      <c r="AW415" s="418"/>
      <c r="AX415" s="418"/>
      <c r="AY415" s="418"/>
      <c r="AZ415" s="418"/>
      <c r="BA415" s="418"/>
    </row>
    <row r="416" spans="40:53" ht="15.75" customHeight="1">
      <c r="AN416" s="418"/>
      <c r="AO416" s="418"/>
      <c r="AP416" s="418"/>
      <c r="AQ416" s="418"/>
      <c r="AR416" s="418"/>
      <c r="AS416" s="418"/>
      <c r="AT416" s="418"/>
      <c r="AU416" s="418"/>
      <c r="AV416" s="418"/>
      <c r="AW416" s="418"/>
      <c r="AX416" s="418"/>
      <c r="AY416" s="418"/>
      <c r="AZ416" s="418"/>
      <c r="BA416" s="418"/>
    </row>
    <row r="417" spans="40:53" ht="15.75" customHeight="1">
      <c r="AN417" s="418"/>
      <c r="AO417" s="418"/>
      <c r="AP417" s="418"/>
      <c r="AQ417" s="418"/>
      <c r="AR417" s="418"/>
      <c r="AS417" s="418"/>
      <c r="AT417" s="418"/>
      <c r="AU417" s="418"/>
      <c r="AV417" s="418"/>
      <c r="AW417" s="418"/>
      <c r="AX417" s="418"/>
      <c r="AY417" s="418"/>
      <c r="AZ417" s="418"/>
      <c r="BA417" s="418"/>
    </row>
    <row r="418" spans="40:53" ht="15.75" customHeight="1">
      <c r="AN418" s="418"/>
      <c r="AO418" s="418"/>
      <c r="AP418" s="418"/>
      <c r="AQ418" s="418"/>
      <c r="AR418" s="418"/>
      <c r="AS418" s="418"/>
      <c r="AT418" s="418"/>
      <c r="AU418" s="418"/>
      <c r="AV418" s="418"/>
      <c r="AW418" s="418"/>
      <c r="AX418" s="418"/>
      <c r="AY418" s="418"/>
      <c r="AZ418" s="418"/>
      <c r="BA418" s="418"/>
    </row>
    <row r="419" spans="40:53" ht="15.75" customHeight="1">
      <c r="AN419" s="418"/>
      <c r="AO419" s="418"/>
      <c r="AP419" s="418"/>
      <c r="AQ419" s="418"/>
      <c r="AR419" s="418"/>
      <c r="AS419" s="418"/>
      <c r="AT419" s="418"/>
      <c r="AU419" s="418"/>
      <c r="AV419" s="418"/>
      <c r="AW419" s="418"/>
      <c r="AX419" s="418"/>
      <c r="AY419" s="418"/>
      <c r="AZ419" s="418"/>
      <c r="BA419" s="418"/>
    </row>
    <row r="420" spans="40:53" ht="15.75" customHeight="1">
      <c r="AN420" s="418"/>
      <c r="AO420" s="418"/>
      <c r="AP420" s="418"/>
      <c r="AQ420" s="418"/>
      <c r="AR420" s="418"/>
      <c r="AS420" s="418"/>
      <c r="AT420" s="418"/>
      <c r="AU420" s="418"/>
      <c r="AV420" s="418"/>
      <c r="AW420" s="418"/>
      <c r="AX420" s="418"/>
      <c r="AY420" s="418"/>
      <c r="AZ420" s="418"/>
      <c r="BA420" s="418"/>
    </row>
    <row r="421" spans="40:53" ht="15.75" customHeight="1">
      <c r="AN421" s="418"/>
      <c r="AO421" s="418"/>
      <c r="AP421" s="418"/>
      <c r="AQ421" s="418"/>
      <c r="AR421" s="418"/>
      <c r="AS421" s="418"/>
      <c r="AT421" s="418"/>
      <c r="AU421" s="418"/>
      <c r="AV421" s="418"/>
      <c r="AW421" s="418"/>
      <c r="AX421" s="418"/>
      <c r="AY421" s="418"/>
      <c r="AZ421" s="418"/>
      <c r="BA421" s="418"/>
    </row>
    <row r="422" spans="40:53" ht="15.75" customHeight="1">
      <c r="AN422" s="418"/>
      <c r="AO422" s="418"/>
      <c r="AP422" s="418"/>
      <c r="AQ422" s="418"/>
      <c r="AR422" s="418"/>
      <c r="AS422" s="418"/>
      <c r="AT422" s="418"/>
      <c r="AU422" s="418"/>
      <c r="AV422" s="418"/>
      <c r="AW422" s="418"/>
      <c r="AX422" s="418"/>
      <c r="AY422" s="418"/>
      <c r="AZ422" s="418"/>
      <c r="BA422" s="418"/>
    </row>
    <row r="423" spans="40:53" ht="15.75" customHeight="1">
      <c r="AN423" s="418"/>
      <c r="AO423" s="418"/>
      <c r="AP423" s="418"/>
      <c r="AQ423" s="418"/>
      <c r="AR423" s="418"/>
      <c r="AS423" s="418"/>
      <c r="AT423" s="418"/>
      <c r="AU423" s="418"/>
      <c r="AV423" s="418"/>
      <c r="AW423" s="418"/>
      <c r="AX423" s="418"/>
      <c r="AY423" s="418"/>
      <c r="AZ423" s="418"/>
      <c r="BA423" s="418"/>
    </row>
    <row r="424" spans="40:53" ht="15.75" customHeight="1">
      <c r="AN424" s="418"/>
      <c r="AO424" s="418"/>
      <c r="AP424" s="418"/>
      <c r="AQ424" s="418"/>
      <c r="AR424" s="418"/>
      <c r="AS424" s="418"/>
      <c r="AT424" s="418"/>
      <c r="AU424" s="418"/>
      <c r="AV424" s="418"/>
      <c r="AW424" s="418"/>
      <c r="AX424" s="418"/>
      <c r="AY424" s="418"/>
      <c r="AZ424" s="418"/>
      <c r="BA424" s="418"/>
    </row>
    <row r="425" spans="40:53" ht="15.75" customHeight="1">
      <c r="AN425" s="418"/>
      <c r="AO425" s="418"/>
      <c r="AP425" s="418"/>
      <c r="AQ425" s="418"/>
      <c r="AR425" s="418"/>
      <c r="AS425" s="418"/>
      <c r="AT425" s="418"/>
      <c r="AU425" s="418"/>
      <c r="AV425" s="418"/>
      <c r="AW425" s="418"/>
      <c r="AX425" s="418"/>
      <c r="AY425" s="418"/>
      <c r="AZ425" s="418"/>
      <c r="BA425" s="418"/>
    </row>
    <row r="426" spans="40:53" ht="15.75" customHeight="1">
      <c r="AN426" s="418"/>
      <c r="AO426" s="418"/>
      <c r="AP426" s="418"/>
      <c r="AQ426" s="418"/>
      <c r="AR426" s="418"/>
      <c r="AS426" s="418"/>
      <c r="AT426" s="418"/>
      <c r="AU426" s="418"/>
      <c r="AV426" s="418"/>
      <c r="AW426" s="418"/>
      <c r="AX426" s="418"/>
      <c r="AY426" s="418"/>
      <c r="AZ426" s="418"/>
      <c r="BA426" s="418"/>
    </row>
    <row r="427" spans="40:53" ht="15.75" customHeight="1">
      <c r="AN427" s="418"/>
      <c r="AO427" s="418"/>
      <c r="AP427" s="418"/>
      <c r="AQ427" s="418"/>
      <c r="AR427" s="418"/>
      <c r="AS427" s="418"/>
      <c r="AT427" s="418"/>
      <c r="AU427" s="418"/>
      <c r="AV427" s="418"/>
      <c r="AW427" s="418"/>
      <c r="AX427" s="418"/>
      <c r="AY427" s="418"/>
      <c r="AZ427" s="418"/>
      <c r="BA427" s="418"/>
    </row>
    <row r="428" spans="40:53" ht="15.75" customHeight="1">
      <c r="AN428" s="418"/>
      <c r="AO428" s="418"/>
      <c r="AP428" s="418"/>
      <c r="AQ428" s="418"/>
      <c r="AR428" s="418"/>
      <c r="AS428" s="418"/>
      <c r="AT428" s="418"/>
      <c r="AU428" s="418"/>
      <c r="AV428" s="418"/>
      <c r="AW428" s="418"/>
      <c r="AX428" s="418"/>
      <c r="AY428" s="418"/>
      <c r="AZ428" s="418"/>
      <c r="BA428" s="418"/>
    </row>
    <row r="429" spans="40:53" ht="15.75" customHeight="1">
      <c r="AN429" s="418"/>
      <c r="AO429" s="418"/>
      <c r="AP429" s="418"/>
      <c r="AQ429" s="418"/>
      <c r="AR429" s="418"/>
      <c r="AS429" s="418"/>
      <c r="AT429" s="418"/>
      <c r="AU429" s="418"/>
      <c r="AV429" s="418"/>
      <c r="AW429" s="418"/>
      <c r="AX429" s="418"/>
      <c r="AY429" s="418"/>
      <c r="AZ429" s="418"/>
      <c r="BA429" s="418"/>
    </row>
    <row r="430" spans="40:53" ht="15.75" customHeight="1">
      <c r="AN430" s="418"/>
      <c r="AO430" s="418"/>
      <c r="AP430" s="418"/>
      <c r="AQ430" s="418"/>
      <c r="AR430" s="418"/>
      <c r="AS430" s="418"/>
      <c r="AT430" s="418"/>
      <c r="AU430" s="418"/>
      <c r="AV430" s="418"/>
      <c r="AW430" s="418"/>
      <c r="AX430" s="418"/>
      <c r="AY430" s="418"/>
      <c r="AZ430" s="418"/>
      <c r="BA430" s="418"/>
    </row>
    <row r="431" spans="40:53" ht="15.75" customHeight="1">
      <c r="AN431" s="418"/>
      <c r="AO431" s="418"/>
      <c r="AP431" s="418"/>
      <c r="AQ431" s="418"/>
      <c r="AR431" s="418"/>
      <c r="AS431" s="418"/>
      <c r="AT431" s="418"/>
      <c r="AU431" s="418"/>
      <c r="AV431" s="418"/>
      <c r="AW431" s="418"/>
      <c r="AX431" s="418"/>
      <c r="AY431" s="418"/>
      <c r="AZ431" s="418"/>
      <c r="BA431" s="418"/>
    </row>
    <row r="432" spans="40:53" ht="15.75" customHeight="1">
      <c r="AN432" s="418"/>
      <c r="AO432" s="418"/>
      <c r="AP432" s="418"/>
      <c r="AQ432" s="418"/>
      <c r="AR432" s="418"/>
      <c r="AS432" s="418"/>
      <c r="AT432" s="418"/>
      <c r="AU432" s="418"/>
      <c r="AV432" s="418"/>
      <c r="AW432" s="418"/>
      <c r="AX432" s="418"/>
      <c r="AY432" s="418"/>
      <c r="AZ432" s="418"/>
      <c r="BA432" s="418"/>
    </row>
    <row r="433" spans="40:53" ht="15.75" customHeight="1">
      <c r="AN433" s="418"/>
      <c r="AO433" s="418"/>
      <c r="AP433" s="418"/>
      <c r="AQ433" s="418"/>
      <c r="AR433" s="418"/>
      <c r="AS433" s="418"/>
      <c r="AT433" s="418"/>
      <c r="AU433" s="418"/>
      <c r="AV433" s="418"/>
      <c r="AW433" s="418"/>
      <c r="AX433" s="418"/>
      <c r="AY433" s="418"/>
      <c r="AZ433" s="418"/>
      <c r="BA433" s="418"/>
    </row>
    <row r="434" spans="40:53" ht="15.75" customHeight="1">
      <c r="AN434" s="418"/>
      <c r="AO434" s="418"/>
      <c r="AP434" s="418"/>
      <c r="AQ434" s="418"/>
      <c r="AR434" s="418"/>
      <c r="AS434" s="418"/>
      <c r="AT434" s="418"/>
      <c r="AU434" s="418"/>
      <c r="AV434" s="418"/>
      <c r="AW434" s="418"/>
      <c r="AX434" s="418"/>
      <c r="AY434" s="418"/>
      <c r="AZ434" s="418"/>
      <c r="BA434" s="418"/>
    </row>
    <row r="435" spans="40:53" ht="15.75" customHeight="1">
      <c r="AN435" s="418"/>
      <c r="AO435" s="418"/>
      <c r="AP435" s="418"/>
      <c r="AQ435" s="418"/>
      <c r="AR435" s="418"/>
      <c r="AS435" s="418"/>
      <c r="AT435" s="418"/>
      <c r="AU435" s="418"/>
      <c r="AV435" s="418"/>
      <c r="AW435" s="418"/>
      <c r="AX435" s="418"/>
      <c r="AY435" s="418"/>
      <c r="AZ435" s="418"/>
      <c r="BA435" s="418"/>
    </row>
    <row r="436" spans="40:53" ht="15.75" customHeight="1">
      <c r="AN436" s="418"/>
      <c r="AO436" s="418"/>
      <c r="AP436" s="418"/>
      <c r="AQ436" s="418"/>
      <c r="AR436" s="418"/>
      <c r="AS436" s="418"/>
      <c r="AT436" s="418"/>
      <c r="AU436" s="418"/>
      <c r="AV436" s="418"/>
      <c r="AW436" s="418"/>
      <c r="AX436" s="418"/>
      <c r="AY436" s="418"/>
      <c r="AZ436" s="418"/>
      <c r="BA436" s="418"/>
    </row>
    <row r="437" spans="40:53" ht="15.75" customHeight="1">
      <c r="AN437" s="418"/>
      <c r="AO437" s="418"/>
      <c r="AP437" s="418"/>
      <c r="AQ437" s="418"/>
      <c r="AR437" s="418"/>
      <c r="AS437" s="418"/>
      <c r="AT437" s="418"/>
      <c r="AU437" s="418"/>
      <c r="AV437" s="418"/>
      <c r="AW437" s="418"/>
      <c r="AX437" s="418"/>
      <c r="AY437" s="418"/>
      <c r="AZ437" s="418"/>
      <c r="BA437" s="418"/>
    </row>
    <row r="438" spans="40:53" ht="15.75" customHeight="1">
      <c r="AN438" s="418"/>
      <c r="AO438" s="418"/>
      <c r="AP438" s="418"/>
      <c r="AQ438" s="418"/>
      <c r="AR438" s="418"/>
      <c r="AS438" s="418"/>
      <c r="AT438" s="418"/>
      <c r="AU438" s="418"/>
      <c r="AV438" s="418"/>
      <c r="AW438" s="418"/>
      <c r="AX438" s="418"/>
      <c r="AY438" s="418"/>
      <c r="AZ438" s="418"/>
      <c r="BA438" s="418"/>
    </row>
    <row r="439" spans="40:53" ht="15.75" customHeight="1">
      <c r="AN439" s="418"/>
      <c r="AO439" s="418"/>
      <c r="AP439" s="418"/>
      <c r="AQ439" s="418"/>
      <c r="AR439" s="418"/>
      <c r="AS439" s="418"/>
      <c r="AT439" s="418"/>
      <c r="AU439" s="418"/>
      <c r="AV439" s="418"/>
      <c r="AW439" s="418"/>
      <c r="AX439" s="418"/>
      <c r="AY439" s="418"/>
      <c r="AZ439" s="418"/>
      <c r="BA439" s="418"/>
    </row>
    <row r="440" spans="40:53" ht="15.75" customHeight="1">
      <c r="AN440" s="418"/>
      <c r="AO440" s="418"/>
      <c r="AP440" s="418"/>
      <c r="AQ440" s="418"/>
      <c r="AR440" s="418"/>
      <c r="AS440" s="418"/>
      <c r="AT440" s="418"/>
      <c r="AU440" s="418"/>
      <c r="AV440" s="418"/>
      <c r="AW440" s="418"/>
      <c r="AX440" s="418"/>
      <c r="AY440" s="418"/>
      <c r="AZ440" s="418"/>
      <c r="BA440" s="418"/>
    </row>
    <row r="441" spans="40:53" ht="15.75" customHeight="1">
      <c r="AN441" s="418"/>
      <c r="AO441" s="418"/>
      <c r="AP441" s="418"/>
      <c r="AQ441" s="418"/>
      <c r="AR441" s="418"/>
      <c r="AS441" s="418"/>
      <c r="AT441" s="418"/>
      <c r="AU441" s="418"/>
      <c r="AV441" s="418"/>
      <c r="AW441" s="418"/>
      <c r="AX441" s="418"/>
      <c r="AY441" s="418"/>
      <c r="AZ441" s="418"/>
      <c r="BA441" s="418"/>
    </row>
    <row r="442" spans="40:53" ht="15.75" customHeight="1">
      <c r="AN442" s="418"/>
      <c r="AO442" s="418"/>
      <c r="AP442" s="418"/>
      <c r="AQ442" s="418"/>
      <c r="AR442" s="418"/>
      <c r="AS442" s="418"/>
      <c r="AT442" s="418"/>
      <c r="AU442" s="418"/>
      <c r="AV442" s="418"/>
      <c r="AW442" s="418"/>
      <c r="AX442" s="418"/>
      <c r="AY442" s="418"/>
      <c r="AZ442" s="418"/>
      <c r="BA442" s="418"/>
    </row>
    <row r="443" spans="40:53" ht="15.75" customHeight="1">
      <c r="AN443" s="418"/>
      <c r="AO443" s="418"/>
      <c r="AP443" s="418"/>
      <c r="AQ443" s="418"/>
      <c r="AR443" s="418"/>
      <c r="AS443" s="418"/>
      <c r="AT443" s="418"/>
      <c r="AU443" s="418"/>
      <c r="AV443" s="418"/>
      <c r="AW443" s="418"/>
      <c r="AX443" s="418"/>
      <c r="AY443" s="418"/>
      <c r="AZ443" s="418"/>
      <c r="BA443" s="418"/>
    </row>
    <row r="444" spans="40:53" ht="15.75" customHeight="1">
      <c r="AN444" s="418"/>
      <c r="AO444" s="418"/>
      <c r="AP444" s="418"/>
      <c r="AQ444" s="418"/>
      <c r="AR444" s="418"/>
      <c r="AS444" s="418"/>
      <c r="AT444" s="418"/>
      <c r="AU444" s="418"/>
      <c r="AV444" s="418"/>
      <c r="AW444" s="418"/>
      <c r="AX444" s="418"/>
      <c r="AY444" s="418"/>
      <c r="AZ444" s="418"/>
      <c r="BA444" s="418"/>
    </row>
    <row r="445" spans="40:53" ht="15.75" customHeight="1">
      <c r="AN445" s="418"/>
      <c r="AO445" s="418"/>
      <c r="AP445" s="418"/>
      <c r="AQ445" s="418"/>
      <c r="AR445" s="418"/>
      <c r="AS445" s="418"/>
      <c r="AT445" s="418"/>
      <c r="AU445" s="418"/>
      <c r="AV445" s="418"/>
      <c r="AW445" s="418"/>
      <c r="AX445" s="418"/>
      <c r="AY445" s="418"/>
      <c r="AZ445" s="418"/>
      <c r="BA445" s="418"/>
    </row>
    <row r="446" spans="40:53" ht="15.75" customHeight="1">
      <c r="AN446" s="418"/>
      <c r="AO446" s="418"/>
      <c r="AP446" s="418"/>
      <c r="AQ446" s="418"/>
      <c r="AR446" s="418"/>
      <c r="AS446" s="418"/>
      <c r="AT446" s="418"/>
      <c r="AU446" s="418"/>
      <c r="AV446" s="418"/>
      <c r="AW446" s="418"/>
      <c r="AX446" s="418"/>
      <c r="AY446" s="418"/>
      <c r="AZ446" s="418"/>
      <c r="BA446" s="418"/>
    </row>
    <row r="447" spans="40:53" ht="15.75" customHeight="1">
      <c r="AN447" s="418"/>
      <c r="AO447" s="418"/>
      <c r="AP447" s="418"/>
      <c r="AQ447" s="418"/>
      <c r="AR447" s="418"/>
      <c r="AS447" s="418"/>
      <c r="AT447" s="418"/>
      <c r="AU447" s="418"/>
      <c r="AV447" s="418"/>
      <c r="AW447" s="418"/>
      <c r="AX447" s="418"/>
      <c r="AY447" s="418"/>
      <c r="AZ447" s="418"/>
      <c r="BA447" s="418"/>
    </row>
    <row r="448" spans="40:53" ht="15.75" customHeight="1">
      <c r="AN448" s="418"/>
      <c r="AO448" s="418"/>
      <c r="AP448" s="418"/>
      <c r="AQ448" s="418"/>
      <c r="AR448" s="418"/>
      <c r="AS448" s="418"/>
      <c r="AT448" s="418"/>
      <c r="AU448" s="418"/>
      <c r="AV448" s="418"/>
      <c r="AW448" s="418"/>
      <c r="AX448" s="418"/>
      <c r="AY448" s="418"/>
      <c r="AZ448" s="418"/>
      <c r="BA448" s="418"/>
    </row>
    <row r="449" spans="40:53" ht="15.75" customHeight="1">
      <c r="AN449" s="418"/>
      <c r="AO449" s="418"/>
      <c r="AP449" s="418"/>
      <c r="AQ449" s="418"/>
      <c r="AR449" s="418"/>
      <c r="AS449" s="418"/>
      <c r="AT449" s="418"/>
      <c r="AU449" s="418"/>
      <c r="AV449" s="418"/>
      <c r="AW449" s="418"/>
      <c r="AX449" s="418"/>
      <c r="AY449" s="418"/>
      <c r="AZ449" s="418"/>
      <c r="BA449" s="418"/>
    </row>
    <row r="450" spans="40:53" ht="15.75" customHeight="1">
      <c r="AN450" s="418"/>
      <c r="AO450" s="418"/>
      <c r="AP450" s="418"/>
      <c r="AQ450" s="418"/>
      <c r="AR450" s="418"/>
      <c r="AS450" s="418"/>
      <c r="AT450" s="418"/>
      <c r="AU450" s="418"/>
      <c r="AV450" s="418"/>
      <c r="AW450" s="418"/>
      <c r="AX450" s="418"/>
      <c r="AY450" s="418"/>
      <c r="AZ450" s="418"/>
      <c r="BA450" s="418"/>
    </row>
    <row r="451" spans="40:53" ht="15.75" customHeight="1">
      <c r="AN451" s="418"/>
      <c r="AO451" s="418"/>
      <c r="AP451" s="418"/>
      <c r="AQ451" s="418"/>
      <c r="AR451" s="418"/>
      <c r="AS451" s="418"/>
      <c r="AT451" s="418"/>
      <c r="AU451" s="418"/>
      <c r="AV451" s="418"/>
      <c r="AW451" s="418"/>
      <c r="AX451" s="418"/>
      <c r="AY451" s="418"/>
      <c r="AZ451" s="418"/>
      <c r="BA451" s="418"/>
    </row>
    <row r="452" spans="40:53" ht="15.75" customHeight="1">
      <c r="AN452" s="418"/>
      <c r="AO452" s="418"/>
      <c r="AP452" s="418"/>
      <c r="AQ452" s="418"/>
      <c r="AR452" s="418"/>
      <c r="AS452" s="418"/>
      <c r="AT452" s="418"/>
      <c r="AU452" s="418"/>
      <c r="AV452" s="418"/>
      <c r="AW452" s="418"/>
      <c r="AX452" s="418"/>
      <c r="AY452" s="418"/>
      <c r="AZ452" s="418"/>
      <c r="BA452" s="418"/>
    </row>
    <row r="453" spans="40:53" ht="15.75" customHeight="1">
      <c r="AN453" s="418"/>
      <c r="AO453" s="418"/>
      <c r="AP453" s="418"/>
      <c r="AQ453" s="418"/>
      <c r="AR453" s="418"/>
      <c r="AS453" s="418"/>
      <c r="AT453" s="418"/>
      <c r="AU453" s="418"/>
      <c r="AV453" s="418"/>
      <c r="AW453" s="418"/>
      <c r="AX453" s="418"/>
      <c r="AY453" s="418"/>
      <c r="AZ453" s="418"/>
      <c r="BA453" s="418"/>
    </row>
    <row r="454" spans="40:53" ht="15.75" customHeight="1">
      <c r="AN454" s="418"/>
      <c r="AO454" s="418"/>
      <c r="AP454" s="418"/>
      <c r="AQ454" s="418"/>
      <c r="AR454" s="418"/>
      <c r="AS454" s="418"/>
      <c r="AT454" s="418"/>
      <c r="AU454" s="418"/>
      <c r="AV454" s="418"/>
      <c r="AW454" s="418"/>
      <c r="AX454" s="418"/>
      <c r="AY454" s="418"/>
      <c r="AZ454" s="418"/>
      <c r="BA454" s="418"/>
    </row>
    <row r="455" spans="40:53" ht="15.75" customHeight="1">
      <c r="AN455" s="418"/>
      <c r="AO455" s="418"/>
      <c r="AP455" s="418"/>
      <c r="AQ455" s="418"/>
      <c r="AR455" s="418"/>
      <c r="AS455" s="418"/>
      <c r="AT455" s="418"/>
      <c r="AU455" s="418"/>
      <c r="AV455" s="418"/>
      <c r="AW455" s="418"/>
      <c r="AX455" s="418"/>
      <c r="AY455" s="418"/>
      <c r="AZ455" s="418"/>
      <c r="BA455" s="418"/>
    </row>
    <row r="456" spans="40:53" ht="15.75" customHeight="1">
      <c r="AN456" s="418"/>
      <c r="AO456" s="418"/>
      <c r="AP456" s="418"/>
      <c r="AQ456" s="418"/>
      <c r="AR456" s="418"/>
      <c r="AS456" s="418"/>
      <c r="AT456" s="418"/>
      <c r="AU456" s="418"/>
      <c r="AV456" s="418"/>
      <c r="AW456" s="418"/>
      <c r="AX456" s="418"/>
      <c r="AY456" s="418"/>
      <c r="AZ456" s="418"/>
      <c r="BA456" s="418"/>
    </row>
    <row r="457" spans="40:53" ht="15.75" customHeight="1">
      <c r="AN457" s="418"/>
      <c r="AO457" s="418"/>
      <c r="AP457" s="418"/>
      <c r="AQ457" s="418"/>
      <c r="AR457" s="418"/>
      <c r="AS457" s="418"/>
      <c r="AT457" s="418"/>
      <c r="AU457" s="418"/>
      <c r="AV457" s="418"/>
      <c r="AW457" s="418"/>
      <c r="AX457" s="418"/>
      <c r="AY457" s="418"/>
      <c r="AZ457" s="418"/>
      <c r="BA457" s="418"/>
    </row>
    <row r="458" spans="40:53" ht="15.75" customHeight="1">
      <c r="AN458" s="418"/>
      <c r="AO458" s="418"/>
      <c r="AP458" s="418"/>
      <c r="AQ458" s="418"/>
      <c r="AR458" s="418"/>
      <c r="AS458" s="418"/>
      <c r="AT458" s="418"/>
      <c r="AU458" s="418"/>
      <c r="AV458" s="418"/>
      <c r="AW458" s="418"/>
      <c r="AX458" s="418"/>
      <c r="AY458" s="418"/>
      <c r="AZ458" s="418"/>
      <c r="BA458" s="418"/>
    </row>
    <row r="459" spans="40:53" ht="15.75" customHeight="1">
      <c r="AN459" s="418"/>
      <c r="AO459" s="418"/>
      <c r="AP459" s="418"/>
      <c r="AQ459" s="418"/>
      <c r="AR459" s="418"/>
      <c r="AS459" s="418"/>
      <c r="AT459" s="418"/>
      <c r="AU459" s="418"/>
      <c r="AV459" s="418"/>
      <c r="AW459" s="418"/>
      <c r="AX459" s="418"/>
      <c r="AY459" s="418"/>
      <c r="AZ459" s="418"/>
      <c r="BA459" s="418"/>
    </row>
    <row r="460" spans="40:53" ht="15.75" customHeight="1">
      <c r="AN460" s="418"/>
      <c r="AO460" s="418"/>
      <c r="AP460" s="418"/>
      <c r="AQ460" s="418"/>
      <c r="AR460" s="418"/>
      <c r="AS460" s="418"/>
      <c r="AT460" s="418"/>
      <c r="AU460" s="418"/>
      <c r="AV460" s="418"/>
      <c r="AW460" s="418"/>
      <c r="AX460" s="418"/>
      <c r="AY460" s="418"/>
      <c r="AZ460" s="418"/>
      <c r="BA460" s="418"/>
    </row>
    <row r="461" spans="40:53" ht="15.75" customHeight="1">
      <c r="AN461" s="418"/>
      <c r="AO461" s="418"/>
      <c r="AP461" s="418"/>
      <c r="AQ461" s="418"/>
      <c r="AR461" s="418"/>
      <c r="AS461" s="418"/>
      <c r="AT461" s="418"/>
      <c r="AU461" s="418"/>
      <c r="AV461" s="418"/>
      <c r="AW461" s="418"/>
      <c r="AX461" s="418"/>
      <c r="AY461" s="418"/>
      <c r="AZ461" s="418"/>
      <c r="BA461" s="418"/>
    </row>
    <row r="462" spans="40:53" ht="15.75" customHeight="1">
      <c r="AN462" s="418"/>
      <c r="AO462" s="418"/>
      <c r="AP462" s="418"/>
      <c r="AQ462" s="418"/>
      <c r="AR462" s="418"/>
      <c r="AS462" s="418"/>
      <c r="AT462" s="418"/>
      <c r="AU462" s="418"/>
      <c r="AV462" s="418"/>
      <c r="AW462" s="418"/>
      <c r="AX462" s="418"/>
      <c r="AY462" s="418"/>
      <c r="AZ462" s="418"/>
      <c r="BA462" s="418"/>
    </row>
    <row r="463" spans="40:53" ht="15.75" customHeight="1">
      <c r="AN463" s="418"/>
      <c r="AO463" s="418"/>
      <c r="AP463" s="418"/>
      <c r="AQ463" s="418"/>
      <c r="AR463" s="418"/>
      <c r="AS463" s="418"/>
      <c r="AT463" s="418"/>
      <c r="AU463" s="418"/>
      <c r="AV463" s="418"/>
      <c r="AW463" s="418"/>
      <c r="AX463" s="418"/>
      <c r="AY463" s="418"/>
      <c r="AZ463" s="418"/>
      <c r="BA463" s="418"/>
    </row>
    <row r="464" spans="40:53" ht="15.75" customHeight="1">
      <c r="AN464" s="418"/>
      <c r="AO464" s="418"/>
      <c r="AP464" s="418"/>
      <c r="AQ464" s="418"/>
      <c r="AR464" s="418"/>
      <c r="AS464" s="418"/>
      <c r="AT464" s="418"/>
      <c r="AU464" s="418"/>
      <c r="AV464" s="418"/>
      <c r="AW464" s="418"/>
      <c r="AX464" s="418"/>
      <c r="AY464" s="418"/>
      <c r="AZ464" s="418"/>
      <c r="BA464" s="418"/>
    </row>
    <row r="465" spans="40:53" ht="15.75" customHeight="1">
      <c r="AN465" s="418"/>
      <c r="AO465" s="418"/>
      <c r="AP465" s="418"/>
      <c r="AQ465" s="418"/>
      <c r="AR465" s="418"/>
      <c r="AS465" s="418"/>
      <c r="AT465" s="418"/>
      <c r="AU465" s="418"/>
      <c r="AV465" s="418"/>
      <c r="AW465" s="418"/>
      <c r="AX465" s="418"/>
      <c r="AY465" s="418"/>
      <c r="AZ465" s="418"/>
      <c r="BA465" s="418"/>
    </row>
    <row r="466" spans="40:53" ht="15.75" customHeight="1">
      <c r="AN466" s="418"/>
      <c r="AO466" s="418"/>
      <c r="AP466" s="418"/>
      <c r="AQ466" s="418"/>
      <c r="AR466" s="418"/>
      <c r="AS466" s="418"/>
      <c r="AT466" s="418"/>
      <c r="AU466" s="418"/>
      <c r="AV466" s="418"/>
      <c r="AW466" s="418"/>
      <c r="AX466" s="418"/>
      <c r="AY466" s="418"/>
      <c r="AZ466" s="418"/>
      <c r="BA466" s="418"/>
    </row>
    <row r="467" spans="40:53" ht="15.75" customHeight="1">
      <c r="AN467" s="418"/>
      <c r="AO467" s="418"/>
      <c r="AP467" s="418"/>
      <c r="AQ467" s="418"/>
      <c r="AR467" s="418"/>
      <c r="AS467" s="418"/>
      <c r="AT467" s="418"/>
      <c r="AU467" s="418"/>
      <c r="AV467" s="418"/>
      <c r="AW467" s="418"/>
      <c r="AX467" s="418"/>
      <c r="AY467" s="418"/>
      <c r="AZ467" s="418"/>
      <c r="BA467" s="418"/>
    </row>
    <row r="468" spans="40:53" ht="15.75" customHeight="1">
      <c r="AN468" s="418"/>
      <c r="AO468" s="418"/>
      <c r="AP468" s="418"/>
      <c r="AQ468" s="418"/>
      <c r="AR468" s="418"/>
      <c r="AS468" s="418"/>
      <c r="AT468" s="418"/>
      <c r="AU468" s="418"/>
      <c r="AV468" s="418"/>
      <c r="AW468" s="418"/>
      <c r="AX468" s="418"/>
      <c r="AY468" s="418"/>
      <c r="AZ468" s="418"/>
      <c r="BA468" s="418"/>
    </row>
    <row r="469" spans="40:53" ht="15.75" customHeight="1">
      <c r="AN469" s="418"/>
      <c r="AO469" s="418"/>
      <c r="AP469" s="418"/>
      <c r="AQ469" s="418"/>
      <c r="AR469" s="418"/>
      <c r="AS469" s="418"/>
      <c r="AT469" s="418"/>
      <c r="AU469" s="418"/>
      <c r="AV469" s="418"/>
      <c r="AW469" s="418"/>
      <c r="AX469" s="418"/>
      <c r="AY469" s="418"/>
      <c r="AZ469" s="418"/>
      <c r="BA469" s="418"/>
    </row>
    <row r="470" spans="40:53" ht="15.75" customHeight="1">
      <c r="AN470" s="418"/>
      <c r="AO470" s="418"/>
      <c r="AP470" s="418"/>
      <c r="AQ470" s="418"/>
      <c r="AR470" s="418"/>
      <c r="AS470" s="418"/>
      <c r="AT470" s="418"/>
      <c r="AU470" s="418"/>
      <c r="AV470" s="418"/>
      <c r="AW470" s="418"/>
      <c r="AX470" s="418"/>
      <c r="AY470" s="418"/>
      <c r="AZ470" s="418"/>
      <c r="BA470" s="418"/>
    </row>
    <row r="471" spans="40:53" ht="15.75" customHeight="1">
      <c r="AN471" s="418"/>
      <c r="AO471" s="418"/>
      <c r="AP471" s="418"/>
      <c r="AQ471" s="418"/>
      <c r="AR471" s="418"/>
      <c r="AS471" s="418"/>
      <c r="AT471" s="418"/>
      <c r="AU471" s="418"/>
      <c r="AV471" s="418"/>
      <c r="AW471" s="418"/>
      <c r="AX471" s="418"/>
      <c r="AY471" s="418"/>
      <c r="AZ471" s="418"/>
      <c r="BA471" s="418"/>
    </row>
    <row r="472" spans="40:53" ht="15.75" customHeight="1">
      <c r="AN472" s="418"/>
      <c r="AO472" s="418"/>
      <c r="AP472" s="418"/>
      <c r="AQ472" s="418"/>
      <c r="AR472" s="418"/>
      <c r="AS472" s="418"/>
      <c r="AT472" s="418"/>
      <c r="AU472" s="418"/>
      <c r="AV472" s="418"/>
      <c r="AW472" s="418"/>
      <c r="AX472" s="418"/>
      <c r="AY472" s="418"/>
      <c r="AZ472" s="418"/>
      <c r="BA472" s="418"/>
    </row>
    <row r="473" spans="40:53" ht="15.75" customHeight="1">
      <c r="AN473" s="418"/>
      <c r="AO473" s="418"/>
      <c r="AP473" s="418"/>
      <c r="AQ473" s="418"/>
      <c r="AR473" s="418"/>
      <c r="AS473" s="418"/>
      <c r="AT473" s="418"/>
      <c r="AU473" s="418"/>
      <c r="AV473" s="418"/>
      <c r="AW473" s="418"/>
      <c r="AX473" s="418"/>
      <c r="AY473" s="418"/>
      <c r="AZ473" s="418"/>
      <c r="BA473" s="418"/>
    </row>
    <row r="474" spans="40:53" ht="15.75" customHeight="1">
      <c r="AN474" s="418"/>
      <c r="AO474" s="418"/>
      <c r="AP474" s="418"/>
      <c r="AQ474" s="418"/>
      <c r="AR474" s="418"/>
      <c r="AS474" s="418"/>
      <c r="AT474" s="418"/>
      <c r="AU474" s="418"/>
      <c r="AV474" s="418"/>
      <c r="AW474" s="418"/>
      <c r="AX474" s="418"/>
      <c r="AY474" s="418"/>
      <c r="AZ474" s="418"/>
      <c r="BA474" s="418"/>
    </row>
    <row r="475" spans="40:53" ht="15.75" customHeight="1">
      <c r="AN475" s="418"/>
      <c r="AO475" s="418"/>
      <c r="AP475" s="418"/>
      <c r="AQ475" s="418"/>
      <c r="AR475" s="418"/>
      <c r="AS475" s="418"/>
      <c r="AT475" s="418"/>
      <c r="AU475" s="418"/>
      <c r="AV475" s="418"/>
      <c r="AW475" s="418"/>
      <c r="AX475" s="418"/>
      <c r="AY475" s="418"/>
      <c r="AZ475" s="418"/>
      <c r="BA475" s="418"/>
    </row>
    <row r="476" spans="40:53" ht="15.75" customHeight="1">
      <c r="AN476" s="418"/>
      <c r="AO476" s="418"/>
      <c r="AP476" s="418"/>
      <c r="AQ476" s="418"/>
      <c r="AR476" s="418"/>
      <c r="AS476" s="418"/>
      <c r="AT476" s="418"/>
      <c r="AU476" s="418"/>
      <c r="AV476" s="418"/>
      <c r="AW476" s="418"/>
      <c r="AX476" s="418"/>
      <c r="AY476" s="418"/>
      <c r="AZ476" s="418"/>
      <c r="BA476" s="418"/>
    </row>
    <row r="477" spans="40:53" ht="15.75" customHeight="1">
      <c r="AN477" s="418"/>
      <c r="AO477" s="418"/>
      <c r="AP477" s="418"/>
      <c r="AQ477" s="418"/>
      <c r="AR477" s="418"/>
      <c r="AS477" s="418"/>
      <c r="AT477" s="418"/>
      <c r="AU477" s="418"/>
      <c r="AV477" s="418"/>
      <c r="AW477" s="418"/>
      <c r="AX477" s="418"/>
      <c r="AY477" s="418"/>
      <c r="AZ477" s="418"/>
      <c r="BA477" s="418"/>
    </row>
    <row r="478" spans="40:53" ht="15.75" customHeight="1">
      <c r="AN478" s="418"/>
      <c r="AO478" s="418"/>
      <c r="AP478" s="418"/>
      <c r="AQ478" s="418"/>
      <c r="AR478" s="418"/>
      <c r="AS478" s="418"/>
      <c r="AT478" s="418"/>
      <c r="AU478" s="418"/>
      <c r="AV478" s="418"/>
      <c r="AW478" s="418"/>
      <c r="AX478" s="418"/>
      <c r="AY478" s="418"/>
      <c r="AZ478" s="418"/>
      <c r="BA478" s="418"/>
    </row>
    <row r="479" spans="40:53" ht="15.75" customHeight="1">
      <c r="AN479" s="418"/>
      <c r="AO479" s="418"/>
      <c r="AP479" s="418"/>
      <c r="AQ479" s="418"/>
      <c r="AR479" s="418"/>
      <c r="AS479" s="418"/>
      <c r="AT479" s="418"/>
      <c r="AU479" s="418"/>
      <c r="AV479" s="418"/>
      <c r="AW479" s="418"/>
      <c r="AX479" s="418"/>
      <c r="AY479" s="418"/>
      <c r="AZ479" s="418"/>
      <c r="BA479" s="418"/>
    </row>
    <row r="480" spans="40:53" ht="15.75" customHeight="1">
      <c r="AN480" s="418"/>
      <c r="AO480" s="418"/>
      <c r="AP480" s="418"/>
      <c r="AQ480" s="418"/>
      <c r="AR480" s="418"/>
      <c r="AS480" s="418"/>
      <c r="AT480" s="418"/>
      <c r="AU480" s="418"/>
      <c r="AV480" s="418"/>
      <c r="AW480" s="418"/>
      <c r="AX480" s="418"/>
      <c r="AY480" s="418"/>
      <c r="AZ480" s="418"/>
      <c r="BA480" s="418"/>
    </row>
    <row r="481" spans="40:53" ht="15.75" customHeight="1">
      <c r="AN481" s="418"/>
      <c r="AO481" s="418"/>
      <c r="AP481" s="418"/>
      <c r="AQ481" s="418"/>
      <c r="AR481" s="418"/>
      <c r="AS481" s="418"/>
      <c r="AT481" s="418"/>
      <c r="AU481" s="418"/>
      <c r="AV481" s="418"/>
      <c r="AW481" s="418"/>
      <c r="AX481" s="418"/>
      <c r="AY481" s="418"/>
      <c r="AZ481" s="418"/>
      <c r="BA481" s="418"/>
    </row>
    <row r="482" spans="40:53" ht="15.75" customHeight="1">
      <c r="AN482" s="418"/>
      <c r="AO482" s="418"/>
      <c r="AP482" s="418"/>
      <c r="AQ482" s="418"/>
      <c r="AR482" s="418"/>
      <c r="AS482" s="418"/>
      <c r="AT482" s="418"/>
      <c r="AU482" s="418"/>
      <c r="AV482" s="418"/>
      <c r="AW482" s="418"/>
      <c r="AX482" s="418"/>
      <c r="AY482" s="418"/>
      <c r="AZ482" s="418"/>
      <c r="BA482" s="418"/>
    </row>
    <row r="483" spans="40:53" ht="15.75" customHeight="1">
      <c r="AN483" s="418"/>
      <c r="AO483" s="418"/>
      <c r="AP483" s="418"/>
      <c r="AQ483" s="418"/>
      <c r="AR483" s="418"/>
      <c r="AS483" s="418"/>
      <c r="AT483" s="418"/>
      <c r="AU483" s="418"/>
      <c r="AV483" s="418"/>
      <c r="AW483" s="418"/>
      <c r="AX483" s="418"/>
      <c r="AY483" s="418"/>
      <c r="AZ483" s="418"/>
      <c r="BA483" s="418"/>
    </row>
    <row r="484" spans="40:53" ht="15.75" customHeight="1">
      <c r="AN484" s="418"/>
      <c r="AO484" s="418"/>
      <c r="AP484" s="418"/>
      <c r="AQ484" s="418"/>
      <c r="AR484" s="418"/>
      <c r="AS484" s="418"/>
      <c r="AT484" s="418"/>
      <c r="AU484" s="418"/>
      <c r="AV484" s="418"/>
      <c r="AW484" s="418"/>
      <c r="AX484" s="418"/>
      <c r="AY484" s="418"/>
      <c r="AZ484" s="418"/>
      <c r="BA484" s="418"/>
    </row>
    <row r="485" spans="40:53" ht="15.75" customHeight="1">
      <c r="AN485" s="418"/>
      <c r="AO485" s="418"/>
      <c r="AP485" s="418"/>
      <c r="AQ485" s="418"/>
      <c r="AR485" s="418"/>
      <c r="AS485" s="418"/>
      <c r="AT485" s="418"/>
      <c r="AU485" s="418"/>
      <c r="AV485" s="418"/>
      <c r="AW485" s="418"/>
      <c r="AX485" s="418"/>
      <c r="AY485" s="418"/>
      <c r="AZ485" s="418"/>
      <c r="BA485" s="418"/>
    </row>
    <row r="486" spans="40:53" ht="15.75" customHeight="1">
      <c r="AN486" s="418"/>
      <c r="AO486" s="418"/>
      <c r="AP486" s="418"/>
      <c r="AQ486" s="418"/>
      <c r="AR486" s="418"/>
      <c r="AS486" s="418"/>
      <c r="AT486" s="418"/>
      <c r="AU486" s="418"/>
      <c r="AV486" s="418"/>
      <c r="AW486" s="418"/>
      <c r="AX486" s="418"/>
      <c r="AY486" s="418"/>
      <c r="AZ486" s="418"/>
      <c r="BA486" s="418"/>
    </row>
    <row r="487" spans="40:53" ht="15.75" customHeight="1">
      <c r="AN487" s="418"/>
      <c r="AO487" s="418"/>
      <c r="AP487" s="418"/>
      <c r="AQ487" s="418"/>
      <c r="AR487" s="418"/>
      <c r="AS487" s="418"/>
      <c r="AT487" s="418"/>
      <c r="AU487" s="418"/>
      <c r="AV487" s="418"/>
      <c r="AW487" s="418"/>
      <c r="AX487" s="418"/>
      <c r="AY487" s="418"/>
      <c r="AZ487" s="418"/>
      <c r="BA487" s="418"/>
    </row>
    <row r="488" spans="40:53" ht="15.75" customHeight="1">
      <c r="AN488" s="418"/>
      <c r="AO488" s="418"/>
      <c r="AP488" s="418"/>
      <c r="AQ488" s="418"/>
      <c r="AR488" s="418"/>
      <c r="AS488" s="418"/>
      <c r="AT488" s="418"/>
      <c r="AU488" s="418"/>
      <c r="AV488" s="418"/>
      <c r="AW488" s="418"/>
      <c r="AX488" s="418"/>
      <c r="AY488" s="418"/>
      <c r="AZ488" s="418"/>
      <c r="BA488" s="418"/>
    </row>
    <row r="489" spans="40:53" ht="15.75" customHeight="1">
      <c r="AN489" s="418"/>
      <c r="AO489" s="418"/>
      <c r="AP489" s="418"/>
      <c r="AQ489" s="418"/>
      <c r="AR489" s="418"/>
      <c r="AS489" s="418"/>
      <c r="AT489" s="418"/>
      <c r="AU489" s="418"/>
      <c r="AV489" s="418"/>
      <c r="AW489" s="418"/>
      <c r="AX489" s="418"/>
      <c r="AY489" s="418"/>
      <c r="AZ489" s="418"/>
      <c r="BA489" s="418"/>
    </row>
    <row r="490" spans="40:53" ht="15.75" customHeight="1">
      <c r="AN490" s="418"/>
      <c r="AO490" s="418"/>
      <c r="AP490" s="418"/>
      <c r="AQ490" s="418"/>
      <c r="AR490" s="418"/>
      <c r="AS490" s="418"/>
      <c r="AT490" s="418"/>
      <c r="AU490" s="418"/>
      <c r="AV490" s="418"/>
      <c r="AW490" s="418"/>
      <c r="AX490" s="418"/>
      <c r="AY490" s="418"/>
      <c r="AZ490" s="418"/>
      <c r="BA490" s="418"/>
    </row>
    <row r="491" spans="40:53" ht="15.75" customHeight="1">
      <c r="AN491" s="418"/>
      <c r="AO491" s="418"/>
      <c r="AP491" s="418"/>
      <c r="AQ491" s="418"/>
      <c r="AR491" s="418"/>
      <c r="AS491" s="418"/>
      <c r="AT491" s="418"/>
      <c r="AU491" s="418"/>
      <c r="AV491" s="418"/>
      <c r="AW491" s="418"/>
      <c r="AX491" s="418"/>
      <c r="AY491" s="418"/>
      <c r="AZ491" s="418"/>
      <c r="BA491" s="418"/>
    </row>
    <row r="492" spans="40:53" ht="15.75" customHeight="1">
      <c r="AN492" s="418"/>
      <c r="AO492" s="418"/>
      <c r="AP492" s="418"/>
      <c r="AQ492" s="418"/>
      <c r="AR492" s="418"/>
      <c r="AS492" s="418"/>
      <c r="AT492" s="418"/>
      <c r="AU492" s="418"/>
      <c r="AV492" s="418"/>
      <c r="AW492" s="418"/>
      <c r="AX492" s="418"/>
      <c r="AY492" s="418"/>
      <c r="AZ492" s="418"/>
      <c r="BA492" s="418"/>
    </row>
    <row r="493" spans="40:53" ht="15.75" customHeight="1">
      <c r="AN493" s="418"/>
      <c r="AO493" s="418"/>
      <c r="AP493" s="418"/>
      <c r="AQ493" s="418"/>
      <c r="AR493" s="418"/>
      <c r="AS493" s="418"/>
      <c r="AT493" s="418"/>
      <c r="AU493" s="418"/>
      <c r="AV493" s="418"/>
      <c r="AW493" s="418"/>
      <c r="AX493" s="418"/>
      <c r="AY493" s="418"/>
      <c r="AZ493" s="418"/>
      <c r="BA493" s="418"/>
    </row>
    <row r="494" spans="40:53" ht="15.75" customHeight="1">
      <c r="AN494" s="418"/>
      <c r="AO494" s="418"/>
      <c r="AP494" s="418"/>
      <c r="AQ494" s="418"/>
      <c r="AR494" s="418"/>
      <c r="AS494" s="418"/>
      <c r="AT494" s="418"/>
      <c r="AU494" s="418"/>
      <c r="AV494" s="418"/>
      <c r="AW494" s="418"/>
      <c r="AX494" s="418"/>
      <c r="AY494" s="418"/>
      <c r="AZ494" s="418"/>
      <c r="BA494" s="418"/>
    </row>
    <row r="495" spans="40:53" ht="15.75" customHeight="1">
      <c r="AN495" s="418"/>
      <c r="AO495" s="418"/>
      <c r="AP495" s="418"/>
      <c r="AQ495" s="418"/>
      <c r="AR495" s="418"/>
      <c r="AS495" s="418"/>
      <c r="AT495" s="418"/>
      <c r="AU495" s="418"/>
      <c r="AV495" s="418"/>
      <c r="AW495" s="418"/>
      <c r="AX495" s="418"/>
      <c r="AY495" s="418"/>
      <c r="AZ495" s="418"/>
      <c r="BA495" s="418"/>
    </row>
    <row r="496" spans="40:53" ht="15.75" customHeight="1">
      <c r="AN496" s="418"/>
      <c r="AO496" s="418"/>
      <c r="AP496" s="418"/>
      <c r="AQ496" s="418"/>
      <c r="AR496" s="418"/>
      <c r="AS496" s="418"/>
      <c r="AT496" s="418"/>
      <c r="AU496" s="418"/>
      <c r="AV496" s="418"/>
      <c r="AW496" s="418"/>
      <c r="AX496" s="418"/>
      <c r="AY496" s="418"/>
      <c r="AZ496" s="418"/>
      <c r="BA496" s="418"/>
    </row>
    <row r="497" spans="40:53" ht="15.75" customHeight="1">
      <c r="AN497" s="418"/>
      <c r="AO497" s="418"/>
      <c r="AP497" s="418"/>
      <c r="AQ497" s="418"/>
      <c r="AR497" s="418"/>
      <c r="AS497" s="418"/>
      <c r="AT497" s="418"/>
      <c r="AU497" s="418"/>
      <c r="AV497" s="418"/>
      <c r="AW497" s="418"/>
      <c r="AX497" s="418"/>
      <c r="AY497" s="418"/>
      <c r="AZ497" s="418"/>
      <c r="BA497" s="418"/>
    </row>
    <row r="498" spans="40:53" ht="15.75" customHeight="1">
      <c r="AN498" s="418"/>
      <c r="AO498" s="418"/>
      <c r="AP498" s="418"/>
      <c r="AQ498" s="418"/>
      <c r="AR498" s="418"/>
      <c r="AS498" s="418"/>
      <c r="AT498" s="418"/>
      <c r="AU498" s="418"/>
      <c r="AV498" s="418"/>
      <c r="AW498" s="418"/>
      <c r="AX498" s="418"/>
      <c r="AY498" s="418"/>
      <c r="AZ498" s="418"/>
      <c r="BA498" s="418"/>
    </row>
    <row r="499" spans="40:53" ht="15.75" customHeight="1">
      <c r="AN499" s="418"/>
      <c r="AO499" s="418"/>
      <c r="AP499" s="418"/>
      <c r="AQ499" s="418"/>
      <c r="AR499" s="418"/>
      <c r="AS499" s="418"/>
      <c r="AT499" s="418"/>
      <c r="AU499" s="418"/>
      <c r="AV499" s="418"/>
      <c r="AW499" s="418"/>
      <c r="AX499" s="418"/>
      <c r="AY499" s="418"/>
      <c r="AZ499" s="418"/>
      <c r="BA499" s="418"/>
    </row>
    <row r="500" spans="40:53" ht="15.75" customHeight="1">
      <c r="AN500" s="418"/>
      <c r="AO500" s="418"/>
      <c r="AP500" s="418"/>
      <c r="AQ500" s="418"/>
      <c r="AR500" s="418"/>
      <c r="AS500" s="418"/>
      <c r="AT500" s="418"/>
      <c r="AU500" s="418"/>
      <c r="AV500" s="418"/>
      <c r="AW500" s="418"/>
      <c r="AX500" s="418"/>
      <c r="AY500" s="418"/>
      <c r="AZ500" s="418"/>
      <c r="BA500" s="418"/>
    </row>
    <row r="501" spans="40:53" ht="15.75" customHeight="1">
      <c r="AN501" s="418"/>
      <c r="AO501" s="418"/>
      <c r="AP501" s="418"/>
      <c r="AQ501" s="418"/>
      <c r="AR501" s="418"/>
      <c r="AS501" s="418"/>
      <c r="AT501" s="418"/>
      <c r="AU501" s="418"/>
      <c r="AV501" s="418"/>
      <c r="AW501" s="418"/>
      <c r="AX501" s="418"/>
      <c r="AY501" s="418"/>
      <c r="AZ501" s="418"/>
      <c r="BA501" s="418"/>
    </row>
    <row r="502" spans="40:53" ht="15.75" customHeight="1">
      <c r="AN502" s="418"/>
      <c r="AO502" s="418"/>
      <c r="AP502" s="418"/>
      <c r="AQ502" s="419"/>
      <c r="AR502" s="419"/>
      <c r="AS502" s="419"/>
      <c r="AT502" s="419"/>
      <c r="AU502" s="419"/>
      <c r="AV502" s="419"/>
      <c r="AW502" s="419"/>
      <c r="AX502" s="419"/>
      <c r="AY502" s="419"/>
      <c r="AZ502" s="419"/>
      <c r="BA502" s="419"/>
    </row>
    <row r="503" spans="40:53" ht="15.75" customHeight="1">
      <c r="AN503" s="418"/>
      <c r="AO503" s="418"/>
      <c r="AP503" s="418"/>
      <c r="AQ503" s="419"/>
      <c r="AR503" s="419"/>
      <c r="AS503" s="419"/>
      <c r="AT503" s="419"/>
      <c r="AU503" s="419"/>
      <c r="AV503" s="419"/>
      <c r="AW503" s="419"/>
      <c r="AX503" s="419"/>
      <c r="AY503" s="419"/>
      <c r="AZ503" s="419"/>
      <c r="BA503" s="419"/>
    </row>
    <row r="504" spans="40:53" ht="15.75" customHeight="1">
      <c r="AN504" s="418"/>
      <c r="AO504" s="418"/>
      <c r="AP504" s="418"/>
      <c r="AQ504" s="419"/>
      <c r="AR504" s="419"/>
      <c r="AS504" s="419"/>
      <c r="AT504" s="419"/>
      <c r="AU504" s="419"/>
      <c r="AV504" s="419"/>
      <c r="AW504" s="419"/>
      <c r="AX504" s="419"/>
      <c r="AY504" s="419"/>
      <c r="AZ504" s="419"/>
      <c r="BA504" s="419"/>
    </row>
    <row r="505" spans="40:53" ht="15.75" customHeight="1">
      <c r="AN505" s="418"/>
      <c r="AO505" s="418"/>
      <c r="AP505" s="418"/>
      <c r="AQ505" s="419"/>
      <c r="AR505" s="419"/>
      <c r="AS505" s="419"/>
      <c r="AT505" s="419"/>
      <c r="AU505" s="419"/>
      <c r="AV505" s="419"/>
      <c r="AW505" s="419"/>
      <c r="AX505" s="419"/>
      <c r="AY505" s="419"/>
      <c r="AZ505" s="419"/>
      <c r="BA505" s="419"/>
    </row>
    <row r="506" spans="40:53" ht="15.75" customHeight="1">
      <c r="AN506" s="418"/>
      <c r="AO506" s="418"/>
      <c r="AP506" s="418"/>
      <c r="AQ506" s="419"/>
      <c r="AR506" s="419"/>
      <c r="AS506" s="419"/>
      <c r="AT506" s="419"/>
      <c r="AU506" s="419"/>
      <c r="AV506" s="419"/>
      <c r="AW506" s="419"/>
      <c r="AX506" s="419"/>
      <c r="AY506" s="419"/>
      <c r="AZ506" s="419"/>
      <c r="BA506" s="419"/>
    </row>
    <row r="507" spans="40:53" ht="15.75" customHeight="1">
      <c r="AN507" s="418"/>
      <c r="AO507" s="418"/>
      <c r="AP507" s="418"/>
      <c r="AQ507" s="419"/>
      <c r="AR507" s="419"/>
      <c r="AS507" s="419"/>
      <c r="AT507" s="419"/>
      <c r="AU507" s="419"/>
      <c r="AV507" s="419"/>
      <c r="AW507" s="419"/>
      <c r="AX507" s="419"/>
      <c r="AY507" s="419"/>
      <c r="AZ507" s="419"/>
      <c r="BA507" s="419"/>
    </row>
    <row r="508" spans="40:53" ht="15.75" customHeight="1">
      <c r="AN508" s="418"/>
      <c r="AO508" s="418"/>
      <c r="AP508" s="418"/>
      <c r="AQ508" s="419"/>
      <c r="AR508" s="419"/>
      <c r="AS508" s="419"/>
      <c r="AT508" s="419"/>
      <c r="AU508" s="419"/>
      <c r="AV508" s="419"/>
      <c r="AW508" s="419"/>
      <c r="AX508" s="419"/>
      <c r="AY508" s="419"/>
      <c r="AZ508" s="419"/>
      <c r="BA508" s="419"/>
    </row>
    <row r="509" spans="40:53" ht="15.75" customHeight="1">
      <c r="AN509" s="418"/>
      <c r="AO509" s="418"/>
      <c r="AP509" s="418"/>
      <c r="AQ509" s="419"/>
      <c r="AR509" s="419"/>
      <c r="AS509" s="419"/>
      <c r="AT509" s="419"/>
      <c r="AU509" s="419"/>
      <c r="AV509" s="419"/>
      <c r="AW509" s="419"/>
      <c r="AX509" s="419"/>
      <c r="AY509" s="419"/>
      <c r="AZ509" s="419"/>
      <c r="BA509" s="419"/>
    </row>
    <row r="510" spans="40:53" ht="15.75" customHeight="1">
      <c r="AN510" s="418"/>
      <c r="AO510" s="418"/>
      <c r="AP510" s="418"/>
      <c r="AQ510" s="419"/>
      <c r="AR510" s="419"/>
      <c r="AS510" s="419"/>
      <c r="AT510" s="419"/>
      <c r="AU510" s="419"/>
      <c r="AV510" s="419"/>
      <c r="AW510" s="419"/>
      <c r="AX510" s="419"/>
      <c r="AY510" s="419"/>
      <c r="AZ510" s="419"/>
      <c r="BA510" s="419"/>
    </row>
    <row r="511" spans="40:53" ht="15.75" customHeight="1">
      <c r="AN511" s="418"/>
      <c r="AO511" s="418"/>
      <c r="AP511" s="418"/>
      <c r="AQ511" s="419"/>
      <c r="AR511" s="419"/>
      <c r="AS511" s="419"/>
      <c r="AT511" s="419"/>
      <c r="AU511" s="419"/>
      <c r="AV511" s="419"/>
      <c r="AW511" s="419"/>
      <c r="AX511" s="419"/>
      <c r="AY511" s="419"/>
      <c r="AZ511" s="419"/>
      <c r="BA511" s="419"/>
    </row>
    <row r="512" spans="40:53" ht="15.75" customHeight="1">
      <c r="AN512" s="418"/>
      <c r="AO512" s="418"/>
      <c r="AP512" s="418"/>
      <c r="AQ512" s="419"/>
      <c r="AR512" s="419"/>
      <c r="AS512" s="419"/>
      <c r="AT512" s="419"/>
      <c r="AU512" s="419"/>
      <c r="AV512" s="419"/>
      <c r="AW512" s="419"/>
      <c r="AX512" s="419"/>
      <c r="AY512" s="419"/>
      <c r="AZ512" s="419"/>
      <c r="BA512" s="419"/>
    </row>
    <row r="513" spans="40:55" ht="15.75" customHeight="1">
      <c r="AN513" s="418"/>
      <c r="AO513" s="418"/>
      <c r="AP513" s="418"/>
      <c r="AQ513" s="419"/>
      <c r="AR513" s="419"/>
      <c r="AS513" s="419"/>
      <c r="AT513" s="419"/>
      <c r="AU513" s="419"/>
      <c r="AV513" s="419"/>
      <c r="AW513" s="419"/>
      <c r="AX513" s="419"/>
      <c r="AY513" s="419"/>
      <c r="AZ513" s="419"/>
      <c r="BA513" s="419"/>
    </row>
    <row r="514" spans="40:55" ht="15.75" customHeight="1">
      <c r="AN514" s="418"/>
      <c r="AO514" s="418"/>
      <c r="AP514" s="418"/>
      <c r="AQ514" s="419"/>
      <c r="AR514" s="419"/>
      <c r="AS514" s="419"/>
      <c r="AT514" s="419"/>
      <c r="AU514" s="419"/>
      <c r="AV514" s="419"/>
      <c r="AW514" s="419"/>
      <c r="AX514" s="419"/>
      <c r="AY514" s="419"/>
      <c r="AZ514" s="419"/>
      <c r="BA514" s="419"/>
    </row>
    <row r="515" spans="40:55" ht="15.75" customHeight="1">
      <c r="AN515" s="418"/>
      <c r="AO515" s="418"/>
      <c r="AP515" s="418"/>
      <c r="AQ515" s="418"/>
      <c r="AR515" s="418"/>
      <c r="AS515" s="418"/>
      <c r="AT515" s="418"/>
      <c r="AU515" s="418"/>
      <c r="AV515" s="418"/>
      <c r="AW515" s="418"/>
      <c r="AX515" s="418"/>
      <c r="AY515" s="418"/>
      <c r="AZ515" s="418"/>
      <c r="BA515" s="418"/>
    </row>
    <row r="516" spans="40:55" ht="15.75" customHeight="1">
      <c r="AN516" s="418"/>
      <c r="AO516" s="418"/>
      <c r="AP516" s="418"/>
      <c r="AQ516" s="418"/>
      <c r="AR516" s="418"/>
      <c r="AS516" s="418"/>
      <c r="AT516" s="418"/>
      <c r="AU516" s="418"/>
      <c r="AV516" s="418"/>
      <c r="AW516" s="418"/>
      <c r="AX516" s="418"/>
      <c r="AY516" s="418"/>
      <c r="AZ516" s="418"/>
      <c r="BA516" s="418"/>
    </row>
    <row r="517" spans="40:55" ht="15.75" customHeight="1">
      <c r="AN517" s="418"/>
      <c r="AO517" s="418"/>
      <c r="AP517" s="418"/>
      <c r="AQ517" s="418"/>
      <c r="AR517" s="418"/>
      <c r="AS517" s="418"/>
      <c r="AT517" s="418"/>
      <c r="AU517" s="418"/>
      <c r="AV517" s="418"/>
      <c r="AW517" s="418"/>
      <c r="AX517" s="418"/>
      <c r="AY517" s="418"/>
      <c r="AZ517" s="418"/>
      <c r="BA517" s="418"/>
    </row>
    <row r="518" spans="40:55" ht="15.75" customHeight="1">
      <c r="AN518" s="418"/>
      <c r="AO518" s="418"/>
      <c r="AP518" s="418"/>
      <c r="AQ518" s="418"/>
      <c r="AR518" s="418"/>
      <c r="AS518" s="418"/>
      <c r="AT518" s="418"/>
      <c r="AU518" s="418"/>
      <c r="AV518" s="418"/>
      <c r="AW518" s="418"/>
      <c r="AX518" s="418"/>
      <c r="AY518" s="418"/>
      <c r="AZ518" s="418"/>
      <c r="BA518" s="418"/>
    </row>
    <row r="519" spans="40:55" ht="15.75" customHeight="1">
      <c r="AN519" s="418"/>
      <c r="AO519" s="418"/>
      <c r="AP519" s="418"/>
      <c r="AQ519" s="418"/>
      <c r="AR519" s="418"/>
      <c r="AS519" s="418"/>
      <c r="AT519" s="418"/>
      <c r="AU519" s="418"/>
      <c r="AV519" s="418"/>
      <c r="AW519" s="418"/>
      <c r="AX519" s="418"/>
      <c r="AY519" s="418"/>
      <c r="AZ519" s="418"/>
      <c r="BA519" s="418"/>
    </row>
    <row r="520" spans="40:55" ht="15.75" customHeight="1">
      <c r="AN520" s="418"/>
      <c r="AO520" s="418"/>
      <c r="AP520" s="418"/>
      <c r="AQ520" s="419"/>
      <c r="AR520" s="419"/>
      <c r="AS520" s="419"/>
      <c r="AT520" s="419"/>
      <c r="AU520" s="419"/>
      <c r="AV520" s="419"/>
      <c r="AW520" s="419"/>
      <c r="AX520" s="419"/>
      <c r="AY520" s="419"/>
      <c r="AZ520" s="419"/>
      <c r="BA520" s="419"/>
    </row>
    <row r="521" spans="40:55" ht="15.75" customHeight="1">
      <c r="AN521" s="418"/>
      <c r="AO521" s="418"/>
      <c r="AP521" s="418"/>
      <c r="AQ521" s="419"/>
      <c r="AR521" s="419"/>
      <c r="AS521" s="419"/>
      <c r="AT521" s="419"/>
      <c r="AU521" s="419"/>
      <c r="AV521" s="419"/>
      <c r="AW521" s="419"/>
      <c r="AX521" s="419"/>
      <c r="AY521" s="419"/>
      <c r="AZ521" s="419"/>
      <c r="BA521" s="419"/>
    </row>
    <row r="522" spans="40:55" ht="15.75" customHeight="1">
      <c r="AN522" s="418"/>
      <c r="AO522" s="418"/>
      <c r="AP522" s="418"/>
      <c r="AQ522" s="419"/>
      <c r="AR522" s="419"/>
      <c r="AS522" s="419"/>
      <c r="AT522" s="419"/>
      <c r="AU522" s="419"/>
      <c r="AV522" s="419"/>
      <c r="AW522" s="419"/>
      <c r="AX522" s="419"/>
      <c r="AY522" s="419"/>
      <c r="AZ522" s="419"/>
      <c r="BA522" s="419"/>
    </row>
    <row r="523" spans="40:55" ht="15.75" customHeight="1">
      <c r="AN523" s="418"/>
      <c r="AO523" s="418"/>
      <c r="AP523" s="418"/>
      <c r="AQ523" s="419"/>
      <c r="AR523" s="419"/>
      <c r="AS523" s="419"/>
      <c r="AT523" s="419"/>
      <c r="AU523" s="419"/>
      <c r="AV523" s="419"/>
      <c r="AW523" s="419"/>
      <c r="AX523" s="419"/>
      <c r="AY523" s="419"/>
      <c r="AZ523" s="419"/>
      <c r="BA523" s="419"/>
    </row>
    <row r="524" spans="40:55" ht="15.75" customHeight="1">
      <c r="AN524" s="418"/>
      <c r="AO524" s="418"/>
      <c r="AP524" s="418"/>
      <c r="AQ524" s="419"/>
      <c r="AR524" s="419"/>
      <c r="AS524" s="419"/>
      <c r="AT524" s="419"/>
      <c r="AU524" s="419"/>
      <c r="AV524" s="419"/>
      <c r="AW524" s="419"/>
      <c r="AX524" s="419"/>
      <c r="AY524" s="419"/>
      <c r="AZ524" s="419"/>
      <c r="BA524" s="419"/>
    </row>
    <row r="525" spans="40:55" ht="15.75" customHeight="1">
      <c r="AN525" s="418"/>
      <c r="AO525" s="418"/>
      <c r="AP525" s="418"/>
      <c r="AQ525" s="418"/>
      <c r="AR525" s="418"/>
      <c r="AS525" s="418"/>
      <c r="AT525" s="418"/>
      <c r="AU525" s="418"/>
      <c r="AV525" s="418"/>
      <c r="AW525" s="418"/>
      <c r="AX525" s="418"/>
      <c r="AY525" s="418"/>
      <c r="AZ525" s="418"/>
      <c r="BA525" s="418"/>
    </row>
    <row r="526" spans="40:55" ht="15.75" customHeight="1">
      <c r="AN526" s="418"/>
      <c r="AO526" s="418"/>
      <c r="AP526" s="418"/>
      <c r="AQ526" s="418"/>
      <c r="AR526" s="418"/>
      <c r="AS526" s="418"/>
      <c r="AT526" s="418"/>
      <c r="AU526" s="418"/>
      <c r="AV526" s="418"/>
      <c r="AW526" s="418"/>
      <c r="AX526" s="418"/>
      <c r="AY526" s="418"/>
      <c r="AZ526" s="418"/>
      <c r="BA526" s="418"/>
    </row>
    <row r="527" spans="40:55" ht="15.75" customHeight="1">
      <c r="AN527" s="418"/>
      <c r="AO527" s="418"/>
      <c r="AP527" s="418"/>
      <c r="AQ527" s="418"/>
      <c r="AR527" s="418"/>
      <c r="AS527" s="418"/>
      <c r="AT527" s="418"/>
      <c r="AU527" s="418"/>
      <c r="AV527" s="418"/>
      <c r="AW527" s="418"/>
      <c r="AX527" s="418"/>
      <c r="AY527" s="418"/>
      <c r="AZ527" s="418"/>
      <c r="BA527" s="418"/>
      <c r="BC527" s="307"/>
    </row>
    <row r="528" spans="40:55" ht="15.75" customHeight="1">
      <c r="AN528" s="418"/>
      <c r="AO528" s="418"/>
      <c r="AP528" s="418"/>
      <c r="AQ528" s="419"/>
      <c r="AR528" s="419"/>
      <c r="AS528" s="419"/>
      <c r="AT528" s="419"/>
      <c r="AU528" s="419"/>
      <c r="AV528" s="419"/>
      <c r="AW528" s="419"/>
      <c r="AX528" s="419"/>
      <c r="AY528" s="419"/>
      <c r="AZ528" s="419"/>
      <c r="BA528" s="419"/>
      <c r="BC528" s="307"/>
    </row>
    <row r="529" spans="40:55" ht="15.75" customHeight="1">
      <c r="AN529" s="418"/>
      <c r="AO529" s="418"/>
      <c r="AP529" s="418"/>
      <c r="AQ529" s="419"/>
      <c r="AR529" s="419"/>
      <c r="AS529" s="419"/>
      <c r="AT529" s="419"/>
      <c r="AU529" s="419"/>
      <c r="AV529" s="419"/>
      <c r="AW529" s="419"/>
      <c r="AX529" s="419"/>
      <c r="AY529" s="419"/>
      <c r="AZ529" s="419"/>
      <c r="BA529" s="419"/>
      <c r="BC529" s="307"/>
    </row>
    <row r="530" spans="40:55" ht="15.75" customHeight="1">
      <c r="AN530" s="418"/>
      <c r="AO530" s="418"/>
      <c r="AP530" s="418"/>
      <c r="AQ530" s="419"/>
      <c r="AR530" s="419"/>
      <c r="AS530" s="419"/>
      <c r="AT530" s="419"/>
      <c r="AU530" s="419"/>
      <c r="AV530" s="419"/>
      <c r="AW530" s="419"/>
      <c r="AX530" s="419"/>
      <c r="AY530" s="419"/>
      <c r="AZ530" s="419"/>
      <c r="BA530" s="419"/>
      <c r="BC530" s="307"/>
    </row>
    <row r="531" spans="40:55" ht="15.75" customHeight="1">
      <c r="AN531" s="418"/>
      <c r="AO531" s="418"/>
      <c r="AP531" s="418"/>
      <c r="AQ531" s="419"/>
      <c r="AR531" s="419"/>
      <c r="AS531" s="419"/>
      <c r="AT531" s="419"/>
      <c r="AU531" s="419"/>
      <c r="AV531" s="419"/>
      <c r="AW531" s="419"/>
      <c r="AX531" s="419"/>
      <c r="AY531" s="419"/>
      <c r="AZ531" s="419"/>
      <c r="BA531" s="419"/>
      <c r="BC531" s="290"/>
    </row>
    <row r="532" spans="40:55" ht="15.75" customHeight="1">
      <c r="AN532" s="418"/>
      <c r="AO532" s="418"/>
      <c r="AP532" s="418"/>
      <c r="AQ532" s="419"/>
      <c r="AR532" s="419"/>
      <c r="AS532" s="419"/>
      <c r="AT532" s="419"/>
      <c r="AU532" s="419"/>
      <c r="AV532" s="419"/>
      <c r="AW532" s="419"/>
      <c r="AX532" s="419"/>
      <c r="AY532" s="419"/>
      <c r="AZ532" s="419"/>
      <c r="BA532" s="419"/>
      <c r="BC532" s="307"/>
    </row>
    <row r="533" spans="40:55" ht="15.75" customHeight="1">
      <c r="AN533" s="418"/>
      <c r="AO533" s="418"/>
      <c r="AP533" s="418"/>
      <c r="AQ533" s="419"/>
      <c r="AR533" s="419"/>
      <c r="AS533" s="419"/>
      <c r="AT533" s="419"/>
      <c r="AU533" s="419"/>
      <c r="AV533" s="419"/>
      <c r="AW533" s="419"/>
      <c r="AX533" s="419"/>
      <c r="AY533" s="419"/>
      <c r="AZ533" s="419"/>
      <c r="BA533" s="419"/>
      <c r="BC533" s="307"/>
    </row>
    <row r="534" spans="40:55" ht="15.75" customHeight="1">
      <c r="AN534" s="418"/>
      <c r="AO534" s="418"/>
      <c r="AP534" s="418"/>
      <c r="AQ534" s="419"/>
      <c r="AR534" s="419"/>
      <c r="AS534" s="419"/>
      <c r="AT534" s="419"/>
      <c r="AU534" s="419"/>
      <c r="AV534" s="419"/>
      <c r="AW534" s="419"/>
      <c r="AX534" s="419"/>
      <c r="AY534" s="419"/>
      <c r="AZ534" s="419"/>
      <c r="BA534" s="419"/>
      <c r="BC534" s="307"/>
    </row>
    <row r="535" spans="40:55" ht="15.75" customHeight="1">
      <c r="AN535" s="418"/>
      <c r="AO535" s="418"/>
      <c r="AP535" s="418"/>
      <c r="AQ535" s="418"/>
      <c r="AR535" s="418"/>
      <c r="AS535" s="418"/>
      <c r="AT535" s="418"/>
      <c r="AU535" s="418"/>
      <c r="AV535" s="418"/>
      <c r="AW535" s="418"/>
      <c r="AX535" s="418"/>
      <c r="AY535" s="418"/>
      <c r="AZ535" s="418"/>
      <c r="BA535" s="418"/>
      <c r="BC535" s="290"/>
    </row>
    <row r="536" spans="40:55" ht="15.75" customHeight="1">
      <c r="AN536" s="418"/>
      <c r="AO536" s="418"/>
      <c r="AP536" s="418"/>
      <c r="AQ536" s="418"/>
      <c r="AR536" s="418"/>
      <c r="AS536" s="418"/>
      <c r="AT536" s="418"/>
      <c r="AU536" s="418"/>
      <c r="AV536" s="418"/>
      <c r="AW536" s="418"/>
      <c r="AX536" s="418"/>
      <c r="AY536" s="418"/>
      <c r="AZ536" s="418"/>
      <c r="BA536" s="418"/>
      <c r="BC536" s="307"/>
    </row>
    <row r="537" spans="40:55" ht="15.75" customHeight="1">
      <c r="AN537" s="418"/>
      <c r="AO537" s="418"/>
      <c r="AP537" s="418"/>
      <c r="AQ537" s="418"/>
      <c r="AR537" s="418"/>
      <c r="AS537" s="418"/>
      <c r="AT537" s="418"/>
      <c r="AU537" s="418"/>
      <c r="AV537" s="418"/>
      <c r="AW537" s="418"/>
      <c r="AX537" s="418"/>
      <c r="AY537" s="418"/>
      <c r="AZ537" s="418"/>
      <c r="BA537" s="418"/>
      <c r="BC537" s="307"/>
    </row>
    <row r="538" spans="40:55" ht="15.75" customHeight="1">
      <c r="AN538" s="418"/>
      <c r="AO538" s="418"/>
      <c r="AP538" s="418"/>
      <c r="AQ538" s="418"/>
      <c r="AR538" s="418"/>
      <c r="AS538" s="418"/>
      <c r="AT538" s="418"/>
      <c r="AU538" s="418"/>
      <c r="AV538" s="418"/>
      <c r="AW538" s="418"/>
      <c r="AX538" s="418"/>
      <c r="AY538" s="418"/>
      <c r="AZ538" s="418"/>
      <c r="BA538" s="418"/>
      <c r="BC538" s="307"/>
    </row>
    <row r="539" spans="40:55" ht="15.75" customHeight="1">
      <c r="AN539" s="418"/>
      <c r="AO539" s="418"/>
      <c r="AP539" s="418"/>
      <c r="AQ539" s="418"/>
      <c r="AR539" s="418"/>
      <c r="AS539" s="418"/>
      <c r="AT539" s="418"/>
      <c r="AU539" s="418"/>
      <c r="AV539" s="418"/>
      <c r="AW539" s="418"/>
      <c r="AX539" s="418"/>
      <c r="AY539" s="418"/>
      <c r="AZ539" s="418"/>
      <c r="BA539" s="418"/>
      <c r="BC539" s="307"/>
    </row>
    <row r="540" spans="40:55" ht="15.75" customHeight="1">
      <c r="AN540" s="418"/>
      <c r="AO540" s="418"/>
      <c r="AP540" s="418"/>
      <c r="AQ540" s="418"/>
      <c r="AR540" s="418"/>
      <c r="AS540" s="418"/>
      <c r="AT540" s="418"/>
      <c r="AU540" s="418"/>
      <c r="AV540" s="418"/>
      <c r="AW540" s="418"/>
      <c r="AX540" s="418"/>
      <c r="AY540" s="418"/>
      <c r="AZ540" s="418"/>
      <c r="BA540" s="418"/>
      <c r="BC540" s="307"/>
    </row>
    <row r="541" spans="40:55" ht="15.75" customHeight="1">
      <c r="AN541" s="418"/>
      <c r="AO541" s="418"/>
      <c r="AP541" s="418"/>
      <c r="AQ541" s="418"/>
      <c r="AR541" s="418"/>
      <c r="AS541" s="418"/>
      <c r="AT541" s="418"/>
      <c r="AU541" s="418"/>
      <c r="AV541" s="418"/>
      <c r="AW541" s="418"/>
      <c r="AX541" s="418"/>
      <c r="AY541" s="418"/>
      <c r="AZ541" s="418"/>
      <c r="BA541" s="418"/>
      <c r="BC541" s="307"/>
    </row>
    <row r="542" spans="40:55" ht="15.75" customHeight="1">
      <c r="AN542" s="418"/>
      <c r="AO542" s="418"/>
      <c r="AP542" s="418"/>
      <c r="AQ542" s="418"/>
      <c r="AR542" s="418"/>
      <c r="AS542" s="418"/>
      <c r="AT542" s="418"/>
      <c r="AU542" s="418"/>
      <c r="AV542" s="418"/>
      <c r="AW542" s="418"/>
      <c r="AX542" s="418"/>
      <c r="AY542" s="418"/>
      <c r="AZ542" s="418"/>
      <c r="BA542" s="418"/>
    </row>
    <row r="543" spans="40:55" ht="15.75" customHeight="1">
      <c r="AN543" s="418"/>
      <c r="AO543" s="418"/>
      <c r="AP543" s="418"/>
      <c r="AQ543" s="418"/>
      <c r="AR543" s="418"/>
      <c r="AS543" s="418"/>
      <c r="AT543" s="418"/>
      <c r="AU543" s="418"/>
      <c r="AV543" s="418"/>
      <c r="AW543" s="418"/>
      <c r="AX543" s="418"/>
      <c r="AY543" s="418"/>
      <c r="AZ543" s="418"/>
      <c r="BA543" s="418"/>
    </row>
    <row r="544" spans="40:55" ht="15.75" customHeight="1">
      <c r="AN544" s="418"/>
      <c r="AO544" s="418"/>
      <c r="AP544" s="418"/>
      <c r="AQ544" s="418"/>
      <c r="AR544" s="418"/>
      <c r="AS544" s="418"/>
      <c r="AT544" s="418"/>
      <c r="AU544" s="418"/>
      <c r="AV544" s="418"/>
      <c r="AW544" s="418"/>
      <c r="AX544" s="418"/>
      <c r="AY544" s="418"/>
      <c r="AZ544" s="418"/>
      <c r="BA544" s="418"/>
    </row>
    <row r="545" spans="40:53" ht="15.75" customHeight="1">
      <c r="AN545" s="418"/>
      <c r="AO545" s="418"/>
      <c r="AP545" s="418"/>
      <c r="AQ545" s="418"/>
      <c r="AR545" s="418"/>
      <c r="AS545" s="418"/>
      <c r="AT545" s="418"/>
      <c r="AU545" s="418"/>
      <c r="AV545" s="418"/>
      <c r="AW545" s="418"/>
      <c r="AX545" s="418"/>
      <c r="AY545" s="418"/>
      <c r="AZ545" s="418"/>
      <c r="BA545" s="418"/>
    </row>
    <row r="546" spans="40:53" ht="15.75" customHeight="1">
      <c r="AN546" s="418"/>
      <c r="AO546" s="418"/>
      <c r="AP546" s="418"/>
      <c r="AQ546" s="418"/>
      <c r="AR546" s="418"/>
      <c r="AS546" s="418"/>
      <c r="AT546" s="418"/>
      <c r="AU546" s="418"/>
      <c r="AV546" s="418"/>
      <c r="AW546" s="418"/>
      <c r="AX546" s="418"/>
      <c r="AY546" s="418"/>
      <c r="AZ546" s="418"/>
      <c r="BA546" s="418"/>
    </row>
    <row r="547" spans="40:53" ht="15.75" customHeight="1">
      <c r="AN547" s="418"/>
      <c r="AO547" s="418"/>
      <c r="AP547" s="418"/>
      <c r="AQ547" s="418"/>
      <c r="AR547" s="418"/>
      <c r="AS547" s="418"/>
      <c r="AT547" s="418"/>
      <c r="AU547" s="418"/>
      <c r="AV547" s="418"/>
      <c r="AW547" s="418"/>
      <c r="AX547" s="418"/>
      <c r="AY547" s="418"/>
      <c r="AZ547" s="418"/>
      <c r="BA547" s="418"/>
    </row>
    <row r="548" spans="40:53" ht="15.75" customHeight="1">
      <c r="AN548" s="418"/>
      <c r="AO548" s="418"/>
      <c r="AP548" s="418"/>
      <c r="AQ548" s="418"/>
      <c r="AR548" s="418"/>
      <c r="AS548" s="418"/>
      <c r="AT548" s="418"/>
      <c r="AU548" s="418"/>
      <c r="AV548" s="418"/>
      <c r="AW548" s="418"/>
      <c r="AX548" s="418"/>
      <c r="AY548" s="418"/>
      <c r="AZ548" s="418"/>
      <c r="BA548" s="418"/>
    </row>
    <row r="549" spans="40:53" ht="15.75" customHeight="1">
      <c r="AN549" s="418"/>
      <c r="AO549" s="418"/>
      <c r="AP549" s="418"/>
      <c r="AQ549" s="418"/>
      <c r="AR549" s="418"/>
      <c r="AS549" s="418"/>
      <c r="AT549" s="418"/>
      <c r="AU549" s="418"/>
      <c r="AV549" s="418"/>
      <c r="AW549" s="418"/>
      <c r="AX549" s="418"/>
      <c r="AY549" s="418"/>
      <c r="AZ549" s="418"/>
      <c r="BA549" s="418"/>
    </row>
    <row r="550" spans="40:53" ht="15.75" customHeight="1">
      <c r="AN550" s="418"/>
      <c r="AO550" s="418"/>
      <c r="AP550" s="418"/>
      <c r="AQ550" s="418"/>
      <c r="AR550" s="418"/>
      <c r="AS550" s="418"/>
      <c r="AT550" s="418"/>
      <c r="AU550" s="418"/>
      <c r="AV550" s="418"/>
      <c r="AW550" s="418"/>
      <c r="AX550" s="418"/>
      <c r="AY550" s="418"/>
      <c r="AZ550" s="418"/>
      <c r="BA550" s="418"/>
    </row>
    <row r="551" spans="40:53" ht="15.75" customHeight="1">
      <c r="AN551" s="418"/>
      <c r="AO551" s="418"/>
      <c r="AP551" s="418"/>
      <c r="AQ551" s="418"/>
      <c r="AR551" s="418"/>
      <c r="AS551" s="418"/>
      <c r="AT551" s="418"/>
      <c r="AU551" s="418"/>
      <c r="AV551" s="418"/>
      <c r="AW551" s="418"/>
      <c r="AX551" s="418"/>
      <c r="AY551" s="418"/>
      <c r="AZ551" s="418"/>
      <c r="BA551" s="418"/>
    </row>
    <row r="552" spans="40:53" ht="15.75" customHeight="1">
      <c r="AN552" s="418"/>
      <c r="AO552" s="418"/>
      <c r="AP552" s="418"/>
      <c r="AQ552" s="418"/>
      <c r="AR552" s="418"/>
      <c r="AS552" s="418"/>
      <c r="AT552" s="418"/>
      <c r="AU552" s="418"/>
      <c r="AV552" s="418"/>
      <c r="AW552" s="418"/>
      <c r="AX552" s="418"/>
      <c r="AY552" s="418"/>
      <c r="AZ552" s="418"/>
      <c r="BA552" s="418"/>
    </row>
    <row r="553" spans="40:53" ht="15.75" customHeight="1">
      <c r="AN553" s="418"/>
      <c r="AO553" s="418"/>
      <c r="AP553" s="418"/>
      <c r="AQ553" s="418"/>
      <c r="AR553" s="418"/>
      <c r="AS553" s="418"/>
      <c r="AT553" s="418"/>
      <c r="AU553" s="418"/>
      <c r="AV553" s="418"/>
      <c r="AW553" s="418"/>
      <c r="AX553" s="418"/>
      <c r="AY553" s="418"/>
      <c r="AZ553" s="418"/>
      <c r="BA553" s="418"/>
    </row>
    <row r="554" spans="40:53" ht="15.75" customHeight="1">
      <c r="AN554" s="418"/>
      <c r="AO554" s="418"/>
      <c r="AP554" s="418"/>
      <c r="AQ554" s="418"/>
      <c r="AR554" s="418"/>
      <c r="AS554" s="418"/>
      <c r="AT554" s="418"/>
      <c r="AU554" s="418"/>
      <c r="AV554" s="418"/>
      <c r="AW554" s="418"/>
      <c r="AX554" s="418"/>
      <c r="AY554" s="418"/>
      <c r="AZ554" s="418"/>
      <c r="BA554" s="418"/>
    </row>
    <row r="555" spans="40:53" ht="15.75" customHeight="1">
      <c r="AN555" s="418"/>
      <c r="AO555" s="418"/>
      <c r="AP555" s="418"/>
      <c r="AQ555" s="418"/>
      <c r="AR555" s="418"/>
      <c r="AS555" s="418"/>
      <c r="AT555" s="418"/>
      <c r="AU555" s="418"/>
      <c r="AV555" s="418"/>
      <c r="AW555" s="418"/>
      <c r="AX555" s="418"/>
      <c r="AY555" s="418"/>
      <c r="AZ555" s="418"/>
      <c r="BA555" s="418"/>
    </row>
    <row r="556" spans="40:53" ht="15.75" customHeight="1">
      <c r="AN556" s="418"/>
      <c r="AO556" s="418"/>
      <c r="AP556" s="418"/>
      <c r="AQ556" s="418"/>
      <c r="AR556" s="418"/>
      <c r="AS556" s="418"/>
      <c r="AT556" s="418"/>
      <c r="AU556" s="418"/>
      <c r="AV556" s="418"/>
      <c r="AW556" s="418"/>
      <c r="AX556" s="418"/>
      <c r="AY556" s="418"/>
      <c r="AZ556" s="418"/>
      <c r="BA556" s="418"/>
    </row>
    <row r="557" spans="40:53" ht="15.75" customHeight="1">
      <c r="AN557" s="418"/>
      <c r="AO557" s="418"/>
      <c r="AP557" s="418"/>
      <c r="AQ557" s="418"/>
      <c r="AR557" s="418"/>
      <c r="AS557" s="418"/>
      <c r="AT557" s="418"/>
      <c r="AU557" s="418"/>
      <c r="AV557" s="418"/>
      <c r="AW557" s="418"/>
      <c r="AX557" s="418"/>
      <c r="AY557" s="418"/>
      <c r="AZ557" s="418"/>
      <c r="BA557" s="418"/>
    </row>
    <row r="558" spans="40:53" ht="15.75" customHeight="1">
      <c r="AN558" s="418"/>
      <c r="AO558" s="418"/>
      <c r="AP558" s="418"/>
      <c r="AQ558" s="418"/>
      <c r="AR558" s="418"/>
      <c r="AS558" s="418"/>
      <c r="AT558" s="418"/>
      <c r="AU558" s="418"/>
      <c r="AV558" s="418"/>
      <c r="AW558" s="418"/>
      <c r="AX558" s="418"/>
      <c r="AY558" s="418"/>
      <c r="AZ558" s="418"/>
      <c r="BA558" s="418"/>
    </row>
    <row r="559" spans="40:53" ht="15.75" customHeight="1">
      <c r="AN559" s="418"/>
      <c r="AO559" s="418"/>
      <c r="AP559" s="418"/>
      <c r="AQ559" s="418"/>
      <c r="AR559" s="418"/>
      <c r="AS559" s="418"/>
      <c r="AT559" s="418"/>
      <c r="AU559" s="418"/>
      <c r="AV559" s="418"/>
      <c r="AW559" s="418"/>
      <c r="AX559" s="418"/>
      <c r="AY559" s="418"/>
      <c r="AZ559" s="418"/>
      <c r="BA559" s="418"/>
    </row>
    <row r="560" spans="40:53" ht="15.75" customHeight="1">
      <c r="AN560" s="418"/>
      <c r="AO560" s="418"/>
      <c r="AP560" s="418"/>
      <c r="AQ560" s="418"/>
      <c r="AR560" s="418"/>
      <c r="AS560" s="418"/>
      <c r="AT560" s="418"/>
      <c r="AU560" s="418"/>
      <c r="AV560" s="418"/>
      <c r="AW560" s="418"/>
      <c r="AX560" s="418"/>
      <c r="AY560" s="418"/>
      <c r="AZ560" s="418"/>
      <c r="BA560" s="418"/>
    </row>
    <row r="561" spans="40:53" ht="15.75" customHeight="1">
      <c r="AN561" s="418"/>
      <c r="AO561" s="418"/>
      <c r="AP561" s="418"/>
      <c r="AQ561" s="418"/>
      <c r="AR561" s="418"/>
      <c r="AS561" s="418"/>
      <c r="AT561" s="418"/>
      <c r="AU561" s="418"/>
      <c r="AV561" s="418"/>
      <c r="AW561" s="418"/>
      <c r="AX561" s="418"/>
      <c r="AY561" s="418"/>
      <c r="AZ561" s="418"/>
      <c r="BA561" s="418"/>
    </row>
    <row r="562" spans="40:53" ht="15.75" customHeight="1">
      <c r="AN562" s="418"/>
      <c r="AO562" s="418"/>
      <c r="AP562" s="418"/>
      <c r="AQ562" s="418"/>
      <c r="AR562" s="418"/>
      <c r="AS562" s="418"/>
      <c r="AT562" s="418"/>
      <c r="AU562" s="418"/>
      <c r="AV562" s="418"/>
      <c r="AW562" s="418"/>
      <c r="AX562" s="418"/>
      <c r="AY562" s="418"/>
      <c r="AZ562" s="418"/>
      <c r="BA562" s="418"/>
    </row>
    <row r="563" spans="40:53" ht="15.75" customHeight="1">
      <c r="AN563" s="418"/>
      <c r="AO563" s="418"/>
      <c r="AP563" s="418"/>
      <c r="AQ563" s="418"/>
      <c r="AR563" s="418"/>
      <c r="AS563" s="418"/>
      <c r="AT563" s="418"/>
      <c r="AU563" s="418"/>
      <c r="AV563" s="418"/>
      <c r="AW563" s="418"/>
      <c r="AX563" s="418"/>
      <c r="AY563" s="418"/>
      <c r="AZ563" s="418"/>
      <c r="BA563" s="418"/>
    </row>
    <row r="564" spans="40:53" ht="15.75" customHeight="1">
      <c r="AN564" s="418"/>
      <c r="AO564" s="418"/>
      <c r="AP564" s="418"/>
      <c r="AQ564" s="418"/>
      <c r="AR564" s="418"/>
      <c r="AS564" s="418"/>
      <c r="AT564" s="418"/>
      <c r="AU564" s="418"/>
      <c r="AV564" s="418"/>
      <c r="AW564" s="418"/>
      <c r="AX564" s="418"/>
      <c r="AY564" s="418"/>
      <c r="AZ564" s="418"/>
      <c r="BA564" s="418"/>
    </row>
    <row r="565" spans="40:53" ht="15.75" customHeight="1">
      <c r="AN565" s="418"/>
      <c r="AO565" s="418"/>
      <c r="AP565" s="418"/>
      <c r="AQ565" s="418"/>
      <c r="AR565" s="418"/>
      <c r="AS565" s="418"/>
      <c r="AT565" s="418"/>
      <c r="AU565" s="418"/>
      <c r="AV565" s="418"/>
      <c r="AW565" s="418"/>
      <c r="AX565" s="418"/>
      <c r="AY565" s="418"/>
      <c r="AZ565" s="418"/>
      <c r="BA565" s="418"/>
    </row>
    <row r="566" spans="40:53" ht="15.75" customHeight="1">
      <c r="AN566" s="418"/>
      <c r="AO566" s="418"/>
      <c r="AP566" s="418"/>
      <c r="AQ566" s="418"/>
      <c r="AR566" s="418"/>
      <c r="AS566" s="418"/>
      <c r="AT566" s="418"/>
      <c r="AU566" s="418"/>
      <c r="AV566" s="418"/>
      <c r="AW566" s="418"/>
      <c r="AX566" s="418"/>
      <c r="AY566" s="418"/>
      <c r="AZ566" s="418"/>
      <c r="BA566" s="418"/>
    </row>
    <row r="567" spans="40:53" ht="15.75" customHeight="1">
      <c r="AN567" s="418"/>
      <c r="AO567" s="418"/>
      <c r="AP567" s="418"/>
      <c r="AQ567" s="418"/>
      <c r="AR567" s="418"/>
      <c r="AS567" s="418"/>
      <c r="AT567" s="418"/>
      <c r="AU567" s="418"/>
      <c r="AV567" s="418"/>
      <c r="AW567" s="418"/>
      <c r="AX567" s="418"/>
      <c r="AY567" s="418"/>
      <c r="AZ567" s="418"/>
      <c r="BA567" s="418"/>
    </row>
    <row r="568" spans="40:53" ht="15.75" customHeight="1">
      <c r="AN568" s="418"/>
      <c r="AO568" s="418"/>
      <c r="AP568" s="418"/>
      <c r="AQ568" s="418"/>
      <c r="AR568" s="418"/>
      <c r="AS568" s="418"/>
      <c r="AT568" s="418"/>
      <c r="AU568" s="418"/>
      <c r="AV568" s="418"/>
      <c r="AW568" s="418"/>
      <c r="AX568" s="418"/>
      <c r="AY568" s="418"/>
      <c r="AZ568" s="418"/>
      <c r="BA568" s="418"/>
    </row>
    <row r="569" spans="40:53" ht="15.75" customHeight="1">
      <c r="AN569" s="418"/>
      <c r="AO569" s="418"/>
      <c r="AP569" s="418"/>
      <c r="AQ569" s="418"/>
      <c r="AR569" s="418"/>
      <c r="AS569" s="418"/>
      <c r="AT569" s="418"/>
      <c r="AU569" s="418"/>
      <c r="AV569" s="418"/>
      <c r="AW569" s="418"/>
      <c r="AX569" s="418"/>
      <c r="AY569" s="418"/>
      <c r="AZ569" s="418"/>
      <c r="BA569" s="418"/>
    </row>
    <row r="570" spans="40:53" ht="15.75" customHeight="1">
      <c r="AN570" s="418"/>
      <c r="AO570" s="418"/>
      <c r="AP570" s="418"/>
      <c r="AQ570" s="418"/>
      <c r="AR570" s="418"/>
      <c r="AS570" s="418"/>
      <c r="AT570" s="418"/>
      <c r="AU570" s="418"/>
      <c r="AV570" s="418"/>
      <c r="AW570" s="418"/>
      <c r="AX570" s="418"/>
      <c r="AY570" s="418"/>
      <c r="AZ570" s="418"/>
      <c r="BA570" s="418"/>
    </row>
    <row r="571" spans="40:53" ht="15.75" customHeight="1">
      <c r="AN571" s="418"/>
      <c r="AO571" s="418"/>
      <c r="AP571" s="418"/>
      <c r="AQ571" s="418"/>
      <c r="AR571" s="418"/>
      <c r="AS571" s="418"/>
      <c r="AT571" s="418"/>
      <c r="AU571" s="418"/>
      <c r="AV571" s="418"/>
      <c r="AW571" s="418"/>
      <c r="AX571" s="418"/>
      <c r="AY571" s="418"/>
      <c r="AZ571" s="418"/>
      <c r="BA571" s="418"/>
    </row>
    <row r="572" spans="40:53" ht="15.75" customHeight="1">
      <c r="AN572" s="418"/>
      <c r="AO572" s="418"/>
      <c r="AP572" s="418"/>
      <c r="AQ572" s="418"/>
      <c r="AR572" s="418"/>
      <c r="AS572" s="418"/>
      <c r="AT572" s="418"/>
      <c r="AU572" s="418"/>
      <c r="AV572" s="418"/>
      <c r="AW572" s="418"/>
      <c r="AX572" s="418"/>
      <c r="AY572" s="418"/>
      <c r="AZ572" s="418"/>
      <c r="BA572" s="418"/>
    </row>
    <row r="573" spans="40:53" ht="15.75" customHeight="1">
      <c r="AN573" s="418"/>
      <c r="AO573" s="418"/>
      <c r="AP573" s="418"/>
      <c r="AQ573" s="418"/>
      <c r="AR573" s="418"/>
      <c r="AS573" s="418"/>
      <c r="AT573" s="418"/>
      <c r="AU573" s="418"/>
      <c r="AV573" s="418"/>
      <c r="AW573" s="418"/>
      <c r="AX573" s="418"/>
      <c r="AY573" s="418"/>
      <c r="AZ573" s="418"/>
      <c r="BA573" s="418"/>
    </row>
    <row r="574" spans="40:53" ht="15.75" customHeight="1">
      <c r="AN574" s="418"/>
      <c r="AO574" s="418"/>
      <c r="AP574" s="418"/>
      <c r="AQ574" s="418"/>
      <c r="AR574" s="418"/>
      <c r="AS574" s="418"/>
      <c r="AT574" s="418"/>
      <c r="AU574" s="418"/>
      <c r="AV574" s="418"/>
      <c r="AW574" s="418"/>
      <c r="AX574" s="418"/>
      <c r="AY574" s="418"/>
      <c r="AZ574" s="418"/>
      <c r="BA574" s="418"/>
    </row>
    <row r="575" spans="40:53" ht="15.75" customHeight="1">
      <c r="AN575" s="418"/>
      <c r="AO575" s="418"/>
      <c r="AP575" s="418"/>
      <c r="AQ575" s="418"/>
      <c r="AR575" s="418"/>
      <c r="AS575" s="418"/>
      <c r="AT575" s="418"/>
      <c r="AU575" s="418"/>
      <c r="AV575" s="418"/>
      <c r="AW575" s="418"/>
      <c r="AX575" s="418"/>
      <c r="AY575" s="418"/>
      <c r="AZ575" s="418"/>
      <c r="BA575" s="418"/>
    </row>
    <row r="576" spans="40:53" ht="15.75" customHeight="1">
      <c r="AN576" s="418"/>
      <c r="AO576" s="418"/>
      <c r="AP576" s="418"/>
      <c r="AQ576" s="418"/>
      <c r="AR576" s="418"/>
      <c r="AS576" s="418"/>
      <c r="AT576" s="418"/>
      <c r="AU576" s="418"/>
      <c r="AV576" s="418"/>
      <c r="AW576" s="418"/>
      <c r="AX576" s="418"/>
      <c r="AY576" s="418"/>
      <c r="AZ576" s="418"/>
      <c r="BA576" s="418"/>
    </row>
    <row r="577" spans="40:53" ht="15.75" customHeight="1">
      <c r="AN577" s="418"/>
      <c r="AO577" s="418"/>
      <c r="AP577" s="418"/>
      <c r="AQ577" s="418"/>
      <c r="AR577" s="418"/>
      <c r="AS577" s="418"/>
      <c r="AT577" s="418"/>
      <c r="AU577" s="418"/>
      <c r="AV577" s="418"/>
      <c r="AW577" s="418"/>
      <c r="AX577" s="418"/>
      <c r="AY577" s="418"/>
      <c r="AZ577" s="418"/>
      <c r="BA577" s="418"/>
    </row>
    <row r="578" spans="40:53" ht="15.75" customHeight="1">
      <c r="AN578" s="418"/>
      <c r="AO578" s="418"/>
      <c r="AP578" s="418"/>
      <c r="AQ578" s="418"/>
      <c r="AR578" s="418"/>
      <c r="AS578" s="418"/>
      <c r="AT578" s="418"/>
      <c r="AU578" s="418"/>
      <c r="AV578" s="418"/>
      <c r="AW578" s="418"/>
      <c r="AX578" s="418"/>
      <c r="AY578" s="418"/>
      <c r="AZ578" s="418"/>
      <c r="BA578" s="418"/>
    </row>
    <row r="579" spans="40:53" ht="15.75" customHeight="1">
      <c r="AN579" s="418"/>
      <c r="AO579" s="418"/>
      <c r="AP579" s="418"/>
      <c r="AQ579" s="418"/>
      <c r="AR579" s="418"/>
      <c r="AS579" s="418"/>
      <c r="AT579" s="418"/>
      <c r="AU579" s="418"/>
      <c r="AV579" s="418"/>
      <c r="AW579" s="418"/>
      <c r="AX579" s="418"/>
      <c r="AY579" s="418"/>
      <c r="AZ579" s="418"/>
      <c r="BA579" s="418"/>
    </row>
    <row r="580" spans="40:53" ht="15.75" customHeight="1">
      <c r="AN580" s="418"/>
      <c r="AO580" s="418"/>
      <c r="AP580" s="418"/>
      <c r="AQ580" s="418"/>
      <c r="AR580" s="418"/>
      <c r="AS580" s="418"/>
      <c r="AT580" s="418"/>
      <c r="AU580" s="418"/>
      <c r="AV580" s="418"/>
      <c r="AW580" s="418"/>
      <c r="AX580" s="418"/>
      <c r="AY580" s="418"/>
      <c r="AZ580" s="418"/>
      <c r="BA580" s="418"/>
    </row>
    <row r="581" spans="40:53" ht="15.75" customHeight="1">
      <c r="AN581" s="418"/>
      <c r="AO581" s="418"/>
      <c r="AP581" s="418"/>
      <c r="AQ581" s="418"/>
      <c r="AR581" s="418"/>
      <c r="AS581" s="418"/>
      <c r="AT581" s="418"/>
      <c r="AU581" s="418"/>
      <c r="AV581" s="418"/>
      <c r="AW581" s="418"/>
      <c r="AX581" s="418"/>
      <c r="AY581" s="418"/>
      <c r="AZ581" s="418"/>
      <c r="BA581" s="418"/>
    </row>
    <row r="582" spans="40:53" ht="15.75" customHeight="1">
      <c r="AN582" s="418"/>
      <c r="AO582" s="418"/>
      <c r="AP582" s="418"/>
      <c r="AQ582" s="418"/>
      <c r="AR582" s="418"/>
      <c r="AS582" s="418"/>
      <c r="AT582" s="418"/>
      <c r="AU582" s="418"/>
      <c r="AV582" s="418"/>
      <c r="AW582" s="418"/>
      <c r="AX582" s="418"/>
      <c r="AY582" s="418"/>
      <c r="AZ582" s="418"/>
      <c r="BA582" s="418"/>
    </row>
    <row r="583" spans="40:53" ht="15.75" customHeight="1">
      <c r="AN583" s="418"/>
      <c r="AO583" s="418"/>
      <c r="AP583" s="418"/>
      <c r="AQ583" s="418"/>
      <c r="AR583" s="418"/>
      <c r="AS583" s="418"/>
      <c r="AT583" s="418"/>
      <c r="AU583" s="418"/>
      <c r="AV583" s="418"/>
      <c r="AW583" s="418"/>
      <c r="AX583" s="418"/>
      <c r="AY583" s="418"/>
      <c r="AZ583" s="418"/>
      <c r="BA583" s="418"/>
    </row>
    <row r="584" spans="40:53" ht="15.75" customHeight="1">
      <c r="AN584" s="418"/>
      <c r="AO584" s="418"/>
      <c r="AP584" s="418"/>
      <c r="AQ584" s="418"/>
      <c r="AR584" s="418"/>
      <c r="AS584" s="418"/>
      <c r="AT584" s="418"/>
      <c r="AU584" s="418"/>
      <c r="AV584" s="418"/>
      <c r="AW584" s="418"/>
      <c r="AX584" s="418"/>
      <c r="AY584" s="418"/>
      <c r="AZ584" s="418"/>
      <c r="BA584" s="418"/>
    </row>
    <row r="585" spans="40:53" ht="15.75" customHeight="1">
      <c r="AN585" s="418"/>
      <c r="AO585" s="418"/>
      <c r="AP585" s="418"/>
      <c r="AQ585" s="418"/>
      <c r="AR585" s="418"/>
      <c r="AS585" s="418"/>
      <c r="AT585" s="418"/>
      <c r="AU585" s="418"/>
      <c r="AV585" s="418"/>
      <c r="AW585" s="418"/>
      <c r="AX585" s="418"/>
      <c r="AY585" s="418"/>
      <c r="AZ585" s="418"/>
      <c r="BA585" s="418"/>
    </row>
    <row r="586" spans="40:53" ht="15.75" customHeight="1">
      <c r="AN586" s="418"/>
      <c r="AO586" s="418"/>
      <c r="AP586" s="418"/>
      <c r="AQ586" s="418"/>
      <c r="AR586" s="418"/>
      <c r="AS586" s="418"/>
      <c r="AT586" s="418"/>
      <c r="AU586" s="418"/>
      <c r="AV586" s="418"/>
      <c r="AW586" s="418"/>
      <c r="AX586" s="418"/>
      <c r="AY586" s="418"/>
      <c r="AZ586" s="418"/>
      <c r="BA586" s="418"/>
    </row>
    <row r="587" spans="40:53" ht="15.75" customHeight="1">
      <c r="AN587" s="418"/>
      <c r="AO587" s="418"/>
      <c r="AP587" s="418"/>
      <c r="AQ587" s="418"/>
      <c r="AR587" s="418"/>
      <c r="AS587" s="418"/>
      <c r="AT587" s="418"/>
      <c r="AU587" s="418"/>
      <c r="AV587" s="418"/>
      <c r="AW587" s="418"/>
      <c r="AX587" s="418"/>
      <c r="AY587" s="418"/>
      <c r="AZ587" s="418"/>
      <c r="BA587" s="418"/>
    </row>
    <row r="588" spans="40:53" ht="15.75" customHeight="1">
      <c r="AN588" s="418"/>
      <c r="AO588" s="418"/>
      <c r="AP588" s="418"/>
      <c r="AQ588" s="418"/>
      <c r="AR588" s="418"/>
      <c r="AS588" s="418"/>
      <c r="AT588" s="418"/>
      <c r="AU588" s="418"/>
      <c r="AV588" s="418"/>
      <c r="AW588" s="418"/>
      <c r="AX588" s="418"/>
      <c r="AY588" s="418"/>
      <c r="AZ588" s="418"/>
      <c r="BA588" s="418"/>
    </row>
    <row r="589" spans="40:53" ht="15.75" customHeight="1">
      <c r="AN589" s="418"/>
      <c r="AO589" s="418"/>
      <c r="AP589" s="418"/>
      <c r="AQ589" s="418"/>
      <c r="AR589" s="418"/>
      <c r="AS589" s="418"/>
      <c r="AT589" s="418"/>
      <c r="AU589" s="418"/>
      <c r="AV589" s="418"/>
      <c r="AW589" s="418"/>
      <c r="AX589" s="418"/>
      <c r="AY589" s="418"/>
      <c r="AZ589" s="418"/>
      <c r="BA589" s="418"/>
    </row>
    <row r="590" spans="40:53" ht="15.75" customHeight="1">
      <c r="AN590" s="418"/>
      <c r="AO590" s="418"/>
      <c r="AP590" s="418"/>
      <c r="AQ590" s="418"/>
      <c r="AR590" s="418"/>
      <c r="AS590" s="418"/>
      <c r="AT590" s="418"/>
      <c r="AU590" s="418"/>
      <c r="AV590" s="418"/>
      <c r="AW590" s="418"/>
      <c r="AX590" s="418"/>
      <c r="AY590" s="418"/>
      <c r="AZ590" s="418"/>
      <c r="BA590" s="418"/>
    </row>
    <row r="591" spans="40:53" ht="15.75" customHeight="1">
      <c r="AN591" s="418"/>
      <c r="AO591" s="418"/>
      <c r="AP591" s="418"/>
      <c r="AQ591" s="418"/>
      <c r="AR591" s="418"/>
      <c r="AS591" s="418"/>
      <c r="AT591" s="418"/>
      <c r="AU591" s="418"/>
      <c r="AV591" s="418"/>
      <c r="AW591" s="418"/>
      <c r="AX591" s="418"/>
      <c r="AY591" s="418"/>
      <c r="AZ591" s="418"/>
      <c r="BA591" s="418"/>
    </row>
    <row r="592" spans="40:53" ht="15.75" customHeight="1">
      <c r="AN592" s="418"/>
      <c r="AO592" s="418"/>
      <c r="AP592" s="418"/>
      <c r="AQ592" s="418"/>
      <c r="AR592" s="418"/>
      <c r="AS592" s="418"/>
      <c r="AT592" s="418"/>
      <c r="AU592" s="418"/>
      <c r="AV592" s="418"/>
      <c r="AW592" s="418"/>
      <c r="AX592" s="418"/>
      <c r="AY592" s="418"/>
      <c r="AZ592" s="418"/>
      <c r="BA592" s="418"/>
    </row>
    <row r="593" spans="40:53" ht="15.75" customHeight="1">
      <c r="AN593" s="418"/>
      <c r="AO593" s="418"/>
      <c r="AP593" s="418"/>
      <c r="AQ593" s="418"/>
      <c r="AR593" s="418"/>
      <c r="AS593" s="418"/>
      <c r="AT593" s="418"/>
      <c r="AU593" s="418"/>
      <c r="AV593" s="418"/>
      <c r="AW593" s="418"/>
      <c r="AX593" s="418"/>
      <c r="AY593" s="418"/>
      <c r="AZ593" s="418"/>
      <c r="BA593" s="418"/>
    </row>
    <row r="594" spans="40:53" ht="15.75" customHeight="1">
      <c r="AN594" s="418"/>
      <c r="AO594" s="418"/>
      <c r="AP594" s="418"/>
      <c r="AQ594" s="418"/>
      <c r="AR594" s="418"/>
      <c r="AS594" s="418"/>
      <c r="AT594" s="418"/>
      <c r="AU594" s="418"/>
      <c r="AV594" s="418"/>
      <c r="AW594" s="418"/>
      <c r="AX594" s="418"/>
      <c r="AY594" s="418"/>
      <c r="AZ594" s="418"/>
      <c r="BA594" s="418"/>
    </row>
    <row r="595" spans="40:53" ht="15.75" customHeight="1">
      <c r="AN595" s="418"/>
      <c r="AO595" s="418"/>
      <c r="AP595" s="418"/>
      <c r="AQ595" s="418"/>
      <c r="AR595" s="418"/>
      <c r="AS595" s="418"/>
      <c r="AT595" s="418"/>
      <c r="AU595" s="418"/>
      <c r="AV595" s="418"/>
      <c r="AW595" s="418"/>
      <c r="AX595" s="418"/>
      <c r="AY595" s="418"/>
      <c r="AZ595" s="418"/>
      <c r="BA595" s="418"/>
    </row>
    <row r="596" spans="40:53" ht="15.75" customHeight="1">
      <c r="AN596" s="418"/>
      <c r="AO596" s="418"/>
      <c r="AP596" s="418"/>
      <c r="AQ596" s="418"/>
      <c r="AR596" s="418"/>
      <c r="AS596" s="418"/>
      <c r="AT596" s="418"/>
      <c r="AU596" s="418"/>
      <c r="AV596" s="418"/>
      <c r="AW596" s="418"/>
      <c r="AX596" s="418"/>
      <c r="AY596" s="418"/>
      <c r="AZ596" s="418"/>
      <c r="BA596" s="418"/>
    </row>
    <row r="597" spans="40:53" ht="15.75" customHeight="1">
      <c r="AN597" s="418"/>
      <c r="AO597" s="418"/>
      <c r="AP597" s="418"/>
      <c r="AQ597" s="418"/>
      <c r="AR597" s="418"/>
      <c r="AS597" s="418"/>
      <c r="AT597" s="418"/>
      <c r="AU597" s="418"/>
      <c r="AV597" s="418"/>
      <c r="AW597" s="418"/>
      <c r="AX597" s="418"/>
      <c r="AY597" s="418"/>
      <c r="AZ597" s="418"/>
      <c r="BA597" s="418"/>
    </row>
    <row r="598" spans="40:53" ht="15.75" customHeight="1">
      <c r="AN598" s="418"/>
      <c r="AO598" s="418"/>
      <c r="AP598" s="418"/>
      <c r="AQ598" s="418"/>
      <c r="AR598" s="418"/>
      <c r="AS598" s="418"/>
      <c r="AT598" s="418"/>
      <c r="AU598" s="418"/>
      <c r="AV598" s="418"/>
      <c r="AW598" s="418"/>
      <c r="AX598" s="418"/>
      <c r="AY598" s="418"/>
      <c r="AZ598" s="418"/>
      <c r="BA598" s="418"/>
    </row>
    <row r="599" spans="40:53" ht="15.75" customHeight="1">
      <c r="AN599" s="418"/>
      <c r="AO599" s="418"/>
      <c r="AP599" s="418"/>
      <c r="AQ599" s="418"/>
      <c r="AR599" s="418"/>
      <c r="AS599" s="418"/>
      <c r="AT599" s="418"/>
      <c r="AU599" s="418"/>
      <c r="AV599" s="418"/>
      <c r="AW599" s="418"/>
      <c r="AX599" s="418"/>
      <c r="AY599" s="418"/>
      <c r="AZ599" s="418"/>
      <c r="BA599" s="418"/>
    </row>
    <row r="600" spans="40:53" ht="15.75" customHeight="1">
      <c r="AN600" s="418"/>
      <c r="AO600" s="418"/>
      <c r="AP600" s="418"/>
      <c r="AQ600" s="418"/>
      <c r="AR600" s="418"/>
      <c r="AS600" s="418"/>
      <c r="AT600" s="418"/>
      <c r="AU600" s="418"/>
      <c r="AV600" s="418"/>
      <c r="AW600" s="418"/>
      <c r="AX600" s="418"/>
      <c r="AY600" s="418"/>
      <c r="AZ600" s="418"/>
      <c r="BA600" s="418"/>
    </row>
    <row r="601" spans="40:53" ht="15.75" customHeight="1">
      <c r="AN601" s="418"/>
      <c r="AO601" s="418"/>
      <c r="AP601" s="418"/>
      <c r="AQ601" s="418"/>
      <c r="AR601" s="418"/>
      <c r="AS601" s="418"/>
      <c r="AT601" s="418"/>
      <c r="AU601" s="418"/>
      <c r="AV601" s="418"/>
      <c r="AW601" s="418"/>
      <c r="AX601" s="418"/>
      <c r="AY601" s="418"/>
      <c r="AZ601" s="418"/>
      <c r="BA601" s="418"/>
    </row>
    <row r="602" spans="40:53" ht="15.75" customHeight="1">
      <c r="AN602" s="418"/>
      <c r="AO602" s="418"/>
      <c r="AP602" s="418"/>
      <c r="AQ602" s="418"/>
      <c r="AR602" s="418"/>
      <c r="AS602" s="418"/>
      <c r="AT602" s="418"/>
      <c r="AU602" s="418"/>
      <c r="AV602" s="418"/>
      <c r="AW602" s="418"/>
      <c r="AX602" s="418"/>
      <c r="AY602" s="418"/>
      <c r="AZ602" s="418"/>
      <c r="BA602" s="418"/>
    </row>
    <row r="603" spans="40:53" ht="15.75" customHeight="1">
      <c r="AN603" s="418"/>
      <c r="AO603" s="418"/>
      <c r="AP603" s="418"/>
      <c r="AQ603" s="418"/>
      <c r="AR603" s="418"/>
      <c r="AS603" s="418"/>
      <c r="AT603" s="418"/>
      <c r="AU603" s="418"/>
      <c r="AV603" s="418"/>
      <c r="AW603" s="418"/>
      <c r="AX603" s="418"/>
      <c r="AY603" s="418"/>
      <c r="AZ603" s="418"/>
      <c r="BA603" s="418"/>
    </row>
    <row r="604" spans="40:53" ht="15.75" customHeight="1">
      <c r="AN604" s="418"/>
      <c r="AO604" s="418"/>
      <c r="AP604" s="418"/>
      <c r="AQ604" s="418"/>
      <c r="AR604" s="418"/>
      <c r="AS604" s="418"/>
      <c r="AT604" s="418"/>
      <c r="AU604" s="418"/>
      <c r="AV604" s="418"/>
      <c r="AW604" s="418"/>
      <c r="AX604" s="418"/>
      <c r="AY604" s="418"/>
      <c r="AZ604" s="418"/>
      <c r="BA604" s="418"/>
    </row>
    <row r="605" spans="40:53" ht="15.75" customHeight="1">
      <c r="AN605" s="418"/>
      <c r="AO605" s="418"/>
      <c r="AP605" s="418"/>
      <c r="AQ605" s="418"/>
      <c r="AR605" s="418"/>
      <c r="AS605" s="418"/>
      <c r="AT605" s="418"/>
      <c r="AU605" s="418"/>
      <c r="AV605" s="418"/>
      <c r="AW605" s="418"/>
      <c r="AX605" s="418"/>
      <c r="AY605" s="418"/>
      <c r="AZ605" s="418"/>
      <c r="BA605" s="418"/>
    </row>
    <row r="606" spans="40:53" ht="15.75" customHeight="1">
      <c r="AN606" s="418"/>
      <c r="AO606" s="418"/>
      <c r="AP606" s="418"/>
      <c r="AQ606" s="418"/>
      <c r="AR606" s="418"/>
      <c r="AS606" s="418"/>
      <c r="AT606" s="418"/>
      <c r="AU606" s="418"/>
      <c r="AV606" s="418"/>
      <c r="AW606" s="418"/>
      <c r="AX606" s="418"/>
      <c r="AY606" s="418"/>
      <c r="AZ606" s="418"/>
      <c r="BA606" s="418"/>
    </row>
    <row r="607" spans="40:53" ht="15.75" customHeight="1">
      <c r="AN607" s="418"/>
      <c r="AO607" s="418"/>
      <c r="AP607" s="418"/>
      <c r="AQ607" s="418"/>
      <c r="AR607" s="418"/>
      <c r="AS607" s="418"/>
      <c r="AT607" s="418"/>
      <c r="AU607" s="418"/>
      <c r="AV607" s="418"/>
      <c r="AW607" s="418"/>
      <c r="AX607" s="418"/>
      <c r="AY607" s="418"/>
      <c r="AZ607" s="418"/>
      <c r="BA607" s="418"/>
    </row>
    <row r="608" spans="40:53" ht="15.75" customHeight="1">
      <c r="AN608" s="418"/>
      <c r="AO608" s="418"/>
      <c r="AP608" s="418"/>
      <c r="AQ608" s="418"/>
      <c r="AR608" s="418"/>
      <c r="AS608" s="418"/>
      <c r="AT608" s="418"/>
      <c r="AU608" s="418"/>
      <c r="AV608" s="418"/>
      <c r="AW608" s="418"/>
      <c r="AX608" s="418"/>
      <c r="AY608" s="418"/>
      <c r="AZ608" s="418"/>
      <c r="BA608" s="418"/>
    </row>
    <row r="609" spans="40:65" ht="15.75" customHeight="1">
      <c r="AN609" s="418"/>
      <c r="AO609" s="418"/>
      <c r="AP609" s="418"/>
      <c r="AQ609" s="418"/>
      <c r="AR609" s="418"/>
      <c r="AS609" s="418"/>
      <c r="AT609" s="418"/>
      <c r="AU609" s="418"/>
      <c r="AV609" s="418"/>
      <c r="AW609" s="418"/>
      <c r="AX609" s="418"/>
      <c r="AY609" s="418"/>
      <c r="AZ609" s="418"/>
      <c r="BA609" s="418"/>
    </row>
    <row r="610" spans="40:65" ht="15.75" customHeight="1">
      <c r="AN610" s="418"/>
      <c r="AO610" s="418"/>
      <c r="AP610" s="418"/>
      <c r="AQ610" s="418"/>
      <c r="AR610" s="418"/>
      <c r="AS610" s="418"/>
      <c r="AT610" s="418"/>
      <c r="AU610" s="418"/>
      <c r="AV610" s="418"/>
      <c r="AW610" s="418"/>
      <c r="AX610" s="418"/>
      <c r="AY610" s="418"/>
      <c r="AZ610" s="418"/>
      <c r="BA610" s="418"/>
    </row>
    <row r="611" spans="40:65" ht="15.75" customHeight="1">
      <c r="AN611" s="418"/>
      <c r="AO611" s="418"/>
      <c r="AP611" s="418"/>
      <c r="AQ611" s="418"/>
      <c r="AR611" s="418"/>
      <c r="AS611" s="418"/>
      <c r="AT611" s="418"/>
      <c r="AU611" s="418"/>
      <c r="AV611" s="418"/>
      <c r="AW611" s="418"/>
      <c r="AX611" s="418"/>
      <c r="AY611" s="418"/>
      <c r="AZ611" s="418"/>
      <c r="BA611" s="418"/>
      <c r="BH611" s="307"/>
    </row>
    <row r="612" spans="40:65" ht="15.75" customHeight="1">
      <c r="AN612" s="418"/>
      <c r="AO612" s="418"/>
      <c r="AP612" s="418"/>
      <c r="AQ612" s="418"/>
      <c r="AR612" s="418"/>
      <c r="AS612" s="418"/>
      <c r="AT612" s="418"/>
      <c r="AU612" s="418"/>
      <c r="AV612" s="418"/>
      <c r="AW612" s="418"/>
      <c r="AX612" s="418"/>
      <c r="AY612" s="418"/>
      <c r="AZ612" s="418"/>
      <c r="BA612" s="418"/>
    </row>
    <row r="613" spans="40:65" ht="15.75" customHeight="1">
      <c r="AN613" s="418"/>
      <c r="AO613" s="418"/>
      <c r="AP613" s="418"/>
      <c r="AQ613" s="418"/>
      <c r="AR613" s="418"/>
      <c r="AS613" s="418"/>
      <c r="AT613" s="418"/>
      <c r="AU613" s="418"/>
      <c r="AV613" s="418"/>
      <c r="AW613" s="418"/>
      <c r="AX613" s="418"/>
      <c r="AY613" s="418"/>
      <c r="AZ613" s="418"/>
      <c r="BA613" s="418"/>
      <c r="BI613" s="307"/>
      <c r="BJ613" s="307"/>
      <c r="BK613" s="307"/>
      <c r="BL613" s="307"/>
      <c r="BM613" s="307"/>
    </row>
    <row r="614" spans="40:65" ht="15.75" customHeight="1">
      <c r="AN614" s="418"/>
      <c r="AO614" s="418"/>
      <c r="AP614" s="418"/>
      <c r="AQ614" s="418"/>
      <c r="AR614" s="418"/>
      <c r="AS614" s="418"/>
      <c r="AT614" s="418"/>
      <c r="AU614" s="418"/>
      <c r="AV614" s="418"/>
      <c r="AW614" s="418"/>
      <c r="AX614" s="418"/>
      <c r="AY614" s="418"/>
      <c r="AZ614" s="418"/>
      <c r="BA614" s="418"/>
    </row>
    <row r="615" spans="40:65" ht="15.75" customHeight="1">
      <c r="AN615" s="418"/>
      <c r="AO615" s="418"/>
      <c r="AP615" s="418"/>
      <c r="AQ615" s="418"/>
      <c r="AR615" s="418"/>
      <c r="AS615" s="418"/>
      <c r="AT615" s="418"/>
      <c r="AU615" s="418"/>
      <c r="AV615" s="418"/>
      <c r="AW615" s="418"/>
      <c r="AX615" s="418"/>
      <c r="AY615" s="418"/>
      <c r="AZ615" s="418"/>
      <c r="BA615" s="418"/>
    </row>
    <row r="616" spans="40:65" ht="15.75" customHeight="1">
      <c r="AN616" s="418"/>
      <c r="AO616" s="418"/>
      <c r="AP616" s="418"/>
      <c r="AQ616" s="418"/>
      <c r="AR616" s="418"/>
      <c r="AS616" s="418"/>
      <c r="AT616" s="418"/>
      <c r="AU616" s="418"/>
      <c r="AV616" s="418"/>
      <c r="AW616" s="418"/>
      <c r="AX616" s="418"/>
      <c r="AY616" s="418"/>
      <c r="AZ616" s="418"/>
      <c r="BA616" s="418"/>
    </row>
    <row r="617" spans="40:65" ht="15.75" customHeight="1">
      <c r="AN617" s="418"/>
      <c r="AO617" s="418"/>
      <c r="AP617" s="418"/>
      <c r="AQ617" s="418"/>
      <c r="AR617" s="418"/>
      <c r="AS617" s="418"/>
      <c r="AT617" s="418"/>
      <c r="AU617" s="418"/>
      <c r="AV617" s="418"/>
      <c r="AW617" s="418"/>
      <c r="AX617" s="418"/>
      <c r="AY617" s="418"/>
      <c r="AZ617" s="418"/>
      <c r="BA617" s="418"/>
    </row>
    <row r="618" spans="40:65" ht="15.75" customHeight="1">
      <c r="AN618" s="418"/>
      <c r="AO618" s="418"/>
      <c r="AP618" s="418"/>
      <c r="AQ618" s="418"/>
      <c r="AR618" s="418"/>
      <c r="AS618" s="418"/>
      <c r="AT618" s="418"/>
      <c r="AU618" s="418"/>
      <c r="AV618" s="418"/>
      <c r="AW618" s="418"/>
      <c r="AX618" s="418"/>
      <c r="AY618" s="418"/>
      <c r="AZ618" s="418"/>
      <c r="BA618" s="418"/>
    </row>
    <row r="619" spans="40:65" ht="15.75" customHeight="1">
      <c r="AN619" s="418"/>
      <c r="AO619" s="418"/>
      <c r="AP619" s="418"/>
      <c r="AQ619" s="418"/>
      <c r="AR619" s="418"/>
      <c r="AS619" s="418"/>
      <c r="AT619" s="418"/>
      <c r="AU619" s="418"/>
      <c r="AV619" s="418"/>
      <c r="AW619" s="418"/>
      <c r="AX619" s="418"/>
      <c r="AY619" s="418"/>
      <c r="AZ619" s="418"/>
      <c r="BA619" s="418"/>
    </row>
    <row r="620" spans="40:65" ht="15.75" customHeight="1">
      <c r="AN620" s="418"/>
      <c r="AO620" s="418"/>
      <c r="AP620" s="418"/>
      <c r="AQ620" s="418"/>
      <c r="AR620" s="418"/>
      <c r="AS620" s="418"/>
      <c r="AT620" s="418"/>
      <c r="AU620" s="418"/>
      <c r="AV620" s="418"/>
      <c r="AW620" s="418"/>
      <c r="AX620" s="418"/>
      <c r="AY620" s="418"/>
      <c r="AZ620" s="418"/>
      <c r="BA620" s="418"/>
    </row>
    <row r="621" spans="40:65" ht="15.75" customHeight="1">
      <c r="AN621" s="418"/>
      <c r="AO621" s="418"/>
      <c r="AP621" s="418"/>
      <c r="AQ621" s="418"/>
      <c r="AR621" s="418"/>
      <c r="AS621" s="418"/>
      <c r="AT621" s="418"/>
      <c r="AU621" s="418"/>
      <c r="AV621" s="418"/>
      <c r="AW621" s="418"/>
      <c r="AX621" s="418"/>
      <c r="AY621" s="418"/>
      <c r="AZ621" s="418"/>
      <c r="BA621" s="418"/>
    </row>
    <row r="622" spans="40:65" ht="15.75" customHeight="1">
      <c r="AN622" s="418"/>
      <c r="AO622" s="418"/>
      <c r="AP622" s="418"/>
      <c r="AQ622" s="418"/>
      <c r="AR622" s="418"/>
      <c r="AS622" s="418"/>
      <c r="AT622" s="418"/>
      <c r="AU622" s="418"/>
      <c r="AV622" s="418"/>
      <c r="AW622" s="418"/>
      <c r="AX622" s="418"/>
      <c r="AY622" s="418"/>
      <c r="AZ622" s="418"/>
      <c r="BA622" s="418"/>
    </row>
    <row r="623" spans="40:65" ht="15.75" customHeight="1">
      <c r="AN623" s="418"/>
      <c r="AO623" s="418"/>
      <c r="AP623" s="418"/>
      <c r="AQ623" s="418"/>
      <c r="AR623" s="418"/>
      <c r="AS623" s="418"/>
      <c r="AT623" s="418"/>
      <c r="AU623" s="418"/>
      <c r="AV623" s="418"/>
      <c r="AW623" s="418"/>
      <c r="AX623" s="418"/>
      <c r="AY623" s="418"/>
      <c r="AZ623" s="418"/>
      <c r="BA623" s="418"/>
    </row>
    <row r="624" spans="40:65" ht="15.75" customHeight="1">
      <c r="AN624" s="418"/>
      <c r="AO624" s="418"/>
      <c r="AP624" s="418"/>
      <c r="AQ624" s="418"/>
      <c r="AR624" s="418"/>
      <c r="AS624" s="418"/>
      <c r="AT624" s="418"/>
      <c r="AU624" s="418"/>
      <c r="AV624" s="418"/>
      <c r="AW624" s="418"/>
      <c r="AX624" s="418"/>
      <c r="AY624" s="418"/>
      <c r="AZ624" s="418"/>
      <c r="BA624" s="418"/>
    </row>
    <row r="625" spans="40:56" ht="15.75" customHeight="1">
      <c r="AN625" s="418"/>
      <c r="AO625" s="418"/>
      <c r="AP625" s="418"/>
      <c r="AQ625" s="418"/>
      <c r="AR625" s="418"/>
      <c r="AS625" s="418"/>
      <c r="AT625" s="418"/>
      <c r="AU625" s="418"/>
      <c r="AV625" s="418"/>
      <c r="AW625" s="418"/>
      <c r="AX625" s="418"/>
      <c r="AY625" s="418"/>
      <c r="AZ625" s="418"/>
      <c r="BA625" s="418"/>
    </row>
    <row r="626" spans="40:56" ht="15.75" customHeight="1">
      <c r="AN626" s="418"/>
      <c r="AO626" s="418"/>
      <c r="AP626" s="418"/>
      <c r="AQ626" s="418"/>
      <c r="AR626" s="418"/>
      <c r="AS626" s="418"/>
      <c r="AT626" s="418"/>
      <c r="AU626" s="418"/>
      <c r="AV626" s="418"/>
      <c r="AW626" s="418"/>
      <c r="AX626" s="418"/>
      <c r="AY626" s="418"/>
      <c r="AZ626" s="418"/>
      <c r="BA626" s="418"/>
    </row>
    <row r="627" spans="40:56" ht="15.75" customHeight="1">
      <c r="AN627" s="418"/>
      <c r="AO627" s="418"/>
      <c r="AP627" s="418"/>
      <c r="AQ627" s="418"/>
      <c r="AR627" s="418"/>
      <c r="AS627" s="418"/>
      <c r="AT627" s="418"/>
      <c r="AU627" s="418"/>
      <c r="AV627" s="418"/>
      <c r="AW627" s="418"/>
      <c r="AX627" s="418"/>
      <c r="AY627" s="418"/>
      <c r="AZ627" s="418"/>
      <c r="BA627" s="418"/>
    </row>
    <row r="628" spans="40:56" ht="15.75" customHeight="1">
      <c r="AN628" s="418"/>
      <c r="AO628" s="418"/>
      <c r="AP628" s="418"/>
      <c r="AQ628" s="418"/>
      <c r="AR628" s="418"/>
      <c r="AS628" s="418"/>
      <c r="AT628" s="418"/>
      <c r="AU628" s="418"/>
      <c r="AV628" s="418"/>
      <c r="AW628" s="418"/>
      <c r="AX628" s="418"/>
      <c r="AY628" s="418"/>
      <c r="AZ628" s="418"/>
      <c r="BA628" s="418"/>
      <c r="BC628" s="307"/>
      <c r="BD628" s="307"/>
    </row>
    <row r="629" spans="40:56" ht="15.75" customHeight="1">
      <c r="AN629" s="418"/>
      <c r="AO629" s="418"/>
      <c r="AP629" s="418"/>
      <c r="AQ629" s="418"/>
      <c r="AR629" s="418"/>
      <c r="AS629" s="418"/>
      <c r="AT629" s="418"/>
      <c r="AU629" s="418"/>
      <c r="AV629" s="418"/>
      <c r="AW629" s="418"/>
      <c r="AX629" s="418"/>
      <c r="AY629" s="418"/>
      <c r="AZ629" s="418"/>
      <c r="BA629" s="418"/>
    </row>
    <row r="630" spans="40:56" ht="15.75" customHeight="1">
      <c r="AN630" s="418"/>
      <c r="AO630" s="418"/>
      <c r="AP630" s="418"/>
      <c r="AQ630" s="418"/>
      <c r="AR630" s="418"/>
      <c r="AS630" s="418"/>
      <c r="AT630" s="418"/>
      <c r="AU630" s="418"/>
      <c r="AV630" s="418"/>
      <c r="AW630" s="418"/>
      <c r="AX630" s="418"/>
      <c r="AY630" s="418"/>
      <c r="AZ630" s="418"/>
      <c r="BA630" s="418"/>
    </row>
    <row r="631" spans="40:56" ht="15.75" customHeight="1">
      <c r="AN631" s="418"/>
      <c r="AO631" s="418"/>
      <c r="AP631" s="418"/>
      <c r="AQ631" s="418"/>
      <c r="AR631" s="418"/>
      <c r="AS631" s="418"/>
      <c r="AT631" s="418"/>
      <c r="AU631" s="418"/>
      <c r="AV631" s="418"/>
      <c r="AW631" s="418"/>
      <c r="AX631" s="418"/>
      <c r="AY631" s="418"/>
      <c r="AZ631" s="418"/>
      <c r="BA631" s="418"/>
    </row>
    <row r="632" spans="40:56" ht="15.75" customHeight="1">
      <c r="AN632" s="418"/>
      <c r="AO632" s="418"/>
      <c r="AP632" s="418"/>
      <c r="AQ632" s="418"/>
      <c r="AR632" s="418"/>
      <c r="AS632" s="418"/>
      <c r="AT632" s="418"/>
      <c r="AU632" s="418"/>
      <c r="AV632" s="418"/>
      <c r="AW632" s="418"/>
      <c r="AX632" s="418"/>
      <c r="AY632" s="418"/>
      <c r="AZ632" s="418"/>
      <c r="BA632" s="418"/>
    </row>
    <row r="633" spans="40:56" ht="15.75" customHeight="1">
      <c r="AN633" s="418"/>
      <c r="AO633" s="418"/>
      <c r="AP633" s="418"/>
      <c r="AQ633" s="418"/>
      <c r="AR633" s="418"/>
      <c r="AS633" s="418"/>
      <c r="AT633" s="418"/>
      <c r="AU633" s="418"/>
      <c r="AV633" s="418"/>
      <c r="AW633" s="418"/>
      <c r="AX633" s="418"/>
      <c r="AY633" s="418"/>
      <c r="AZ633" s="418"/>
      <c r="BA633" s="418"/>
    </row>
    <row r="634" spans="40:56" ht="15.75" customHeight="1">
      <c r="AN634" s="418"/>
      <c r="AO634" s="418"/>
      <c r="AP634" s="418"/>
      <c r="AQ634" s="418"/>
      <c r="AR634" s="418"/>
      <c r="AS634" s="418"/>
      <c r="AT634" s="418"/>
      <c r="AU634" s="418"/>
      <c r="AV634" s="418"/>
      <c r="AW634" s="418"/>
      <c r="AX634" s="418"/>
      <c r="AY634" s="418"/>
      <c r="AZ634" s="418"/>
      <c r="BA634" s="418"/>
    </row>
    <row r="635" spans="40:56" ht="15.75" customHeight="1">
      <c r="AN635" s="418"/>
      <c r="AO635" s="418"/>
      <c r="AP635" s="418"/>
      <c r="AQ635" s="418"/>
      <c r="AR635" s="418"/>
      <c r="AS635" s="418"/>
      <c r="AT635" s="418"/>
      <c r="AU635" s="418"/>
      <c r="AV635" s="418"/>
      <c r="AW635" s="418"/>
      <c r="AX635" s="418"/>
      <c r="AY635" s="418"/>
      <c r="AZ635" s="418"/>
      <c r="BA635" s="418"/>
    </row>
    <row r="636" spans="40:56" ht="15.75" customHeight="1">
      <c r="AN636" s="418"/>
      <c r="AO636" s="418"/>
      <c r="AP636" s="418"/>
      <c r="AQ636" s="418"/>
      <c r="AR636" s="418"/>
      <c r="AS636" s="418"/>
      <c r="AT636" s="418"/>
      <c r="AU636" s="418"/>
      <c r="AV636" s="418"/>
      <c r="AW636" s="418"/>
      <c r="AX636" s="418"/>
      <c r="AY636" s="418"/>
      <c r="AZ636" s="418"/>
      <c r="BA636" s="418"/>
    </row>
    <row r="637" spans="40:56" ht="15.75" customHeight="1">
      <c r="AN637" s="418"/>
      <c r="AO637" s="418"/>
      <c r="AP637" s="418"/>
      <c r="AQ637" s="418"/>
      <c r="AR637" s="418"/>
      <c r="AS637" s="418"/>
      <c r="AT637" s="418"/>
      <c r="AU637" s="418"/>
      <c r="AV637" s="418"/>
      <c r="AW637" s="418"/>
      <c r="AX637" s="418"/>
      <c r="AY637" s="418"/>
      <c r="AZ637" s="418"/>
      <c r="BA637" s="418"/>
    </row>
    <row r="638" spans="40:56" ht="15.75" customHeight="1">
      <c r="AN638" s="418"/>
      <c r="AO638" s="418"/>
      <c r="AP638" s="418"/>
      <c r="AQ638" s="418"/>
      <c r="AR638" s="418"/>
      <c r="AS638" s="418"/>
      <c r="AT638" s="418"/>
      <c r="AU638" s="418"/>
      <c r="AV638" s="418"/>
      <c r="AW638" s="418"/>
      <c r="AX638" s="418"/>
      <c r="AY638" s="418"/>
      <c r="AZ638" s="418"/>
      <c r="BA638" s="418"/>
    </row>
    <row r="639" spans="40:56" ht="15.75" customHeight="1">
      <c r="AN639" s="418"/>
      <c r="AO639" s="418"/>
      <c r="AP639" s="418"/>
      <c r="AQ639" s="418"/>
      <c r="AR639" s="418"/>
      <c r="AS639" s="418"/>
      <c r="AT639" s="418"/>
      <c r="AU639" s="418"/>
      <c r="AV639" s="418"/>
      <c r="AW639" s="418"/>
      <c r="AX639" s="418"/>
      <c r="AY639" s="418"/>
      <c r="AZ639" s="418"/>
      <c r="BA639" s="418"/>
    </row>
    <row r="640" spans="40:56" ht="15.75" customHeight="1">
      <c r="AN640" s="418"/>
      <c r="AO640" s="418"/>
      <c r="AP640" s="418"/>
      <c r="AQ640" s="418"/>
      <c r="AR640" s="418"/>
      <c r="AS640" s="418"/>
      <c r="AT640" s="418"/>
      <c r="AU640" s="418"/>
      <c r="AV640" s="418"/>
      <c r="AW640" s="418"/>
      <c r="AX640" s="418"/>
      <c r="AY640" s="418"/>
      <c r="AZ640" s="418"/>
      <c r="BA640" s="418"/>
    </row>
    <row r="641" spans="40:53" ht="15.75" customHeight="1">
      <c r="AN641" s="418"/>
      <c r="AO641" s="418"/>
      <c r="AP641" s="418"/>
      <c r="AQ641" s="418"/>
      <c r="AR641" s="418"/>
      <c r="AS641" s="418"/>
      <c r="AT641" s="418"/>
      <c r="AU641" s="418"/>
      <c r="AV641" s="418"/>
      <c r="AW641" s="418"/>
      <c r="AX641" s="418"/>
      <c r="AY641" s="418"/>
      <c r="AZ641" s="418"/>
      <c r="BA641" s="418"/>
    </row>
    <row r="642" spans="40:53" ht="15.75" customHeight="1">
      <c r="AN642" s="418"/>
      <c r="AO642" s="418"/>
      <c r="AP642" s="418"/>
      <c r="AQ642" s="418"/>
      <c r="AR642" s="418"/>
      <c r="AS642" s="418"/>
      <c r="AT642" s="418"/>
      <c r="AU642" s="418"/>
      <c r="AV642" s="418"/>
      <c r="AW642" s="418"/>
      <c r="AX642" s="418"/>
      <c r="AY642" s="418"/>
      <c r="AZ642" s="418"/>
      <c r="BA642" s="418"/>
    </row>
    <row r="643" spans="40:53" ht="15.75" customHeight="1">
      <c r="AN643" s="418"/>
      <c r="AO643" s="418"/>
      <c r="AP643" s="418"/>
      <c r="AQ643" s="418"/>
      <c r="AR643" s="418"/>
      <c r="AS643" s="418"/>
      <c r="AT643" s="418"/>
      <c r="AU643" s="418"/>
      <c r="AV643" s="418"/>
      <c r="AW643" s="418"/>
      <c r="AX643" s="418"/>
      <c r="AY643" s="418"/>
      <c r="AZ643" s="418"/>
      <c r="BA643" s="418"/>
    </row>
    <row r="644" spans="40:53" ht="15.75" customHeight="1">
      <c r="AN644" s="418"/>
      <c r="AO644" s="418"/>
      <c r="AP644" s="418"/>
      <c r="AQ644" s="418"/>
      <c r="AR644" s="418"/>
      <c r="AS644" s="418"/>
      <c r="AT644" s="418"/>
      <c r="AU644" s="418"/>
      <c r="AV644" s="418"/>
      <c r="AW644" s="418"/>
      <c r="AX644" s="418"/>
      <c r="AY644" s="418"/>
      <c r="AZ644" s="418"/>
      <c r="BA644" s="418"/>
    </row>
    <row r="645" spans="40:53" ht="15.75" customHeight="1">
      <c r="AN645" s="418"/>
      <c r="AO645" s="418"/>
      <c r="AP645" s="418"/>
      <c r="AQ645" s="418"/>
      <c r="AR645" s="418"/>
      <c r="AS645" s="418"/>
      <c r="AT645" s="418"/>
      <c r="AU645" s="418"/>
      <c r="AV645" s="418"/>
      <c r="AW645" s="418"/>
      <c r="AX645" s="418"/>
      <c r="AY645" s="418"/>
      <c r="AZ645" s="418"/>
      <c r="BA645" s="418"/>
    </row>
    <row r="646" spans="40:53" ht="15.75" customHeight="1">
      <c r="AN646" s="418"/>
      <c r="AO646" s="418"/>
      <c r="AP646" s="418"/>
      <c r="AQ646" s="418"/>
      <c r="AR646" s="418"/>
      <c r="AS646" s="418"/>
      <c r="AT646" s="418"/>
      <c r="AU646" s="418"/>
      <c r="AV646" s="418"/>
      <c r="AW646" s="418"/>
      <c r="AX646" s="418"/>
      <c r="AY646" s="418"/>
      <c r="AZ646" s="418"/>
      <c r="BA646" s="418"/>
    </row>
    <row r="647" spans="40:53" ht="15.75" customHeight="1">
      <c r="AN647" s="418"/>
      <c r="AO647" s="418"/>
      <c r="AP647" s="418"/>
      <c r="AQ647" s="418"/>
      <c r="AR647" s="418"/>
      <c r="AS647" s="418"/>
      <c r="AT647" s="418"/>
      <c r="AU647" s="418"/>
      <c r="AV647" s="418"/>
      <c r="AW647" s="418"/>
      <c r="AX647" s="418"/>
      <c r="AY647" s="418"/>
      <c r="AZ647" s="418"/>
      <c r="BA647" s="418"/>
    </row>
    <row r="648" spans="40:53" ht="15.75" customHeight="1">
      <c r="AN648" s="418"/>
      <c r="AO648" s="418"/>
      <c r="AP648" s="418"/>
      <c r="AQ648" s="418"/>
      <c r="AR648" s="418"/>
      <c r="AS648" s="418"/>
      <c r="AT648" s="418"/>
      <c r="AU648" s="418"/>
      <c r="AV648" s="418"/>
      <c r="AW648" s="418"/>
      <c r="AX648" s="418"/>
      <c r="AY648" s="418"/>
      <c r="AZ648" s="418"/>
      <c r="BA648" s="418"/>
    </row>
    <row r="649" spans="40:53" ht="15.75" customHeight="1">
      <c r="AN649" s="418"/>
      <c r="AO649" s="418"/>
      <c r="AP649" s="418"/>
      <c r="AQ649" s="418"/>
      <c r="AR649" s="418"/>
      <c r="AS649" s="418"/>
      <c r="AT649" s="418"/>
      <c r="AU649" s="418"/>
      <c r="AV649" s="418"/>
      <c r="AW649" s="418"/>
      <c r="AX649" s="418"/>
      <c r="AY649" s="418"/>
      <c r="AZ649" s="418"/>
      <c r="BA649" s="418"/>
    </row>
    <row r="650" spans="40:53" ht="15.75" customHeight="1">
      <c r="AN650" s="418"/>
      <c r="AO650" s="418"/>
      <c r="AP650" s="418"/>
      <c r="AQ650" s="418"/>
      <c r="AR650" s="418"/>
      <c r="AS650" s="418"/>
      <c r="AT650" s="418"/>
      <c r="AU650" s="418"/>
      <c r="AV650" s="418"/>
      <c r="AW650" s="418"/>
      <c r="AX650" s="418"/>
      <c r="AY650" s="418"/>
      <c r="AZ650" s="418"/>
      <c r="BA650" s="418"/>
    </row>
    <row r="651" spans="40:53" ht="15.75" customHeight="1">
      <c r="AN651" s="418"/>
      <c r="AO651" s="418"/>
      <c r="AP651" s="418"/>
      <c r="AQ651" s="418"/>
      <c r="AR651" s="418"/>
      <c r="AS651" s="418"/>
      <c r="AT651" s="418"/>
      <c r="AU651" s="418"/>
      <c r="AV651" s="418"/>
      <c r="AW651" s="418"/>
      <c r="AX651" s="418"/>
      <c r="AY651" s="418"/>
      <c r="AZ651" s="418"/>
      <c r="BA651" s="418"/>
    </row>
    <row r="652" spans="40:53" ht="15.75" customHeight="1">
      <c r="AN652" s="418"/>
      <c r="AO652" s="418"/>
      <c r="AP652" s="418"/>
      <c r="AQ652" s="418"/>
      <c r="AR652" s="418"/>
      <c r="AS652" s="418"/>
      <c r="AT652" s="418"/>
      <c r="AU652" s="418"/>
      <c r="AV652" s="418"/>
      <c r="AW652" s="418"/>
      <c r="AX652" s="418"/>
      <c r="AY652" s="418"/>
      <c r="AZ652" s="418"/>
      <c r="BA652" s="418"/>
    </row>
    <row r="653" spans="40:53" ht="15.75" customHeight="1">
      <c r="AN653" s="418"/>
      <c r="AO653" s="418"/>
      <c r="AP653" s="418"/>
      <c r="AQ653" s="418"/>
      <c r="AR653" s="418"/>
      <c r="AS653" s="418"/>
      <c r="AT653" s="418"/>
      <c r="AU653" s="418"/>
      <c r="AV653" s="418"/>
      <c r="AW653" s="418"/>
      <c r="AX653" s="418"/>
      <c r="AY653" s="418"/>
      <c r="AZ653" s="418"/>
      <c r="BA653" s="418"/>
    </row>
    <row r="654" spans="40:53" ht="15.75" customHeight="1">
      <c r="AN654" s="418"/>
      <c r="AO654" s="418"/>
      <c r="AP654" s="418"/>
      <c r="AQ654" s="418"/>
      <c r="AR654" s="418"/>
      <c r="AS654" s="418"/>
      <c r="AT654" s="418"/>
      <c r="AU654" s="418"/>
      <c r="AV654" s="418"/>
      <c r="AW654" s="418"/>
      <c r="AX654" s="418"/>
      <c r="AY654" s="418"/>
      <c r="AZ654" s="418"/>
      <c r="BA654" s="418"/>
    </row>
    <row r="655" spans="40:53" ht="15.75" customHeight="1">
      <c r="AN655" s="418"/>
      <c r="AO655" s="418"/>
      <c r="AP655" s="418"/>
      <c r="AQ655" s="418"/>
      <c r="AR655" s="418"/>
      <c r="AS655" s="418"/>
      <c r="AT655" s="418"/>
      <c r="AU655" s="418"/>
      <c r="AV655" s="418"/>
      <c r="AW655" s="418"/>
      <c r="AX655" s="418"/>
      <c r="AY655" s="418"/>
      <c r="AZ655" s="418"/>
      <c r="BA655" s="418"/>
    </row>
    <row r="656" spans="40:53" ht="15.75" customHeight="1">
      <c r="AN656" s="418"/>
      <c r="AO656" s="418"/>
      <c r="AP656" s="418"/>
      <c r="AQ656" s="418"/>
      <c r="AR656" s="418"/>
      <c r="AS656" s="418"/>
      <c r="AT656" s="418"/>
      <c r="AU656" s="418"/>
      <c r="AV656" s="418"/>
      <c r="AW656" s="418"/>
      <c r="AX656" s="418"/>
      <c r="AY656" s="418"/>
      <c r="AZ656" s="418"/>
      <c r="BA656" s="418"/>
    </row>
    <row r="657" spans="40:53" ht="15.75" customHeight="1">
      <c r="AN657" s="418"/>
      <c r="AO657" s="418"/>
      <c r="AP657" s="418"/>
      <c r="AQ657" s="418"/>
      <c r="AR657" s="418"/>
      <c r="AS657" s="418"/>
      <c r="AT657" s="418"/>
      <c r="AU657" s="418"/>
      <c r="AV657" s="418"/>
      <c r="AW657" s="418"/>
      <c r="AX657" s="418"/>
      <c r="AY657" s="418"/>
      <c r="AZ657" s="418"/>
      <c r="BA657" s="418"/>
    </row>
    <row r="658" spans="40:53" ht="15.75" customHeight="1">
      <c r="AN658" s="418"/>
      <c r="AO658" s="418"/>
      <c r="AP658" s="418"/>
      <c r="AQ658" s="418"/>
      <c r="AR658" s="418"/>
      <c r="AS658" s="418"/>
      <c r="AT658" s="418"/>
      <c r="AU658" s="418"/>
      <c r="AV658" s="418"/>
      <c r="AW658" s="418"/>
      <c r="AX658" s="418"/>
      <c r="AY658" s="418"/>
      <c r="AZ658" s="418"/>
      <c r="BA658" s="418"/>
    </row>
    <row r="659" spans="40:53" ht="15.75" customHeight="1">
      <c r="AN659" s="418"/>
      <c r="AO659" s="418"/>
      <c r="AP659" s="418"/>
      <c r="AQ659" s="418"/>
      <c r="AR659" s="418"/>
      <c r="AS659" s="418"/>
      <c r="AT659" s="418"/>
      <c r="AU659" s="418"/>
      <c r="AV659" s="418"/>
      <c r="AW659" s="418"/>
      <c r="AX659" s="418"/>
      <c r="AY659" s="418"/>
      <c r="AZ659" s="418"/>
      <c r="BA659" s="418"/>
    </row>
    <row r="660" spans="40:53" ht="15.75" customHeight="1">
      <c r="AN660" s="418"/>
      <c r="AO660" s="418"/>
      <c r="AP660" s="418"/>
      <c r="AQ660" s="418"/>
      <c r="AR660" s="418"/>
      <c r="AS660" s="418"/>
      <c r="AT660" s="418"/>
      <c r="AU660" s="418"/>
      <c r="AV660" s="418"/>
      <c r="AW660" s="418"/>
      <c r="AX660" s="418"/>
      <c r="AY660" s="418"/>
      <c r="AZ660" s="418"/>
      <c r="BA660" s="418"/>
    </row>
    <row r="661" spans="40:53" ht="15.75" customHeight="1">
      <c r="AN661" s="418"/>
      <c r="AO661" s="418"/>
      <c r="AP661" s="418"/>
      <c r="AQ661" s="418"/>
      <c r="AR661" s="418"/>
      <c r="AS661" s="418"/>
      <c r="AT661" s="418"/>
      <c r="AU661" s="418"/>
      <c r="AV661" s="418"/>
      <c r="AW661" s="418"/>
      <c r="AX661" s="418"/>
      <c r="AY661" s="418"/>
      <c r="AZ661" s="418"/>
      <c r="BA661" s="418"/>
    </row>
    <row r="662" spans="40:53" ht="15.75" customHeight="1">
      <c r="AN662" s="418"/>
      <c r="AO662" s="418"/>
      <c r="AP662" s="418"/>
      <c r="AQ662" s="418"/>
      <c r="AR662" s="418"/>
      <c r="AS662" s="418"/>
      <c r="AT662" s="418"/>
      <c r="AU662" s="418"/>
      <c r="AV662" s="418"/>
      <c r="AW662" s="418"/>
      <c r="AX662" s="418"/>
      <c r="AY662" s="418"/>
      <c r="AZ662" s="418"/>
      <c r="BA662" s="418"/>
    </row>
    <row r="663" spans="40:53" ht="15.75" customHeight="1">
      <c r="AN663" s="418"/>
      <c r="AO663" s="418"/>
      <c r="AP663" s="418"/>
      <c r="AQ663" s="418"/>
      <c r="AR663" s="418"/>
      <c r="AS663" s="418"/>
      <c r="AT663" s="418"/>
      <c r="AU663" s="418"/>
      <c r="AV663" s="418"/>
      <c r="AW663" s="418"/>
      <c r="AX663" s="418"/>
      <c r="AY663" s="418"/>
      <c r="AZ663" s="418"/>
      <c r="BA663" s="418"/>
    </row>
    <row r="664" spans="40:53" ht="15.75" customHeight="1">
      <c r="AN664" s="418"/>
      <c r="AO664" s="418"/>
      <c r="AP664" s="418"/>
      <c r="AQ664" s="418"/>
      <c r="AR664" s="418"/>
      <c r="AS664" s="418"/>
      <c r="AT664" s="418"/>
      <c r="AU664" s="418"/>
      <c r="AV664" s="418"/>
      <c r="AW664" s="418"/>
      <c r="AX664" s="418"/>
      <c r="AY664" s="418"/>
      <c r="AZ664" s="418"/>
      <c r="BA664" s="418"/>
    </row>
    <row r="665" spans="40:53" ht="15.75" customHeight="1">
      <c r="AN665" s="418"/>
      <c r="AO665" s="418"/>
      <c r="AP665" s="418"/>
      <c r="AQ665" s="418"/>
      <c r="AR665" s="418"/>
      <c r="AS665" s="418"/>
      <c r="AT665" s="418"/>
      <c r="AU665" s="418"/>
      <c r="AV665" s="418"/>
      <c r="AW665" s="418"/>
      <c r="AX665" s="418"/>
      <c r="AY665" s="418"/>
      <c r="AZ665" s="418"/>
      <c r="BA665" s="418"/>
    </row>
    <row r="666" spans="40:53" ht="15.75" customHeight="1">
      <c r="AN666" s="418"/>
      <c r="AO666" s="418"/>
      <c r="AP666" s="418"/>
      <c r="AQ666" s="418"/>
      <c r="AR666" s="418"/>
      <c r="AS666" s="418"/>
      <c r="AT666" s="418"/>
      <c r="AU666" s="418"/>
      <c r="AV666" s="418"/>
      <c r="AW666" s="418"/>
      <c r="AX666" s="418"/>
      <c r="AY666" s="418"/>
      <c r="AZ666" s="418"/>
      <c r="BA666" s="418"/>
    </row>
    <row r="667" spans="40:53" ht="15.75" customHeight="1">
      <c r="AN667" s="418"/>
      <c r="AO667" s="418"/>
      <c r="AP667" s="418"/>
      <c r="AQ667" s="418"/>
      <c r="AR667" s="418"/>
      <c r="AS667" s="418"/>
      <c r="AT667" s="418"/>
      <c r="AU667" s="418"/>
      <c r="AV667" s="418"/>
      <c r="AW667" s="418"/>
      <c r="AX667" s="418"/>
      <c r="AY667" s="418"/>
      <c r="AZ667" s="418"/>
      <c r="BA667" s="418"/>
    </row>
    <row r="668" spans="40:53" ht="15.75" customHeight="1">
      <c r="AN668" s="418"/>
      <c r="AO668" s="418"/>
      <c r="AP668" s="418"/>
      <c r="AQ668" s="418"/>
      <c r="AR668" s="418"/>
      <c r="AS668" s="418"/>
      <c r="AT668" s="418"/>
      <c r="AU668" s="418"/>
      <c r="AV668" s="418"/>
      <c r="AW668" s="418"/>
      <c r="AX668" s="418"/>
      <c r="AY668" s="418"/>
      <c r="AZ668" s="418"/>
      <c r="BA668" s="418"/>
    </row>
    <row r="669" spans="40:53" ht="15.75" customHeight="1">
      <c r="AN669" s="418"/>
      <c r="AO669" s="418"/>
      <c r="AP669" s="418"/>
      <c r="AQ669" s="418"/>
      <c r="AR669" s="418"/>
      <c r="AS669" s="418"/>
      <c r="AT669" s="418"/>
      <c r="AU669" s="418"/>
      <c r="AV669" s="418"/>
      <c r="AW669" s="418"/>
      <c r="AX669" s="418"/>
      <c r="AY669" s="418"/>
      <c r="AZ669" s="418"/>
      <c r="BA669" s="418"/>
    </row>
    <row r="670" spans="40:53" ht="15.75" customHeight="1">
      <c r="AN670" s="418"/>
      <c r="AO670" s="418"/>
      <c r="AP670" s="418"/>
      <c r="AQ670" s="418"/>
      <c r="AR670" s="418"/>
      <c r="AS670" s="418"/>
      <c r="AT670" s="418"/>
      <c r="AU670" s="418"/>
      <c r="AV670" s="418"/>
      <c r="AW670" s="418"/>
      <c r="AX670" s="418"/>
      <c r="AY670" s="418"/>
      <c r="AZ670" s="418"/>
      <c r="BA670" s="418"/>
    </row>
    <row r="671" spans="40:53" ht="15.75" customHeight="1">
      <c r="AN671" s="418"/>
      <c r="AO671" s="418"/>
      <c r="AP671" s="418"/>
      <c r="AQ671" s="418"/>
      <c r="AR671" s="418"/>
      <c r="AS671" s="418"/>
      <c r="AT671" s="418"/>
      <c r="AU671" s="418"/>
      <c r="AV671" s="418"/>
      <c r="AW671" s="418"/>
      <c r="AX671" s="418"/>
      <c r="AY671" s="418"/>
      <c r="AZ671" s="418"/>
      <c r="BA671" s="418"/>
    </row>
    <row r="672" spans="40:53" ht="15.75" customHeight="1">
      <c r="AN672" s="418"/>
      <c r="AO672" s="418"/>
      <c r="AP672" s="418"/>
      <c r="AQ672" s="418"/>
      <c r="AR672" s="418"/>
      <c r="AS672" s="418"/>
      <c r="AT672" s="418"/>
      <c r="AU672" s="418"/>
      <c r="AV672" s="418"/>
      <c r="AW672" s="418"/>
      <c r="AX672" s="418"/>
      <c r="AY672" s="418"/>
      <c r="AZ672" s="418"/>
      <c r="BA672" s="418"/>
    </row>
    <row r="673" spans="40:53" ht="15.75" customHeight="1">
      <c r="AN673" s="418"/>
      <c r="AO673" s="418"/>
      <c r="AP673" s="418"/>
      <c r="AQ673" s="418"/>
      <c r="AR673" s="418"/>
      <c r="AS673" s="418"/>
      <c r="AT673" s="418"/>
      <c r="AU673" s="418"/>
      <c r="AV673" s="418"/>
      <c r="AW673" s="418"/>
      <c r="AX673" s="418"/>
      <c r="AY673" s="418"/>
      <c r="AZ673" s="418"/>
      <c r="BA673" s="418"/>
    </row>
    <row r="674" spans="40:53" ht="15.75" customHeight="1">
      <c r="AN674" s="418"/>
      <c r="AO674" s="418"/>
      <c r="AP674" s="418"/>
      <c r="AQ674" s="418"/>
      <c r="AR674" s="418"/>
      <c r="AS674" s="418"/>
      <c r="AT674" s="418"/>
      <c r="AU674" s="418"/>
      <c r="AV674" s="418"/>
      <c r="AW674" s="418"/>
      <c r="AX674" s="418"/>
      <c r="AY674" s="418"/>
      <c r="AZ674" s="418"/>
      <c r="BA674" s="418"/>
    </row>
    <row r="675" spans="40:53" ht="15.75" customHeight="1">
      <c r="AN675" s="418"/>
      <c r="AO675" s="418"/>
      <c r="AP675" s="418"/>
      <c r="AQ675" s="418"/>
      <c r="AR675" s="418"/>
      <c r="AS675" s="418"/>
      <c r="AT675" s="418"/>
      <c r="AU675" s="418"/>
      <c r="AV675" s="418"/>
      <c r="AW675" s="418"/>
      <c r="AX675" s="418"/>
      <c r="AY675" s="418"/>
      <c r="AZ675" s="418"/>
      <c r="BA675" s="418"/>
    </row>
    <row r="676" spans="40:53" ht="15.75" customHeight="1">
      <c r="AN676" s="418"/>
      <c r="AO676" s="418"/>
      <c r="AP676" s="418"/>
      <c r="AQ676" s="418"/>
      <c r="AR676" s="418"/>
      <c r="AS676" s="418"/>
      <c r="AT676" s="418"/>
      <c r="AU676" s="418"/>
      <c r="AV676" s="418"/>
      <c r="AW676" s="418"/>
      <c r="AX676" s="418"/>
      <c r="AY676" s="418"/>
      <c r="AZ676" s="418"/>
      <c r="BA676" s="418"/>
    </row>
    <row r="677" spans="40:53" ht="15.75" customHeight="1">
      <c r="AN677" s="418"/>
      <c r="AO677" s="418"/>
      <c r="AP677" s="418"/>
      <c r="AQ677" s="418"/>
      <c r="AR677" s="418"/>
      <c r="AS677" s="418"/>
      <c r="AT677" s="418"/>
      <c r="AU677" s="418"/>
      <c r="AV677" s="418"/>
      <c r="AW677" s="418"/>
      <c r="AX677" s="418"/>
      <c r="AY677" s="418"/>
      <c r="AZ677" s="418"/>
      <c r="BA677" s="418"/>
    </row>
    <row r="678" spans="40:53" ht="15.75" customHeight="1">
      <c r="AN678" s="418"/>
      <c r="AO678" s="418"/>
      <c r="AP678" s="418"/>
      <c r="AQ678" s="418"/>
      <c r="AR678" s="418"/>
      <c r="AS678" s="418"/>
      <c r="AT678" s="418"/>
      <c r="AU678" s="418"/>
      <c r="AV678" s="418"/>
      <c r="AW678" s="418"/>
      <c r="AX678" s="418"/>
      <c r="AY678" s="418"/>
      <c r="AZ678" s="418"/>
      <c r="BA678" s="418"/>
    </row>
    <row r="679" spans="40:53" ht="15.75" customHeight="1">
      <c r="AN679" s="418"/>
      <c r="AO679" s="418"/>
      <c r="AP679" s="418"/>
      <c r="AQ679" s="418"/>
      <c r="AR679" s="418"/>
      <c r="AS679" s="418"/>
      <c r="AT679" s="418"/>
      <c r="AU679" s="418"/>
      <c r="AV679" s="418"/>
      <c r="AW679" s="418"/>
      <c r="AX679" s="418"/>
      <c r="AY679" s="418"/>
      <c r="AZ679" s="418"/>
      <c r="BA679" s="418"/>
    </row>
    <row r="680" spans="40:53" ht="15.75" customHeight="1">
      <c r="AN680" s="418"/>
      <c r="AO680" s="418"/>
      <c r="AP680" s="418"/>
      <c r="AQ680" s="418"/>
      <c r="AR680" s="418"/>
      <c r="AS680" s="418"/>
      <c r="AT680" s="418"/>
      <c r="AU680" s="418"/>
      <c r="AV680" s="418"/>
      <c r="AW680" s="418"/>
      <c r="AX680" s="418"/>
      <c r="AY680" s="418"/>
      <c r="AZ680" s="418"/>
      <c r="BA680" s="418"/>
    </row>
    <row r="681" spans="40:53" ht="15.75" customHeight="1">
      <c r="AN681" s="418"/>
      <c r="AO681" s="418"/>
      <c r="AP681" s="418"/>
      <c r="AQ681" s="418"/>
      <c r="AR681" s="418"/>
      <c r="AS681" s="418"/>
      <c r="AT681" s="418"/>
      <c r="AU681" s="418"/>
      <c r="AV681" s="418"/>
      <c r="AW681" s="418"/>
      <c r="AX681" s="418"/>
      <c r="AY681" s="418"/>
      <c r="AZ681" s="418"/>
      <c r="BA681" s="418"/>
    </row>
    <row r="682" spans="40:53" ht="15.75" customHeight="1">
      <c r="AN682" s="418"/>
      <c r="AO682" s="418"/>
      <c r="AP682" s="418"/>
      <c r="AQ682" s="418"/>
      <c r="AR682" s="418"/>
      <c r="AS682" s="418"/>
      <c r="AT682" s="418"/>
      <c r="AU682" s="418"/>
      <c r="AV682" s="418"/>
      <c r="AW682" s="418"/>
      <c r="AX682" s="418"/>
      <c r="AY682" s="418"/>
      <c r="AZ682" s="418"/>
      <c r="BA682" s="418"/>
    </row>
    <row r="683" spans="40:53" ht="15.75" customHeight="1">
      <c r="AN683" s="418"/>
      <c r="AO683" s="418"/>
      <c r="AP683" s="418"/>
      <c r="AQ683" s="418"/>
      <c r="AR683" s="418"/>
      <c r="AS683" s="418"/>
      <c r="AT683" s="418"/>
      <c r="AU683" s="418"/>
      <c r="AV683" s="418"/>
      <c r="AW683" s="418"/>
      <c r="AX683" s="418"/>
      <c r="AY683" s="418"/>
      <c r="AZ683" s="418"/>
      <c r="BA683" s="418"/>
    </row>
    <row r="684" spans="40:53" ht="15.75" customHeight="1">
      <c r="AN684" s="418"/>
      <c r="AO684" s="418"/>
      <c r="AP684" s="418"/>
      <c r="AQ684" s="418"/>
      <c r="AR684" s="418"/>
      <c r="AS684" s="418"/>
      <c r="AT684" s="418"/>
      <c r="AU684" s="418"/>
      <c r="AV684" s="418"/>
      <c r="AW684" s="418"/>
      <c r="AX684" s="418"/>
      <c r="AY684" s="418"/>
      <c r="AZ684" s="418"/>
      <c r="BA684" s="418"/>
    </row>
    <row r="685" spans="40:53" ht="15.75" customHeight="1">
      <c r="AN685" s="418"/>
      <c r="AO685" s="418"/>
      <c r="AP685" s="418"/>
      <c r="AQ685" s="418"/>
      <c r="AR685" s="418"/>
      <c r="AS685" s="418"/>
      <c r="AT685" s="418"/>
      <c r="AU685" s="418"/>
      <c r="AV685" s="418"/>
      <c r="AW685" s="418"/>
      <c r="AX685" s="418"/>
      <c r="AY685" s="418"/>
      <c r="AZ685" s="418"/>
      <c r="BA685" s="418"/>
    </row>
    <row r="686" spans="40:53" ht="15.75" customHeight="1">
      <c r="AN686" s="418"/>
      <c r="AO686" s="418"/>
      <c r="AP686" s="418"/>
      <c r="AQ686" s="418"/>
      <c r="AR686" s="418"/>
      <c r="AS686" s="418"/>
      <c r="AT686" s="418"/>
      <c r="AU686" s="418"/>
      <c r="AV686" s="418"/>
      <c r="AW686" s="418"/>
      <c r="AX686" s="418"/>
      <c r="AY686" s="418"/>
      <c r="AZ686" s="418"/>
      <c r="BA686" s="418"/>
    </row>
    <row r="687" spans="40:53" ht="15.75" customHeight="1">
      <c r="AN687" s="418"/>
      <c r="AO687" s="418"/>
      <c r="AP687" s="418"/>
      <c r="AQ687" s="418"/>
      <c r="AR687" s="418"/>
      <c r="AS687" s="418"/>
      <c r="AT687" s="418"/>
      <c r="AU687" s="418"/>
      <c r="AV687" s="418"/>
      <c r="AW687" s="418"/>
      <c r="AX687" s="418"/>
      <c r="AY687" s="418"/>
      <c r="AZ687" s="418"/>
      <c r="BA687" s="418"/>
    </row>
    <row r="688" spans="40:53" ht="15.75" customHeight="1">
      <c r="AN688" s="418"/>
      <c r="AO688" s="418"/>
      <c r="AP688" s="418"/>
      <c r="AQ688" s="418"/>
      <c r="AR688" s="418"/>
      <c r="AS688" s="418"/>
      <c r="AT688" s="418"/>
      <c r="AU688" s="418"/>
      <c r="AV688" s="418"/>
      <c r="AW688" s="418"/>
      <c r="AX688" s="418"/>
      <c r="AY688" s="418"/>
      <c r="AZ688" s="418"/>
      <c r="BA688" s="418"/>
    </row>
    <row r="689" spans="40:53" ht="15.75" customHeight="1">
      <c r="AN689" s="418"/>
      <c r="AO689" s="418"/>
      <c r="AP689" s="418"/>
      <c r="AQ689" s="418"/>
      <c r="AR689" s="418"/>
      <c r="AS689" s="418"/>
      <c r="AT689" s="418"/>
      <c r="AU689" s="418"/>
      <c r="AV689" s="418"/>
      <c r="AW689" s="418"/>
      <c r="AX689" s="418"/>
      <c r="AY689" s="418"/>
      <c r="AZ689" s="418"/>
      <c r="BA689" s="418"/>
    </row>
    <row r="690" spans="40:53" ht="15.75" customHeight="1">
      <c r="AN690" s="418"/>
      <c r="AO690" s="418"/>
      <c r="AP690" s="418"/>
      <c r="AQ690" s="418"/>
      <c r="AR690" s="418"/>
      <c r="AS690" s="418"/>
      <c r="AT690" s="418"/>
      <c r="AU690" s="418"/>
      <c r="AV690" s="418"/>
      <c r="AW690" s="418"/>
      <c r="AX690" s="418"/>
      <c r="AY690" s="418"/>
      <c r="AZ690" s="418"/>
      <c r="BA690" s="418"/>
    </row>
    <row r="691" spans="40:53" ht="15.75" customHeight="1">
      <c r="AN691" s="418"/>
      <c r="AO691" s="418"/>
      <c r="AP691" s="418"/>
      <c r="AQ691" s="418"/>
      <c r="AR691" s="418"/>
      <c r="AS691" s="418"/>
      <c r="AT691" s="418"/>
      <c r="AU691" s="418"/>
      <c r="AV691" s="418"/>
      <c r="AW691" s="418"/>
      <c r="AX691" s="418"/>
      <c r="AY691" s="418"/>
      <c r="AZ691" s="418"/>
      <c r="BA691" s="418"/>
    </row>
    <row r="692" spans="40:53" ht="15.75" customHeight="1">
      <c r="AN692" s="418"/>
      <c r="AO692" s="418"/>
      <c r="AP692" s="418"/>
      <c r="AQ692" s="418"/>
      <c r="AR692" s="418"/>
      <c r="AS692" s="418"/>
      <c r="AT692" s="418"/>
      <c r="AU692" s="418"/>
      <c r="AV692" s="418"/>
      <c r="AW692" s="418"/>
      <c r="AX692" s="418"/>
      <c r="AY692" s="418"/>
      <c r="AZ692" s="418"/>
      <c r="BA692" s="418"/>
    </row>
    <row r="693" spans="40:53" ht="15.75" customHeight="1">
      <c r="AN693" s="418"/>
      <c r="AO693" s="418"/>
      <c r="AP693" s="418"/>
      <c r="AQ693" s="418"/>
      <c r="AR693" s="418"/>
      <c r="AS693" s="418"/>
      <c r="AT693" s="418"/>
      <c r="AU693" s="418"/>
      <c r="AV693" s="418"/>
      <c r="AW693" s="418"/>
      <c r="AX693" s="418"/>
      <c r="AY693" s="418"/>
      <c r="AZ693" s="418"/>
      <c r="BA693" s="418"/>
    </row>
    <row r="694" spans="40:53" ht="15.75" customHeight="1">
      <c r="AN694" s="418"/>
      <c r="AO694" s="418"/>
      <c r="AP694" s="418"/>
      <c r="AQ694" s="418"/>
      <c r="AR694" s="418"/>
      <c r="AS694" s="418"/>
      <c r="AT694" s="418"/>
      <c r="AU694" s="418"/>
      <c r="AV694" s="418"/>
      <c r="AW694" s="418"/>
      <c r="AX694" s="418"/>
      <c r="AY694" s="418"/>
      <c r="AZ694" s="418"/>
      <c r="BA694" s="418"/>
    </row>
    <row r="695" spans="40:53" ht="15.75" customHeight="1">
      <c r="AN695" s="418"/>
      <c r="AO695" s="418"/>
      <c r="AP695" s="418"/>
      <c r="AQ695" s="418"/>
      <c r="AR695" s="418"/>
      <c r="AS695" s="418"/>
      <c r="AT695" s="418"/>
      <c r="AU695" s="418"/>
      <c r="AV695" s="418"/>
      <c r="AW695" s="418"/>
      <c r="AX695" s="418"/>
      <c r="AY695" s="418"/>
      <c r="AZ695" s="418"/>
      <c r="BA695" s="418"/>
    </row>
    <row r="696" spans="40:53" ht="15.75" customHeight="1">
      <c r="AN696" s="418"/>
      <c r="AO696" s="418"/>
      <c r="AP696" s="418"/>
      <c r="AQ696" s="418"/>
      <c r="AR696" s="418"/>
      <c r="AS696" s="418"/>
      <c r="AT696" s="418"/>
      <c r="AU696" s="418"/>
      <c r="AV696" s="418"/>
      <c r="AW696" s="418"/>
      <c r="AX696" s="418"/>
      <c r="AY696" s="418"/>
      <c r="AZ696" s="418"/>
      <c r="BA696" s="418"/>
    </row>
    <row r="697" spans="40:53" ht="15.75" customHeight="1">
      <c r="AN697" s="418"/>
      <c r="AO697" s="418"/>
      <c r="AP697" s="418"/>
      <c r="AQ697" s="418"/>
      <c r="AR697" s="418"/>
      <c r="AS697" s="418"/>
      <c r="AT697" s="418"/>
      <c r="AU697" s="418"/>
      <c r="AV697" s="418"/>
      <c r="AW697" s="418"/>
      <c r="AX697" s="418"/>
      <c r="AY697" s="418"/>
      <c r="AZ697" s="418"/>
      <c r="BA697" s="418"/>
    </row>
    <row r="698" spans="40:53" ht="15.75" customHeight="1">
      <c r="AN698" s="418"/>
      <c r="AO698" s="418"/>
      <c r="AP698" s="418"/>
      <c r="AQ698" s="418"/>
      <c r="AR698" s="418"/>
      <c r="AS698" s="418"/>
      <c r="AT698" s="418"/>
      <c r="AU698" s="418"/>
      <c r="AV698" s="418"/>
      <c r="AW698" s="418"/>
      <c r="AX698" s="418"/>
      <c r="AY698" s="418"/>
      <c r="AZ698" s="418"/>
      <c r="BA698" s="418"/>
    </row>
    <row r="699" spans="40:53" ht="15.75" customHeight="1">
      <c r="AN699" s="418"/>
      <c r="AO699" s="418"/>
      <c r="AP699" s="418"/>
      <c r="AQ699" s="418"/>
      <c r="AR699" s="418"/>
      <c r="AS699" s="418"/>
      <c r="AT699" s="418"/>
      <c r="AU699" s="418"/>
      <c r="AV699" s="418"/>
      <c r="AW699" s="418"/>
      <c r="AX699" s="418"/>
      <c r="AY699" s="418"/>
      <c r="AZ699" s="418"/>
      <c r="BA699" s="418"/>
    </row>
    <row r="700" spans="40:53" ht="15.75" customHeight="1">
      <c r="AN700" s="418"/>
      <c r="AO700" s="418"/>
      <c r="AP700" s="418"/>
      <c r="AQ700" s="418"/>
      <c r="AR700" s="418"/>
      <c r="AS700" s="418"/>
      <c r="AT700" s="418"/>
      <c r="AU700" s="418"/>
      <c r="AV700" s="418"/>
      <c r="AW700" s="418"/>
      <c r="AX700" s="418"/>
      <c r="AY700" s="418"/>
      <c r="AZ700" s="418"/>
      <c r="BA700" s="418"/>
    </row>
    <row r="701" spans="40:53" ht="15.75" customHeight="1">
      <c r="AN701" s="418"/>
      <c r="AO701" s="418"/>
      <c r="AP701" s="418"/>
      <c r="AQ701" s="418"/>
      <c r="AR701" s="418"/>
      <c r="AS701" s="418"/>
      <c r="AT701" s="418"/>
      <c r="AU701" s="418"/>
      <c r="AV701" s="418"/>
      <c r="AW701" s="418"/>
      <c r="AX701" s="418"/>
      <c r="AY701" s="418"/>
      <c r="AZ701" s="418"/>
      <c r="BA701" s="418"/>
    </row>
    <row r="702" spans="40:53" ht="15.75" customHeight="1">
      <c r="AN702" s="418"/>
      <c r="AO702" s="418"/>
      <c r="AP702" s="418"/>
      <c r="AQ702" s="418"/>
      <c r="AR702" s="418"/>
      <c r="AS702" s="418"/>
      <c r="AT702" s="418"/>
      <c r="AU702" s="418"/>
      <c r="AV702" s="418"/>
      <c r="AW702" s="418"/>
      <c r="AX702" s="418"/>
      <c r="AY702" s="418"/>
      <c r="AZ702" s="418"/>
      <c r="BA702" s="418"/>
    </row>
    <row r="703" spans="40:53" ht="15.75" customHeight="1">
      <c r="AN703" s="418"/>
      <c r="AO703" s="418"/>
      <c r="AP703" s="418"/>
      <c r="AQ703" s="418"/>
      <c r="AR703" s="418"/>
      <c r="AS703" s="418"/>
      <c r="AT703" s="418"/>
      <c r="AU703" s="418"/>
      <c r="AV703" s="418"/>
      <c r="AW703" s="418"/>
      <c r="AX703" s="418"/>
      <c r="AY703" s="418"/>
      <c r="AZ703" s="418"/>
      <c r="BA703" s="418"/>
    </row>
    <row r="704" spans="40:53" ht="15.75" customHeight="1">
      <c r="AN704" s="418"/>
      <c r="AO704" s="418"/>
      <c r="AP704" s="418"/>
      <c r="AQ704" s="418"/>
      <c r="AR704" s="418"/>
      <c r="AS704" s="418"/>
      <c r="AT704" s="418"/>
      <c r="AU704" s="418"/>
      <c r="AV704" s="418"/>
      <c r="AW704" s="418"/>
      <c r="AX704" s="418"/>
      <c r="AY704" s="418"/>
      <c r="AZ704" s="418"/>
      <c r="BA704" s="418"/>
    </row>
    <row r="705" spans="40:53" ht="15.75" customHeight="1">
      <c r="AN705" s="418"/>
      <c r="AO705" s="418"/>
      <c r="AP705" s="418"/>
      <c r="AQ705" s="418"/>
      <c r="AR705" s="418"/>
      <c r="AS705" s="418"/>
      <c r="AT705" s="418"/>
      <c r="AU705" s="418"/>
      <c r="AV705" s="418"/>
      <c r="AW705" s="418"/>
      <c r="AX705" s="418"/>
      <c r="AY705" s="418"/>
      <c r="AZ705" s="418"/>
      <c r="BA705" s="418"/>
    </row>
    <row r="706" spans="40:53" ht="15.75" customHeight="1">
      <c r="AN706" s="418"/>
      <c r="AO706" s="418"/>
      <c r="AP706" s="418"/>
      <c r="AQ706" s="418"/>
      <c r="AR706" s="418"/>
      <c r="AS706" s="418"/>
      <c r="AT706" s="418"/>
      <c r="AU706" s="418"/>
      <c r="AV706" s="418"/>
      <c r="AW706" s="418"/>
      <c r="AX706" s="418"/>
      <c r="AY706" s="418"/>
      <c r="AZ706" s="418"/>
      <c r="BA706" s="418"/>
    </row>
    <row r="707" spans="40:53" ht="15.75" customHeight="1">
      <c r="AN707" s="418"/>
      <c r="AO707" s="418"/>
      <c r="AP707" s="418"/>
      <c r="AQ707" s="418"/>
      <c r="AR707" s="418"/>
      <c r="AS707" s="418"/>
      <c r="AT707" s="418"/>
      <c r="AU707" s="418"/>
      <c r="AV707" s="418"/>
      <c r="AW707" s="418"/>
      <c r="AX707" s="418"/>
      <c r="AY707" s="418"/>
      <c r="AZ707" s="418"/>
      <c r="BA707" s="418"/>
    </row>
    <row r="708" spans="40:53" ht="15.75" customHeight="1">
      <c r="AN708" s="418"/>
      <c r="AO708" s="418"/>
      <c r="AP708" s="418"/>
      <c r="AQ708" s="418"/>
      <c r="AR708" s="418"/>
      <c r="AS708" s="418"/>
      <c r="AT708" s="418"/>
      <c r="AU708" s="418"/>
      <c r="AV708" s="418"/>
      <c r="AW708" s="418"/>
      <c r="AX708" s="418"/>
      <c r="AY708" s="418"/>
      <c r="AZ708" s="418"/>
      <c r="BA708" s="418"/>
    </row>
    <row r="709" spans="40:53" ht="15.75" customHeight="1">
      <c r="AN709" s="418"/>
      <c r="AO709" s="418"/>
      <c r="AP709" s="418"/>
      <c r="AQ709" s="418"/>
      <c r="AR709" s="418"/>
      <c r="AS709" s="418"/>
      <c r="AT709" s="418"/>
      <c r="AU709" s="418"/>
      <c r="AV709" s="418"/>
      <c r="AW709" s="418"/>
      <c r="AX709" s="418"/>
      <c r="AY709" s="418"/>
      <c r="AZ709" s="418"/>
      <c r="BA709" s="418"/>
    </row>
    <row r="710" spans="40:53" ht="15.75" customHeight="1">
      <c r="AN710" s="418"/>
      <c r="AO710" s="418"/>
      <c r="AP710" s="418"/>
      <c r="AQ710" s="418"/>
      <c r="AR710" s="418"/>
      <c r="AS710" s="418"/>
      <c r="AT710" s="418"/>
      <c r="AU710" s="418"/>
      <c r="AV710" s="418"/>
      <c r="AW710" s="418"/>
      <c r="AX710" s="418"/>
      <c r="AY710" s="418"/>
      <c r="AZ710" s="418"/>
      <c r="BA710" s="418"/>
    </row>
    <row r="711" spans="40:53" ht="15.75" customHeight="1">
      <c r="AN711" s="418"/>
      <c r="AO711" s="418"/>
      <c r="AP711" s="418"/>
      <c r="AQ711" s="418"/>
      <c r="AR711" s="418"/>
      <c r="AS711" s="418"/>
      <c r="AT711" s="418"/>
      <c r="AU711" s="418"/>
      <c r="AV711" s="418"/>
      <c r="AW711" s="418"/>
      <c r="AX711" s="418"/>
      <c r="AY711" s="418"/>
      <c r="AZ711" s="418"/>
      <c r="BA711" s="418"/>
    </row>
    <row r="712" spans="40:53" ht="15.75" customHeight="1">
      <c r="AN712" s="418"/>
      <c r="AO712" s="418"/>
      <c r="AP712" s="418"/>
      <c r="AQ712" s="418"/>
      <c r="AR712" s="418"/>
      <c r="AS712" s="418"/>
      <c r="AT712" s="418"/>
      <c r="AU712" s="418"/>
      <c r="AV712" s="418"/>
      <c r="AW712" s="418"/>
      <c r="AX712" s="418"/>
      <c r="AY712" s="418"/>
      <c r="AZ712" s="418"/>
      <c r="BA712" s="418"/>
    </row>
    <row r="713" spans="40:53" ht="15.75" customHeight="1">
      <c r="AN713" s="418"/>
      <c r="AO713" s="418"/>
      <c r="AP713" s="418"/>
      <c r="AQ713" s="418"/>
      <c r="AR713" s="418"/>
      <c r="AS713" s="418"/>
      <c r="AT713" s="418"/>
      <c r="AU713" s="418"/>
      <c r="AV713" s="418"/>
      <c r="AW713" s="418"/>
      <c r="AX713" s="418"/>
      <c r="AY713" s="418"/>
      <c r="AZ713" s="418"/>
      <c r="BA713" s="418"/>
    </row>
    <row r="714" spans="40:53" ht="15.75" customHeight="1">
      <c r="AN714" s="418"/>
      <c r="AO714" s="418"/>
      <c r="AP714" s="418"/>
      <c r="AQ714" s="418"/>
      <c r="AR714" s="418"/>
      <c r="AS714" s="418"/>
      <c r="AT714" s="418"/>
      <c r="AU714" s="418"/>
      <c r="AV714" s="418"/>
      <c r="AW714" s="418"/>
      <c r="AX714" s="418"/>
      <c r="AY714" s="418"/>
      <c r="AZ714" s="418"/>
      <c r="BA714" s="418"/>
    </row>
    <row r="715" spans="40:53" ht="15.75" customHeight="1">
      <c r="AN715" s="418"/>
      <c r="AO715" s="418"/>
      <c r="AP715" s="418"/>
      <c r="AQ715" s="418"/>
      <c r="AR715" s="418"/>
      <c r="AS715" s="418"/>
      <c r="AT715" s="418"/>
      <c r="AU715" s="418"/>
      <c r="AV715" s="418"/>
      <c r="AW715" s="418"/>
      <c r="AX715" s="418"/>
      <c r="AY715" s="418"/>
      <c r="AZ715" s="418"/>
      <c r="BA715" s="418"/>
    </row>
    <row r="716" spans="40:53" ht="15.75" customHeight="1">
      <c r="AN716" s="418"/>
      <c r="AO716" s="418"/>
      <c r="AP716" s="418"/>
      <c r="AQ716" s="418"/>
      <c r="AR716" s="418"/>
      <c r="AS716" s="418"/>
      <c r="AT716" s="418"/>
      <c r="AU716" s="418"/>
      <c r="AV716" s="418"/>
      <c r="AW716" s="418"/>
      <c r="AX716" s="418"/>
      <c r="AY716" s="418"/>
      <c r="AZ716" s="418"/>
      <c r="BA716" s="418"/>
    </row>
    <row r="717" spans="40:53" ht="15.75" customHeight="1">
      <c r="AN717" s="418"/>
      <c r="AO717" s="418"/>
      <c r="AP717" s="418"/>
      <c r="AQ717" s="418"/>
      <c r="AR717" s="418"/>
      <c r="AS717" s="418"/>
      <c r="AT717" s="418"/>
      <c r="AU717" s="418"/>
      <c r="AV717" s="418"/>
      <c r="AW717" s="418"/>
      <c r="AX717" s="418"/>
      <c r="AY717" s="418"/>
      <c r="AZ717" s="418"/>
      <c r="BA717" s="418"/>
    </row>
    <row r="718" spans="40:53" ht="15.75" customHeight="1">
      <c r="AN718" s="418"/>
      <c r="AO718" s="418"/>
      <c r="AP718" s="418"/>
      <c r="AQ718" s="418"/>
      <c r="AR718" s="418"/>
      <c r="AS718" s="418"/>
      <c r="AT718" s="418"/>
      <c r="AU718" s="418"/>
      <c r="AV718" s="418"/>
      <c r="AW718" s="418"/>
      <c r="AX718" s="418"/>
      <c r="AY718" s="418"/>
      <c r="AZ718" s="418"/>
      <c r="BA718" s="418"/>
    </row>
    <row r="719" spans="40:53" ht="15.75" customHeight="1">
      <c r="AN719" s="418"/>
      <c r="AO719" s="418"/>
      <c r="AP719" s="418"/>
      <c r="AQ719" s="418"/>
      <c r="AR719" s="418"/>
      <c r="AS719" s="418"/>
      <c r="AT719" s="418"/>
      <c r="AU719" s="418"/>
      <c r="AV719" s="418"/>
      <c r="AW719" s="418"/>
      <c r="AX719" s="418"/>
      <c r="AY719" s="418"/>
      <c r="AZ719" s="418"/>
      <c r="BA719" s="418"/>
    </row>
    <row r="720" spans="40:53" ht="15.75" customHeight="1">
      <c r="AN720" s="418"/>
      <c r="AO720" s="418"/>
      <c r="AP720" s="418"/>
      <c r="AQ720" s="418"/>
      <c r="AR720" s="418"/>
      <c r="AS720" s="418"/>
      <c r="AT720" s="418"/>
      <c r="AU720" s="418"/>
      <c r="AV720" s="418"/>
      <c r="AW720" s="418"/>
      <c r="AX720" s="418"/>
      <c r="AY720" s="418"/>
      <c r="AZ720" s="418"/>
      <c r="BA720" s="418"/>
    </row>
    <row r="721" spans="40:53" ht="15.75" customHeight="1">
      <c r="AN721" s="418"/>
      <c r="AO721" s="418"/>
      <c r="AP721" s="418"/>
      <c r="AQ721" s="418"/>
      <c r="AR721" s="418"/>
      <c r="AS721" s="418"/>
      <c r="AT721" s="418"/>
      <c r="AU721" s="418"/>
      <c r="AV721" s="418"/>
      <c r="AW721" s="418"/>
      <c r="AX721" s="418"/>
      <c r="AY721" s="418"/>
      <c r="AZ721" s="418"/>
      <c r="BA721" s="418"/>
    </row>
    <row r="722" spans="40:53" ht="15.75" customHeight="1">
      <c r="AN722" s="418"/>
      <c r="AO722" s="418"/>
      <c r="AP722" s="418"/>
      <c r="AQ722" s="418"/>
      <c r="AR722" s="418"/>
      <c r="AS722" s="418"/>
      <c r="AT722" s="418"/>
      <c r="AU722" s="418"/>
      <c r="AV722" s="418"/>
      <c r="AW722" s="418"/>
      <c r="AX722" s="418"/>
      <c r="AY722" s="418"/>
      <c r="AZ722" s="418"/>
      <c r="BA722" s="418"/>
    </row>
    <row r="723" spans="40:53" ht="15.75" customHeight="1">
      <c r="AN723" s="418"/>
      <c r="AO723" s="418"/>
      <c r="AP723" s="418"/>
      <c r="AQ723" s="418"/>
      <c r="AR723" s="418"/>
      <c r="AS723" s="418"/>
      <c r="AT723" s="418"/>
      <c r="AU723" s="418"/>
      <c r="AV723" s="418"/>
      <c r="AW723" s="418"/>
      <c r="AX723" s="418"/>
      <c r="AY723" s="418"/>
      <c r="AZ723" s="418"/>
      <c r="BA723" s="418"/>
    </row>
    <row r="724" spans="40:53" ht="15.75" customHeight="1">
      <c r="AN724" s="418"/>
      <c r="AO724" s="418"/>
      <c r="AP724" s="418"/>
      <c r="AQ724" s="418"/>
      <c r="AR724" s="418"/>
      <c r="AS724" s="418"/>
      <c r="AT724" s="418"/>
      <c r="AU724" s="418"/>
      <c r="AV724" s="418"/>
      <c r="AW724" s="418"/>
      <c r="AX724" s="418"/>
      <c r="AY724" s="418"/>
      <c r="AZ724" s="418"/>
      <c r="BA724" s="418"/>
    </row>
    <row r="725" spans="40:53" ht="15.75" customHeight="1">
      <c r="AN725" s="418"/>
      <c r="AO725" s="418"/>
      <c r="AP725" s="418"/>
      <c r="AQ725" s="418"/>
      <c r="AR725" s="418"/>
      <c r="AS725" s="418"/>
      <c r="AT725" s="418"/>
      <c r="AU725" s="418"/>
      <c r="AV725" s="418"/>
      <c r="AW725" s="418"/>
      <c r="AX725" s="418"/>
      <c r="AY725" s="418"/>
      <c r="AZ725" s="418"/>
      <c r="BA725" s="418"/>
    </row>
    <row r="726" spans="40:53" ht="15.75" customHeight="1">
      <c r="AN726" s="418"/>
      <c r="AO726" s="418"/>
      <c r="AP726" s="418"/>
      <c r="AQ726" s="418"/>
      <c r="AR726" s="418"/>
      <c r="AS726" s="418"/>
      <c r="AT726" s="418"/>
      <c r="AU726" s="418"/>
      <c r="AV726" s="418"/>
      <c r="AW726" s="418"/>
      <c r="AX726" s="418"/>
      <c r="AY726" s="418"/>
      <c r="AZ726" s="418"/>
      <c r="BA726" s="418"/>
    </row>
    <row r="727" spans="40:53" ht="15.75" customHeight="1">
      <c r="AN727" s="418"/>
      <c r="AO727" s="418"/>
      <c r="AP727" s="418"/>
      <c r="AQ727" s="418"/>
      <c r="AR727" s="418"/>
      <c r="AS727" s="418"/>
      <c r="AT727" s="418"/>
      <c r="AU727" s="418"/>
      <c r="AV727" s="418"/>
      <c r="AW727" s="418"/>
      <c r="AX727" s="418"/>
      <c r="AY727" s="418"/>
      <c r="AZ727" s="418"/>
      <c r="BA727" s="418"/>
    </row>
    <row r="728" spans="40:53" ht="15.75" customHeight="1">
      <c r="AN728" s="418"/>
      <c r="AO728" s="418"/>
      <c r="AP728" s="418"/>
      <c r="AQ728" s="418"/>
      <c r="AR728" s="418"/>
      <c r="AS728" s="418"/>
      <c r="AT728" s="418"/>
      <c r="AU728" s="418"/>
      <c r="AV728" s="418"/>
      <c r="AW728" s="418"/>
      <c r="AX728" s="418"/>
      <c r="AY728" s="418"/>
      <c r="AZ728" s="418"/>
      <c r="BA728" s="418"/>
    </row>
    <row r="729" spans="40:53" ht="15.75" customHeight="1">
      <c r="AN729" s="418"/>
      <c r="AO729" s="418"/>
      <c r="AP729" s="418"/>
      <c r="AQ729" s="418"/>
      <c r="AR729" s="418"/>
      <c r="AS729" s="418"/>
      <c r="AT729" s="418"/>
      <c r="AU729" s="418"/>
      <c r="AV729" s="418"/>
      <c r="AW729" s="418"/>
      <c r="AX729" s="418"/>
      <c r="AY729" s="418"/>
      <c r="AZ729" s="418"/>
      <c r="BA729" s="418"/>
    </row>
    <row r="730" spans="40:53" ht="15.75" customHeight="1">
      <c r="AN730" s="418"/>
      <c r="AO730" s="418"/>
      <c r="AP730" s="418"/>
      <c r="AQ730" s="418"/>
      <c r="AR730" s="418"/>
      <c r="AS730" s="418"/>
      <c r="AT730" s="418"/>
      <c r="AU730" s="418"/>
      <c r="AV730" s="418"/>
      <c r="AW730" s="418"/>
      <c r="AX730" s="418"/>
      <c r="AY730" s="418"/>
      <c r="AZ730" s="418"/>
      <c r="BA730" s="418"/>
    </row>
    <row r="731" spans="40:53" ht="15.75" customHeight="1">
      <c r="AN731" s="418"/>
      <c r="AO731" s="418"/>
      <c r="AP731" s="418"/>
      <c r="AQ731" s="418"/>
      <c r="AR731" s="418"/>
      <c r="AS731" s="418"/>
      <c r="AT731" s="418"/>
      <c r="AU731" s="418"/>
      <c r="AV731" s="418"/>
      <c r="AW731" s="418"/>
      <c r="AX731" s="418"/>
      <c r="AY731" s="418"/>
      <c r="AZ731" s="418"/>
      <c r="BA731" s="418"/>
    </row>
    <row r="732" spans="40:53" ht="15.75" customHeight="1">
      <c r="AN732" s="418"/>
      <c r="AO732" s="418"/>
      <c r="AP732" s="418"/>
      <c r="AQ732" s="418"/>
      <c r="AR732" s="418"/>
      <c r="AS732" s="418"/>
      <c r="AT732" s="418"/>
      <c r="AU732" s="418"/>
      <c r="AV732" s="418"/>
      <c r="AW732" s="418"/>
      <c r="AX732" s="418"/>
      <c r="AY732" s="418"/>
      <c r="AZ732" s="418"/>
      <c r="BA732" s="418"/>
    </row>
    <row r="733" spans="40:53" ht="15.75" customHeight="1">
      <c r="AN733" s="418"/>
      <c r="AO733" s="418"/>
      <c r="AP733" s="418"/>
      <c r="AQ733" s="418"/>
      <c r="AR733" s="418"/>
      <c r="AS733" s="418"/>
      <c r="AT733" s="418"/>
      <c r="AU733" s="418"/>
      <c r="AV733" s="418"/>
      <c r="AW733" s="418"/>
      <c r="AX733" s="418"/>
      <c r="AY733" s="418"/>
      <c r="AZ733" s="418"/>
      <c r="BA733" s="418"/>
    </row>
    <row r="734" spans="40:53" ht="15.75" customHeight="1">
      <c r="AN734" s="418"/>
      <c r="AO734" s="418"/>
      <c r="AP734" s="418"/>
      <c r="AQ734" s="418"/>
      <c r="AR734" s="418"/>
      <c r="AS734" s="418"/>
      <c r="AT734" s="418"/>
      <c r="AU734" s="418"/>
      <c r="AV734" s="418"/>
      <c r="AW734" s="418"/>
      <c r="AX734" s="418"/>
      <c r="AY734" s="418"/>
      <c r="AZ734" s="418"/>
      <c r="BA734" s="418"/>
    </row>
    <row r="735" spans="40:53" ht="15.75" customHeight="1">
      <c r="AN735" s="418"/>
      <c r="AO735" s="418"/>
      <c r="AP735" s="418"/>
      <c r="AQ735" s="418"/>
      <c r="AR735" s="418"/>
      <c r="AS735" s="418"/>
      <c r="AT735" s="418"/>
      <c r="AU735" s="418"/>
      <c r="AV735" s="418"/>
      <c r="AW735" s="418"/>
      <c r="AX735" s="418"/>
      <c r="AY735" s="418"/>
      <c r="AZ735" s="418"/>
      <c r="BA735" s="418"/>
    </row>
    <row r="736" spans="40:53" ht="15.75" customHeight="1">
      <c r="AN736" s="418"/>
      <c r="AO736" s="418"/>
      <c r="AP736" s="418"/>
      <c r="AQ736" s="418"/>
      <c r="AR736" s="418"/>
      <c r="AS736" s="418"/>
      <c r="AT736" s="418"/>
      <c r="AU736" s="418"/>
      <c r="AV736" s="418"/>
      <c r="AW736" s="418"/>
      <c r="AX736" s="418"/>
      <c r="AY736" s="418"/>
      <c r="AZ736" s="418"/>
      <c r="BA736" s="418"/>
    </row>
    <row r="737" spans="40:53" ht="15.75" customHeight="1">
      <c r="AN737" s="418"/>
      <c r="AO737" s="418"/>
      <c r="AP737" s="418"/>
      <c r="AQ737" s="418"/>
      <c r="AR737" s="418"/>
      <c r="AS737" s="418"/>
      <c r="AT737" s="418"/>
      <c r="AU737" s="418"/>
      <c r="AV737" s="418"/>
      <c r="AW737" s="418"/>
      <c r="AX737" s="418"/>
      <c r="AY737" s="418"/>
      <c r="AZ737" s="418"/>
      <c r="BA737" s="418"/>
    </row>
    <row r="738" spans="40:53" ht="15.75" customHeight="1">
      <c r="AN738" s="418"/>
      <c r="AO738" s="418"/>
      <c r="AP738" s="418"/>
      <c r="AQ738" s="418"/>
      <c r="AR738" s="418"/>
      <c r="AS738" s="418"/>
      <c r="AT738" s="418"/>
      <c r="AU738" s="418"/>
      <c r="AV738" s="418"/>
      <c r="AW738" s="418"/>
      <c r="AX738" s="418"/>
      <c r="AY738" s="418"/>
      <c r="AZ738" s="418"/>
      <c r="BA738" s="418"/>
    </row>
    <row r="739" spans="40:53" ht="15.75" customHeight="1">
      <c r="AN739" s="418"/>
      <c r="AO739" s="418"/>
      <c r="AP739" s="418"/>
      <c r="AQ739" s="418"/>
      <c r="AR739" s="418"/>
      <c r="AS739" s="418"/>
      <c r="AT739" s="418"/>
      <c r="AU739" s="418"/>
      <c r="AV739" s="418"/>
      <c r="AW739" s="418"/>
      <c r="AX739" s="418"/>
      <c r="AY739" s="418"/>
      <c r="AZ739" s="418"/>
      <c r="BA739" s="418"/>
    </row>
    <row r="740" spans="40:53" ht="15.75" customHeight="1">
      <c r="AN740" s="418"/>
      <c r="AO740" s="418"/>
      <c r="AP740" s="418"/>
      <c r="AQ740" s="418"/>
      <c r="AR740" s="418"/>
      <c r="AS740" s="418"/>
      <c r="AT740" s="418"/>
      <c r="AU740" s="418"/>
      <c r="AV740" s="418"/>
      <c r="AW740" s="418"/>
      <c r="AX740" s="418"/>
      <c r="AY740" s="418"/>
      <c r="AZ740" s="418"/>
      <c r="BA740" s="418"/>
    </row>
    <row r="741" spans="40:53" ht="15.75" customHeight="1">
      <c r="AN741" s="418"/>
      <c r="AO741" s="418"/>
      <c r="AP741" s="418"/>
      <c r="AQ741" s="418"/>
      <c r="AR741" s="418"/>
      <c r="AS741" s="418"/>
      <c r="AT741" s="418"/>
      <c r="AU741" s="418"/>
      <c r="AV741" s="418"/>
      <c r="AW741" s="418"/>
      <c r="AX741" s="418"/>
      <c r="AY741" s="418"/>
      <c r="AZ741" s="418"/>
      <c r="BA741" s="418"/>
    </row>
    <row r="742" spans="40:53" ht="15.75" customHeight="1">
      <c r="AN742" s="418"/>
      <c r="AO742" s="418"/>
      <c r="AP742" s="418"/>
      <c r="AQ742" s="418"/>
      <c r="AR742" s="418"/>
      <c r="AS742" s="418"/>
      <c r="AT742" s="418"/>
      <c r="AU742" s="418"/>
      <c r="AV742" s="418"/>
      <c r="AW742" s="418"/>
      <c r="AX742" s="418"/>
      <c r="AY742" s="418"/>
      <c r="AZ742" s="418"/>
      <c r="BA742" s="418"/>
    </row>
    <row r="743" spans="40:53" ht="15.75" customHeight="1">
      <c r="AN743" s="418"/>
      <c r="AO743" s="418"/>
      <c r="AP743" s="418"/>
      <c r="AQ743" s="418"/>
      <c r="AR743" s="418"/>
      <c r="AS743" s="418"/>
      <c r="AT743" s="418"/>
      <c r="AU743" s="418"/>
      <c r="AV743" s="418"/>
      <c r="AW743" s="418"/>
      <c r="AX743" s="418"/>
      <c r="AY743" s="418"/>
      <c r="AZ743" s="418"/>
      <c r="BA743" s="418"/>
    </row>
    <row r="744" spans="40:53" ht="15.75" customHeight="1">
      <c r="AN744" s="418"/>
      <c r="AO744" s="418"/>
      <c r="AP744" s="418"/>
      <c r="AQ744" s="418"/>
      <c r="AR744" s="418"/>
      <c r="AS744" s="418"/>
      <c r="AT744" s="418"/>
      <c r="AU744" s="418"/>
      <c r="AV744" s="418"/>
      <c r="AW744" s="418"/>
      <c r="AX744" s="418"/>
      <c r="AY744" s="418"/>
      <c r="AZ744" s="418"/>
      <c r="BA744" s="418"/>
    </row>
    <row r="745" spans="40:53" ht="15.75" customHeight="1">
      <c r="AN745" s="418"/>
      <c r="AO745" s="418"/>
      <c r="AP745" s="418"/>
      <c r="AQ745" s="418"/>
      <c r="AR745" s="418"/>
      <c r="AS745" s="418"/>
      <c r="AT745" s="418"/>
      <c r="AU745" s="418"/>
      <c r="AV745" s="418"/>
      <c r="AW745" s="418"/>
      <c r="AX745" s="418"/>
      <c r="AY745" s="418"/>
      <c r="AZ745" s="418"/>
      <c r="BA745" s="418"/>
    </row>
    <row r="746" spans="40:53" ht="15.75" customHeight="1">
      <c r="AN746" s="418"/>
      <c r="AO746" s="418"/>
      <c r="AP746" s="418"/>
      <c r="AQ746" s="418"/>
      <c r="AR746" s="418"/>
      <c r="AS746" s="418"/>
      <c r="AT746" s="418"/>
      <c r="AU746" s="418"/>
      <c r="AV746" s="418"/>
      <c r="AW746" s="418"/>
      <c r="AX746" s="418"/>
      <c r="AY746" s="418"/>
      <c r="AZ746" s="418"/>
      <c r="BA746" s="418"/>
    </row>
    <row r="747" spans="40:53" ht="15.75" customHeight="1">
      <c r="AN747" s="418"/>
      <c r="AO747" s="418"/>
      <c r="AP747" s="418"/>
      <c r="AQ747" s="418"/>
      <c r="AR747" s="418"/>
      <c r="AS747" s="418"/>
      <c r="AT747" s="418"/>
      <c r="AU747" s="418"/>
      <c r="AV747" s="418"/>
      <c r="AW747" s="418"/>
      <c r="AX747" s="418"/>
      <c r="AY747" s="418"/>
      <c r="AZ747" s="418"/>
      <c r="BA747" s="418"/>
    </row>
    <row r="748" spans="40:53" ht="15.75" customHeight="1">
      <c r="AN748" s="418"/>
      <c r="AO748" s="418"/>
      <c r="AP748" s="418"/>
      <c r="AQ748" s="418"/>
      <c r="AR748" s="418"/>
      <c r="AS748" s="418"/>
      <c r="AT748" s="418"/>
      <c r="AU748" s="418"/>
      <c r="AV748" s="418"/>
      <c r="AW748" s="418"/>
      <c r="AX748" s="418"/>
      <c r="AY748" s="418"/>
      <c r="AZ748" s="418"/>
      <c r="BA748" s="418"/>
    </row>
    <row r="749" spans="40:53" ht="15.75" customHeight="1">
      <c r="AN749" s="418"/>
      <c r="AO749" s="418"/>
      <c r="AP749" s="418"/>
      <c r="AQ749" s="418"/>
      <c r="AR749" s="418"/>
      <c r="AS749" s="418"/>
      <c r="AT749" s="418"/>
      <c r="AU749" s="418"/>
      <c r="AV749" s="418"/>
      <c r="AW749" s="418"/>
      <c r="AX749" s="418"/>
      <c r="AY749" s="418"/>
      <c r="AZ749" s="418"/>
      <c r="BA749" s="418"/>
    </row>
    <row r="750" spans="40:53" ht="15.75" customHeight="1">
      <c r="AN750" s="418"/>
      <c r="AO750" s="418"/>
      <c r="AP750" s="418"/>
      <c r="AQ750" s="418"/>
      <c r="AR750" s="418"/>
      <c r="AS750" s="418"/>
      <c r="AT750" s="418"/>
      <c r="AU750" s="418"/>
      <c r="AV750" s="418"/>
      <c r="AW750" s="418"/>
      <c r="AX750" s="418"/>
      <c r="AY750" s="418"/>
      <c r="AZ750" s="418"/>
      <c r="BA750" s="418"/>
    </row>
    <row r="751" spans="40:53" ht="15.75" customHeight="1">
      <c r="AN751" s="418"/>
      <c r="AO751" s="418"/>
      <c r="AP751" s="418"/>
      <c r="AQ751" s="418"/>
      <c r="AR751" s="418"/>
      <c r="AS751" s="418"/>
      <c r="AT751" s="418"/>
      <c r="AU751" s="418"/>
      <c r="AV751" s="418"/>
      <c r="AW751" s="418"/>
      <c r="AX751" s="418"/>
      <c r="AY751" s="418"/>
      <c r="AZ751" s="418"/>
      <c r="BA751" s="418"/>
    </row>
    <row r="752" spans="40:53" ht="15.75" customHeight="1">
      <c r="AN752" s="418"/>
      <c r="AO752" s="418"/>
      <c r="AP752" s="418"/>
      <c r="AQ752" s="418"/>
      <c r="AR752" s="418"/>
      <c r="AS752" s="418"/>
      <c r="AT752" s="418"/>
      <c r="AU752" s="418"/>
      <c r="AV752" s="418"/>
      <c r="AW752" s="418"/>
      <c r="AX752" s="418"/>
      <c r="AY752" s="418"/>
      <c r="AZ752" s="418"/>
      <c r="BA752" s="418"/>
    </row>
    <row r="753" spans="40:53" ht="15.75" customHeight="1">
      <c r="AN753" s="418"/>
      <c r="AO753" s="418"/>
      <c r="AP753" s="418"/>
      <c r="AQ753" s="418"/>
      <c r="AR753" s="418"/>
      <c r="AS753" s="418"/>
      <c r="AT753" s="418"/>
      <c r="AU753" s="418"/>
      <c r="AV753" s="418"/>
      <c r="AW753" s="418"/>
      <c r="AX753" s="418"/>
      <c r="AY753" s="418"/>
      <c r="AZ753" s="418"/>
      <c r="BA753" s="418"/>
    </row>
    <row r="754" spans="40:53" ht="15.75" customHeight="1">
      <c r="AN754" s="418"/>
      <c r="AO754" s="418"/>
      <c r="AP754" s="418"/>
      <c r="AQ754" s="418"/>
      <c r="AR754" s="418"/>
      <c r="AS754" s="418"/>
      <c r="AT754" s="418"/>
      <c r="AU754" s="418"/>
      <c r="AV754" s="418"/>
      <c r="AW754" s="418"/>
      <c r="AX754" s="418"/>
      <c r="AY754" s="418"/>
      <c r="AZ754" s="418"/>
      <c r="BA754" s="418"/>
    </row>
    <row r="755" spans="40:53" ht="15.75" customHeight="1">
      <c r="AN755" s="418"/>
      <c r="AO755" s="418"/>
      <c r="AP755" s="418"/>
      <c r="AQ755" s="418"/>
      <c r="AR755" s="418"/>
      <c r="AS755" s="418"/>
      <c r="AT755" s="418"/>
      <c r="AU755" s="418"/>
      <c r="AV755" s="418"/>
      <c r="AW755" s="418"/>
      <c r="AX755" s="418"/>
      <c r="AY755" s="418"/>
      <c r="AZ755" s="418"/>
      <c r="BA755" s="418"/>
    </row>
    <row r="756" spans="40:53" ht="15.75" customHeight="1">
      <c r="AN756" s="418"/>
      <c r="AO756" s="418"/>
      <c r="AP756" s="418"/>
      <c r="AQ756" s="418"/>
      <c r="AR756" s="418"/>
      <c r="AS756" s="418"/>
      <c r="AT756" s="418"/>
      <c r="AU756" s="418"/>
      <c r="AV756" s="418"/>
      <c r="AW756" s="418"/>
      <c r="AX756" s="418"/>
      <c r="AY756" s="418"/>
      <c r="AZ756" s="418"/>
      <c r="BA756" s="418"/>
    </row>
    <row r="757" spans="40:53" ht="15.75" customHeight="1">
      <c r="AN757" s="418"/>
      <c r="AO757" s="418"/>
      <c r="AP757" s="418"/>
      <c r="AQ757" s="418"/>
      <c r="AR757" s="418"/>
      <c r="AS757" s="418"/>
      <c r="AT757" s="418"/>
      <c r="AU757" s="418"/>
      <c r="AV757" s="418"/>
      <c r="AW757" s="418"/>
      <c r="AX757" s="418"/>
      <c r="AY757" s="418"/>
      <c r="AZ757" s="418"/>
      <c r="BA757" s="418"/>
    </row>
    <row r="758" spans="40:53" ht="15.75" customHeight="1">
      <c r="AN758" s="418"/>
      <c r="AO758" s="418"/>
      <c r="AP758" s="418"/>
      <c r="AQ758" s="418"/>
      <c r="AR758" s="418"/>
      <c r="AS758" s="418"/>
      <c r="AT758" s="418"/>
      <c r="AU758" s="418"/>
      <c r="AV758" s="418"/>
      <c r="AW758" s="418"/>
      <c r="AX758" s="418"/>
      <c r="AY758" s="418"/>
      <c r="AZ758" s="418"/>
      <c r="BA758" s="418"/>
    </row>
    <row r="759" spans="40:53" ht="15.75" customHeight="1">
      <c r="AN759" s="418"/>
      <c r="AO759" s="418"/>
      <c r="AP759" s="418"/>
      <c r="AQ759" s="418"/>
      <c r="AR759" s="418"/>
      <c r="AS759" s="418"/>
      <c r="AT759" s="418"/>
      <c r="AU759" s="418"/>
      <c r="AV759" s="418"/>
      <c r="AW759" s="418"/>
      <c r="AX759" s="418"/>
      <c r="AY759" s="418"/>
      <c r="AZ759" s="418"/>
      <c r="BA759" s="418"/>
    </row>
    <row r="760" spans="40:53" ht="15.75" customHeight="1">
      <c r="AN760" s="418"/>
      <c r="AO760" s="418"/>
      <c r="AP760" s="418"/>
      <c r="AQ760" s="418"/>
      <c r="AR760" s="418"/>
      <c r="AS760" s="418"/>
      <c r="AT760" s="418"/>
      <c r="AU760" s="418"/>
      <c r="AV760" s="418"/>
      <c r="AW760" s="418"/>
      <c r="AX760" s="418"/>
      <c r="AY760" s="418"/>
      <c r="AZ760" s="418"/>
      <c r="BA760" s="418"/>
    </row>
    <row r="761" spans="40:53" ht="15.75" customHeight="1">
      <c r="AN761" s="418"/>
      <c r="AO761" s="418"/>
      <c r="AP761" s="418"/>
      <c r="AQ761" s="418"/>
      <c r="AR761" s="418"/>
      <c r="AS761" s="418"/>
      <c r="AT761" s="418"/>
      <c r="AU761" s="418"/>
      <c r="AV761" s="418"/>
      <c r="AW761" s="418"/>
      <c r="AX761" s="418"/>
      <c r="AY761" s="418"/>
      <c r="AZ761" s="418"/>
      <c r="BA761" s="418"/>
    </row>
    <row r="762" spans="40:53" ht="15.75" customHeight="1">
      <c r="AN762" s="418"/>
      <c r="AO762" s="418"/>
      <c r="AP762" s="418"/>
      <c r="AQ762" s="418"/>
      <c r="AR762" s="418"/>
      <c r="AS762" s="418"/>
      <c r="AT762" s="418"/>
      <c r="AU762" s="418"/>
      <c r="AV762" s="418"/>
      <c r="AW762" s="418"/>
      <c r="AX762" s="418"/>
      <c r="AY762" s="418"/>
      <c r="AZ762" s="418"/>
      <c r="BA762" s="418"/>
    </row>
    <row r="763" spans="40:53" ht="15.75" customHeight="1">
      <c r="AN763" s="418"/>
      <c r="AO763" s="418"/>
      <c r="AP763" s="418"/>
      <c r="AQ763" s="418"/>
      <c r="AR763" s="418"/>
      <c r="AS763" s="418"/>
      <c r="AT763" s="418"/>
      <c r="AU763" s="418"/>
      <c r="AV763" s="418"/>
      <c r="AW763" s="418"/>
      <c r="AX763" s="418"/>
      <c r="AY763" s="418"/>
      <c r="AZ763" s="418"/>
      <c r="BA763" s="418"/>
    </row>
    <row r="764" spans="40:53" ht="15.75" customHeight="1">
      <c r="AN764" s="418"/>
      <c r="AO764" s="418"/>
      <c r="AP764" s="418"/>
      <c r="AQ764" s="418"/>
      <c r="AR764" s="418"/>
      <c r="AS764" s="418"/>
      <c r="AT764" s="418"/>
      <c r="AU764" s="418"/>
      <c r="AV764" s="418"/>
      <c r="AW764" s="418"/>
      <c r="AX764" s="418"/>
      <c r="AY764" s="418"/>
      <c r="AZ764" s="418"/>
      <c r="BA764" s="418"/>
    </row>
    <row r="765" spans="40:53" ht="15.75" customHeight="1">
      <c r="AN765" s="418"/>
      <c r="AO765" s="418"/>
      <c r="AP765" s="418"/>
      <c r="AQ765" s="418"/>
      <c r="AR765" s="418"/>
      <c r="AS765" s="418"/>
      <c r="AT765" s="418"/>
      <c r="AU765" s="418"/>
      <c r="AV765" s="418"/>
      <c r="AW765" s="418"/>
      <c r="AX765" s="418"/>
      <c r="AY765" s="418"/>
      <c r="AZ765" s="418"/>
      <c r="BA765" s="418"/>
    </row>
    <row r="766" spans="40:53" ht="15.75" customHeight="1">
      <c r="AN766" s="418"/>
      <c r="AO766" s="418"/>
      <c r="AP766" s="418"/>
      <c r="AQ766" s="418"/>
      <c r="AR766" s="418"/>
      <c r="AS766" s="418"/>
      <c r="AT766" s="418"/>
      <c r="AU766" s="418"/>
      <c r="AV766" s="418"/>
      <c r="AW766" s="418"/>
      <c r="AX766" s="418"/>
      <c r="AY766" s="418"/>
      <c r="AZ766" s="418"/>
      <c r="BA766" s="418"/>
    </row>
    <row r="767" spans="40:53" ht="15.75" customHeight="1">
      <c r="AN767" s="418"/>
      <c r="AO767" s="418"/>
      <c r="AP767" s="418"/>
      <c r="AQ767" s="418"/>
      <c r="AR767" s="418"/>
      <c r="AS767" s="418"/>
      <c r="AT767" s="418"/>
      <c r="AU767" s="418"/>
      <c r="AV767" s="418"/>
      <c r="AW767" s="418"/>
      <c r="AX767" s="418"/>
      <c r="AY767" s="418"/>
      <c r="AZ767" s="418"/>
      <c r="BA767" s="418"/>
    </row>
    <row r="768" spans="40:53" ht="15.75" customHeight="1">
      <c r="AN768" s="418"/>
      <c r="AO768" s="418"/>
      <c r="AP768" s="418"/>
      <c r="AQ768" s="418"/>
      <c r="AR768" s="418"/>
      <c r="AS768" s="418"/>
      <c r="AT768" s="418"/>
      <c r="AU768" s="418"/>
      <c r="AV768" s="418"/>
      <c r="AW768" s="418"/>
      <c r="AX768" s="418"/>
      <c r="AY768" s="418"/>
      <c r="AZ768" s="418"/>
      <c r="BA768" s="418"/>
    </row>
    <row r="769" spans="40:53" ht="15.75" customHeight="1">
      <c r="AN769" s="418"/>
      <c r="AO769" s="418"/>
      <c r="AP769" s="418"/>
      <c r="AQ769" s="418"/>
      <c r="AR769" s="418"/>
      <c r="AS769" s="418"/>
      <c r="AT769" s="418"/>
      <c r="AU769" s="418"/>
      <c r="AV769" s="418"/>
      <c r="AW769" s="418"/>
      <c r="AX769" s="418"/>
      <c r="AY769" s="418"/>
      <c r="AZ769" s="418"/>
      <c r="BA769" s="418"/>
    </row>
    <row r="770" spans="40:53" ht="15.75" customHeight="1">
      <c r="AN770" s="418"/>
      <c r="AO770" s="418"/>
      <c r="AP770" s="418"/>
      <c r="AQ770" s="418"/>
      <c r="AR770" s="418"/>
      <c r="AS770" s="418"/>
      <c r="AT770" s="418"/>
      <c r="AU770" s="418"/>
      <c r="AV770" s="418"/>
      <c r="AW770" s="418"/>
      <c r="AX770" s="418"/>
      <c r="AY770" s="418"/>
      <c r="AZ770" s="418"/>
      <c r="BA770" s="418"/>
    </row>
    <row r="771" spans="40:53" ht="15.75" customHeight="1">
      <c r="AN771" s="418"/>
      <c r="AO771" s="418"/>
      <c r="AP771" s="418"/>
      <c r="AQ771" s="418"/>
      <c r="AR771" s="418"/>
      <c r="AS771" s="418"/>
      <c r="AT771" s="418"/>
      <c r="AU771" s="418"/>
      <c r="AV771" s="418"/>
      <c r="AW771" s="418"/>
      <c r="AX771" s="418"/>
      <c r="AY771" s="418"/>
      <c r="AZ771" s="418"/>
      <c r="BA771" s="418"/>
    </row>
    <row r="772" spans="40:53" ht="15.75" customHeight="1">
      <c r="AN772" s="418"/>
      <c r="AO772" s="418"/>
      <c r="AP772" s="418"/>
      <c r="AQ772" s="418"/>
      <c r="AR772" s="418"/>
      <c r="AS772" s="418"/>
      <c r="AT772" s="418"/>
      <c r="AU772" s="418"/>
      <c r="AV772" s="418"/>
      <c r="AW772" s="418"/>
      <c r="AX772" s="418"/>
      <c r="AY772" s="418"/>
      <c r="AZ772" s="418"/>
      <c r="BA772" s="418"/>
    </row>
    <row r="773" spans="40:53" ht="15.75" customHeight="1">
      <c r="AN773" s="418"/>
      <c r="AO773" s="418"/>
      <c r="AP773" s="418"/>
      <c r="AQ773" s="418"/>
      <c r="AR773" s="418"/>
      <c r="AS773" s="418"/>
      <c r="AT773" s="418"/>
      <c r="AU773" s="418"/>
      <c r="AV773" s="418"/>
      <c r="AW773" s="418"/>
      <c r="AX773" s="418"/>
      <c r="AY773" s="418"/>
      <c r="AZ773" s="418"/>
      <c r="BA773" s="418"/>
    </row>
    <row r="774" spans="40:53" ht="15.75" customHeight="1">
      <c r="AN774" s="418"/>
      <c r="AO774" s="418"/>
      <c r="AP774" s="418"/>
      <c r="AQ774" s="418"/>
      <c r="AR774" s="418"/>
      <c r="AS774" s="418"/>
      <c r="AT774" s="418"/>
      <c r="AU774" s="418"/>
      <c r="AV774" s="418"/>
      <c r="AW774" s="418"/>
      <c r="AX774" s="418"/>
      <c r="AY774" s="418"/>
      <c r="AZ774" s="418"/>
      <c r="BA774" s="418"/>
    </row>
    <row r="775" spans="40:53" ht="15.75" customHeight="1">
      <c r="AN775" s="418"/>
      <c r="AO775" s="418"/>
      <c r="AP775" s="418"/>
      <c r="AQ775" s="418"/>
      <c r="AR775" s="418"/>
      <c r="AS775" s="418"/>
      <c r="AT775" s="418"/>
      <c r="AU775" s="418"/>
      <c r="AV775" s="418"/>
      <c r="AW775" s="418"/>
      <c r="AX775" s="418"/>
      <c r="AY775" s="418"/>
      <c r="AZ775" s="418"/>
      <c r="BA775" s="418"/>
    </row>
    <row r="776" spans="40:53" ht="15.75" customHeight="1">
      <c r="AN776" s="418"/>
      <c r="AO776" s="418"/>
      <c r="AP776" s="418"/>
      <c r="AQ776" s="418"/>
      <c r="AR776" s="418"/>
      <c r="AS776" s="418"/>
      <c r="AT776" s="418"/>
      <c r="AU776" s="418"/>
      <c r="AV776" s="418"/>
      <c r="AW776" s="418"/>
      <c r="AX776" s="418"/>
      <c r="AY776" s="418"/>
      <c r="AZ776" s="418"/>
      <c r="BA776" s="418"/>
    </row>
    <row r="777" spans="40:53" ht="15.75" customHeight="1">
      <c r="AN777" s="418"/>
      <c r="AO777" s="418"/>
      <c r="AP777" s="418"/>
      <c r="AQ777" s="418"/>
      <c r="AR777" s="418"/>
      <c r="AS777" s="418"/>
      <c r="AT777" s="418"/>
      <c r="AU777" s="418"/>
      <c r="AV777" s="418"/>
      <c r="AW777" s="418"/>
      <c r="AX777" s="418"/>
      <c r="AY777" s="418"/>
      <c r="AZ777" s="418"/>
      <c r="BA777" s="418"/>
    </row>
    <row r="778" spans="40:53" ht="15.75" customHeight="1">
      <c r="AN778" s="418"/>
      <c r="AO778" s="418"/>
      <c r="AP778" s="418"/>
      <c r="AQ778" s="418"/>
      <c r="AR778" s="418"/>
      <c r="AS778" s="418"/>
      <c r="AT778" s="418"/>
      <c r="AU778" s="418"/>
      <c r="AV778" s="418"/>
      <c r="AW778" s="418"/>
      <c r="AX778" s="418"/>
      <c r="AY778" s="418"/>
      <c r="AZ778" s="418"/>
      <c r="BA778" s="418"/>
    </row>
    <row r="779" spans="40:53" ht="15.75" customHeight="1">
      <c r="AN779" s="418"/>
      <c r="AO779" s="418"/>
      <c r="AP779" s="418"/>
      <c r="AQ779" s="418"/>
      <c r="AR779" s="418"/>
      <c r="AS779" s="418"/>
      <c r="AT779" s="418"/>
      <c r="AU779" s="418"/>
      <c r="AV779" s="418"/>
      <c r="AW779" s="418"/>
      <c r="AX779" s="418"/>
      <c r="AY779" s="418"/>
      <c r="AZ779" s="418"/>
      <c r="BA779" s="418"/>
    </row>
    <row r="780" spans="40:53" ht="15.75" customHeight="1">
      <c r="AN780" s="418"/>
      <c r="AO780" s="418"/>
      <c r="AP780" s="418"/>
      <c r="AQ780" s="418"/>
      <c r="AR780" s="418"/>
      <c r="AS780" s="418"/>
      <c r="AT780" s="418"/>
      <c r="AU780" s="418"/>
      <c r="AV780" s="418"/>
      <c r="AW780" s="418"/>
      <c r="AX780" s="418"/>
      <c r="AY780" s="418"/>
      <c r="AZ780" s="418"/>
      <c r="BA780" s="418"/>
    </row>
    <row r="781" spans="40:53" ht="15.75" customHeight="1">
      <c r="AN781" s="418"/>
      <c r="AO781" s="418"/>
      <c r="AP781" s="418"/>
      <c r="AQ781" s="418"/>
      <c r="AR781" s="418"/>
      <c r="AS781" s="418"/>
      <c r="AT781" s="418"/>
      <c r="AU781" s="418"/>
      <c r="AV781" s="418"/>
      <c r="AW781" s="418"/>
      <c r="AX781" s="418"/>
      <c r="AY781" s="418"/>
      <c r="AZ781" s="418"/>
      <c r="BA781" s="418"/>
    </row>
    <row r="782" spans="40:53" ht="15.75" customHeight="1">
      <c r="AN782" s="418"/>
      <c r="AO782" s="418"/>
      <c r="AP782" s="418"/>
      <c r="AQ782" s="418"/>
      <c r="AR782" s="418"/>
      <c r="AS782" s="418"/>
      <c r="AT782" s="418"/>
      <c r="AU782" s="418"/>
      <c r="AV782" s="418"/>
      <c r="AW782" s="418"/>
      <c r="AX782" s="418"/>
      <c r="AY782" s="418"/>
      <c r="AZ782" s="418"/>
      <c r="BA782" s="418"/>
    </row>
    <row r="783" spans="40:53" ht="15.75" customHeight="1">
      <c r="AN783" s="418"/>
      <c r="AO783" s="418"/>
      <c r="AP783" s="418"/>
      <c r="AQ783" s="418"/>
      <c r="AR783" s="418"/>
      <c r="AS783" s="418"/>
      <c r="AT783" s="418"/>
      <c r="AU783" s="418"/>
      <c r="AV783" s="418"/>
      <c r="AW783" s="418"/>
      <c r="AX783" s="418"/>
      <c r="AY783" s="418"/>
      <c r="AZ783" s="418"/>
      <c r="BA783" s="418"/>
    </row>
    <row r="784" spans="40:53" ht="15.75" customHeight="1">
      <c r="AN784" s="418"/>
      <c r="AO784" s="418"/>
      <c r="AP784" s="418"/>
      <c r="AQ784" s="418"/>
      <c r="AR784" s="418"/>
      <c r="AS784" s="418"/>
      <c r="AT784" s="418"/>
      <c r="AU784" s="418"/>
      <c r="AV784" s="418"/>
      <c r="AW784" s="418"/>
      <c r="AX784" s="418"/>
      <c r="AY784" s="418"/>
      <c r="AZ784" s="418"/>
      <c r="BA784" s="418"/>
    </row>
    <row r="785" spans="40:53" ht="15.75" customHeight="1">
      <c r="AN785" s="418"/>
      <c r="AO785" s="418"/>
      <c r="AP785" s="418"/>
      <c r="AQ785" s="418"/>
      <c r="AR785" s="418"/>
      <c r="AS785" s="418"/>
      <c r="AT785" s="418"/>
      <c r="AU785" s="418"/>
      <c r="AV785" s="418"/>
      <c r="AW785" s="418"/>
      <c r="AX785" s="418"/>
      <c r="AY785" s="418"/>
      <c r="AZ785" s="418"/>
      <c r="BA785" s="418"/>
    </row>
    <row r="786" spans="40:53" ht="15.75" customHeight="1">
      <c r="AN786" s="418"/>
      <c r="AO786" s="418"/>
      <c r="AP786" s="418"/>
      <c r="AQ786" s="418"/>
      <c r="AR786" s="418"/>
      <c r="AS786" s="418"/>
      <c r="AT786" s="418"/>
      <c r="AU786" s="418"/>
      <c r="AV786" s="418"/>
      <c r="AW786" s="418"/>
      <c r="AX786" s="418"/>
      <c r="AY786" s="418"/>
      <c r="AZ786" s="418"/>
      <c r="BA786" s="418"/>
    </row>
    <row r="787" spans="40:53" ht="15.75" customHeight="1">
      <c r="AN787" s="418"/>
      <c r="AO787" s="418"/>
      <c r="AP787" s="418"/>
      <c r="AQ787" s="418"/>
      <c r="AR787" s="418"/>
      <c r="AS787" s="418"/>
      <c r="AT787" s="418"/>
      <c r="AU787" s="418"/>
      <c r="AV787" s="418"/>
      <c r="AW787" s="418"/>
      <c r="AX787" s="418"/>
      <c r="AY787" s="418"/>
      <c r="AZ787" s="418"/>
      <c r="BA787" s="418"/>
    </row>
    <row r="788" spans="40:53" ht="15.75" customHeight="1">
      <c r="AN788" s="418"/>
      <c r="AO788" s="418"/>
      <c r="AP788" s="418"/>
      <c r="AQ788" s="418"/>
      <c r="AR788" s="418"/>
      <c r="AS788" s="418"/>
      <c r="AT788" s="418"/>
      <c r="AU788" s="418"/>
      <c r="AV788" s="418"/>
      <c r="AW788" s="418"/>
      <c r="AX788" s="418"/>
      <c r="AY788" s="418"/>
      <c r="AZ788" s="418"/>
      <c r="BA788" s="418"/>
    </row>
    <row r="789" spans="40:53" ht="15.75" customHeight="1">
      <c r="AN789" s="418"/>
      <c r="AO789" s="418"/>
      <c r="AP789" s="418"/>
      <c r="AQ789" s="418"/>
      <c r="AR789" s="418"/>
      <c r="AS789" s="418"/>
      <c r="AT789" s="418"/>
      <c r="AU789" s="418"/>
      <c r="AV789" s="418"/>
      <c r="AW789" s="418"/>
      <c r="AX789" s="418"/>
      <c r="AY789" s="418"/>
      <c r="AZ789" s="418"/>
      <c r="BA789" s="418"/>
    </row>
    <row r="790" spans="40:53" ht="15.75" customHeight="1">
      <c r="AN790" s="418"/>
      <c r="AO790" s="418"/>
      <c r="AP790" s="418"/>
      <c r="AQ790" s="418"/>
      <c r="AR790" s="418"/>
      <c r="AS790" s="418"/>
      <c r="AT790" s="418"/>
      <c r="AU790" s="418"/>
      <c r="AV790" s="418"/>
      <c r="AW790" s="418"/>
      <c r="AX790" s="418"/>
      <c r="AY790" s="418"/>
      <c r="AZ790" s="418"/>
      <c r="BA790" s="418"/>
    </row>
    <row r="791" spans="40:53" ht="15.75" customHeight="1">
      <c r="AN791" s="418"/>
      <c r="AO791" s="418"/>
      <c r="AP791" s="418"/>
      <c r="AQ791" s="418"/>
      <c r="AR791" s="418"/>
      <c r="AS791" s="418"/>
      <c r="AT791" s="418"/>
      <c r="AU791" s="418"/>
      <c r="AV791" s="418"/>
      <c r="AW791" s="418"/>
      <c r="AX791" s="418"/>
      <c r="AY791" s="418"/>
      <c r="AZ791" s="418"/>
      <c r="BA791" s="418"/>
    </row>
    <row r="792" spans="40:53" ht="15.75" customHeight="1">
      <c r="AN792" s="418"/>
      <c r="AO792" s="418"/>
      <c r="AP792" s="418"/>
      <c r="AQ792" s="418"/>
      <c r="AR792" s="418"/>
      <c r="AS792" s="418"/>
      <c r="AT792" s="418"/>
      <c r="AU792" s="418"/>
      <c r="AV792" s="418"/>
      <c r="AW792" s="418"/>
      <c r="AX792" s="418"/>
      <c r="AY792" s="418"/>
      <c r="AZ792" s="418"/>
      <c r="BA792" s="418"/>
    </row>
    <row r="793" spans="40:53" ht="15.75" customHeight="1">
      <c r="AN793" s="418"/>
      <c r="AO793" s="418"/>
      <c r="AP793" s="418"/>
      <c r="AQ793" s="418"/>
      <c r="AR793" s="418"/>
      <c r="AS793" s="418"/>
      <c r="AT793" s="418"/>
      <c r="AU793" s="418"/>
      <c r="AV793" s="418"/>
      <c r="AW793" s="418"/>
      <c r="AX793" s="418"/>
      <c r="AY793" s="418"/>
      <c r="AZ793" s="418"/>
      <c r="BA793" s="418"/>
    </row>
    <row r="794" spans="40:53" ht="15.75" customHeight="1">
      <c r="AN794" s="418"/>
      <c r="AO794" s="418"/>
      <c r="AP794" s="418"/>
      <c r="AQ794" s="418"/>
      <c r="AR794" s="418"/>
      <c r="AS794" s="418"/>
      <c r="AT794" s="418"/>
      <c r="AU794" s="418"/>
      <c r="AV794" s="418"/>
      <c r="AW794" s="418"/>
      <c r="AX794" s="418"/>
      <c r="AY794" s="418"/>
      <c r="AZ794" s="418"/>
      <c r="BA794" s="418"/>
    </row>
    <row r="795" spans="40:53" ht="15.75" customHeight="1">
      <c r="AN795" s="418"/>
      <c r="AO795" s="418"/>
      <c r="AP795" s="418"/>
      <c r="AQ795" s="418"/>
      <c r="AR795" s="418"/>
      <c r="AS795" s="418"/>
      <c r="AT795" s="418"/>
      <c r="AU795" s="418"/>
      <c r="AV795" s="418"/>
      <c r="AW795" s="418"/>
      <c r="AX795" s="418"/>
      <c r="AY795" s="418"/>
      <c r="AZ795" s="418"/>
      <c r="BA795" s="418"/>
    </row>
    <row r="796" spans="40:53" ht="15.75" customHeight="1">
      <c r="AN796" s="418"/>
      <c r="AO796" s="418"/>
      <c r="AP796" s="418"/>
      <c r="AQ796" s="418"/>
      <c r="AR796" s="418"/>
      <c r="AS796" s="418"/>
      <c r="AT796" s="418"/>
      <c r="AU796" s="418"/>
      <c r="AV796" s="418"/>
      <c r="AW796" s="418"/>
      <c r="AX796" s="418"/>
      <c r="AY796" s="418"/>
      <c r="AZ796" s="418"/>
      <c r="BA796" s="418"/>
    </row>
    <row r="797" spans="40:53" ht="15.75" customHeight="1">
      <c r="AN797" s="418"/>
      <c r="AO797" s="418"/>
      <c r="AP797" s="418"/>
      <c r="AQ797" s="418"/>
      <c r="AR797" s="418"/>
      <c r="AS797" s="418"/>
      <c r="AT797" s="418"/>
      <c r="AU797" s="418"/>
      <c r="AV797" s="418"/>
      <c r="AW797" s="418"/>
      <c r="AX797" s="418"/>
      <c r="AY797" s="418"/>
      <c r="AZ797" s="418"/>
      <c r="BA797" s="418"/>
    </row>
    <row r="798" spans="40:53" ht="15.75" customHeight="1">
      <c r="AN798" s="418"/>
      <c r="AO798" s="418"/>
      <c r="AP798" s="418"/>
      <c r="AQ798" s="418"/>
      <c r="AR798" s="418"/>
      <c r="AS798" s="418"/>
      <c r="AT798" s="418"/>
      <c r="AU798" s="418"/>
      <c r="AV798" s="418"/>
      <c r="AW798" s="418"/>
      <c r="AX798" s="418"/>
      <c r="AY798" s="418"/>
      <c r="AZ798" s="418"/>
      <c r="BA798" s="418"/>
    </row>
    <row r="799" spans="40:53" ht="15.75" customHeight="1">
      <c r="AN799" s="418"/>
      <c r="AO799" s="418"/>
      <c r="AP799" s="418"/>
      <c r="AQ799" s="418"/>
      <c r="AR799" s="418"/>
      <c r="AS799" s="418"/>
      <c r="AT799" s="418"/>
      <c r="AU799" s="418"/>
      <c r="AV799" s="418"/>
      <c r="AW799" s="418"/>
      <c r="AX799" s="418"/>
      <c r="AY799" s="418"/>
      <c r="AZ799" s="418"/>
      <c r="BA799" s="418"/>
    </row>
    <row r="800" spans="40:53" ht="15.75" customHeight="1">
      <c r="AN800" s="418"/>
      <c r="AO800" s="418"/>
      <c r="AP800" s="418"/>
      <c r="AQ800" s="418"/>
      <c r="AR800" s="418"/>
      <c r="AS800" s="418"/>
      <c r="AT800" s="418"/>
      <c r="AU800" s="418"/>
      <c r="AV800" s="418"/>
      <c r="AW800" s="418"/>
      <c r="AX800" s="418"/>
      <c r="AY800" s="418"/>
      <c r="AZ800" s="418"/>
      <c r="BA800" s="418"/>
    </row>
    <row r="801" spans="40:53" ht="15.75" customHeight="1">
      <c r="AN801" s="418"/>
      <c r="AO801" s="418"/>
      <c r="AP801" s="418"/>
      <c r="AQ801" s="418"/>
      <c r="AR801" s="418"/>
      <c r="AS801" s="418"/>
      <c r="AT801" s="418"/>
      <c r="AU801" s="418"/>
      <c r="AV801" s="418"/>
      <c r="AW801" s="418"/>
      <c r="AX801" s="418"/>
      <c r="AY801" s="418"/>
      <c r="AZ801" s="418"/>
      <c r="BA801" s="418"/>
    </row>
    <row r="802" spans="40:53" ht="15.75" customHeight="1">
      <c r="AN802" s="418"/>
      <c r="AO802" s="418"/>
      <c r="AP802" s="418"/>
      <c r="AQ802" s="418"/>
      <c r="AR802" s="418"/>
      <c r="AS802" s="418"/>
      <c r="AT802" s="418"/>
      <c r="AU802" s="418"/>
      <c r="AV802" s="418"/>
      <c r="AW802" s="418"/>
      <c r="AX802" s="418"/>
      <c r="AY802" s="418"/>
      <c r="AZ802" s="418"/>
      <c r="BA802" s="418"/>
    </row>
    <row r="803" spans="40:53" ht="15.75" customHeight="1">
      <c r="AN803" s="418"/>
      <c r="AO803" s="418"/>
      <c r="AP803" s="418"/>
      <c r="AQ803" s="418"/>
      <c r="AR803" s="418"/>
      <c r="AS803" s="418"/>
      <c r="AT803" s="418"/>
      <c r="AU803" s="418"/>
      <c r="AV803" s="418"/>
      <c r="AW803" s="418"/>
      <c r="AX803" s="418"/>
      <c r="AY803" s="418"/>
      <c r="AZ803" s="418"/>
      <c r="BA803" s="418"/>
    </row>
    <row r="804" spans="40:53" ht="15.75" customHeight="1">
      <c r="AN804" s="418"/>
      <c r="AO804" s="418"/>
      <c r="AP804" s="418"/>
      <c r="AQ804" s="418"/>
      <c r="AR804" s="418"/>
      <c r="AS804" s="418"/>
      <c r="AT804" s="418"/>
      <c r="AU804" s="418"/>
      <c r="AV804" s="418"/>
      <c r="AW804" s="418"/>
      <c r="AX804" s="418"/>
      <c r="AY804" s="418"/>
      <c r="AZ804" s="418"/>
      <c r="BA804" s="418"/>
    </row>
    <row r="805" spans="40:53" ht="15.75" customHeight="1">
      <c r="AN805" s="418"/>
      <c r="AO805" s="418"/>
      <c r="AP805" s="418"/>
      <c r="AQ805" s="418"/>
      <c r="AR805" s="418"/>
      <c r="AS805" s="418"/>
      <c r="AT805" s="418"/>
      <c r="AU805" s="418"/>
      <c r="AV805" s="418"/>
      <c r="AW805" s="418"/>
      <c r="AX805" s="418"/>
      <c r="AY805" s="418"/>
      <c r="AZ805" s="418"/>
      <c r="BA805" s="418"/>
    </row>
    <row r="806" spans="40:53" ht="15.75" customHeight="1">
      <c r="AN806" s="418"/>
      <c r="AO806" s="418"/>
      <c r="AP806" s="418"/>
      <c r="AQ806" s="418"/>
      <c r="AR806" s="418"/>
      <c r="AS806" s="418"/>
      <c r="AT806" s="418"/>
      <c r="AU806" s="418"/>
      <c r="AV806" s="418"/>
      <c r="AW806" s="418"/>
      <c r="AX806" s="418"/>
      <c r="AY806" s="418"/>
      <c r="AZ806" s="418"/>
      <c r="BA806" s="418"/>
    </row>
    <row r="807" spans="40:53" ht="15.75" customHeight="1">
      <c r="AN807" s="418"/>
      <c r="AO807" s="418"/>
      <c r="AP807" s="418"/>
      <c r="AQ807" s="418"/>
      <c r="AR807" s="418"/>
      <c r="AS807" s="418"/>
      <c r="AT807" s="418"/>
      <c r="AU807" s="418"/>
      <c r="AV807" s="418"/>
      <c r="AW807" s="418"/>
      <c r="AX807" s="418"/>
      <c r="AY807" s="418"/>
      <c r="AZ807" s="418"/>
      <c r="BA807" s="418"/>
    </row>
    <row r="808" spans="40:53" ht="15.75" customHeight="1">
      <c r="AN808" s="418"/>
      <c r="AO808" s="418"/>
      <c r="AP808" s="418"/>
      <c r="AQ808" s="418"/>
      <c r="AR808" s="418"/>
      <c r="AS808" s="418"/>
      <c r="AT808" s="418"/>
      <c r="AU808" s="418"/>
      <c r="AV808" s="418"/>
      <c r="AW808" s="418"/>
      <c r="AX808" s="418"/>
      <c r="AY808" s="418"/>
      <c r="AZ808" s="418"/>
      <c r="BA808" s="418"/>
    </row>
    <row r="809" spans="40:53" ht="15.75" customHeight="1">
      <c r="AN809" s="418"/>
      <c r="AO809" s="418"/>
      <c r="AP809" s="418"/>
      <c r="AQ809" s="418"/>
      <c r="AR809" s="418"/>
      <c r="AS809" s="418"/>
      <c r="AT809" s="418"/>
      <c r="AU809" s="418"/>
      <c r="AV809" s="418"/>
      <c r="AW809" s="418"/>
      <c r="AX809" s="418"/>
      <c r="AY809" s="418"/>
      <c r="AZ809" s="418"/>
      <c r="BA809" s="418"/>
    </row>
    <row r="810" spans="40:53" ht="15.75" customHeight="1">
      <c r="AN810" s="418"/>
      <c r="AO810" s="418"/>
      <c r="AP810" s="418"/>
      <c r="AQ810" s="418"/>
      <c r="AR810" s="418"/>
      <c r="AS810" s="418"/>
      <c r="AT810" s="418"/>
      <c r="AU810" s="418"/>
      <c r="AV810" s="418"/>
      <c r="AW810" s="418"/>
      <c r="AX810" s="418"/>
      <c r="AY810" s="418"/>
      <c r="AZ810" s="418"/>
      <c r="BA810" s="418"/>
    </row>
    <row r="811" spans="40:53" ht="15.75" customHeight="1">
      <c r="AN811" s="418"/>
      <c r="AO811" s="418"/>
      <c r="AP811" s="418"/>
      <c r="AQ811" s="418"/>
      <c r="AR811" s="418"/>
      <c r="AS811" s="418"/>
      <c r="AT811" s="418"/>
      <c r="AU811" s="418"/>
      <c r="AV811" s="418"/>
      <c r="AW811" s="418"/>
      <c r="AX811" s="418"/>
      <c r="AY811" s="418"/>
      <c r="AZ811" s="418"/>
      <c r="BA811" s="418"/>
    </row>
    <row r="812" spans="40:53" ht="15.75" customHeight="1">
      <c r="AN812" s="418"/>
      <c r="AO812" s="418"/>
      <c r="AP812" s="418"/>
      <c r="AQ812" s="418"/>
      <c r="AR812" s="418"/>
      <c r="AS812" s="418"/>
      <c r="AT812" s="418"/>
      <c r="AU812" s="418"/>
      <c r="AV812" s="418"/>
      <c r="AW812" s="418"/>
      <c r="AX812" s="418"/>
      <c r="AY812" s="418"/>
      <c r="AZ812" s="418"/>
      <c r="BA812" s="418"/>
    </row>
    <row r="813" spans="40:53" ht="15.75" customHeight="1">
      <c r="AN813" s="418"/>
      <c r="AO813" s="418"/>
      <c r="AP813" s="418"/>
      <c r="AQ813" s="418"/>
      <c r="AR813" s="418"/>
      <c r="AS813" s="418"/>
      <c r="AT813" s="418"/>
      <c r="AU813" s="418"/>
      <c r="AV813" s="418"/>
      <c r="AW813" s="418"/>
      <c r="AX813" s="418"/>
      <c r="AY813" s="418"/>
      <c r="AZ813" s="418"/>
      <c r="BA813" s="418"/>
    </row>
    <row r="814" spans="40:53" ht="15.75" customHeight="1">
      <c r="AN814" s="418"/>
      <c r="AO814" s="418"/>
      <c r="AP814" s="418"/>
      <c r="AQ814" s="418"/>
      <c r="AR814" s="418"/>
      <c r="AS814" s="418"/>
      <c r="AT814" s="418"/>
      <c r="AU814" s="418"/>
      <c r="AV814" s="418"/>
      <c r="AW814" s="418"/>
      <c r="AX814" s="418"/>
      <c r="AY814" s="418"/>
      <c r="AZ814" s="418"/>
      <c r="BA814" s="418"/>
    </row>
    <row r="815" spans="40:53" ht="15.75" customHeight="1">
      <c r="AN815" s="418"/>
      <c r="AO815" s="418"/>
      <c r="AP815" s="418"/>
      <c r="AQ815" s="418"/>
      <c r="AR815" s="418"/>
      <c r="AS815" s="418"/>
      <c r="AT815" s="418"/>
      <c r="AU815" s="418"/>
      <c r="AV815" s="418"/>
      <c r="AW815" s="418"/>
      <c r="AX815" s="418"/>
      <c r="AY815" s="418"/>
      <c r="AZ815" s="418"/>
      <c r="BA815" s="418"/>
    </row>
    <row r="816" spans="40:53" ht="15.75" customHeight="1">
      <c r="AN816" s="418"/>
      <c r="AO816" s="418"/>
      <c r="AP816" s="418"/>
      <c r="AQ816" s="418"/>
      <c r="AR816" s="418"/>
      <c r="AS816" s="418"/>
      <c r="AT816" s="418"/>
      <c r="AU816" s="418"/>
      <c r="AV816" s="418"/>
      <c r="AW816" s="418"/>
      <c r="AX816" s="418"/>
      <c r="AY816" s="418"/>
      <c r="AZ816" s="418"/>
      <c r="BA816" s="418"/>
    </row>
    <row r="817" spans="40:53" ht="15.75" customHeight="1">
      <c r="AN817" s="418"/>
      <c r="AO817" s="418"/>
      <c r="AP817" s="418"/>
      <c r="AQ817" s="418"/>
      <c r="AR817" s="418"/>
      <c r="AS817" s="418"/>
      <c r="AT817" s="418"/>
      <c r="AU817" s="418"/>
      <c r="AV817" s="418"/>
      <c r="AW817" s="418"/>
      <c r="AX817" s="418"/>
      <c r="AY817" s="418"/>
      <c r="AZ817" s="418"/>
      <c r="BA817" s="418"/>
    </row>
    <row r="818" spans="40:53" ht="15.75" customHeight="1">
      <c r="AN818" s="418"/>
      <c r="AO818" s="418"/>
      <c r="AP818" s="418"/>
      <c r="AQ818" s="418"/>
      <c r="AR818" s="418"/>
      <c r="AS818" s="418"/>
      <c r="AT818" s="418"/>
      <c r="AU818" s="418"/>
      <c r="AV818" s="418"/>
      <c r="AW818" s="418"/>
      <c r="AX818" s="418"/>
      <c r="AY818" s="418"/>
      <c r="AZ818" s="418"/>
      <c r="BA818" s="418"/>
    </row>
    <row r="819" spans="40:53" ht="15.75" customHeight="1">
      <c r="AN819" s="418"/>
      <c r="AO819" s="418"/>
      <c r="AP819" s="418"/>
      <c r="AQ819" s="418"/>
      <c r="AR819" s="418"/>
      <c r="AS819" s="418"/>
      <c r="AT819" s="418"/>
      <c r="AU819" s="418"/>
      <c r="AV819" s="418"/>
      <c r="AW819" s="418"/>
      <c r="AX819" s="418"/>
      <c r="AY819" s="418"/>
      <c r="AZ819" s="418"/>
      <c r="BA819" s="418"/>
    </row>
    <row r="820" spans="40:53" ht="15.75" customHeight="1">
      <c r="AN820" s="418"/>
      <c r="AO820" s="418"/>
      <c r="AP820" s="418"/>
      <c r="AQ820" s="418"/>
      <c r="AR820" s="418"/>
      <c r="AS820" s="418"/>
      <c r="AT820" s="418"/>
      <c r="AU820" s="418"/>
      <c r="AV820" s="418"/>
      <c r="AW820" s="418"/>
      <c r="AX820" s="418"/>
      <c r="AY820" s="418"/>
      <c r="AZ820" s="418"/>
      <c r="BA820" s="418"/>
    </row>
    <row r="821" spans="40:53" ht="15.75" customHeight="1">
      <c r="AN821" s="418"/>
      <c r="AO821" s="418"/>
      <c r="AP821" s="418"/>
      <c r="AQ821" s="418"/>
      <c r="AR821" s="418"/>
      <c r="AS821" s="418"/>
      <c r="AT821" s="418"/>
      <c r="AU821" s="418"/>
      <c r="AV821" s="418"/>
      <c r="AW821" s="418"/>
      <c r="AX821" s="418"/>
      <c r="AY821" s="418"/>
      <c r="AZ821" s="418"/>
      <c r="BA821" s="418"/>
    </row>
    <row r="822" spans="40:53" ht="15.75" customHeight="1">
      <c r="AN822" s="418"/>
      <c r="AO822" s="418"/>
      <c r="AP822" s="418"/>
      <c r="AQ822" s="418"/>
      <c r="AR822" s="418"/>
      <c r="AS822" s="418"/>
      <c r="AT822" s="418"/>
      <c r="AU822" s="418"/>
      <c r="AV822" s="418"/>
      <c r="AW822" s="418"/>
      <c r="AX822" s="418"/>
      <c r="AY822" s="418"/>
      <c r="AZ822" s="418"/>
      <c r="BA822" s="418"/>
    </row>
    <row r="823" spans="40:53" ht="15.75" customHeight="1">
      <c r="AN823" s="418"/>
      <c r="AO823" s="418"/>
      <c r="AP823" s="418"/>
      <c r="AQ823" s="418"/>
      <c r="AR823" s="418"/>
      <c r="AS823" s="418"/>
      <c r="AT823" s="418"/>
      <c r="AU823" s="418"/>
      <c r="AV823" s="418"/>
      <c r="AW823" s="418"/>
      <c r="AX823" s="418"/>
      <c r="AY823" s="418"/>
      <c r="AZ823" s="418"/>
      <c r="BA823" s="418"/>
    </row>
    <row r="824" spans="40:53" ht="15.75" customHeight="1">
      <c r="AN824" s="418"/>
      <c r="AO824" s="418"/>
      <c r="AP824" s="418"/>
      <c r="AQ824" s="418"/>
      <c r="AR824" s="418"/>
      <c r="AS824" s="418"/>
      <c r="AT824" s="418"/>
      <c r="AU824" s="418"/>
      <c r="AV824" s="418"/>
      <c r="AW824" s="418"/>
      <c r="AX824" s="418"/>
      <c r="AY824" s="418"/>
      <c r="AZ824" s="418"/>
      <c r="BA824" s="418"/>
    </row>
    <row r="825" spans="40:53" ht="15.75" customHeight="1">
      <c r="AN825" s="418"/>
      <c r="AO825" s="418"/>
      <c r="AP825" s="418"/>
      <c r="AQ825" s="418"/>
      <c r="AR825" s="418"/>
      <c r="AS825" s="418"/>
      <c r="AT825" s="418"/>
      <c r="AU825" s="418"/>
      <c r="AV825" s="418"/>
      <c r="AW825" s="418"/>
      <c r="AX825" s="418"/>
      <c r="AY825" s="418"/>
      <c r="AZ825" s="418"/>
      <c r="BA825" s="418"/>
    </row>
    <row r="826" spans="40:53" ht="15.75" customHeight="1">
      <c r="AN826" s="418"/>
      <c r="AO826" s="418"/>
      <c r="AP826" s="418"/>
      <c r="AQ826" s="418"/>
      <c r="AR826" s="418"/>
      <c r="AS826" s="418"/>
      <c r="AT826" s="418"/>
      <c r="AU826" s="418"/>
      <c r="AV826" s="418"/>
      <c r="AW826" s="418"/>
      <c r="AX826" s="418"/>
      <c r="AY826" s="418"/>
      <c r="AZ826" s="418"/>
      <c r="BA826" s="418"/>
    </row>
    <row r="827" spans="40:53" ht="15.75" customHeight="1">
      <c r="AN827" s="418"/>
      <c r="AO827" s="418"/>
      <c r="AP827" s="418"/>
      <c r="AQ827" s="418"/>
      <c r="AR827" s="418"/>
      <c r="AS827" s="418"/>
      <c r="AT827" s="418"/>
      <c r="AU827" s="418"/>
      <c r="AV827" s="418"/>
      <c r="AW827" s="418"/>
      <c r="AX827" s="418"/>
      <c r="AY827" s="418"/>
      <c r="AZ827" s="418"/>
      <c r="BA827" s="418"/>
    </row>
    <row r="828" spans="40:53" ht="15.75" customHeight="1">
      <c r="AN828" s="418"/>
      <c r="AO828" s="418"/>
      <c r="AP828" s="418"/>
      <c r="AQ828" s="418"/>
      <c r="AR828" s="418"/>
      <c r="AS828" s="418"/>
      <c r="AT828" s="418"/>
      <c r="AU828" s="418"/>
      <c r="AV828" s="418"/>
      <c r="AW828" s="418"/>
      <c r="AX828" s="418"/>
      <c r="AY828" s="418"/>
      <c r="AZ828" s="418"/>
      <c r="BA828" s="418"/>
    </row>
    <row r="829" spans="40:53" ht="15.75" customHeight="1">
      <c r="AN829" s="418"/>
      <c r="AO829" s="418"/>
      <c r="AP829" s="418"/>
      <c r="AQ829" s="418"/>
      <c r="AR829" s="418"/>
      <c r="AS829" s="418"/>
      <c r="AT829" s="418"/>
      <c r="AU829" s="418"/>
      <c r="AV829" s="418"/>
      <c r="AW829" s="418"/>
      <c r="AX829" s="418"/>
      <c r="AY829" s="418"/>
      <c r="AZ829" s="418"/>
      <c r="BA829" s="418"/>
    </row>
    <row r="830" spans="40:53" ht="15.75" customHeight="1">
      <c r="AN830" s="418"/>
      <c r="AO830" s="418"/>
      <c r="AP830" s="418"/>
      <c r="AQ830" s="418"/>
      <c r="AR830" s="418"/>
      <c r="AS830" s="418"/>
      <c r="AT830" s="418"/>
      <c r="AU830" s="418"/>
      <c r="AV830" s="418"/>
      <c r="AW830" s="418"/>
      <c r="AX830" s="418"/>
      <c r="AY830" s="418"/>
      <c r="AZ830" s="418"/>
      <c r="BA830" s="418"/>
    </row>
    <row r="831" spans="40:53" ht="15.75" customHeight="1">
      <c r="AN831" s="418"/>
      <c r="AO831" s="418"/>
      <c r="AP831" s="418"/>
      <c r="AQ831" s="418"/>
      <c r="AR831" s="418"/>
      <c r="AS831" s="418"/>
      <c r="AT831" s="418"/>
      <c r="AU831" s="418"/>
      <c r="AV831" s="418"/>
      <c r="AW831" s="418"/>
      <c r="AX831" s="418"/>
      <c r="AY831" s="418"/>
      <c r="AZ831" s="418"/>
      <c r="BA831" s="418"/>
    </row>
    <row r="832" spans="40:53" ht="15.75" customHeight="1">
      <c r="AN832" s="418"/>
      <c r="AO832" s="418"/>
      <c r="AP832" s="418"/>
      <c r="AQ832" s="418"/>
      <c r="AR832" s="418"/>
      <c r="AS832" s="418"/>
      <c r="AT832" s="418"/>
      <c r="AU832" s="418"/>
      <c r="AV832" s="418"/>
      <c r="AW832" s="418"/>
      <c r="AX832" s="418"/>
      <c r="AY832" s="418"/>
      <c r="AZ832" s="418"/>
      <c r="BA832" s="418"/>
    </row>
    <row r="833" spans="40:53" ht="15.75" customHeight="1">
      <c r="AN833" s="418"/>
      <c r="AO833" s="418"/>
      <c r="AP833" s="418"/>
      <c r="AQ833" s="418"/>
      <c r="AR833" s="418"/>
      <c r="AS833" s="418"/>
      <c r="AT833" s="418"/>
      <c r="AU833" s="418"/>
      <c r="AV833" s="418"/>
      <c r="AW833" s="418"/>
      <c r="AX833" s="418"/>
      <c r="AY833" s="418"/>
      <c r="AZ833" s="418"/>
      <c r="BA833" s="418"/>
    </row>
    <row r="834" spans="40:53" ht="15.75" customHeight="1">
      <c r="AN834" s="418"/>
      <c r="AO834" s="418"/>
      <c r="AP834" s="418"/>
      <c r="AQ834" s="418"/>
      <c r="AR834" s="418"/>
      <c r="AS834" s="418"/>
      <c r="AT834" s="418"/>
      <c r="AU834" s="418"/>
      <c r="AV834" s="418"/>
      <c r="AW834" s="418"/>
      <c r="AX834" s="418"/>
      <c r="AY834" s="418"/>
      <c r="AZ834" s="418"/>
      <c r="BA834" s="418"/>
    </row>
    <row r="835" spans="40:53" ht="15.75" customHeight="1">
      <c r="AN835" s="418"/>
      <c r="AO835" s="418"/>
      <c r="AP835" s="418"/>
      <c r="AQ835" s="418"/>
      <c r="AR835" s="418"/>
      <c r="AS835" s="418"/>
      <c r="AT835" s="418"/>
      <c r="AU835" s="418"/>
      <c r="AV835" s="418"/>
      <c r="AW835" s="418"/>
      <c r="AX835" s="418"/>
      <c r="AY835" s="418"/>
      <c r="AZ835" s="418"/>
      <c r="BA835" s="418"/>
    </row>
    <row r="836" spans="40:53" ht="15.75" customHeight="1">
      <c r="AN836" s="418"/>
      <c r="AO836" s="418"/>
      <c r="AP836" s="418"/>
      <c r="AQ836" s="418"/>
      <c r="AR836" s="418"/>
      <c r="AS836" s="418"/>
      <c r="AT836" s="418"/>
      <c r="AU836" s="418"/>
      <c r="AV836" s="418"/>
      <c r="AW836" s="418"/>
      <c r="AX836" s="418"/>
      <c r="AY836" s="418"/>
      <c r="AZ836" s="418"/>
      <c r="BA836" s="418"/>
    </row>
    <row r="837" spans="40:53" ht="15.75" customHeight="1">
      <c r="AN837" s="418"/>
      <c r="AO837" s="418"/>
      <c r="AP837" s="418"/>
      <c r="AQ837" s="418"/>
      <c r="AR837" s="418"/>
      <c r="AS837" s="418"/>
      <c r="AT837" s="418"/>
      <c r="AU837" s="418"/>
      <c r="AV837" s="418"/>
      <c r="AW837" s="418"/>
      <c r="AX837" s="418"/>
      <c r="AY837" s="418"/>
      <c r="AZ837" s="418"/>
      <c r="BA837" s="418"/>
    </row>
    <row r="838" spans="40:53" ht="15.75" customHeight="1">
      <c r="AN838" s="418"/>
      <c r="AO838" s="418"/>
      <c r="AP838" s="418"/>
      <c r="AQ838" s="418"/>
      <c r="AR838" s="418"/>
      <c r="AS838" s="418"/>
      <c r="AT838" s="418"/>
      <c r="AU838" s="418"/>
      <c r="AV838" s="418"/>
      <c r="AW838" s="418"/>
      <c r="AX838" s="418"/>
      <c r="AY838" s="418"/>
      <c r="AZ838" s="418"/>
      <c r="BA838" s="418"/>
    </row>
    <row r="839" spans="40:53" ht="15.75" customHeight="1">
      <c r="AN839" s="418"/>
      <c r="AO839" s="418"/>
      <c r="AP839" s="418"/>
      <c r="AQ839" s="418"/>
      <c r="AR839" s="418"/>
      <c r="AS839" s="418"/>
      <c r="AT839" s="418"/>
      <c r="AU839" s="418"/>
      <c r="AV839" s="418"/>
      <c r="AW839" s="418"/>
      <c r="AX839" s="418"/>
      <c r="AY839" s="418"/>
      <c r="AZ839" s="418"/>
      <c r="BA839" s="418"/>
    </row>
    <row r="840" spans="40:53" ht="15.75" customHeight="1">
      <c r="AN840" s="418"/>
      <c r="AO840" s="418"/>
      <c r="AP840" s="418"/>
      <c r="AQ840" s="418"/>
      <c r="AR840" s="418"/>
      <c r="AS840" s="418"/>
      <c r="AT840" s="418"/>
      <c r="AU840" s="418"/>
      <c r="AV840" s="418"/>
      <c r="AW840" s="418"/>
      <c r="AX840" s="418"/>
      <c r="AY840" s="418"/>
      <c r="AZ840" s="418"/>
      <c r="BA840" s="418"/>
    </row>
    <row r="841" spans="40:53" ht="15.75" customHeight="1">
      <c r="AN841" s="418"/>
      <c r="AO841" s="418"/>
      <c r="AP841" s="418"/>
      <c r="AQ841" s="418"/>
      <c r="AR841" s="418"/>
      <c r="AS841" s="418"/>
      <c r="AT841" s="418"/>
      <c r="AU841" s="418"/>
      <c r="AV841" s="418"/>
      <c r="AW841" s="418"/>
      <c r="AX841" s="418"/>
      <c r="AY841" s="418"/>
      <c r="AZ841" s="418"/>
      <c r="BA841" s="418"/>
    </row>
    <row r="842" spans="40:53" ht="15.75" customHeight="1">
      <c r="AN842" s="418"/>
      <c r="AO842" s="418"/>
      <c r="AP842" s="418"/>
      <c r="AQ842" s="418"/>
      <c r="AR842" s="418"/>
      <c r="AS842" s="418"/>
      <c r="AT842" s="418"/>
      <c r="AU842" s="418"/>
      <c r="AV842" s="418"/>
      <c r="AW842" s="418"/>
      <c r="AX842" s="418"/>
      <c r="AY842" s="418"/>
      <c r="AZ842" s="418"/>
      <c r="BA842" s="418"/>
    </row>
    <row r="843" spans="40:53" ht="15.75" customHeight="1">
      <c r="AN843" s="418"/>
      <c r="AO843" s="418"/>
      <c r="AP843" s="418"/>
      <c r="AQ843" s="418"/>
      <c r="AR843" s="418"/>
      <c r="AS843" s="418"/>
      <c r="AT843" s="418"/>
      <c r="AU843" s="418"/>
      <c r="AV843" s="418"/>
      <c r="AW843" s="418"/>
      <c r="AX843" s="418"/>
      <c r="AY843" s="418"/>
      <c r="AZ843" s="418"/>
      <c r="BA843" s="418"/>
    </row>
    <row r="844" spans="40:53" ht="15.75" customHeight="1">
      <c r="AN844" s="418"/>
      <c r="AO844" s="418"/>
      <c r="AP844" s="418"/>
      <c r="AQ844" s="418"/>
      <c r="AR844" s="418"/>
      <c r="AS844" s="418"/>
      <c r="AT844" s="418"/>
      <c r="AU844" s="418"/>
      <c r="AV844" s="418"/>
      <c r="AW844" s="418"/>
      <c r="AX844" s="418"/>
      <c r="AY844" s="418"/>
      <c r="AZ844" s="418"/>
      <c r="BA844" s="418"/>
    </row>
    <row r="845" spans="40:53" ht="15.75" customHeight="1">
      <c r="AN845" s="418"/>
      <c r="AO845" s="418"/>
      <c r="AP845" s="418"/>
      <c r="AQ845" s="418"/>
      <c r="AR845" s="418"/>
      <c r="AS845" s="418"/>
      <c r="AT845" s="418"/>
      <c r="AU845" s="418"/>
      <c r="AV845" s="418"/>
      <c r="AW845" s="418"/>
      <c r="AX845" s="418"/>
      <c r="AY845" s="418"/>
      <c r="AZ845" s="418"/>
      <c r="BA845" s="418"/>
    </row>
    <row r="846" spans="40:53" ht="15.75" customHeight="1">
      <c r="AN846" s="418"/>
      <c r="AO846" s="418"/>
      <c r="AP846" s="418"/>
      <c r="AQ846" s="418"/>
      <c r="AR846" s="418"/>
      <c r="AS846" s="418"/>
      <c r="AT846" s="418"/>
      <c r="AU846" s="418"/>
      <c r="AV846" s="418"/>
      <c r="AW846" s="418"/>
      <c r="AX846" s="418"/>
      <c r="AY846" s="418"/>
      <c r="AZ846" s="418"/>
      <c r="BA846" s="418"/>
    </row>
    <row r="847" spans="40:53" ht="15.75" customHeight="1">
      <c r="AN847" s="418"/>
      <c r="AO847" s="418"/>
      <c r="AP847" s="418"/>
      <c r="AQ847" s="418"/>
      <c r="AR847" s="418"/>
      <c r="AS847" s="418"/>
      <c r="AT847" s="418"/>
      <c r="AU847" s="418"/>
      <c r="AV847" s="418"/>
      <c r="AW847" s="418"/>
      <c r="AX847" s="418"/>
      <c r="AY847" s="418"/>
      <c r="AZ847" s="418"/>
      <c r="BA847" s="418"/>
    </row>
    <row r="848" spans="40:53" ht="15.75" customHeight="1">
      <c r="AN848" s="418"/>
      <c r="AO848" s="418"/>
      <c r="AP848" s="418"/>
      <c r="AQ848" s="418"/>
      <c r="AR848" s="418"/>
      <c r="AS848" s="418"/>
      <c r="AT848" s="418"/>
      <c r="AU848" s="418"/>
      <c r="AV848" s="418"/>
      <c r="AW848" s="418"/>
      <c r="AX848" s="418"/>
      <c r="AY848" s="418"/>
      <c r="AZ848" s="418"/>
      <c r="BA848" s="418"/>
    </row>
    <row r="849" spans="40:53" ht="15.75" customHeight="1">
      <c r="AN849" s="418"/>
      <c r="AO849" s="418"/>
      <c r="AP849" s="418"/>
      <c r="AQ849" s="418"/>
      <c r="AR849" s="418"/>
      <c r="AS849" s="418"/>
      <c r="AT849" s="418"/>
      <c r="AU849" s="418"/>
      <c r="AV849" s="418"/>
      <c r="AW849" s="418"/>
      <c r="AX849" s="418"/>
      <c r="AY849" s="418"/>
      <c r="AZ849" s="418"/>
      <c r="BA849" s="418"/>
    </row>
    <row r="850" spans="40:53" ht="15.75" customHeight="1">
      <c r="AN850" s="418"/>
      <c r="AO850" s="418"/>
      <c r="AP850" s="418"/>
      <c r="AQ850" s="418"/>
      <c r="AR850" s="418"/>
      <c r="AS850" s="418"/>
      <c r="AT850" s="418"/>
      <c r="AU850" s="418"/>
      <c r="AV850" s="418"/>
      <c r="AW850" s="418"/>
      <c r="AX850" s="418"/>
      <c r="AY850" s="418"/>
      <c r="AZ850" s="418"/>
      <c r="BA850" s="418"/>
    </row>
    <row r="851" spans="40:53" ht="15.75" customHeight="1">
      <c r="AN851" s="418"/>
      <c r="AO851" s="418"/>
      <c r="AP851" s="418"/>
      <c r="AQ851" s="418"/>
      <c r="AR851" s="418"/>
      <c r="AS851" s="418"/>
      <c r="AT851" s="418"/>
      <c r="AU851" s="418"/>
      <c r="AV851" s="418"/>
      <c r="AW851" s="418"/>
      <c r="AX851" s="418"/>
      <c r="AY851" s="418"/>
      <c r="AZ851" s="418"/>
      <c r="BA851" s="418"/>
    </row>
    <row r="852" spans="40:53" ht="15.75" customHeight="1">
      <c r="AN852" s="418"/>
      <c r="AO852" s="418"/>
      <c r="AP852" s="418"/>
      <c r="AQ852" s="418"/>
      <c r="AR852" s="418"/>
      <c r="AS852" s="418"/>
      <c r="AT852" s="418"/>
      <c r="AU852" s="418"/>
      <c r="AV852" s="418"/>
      <c r="AW852" s="418"/>
      <c r="AX852" s="418"/>
      <c r="AY852" s="418"/>
      <c r="AZ852" s="418"/>
      <c r="BA852" s="418"/>
    </row>
    <row r="853" spans="40:53" ht="15.75" customHeight="1">
      <c r="AN853" s="418"/>
      <c r="AO853" s="418"/>
      <c r="AP853" s="418"/>
      <c r="AQ853" s="418"/>
      <c r="AR853" s="418"/>
      <c r="AS853" s="418"/>
      <c r="AT853" s="418"/>
      <c r="AU853" s="418"/>
      <c r="AV853" s="418"/>
      <c r="AW853" s="418"/>
      <c r="AX853" s="418"/>
      <c r="AY853" s="418"/>
      <c r="AZ853" s="418"/>
      <c r="BA853" s="418"/>
    </row>
    <row r="854" spans="40:53" ht="15.75" customHeight="1">
      <c r="AN854" s="418"/>
      <c r="AO854" s="418"/>
      <c r="AP854" s="418"/>
      <c r="AQ854" s="418"/>
      <c r="AR854" s="418"/>
      <c r="AS854" s="418"/>
      <c r="AT854" s="418"/>
      <c r="AU854" s="418"/>
      <c r="AV854" s="418"/>
      <c r="AW854" s="418"/>
      <c r="AX854" s="418"/>
      <c r="AY854" s="418"/>
      <c r="AZ854" s="418"/>
      <c r="BA854" s="418"/>
    </row>
    <row r="855" spans="40:53" ht="15.75" customHeight="1">
      <c r="AN855" s="418"/>
      <c r="AO855" s="418"/>
      <c r="AP855" s="418"/>
      <c r="AQ855" s="418"/>
      <c r="AR855" s="418"/>
      <c r="AS855" s="418"/>
      <c r="AT855" s="418"/>
      <c r="AU855" s="418"/>
      <c r="AV855" s="418"/>
      <c r="AW855" s="418"/>
      <c r="AX855" s="418"/>
      <c r="AY855" s="418"/>
      <c r="AZ855" s="418"/>
      <c r="BA855" s="418"/>
    </row>
    <row r="856" spans="40:53" ht="15.75" customHeight="1">
      <c r="AN856" s="418"/>
      <c r="AO856" s="418"/>
      <c r="AP856" s="418"/>
      <c r="AQ856" s="418"/>
      <c r="AR856" s="418"/>
      <c r="AS856" s="418"/>
      <c r="AT856" s="418"/>
      <c r="AU856" s="418"/>
      <c r="AV856" s="418"/>
      <c r="AW856" s="418"/>
      <c r="AX856" s="418"/>
      <c r="AY856" s="418"/>
      <c r="AZ856" s="418"/>
      <c r="BA856" s="418"/>
    </row>
    <row r="857" spans="40:53" ht="15.75" customHeight="1">
      <c r="AN857" s="418"/>
      <c r="AO857" s="418"/>
      <c r="AP857" s="418"/>
      <c r="AQ857" s="418"/>
      <c r="AR857" s="418"/>
      <c r="AS857" s="418"/>
      <c r="AT857" s="418"/>
      <c r="AU857" s="418"/>
      <c r="AV857" s="418"/>
      <c r="AW857" s="418"/>
      <c r="AX857" s="418"/>
      <c r="AY857" s="418"/>
      <c r="AZ857" s="418"/>
      <c r="BA857" s="418"/>
    </row>
    <row r="858" spans="40:53" ht="15.75" customHeight="1">
      <c r="AN858" s="418"/>
      <c r="AO858" s="418"/>
      <c r="AP858" s="418"/>
      <c r="AQ858" s="418"/>
      <c r="AR858" s="418"/>
      <c r="AS858" s="418"/>
      <c r="AT858" s="418"/>
      <c r="AU858" s="418"/>
      <c r="AV858" s="418"/>
      <c r="AW858" s="418"/>
      <c r="AX858" s="418"/>
      <c r="AY858" s="418"/>
      <c r="AZ858" s="418"/>
      <c r="BA858" s="418"/>
    </row>
    <row r="859" spans="40:53" ht="15.75" customHeight="1">
      <c r="AN859" s="418"/>
      <c r="AO859" s="418"/>
      <c r="AP859" s="418"/>
      <c r="AQ859" s="418"/>
      <c r="AR859" s="418"/>
      <c r="AS859" s="418"/>
      <c r="AT859" s="418"/>
      <c r="AU859" s="418"/>
      <c r="AV859" s="418"/>
      <c r="AW859" s="418"/>
      <c r="AX859" s="418"/>
      <c r="AY859" s="418"/>
      <c r="AZ859" s="418"/>
      <c r="BA859" s="418"/>
    </row>
    <row r="860" spans="40:53" ht="15.75" customHeight="1">
      <c r="AN860" s="418"/>
      <c r="AO860" s="418"/>
      <c r="AP860" s="418"/>
      <c r="AQ860" s="418"/>
      <c r="AR860" s="418"/>
      <c r="AS860" s="418"/>
      <c r="AT860" s="418"/>
      <c r="AU860" s="418"/>
      <c r="AV860" s="418"/>
      <c r="AW860" s="418"/>
      <c r="AX860" s="418"/>
      <c r="AY860" s="418"/>
      <c r="AZ860" s="418"/>
      <c r="BA860" s="418"/>
    </row>
    <row r="861" spans="40:53" ht="15.75" customHeight="1">
      <c r="AN861" s="418"/>
      <c r="AO861" s="418"/>
      <c r="AP861" s="418"/>
      <c r="AQ861" s="418"/>
      <c r="AR861" s="418"/>
      <c r="AS861" s="418"/>
      <c r="AT861" s="418"/>
      <c r="AU861" s="418"/>
      <c r="AV861" s="418"/>
      <c r="AW861" s="418"/>
      <c r="AX861" s="418"/>
      <c r="AY861" s="418"/>
      <c r="AZ861" s="418"/>
      <c r="BA861" s="418"/>
    </row>
    <row r="862" spans="40:53" ht="15.75" customHeight="1">
      <c r="AN862" s="418"/>
      <c r="AO862" s="418"/>
      <c r="AP862" s="418"/>
      <c r="AQ862" s="418"/>
      <c r="AR862" s="418"/>
      <c r="AS862" s="418"/>
      <c r="AT862" s="418"/>
      <c r="AU862" s="418"/>
      <c r="AV862" s="418"/>
      <c r="AW862" s="418"/>
      <c r="AX862" s="418"/>
      <c r="AY862" s="418"/>
      <c r="AZ862" s="418"/>
      <c r="BA862" s="418"/>
    </row>
    <row r="863" spans="40:53" ht="15.75" customHeight="1">
      <c r="AN863" s="418"/>
      <c r="AO863" s="418"/>
      <c r="AP863" s="418"/>
      <c r="AQ863" s="418"/>
      <c r="AR863" s="418"/>
      <c r="AS863" s="418"/>
      <c r="AT863" s="418"/>
      <c r="AU863" s="418"/>
      <c r="AV863" s="418"/>
      <c r="AW863" s="418"/>
      <c r="AX863" s="418"/>
      <c r="AY863" s="418"/>
      <c r="AZ863" s="418"/>
      <c r="BA863" s="418"/>
    </row>
    <row r="864" spans="40:53" ht="15.75" customHeight="1">
      <c r="AN864" s="418"/>
      <c r="AO864" s="418"/>
      <c r="AP864" s="418"/>
      <c r="AQ864" s="418"/>
      <c r="AR864" s="418"/>
      <c r="AS864" s="418"/>
      <c r="AT864" s="418"/>
      <c r="AU864" s="418"/>
      <c r="AV864" s="418"/>
      <c r="AW864" s="418"/>
      <c r="AX864" s="418"/>
      <c r="AY864" s="418"/>
      <c r="AZ864" s="418"/>
      <c r="BA864" s="418"/>
    </row>
    <row r="865" spans="40:53" ht="15.75" customHeight="1">
      <c r="AN865" s="418"/>
      <c r="AO865" s="418"/>
      <c r="AP865" s="418"/>
      <c r="AQ865" s="418"/>
      <c r="AR865" s="418"/>
      <c r="AS865" s="418"/>
      <c r="AT865" s="418"/>
      <c r="AU865" s="418"/>
      <c r="AV865" s="418"/>
      <c r="AW865" s="418"/>
      <c r="AX865" s="418"/>
      <c r="AY865" s="418"/>
      <c r="AZ865" s="418"/>
      <c r="BA865" s="418"/>
    </row>
    <row r="866" spans="40:53" ht="15.75" customHeight="1">
      <c r="AN866" s="418"/>
      <c r="AO866" s="418"/>
      <c r="AP866" s="418"/>
      <c r="AQ866" s="418"/>
      <c r="AR866" s="418"/>
      <c r="AS866" s="418"/>
      <c r="AT866" s="418"/>
      <c r="AU866" s="418"/>
      <c r="AV866" s="418"/>
      <c r="AW866" s="418"/>
      <c r="AX866" s="418"/>
      <c r="AY866" s="418"/>
      <c r="AZ866" s="418"/>
      <c r="BA866" s="418"/>
    </row>
    <row r="867" spans="40:53" ht="15.75" customHeight="1">
      <c r="AN867" s="418"/>
      <c r="AO867" s="418"/>
      <c r="AP867" s="418"/>
      <c r="AQ867" s="418"/>
      <c r="AR867" s="418"/>
      <c r="AS867" s="418"/>
      <c r="AT867" s="418"/>
      <c r="AU867" s="418"/>
      <c r="AV867" s="418"/>
      <c r="AW867" s="418"/>
      <c r="AX867" s="418"/>
      <c r="AY867" s="418"/>
      <c r="AZ867" s="418"/>
      <c r="BA867" s="418"/>
    </row>
    <row r="868" spans="40:53" ht="15.75" customHeight="1">
      <c r="AN868" s="418"/>
      <c r="AO868" s="418"/>
      <c r="AP868" s="418"/>
      <c r="AQ868" s="418"/>
      <c r="AR868" s="418"/>
      <c r="AS868" s="418"/>
      <c r="AT868" s="418"/>
      <c r="AU868" s="418"/>
      <c r="AV868" s="418"/>
      <c r="AW868" s="418"/>
      <c r="AX868" s="418"/>
      <c r="AY868" s="418"/>
      <c r="AZ868" s="418"/>
      <c r="BA868" s="418"/>
    </row>
    <row r="869" spans="40:53" ht="15.75" customHeight="1">
      <c r="AN869" s="418"/>
      <c r="AO869" s="418"/>
      <c r="AP869" s="418"/>
      <c r="AQ869" s="418"/>
      <c r="AR869" s="418"/>
      <c r="AS869" s="418"/>
      <c r="AT869" s="418"/>
      <c r="AU869" s="418"/>
      <c r="AV869" s="418"/>
      <c r="AW869" s="418"/>
      <c r="AX869" s="418"/>
      <c r="AY869" s="418"/>
      <c r="AZ869" s="418"/>
      <c r="BA869" s="418"/>
    </row>
    <row r="870" spans="40:53" ht="15.75" customHeight="1">
      <c r="AN870" s="418"/>
      <c r="AO870" s="418"/>
      <c r="AP870" s="418"/>
      <c r="AQ870" s="418"/>
      <c r="AR870" s="418"/>
      <c r="AS870" s="418"/>
      <c r="AT870" s="418"/>
      <c r="AU870" s="418"/>
      <c r="AV870" s="418"/>
      <c r="AW870" s="418"/>
      <c r="AX870" s="418"/>
      <c r="AY870" s="418"/>
      <c r="AZ870" s="418"/>
      <c r="BA870" s="418"/>
    </row>
    <row r="871" spans="40:53" ht="15.75" customHeight="1">
      <c r="AN871" s="418"/>
      <c r="AO871" s="418"/>
      <c r="AP871" s="418"/>
      <c r="AQ871" s="418"/>
      <c r="AR871" s="418"/>
      <c r="AS871" s="418"/>
      <c r="AT871" s="418"/>
      <c r="AU871" s="418"/>
      <c r="AV871" s="418"/>
      <c r="AW871" s="418"/>
      <c r="AX871" s="418"/>
      <c r="AY871" s="418"/>
      <c r="AZ871" s="418"/>
      <c r="BA871" s="418"/>
    </row>
    <row r="872" spans="40:53" ht="15.75" customHeight="1">
      <c r="AN872" s="418"/>
      <c r="AO872" s="418"/>
      <c r="AP872" s="418"/>
      <c r="AQ872" s="418"/>
      <c r="AR872" s="418"/>
      <c r="AS872" s="418"/>
      <c r="AT872" s="418"/>
      <c r="AU872" s="418"/>
      <c r="AV872" s="418"/>
      <c r="AW872" s="418"/>
      <c r="AX872" s="418"/>
      <c r="AY872" s="418"/>
      <c r="AZ872" s="418"/>
      <c r="BA872" s="418"/>
    </row>
    <row r="873" spans="40:53" ht="15.75" customHeight="1">
      <c r="AN873" s="418"/>
      <c r="AO873" s="418"/>
      <c r="AP873" s="418"/>
      <c r="AQ873" s="418"/>
      <c r="AR873" s="418"/>
      <c r="AS873" s="418"/>
      <c r="AT873" s="418"/>
      <c r="AU873" s="418"/>
      <c r="AV873" s="418"/>
      <c r="AW873" s="418"/>
      <c r="AX873" s="418"/>
      <c r="AY873" s="418"/>
      <c r="AZ873" s="418"/>
      <c r="BA873" s="418"/>
    </row>
    <row r="874" spans="40:53" ht="15.75" customHeight="1">
      <c r="AN874" s="418"/>
      <c r="AO874" s="418"/>
      <c r="AP874" s="418"/>
      <c r="AQ874" s="418"/>
      <c r="AR874" s="418"/>
      <c r="AS874" s="418"/>
      <c r="AT874" s="418"/>
      <c r="AU874" s="418"/>
      <c r="AV874" s="418"/>
      <c r="AW874" s="418"/>
      <c r="AX874" s="418"/>
      <c r="AY874" s="418"/>
      <c r="AZ874" s="418"/>
      <c r="BA874" s="418"/>
    </row>
    <row r="875" spans="40:53" ht="15.75" customHeight="1">
      <c r="AN875" s="418"/>
      <c r="AO875" s="418"/>
      <c r="AP875" s="418"/>
      <c r="AQ875" s="418"/>
      <c r="AR875" s="418"/>
      <c r="AS875" s="418"/>
      <c r="AT875" s="418"/>
      <c r="AU875" s="418"/>
      <c r="AV875" s="418"/>
      <c r="AW875" s="418"/>
      <c r="AX875" s="418"/>
      <c r="AY875" s="418"/>
      <c r="AZ875" s="418"/>
      <c r="BA875" s="418"/>
    </row>
    <row r="876" spans="40:53" ht="15.75" customHeight="1">
      <c r="AN876" s="418"/>
      <c r="AO876" s="418"/>
      <c r="AP876" s="418"/>
      <c r="AQ876" s="418"/>
      <c r="AR876" s="418"/>
      <c r="AS876" s="418"/>
      <c r="AT876" s="418"/>
      <c r="AU876" s="418"/>
      <c r="AV876" s="418"/>
      <c r="AW876" s="418"/>
      <c r="AX876" s="418"/>
      <c r="AY876" s="418"/>
      <c r="AZ876" s="418"/>
      <c r="BA876" s="418"/>
    </row>
    <row r="877" spans="40:53" ht="15.75" customHeight="1">
      <c r="AN877" s="418"/>
      <c r="AO877" s="418"/>
      <c r="AP877" s="418"/>
      <c r="AQ877" s="418"/>
      <c r="AR877" s="418"/>
      <c r="AS877" s="418"/>
      <c r="AT877" s="418"/>
      <c r="AU877" s="418"/>
      <c r="AV877" s="418"/>
      <c r="AW877" s="418"/>
      <c r="AX877" s="418"/>
      <c r="AY877" s="418"/>
      <c r="AZ877" s="418"/>
      <c r="BA877" s="418"/>
    </row>
    <row r="878" spans="40:53" ht="15.75" customHeight="1">
      <c r="AN878" s="418"/>
      <c r="AO878" s="418"/>
      <c r="AP878" s="418"/>
      <c r="AQ878" s="418"/>
      <c r="AR878" s="418"/>
      <c r="AS878" s="418"/>
      <c r="AT878" s="418"/>
      <c r="AU878" s="418"/>
      <c r="AV878" s="418"/>
      <c r="AW878" s="418"/>
      <c r="AX878" s="418"/>
      <c r="AY878" s="418"/>
      <c r="AZ878" s="418"/>
      <c r="BA878" s="418"/>
    </row>
    <row r="879" spans="40:53" ht="15.75" customHeight="1">
      <c r="AN879" s="418"/>
      <c r="AO879" s="418"/>
      <c r="AP879" s="418"/>
      <c r="AQ879" s="418"/>
      <c r="AR879" s="418"/>
      <c r="AS879" s="418"/>
      <c r="AT879" s="418"/>
      <c r="AU879" s="418"/>
      <c r="AV879" s="418"/>
      <c r="AW879" s="418"/>
      <c r="AX879" s="418"/>
      <c r="AY879" s="418"/>
      <c r="AZ879" s="418"/>
      <c r="BA879" s="418"/>
    </row>
    <row r="880" spans="40:53" ht="15.75" customHeight="1">
      <c r="AN880" s="418"/>
      <c r="AO880" s="418"/>
      <c r="AP880" s="418"/>
      <c r="AQ880" s="418"/>
      <c r="AR880" s="418"/>
      <c r="AS880" s="418"/>
      <c r="AT880" s="418"/>
      <c r="AU880" s="418"/>
      <c r="AV880" s="418"/>
      <c r="AW880" s="418"/>
      <c r="AX880" s="418"/>
      <c r="AY880" s="418"/>
      <c r="AZ880" s="418"/>
      <c r="BA880" s="418"/>
    </row>
    <row r="881" spans="40:53" ht="15.75" customHeight="1">
      <c r="AN881" s="418"/>
      <c r="AO881" s="418"/>
      <c r="AP881" s="418"/>
      <c r="AQ881" s="418"/>
      <c r="AR881" s="418"/>
      <c r="AS881" s="418"/>
      <c r="AT881" s="418"/>
      <c r="AU881" s="418"/>
      <c r="AV881" s="418"/>
      <c r="AW881" s="418"/>
      <c r="AX881" s="418"/>
      <c r="AY881" s="418"/>
      <c r="AZ881" s="418"/>
      <c r="BA881" s="418"/>
    </row>
    <row r="882" spans="40:53" ht="15.75" customHeight="1">
      <c r="AN882" s="418"/>
      <c r="AO882" s="418"/>
      <c r="AP882" s="418"/>
      <c r="AQ882" s="418"/>
      <c r="AR882" s="418"/>
      <c r="AS882" s="418"/>
      <c r="AT882" s="418"/>
      <c r="AU882" s="418"/>
      <c r="AV882" s="418"/>
      <c r="AW882" s="418"/>
      <c r="AX882" s="418"/>
      <c r="AY882" s="418"/>
      <c r="AZ882" s="418"/>
      <c r="BA882" s="418"/>
    </row>
    <row r="883" spans="40:53" ht="15.75" customHeight="1">
      <c r="AN883" s="418"/>
      <c r="AO883" s="418"/>
      <c r="AP883" s="418"/>
      <c r="AQ883" s="418"/>
      <c r="AR883" s="418"/>
      <c r="AS883" s="418"/>
      <c r="AT883" s="418"/>
      <c r="AU883" s="418"/>
      <c r="AV883" s="418"/>
      <c r="AW883" s="418"/>
      <c r="AX883" s="418"/>
      <c r="AY883" s="418"/>
      <c r="AZ883" s="418"/>
      <c r="BA883" s="418"/>
    </row>
    <row r="884" spans="40:53" ht="15.75" customHeight="1">
      <c r="AN884" s="418"/>
      <c r="AO884" s="418"/>
      <c r="AP884" s="418"/>
      <c r="AQ884" s="418"/>
      <c r="AR884" s="418"/>
      <c r="AS884" s="418"/>
      <c r="AT884" s="418"/>
      <c r="AU884" s="418"/>
      <c r="AV884" s="418"/>
      <c r="AW884" s="418"/>
      <c r="AX884" s="418"/>
      <c r="AY884" s="418"/>
      <c r="AZ884" s="418"/>
      <c r="BA884" s="418"/>
    </row>
    <row r="885" spans="40:53" ht="15.75" customHeight="1">
      <c r="AN885" s="418"/>
      <c r="AO885" s="418"/>
      <c r="AP885" s="418"/>
      <c r="AQ885" s="418"/>
      <c r="AR885" s="418"/>
      <c r="AS885" s="418"/>
      <c r="AT885" s="418"/>
      <c r="AU885" s="418"/>
      <c r="AV885" s="418"/>
      <c r="AW885" s="418"/>
      <c r="AX885" s="418"/>
      <c r="AY885" s="418"/>
      <c r="AZ885" s="418"/>
      <c r="BA885" s="418"/>
    </row>
    <row r="886" spans="40:53" ht="15.75" customHeight="1">
      <c r="AN886" s="418"/>
      <c r="AO886" s="418"/>
      <c r="AP886" s="418"/>
      <c r="AQ886" s="418"/>
      <c r="AR886" s="418"/>
      <c r="AS886" s="418"/>
      <c r="AT886" s="418"/>
      <c r="AU886" s="418"/>
      <c r="AV886" s="418"/>
      <c r="AW886" s="418"/>
      <c r="AX886" s="418"/>
      <c r="AY886" s="418"/>
      <c r="AZ886" s="418"/>
      <c r="BA886" s="418"/>
    </row>
    <row r="887" spans="40:53" ht="15.75" customHeight="1">
      <c r="AN887" s="418"/>
      <c r="AO887" s="418"/>
      <c r="AP887" s="418"/>
      <c r="AQ887" s="418"/>
      <c r="AR887" s="418"/>
      <c r="AS887" s="418"/>
      <c r="AT887" s="418"/>
      <c r="AU887" s="418"/>
      <c r="AV887" s="418"/>
      <c r="AW887" s="418"/>
      <c r="AX887" s="418"/>
      <c r="AY887" s="418"/>
      <c r="AZ887" s="418"/>
      <c r="BA887" s="418"/>
    </row>
    <row r="888" spans="40:53" ht="15.75" customHeight="1">
      <c r="AN888" s="418"/>
      <c r="AO888" s="418"/>
      <c r="AP888" s="418"/>
      <c r="AQ888" s="418"/>
      <c r="AR888" s="418"/>
      <c r="AS888" s="418"/>
      <c r="AT888" s="418"/>
      <c r="AU888" s="418"/>
      <c r="AV888" s="418"/>
      <c r="AW888" s="418"/>
      <c r="AX888" s="418"/>
      <c r="AY888" s="418"/>
      <c r="AZ888" s="418"/>
      <c r="BA888" s="418"/>
    </row>
    <row r="889" spans="40:53" ht="15.75" customHeight="1">
      <c r="AN889" s="418"/>
      <c r="AO889" s="418"/>
      <c r="AP889" s="418"/>
      <c r="AQ889" s="418"/>
      <c r="AR889" s="418"/>
      <c r="AS889" s="418"/>
      <c r="AT889" s="418"/>
      <c r="AU889" s="418"/>
      <c r="AV889" s="418"/>
      <c r="AW889" s="418"/>
      <c r="AX889" s="418"/>
      <c r="AY889" s="418"/>
      <c r="AZ889" s="418"/>
      <c r="BA889" s="418"/>
    </row>
    <row r="890" spans="40:53" ht="15.75" customHeight="1">
      <c r="AN890" s="418"/>
      <c r="AO890" s="418"/>
      <c r="AP890" s="418"/>
      <c r="AQ890" s="418"/>
      <c r="AR890" s="418"/>
      <c r="AS890" s="418"/>
      <c r="AT890" s="418"/>
      <c r="AU890" s="418"/>
      <c r="AV890" s="418"/>
      <c r="AW890" s="418"/>
      <c r="AX890" s="418"/>
      <c r="AY890" s="418"/>
      <c r="AZ890" s="418"/>
      <c r="BA890" s="418"/>
    </row>
    <row r="891" spans="40:53" ht="15.75" customHeight="1">
      <c r="AN891" s="418"/>
      <c r="AO891" s="418"/>
      <c r="AP891" s="418"/>
      <c r="AQ891" s="418"/>
      <c r="AR891" s="418"/>
      <c r="AS891" s="418"/>
      <c r="AT891" s="418"/>
      <c r="AU891" s="418"/>
      <c r="AV891" s="418"/>
      <c r="AW891" s="418"/>
      <c r="AX891" s="418"/>
      <c r="AY891" s="418"/>
      <c r="AZ891" s="418"/>
      <c r="BA891" s="418"/>
    </row>
    <row r="892" spans="40:53" ht="15.75" customHeight="1">
      <c r="AN892" s="418"/>
      <c r="AO892" s="418"/>
      <c r="AP892" s="418"/>
      <c r="AQ892" s="418"/>
      <c r="AR892" s="418"/>
      <c r="AS892" s="418"/>
      <c r="AT892" s="418"/>
      <c r="AU892" s="418"/>
      <c r="AV892" s="418"/>
      <c r="AW892" s="418"/>
      <c r="AX892" s="418"/>
      <c r="AY892" s="418"/>
      <c r="AZ892" s="418"/>
      <c r="BA892" s="418"/>
    </row>
    <row r="893" spans="40:53" ht="15.75" customHeight="1">
      <c r="AN893" s="418"/>
      <c r="AO893" s="418"/>
      <c r="AP893" s="418"/>
      <c r="AQ893" s="418"/>
      <c r="AR893" s="418"/>
      <c r="AS893" s="418"/>
      <c r="AT893" s="418"/>
      <c r="AU893" s="418"/>
      <c r="AV893" s="418"/>
      <c r="AW893" s="418"/>
      <c r="AX893" s="418"/>
      <c r="AY893" s="418"/>
      <c r="AZ893" s="418"/>
      <c r="BA893" s="418"/>
    </row>
    <row r="894" spans="40:53" ht="15.75" customHeight="1">
      <c r="AN894" s="418"/>
      <c r="AO894" s="418"/>
      <c r="AP894" s="418"/>
      <c r="AQ894" s="418"/>
      <c r="AR894" s="418"/>
      <c r="AS894" s="418"/>
      <c r="AT894" s="418"/>
      <c r="AU894" s="418"/>
      <c r="AV894" s="418"/>
      <c r="AW894" s="418"/>
      <c r="AX894" s="418"/>
      <c r="AY894" s="418"/>
      <c r="AZ894" s="418"/>
      <c r="BA894" s="418"/>
    </row>
    <row r="895" spans="40:53" ht="15.75" customHeight="1">
      <c r="AN895" s="418"/>
      <c r="AO895" s="418"/>
      <c r="AP895" s="418"/>
      <c r="AQ895" s="418"/>
      <c r="AR895" s="418"/>
      <c r="AS895" s="418"/>
      <c r="AT895" s="418"/>
      <c r="AU895" s="418"/>
      <c r="AV895" s="418"/>
      <c r="AW895" s="418"/>
      <c r="AX895" s="418"/>
      <c r="AY895" s="418"/>
      <c r="AZ895" s="418"/>
      <c r="BA895" s="418"/>
    </row>
    <row r="896" spans="40:53" ht="15.75" customHeight="1">
      <c r="AN896" s="418"/>
      <c r="AO896" s="418"/>
      <c r="AP896" s="418"/>
      <c r="AQ896" s="418"/>
      <c r="AR896" s="418"/>
      <c r="AS896" s="418"/>
      <c r="AT896" s="418"/>
      <c r="AU896" s="418"/>
      <c r="AV896" s="418"/>
      <c r="AW896" s="418"/>
      <c r="AX896" s="418"/>
      <c r="AY896" s="418"/>
      <c r="AZ896" s="418"/>
      <c r="BA896" s="418"/>
    </row>
    <row r="897" spans="40:53" ht="15.75" customHeight="1">
      <c r="AN897" s="418"/>
      <c r="AO897" s="418"/>
      <c r="AP897" s="418"/>
      <c r="AQ897" s="418"/>
      <c r="AR897" s="418"/>
      <c r="AS897" s="418"/>
      <c r="AT897" s="418"/>
      <c r="AU897" s="418"/>
      <c r="AV897" s="418"/>
      <c r="AW897" s="418"/>
      <c r="AX897" s="418"/>
      <c r="AY897" s="418"/>
      <c r="AZ897" s="418"/>
      <c r="BA897" s="418"/>
    </row>
    <row r="898" spans="40:53" ht="15.75" customHeight="1">
      <c r="AN898" s="418"/>
      <c r="AO898" s="418"/>
      <c r="AP898" s="418"/>
      <c r="AQ898" s="418"/>
      <c r="AR898" s="418"/>
      <c r="AS898" s="418"/>
      <c r="AT898" s="418"/>
      <c r="AU898" s="418"/>
      <c r="AV898" s="418"/>
      <c r="AW898" s="418"/>
      <c r="AX898" s="418"/>
      <c r="AY898" s="418"/>
      <c r="AZ898" s="418"/>
      <c r="BA898" s="418"/>
    </row>
    <row r="899" spans="40:53" ht="15.75" customHeight="1">
      <c r="AN899" s="418"/>
      <c r="AO899" s="418"/>
      <c r="AP899" s="418"/>
      <c r="AQ899" s="418"/>
      <c r="AR899" s="418"/>
      <c r="AS899" s="418"/>
      <c r="AT899" s="418"/>
      <c r="AU899" s="418"/>
      <c r="AV899" s="418"/>
      <c r="AW899" s="418"/>
      <c r="AX899" s="418"/>
      <c r="AY899" s="418"/>
      <c r="AZ899" s="418"/>
      <c r="BA899" s="418"/>
    </row>
    <row r="900" spans="40:53" ht="15.75" customHeight="1">
      <c r="AN900" s="418"/>
      <c r="AO900" s="418"/>
      <c r="AP900" s="418"/>
      <c r="AQ900" s="418"/>
      <c r="AR900" s="418"/>
      <c r="AS900" s="418"/>
      <c r="AT900" s="418"/>
      <c r="AU900" s="418"/>
      <c r="AV900" s="418"/>
      <c r="AW900" s="418"/>
      <c r="AX900" s="418"/>
      <c r="AY900" s="418"/>
      <c r="AZ900" s="418"/>
      <c r="BA900" s="418"/>
    </row>
    <row r="901" spans="40:53" ht="15.75" customHeight="1">
      <c r="AN901" s="418"/>
      <c r="AO901" s="418"/>
      <c r="AP901" s="418"/>
      <c r="AQ901" s="418"/>
      <c r="AR901" s="418"/>
      <c r="AS901" s="418"/>
      <c r="AT901" s="418"/>
      <c r="AU901" s="418"/>
      <c r="AV901" s="418"/>
      <c r="AW901" s="418"/>
      <c r="AX901" s="418"/>
      <c r="AY901" s="418"/>
      <c r="AZ901" s="418"/>
      <c r="BA901" s="418"/>
    </row>
    <row r="902" spans="40:53" ht="15.75" customHeight="1">
      <c r="AN902" s="418"/>
      <c r="AO902" s="418"/>
      <c r="AP902" s="418"/>
      <c r="AQ902" s="418"/>
      <c r="AR902" s="418"/>
      <c r="AS902" s="418"/>
      <c r="AT902" s="418"/>
      <c r="AU902" s="418"/>
      <c r="AV902" s="418"/>
      <c r="AW902" s="418"/>
      <c r="AX902" s="418"/>
      <c r="AY902" s="418"/>
      <c r="AZ902" s="418"/>
      <c r="BA902" s="418"/>
    </row>
    <row r="903" spans="40:53" ht="15.75" customHeight="1">
      <c r="AN903" s="418"/>
      <c r="AO903" s="418"/>
      <c r="AP903" s="418"/>
      <c r="AQ903" s="418"/>
      <c r="AR903" s="418"/>
      <c r="AS903" s="418"/>
      <c r="AT903" s="418"/>
      <c r="AU903" s="418"/>
      <c r="AV903" s="418"/>
      <c r="AW903" s="418"/>
      <c r="AX903" s="418"/>
      <c r="AY903" s="418"/>
      <c r="AZ903" s="418"/>
      <c r="BA903" s="418"/>
    </row>
    <row r="904" spans="40:53" ht="15.75" customHeight="1">
      <c r="AN904" s="418"/>
      <c r="AO904" s="418"/>
      <c r="AP904" s="418"/>
      <c r="AQ904" s="418"/>
      <c r="AR904" s="418"/>
      <c r="AS904" s="418"/>
      <c r="AT904" s="418"/>
      <c r="AU904" s="418"/>
      <c r="AV904" s="418"/>
      <c r="AW904" s="418"/>
      <c r="AX904" s="418"/>
      <c r="AY904" s="418"/>
      <c r="AZ904" s="418"/>
      <c r="BA904" s="418"/>
    </row>
    <row r="905" spans="40:53" ht="15.75" customHeight="1">
      <c r="AN905" s="418"/>
      <c r="AO905" s="418"/>
      <c r="AP905" s="418"/>
      <c r="AQ905" s="418"/>
      <c r="AR905" s="418"/>
      <c r="AS905" s="418"/>
      <c r="AT905" s="418"/>
      <c r="AU905" s="418"/>
      <c r="AV905" s="418"/>
      <c r="AW905" s="418"/>
      <c r="AX905" s="418"/>
      <c r="AY905" s="418"/>
      <c r="AZ905" s="418"/>
      <c r="BA905" s="418"/>
    </row>
    <row r="906" spans="40:53" ht="15.75" customHeight="1">
      <c r="AN906" s="418"/>
      <c r="AO906" s="418"/>
      <c r="AP906" s="418"/>
      <c r="AQ906" s="418"/>
      <c r="AR906" s="418"/>
      <c r="AS906" s="418"/>
      <c r="AT906" s="418"/>
      <c r="AU906" s="418"/>
      <c r="AV906" s="418"/>
      <c r="AW906" s="418"/>
      <c r="AX906" s="418"/>
      <c r="AY906" s="418"/>
      <c r="AZ906" s="418"/>
      <c r="BA906" s="418"/>
    </row>
    <row r="907" spans="40:53" ht="15.75" customHeight="1">
      <c r="AN907" s="418"/>
      <c r="AO907" s="418"/>
      <c r="AP907" s="418"/>
      <c r="AQ907" s="418"/>
      <c r="AR907" s="418"/>
      <c r="AS907" s="418"/>
      <c r="AT907" s="418"/>
      <c r="AU907" s="418"/>
      <c r="AV907" s="418"/>
      <c r="AW907" s="418"/>
      <c r="AX907" s="418"/>
      <c r="AY907" s="418"/>
      <c r="AZ907" s="418"/>
      <c r="BA907" s="418"/>
    </row>
    <row r="908" spans="40:53" ht="15.75" customHeight="1">
      <c r="AN908" s="418"/>
      <c r="AO908" s="418"/>
      <c r="AP908" s="418"/>
      <c r="AQ908" s="418"/>
      <c r="AR908" s="418"/>
      <c r="AS908" s="418"/>
      <c r="AT908" s="418"/>
      <c r="AU908" s="418"/>
      <c r="AV908" s="418"/>
      <c r="AW908" s="418"/>
      <c r="AX908" s="418"/>
      <c r="AY908" s="418"/>
      <c r="AZ908" s="418"/>
      <c r="BA908" s="418"/>
    </row>
    <row r="909" spans="40:53" ht="15.75" customHeight="1">
      <c r="AN909" s="418"/>
      <c r="AO909" s="418"/>
      <c r="AP909" s="418"/>
      <c r="AQ909" s="418"/>
      <c r="AR909" s="418"/>
      <c r="AS909" s="418"/>
      <c r="AT909" s="418"/>
      <c r="AU909" s="418"/>
      <c r="AV909" s="418"/>
      <c r="AW909" s="418"/>
      <c r="AX909" s="418"/>
      <c r="AY909" s="418"/>
      <c r="AZ909" s="418"/>
      <c r="BA909" s="418"/>
    </row>
    <row r="910" spans="40:53" ht="15.75" customHeight="1">
      <c r="AN910" s="418"/>
      <c r="AO910" s="418"/>
      <c r="AP910" s="418"/>
      <c r="AQ910" s="418"/>
      <c r="AR910" s="418"/>
      <c r="AS910" s="418"/>
      <c r="AT910" s="418"/>
      <c r="AU910" s="418"/>
      <c r="AV910" s="418"/>
      <c r="AW910" s="418"/>
      <c r="AX910" s="418"/>
      <c r="AY910" s="418"/>
      <c r="AZ910" s="418"/>
      <c r="BA910" s="418"/>
    </row>
    <row r="911" spans="40:53" ht="15.75" customHeight="1">
      <c r="AN911" s="418"/>
      <c r="AO911" s="418"/>
      <c r="AP911" s="418"/>
      <c r="AQ911" s="418"/>
      <c r="AR911" s="418"/>
      <c r="AS911" s="418"/>
      <c r="AT911" s="418"/>
      <c r="AU911" s="418"/>
      <c r="AV911" s="418"/>
      <c r="AW911" s="418"/>
      <c r="AX911" s="418"/>
      <c r="AY911" s="418"/>
      <c r="AZ911" s="418"/>
      <c r="BA911" s="418"/>
    </row>
    <row r="912" spans="40:53" ht="15.75" customHeight="1">
      <c r="AN912" s="418"/>
      <c r="AO912" s="418"/>
      <c r="AP912" s="418"/>
      <c r="AQ912" s="418"/>
      <c r="AR912" s="418"/>
      <c r="AS912" s="418"/>
      <c r="AT912" s="418"/>
      <c r="AU912" s="418"/>
      <c r="AV912" s="418"/>
      <c r="AW912" s="418"/>
      <c r="AX912" s="418"/>
      <c r="AY912" s="418"/>
      <c r="AZ912" s="418"/>
      <c r="BA912" s="418"/>
    </row>
    <row r="913" spans="40:53" ht="15.75" customHeight="1">
      <c r="AN913" s="418"/>
      <c r="AO913" s="418"/>
      <c r="AP913" s="418"/>
      <c r="AQ913" s="418"/>
      <c r="AR913" s="418"/>
      <c r="AS913" s="418"/>
      <c r="AT913" s="418"/>
      <c r="AU913" s="418"/>
      <c r="AV913" s="418"/>
      <c r="AW913" s="418"/>
      <c r="AX913" s="418"/>
      <c r="AY913" s="418"/>
      <c r="AZ913" s="418"/>
      <c r="BA913" s="418"/>
    </row>
    <row r="914" spans="40:53" ht="15.75" customHeight="1">
      <c r="AN914" s="418"/>
      <c r="AO914" s="418"/>
      <c r="AP914" s="418"/>
      <c r="AQ914" s="418"/>
      <c r="AR914" s="418"/>
      <c r="AS914" s="418"/>
      <c r="AT914" s="418"/>
      <c r="AU914" s="418"/>
      <c r="AV914" s="418"/>
      <c r="AW914" s="418"/>
      <c r="AX914" s="418"/>
      <c r="AY914" s="418"/>
      <c r="AZ914" s="418"/>
      <c r="BA914" s="418"/>
    </row>
    <row r="915" spans="40:53" ht="15.75" customHeight="1">
      <c r="AN915" s="418"/>
      <c r="AO915" s="418"/>
      <c r="AP915" s="418"/>
      <c r="AQ915" s="418"/>
      <c r="AR915" s="418"/>
      <c r="AS915" s="418"/>
      <c r="AT915" s="418"/>
      <c r="AU915" s="418"/>
      <c r="AV915" s="418"/>
      <c r="AW915" s="418"/>
      <c r="AX915" s="418"/>
      <c r="AY915" s="418"/>
      <c r="AZ915" s="418"/>
      <c r="BA915" s="418"/>
    </row>
    <row r="916" spans="40:53" ht="15.75" customHeight="1">
      <c r="AN916" s="418"/>
      <c r="AO916" s="418"/>
      <c r="AP916" s="418"/>
      <c r="AQ916" s="418"/>
      <c r="AR916" s="418"/>
      <c r="AS916" s="418"/>
      <c r="AT916" s="418"/>
      <c r="AU916" s="418"/>
      <c r="AV916" s="418"/>
      <c r="AW916" s="418"/>
      <c r="AX916" s="418"/>
      <c r="AY916" s="418"/>
      <c r="AZ916" s="418"/>
      <c r="BA916" s="418"/>
    </row>
    <row r="917" spans="40:53" ht="15.75" customHeight="1">
      <c r="AN917" s="418"/>
      <c r="AO917" s="418"/>
      <c r="AP917" s="418"/>
      <c r="AQ917" s="418"/>
      <c r="AR917" s="418"/>
      <c r="AS917" s="418"/>
      <c r="AT917" s="418"/>
      <c r="AU917" s="418"/>
      <c r="AV917" s="418"/>
      <c r="AW917" s="418"/>
      <c r="AX917" s="418"/>
      <c r="AY917" s="418"/>
      <c r="AZ917" s="418"/>
      <c r="BA917" s="418"/>
    </row>
    <row r="918" spans="40:53" ht="15.75" customHeight="1">
      <c r="AN918" s="418"/>
      <c r="AO918" s="418"/>
      <c r="AP918" s="418"/>
      <c r="AQ918" s="418"/>
      <c r="AR918" s="418"/>
      <c r="AS918" s="418"/>
      <c r="AT918" s="418"/>
      <c r="AU918" s="418"/>
      <c r="AV918" s="418"/>
      <c r="AW918" s="418"/>
      <c r="AX918" s="418"/>
      <c r="AY918" s="418"/>
      <c r="AZ918" s="418"/>
      <c r="BA918" s="418"/>
    </row>
    <row r="919" spans="40:53" ht="15.75" customHeight="1">
      <c r="AN919" s="418"/>
      <c r="AO919" s="418"/>
      <c r="AP919" s="418"/>
      <c r="AQ919" s="418"/>
      <c r="AR919" s="418"/>
      <c r="AS919" s="418"/>
      <c r="AT919" s="418"/>
      <c r="AU919" s="418"/>
      <c r="AV919" s="418"/>
      <c r="AW919" s="418"/>
      <c r="AX919" s="418"/>
      <c r="AY919" s="418"/>
      <c r="AZ919" s="418"/>
      <c r="BA919" s="418"/>
    </row>
    <row r="920" spans="40:53" ht="15.75" customHeight="1">
      <c r="AN920" s="418"/>
      <c r="AO920" s="418"/>
      <c r="AP920" s="418"/>
      <c r="AQ920" s="418"/>
      <c r="AR920" s="418"/>
      <c r="AS920" s="418"/>
      <c r="AT920" s="418"/>
      <c r="AU920" s="418"/>
      <c r="AV920" s="418"/>
      <c r="AW920" s="418"/>
      <c r="AX920" s="418"/>
      <c r="AY920" s="418"/>
      <c r="AZ920" s="418"/>
      <c r="BA920" s="418"/>
    </row>
    <row r="921" spans="40:53" ht="15.75" customHeight="1">
      <c r="AN921" s="418"/>
      <c r="AO921" s="418"/>
      <c r="AP921" s="418"/>
      <c r="AQ921" s="418"/>
      <c r="AR921" s="418"/>
      <c r="AS921" s="418"/>
      <c r="AT921" s="418"/>
      <c r="AU921" s="418"/>
      <c r="AV921" s="418"/>
      <c r="AW921" s="418"/>
      <c r="AX921" s="418"/>
      <c r="AY921" s="418"/>
      <c r="AZ921" s="418"/>
      <c r="BA921" s="418"/>
    </row>
    <row r="922" spans="40:53" ht="15.75" customHeight="1">
      <c r="AN922" s="418"/>
      <c r="AO922" s="418"/>
      <c r="AP922" s="418"/>
      <c r="AQ922" s="418"/>
      <c r="AR922" s="418"/>
      <c r="AS922" s="418"/>
      <c r="AT922" s="418"/>
      <c r="AU922" s="418"/>
      <c r="AV922" s="418"/>
      <c r="AW922" s="418"/>
      <c r="AX922" s="418"/>
      <c r="AY922" s="418"/>
      <c r="AZ922" s="418"/>
      <c r="BA922" s="418"/>
    </row>
    <row r="923" spans="40:53" ht="15.75" customHeight="1">
      <c r="AN923" s="418"/>
      <c r="AO923" s="418"/>
      <c r="AP923" s="418"/>
      <c r="AQ923" s="418"/>
      <c r="AR923" s="418"/>
      <c r="AS923" s="418"/>
      <c r="AT923" s="418"/>
      <c r="AU923" s="418"/>
      <c r="AV923" s="418"/>
      <c r="AW923" s="418"/>
      <c r="AX923" s="418"/>
      <c r="AY923" s="418"/>
      <c r="AZ923" s="418"/>
      <c r="BA923" s="418"/>
    </row>
    <row r="924" spans="40:53" ht="15.75" customHeight="1">
      <c r="AN924" s="418"/>
      <c r="AO924" s="418"/>
      <c r="AP924" s="418"/>
      <c r="AQ924" s="418"/>
      <c r="AR924" s="418"/>
      <c r="AS924" s="418"/>
      <c r="AT924" s="418"/>
      <c r="AU924" s="418"/>
      <c r="AV924" s="418"/>
      <c r="AW924" s="418"/>
      <c r="AX924" s="418"/>
      <c r="AY924" s="418"/>
      <c r="AZ924" s="418"/>
      <c r="BA924" s="418"/>
    </row>
    <row r="925" spans="40:53" ht="15.75" customHeight="1">
      <c r="AN925" s="418"/>
      <c r="AO925" s="418"/>
      <c r="AP925" s="418"/>
      <c r="AQ925" s="418"/>
      <c r="AR925" s="418"/>
      <c r="AS925" s="418"/>
      <c r="AT925" s="418"/>
      <c r="AU925" s="418"/>
      <c r="AV925" s="418"/>
      <c r="AW925" s="418"/>
      <c r="AX925" s="418"/>
      <c r="AY925" s="418"/>
      <c r="AZ925" s="418"/>
      <c r="BA925" s="418"/>
    </row>
    <row r="926" spans="40:53" ht="15.75" customHeight="1">
      <c r="AN926" s="418"/>
      <c r="AO926" s="418"/>
      <c r="AP926" s="418"/>
      <c r="AQ926" s="418"/>
      <c r="AR926" s="418"/>
      <c r="AS926" s="418"/>
      <c r="AT926" s="418"/>
      <c r="AU926" s="418"/>
      <c r="AV926" s="418"/>
      <c r="AW926" s="418"/>
      <c r="AX926" s="418"/>
      <c r="AY926" s="418"/>
      <c r="AZ926" s="418"/>
      <c r="BA926" s="418"/>
    </row>
    <row r="927" spans="40:53" ht="15.75" customHeight="1">
      <c r="AN927" s="418"/>
      <c r="AO927" s="418"/>
      <c r="AP927" s="418"/>
      <c r="AQ927" s="418"/>
      <c r="AR927" s="418"/>
      <c r="AS927" s="418"/>
      <c r="AT927" s="418"/>
      <c r="AU927" s="418"/>
      <c r="AV927" s="418"/>
      <c r="AW927" s="418"/>
      <c r="AX927" s="418"/>
      <c r="AY927" s="418"/>
      <c r="AZ927" s="418"/>
      <c r="BA927" s="418"/>
    </row>
    <row r="928" spans="40:53" ht="15.75" customHeight="1">
      <c r="AN928" s="418"/>
      <c r="AO928" s="418"/>
      <c r="AP928" s="418"/>
      <c r="AQ928" s="418"/>
      <c r="AR928" s="418"/>
      <c r="AS928" s="418"/>
      <c r="AT928" s="418"/>
      <c r="AU928" s="418"/>
      <c r="AV928" s="418"/>
      <c r="AW928" s="418"/>
      <c r="AX928" s="418"/>
      <c r="AY928" s="418"/>
      <c r="AZ928" s="418"/>
      <c r="BA928" s="418"/>
    </row>
    <row r="929" spans="40:53" ht="15.75" customHeight="1">
      <c r="AN929" s="418"/>
      <c r="AO929" s="418"/>
      <c r="AP929" s="418"/>
      <c r="AQ929" s="418"/>
      <c r="AR929" s="418"/>
      <c r="AS929" s="418"/>
      <c r="AT929" s="418"/>
      <c r="AU929" s="418"/>
      <c r="AV929" s="418"/>
      <c r="AW929" s="418"/>
      <c r="AX929" s="418"/>
      <c r="AY929" s="418"/>
      <c r="AZ929" s="418"/>
      <c r="BA929" s="418"/>
    </row>
    <row r="930" spans="40:53" ht="15.75" customHeight="1">
      <c r="AN930" s="418"/>
      <c r="AO930" s="418"/>
      <c r="AP930" s="418"/>
      <c r="AQ930" s="418"/>
      <c r="AR930" s="418"/>
      <c r="AS930" s="418"/>
      <c r="AT930" s="418"/>
      <c r="AU930" s="418"/>
      <c r="AV930" s="418"/>
      <c r="AW930" s="418"/>
      <c r="AX930" s="418"/>
      <c r="AY930" s="418"/>
      <c r="AZ930" s="418"/>
      <c r="BA930" s="418"/>
    </row>
    <row r="931" spans="40:53" ht="15.75" customHeight="1">
      <c r="AN931" s="418"/>
      <c r="AO931" s="418"/>
      <c r="AP931" s="418"/>
      <c r="AQ931" s="418"/>
      <c r="AR931" s="418"/>
      <c r="AS931" s="418"/>
      <c r="AT931" s="418"/>
      <c r="AU931" s="418"/>
      <c r="AV931" s="418"/>
      <c r="AW931" s="418"/>
      <c r="AX931" s="418"/>
      <c r="AY931" s="418"/>
      <c r="AZ931" s="418"/>
      <c r="BA931" s="418"/>
    </row>
    <row r="932" spans="40:53" ht="15.75" customHeight="1">
      <c r="AN932" s="418"/>
      <c r="AO932" s="418"/>
      <c r="AP932" s="418"/>
      <c r="AQ932" s="418"/>
      <c r="AR932" s="418"/>
      <c r="AS932" s="418"/>
      <c r="AT932" s="418"/>
      <c r="AU932" s="418"/>
      <c r="AV932" s="418"/>
      <c r="AW932" s="418"/>
      <c r="AX932" s="418"/>
      <c r="AY932" s="418"/>
      <c r="AZ932" s="418"/>
      <c r="BA932" s="418"/>
    </row>
    <row r="933" spans="40:53" ht="15.75" customHeight="1">
      <c r="AN933" s="418"/>
      <c r="AO933" s="418"/>
      <c r="AP933" s="418"/>
      <c r="AQ933" s="418"/>
      <c r="AR933" s="418"/>
      <c r="AS933" s="418"/>
      <c r="AT933" s="418"/>
      <c r="AU933" s="418"/>
      <c r="AV933" s="418"/>
      <c r="AW933" s="418"/>
      <c r="AX933" s="418"/>
      <c r="AY933" s="418"/>
      <c r="AZ933" s="418"/>
      <c r="BA933" s="418"/>
    </row>
    <row r="934" spans="40:53" ht="15.75" customHeight="1">
      <c r="AN934" s="418"/>
      <c r="AO934" s="418"/>
      <c r="AP934" s="418"/>
      <c r="AQ934" s="418"/>
      <c r="AR934" s="418"/>
      <c r="AS934" s="418"/>
      <c r="AT934" s="418"/>
      <c r="AU934" s="418"/>
      <c r="AV934" s="418"/>
      <c r="AW934" s="418"/>
      <c r="AX934" s="418"/>
      <c r="AY934" s="418"/>
      <c r="AZ934" s="418"/>
      <c r="BA934" s="418"/>
    </row>
    <row r="935" spans="40:53" ht="15.75" customHeight="1">
      <c r="AN935" s="418"/>
      <c r="AO935" s="418"/>
      <c r="AP935" s="418"/>
      <c r="AQ935" s="418"/>
      <c r="AR935" s="418"/>
      <c r="AS935" s="418"/>
      <c r="AT935" s="418"/>
      <c r="AU935" s="418"/>
      <c r="AV935" s="418"/>
      <c r="AW935" s="418"/>
      <c r="AX935" s="418"/>
      <c r="AY935" s="418"/>
      <c r="AZ935" s="418"/>
      <c r="BA935" s="418"/>
    </row>
    <row r="936" spans="40:53" ht="15.75" customHeight="1">
      <c r="AN936" s="418"/>
      <c r="AO936" s="418"/>
      <c r="AP936" s="418"/>
      <c r="AQ936" s="418"/>
      <c r="AR936" s="418"/>
      <c r="AS936" s="418"/>
      <c r="AT936" s="418"/>
      <c r="AU936" s="418"/>
      <c r="AV936" s="418"/>
      <c r="AW936" s="418"/>
      <c r="AX936" s="418"/>
      <c r="AY936" s="418"/>
      <c r="AZ936" s="418"/>
      <c r="BA936" s="418"/>
    </row>
    <row r="937" spans="40:53" ht="15.75" customHeight="1">
      <c r="AN937" s="418"/>
      <c r="AO937" s="418"/>
      <c r="AP937" s="418"/>
      <c r="AQ937" s="418"/>
      <c r="AR937" s="418"/>
      <c r="AS937" s="418"/>
      <c r="AT937" s="418"/>
      <c r="AU937" s="418"/>
      <c r="AV937" s="418"/>
      <c r="AW937" s="418"/>
      <c r="AX937" s="418"/>
      <c r="AY937" s="418"/>
      <c r="AZ937" s="418"/>
      <c r="BA937" s="418"/>
    </row>
    <row r="938" spans="40:53" ht="15.75" customHeight="1">
      <c r="AN938" s="418"/>
      <c r="AO938" s="418"/>
      <c r="AP938" s="418"/>
      <c r="AQ938" s="418"/>
      <c r="AR938" s="418"/>
      <c r="AS938" s="418"/>
      <c r="AT938" s="418"/>
      <c r="AU938" s="418"/>
      <c r="AV938" s="418"/>
      <c r="AW938" s="418"/>
      <c r="AX938" s="418"/>
      <c r="AY938" s="418"/>
      <c r="AZ938" s="418"/>
      <c r="BA938" s="418"/>
    </row>
    <row r="939" spans="40:53" ht="15.75" customHeight="1">
      <c r="AN939" s="418"/>
      <c r="AO939" s="418"/>
      <c r="AP939" s="418"/>
      <c r="AQ939" s="418"/>
      <c r="AR939" s="418"/>
      <c r="AS939" s="418"/>
      <c r="AT939" s="418"/>
      <c r="AU939" s="418"/>
      <c r="AV939" s="418"/>
      <c r="AW939" s="418"/>
      <c r="AX939" s="418"/>
      <c r="AY939" s="418"/>
      <c r="AZ939" s="418"/>
      <c r="BA939" s="418"/>
    </row>
    <row r="940" spans="40:53" ht="15.75" customHeight="1">
      <c r="AN940" s="418"/>
      <c r="AO940" s="418"/>
      <c r="AP940" s="418"/>
      <c r="AQ940" s="418"/>
      <c r="AR940" s="418"/>
      <c r="AS940" s="418"/>
      <c r="AT940" s="418"/>
      <c r="AU940" s="418"/>
      <c r="AV940" s="418"/>
      <c r="AW940" s="418"/>
      <c r="AX940" s="418"/>
      <c r="AY940" s="418"/>
      <c r="AZ940" s="418"/>
      <c r="BA940" s="418"/>
    </row>
    <row r="941" spans="40:53" ht="15.75" customHeight="1">
      <c r="AN941" s="418"/>
      <c r="AO941" s="418"/>
      <c r="AP941" s="418"/>
      <c r="AQ941" s="418"/>
      <c r="AR941" s="418"/>
      <c r="AS941" s="418"/>
      <c r="AT941" s="418"/>
      <c r="AU941" s="418"/>
      <c r="AV941" s="418"/>
      <c r="AW941" s="418"/>
      <c r="AX941" s="418"/>
      <c r="AY941" s="418"/>
      <c r="AZ941" s="418"/>
      <c r="BA941" s="418"/>
    </row>
    <row r="942" spans="40:53" ht="15.75" customHeight="1">
      <c r="AN942" s="418"/>
      <c r="AO942" s="418"/>
      <c r="AP942" s="418"/>
      <c r="AQ942" s="418"/>
      <c r="AR942" s="418"/>
      <c r="AS942" s="418"/>
      <c r="AT942" s="418"/>
      <c r="AU942" s="418"/>
      <c r="AV942" s="418"/>
      <c r="AW942" s="418"/>
      <c r="AX942" s="418"/>
      <c r="AY942" s="418"/>
      <c r="AZ942" s="418"/>
      <c r="BA942" s="418"/>
    </row>
    <row r="943" spans="40:53" ht="15.75" customHeight="1">
      <c r="AN943" s="418"/>
      <c r="AO943" s="418"/>
      <c r="AP943" s="418"/>
      <c r="AQ943" s="418"/>
      <c r="AR943" s="418"/>
      <c r="AS943" s="418"/>
      <c r="AT943" s="418"/>
      <c r="AU943" s="418"/>
      <c r="AV943" s="418"/>
      <c r="AW943" s="418"/>
      <c r="AX943" s="418"/>
      <c r="AY943" s="418"/>
      <c r="AZ943" s="418"/>
      <c r="BA943" s="418"/>
    </row>
    <row r="944" spans="40:53" ht="15.75" customHeight="1">
      <c r="AN944" s="418"/>
      <c r="AO944" s="418"/>
      <c r="AP944" s="418"/>
      <c r="AQ944" s="418"/>
      <c r="AR944" s="418"/>
      <c r="AS944" s="418"/>
      <c r="AT944" s="418"/>
      <c r="AU944" s="418"/>
      <c r="AV944" s="418"/>
      <c r="AW944" s="418"/>
      <c r="AX944" s="418"/>
      <c r="AY944" s="418"/>
      <c r="AZ944" s="418"/>
      <c r="BA944" s="418"/>
    </row>
    <row r="945" spans="40:53" ht="15.75" customHeight="1">
      <c r="AN945" s="418"/>
      <c r="AO945" s="418"/>
      <c r="AP945" s="418"/>
      <c r="AQ945" s="418"/>
      <c r="AR945" s="418"/>
      <c r="AS945" s="418"/>
      <c r="AT945" s="418"/>
      <c r="AU945" s="418"/>
      <c r="AV945" s="418"/>
      <c r="AW945" s="418"/>
      <c r="AX945" s="418"/>
      <c r="AY945" s="418"/>
      <c r="AZ945" s="418"/>
      <c r="BA945" s="418"/>
    </row>
    <row r="946" spans="40:53" ht="15.75" customHeight="1">
      <c r="AN946" s="418"/>
      <c r="AO946" s="418"/>
      <c r="AP946" s="418"/>
      <c r="AQ946" s="418"/>
      <c r="AR946" s="418"/>
      <c r="AS946" s="418"/>
      <c r="AT946" s="418"/>
      <c r="AU946" s="418"/>
      <c r="AV946" s="418"/>
      <c r="AW946" s="418"/>
      <c r="AX946" s="418"/>
      <c r="AY946" s="418"/>
      <c r="AZ946" s="418"/>
      <c r="BA946" s="418"/>
    </row>
    <row r="947" spans="40:53" ht="15.75" customHeight="1">
      <c r="AN947" s="418"/>
      <c r="AO947" s="418"/>
      <c r="AP947" s="418"/>
      <c r="AQ947" s="418"/>
      <c r="AR947" s="418"/>
      <c r="AS947" s="418"/>
      <c r="AT947" s="418"/>
      <c r="AU947" s="418"/>
      <c r="AV947" s="418"/>
      <c r="AW947" s="418"/>
      <c r="AX947" s="418"/>
      <c r="AY947" s="418"/>
      <c r="AZ947" s="418"/>
      <c r="BA947" s="418"/>
    </row>
    <row r="948" spans="40:53" ht="15.75" customHeight="1">
      <c r="AN948" s="418"/>
      <c r="AO948" s="418"/>
      <c r="AP948" s="418"/>
      <c r="AQ948" s="418"/>
      <c r="AR948" s="418"/>
      <c r="AS948" s="418"/>
      <c r="AT948" s="418"/>
      <c r="AU948" s="418"/>
      <c r="AV948" s="418"/>
      <c r="AW948" s="418"/>
      <c r="AX948" s="418"/>
      <c r="AY948" s="418"/>
      <c r="AZ948" s="418"/>
      <c r="BA948" s="418"/>
    </row>
    <row r="949" spans="40:53" ht="15.75" customHeight="1">
      <c r="AN949" s="418"/>
      <c r="AO949" s="418"/>
      <c r="AP949" s="418"/>
      <c r="AQ949" s="418"/>
      <c r="AR949" s="418"/>
      <c r="AS949" s="418"/>
      <c r="AT949" s="418"/>
      <c r="AU949" s="418"/>
      <c r="AV949" s="418"/>
      <c r="AW949" s="418"/>
      <c r="AX949" s="418"/>
      <c r="AY949" s="418"/>
      <c r="AZ949" s="418"/>
      <c r="BA949" s="418"/>
    </row>
    <row r="950" spans="40:53" ht="15.75" customHeight="1">
      <c r="AN950" s="418"/>
      <c r="AO950" s="418"/>
      <c r="AP950" s="418"/>
      <c r="AQ950" s="418"/>
      <c r="AR950" s="418"/>
      <c r="AS950" s="418"/>
      <c r="AT950" s="418"/>
      <c r="AU950" s="418"/>
      <c r="AV950" s="418"/>
      <c r="AW950" s="418"/>
      <c r="AX950" s="418"/>
      <c r="AY950" s="418"/>
      <c r="AZ950" s="418"/>
      <c r="BA950" s="418"/>
    </row>
    <row r="951" spans="40:53" ht="15.75" customHeight="1">
      <c r="AN951" s="418"/>
      <c r="AO951" s="418"/>
      <c r="AP951" s="418"/>
      <c r="AQ951" s="418"/>
      <c r="AR951" s="418"/>
      <c r="AS951" s="418"/>
      <c r="AT951" s="418"/>
      <c r="AU951" s="418"/>
      <c r="AV951" s="418"/>
      <c r="AW951" s="418"/>
      <c r="AX951" s="418"/>
      <c r="AY951" s="418"/>
      <c r="AZ951" s="418"/>
      <c r="BA951" s="418"/>
    </row>
    <row r="952" spans="40:53" ht="15.75" customHeight="1">
      <c r="AN952" s="418"/>
      <c r="AO952" s="418"/>
      <c r="AP952" s="418"/>
      <c r="AQ952" s="418"/>
      <c r="AR952" s="418"/>
      <c r="AS952" s="418"/>
      <c r="AT952" s="418"/>
      <c r="AU952" s="418"/>
      <c r="AV952" s="418"/>
      <c r="AW952" s="418"/>
      <c r="AX952" s="418"/>
      <c r="AY952" s="418"/>
      <c r="AZ952" s="418"/>
      <c r="BA952" s="418"/>
    </row>
    <row r="953" spans="40:53" ht="15.75" customHeight="1">
      <c r="AN953" s="418"/>
      <c r="AO953" s="418"/>
      <c r="AP953" s="418"/>
      <c r="AQ953" s="418"/>
      <c r="AR953" s="418"/>
      <c r="AS953" s="418"/>
      <c r="AT953" s="418"/>
      <c r="AU953" s="418"/>
      <c r="AV953" s="418"/>
      <c r="AW953" s="418"/>
      <c r="AX953" s="418"/>
      <c r="AY953" s="418"/>
      <c r="AZ953" s="418"/>
      <c r="BA953" s="418"/>
    </row>
    <row r="954" spans="40:53" ht="15.75" customHeight="1">
      <c r="AN954" s="418"/>
      <c r="AO954" s="418"/>
      <c r="AP954" s="418"/>
      <c r="AQ954" s="418"/>
      <c r="AR954" s="418"/>
      <c r="AS954" s="418"/>
      <c r="AT954" s="418"/>
      <c r="AU954" s="418"/>
      <c r="AV954" s="418"/>
      <c r="AW954" s="418"/>
      <c r="AX954" s="418"/>
      <c r="AY954" s="418"/>
      <c r="AZ954" s="418"/>
      <c r="BA954" s="418"/>
    </row>
    <row r="955" spans="40:53" ht="15.75" customHeight="1">
      <c r="AN955" s="418"/>
      <c r="AO955" s="418"/>
      <c r="AP955" s="418"/>
      <c r="AQ955" s="418"/>
      <c r="AR955" s="418"/>
      <c r="AS955" s="418"/>
      <c r="AT955" s="418"/>
      <c r="AU955" s="418"/>
      <c r="AV955" s="418"/>
      <c r="AW955" s="418"/>
      <c r="AX955" s="418"/>
      <c r="AY955" s="418"/>
      <c r="AZ955" s="418"/>
      <c r="BA955" s="418"/>
    </row>
    <row r="956" spans="40:53" ht="15.75" customHeight="1">
      <c r="AN956" s="418"/>
      <c r="AO956" s="418"/>
      <c r="AP956" s="418"/>
      <c r="AQ956" s="418"/>
      <c r="AR956" s="418"/>
      <c r="AS956" s="418"/>
      <c r="AT956" s="418"/>
      <c r="AU956" s="418"/>
      <c r="AV956" s="418"/>
      <c r="AW956" s="418"/>
      <c r="AX956" s="418"/>
      <c r="AY956" s="418"/>
      <c r="AZ956" s="418"/>
      <c r="BA956" s="418"/>
    </row>
    <row r="957" spans="40:53" ht="15.75" customHeight="1">
      <c r="AN957" s="418"/>
      <c r="AO957" s="418"/>
      <c r="AP957" s="418"/>
      <c r="AQ957" s="418"/>
      <c r="AR957" s="418"/>
      <c r="AS957" s="418"/>
      <c r="AT957" s="418"/>
      <c r="AU957" s="418"/>
      <c r="AV957" s="418"/>
      <c r="AW957" s="418"/>
      <c r="AX957" s="418"/>
      <c r="AY957" s="418"/>
      <c r="AZ957" s="418"/>
      <c r="BA957" s="418"/>
    </row>
    <row r="958" spans="40:53" ht="15.75" customHeight="1">
      <c r="AN958" s="418"/>
      <c r="AO958" s="418"/>
      <c r="AP958" s="418"/>
      <c r="AQ958" s="418"/>
      <c r="AR958" s="418"/>
      <c r="AS958" s="418"/>
      <c r="AT958" s="418"/>
      <c r="AU958" s="418"/>
      <c r="AV958" s="418"/>
      <c r="AW958" s="418"/>
      <c r="AX958" s="418"/>
      <c r="AY958" s="418"/>
      <c r="AZ958" s="418"/>
      <c r="BA958" s="418"/>
    </row>
    <row r="959" spans="40:53" ht="15.75" customHeight="1">
      <c r="AN959" s="418"/>
      <c r="AO959" s="418"/>
      <c r="AP959" s="418"/>
      <c r="AQ959" s="418"/>
      <c r="AR959" s="418"/>
      <c r="AS959" s="418"/>
      <c r="AT959" s="418"/>
      <c r="AU959" s="418"/>
      <c r="AV959" s="418"/>
      <c r="AW959" s="418"/>
      <c r="AX959" s="418"/>
      <c r="AY959" s="418"/>
      <c r="AZ959" s="418"/>
      <c r="BA959" s="418"/>
    </row>
    <row r="960" spans="40:53" ht="15.75" customHeight="1">
      <c r="AN960" s="418"/>
      <c r="AO960" s="418"/>
      <c r="AP960" s="418"/>
      <c r="AQ960" s="418"/>
      <c r="AR960" s="418"/>
      <c r="AS960" s="418"/>
      <c r="AT960" s="418"/>
      <c r="AU960" s="418"/>
      <c r="AV960" s="418"/>
      <c r="AW960" s="418"/>
      <c r="AX960" s="418"/>
      <c r="AY960" s="418"/>
      <c r="AZ960" s="418"/>
      <c r="BA960" s="418"/>
    </row>
    <row r="961" spans="40:65" ht="15.75" customHeight="1">
      <c r="AN961" s="418"/>
      <c r="AO961" s="418"/>
      <c r="AP961" s="418"/>
      <c r="AQ961" s="418"/>
      <c r="AR961" s="418"/>
      <c r="AS961" s="418"/>
      <c r="AT961" s="418"/>
      <c r="AU961" s="418"/>
      <c r="AV961" s="418"/>
      <c r="AW961" s="418"/>
      <c r="AX961" s="418"/>
      <c r="AY961" s="418"/>
      <c r="AZ961" s="418"/>
      <c r="BA961" s="418"/>
      <c r="BH961" s="307"/>
      <c r="BI961" s="307"/>
      <c r="BJ961" s="307"/>
      <c r="BK961" s="307"/>
      <c r="BL961" s="307"/>
      <c r="BM961" s="307"/>
    </row>
    <row r="962" spans="40:65" ht="15.75" customHeight="1">
      <c r="AN962" s="418"/>
      <c r="AO962" s="418"/>
      <c r="AP962" s="418"/>
      <c r="AQ962" s="418"/>
      <c r="AR962" s="418"/>
      <c r="AS962" s="418"/>
      <c r="AT962" s="418"/>
      <c r="AU962" s="418"/>
      <c r="AV962" s="418"/>
      <c r="AW962" s="418"/>
      <c r="AX962" s="418"/>
      <c r="AY962" s="418"/>
      <c r="AZ962" s="418"/>
      <c r="BA962" s="418"/>
      <c r="BH962" s="307"/>
      <c r="BI962" s="307"/>
      <c r="BJ962" s="307"/>
      <c r="BK962" s="307"/>
      <c r="BL962" s="307"/>
      <c r="BM962" s="307"/>
    </row>
    <row r="963" spans="40:65" ht="15.75" customHeight="1">
      <c r="AN963" s="418"/>
      <c r="AO963" s="418"/>
      <c r="AP963" s="418"/>
      <c r="AQ963" s="418"/>
      <c r="AR963" s="418"/>
      <c r="AS963" s="418"/>
      <c r="AT963" s="418"/>
      <c r="AU963" s="418"/>
      <c r="AV963" s="418"/>
      <c r="AW963" s="418"/>
      <c r="AX963" s="418"/>
      <c r="AY963" s="418"/>
      <c r="AZ963" s="418"/>
      <c r="BA963" s="418"/>
      <c r="BH963" s="307"/>
      <c r="BI963" s="307"/>
      <c r="BJ963" s="307"/>
      <c r="BK963" s="307"/>
      <c r="BL963" s="307"/>
      <c r="BM963" s="307"/>
    </row>
    <row r="964" spans="40:65" ht="15.75" customHeight="1">
      <c r="AN964" s="418"/>
      <c r="AO964" s="418"/>
      <c r="AP964" s="418"/>
      <c r="AQ964" s="418"/>
      <c r="AR964" s="418"/>
      <c r="AS964" s="418"/>
      <c r="AT964" s="418"/>
      <c r="AU964" s="418"/>
      <c r="AV964" s="418"/>
      <c r="AW964" s="418"/>
      <c r="AX964" s="418"/>
      <c r="AY964" s="418"/>
      <c r="AZ964" s="418"/>
      <c r="BA964" s="418"/>
      <c r="BH964" s="307"/>
      <c r="BI964" s="307"/>
      <c r="BJ964" s="307"/>
      <c r="BK964" s="307"/>
      <c r="BL964" s="307"/>
      <c r="BM964" s="307"/>
    </row>
    <row r="965" spans="40:65" ht="15.75" customHeight="1">
      <c r="AN965" s="418"/>
      <c r="AO965" s="418"/>
      <c r="AP965" s="418"/>
      <c r="AQ965" s="418"/>
      <c r="AR965" s="418"/>
      <c r="AS965" s="418"/>
      <c r="AT965" s="418"/>
      <c r="AU965" s="418"/>
      <c r="AV965" s="418"/>
      <c r="AW965" s="418"/>
      <c r="AX965" s="418"/>
      <c r="AY965" s="418"/>
      <c r="AZ965" s="418"/>
      <c r="BA965" s="418"/>
      <c r="BH965" s="307"/>
      <c r="BI965" s="307"/>
      <c r="BJ965" s="307"/>
      <c r="BK965" s="307"/>
      <c r="BL965" s="307"/>
      <c r="BM965" s="307"/>
    </row>
    <row r="966" spans="40:65" ht="15.75" customHeight="1">
      <c r="AN966" s="418"/>
      <c r="AO966" s="418"/>
      <c r="AP966" s="418"/>
      <c r="AQ966" s="418"/>
      <c r="AR966" s="418"/>
      <c r="AS966" s="418"/>
      <c r="AT966" s="418"/>
      <c r="AU966" s="418"/>
      <c r="AV966" s="418"/>
      <c r="AW966" s="418"/>
      <c r="AX966" s="418"/>
      <c r="AY966" s="418"/>
      <c r="AZ966" s="418"/>
      <c r="BA966" s="418"/>
      <c r="BH966" s="307"/>
      <c r="BI966" s="307"/>
      <c r="BJ966" s="307"/>
      <c r="BK966" s="307"/>
      <c r="BL966" s="307"/>
      <c r="BM966" s="307"/>
    </row>
    <row r="967" spans="40:65" ht="15.75" customHeight="1">
      <c r="AN967" s="418"/>
      <c r="AO967" s="418"/>
      <c r="AP967" s="418"/>
      <c r="AQ967" s="418"/>
      <c r="AR967" s="418"/>
      <c r="AS967" s="418"/>
      <c r="AT967" s="418"/>
      <c r="AU967" s="418"/>
      <c r="AV967" s="418"/>
      <c r="AW967" s="418"/>
      <c r="AX967" s="418"/>
      <c r="AY967" s="418"/>
      <c r="AZ967" s="418"/>
      <c r="BA967" s="418"/>
      <c r="BH967" s="307"/>
      <c r="BI967" s="307"/>
      <c r="BJ967" s="307"/>
      <c r="BK967" s="307"/>
      <c r="BL967" s="307"/>
      <c r="BM967" s="307"/>
    </row>
    <row r="968" spans="40:65" ht="15.75" customHeight="1">
      <c r="AN968" s="418"/>
      <c r="AO968" s="418"/>
      <c r="AP968" s="418"/>
      <c r="AQ968" s="418"/>
      <c r="AR968" s="418"/>
      <c r="AS968" s="418"/>
      <c r="AT968" s="418"/>
      <c r="AU968" s="418"/>
      <c r="AV968" s="418"/>
      <c r="AW968" s="418"/>
      <c r="AX968" s="418"/>
      <c r="AY968" s="418"/>
      <c r="AZ968" s="418"/>
      <c r="BA968" s="418"/>
      <c r="BH968" s="307"/>
      <c r="BI968" s="307"/>
      <c r="BJ968" s="307"/>
      <c r="BK968" s="307"/>
      <c r="BL968" s="307"/>
      <c r="BM968" s="307"/>
    </row>
    <row r="969" spans="40:65" ht="15.75" customHeight="1">
      <c r="AN969" s="418"/>
      <c r="AO969" s="418"/>
      <c r="AP969" s="418"/>
      <c r="AQ969" s="418"/>
      <c r="AR969" s="418"/>
      <c r="AS969" s="418"/>
      <c r="AT969" s="418"/>
      <c r="AU969" s="418"/>
      <c r="AV969" s="418"/>
      <c r="AW969" s="418"/>
      <c r="AX969" s="418"/>
      <c r="AY969" s="418"/>
      <c r="AZ969" s="418"/>
      <c r="BA969" s="418"/>
      <c r="BH969" s="307"/>
      <c r="BI969" s="307"/>
      <c r="BJ969" s="307"/>
      <c r="BK969" s="307"/>
      <c r="BL969" s="307"/>
      <c r="BM969" s="307"/>
    </row>
    <row r="970" spans="40:65" ht="15.75" customHeight="1">
      <c r="AN970" s="418"/>
      <c r="AO970" s="418"/>
      <c r="AP970" s="418"/>
      <c r="AQ970" s="418"/>
      <c r="AR970" s="418"/>
      <c r="AS970" s="418"/>
      <c r="AT970" s="418"/>
      <c r="AU970" s="418"/>
      <c r="AV970" s="418"/>
      <c r="AW970" s="418"/>
      <c r="AX970" s="418"/>
      <c r="AY970" s="418"/>
      <c r="AZ970" s="418"/>
      <c r="BA970" s="418"/>
      <c r="BH970" s="307"/>
      <c r="BI970" s="307"/>
      <c r="BJ970" s="307"/>
      <c r="BK970" s="307"/>
      <c r="BL970" s="307"/>
      <c r="BM970" s="307"/>
    </row>
    <row r="971" spans="40:65" ht="15.75" customHeight="1">
      <c r="AN971" s="418"/>
      <c r="AO971" s="418"/>
      <c r="AP971" s="418"/>
      <c r="AQ971" s="418"/>
      <c r="AR971" s="418"/>
      <c r="AS971" s="418"/>
      <c r="AT971" s="418"/>
      <c r="AU971" s="418"/>
      <c r="AV971" s="418"/>
      <c r="AW971" s="418"/>
      <c r="AX971" s="418"/>
      <c r="AY971" s="418"/>
      <c r="AZ971" s="418"/>
      <c r="BA971" s="418"/>
      <c r="BH971" s="307"/>
      <c r="BI971" s="307"/>
      <c r="BJ971" s="307"/>
      <c r="BK971" s="307"/>
      <c r="BL971" s="307"/>
      <c r="BM971" s="307"/>
    </row>
    <row r="972" spans="40:65" ht="15.75" customHeight="1">
      <c r="AN972" s="418"/>
      <c r="AO972" s="418"/>
      <c r="AP972" s="418"/>
      <c r="AQ972" s="418"/>
      <c r="AR972" s="418"/>
      <c r="AS972" s="418"/>
      <c r="AT972" s="418"/>
      <c r="AU972" s="418"/>
      <c r="AV972" s="418"/>
      <c r="AW972" s="418"/>
      <c r="AX972" s="418"/>
      <c r="AY972" s="418"/>
      <c r="AZ972" s="418"/>
      <c r="BA972" s="418"/>
      <c r="BC972" s="307"/>
      <c r="BD972" s="307"/>
      <c r="BH972" s="307"/>
      <c r="BI972" s="307"/>
      <c r="BJ972" s="307"/>
      <c r="BK972" s="307"/>
      <c r="BL972" s="307"/>
      <c r="BM972" s="307"/>
    </row>
    <row r="973" spans="40:65" ht="15.75" customHeight="1">
      <c r="AN973" s="418"/>
      <c r="AO973" s="418"/>
      <c r="AP973" s="418"/>
      <c r="AQ973" s="418"/>
      <c r="AR973" s="418"/>
      <c r="AS973" s="418"/>
      <c r="AT973" s="418"/>
      <c r="AU973" s="418"/>
      <c r="AV973" s="418"/>
      <c r="AW973" s="418"/>
      <c r="AX973" s="418"/>
      <c r="AY973" s="418"/>
      <c r="AZ973" s="418"/>
      <c r="BA973" s="418"/>
      <c r="BC973" s="307"/>
      <c r="BD973" s="307"/>
      <c r="BH973" s="307"/>
      <c r="BI973" s="307"/>
      <c r="BJ973" s="307"/>
      <c r="BK973" s="307"/>
      <c r="BL973" s="307"/>
      <c r="BM973" s="307"/>
    </row>
    <row r="974" spans="40:65" ht="15.75" customHeight="1">
      <c r="AN974" s="418"/>
      <c r="AO974" s="418"/>
      <c r="AP974" s="418"/>
      <c r="AQ974" s="418"/>
      <c r="AR974" s="418"/>
      <c r="AS974" s="418"/>
      <c r="AT974" s="418"/>
      <c r="AU974" s="418"/>
      <c r="AV974" s="418"/>
      <c r="AW974" s="418"/>
      <c r="AX974" s="418"/>
      <c r="AY974" s="418"/>
      <c r="AZ974" s="418"/>
      <c r="BA974" s="418"/>
      <c r="BC974" s="307"/>
      <c r="BD974" s="307"/>
      <c r="BH974" s="307"/>
      <c r="BI974" s="307"/>
      <c r="BJ974" s="307"/>
      <c r="BK974" s="307"/>
      <c r="BL974" s="307"/>
      <c r="BM974" s="307"/>
    </row>
    <row r="975" spans="40:65" ht="15.75" customHeight="1">
      <c r="AN975" s="418"/>
      <c r="AO975" s="418"/>
      <c r="AP975" s="418"/>
      <c r="AQ975" s="418"/>
      <c r="AR975" s="418"/>
      <c r="AS975" s="418"/>
      <c r="AT975" s="418"/>
      <c r="AU975" s="418"/>
      <c r="AV975" s="418"/>
      <c r="AW975" s="418"/>
      <c r="AX975" s="418"/>
      <c r="AY975" s="418"/>
      <c r="AZ975" s="418"/>
      <c r="BA975" s="418"/>
      <c r="BC975" s="307"/>
      <c r="BD975" s="307"/>
      <c r="BH975" s="307"/>
      <c r="BI975" s="307"/>
      <c r="BJ975" s="307"/>
      <c r="BK975" s="307"/>
      <c r="BL975" s="307"/>
      <c r="BM975" s="307"/>
    </row>
    <row r="976" spans="40:65" ht="15.75" customHeight="1">
      <c r="AN976" s="418"/>
      <c r="AO976" s="418"/>
      <c r="AP976" s="418"/>
      <c r="AQ976" s="418"/>
      <c r="AR976" s="418"/>
      <c r="AS976" s="418"/>
      <c r="AT976" s="418"/>
      <c r="AU976" s="418"/>
      <c r="AV976" s="418"/>
      <c r="AW976" s="418"/>
      <c r="AX976" s="418"/>
      <c r="AY976" s="418"/>
      <c r="AZ976" s="418"/>
      <c r="BA976" s="418"/>
      <c r="BC976" s="307"/>
      <c r="BD976" s="307"/>
      <c r="BH976" s="307"/>
      <c r="BI976" s="307"/>
      <c r="BJ976" s="307"/>
      <c r="BK976" s="307"/>
      <c r="BL976" s="307"/>
      <c r="BM976" s="307"/>
    </row>
    <row r="977" spans="40:65" ht="15.75" customHeight="1">
      <c r="AN977" s="418"/>
      <c r="AO977" s="418"/>
      <c r="AP977" s="418"/>
      <c r="AQ977" s="418"/>
      <c r="AR977" s="418"/>
      <c r="AS977" s="418"/>
      <c r="AT977" s="418"/>
      <c r="AU977" s="418"/>
      <c r="AV977" s="418"/>
      <c r="AW977" s="418"/>
      <c r="AX977" s="418"/>
      <c r="AY977" s="418"/>
      <c r="AZ977" s="418"/>
      <c r="BA977" s="418"/>
      <c r="BC977" s="307"/>
      <c r="BD977" s="307"/>
      <c r="BH977" s="307"/>
      <c r="BI977" s="307"/>
      <c r="BJ977" s="307"/>
      <c r="BK977" s="307"/>
      <c r="BL977" s="307"/>
      <c r="BM977" s="307"/>
    </row>
    <row r="978" spans="40:65" ht="15.75" customHeight="1">
      <c r="AN978" s="418"/>
      <c r="AO978" s="418"/>
      <c r="AP978" s="418"/>
      <c r="AQ978" s="418"/>
      <c r="AR978" s="418"/>
      <c r="AS978" s="418"/>
      <c r="AT978" s="418"/>
      <c r="AU978" s="418"/>
      <c r="AV978" s="418"/>
      <c r="AW978" s="418"/>
      <c r="AX978" s="418"/>
      <c r="AY978" s="418"/>
      <c r="AZ978" s="418"/>
      <c r="BA978" s="418"/>
      <c r="BC978" s="307"/>
      <c r="BD978" s="307"/>
      <c r="BH978" s="307"/>
      <c r="BI978" s="307"/>
      <c r="BJ978" s="307"/>
      <c r="BK978" s="307"/>
      <c r="BL978" s="307"/>
      <c r="BM978" s="307"/>
    </row>
    <row r="979" spans="40:65" ht="15.75" customHeight="1">
      <c r="AN979" s="418"/>
      <c r="AO979" s="418"/>
      <c r="AP979" s="418"/>
      <c r="AQ979" s="418"/>
      <c r="AR979" s="418"/>
      <c r="AS979" s="418"/>
      <c r="AT979" s="418"/>
      <c r="AU979" s="418"/>
      <c r="AV979" s="418"/>
      <c r="AW979" s="418"/>
      <c r="AX979" s="418"/>
      <c r="AY979" s="418"/>
      <c r="AZ979" s="418"/>
      <c r="BA979" s="418"/>
      <c r="BC979" s="307"/>
      <c r="BD979" s="307"/>
      <c r="BH979" s="307"/>
      <c r="BI979" s="307"/>
      <c r="BJ979" s="307"/>
      <c r="BK979" s="307"/>
      <c r="BL979" s="307"/>
      <c r="BM979" s="307"/>
    </row>
    <row r="980" spans="40:65" ht="15.75" customHeight="1">
      <c r="AN980" s="418"/>
      <c r="AO980" s="418"/>
      <c r="AP980" s="418"/>
      <c r="AQ980" s="418"/>
      <c r="AR980" s="418"/>
      <c r="AS980" s="418"/>
      <c r="AT980" s="418"/>
      <c r="AU980" s="418"/>
      <c r="AV980" s="418"/>
      <c r="AW980" s="418"/>
      <c r="AX980" s="418"/>
      <c r="AY980" s="418"/>
      <c r="AZ980" s="418"/>
      <c r="BA980" s="418"/>
      <c r="BC980" s="307"/>
      <c r="BD980" s="307"/>
      <c r="BH980" s="307"/>
      <c r="BI980" s="307"/>
      <c r="BJ980" s="307"/>
      <c r="BK980" s="307"/>
      <c r="BL980" s="307"/>
      <c r="BM980" s="307"/>
    </row>
    <row r="981" spans="40:65" ht="15.75" customHeight="1">
      <c r="AN981" s="418"/>
      <c r="AO981" s="418"/>
      <c r="AP981" s="418"/>
      <c r="AQ981" s="418"/>
      <c r="AR981" s="418"/>
      <c r="AS981" s="418"/>
      <c r="AT981" s="418"/>
      <c r="AU981" s="418"/>
      <c r="AV981" s="418"/>
      <c r="AW981" s="418"/>
      <c r="AX981" s="418"/>
      <c r="AY981" s="418"/>
      <c r="AZ981" s="418"/>
      <c r="BA981" s="418"/>
      <c r="BC981" s="307"/>
      <c r="BD981" s="307"/>
      <c r="BH981" s="307"/>
      <c r="BI981" s="307"/>
      <c r="BJ981" s="307"/>
      <c r="BK981" s="307"/>
      <c r="BL981" s="307"/>
      <c r="BM981" s="307"/>
    </row>
    <row r="982" spans="40:65" ht="15.75" customHeight="1">
      <c r="AN982" s="418"/>
      <c r="AO982" s="418"/>
      <c r="AP982" s="418"/>
      <c r="AQ982" s="418"/>
      <c r="AR982" s="418"/>
      <c r="AS982" s="418"/>
      <c r="AT982" s="418"/>
      <c r="AU982" s="418"/>
      <c r="AV982" s="418"/>
      <c r="AW982" s="418"/>
      <c r="AX982" s="418"/>
      <c r="AY982" s="418"/>
      <c r="AZ982" s="418"/>
      <c r="BA982" s="418"/>
      <c r="BC982" s="307"/>
      <c r="BD982" s="307"/>
      <c r="BH982" s="307"/>
      <c r="BI982" s="307"/>
      <c r="BJ982" s="307"/>
      <c r="BK982" s="307"/>
      <c r="BL982" s="307"/>
      <c r="BM982" s="307"/>
    </row>
    <row r="983" spans="40:65" ht="15.75" customHeight="1">
      <c r="AN983" s="418"/>
      <c r="AO983" s="418"/>
      <c r="AP983" s="418"/>
      <c r="AQ983" s="418"/>
      <c r="AR983" s="418"/>
      <c r="AS983" s="418"/>
      <c r="AT983" s="418"/>
      <c r="AU983" s="418"/>
      <c r="AV983" s="418"/>
      <c r="AW983" s="418"/>
      <c r="AX983" s="418"/>
      <c r="AY983" s="418"/>
      <c r="AZ983" s="418"/>
      <c r="BA983" s="418"/>
      <c r="BC983" s="307"/>
      <c r="BD983" s="307"/>
      <c r="BH983" s="307"/>
      <c r="BI983" s="307"/>
      <c r="BJ983" s="307"/>
      <c r="BK983" s="307"/>
      <c r="BL983" s="307"/>
      <c r="BM983" s="307"/>
    </row>
    <row r="984" spans="40:65" ht="15.75" customHeight="1">
      <c r="AN984" s="418"/>
      <c r="AO984" s="418"/>
      <c r="AP984" s="418"/>
      <c r="AQ984" s="418"/>
      <c r="AR984" s="418"/>
      <c r="AS984" s="418"/>
      <c r="AT984" s="418"/>
      <c r="AU984" s="418"/>
      <c r="AV984" s="418"/>
      <c r="AW984" s="418"/>
      <c r="AX984" s="418"/>
      <c r="AY984" s="418"/>
      <c r="AZ984" s="418"/>
      <c r="BA984" s="418"/>
      <c r="BC984" s="307"/>
      <c r="BD984" s="307"/>
      <c r="BH984" s="307"/>
      <c r="BI984" s="307"/>
      <c r="BJ984" s="307"/>
      <c r="BK984" s="307"/>
      <c r="BL984" s="307"/>
      <c r="BM984" s="307"/>
    </row>
    <row r="985" spans="40:65" ht="15.75" customHeight="1">
      <c r="AN985" s="418"/>
      <c r="AO985" s="418"/>
      <c r="AP985" s="418"/>
      <c r="AQ985" s="418"/>
      <c r="AR985" s="418"/>
      <c r="AS985" s="418"/>
      <c r="AT985" s="418"/>
      <c r="AU985" s="418"/>
      <c r="AV985" s="418"/>
      <c r="AW985" s="418"/>
      <c r="AX985" s="418"/>
      <c r="AY985" s="418"/>
      <c r="AZ985" s="418"/>
      <c r="BA985" s="418"/>
      <c r="BC985" s="307"/>
      <c r="BD985" s="307"/>
      <c r="BH985" s="307"/>
      <c r="BI985" s="307"/>
      <c r="BJ985" s="307"/>
      <c r="BK985" s="307"/>
      <c r="BL985" s="307"/>
      <c r="BM985" s="307"/>
    </row>
    <row r="986" spans="40:65" ht="15.75" customHeight="1">
      <c r="AN986" s="418"/>
      <c r="AO986" s="418"/>
      <c r="AP986" s="418"/>
      <c r="AQ986" s="418"/>
      <c r="AR986" s="418"/>
      <c r="AS986" s="418"/>
      <c r="AT986" s="418"/>
      <c r="AU986" s="418"/>
      <c r="AV986" s="418"/>
      <c r="AW986" s="418"/>
      <c r="AX986" s="418"/>
      <c r="AY986" s="418"/>
      <c r="AZ986" s="418"/>
      <c r="BA986" s="418"/>
      <c r="BC986" s="307"/>
      <c r="BD986" s="307"/>
      <c r="BH986" s="307"/>
      <c r="BI986" s="307"/>
      <c r="BJ986" s="307"/>
      <c r="BK986" s="307"/>
      <c r="BL986" s="307"/>
      <c r="BM986" s="307"/>
    </row>
    <row r="987" spans="40:65" ht="15.75" customHeight="1">
      <c r="AN987" s="418"/>
      <c r="AO987" s="418"/>
      <c r="AP987" s="418"/>
      <c r="AQ987" s="418"/>
      <c r="AR987" s="418"/>
      <c r="AS987" s="418"/>
      <c r="AT987" s="418"/>
      <c r="AU987" s="418"/>
      <c r="AV987" s="418"/>
      <c r="AW987" s="418"/>
      <c r="AX987" s="418"/>
      <c r="AY987" s="418"/>
      <c r="AZ987" s="418"/>
      <c r="BA987" s="418"/>
      <c r="BC987" s="307"/>
      <c r="BD987" s="307"/>
      <c r="BH987" s="307"/>
      <c r="BI987" s="307"/>
      <c r="BJ987" s="307"/>
      <c r="BK987" s="307"/>
      <c r="BL987" s="307"/>
      <c r="BM987" s="307"/>
    </row>
    <row r="988" spans="40:65" ht="15.75" customHeight="1">
      <c r="AN988" s="418"/>
      <c r="AO988" s="418"/>
      <c r="AP988" s="418"/>
      <c r="AQ988" s="418"/>
      <c r="AR988" s="418"/>
      <c r="AS988" s="418"/>
      <c r="AT988" s="418"/>
      <c r="AU988" s="418"/>
      <c r="AV988" s="418"/>
      <c r="AW988" s="418"/>
      <c r="AX988" s="418"/>
      <c r="AY988" s="418"/>
      <c r="AZ988" s="418"/>
      <c r="BA988" s="418"/>
      <c r="BC988" s="307"/>
      <c r="BD988" s="307"/>
      <c r="BH988" s="307"/>
      <c r="BI988" s="307"/>
      <c r="BJ988" s="307"/>
      <c r="BK988" s="307"/>
      <c r="BL988" s="307"/>
      <c r="BM988" s="307"/>
    </row>
    <row r="989" spans="40:65" ht="15.75" customHeight="1">
      <c r="AN989" s="418"/>
      <c r="AO989" s="418"/>
      <c r="AP989" s="418"/>
      <c r="AQ989" s="418"/>
      <c r="AR989" s="418"/>
      <c r="AS989" s="418"/>
      <c r="AT989" s="418"/>
      <c r="AU989" s="418"/>
      <c r="AV989" s="418"/>
      <c r="AW989" s="418"/>
      <c r="AX989" s="418"/>
      <c r="AY989" s="418"/>
      <c r="AZ989" s="418"/>
      <c r="BA989" s="418"/>
      <c r="BC989" s="307"/>
      <c r="BD989" s="307"/>
      <c r="BH989" s="307"/>
      <c r="BI989" s="307"/>
      <c r="BJ989" s="307"/>
      <c r="BK989" s="307"/>
      <c r="BL989" s="307"/>
      <c r="BM989" s="307"/>
    </row>
    <row r="990" spans="40:65" ht="15.75" customHeight="1">
      <c r="AN990" s="418"/>
      <c r="AO990" s="418"/>
      <c r="AP990" s="418"/>
      <c r="AQ990" s="418"/>
      <c r="AR990" s="418"/>
      <c r="AS990" s="418"/>
      <c r="AT990" s="418"/>
      <c r="AU990" s="418"/>
      <c r="AV990" s="418"/>
      <c r="AW990" s="418"/>
      <c r="AX990" s="418"/>
      <c r="AY990" s="418"/>
      <c r="AZ990" s="418"/>
      <c r="BA990" s="418"/>
      <c r="BC990" s="307"/>
      <c r="BD990" s="307"/>
      <c r="BH990" s="307"/>
      <c r="BI990" s="307"/>
      <c r="BJ990" s="307"/>
      <c r="BK990" s="307"/>
      <c r="BL990" s="307"/>
      <c r="BM990" s="307"/>
    </row>
    <row r="991" spans="40:65" ht="15.75" customHeight="1">
      <c r="AN991" s="418"/>
      <c r="AO991" s="418"/>
      <c r="AP991" s="418"/>
      <c r="AQ991" s="418"/>
      <c r="AR991" s="418"/>
      <c r="AS991" s="418"/>
      <c r="AT991" s="418"/>
      <c r="AU991" s="418"/>
      <c r="AV991" s="418"/>
      <c r="AW991" s="418"/>
      <c r="AX991" s="418"/>
      <c r="AY991" s="418"/>
      <c r="AZ991" s="418"/>
      <c r="BA991" s="418"/>
      <c r="BC991" s="307"/>
      <c r="BD991" s="307"/>
      <c r="BH991" s="307"/>
      <c r="BI991" s="307"/>
      <c r="BJ991" s="307"/>
      <c r="BK991" s="307"/>
      <c r="BL991" s="307"/>
      <c r="BM991" s="307"/>
    </row>
    <row r="992" spans="40:65" ht="15.75" customHeight="1">
      <c r="AN992" s="418"/>
      <c r="AO992" s="418"/>
      <c r="AP992" s="418"/>
      <c r="AQ992" s="418"/>
      <c r="AR992" s="418"/>
      <c r="AS992" s="418"/>
      <c r="AT992" s="418"/>
      <c r="AU992" s="418"/>
      <c r="AV992" s="418"/>
      <c r="AW992" s="418"/>
      <c r="AX992" s="418"/>
      <c r="AY992" s="418"/>
      <c r="AZ992" s="418"/>
      <c r="BA992" s="418"/>
      <c r="BC992" s="307"/>
      <c r="BD992" s="307"/>
      <c r="BH992" s="307"/>
      <c r="BI992" s="307"/>
      <c r="BJ992" s="307"/>
      <c r="BK992" s="307"/>
      <c r="BL992" s="307"/>
      <c r="BM992" s="307"/>
    </row>
    <row r="993" spans="40:65" ht="15.75" customHeight="1">
      <c r="AN993" s="418"/>
      <c r="AO993" s="418"/>
      <c r="AP993" s="418"/>
      <c r="AQ993" s="418"/>
      <c r="AR993" s="418"/>
      <c r="AS993" s="418"/>
      <c r="AT993" s="418"/>
      <c r="AU993" s="418"/>
      <c r="AV993" s="418"/>
      <c r="AW993" s="418"/>
      <c r="AX993" s="418"/>
      <c r="AY993" s="418"/>
      <c r="AZ993" s="418"/>
      <c r="BA993" s="418"/>
      <c r="BC993" s="307"/>
      <c r="BD993" s="307"/>
      <c r="BH993" s="307"/>
      <c r="BI993" s="307"/>
      <c r="BJ993" s="307"/>
      <c r="BK993" s="307"/>
      <c r="BL993" s="307"/>
      <c r="BM993" s="307"/>
    </row>
    <row r="994" spans="40:65" ht="15.75" customHeight="1">
      <c r="AN994" s="418"/>
      <c r="AO994" s="418"/>
      <c r="AP994" s="418"/>
      <c r="AQ994" s="418"/>
      <c r="AR994" s="418"/>
      <c r="AS994" s="418"/>
      <c r="AT994" s="418"/>
      <c r="AU994" s="418"/>
      <c r="AV994" s="418"/>
      <c r="AW994" s="418"/>
      <c r="AX994" s="418"/>
      <c r="AY994" s="418"/>
      <c r="AZ994" s="418"/>
      <c r="BA994" s="418"/>
      <c r="BC994" s="307"/>
      <c r="BD994" s="307"/>
      <c r="BH994" s="307"/>
      <c r="BI994" s="307"/>
      <c r="BJ994" s="307"/>
      <c r="BK994" s="307"/>
      <c r="BL994" s="307"/>
      <c r="BM994" s="307"/>
    </row>
    <row r="995" spans="40:65" ht="15.75" customHeight="1">
      <c r="AN995" s="418"/>
      <c r="AO995" s="418"/>
      <c r="AP995" s="418"/>
      <c r="AQ995" s="418"/>
      <c r="AR995" s="418"/>
      <c r="AS995" s="418"/>
      <c r="AT995" s="418"/>
      <c r="AU995" s="418"/>
      <c r="AV995" s="418"/>
      <c r="AW995" s="418"/>
      <c r="AX995" s="418"/>
      <c r="AY995" s="418"/>
      <c r="AZ995" s="418"/>
      <c r="BA995" s="418"/>
      <c r="BC995" s="307"/>
      <c r="BD995" s="307"/>
      <c r="BH995" s="307"/>
      <c r="BI995" s="307"/>
      <c r="BJ995" s="307"/>
      <c r="BK995" s="307"/>
      <c r="BL995" s="307"/>
      <c r="BM995" s="307"/>
    </row>
    <row r="996" spans="40:65" ht="15.75" customHeight="1">
      <c r="AN996" s="418"/>
      <c r="AO996" s="418"/>
      <c r="AP996" s="418"/>
      <c r="AQ996" s="418"/>
      <c r="AR996" s="418"/>
      <c r="AS996" s="418"/>
      <c r="AT996" s="418"/>
      <c r="AU996" s="418"/>
      <c r="AV996" s="418"/>
      <c r="AW996" s="418"/>
      <c r="AX996" s="418"/>
      <c r="AY996" s="418"/>
      <c r="AZ996" s="418"/>
      <c r="BA996" s="418"/>
      <c r="BC996" s="307"/>
      <c r="BD996" s="307"/>
      <c r="BH996" s="307"/>
      <c r="BI996" s="307"/>
      <c r="BJ996" s="307"/>
      <c r="BK996" s="307"/>
      <c r="BL996" s="307"/>
      <c r="BM996" s="307"/>
    </row>
    <row r="997" spans="40:65" ht="15.75" customHeight="1">
      <c r="AN997" s="418"/>
      <c r="AO997" s="418"/>
      <c r="AP997" s="418"/>
      <c r="AQ997" s="418"/>
      <c r="AR997" s="418"/>
      <c r="AS997" s="418"/>
      <c r="AT997" s="418"/>
      <c r="AU997" s="418"/>
      <c r="AV997" s="418"/>
      <c r="AW997" s="418"/>
      <c r="AX997" s="418"/>
      <c r="AY997" s="418"/>
      <c r="AZ997" s="418"/>
      <c r="BA997" s="418"/>
      <c r="BC997" s="307"/>
      <c r="BD997" s="307"/>
      <c r="BH997" s="307"/>
      <c r="BI997" s="307"/>
      <c r="BJ997" s="307"/>
      <c r="BK997" s="307"/>
      <c r="BL997" s="307"/>
      <c r="BM997" s="307"/>
    </row>
    <row r="998" spans="40:65" ht="15.75" customHeight="1">
      <c r="AN998" s="418"/>
      <c r="AO998" s="418"/>
      <c r="AP998" s="418"/>
      <c r="AQ998" s="418"/>
      <c r="AR998" s="418"/>
      <c r="AS998" s="418"/>
      <c r="AT998" s="418"/>
      <c r="AU998" s="418"/>
      <c r="AV998" s="418"/>
      <c r="AW998" s="418"/>
      <c r="AX998" s="418"/>
      <c r="AY998" s="418"/>
      <c r="AZ998" s="418"/>
      <c r="BA998" s="418"/>
      <c r="BC998" s="307"/>
      <c r="BD998" s="307"/>
      <c r="BH998" s="307"/>
      <c r="BI998" s="307"/>
      <c r="BJ998" s="307"/>
      <c r="BK998" s="307"/>
      <c r="BL998" s="307"/>
      <c r="BM998" s="307"/>
    </row>
    <row r="999" spans="40:65" ht="15.75" customHeight="1">
      <c r="AN999" s="418"/>
      <c r="AO999" s="418"/>
      <c r="AP999" s="418"/>
      <c r="AQ999" s="418"/>
      <c r="AR999" s="418"/>
      <c r="AS999" s="418"/>
      <c r="AT999" s="418"/>
      <c r="AU999" s="418"/>
      <c r="AV999" s="418"/>
      <c r="AW999" s="418"/>
      <c r="AX999" s="418"/>
      <c r="AY999" s="418"/>
      <c r="AZ999" s="418"/>
      <c r="BA999" s="418"/>
      <c r="BC999" s="307"/>
      <c r="BD999" s="307"/>
      <c r="BH999" s="307"/>
      <c r="BI999" s="307"/>
      <c r="BJ999" s="307"/>
      <c r="BK999" s="307"/>
      <c r="BL999" s="307"/>
      <c r="BM999" s="307"/>
    </row>
    <row r="1000" spans="40:65" ht="15.75" customHeight="1">
      <c r="AN1000" s="418"/>
      <c r="AO1000" s="418"/>
      <c r="AP1000" s="418"/>
      <c r="AQ1000" s="418"/>
      <c r="AR1000" s="418"/>
      <c r="AS1000" s="418"/>
      <c r="AT1000" s="418"/>
      <c r="AU1000" s="418"/>
      <c r="AV1000" s="418"/>
      <c r="AW1000" s="418"/>
      <c r="AX1000" s="418"/>
      <c r="AY1000" s="418"/>
      <c r="AZ1000" s="418"/>
      <c r="BA1000" s="418"/>
      <c r="BC1000" s="307"/>
      <c r="BD1000" s="307"/>
      <c r="BH1000" s="307"/>
      <c r="BI1000" s="307"/>
      <c r="BJ1000" s="307"/>
      <c r="BK1000" s="307"/>
      <c r="BL1000" s="307"/>
      <c r="BM1000" s="307"/>
    </row>
    <row r="1001" spans="40:65" ht="15.75" customHeight="1">
      <c r="AN1001" s="418"/>
      <c r="AO1001" s="418"/>
      <c r="AP1001" s="418"/>
      <c r="AQ1001" s="418"/>
      <c r="AR1001" s="418"/>
      <c r="AS1001" s="418"/>
      <c r="AT1001" s="418"/>
      <c r="AU1001" s="418"/>
      <c r="AV1001" s="418"/>
      <c r="AW1001" s="418"/>
      <c r="AX1001" s="418"/>
      <c r="AY1001" s="418"/>
      <c r="AZ1001" s="418"/>
      <c r="BA1001" s="418"/>
      <c r="BC1001" s="307"/>
      <c r="BD1001" s="307"/>
      <c r="BH1001" s="307"/>
      <c r="BI1001" s="307"/>
      <c r="BJ1001" s="307"/>
      <c r="BK1001" s="307"/>
      <c r="BL1001" s="307"/>
      <c r="BM1001" s="307"/>
    </row>
    <row r="1002" spans="40:65" ht="15.75" customHeight="1">
      <c r="AN1002" s="418"/>
      <c r="AO1002" s="418"/>
      <c r="AP1002" s="418"/>
      <c r="AQ1002" s="418"/>
      <c r="AR1002" s="418"/>
      <c r="AS1002" s="418"/>
      <c r="AT1002" s="418"/>
      <c r="AU1002" s="418"/>
      <c r="AV1002" s="418"/>
      <c r="AW1002" s="418"/>
      <c r="AX1002" s="418"/>
      <c r="AY1002" s="418"/>
      <c r="AZ1002" s="418"/>
      <c r="BA1002" s="418"/>
      <c r="BC1002" s="307"/>
      <c r="BD1002" s="307"/>
      <c r="BH1002" s="307"/>
      <c r="BI1002" s="307"/>
      <c r="BJ1002" s="307"/>
      <c r="BK1002" s="307"/>
      <c r="BL1002" s="307"/>
      <c r="BM1002" s="307"/>
    </row>
    <row r="1003" spans="40:65" ht="15.75" customHeight="1">
      <c r="AN1003" s="418"/>
      <c r="AO1003" s="418"/>
      <c r="AP1003" s="418"/>
      <c r="AQ1003" s="418"/>
      <c r="AR1003" s="418"/>
      <c r="AS1003" s="418"/>
      <c r="AT1003" s="418"/>
      <c r="AU1003" s="418"/>
      <c r="AV1003" s="418"/>
      <c r="AW1003" s="418"/>
      <c r="AX1003" s="418"/>
      <c r="AY1003" s="418"/>
      <c r="AZ1003" s="418"/>
      <c r="BA1003" s="418"/>
      <c r="BC1003" s="307"/>
      <c r="BD1003" s="307"/>
    </row>
    <row r="1004" spans="40:65" ht="15.75" customHeight="1">
      <c r="AN1004" s="418"/>
      <c r="AO1004" s="418"/>
      <c r="AP1004" s="418"/>
      <c r="AQ1004" s="418"/>
      <c r="AR1004" s="418"/>
      <c r="AS1004" s="418"/>
      <c r="AT1004" s="418"/>
      <c r="AU1004" s="418"/>
      <c r="AV1004" s="418"/>
      <c r="AW1004" s="418"/>
      <c r="AX1004" s="418"/>
      <c r="AY1004" s="418"/>
      <c r="AZ1004" s="418"/>
      <c r="BA1004" s="418"/>
      <c r="BC1004" s="307"/>
      <c r="BD1004" s="307"/>
    </row>
    <row r="1005" spans="40:65" ht="15.75" customHeight="1">
      <c r="AN1005" s="418"/>
      <c r="AO1005" s="418"/>
      <c r="AP1005" s="418"/>
      <c r="AQ1005" s="418"/>
      <c r="AR1005" s="418"/>
      <c r="AS1005" s="418"/>
      <c r="AT1005" s="418"/>
      <c r="AU1005" s="418"/>
      <c r="AV1005" s="418"/>
      <c r="AW1005" s="418"/>
      <c r="AX1005" s="418"/>
      <c r="AY1005" s="418"/>
      <c r="AZ1005" s="418"/>
      <c r="BA1005" s="418"/>
      <c r="BC1005" s="307"/>
      <c r="BD1005" s="307"/>
    </row>
    <row r="1006" spans="40:65" ht="15.75" customHeight="1">
      <c r="AN1006" s="418"/>
      <c r="AO1006" s="418"/>
      <c r="AP1006" s="418"/>
      <c r="AQ1006" s="418"/>
      <c r="AR1006" s="418"/>
      <c r="AS1006" s="418"/>
      <c r="AT1006" s="418"/>
      <c r="AU1006" s="418"/>
      <c r="AV1006" s="418"/>
      <c r="AW1006" s="418"/>
      <c r="AX1006" s="418"/>
      <c r="AY1006" s="418"/>
      <c r="AZ1006" s="418"/>
      <c r="BA1006" s="418"/>
      <c r="BC1006" s="307"/>
      <c r="BD1006" s="307"/>
    </row>
    <row r="1007" spans="40:65" ht="15.75" customHeight="1">
      <c r="AN1007" s="418"/>
      <c r="AO1007" s="418"/>
      <c r="AP1007" s="418"/>
      <c r="AQ1007" s="418"/>
      <c r="AR1007" s="418"/>
      <c r="AS1007" s="418"/>
      <c r="AT1007" s="418"/>
      <c r="AU1007" s="418"/>
      <c r="AV1007" s="418"/>
      <c r="AW1007" s="418"/>
      <c r="AX1007" s="418"/>
      <c r="AY1007" s="418"/>
      <c r="AZ1007" s="418"/>
      <c r="BA1007" s="418"/>
      <c r="BC1007" s="307"/>
      <c r="BD1007" s="307"/>
    </row>
    <row r="1008" spans="40:65" ht="15.75" customHeight="1">
      <c r="AN1008" s="418"/>
      <c r="AO1008" s="418"/>
      <c r="AP1008" s="418"/>
      <c r="AQ1008" s="418"/>
      <c r="AR1008" s="418"/>
      <c r="AS1008" s="418"/>
      <c r="AT1008" s="418"/>
      <c r="AU1008" s="418"/>
      <c r="AV1008" s="418"/>
      <c r="AW1008" s="418"/>
      <c r="AX1008" s="418"/>
      <c r="AY1008" s="418"/>
      <c r="AZ1008" s="418"/>
      <c r="BA1008" s="418"/>
      <c r="BC1008" s="307"/>
      <c r="BD1008" s="307"/>
    </row>
    <row r="1009" spans="40:56" ht="15.75" customHeight="1">
      <c r="AN1009" s="418"/>
      <c r="AO1009" s="418"/>
      <c r="AP1009" s="418"/>
      <c r="AQ1009" s="418"/>
      <c r="AR1009" s="418"/>
      <c r="AS1009" s="418"/>
      <c r="AT1009" s="418"/>
      <c r="AU1009" s="418"/>
      <c r="AV1009" s="418"/>
      <c r="AW1009" s="418"/>
      <c r="AX1009" s="418"/>
      <c r="AY1009" s="418"/>
      <c r="AZ1009" s="418"/>
      <c r="BA1009" s="418"/>
      <c r="BC1009" s="307"/>
      <c r="BD1009" s="307"/>
    </row>
    <row r="1010" spans="40:56" ht="15.75" customHeight="1">
      <c r="AN1010" s="418"/>
      <c r="AO1010" s="418"/>
      <c r="AP1010" s="418"/>
      <c r="AQ1010" s="418"/>
      <c r="AR1010" s="418"/>
      <c r="AS1010" s="418"/>
      <c r="AT1010" s="418"/>
      <c r="AU1010" s="418"/>
      <c r="AV1010" s="418"/>
      <c r="AW1010" s="418"/>
      <c r="AX1010" s="418"/>
      <c r="AY1010" s="418"/>
      <c r="AZ1010" s="418"/>
      <c r="BA1010" s="418"/>
      <c r="BC1010" s="307"/>
      <c r="BD1010" s="307"/>
    </row>
    <row r="1011" spans="40:56" ht="15.75" customHeight="1">
      <c r="AN1011" s="418"/>
      <c r="AO1011" s="418"/>
      <c r="AP1011" s="418"/>
      <c r="AQ1011" s="418"/>
      <c r="AR1011" s="418"/>
      <c r="AS1011" s="418"/>
      <c r="AT1011" s="418"/>
      <c r="AU1011" s="418"/>
      <c r="AV1011" s="418"/>
      <c r="AW1011" s="418"/>
      <c r="AX1011" s="418"/>
      <c r="AY1011" s="418"/>
      <c r="AZ1011" s="418"/>
      <c r="BA1011" s="418"/>
      <c r="BC1011" s="307"/>
      <c r="BD1011" s="307"/>
    </row>
    <row r="1012" spans="40:56" ht="15.75" customHeight="1">
      <c r="AN1012" s="418"/>
      <c r="AO1012" s="418"/>
      <c r="AP1012" s="418"/>
      <c r="AQ1012" s="418"/>
      <c r="AR1012" s="418"/>
      <c r="AS1012" s="418"/>
      <c r="AT1012" s="418"/>
      <c r="AU1012" s="418"/>
      <c r="AV1012" s="418"/>
      <c r="AW1012" s="418"/>
      <c r="AX1012" s="418"/>
      <c r="AY1012" s="418"/>
      <c r="AZ1012" s="418"/>
      <c r="BA1012" s="418"/>
      <c r="BC1012" s="307"/>
      <c r="BD1012" s="307"/>
    </row>
    <row r="1013" spans="40:56" ht="15.75" customHeight="1">
      <c r="AN1013" s="418"/>
      <c r="AO1013" s="418"/>
      <c r="AP1013" s="418"/>
      <c r="AQ1013" s="418"/>
      <c r="AR1013" s="418"/>
      <c r="AS1013" s="418"/>
      <c r="AT1013" s="418"/>
      <c r="AU1013" s="418"/>
      <c r="AV1013" s="418"/>
      <c r="AW1013" s="418"/>
      <c r="AX1013" s="418"/>
      <c r="AY1013" s="418"/>
      <c r="AZ1013" s="418"/>
      <c r="BA1013" s="418"/>
      <c r="BC1013" s="307"/>
      <c r="BD1013" s="307"/>
    </row>
    <row r="1014" spans="40:56" ht="15.75" customHeight="1">
      <c r="AN1014" s="418"/>
      <c r="AO1014" s="418"/>
      <c r="AP1014" s="418"/>
      <c r="AQ1014" s="418"/>
      <c r="AR1014" s="418"/>
      <c r="AS1014" s="418"/>
      <c r="AT1014" s="418"/>
      <c r="AU1014" s="418"/>
      <c r="AV1014" s="418"/>
      <c r="AW1014" s="418"/>
      <c r="AX1014" s="418"/>
      <c r="AY1014" s="418"/>
      <c r="AZ1014" s="418"/>
      <c r="BA1014" s="418"/>
    </row>
    <row r="1015" spans="40:56" ht="15.75" customHeight="1">
      <c r="AN1015" s="418"/>
      <c r="AO1015" s="418"/>
      <c r="AP1015" s="418"/>
      <c r="AQ1015" s="418"/>
      <c r="AR1015" s="418"/>
      <c r="AS1015" s="418"/>
      <c r="AT1015" s="418"/>
      <c r="AU1015" s="418"/>
      <c r="AV1015" s="418"/>
      <c r="AW1015" s="418"/>
      <c r="AX1015" s="418"/>
      <c r="AY1015" s="418"/>
      <c r="AZ1015" s="418"/>
      <c r="BA1015" s="418"/>
    </row>
    <row r="1016" spans="40:56" ht="15.75" customHeight="1">
      <c r="AN1016" s="418"/>
      <c r="AO1016" s="418"/>
      <c r="AP1016" s="418"/>
      <c r="AQ1016" s="418"/>
      <c r="AR1016" s="418"/>
      <c r="AS1016" s="418"/>
      <c r="AT1016" s="418"/>
      <c r="AU1016" s="418"/>
      <c r="AV1016" s="418"/>
      <c r="AW1016" s="418"/>
      <c r="AX1016" s="418"/>
      <c r="AY1016" s="418"/>
      <c r="AZ1016" s="418"/>
      <c r="BA1016" s="418"/>
    </row>
    <row r="1017" spans="40:56" ht="15.75" customHeight="1">
      <c r="AN1017" s="418"/>
      <c r="AO1017" s="418"/>
      <c r="AP1017" s="418"/>
      <c r="AQ1017" s="418"/>
      <c r="AR1017" s="418"/>
      <c r="AS1017" s="418"/>
      <c r="AT1017" s="418"/>
      <c r="AU1017" s="418"/>
      <c r="AV1017" s="418"/>
      <c r="AW1017" s="418"/>
      <c r="AX1017" s="418"/>
      <c r="AY1017" s="418"/>
      <c r="AZ1017" s="418"/>
      <c r="BA1017" s="418"/>
    </row>
    <row r="1018" spans="40:56" ht="15.75" customHeight="1">
      <c r="AN1018" s="418"/>
      <c r="AO1018" s="418"/>
      <c r="AP1018" s="418"/>
      <c r="AQ1018" s="418"/>
      <c r="AR1018" s="418"/>
      <c r="AS1018" s="418"/>
      <c r="AT1018" s="418"/>
      <c r="AU1018" s="418"/>
      <c r="AV1018" s="418"/>
      <c r="AW1018" s="418"/>
      <c r="AX1018" s="418"/>
      <c r="AY1018" s="418"/>
      <c r="AZ1018" s="418"/>
      <c r="BA1018" s="418"/>
    </row>
    <row r="1019" spans="40:56" ht="15.75" customHeight="1">
      <c r="AN1019" s="418"/>
      <c r="AO1019" s="418"/>
      <c r="AP1019" s="418"/>
      <c r="AQ1019" s="418"/>
      <c r="AR1019" s="418"/>
      <c r="AS1019" s="418"/>
      <c r="AT1019" s="418"/>
      <c r="AU1019" s="418"/>
      <c r="AV1019" s="418"/>
      <c r="AW1019" s="418"/>
      <c r="AX1019" s="418"/>
      <c r="AY1019" s="418"/>
      <c r="AZ1019" s="418"/>
      <c r="BA1019" s="418"/>
    </row>
    <row r="1020" spans="40:56" ht="15.75" customHeight="1">
      <c r="AN1020" s="418"/>
      <c r="AO1020" s="418"/>
      <c r="AP1020" s="418"/>
      <c r="AQ1020" s="418"/>
      <c r="AR1020" s="418"/>
      <c r="AS1020" s="418"/>
      <c r="AT1020" s="418"/>
      <c r="AU1020" s="418"/>
      <c r="AV1020" s="418"/>
      <c r="AW1020" s="418"/>
      <c r="AX1020" s="418"/>
      <c r="AY1020" s="418"/>
      <c r="AZ1020" s="418"/>
      <c r="BA1020" s="418"/>
    </row>
    <row r="1021" spans="40:56" ht="15.75" customHeight="1">
      <c r="AN1021" s="418"/>
      <c r="AO1021" s="418"/>
      <c r="AP1021" s="418"/>
      <c r="AQ1021" s="418"/>
      <c r="AR1021" s="418"/>
      <c r="AS1021" s="418"/>
      <c r="AT1021" s="418"/>
      <c r="AU1021" s="418"/>
      <c r="AV1021" s="418"/>
      <c r="AW1021" s="418"/>
      <c r="AX1021" s="418"/>
      <c r="AY1021" s="418"/>
      <c r="AZ1021" s="418"/>
      <c r="BA1021" s="418"/>
    </row>
    <row r="1022" spans="40:56" ht="15.75" customHeight="1">
      <c r="AN1022" s="418"/>
      <c r="AO1022" s="418"/>
      <c r="AP1022" s="418"/>
      <c r="AQ1022" s="418"/>
      <c r="AR1022" s="418"/>
      <c r="AS1022" s="418"/>
      <c r="AT1022" s="418"/>
      <c r="AU1022" s="418"/>
      <c r="AV1022" s="418"/>
      <c r="AW1022" s="418"/>
      <c r="AX1022" s="418"/>
      <c r="AY1022" s="418"/>
      <c r="AZ1022" s="418"/>
      <c r="BA1022" s="418"/>
    </row>
    <row r="1023" spans="40:56" ht="15.75" customHeight="1">
      <c r="AN1023" s="418"/>
      <c r="AO1023" s="418"/>
      <c r="AP1023" s="418"/>
      <c r="AQ1023" s="418"/>
      <c r="AR1023" s="418"/>
      <c r="AS1023" s="418"/>
      <c r="AT1023" s="418"/>
      <c r="AU1023" s="418"/>
      <c r="AV1023" s="418"/>
      <c r="AW1023" s="418"/>
      <c r="AX1023" s="418"/>
      <c r="AY1023" s="418"/>
      <c r="AZ1023" s="418"/>
      <c r="BA1023" s="418"/>
    </row>
    <row r="1024" spans="40:56" ht="15.75" customHeight="1">
      <c r="AN1024" s="418"/>
      <c r="AO1024" s="418"/>
      <c r="AP1024" s="418"/>
      <c r="AQ1024" s="418"/>
      <c r="AR1024" s="418"/>
      <c r="AS1024" s="418"/>
      <c r="AT1024" s="418"/>
      <c r="AU1024" s="418"/>
      <c r="AV1024" s="418"/>
      <c r="AW1024" s="418"/>
      <c r="AX1024" s="418"/>
      <c r="AY1024" s="418"/>
      <c r="AZ1024" s="418"/>
      <c r="BA1024" s="418"/>
    </row>
    <row r="1025" spans="40:53" ht="15.75" customHeight="1">
      <c r="AN1025" s="418"/>
      <c r="AO1025" s="418"/>
      <c r="AP1025" s="418"/>
      <c r="AQ1025" s="418"/>
      <c r="AR1025" s="418"/>
      <c r="AS1025" s="418"/>
      <c r="AT1025" s="418"/>
      <c r="AU1025" s="418"/>
      <c r="AV1025" s="418"/>
      <c r="AW1025" s="418"/>
      <c r="AX1025" s="418"/>
      <c r="AY1025" s="418"/>
      <c r="AZ1025" s="418"/>
      <c r="BA1025" s="418"/>
    </row>
    <row r="1026" spans="40:53" ht="15.75" customHeight="1">
      <c r="AN1026" s="418"/>
      <c r="AO1026" s="418"/>
      <c r="AP1026" s="418"/>
      <c r="AQ1026" s="418"/>
      <c r="AR1026" s="418"/>
      <c r="AS1026" s="418"/>
      <c r="AT1026" s="418"/>
      <c r="AU1026" s="418"/>
      <c r="AV1026" s="418"/>
      <c r="AW1026" s="418"/>
      <c r="AX1026" s="418"/>
      <c r="AY1026" s="418"/>
      <c r="AZ1026" s="418"/>
      <c r="BA1026" s="418"/>
    </row>
    <row r="1027" spans="40:53" ht="15.75" customHeight="1">
      <c r="AN1027" s="418"/>
      <c r="AO1027" s="418"/>
      <c r="AP1027" s="418"/>
      <c r="AQ1027" s="418"/>
      <c r="AR1027" s="418"/>
      <c r="AS1027" s="418"/>
      <c r="AT1027" s="418"/>
      <c r="AU1027" s="418"/>
      <c r="AV1027" s="418"/>
      <c r="AW1027" s="418"/>
      <c r="AX1027" s="418"/>
      <c r="AY1027" s="418"/>
      <c r="AZ1027" s="418"/>
      <c r="BA1027" s="418"/>
    </row>
    <row r="1028" spans="40:53" ht="15.75" customHeight="1">
      <c r="AN1028" s="418"/>
      <c r="AO1028" s="418"/>
      <c r="AP1028" s="418"/>
      <c r="AQ1028" s="418"/>
      <c r="AR1028" s="418"/>
      <c r="AS1028" s="418"/>
      <c r="AT1028" s="418"/>
      <c r="AU1028" s="418"/>
      <c r="AV1028" s="418"/>
      <c r="AW1028" s="418"/>
      <c r="AX1028" s="418"/>
      <c r="AY1028" s="418"/>
      <c r="AZ1028" s="418"/>
      <c r="BA1028" s="418"/>
    </row>
    <row r="1029" spans="40:53" ht="15.75" customHeight="1">
      <c r="AN1029" s="418"/>
      <c r="AO1029" s="418"/>
      <c r="AP1029" s="418"/>
      <c r="AQ1029" s="418"/>
      <c r="AR1029" s="418"/>
      <c r="AS1029" s="418"/>
      <c r="AT1029" s="418"/>
      <c r="AU1029" s="418"/>
      <c r="AV1029" s="418"/>
      <c r="AW1029" s="418"/>
      <c r="AX1029" s="418"/>
      <c r="AY1029" s="418"/>
      <c r="AZ1029" s="418"/>
      <c r="BA1029" s="418"/>
    </row>
    <row r="1030" spans="40:53" ht="15.75" customHeight="1">
      <c r="AN1030" s="418"/>
      <c r="AO1030" s="418"/>
      <c r="AP1030" s="418"/>
      <c r="AQ1030" s="418"/>
      <c r="AR1030" s="418"/>
      <c r="AS1030" s="418"/>
      <c r="AT1030" s="418"/>
      <c r="AU1030" s="418"/>
      <c r="AV1030" s="418"/>
      <c r="AW1030" s="418"/>
      <c r="AX1030" s="418"/>
      <c r="AY1030" s="418"/>
      <c r="AZ1030" s="418"/>
      <c r="BA1030" s="418"/>
    </row>
    <row r="1031" spans="40:53" ht="15.75" customHeight="1">
      <c r="AN1031" s="418"/>
      <c r="AO1031" s="418"/>
      <c r="AP1031" s="418"/>
      <c r="AQ1031" s="418"/>
      <c r="AR1031" s="418"/>
      <c r="AS1031" s="418"/>
      <c r="AT1031" s="418"/>
      <c r="AU1031" s="418"/>
      <c r="AV1031" s="418"/>
      <c r="AW1031" s="418"/>
      <c r="AX1031" s="418"/>
      <c r="AY1031" s="418"/>
      <c r="AZ1031" s="418"/>
      <c r="BA1031" s="418"/>
    </row>
    <row r="1032" spans="40:53" ht="15.75" customHeight="1">
      <c r="AN1032" s="418"/>
      <c r="AO1032" s="418"/>
      <c r="AP1032" s="418"/>
      <c r="AQ1032" s="418"/>
      <c r="AR1032" s="418"/>
      <c r="AS1032" s="418"/>
      <c r="AT1032" s="418"/>
      <c r="AU1032" s="418"/>
      <c r="AV1032" s="418"/>
      <c r="AW1032" s="418"/>
      <c r="AX1032" s="418"/>
      <c r="AY1032" s="418"/>
      <c r="AZ1032" s="418"/>
      <c r="BA1032" s="418"/>
    </row>
    <row r="1033" spans="40:53" ht="15.75" customHeight="1">
      <c r="AN1033" s="418"/>
      <c r="AO1033" s="418"/>
      <c r="AP1033" s="418"/>
      <c r="AQ1033" s="418"/>
      <c r="AR1033" s="418"/>
      <c r="AS1033" s="418"/>
      <c r="AT1033" s="418"/>
      <c r="AU1033" s="418"/>
      <c r="AV1033" s="418"/>
      <c r="AW1033" s="418"/>
      <c r="AX1033" s="418"/>
      <c r="AY1033" s="418"/>
      <c r="AZ1033" s="418"/>
      <c r="BA1033" s="418"/>
    </row>
    <row r="1034" spans="40:53" ht="15.75" customHeight="1">
      <c r="AN1034" s="418"/>
      <c r="AO1034" s="418"/>
      <c r="AP1034" s="418"/>
      <c r="AQ1034" s="418"/>
      <c r="AR1034" s="418"/>
      <c r="AS1034" s="418"/>
      <c r="AT1034" s="418"/>
      <c r="AU1034" s="418"/>
      <c r="AV1034" s="418"/>
      <c r="AW1034" s="418"/>
      <c r="AX1034" s="418"/>
      <c r="AY1034" s="418"/>
      <c r="AZ1034" s="418"/>
      <c r="BA1034" s="418"/>
    </row>
    <row r="1035" spans="40:53" ht="15.75" customHeight="1">
      <c r="AN1035" s="418"/>
      <c r="AO1035" s="418"/>
      <c r="AP1035" s="418"/>
      <c r="AQ1035" s="418"/>
      <c r="AR1035" s="418"/>
      <c r="AS1035" s="418"/>
      <c r="AT1035" s="418"/>
      <c r="AU1035" s="418"/>
      <c r="AV1035" s="418"/>
      <c r="AW1035" s="418"/>
      <c r="AX1035" s="418"/>
      <c r="AY1035" s="418"/>
      <c r="AZ1035" s="418"/>
      <c r="BA1035" s="418"/>
    </row>
    <row r="1036" spans="40:53" ht="15.75" customHeight="1">
      <c r="AN1036" s="418"/>
      <c r="AO1036" s="418"/>
      <c r="AP1036" s="418"/>
      <c r="AQ1036" s="418"/>
      <c r="AR1036" s="418"/>
      <c r="AS1036" s="418"/>
      <c r="AT1036" s="418"/>
      <c r="AU1036" s="418"/>
      <c r="AV1036" s="418"/>
      <c r="AW1036" s="418"/>
      <c r="AX1036" s="418"/>
      <c r="AY1036" s="418"/>
      <c r="AZ1036" s="418"/>
      <c r="BA1036" s="418"/>
    </row>
    <row r="1037" spans="40:53" ht="15.75" customHeight="1">
      <c r="AN1037" s="418"/>
      <c r="AO1037" s="418"/>
      <c r="AP1037" s="418"/>
      <c r="AQ1037" s="418"/>
      <c r="AR1037" s="418"/>
      <c r="AS1037" s="418"/>
      <c r="AT1037" s="418"/>
      <c r="AU1037" s="418"/>
      <c r="AV1037" s="418"/>
      <c r="AW1037" s="418"/>
      <c r="AX1037" s="418"/>
      <c r="AY1037" s="418"/>
      <c r="AZ1037" s="418"/>
      <c r="BA1037" s="418"/>
    </row>
    <row r="1038" spans="40:53" ht="15.75" customHeight="1">
      <c r="AN1038" s="418"/>
      <c r="AO1038" s="418"/>
      <c r="AP1038" s="418"/>
      <c r="AQ1038" s="418"/>
      <c r="AR1038" s="418"/>
      <c r="AS1038" s="418"/>
      <c r="AT1038" s="418"/>
      <c r="AU1038" s="418"/>
      <c r="AV1038" s="418"/>
      <c r="AW1038" s="418"/>
      <c r="AX1038" s="418"/>
      <c r="AY1038" s="418"/>
      <c r="AZ1038" s="418"/>
      <c r="BA1038" s="418"/>
    </row>
    <row r="1039" spans="40:53" ht="15.75" customHeight="1">
      <c r="AN1039" s="418"/>
      <c r="AO1039" s="418"/>
      <c r="AP1039" s="418"/>
      <c r="AQ1039" s="418"/>
      <c r="AR1039" s="418"/>
      <c r="AS1039" s="418"/>
      <c r="AT1039" s="418"/>
      <c r="AU1039" s="418"/>
      <c r="AV1039" s="418"/>
      <c r="AW1039" s="418"/>
      <c r="AX1039" s="418"/>
      <c r="AY1039" s="418"/>
      <c r="AZ1039" s="418"/>
      <c r="BA1039" s="418"/>
    </row>
    <row r="1040" spans="40:53" ht="15.75" customHeight="1">
      <c r="AN1040" s="418"/>
      <c r="AO1040" s="418"/>
      <c r="AP1040" s="418"/>
      <c r="AQ1040" s="418"/>
      <c r="AR1040" s="418"/>
      <c r="AS1040" s="418"/>
      <c r="AT1040" s="418"/>
      <c r="AU1040" s="418"/>
      <c r="AV1040" s="418"/>
      <c r="AW1040" s="418"/>
      <c r="AX1040" s="418"/>
      <c r="AY1040" s="418"/>
      <c r="AZ1040" s="418"/>
      <c r="BA1040" s="418"/>
    </row>
    <row r="1041" spans="40:53" ht="15.75" customHeight="1">
      <c r="AN1041" s="418"/>
      <c r="AO1041" s="418"/>
      <c r="AP1041" s="418"/>
      <c r="AQ1041" s="418"/>
      <c r="AR1041" s="418"/>
      <c r="AS1041" s="418"/>
      <c r="AT1041" s="418"/>
      <c r="AU1041" s="418"/>
      <c r="AV1041" s="418"/>
      <c r="AW1041" s="418"/>
      <c r="AX1041" s="418"/>
      <c r="AY1041" s="418"/>
      <c r="AZ1041" s="418"/>
      <c r="BA1041" s="418"/>
    </row>
    <row r="1042" spans="40:53" ht="15.75" customHeight="1">
      <c r="AN1042" s="418"/>
      <c r="AO1042" s="418"/>
      <c r="AP1042" s="418"/>
      <c r="AQ1042" s="418"/>
      <c r="AR1042" s="418"/>
      <c r="AS1042" s="418"/>
      <c r="AT1042" s="418"/>
      <c r="AU1042" s="418"/>
      <c r="AV1042" s="418"/>
      <c r="AW1042" s="418"/>
      <c r="AX1042" s="418"/>
      <c r="AY1042" s="418"/>
      <c r="AZ1042" s="418"/>
      <c r="BA1042" s="418"/>
    </row>
    <row r="1043" spans="40:53" ht="15.75" customHeight="1">
      <c r="AN1043" s="418"/>
      <c r="AO1043" s="418"/>
      <c r="AP1043" s="418"/>
      <c r="AQ1043" s="418"/>
      <c r="AR1043" s="418"/>
      <c r="AS1043" s="418"/>
      <c r="AT1043" s="418"/>
      <c r="AU1043" s="418"/>
      <c r="AV1043" s="418"/>
      <c r="AW1043" s="418"/>
      <c r="AX1043" s="418"/>
      <c r="AY1043" s="418"/>
      <c r="AZ1043" s="418"/>
      <c r="BA1043" s="418"/>
    </row>
    <row r="1044" spans="40:53" ht="15.75" customHeight="1">
      <c r="AN1044" s="418"/>
      <c r="AO1044" s="418"/>
      <c r="AP1044" s="418"/>
      <c r="AQ1044" s="418"/>
      <c r="AR1044" s="418"/>
      <c r="AS1044" s="418"/>
      <c r="AT1044" s="418"/>
      <c r="AU1044" s="418"/>
      <c r="AV1044" s="418"/>
      <c r="AW1044" s="418"/>
      <c r="AX1044" s="418"/>
      <c r="AY1044" s="418"/>
      <c r="AZ1044" s="418"/>
      <c r="BA1044" s="418"/>
    </row>
    <row r="1045" spans="40:53" ht="15.75" customHeight="1">
      <c r="AN1045" s="418"/>
      <c r="AO1045" s="418"/>
      <c r="AP1045" s="418"/>
      <c r="AQ1045" s="418"/>
      <c r="AR1045" s="418"/>
      <c r="AS1045" s="418"/>
      <c r="AT1045" s="418"/>
      <c r="AU1045" s="418"/>
      <c r="AV1045" s="418"/>
      <c r="AW1045" s="418"/>
      <c r="AX1045" s="418"/>
      <c r="AY1045" s="418"/>
      <c r="AZ1045" s="418"/>
      <c r="BA1045" s="418"/>
    </row>
    <row r="1046" spans="40:53" ht="15.75" customHeight="1">
      <c r="AN1046" s="418"/>
      <c r="AO1046" s="418"/>
      <c r="AP1046" s="418"/>
      <c r="AQ1046" s="418"/>
      <c r="AR1046" s="418"/>
      <c r="AS1046" s="418"/>
      <c r="AT1046" s="418"/>
      <c r="AU1046" s="418"/>
      <c r="AV1046" s="418"/>
      <c r="AW1046" s="418"/>
      <c r="AX1046" s="418"/>
      <c r="AY1046" s="418"/>
      <c r="AZ1046" s="418"/>
      <c r="BA1046" s="418"/>
    </row>
    <row r="1047" spans="40:53" ht="15.75" customHeight="1">
      <c r="AN1047" s="418"/>
      <c r="AO1047" s="418"/>
      <c r="AP1047" s="418"/>
      <c r="AQ1047" s="418"/>
      <c r="AR1047" s="418"/>
      <c r="AS1047" s="418"/>
      <c r="AT1047" s="418"/>
      <c r="AU1047" s="418"/>
      <c r="AV1047" s="418"/>
      <c r="AW1047" s="418"/>
      <c r="AX1047" s="418"/>
      <c r="AY1047" s="418"/>
      <c r="AZ1047" s="418"/>
      <c r="BA1047" s="418"/>
    </row>
    <row r="1048" spans="40:53" ht="15.75" customHeight="1">
      <c r="AN1048" s="418"/>
      <c r="AO1048" s="418"/>
      <c r="AP1048" s="418"/>
      <c r="AQ1048" s="418"/>
      <c r="AR1048" s="418"/>
      <c r="AS1048" s="418"/>
      <c r="AT1048" s="418"/>
      <c r="AU1048" s="418"/>
      <c r="AV1048" s="418"/>
      <c r="AW1048" s="418"/>
      <c r="AX1048" s="418"/>
      <c r="AY1048" s="418"/>
      <c r="AZ1048" s="418"/>
      <c r="BA1048" s="418"/>
    </row>
    <row r="1049" spans="40:53" ht="15.75" customHeight="1">
      <c r="AN1049" s="418"/>
      <c r="AO1049" s="418"/>
      <c r="AP1049" s="418"/>
      <c r="AQ1049" s="418"/>
      <c r="AR1049" s="418"/>
      <c r="AS1049" s="418"/>
      <c r="AT1049" s="418"/>
      <c r="AU1049" s="418"/>
      <c r="AV1049" s="418"/>
      <c r="AW1049" s="418"/>
      <c r="AX1049" s="418"/>
      <c r="AY1049" s="418"/>
      <c r="AZ1049" s="418"/>
      <c r="BA1049" s="418"/>
    </row>
    <row r="1050" spans="40:53" ht="15.75" customHeight="1">
      <c r="AN1050" s="418"/>
      <c r="AO1050" s="418"/>
      <c r="AP1050" s="418"/>
      <c r="AQ1050" s="418"/>
      <c r="AR1050" s="418"/>
      <c r="AS1050" s="418"/>
      <c r="AT1050" s="418"/>
      <c r="AU1050" s="418"/>
      <c r="AV1050" s="418"/>
      <c r="AW1050" s="418"/>
      <c r="AX1050" s="418"/>
      <c r="AY1050" s="418"/>
      <c r="AZ1050" s="418"/>
      <c r="BA1050" s="418"/>
    </row>
    <row r="1051" spans="40:53" ht="15.75" customHeight="1">
      <c r="AN1051" s="418"/>
      <c r="AO1051" s="418"/>
      <c r="AP1051" s="418"/>
      <c r="AQ1051" s="418"/>
      <c r="AR1051" s="418"/>
      <c r="AS1051" s="418"/>
      <c r="AT1051" s="418"/>
      <c r="AU1051" s="418"/>
      <c r="AV1051" s="418"/>
      <c r="AW1051" s="418"/>
      <c r="AX1051" s="418"/>
      <c r="AY1051" s="418"/>
      <c r="AZ1051" s="418"/>
      <c r="BA1051" s="418"/>
    </row>
    <row r="1052" spans="40:53" ht="15.75" customHeight="1">
      <c r="AN1052" s="418"/>
      <c r="AO1052" s="418"/>
      <c r="AP1052" s="418"/>
      <c r="AQ1052" s="418"/>
      <c r="AR1052" s="418"/>
      <c r="AS1052" s="418"/>
      <c r="AT1052" s="418"/>
      <c r="AU1052" s="418"/>
      <c r="AV1052" s="418"/>
      <c r="AW1052" s="418"/>
      <c r="AX1052" s="418"/>
      <c r="AY1052" s="418"/>
      <c r="AZ1052" s="418"/>
      <c r="BA1052" s="418"/>
    </row>
    <row r="1053" spans="40:53" ht="15.75" customHeight="1">
      <c r="AN1053" s="418"/>
      <c r="AO1053" s="418"/>
      <c r="AP1053" s="418"/>
      <c r="AQ1053" s="418"/>
      <c r="AR1053" s="418"/>
      <c r="AS1053" s="418"/>
      <c r="AT1053" s="418"/>
      <c r="AU1053" s="418"/>
      <c r="AV1053" s="418"/>
      <c r="AW1053" s="418"/>
      <c r="AX1053" s="418"/>
      <c r="AY1053" s="418"/>
      <c r="AZ1053" s="418"/>
      <c r="BA1053" s="418"/>
    </row>
    <row r="1054" spans="40:53" ht="15.75" customHeight="1">
      <c r="AN1054" s="418"/>
      <c r="AO1054" s="418"/>
      <c r="AP1054" s="418"/>
      <c r="AQ1054" s="418"/>
      <c r="AR1054" s="418"/>
      <c r="AS1054" s="418"/>
      <c r="AT1054" s="418"/>
      <c r="AU1054" s="418"/>
      <c r="AV1054" s="418"/>
      <c r="AW1054" s="418"/>
      <c r="AX1054" s="418"/>
      <c r="AY1054" s="418"/>
      <c r="AZ1054" s="418"/>
      <c r="BA1054" s="418"/>
    </row>
    <row r="1055" spans="40:53" ht="15.75" customHeight="1">
      <c r="AN1055" s="418"/>
      <c r="AO1055" s="418"/>
      <c r="AP1055" s="418"/>
      <c r="AQ1055" s="418"/>
      <c r="AR1055" s="418"/>
      <c r="AS1055" s="418"/>
      <c r="AT1055" s="418"/>
      <c r="AU1055" s="418"/>
      <c r="AV1055" s="418"/>
      <c r="AW1055" s="418"/>
      <c r="AX1055" s="418"/>
      <c r="AY1055" s="418"/>
      <c r="AZ1055" s="418"/>
      <c r="BA1055" s="418"/>
    </row>
    <row r="1056" spans="40:53" ht="15.75" customHeight="1">
      <c r="AN1056" s="418"/>
      <c r="AO1056" s="418"/>
      <c r="AP1056" s="418"/>
      <c r="AQ1056" s="418"/>
      <c r="AR1056" s="418"/>
      <c r="AS1056" s="418"/>
      <c r="AT1056" s="418"/>
      <c r="AU1056" s="418"/>
      <c r="AV1056" s="418"/>
      <c r="AW1056" s="418"/>
      <c r="AX1056" s="418"/>
      <c r="AY1056" s="418"/>
      <c r="AZ1056" s="418"/>
      <c r="BA1056" s="418"/>
    </row>
    <row r="1057" spans="40:53" ht="15.75" customHeight="1">
      <c r="AN1057" s="418"/>
      <c r="AO1057" s="418"/>
      <c r="AP1057" s="418"/>
      <c r="AQ1057" s="418"/>
      <c r="AR1057" s="418"/>
      <c r="AS1057" s="418"/>
      <c r="AT1057" s="418"/>
      <c r="AU1057" s="418"/>
      <c r="AV1057" s="418"/>
      <c r="AW1057" s="418"/>
      <c r="AX1057" s="418"/>
      <c r="AY1057" s="418"/>
      <c r="AZ1057" s="418"/>
      <c r="BA1057" s="418"/>
    </row>
    <row r="1058" spans="40:53" ht="15.75" customHeight="1">
      <c r="AN1058" s="418"/>
      <c r="AO1058" s="418"/>
      <c r="AP1058" s="418"/>
      <c r="AQ1058" s="418"/>
      <c r="AR1058" s="418"/>
      <c r="AS1058" s="418"/>
      <c r="AT1058" s="418"/>
      <c r="AU1058" s="418"/>
      <c r="AV1058" s="418"/>
      <c r="AW1058" s="418"/>
      <c r="AX1058" s="418"/>
      <c r="AY1058" s="418"/>
      <c r="AZ1058" s="418"/>
      <c r="BA1058" s="418"/>
    </row>
    <row r="1059" spans="40:53" ht="15.75" customHeight="1">
      <c r="AN1059" s="418"/>
      <c r="AO1059" s="418"/>
      <c r="AP1059" s="418"/>
      <c r="AQ1059" s="418"/>
      <c r="AR1059" s="418"/>
      <c r="AS1059" s="418"/>
      <c r="AT1059" s="418"/>
      <c r="AU1059" s="418"/>
      <c r="AV1059" s="418"/>
      <c r="AW1059" s="418"/>
      <c r="AX1059" s="418"/>
      <c r="AY1059" s="418"/>
      <c r="AZ1059" s="418"/>
      <c r="BA1059" s="418"/>
    </row>
    <row r="1060" spans="40:53" ht="15.75" customHeight="1">
      <c r="AN1060" s="418"/>
      <c r="AO1060" s="418"/>
      <c r="AP1060" s="418"/>
      <c r="AQ1060" s="418"/>
      <c r="AR1060" s="418"/>
      <c r="AS1060" s="418"/>
      <c r="AT1060" s="418"/>
      <c r="AU1060" s="418"/>
      <c r="AV1060" s="418"/>
      <c r="AW1060" s="418"/>
      <c r="AX1060" s="418"/>
      <c r="AY1060" s="418"/>
      <c r="AZ1060" s="418"/>
      <c r="BA1060" s="418"/>
    </row>
    <row r="1061" spans="40:53" ht="15.75" customHeight="1">
      <c r="AN1061" s="418"/>
      <c r="AO1061" s="418"/>
      <c r="AP1061" s="418"/>
      <c r="AQ1061" s="418"/>
      <c r="AR1061" s="418"/>
      <c r="AS1061" s="418"/>
      <c r="AT1061" s="418"/>
      <c r="AU1061" s="418"/>
      <c r="AV1061" s="418"/>
      <c r="AW1061" s="418"/>
      <c r="AX1061" s="418"/>
      <c r="AY1061" s="418"/>
      <c r="AZ1061" s="418"/>
      <c r="BA1061" s="418"/>
    </row>
    <row r="1062" spans="40:53" ht="15.75" customHeight="1">
      <c r="AN1062" s="418"/>
      <c r="AO1062" s="418"/>
      <c r="AP1062" s="418"/>
      <c r="AQ1062" s="418"/>
      <c r="AR1062" s="418"/>
      <c r="AS1062" s="418"/>
      <c r="AT1062" s="418"/>
      <c r="AU1062" s="418"/>
      <c r="AV1062" s="418"/>
      <c r="AW1062" s="418"/>
      <c r="AX1062" s="418"/>
      <c r="AY1062" s="418"/>
      <c r="AZ1062" s="418"/>
      <c r="BA1062" s="418"/>
    </row>
    <row r="1063" spans="40:53" ht="15.75" customHeight="1">
      <c r="AN1063" s="418"/>
      <c r="AO1063" s="418"/>
      <c r="AP1063" s="418"/>
      <c r="AQ1063" s="418"/>
      <c r="AR1063" s="418"/>
      <c r="AS1063" s="418"/>
      <c r="AT1063" s="418"/>
      <c r="AU1063" s="418"/>
      <c r="AV1063" s="418"/>
      <c r="AW1063" s="418"/>
      <c r="AX1063" s="418"/>
      <c r="AY1063" s="418"/>
      <c r="AZ1063" s="418"/>
      <c r="BA1063" s="418"/>
    </row>
    <row r="1064" spans="40:53" ht="15.75" customHeight="1">
      <c r="AN1064" s="418"/>
      <c r="AO1064" s="418"/>
      <c r="AP1064" s="418"/>
      <c r="AQ1064" s="418"/>
      <c r="AR1064" s="418"/>
      <c r="AS1064" s="418"/>
      <c r="AT1064" s="418"/>
      <c r="AU1064" s="418"/>
      <c r="AV1064" s="418"/>
      <c r="AW1064" s="418"/>
      <c r="AX1064" s="418"/>
      <c r="AY1064" s="418"/>
      <c r="AZ1064" s="418"/>
      <c r="BA1064" s="418"/>
    </row>
    <row r="1065" spans="40:53" ht="15.75" customHeight="1">
      <c r="AN1065" s="418"/>
      <c r="AO1065" s="418"/>
      <c r="AP1065" s="418"/>
      <c r="AQ1065" s="418"/>
      <c r="AR1065" s="418"/>
      <c r="AS1065" s="418"/>
      <c r="AT1065" s="418"/>
      <c r="AU1065" s="418"/>
      <c r="AV1065" s="418"/>
      <c r="AW1065" s="418"/>
      <c r="AX1065" s="418"/>
      <c r="AY1065" s="418"/>
      <c r="AZ1065" s="418"/>
      <c r="BA1065" s="418"/>
    </row>
    <row r="1066" spans="40:53" ht="15.75" customHeight="1">
      <c r="AN1066" s="418"/>
      <c r="AO1066" s="418"/>
      <c r="AP1066" s="418"/>
      <c r="AQ1066" s="418"/>
      <c r="AR1066" s="418"/>
      <c r="AS1066" s="418"/>
      <c r="AT1066" s="418"/>
      <c r="AU1066" s="418"/>
      <c r="AV1066" s="418"/>
      <c r="AW1066" s="418"/>
      <c r="AX1066" s="418"/>
      <c r="AY1066" s="418"/>
      <c r="AZ1066" s="418"/>
      <c r="BA1066" s="418"/>
    </row>
    <row r="1067" spans="40:53" ht="15.75" customHeight="1">
      <c r="AN1067" s="418"/>
      <c r="AO1067" s="418"/>
      <c r="AP1067" s="418"/>
      <c r="AQ1067" s="418"/>
      <c r="AR1067" s="418"/>
      <c r="AS1067" s="418"/>
      <c r="AT1067" s="418"/>
      <c r="AU1067" s="418"/>
      <c r="AV1067" s="418"/>
      <c r="AW1067" s="418"/>
      <c r="AX1067" s="418"/>
      <c r="AY1067" s="418"/>
      <c r="AZ1067" s="418"/>
      <c r="BA1067" s="418"/>
    </row>
    <row r="1068" spans="40:53" ht="15.75" customHeight="1">
      <c r="AN1068" s="418"/>
      <c r="AO1068" s="418"/>
      <c r="AP1068" s="418"/>
      <c r="AQ1068" s="418"/>
      <c r="AR1068" s="418"/>
      <c r="AS1068" s="418"/>
      <c r="AT1068" s="418"/>
      <c r="AU1068" s="418"/>
      <c r="AV1068" s="418"/>
      <c r="AW1068" s="418"/>
      <c r="AX1068" s="418"/>
      <c r="AY1068" s="418"/>
      <c r="AZ1068" s="418"/>
      <c r="BA1068" s="418"/>
    </row>
    <row r="1069" spans="40:53" ht="15.75" customHeight="1">
      <c r="AN1069" s="418"/>
      <c r="AO1069" s="418"/>
      <c r="AP1069" s="418"/>
      <c r="AQ1069" s="418"/>
      <c r="AR1069" s="418"/>
      <c r="AS1069" s="418"/>
      <c r="AT1069" s="418"/>
      <c r="AU1069" s="418"/>
      <c r="AV1069" s="418"/>
      <c r="AW1069" s="418"/>
      <c r="AX1069" s="418"/>
      <c r="AY1069" s="418"/>
      <c r="AZ1069" s="418"/>
      <c r="BA1069" s="418"/>
    </row>
    <row r="1070" spans="40:53" ht="15.75" customHeight="1">
      <c r="AN1070" s="418"/>
      <c r="AO1070" s="418"/>
      <c r="AP1070" s="418"/>
      <c r="AQ1070" s="418"/>
      <c r="AR1070" s="418"/>
      <c r="AS1070" s="418"/>
      <c r="AT1070" s="418"/>
      <c r="AU1070" s="418"/>
      <c r="AV1070" s="418"/>
      <c r="AW1070" s="418"/>
      <c r="AX1070" s="418"/>
      <c r="AY1070" s="418"/>
      <c r="AZ1070" s="418"/>
      <c r="BA1070" s="418"/>
    </row>
    <row r="1071" spans="40:53" ht="15.75" customHeight="1">
      <c r="AN1071" s="418"/>
      <c r="AO1071" s="418"/>
      <c r="AP1071" s="418"/>
      <c r="AQ1071" s="418"/>
      <c r="AR1071" s="418"/>
      <c r="AS1071" s="418"/>
      <c r="AT1071" s="418"/>
      <c r="AU1071" s="418"/>
      <c r="AV1071" s="418"/>
      <c r="AW1071" s="418"/>
      <c r="AX1071" s="418"/>
      <c r="AY1071" s="418"/>
      <c r="AZ1071" s="418"/>
      <c r="BA1071" s="418"/>
    </row>
    <row r="1072" spans="40:53" ht="15.75" customHeight="1">
      <c r="AN1072" s="418"/>
      <c r="AO1072" s="418"/>
      <c r="AP1072" s="418"/>
      <c r="AQ1072" s="418"/>
      <c r="AR1072" s="418"/>
      <c r="AS1072" s="418"/>
      <c r="AT1072" s="418"/>
      <c r="AU1072" s="418"/>
      <c r="AV1072" s="418"/>
      <c r="AW1072" s="418"/>
      <c r="AX1072" s="418"/>
      <c r="AY1072" s="418"/>
      <c r="AZ1072" s="418"/>
      <c r="BA1072" s="418"/>
    </row>
    <row r="1073" spans="40:53" ht="15.75" customHeight="1">
      <c r="AN1073" s="418"/>
      <c r="AO1073" s="418"/>
      <c r="AP1073" s="418"/>
      <c r="AQ1073" s="418"/>
      <c r="AR1073" s="418"/>
      <c r="AS1073" s="418"/>
      <c r="AT1073" s="418"/>
      <c r="AU1073" s="418"/>
      <c r="AV1073" s="418"/>
      <c r="AW1073" s="418"/>
      <c r="AX1073" s="418"/>
      <c r="AY1073" s="418"/>
      <c r="AZ1073" s="418"/>
      <c r="BA1073" s="418"/>
    </row>
    <row r="1074" spans="40:53" ht="15.75" customHeight="1">
      <c r="AN1074" s="418"/>
      <c r="AO1074" s="418"/>
      <c r="AP1074" s="418"/>
      <c r="AQ1074" s="418"/>
      <c r="AR1074" s="418"/>
      <c r="AS1074" s="418"/>
      <c r="AT1074" s="418"/>
      <c r="AU1074" s="418"/>
      <c r="AV1074" s="418"/>
      <c r="AW1074" s="418"/>
      <c r="AX1074" s="418"/>
      <c r="AY1074" s="418"/>
      <c r="AZ1074" s="418"/>
      <c r="BA1074" s="418"/>
    </row>
    <row r="1075" spans="40:53" ht="15.75" customHeight="1">
      <c r="AN1075" s="418"/>
      <c r="AO1075" s="418"/>
      <c r="AP1075" s="418"/>
      <c r="AQ1075" s="418"/>
      <c r="AR1075" s="418"/>
      <c r="AS1075" s="418"/>
      <c r="AT1075" s="418"/>
      <c r="AU1075" s="418"/>
      <c r="AV1075" s="418"/>
      <c r="AW1075" s="418"/>
      <c r="AX1075" s="418"/>
      <c r="AY1075" s="418"/>
      <c r="AZ1075" s="418"/>
      <c r="BA1075" s="418"/>
    </row>
    <row r="1076" spans="40:53" ht="15.75" customHeight="1">
      <c r="AN1076" s="418"/>
      <c r="AO1076" s="418"/>
      <c r="AP1076" s="418"/>
      <c r="AQ1076" s="418"/>
      <c r="AR1076" s="418"/>
      <c r="AS1076" s="418"/>
      <c r="AT1076" s="418"/>
      <c r="AU1076" s="418"/>
      <c r="AV1076" s="418"/>
      <c r="AW1076" s="418"/>
      <c r="AX1076" s="418"/>
      <c r="AY1076" s="418"/>
      <c r="AZ1076" s="418"/>
      <c r="BA1076" s="418"/>
    </row>
    <row r="1077" spans="40:53" ht="15.75" customHeight="1">
      <c r="AN1077" s="418"/>
      <c r="AO1077" s="418"/>
      <c r="AP1077" s="418"/>
      <c r="AQ1077" s="418"/>
      <c r="AR1077" s="418"/>
      <c r="AS1077" s="418"/>
      <c r="AT1077" s="418"/>
      <c r="AU1077" s="418"/>
      <c r="AV1077" s="418"/>
      <c r="AW1077" s="418"/>
      <c r="AX1077" s="418"/>
      <c r="AY1077" s="418"/>
      <c r="AZ1077" s="418"/>
      <c r="BA1077" s="418"/>
    </row>
    <row r="1078" spans="40:53" ht="15.75" customHeight="1">
      <c r="AN1078" s="418"/>
      <c r="AO1078" s="418"/>
      <c r="AP1078" s="418"/>
      <c r="AQ1078" s="418"/>
      <c r="AR1078" s="418"/>
      <c r="AS1078" s="418"/>
      <c r="AT1078" s="418"/>
      <c r="AU1078" s="418"/>
      <c r="AV1078" s="418"/>
      <c r="AW1078" s="418"/>
      <c r="AX1078" s="418"/>
      <c r="AY1078" s="418"/>
      <c r="AZ1078" s="418"/>
      <c r="BA1078" s="418"/>
    </row>
    <row r="1079" spans="40:53" ht="15.75" customHeight="1">
      <c r="AN1079" s="418"/>
      <c r="AO1079" s="418"/>
      <c r="AP1079" s="418"/>
      <c r="AQ1079" s="418"/>
      <c r="AR1079" s="418"/>
      <c r="AS1079" s="418"/>
      <c r="AT1079" s="418"/>
      <c r="AU1079" s="418"/>
      <c r="AV1079" s="418"/>
      <c r="AW1079" s="418"/>
      <c r="AX1079" s="418"/>
      <c r="AY1079" s="418"/>
      <c r="AZ1079" s="418"/>
      <c r="BA1079" s="418"/>
    </row>
    <row r="1080" spans="40:53" ht="15.75" customHeight="1">
      <c r="AN1080" s="418"/>
      <c r="AO1080" s="418"/>
      <c r="AP1080" s="418"/>
      <c r="AQ1080" s="418"/>
      <c r="AR1080" s="418"/>
      <c r="AS1080" s="418"/>
      <c r="AT1080" s="418"/>
      <c r="AU1080" s="418"/>
      <c r="AV1080" s="418"/>
      <c r="AW1080" s="418"/>
      <c r="AX1080" s="418"/>
      <c r="AY1080" s="418"/>
      <c r="AZ1080" s="418"/>
      <c r="BA1080" s="418"/>
    </row>
    <row r="1081" spans="40:53" ht="15.75" customHeight="1">
      <c r="AN1081" s="418"/>
      <c r="AO1081" s="418"/>
      <c r="AP1081" s="418"/>
      <c r="AQ1081" s="418"/>
      <c r="AR1081" s="418"/>
      <c r="AS1081" s="418"/>
      <c r="AT1081" s="418"/>
      <c r="AU1081" s="418"/>
      <c r="AV1081" s="418"/>
      <c r="AW1081" s="418"/>
      <c r="AX1081" s="418"/>
      <c r="AY1081" s="418"/>
      <c r="AZ1081" s="418"/>
      <c r="BA1081" s="418"/>
    </row>
    <row r="1082" spans="40:53" ht="15.75" customHeight="1">
      <c r="AN1082" s="418"/>
      <c r="AO1082" s="418"/>
      <c r="AP1082" s="418"/>
      <c r="AQ1082" s="418"/>
      <c r="AR1082" s="418"/>
      <c r="AS1082" s="418"/>
      <c r="AT1082" s="418"/>
      <c r="AU1082" s="418"/>
      <c r="AV1082" s="418"/>
      <c r="AW1082" s="418"/>
      <c r="AX1082" s="418"/>
      <c r="AY1082" s="418"/>
      <c r="AZ1082" s="418"/>
      <c r="BA1082" s="418"/>
    </row>
    <row r="1083" spans="40:53" ht="15.75" customHeight="1">
      <c r="AN1083" s="418"/>
      <c r="AO1083" s="418"/>
      <c r="AP1083" s="418"/>
      <c r="AQ1083" s="418"/>
      <c r="AR1083" s="418"/>
      <c r="AS1083" s="418"/>
      <c r="AT1083" s="418"/>
      <c r="AU1083" s="418"/>
      <c r="AV1083" s="418"/>
      <c r="AW1083" s="418"/>
      <c r="AX1083" s="418"/>
      <c r="AY1083" s="418"/>
      <c r="AZ1083" s="418"/>
      <c r="BA1083" s="418"/>
    </row>
    <row r="1084" spans="40:53" ht="15.75" customHeight="1">
      <c r="AN1084" s="418"/>
      <c r="AO1084" s="418"/>
      <c r="AP1084" s="418"/>
      <c r="AQ1084" s="418"/>
      <c r="AR1084" s="418"/>
      <c r="AS1084" s="418"/>
      <c r="AT1084" s="418"/>
      <c r="AU1084" s="418"/>
      <c r="AV1084" s="418"/>
      <c r="AW1084" s="418"/>
      <c r="AX1084" s="418"/>
      <c r="AY1084" s="418"/>
      <c r="AZ1084" s="418"/>
      <c r="BA1084" s="418"/>
    </row>
    <row r="1085" spans="40:53" ht="15.75" customHeight="1">
      <c r="AN1085" s="418"/>
      <c r="AO1085" s="418"/>
      <c r="AP1085" s="418"/>
      <c r="AQ1085" s="418"/>
      <c r="AR1085" s="418"/>
      <c r="AS1085" s="418"/>
      <c r="AT1085" s="418"/>
      <c r="AU1085" s="418"/>
      <c r="AV1085" s="418"/>
      <c r="AW1085" s="418"/>
      <c r="AX1085" s="418"/>
      <c r="AY1085" s="418"/>
      <c r="AZ1085" s="418"/>
      <c r="BA1085" s="418"/>
    </row>
    <row r="1086" spans="40:53" ht="15.75" customHeight="1">
      <c r="AN1086" s="418"/>
      <c r="AO1086" s="418"/>
      <c r="AP1086" s="418"/>
      <c r="AQ1086" s="418"/>
      <c r="AR1086" s="418"/>
      <c r="AS1086" s="418"/>
      <c r="AT1086" s="418"/>
      <c r="AU1086" s="418"/>
      <c r="AV1086" s="418"/>
      <c r="AW1086" s="418"/>
      <c r="AX1086" s="418"/>
      <c r="AY1086" s="418"/>
      <c r="AZ1086" s="418"/>
      <c r="BA1086" s="418"/>
    </row>
    <row r="1087" spans="40:53" ht="15.75" customHeight="1">
      <c r="AN1087" s="418"/>
      <c r="AO1087" s="418"/>
      <c r="AP1087" s="418"/>
      <c r="AQ1087" s="418"/>
      <c r="AR1087" s="418"/>
      <c r="AS1087" s="418"/>
      <c r="AT1087" s="418"/>
      <c r="AU1087" s="418"/>
      <c r="AV1087" s="418"/>
      <c r="AW1087" s="418"/>
      <c r="AX1087" s="418"/>
      <c r="AY1087" s="418"/>
      <c r="AZ1087" s="418"/>
      <c r="BA1087" s="418"/>
    </row>
    <row r="1088" spans="40:53" ht="15.75" customHeight="1">
      <c r="AN1088" s="418"/>
      <c r="AO1088" s="418"/>
      <c r="AP1088" s="418"/>
      <c r="AQ1088" s="418"/>
      <c r="AR1088" s="418"/>
      <c r="AS1088" s="418"/>
      <c r="AT1088" s="418"/>
      <c r="AU1088" s="418"/>
      <c r="AV1088" s="418"/>
      <c r="AW1088" s="418"/>
      <c r="AX1088" s="418"/>
      <c r="AY1088" s="418"/>
      <c r="AZ1088" s="418"/>
      <c r="BA1088" s="418"/>
    </row>
    <row r="1089" spans="40:53" ht="15.75" customHeight="1">
      <c r="AN1089" s="418"/>
      <c r="AO1089" s="418"/>
      <c r="AP1089" s="418"/>
      <c r="AQ1089" s="418"/>
      <c r="AR1089" s="418"/>
      <c r="AS1089" s="418"/>
      <c r="AT1089" s="418"/>
      <c r="AU1089" s="418"/>
      <c r="AV1089" s="418"/>
      <c r="AW1089" s="418"/>
      <c r="AX1089" s="418"/>
      <c r="AY1089" s="418"/>
      <c r="AZ1089" s="418"/>
      <c r="BA1089" s="418"/>
    </row>
    <row r="1090" spans="40:53" ht="15.75" customHeight="1">
      <c r="AN1090" s="418"/>
      <c r="AO1090" s="418"/>
      <c r="AP1090" s="418"/>
      <c r="AQ1090" s="418"/>
      <c r="AR1090" s="418"/>
      <c r="AS1090" s="418"/>
      <c r="AT1090" s="418"/>
      <c r="AU1090" s="418"/>
      <c r="AV1090" s="418"/>
      <c r="AW1090" s="418"/>
      <c r="AX1090" s="418"/>
      <c r="AY1090" s="418"/>
      <c r="AZ1090" s="418"/>
      <c r="BA1090" s="418"/>
    </row>
    <row r="1091" spans="40:53" ht="15.75" customHeight="1">
      <c r="AN1091" s="418"/>
      <c r="AO1091" s="418"/>
      <c r="AP1091" s="418"/>
      <c r="AQ1091" s="418"/>
      <c r="AR1091" s="418"/>
      <c r="AS1091" s="418"/>
      <c r="AT1091" s="418"/>
      <c r="AU1091" s="418"/>
      <c r="AV1091" s="418"/>
      <c r="AW1091" s="418"/>
      <c r="AX1091" s="418"/>
      <c r="AY1091" s="418"/>
      <c r="AZ1091" s="418"/>
      <c r="BA1091" s="418"/>
    </row>
    <row r="1092" spans="40:53" ht="15.75" customHeight="1">
      <c r="AN1092" s="418"/>
      <c r="AO1092" s="418"/>
      <c r="AP1092" s="418"/>
      <c r="AQ1092" s="418"/>
      <c r="AR1092" s="418"/>
      <c r="AS1092" s="418"/>
      <c r="AT1092" s="418"/>
      <c r="AU1092" s="418"/>
      <c r="AV1092" s="418"/>
      <c r="AW1092" s="418"/>
      <c r="AX1092" s="418"/>
      <c r="AY1092" s="418"/>
      <c r="AZ1092" s="418"/>
      <c r="BA1092" s="418"/>
    </row>
    <row r="1093" spans="40:53" ht="15.75" customHeight="1">
      <c r="AN1093" s="418"/>
      <c r="AO1093" s="418"/>
      <c r="AP1093" s="418"/>
      <c r="AQ1093" s="418"/>
      <c r="AR1093" s="418"/>
      <c r="AS1093" s="418"/>
      <c r="AT1093" s="418"/>
      <c r="AU1093" s="418"/>
      <c r="AV1093" s="418"/>
      <c r="AW1093" s="418"/>
      <c r="AX1093" s="418"/>
      <c r="AY1093" s="418"/>
      <c r="AZ1093" s="418"/>
      <c r="BA1093" s="418"/>
    </row>
    <row r="1094" spans="40:53" ht="15.75" customHeight="1">
      <c r="AN1094" s="418"/>
      <c r="AO1094" s="418"/>
      <c r="AP1094" s="418"/>
      <c r="AQ1094" s="418"/>
      <c r="AR1094" s="418"/>
      <c r="AS1094" s="418"/>
      <c r="AT1094" s="418"/>
      <c r="AU1094" s="418"/>
      <c r="AV1094" s="418"/>
      <c r="AW1094" s="418"/>
      <c r="AX1094" s="418"/>
      <c r="AY1094" s="418"/>
      <c r="AZ1094" s="418"/>
      <c r="BA1094" s="418"/>
    </row>
    <row r="1095" spans="40:53" ht="15.75" customHeight="1">
      <c r="AN1095" s="418"/>
      <c r="AO1095" s="418"/>
      <c r="AP1095" s="418"/>
      <c r="AQ1095" s="418"/>
      <c r="AR1095" s="418"/>
      <c r="AS1095" s="418"/>
      <c r="AT1095" s="418"/>
      <c r="AU1095" s="418"/>
      <c r="AV1095" s="418"/>
      <c r="AW1095" s="418"/>
      <c r="AX1095" s="418"/>
      <c r="AY1095" s="418"/>
      <c r="AZ1095" s="418"/>
      <c r="BA1095" s="418"/>
    </row>
    <row r="1096" spans="40:53" ht="15.75" customHeight="1">
      <c r="AN1096" s="418"/>
      <c r="AO1096" s="418"/>
      <c r="AP1096" s="418"/>
      <c r="AQ1096" s="418"/>
      <c r="AR1096" s="418"/>
      <c r="AS1096" s="418"/>
      <c r="AT1096" s="418"/>
      <c r="AU1096" s="418"/>
      <c r="AV1096" s="418"/>
      <c r="AW1096" s="418"/>
      <c r="AX1096" s="418"/>
      <c r="AY1096" s="418"/>
      <c r="AZ1096" s="418"/>
      <c r="BA1096" s="418"/>
    </row>
    <row r="1097" spans="40:53" ht="15.75" customHeight="1">
      <c r="AN1097" s="418"/>
      <c r="AO1097" s="418"/>
      <c r="AP1097" s="418"/>
      <c r="AQ1097" s="418"/>
      <c r="AR1097" s="418"/>
      <c r="AS1097" s="418"/>
      <c r="AT1097" s="418"/>
      <c r="AU1097" s="418"/>
      <c r="AV1097" s="418"/>
      <c r="AW1097" s="418"/>
      <c r="AX1097" s="418"/>
      <c r="AY1097" s="418"/>
      <c r="AZ1097" s="418"/>
      <c r="BA1097" s="418"/>
    </row>
    <row r="1098" spans="40:53" ht="15.75" customHeight="1">
      <c r="AN1098" s="418"/>
      <c r="AO1098" s="418"/>
      <c r="AP1098" s="418"/>
      <c r="AQ1098" s="418"/>
      <c r="AR1098" s="418"/>
      <c r="AS1098" s="418"/>
      <c r="AT1098" s="418"/>
      <c r="AU1098" s="418"/>
      <c r="AV1098" s="418"/>
      <c r="AW1098" s="418"/>
      <c r="AX1098" s="418"/>
      <c r="AY1098" s="418"/>
      <c r="AZ1098" s="418"/>
      <c r="BA1098" s="418"/>
    </row>
    <row r="1099" spans="40:53" ht="15.75" customHeight="1">
      <c r="AN1099" s="418"/>
      <c r="AO1099" s="418"/>
      <c r="AP1099" s="418"/>
      <c r="AQ1099" s="418"/>
      <c r="AR1099" s="418"/>
      <c r="AS1099" s="418"/>
      <c r="AT1099" s="418"/>
      <c r="AU1099" s="418"/>
      <c r="AV1099" s="418"/>
      <c r="AW1099" s="418"/>
      <c r="AX1099" s="418"/>
      <c r="AY1099" s="418"/>
      <c r="AZ1099" s="418"/>
      <c r="BA1099" s="418"/>
    </row>
    <row r="1100" spans="40:53" ht="15.75" customHeight="1">
      <c r="AN1100" s="418"/>
      <c r="AO1100" s="418"/>
      <c r="AP1100" s="418"/>
      <c r="AQ1100" s="418"/>
      <c r="AR1100" s="418"/>
      <c r="AS1100" s="418"/>
      <c r="AT1100" s="418"/>
      <c r="AU1100" s="418"/>
      <c r="AV1100" s="418"/>
      <c r="AW1100" s="418"/>
      <c r="AX1100" s="418"/>
      <c r="AY1100" s="418"/>
      <c r="AZ1100" s="418"/>
      <c r="BA1100" s="418"/>
    </row>
    <row r="1101" spans="40:53" ht="15.75" customHeight="1">
      <c r="AN1101" s="418"/>
      <c r="AO1101" s="418"/>
      <c r="AP1101" s="418"/>
      <c r="AQ1101" s="418"/>
      <c r="AR1101" s="418"/>
      <c r="AS1101" s="418"/>
      <c r="AT1101" s="418"/>
      <c r="AU1101" s="418"/>
      <c r="AV1101" s="418"/>
      <c r="AW1101" s="418"/>
      <c r="AX1101" s="418"/>
      <c r="AY1101" s="418"/>
      <c r="AZ1101" s="418"/>
      <c r="BA1101" s="418"/>
    </row>
    <row r="1102" spans="40:53" ht="15.75" customHeight="1">
      <c r="AN1102" s="418"/>
      <c r="AO1102" s="418"/>
      <c r="AP1102" s="418"/>
      <c r="AQ1102" s="418"/>
      <c r="AR1102" s="418"/>
      <c r="AS1102" s="418"/>
      <c r="AT1102" s="418"/>
      <c r="AU1102" s="418"/>
      <c r="AV1102" s="418"/>
      <c r="AW1102" s="418"/>
      <c r="AX1102" s="418"/>
      <c r="AY1102" s="418"/>
      <c r="AZ1102" s="418"/>
      <c r="BA1102" s="418"/>
    </row>
    <row r="1103" spans="40:53" ht="15.75" customHeight="1">
      <c r="AN1103" s="418"/>
      <c r="AO1103" s="418"/>
      <c r="AP1103" s="418"/>
      <c r="AQ1103" s="418"/>
      <c r="AR1103" s="418"/>
      <c r="AS1103" s="418"/>
      <c r="AT1103" s="418"/>
      <c r="AU1103" s="418"/>
      <c r="AV1103" s="418"/>
      <c r="AW1103" s="418"/>
      <c r="AX1103" s="418"/>
      <c r="AY1103" s="418"/>
      <c r="AZ1103" s="418"/>
      <c r="BA1103" s="418"/>
    </row>
    <row r="1104" spans="40:53" ht="15.75" customHeight="1">
      <c r="AN1104" s="418"/>
      <c r="AO1104" s="418"/>
      <c r="AP1104" s="418"/>
      <c r="AQ1104" s="418"/>
      <c r="AR1104" s="418"/>
      <c r="AS1104" s="418"/>
      <c r="AT1104" s="418"/>
      <c r="AU1104" s="418"/>
      <c r="AV1104" s="418"/>
      <c r="AW1104" s="418"/>
      <c r="AX1104" s="418"/>
      <c r="AY1104" s="418"/>
      <c r="AZ1104" s="418"/>
      <c r="BA1104" s="418"/>
    </row>
    <row r="1105" spans="40:53" ht="15.75" customHeight="1">
      <c r="AN1105" s="418"/>
      <c r="AO1105" s="418"/>
      <c r="AP1105" s="418"/>
      <c r="AQ1105" s="418"/>
      <c r="AR1105" s="418"/>
      <c r="AS1105" s="418"/>
      <c r="AT1105" s="418"/>
      <c r="AU1105" s="418"/>
      <c r="AV1105" s="418"/>
      <c r="AW1105" s="418"/>
      <c r="AX1105" s="418"/>
      <c r="AY1105" s="418"/>
      <c r="AZ1105" s="418"/>
      <c r="BA1105" s="418"/>
    </row>
    <row r="1106" spans="40:53" ht="15.75" customHeight="1">
      <c r="AN1106" s="418"/>
      <c r="AO1106" s="418"/>
      <c r="AP1106" s="418"/>
      <c r="AQ1106" s="418"/>
      <c r="AR1106" s="418"/>
      <c r="AS1106" s="418"/>
      <c r="AT1106" s="418"/>
      <c r="AU1106" s="418"/>
      <c r="AV1106" s="418"/>
      <c r="AW1106" s="418"/>
      <c r="AX1106" s="418"/>
      <c r="AY1106" s="418"/>
      <c r="AZ1106" s="418"/>
      <c r="BA1106" s="418"/>
    </row>
    <row r="1107" spans="40:53" ht="15.75" customHeight="1">
      <c r="AN1107" s="418"/>
      <c r="AO1107" s="418"/>
      <c r="AP1107" s="418"/>
      <c r="AQ1107" s="418"/>
      <c r="AR1107" s="418"/>
      <c r="AS1107" s="418"/>
      <c r="AT1107" s="418"/>
      <c r="AU1107" s="418"/>
      <c r="AV1107" s="418"/>
      <c r="AW1107" s="418"/>
      <c r="AX1107" s="418"/>
      <c r="AY1107" s="418"/>
      <c r="AZ1107" s="418"/>
      <c r="BA1107" s="418"/>
    </row>
    <row r="1108" spans="40:53" ht="15.75" customHeight="1">
      <c r="AN1108" s="418"/>
      <c r="AO1108" s="418"/>
      <c r="AP1108" s="418"/>
      <c r="AQ1108" s="418"/>
      <c r="AR1108" s="418"/>
      <c r="AS1108" s="418"/>
      <c r="AT1108" s="418"/>
      <c r="AU1108" s="418"/>
      <c r="AV1108" s="418"/>
      <c r="AW1108" s="418"/>
      <c r="AX1108" s="418"/>
      <c r="AY1108" s="418"/>
      <c r="AZ1108" s="418"/>
      <c r="BA1108" s="418"/>
    </row>
    <row r="1109" spans="40:53" ht="15.75" customHeight="1">
      <c r="AN1109" s="418"/>
      <c r="AO1109" s="418"/>
      <c r="AP1109" s="418"/>
      <c r="AQ1109" s="418"/>
      <c r="AR1109" s="418"/>
      <c r="AS1109" s="418"/>
      <c r="AT1109" s="418"/>
      <c r="AU1109" s="418"/>
      <c r="AV1109" s="418"/>
      <c r="AW1109" s="418"/>
      <c r="AX1109" s="418"/>
      <c r="AY1109" s="418"/>
      <c r="AZ1109" s="418"/>
      <c r="BA1109" s="418"/>
    </row>
    <row r="1110" spans="40:53" ht="15.75" customHeight="1">
      <c r="AN1110" s="418"/>
      <c r="AO1110" s="418"/>
      <c r="AP1110" s="418"/>
      <c r="AQ1110" s="418"/>
      <c r="AR1110" s="418"/>
      <c r="AS1110" s="418"/>
      <c r="AT1110" s="418"/>
      <c r="AU1110" s="418"/>
      <c r="AV1110" s="418"/>
      <c r="AW1110" s="418"/>
      <c r="AX1110" s="418"/>
      <c r="AY1110" s="418"/>
      <c r="AZ1110" s="418"/>
      <c r="BA1110" s="418"/>
    </row>
    <row r="1111" spans="40:53" ht="15.75" customHeight="1">
      <c r="AN1111" s="418"/>
      <c r="AO1111" s="418"/>
      <c r="AP1111" s="418"/>
      <c r="AQ1111" s="418"/>
      <c r="AR1111" s="418"/>
      <c r="AS1111" s="418"/>
      <c r="AT1111" s="418"/>
      <c r="AU1111" s="418"/>
      <c r="AV1111" s="418"/>
      <c r="AW1111" s="418"/>
      <c r="AX1111" s="418"/>
      <c r="AY1111" s="418"/>
      <c r="AZ1111" s="418"/>
      <c r="BA1111" s="418"/>
    </row>
    <row r="1112" spans="40:53" ht="15.75" customHeight="1">
      <c r="AN1112" s="418"/>
      <c r="AO1112" s="418"/>
      <c r="AP1112" s="418"/>
      <c r="AQ1112" s="418"/>
      <c r="AR1112" s="418"/>
      <c r="AS1112" s="418"/>
      <c r="AT1112" s="418"/>
      <c r="AU1112" s="418"/>
      <c r="AV1112" s="418"/>
      <c r="AW1112" s="418"/>
      <c r="AX1112" s="418"/>
      <c r="AY1112" s="418"/>
      <c r="AZ1112" s="418"/>
      <c r="BA1112" s="418"/>
    </row>
    <row r="1113" spans="40:53" ht="15.75" customHeight="1">
      <c r="AN1113" s="418"/>
      <c r="AO1113" s="418"/>
      <c r="AP1113" s="418"/>
      <c r="AQ1113" s="418"/>
      <c r="AR1113" s="418"/>
      <c r="AS1113" s="418"/>
      <c r="AT1113" s="418"/>
      <c r="AU1113" s="418"/>
      <c r="AV1113" s="418"/>
      <c r="AW1113" s="418"/>
      <c r="AX1113" s="418"/>
      <c r="AY1113" s="418"/>
      <c r="AZ1113" s="418"/>
      <c r="BA1113" s="418"/>
    </row>
    <row r="1114" spans="40:53" ht="15.75" customHeight="1">
      <c r="AN1114" s="418"/>
      <c r="AO1114" s="418"/>
      <c r="AP1114" s="418"/>
      <c r="AQ1114" s="418"/>
      <c r="AR1114" s="418"/>
      <c r="AS1114" s="418"/>
      <c r="AT1114" s="418"/>
      <c r="AU1114" s="418"/>
      <c r="AV1114" s="418"/>
      <c r="AW1114" s="418"/>
      <c r="AX1114" s="418"/>
      <c r="AY1114" s="418"/>
      <c r="AZ1114" s="418"/>
      <c r="BA1114" s="418"/>
    </row>
    <row r="1115" spans="40:53" ht="15.75" customHeight="1">
      <c r="AN1115" s="418"/>
      <c r="AO1115" s="418"/>
      <c r="AP1115" s="418"/>
      <c r="AQ1115" s="418"/>
      <c r="AR1115" s="418"/>
      <c r="AS1115" s="418"/>
      <c r="AT1115" s="418"/>
      <c r="AU1115" s="418"/>
      <c r="AV1115" s="418"/>
      <c r="AW1115" s="418"/>
      <c r="AX1115" s="418"/>
      <c r="AY1115" s="418"/>
      <c r="AZ1115" s="418"/>
      <c r="BA1115" s="418"/>
    </row>
    <row r="1116" spans="40:53" ht="15.75" customHeight="1">
      <c r="AN1116" s="418"/>
      <c r="AO1116" s="418"/>
      <c r="AP1116" s="418"/>
      <c r="AQ1116" s="418"/>
      <c r="AR1116" s="418"/>
      <c r="AS1116" s="418"/>
      <c r="AT1116" s="418"/>
      <c r="AU1116" s="418"/>
      <c r="AV1116" s="418"/>
      <c r="AW1116" s="418"/>
      <c r="AX1116" s="418"/>
      <c r="AY1116" s="418"/>
      <c r="AZ1116" s="418"/>
      <c r="BA1116" s="418"/>
    </row>
    <row r="1117" spans="40:53" ht="15.75" customHeight="1">
      <c r="AN1117" s="418"/>
      <c r="AO1117" s="418"/>
      <c r="AP1117" s="418"/>
      <c r="AQ1117" s="418"/>
      <c r="AR1117" s="418"/>
      <c r="AS1117" s="418"/>
      <c r="AT1117" s="418"/>
      <c r="AU1117" s="418"/>
      <c r="AV1117" s="418"/>
      <c r="AW1117" s="418"/>
      <c r="AX1117" s="418"/>
      <c r="AY1117" s="418"/>
      <c r="AZ1117" s="418"/>
      <c r="BA1117" s="418"/>
    </row>
    <row r="1118" spans="40:53" ht="15.75" customHeight="1">
      <c r="AN1118" s="418"/>
      <c r="AO1118" s="418"/>
      <c r="AP1118" s="418"/>
      <c r="AQ1118" s="418"/>
      <c r="AR1118" s="418"/>
      <c r="AS1118" s="418"/>
      <c r="AT1118" s="418"/>
      <c r="AU1118" s="418"/>
      <c r="AV1118" s="418"/>
      <c r="AW1118" s="418"/>
      <c r="AX1118" s="418"/>
      <c r="AY1118" s="418"/>
      <c r="AZ1118" s="418"/>
      <c r="BA1118" s="418"/>
    </row>
    <row r="1119" spans="40:53" ht="15.75" customHeight="1">
      <c r="AN1119" s="418"/>
      <c r="AO1119" s="418"/>
      <c r="AP1119" s="418"/>
      <c r="AQ1119" s="418"/>
      <c r="AR1119" s="418"/>
      <c r="AS1119" s="418"/>
      <c r="AT1119" s="418"/>
      <c r="AU1119" s="418"/>
      <c r="AV1119" s="418"/>
      <c r="AW1119" s="418"/>
      <c r="AX1119" s="418"/>
      <c r="AY1119" s="418"/>
      <c r="AZ1119" s="418"/>
      <c r="BA1119" s="418"/>
    </row>
    <row r="1120" spans="40:53" ht="15.75" customHeight="1">
      <c r="AN1120" s="418"/>
      <c r="AO1120" s="418"/>
      <c r="AP1120" s="418"/>
      <c r="AQ1120" s="418"/>
      <c r="AR1120" s="418"/>
      <c r="AS1120" s="418"/>
      <c r="AT1120" s="418"/>
      <c r="AU1120" s="418"/>
      <c r="AV1120" s="418"/>
      <c r="AW1120" s="418"/>
      <c r="AX1120" s="418"/>
      <c r="AY1120" s="418"/>
      <c r="AZ1120" s="418"/>
      <c r="BA1120" s="418"/>
    </row>
    <row r="1121" spans="40:53" ht="15.75" customHeight="1">
      <c r="AN1121" s="418"/>
      <c r="AO1121" s="418"/>
      <c r="AP1121" s="418"/>
      <c r="AQ1121" s="418"/>
      <c r="AR1121" s="418"/>
      <c r="AS1121" s="418"/>
      <c r="AT1121" s="418"/>
      <c r="AU1121" s="418"/>
      <c r="AV1121" s="418"/>
      <c r="AW1121" s="418"/>
      <c r="AX1121" s="418"/>
      <c r="AY1121" s="418"/>
      <c r="AZ1121" s="418"/>
      <c r="BA1121" s="418"/>
    </row>
    <row r="1122" spans="40:53" ht="15.75" customHeight="1">
      <c r="AN1122" s="418"/>
      <c r="AO1122" s="418"/>
      <c r="AP1122" s="418"/>
      <c r="AQ1122" s="418"/>
      <c r="AR1122" s="418"/>
      <c r="AS1122" s="418"/>
      <c r="AT1122" s="418"/>
      <c r="AU1122" s="418"/>
      <c r="AV1122" s="418"/>
      <c r="AW1122" s="418"/>
      <c r="AX1122" s="418"/>
      <c r="AY1122" s="418"/>
      <c r="AZ1122" s="418"/>
      <c r="BA1122" s="418"/>
    </row>
    <row r="1123" spans="40:53" ht="15.75" customHeight="1">
      <c r="AN1123" s="418"/>
      <c r="AO1123" s="418"/>
      <c r="AP1123" s="418"/>
      <c r="AQ1123" s="418"/>
      <c r="AR1123" s="418"/>
      <c r="AS1123" s="418"/>
      <c r="AT1123" s="418"/>
      <c r="AU1123" s="418"/>
      <c r="AV1123" s="418"/>
      <c r="AW1123" s="418"/>
      <c r="AX1123" s="418"/>
      <c r="AY1123" s="418"/>
      <c r="AZ1123" s="418"/>
      <c r="BA1123" s="418"/>
    </row>
    <row r="1124" spans="40:53" ht="15.75" customHeight="1">
      <c r="AN1124" s="418"/>
      <c r="AO1124" s="418"/>
      <c r="AP1124" s="418"/>
      <c r="AQ1124" s="418"/>
      <c r="AR1124" s="418"/>
      <c r="AS1124" s="418"/>
      <c r="AT1124" s="418"/>
      <c r="AU1124" s="418"/>
      <c r="AV1124" s="418"/>
      <c r="AW1124" s="418"/>
      <c r="AX1124" s="418"/>
      <c r="AY1124" s="418"/>
      <c r="AZ1124" s="418"/>
      <c r="BA1124" s="418"/>
    </row>
    <row r="1125" spans="40:53" ht="15.75" customHeight="1">
      <c r="AN1125" s="418"/>
      <c r="AO1125" s="418"/>
      <c r="AP1125" s="418"/>
      <c r="AQ1125" s="418"/>
      <c r="AR1125" s="418"/>
      <c r="AS1125" s="418"/>
      <c r="AT1125" s="418"/>
      <c r="AU1125" s="418"/>
      <c r="AV1125" s="418"/>
      <c r="AW1125" s="418"/>
      <c r="AX1125" s="418"/>
      <c r="AY1125" s="418"/>
      <c r="AZ1125" s="418"/>
      <c r="BA1125" s="418"/>
    </row>
    <row r="1126" spans="40:53" ht="15.75" customHeight="1">
      <c r="AN1126" s="418"/>
      <c r="AO1126" s="418"/>
      <c r="AP1126" s="418"/>
      <c r="AQ1126" s="418"/>
      <c r="AR1126" s="418"/>
      <c r="AS1126" s="418"/>
      <c r="AT1126" s="418"/>
      <c r="AU1126" s="418"/>
      <c r="AV1126" s="418"/>
      <c r="AW1126" s="418"/>
      <c r="AX1126" s="418"/>
      <c r="AY1126" s="418"/>
      <c r="AZ1126" s="418"/>
      <c r="BA1126" s="418"/>
    </row>
    <row r="1127" spans="40:53" ht="15.75" customHeight="1">
      <c r="AN1127" s="418"/>
      <c r="AO1127" s="418"/>
      <c r="AP1127" s="418"/>
      <c r="AQ1127" s="418"/>
      <c r="AR1127" s="418"/>
      <c r="AS1127" s="418"/>
      <c r="AT1127" s="418"/>
      <c r="AU1127" s="418"/>
      <c r="AV1127" s="418"/>
      <c r="AW1127" s="418"/>
      <c r="AX1127" s="418"/>
      <c r="AY1127" s="418"/>
      <c r="AZ1127" s="418"/>
      <c r="BA1127" s="418"/>
    </row>
    <row r="1128" spans="40:53" ht="15.75" customHeight="1">
      <c r="AN1128" s="418"/>
      <c r="AO1128" s="418"/>
      <c r="AP1128" s="418"/>
      <c r="AQ1128" s="418"/>
      <c r="AR1128" s="418"/>
      <c r="AS1128" s="418"/>
      <c r="AT1128" s="418"/>
      <c r="AU1128" s="418"/>
      <c r="AV1128" s="418"/>
      <c r="AW1128" s="418"/>
      <c r="AX1128" s="418"/>
      <c r="AY1128" s="418"/>
      <c r="AZ1128" s="418"/>
      <c r="BA1128" s="418"/>
    </row>
    <row r="1129" spans="40:53" ht="15.75" customHeight="1">
      <c r="AN1129" s="418"/>
      <c r="AO1129" s="418"/>
      <c r="AP1129" s="418"/>
      <c r="AQ1129" s="418"/>
      <c r="AR1129" s="418"/>
      <c r="AS1129" s="418"/>
      <c r="AT1129" s="418"/>
      <c r="AU1129" s="418"/>
      <c r="AV1129" s="418"/>
      <c r="AW1129" s="418"/>
      <c r="AX1129" s="418"/>
      <c r="AY1129" s="418"/>
      <c r="AZ1129" s="418"/>
      <c r="BA1129" s="418"/>
    </row>
    <row r="1130" spans="40:53" ht="15.75" customHeight="1">
      <c r="AN1130" s="418"/>
      <c r="AO1130" s="418"/>
      <c r="AP1130" s="418"/>
      <c r="AQ1130" s="418"/>
      <c r="AR1130" s="418"/>
      <c r="AS1130" s="418"/>
      <c r="AT1130" s="418"/>
      <c r="AU1130" s="418"/>
      <c r="AV1130" s="418"/>
      <c r="AW1130" s="418"/>
      <c r="AX1130" s="418"/>
      <c r="AY1130" s="418"/>
      <c r="AZ1130" s="418"/>
      <c r="BA1130" s="418"/>
    </row>
    <row r="1131" spans="40:53" ht="15.75" customHeight="1">
      <c r="AN1131" s="418"/>
      <c r="AO1131" s="418"/>
      <c r="AP1131" s="418"/>
      <c r="AQ1131" s="418"/>
      <c r="AR1131" s="418"/>
      <c r="AS1131" s="418"/>
      <c r="AT1131" s="418"/>
      <c r="AU1131" s="418"/>
      <c r="AV1131" s="418"/>
      <c r="AW1131" s="418"/>
      <c r="AX1131" s="418"/>
      <c r="AY1131" s="418"/>
      <c r="AZ1131" s="418"/>
      <c r="BA1131" s="418"/>
    </row>
    <row r="1132" spans="40:53" ht="15.75" customHeight="1">
      <c r="AN1132" s="418"/>
      <c r="AO1132" s="418"/>
      <c r="AP1132" s="418"/>
      <c r="AQ1132" s="418"/>
      <c r="AR1132" s="418"/>
      <c r="AS1132" s="418"/>
      <c r="AT1132" s="418"/>
      <c r="AU1132" s="418"/>
      <c r="AV1132" s="418"/>
      <c r="AW1132" s="418"/>
      <c r="AX1132" s="418"/>
      <c r="AY1132" s="418"/>
      <c r="AZ1132" s="418"/>
      <c r="BA1132" s="418"/>
    </row>
    <row r="1133" spans="40:53" ht="15.75" customHeight="1">
      <c r="AN1133" s="418"/>
      <c r="AO1133" s="418"/>
      <c r="AP1133" s="418"/>
      <c r="AQ1133" s="418"/>
      <c r="AR1133" s="418"/>
      <c r="AS1133" s="418"/>
      <c r="AT1133" s="418"/>
      <c r="AU1133" s="418"/>
      <c r="AV1133" s="418"/>
      <c r="AW1133" s="418"/>
      <c r="AX1133" s="418"/>
      <c r="AY1133" s="418"/>
      <c r="AZ1133" s="418"/>
      <c r="BA1133" s="418"/>
    </row>
    <row r="1134" spans="40:53" ht="15.75" customHeight="1">
      <c r="AN1134" s="418"/>
      <c r="AO1134" s="418"/>
      <c r="AP1134" s="418"/>
      <c r="AQ1134" s="418"/>
      <c r="AR1134" s="418"/>
      <c r="AS1134" s="418"/>
      <c r="AT1134" s="418"/>
      <c r="AU1134" s="418"/>
      <c r="AV1134" s="418"/>
      <c r="AW1134" s="418"/>
      <c r="AX1134" s="418"/>
      <c r="AY1134" s="418"/>
      <c r="AZ1134" s="418"/>
      <c r="BA1134" s="418"/>
    </row>
    <row r="1135" spans="40:53" ht="15.75" customHeight="1">
      <c r="AN1135" s="418"/>
      <c r="AO1135" s="418"/>
      <c r="AP1135" s="418"/>
      <c r="AQ1135" s="418"/>
      <c r="AR1135" s="418"/>
      <c r="AS1135" s="418"/>
      <c r="AT1135" s="418"/>
      <c r="AU1135" s="418"/>
      <c r="AV1135" s="418"/>
      <c r="AW1135" s="418"/>
      <c r="AX1135" s="418"/>
      <c r="AY1135" s="418"/>
      <c r="AZ1135" s="418"/>
      <c r="BA1135" s="418"/>
    </row>
    <row r="1136" spans="40:53" ht="15.75" customHeight="1">
      <c r="AN1136" s="418"/>
      <c r="AO1136" s="418"/>
      <c r="AP1136" s="418"/>
      <c r="AQ1136" s="418"/>
      <c r="AR1136" s="418"/>
      <c r="AS1136" s="418"/>
      <c r="AT1136" s="418"/>
      <c r="AU1136" s="418"/>
      <c r="AV1136" s="418"/>
      <c r="AW1136" s="418"/>
      <c r="AX1136" s="418"/>
      <c r="AY1136" s="418"/>
      <c r="AZ1136" s="418"/>
      <c r="BA1136" s="418"/>
    </row>
    <row r="1137" spans="40:53" ht="15.75" customHeight="1">
      <c r="AN1137" s="418"/>
      <c r="AO1137" s="418"/>
      <c r="AP1137" s="418"/>
      <c r="AQ1137" s="418"/>
      <c r="AR1137" s="418"/>
      <c r="AS1137" s="418"/>
      <c r="AT1137" s="418"/>
      <c r="AU1137" s="418"/>
      <c r="AV1137" s="418"/>
      <c r="AW1137" s="418"/>
      <c r="AX1137" s="418"/>
      <c r="AY1137" s="418"/>
      <c r="AZ1137" s="418"/>
      <c r="BA1137" s="418"/>
    </row>
    <row r="1138" spans="40:53" ht="15.75" customHeight="1">
      <c r="AN1138" s="418"/>
      <c r="AO1138" s="418"/>
      <c r="AP1138" s="418"/>
      <c r="AQ1138" s="418"/>
      <c r="AR1138" s="418"/>
      <c r="AS1138" s="418"/>
      <c r="AT1138" s="418"/>
      <c r="AU1138" s="418"/>
      <c r="AV1138" s="418"/>
      <c r="AW1138" s="418"/>
      <c r="AX1138" s="418"/>
      <c r="AY1138" s="418"/>
      <c r="AZ1138" s="418"/>
      <c r="BA1138" s="418"/>
    </row>
    <row r="1139" spans="40:53" ht="15.75" customHeight="1">
      <c r="AN1139" s="418"/>
      <c r="AO1139" s="418"/>
      <c r="AP1139" s="418"/>
      <c r="AQ1139" s="418"/>
      <c r="AR1139" s="418"/>
      <c r="AS1139" s="418"/>
      <c r="AT1139" s="418"/>
      <c r="AU1139" s="418"/>
      <c r="AV1139" s="418"/>
      <c r="AW1139" s="418"/>
      <c r="AX1139" s="418"/>
      <c r="AY1139" s="418"/>
      <c r="AZ1139" s="418"/>
      <c r="BA1139" s="418"/>
    </row>
    <row r="1140" spans="40:53" ht="15.75" customHeight="1">
      <c r="AN1140" s="418"/>
      <c r="AO1140" s="418"/>
      <c r="AP1140" s="418"/>
      <c r="AQ1140" s="418"/>
      <c r="AR1140" s="418"/>
      <c r="AS1140" s="418"/>
      <c r="AT1140" s="418"/>
      <c r="AU1140" s="418"/>
      <c r="AV1140" s="418"/>
      <c r="AW1140" s="418"/>
      <c r="AX1140" s="418"/>
      <c r="AY1140" s="418"/>
      <c r="AZ1140" s="418"/>
      <c r="BA1140" s="418"/>
    </row>
    <row r="1141" spans="40:53" ht="15.75" customHeight="1">
      <c r="AN1141" s="418"/>
      <c r="AO1141" s="418"/>
      <c r="AP1141" s="418"/>
      <c r="AQ1141" s="418"/>
      <c r="AR1141" s="418"/>
      <c r="AS1141" s="418"/>
      <c r="AT1141" s="418"/>
      <c r="AU1141" s="418"/>
      <c r="AV1141" s="418"/>
      <c r="AW1141" s="418"/>
      <c r="AX1141" s="418"/>
      <c r="AY1141" s="418"/>
      <c r="AZ1141" s="418"/>
      <c r="BA1141" s="418"/>
    </row>
    <row r="1142" spans="40:53" ht="15.75" customHeight="1">
      <c r="AN1142" s="418"/>
      <c r="AO1142" s="418"/>
      <c r="AP1142" s="418"/>
      <c r="AQ1142" s="418"/>
      <c r="AR1142" s="418"/>
      <c r="AS1142" s="418"/>
      <c r="AT1142" s="418"/>
      <c r="AU1142" s="418"/>
      <c r="AV1142" s="418"/>
      <c r="AW1142" s="418"/>
      <c r="AX1142" s="418"/>
      <c r="AY1142" s="418"/>
      <c r="AZ1142" s="418"/>
      <c r="BA1142" s="418"/>
    </row>
    <row r="1143" spans="40:53" ht="15.75" customHeight="1">
      <c r="AN1143" s="418"/>
      <c r="AO1143" s="418"/>
      <c r="AP1143" s="418"/>
      <c r="AQ1143" s="418"/>
      <c r="AR1143" s="418"/>
      <c r="AS1143" s="418"/>
      <c r="AT1143" s="418"/>
      <c r="AU1143" s="418"/>
      <c r="AV1143" s="418"/>
      <c r="AW1143" s="418"/>
      <c r="AX1143" s="418"/>
      <c r="AY1143" s="418"/>
      <c r="AZ1143" s="418"/>
      <c r="BA1143" s="418"/>
    </row>
    <row r="1144" spans="40:53" ht="15.75" customHeight="1">
      <c r="AN1144" s="418"/>
      <c r="AO1144" s="418"/>
      <c r="AP1144" s="418"/>
      <c r="AQ1144" s="418"/>
      <c r="AR1144" s="418"/>
      <c r="AS1144" s="418"/>
      <c r="AT1144" s="418"/>
      <c r="AU1144" s="418"/>
      <c r="AV1144" s="418"/>
      <c r="AW1144" s="418"/>
      <c r="AX1144" s="418"/>
      <c r="AY1144" s="418"/>
      <c r="AZ1144" s="418"/>
      <c r="BA1144" s="418"/>
    </row>
    <row r="1145" spans="40:53" ht="15.75" customHeight="1">
      <c r="AN1145" s="418"/>
      <c r="AO1145" s="418"/>
      <c r="AP1145" s="418"/>
      <c r="AQ1145" s="418"/>
      <c r="AR1145" s="418"/>
      <c r="AS1145" s="418"/>
      <c r="AT1145" s="418"/>
      <c r="AU1145" s="418"/>
      <c r="AV1145" s="418"/>
      <c r="AW1145" s="418"/>
      <c r="AX1145" s="418"/>
      <c r="AY1145" s="418"/>
      <c r="AZ1145" s="418"/>
      <c r="BA1145" s="418"/>
    </row>
    <row r="1146" spans="40:53" ht="15.75" customHeight="1">
      <c r="AN1146" s="418"/>
      <c r="AO1146" s="418"/>
      <c r="AP1146" s="418"/>
      <c r="AQ1146" s="418"/>
      <c r="AR1146" s="418"/>
      <c r="AS1146" s="418"/>
      <c r="AT1146" s="418"/>
      <c r="AU1146" s="418"/>
      <c r="AV1146" s="418"/>
      <c r="AW1146" s="418"/>
      <c r="AX1146" s="418"/>
      <c r="AY1146" s="418"/>
      <c r="AZ1146" s="418"/>
      <c r="BA1146" s="418"/>
    </row>
    <row r="1147" spans="40:53" ht="15.75" customHeight="1">
      <c r="AN1147" s="418"/>
      <c r="AO1147" s="418"/>
      <c r="AP1147" s="418"/>
      <c r="AQ1147" s="418"/>
      <c r="AR1147" s="418"/>
      <c r="AS1147" s="418"/>
      <c r="AT1147" s="418"/>
      <c r="AU1147" s="418"/>
      <c r="AV1147" s="418"/>
      <c r="AW1147" s="418"/>
      <c r="AX1147" s="418"/>
      <c r="AY1147" s="418"/>
      <c r="AZ1147" s="418"/>
      <c r="BA1147" s="418"/>
    </row>
    <row r="1148" spans="40:53" ht="15.75" customHeight="1">
      <c r="AN1148" s="418"/>
      <c r="AO1148" s="418"/>
      <c r="AP1148" s="418"/>
      <c r="AQ1148" s="418"/>
      <c r="AR1148" s="418"/>
      <c r="AS1148" s="418"/>
      <c r="AT1148" s="418"/>
      <c r="AU1148" s="418"/>
      <c r="AV1148" s="418"/>
      <c r="AW1148" s="418"/>
      <c r="AX1148" s="418"/>
      <c r="AY1148" s="418"/>
      <c r="AZ1148" s="418"/>
      <c r="BA1148" s="418"/>
    </row>
    <row r="1149" spans="40:53" ht="15.75" customHeight="1">
      <c r="AN1149" s="418"/>
      <c r="AO1149" s="418"/>
      <c r="AP1149" s="418"/>
      <c r="AQ1149" s="418"/>
      <c r="AR1149" s="418"/>
      <c r="AS1149" s="418"/>
      <c r="AT1149" s="418"/>
      <c r="AU1149" s="418"/>
      <c r="AV1149" s="418"/>
      <c r="AW1149" s="418"/>
      <c r="AX1149" s="418"/>
      <c r="AY1149" s="418"/>
      <c r="AZ1149" s="418"/>
      <c r="BA1149" s="418"/>
    </row>
    <row r="1150" spans="40:53" ht="15.75" customHeight="1">
      <c r="AN1150" s="418"/>
      <c r="AO1150" s="418"/>
      <c r="AP1150" s="418"/>
      <c r="AQ1150" s="418"/>
      <c r="AR1150" s="418"/>
      <c r="AS1150" s="418"/>
      <c r="AT1150" s="418"/>
      <c r="AU1150" s="418"/>
      <c r="AV1150" s="418"/>
      <c r="AW1150" s="418"/>
      <c r="AX1150" s="418"/>
      <c r="AY1150" s="418"/>
      <c r="AZ1150" s="418"/>
      <c r="BA1150" s="418"/>
    </row>
    <row r="1151" spans="40:53" ht="15.75" customHeight="1">
      <c r="AN1151" s="418"/>
      <c r="AO1151" s="418"/>
      <c r="AP1151" s="418"/>
      <c r="AQ1151" s="418"/>
      <c r="AR1151" s="418"/>
      <c r="AS1151" s="418"/>
      <c r="AT1151" s="418"/>
      <c r="AU1151" s="418"/>
      <c r="AV1151" s="418"/>
      <c r="AW1151" s="418"/>
      <c r="AX1151" s="418"/>
      <c r="AY1151" s="418"/>
      <c r="AZ1151" s="418"/>
      <c r="BA1151" s="418"/>
    </row>
    <row r="1152" spans="40:53" ht="15.75" customHeight="1">
      <c r="AN1152" s="418"/>
      <c r="AO1152" s="418"/>
      <c r="AP1152" s="418"/>
      <c r="AQ1152" s="418"/>
      <c r="AR1152" s="418"/>
      <c r="AS1152" s="418"/>
      <c r="AT1152" s="418"/>
      <c r="AU1152" s="418"/>
      <c r="AV1152" s="418"/>
      <c r="AW1152" s="418"/>
      <c r="AX1152" s="418"/>
      <c r="AY1152" s="418"/>
      <c r="AZ1152" s="418"/>
      <c r="BA1152" s="418"/>
    </row>
    <row r="1153" spans="40:53" ht="15.75" customHeight="1">
      <c r="AN1153" s="418"/>
      <c r="AO1153" s="418"/>
      <c r="AP1153" s="418"/>
      <c r="AQ1153" s="418"/>
      <c r="AR1153" s="418"/>
      <c r="AS1153" s="418"/>
      <c r="AT1153" s="418"/>
      <c r="AU1153" s="418"/>
      <c r="AV1153" s="418"/>
      <c r="AW1153" s="418"/>
      <c r="AX1153" s="418"/>
      <c r="AY1153" s="418"/>
      <c r="AZ1153" s="418"/>
      <c r="BA1153" s="418"/>
    </row>
    <row r="1154" spans="40:53" ht="15.75" customHeight="1">
      <c r="AN1154" s="418"/>
      <c r="AO1154" s="418"/>
      <c r="AP1154" s="418"/>
      <c r="AQ1154" s="418"/>
      <c r="AR1154" s="418"/>
      <c r="AS1154" s="418"/>
      <c r="AT1154" s="418"/>
      <c r="AU1154" s="418"/>
      <c r="AV1154" s="418"/>
      <c r="AW1154" s="418"/>
      <c r="AX1154" s="418"/>
      <c r="AY1154" s="418"/>
      <c r="AZ1154" s="418"/>
      <c r="BA1154" s="418"/>
    </row>
    <row r="1155" spans="40:53" ht="15.75" customHeight="1">
      <c r="AN1155" s="418"/>
      <c r="AO1155" s="418"/>
      <c r="AP1155" s="418"/>
      <c r="AQ1155" s="418"/>
      <c r="AR1155" s="418"/>
      <c r="AS1155" s="418"/>
      <c r="AT1155" s="418"/>
      <c r="AU1155" s="418"/>
      <c r="AV1155" s="418"/>
      <c r="AW1155" s="418"/>
      <c r="AX1155" s="418"/>
      <c r="AY1155" s="418"/>
      <c r="AZ1155" s="418"/>
      <c r="BA1155" s="418"/>
    </row>
    <row r="1156" spans="40:53" ht="15.75" customHeight="1">
      <c r="AN1156" s="418"/>
      <c r="AO1156" s="418"/>
      <c r="AP1156" s="418"/>
      <c r="AQ1156" s="418"/>
      <c r="AR1156" s="418"/>
      <c r="AS1156" s="418"/>
      <c r="AT1156" s="418"/>
      <c r="AU1156" s="418"/>
      <c r="AV1156" s="418"/>
      <c r="AW1156" s="418"/>
      <c r="AX1156" s="418"/>
      <c r="AY1156" s="418"/>
      <c r="AZ1156" s="418"/>
      <c r="BA1156" s="418"/>
    </row>
    <row r="1157" spans="40:53" ht="15.75" customHeight="1">
      <c r="AN1157" s="418"/>
      <c r="AO1157" s="418"/>
      <c r="AP1157" s="418"/>
      <c r="AQ1157" s="418"/>
      <c r="AR1157" s="418"/>
      <c r="AS1157" s="418"/>
      <c r="AT1157" s="418"/>
      <c r="AU1157" s="418"/>
      <c r="AV1157" s="418"/>
      <c r="AW1157" s="418"/>
      <c r="AX1157" s="418"/>
      <c r="AY1157" s="418"/>
      <c r="AZ1157" s="418"/>
      <c r="BA1157" s="418"/>
    </row>
    <row r="1158" spans="40:53" ht="15.75" customHeight="1">
      <c r="AN1158" s="418"/>
      <c r="AO1158" s="418"/>
      <c r="AP1158" s="418"/>
      <c r="AQ1158" s="418"/>
      <c r="AR1158" s="418"/>
      <c r="AS1158" s="418"/>
      <c r="AT1158" s="418"/>
      <c r="AU1158" s="418"/>
      <c r="AV1158" s="418"/>
      <c r="AW1158" s="418"/>
      <c r="AX1158" s="418"/>
      <c r="AY1158" s="418"/>
      <c r="AZ1158" s="418"/>
      <c r="BA1158" s="418"/>
    </row>
    <row r="1159" spans="40:53" ht="15.75" customHeight="1">
      <c r="AN1159" s="418"/>
      <c r="AO1159" s="418"/>
      <c r="AP1159" s="418"/>
      <c r="AQ1159" s="418"/>
      <c r="AR1159" s="418"/>
      <c r="AS1159" s="418"/>
      <c r="AT1159" s="418"/>
      <c r="AU1159" s="418"/>
      <c r="AV1159" s="418"/>
      <c r="AW1159" s="418"/>
      <c r="AX1159" s="418"/>
      <c r="AY1159" s="418"/>
      <c r="AZ1159" s="418"/>
      <c r="BA1159" s="418"/>
    </row>
    <row r="1160" spans="40:53" ht="15.75" customHeight="1">
      <c r="AN1160" s="418"/>
      <c r="AO1160" s="418"/>
      <c r="AP1160" s="418"/>
      <c r="AQ1160" s="418"/>
      <c r="AR1160" s="418"/>
      <c r="AS1160" s="418"/>
      <c r="AT1160" s="418"/>
      <c r="AU1160" s="418"/>
      <c r="AV1160" s="418"/>
      <c r="AW1160" s="418"/>
      <c r="AX1160" s="418"/>
      <c r="AY1160" s="418"/>
      <c r="AZ1160" s="418"/>
      <c r="BA1160" s="418"/>
    </row>
    <row r="1161" spans="40:53" ht="15.75" customHeight="1">
      <c r="AN1161" s="418"/>
      <c r="AO1161" s="418"/>
      <c r="AP1161" s="418"/>
      <c r="AQ1161" s="418"/>
      <c r="AR1161" s="418"/>
      <c r="AS1161" s="418"/>
      <c r="AT1161" s="418"/>
      <c r="AU1161" s="418"/>
      <c r="AV1161" s="418"/>
      <c r="AW1161" s="418"/>
      <c r="AX1161" s="418"/>
      <c r="AY1161" s="418"/>
      <c r="AZ1161" s="418"/>
      <c r="BA1161" s="418"/>
    </row>
    <row r="1162" spans="40:53" ht="15.75" customHeight="1">
      <c r="AN1162" s="418"/>
      <c r="AO1162" s="418"/>
      <c r="AP1162" s="418"/>
      <c r="AQ1162" s="418"/>
      <c r="AR1162" s="418"/>
      <c r="AS1162" s="418"/>
      <c r="AT1162" s="418"/>
      <c r="AU1162" s="418"/>
      <c r="AV1162" s="418"/>
      <c r="AW1162" s="418"/>
      <c r="AX1162" s="418"/>
      <c r="AY1162" s="418"/>
      <c r="AZ1162" s="418"/>
      <c r="BA1162" s="418"/>
    </row>
    <row r="1163" spans="40:53" ht="15.75" customHeight="1">
      <c r="AN1163" s="418"/>
      <c r="AO1163" s="418"/>
      <c r="AP1163" s="418"/>
      <c r="AQ1163" s="418"/>
      <c r="AR1163" s="418"/>
      <c r="AS1163" s="418"/>
      <c r="AT1163" s="418"/>
      <c r="AU1163" s="418"/>
      <c r="AV1163" s="418"/>
      <c r="AW1163" s="418"/>
      <c r="AX1163" s="418"/>
      <c r="AY1163" s="418"/>
      <c r="AZ1163" s="418"/>
      <c r="BA1163" s="418"/>
    </row>
    <row r="1164" spans="40:53" ht="15.75" customHeight="1">
      <c r="AN1164" s="418"/>
      <c r="AO1164" s="418"/>
      <c r="AP1164" s="418"/>
      <c r="AQ1164" s="418"/>
      <c r="AR1164" s="418"/>
      <c r="AS1164" s="418"/>
      <c r="AT1164" s="418"/>
      <c r="AU1164" s="418"/>
      <c r="AV1164" s="418"/>
      <c r="AW1164" s="418"/>
      <c r="AX1164" s="418"/>
      <c r="AY1164" s="418"/>
      <c r="AZ1164" s="418"/>
      <c r="BA1164" s="418"/>
    </row>
    <row r="1165" spans="40:53" ht="15.75" customHeight="1">
      <c r="AN1165" s="418"/>
      <c r="AO1165" s="418"/>
      <c r="AP1165" s="418"/>
      <c r="AQ1165" s="418"/>
      <c r="AR1165" s="418"/>
      <c r="AS1165" s="418"/>
      <c r="AT1165" s="418"/>
      <c r="AU1165" s="418"/>
      <c r="AV1165" s="418"/>
      <c r="AW1165" s="418"/>
      <c r="AX1165" s="418"/>
      <c r="AY1165" s="418"/>
      <c r="AZ1165" s="418"/>
      <c r="BA1165" s="418"/>
    </row>
    <row r="1166" spans="40:53" ht="15.75" customHeight="1">
      <c r="AN1166" s="418"/>
      <c r="AO1166" s="418"/>
      <c r="AP1166" s="418"/>
      <c r="AQ1166" s="418"/>
      <c r="AR1166" s="418"/>
      <c r="AS1166" s="418"/>
      <c r="AT1166" s="418"/>
      <c r="AU1166" s="418"/>
      <c r="AV1166" s="418"/>
      <c r="AW1166" s="418"/>
      <c r="AX1166" s="418"/>
      <c r="AY1166" s="418"/>
      <c r="AZ1166" s="418"/>
      <c r="BA1166" s="418"/>
    </row>
    <row r="1167" spans="40:53" ht="15.75" customHeight="1">
      <c r="AN1167" s="418"/>
      <c r="AO1167" s="418"/>
      <c r="AP1167" s="418"/>
      <c r="AQ1167" s="418"/>
      <c r="AR1167" s="418"/>
      <c r="AS1167" s="418"/>
      <c r="AT1167" s="418"/>
      <c r="AU1167" s="418"/>
      <c r="AV1167" s="418"/>
      <c r="AW1167" s="418"/>
      <c r="AX1167" s="418"/>
      <c r="AY1167" s="418"/>
      <c r="AZ1167" s="418"/>
      <c r="BA1167" s="418"/>
    </row>
    <row r="1168" spans="40:53" ht="15.75" customHeight="1">
      <c r="AN1168" s="418"/>
      <c r="AO1168" s="418"/>
      <c r="AP1168" s="418"/>
      <c r="AQ1168" s="418"/>
      <c r="AR1168" s="418"/>
      <c r="AS1168" s="418"/>
      <c r="AT1168" s="418"/>
      <c r="AU1168" s="418"/>
      <c r="AV1168" s="418"/>
      <c r="AW1168" s="418"/>
      <c r="AX1168" s="418"/>
      <c r="AY1168" s="418"/>
      <c r="AZ1168" s="418"/>
      <c r="BA1168" s="418"/>
    </row>
    <row r="1169" spans="40:53" ht="15.75" customHeight="1">
      <c r="AN1169" s="418"/>
      <c r="AO1169" s="418"/>
      <c r="AP1169" s="418"/>
      <c r="AQ1169" s="418"/>
      <c r="AR1169" s="418"/>
      <c r="AS1169" s="418"/>
      <c r="AT1169" s="418"/>
      <c r="AU1169" s="418"/>
      <c r="AV1169" s="418"/>
      <c r="AW1169" s="418"/>
      <c r="AX1169" s="418"/>
      <c r="AY1169" s="418"/>
      <c r="AZ1169" s="418"/>
      <c r="BA1169" s="418"/>
    </row>
    <row r="1170" spans="40:53" ht="15.75" customHeight="1">
      <c r="AN1170" s="418"/>
      <c r="AO1170" s="418"/>
      <c r="AP1170" s="418"/>
      <c r="AQ1170" s="418"/>
      <c r="AR1170" s="418"/>
      <c r="AS1170" s="418"/>
      <c r="AT1170" s="418"/>
      <c r="AU1170" s="418"/>
      <c r="AV1170" s="418"/>
      <c r="AW1170" s="418"/>
      <c r="AX1170" s="418"/>
      <c r="AY1170" s="418"/>
      <c r="AZ1170" s="418"/>
      <c r="BA1170" s="418"/>
    </row>
    <row r="1171" spans="40:53" ht="15.75" customHeight="1">
      <c r="AN1171" s="418"/>
      <c r="AO1171" s="418"/>
      <c r="AP1171" s="418"/>
      <c r="AQ1171" s="418"/>
      <c r="AR1171" s="418"/>
      <c r="AS1171" s="418"/>
      <c r="AT1171" s="418"/>
      <c r="AU1171" s="418"/>
      <c r="AV1171" s="418"/>
      <c r="AW1171" s="418"/>
      <c r="AX1171" s="418"/>
      <c r="AY1171" s="418"/>
      <c r="AZ1171" s="418"/>
      <c r="BA1171" s="418"/>
    </row>
    <row r="1172" spans="40:53" ht="15.75" customHeight="1">
      <c r="AN1172" s="418"/>
      <c r="AO1172" s="418"/>
      <c r="AP1172" s="418"/>
      <c r="AQ1172" s="418"/>
      <c r="AR1172" s="418"/>
      <c r="AS1172" s="418"/>
      <c r="AT1172" s="418"/>
      <c r="AU1172" s="418"/>
      <c r="AV1172" s="418"/>
      <c r="AW1172" s="418"/>
      <c r="AX1172" s="418"/>
      <c r="AY1172" s="418"/>
      <c r="AZ1172" s="418"/>
      <c r="BA1172" s="418"/>
    </row>
    <row r="1173" spans="40:53" ht="15.75" customHeight="1">
      <c r="AN1173" s="418"/>
      <c r="AO1173" s="418"/>
      <c r="AP1173" s="418"/>
      <c r="AQ1173" s="418"/>
      <c r="AR1173" s="418"/>
      <c r="AS1173" s="418"/>
      <c r="AT1173" s="418"/>
      <c r="AU1173" s="418"/>
      <c r="AV1173" s="418"/>
      <c r="AW1173" s="418"/>
      <c r="AX1173" s="418"/>
      <c r="AY1173" s="418"/>
      <c r="AZ1173" s="418"/>
      <c r="BA1173" s="418"/>
    </row>
    <row r="1174" spans="40:53" ht="15.75" customHeight="1">
      <c r="AN1174" s="418"/>
      <c r="AO1174" s="418"/>
      <c r="AP1174" s="418"/>
      <c r="AQ1174" s="418"/>
      <c r="AR1174" s="418"/>
      <c r="AS1174" s="418"/>
      <c r="AT1174" s="418"/>
      <c r="AU1174" s="418"/>
      <c r="AV1174" s="418"/>
      <c r="AW1174" s="418"/>
      <c r="AX1174" s="418"/>
      <c r="AY1174" s="418"/>
      <c r="AZ1174" s="418"/>
      <c r="BA1174" s="418"/>
    </row>
    <row r="1175" spans="40:53" ht="15.75" customHeight="1">
      <c r="AN1175" s="418"/>
      <c r="AO1175" s="418"/>
      <c r="AP1175" s="418"/>
      <c r="AQ1175" s="418"/>
      <c r="AR1175" s="418"/>
      <c r="AS1175" s="418"/>
      <c r="AT1175" s="418"/>
      <c r="AU1175" s="418"/>
      <c r="AV1175" s="418"/>
      <c r="AW1175" s="418"/>
      <c r="AX1175" s="418"/>
      <c r="AY1175" s="418"/>
      <c r="AZ1175" s="418"/>
      <c r="BA1175" s="418"/>
    </row>
    <row r="1176" spans="40:53" ht="15.75" customHeight="1">
      <c r="AN1176" s="418"/>
      <c r="AO1176" s="418"/>
      <c r="AP1176" s="418"/>
      <c r="AQ1176" s="418"/>
      <c r="AR1176" s="418"/>
      <c r="AS1176" s="418"/>
      <c r="AT1176" s="418"/>
      <c r="AU1176" s="418"/>
      <c r="AV1176" s="418"/>
      <c r="AW1176" s="418"/>
      <c r="AX1176" s="418"/>
      <c r="AY1176" s="418"/>
      <c r="AZ1176" s="418"/>
      <c r="BA1176" s="418"/>
    </row>
    <row r="1177" spans="40:53" ht="15.75" customHeight="1">
      <c r="AN1177" s="418"/>
      <c r="AO1177" s="418"/>
      <c r="AP1177" s="418"/>
      <c r="AQ1177" s="418"/>
      <c r="AR1177" s="418"/>
      <c r="AS1177" s="418"/>
      <c r="AT1177" s="418"/>
      <c r="AU1177" s="418"/>
      <c r="AV1177" s="418"/>
      <c r="AW1177" s="418"/>
      <c r="AX1177" s="418"/>
      <c r="AY1177" s="418"/>
      <c r="AZ1177" s="418"/>
      <c r="BA1177" s="418"/>
    </row>
    <row r="1178" spans="40:53" ht="15.75" customHeight="1">
      <c r="AN1178" s="418"/>
      <c r="AO1178" s="418"/>
      <c r="AP1178" s="418"/>
      <c r="AQ1178" s="418"/>
      <c r="AR1178" s="418"/>
      <c r="AS1178" s="418"/>
      <c r="AT1178" s="418"/>
      <c r="AU1178" s="418"/>
      <c r="AV1178" s="418"/>
      <c r="AW1178" s="418"/>
      <c r="AX1178" s="418"/>
      <c r="AY1178" s="418"/>
      <c r="AZ1178" s="418"/>
      <c r="BA1178" s="418"/>
    </row>
    <row r="1179" spans="40:53" ht="15.75" customHeight="1">
      <c r="AN1179" s="418"/>
      <c r="AO1179" s="418"/>
      <c r="AP1179" s="418"/>
      <c r="AQ1179" s="418"/>
      <c r="AR1179" s="418"/>
      <c r="AS1179" s="418"/>
      <c r="AT1179" s="418"/>
      <c r="AU1179" s="418"/>
      <c r="AV1179" s="418"/>
      <c r="AW1179" s="418"/>
      <c r="AX1179" s="418"/>
      <c r="AY1179" s="418"/>
      <c r="AZ1179" s="418"/>
      <c r="BA1179" s="418"/>
    </row>
    <row r="1180" spans="40:53" ht="15.75" customHeight="1">
      <c r="AN1180" s="418"/>
      <c r="AO1180" s="418"/>
      <c r="AP1180" s="418"/>
      <c r="AQ1180" s="418"/>
      <c r="AR1180" s="418"/>
      <c r="AS1180" s="418"/>
      <c r="AT1180" s="418"/>
      <c r="AU1180" s="418"/>
      <c r="AV1180" s="418"/>
      <c r="AW1180" s="418"/>
      <c r="AX1180" s="418"/>
      <c r="AY1180" s="418"/>
      <c r="AZ1180" s="418"/>
      <c r="BA1180" s="418"/>
    </row>
    <row r="1181" spans="40:53" ht="15.75" customHeight="1">
      <c r="AN1181" s="418"/>
      <c r="AO1181" s="418"/>
      <c r="AP1181" s="418"/>
      <c r="AQ1181" s="418"/>
      <c r="AR1181" s="418"/>
      <c r="AS1181" s="418"/>
      <c r="AT1181" s="418"/>
      <c r="AU1181" s="418"/>
      <c r="AV1181" s="418"/>
      <c r="AW1181" s="418"/>
      <c r="AX1181" s="418"/>
      <c r="AY1181" s="418"/>
      <c r="AZ1181" s="418"/>
      <c r="BA1181" s="418"/>
    </row>
    <row r="1182" spans="40:53" ht="15.75" customHeight="1">
      <c r="AN1182" s="418"/>
      <c r="AO1182" s="418"/>
      <c r="AP1182" s="418"/>
      <c r="AQ1182" s="418"/>
      <c r="AR1182" s="418"/>
      <c r="AS1182" s="418"/>
      <c r="AT1182" s="418"/>
      <c r="AU1182" s="418"/>
      <c r="AV1182" s="418"/>
      <c r="AW1182" s="418"/>
      <c r="AX1182" s="418"/>
      <c r="AY1182" s="418"/>
      <c r="AZ1182" s="418"/>
      <c r="BA1182" s="418"/>
    </row>
    <row r="1183" spans="40:53" ht="15.75" customHeight="1">
      <c r="AN1183" s="418"/>
      <c r="AO1183" s="418"/>
      <c r="AP1183" s="418"/>
      <c r="AQ1183" s="418"/>
      <c r="AR1183" s="418"/>
      <c r="AS1183" s="418"/>
      <c r="AT1183" s="418"/>
      <c r="AU1183" s="418"/>
      <c r="AV1183" s="418"/>
      <c r="AW1183" s="418"/>
      <c r="AX1183" s="418"/>
      <c r="AY1183" s="418"/>
      <c r="AZ1183" s="418"/>
      <c r="BA1183" s="418"/>
    </row>
    <row r="1184" spans="40:53" ht="15.75" customHeight="1">
      <c r="AN1184" s="418"/>
      <c r="AO1184" s="418"/>
      <c r="AP1184" s="418"/>
      <c r="AQ1184" s="418"/>
      <c r="AR1184" s="418"/>
      <c r="AS1184" s="418"/>
      <c r="AT1184" s="418"/>
      <c r="AU1184" s="418"/>
      <c r="AV1184" s="418"/>
      <c r="AW1184" s="418"/>
      <c r="AX1184" s="418"/>
      <c r="AY1184" s="418"/>
      <c r="AZ1184" s="418"/>
      <c r="BA1184" s="418"/>
    </row>
    <row r="1185" spans="40:53" ht="15.75" customHeight="1">
      <c r="AN1185" s="418"/>
      <c r="AO1185" s="418"/>
      <c r="AP1185" s="418"/>
      <c r="AQ1185" s="418"/>
      <c r="AR1185" s="418"/>
      <c r="AS1185" s="418"/>
      <c r="AT1185" s="418"/>
      <c r="AU1185" s="418"/>
      <c r="AV1185" s="418"/>
      <c r="AW1185" s="418"/>
      <c r="AX1185" s="418"/>
      <c r="AY1185" s="418"/>
      <c r="AZ1185" s="418"/>
      <c r="BA1185" s="418"/>
    </row>
    <row r="1186" spans="40:53" ht="15.75" customHeight="1">
      <c r="AN1186" s="418"/>
      <c r="AO1186" s="418"/>
      <c r="AP1186" s="418"/>
      <c r="AQ1186" s="418"/>
      <c r="AR1186" s="418"/>
      <c r="AS1186" s="418"/>
      <c r="AT1186" s="418"/>
      <c r="AU1186" s="418"/>
      <c r="AV1186" s="418"/>
      <c r="AW1186" s="418"/>
      <c r="AX1186" s="418"/>
      <c r="AY1186" s="418"/>
      <c r="AZ1186" s="418"/>
      <c r="BA1186" s="418"/>
    </row>
    <row r="1187" spans="40:53" ht="15.75" customHeight="1">
      <c r="AN1187" s="418"/>
      <c r="AO1187" s="418"/>
      <c r="AP1187" s="418"/>
      <c r="AQ1187" s="418"/>
      <c r="AR1187" s="418"/>
      <c r="AS1187" s="418"/>
      <c r="AT1187" s="418"/>
      <c r="AU1187" s="418"/>
      <c r="AV1187" s="418"/>
      <c r="AW1187" s="418"/>
      <c r="AX1187" s="418"/>
      <c r="AY1187" s="418"/>
      <c r="AZ1187" s="418"/>
      <c r="BA1187" s="418"/>
    </row>
    <row r="1188" spans="40:53" ht="15.75" customHeight="1">
      <c r="AN1188" s="418"/>
      <c r="AO1188" s="418"/>
      <c r="AP1188" s="418"/>
      <c r="AQ1188" s="418"/>
      <c r="AR1188" s="418"/>
      <c r="AS1188" s="418"/>
      <c r="AT1188" s="418"/>
      <c r="AU1188" s="418"/>
      <c r="AV1188" s="418"/>
      <c r="AW1188" s="418"/>
      <c r="AX1188" s="418"/>
      <c r="AY1188" s="418"/>
      <c r="AZ1188" s="418"/>
      <c r="BA1188" s="418"/>
    </row>
    <row r="1189" spans="40:53" ht="15.75" customHeight="1">
      <c r="AN1189" s="418"/>
      <c r="AO1189" s="418"/>
      <c r="AP1189" s="418"/>
      <c r="AQ1189" s="418"/>
      <c r="AR1189" s="418"/>
      <c r="AS1189" s="418"/>
      <c r="AT1189" s="418"/>
      <c r="AU1189" s="418"/>
      <c r="AV1189" s="418"/>
      <c r="AW1189" s="418"/>
      <c r="AX1189" s="418"/>
      <c r="AY1189" s="418"/>
      <c r="AZ1189" s="418"/>
      <c r="BA1189" s="418"/>
    </row>
    <row r="1190" spans="40:53" ht="15.75" customHeight="1">
      <c r="AN1190" s="418"/>
      <c r="AO1190" s="418"/>
      <c r="AP1190" s="418"/>
      <c r="AQ1190" s="418"/>
      <c r="AR1190" s="418"/>
      <c r="AS1190" s="418"/>
      <c r="AT1190" s="418"/>
      <c r="AU1190" s="418"/>
      <c r="AV1190" s="418"/>
      <c r="AW1190" s="418"/>
      <c r="AX1190" s="418"/>
      <c r="AY1190" s="418"/>
      <c r="AZ1190" s="418"/>
      <c r="BA1190" s="418"/>
    </row>
    <row r="1191" spans="40:53" ht="15.75" customHeight="1">
      <c r="AN1191" s="418"/>
      <c r="AO1191" s="418"/>
      <c r="AP1191" s="418"/>
      <c r="AQ1191" s="418"/>
      <c r="AR1191" s="418"/>
      <c r="AS1191" s="418"/>
      <c r="AT1191" s="418"/>
      <c r="AU1191" s="418"/>
      <c r="AV1191" s="418"/>
      <c r="AW1191" s="418"/>
      <c r="AX1191" s="418"/>
      <c r="AY1191" s="418"/>
      <c r="AZ1191" s="418"/>
      <c r="BA1191" s="418"/>
    </row>
    <row r="1192" spans="40:53" ht="15.75" customHeight="1">
      <c r="AN1192" s="418"/>
      <c r="AO1192" s="418"/>
      <c r="AP1192" s="418"/>
      <c r="AQ1192" s="418"/>
      <c r="AR1192" s="418"/>
      <c r="AS1192" s="418"/>
      <c r="AT1192" s="418"/>
      <c r="AU1192" s="418"/>
      <c r="AV1192" s="418"/>
      <c r="AW1192" s="418"/>
      <c r="AX1192" s="418"/>
      <c r="AY1192" s="418"/>
      <c r="AZ1192" s="418"/>
      <c r="BA1192" s="418"/>
    </row>
    <row r="1193" spans="40:53" ht="15.75" customHeight="1">
      <c r="AN1193" s="418"/>
      <c r="AO1193" s="418"/>
      <c r="AP1193" s="418"/>
      <c r="AQ1193" s="418"/>
      <c r="AR1193" s="418"/>
      <c r="AS1193" s="418"/>
      <c r="AT1193" s="418"/>
      <c r="AU1193" s="418"/>
      <c r="AV1193" s="418"/>
      <c r="AW1193" s="418"/>
      <c r="AX1193" s="418"/>
      <c r="AY1193" s="418"/>
      <c r="AZ1193" s="418"/>
      <c r="BA1193" s="418"/>
    </row>
    <row r="1194" spans="40:53" ht="15.75" customHeight="1">
      <c r="AN1194" s="418"/>
      <c r="AO1194" s="418"/>
      <c r="AP1194" s="418"/>
      <c r="AQ1194" s="418"/>
      <c r="AR1194" s="418"/>
      <c r="AS1194" s="418"/>
      <c r="AT1194" s="418"/>
      <c r="AU1194" s="418"/>
      <c r="AV1194" s="418"/>
      <c r="AW1194" s="418"/>
      <c r="AX1194" s="418"/>
      <c r="AY1194" s="418"/>
      <c r="AZ1194" s="418"/>
      <c r="BA1194" s="418"/>
    </row>
    <row r="1195" spans="40:53" ht="15.75" customHeight="1">
      <c r="AN1195" s="418"/>
      <c r="AO1195" s="418"/>
      <c r="AP1195" s="418"/>
      <c r="AQ1195" s="418"/>
      <c r="AR1195" s="418"/>
      <c r="AS1195" s="418"/>
      <c r="AT1195" s="418"/>
      <c r="AU1195" s="418"/>
      <c r="AV1195" s="418"/>
      <c r="AW1195" s="418"/>
      <c r="AX1195" s="418"/>
      <c r="AY1195" s="418"/>
      <c r="AZ1195" s="418"/>
      <c r="BA1195" s="418"/>
    </row>
    <row r="1196" spans="40:53" ht="15.75" customHeight="1">
      <c r="AN1196" s="418"/>
      <c r="AO1196" s="418"/>
      <c r="AP1196" s="418"/>
      <c r="AQ1196" s="418"/>
      <c r="AR1196" s="418"/>
      <c r="AS1196" s="418"/>
      <c r="AT1196" s="418"/>
      <c r="AU1196" s="418"/>
      <c r="AV1196" s="418"/>
      <c r="AW1196" s="418"/>
      <c r="AX1196" s="418"/>
      <c r="AY1196" s="418"/>
      <c r="AZ1196" s="418"/>
      <c r="BA1196" s="418"/>
    </row>
    <row r="1197" spans="40:53" ht="15.75" customHeight="1">
      <c r="AN1197" s="418"/>
      <c r="AO1197" s="418"/>
      <c r="AP1197" s="418"/>
      <c r="AQ1197" s="418"/>
      <c r="AR1197" s="418"/>
      <c r="AS1197" s="418"/>
      <c r="AT1197" s="418"/>
      <c r="AU1197" s="418"/>
      <c r="AV1197" s="418"/>
      <c r="AW1197" s="418"/>
      <c r="AX1197" s="418"/>
      <c r="AY1197" s="418"/>
      <c r="AZ1197" s="418"/>
      <c r="BA1197" s="418"/>
    </row>
    <row r="1198" spans="40:53" ht="15.75" customHeight="1">
      <c r="AN1198" s="418"/>
      <c r="AO1198" s="418"/>
      <c r="AP1198" s="418"/>
      <c r="AQ1198" s="418"/>
      <c r="AR1198" s="418"/>
      <c r="AS1198" s="418"/>
      <c r="AT1198" s="418"/>
      <c r="AU1198" s="418"/>
      <c r="AV1198" s="418"/>
      <c r="AW1198" s="418"/>
      <c r="AX1198" s="418"/>
      <c r="AY1198" s="418"/>
      <c r="AZ1198" s="418"/>
      <c r="BA1198" s="418"/>
    </row>
    <row r="1199" spans="40:53" ht="15.75" customHeight="1">
      <c r="AN1199" s="418"/>
      <c r="AO1199" s="418"/>
      <c r="AP1199" s="418"/>
      <c r="AQ1199" s="418"/>
      <c r="AR1199" s="418"/>
      <c r="AS1199" s="418"/>
      <c r="AT1199" s="418"/>
      <c r="AU1199" s="418"/>
      <c r="AV1199" s="418"/>
      <c r="AW1199" s="418"/>
      <c r="AX1199" s="418"/>
      <c r="AY1199" s="418"/>
      <c r="AZ1199" s="418"/>
      <c r="BA1199" s="418"/>
    </row>
    <row r="1200" spans="40:53" ht="15.75" customHeight="1">
      <c r="AN1200" s="418"/>
      <c r="AO1200" s="418"/>
      <c r="AP1200" s="418"/>
      <c r="AQ1200" s="418"/>
      <c r="AR1200" s="418"/>
      <c r="AS1200" s="418"/>
      <c r="AT1200" s="418"/>
      <c r="AU1200" s="418"/>
      <c r="AV1200" s="418"/>
      <c r="AW1200" s="418"/>
      <c r="AX1200" s="418"/>
      <c r="AY1200" s="418"/>
      <c r="AZ1200" s="418"/>
      <c r="BA1200" s="418"/>
    </row>
    <row r="1201" spans="40:53" ht="15.75" customHeight="1">
      <c r="AN1201" s="418"/>
      <c r="AO1201" s="418"/>
      <c r="AP1201" s="418"/>
      <c r="AQ1201" s="418"/>
      <c r="AR1201" s="418"/>
      <c r="AS1201" s="418"/>
      <c r="AT1201" s="418"/>
      <c r="AU1201" s="418"/>
      <c r="AV1201" s="418"/>
      <c r="AW1201" s="418"/>
      <c r="AX1201" s="418"/>
      <c r="AY1201" s="418"/>
      <c r="AZ1201" s="418"/>
      <c r="BA1201" s="418"/>
    </row>
    <row r="1202" spans="40:53" ht="15.75" customHeight="1">
      <c r="AN1202" s="418"/>
      <c r="AO1202" s="418"/>
      <c r="AP1202" s="418"/>
      <c r="AQ1202" s="418"/>
      <c r="AR1202" s="418"/>
      <c r="AS1202" s="418"/>
      <c r="AT1202" s="418"/>
      <c r="AU1202" s="418"/>
      <c r="AV1202" s="418"/>
      <c r="AW1202" s="418"/>
      <c r="AX1202" s="418"/>
      <c r="AY1202" s="418"/>
      <c r="AZ1202" s="418"/>
      <c r="BA1202" s="418"/>
    </row>
    <row r="1203" spans="40:53" ht="15.75" customHeight="1">
      <c r="AN1203" s="418"/>
      <c r="AO1203" s="418"/>
      <c r="AP1203" s="418"/>
      <c r="AQ1203" s="418"/>
      <c r="AR1203" s="418"/>
      <c r="AS1203" s="418"/>
      <c r="AT1203" s="418"/>
      <c r="AU1203" s="418"/>
      <c r="AV1203" s="418"/>
      <c r="AW1203" s="418"/>
      <c r="AX1203" s="418"/>
      <c r="AY1203" s="418"/>
      <c r="AZ1203" s="418"/>
      <c r="BA1203" s="418"/>
    </row>
    <row r="1204" spans="40:53" ht="15.75" customHeight="1">
      <c r="AN1204" s="418"/>
      <c r="AO1204" s="418"/>
      <c r="AP1204" s="418"/>
      <c r="AQ1204" s="418"/>
      <c r="AR1204" s="418"/>
      <c r="AS1204" s="418"/>
      <c r="AT1204" s="418"/>
      <c r="AU1204" s="418"/>
      <c r="AV1204" s="418"/>
      <c r="AW1204" s="418"/>
      <c r="AX1204" s="418"/>
      <c r="AY1204" s="418"/>
      <c r="AZ1204" s="418"/>
      <c r="BA1204" s="418"/>
    </row>
    <row r="1205" spans="40:53" ht="15.75" customHeight="1">
      <c r="AN1205" s="418"/>
      <c r="AO1205" s="418"/>
      <c r="AP1205" s="418"/>
      <c r="AQ1205" s="418"/>
      <c r="AR1205" s="418"/>
      <c r="AS1205" s="418"/>
      <c r="AT1205" s="418"/>
      <c r="AU1205" s="418"/>
      <c r="AV1205" s="418"/>
      <c r="AW1205" s="418"/>
      <c r="AX1205" s="418"/>
      <c r="AY1205" s="418"/>
      <c r="AZ1205" s="418"/>
      <c r="BA1205" s="418"/>
    </row>
    <row r="1206" spans="40:53" ht="15.75" customHeight="1">
      <c r="AN1206" s="418"/>
      <c r="AO1206" s="418"/>
      <c r="AP1206" s="418"/>
      <c r="AQ1206" s="418"/>
      <c r="AR1206" s="418"/>
      <c r="AS1206" s="418"/>
      <c r="AT1206" s="418"/>
      <c r="AU1206" s="418"/>
      <c r="AV1206" s="418"/>
      <c r="AW1206" s="418"/>
      <c r="AX1206" s="418"/>
      <c r="AY1206" s="418"/>
      <c r="AZ1206" s="418"/>
      <c r="BA1206" s="418"/>
    </row>
    <row r="1207" spans="40:53" ht="15.75" customHeight="1">
      <c r="AN1207" s="418"/>
      <c r="AO1207" s="418"/>
      <c r="AP1207" s="418"/>
      <c r="AQ1207" s="418"/>
      <c r="AR1207" s="418"/>
      <c r="AS1207" s="418"/>
      <c r="AT1207" s="418"/>
      <c r="AU1207" s="418"/>
      <c r="AV1207" s="418"/>
      <c r="AW1207" s="418"/>
      <c r="AX1207" s="418"/>
      <c r="AY1207" s="418"/>
      <c r="AZ1207" s="418"/>
      <c r="BA1207" s="418"/>
    </row>
    <row r="1208" spans="40:53" ht="15.75" customHeight="1">
      <c r="AN1208" s="418"/>
      <c r="AO1208" s="418"/>
      <c r="AP1208" s="418"/>
      <c r="AQ1208" s="418"/>
      <c r="AR1208" s="418"/>
      <c r="AS1208" s="418"/>
      <c r="AT1208" s="418"/>
      <c r="AU1208" s="418"/>
      <c r="AV1208" s="418"/>
      <c r="AW1208" s="418"/>
      <c r="AX1208" s="418"/>
      <c r="AY1208" s="418"/>
      <c r="AZ1208" s="418"/>
      <c r="BA1208" s="418"/>
    </row>
    <row r="1209" spans="40:53" ht="15.75" customHeight="1">
      <c r="AN1209" s="418"/>
      <c r="AO1209" s="418"/>
      <c r="AP1209" s="418"/>
      <c r="AQ1209" s="418"/>
      <c r="AR1209" s="418"/>
      <c r="AS1209" s="418"/>
      <c r="AT1209" s="418"/>
      <c r="AU1209" s="418"/>
      <c r="AV1209" s="418"/>
      <c r="AW1209" s="418"/>
      <c r="AX1209" s="418"/>
      <c r="AY1209" s="418"/>
      <c r="AZ1209" s="418"/>
      <c r="BA1209" s="418"/>
    </row>
    <row r="1210" spans="40:53" ht="15.75" customHeight="1">
      <c r="AN1210" s="418"/>
      <c r="AO1210" s="418"/>
      <c r="AP1210" s="418"/>
      <c r="AQ1210" s="418"/>
      <c r="AR1210" s="418"/>
      <c r="AS1210" s="418"/>
      <c r="AT1210" s="418"/>
      <c r="AU1210" s="418"/>
      <c r="AV1210" s="418"/>
      <c r="AW1210" s="418"/>
      <c r="AX1210" s="418"/>
      <c r="AY1210" s="418"/>
      <c r="AZ1210" s="418"/>
      <c r="BA1210" s="418"/>
    </row>
    <row r="1211" spans="40:53" ht="15.75" customHeight="1">
      <c r="AN1211" s="418"/>
      <c r="AO1211" s="418"/>
      <c r="AP1211" s="418"/>
      <c r="AQ1211" s="418"/>
      <c r="AR1211" s="418"/>
      <c r="AS1211" s="418"/>
      <c r="AT1211" s="418"/>
      <c r="AU1211" s="418"/>
      <c r="AV1211" s="418"/>
      <c r="AW1211" s="418"/>
      <c r="AX1211" s="418"/>
      <c r="AY1211" s="418"/>
      <c r="AZ1211" s="418"/>
      <c r="BA1211" s="418"/>
    </row>
    <row r="1212" spans="40:53" ht="15.75" customHeight="1">
      <c r="AN1212" s="418"/>
      <c r="AO1212" s="418"/>
      <c r="AP1212" s="418"/>
      <c r="AQ1212" s="418"/>
      <c r="AR1212" s="418"/>
      <c r="AS1212" s="418"/>
      <c r="AT1212" s="418"/>
      <c r="AU1212" s="418"/>
      <c r="AV1212" s="418"/>
      <c r="AW1212" s="418"/>
      <c r="AX1212" s="418"/>
      <c r="AY1212" s="418"/>
      <c r="AZ1212" s="418"/>
      <c r="BA1212" s="418"/>
    </row>
    <row r="1213" spans="40:53" ht="15.75" customHeight="1">
      <c r="AN1213" s="418"/>
      <c r="AO1213" s="418"/>
      <c r="AP1213" s="418"/>
      <c r="AQ1213" s="418"/>
      <c r="AR1213" s="418"/>
      <c r="AS1213" s="418"/>
      <c r="AT1213" s="418"/>
      <c r="AU1213" s="418"/>
      <c r="AV1213" s="418"/>
      <c r="AW1213" s="418"/>
      <c r="AX1213" s="418"/>
      <c r="AY1213" s="418"/>
      <c r="AZ1213" s="418"/>
      <c r="BA1213" s="418"/>
    </row>
    <row r="1214" spans="40:53" ht="15.75" customHeight="1">
      <c r="AN1214" s="418"/>
      <c r="AO1214" s="418"/>
      <c r="AP1214" s="418"/>
      <c r="AQ1214" s="418"/>
      <c r="AR1214" s="418"/>
      <c r="AS1214" s="418"/>
      <c r="AT1214" s="418"/>
      <c r="AU1214" s="418"/>
      <c r="AV1214" s="418"/>
      <c r="AW1214" s="418"/>
      <c r="AX1214" s="418"/>
      <c r="AY1214" s="418"/>
      <c r="AZ1214" s="418"/>
      <c r="BA1214" s="418"/>
    </row>
    <row r="1215" spans="40:53" ht="15.75" customHeight="1">
      <c r="AN1215" s="418"/>
      <c r="AO1215" s="418"/>
      <c r="AP1215" s="418"/>
      <c r="AQ1215" s="418"/>
      <c r="AR1215" s="418"/>
      <c r="AS1215" s="418"/>
      <c r="AT1215" s="418"/>
      <c r="AU1215" s="418"/>
      <c r="AV1215" s="418"/>
      <c r="AW1215" s="418"/>
      <c r="AX1215" s="418"/>
      <c r="AY1215" s="418"/>
      <c r="AZ1215" s="418"/>
      <c r="BA1215" s="418"/>
    </row>
    <row r="1216" spans="40:53" ht="15.75" customHeight="1">
      <c r="AN1216" s="418"/>
      <c r="AO1216" s="418"/>
      <c r="AP1216" s="418"/>
      <c r="AQ1216" s="418"/>
      <c r="AR1216" s="418"/>
      <c r="AS1216" s="418"/>
      <c r="AT1216" s="418"/>
      <c r="AU1216" s="418"/>
      <c r="AV1216" s="418"/>
      <c r="AW1216" s="418"/>
      <c r="AX1216" s="418"/>
      <c r="AY1216" s="418"/>
      <c r="AZ1216" s="418"/>
      <c r="BA1216" s="418"/>
    </row>
    <row r="1217" spans="40:53" ht="15.75" customHeight="1">
      <c r="AN1217" s="418"/>
      <c r="AO1217" s="418"/>
      <c r="AP1217" s="418"/>
      <c r="AQ1217" s="418"/>
      <c r="AR1217" s="418"/>
      <c r="AS1217" s="418"/>
      <c r="AT1217" s="418"/>
      <c r="AU1217" s="418"/>
      <c r="AV1217" s="418"/>
      <c r="AW1217" s="418"/>
      <c r="AX1217" s="418"/>
      <c r="AY1217" s="418"/>
      <c r="AZ1217" s="418"/>
      <c r="BA1217" s="418"/>
    </row>
    <row r="1218" spans="40:53" ht="15.75" customHeight="1">
      <c r="AN1218" s="418"/>
      <c r="AO1218" s="418"/>
      <c r="AP1218" s="418"/>
      <c r="AQ1218" s="418"/>
      <c r="AR1218" s="418"/>
      <c r="AS1218" s="418"/>
      <c r="AT1218" s="418"/>
      <c r="AU1218" s="418"/>
      <c r="AV1218" s="418"/>
      <c r="AW1218" s="418"/>
      <c r="AX1218" s="418"/>
      <c r="AY1218" s="418"/>
      <c r="AZ1218" s="418"/>
      <c r="BA1218" s="418"/>
    </row>
    <row r="1219" spans="40:53" ht="15.75" customHeight="1">
      <c r="AN1219" s="418"/>
      <c r="AO1219" s="418"/>
      <c r="AP1219" s="418"/>
      <c r="AQ1219" s="418"/>
      <c r="AR1219" s="418"/>
      <c r="AS1219" s="418"/>
      <c r="AT1219" s="418"/>
      <c r="AU1219" s="418"/>
      <c r="AV1219" s="418"/>
      <c r="AW1219" s="418"/>
      <c r="AX1219" s="418"/>
      <c r="AY1219" s="418"/>
      <c r="AZ1219" s="418"/>
      <c r="BA1219" s="418"/>
    </row>
    <row r="1220" spans="40:53" ht="15.75" customHeight="1">
      <c r="AN1220" s="418"/>
      <c r="AO1220" s="418"/>
      <c r="AP1220" s="418"/>
      <c r="AQ1220" s="418"/>
      <c r="AR1220" s="418"/>
      <c r="AS1220" s="418"/>
      <c r="AT1220" s="418"/>
      <c r="AU1220" s="418"/>
      <c r="AV1220" s="418"/>
      <c r="AW1220" s="418"/>
      <c r="AX1220" s="418"/>
      <c r="AY1220" s="418"/>
      <c r="AZ1220" s="418"/>
      <c r="BA1220" s="418"/>
    </row>
    <row r="1221" spans="40:53" ht="15.75" customHeight="1">
      <c r="AN1221" s="418"/>
      <c r="AO1221" s="418"/>
      <c r="AP1221" s="418"/>
      <c r="AQ1221" s="418"/>
      <c r="AR1221" s="418"/>
      <c r="AS1221" s="418"/>
      <c r="AT1221" s="418"/>
      <c r="AU1221" s="418"/>
      <c r="AV1221" s="418"/>
      <c r="AW1221" s="418"/>
      <c r="AX1221" s="418"/>
      <c r="AY1221" s="418"/>
      <c r="AZ1221" s="418"/>
      <c r="BA1221" s="418"/>
    </row>
    <row r="1222" spans="40:53" ht="15.75" customHeight="1">
      <c r="AN1222" s="418"/>
      <c r="AO1222" s="418"/>
      <c r="AP1222" s="418"/>
      <c r="AQ1222" s="418"/>
      <c r="AR1222" s="418"/>
      <c r="AS1222" s="418"/>
      <c r="AT1222" s="418"/>
      <c r="AU1222" s="418"/>
      <c r="AV1222" s="418"/>
      <c r="AW1222" s="418"/>
      <c r="AX1222" s="418"/>
      <c r="AY1222" s="418"/>
      <c r="AZ1222" s="418"/>
      <c r="BA1222" s="418"/>
    </row>
    <row r="1223" spans="40:53" ht="15.75" customHeight="1">
      <c r="AN1223" s="418"/>
      <c r="AO1223" s="418"/>
      <c r="AP1223" s="418"/>
      <c r="AQ1223" s="418"/>
      <c r="AR1223" s="418"/>
      <c r="AS1223" s="418"/>
      <c r="AT1223" s="418"/>
      <c r="AU1223" s="418"/>
      <c r="AV1223" s="418"/>
      <c r="AW1223" s="418"/>
      <c r="AX1223" s="418"/>
      <c r="AY1223" s="418"/>
      <c r="AZ1223" s="418"/>
      <c r="BA1223" s="418"/>
    </row>
    <row r="1224" spans="40:53" ht="15.75" customHeight="1">
      <c r="AN1224" s="418"/>
      <c r="AO1224" s="418"/>
      <c r="AP1224" s="418"/>
      <c r="AQ1224" s="418"/>
      <c r="AR1224" s="418"/>
      <c r="AS1224" s="418"/>
      <c r="AT1224" s="418"/>
      <c r="AU1224" s="418"/>
      <c r="AV1224" s="418"/>
      <c r="AW1224" s="418"/>
      <c r="AX1224" s="418"/>
      <c r="AY1224" s="418"/>
      <c r="AZ1224" s="418"/>
      <c r="BA1224" s="418"/>
    </row>
    <row r="1225" spans="40:53" ht="15.75" customHeight="1">
      <c r="AN1225" s="418"/>
      <c r="AO1225" s="418"/>
      <c r="AP1225" s="418"/>
      <c r="AQ1225" s="418"/>
      <c r="AR1225" s="418"/>
      <c r="AS1225" s="418"/>
      <c r="AT1225" s="418"/>
      <c r="AU1225" s="418"/>
      <c r="AV1225" s="418"/>
      <c r="AW1225" s="418"/>
      <c r="AX1225" s="418"/>
      <c r="AY1225" s="418"/>
      <c r="AZ1225" s="418"/>
      <c r="BA1225" s="418"/>
    </row>
    <row r="1226" spans="40:53" ht="15.75" customHeight="1">
      <c r="AN1226" s="418"/>
      <c r="AO1226" s="418"/>
      <c r="AP1226" s="418"/>
      <c r="AQ1226" s="418"/>
      <c r="AR1226" s="418"/>
      <c r="AS1226" s="418"/>
      <c r="AT1226" s="418"/>
      <c r="AU1226" s="418"/>
      <c r="AV1226" s="418"/>
      <c r="AW1226" s="418"/>
      <c r="AX1226" s="418"/>
      <c r="AY1226" s="418"/>
      <c r="AZ1226" s="418"/>
      <c r="BA1226" s="418"/>
    </row>
    <row r="1227" spans="40:53" ht="15.75" customHeight="1">
      <c r="AN1227" s="418"/>
      <c r="AO1227" s="418"/>
      <c r="AP1227" s="418"/>
      <c r="AQ1227" s="418"/>
      <c r="AR1227" s="418"/>
      <c r="AS1227" s="418"/>
      <c r="AT1227" s="418"/>
      <c r="AU1227" s="418"/>
      <c r="AV1227" s="418"/>
      <c r="AW1227" s="418"/>
      <c r="AX1227" s="418"/>
      <c r="AY1227" s="418"/>
      <c r="AZ1227" s="418"/>
      <c r="BA1227" s="418"/>
    </row>
    <row r="1228" spans="40:53" ht="15.75" customHeight="1">
      <c r="AN1228" s="418"/>
      <c r="AO1228" s="418"/>
      <c r="AP1228" s="418"/>
      <c r="AQ1228" s="418"/>
      <c r="AR1228" s="418"/>
      <c r="AS1228" s="418"/>
      <c r="AT1228" s="418"/>
      <c r="AU1228" s="418"/>
      <c r="AV1228" s="418"/>
      <c r="AW1228" s="418"/>
      <c r="AX1228" s="418"/>
      <c r="AY1228" s="418"/>
      <c r="AZ1228" s="418"/>
      <c r="BA1228" s="418"/>
    </row>
    <row r="1229" spans="40:53" ht="15.75" customHeight="1">
      <c r="AN1229" s="418"/>
      <c r="AO1229" s="418"/>
      <c r="AP1229" s="418"/>
      <c r="AQ1229" s="418"/>
      <c r="AR1229" s="418"/>
      <c r="AS1229" s="418"/>
      <c r="AT1229" s="418"/>
      <c r="AU1229" s="418"/>
      <c r="AV1229" s="418"/>
      <c r="AW1229" s="418"/>
      <c r="AX1229" s="418"/>
      <c r="AY1229" s="418"/>
      <c r="AZ1229" s="418"/>
      <c r="BA1229" s="418"/>
    </row>
    <row r="1230" spans="40:53" ht="15.75" customHeight="1">
      <c r="AN1230" s="418"/>
      <c r="AO1230" s="418"/>
      <c r="AP1230" s="418"/>
      <c r="AQ1230" s="418"/>
      <c r="AR1230" s="418"/>
      <c r="AS1230" s="418"/>
      <c r="AT1230" s="418"/>
      <c r="AU1230" s="418"/>
      <c r="AV1230" s="418"/>
      <c r="AW1230" s="418"/>
      <c r="AX1230" s="418"/>
      <c r="AY1230" s="418"/>
      <c r="AZ1230" s="418"/>
      <c r="BA1230" s="418"/>
    </row>
    <row r="1231" spans="40:53" ht="15.75" customHeight="1">
      <c r="AN1231" s="418"/>
      <c r="AO1231" s="418"/>
      <c r="AP1231" s="418"/>
      <c r="AQ1231" s="418"/>
      <c r="AR1231" s="418"/>
      <c r="AS1231" s="418"/>
      <c r="AT1231" s="418"/>
      <c r="AU1231" s="418"/>
      <c r="AV1231" s="418"/>
      <c r="AW1231" s="418"/>
      <c r="AX1231" s="418"/>
      <c r="AY1231" s="418"/>
      <c r="AZ1231" s="418"/>
      <c r="BA1231" s="418"/>
    </row>
    <row r="1232" spans="40:53" ht="15.75" customHeight="1">
      <c r="AN1232" s="418"/>
      <c r="AO1232" s="418"/>
      <c r="AP1232" s="418"/>
      <c r="AQ1232" s="418"/>
      <c r="AR1232" s="418"/>
      <c r="AS1232" s="418"/>
      <c r="AT1232" s="418"/>
      <c r="AU1232" s="418"/>
      <c r="AV1232" s="418"/>
      <c r="AW1232" s="418"/>
      <c r="AX1232" s="418"/>
      <c r="AY1232" s="418"/>
      <c r="AZ1232" s="418"/>
      <c r="BA1232" s="418"/>
    </row>
    <row r="1233" spans="40:53" ht="15.75" customHeight="1">
      <c r="AN1233" s="418"/>
      <c r="AO1233" s="418"/>
      <c r="AP1233" s="418"/>
      <c r="AQ1233" s="418"/>
      <c r="AR1233" s="418"/>
      <c r="AS1233" s="418"/>
      <c r="AT1233" s="418"/>
      <c r="AU1233" s="418"/>
      <c r="AV1233" s="418"/>
      <c r="AW1233" s="418"/>
      <c r="AX1233" s="418"/>
      <c r="AY1233" s="418"/>
      <c r="AZ1233" s="418"/>
      <c r="BA1233" s="418"/>
    </row>
    <row r="1234" spans="40:53" ht="15.75" customHeight="1">
      <c r="AN1234" s="418"/>
      <c r="AO1234" s="418"/>
      <c r="AP1234" s="418"/>
      <c r="AQ1234" s="418"/>
      <c r="AR1234" s="418"/>
      <c r="AS1234" s="418"/>
      <c r="AT1234" s="418"/>
      <c r="AU1234" s="418"/>
      <c r="AV1234" s="418"/>
      <c r="AW1234" s="418"/>
      <c r="AX1234" s="418"/>
      <c r="AY1234" s="418"/>
      <c r="AZ1234" s="418"/>
      <c r="BA1234" s="418"/>
    </row>
    <row r="1235" spans="40:53" ht="15.75" customHeight="1">
      <c r="AN1235" s="418"/>
      <c r="AO1235" s="418"/>
      <c r="AP1235" s="418"/>
      <c r="AQ1235" s="418"/>
      <c r="AR1235" s="418"/>
      <c r="AS1235" s="418"/>
      <c r="AT1235" s="418"/>
      <c r="AU1235" s="418"/>
      <c r="AV1235" s="418"/>
      <c r="AW1235" s="418"/>
      <c r="AX1235" s="418"/>
      <c r="AY1235" s="418"/>
      <c r="AZ1235" s="418"/>
      <c r="BA1235" s="418"/>
    </row>
    <row r="1236" spans="40:53" ht="15.75" customHeight="1">
      <c r="AN1236" s="418"/>
      <c r="AO1236" s="418"/>
      <c r="AP1236" s="418"/>
      <c r="AQ1236" s="418"/>
      <c r="AR1236" s="418"/>
      <c r="AS1236" s="418"/>
      <c r="AT1236" s="418"/>
      <c r="AU1236" s="418"/>
      <c r="AV1236" s="418"/>
      <c r="AW1236" s="418"/>
      <c r="AX1236" s="418"/>
      <c r="AY1236" s="418"/>
      <c r="AZ1236" s="418"/>
      <c r="BA1236" s="418"/>
    </row>
    <row r="1237" spans="40:53" ht="15.75" customHeight="1">
      <c r="AN1237" s="418"/>
      <c r="AO1237" s="418"/>
      <c r="AP1237" s="418"/>
      <c r="AQ1237" s="418"/>
      <c r="AR1237" s="418"/>
      <c r="AS1237" s="418"/>
      <c r="AT1237" s="418"/>
      <c r="AU1237" s="418"/>
      <c r="AV1237" s="418"/>
      <c r="AW1237" s="418"/>
      <c r="AX1237" s="418"/>
      <c r="AY1237" s="418"/>
      <c r="AZ1237" s="418"/>
      <c r="BA1237" s="418"/>
    </row>
    <row r="1238" spans="40:53" ht="15.75" customHeight="1">
      <c r="AN1238" s="418"/>
      <c r="AO1238" s="418"/>
      <c r="AP1238" s="418"/>
      <c r="AQ1238" s="418"/>
      <c r="AR1238" s="418"/>
      <c r="AS1238" s="418"/>
      <c r="AT1238" s="418"/>
      <c r="AU1238" s="418"/>
      <c r="AV1238" s="418"/>
      <c r="AW1238" s="418"/>
      <c r="AX1238" s="418"/>
      <c r="AY1238" s="418"/>
      <c r="AZ1238" s="418"/>
      <c r="BA1238" s="418"/>
    </row>
    <row r="1239" spans="40:53" ht="15.75" customHeight="1">
      <c r="AN1239" s="418"/>
      <c r="AO1239" s="418"/>
      <c r="AP1239" s="418"/>
      <c r="AQ1239" s="418"/>
      <c r="AR1239" s="418"/>
      <c r="AS1239" s="418"/>
      <c r="AT1239" s="418"/>
      <c r="AU1239" s="418"/>
      <c r="AV1239" s="418"/>
      <c r="AW1239" s="418"/>
      <c r="AX1239" s="418"/>
      <c r="AY1239" s="418"/>
      <c r="AZ1239" s="418"/>
      <c r="BA1239" s="418"/>
    </row>
    <row r="1240" spans="40:53" ht="15.75" customHeight="1">
      <c r="AN1240" s="418"/>
      <c r="AO1240" s="418"/>
      <c r="AP1240" s="418"/>
      <c r="AQ1240" s="418"/>
      <c r="AR1240" s="418"/>
      <c r="AS1240" s="418"/>
      <c r="AT1240" s="418"/>
      <c r="AU1240" s="418"/>
      <c r="AV1240" s="418"/>
      <c r="AW1240" s="418"/>
      <c r="AX1240" s="418"/>
      <c r="AY1240" s="418"/>
      <c r="AZ1240" s="418"/>
      <c r="BA1240" s="418"/>
    </row>
    <row r="1241" spans="40:53" ht="15.75" customHeight="1">
      <c r="AN1241" s="418"/>
      <c r="AO1241" s="418"/>
      <c r="AP1241" s="418"/>
      <c r="AQ1241" s="418"/>
      <c r="AR1241" s="418"/>
      <c r="AS1241" s="418"/>
      <c r="AT1241" s="418"/>
      <c r="AU1241" s="418"/>
      <c r="AV1241" s="418"/>
      <c r="AW1241" s="418"/>
      <c r="AX1241" s="418"/>
      <c r="AY1241" s="418"/>
      <c r="AZ1241" s="418"/>
      <c r="BA1241" s="418"/>
    </row>
    <row r="1242" spans="40:53" ht="15.75" customHeight="1">
      <c r="AN1242" s="418"/>
      <c r="AO1242" s="418"/>
      <c r="AP1242" s="418"/>
      <c r="AQ1242" s="418"/>
      <c r="AR1242" s="418"/>
      <c r="AS1242" s="418"/>
      <c r="AT1242" s="418"/>
      <c r="AU1242" s="418"/>
      <c r="AV1242" s="418"/>
      <c r="AW1242" s="418"/>
      <c r="AX1242" s="418"/>
      <c r="AY1242" s="418"/>
      <c r="AZ1242" s="418"/>
      <c r="BA1242" s="418"/>
    </row>
    <row r="1243" spans="40:53" ht="15.75" customHeight="1">
      <c r="AN1243" s="418"/>
      <c r="AO1243" s="418"/>
      <c r="AP1243" s="418"/>
      <c r="AQ1243" s="418"/>
      <c r="AR1243" s="418"/>
      <c r="AS1243" s="418"/>
      <c r="AT1243" s="418"/>
      <c r="AU1243" s="418"/>
      <c r="AV1243" s="418"/>
      <c r="AW1243" s="418"/>
      <c r="AX1243" s="418"/>
      <c r="AY1243" s="418"/>
      <c r="AZ1243" s="418"/>
      <c r="BA1243" s="418"/>
    </row>
    <row r="1244" spans="40:53" ht="15.75" customHeight="1">
      <c r="AN1244" s="418"/>
      <c r="AO1244" s="418"/>
      <c r="AP1244" s="418"/>
      <c r="AQ1244" s="418"/>
      <c r="AR1244" s="418"/>
      <c r="AS1244" s="418"/>
      <c r="AT1244" s="418"/>
      <c r="AU1244" s="418"/>
      <c r="AV1244" s="418"/>
      <c r="AW1244" s="418"/>
      <c r="AX1244" s="418"/>
      <c r="AY1244" s="418"/>
      <c r="AZ1244" s="418"/>
      <c r="BA1244" s="418"/>
    </row>
    <row r="1245" spans="40:53" ht="15.75" customHeight="1">
      <c r="AN1245" s="418"/>
      <c r="AO1245" s="418"/>
      <c r="AP1245" s="418"/>
      <c r="AQ1245" s="418"/>
      <c r="AR1245" s="418"/>
      <c r="AS1245" s="418"/>
      <c r="AT1245" s="418"/>
      <c r="AU1245" s="418"/>
      <c r="AV1245" s="418"/>
      <c r="AW1245" s="418"/>
      <c r="AX1245" s="418"/>
      <c r="AY1245" s="418"/>
      <c r="AZ1245" s="418"/>
      <c r="BA1245" s="418"/>
    </row>
    <row r="1246" spans="40:53" ht="15.75" customHeight="1">
      <c r="AN1246" s="418"/>
      <c r="AO1246" s="418"/>
      <c r="AP1246" s="418"/>
      <c r="AQ1246" s="418"/>
      <c r="AR1246" s="418"/>
      <c r="AS1246" s="418"/>
      <c r="AT1246" s="418"/>
      <c r="AU1246" s="418"/>
      <c r="AV1246" s="418"/>
      <c r="AW1246" s="418"/>
      <c r="AX1246" s="418"/>
      <c r="AY1246" s="418"/>
      <c r="AZ1246" s="418"/>
      <c r="BA1246" s="418"/>
    </row>
    <row r="1247" spans="40:53" ht="15.75" customHeight="1">
      <c r="AN1247" s="418"/>
      <c r="AO1247" s="418"/>
      <c r="AP1247" s="418"/>
      <c r="AQ1247" s="418"/>
      <c r="AR1247" s="418"/>
      <c r="AS1247" s="418"/>
      <c r="AT1247" s="418"/>
      <c r="AU1247" s="418"/>
      <c r="AV1247" s="418"/>
      <c r="AW1247" s="418"/>
      <c r="AX1247" s="418"/>
      <c r="AY1247" s="418"/>
      <c r="AZ1247" s="418"/>
      <c r="BA1247" s="418"/>
    </row>
    <row r="1248" spans="40:53" ht="15.75" customHeight="1">
      <c r="AN1248" s="418"/>
      <c r="AO1248" s="418"/>
      <c r="AP1248" s="418"/>
      <c r="AQ1248" s="418"/>
      <c r="AR1248" s="418"/>
      <c r="AS1248" s="418"/>
      <c r="AT1248" s="418"/>
      <c r="AU1248" s="418"/>
      <c r="AV1248" s="418"/>
      <c r="AW1248" s="418"/>
      <c r="AX1248" s="418"/>
      <c r="AY1248" s="418"/>
      <c r="AZ1248" s="418"/>
      <c r="BA1248" s="418"/>
    </row>
    <row r="1249" spans="40:53" ht="15.75" customHeight="1">
      <c r="AN1249" s="418"/>
      <c r="AO1249" s="418"/>
      <c r="AP1249" s="418"/>
      <c r="AQ1249" s="418"/>
      <c r="AR1249" s="418"/>
      <c r="AS1249" s="418"/>
      <c r="AT1249" s="418"/>
      <c r="AU1249" s="418"/>
      <c r="AV1249" s="418"/>
      <c r="AW1249" s="418"/>
      <c r="AX1249" s="418"/>
      <c r="AY1249" s="418"/>
      <c r="AZ1249" s="418"/>
      <c r="BA1249" s="418"/>
    </row>
    <row r="1250" spans="40:53" ht="15.75" customHeight="1">
      <c r="AN1250" s="418"/>
      <c r="AO1250" s="418"/>
      <c r="AP1250" s="418"/>
      <c r="AQ1250" s="418"/>
      <c r="AR1250" s="418"/>
      <c r="AS1250" s="418"/>
      <c r="AT1250" s="418"/>
      <c r="AU1250" s="418"/>
      <c r="AV1250" s="418"/>
      <c r="AW1250" s="418"/>
      <c r="AX1250" s="418"/>
      <c r="AY1250" s="418"/>
      <c r="AZ1250" s="418"/>
      <c r="BA1250" s="418"/>
    </row>
    <row r="1251" spans="40:53" ht="15.75" customHeight="1">
      <c r="AN1251" s="418"/>
      <c r="AO1251" s="418"/>
      <c r="AP1251" s="418"/>
      <c r="AQ1251" s="418"/>
      <c r="AR1251" s="418"/>
      <c r="AS1251" s="418"/>
      <c r="AT1251" s="418"/>
      <c r="AU1251" s="418"/>
      <c r="AV1251" s="418"/>
      <c r="AW1251" s="418"/>
      <c r="AX1251" s="418"/>
      <c r="AY1251" s="418"/>
      <c r="AZ1251" s="418"/>
      <c r="BA1251" s="418"/>
    </row>
    <row r="1252" spans="40:53" ht="15.75" customHeight="1">
      <c r="AN1252" s="418"/>
      <c r="AO1252" s="418"/>
      <c r="AP1252" s="418"/>
      <c r="AQ1252" s="418"/>
      <c r="AR1252" s="418"/>
      <c r="AS1252" s="418"/>
      <c r="AT1252" s="418"/>
      <c r="AU1252" s="418"/>
      <c r="AV1252" s="418"/>
      <c r="AW1252" s="418"/>
      <c r="AX1252" s="418"/>
      <c r="AY1252" s="418"/>
      <c r="AZ1252" s="418"/>
      <c r="BA1252" s="418"/>
    </row>
    <row r="1253" spans="40:53" ht="15.75" customHeight="1">
      <c r="AN1253" s="418"/>
      <c r="AO1253" s="418"/>
      <c r="AP1253" s="418"/>
      <c r="AQ1253" s="418"/>
      <c r="AR1253" s="418"/>
      <c r="AS1253" s="418"/>
      <c r="AT1253" s="418"/>
      <c r="AU1253" s="418"/>
      <c r="AV1253" s="418"/>
      <c r="AW1253" s="418"/>
      <c r="AX1253" s="418"/>
      <c r="AY1253" s="418"/>
      <c r="AZ1253" s="418"/>
      <c r="BA1253" s="418"/>
    </row>
    <row r="1254" spans="40:53" ht="15.75" customHeight="1">
      <c r="AN1254" s="418"/>
      <c r="AO1254" s="418"/>
      <c r="AP1254" s="418"/>
      <c r="AQ1254" s="418"/>
      <c r="AR1254" s="418"/>
      <c r="AS1254" s="418"/>
      <c r="AT1254" s="418"/>
      <c r="AU1254" s="418"/>
      <c r="AV1254" s="418"/>
      <c r="AW1254" s="418"/>
      <c r="AX1254" s="418"/>
      <c r="AY1254" s="418"/>
      <c r="AZ1254" s="418"/>
      <c r="BA1254" s="418"/>
    </row>
    <row r="1255" spans="40:53" ht="15.75" customHeight="1">
      <c r="AN1255" s="418"/>
      <c r="AO1255" s="418"/>
      <c r="AP1255" s="418"/>
      <c r="AQ1255" s="418"/>
      <c r="AR1255" s="418"/>
      <c r="AS1255" s="418"/>
      <c r="AT1255" s="418"/>
      <c r="AU1255" s="418"/>
      <c r="AV1255" s="418"/>
      <c r="AW1255" s="418"/>
      <c r="AX1255" s="418"/>
      <c r="AY1255" s="418"/>
      <c r="AZ1255" s="418"/>
      <c r="BA1255" s="418"/>
    </row>
    <row r="1256" spans="40:53" ht="15.75" customHeight="1">
      <c r="AN1256" s="418"/>
      <c r="AO1256" s="418"/>
      <c r="AP1256" s="418"/>
      <c r="AQ1256" s="418"/>
      <c r="AR1256" s="418"/>
      <c r="AS1256" s="418"/>
      <c r="AT1256" s="418"/>
      <c r="AU1256" s="418"/>
      <c r="AV1256" s="418"/>
      <c r="AW1256" s="418"/>
      <c r="AX1256" s="418"/>
      <c r="AY1256" s="418"/>
      <c r="AZ1256" s="418"/>
      <c r="BA1256" s="418"/>
    </row>
    <row r="1257" spans="40:53" ht="15.75" customHeight="1">
      <c r="AN1257" s="418"/>
      <c r="AO1257" s="418"/>
      <c r="AP1257" s="418"/>
      <c r="AQ1257" s="418"/>
      <c r="AR1257" s="418"/>
      <c r="AS1257" s="418"/>
      <c r="AT1257" s="418"/>
      <c r="AU1257" s="418"/>
      <c r="AV1257" s="418"/>
      <c r="AW1257" s="418"/>
      <c r="AX1257" s="418"/>
      <c r="AY1257" s="418"/>
      <c r="AZ1257" s="418"/>
      <c r="BA1257" s="418"/>
    </row>
    <row r="1258" spans="40:53" ht="15.75" customHeight="1">
      <c r="AN1258" s="418"/>
      <c r="AO1258" s="418"/>
      <c r="AP1258" s="418"/>
      <c r="AQ1258" s="418"/>
      <c r="AR1258" s="418"/>
      <c r="AS1258" s="418"/>
      <c r="AT1258" s="418"/>
      <c r="AU1258" s="418"/>
      <c r="AV1258" s="418"/>
      <c r="AW1258" s="418"/>
      <c r="AX1258" s="418"/>
      <c r="AY1258" s="418"/>
      <c r="AZ1258" s="418"/>
      <c r="BA1258" s="418"/>
    </row>
    <row r="1259" spans="40:53" ht="15.75" customHeight="1">
      <c r="AN1259" s="418"/>
      <c r="AO1259" s="418"/>
      <c r="AP1259" s="418"/>
      <c r="AQ1259" s="418"/>
      <c r="AR1259" s="418"/>
      <c r="AS1259" s="418"/>
      <c r="AT1259" s="418"/>
      <c r="AU1259" s="418"/>
      <c r="AV1259" s="418"/>
      <c r="AW1259" s="418"/>
      <c r="AX1259" s="418"/>
      <c r="AY1259" s="418"/>
      <c r="AZ1259" s="418"/>
      <c r="BA1259" s="418"/>
    </row>
    <row r="1260" spans="40:53" ht="15.75" customHeight="1">
      <c r="AN1260" s="418"/>
      <c r="AO1260" s="418"/>
      <c r="AP1260" s="418"/>
      <c r="AQ1260" s="418"/>
      <c r="AR1260" s="418"/>
      <c r="AS1260" s="418"/>
      <c r="AT1260" s="418"/>
      <c r="AU1260" s="418"/>
      <c r="AV1260" s="418"/>
      <c r="AW1260" s="418"/>
      <c r="AX1260" s="418"/>
      <c r="AY1260" s="418"/>
      <c r="AZ1260" s="418"/>
      <c r="BA1260" s="418"/>
    </row>
    <row r="1261" spans="40:53" ht="15.75" customHeight="1">
      <c r="AN1261" s="418"/>
      <c r="AO1261" s="418"/>
      <c r="AP1261" s="418"/>
      <c r="AQ1261" s="418"/>
      <c r="AR1261" s="418"/>
      <c r="AS1261" s="418"/>
      <c r="AT1261" s="418"/>
      <c r="AU1261" s="418"/>
      <c r="AV1261" s="418"/>
      <c r="AW1261" s="418"/>
      <c r="AX1261" s="418"/>
      <c r="AY1261" s="418"/>
      <c r="AZ1261" s="418"/>
      <c r="BA1261" s="418"/>
    </row>
    <row r="1262" spans="40:53" ht="15.75" customHeight="1">
      <c r="AN1262" s="418"/>
      <c r="AO1262" s="418"/>
      <c r="AP1262" s="418"/>
      <c r="AQ1262" s="418"/>
      <c r="AR1262" s="418"/>
      <c r="AS1262" s="418"/>
      <c r="AT1262" s="418"/>
      <c r="AU1262" s="418"/>
      <c r="AV1262" s="418"/>
      <c r="AW1262" s="418"/>
      <c r="AX1262" s="418"/>
      <c r="AY1262" s="418"/>
      <c r="AZ1262" s="418"/>
      <c r="BA1262" s="418"/>
    </row>
    <row r="1263" spans="40:53" ht="15.75" customHeight="1">
      <c r="AN1263" s="418"/>
      <c r="AO1263" s="418"/>
      <c r="AP1263" s="418"/>
      <c r="AQ1263" s="418"/>
      <c r="AR1263" s="418"/>
      <c r="AS1263" s="418"/>
      <c r="AT1263" s="418"/>
      <c r="AU1263" s="418"/>
      <c r="AV1263" s="418"/>
      <c r="AW1263" s="418"/>
      <c r="AX1263" s="418"/>
      <c r="AY1263" s="418"/>
      <c r="AZ1263" s="418"/>
      <c r="BA1263" s="418"/>
    </row>
    <row r="1264" spans="40:53" ht="15.75" customHeight="1">
      <c r="AN1264" s="418"/>
      <c r="AO1264" s="418"/>
      <c r="AP1264" s="418"/>
      <c r="AQ1264" s="418"/>
      <c r="AR1264" s="418"/>
      <c r="AS1264" s="418"/>
      <c r="AT1264" s="418"/>
      <c r="AU1264" s="418"/>
      <c r="AV1264" s="418"/>
      <c r="AW1264" s="418"/>
      <c r="AX1264" s="418"/>
      <c r="AY1264" s="418"/>
      <c r="AZ1264" s="418"/>
      <c r="BA1264" s="418"/>
    </row>
    <row r="1265" spans="40:53" ht="15.75" customHeight="1">
      <c r="AN1265" s="418"/>
      <c r="AO1265" s="418"/>
      <c r="AP1265" s="418"/>
      <c r="AQ1265" s="418"/>
      <c r="AR1265" s="418"/>
      <c r="AS1265" s="418"/>
      <c r="AT1265" s="418"/>
      <c r="AU1265" s="418"/>
      <c r="AV1265" s="418"/>
      <c r="AW1265" s="418"/>
      <c r="AX1265" s="418"/>
      <c r="AY1265" s="418"/>
      <c r="AZ1265" s="418"/>
      <c r="BA1265" s="418"/>
    </row>
    <row r="1266" spans="40:53" ht="15.75" customHeight="1">
      <c r="AN1266" s="418"/>
      <c r="AO1266" s="418"/>
      <c r="AP1266" s="418"/>
      <c r="AQ1266" s="418"/>
      <c r="AR1266" s="418"/>
      <c r="AS1266" s="418"/>
      <c r="AT1266" s="418"/>
      <c r="AU1266" s="418"/>
      <c r="AV1266" s="418"/>
      <c r="AW1266" s="418"/>
      <c r="AX1266" s="418"/>
      <c r="AY1266" s="418"/>
      <c r="AZ1266" s="418"/>
      <c r="BA1266" s="418"/>
    </row>
    <row r="1267" spans="40:53" ht="15.75" customHeight="1">
      <c r="AN1267" s="418"/>
      <c r="AO1267" s="418"/>
      <c r="AP1267" s="418"/>
      <c r="AQ1267" s="418"/>
      <c r="AR1267" s="418"/>
      <c r="AS1267" s="418"/>
      <c r="AT1267" s="418"/>
      <c r="AU1267" s="418"/>
      <c r="AV1267" s="418"/>
      <c r="AW1267" s="418"/>
      <c r="AX1267" s="418"/>
      <c r="AY1267" s="418"/>
      <c r="AZ1267" s="418"/>
      <c r="BA1267" s="418"/>
    </row>
    <row r="1268" spans="40:53" ht="15.75" customHeight="1">
      <c r="AN1268" s="418"/>
      <c r="AO1268" s="418"/>
      <c r="AP1268" s="418"/>
      <c r="AQ1268" s="418"/>
      <c r="AR1268" s="418"/>
      <c r="AS1268" s="418"/>
      <c r="AT1268" s="418"/>
      <c r="AU1268" s="418"/>
      <c r="AV1268" s="418"/>
      <c r="AW1268" s="418"/>
      <c r="AX1268" s="418"/>
      <c r="AY1268" s="418"/>
      <c r="AZ1268" s="418"/>
      <c r="BA1268" s="418"/>
    </row>
    <row r="1269" spans="40:53" ht="15.75" customHeight="1">
      <c r="AN1269" s="418"/>
      <c r="AO1269" s="418"/>
      <c r="AP1269" s="418"/>
      <c r="AQ1269" s="418"/>
      <c r="AR1269" s="418"/>
      <c r="AS1269" s="418"/>
      <c r="AT1269" s="418"/>
      <c r="AU1269" s="418"/>
      <c r="AV1269" s="418"/>
      <c r="AW1269" s="418"/>
      <c r="AX1269" s="418"/>
      <c r="AY1269" s="418"/>
      <c r="AZ1269" s="418"/>
      <c r="BA1269" s="418"/>
    </row>
    <row r="1270" spans="40:53" ht="15.75" customHeight="1">
      <c r="AN1270" s="418"/>
      <c r="AO1270" s="418"/>
      <c r="AP1270" s="418"/>
      <c r="AQ1270" s="418"/>
      <c r="AR1270" s="418"/>
      <c r="AS1270" s="418"/>
      <c r="AT1270" s="418"/>
      <c r="AU1270" s="418"/>
      <c r="AV1270" s="418"/>
      <c r="AW1270" s="418"/>
      <c r="AX1270" s="418"/>
      <c r="AY1270" s="418"/>
      <c r="AZ1270" s="418"/>
      <c r="BA1270" s="418"/>
    </row>
    <row r="1271" spans="40:53" ht="15.75" customHeight="1">
      <c r="AN1271" s="418"/>
      <c r="AO1271" s="418"/>
      <c r="AP1271" s="418"/>
      <c r="AQ1271" s="418"/>
      <c r="AR1271" s="418"/>
      <c r="AS1271" s="418"/>
      <c r="AT1271" s="418"/>
      <c r="AU1271" s="418"/>
      <c r="AV1271" s="418"/>
      <c r="AW1271" s="418"/>
      <c r="AX1271" s="418"/>
      <c r="AY1271" s="418"/>
      <c r="AZ1271" s="418"/>
      <c r="BA1271" s="418"/>
    </row>
    <row r="1272" spans="40:53" ht="15.75" customHeight="1">
      <c r="AN1272" s="418"/>
      <c r="AO1272" s="418"/>
      <c r="AP1272" s="418"/>
      <c r="AQ1272" s="418"/>
      <c r="AR1272" s="418"/>
      <c r="AS1272" s="418"/>
      <c r="AT1272" s="418"/>
      <c r="AU1272" s="418"/>
      <c r="AV1272" s="418"/>
      <c r="AW1272" s="418"/>
      <c r="AX1272" s="418"/>
      <c r="AY1272" s="418"/>
      <c r="AZ1272" s="418"/>
      <c r="BA1272" s="418"/>
    </row>
    <row r="1273" spans="40:53" ht="15.75" customHeight="1">
      <c r="AN1273" s="418"/>
      <c r="AO1273" s="418"/>
      <c r="AP1273" s="418"/>
      <c r="AQ1273" s="418"/>
      <c r="AR1273" s="418"/>
      <c r="AS1273" s="418"/>
      <c r="AT1273" s="418"/>
      <c r="AU1273" s="418"/>
      <c r="AV1273" s="418"/>
      <c r="AW1273" s="418"/>
      <c r="AX1273" s="418"/>
      <c r="AY1273" s="418"/>
      <c r="AZ1273" s="418"/>
      <c r="BA1273" s="418"/>
    </row>
    <row r="1274" spans="40:53" ht="15.75" customHeight="1">
      <c r="AN1274" s="418"/>
      <c r="AO1274" s="418"/>
      <c r="AP1274" s="418"/>
      <c r="AQ1274" s="418"/>
      <c r="AR1274" s="418"/>
      <c r="AS1274" s="418"/>
      <c r="AT1274" s="418"/>
      <c r="AU1274" s="418"/>
      <c r="AV1274" s="418"/>
      <c r="AW1274" s="418"/>
      <c r="AX1274" s="418"/>
      <c r="AY1274" s="418"/>
      <c r="AZ1274" s="418"/>
      <c r="BA1274" s="418"/>
    </row>
    <row r="1275" spans="40:53" ht="15.75" customHeight="1">
      <c r="AN1275" s="418"/>
      <c r="AO1275" s="418"/>
      <c r="AP1275" s="418"/>
      <c r="AQ1275" s="418"/>
      <c r="AR1275" s="418"/>
      <c r="AS1275" s="418"/>
      <c r="AT1275" s="418"/>
      <c r="AU1275" s="418"/>
      <c r="AV1275" s="418"/>
      <c r="AW1275" s="418"/>
      <c r="AX1275" s="418"/>
      <c r="AY1275" s="418"/>
      <c r="AZ1275" s="418"/>
      <c r="BA1275" s="418"/>
    </row>
    <row r="1276" spans="40:53" ht="15.75" customHeight="1">
      <c r="AN1276" s="418"/>
      <c r="AO1276" s="418"/>
      <c r="AP1276" s="418"/>
      <c r="AQ1276" s="418"/>
      <c r="AR1276" s="418"/>
      <c r="AS1276" s="418"/>
      <c r="AT1276" s="418"/>
      <c r="AU1276" s="418"/>
      <c r="AV1276" s="418"/>
      <c r="AW1276" s="418"/>
      <c r="AX1276" s="418"/>
      <c r="AY1276" s="418"/>
      <c r="AZ1276" s="418"/>
      <c r="BA1276" s="418"/>
    </row>
    <row r="1277" spans="40:53" ht="15.75" customHeight="1">
      <c r="AN1277" s="418"/>
      <c r="AO1277" s="418"/>
      <c r="AP1277" s="418"/>
      <c r="AQ1277" s="418"/>
      <c r="AR1277" s="418"/>
      <c r="AS1277" s="418"/>
      <c r="AT1277" s="418"/>
      <c r="AU1277" s="418"/>
      <c r="AV1277" s="418"/>
      <c r="AW1277" s="418"/>
      <c r="AX1277" s="418"/>
      <c r="AY1277" s="418"/>
      <c r="AZ1277" s="418"/>
      <c r="BA1277" s="418"/>
    </row>
    <row r="1278" spans="40:53" ht="15.75" customHeight="1">
      <c r="AN1278" s="418"/>
      <c r="AO1278" s="418"/>
      <c r="AP1278" s="418"/>
      <c r="AQ1278" s="418"/>
      <c r="AR1278" s="418"/>
      <c r="AS1278" s="418"/>
      <c r="AT1278" s="418"/>
      <c r="AU1278" s="418"/>
      <c r="AV1278" s="418"/>
      <c r="AW1278" s="418"/>
      <c r="AX1278" s="418"/>
      <c r="AY1278" s="418"/>
      <c r="AZ1278" s="418"/>
      <c r="BA1278" s="418"/>
    </row>
    <row r="1279" spans="40:53" ht="15.75" customHeight="1">
      <c r="AN1279" s="418"/>
      <c r="AO1279" s="418"/>
      <c r="AP1279" s="418"/>
      <c r="AQ1279" s="418"/>
      <c r="AR1279" s="418"/>
      <c r="AS1279" s="418"/>
      <c r="AT1279" s="418"/>
      <c r="AU1279" s="418"/>
      <c r="AV1279" s="418"/>
      <c r="AW1279" s="418"/>
      <c r="AX1279" s="418"/>
      <c r="AY1279" s="418"/>
      <c r="AZ1279" s="418"/>
      <c r="BA1279" s="418"/>
    </row>
    <row r="1280" spans="40:53" ht="15.75" customHeight="1">
      <c r="AN1280" s="418"/>
      <c r="AO1280" s="418"/>
      <c r="AP1280" s="418"/>
      <c r="AQ1280" s="418"/>
      <c r="AR1280" s="418"/>
      <c r="AS1280" s="418"/>
      <c r="AT1280" s="418"/>
      <c r="AU1280" s="418"/>
      <c r="AV1280" s="418"/>
      <c r="AW1280" s="418"/>
      <c r="AX1280" s="418"/>
      <c r="AY1280" s="418"/>
      <c r="AZ1280" s="418"/>
      <c r="BA1280" s="418"/>
    </row>
    <row r="1281" spans="40:53" ht="15.75" customHeight="1">
      <c r="AN1281" s="418"/>
      <c r="AO1281" s="418"/>
      <c r="AP1281" s="418"/>
      <c r="AQ1281" s="418"/>
      <c r="AR1281" s="418"/>
      <c r="AS1281" s="418"/>
      <c r="AT1281" s="418"/>
      <c r="AU1281" s="418"/>
      <c r="AV1281" s="418"/>
      <c r="AW1281" s="418"/>
      <c r="AX1281" s="418"/>
      <c r="AY1281" s="418"/>
      <c r="AZ1281" s="418"/>
      <c r="BA1281" s="418"/>
    </row>
    <row r="1282" spans="40:53" ht="15.75" customHeight="1">
      <c r="AN1282" s="418"/>
      <c r="AO1282" s="418"/>
      <c r="AP1282" s="418"/>
      <c r="AQ1282" s="418"/>
      <c r="AR1282" s="418"/>
      <c r="AS1282" s="418"/>
      <c r="AT1282" s="418"/>
      <c r="AU1282" s="418"/>
      <c r="AV1282" s="418"/>
      <c r="AW1282" s="418"/>
      <c r="AX1282" s="418"/>
      <c r="AY1282" s="418"/>
      <c r="AZ1282" s="418"/>
      <c r="BA1282" s="418"/>
    </row>
    <row r="1283" spans="40:53" ht="15.75" customHeight="1">
      <c r="AN1283" s="418"/>
      <c r="AO1283" s="418"/>
      <c r="AP1283" s="418"/>
      <c r="AQ1283" s="418"/>
      <c r="AR1283" s="418"/>
      <c r="AS1283" s="418"/>
      <c r="AT1283" s="418"/>
      <c r="AU1283" s="418"/>
      <c r="AV1283" s="418"/>
      <c r="AW1283" s="418"/>
      <c r="AX1283" s="418"/>
      <c r="AY1283" s="418"/>
      <c r="AZ1283" s="418"/>
      <c r="BA1283" s="418"/>
    </row>
    <row r="1284" spans="40:53" ht="15.75" customHeight="1">
      <c r="AN1284" s="418"/>
      <c r="AO1284" s="418"/>
      <c r="AP1284" s="418"/>
      <c r="AQ1284" s="418"/>
      <c r="AR1284" s="418"/>
      <c r="AS1284" s="418"/>
      <c r="AT1284" s="418"/>
      <c r="AU1284" s="418"/>
      <c r="AV1284" s="418"/>
      <c r="AW1284" s="418"/>
      <c r="AX1284" s="418"/>
      <c r="AY1284" s="418"/>
      <c r="AZ1284" s="418"/>
      <c r="BA1284" s="418"/>
    </row>
    <row r="1285" spans="40:53" ht="15.75" customHeight="1">
      <c r="AN1285" s="418"/>
      <c r="AO1285" s="418"/>
      <c r="AP1285" s="418"/>
      <c r="AQ1285" s="418"/>
      <c r="AR1285" s="418"/>
      <c r="AS1285" s="418"/>
      <c r="AT1285" s="418"/>
      <c r="AU1285" s="418"/>
      <c r="AV1285" s="418"/>
      <c r="AW1285" s="418"/>
      <c r="AX1285" s="418"/>
      <c r="AY1285" s="418"/>
      <c r="AZ1285" s="418"/>
      <c r="BA1285" s="418"/>
    </row>
    <row r="1286" spans="40:53" ht="15.75" customHeight="1">
      <c r="AN1286" s="418"/>
      <c r="AO1286" s="418"/>
      <c r="AP1286" s="418"/>
      <c r="AQ1286" s="418"/>
      <c r="AR1286" s="418"/>
      <c r="AS1286" s="418"/>
      <c r="AT1286" s="418"/>
      <c r="AU1286" s="418"/>
      <c r="AV1286" s="418"/>
      <c r="AW1286" s="418"/>
      <c r="AX1286" s="418"/>
      <c r="AY1286" s="418"/>
      <c r="AZ1286" s="418"/>
      <c r="BA1286" s="418"/>
    </row>
    <row r="1287" spans="40:53" ht="15.75" customHeight="1">
      <c r="AN1287" s="418"/>
      <c r="AO1287" s="418"/>
      <c r="AP1287" s="418"/>
      <c r="AQ1287" s="418"/>
      <c r="AR1287" s="418"/>
      <c r="AS1287" s="418"/>
      <c r="AT1287" s="418"/>
      <c r="AU1287" s="418"/>
      <c r="AV1287" s="418"/>
      <c r="AW1287" s="418"/>
      <c r="AX1287" s="418"/>
      <c r="AY1287" s="418"/>
      <c r="AZ1287" s="418"/>
      <c r="BA1287" s="418"/>
    </row>
    <row r="1288" spans="40:53" ht="15.75" customHeight="1">
      <c r="AN1288" s="418"/>
      <c r="AO1288" s="418"/>
      <c r="AP1288" s="418"/>
      <c r="AQ1288" s="418"/>
      <c r="AR1288" s="418"/>
      <c r="AS1288" s="418"/>
      <c r="AT1288" s="418"/>
      <c r="AU1288" s="418"/>
      <c r="AV1288" s="418"/>
      <c r="AW1288" s="418"/>
      <c r="AX1288" s="418"/>
      <c r="AY1288" s="418"/>
      <c r="AZ1288" s="418"/>
      <c r="BA1288" s="418"/>
    </row>
    <row r="1289" spans="40:53" ht="15.75" customHeight="1">
      <c r="AN1289" s="418"/>
      <c r="AO1289" s="418"/>
      <c r="AP1289" s="418"/>
      <c r="AQ1289" s="418"/>
      <c r="AR1289" s="418"/>
      <c r="AS1289" s="418"/>
      <c r="AT1289" s="418"/>
      <c r="AU1289" s="418"/>
      <c r="AV1289" s="418"/>
      <c r="AW1289" s="418"/>
      <c r="AX1289" s="418"/>
      <c r="AY1289" s="418"/>
      <c r="AZ1289" s="418"/>
      <c r="BA1289" s="418"/>
    </row>
    <row r="1290" spans="40:53" ht="15.75" customHeight="1">
      <c r="AN1290" s="418"/>
      <c r="AO1290" s="418"/>
      <c r="AP1290" s="418"/>
      <c r="AQ1290" s="418"/>
      <c r="AR1290" s="418"/>
      <c r="AS1290" s="418"/>
      <c r="AT1290" s="418"/>
      <c r="AU1290" s="418"/>
      <c r="AV1290" s="418"/>
      <c r="AW1290" s="418"/>
      <c r="AX1290" s="418"/>
      <c r="AY1290" s="418"/>
      <c r="AZ1290" s="418"/>
      <c r="BA1290" s="418"/>
    </row>
    <row r="1291" spans="40:53" ht="15.75" customHeight="1">
      <c r="AN1291" s="418"/>
      <c r="AO1291" s="418"/>
      <c r="AP1291" s="418"/>
      <c r="AQ1291" s="418"/>
      <c r="AR1291" s="418"/>
      <c r="AS1291" s="418"/>
      <c r="AT1291" s="418"/>
      <c r="AU1291" s="418"/>
      <c r="AV1291" s="418"/>
      <c r="AW1291" s="418"/>
      <c r="AX1291" s="418"/>
      <c r="AY1291" s="418"/>
      <c r="AZ1291" s="418"/>
      <c r="BA1291" s="418"/>
    </row>
    <row r="1292" spans="40:53" ht="15.75" customHeight="1">
      <c r="AN1292" s="418"/>
      <c r="AO1292" s="418"/>
      <c r="AP1292" s="418"/>
      <c r="AQ1292" s="418"/>
      <c r="AR1292" s="418"/>
      <c r="AS1292" s="418"/>
      <c r="AT1292" s="418"/>
      <c r="AU1292" s="418"/>
      <c r="AV1292" s="418"/>
      <c r="AW1292" s="418"/>
      <c r="AX1292" s="418"/>
      <c r="AY1292" s="418"/>
      <c r="AZ1292" s="418"/>
      <c r="BA1292" s="418"/>
    </row>
    <row r="1293" spans="40:53" ht="15.75" customHeight="1">
      <c r="AN1293" s="418"/>
      <c r="AO1293" s="418"/>
      <c r="AP1293" s="418"/>
      <c r="AQ1293" s="418"/>
      <c r="AR1293" s="418"/>
      <c r="AS1293" s="418"/>
      <c r="AT1293" s="418"/>
      <c r="AU1293" s="418"/>
      <c r="AV1293" s="418"/>
      <c r="AW1293" s="418"/>
      <c r="AX1293" s="418"/>
      <c r="AY1293" s="418"/>
      <c r="AZ1293" s="418"/>
      <c r="BA1293" s="418"/>
    </row>
    <row r="1294" spans="40:53" ht="15.75" customHeight="1">
      <c r="AN1294" s="418"/>
      <c r="AO1294" s="418"/>
      <c r="AP1294" s="418"/>
      <c r="AQ1294" s="418"/>
      <c r="AR1294" s="418"/>
      <c r="AS1294" s="418"/>
      <c r="AT1294" s="418"/>
      <c r="AU1294" s="418"/>
      <c r="AV1294" s="418"/>
      <c r="AW1294" s="418"/>
      <c r="AX1294" s="418"/>
      <c r="AY1294" s="418"/>
      <c r="AZ1294" s="418"/>
      <c r="BA1294" s="418"/>
    </row>
    <row r="1295" spans="40:53" ht="15.75" customHeight="1">
      <c r="AN1295" s="418"/>
      <c r="AO1295" s="418"/>
      <c r="AP1295" s="418"/>
      <c r="AQ1295" s="418"/>
      <c r="AR1295" s="418"/>
      <c r="AS1295" s="418"/>
      <c r="AT1295" s="418"/>
      <c r="AU1295" s="418"/>
      <c r="AV1295" s="418"/>
      <c r="AW1295" s="418"/>
      <c r="AX1295" s="418"/>
      <c r="AY1295" s="418"/>
      <c r="AZ1295" s="418"/>
      <c r="BA1295" s="418"/>
    </row>
    <row r="1296" spans="40:53" ht="15.75" customHeight="1">
      <c r="AN1296" s="418"/>
      <c r="AO1296" s="418"/>
      <c r="AP1296" s="418"/>
      <c r="AQ1296" s="418"/>
      <c r="AR1296" s="418"/>
      <c r="AS1296" s="418"/>
      <c r="AT1296" s="418"/>
      <c r="AU1296" s="418"/>
      <c r="AV1296" s="418"/>
      <c r="AW1296" s="418"/>
      <c r="AX1296" s="418"/>
      <c r="AY1296" s="418"/>
      <c r="AZ1296" s="418"/>
      <c r="BA1296" s="418"/>
    </row>
    <row r="1297" spans="40:53" ht="15.75" customHeight="1">
      <c r="AN1297" s="418"/>
      <c r="AO1297" s="418"/>
      <c r="AP1297" s="418"/>
      <c r="AQ1297" s="418"/>
      <c r="AR1297" s="418"/>
      <c r="AS1297" s="418"/>
      <c r="AT1297" s="418"/>
      <c r="AU1297" s="418"/>
      <c r="AV1297" s="418"/>
      <c r="AW1297" s="418"/>
      <c r="AX1297" s="418"/>
      <c r="AY1297" s="418"/>
      <c r="AZ1297" s="418"/>
      <c r="BA1297" s="418"/>
    </row>
    <row r="1298" spans="40:53" ht="15.75" customHeight="1">
      <c r="AN1298" s="418"/>
      <c r="AO1298" s="418"/>
      <c r="AP1298" s="418"/>
      <c r="AQ1298" s="418"/>
      <c r="AR1298" s="418"/>
      <c r="AS1298" s="418"/>
      <c r="AT1298" s="418"/>
      <c r="AU1298" s="418"/>
      <c r="AV1298" s="418"/>
      <c r="AW1298" s="418"/>
      <c r="AX1298" s="418"/>
      <c r="AY1298" s="418"/>
      <c r="AZ1298" s="418"/>
      <c r="BA1298" s="418"/>
    </row>
    <row r="1299" spans="40:53" ht="15.75" customHeight="1">
      <c r="AN1299" s="418"/>
      <c r="AO1299" s="418"/>
      <c r="AP1299" s="418"/>
      <c r="AQ1299" s="418"/>
      <c r="AR1299" s="418"/>
      <c r="AS1299" s="418"/>
      <c r="AT1299" s="418"/>
      <c r="AU1299" s="418"/>
      <c r="AV1299" s="418"/>
      <c r="AW1299" s="418"/>
      <c r="AX1299" s="418"/>
      <c r="AY1299" s="418"/>
      <c r="AZ1299" s="418"/>
      <c r="BA1299" s="418"/>
    </row>
    <row r="1300" spans="40:53" ht="15.75" customHeight="1">
      <c r="AN1300" s="418"/>
      <c r="AO1300" s="418"/>
      <c r="AP1300" s="418"/>
      <c r="AQ1300" s="418"/>
      <c r="AR1300" s="418"/>
      <c r="AS1300" s="418"/>
      <c r="AT1300" s="418"/>
      <c r="AU1300" s="418"/>
      <c r="AV1300" s="418"/>
      <c r="AW1300" s="418"/>
      <c r="AX1300" s="418"/>
      <c r="AY1300" s="418"/>
      <c r="AZ1300" s="418"/>
      <c r="BA1300" s="418"/>
    </row>
    <row r="1301" spans="40:53" ht="15.75" customHeight="1">
      <c r="AN1301" s="418"/>
      <c r="AO1301" s="418"/>
      <c r="AP1301" s="418"/>
      <c r="AQ1301" s="418"/>
      <c r="AR1301" s="418"/>
      <c r="AS1301" s="418"/>
      <c r="AT1301" s="418"/>
      <c r="AU1301" s="418"/>
      <c r="AV1301" s="418"/>
      <c r="AW1301" s="418"/>
      <c r="AX1301" s="418"/>
      <c r="AY1301" s="418"/>
      <c r="AZ1301" s="418"/>
      <c r="BA1301" s="418"/>
    </row>
    <row r="1302" spans="40:53" ht="15.75" customHeight="1">
      <c r="AN1302" s="418"/>
      <c r="AO1302" s="418"/>
      <c r="AP1302" s="418"/>
      <c r="AQ1302" s="418"/>
      <c r="AR1302" s="418"/>
      <c r="AS1302" s="418"/>
      <c r="AT1302" s="418"/>
      <c r="AU1302" s="418"/>
      <c r="AV1302" s="418"/>
      <c r="AW1302" s="418"/>
      <c r="AX1302" s="418"/>
      <c r="AY1302" s="418"/>
      <c r="AZ1302" s="418"/>
      <c r="BA1302" s="418"/>
    </row>
    <row r="1303" spans="40:53" ht="15.75" customHeight="1">
      <c r="AN1303" s="418"/>
      <c r="AO1303" s="418"/>
      <c r="AP1303" s="418"/>
      <c r="AQ1303" s="418"/>
      <c r="AR1303" s="418"/>
      <c r="AS1303" s="418"/>
      <c r="AT1303" s="418"/>
      <c r="AU1303" s="418"/>
      <c r="AV1303" s="418"/>
      <c r="AW1303" s="418"/>
      <c r="AX1303" s="418"/>
      <c r="AY1303" s="418"/>
      <c r="AZ1303" s="418"/>
      <c r="BA1303" s="418"/>
    </row>
    <row r="1304" spans="40:53" ht="15.75" customHeight="1">
      <c r="AN1304" s="418"/>
      <c r="AO1304" s="418"/>
      <c r="AP1304" s="418"/>
      <c r="AQ1304" s="418"/>
      <c r="AR1304" s="418"/>
      <c r="AS1304" s="418"/>
      <c r="AT1304" s="418"/>
      <c r="AU1304" s="418"/>
      <c r="AV1304" s="418"/>
      <c r="AW1304" s="418"/>
      <c r="AX1304" s="418"/>
      <c r="AY1304" s="418"/>
      <c r="AZ1304" s="418"/>
      <c r="BA1304" s="418"/>
    </row>
    <row r="1305" spans="40:53" ht="15.75" customHeight="1">
      <c r="AN1305" s="418"/>
      <c r="AO1305" s="418"/>
      <c r="AP1305" s="418"/>
      <c r="AQ1305" s="418"/>
      <c r="AR1305" s="418"/>
      <c r="AS1305" s="418"/>
      <c r="AT1305" s="418"/>
      <c r="AU1305" s="418"/>
      <c r="AV1305" s="418"/>
      <c r="AW1305" s="418"/>
      <c r="AX1305" s="418"/>
      <c r="AY1305" s="418"/>
      <c r="AZ1305" s="418"/>
      <c r="BA1305" s="418"/>
    </row>
    <row r="1306" spans="40:53" ht="15.75" customHeight="1">
      <c r="AN1306" s="418"/>
      <c r="AO1306" s="418"/>
      <c r="AP1306" s="418"/>
      <c r="AQ1306" s="418"/>
      <c r="AR1306" s="418"/>
      <c r="AS1306" s="418"/>
      <c r="AT1306" s="418"/>
      <c r="AU1306" s="418"/>
      <c r="AV1306" s="418"/>
      <c r="AW1306" s="418"/>
      <c r="AX1306" s="418"/>
      <c r="AY1306" s="418"/>
      <c r="AZ1306" s="418"/>
      <c r="BA1306" s="418"/>
    </row>
    <row r="1307" spans="40:53" ht="15.75" customHeight="1">
      <c r="AN1307" s="418"/>
      <c r="AO1307" s="418"/>
      <c r="AP1307" s="418"/>
      <c r="AQ1307" s="418"/>
      <c r="AR1307" s="418"/>
      <c r="AS1307" s="418"/>
      <c r="AT1307" s="418"/>
      <c r="AU1307" s="418"/>
      <c r="AV1307" s="418"/>
      <c r="AW1307" s="418"/>
      <c r="AX1307" s="418"/>
      <c r="AY1307" s="418"/>
      <c r="AZ1307" s="418"/>
      <c r="BA1307" s="418"/>
    </row>
    <row r="1308" spans="40:53" ht="15.75" customHeight="1">
      <c r="AN1308" s="418"/>
      <c r="AO1308" s="418"/>
      <c r="AP1308" s="418"/>
      <c r="AQ1308" s="418"/>
      <c r="AR1308" s="418"/>
      <c r="AS1308" s="418"/>
      <c r="AT1308" s="418"/>
      <c r="AU1308" s="418"/>
      <c r="AV1308" s="418"/>
      <c r="AW1308" s="418"/>
      <c r="AX1308" s="418"/>
      <c r="AY1308" s="418"/>
      <c r="AZ1308" s="418"/>
      <c r="BA1308" s="418"/>
    </row>
    <row r="1309" spans="40:53" ht="15.75" customHeight="1">
      <c r="AN1309" s="418"/>
      <c r="AO1309" s="418"/>
      <c r="AP1309" s="418"/>
      <c r="AQ1309" s="418"/>
      <c r="AR1309" s="418"/>
      <c r="AS1309" s="418"/>
      <c r="AT1309" s="418"/>
      <c r="AU1309" s="418"/>
      <c r="AV1309" s="418"/>
      <c r="AW1309" s="418"/>
      <c r="AX1309" s="418"/>
      <c r="AY1309" s="418"/>
      <c r="AZ1309" s="418"/>
      <c r="BA1309" s="418"/>
    </row>
    <row r="1310" spans="40:53" ht="15.75" customHeight="1">
      <c r="AN1310" s="418"/>
      <c r="AO1310" s="418"/>
      <c r="AP1310" s="418"/>
      <c r="AQ1310" s="418"/>
      <c r="AR1310" s="418"/>
      <c r="AS1310" s="418"/>
      <c r="AT1310" s="418"/>
      <c r="AU1310" s="418"/>
      <c r="AV1310" s="418"/>
      <c r="AW1310" s="418"/>
      <c r="AX1310" s="418"/>
      <c r="AY1310" s="418"/>
      <c r="AZ1310" s="418"/>
      <c r="BA1310" s="418"/>
    </row>
    <row r="1311" spans="40:53" ht="15.75" customHeight="1">
      <c r="AN1311" s="418"/>
      <c r="AO1311" s="418"/>
      <c r="AP1311" s="418"/>
      <c r="AQ1311" s="418"/>
      <c r="AR1311" s="418"/>
      <c r="AS1311" s="418"/>
      <c r="AT1311" s="418"/>
      <c r="AU1311" s="418"/>
      <c r="AV1311" s="418"/>
      <c r="AW1311" s="418"/>
      <c r="AX1311" s="418"/>
      <c r="AY1311" s="418"/>
      <c r="AZ1311" s="418"/>
      <c r="BA1311" s="418"/>
    </row>
    <row r="1312" spans="40:53" ht="15.75" customHeight="1">
      <c r="AN1312" s="418"/>
      <c r="AO1312" s="418"/>
      <c r="AP1312" s="418"/>
      <c r="AQ1312" s="418"/>
      <c r="AR1312" s="418"/>
      <c r="AS1312" s="418"/>
      <c r="AT1312" s="418"/>
      <c r="AU1312" s="418"/>
      <c r="AV1312" s="418"/>
      <c r="AW1312" s="418"/>
      <c r="AX1312" s="418"/>
      <c r="AY1312" s="418"/>
      <c r="AZ1312" s="418"/>
      <c r="BA1312" s="418"/>
    </row>
    <row r="1313" spans="40:53" ht="15.75" customHeight="1">
      <c r="AN1313" s="418"/>
      <c r="AO1313" s="418"/>
      <c r="AP1313" s="418"/>
      <c r="AQ1313" s="418"/>
      <c r="AR1313" s="418"/>
      <c r="AS1313" s="418"/>
      <c r="AT1313" s="418"/>
      <c r="AU1313" s="418"/>
      <c r="AV1313" s="418"/>
      <c r="AW1313" s="418"/>
      <c r="AX1313" s="418"/>
      <c r="AY1313" s="418"/>
      <c r="AZ1313" s="418"/>
      <c r="BA1313" s="418"/>
    </row>
    <row r="1314" spans="40:53" ht="15.75" customHeight="1">
      <c r="AN1314" s="418"/>
      <c r="AO1314" s="418"/>
      <c r="AP1314" s="418"/>
      <c r="AQ1314" s="418"/>
      <c r="AR1314" s="418"/>
      <c r="AS1314" s="418"/>
      <c r="AT1314" s="418"/>
      <c r="AU1314" s="418"/>
      <c r="AV1314" s="418"/>
      <c r="AW1314" s="418"/>
      <c r="AX1314" s="418"/>
      <c r="AY1314" s="418"/>
      <c r="AZ1314" s="418"/>
      <c r="BA1314" s="418"/>
    </row>
    <row r="1315" spans="40:53" ht="15.75" customHeight="1">
      <c r="AN1315" s="418"/>
      <c r="AO1315" s="418"/>
      <c r="AP1315" s="418"/>
      <c r="AQ1315" s="418"/>
      <c r="AR1315" s="418"/>
      <c r="AS1315" s="418"/>
      <c r="AT1315" s="418"/>
      <c r="AU1315" s="418"/>
      <c r="AV1315" s="418"/>
      <c r="AW1315" s="418"/>
      <c r="AX1315" s="418"/>
      <c r="AY1315" s="418"/>
      <c r="AZ1315" s="418"/>
      <c r="BA1315" s="418"/>
    </row>
    <row r="1316" spans="40:53" ht="15.75" customHeight="1">
      <c r="AN1316" s="418"/>
      <c r="AO1316" s="418"/>
      <c r="AP1316" s="418"/>
      <c r="AQ1316" s="418"/>
      <c r="AR1316" s="418"/>
      <c r="AS1316" s="418"/>
      <c r="AT1316" s="418"/>
      <c r="AU1316" s="418"/>
      <c r="AV1316" s="418"/>
      <c r="AW1316" s="418"/>
      <c r="AX1316" s="418"/>
      <c r="AY1316" s="418"/>
      <c r="AZ1316" s="418"/>
      <c r="BA1316" s="418"/>
    </row>
    <row r="1317" spans="40:53" ht="15.75" customHeight="1">
      <c r="AN1317" s="418"/>
      <c r="AO1317" s="418"/>
      <c r="AP1317" s="418"/>
      <c r="AQ1317" s="418"/>
      <c r="AR1317" s="418"/>
      <c r="AS1317" s="418"/>
      <c r="AT1317" s="418"/>
      <c r="AU1317" s="418"/>
      <c r="AV1317" s="418"/>
      <c r="AW1317" s="418"/>
      <c r="AX1317" s="418"/>
      <c r="AY1317" s="418"/>
      <c r="AZ1317" s="418"/>
      <c r="BA1317" s="418"/>
    </row>
    <row r="1318" spans="40:53" ht="15.75" customHeight="1">
      <c r="AN1318" s="418"/>
      <c r="AO1318" s="418"/>
      <c r="AP1318" s="418"/>
      <c r="AQ1318" s="418"/>
      <c r="AR1318" s="418"/>
      <c r="AS1318" s="418"/>
      <c r="AT1318" s="418"/>
      <c r="AU1318" s="418"/>
      <c r="AV1318" s="418"/>
      <c r="AW1318" s="418"/>
      <c r="AX1318" s="418"/>
      <c r="AY1318" s="418"/>
      <c r="AZ1318" s="418"/>
      <c r="BA1318" s="418"/>
    </row>
    <row r="1319" spans="40:53" ht="15.75" customHeight="1">
      <c r="AN1319" s="418"/>
      <c r="AO1319" s="418"/>
      <c r="AP1319" s="418"/>
      <c r="AQ1319" s="418"/>
      <c r="AR1319" s="418"/>
      <c r="AS1319" s="418"/>
      <c r="AT1319" s="418"/>
      <c r="AU1319" s="418"/>
      <c r="AV1319" s="418"/>
      <c r="AW1319" s="418"/>
      <c r="AX1319" s="418"/>
      <c r="AY1319" s="418"/>
      <c r="AZ1319" s="418"/>
      <c r="BA1319" s="418"/>
    </row>
    <row r="1320" spans="40:53" ht="15.75" customHeight="1">
      <c r="AN1320" s="418"/>
      <c r="AO1320" s="418"/>
      <c r="AP1320" s="418"/>
      <c r="AQ1320" s="418"/>
      <c r="AR1320" s="418"/>
      <c r="AS1320" s="418"/>
      <c r="AT1320" s="418"/>
      <c r="AU1320" s="418"/>
      <c r="AV1320" s="418"/>
      <c r="AW1320" s="418"/>
      <c r="AX1320" s="418"/>
      <c r="AY1320" s="418"/>
      <c r="AZ1320" s="418"/>
      <c r="BA1320" s="418"/>
    </row>
    <row r="1321" spans="40:53" ht="15.75" customHeight="1">
      <c r="AN1321" s="418"/>
      <c r="AO1321" s="418"/>
      <c r="AP1321" s="418"/>
      <c r="AQ1321" s="418"/>
      <c r="AR1321" s="418"/>
      <c r="AS1321" s="418"/>
      <c r="AT1321" s="418"/>
      <c r="AU1321" s="418"/>
      <c r="AV1321" s="418"/>
      <c r="AW1321" s="418"/>
      <c r="AX1321" s="418"/>
      <c r="AY1321" s="418"/>
      <c r="AZ1321" s="418"/>
      <c r="BA1321" s="418"/>
    </row>
    <row r="1322" spans="40:53" ht="15.75" customHeight="1">
      <c r="AN1322" s="418"/>
      <c r="AO1322" s="418"/>
      <c r="AP1322" s="418"/>
      <c r="AQ1322" s="418"/>
      <c r="AR1322" s="418"/>
      <c r="AS1322" s="418"/>
      <c r="AT1322" s="418"/>
      <c r="AU1322" s="418"/>
      <c r="AV1322" s="418"/>
      <c r="AW1322" s="418"/>
      <c r="AX1322" s="418"/>
      <c r="AY1322" s="418"/>
      <c r="AZ1322" s="418"/>
      <c r="BA1322" s="418"/>
    </row>
    <row r="1323" spans="40:53" ht="15.75" customHeight="1">
      <c r="AN1323" s="418"/>
      <c r="AO1323" s="418"/>
      <c r="AP1323" s="418"/>
      <c r="AQ1323" s="418"/>
      <c r="AR1323" s="418"/>
      <c r="AS1323" s="418"/>
      <c r="AT1323" s="418"/>
      <c r="AU1323" s="418"/>
      <c r="AV1323" s="418"/>
      <c r="AW1323" s="418"/>
      <c r="AX1323" s="418"/>
      <c r="AY1323" s="418"/>
      <c r="AZ1323" s="418"/>
      <c r="BA1323" s="418"/>
    </row>
    <row r="1324" spans="40:53" ht="15.75" customHeight="1">
      <c r="AN1324" s="418"/>
      <c r="AO1324" s="418"/>
      <c r="AP1324" s="418"/>
      <c r="AQ1324" s="418"/>
      <c r="AR1324" s="418"/>
      <c r="AS1324" s="418"/>
      <c r="AT1324" s="418"/>
      <c r="AU1324" s="418"/>
      <c r="AV1324" s="418"/>
      <c r="AW1324" s="418"/>
      <c r="AX1324" s="418"/>
      <c r="AY1324" s="418"/>
      <c r="AZ1324" s="418"/>
      <c r="BA1324" s="418"/>
    </row>
    <row r="1325" spans="40:53" ht="15.75" customHeight="1">
      <c r="AN1325" s="418"/>
      <c r="AO1325" s="418"/>
      <c r="AP1325" s="418"/>
      <c r="AQ1325" s="418"/>
      <c r="AR1325" s="418"/>
      <c r="AS1325" s="418"/>
      <c r="AT1325" s="418"/>
      <c r="AU1325" s="418"/>
      <c r="AV1325" s="418"/>
      <c r="AW1325" s="418"/>
      <c r="AX1325" s="418"/>
      <c r="AY1325" s="418"/>
      <c r="AZ1325" s="418"/>
      <c r="BA1325" s="418"/>
    </row>
    <row r="1326" spans="40:53" ht="15.75" customHeight="1">
      <c r="AN1326" s="418"/>
      <c r="AO1326" s="418"/>
      <c r="AP1326" s="418"/>
      <c r="AQ1326" s="418"/>
      <c r="AR1326" s="418"/>
      <c r="AS1326" s="418"/>
      <c r="AT1326" s="418"/>
      <c r="AU1326" s="418"/>
      <c r="AV1326" s="418"/>
      <c r="AW1326" s="418"/>
      <c r="AX1326" s="418"/>
      <c r="AY1326" s="418"/>
      <c r="AZ1326" s="418"/>
      <c r="BA1326" s="418"/>
    </row>
    <row r="1327" spans="40:53" ht="15.75" customHeight="1">
      <c r="AN1327" s="418"/>
      <c r="AO1327" s="418"/>
      <c r="AP1327" s="418"/>
      <c r="AQ1327" s="418"/>
      <c r="AR1327" s="418"/>
      <c r="AS1327" s="418"/>
      <c r="AT1327" s="418"/>
      <c r="AU1327" s="418"/>
      <c r="AV1327" s="418"/>
      <c r="AW1327" s="418"/>
      <c r="AX1327" s="418"/>
      <c r="AY1327" s="418"/>
      <c r="AZ1327" s="418"/>
      <c r="BA1327" s="418"/>
    </row>
    <row r="1328" spans="40:53" ht="15.75" customHeight="1">
      <c r="AN1328" s="418"/>
      <c r="AO1328" s="418"/>
      <c r="AP1328" s="418"/>
      <c r="AQ1328" s="418"/>
      <c r="AR1328" s="418"/>
      <c r="AS1328" s="418"/>
      <c r="AT1328" s="418"/>
      <c r="AU1328" s="418"/>
      <c r="AV1328" s="418"/>
      <c r="AW1328" s="418"/>
      <c r="AX1328" s="418"/>
      <c r="AY1328" s="418"/>
      <c r="AZ1328" s="418"/>
      <c r="BA1328" s="418"/>
    </row>
    <row r="1329" spans="40:53" ht="15.75" customHeight="1">
      <c r="AN1329" s="418"/>
      <c r="AO1329" s="418"/>
      <c r="AP1329" s="418"/>
      <c r="AQ1329" s="418"/>
      <c r="AR1329" s="418"/>
      <c r="AS1329" s="418"/>
      <c r="AT1329" s="418"/>
      <c r="AU1329" s="418"/>
      <c r="AV1329" s="418"/>
      <c r="AW1329" s="418"/>
      <c r="AX1329" s="418"/>
      <c r="AY1329" s="418"/>
      <c r="AZ1329" s="418"/>
      <c r="BA1329" s="418"/>
    </row>
    <row r="1330" spans="40:53" ht="15.75" customHeight="1">
      <c r="AN1330" s="418"/>
      <c r="AO1330" s="418"/>
      <c r="AP1330" s="418"/>
      <c r="AQ1330" s="418"/>
      <c r="AR1330" s="418"/>
      <c r="AS1330" s="418"/>
      <c r="AT1330" s="418"/>
      <c r="AU1330" s="418"/>
      <c r="AV1330" s="418"/>
      <c r="AW1330" s="418"/>
      <c r="AX1330" s="418"/>
      <c r="AY1330" s="418"/>
      <c r="AZ1330" s="418"/>
      <c r="BA1330" s="418"/>
    </row>
    <row r="1331" spans="40:53" ht="15.75" customHeight="1">
      <c r="AN1331" s="418"/>
      <c r="AO1331" s="418"/>
      <c r="AP1331" s="418"/>
      <c r="AQ1331" s="418"/>
      <c r="AR1331" s="418"/>
      <c r="AS1331" s="418"/>
      <c r="AT1331" s="418"/>
      <c r="AU1331" s="418"/>
      <c r="AV1331" s="418"/>
      <c r="AW1331" s="418"/>
      <c r="AX1331" s="418"/>
      <c r="AY1331" s="418"/>
      <c r="AZ1331" s="418"/>
      <c r="BA1331" s="418"/>
    </row>
    <row r="1332" spans="40:53" ht="15.75" customHeight="1">
      <c r="AN1332" s="418"/>
      <c r="AO1332" s="418"/>
      <c r="AP1332" s="418"/>
      <c r="AQ1332" s="418"/>
      <c r="AR1332" s="418"/>
      <c r="AS1332" s="418"/>
      <c r="AT1332" s="418"/>
      <c r="AU1332" s="418"/>
      <c r="AV1332" s="418"/>
      <c r="AW1332" s="418"/>
      <c r="AX1332" s="418"/>
      <c r="AY1332" s="418"/>
      <c r="AZ1332" s="418"/>
      <c r="BA1332" s="418"/>
    </row>
    <row r="1333" spans="40:53" ht="15.75" customHeight="1">
      <c r="AN1333" s="418"/>
      <c r="AO1333" s="418"/>
      <c r="AP1333" s="418"/>
      <c r="AQ1333" s="418"/>
      <c r="AR1333" s="418"/>
      <c r="AS1333" s="418"/>
      <c r="AT1333" s="418"/>
      <c r="AU1333" s="418"/>
      <c r="AV1333" s="418"/>
      <c r="AW1333" s="418"/>
      <c r="AX1333" s="418"/>
      <c r="AY1333" s="418"/>
      <c r="AZ1333" s="418"/>
      <c r="BA1333" s="418"/>
    </row>
    <row r="1334" spans="40:53" ht="15.75" customHeight="1">
      <c r="AN1334" s="418"/>
      <c r="AO1334" s="418"/>
      <c r="AP1334" s="418"/>
      <c r="AQ1334" s="418"/>
      <c r="AR1334" s="418"/>
      <c r="AS1334" s="418"/>
      <c r="AT1334" s="418"/>
      <c r="AU1334" s="418"/>
      <c r="AV1334" s="418"/>
      <c r="AW1334" s="418"/>
      <c r="AX1334" s="418"/>
      <c r="AY1334" s="418"/>
      <c r="AZ1334" s="418"/>
      <c r="BA1334" s="418"/>
    </row>
    <row r="1335" spans="40:53" ht="15.75" customHeight="1">
      <c r="AN1335" s="418"/>
      <c r="AO1335" s="418"/>
      <c r="AP1335" s="418"/>
      <c r="AQ1335" s="418"/>
      <c r="AR1335" s="418"/>
      <c r="AS1335" s="418"/>
      <c r="AT1335" s="418"/>
      <c r="AU1335" s="418"/>
      <c r="AV1335" s="418"/>
      <c r="AW1335" s="418"/>
      <c r="AX1335" s="418"/>
      <c r="AY1335" s="418"/>
      <c r="AZ1335" s="418"/>
      <c r="BA1335" s="418"/>
    </row>
    <row r="1336" spans="40:53" ht="15.75" customHeight="1">
      <c r="AN1336" s="418"/>
      <c r="AO1336" s="418"/>
      <c r="AP1336" s="418"/>
      <c r="AQ1336" s="418"/>
      <c r="AR1336" s="418"/>
      <c r="AS1336" s="418"/>
      <c r="AT1336" s="418"/>
      <c r="AU1336" s="418"/>
      <c r="AV1336" s="418"/>
      <c r="AW1336" s="418"/>
      <c r="AX1336" s="418"/>
      <c r="AY1336" s="418"/>
      <c r="AZ1336" s="418"/>
      <c r="BA1336" s="418"/>
    </row>
    <row r="1337" spans="40:53" ht="15.75" customHeight="1">
      <c r="AN1337" s="418"/>
      <c r="AO1337" s="418"/>
      <c r="AP1337" s="418"/>
      <c r="AQ1337" s="418"/>
      <c r="AR1337" s="418"/>
      <c r="AS1337" s="418"/>
      <c r="AT1337" s="418"/>
      <c r="AU1337" s="418"/>
      <c r="AV1337" s="418"/>
      <c r="AW1337" s="418"/>
      <c r="AX1337" s="418"/>
      <c r="AY1337" s="418"/>
      <c r="AZ1337" s="418"/>
      <c r="BA1337" s="418"/>
    </row>
    <row r="1338" spans="40:53" ht="15.75" customHeight="1">
      <c r="AN1338" s="418"/>
      <c r="AO1338" s="418"/>
      <c r="AP1338" s="418"/>
      <c r="AQ1338" s="418"/>
      <c r="AR1338" s="418"/>
      <c r="AS1338" s="418"/>
      <c r="AT1338" s="418"/>
      <c r="AU1338" s="418"/>
      <c r="AV1338" s="418"/>
      <c r="AW1338" s="418"/>
      <c r="AX1338" s="418"/>
      <c r="AY1338" s="418"/>
      <c r="AZ1338" s="418"/>
      <c r="BA1338" s="418"/>
    </row>
    <row r="1339" spans="40:53" ht="15.75" customHeight="1">
      <c r="AN1339" s="418"/>
      <c r="AO1339" s="418"/>
      <c r="AP1339" s="418"/>
      <c r="AQ1339" s="418"/>
      <c r="AR1339" s="418"/>
      <c r="AS1339" s="418"/>
      <c r="AT1339" s="418"/>
      <c r="AU1339" s="418"/>
      <c r="AV1339" s="418"/>
      <c r="AW1339" s="418"/>
      <c r="AX1339" s="418"/>
      <c r="AY1339" s="418"/>
      <c r="AZ1339" s="418"/>
      <c r="BA1339" s="418"/>
    </row>
    <row r="1340" spans="40:53" ht="15.75" customHeight="1">
      <c r="AN1340" s="418"/>
      <c r="AO1340" s="418"/>
      <c r="AP1340" s="418"/>
      <c r="AQ1340" s="418"/>
      <c r="AR1340" s="418"/>
      <c r="AS1340" s="418"/>
      <c r="AT1340" s="418"/>
      <c r="AU1340" s="418"/>
      <c r="AV1340" s="418"/>
      <c r="AW1340" s="418"/>
      <c r="AX1340" s="418"/>
      <c r="AY1340" s="418"/>
      <c r="AZ1340" s="418"/>
      <c r="BA1340" s="418"/>
    </row>
    <row r="1341" spans="40:53" ht="15.75" customHeight="1">
      <c r="AN1341" s="418"/>
      <c r="AO1341" s="418"/>
      <c r="AP1341" s="418"/>
      <c r="AQ1341" s="418"/>
      <c r="AR1341" s="418"/>
      <c r="AS1341" s="418"/>
      <c r="AT1341" s="418"/>
      <c r="AU1341" s="418"/>
      <c r="AV1341" s="418"/>
      <c r="AW1341" s="418"/>
      <c r="AX1341" s="418"/>
      <c r="AY1341" s="418"/>
      <c r="AZ1341" s="418"/>
      <c r="BA1341" s="418"/>
    </row>
    <row r="1342" spans="40:53" ht="15.75" customHeight="1">
      <c r="AN1342" s="418"/>
      <c r="AO1342" s="418"/>
      <c r="AP1342" s="418"/>
      <c r="AQ1342" s="418"/>
      <c r="AR1342" s="418"/>
      <c r="AS1342" s="418"/>
      <c r="AT1342" s="418"/>
      <c r="AU1342" s="418"/>
      <c r="AV1342" s="418"/>
      <c r="AW1342" s="418"/>
      <c r="AX1342" s="418"/>
      <c r="AY1342" s="418"/>
      <c r="AZ1342" s="418"/>
      <c r="BA1342" s="418"/>
    </row>
    <row r="1343" spans="40:53" ht="15.75" customHeight="1">
      <c r="AN1343" s="418"/>
      <c r="AO1343" s="418"/>
      <c r="AP1343" s="418"/>
      <c r="AQ1343" s="418"/>
      <c r="AR1343" s="418"/>
      <c r="AS1343" s="418"/>
      <c r="AT1343" s="418"/>
      <c r="AU1343" s="418"/>
      <c r="AV1343" s="418"/>
      <c r="AW1343" s="418"/>
      <c r="AX1343" s="418"/>
      <c r="AY1343" s="418"/>
      <c r="AZ1343" s="418"/>
      <c r="BA1343" s="418"/>
    </row>
    <row r="1344" spans="40:53" ht="15.75" customHeight="1">
      <c r="AN1344" s="418"/>
      <c r="AO1344" s="418"/>
      <c r="AP1344" s="418"/>
      <c r="AQ1344" s="418"/>
      <c r="AR1344" s="418"/>
      <c r="AS1344" s="418"/>
      <c r="AT1344" s="418"/>
      <c r="AU1344" s="418"/>
      <c r="AV1344" s="418"/>
      <c r="AW1344" s="418"/>
      <c r="AX1344" s="418"/>
      <c r="AY1344" s="418"/>
      <c r="AZ1344" s="418"/>
      <c r="BA1344" s="418"/>
    </row>
    <row r="1345" spans="40:53" ht="15.75" customHeight="1">
      <c r="AN1345" s="418"/>
      <c r="AO1345" s="418"/>
      <c r="AP1345" s="418"/>
      <c r="AQ1345" s="418"/>
      <c r="AR1345" s="418"/>
      <c r="AS1345" s="418"/>
      <c r="AT1345" s="418"/>
      <c r="AU1345" s="418"/>
      <c r="AV1345" s="418"/>
      <c r="AW1345" s="418"/>
      <c r="AX1345" s="418"/>
      <c r="AY1345" s="418"/>
      <c r="AZ1345" s="418"/>
      <c r="BA1345" s="418"/>
    </row>
    <row r="1346" spans="40:53" ht="15.75" customHeight="1">
      <c r="AN1346" s="418"/>
      <c r="AO1346" s="418"/>
      <c r="AP1346" s="418"/>
      <c r="AQ1346" s="418"/>
      <c r="AR1346" s="418"/>
      <c r="AS1346" s="418"/>
      <c r="AT1346" s="418"/>
      <c r="AU1346" s="418"/>
      <c r="AV1346" s="418"/>
      <c r="AW1346" s="418"/>
      <c r="AX1346" s="418"/>
      <c r="AY1346" s="418"/>
      <c r="AZ1346" s="418"/>
      <c r="BA1346" s="418"/>
    </row>
    <row r="1347" spans="40:53" ht="15.75" customHeight="1">
      <c r="AN1347" s="418"/>
      <c r="AO1347" s="418"/>
      <c r="AP1347" s="418"/>
      <c r="AQ1347" s="418"/>
      <c r="AR1347" s="418"/>
      <c r="AS1347" s="418"/>
      <c r="AT1347" s="418"/>
      <c r="AU1347" s="418"/>
      <c r="AV1347" s="418"/>
      <c r="AW1347" s="418"/>
      <c r="AX1347" s="418"/>
      <c r="AY1347" s="418"/>
      <c r="AZ1347" s="418"/>
      <c r="BA1347" s="418"/>
    </row>
    <row r="1348" spans="40:53" ht="15.75" customHeight="1">
      <c r="AN1348" s="418"/>
      <c r="AO1348" s="418"/>
      <c r="AP1348" s="418"/>
      <c r="AQ1348" s="418"/>
      <c r="AR1348" s="418"/>
      <c r="AS1348" s="418"/>
      <c r="AT1348" s="418"/>
      <c r="AU1348" s="418"/>
      <c r="AV1348" s="418"/>
      <c r="AW1348" s="418"/>
      <c r="AX1348" s="418"/>
      <c r="AY1348" s="418"/>
      <c r="AZ1348" s="418"/>
      <c r="BA1348" s="418"/>
    </row>
    <row r="1349" spans="40:53" ht="15.75" customHeight="1">
      <c r="AN1349" s="418"/>
      <c r="AO1349" s="418"/>
      <c r="AP1349" s="418"/>
      <c r="AQ1349" s="418"/>
      <c r="AR1349" s="418"/>
      <c r="AS1349" s="418"/>
      <c r="AT1349" s="418"/>
      <c r="AU1349" s="418"/>
      <c r="AV1349" s="418"/>
      <c r="AW1349" s="418"/>
      <c r="AX1349" s="418"/>
      <c r="AY1349" s="418"/>
      <c r="AZ1349" s="418"/>
      <c r="BA1349" s="418"/>
    </row>
    <row r="1350" spans="40:53" ht="15.75" customHeight="1">
      <c r="AN1350" s="418"/>
      <c r="AO1350" s="418"/>
      <c r="AP1350" s="418"/>
      <c r="AQ1350" s="418"/>
      <c r="AR1350" s="418"/>
      <c r="AS1350" s="418"/>
      <c r="AT1350" s="418"/>
      <c r="AU1350" s="418"/>
      <c r="AV1350" s="418"/>
      <c r="AW1350" s="418"/>
      <c r="AX1350" s="418"/>
      <c r="AY1350" s="418"/>
      <c r="AZ1350" s="418"/>
      <c r="BA1350" s="418"/>
    </row>
    <row r="1351" spans="40:53" ht="15.75" customHeight="1">
      <c r="AN1351" s="418"/>
      <c r="AO1351" s="418"/>
      <c r="AP1351" s="418"/>
      <c r="AQ1351" s="418"/>
      <c r="AR1351" s="418"/>
      <c r="AS1351" s="418"/>
      <c r="AT1351" s="418"/>
      <c r="AU1351" s="418"/>
      <c r="AV1351" s="418"/>
      <c r="AW1351" s="418"/>
      <c r="AX1351" s="418"/>
      <c r="AY1351" s="418"/>
      <c r="AZ1351" s="418"/>
      <c r="BA1351" s="418"/>
    </row>
    <row r="1352" spans="40:53" ht="15.75" customHeight="1">
      <c r="AN1352" s="418"/>
      <c r="AO1352" s="418"/>
      <c r="AP1352" s="418"/>
      <c r="AQ1352" s="418"/>
      <c r="AR1352" s="418"/>
      <c r="AS1352" s="418"/>
      <c r="AT1352" s="418"/>
      <c r="AU1352" s="418"/>
      <c r="AV1352" s="418"/>
      <c r="AW1352" s="418"/>
      <c r="AX1352" s="418"/>
      <c r="AY1352" s="418"/>
      <c r="AZ1352" s="418"/>
      <c r="BA1352" s="418"/>
    </row>
    <row r="1353" spans="40:53" ht="15.75" customHeight="1">
      <c r="AN1353" s="418"/>
      <c r="AO1353" s="418"/>
      <c r="AP1353" s="418"/>
      <c r="AQ1353" s="418"/>
      <c r="AR1353" s="418"/>
      <c r="AS1353" s="418"/>
      <c r="AT1353" s="418"/>
      <c r="AU1353" s="418"/>
      <c r="AV1353" s="418"/>
      <c r="AW1353" s="418"/>
      <c r="AX1353" s="418"/>
      <c r="AY1353" s="418"/>
      <c r="AZ1353" s="418"/>
      <c r="BA1353" s="418"/>
    </row>
    <row r="1354" spans="40:53" ht="15.75" customHeight="1">
      <c r="AN1354" s="418"/>
      <c r="AO1354" s="418"/>
      <c r="AP1354" s="418"/>
      <c r="AQ1354" s="418"/>
      <c r="AR1354" s="418"/>
      <c r="AS1354" s="418"/>
      <c r="AT1354" s="418"/>
      <c r="AU1354" s="418"/>
      <c r="AV1354" s="418"/>
      <c r="AW1354" s="418"/>
      <c r="AX1354" s="418"/>
      <c r="AY1354" s="418"/>
      <c r="AZ1354" s="418"/>
      <c r="BA1354" s="418"/>
    </row>
    <row r="1355" spans="40:53" ht="15.75" customHeight="1">
      <c r="AN1355" s="418"/>
      <c r="AO1355" s="418"/>
      <c r="AP1355" s="418"/>
      <c r="AQ1355" s="418"/>
      <c r="AR1355" s="418"/>
      <c r="AS1355" s="418"/>
      <c r="AT1355" s="418"/>
      <c r="AU1355" s="418"/>
      <c r="AV1355" s="418"/>
      <c r="AW1355" s="418"/>
      <c r="AX1355" s="418"/>
      <c r="AY1355" s="418"/>
      <c r="AZ1355" s="418"/>
      <c r="BA1355" s="418"/>
    </row>
    <row r="1356" spans="40:53" ht="15.75" customHeight="1">
      <c r="AN1356" s="418"/>
      <c r="AO1356" s="418"/>
      <c r="AP1356" s="418"/>
      <c r="AQ1356" s="418"/>
      <c r="AR1356" s="418"/>
      <c r="AS1356" s="418"/>
      <c r="AT1356" s="418"/>
      <c r="AU1356" s="418"/>
      <c r="AV1356" s="418"/>
      <c r="AW1356" s="418"/>
      <c r="AX1356" s="418"/>
      <c r="AY1356" s="418"/>
      <c r="AZ1356" s="418"/>
      <c r="BA1356" s="418"/>
    </row>
    <row r="1357" spans="40:53" ht="15.75" customHeight="1">
      <c r="AN1357" s="418"/>
      <c r="AO1357" s="418"/>
      <c r="AP1357" s="418"/>
      <c r="AQ1357" s="418"/>
      <c r="AR1357" s="418"/>
      <c r="AS1357" s="418"/>
      <c r="AT1357" s="418"/>
      <c r="AU1357" s="418"/>
      <c r="AV1357" s="418"/>
      <c r="AW1357" s="418"/>
      <c r="AX1357" s="418"/>
      <c r="AY1357" s="418"/>
      <c r="AZ1357" s="418"/>
      <c r="BA1357" s="418"/>
    </row>
    <row r="1358" spans="40:53" ht="15.75" customHeight="1">
      <c r="AN1358" s="418"/>
      <c r="AO1358" s="418"/>
      <c r="AP1358" s="418"/>
      <c r="AQ1358" s="418"/>
      <c r="AR1358" s="418"/>
      <c r="AS1358" s="418"/>
      <c r="AT1358" s="418"/>
      <c r="AU1358" s="418"/>
      <c r="AV1358" s="418"/>
      <c r="AW1358" s="418"/>
      <c r="AX1358" s="418"/>
      <c r="AY1358" s="418"/>
      <c r="AZ1358" s="418"/>
      <c r="BA1358" s="418"/>
    </row>
    <row r="1359" spans="40:53" ht="15.75" customHeight="1">
      <c r="AN1359" s="418"/>
      <c r="AO1359" s="418"/>
      <c r="AP1359" s="418"/>
      <c r="AQ1359" s="418"/>
      <c r="AR1359" s="418"/>
      <c r="AS1359" s="418"/>
      <c r="AT1359" s="418"/>
      <c r="AU1359" s="418"/>
      <c r="AV1359" s="418"/>
      <c r="AW1359" s="418"/>
      <c r="AX1359" s="418"/>
      <c r="AY1359" s="418"/>
      <c r="AZ1359" s="418"/>
      <c r="BA1359" s="418"/>
    </row>
    <row r="1360" spans="40:53" ht="15.75" customHeight="1">
      <c r="AN1360" s="418"/>
      <c r="AO1360" s="418"/>
      <c r="AP1360" s="418"/>
      <c r="AQ1360" s="418"/>
      <c r="AR1360" s="418"/>
      <c r="AS1360" s="418"/>
      <c r="AT1360" s="418"/>
      <c r="AU1360" s="418"/>
      <c r="AV1360" s="418"/>
      <c r="AW1360" s="418"/>
      <c r="AX1360" s="418"/>
      <c r="AY1360" s="418"/>
      <c r="AZ1360" s="418"/>
      <c r="BA1360" s="418"/>
    </row>
    <row r="1361" spans="40:53" ht="15.75" customHeight="1">
      <c r="AN1361" s="418"/>
      <c r="AO1361" s="418"/>
      <c r="AP1361" s="418"/>
      <c r="AQ1361" s="418"/>
      <c r="AR1361" s="418"/>
      <c r="AS1361" s="418"/>
      <c r="AT1361" s="418"/>
      <c r="AU1361" s="418"/>
      <c r="AV1361" s="418"/>
      <c r="AW1361" s="418"/>
      <c r="AX1361" s="418"/>
      <c r="AY1361" s="418"/>
      <c r="AZ1361" s="418"/>
      <c r="BA1361" s="418"/>
    </row>
    <row r="1362" spans="40:53" ht="15.75" customHeight="1">
      <c r="AN1362" s="418"/>
      <c r="AO1362" s="418"/>
      <c r="AP1362" s="418"/>
      <c r="AQ1362" s="418"/>
      <c r="AR1362" s="418"/>
      <c r="AS1362" s="418"/>
      <c r="AT1362" s="418"/>
      <c r="AU1362" s="418"/>
      <c r="AV1362" s="418"/>
      <c r="AW1362" s="418"/>
      <c r="AX1362" s="418"/>
      <c r="AY1362" s="418"/>
      <c r="AZ1362" s="418"/>
      <c r="BA1362" s="418"/>
    </row>
    <row r="1363" spans="40:53" ht="15.75" customHeight="1">
      <c r="AN1363" s="418"/>
      <c r="AO1363" s="418"/>
      <c r="AP1363" s="418"/>
      <c r="AQ1363" s="418"/>
      <c r="AR1363" s="418"/>
      <c r="AS1363" s="418"/>
      <c r="AT1363" s="418"/>
      <c r="AU1363" s="418"/>
      <c r="AV1363" s="418"/>
      <c r="AW1363" s="418"/>
      <c r="AX1363" s="418"/>
      <c r="AY1363" s="418"/>
      <c r="AZ1363" s="418"/>
      <c r="BA1363" s="418"/>
    </row>
    <row r="1364" spans="40:53" ht="15.75" customHeight="1">
      <c r="AN1364" s="418"/>
      <c r="AO1364" s="418"/>
      <c r="AP1364" s="418"/>
      <c r="AQ1364" s="418"/>
      <c r="AR1364" s="418"/>
      <c r="AS1364" s="418"/>
      <c r="AT1364" s="418"/>
      <c r="AU1364" s="418"/>
      <c r="AV1364" s="418"/>
      <c r="AW1364" s="418"/>
      <c r="AX1364" s="418"/>
      <c r="AY1364" s="418"/>
      <c r="AZ1364" s="418"/>
      <c r="BA1364" s="418"/>
    </row>
    <row r="1365" spans="40:53" ht="15.75" customHeight="1">
      <c r="AN1365" s="418"/>
      <c r="AO1365" s="418"/>
      <c r="AP1365" s="418"/>
      <c r="AQ1365" s="418"/>
      <c r="AR1365" s="418"/>
      <c r="AS1365" s="418"/>
      <c r="AT1365" s="418"/>
      <c r="AU1365" s="418"/>
      <c r="AV1365" s="418"/>
      <c r="AW1365" s="418"/>
      <c r="AX1365" s="418"/>
      <c r="AY1365" s="418"/>
      <c r="AZ1365" s="418"/>
      <c r="BA1365" s="418"/>
    </row>
    <row r="1366" spans="40:53" ht="15.75" customHeight="1">
      <c r="AN1366" s="418"/>
      <c r="AO1366" s="418"/>
      <c r="AP1366" s="418"/>
      <c r="AQ1366" s="418"/>
      <c r="AR1366" s="418"/>
      <c r="AS1366" s="418"/>
      <c r="AT1366" s="418"/>
      <c r="AU1366" s="418"/>
      <c r="AV1366" s="418"/>
      <c r="AW1366" s="418"/>
      <c r="AX1366" s="418"/>
      <c r="AY1366" s="418"/>
      <c r="AZ1366" s="418"/>
      <c r="BA1366" s="418"/>
    </row>
    <row r="1367" spans="40:53" ht="15.75" customHeight="1">
      <c r="AN1367" s="418"/>
      <c r="AO1367" s="418"/>
      <c r="AP1367" s="418"/>
      <c r="AQ1367" s="418"/>
      <c r="AR1367" s="418"/>
      <c r="AS1367" s="418"/>
      <c r="AT1367" s="418"/>
      <c r="AU1367" s="418"/>
      <c r="AV1367" s="418"/>
      <c r="AW1367" s="418"/>
      <c r="AX1367" s="418"/>
      <c r="AY1367" s="418"/>
      <c r="AZ1367" s="418"/>
      <c r="BA1367" s="418"/>
    </row>
    <row r="1368" spans="40:53" ht="15.75" customHeight="1">
      <c r="AN1368" s="418"/>
      <c r="AO1368" s="418"/>
      <c r="AP1368" s="418"/>
      <c r="AQ1368" s="418"/>
      <c r="AR1368" s="418"/>
      <c r="AS1368" s="418"/>
      <c r="AT1368" s="418"/>
      <c r="AU1368" s="418"/>
      <c r="AV1368" s="418"/>
      <c r="AW1368" s="418"/>
      <c r="AX1368" s="418"/>
      <c r="AY1368" s="418"/>
      <c r="AZ1368" s="418"/>
      <c r="BA1368" s="418"/>
    </row>
    <row r="1369" spans="40:53" ht="15.75" customHeight="1">
      <c r="AN1369" s="418"/>
      <c r="AO1369" s="418"/>
      <c r="AP1369" s="418"/>
      <c r="AQ1369" s="418"/>
      <c r="AR1369" s="418"/>
      <c r="AS1369" s="418"/>
      <c r="AT1369" s="418"/>
      <c r="AU1369" s="418"/>
      <c r="AV1369" s="418"/>
      <c r="AW1369" s="418"/>
      <c r="AX1369" s="418"/>
      <c r="AY1369" s="418"/>
      <c r="AZ1369" s="418"/>
      <c r="BA1369" s="418"/>
    </row>
    <row r="1370" spans="40:53" ht="15.75" customHeight="1">
      <c r="AN1370" s="418"/>
      <c r="AO1370" s="418"/>
      <c r="AP1370" s="418"/>
      <c r="AQ1370" s="418"/>
      <c r="AR1370" s="418"/>
      <c r="AS1370" s="418"/>
      <c r="AT1370" s="418"/>
      <c r="AU1370" s="418"/>
      <c r="AV1370" s="418"/>
      <c r="AW1370" s="418"/>
      <c r="AX1370" s="418"/>
      <c r="AY1370" s="418"/>
      <c r="AZ1370" s="418"/>
      <c r="BA1370" s="418"/>
    </row>
    <row r="1371" spans="40:53" ht="15.75" customHeight="1">
      <c r="AN1371" s="418"/>
      <c r="AO1371" s="418"/>
      <c r="AP1371" s="418"/>
      <c r="AQ1371" s="418"/>
      <c r="AR1371" s="418"/>
      <c r="AS1371" s="418"/>
      <c r="AT1371" s="418"/>
      <c r="AU1371" s="418"/>
      <c r="AV1371" s="418"/>
      <c r="AW1371" s="418"/>
      <c r="AX1371" s="418"/>
      <c r="AY1371" s="418"/>
      <c r="AZ1371" s="418"/>
      <c r="BA1371" s="418"/>
    </row>
    <row r="1372" spans="40:53" ht="15.75" customHeight="1">
      <c r="AN1372" s="418"/>
      <c r="AO1372" s="418"/>
      <c r="AP1372" s="418"/>
      <c r="AQ1372" s="418"/>
      <c r="AR1372" s="418"/>
      <c r="AS1372" s="418"/>
      <c r="AT1372" s="418"/>
      <c r="AU1372" s="418"/>
      <c r="AV1372" s="418"/>
      <c r="AW1372" s="418"/>
      <c r="AX1372" s="418"/>
      <c r="AY1372" s="418"/>
      <c r="AZ1372" s="418"/>
      <c r="BA1372" s="418"/>
    </row>
    <row r="1373" spans="40:53" ht="15.75" customHeight="1">
      <c r="AN1373" s="418"/>
      <c r="AO1373" s="418"/>
      <c r="AP1373" s="418"/>
      <c r="AQ1373" s="418"/>
      <c r="AR1373" s="418"/>
      <c r="AS1373" s="418"/>
      <c r="AT1373" s="418"/>
      <c r="AU1373" s="418"/>
      <c r="AV1373" s="418"/>
      <c r="AW1373" s="418"/>
      <c r="AX1373" s="418"/>
      <c r="AY1373" s="418"/>
      <c r="AZ1373" s="418"/>
      <c r="BA1373" s="418"/>
    </row>
    <row r="1374" spans="40:53" ht="15.75" customHeight="1">
      <c r="AN1374" s="418"/>
      <c r="AO1374" s="418"/>
      <c r="AP1374" s="418"/>
      <c r="AQ1374" s="418"/>
      <c r="AR1374" s="418"/>
      <c r="AS1374" s="418"/>
      <c r="AT1374" s="418"/>
      <c r="AU1374" s="418"/>
      <c r="AV1374" s="418"/>
      <c r="AW1374" s="418"/>
      <c r="AX1374" s="418"/>
      <c r="AY1374" s="418"/>
      <c r="AZ1374" s="418"/>
      <c r="BA1374" s="418"/>
    </row>
    <row r="1375" spans="40:53" ht="15.75" customHeight="1">
      <c r="AN1375" s="418"/>
      <c r="AO1375" s="418"/>
      <c r="AP1375" s="418"/>
      <c r="AQ1375" s="418"/>
      <c r="AR1375" s="418"/>
      <c r="AS1375" s="418"/>
      <c r="AT1375" s="418"/>
      <c r="AU1375" s="418"/>
      <c r="AV1375" s="418"/>
      <c r="AW1375" s="418"/>
      <c r="AX1375" s="418"/>
      <c r="AY1375" s="418"/>
      <c r="AZ1375" s="418"/>
      <c r="BA1375" s="418"/>
    </row>
    <row r="1376" spans="40:53" ht="15.75" customHeight="1">
      <c r="AN1376" s="418"/>
      <c r="AO1376" s="418"/>
      <c r="AP1376" s="418"/>
      <c r="AQ1376" s="418"/>
      <c r="AR1376" s="418"/>
      <c r="AS1376" s="418"/>
      <c r="AT1376" s="418"/>
      <c r="AU1376" s="418"/>
      <c r="AV1376" s="418"/>
      <c r="AW1376" s="418"/>
      <c r="AX1376" s="418"/>
      <c r="AY1376" s="418"/>
      <c r="AZ1376" s="418"/>
      <c r="BA1376" s="418"/>
    </row>
    <row r="1377" spans="40:53" ht="15.75" customHeight="1">
      <c r="AN1377" s="418"/>
      <c r="AO1377" s="418"/>
      <c r="AP1377" s="418"/>
      <c r="AQ1377" s="418"/>
      <c r="AR1377" s="418"/>
      <c r="AS1377" s="418"/>
      <c r="AT1377" s="418"/>
      <c r="AU1377" s="418"/>
      <c r="AV1377" s="418"/>
      <c r="AW1377" s="418"/>
      <c r="AX1377" s="418"/>
      <c r="AY1377" s="418"/>
      <c r="AZ1377" s="418"/>
      <c r="BA1377" s="418"/>
    </row>
    <row r="1378" spans="40:53" ht="15.75" customHeight="1">
      <c r="AN1378" s="418"/>
      <c r="AO1378" s="418"/>
      <c r="AP1378" s="418"/>
      <c r="AQ1378" s="418"/>
      <c r="AR1378" s="418"/>
      <c r="AS1378" s="418"/>
      <c r="AT1378" s="418"/>
      <c r="AU1378" s="418"/>
      <c r="AV1378" s="418"/>
      <c r="AW1378" s="418"/>
      <c r="AX1378" s="418"/>
      <c r="AY1378" s="418"/>
      <c r="AZ1378" s="418"/>
      <c r="BA1378" s="418"/>
    </row>
    <row r="1379" spans="40:53" ht="15.75" customHeight="1">
      <c r="AN1379" s="418"/>
      <c r="AO1379" s="418"/>
      <c r="AP1379" s="418"/>
      <c r="AQ1379" s="418"/>
      <c r="AR1379" s="418"/>
      <c r="AS1379" s="418"/>
      <c r="AT1379" s="418"/>
      <c r="AU1379" s="418"/>
      <c r="AV1379" s="418"/>
      <c r="AW1379" s="418"/>
      <c r="AX1379" s="418"/>
      <c r="AY1379" s="418"/>
      <c r="AZ1379" s="418"/>
      <c r="BA1379" s="418"/>
    </row>
    <row r="1380" spans="40:53" ht="15.75" customHeight="1">
      <c r="AN1380" s="418"/>
      <c r="AO1380" s="418"/>
      <c r="AP1380" s="418"/>
      <c r="AQ1380" s="418"/>
      <c r="AR1380" s="418"/>
      <c r="AS1380" s="418"/>
      <c r="AT1380" s="418"/>
      <c r="AU1380" s="418"/>
      <c r="AV1380" s="418"/>
      <c r="AW1380" s="418"/>
      <c r="AX1380" s="418"/>
      <c r="AY1380" s="418"/>
      <c r="AZ1380" s="418"/>
      <c r="BA1380" s="418"/>
    </row>
    <row r="1381" spans="40:53" ht="15.75" customHeight="1">
      <c r="AN1381" s="418"/>
      <c r="AO1381" s="418"/>
      <c r="AP1381" s="418"/>
      <c r="AQ1381" s="418"/>
      <c r="AR1381" s="418"/>
      <c r="AS1381" s="418"/>
      <c r="AT1381" s="418"/>
      <c r="AU1381" s="418"/>
      <c r="AV1381" s="418"/>
      <c r="AW1381" s="418"/>
      <c r="AX1381" s="418"/>
      <c r="AY1381" s="418"/>
      <c r="AZ1381" s="418"/>
      <c r="BA1381" s="418"/>
    </row>
    <row r="1382" spans="40:53" ht="15.75" customHeight="1">
      <c r="AN1382" s="418"/>
      <c r="AO1382" s="418"/>
      <c r="AP1382" s="418"/>
      <c r="AQ1382" s="418"/>
      <c r="AR1382" s="418"/>
      <c r="AS1382" s="418"/>
      <c r="AT1382" s="418"/>
      <c r="AU1382" s="418"/>
      <c r="AV1382" s="418"/>
      <c r="AW1382" s="418"/>
      <c r="AX1382" s="418"/>
      <c r="AY1382" s="418"/>
      <c r="AZ1382" s="418"/>
      <c r="BA1382" s="418"/>
    </row>
    <row r="1383" spans="40:53" ht="15.75" customHeight="1">
      <c r="AN1383" s="418"/>
      <c r="AO1383" s="418"/>
      <c r="AP1383" s="418"/>
      <c r="AQ1383" s="418"/>
      <c r="AR1383" s="418"/>
      <c r="AS1383" s="418"/>
      <c r="AT1383" s="418"/>
      <c r="AU1383" s="418"/>
      <c r="AV1383" s="418"/>
      <c r="AW1383" s="418"/>
      <c r="AX1383" s="418"/>
      <c r="AY1383" s="418"/>
      <c r="AZ1383" s="418"/>
      <c r="BA1383" s="418"/>
    </row>
    <row r="1384" spans="40:53" ht="15.75" customHeight="1">
      <c r="AN1384" s="418"/>
      <c r="AO1384" s="418"/>
      <c r="AP1384" s="418"/>
      <c r="AQ1384" s="418"/>
      <c r="AR1384" s="418"/>
      <c r="AS1384" s="418"/>
      <c r="AT1384" s="418"/>
      <c r="AU1384" s="418"/>
      <c r="AV1384" s="418"/>
      <c r="AW1384" s="418"/>
      <c r="AX1384" s="418"/>
      <c r="AY1384" s="418"/>
      <c r="AZ1384" s="418"/>
      <c r="BA1384" s="418"/>
    </row>
    <row r="1385" spans="40:53" ht="15.75" customHeight="1">
      <c r="AN1385" s="418"/>
      <c r="AO1385" s="418"/>
      <c r="AP1385" s="418"/>
      <c r="AQ1385" s="418"/>
      <c r="AR1385" s="418"/>
      <c r="AS1385" s="418"/>
      <c r="AT1385" s="418"/>
      <c r="AU1385" s="418"/>
      <c r="AV1385" s="418"/>
      <c r="AW1385" s="418"/>
      <c r="AX1385" s="418"/>
      <c r="AY1385" s="418"/>
      <c r="AZ1385" s="418"/>
      <c r="BA1385" s="418"/>
    </row>
    <row r="1386" spans="40:53" ht="15.75" customHeight="1">
      <c r="AN1386" s="418"/>
      <c r="AO1386" s="418"/>
      <c r="AP1386" s="418"/>
      <c r="AQ1386" s="418"/>
      <c r="AR1386" s="418"/>
      <c r="AS1386" s="418"/>
      <c r="AT1386" s="418"/>
      <c r="AU1386" s="418"/>
      <c r="AV1386" s="418"/>
      <c r="AW1386" s="418"/>
      <c r="AX1386" s="418"/>
      <c r="AY1386" s="418"/>
      <c r="AZ1386" s="418"/>
      <c r="BA1386" s="418"/>
    </row>
    <row r="1387" spans="40:53" ht="15.75" customHeight="1">
      <c r="AN1387" s="418"/>
      <c r="AO1387" s="418"/>
      <c r="AP1387" s="418"/>
      <c r="AQ1387" s="418"/>
      <c r="AR1387" s="418"/>
      <c r="AS1387" s="418"/>
      <c r="AT1387" s="418"/>
      <c r="AU1387" s="418"/>
      <c r="AV1387" s="418"/>
      <c r="AW1387" s="418"/>
      <c r="AX1387" s="418"/>
      <c r="AY1387" s="418"/>
      <c r="AZ1387" s="418"/>
      <c r="BA1387" s="418"/>
    </row>
    <row r="1388" spans="40:53" ht="15.75" customHeight="1">
      <c r="AN1388" s="418"/>
      <c r="AO1388" s="418"/>
      <c r="AP1388" s="418"/>
      <c r="AQ1388" s="418"/>
      <c r="AR1388" s="418"/>
      <c r="AS1388" s="418"/>
      <c r="AT1388" s="418"/>
      <c r="AU1388" s="418"/>
      <c r="AV1388" s="418"/>
      <c r="AW1388" s="418"/>
      <c r="AX1388" s="418"/>
      <c r="AY1388" s="418"/>
      <c r="AZ1388" s="418"/>
      <c r="BA1388" s="418"/>
    </row>
    <row r="1389" spans="40:53" ht="15.75" customHeight="1">
      <c r="AN1389" s="418"/>
      <c r="AO1389" s="418"/>
      <c r="AP1389" s="418"/>
      <c r="AQ1389" s="418"/>
      <c r="AR1389" s="418"/>
      <c r="AS1389" s="418"/>
      <c r="AT1389" s="418"/>
      <c r="AU1389" s="418"/>
      <c r="AV1389" s="418"/>
      <c r="AW1389" s="418"/>
      <c r="AX1389" s="418"/>
      <c r="AY1389" s="418"/>
      <c r="AZ1389" s="418"/>
      <c r="BA1389" s="418"/>
    </row>
    <row r="1390" spans="40:53" ht="15.75" customHeight="1">
      <c r="AN1390" s="418"/>
      <c r="AO1390" s="418"/>
      <c r="AP1390" s="418"/>
      <c r="AQ1390" s="418"/>
      <c r="AR1390" s="418"/>
      <c r="AS1390" s="418"/>
      <c r="AT1390" s="418"/>
      <c r="AU1390" s="418"/>
      <c r="AV1390" s="418"/>
      <c r="AW1390" s="418"/>
      <c r="AX1390" s="418"/>
      <c r="AY1390" s="418"/>
      <c r="AZ1390" s="418"/>
      <c r="BA1390" s="418"/>
    </row>
    <row r="1391" spans="40:53" ht="15.75" customHeight="1">
      <c r="AN1391" s="418"/>
      <c r="AO1391" s="418"/>
      <c r="AP1391" s="418"/>
      <c r="AQ1391" s="418"/>
      <c r="AR1391" s="418"/>
      <c r="AS1391" s="418"/>
      <c r="AT1391" s="418"/>
      <c r="AU1391" s="418"/>
      <c r="AV1391" s="418"/>
      <c r="AW1391" s="418"/>
      <c r="AX1391" s="418"/>
      <c r="AY1391" s="418"/>
      <c r="AZ1391" s="418"/>
      <c r="BA1391" s="418"/>
    </row>
    <row r="1392" spans="40:53" ht="15.75" customHeight="1">
      <c r="AN1392" s="418"/>
      <c r="AO1392" s="418"/>
      <c r="AP1392" s="418"/>
      <c r="AQ1392" s="418"/>
      <c r="AR1392" s="418"/>
      <c r="AS1392" s="418"/>
      <c r="AT1392" s="418"/>
      <c r="AU1392" s="418"/>
      <c r="AV1392" s="418"/>
      <c r="AW1392" s="418"/>
      <c r="AX1392" s="418"/>
      <c r="AY1392" s="418"/>
      <c r="AZ1392" s="418"/>
      <c r="BA1392" s="418"/>
    </row>
    <row r="1393" spans="40:53" ht="15.75" customHeight="1">
      <c r="AN1393" s="418"/>
      <c r="AO1393" s="418"/>
      <c r="AP1393" s="418"/>
      <c r="AQ1393" s="418"/>
      <c r="AR1393" s="418"/>
      <c r="AS1393" s="418"/>
      <c r="AT1393" s="418"/>
      <c r="AU1393" s="418"/>
      <c r="AV1393" s="418"/>
      <c r="AW1393" s="418"/>
      <c r="AX1393" s="418"/>
      <c r="AY1393" s="418"/>
      <c r="AZ1393" s="418"/>
      <c r="BA1393" s="418"/>
    </row>
    <row r="1394" spans="40:53" ht="15.75" customHeight="1">
      <c r="AN1394" s="418"/>
      <c r="AO1394" s="418"/>
      <c r="AP1394" s="418"/>
      <c r="AQ1394" s="418"/>
      <c r="AR1394" s="418"/>
      <c r="AS1394" s="418"/>
      <c r="AT1394" s="418"/>
      <c r="AU1394" s="418"/>
      <c r="AV1394" s="418"/>
      <c r="AW1394" s="418"/>
      <c r="AX1394" s="418"/>
      <c r="AY1394" s="418"/>
      <c r="AZ1394" s="418"/>
      <c r="BA1394" s="418"/>
    </row>
    <row r="1395" spans="40:53" ht="15.75" customHeight="1">
      <c r="AN1395" s="418"/>
      <c r="AO1395" s="418"/>
      <c r="AP1395" s="418"/>
      <c r="AQ1395" s="418"/>
      <c r="AR1395" s="418"/>
      <c r="AS1395" s="418"/>
      <c r="AT1395" s="418"/>
      <c r="AU1395" s="418"/>
      <c r="AV1395" s="418"/>
      <c r="AW1395" s="418"/>
      <c r="AX1395" s="418"/>
      <c r="AY1395" s="418"/>
      <c r="AZ1395" s="418"/>
      <c r="BA1395" s="418"/>
    </row>
    <row r="1396" spans="40:53" ht="15.75" customHeight="1">
      <c r="AN1396" s="418"/>
      <c r="AO1396" s="418"/>
      <c r="AP1396" s="418"/>
      <c r="AQ1396" s="418"/>
      <c r="AR1396" s="418"/>
      <c r="AS1396" s="418"/>
      <c r="AT1396" s="418"/>
      <c r="AU1396" s="418"/>
      <c r="AV1396" s="418"/>
      <c r="AW1396" s="418"/>
      <c r="AX1396" s="418"/>
      <c r="AY1396" s="418"/>
      <c r="AZ1396" s="418"/>
      <c r="BA1396" s="418"/>
    </row>
    <row r="1397" spans="40:53" ht="15.75" customHeight="1">
      <c r="AN1397" s="418"/>
      <c r="AO1397" s="418"/>
      <c r="AP1397" s="418"/>
      <c r="AQ1397" s="418"/>
      <c r="AR1397" s="418"/>
      <c r="AS1397" s="418"/>
      <c r="AT1397" s="418"/>
      <c r="AU1397" s="418"/>
      <c r="AV1397" s="418"/>
      <c r="AW1397" s="418"/>
      <c r="AX1397" s="418"/>
      <c r="AY1397" s="418"/>
      <c r="AZ1397" s="418"/>
      <c r="BA1397" s="418"/>
    </row>
    <row r="1398" spans="40:53" ht="15.75" customHeight="1">
      <c r="AN1398" s="418"/>
      <c r="AO1398" s="418"/>
      <c r="AP1398" s="418"/>
      <c r="AQ1398" s="418"/>
      <c r="AR1398" s="418"/>
      <c r="AS1398" s="418"/>
      <c r="AT1398" s="418"/>
      <c r="AU1398" s="418"/>
      <c r="AV1398" s="418"/>
      <c r="AW1398" s="418"/>
      <c r="AX1398" s="418"/>
      <c r="AY1398" s="418"/>
      <c r="AZ1398" s="418"/>
      <c r="BA1398" s="418"/>
    </row>
    <row r="1399" spans="40:53" ht="15.75" customHeight="1">
      <c r="AN1399" s="418"/>
      <c r="AO1399" s="418"/>
      <c r="AP1399" s="418"/>
      <c r="AQ1399" s="418"/>
      <c r="AR1399" s="418"/>
      <c r="AS1399" s="418"/>
      <c r="AT1399" s="418"/>
      <c r="AU1399" s="418"/>
      <c r="AV1399" s="418"/>
      <c r="AW1399" s="418"/>
      <c r="AX1399" s="418"/>
      <c r="AY1399" s="418"/>
      <c r="AZ1399" s="418"/>
      <c r="BA1399" s="418"/>
    </row>
    <row r="1400" spans="40:53" ht="15.75" customHeight="1">
      <c r="AN1400" s="418"/>
      <c r="AO1400" s="418"/>
      <c r="AP1400" s="418"/>
      <c r="AQ1400" s="418"/>
      <c r="AR1400" s="418"/>
      <c r="AS1400" s="418"/>
      <c r="AT1400" s="418"/>
      <c r="AU1400" s="418"/>
      <c r="AV1400" s="418"/>
      <c r="AW1400" s="418"/>
      <c r="AX1400" s="418"/>
      <c r="AY1400" s="418"/>
      <c r="AZ1400" s="418"/>
      <c r="BA1400" s="418"/>
    </row>
    <row r="1401" spans="40:53" ht="15.75" customHeight="1">
      <c r="AN1401" s="418"/>
      <c r="AO1401" s="418"/>
      <c r="AP1401" s="418"/>
      <c r="AQ1401" s="418"/>
      <c r="AR1401" s="418"/>
      <c r="AS1401" s="418"/>
      <c r="AT1401" s="418"/>
      <c r="AU1401" s="418"/>
      <c r="AV1401" s="418"/>
      <c r="AW1401" s="418"/>
      <c r="AX1401" s="418"/>
      <c r="AY1401" s="418"/>
      <c r="AZ1401" s="418"/>
      <c r="BA1401" s="418"/>
    </row>
    <row r="1402" spans="40:53" ht="15.75" customHeight="1">
      <c r="AN1402" s="418"/>
      <c r="AO1402" s="418"/>
      <c r="AP1402" s="418"/>
      <c r="AQ1402" s="418"/>
      <c r="AR1402" s="418"/>
      <c r="AS1402" s="418"/>
      <c r="AT1402" s="418"/>
      <c r="AU1402" s="418"/>
      <c r="AV1402" s="418"/>
      <c r="AW1402" s="418"/>
      <c r="AX1402" s="418"/>
      <c r="AY1402" s="418"/>
      <c r="AZ1402" s="418"/>
      <c r="BA1402" s="418"/>
    </row>
    <row r="1403" spans="40:53" ht="15.75" customHeight="1">
      <c r="AN1403" s="418"/>
      <c r="AO1403" s="418"/>
      <c r="AP1403" s="418"/>
      <c r="AQ1403" s="418"/>
      <c r="AR1403" s="418"/>
      <c r="AS1403" s="418"/>
      <c r="AT1403" s="418"/>
      <c r="AU1403" s="418"/>
      <c r="AV1403" s="418"/>
      <c r="AW1403" s="418"/>
      <c r="AX1403" s="418"/>
      <c r="AY1403" s="418"/>
      <c r="AZ1403" s="418"/>
      <c r="BA1403" s="418"/>
    </row>
    <row r="1404" spans="40:53" ht="15.75" customHeight="1">
      <c r="AN1404" s="418"/>
      <c r="AO1404" s="418"/>
      <c r="AP1404" s="418"/>
      <c r="AQ1404" s="418"/>
      <c r="AR1404" s="418"/>
      <c r="AS1404" s="418"/>
      <c r="AT1404" s="418"/>
      <c r="AU1404" s="418"/>
      <c r="AV1404" s="418"/>
      <c r="AW1404" s="418"/>
      <c r="AX1404" s="418"/>
      <c r="AY1404" s="418"/>
      <c r="AZ1404" s="418"/>
      <c r="BA1404" s="418"/>
    </row>
    <row r="1405" spans="40:53" ht="15.75" customHeight="1">
      <c r="AN1405" s="418"/>
      <c r="AO1405" s="418"/>
      <c r="AP1405" s="418"/>
      <c r="AQ1405" s="418"/>
      <c r="AR1405" s="418"/>
      <c r="AS1405" s="418"/>
      <c r="AT1405" s="418"/>
      <c r="AU1405" s="418"/>
      <c r="AV1405" s="418"/>
      <c r="AW1405" s="418"/>
      <c r="AX1405" s="418"/>
      <c r="AY1405" s="418"/>
      <c r="AZ1405" s="418"/>
      <c r="BA1405" s="418"/>
    </row>
    <row r="1406" spans="40:53" ht="15.75" customHeight="1">
      <c r="AN1406" s="418"/>
      <c r="AO1406" s="418"/>
      <c r="AP1406" s="418"/>
      <c r="AQ1406" s="418"/>
      <c r="AR1406" s="418"/>
      <c r="AS1406" s="418"/>
      <c r="AT1406" s="418"/>
      <c r="AU1406" s="418"/>
      <c r="AV1406" s="418"/>
      <c r="AW1406" s="418"/>
      <c r="AX1406" s="418"/>
      <c r="AY1406" s="418"/>
      <c r="AZ1406" s="418"/>
      <c r="BA1406" s="418"/>
    </row>
    <row r="1407" spans="40:53" ht="15.75" customHeight="1">
      <c r="AN1407" s="418"/>
      <c r="AO1407" s="418"/>
      <c r="AP1407" s="418"/>
      <c r="AQ1407" s="418"/>
      <c r="AR1407" s="418"/>
      <c r="AS1407" s="418"/>
      <c r="AT1407" s="418"/>
      <c r="AU1407" s="418"/>
      <c r="AV1407" s="418"/>
      <c r="AW1407" s="418"/>
      <c r="AX1407" s="418"/>
      <c r="AY1407" s="418"/>
      <c r="AZ1407" s="418"/>
      <c r="BA1407" s="418"/>
    </row>
    <row r="1408" spans="40:53" ht="15.75" customHeight="1">
      <c r="AN1408" s="418"/>
      <c r="AO1408" s="418"/>
      <c r="AP1408" s="418"/>
      <c r="AQ1408" s="418"/>
      <c r="AR1408" s="418"/>
      <c r="AS1408" s="418"/>
      <c r="AT1408" s="418"/>
      <c r="AU1408" s="418"/>
      <c r="AV1408" s="418"/>
      <c r="AW1408" s="418"/>
      <c r="AX1408" s="418"/>
      <c r="AY1408" s="418"/>
      <c r="AZ1408" s="418"/>
      <c r="BA1408" s="418"/>
    </row>
    <row r="1409" spans="40:53" ht="15.75" customHeight="1">
      <c r="AN1409" s="418"/>
      <c r="AO1409" s="418"/>
      <c r="AP1409" s="418"/>
      <c r="AQ1409" s="418"/>
      <c r="AR1409" s="418"/>
      <c r="AS1409" s="418"/>
      <c r="AT1409" s="418"/>
      <c r="AU1409" s="418"/>
      <c r="AV1409" s="418"/>
      <c r="AW1409" s="418"/>
      <c r="AX1409" s="418"/>
      <c r="AY1409" s="418"/>
      <c r="AZ1409" s="418"/>
      <c r="BA1409" s="418"/>
    </row>
    <row r="1410" spans="40:53" ht="15.75" customHeight="1">
      <c r="AN1410" s="418"/>
      <c r="AO1410" s="418"/>
      <c r="AP1410" s="418"/>
      <c r="AQ1410" s="418"/>
      <c r="AR1410" s="418"/>
      <c r="AS1410" s="418"/>
      <c r="AT1410" s="418"/>
      <c r="AU1410" s="418"/>
      <c r="AV1410" s="418"/>
      <c r="AW1410" s="418"/>
      <c r="AX1410" s="418"/>
      <c r="AY1410" s="418"/>
      <c r="AZ1410" s="418"/>
      <c r="BA1410" s="418"/>
    </row>
    <row r="1411" spans="40:53" ht="15.75" customHeight="1">
      <c r="AN1411" s="418"/>
      <c r="AO1411" s="418"/>
      <c r="AP1411" s="418"/>
      <c r="AQ1411" s="418"/>
      <c r="AR1411" s="418"/>
      <c r="AS1411" s="418"/>
      <c r="AT1411" s="418"/>
      <c r="AU1411" s="418"/>
      <c r="AV1411" s="418"/>
      <c r="AW1411" s="418"/>
      <c r="AX1411" s="418"/>
      <c r="AY1411" s="418"/>
      <c r="AZ1411" s="418"/>
      <c r="BA1411" s="418"/>
    </row>
    <row r="1412" spans="40:53" ht="15.75" customHeight="1">
      <c r="AN1412" s="418"/>
      <c r="AO1412" s="418"/>
      <c r="AP1412" s="418"/>
      <c r="AQ1412" s="418"/>
      <c r="AR1412" s="418"/>
      <c r="AS1412" s="418"/>
      <c r="AT1412" s="418"/>
      <c r="AU1412" s="418"/>
      <c r="AV1412" s="418"/>
      <c r="AW1412" s="418"/>
      <c r="AX1412" s="418"/>
      <c r="AY1412" s="418"/>
      <c r="AZ1412" s="418"/>
      <c r="BA1412" s="418"/>
    </row>
    <row r="1413" spans="40:53" ht="15.75" customHeight="1">
      <c r="AN1413" s="418"/>
      <c r="AO1413" s="418"/>
      <c r="AP1413" s="418"/>
      <c r="AQ1413" s="418"/>
      <c r="AR1413" s="418"/>
      <c r="AS1413" s="418"/>
      <c r="AT1413" s="418"/>
      <c r="AU1413" s="418"/>
      <c r="AV1413" s="418"/>
      <c r="AW1413" s="418"/>
      <c r="AX1413" s="418"/>
      <c r="AY1413" s="418"/>
      <c r="AZ1413" s="418"/>
      <c r="BA1413" s="418"/>
    </row>
    <row r="1414" spans="40:53" ht="15.75" customHeight="1">
      <c r="AN1414" s="418"/>
      <c r="AO1414" s="418"/>
      <c r="AP1414" s="418"/>
      <c r="AQ1414" s="418"/>
      <c r="AR1414" s="418"/>
      <c r="AS1414" s="418"/>
      <c r="AT1414" s="418"/>
      <c r="AU1414" s="418"/>
      <c r="AV1414" s="418"/>
      <c r="AW1414" s="418"/>
      <c r="AX1414" s="418"/>
      <c r="AY1414" s="418"/>
      <c r="AZ1414" s="418"/>
      <c r="BA1414" s="418"/>
    </row>
    <row r="1415" spans="40:53" ht="15.75" customHeight="1">
      <c r="AN1415" s="418"/>
      <c r="AO1415" s="418"/>
      <c r="AP1415" s="418"/>
      <c r="AQ1415" s="418"/>
      <c r="AR1415" s="418"/>
      <c r="AS1415" s="418"/>
      <c r="AT1415" s="418"/>
      <c r="AU1415" s="418"/>
      <c r="AV1415" s="418"/>
      <c r="AW1415" s="418"/>
      <c r="AX1415" s="418"/>
      <c r="AY1415" s="418"/>
      <c r="AZ1415" s="418"/>
      <c r="BA1415" s="418"/>
    </row>
    <row r="1416" spans="40:53" ht="15.75" customHeight="1">
      <c r="AN1416" s="418"/>
      <c r="AO1416" s="418"/>
      <c r="AP1416" s="418"/>
      <c r="AQ1416" s="418"/>
      <c r="AR1416" s="418"/>
      <c r="AS1416" s="418"/>
      <c r="AT1416" s="418"/>
      <c r="AU1416" s="418"/>
      <c r="AV1416" s="418"/>
      <c r="AW1416" s="418"/>
      <c r="AX1416" s="418"/>
      <c r="AY1416" s="418"/>
      <c r="AZ1416" s="418"/>
      <c r="BA1416" s="418"/>
    </row>
    <row r="1417" spans="40:53" ht="15.75" customHeight="1">
      <c r="AN1417" s="418"/>
      <c r="AO1417" s="418"/>
      <c r="AP1417" s="418"/>
      <c r="AQ1417" s="418"/>
      <c r="AR1417" s="418"/>
      <c r="AS1417" s="418"/>
      <c r="AT1417" s="418"/>
      <c r="AU1417" s="418"/>
      <c r="AV1417" s="418"/>
      <c r="AW1417" s="418"/>
      <c r="AX1417" s="418"/>
      <c r="AY1417" s="418"/>
      <c r="AZ1417" s="418"/>
      <c r="BA1417" s="418"/>
    </row>
    <row r="1418" spans="40:53" ht="15.75" customHeight="1">
      <c r="AN1418" s="418"/>
      <c r="AO1418" s="418"/>
      <c r="AP1418" s="418"/>
      <c r="AQ1418" s="418"/>
      <c r="AR1418" s="418"/>
      <c r="AS1418" s="418"/>
      <c r="AT1418" s="418"/>
      <c r="AU1418" s="418"/>
      <c r="AV1418" s="418"/>
      <c r="AW1418" s="418"/>
      <c r="AX1418" s="418"/>
      <c r="AY1418" s="418"/>
      <c r="AZ1418" s="418"/>
      <c r="BA1418" s="418"/>
    </row>
    <row r="1419" spans="40:53" ht="15.75" customHeight="1">
      <c r="AN1419" s="418"/>
      <c r="AO1419" s="418"/>
      <c r="AP1419" s="418"/>
      <c r="AQ1419" s="418"/>
      <c r="AR1419" s="418"/>
      <c r="AS1419" s="418"/>
      <c r="AT1419" s="418"/>
      <c r="AU1419" s="418"/>
      <c r="AV1419" s="418"/>
      <c r="AW1419" s="418"/>
      <c r="AX1419" s="418"/>
      <c r="AY1419" s="418"/>
      <c r="AZ1419" s="418"/>
      <c r="BA1419" s="418"/>
    </row>
    <row r="1420" spans="40:53" ht="15.75" customHeight="1">
      <c r="AN1420" s="418"/>
      <c r="AO1420" s="418"/>
      <c r="AP1420" s="418"/>
      <c r="AQ1420" s="418"/>
      <c r="AR1420" s="418"/>
      <c r="AS1420" s="418"/>
      <c r="AT1420" s="418"/>
      <c r="AU1420" s="418"/>
      <c r="AV1420" s="418"/>
      <c r="AW1420" s="418"/>
      <c r="AX1420" s="418"/>
      <c r="AY1420" s="418"/>
      <c r="AZ1420" s="418"/>
      <c r="BA1420" s="418"/>
    </row>
    <row r="1421" spans="40:53" ht="15.75" customHeight="1">
      <c r="AN1421" s="418"/>
      <c r="AO1421" s="418"/>
      <c r="AP1421" s="418"/>
      <c r="AQ1421" s="418"/>
      <c r="AR1421" s="418"/>
      <c r="AS1421" s="418"/>
      <c r="AT1421" s="418"/>
      <c r="AU1421" s="418"/>
      <c r="AV1421" s="418"/>
      <c r="AW1421" s="418"/>
      <c r="AX1421" s="418"/>
      <c r="AY1421" s="418"/>
      <c r="AZ1421" s="418"/>
      <c r="BA1421" s="418"/>
    </row>
    <row r="1422" spans="40:53" ht="15.75" customHeight="1">
      <c r="AN1422" s="418"/>
      <c r="AO1422" s="418"/>
      <c r="AP1422" s="418"/>
      <c r="AQ1422" s="418"/>
      <c r="AR1422" s="418"/>
      <c r="AS1422" s="418"/>
      <c r="AT1422" s="418"/>
      <c r="AU1422" s="418"/>
      <c r="AV1422" s="418"/>
      <c r="AW1422" s="418"/>
      <c r="AX1422" s="418"/>
      <c r="AY1422" s="418"/>
      <c r="AZ1422" s="418"/>
      <c r="BA1422" s="418"/>
    </row>
    <row r="1423" spans="40:53" ht="15.75" customHeight="1">
      <c r="AN1423" s="418"/>
      <c r="AO1423" s="418"/>
      <c r="AP1423" s="418"/>
      <c r="AQ1423" s="418"/>
      <c r="AR1423" s="418"/>
      <c r="AS1423" s="418"/>
      <c r="AT1423" s="418"/>
      <c r="AU1423" s="418"/>
      <c r="AV1423" s="418"/>
      <c r="AW1423" s="418"/>
      <c r="AX1423" s="418"/>
      <c r="AY1423" s="418"/>
      <c r="AZ1423" s="418"/>
      <c r="BA1423" s="418"/>
    </row>
    <row r="1424" spans="40:53" ht="15.75" customHeight="1">
      <c r="AN1424" s="418"/>
      <c r="AO1424" s="418"/>
      <c r="AP1424" s="418"/>
      <c r="AQ1424" s="418"/>
      <c r="AR1424" s="418"/>
      <c r="AS1424" s="418"/>
      <c r="AT1424" s="418"/>
      <c r="AU1424" s="418"/>
      <c r="AV1424" s="418"/>
      <c r="AW1424" s="418"/>
      <c r="AX1424" s="418"/>
      <c r="AY1424" s="418"/>
      <c r="AZ1424" s="418"/>
      <c r="BA1424" s="418"/>
    </row>
    <row r="1425" spans="40:53" ht="15.75" customHeight="1">
      <c r="AN1425" s="418"/>
      <c r="AO1425" s="418"/>
      <c r="AP1425" s="418"/>
      <c r="AQ1425" s="418"/>
      <c r="AR1425" s="418"/>
      <c r="AS1425" s="418"/>
      <c r="AT1425" s="418"/>
      <c r="AU1425" s="418"/>
      <c r="AV1425" s="418"/>
      <c r="AW1425" s="418"/>
      <c r="AX1425" s="418"/>
      <c r="AY1425" s="418"/>
      <c r="AZ1425" s="418"/>
      <c r="BA1425" s="418"/>
    </row>
    <row r="1426" spans="40:53" ht="15.75" customHeight="1">
      <c r="AN1426" s="418"/>
      <c r="AO1426" s="418"/>
      <c r="AP1426" s="418"/>
      <c r="AQ1426" s="418"/>
      <c r="AR1426" s="418"/>
      <c r="AS1426" s="418"/>
      <c r="AT1426" s="418"/>
      <c r="AU1426" s="418"/>
      <c r="AV1426" s="418"/>
      <c r="AW1426" s="418"/>
      <c r="AX1426" s="418"/>
      <c r="AY1426" s="418"/>
      <c r="AZ1426" s="418"/>
      <c r="BA1426" s="418"/>
    </row>
    <row r="1427" spans="40:53" ht="15.75" customHeight="1">
      <c r="AN1427" s="418"/>
      <c r="AO1427" s="418"/>
      <c r="AP1427" s="418"/>
      <c r="AQ1427" s="418"/>
      <c r="AR1427" s="418"/>
      <c r="AS1427" s="418"/>
      <c r="AT1427" s="418"/>
      <c r="AU1427" s="418"/>
      <c r="AV1427" s="418"/>
      <c r="AW1427" s="418"/>
      <c r="AX1427" s="418"/>
      <c r="AY1427" s="418"/>
      <c r="AZ1427" s="418"/>
      <c r="BA1427" s="418"/>
    </row>
    <row r="1428" spans="40:53" ht="15.75" customHeight="1">
      <c r="AN1428" s="418"/>
      <c r="AO1428" s="418"/>
      <c r="AP1428" s="418"/>
      <c r="AQ1428" s="418"/>
      <c r="AR1428" s="418"/>
      <c r="AS1428" s="418"/>
      <c r="AT1428" s="418"/>
      <c r="AU1428" s="418"/>
      <c r="AV1428" s="418"/>
      <c r="AW1428" s="418"/>
      <c r="AX1428" s="418"/>
      <c r="AY1428" s="418"/>
      <c r="AZ1428" s="418"/>
      <c r="BA1428" s="418"/>
    </row>
    <row r="1429" spans="40:53" ht="15.75" customHeight="1">
      <c r="AN1429" s="418"/>
      <c r="AO1429" s="418"/>
      <c r="AP1429" s="418"/>
      <c r="AQ1429" s="418"/>
      <c r="AR1429" s="418"/>
      <c r="AS1429" s="418"/>
      <c r="AT1429" s="418"/>
      <c r="AU1429" s="418"/>
      <c r="AV1429" s="418"/>
      <c r="AW1429" s="418"/>
      <c r="AX1429" s="418"/>
      <c r="AY1429" s="418"/>
      <c r="AZ1429" s="418"/>
      <c r="BA1429" s="418"/>
    </row>
    <row r="1430" spans="40:53" ht="15.75" customHeight="1">
      <c r="AN1430" s="418"/>
      <c r="AO1430" s="418"/>
      <c r="AP1430" s="418"/>
      <c r="AQ1430" s="418"/>
      <c r="AR1430" s="418"/>
      <c r="AS1430" s="418"/>
      <c r="AT1430" s="418"/>
      <c r="AU1430" s="418"/>
      <c r="AV1430" s="418"/>
      <c r="AW1430" s="418"/>
      <c r="AX1430" s="418"/>
      <c r="AY1430" s="418"/>
      <c r="AZ1430" s="418"/>
      <c r="BA1430" s="418"/>
    </row>
    <row r="1431" spans="40:53" ht="15.75" customHeight="1">
      <c r="AN1431" s="418"/>
      <c r="AO1431" s="418"/>
      <c r="AP1431" s="418"/>
      <c r="AQ1431" s="418"/>
      <c r="AR1431" s="418"/>
      <c r="AS1431" s="418"/>
      <c r="AT1431" s="418"/>
      <c r="AU1431" s="418"/>
      <c r="AV1431" s="418"/>
      <c r="AW1431" s="418"/>
      <c r="AX1431" s="418"/>
      <c r="AY1431" s="418"/>
      <c r="AZ1431" s="418"/>
      <c r="BA1431" s="418"/>
    </row>
    <row r="1432" spans="40:53" ht="15.75" customHeight="1">
      <c r="AN1432" s="418"/>
      <c r="AO1432" s="418"/>
      <c r="AP1432" s="418"/>
      <c r="AQ1432" s="418"/>
      <c r="AR1432" s="418"/>
      <c r="AS1432" s="418"/>
      <c r="AT1432" s="418"/>
      <c r="AU1432" s="418"/>
      <c r="AV1432" s="418"/>
      <c r="AW1432" s="418"/>
      <c r="AX1432" s="418"/>
      <c r="AY1432" s="418"/>
      <c r="AZ1432" s="418"/>
      <c r="BA1432" s="418"/>
    </row>
    <row r="1433" spans="40:53" ht="15.75" customHeight="1">
      <c r="AN1433" s="418"/>
      <c r="AO1433" s="418"/>
      <c r="AP1433" s="418"/>
      <c r="AQ1433" s="418"/>
      <c r="AR1433" s="418"/>
      <c r="AS1433" s="418"/>
      <c r="AT1433" s="418"/>
      <c r="AU1433" s="418"/>
      <c r="AV1433" s="418"/>
      <c r="AW1433" s="418"/>
      <c r="AX1433" s="418"/>
      <c r="AY1433" s="418"/>
      <c r="AZ1433" s="418"/>
      <c r="BA1433" s="418"/>
    </row>
    <row r="1434" spans="40:53" ht="15.75" customHeight="1">
      <c r="AN1434" s="418"/>
      <c r="AO1434" s="418"/>
      <c r="AP1434" s="418"/>
      <c r="AQ1434" s="418"/>
      <c r="AR1434" s="418"/>
      <c r="AS1434" s="418"/>
      <c r="AT1434" s="418"/>
      <c r="AU1434" s="418"/>
      <c r="AV1434" s="418"/>
      <c r="AW1434" s="418"/>
      <c r="AX1434" s="418"/>
      <c r="AY1434" s="418"/>
      <c r="AZ1434" s="418"/>
      <c r="BA1434" s="418"/>
    </row>
    <row r="1435" spans="40:53" ht="15.75" customHeight="1">
      <c r="AN1435" s="418"/>
      <c r="AO1435" s="418"/>
      <c r="AP1435" s="418"/>
      <c r="AQ1435" s="418"/>
      <c r="AR1435" s="418"/>
      <c r="AS1435" s="418"/>
      <c r="AT1435" s="418"/>
      <c r="AU1435" s="418"/>
      <c r="AV1435" s="418"/>
      <c r="AW1435" s="418"/>
      <c r="AX1435" s="418"/>
      <c r="AY1435" s="418"/>
      <c r="AZ1435" s="418"/>
      <c r="BA1435" s="418"/>
    </row>
    <row r="1436" spans="40:53" ht="15.75" customHeight="1">
      <c r="AN1436" s="418"/>
      <c r="AO1436" s="418"/>
      <c r="AP1436" s="418"/>
      <c r="AQ1436" s="418"/>
      <c r="AR1436" s="418"/>
      <c r="AS1436" s="418"/>
      <c r="AT1436" s="418"/>
      <c r="AU1436" s="418"/>
      <c r="AV1436" s="418"/>
      <c r="AW1436" s="418"/>
      <c r="AX1436" s="418"/>
      <c r="AY1436" s="418"/>
      <c r="AZ1436" s="418"/>
      <c r="BA1436" s="418"/>
    </row>
    <row r="1437" spans="40:53" ht="15.75" customHeight="1">
      <c r="AN1437" s="418"/>
      <c r="AO1437" s="418"/>
      <c r="AP1437" s="418"/>
      <c r="AQ1437" s="418"/>
      <c r="AR1437" s="418"/>
      <c r="AS1437" s="418"/>
      <c r="AT1437" s="418"/>
      <c r="AU1437" s="418"/>
      <c r="AV1437" s="418"/>
      <c r="AW1437" s="418"/>
      <c r="AX1437" s="418"/>
      <c r="AY1437" s="418"/>
      <c r="AZ1437" s="418"/>
      <c r="BA1437" s="418"/>
    </row>
    <row r="1438" spans="40:53" ht="15.75" customHeight="1">
      <c r="AN1438" s="418"/>
      <c r="AO1438" s="418"/>
      <c r="AP1438" s="418"/>
      <c r="AQ1438" s="418"/>
      <c r="AR1438" s="418"/>
      <c r="AS1438" s="418"/>
      <c r="AT1438" s="418"/>
      <c r="AU1438" s="418"/>
      <c r="AV1438" s="418"/>
      <c r="AW1438" s="418"/>
      <c r="AX1438" s="418"/>
      <c r="AY1438" s="418"/>
      <c r="AZ1438" s="418"/>
      <c r="BA1438" s="418"/>
    </row>
    <row r="1439" spans="40:53" ht="15.75" customHeight="1">
      <c r="AN1439" s="418"/>
      <c r="AO1439" s="418"/>
      <c r="AP1439" s="418"/>
      <c r="AQ1439" s="418"/>
      <c r="AR1439" s="418"/>
      <c r="AS1439" s="418"/>
      <c r="AT1439" s="418"/>
      <c r="AU1439" s="418"/>
      <c r="AV1439" s="418"/>
      <c r="AW1439" s="418"/>
      <c r="AX1439" s="418"/>
      <c r="AY1439" s="418"/>
      <c r="AZ1439" s="418"/>
      <c r="BA1439" s="418"/>
    </row>
    <row r="1440" spans="40:53" ht="15.75" customHeight="1">
      <c r="AN1440" s="418"/>
      <c r="AO1440" s="418"/>
      <c r="AP1440" s="418"/>
      <c r="AQ1440" s="418"/>
      <c r="AR1440" s="418"/>
      <c r="AS1440" s="418"/>
      <c r="AT1440" s="418"/>
      <c r="AU1440" s="418"/>
      <c r="AV1440" s="418"/>
      <c r="AW1440" s="418"/>
      <c r="AX1440" s="418"/>
      <c r="AY1440" s="418"/>
      <c r="AZ1440" s="418"/>
      <c r="BA1440" s="418"/>
    </row>
    <row r="1441" spans="40:53" ht="15.75" customHeight="1">
      <c r="AN1441" s="418"/>
      <c r="AO1441" s="418"/>
      <c r="AP1441" s="418"/>
      <c r="AQ1441" s="418"/>
      <c r="AR1441" s="418"/>
      <c r="AS1441" s="418"/>
      <c r="AT1441" s="418"/>
      <c r="AU1441" s="418"/>
      <c r="AV1441" s="418"/>
      <c r="AW1441" s="418"/>
      <c r="AX1441" s="418"/>
      <c r="AY1441" s="418"/>
      <c r="AZ1441" s="418"/>
      <c r="BA1441" s="418"/>
    </row>
    <row r="1442" spans="40:53" ht="15.75" customHeight="1">
      <c r="AN1442" s="418"/>
      <c r="AO1442" s="418"/>
      <c r="AP1442" s="418"/>
      <c r="AQ1442" s="418"/>
      <c r="AR1442" s="418"/>
      <c r="AS1442" s="418"/>
      <c r="AT1442" s="418"/>
      <c r="AU1442" s="418"/>
      <c r="AV1442" s="418"/>
      <c r="AW1442" s="418"/>
      <c r="AX1442" s="418"/>
      <c r="AY1442" s="418"/>
      <c r="AZ1442" s="418"/>
      <c r="BA1442" s="418"/>
    </row>
    <row r="1443" spans="40:53" ht="15.75" customHeight="1">
      <c r="AN1443" s="418"/>
      <c r="AO1443" s="418"/>
      <c r="AP1443" s="418"/>
      <c r="AQ1443" s="418"/>
      <c r="AR1443" s="418"/>
      <c r="AS1443" s="418"/>
      <c r="AT1443" s="418"/>
      <c r="AU1443" s="418"/>
      <c r="AV1443" s="418"/>
      <c r="AW1443" s="418"/>
      <c r="AX1443" s="418"/>
      <c r="AY1443" s="418"/>
      <c r="AZ1443" s="418"/>
      <c r="BA1443" s="418"/>
    </row>
    <row r="1444" spans="40:53" ht="15.75" customHeight="1">
      <c r="AN1444" s="418"/>
      <c r="AO1444" s="418"/>
      <c r="AP1444" s="418"/>
      <c r="AQ1444" s="418"/>
      <c r="AR1444" s="418"/>
      <c r="AS1444" s="418"/>
      <c r="AT1444" s="418"/>
      <c r="AU1444" s="418"/>
      <c r="AV1444" s="418"/>
      <c r="AW1444" s="418"/>
      <c r="AX1444" s="418"/>
      <c r="AY1444" s="418"/>
      <c r="AZ1444" s="418"/>
      <c r="BA1444" s="418"/>
    </row>
    <row r="1445" spans="40:53" ht="15.75" customHeight="1">
      <c r="AN1445" s="418"/>
      <c r="AO1445" s="418"/>
      <c r="AP1445" s="418"/>
      <c r="AQ1445" s="418"/>
      <c r="AR1445" s="418"/>
      <c r="AS1445" s="418"/>
      <c r="AT1445" s="418"/>
      <c r="AU1445" s="418"/>
      <c r="AV1445" s="418"/>
      <c r="AW1445" s="418"/>
      <c r="AX1445" s="418"/>
      <c r="AY1445" s="418"/>
      <c r="AZ1445" s="418"/>
      <c r="BA1445" s="418"/>
    </row>
    <row r="1446" spans="40:53" ht="15.75" customHeight="1">
      <c r="AN1446" s="418"/>
      <c r="AO1446" s="418"/>
      <c r="AP1446" s="418"/>
      <c r="AQ1446" s="418"/>
      <c r="AR1446" s="418"/>
      <c r="AS1446" s="418"/>
      <c r="AT1446" s="418"/>
      <c r="AU1446" s="418"/>
      <c r="AV1446" s="418"/>
      <c r="AW1446" s="418"/>
      <c r="AX1446" s="418"/>
      <c r="AY1446" s="418"/>
      <c r="AZ1446" s="418"/>
      <c r="BA1446" s="418"/>
    </row>
    <row r="1447" spans="40:53" ht="15.75" customHeight="1">
      <c r="AN1447" s="418"/>
      <c r="AO1447" s="418"/>
      <c r="AP1447" s="418"/>
      <c r="AQ1447" s="418"/>
      <c r="AR1447" s="418"/>
      <c r="AS1447" s="418"/>
      <c r="AT1447" s="418"/>
      <c r="AU1447" s="418"/>
      <c r="AV1447" s="418"/>
      <c r="AW1447" s="418"/>
      <c r="AX1447" s="418"/>
      <c r="AY1447" s="418"/>
      <c r="AZ1447" s="418"/>
      <c r="BA1447" s="418"/>
    </row>
    <row r="1448" spans="40:53" ht="15.75" customHeight="1">
      <c r="AN1448" s="418"/>
      <c r="AO1448" s="418"/>
      <c r="AP1448" s="418"/>
      <c r="AQ1448" s="418"/>
      <c r="AR1448" s="418"/>
      <c r="AS1448" s="418"/>
      <c r="AT1448" s="418"/>
      <c r="AU1448" s="418"/>
      <c r="AV1448" s="418"/>
      <c r="AW1448" s="418"/>
      <c r="AX1448" s="418"/>
      <c r="AY1448" s="418"/>
      <c r="AZ1448" s="418"/>
      <c r="BA1448" s="418"/>
    </row>
    <row r="1449" spans="40:53" ht="15.75" customHeight="1">
      <c r="AN1449" s="418"/>
      <c r="AO1449" s="418"/>
      <c r="AP1449" s="418"/>
      <c r="AQ1449" s="418"/>
      <c r="AR1449" s="418"/>
      <c r="AS1449" s="418"/>
      <c r="AT1449" s="418"/>
      <c r="AU1449" s="418"/>
      <c r="AV1449" s="418"/>
      <c r="AW1449" s="418"/>
      <c r="AX1449" s="418"/>
      <c r="AY1449" s="418"/>
      <c r="AZ1449" s="418"/>
      <c r="BA1449" s="418"/>
    </row>
    <row r="1450" spans="40:53" ht="15.75" customHeight="1">
      <c r="AN1450" s="418"/>
      <c r="AO1450" s="418"/>
      <c r="AP1450" s="418"/>
      <c r="AQ1450" s="418"/>
      <c r="AR1450" s="418"/>
      <c r="AS1450" s="418"/>
      <c r="AT1450" s="418"/>
      <c r="AU1450" s="418"/>
      <c r="AV1450" s="418"/>
      <c r="AW1450" s="418"/>
      <c r="AX1450" s="418"/>
      <c r="AY1450" s="418"/>
      <c r="AZ1450" s="418"/>
      <c r="BA1450" s="418"/>
    </row>
    <row r="1451" spans="40:53" ht="15.75" customHeight="1">
      <c r="AN1451" s="418"/>
      <c r="AO1451" s="418"/>
      <c r="AP1451" s="418"/>
      <c r="AQ1451" s="418"/>
      <c r="AR1451" s="418"/>
      <c r="AS1451" s="418"/>
      <c r="AT1451" s="418"/>
      <c r="AU1451" s="418"/>
      <c r="AV1451" s="418"/>
      <c r="AW1451" s="418"/>
      <c r="AX1451" s="418"/>
      <c r="AY1451" s="418"/>
      <c r="AZ1451" s="418"/>
      <c r="BA1451" s="418"/>
    </row>
    <row r="1452" spans="40:53" ht="15.75" customHeight="1">
      <c r="AN1452" s="418"/>
      <c r="AO1452" s="418"/>
      <c r="AP1452" s="418"/>
      <c r="AQ1452" s="418"/>
      <c r="AR1452" s="418"/>
      <c r="AS1452" s="418"/>
      <c r="AT1452" s="418"/>
      <c r="AU1452" s="418"/>
      <c r="AV1452" s="418"/>
      <c r="AW1452" s="418"/>
      <c r="AX1452" s="418"/>
      <c r="AY1452" s="418"/>
      <c r="AZ1452" s="418"/>
      <c r="BA1452" s="418"/>
    </row>
    <row r="1453" spans="40:53" ht="15.75" customHeight="1">
      <c r="AN1453" s="418"/>
      <c r="AO1453" s="418"/>
      <c r="AP1453" s="418"/>
      <c r="AQ1453" s="418"/>
      <c r="AR1453" s="418"/>
      <c r="AS1453" s="418"/>
      <c r="AT1453" s="418"/>
      <c r="AU1453" s="418"/>
      <c r="AV1453" s="418"/>
      <c r="AW1453" s="418"/>
      <c r="AX1453" s="418"/>
      <c r="AY1453" s="418"/>
      <c r="AZ1453" s="418"/>
      <c r="BA1453" s="418"/>
    </row>
    <row r="1454" spans="40:53" ht="15.75" customHeight="1">
      <c r="AN1454" s="418"/>
      <c r="AO1454" s="418"/>
      <c r="AP1454" s="418"/>
      <c r="AQ1454" s="418"/>
      <c r="AR1454" s="418"/>
      <c r="AS1454" s="418"/>
      <c r="AT1454" s="418"/>
      <c r="AU1454" s="418"/>
      <c r="AV1454" s="418"/>
      <c r="AW1454" s="418"/>
      <c r="AX1454" s="418"/>
      <c r="AY1454" s="418"/>
      <c r="AZ1454" s="418"/>
      <c r="BA1454" s="418"/>
    </row>
    <row r="1455" spans="40:53" ht="15.75" customHeight="1">
      <c r="AN1455" s="418"/>
      <c r="AO1455" s="418"/>
      <c r="AP1455" s="418"/>
      <c r="AQ1455" s="418"/>
      <c r="AR1455" s="418"/>
      <c r="AS1455" s="418"/>
      <c r="AT1455" s="418"/>
      <c r="AU1455" s="418"/>
      <c r="AV1455" s="418"/>
      <c r="AW1455" s="418"/>
      <c r="AX1455" s="418"/>
      <c r="AY1455" s="418"/>
      <c r="AZ1455" s="418"/>
      <c r="BA1455" s="418"/>
    </row>
    <row r="1456" spans="40:53" ht="15.75" customHeight="1">
      <c r="AN1456" s="418"/>
      <c r="AO1456" s="418"/>
      <c r="AP1456" s="418"/>
      <c r="AQ1456" s="418"/>
      <c r="AR1456" s="418"/>
      <c r="AS1456" s="418"/>
      <c r="AT1456" s="418"/>
      <c r="AU1456" s="418"/>
      <c r="AV1456" s="418"/>
      <c r="AW1456" s="418"/>
      <c r="AX1456" s="418"/>
      <c r="AY1456" s="418"/>
      <c r="AZ1456" s="418"/>
      <c r="BA1456" s="418"/>
    </row>
    <row r="1457" spans="40:53" ht="15.75" customHeight="1">
      <c r="AN1457" s="418"/>
      <c r="AO1457" s="418"/>
      <c r="AP1457" s="418"/>
      <c r="AQ1457" s="418"/>
      <c r="AR1457" s="418"/>
      <c r="AS1457" s="418"/>
      <c r="AT1457" s="418"/>
      <c r="AU1457" s="418"/>
      <c r="AV1457" s="418"/>
      <c r="AW1457" s="418"/>
      <c r="AX1457" s="418"/>
      <c r="AY1457" s="418"/>
      <c r="AZ1457" s="418"/>
      <c r="BA1457" s="418"/>
    </row>
    <row r="1458" spans="40:53" ht="15.75" customHeight="1">
      <c r="AN1458" s="418"/>
      <c r="AO1458" s="418"/>
      <c r="AP1458" s="418"/>
      <c r="AQ1458" s="418"/>
      <c r="AR1458" s="418"/>
      <c r="AS1458" s="418"/>
      <c r="AT1458" s="418"/>
      <c r="AU1458" s="418"/>
      <c r="AV1458" s="418"/>
      <c r="AW1458" s="418"/>
      <c r="AX1458" s="418"/>
      <c r="AY1458" s="418"/>
      <c r="AZ1458" s="418"/>
      <c r="BA1458" s="418"/>
    </row>
    <row r="1459" spans="40:53" ht="15.75" customHeight="1">
      <c r="AN1459" s="418"/>
      <c r="AO1459" s="418"/>
      <c r="AP1459" s="418"/>
      <c r="AQ1459" s="418"/>
      <c r="AR1459" s="418"/>
      <c r="AS1459" s="418"/>
      <c r="AT1459" s="418"/>
      <c r="AU1459" s="418"/>
      <c r="AV1459" s="418"/>
      <c r="AW1459" s="418"/>
      <c r="AX1459" s="418"/>
      <c r="AY1459" s="418"/>
      <c r="AZ1459" s="418"/>
      <c r="BA1459" s="418"/>
    </row>
    <row r="1460" spans="40:53" ht="15.75" customHeight="1">
      <c r="AN1460" s="418"/>
      <c r="AO1460" s="418"/>
      <c r="AP1460" s="418"/>
      <c r="AQ1460" s="418"/>
      <c r="AR1460" s="418"/>
      <c r="AS1460" s="418"/>
      <c r="AT1460" s="418"/>
      <c r="AU1460" s="418"/>
      <c r="AV1460" s="418"/>
      <c r="AW1460" s="418"/>
      <c r="AX1460" s="418"/>
      <c r="AY1460" s="418"/>
      <c r="AZ1460" s="418"/>
      <c r="BA1460" s="418"/>
    </row>
    <row r="1461" spans="40:53" ht="15.75" customHeight="1">
      <c r="AN1461" s="418"/>
      <c r="AO1461" s="418"/>
      <c r="AP1461" s="418"/>
      <c r="AQ1461" s="418"/>
      <c r="AR1461" s="418"/>
      <c r="AS1461" s="418"/>
      <c r="AT1461" s="418"/>
      <c r="AU1461" s="418"/>
      <c r="AV1461" s="418"/>
      <c r="AW1461" s="418"/>
      <c r="AX1461" s="418"/>
      <c r="AY1461" s="418"/>
      <c r="AZ1461" s="418"/>
      <c r="BA1461" s="418"/>
    </row>
    <row r="1462" spans="40:53" ht="15.75" customHeight="1">
      <c r="AN1462" s="418"/>
      <c r="AO1462" s="418"/>
      <c r="AP1462" s="418"/>
      <c r="AQ1462" s="418"/>
      <c r="AR1462" s="418"/>
      <c r="AS1462" s="418"/>
      <c r="AT1462" s="418"/>
      <c r="AU1462" s="418"/>
      <c r="AV1462" s="418"/>
      <c r="AW1462" s="418"/>
      <c r="AX1462" s="418"/>
      <c r="AY1462" s="418"/>
      <c r="AZ1462" s="418"/>
      <c r="BA1462" s="418"/>
    </row>
    <row r="1463" spans="40:53" ht="15.75" customHeight="1">
      <c r="AN1463" s="418"/>
      <c r="AO1463" s="418"/>
      <c r="AP1463" s="418"/>
      <c r="AQ1463" s="418"/>
      <c r="AR1463" s="418"/>
      <c r="AS1463" s="418"/>
      <c r="AT1463" s="418"/>
      <c r="AU1463" s="418"/>
      <c r="AV1463" s="418"/>
      <c r="AW1463" s="418"/>
      <c r="AX1463" s="418"/>
      <c r="AY1463" s="418"/>
      <c r="AZ1463" s="418"/>
      <c r="BA1463" s="418"/>
    </row>
    <row r="1464" spans="40:53" ht="15.75" customHeight="1">
      <c r="AN1464" s="418"/>
      <c r="AO1464" s="418"/>
      <c r="AP1464" s="418"/>
      <c r="AQ1464" s="418"/>
      <c r="AR1464" s="418"/>
      <c r="AS1464" s="418"/>
      <c r="AT1464" s="418"/>
      <c r="AU1464" s="418"/>
      <c r="AV1464" s="418"/>
      <c r="AW1464" s="418"/>
      <c r="AX1464" s="418"/>
      <c r="AY1464" s="418"/>
      <c r="AZ1464" s="418"/>
      <c r="BA1464" s="418"/>
    </row>
    <row r="1465" spans="40:53" ht="15.75" customHeight="1">
      <c r="AN1465" s="418"/>
      <c r="AO1465" s="418"/>
      <c r="AP1465" s="418"/>
      <c r="AQ1465" s="418"/>
      <c r="AR1465" s="418"/>
      <c r="AS1465" s="418"/>
      <c r="AT1465" s="418"/>
      <c r="AU1465" s="418"/>
      <c r="AV1465" s="418"/>
      <c r="AW1465" s="418"/>
      <c r="AX1465" s="418"/>
      <c r="AY1465" s="418"/>
      <c r="AZ1465" s="418"/>
      <c r="BA1465" s="418"/>
    </row>
    <row r="1466" spans="40:53" ht="15.75" customHeight="1">
      <c r="AN1466" s="418"/>
      <c r="AO1466" s="418"/>
      <c r="AP1466" s="418"/>
      <c r="AQ1466" s="418"/>
      <c r="AR1466" s="418"/>
      <c r="AS1466" s="418"/>
      <c r="AT1466" s="418"/>
      <c r="AU1466" s="418"/>
      <c r="AV1466" s="418"/>
      <c r="AW1466" s="418"/>
      <c r="AX1466" s="418"/>
      <c r="AY1466" s="418"/>
      <c r="AZ1466" s="418"/>
      <c r="BA1466" s="418"/>
    </row>
    <row r="1467" spans="40:53" ht="15.75" customHeight="1">
      <c r="AN1467" s="418"/>
      <c r="AO1467" s="418"/>
      <c r="AP1467" s="418"/>
      <c r="AQ1467" s="418"/>
      <c r="AR1467" s="418"/>
      <c r="AS1467" s="418"/>
      <c r="AT1467" s="418"/>
      <c r="AU1467" s="418"/>
      <c r="AV1467" s="418"/>
      <c r="AW1467" s="418"/>
      <c r="AX1467" s="418"/>
      <c r="AY1467" s="418"/>
      <c r="AZ1467" s="418"/>
      <c r="BA1467" s="418"/>
    </row>
    <row r="1468" spans="40:53" ht="15.75" customHeight="1">
      <c r="AN1468" s="418"/>
      <c r="AO1468" s="418"/>
      <c r="AP1468" s="418"/>
      <c r="AQ1468" s="418"/>
      <c r="AR1468" s="418"/>
      <c r="AS1468" s="418"/>
      <c r="AT1468" s="418"/>
      <c r="AU1468" s="418"/>
      <c r="AV1468" s="418"/>
      <c r="AW1468" s="418"/>
      <c r="AX1468" s="418"/>
      <c r="AY1468" s="418"/>
      <c r="AZ1468" s="418"/>
      <c r="BA1468" s="418"/>
    </row>
    <row r="1469" spans="40:53" ht="15.75" customHeight="1">
      <c r="AN1469" s="418"/>
      <c r="AO1469" s="418"/>
      <c r="AP1469" s="418"/>
      <c r="AQ1469" s="418"/>
      <c r="AR1469" s="418"/>
      <c r="AS1469" s="418"/>
      <c r="AT1469" s="418"/>
      <c r="AU1469" s="418"/>
      <c r="AV1469" s="418"/>
      <c r="AW1469" s="418"/>
      <c r="AX1469" s="418"/>
      <c r="AY1469" s="418"/>
      <c r="AZ1469" s="418"/>
      <c r="BA1469" s="418"/>
    </row>
    <row r="1470" spans="40:53" ht="15.75" customHeight="1">
      <c r="AN1470" s="418"/>
      <c r="AO1470" s="418"/>
      <c r="AP1470" s="418"/>
      <c r="AQ1470" s="418"/>
      <c r="AR1470" s="418"/>
      <c r="AS1470" s="418"/>
      <c r="AT1470" s="418"/>
      <c r="AU1470" s="418"/>
      <c r="AV1470" s="418"/>
      <c r="AW1470" s="418"/>
      <c r="AX1470" s="418"/>
      <c r="AY1470" s="418"/>
      <c r="AZ1470" s="418"/>
      <c r="BA1470" s="418"/>
    </row>
    <row r="1471" spans="40:53" ht="15.75" customHeight="1">
      <c r="AN1471" s="418"/>
      <c r="AO1471" s="418"/>
      <c r="AP1471" s="418"/>
      <c r="AQ1471" s="418"/>
      <c r="AR1471" s="418"/>
      <c r="AS1471" s="418"/>
      <c r="AT1471" s="418"/>
      <c r="AU1471" s="418"/>
      <c r="AV1471" s="418"/>
      <c r="AW1471" s="418"/>
      <c r="AX1471" s="418"/>
      <c r="AY1471" s="418"/>
      <c r="AZ1471" s="418"/>
      <c r="BA1471" s="418"/>
    </row>
    <row r="1472" spans="40:53" ht="15.75" customHeight="1">
      <c r="AN1472" s="418"/>
      <c r="AO1472" s="418"/>
      <c r="AP1472" s="418"/>
      <c r="AQ1472" s="418"/>
      <c r="AR1472" s="418"/>
      <c r="AS1472" s="418"/>
      <c r="AT1472" s="418"/>
      <c r="AU1472" s="418"/>
      <c r="AV1472" s="418"/>
      <c r="AW1472" s="418"/>
      <c r="AX1472" s="418"/>
      <c r="AY1472" s="418"/>
      <c r="AZ1472" s="418"/>
      <c r="BA1472" s="418"/>
    </row>
    <row r="1473" spans="40:53" ht="15.75" customHeight="1">
      <c r="AN1473" s="418"/>
      <c r="AO1473" s="418"/>
      <c r="AP1473" s="418"/>
      <c r="AQ1473" s="418"/>
      <c r="AR1473" s="418"/>
      <c r="AS1473" s="418"/>
      <c r="AT1473" s="418"/>
      <c r="AU1473" s="418"/>
      <c r="AV1473" s="418"/>
      <c r="AW1473" s="418"/>
      <c r="AX1473" s="418"/>
      <c r="AY1473" s="418"/>
      <c r="AZ1473" s="418"/>
      <c r="BA1473" s="418"/>
    </row>
    <row r="1474" spans="40:53" ht="15.75" customHeight="1">
      <c r="AN1474" s="418"/>
      <c r="AO1474" s="418"/>
      <c r="AP1474" s="418"/>
      <c r="AQ1474" s="418"/>
      <c r="AR1474" s="418"/>
      <c r="AS1474" s="418"/>
      <c r="AT1474" s="418"/>
      <c r="AU1474" s="418"/>
      <c r="AV1474" s="418"/>
      <c r="AW1474" s="418"/>
      <c r="AX1474" s="418"/>
      <c r="AY1474" s="418"/>
      <c r="AZ1474" s="418"/>
      <c r="BA1474" s="418"/>
    </row>
    <row r="1475" spans="40:53" ht="15.75" customHeight="1">
      <c r="AN1475" s="418"/>
      <c r="AO1475" s="418"/>
      <c r="AP1475" s="418"/>
      <c r="AQ1475" s="418"/>
      <c r="AR1475" s="418"/>
      <c r="AS1475" s="418"/>
      <c r="AT1475" s="418"/>
      <c r="AU1475" s="418"/>
      <c r="AV1475" s="418"/>
      <c r="AW1475" s="418"/>
      <c r="AX1475" s="418"/>
      <c r="AY1475" s="418"/>
      <c r="AZ1475" s="418"/>
      <c r="BA1475" s="418"/>
    </row>
    <row r="1476" spans="40:53" ht="15.75" customHeight="1">
      <c r="AN1476" s="418"/>
      <c r="AO1476" s="418"/>
      <c r="AP1476" s="418"/>
      <c r="AQ1476" s="418"/>
      <c r="AR1476" s="418"/>
      <c r="AS1476" s="418"/>
      <c r="AT1476" s="418"/>
      <c r="AU1476" s="418"/>
      <c r="AV1476" s="418"/>
      <c r="AW1476" s="418"/>
      <c r="AX1476" s="418"/>
      <c r="AY1476" s="418"/>
      <c r="AZ1476" s="418"/>
      <c r="BA1476" s="418"/>
    </row>
    <row r="1477" spans="40:53" ht="15.75" customHeight="1">
      <c r="AN1477" s="418"/>
      <c r="AO1477" s="418"/>
      <c r="AP1477" s="418"/>
      <c r="AQ1477" s="418"/>
      <c r="AR1477" s="418"/>
      <c r="AS1477" s="418"/>
      <c r="AT1477" s="418"/>
      <c r="AU1477" s="418"/>
      <c r="AV1477" s="418"/>
      <c r="AW1477" s="418"/>
      <c r="AX1477" s="418"/>
      <c r="AY1477" s="418"/>
      <c r="AZ1477" s="418"/>
      <c r="BA1477" s="418"/>
    </row>
    <row r="1478" spans="40:53" ht="15.75" customHeight="1">
      <c r="AN1478" s="418"/>
      <c r="AO1478" s="418"/>
      <c r="AP1478" s="418"/>
      <c r="AQ1478" s="418"/>
      <c r="AR1478" s="418"/>
      <c r="AS1478" s="418"/>
      <c r="AT1478" s="418"/>
      <c r="AU1478" s="418"/>
      <c r="AV1478" s="418"/>
      <c r="AW1478" s="418"/>
      <c r="AX1478" s="418"/>
      <c r="AY1478" s="418"/>
      <c r="AZ1478" s="418"/>
      <c r="BA1478" s="418"/>
    </row>
    <row r="1479" spans="40:53" ht="15.75" customHeight="1">
      <c r="AN1479" s="418"/>
      <c r="AO1479" s="418"/>
      <c r="AP1479" s="418"/>
      <c r="AQ1479" s="418"/>
      <c r="AR1479" s="418"/>
      <c r="AS1479" s="418"/>
      <c r="AT1479" s="418"/>
      <c r="AU1479" s="418"/>
      <c r="AV1479" s="418"/>
      <c r="AW1479" s="418"/>
      <c r="AX1479" s="418"/>
      <c r="AY1479" s="418"/>
      <c r="AZ1479" s="418"/>
      <c r="BA1479" s="418"/>
    </row>
    <row r="1480" spans="40:53" ht="15.75" customHeight="1">
      <c r="AN1480" s="418"/>
      <c r="AO1480" s="418"/>
      <c r="AP1480" s="418"/>
      <c r="AQ1480" s="418"/>
      <c r="AR1480" s="418"/>
      <c r="AS1480" s="418"/>
      <c r="AT1480" s="418"/>
      <c r="AU1480" s="418"/>
      <c r="AV1480" s="418"/>
      <c r="AW1480" s="418"/>
      <c r="AX1480" s="418"/>
      <c r="AY1480" s="418"/>
      <c r="AZ1480" s="418"/>
      <c r="BA1480" s="418"/>
    </row>
    <row r="1481" spans="40:53" ht="15.75" customHeight="1">
      <c r="AN1481" s="418"/>
      <c r="AO1481" s="418"/>
      <c r="AP1481" s="418"/>
      <c r="AQ1481" s="418"/>
      <c r="AR1481" s="418"/>
      <c r="AS1481" s="418"/>
      <c r="AT1481" s="418"/>
      <c r="AU1481" s="418"/>
      <c r="AV1481" s="418"/>
      <c r="AW1481" s="418"/>
      <c r="AX1481" s="418"/>
      <c r="AY1481" s="418"/>
      <c r="AZ1481" s="418"/>
      <c r="BA1481" s="418"/>
    </row>
    <row r="1482" spans="40:53" ht="15.75" customHeight="1">
      <c r="AN1482" s="418"/>
      <c r="AO1482" s="418"/>
      <c r="AP1482" s="418"/>
      <c r="AQ1482" s="418"/>
      <c r="AR1482" s="418"/>
      <c r="AS1482" s="418"/>
      <c r="AT1482" s="418"/>
      <c r="AU1482" s="418"/>
      <c r="AV1482" s="418"/>
      <c r="AW1482" s="418"/>
      <c r="AX1482" s="418"/>
      <c r="AY1482" s="418"/>
      <c r="AZ1482" s="418"/>
      <c r="BA1482" s="418"/>
    </row>
    <row r="1483" spans="40:53" ht="15.75" customHeight="1">
      <c r="AN1483" s="418"/>
      <c r="AO1483" s="418"/>
      <c r="AP1483" s="418"/>
      <c r="AQ1483" s="418"/>
      <c r="AR1483" s="418"/>
      <c r="AS1483" s="418"/>
      <c r="AT1483" s="418"/>
      <c r="AU1483" s="418"/>
      <c r="AV1483" s="418"/>
      <c r="AW1483" s="418"/>
      <c r="AX1483" s="418"/>
      <c r="AY1483" s="418"/>
      <c r="AZ1483" s="418"/>
      <c r="BA1483" s="418"/>
    </row>
    <row r="1484" spans="40:53" ht="15.75" customHeight="1">
      <c r="AN1484" s="418"/>
      <c r="AO1484" s="418"/>
      <c r="AP1484" s="418"/>
      <c r="AQ1484" s="418"/>
      <c r="AR1484" s="418"/>
      <c r="AS1484" s="418"/>
      <c r="AT1484" s="418"/>
      <c r="AU1484" s="418"/>
      <c r="AV1484" s="418"/>
      <c r="AW1484" s="418"/>
      <c r="AX1484" s="418"/>
      <c r="AY1484" s="418"/>
      <c r="AZ1484" s="418"/>
      <c r="BA1484" s="418"/>
    </row>
    <row r="1485" spans="40:53" ht="15.75" customHeight="1">
      <c r="AN1485" s="418"/>
      <c r="AO1485" s="418"/>
      <c r="AP1485" s="418"/>
      <c r="AQ1485" s="418"/>
      <c r="AR1485" s="418"/>
      <c r="AS1485" s="418"/>
      <c r="AT1485" s="418"/>
      <c r="AU1485" s="418"/>
      <c r="AV1485" s="418"/>
      <c r="AW1485" s="418"/>
      <c r="AX1485" s="418"/>
      <c r="AY1485" s="418"/>
      <c r="AZ1485" s="418"/>
      <c r="BA1485" s="418"/>
    </row>
    <row r="1486" spans="40:53" ht="15.75" customHeight="1">
      <c r="AN1486" s="418"/>
      <c r="AO1486" s="418"/>
      <c r="AP1486" s="418"/>
      <c r="AQ1486" s="418"/>
      <c r="AR1486" s="418"/>
      <c r="AS1486" s="418"/>
      <c r="AT1486" s="418"/>
      <c r="AU1486" s="418"/>
      <c r="AV1486" s="418"/>
      <c r="AW1486" s="418"/>
      <c r="AX1486" s="418"/>
      <c r="AY1486" s="418"/>
      <c r="AZ1486" s="418"/>
      <c r="BA1486" s="418"/>
    </row>
    <row r="1487" spans="40:53" ht="15.75" customHeight="1">
      <c r="AN1487" s="418"/>
      <c r="AO1487" s="418"/>
      <c r="AP1487" s="418"/>
      <c r="AQ1487" s="418"/>
      <c r="AR1487" s="418"/>
      <c r="AS1487" s="418"/>
      <c r="AT1487" s="418"/>
      <c r="AU1487" s="418"/>
      <c r="AV1487" s="418"/>
      <c r="AW1487" s="418"/>
      <c r="AX1487" s="418"/>
      <c r="AY1487" s="418"/>
      <c r="AZ1487" s="418"/>
      <c r="BA1487" s="418"/>
    </row>
    <row r="1488" spans="40:53" ht="15.75" customHeight="1">
      <c r="AN1488" s="418"/>
      <c r="AO1488" s="418"/>
      <c r="AP1488" s="418"/>
      <c r="AQ1488" s="418"/>
      <c r="AR1488" s="418"/>
      <c r="AS1488" s="418"/>
      <c r="AT1488" s="418"/>
      <c r="AU1488" s="418"/>
      <c r="AV1488" s="418"/>
      <c r="AW1488" s="418"/>
      <c r="AX1488" s="418"/>
      <c r="AY1488" s="418"/>
      <c r="AZ1488" s="418"/>
      <c r="BA1488" s="418"/>
    </row>
    <row r="1489" spans="40:53" ht="15.75" customHeight="1">
      <c r="AN1489" s="418"/>
      <c r="AO1489" s="418"/>
      <c r="AP1489" s="418"/>
      <c r="AQ1489" s="418"/>
      <c r="AR1489" s="418"/>
      <c r="AS1489" s="418"/>
      <c r="AT1489" s="418"/>
      <c r="AU1489" s="418"/>
      <c r="AV1489" s="418"/>
      <c r="AW1489" s="418"/>
      <c r="AX1489" s="418"/>
      <c r="AY1489" s="418"/>
      <c r="AZ1489" s="418"/>
      <c r="BA1489" s="418"/>
    </row>
    <row r="1490" spans="40:53" ht="15.75" customHeight="1">
      <c r="AN1490" s="418"/>
      <c r="AO1490" s="418"/>
      <c r="AP1490" s="418"/>
      <c r="AQ1490" s="418"/>
      <c r="AR1490" s="418"/>
      <c r="AS1490" s="418"/>
      <c r="AT1490" s="418"/>
      <c r="AU1490" s="418"/>
      <c r="AV1490" s="418"/>
      <c r="AW1490" s="418"/>
      <c r="AX1490" s="418"/>
      <c r="AY1490" s="418"/>
      <c r="AZ1490" s="418"/>
      <c r="BA1490" s="418"/>
    </row>
    <row r="1491" spans="40:53" ht="15.75" customHeight="1">
      <c r="AN1491" s="418"/>
      <c r="AO1491" s="418"/>
      <c r="AP1491" s="418"/>
      <c r="AQ1491" s="418"/>
      <c r="AR1491" s="418"/>
      <c r="AS1491" s="418"/>
      <c r="AT1491" s="418"/>
      <c r="AU1491" s="418"/>
      <c r="AV1491" s="418"/>
      <c r="AW1491" s="418"/>
      <c r="AX1491" s="418"/>
      <c r="AY1491" s="418"/>
      <c r="AZ1491" s="418"/>
      <c r="BA1491" s="418"/>
    </row>
    <row r="1492" spans="40:53" ht="15.75" customHeight="1">
      <c r="AN1492" s="418"/>
      <c r="AO1492" s="418"/>
      <c r="AP1492" s="418"/>
      <c r="AQ1492" s="418"/>
      <c r="AR1492" s="418"/>
      <c r="AS1492" s="418"/>
      <c r="AT1492" s="418"/>
      <c r="AU1492" s="418"/>
      <c r="AV1492" s="418"/>
      <c r="AW1492" s="418"/>
      <c r="AX1492" s="418"/>
      <c r="AY1492" s="418"/>
      <c r="AZ1492" s="418"/>
      <c r="BA1492" s="418"/>
    </row>
    <row r="1493" spans="40:53" ht="15.75" customHeight="1">
      <c r="AN1493" s="418"/>
      <c r="AO1493" s="418"/>
      <c r="AP1493" s="418"/>
      <c r="AQ1493" s="418"/>
      <c r="AR1493" s="418"/>
      <c r="AS1493" s="418"/>
      <c r="AT1493" s="418"/>
      <c r="AU1493" s="418"/>
      <c r="AV1493" s="418"/>
      <c r="AW1493" s="418"/>
      <c r="AX1493" s="418"/>
      <c r="AY1493" s="418"/>
      <c r="AZ1493" s="418"/>
      <c r="BA1493" s="418"/>
    </row>
    <row r="1494" spans="40:53" ht="15.75" customHeight="1">
      <c r="AN1494" s="418"/>
      <c r="AO1494" s="418"/>
      <c r="AP1494" s="418"/>
      <c r="AQ1494" s="418"/>
      <c r="AR1494" s="418"/>
      <c r="AS1494" s="418"/>
      <c r="AT1494" s="418"/>
      <c r="AU1494" s="418"/>
      <c r="AV1494" s="418"/>
      <c r="AW1494" s="418"/>
      <c r="AX1494" s="418"/>
      <c r="AY1494" s="418"/>
      <c r="AZ1494" s="418"/>
      <c r="BA1494" s="418"/>
    </row>
    <row r="1495" spans="40:53" ht="15.75" customHeight="1">
      <c r="AN1495" s="418"/>
      <c r="AO1495" s="418"/>
      <c r="AP1495" s="418"/>
      <c r="AQ1495" s="418"/>
      <c r="AR1495" s="418"/>
      <c r="AS1495" s="418"/>
      <c r="AT1495" s="418"/>
      <c r="AU1495" s="418"/>
      <c r="AV1495" s="418"/>
      <c r="AW1495" s="418"/>
      <c r="AX1495" s="418"/>
      <c r="AY1495" s="418"/>
      <c r="AZ1495" s="418"/>
      <c r="BA1495" s="418"/>
    </row>
    <row r="1496" spans="40:53" ht="15.75" customHeight="1">
      <c r="AN1496" s="418"/>
      <c r="AO1496" s="418"/>
      <c r="AP1496" s="418"/>
      <c r="AQ1496" s="418"/>
      <c r="AR1496" s="418"/>
      <c r="AS1496" s="418"/>
      <c r="AT1496" s="418"/>
      <c r="AU1496" s="418"/>
      <c r="AV1496" s="418"/>
      <c r="AW1496" s="418"/>
      <c r="AX1496" s="418"/>
      <c r="AY1496" s="418"/>
      <c r="AZ1496" s="418"/>
      <c r="BA1496" s="418"/>
    </row>
    <row r="1497" spans="40:53" ht="15.75" customHeight="1">
      <c r="AN1497" s="418"/>
      <c r="AO1497" s="418"/>
      <c r="AP1497" s="418"/>
      <c r="AQ1497" s="418"/>
      <c r="AR1497" s="418"/>
      <c r="AS1497" s="418"/>
      <c r="AT1497" s="418"/>
      <c r="AU1497" s="418"/>
      <c r="AV1497" s="418"/>
      <c r="AW1497" s="418"/>
      <c r="AX1497" s="418"/>
      <c r="AY1497" s="418"/>
      <c r="AZ1497" s="418"/>
      <c r="BA1497" s="418"/>
    </row>
    <row r="1498" spans="40:53" ht="15.75" customHeight="1">
      <c r="AN1498" s="418"/>
      <c r="AO1498" s="418"/>
      <c r="AP1498" s="418"/>
      <c r="AQ1498" s="418"/>
      <c r="AR1498" s="418"/>
      <c r="AS1498" s="418"/>
      <c r="AT1498" s="418"/>
      <c r="AU1498" s="418"/>
      <c r="AV1498" s="418"/>
      <c r="AW1498" s="418"/>
      <c r="AX1498" s="418"/>
      <c r="AY1498" s="418"/>
      <c r="AZ1498" s="418"/>
      <c r="BA1498" s="418"/>
    </row>
    <row r="1499" spans="40:53" ht="15.75" customHeight="1">
      <c r="AN1499" s="418"/>
      <c r="AO1499" s="418"/>
      <c r="AP1499" s="418"/>
      <c r="AQ1499" s="418"/>
      <c r="AR1499" s="418"/>
      <c r="AS1499" s="418"/>
      <c r="AT1499" s="418"/>
      <c r="AU1499" s="418"/>
      <c r="AV1499" s="418"/>
      <c r="AW1499" s="418"/>
      <c r="AX1499" s="418"/>
      <c r="AY1499" s="418"/>
      <c r="AZ1499" s="418"/>
      <c r="BA1499" s="418"/>
    </row>
    <row r="1500" spans="40:53" ht="15.75" customHeight="1">
      <c r="AN1500" s="418"/>
      <c r="AO1500" s="418"/>
      <c r="AP1500" s="418"/>
      <c r="AQ1500" s="418"/>
      <c r="AR1500" s="418"/>
      <c r="AS1500" s="418"/>
      <c r="AT1500" s="418"/>
      <c r="AU1500" s="418"/>
      <c r="AV1500" s="418"/>
      <c r="AW1500" s="418"/>
      <c r="AX1500" s="418"/>
      <c r="AY1500" s="418"/>
      <c r="AZ1500" s="418"/>
      <c r="BA1500" s="418"/>
    </row>
    <row r="1501" spans="40:53" ht="15.75" customHeight="1">
      <c r="AN1501" s="418"/>
      <c r="AO1501" s="418"/>
      <c r="AP1501" s="418"/>
      <c r="AQ1501" s="418"/>
      <c r="AR1501" s="418"/>
      <c r="AS1501" s="418"/>
      <c r="AT1501" s="418"/>
      <c r="AU1501" s="418"/>
      <c r="AV1501" s="418"/>
      <c r="AW1501" s="418"/>
      <c r="AX1501" s="418"/>
      <c r="AY1501" s="418"/>
      <c r="AZ1501" s="418"/>
      <c r="BA1501" s="418"/>
    </row>
    <row r="1502" spans="40:53" ht="15.75" customHeight="1">
      <c r="AN1502" s="418"/>
      <c r="AO1502" s="418"/>
      <c r="AP1502" s="418"/>
      <c r="AQ1502" s="418"/>
      <c r="AR1502" s="418"/>
      <c r="AS1502" s="418"/>
      <c r="AT1502" s="418"/>
      <c r="AU1502" s="418"/>
      <c r="AV1502" s="418"/>
      <c r="AW1502" s="418"/>
      <c r="AX1502" s="418"/>
      <c r="AY1502" s="418"/>
      <c r="AZ1502" s="418"/>
      <c r="BA1502" s="418"/>
    </row>
    <row r="1503" spans="40:53" ht="15.75" customHeight="1">
      <c r="AN1503" s="418"/>
      <c r="AO1503" s="418"/>
      <c r="AP1503" s="418"/>
      <c r="AQ1503" s="418"/>
      <c r="AR1503" s="418"/>
      <c r="AS1503" s="418"/>
      <c r="AT1503" s="418"/>
      <c r="AU1503" s="418"/>
      <c r="AV1503" s="418"/>
      <c r="AW1503" s="418"/>
      <c r="AX1503" s="418"/>
      <c r="AY1503" s="418"/>
      <c r="AZ1503" s="418"/>
      <c r="BA1503" s="418"/>
    </row>
    <row r="1504" spans="40:53" ht="15.75" customHeight="1">
      <c r="AN1504" s="418"/>
      <c r="AO1504" s="418"/>
      <c r="AP1504" s="418"/>
      <c r="AQ1504" s="418"/>
      <c r="AR1504" s="418"/>
      <c r="AS1504" s="418"/>
      <c r="AT1504" s="418"/>
      <c r="AU1504" s="418"/>
      <c r="AV1504" s="418"/>
      <c r="AW1504" s="418"/>
      <c r="AX1504" s="418"/>
      <c r="AY1504" s="418"/>
      <c r="AZ1504" s="418"/>
      <c r="BA1504" s="418"/>
    </row>
    <row r="1505" spans="40:53" ht="15.75" customHeight="1">
      <c r="AN1505" s="418"/>
      <c r="AO1505" s="418"/>
      <c r="AP1505" s="418"/>
      <c r="AQ1505" s="418"/>
      <c r="AR1505" s="418"/>
      <c r="AS1505" s="418"/>
      <c r="AT1505" s="418"/>
      <c r="AU1505" s="418"/>
      <c r="AV1505" s="418"/>
      <c r="AW1505" s="418"/>
      <c r="AX1505" s="418"/>
      <c r="AY1505" s="418"/>
      <c r="AZ1505" s="418"/>
      <c r="BA1505" s="418"/>
    </row>
    <row r="1506" spans="40:53" ht="15.75" customHeight="1">
      <c r="AN1506" s="418"/>
      <c r="AO1506" s="418"/>
      <c r="AP1506" s="418"/>
      <c r="AQ1506" s="418"/>
      <c r="AR1506" s="418"/>
      <c r="AS1506" s="418"/>
      <c r="AT1506" s="418"/>
      <c r="AU1506" s="418"/>
      <c r="AV1506" s="418"/>
      <c r="AW1506" s="418"/>
      <c r="AX1506" s="418"/>
      <c r="AY1506" s="418"/>
      <c r="AZ1506" s="418"/>
      <c r="BA1506" s="418"/>
    </row>
    <row r="1507" spans="40:53" ht="15.75" customHeight="1">
      <c r="AN1507" s="418"/>
      <c r="AO1507" s="418"/>
      <c r="AP1507" s="418"/>
      <c r="AQ1507" s="418"/>
      <c r="AR1507" s="418"/>
      <c r="AS1507" s="418"/>
      <c r="AT1507" s="418"/>
      <c r="AU1507" s="418"/>
      <c r="AV1507" s="418"/>
      <c r="AW1507" s="418"/>
      <c r="AX1507" s="418"/>
      <c r="AY1507" s="418"/>
      <c r="AZ1507" s="418"/>
      <c r="BA1507" s="418"/>
    </row>
    <row r="1508" spans="40:53" ht="15.75" customHeight="1">
      <c r="AN1508" s="418"/>
      <c r="AO1508" s="418"/>
      <c r="AP1508" s="418"/>
      <c r="AQ1508" s="418"/>
      <c r="AR1508" s="418"/>
      <c r="AS1508" s="418"/>
      <c r="AT1508" s="418"/>
      <c r="AU1508" s="418"/>
      <c r="AV1508" s="418"/>
      <c r="AW1508" s="418"/>
      <c r="AX1508" s="418"/>
      <c r="AY1508" s="418"/>
      <c r="AZ1508" s="418"/>
      <c r="BA1508" s="418"/>
    </row>
    <row r="1509" spans="40:53" ht="15.75" customHeight="1">
      <c r="AN1509" s="418"/>
      <c r="AO1509" s="418"/>
      <c r="AP1509" s="418"/>
      <c r="AQ1509" s="418"/>
      <c r="AR1509" s="418"/>
      <c r="AS1509" s="418"/>
      <c r="AT1509" s="418"/>
      <c r="AU1509" s="418"/>
      <c r="AV1509" s="418"/>
      <c r="AW1509" s="418"/>
      <c r="AX1509" s="418"/>
      <c r="AY1509" s="418"/>
      <c r="AZ1509" s="418"/>
      <c r="BA1509" s="418"/>
    </row>
    <row r="1510" spans="40:53" ht="15.75" customHeight="1">
      <c r="AN1510" s="418"/>
      <c r="AO1510" s="418"/>
      <c r="AP1510" s="418"/>
      <c r="AQ1510" s="418"/>
      <c r="AR1510" s="418"/>
      <c r="AS1510" s="418"/>
      <c r="AT1510" s="418"/>
      <c r="AU1510" s="418"/>
      <c r="AV1510" s="418"/>
      <c r="AW1510" s="418"/>
      <c r="AX1510" s="418"/>
      <c r="AY1510" s="418"/>
      <c r="AZ1510" s="418"/>
      <c r="BA1510" s="418"/>
    </row>
    <row r="1511" spans="40:53" ht="15.75" customHeight="1">
      <c r="AN1511" s="418"/>
      <c r="AO1511" s="418"/>
      <c r="AP1511" s="418"/>
      <c r="AQ1511" s="418"/>
      <c r="AR1511" s="418"/>
      <c r="AS1511" s="418"/>
      <c r="AT1511" s="418"/>
      <c r="AU1511" s="418"/>
      <c r="AV1511" s="418"/>
      <c r="AW1511" s="418"/>
      <c r="AX1511" s="418"/>
      <c r="AY1511" s="418"/>
      <c r="AZ1511" s="418"/>
      <c r="BA1511" s="418"/>
    </row>
    <row r="1512" spans="40:53" ht="15.75" customHeight="1">
      <c r="AN1512" s="418"/>
      <c r="AO1512" s="418"/>
      <c r="AP1512" s="418"/>
      <c r="AQ1512" s="418"/>
      <c r="AR1512" s="418"/>
      <c r="AS1512" s="418"/>
      <c r="AT1512" s="418"/>
      <c r="AU1512" s="418"/>
      <c r="AV1512" s="418"/>
      <c r="AW1512" s="418"/>
      <c r="AX1512" s="418"/>
      <c r="AY1512" s="418"/>
      <c r="AZ1512" s="418"/>
      <c r="BA1512" s="418"/>
    </row>
    <row r="1513" spans="40:53" ht="15.75" customHeight="1">
      <c r="AN1513" s="418"/>
      <c r="AO1513" s="418"/>
      <c r="AP1513" s="418"/>
      <c r="AQ1513" s="418"/>
      <c r="AR1513" s="418"/>
      <c r="AS1513" s="418"/>
      <c r="AT1513" s="418"/>
      <c r="AU1513" s="418"/>
      <c r="AV1513" s="418"/>
      <c r="AW1513" s="418"/>
      <c r="AX1513" s="418"/>
      <c r="AY1513" s="418"/>
      <c r="AZ1513" s="418"/>
      <c r="BA1513" s="418"/>
    </row>
    <row r="1514" spans="40:53" ht="15.75" customHeight="1">
      <c r="AN1514" s="418"/>
      <c r="AO1514" s="418"/>
      <c r="AP1514" s="418"/>
      <c r="AQ1514" s="418"/>
      <c r="AR1514" s="418"/>
      <c r="AS1514" s="418"/>
      <c r="AT1514" s="418"/>
      <c r="AU1514" s="418"/>
      <c r="AV1514" s="418"/>
      <c r="AW1514" s="418"/>
      <c r="AX1514" s="418"/>
      <c r="AY1514" s="418"/>
      <c r="AZ1514" s="418"/>
      <c r="BA1514" s="418"/>
    </row>
    <row r="1515" spans="40:53" ht="15.75" customHeight="1">
      <c r="AN1515" s="418"/>
      <c r="AO1515" s="418"/>
      <c r="AP1515" s="418"/>
      <c r="AQ1515" s="418"/>
      <c r="AR1515" s="418"/>
      <c r="AS1515" s="418"/>
      <c r="AT1515" s="418"/>
      <c r="AU1515" s="418"/>
      <c r="AV1515" s="418"/>
      <c r="AW1515" s="418"/>
      <c r="AX1515" s="418"/>
      <c r="AY1515" s="418"/>
      <c r="AZ1515" s="418"/>
      <c r="BA1515" s="418"/>
    </row>
    <row r="1516" spans="40:53" ht="15.75" customHeight="1">
      <c r="AN1516" s="418"/>
      <c r="AO1516" s="418"/>
      <c r="AP1516" s="418"/>
      <c r="AQ1516" s="418"/>
      <c r="AR1516" s="418"/>
      <c r="AS1516" s="418"/>
      <c r="AT1516" s="418"/>
      <c r="AU1516" s="418"/>
      <c r="AV1516" s="418"/>
      <c r="AW1516" s="418"/>
      <c r="AX1516" s="418"/>
      <c r="AY1516" s="418"/>
      <c r="AZ1516" s="418"/>
      <c r="BA1516" s="418"/>
    </row>
    <row r="1517" spans="40:53" ht="15.75" customHeight="1">
      <c r="AN1517" s="418"/>
      <c r="AO1517" s="418"/>
      <c r="AP1517" s="418"/>
      <c r="AQ1517" s="418"/>
      <c r="AR1517" s="418"/>
      <c r="AS1517" s="418"/>
      <c r="AT1517" s="418"/>
      <c r="AU1517" s="418"/>
      <c r="AV1517" s="418"/>
      <c r="AW1517" s="418"/>
      <c r="AX1517" s="418"/>
      <c r="AY1517" s="418"/>
      <c r="AZ1517" s="418"/>
      <c r="BA1517" s="418"/>
    </row>
    <row r="1518" spans="40:53" ht="15.75" customHeight="1">
      <c r="AN1518" s="418"/>
      <c r="AO1518" s="418"/>
      <c r="AP1518" s="418"/>
      <c r="AQ1518" s="418"/>
      <c r="AR1518" s="418"/>
      <c r="AS1518" s="418"/>
      <c r="AT1518" s="418"/>
      <c r="AU1518" s="418"/>
      <c r="AV1518" s="418"/>
      <c r="AW1518" s="418"/>
      <c r="AX1518" s="418"/>
      <c r="AY1518" s="418"/>
      <c r="AZ1518" s="418"/>
      <c r="BA1518" s="418"/>
    </row>
    <row r="1519" spans="40:53" ht="15.75" customHeight="1">
      <c r="AN1519" s="418"/>
      <c r="AO1519" s="418"/>
      <c r="AP1519" s="418"/>
      <c r="AQ1519" s="418"/>
      <c r="AR1519" s="418"/>
      <c r="AS1519" s="418"/>
      <c r="AT1519" s="418"/>
      <c r="AU1519" s="418"/>
      <c r="AV1519" s="418"/>
      <c r="AW1519" s="418"/>
      <c r="AX1519" s="418"/>
      <c r="AY1519" s="418"/>
      <c r="AZ1519" s="418"/>
      <c r="BA1519" s="418"/>
    </row>
    <row r="1520" spans="40:53" ht="15.75" customHeight="1">
      <c r="AN1520" s="418"/>
      <c r="AO1520" s="418"/>
      <c r="AP1520" s="418"/>
      <c r="AQ1520" s="418"/>
      <c r="AR1520" s="418"/>
      <c r="AS1520" s="418"/>
      <c r="AT1520" s="418"/>
      <c r="AU1520" s="418"/>
      <c r="AV1520" s="418"/>
      <c r="AW1520" s="418"/>
      <c r="AX1520" s="418"/>
      <c r="AY1520" s="418"/>
      <c r="AZ1520" s="418"/>
      <c r="BA1520" s="418"/>
    </row>
    <row r="1521" spans="40:53" ht="15.75" customHeight="1">
      <c r="AN1521" s="418"/>
      <c r="AO1521" s="418"/>
      <c r="AP1521" s="418"/>
      <c r="AQ1521" s="418"/>
      <c r="AR1521" s="418"/>
      <c r="AS1521" s="418"/>
      <c r="AT1521" s="418"/>
      <c r="AU1521" s="418"/>
      <c r="AV1521" s="418"/>
      <c r="AW1521" s="418"/>
      <c r="AX1521" s="418"/>
      <c r="AY1521" s="418"/>
      <c r="AZ1521" s="418"/>
      <c r="BA1521" s="418"/>
    </row>
    <row r="1522" spans="40:53" ht="15.75" customHeight="1">
      <c r="AN1522" s="418"/>
      <c r="AO1522" s="418"/>
      <c r="AP1522" s="418"/>
      <c r="AQ1522" s="418"/>
      <c r="AR1522" s="418"/>
      <c r="AS1522" s="418"/>
      <c r="AT1522" s="418"/>
      <c r="AU1522" s="418"/>
      <c r="AV1522" s="418"/>
      <c r="AW1522" s="418"/>
      <c r="AX1522" s="418"/>
      <c r="AY1522" s="418"/>
      <c r="AZ1522" s="418"/>
      <c r="BA1522" s="418"/>
    </row>
    <row r="1523" spans="40:53" ht="15.75" customHeight="1">
      <c r="AN1523" s="418"/>
      <c r="AO1523" s="418"/>
      <c r="AP1523" s="418"/>
      <c r="AQ1523" s="418"/>
      <c r="AR1523" s="418"/>
      <c r="AS1523" s="418"/>
      <c r="AT1523" s="418"/>
      <c r="AU1523" s="418"/>
      <c r="AV1523" s="418"/>
      <c r="AW1523" s="418"/>
      <c r="AX1523" s="418"/>
      <c r="AY1523" s="418"/>
      <c r="AZ1523" s="418"/>
      <c r="BA1523" s="418"/>
    </row>
    <row r="1524" spans="40:53" ht="15.75" customHeight="1">
      <c r="AN1524" s="418"/>
      <c r="AO1524" s="418"/>
      <c r="AP1524" s="418"/>
      <c r="AQ1524" s="418"/>
      <c r="AR1524" s="418"/>
      <c r="AS1524" s="418"/>
      <c r="AT1524" s="418"/>
      <c r="AU1524" s="418"/>
      <c r="AV1524" s="418"/>
      <c r="AW1524" s="418"/>
      <c r="AX1524" s="418"/>
      <c r="AY1524" s="418"/>
      <c r="AZ1524" s="418"/>
      <c r="BA1524" s="418"/>
    </row>
    <row r="1525" spans="40:53" ht="15.75" customHeight="1">
      <c r="AN1525" s="418"/>
      <c r="AO1525" s="418"/>
      <c r="AP1525" s="418"/>
      <c r="AQ1525" s="418"/>
      <c r="AR1525" s="418"/>
      <c r="AS1525" s="418"/>
      <c r="AT1525" s="418"/>
      <c r="AU1525" s="418"/>
      <c r="AV1525" s="418"/>
      <c r="AW1525" s="418"/>
      <c r="AX1525" s="418"/>
      <c r="AY1525" s="418"/>
      <c r="AZ1525" s="418"/>
      <c r="BA1525" s="418"/>
    </row>
    <row r="1526" spans="40:53" ht="15.75" customHeight="1">
      <c r="AN1526" s="418"/>
      <c r="AO1526" s="418"/>
      <c r="AP1526" s="418"/>
      <c r="AQ1526" s="418"/>
      <c r="AR1526" s="418"/>
      <c r="AS1526" s="418"/>
      <c r="AT1526" s="418"/>
      <c r="AU1526" s="418"/>
      <c r="AV1526" s="418"/>
      <c r="AW1526" s="418"/>
      <c r="AX1526" s="418"/>
      <c r="AY1526" s="418"/>
      <c r="AZ1526" s="418"/>
      <c r="BA1526" s="418"/>
    </row>
    <row r="1527" spans="40:53" ht="15.75" customHeight="1">
      <c r="AN1527" s="418"/>
      <c r="AO1527" s="418"/>
      <c r="AP1527" s="418"/>
      <c r="AQ1527" s="418"/>
      <c r="AR1527" s="418"/>
      <c r="AS1527" s="418"/>
      <c r="AT1527" s="418"/>
      <c r="AU1527" s="418"/>
      <c r="AV1527" s="418"/>
      <c r="AW1527" s="418"/>
      <c r="AX1527" s="418"/>
      <c r="AY1527" s="418"/>
      <c r="AZ1527" s="418"/>
      <c r="BA1527" s="418"/>
    </row>
    <row r="1528" spans="40:53" ht="15.75" customHeight="1">
      <c r="AN1528" s="418"/>
      <c r="AO1528" s="418"/>
      <c r="AP1528" s="418"/>
      <c r="AQ1528" s="418"/>
      <c r="AR1528" s="418"/>
      <c r="AS1528" s="418"/>
      <c r="AT1528" s="418"/>
      <c r="AU1528" s="418"/>
      <c r="AV1528" s="418"/>
      <c r="AW1528" s="418"/>
      <c r="AX1528" s="418"/>
      <c r="AY1528" s="418"/>
      <c r="AZ1528" s="418"/>
      <c r="BA1528" s="418"/>
    </row>
    <row r="1529" spans="40:53" ht="15.75" customHeight="1">
      <c r="AN1529" s="418"/>
      <c r="AO1529" s="418"/>
      <c r="AP1529" s="418"/>
      <c r="AQ1529" s="418"/>
      <c r="AR1529" s="418"/>
      <c r="AS1529" s="418"/>
      <c r="AT1529" s="418"/>
      <c r="AU1529" s="418"/>
      <c r="AV1529" s="418"/>
      <c r="AW1529" s="418"/>
      <c r="AX1529" s="418"/>
      <c r="AY1529" s="418"/>
      <c r="AZ1529" s="418"/>
      <c r="BA1529" s="418"/>
    </row>
    <row r="1530" spans="40:53" ht="15.75" customHeight="1">
      <c r="AN1530" s="418"/>
      <c r="AO1530" s="418"/>
      <c r="AP1530" s="418"/>
      <c r="AQ1530" s="418"/>
      <c r="AR1530" s="418"/>
      <c r="AS1530" s="418"/>
      <c r="AT1530" s="418"/>
      <c r="AU1530" s="418"/>
      <c r="AV1530" s="418"/>
      <c r="AW1530" s="418"/>
      <c r="AX1530" s="418"/>
      <c r="AY1530" s="418"/>
      <c r="AZ1530" s="418"/>
      <c r="BA1530" s="418"/>
    </row>
    <row r="1531" spans="40:53" ht="15.75" customHeight="1">
      <c r="AN1531" s="418"/>
      <c r="AO1531" s="418"/>
      <c r="AP1531" s="418"/>
      <c r="AQ1531" s="418"/>
      <c r="AR1531" s="418"/>
      <c r="AS1531" s="418"/>
      <c r="AT1531" s="418"/>
      <c r="AU1531" s="418"/>
      <c r="AV1531" s="418"/>
      <c r="AW1531" s="418"/>
      <c r="AX1531" s="418"/>
      <c r="AY1531" s="418"/>
      <c r="AZ1531" s="418"/>
      <c r="BA1531" s="418"/>
    </row>
    <row r="1532" spans="40:53" ht="15.75" customHeight="1">
      <c r="AN1532" s="418"/>
      <c r="AO1532" s="418"/>
      <c r="AP1532" s="418"/>
      <c r="AQ1532" s="418"/>
      <c r="AR1532" s="418"/>
      <c r="AS1532" s="418"/>
      <c r="AT1532" s="418"/>
      <c r="AU1532" s="418"/>
      <c r="AV1532" s="418"/>
      <c r="AW1532" s="418"/>
      <c r="AX1532" s="418"/>
      <c r="AY1532" s="418"/>
      <c r="AZ1532" s="418"/>
      <c r="BA1532" s="418"/>
    </row>
    <row r="1533" spans="40:53" ht="15.75" customHeight="1">
      <c r="AN1533" s="418"/>
      <c r="AO1533" s="418"/>
      <c r="AP1533" s="418"/>
      <c r="AQ1533" s="418"/>
      <c r="AR1533" s="418"/>
      <c r="AS1533" s="418"/>
      <c r="AT1533" s="418"/>
      <c r="AU1533" s="418"/>
      <c r="AV1533" s="418"/>
      <c r="AW1533" s="418"/>
      <c r="AX1533" s="418"/>
      <c r="AY1533" s="418"/>
      <c r="AZ1533" s="418"/>
      <c r="BA1533" s="418"/>
    </row>
    <row r="1534" spans="40:53" ht="15.75" customHeight="1">
      <c r="AN1534" s="418"/>
      <c r="AO1534" s="418"/>
      <c r="AP1534" s="418"/>
      <c r="AQ1534" s="418"/>
      <c r="AR1534" s="418"/>
      <c r="AS1534" s="418"/>
      <c r="AT1534" s="418"/>
      <c r="AU1534" s="418"/>
      <c r="AV1534" s="418"/>
      <c r="AW1534" s="418"/>
      <c r="AX1534" s="418"/>
      <c r="AY1534" s="418"/>
      <c r="AZ1534" s="418"/>
      <c r="BA1534" s="418"/>
    </row>
    <row r="1535" spans="40:53" ht="15.75" customHeight="1">
      <c r="AN1535" s="418"/>
      <c r="AO1535" s="418"/>
      <c r="AP1535" s="418"/>
      <c r="AQ1535" s="418"/>
      <c r="AR1535" s="418"/>
      <c r="AS1535" s="418"/>
      <c r="AT1535" s="418"/>
      <c r="AU1535" s="418"/>
      <c r="AV1535" s="418"/>
      <c r="AW1535" s="418"/>
      <c r="AX1535" s="418"/>
      <c r="AY1535" s="418"/>
      <c r="AZ1535" s="418"/>
      <c r="BA1535" s="418"/>
    </row>
    <row r="1536" spans="40:53" ht="15.75" customHeight="1">
      <c r="AN1536" s="418"/>
      <c r="AO1536" s="418"/>
      <c r="AP1536" s="418"/>
      <c r="AQ1536" s="418"/>
      <c r="AR1536" s="418"/>
      <c r="AS1536" s="418"/>
      <c r="AT1536" s="418"/>
      <c r="AU1536" s="418"/>
      <c r="AV1536" s="418"/>
      <c r="AW1536" s="418"/>
      <c r="AX1536" s="418"/>
      <c r="AY1536" s="418"/>
      <c r="AZ1536" s="418"/>
      <c r="BA1536" s="418"/>
    </row>
    <row r="1537" spans="40:53" ht="15.75" customHeight="1">
      <c r="AN1537" s="418"/>
      <c r="AO1537" s="418"/>
      <c r="AP1537" s="418"/>
      <c r="AQ1537" s="418"/>
      <c r="AR1537" s="418"/>
      <c r="AS1537" s="418"/>
      <c r="AT1537" s="418"/>
      <c r="AU1537" s="418"/>
      <c r="AV1537" s="418"/>
      <c r="AW1537" s="418"/>
      <c r="AX1537" s="418"/>
      <c r="AY1537" s="418"/>
      <c r="AZ1537" s="418"/>
      <c r="BA1537" s="418"/>
    </row>
    <row r="1538" spans="40:53" ht="15.75" customHeight="1">
      <c r="AN1538" s="418"/>
      <c r="AO1538" s="418"/>
      <c r="AP1538" s="418"/>
      <c r="AQ1538" s="418"/>
      <c r="AR1538" s="418"/>
      <c r="AS1538" s="418"/>
      <c r="AT1538" s="418"/>
      <c r="AU1538" s="418"/>
      <c r="AV1538" s="418"/>
      <c r="AW1538" s="418"/>
      <c r="AX1538" s="418"/>
      <c r="AY1538" s="418"/>
      <c r="AZ1538" s="418"/>
      <c r="BA1538" s="418"/>
    </row>
    <row r="1539" spans="40:53" ht="15.75" customHeight="1">
      <c r="AN1539" s="418"/>
      <c r="AO1539" s="418"/>
      <c r="AP1539" s="418"/>
      <c r="AQ1539" s="418"/>
      <c r="AR1539" s="418"/>
      <c r="AS1539" s="418"/>
      <c r="AT1539" s="418"/>
      <c r="AU1539" s="418"/>
      <c r="AV1539" s="418"/>
      <c r="AW1539" s="418"/>
      <c r="AX1539" s="418"/>
      <c r="AY1539" s="418"/>
      <c r="AZ1539" s="418"/>
      <c r="BA1539" s="418"/>
    </row>
    <row r="1540" spans="40:53" ht="15.75" customHeight="1">
      <c r="AN1540" s="418"/>
      <c r="AO1540" s="418"/>
      <c r="AP1540" s="418"/>
      <c r="AQ1540" s="418"/>
      <c r="AR1540" s="418"/>
      <c r="AS1540" s="418"/>
      <c r="AT1540" s="418"/>
      <c r="AU1540" s="418"/>
      <c r="AV1540" s="418"/>
      <c r="AW1540" s="418"/>
      <c r="AX1540" s="418"/>
      <c r="AY1540" s="418"/>
      <c r="AZ1540" s="418"/>
      <c r="BA1540" s="418"/>
    </row>
    <row r="1541" spans="40:53" ht="15.75" customHeight="1">
      <c r="AN1541" s="418"/>
      <c r="AO1541" s="418"/>
      <c r="AP1541" s="418"/>
      <c r="AQ1541" s="418"/>
      <c r="AR1541" s="418"/>
      <c r="AS1541" s="418"/>
      <c r="AT1541" s="418"/>
      <c r="AU1541" s="418"/>
      <c r="AV1541" s="418"/>
      <c r="AW1541" s="418"/>
      <c r="AX1541" s="418"/>
      <c r="AY1541" s="418"/>
      <c r="AZ1541" s="418"/>
      <c r="BA1541" s="418"/>
    </row>
    <row r="1542" spans="40:53" ht="15.75" customHeight="1">
      <c r="AN1542" s="418"/>
      <c r="AO1542" s="418"/>
      <c r="AP1542" s="418"/>
      <c r="AQ1542" s="418"/>
      <c r="AR1542" s="418"/>
      <c r="AS1542" s="418"/>
      <c r="AT1542" s="418"/>
      <c r="AU1542" s="418"/>
      <c r="AV1542" s="418"/>
      <c r="AW1542" s="418"/>
      <c r="AX1542" s="418"/>
      <c r="AY1542" s="418"/>
      <c r="AZ1542" s="418"/>
      <c r="BA1542" s="418"/>
    </row>
    <row r="1543" spans="40:53" ht="15.75" customHeight="1">
      <c r="AN1543" s="418"/>
      <c r="AO1543" s="418"/>
      <c r="AP1543" s="418"/>
      <c r="AQ1543" s="418"/>
      <c r="AR1543" s="418"/>
      <c r="AS1543" s="418"/>
      <c r="AT1543" s="418"/>
      <c r="AU1543" s="418"/>
      <c r="AV1543" s="418"/>
      <c r="AW1543" s="418"/>
      <c r="AX1543" s="418"/>
      <c r="AY1543" s="418"/>
      <c r="AZ1543" s="418"/>
      <c r="BA1543" s="418"/>
    </row>
    <row r="1544" spans="40:53" ht="15.75" customHeight="1">
      <c r="AN1544" s="418"/>
      <c r="AO1544" s="418"/>
      <c r="AP1544" s="418"/>
      <c r="AQ1544" s="418"/>
      <c r="AR1544" s="418"/>
      <c r="AS1544" s="418"/>
      <c r="AT1544" s="418"/>
      <c r="AU1544" s="418"/>
      <c r="AV1544" s="418"/>
      <c r="AW1544" s="418"/>
      <c r="AX1544" s="418"/>
      <c r="AY1544" s="418"/>
      <c r="AZ1544" s="418"/>
      <c r="BA1544" s="418"/>
    </row>
    <row r="1545" spans="40:53" ht="15.75" customHeight="1">
      <c r="AN1545" s="418"/>
      <c r="AO1545" s="418"/>
      <c r="AP1545" s="418"/>
      <c r="AQ1545" s="418"/>
      <c r="AR1545" s="418"/>
      <c r="AS1545" s="418"/>
      <c r="AT1545" s="418"/>
      <c r="AU1545" s="418"/>
      <c r="AV1545" s="418"/>
      <c r="AW1545" s="418"/>
      <c r="AX1545" s="418"/>
      <c r="AY1545" s="418"/>
      <c r="AZ1545" s="418"/>
      <c r="BA1545" s="418"/>
    </row>
    <row r="1546" spans="40:53" ht="15.75" customHeight="1">
      <c r="AN1546" s="418"/>
      <c r="AO1546" s="418"/>
      <c r="AP1546" s="418"/>
      <c r="AQ1546" s="418"/>
      <c r="AR1546" s="418"/>
      <c r="AS1546" s="418"/>
      <c r="AT1546" s="418"/>
      <c r="AU1546" s="418"/>
      <c r="AV1546" s="418"/>
      <c r="AW1546" s="418"/>
      <c r="AX1546" s="418"/>
      <c r="AY1546" s="418"/>
      <c r="AZ1546" s="418"/>
      <c r="BA1546" s="418"/>
    </row>
    <row r="1547" spans="40:53" ht="15.75" customHeight="1">
      <c r="AN1547" s="418"/>
      <c r="AO1547" s="418"/>
      <c r="AP1547" s="418"/>
      <c r="AQ1547" s="418"/>
      <c r="AR1547" s="418"/>
      <c r="AS1547" s="418"/>
      <c r="AT1547" s="418"/>
      <c r="AU1547" s="418"/>
      <c r="AV1547" s="418"/>
      <c r="AW1547" s="418"/>
      <c r="AX1547" s="418"/>
      <c r="AY1547" s="418"/>
      <c r="AZ1547" s="418"/>
      <c r="BA1547" s="418"/>
    </row>
    <row r="1548" spans="40:53" ht="15.75" customHeight="1">
      <c r="AN1548" s="418"/>
      <c r="AO1548" s="418"/>
      <c r="AP1548" s="418"/>
      <c r="AQ1548" s="418"/>
      <c r="AR1548" s="418"/>
      <c r="AS1548" s="418"/>
      <c r="AT1548" s="418"/>
      <c r="AU1548" s="418"/>
      <c r="AV1548" s="418"/>
      <c r="AW1548" s="418"/>
      <c r="AX1548" s="418"/>
      <c r="AY1548" s="418"/>
      <c r="AZ1548" s="418"/>
      <c r="BA1548" s="418"/>
    </row>
    <row r="1549" spans="40:53" ht="15.75" customHeight="1">
      <c r="AN1549" s="418"/>
      <c r="AO1549" s="418"/>
      <c r="AP1549" s="418"/>
      <c r="AQ1549" s="418"/>
      <c r="AR1549" s="418"/>
      <c r="AS1549" s="418"/>
      <c r="AT1549" s="418"/>
      <c r="AU1549" s="418"/>
      <c r="AV1549" s="418"/>
      <c r="AW1549" s="418"/>
      <c r="AX1549" s="418"/>
      <c r="AY1549" s="418"/>
      <c r="AZ1549" s="418"/>
      <c r="BA1549" s="418"/>
    </row>
    <row r="1550" spans="40:53" ht="15.75" customHeight="1">
      <c r="AN1550" s="418"/>
      <c r="AO1550" s="418"/>
      <c r="AP1550" s="418"/>
      <c r="AQ1550" s="418"/>
      <c r="AR1550" s="418"/>
      <c r="AS1550" s="418"/>
      <c r="AT1550" s="418"/>
      <c r="AU1550" s="418"/>
      <c r="AV1550" s="418"/>
      <c r="AW1550" s="418"/>
      <c r="AX1550" s="418"/>
      <c r="AY1550" s="418"/>
      <c r="AZ1550" s="418"/>
      <c r="BA1550" s="418"/>
    </row>
    <row r="1551" spans="40:53" ht="15.75" customHeight="1">
      <c r="AN1551" s="418"/>
      <c r="AO1551" s="418"/>
      <c r="AP1551" s="418"/>
      <c r="AQ1551" s="418"/>
      <c r="AR1551" s="418"/>
      <c r="AS1551" s="418"/>
      <c r="AT1551" s="418"/>
      <c r="AU1551" s="418"/>
      <c r="AV1551" s="418"/>
      <c r="AW1551" s="418"/>
      <c r="AX1551" s="418"/>
      <c r="AY1551" s="418"/>
      <c r="AZ1551" s="418"/>
      <c r="BA1551" s="418"/>
    </row>
    <row r="1552" spans="40:53" ht="15.75" customHeight="1">
      <c r="AN1552" s="418"/>
      <c r="AO1552" s="418"/>
      <c r="AP1552" s="418"/>
      <c r="AQ1552" s="418"/>
      <c r="AR1552" s="418"/>
      <c r="AS1552" s="418"/>
      <c r="AT1552" s="418"/>
      <c r="AU1552" s="418"/>
      <c r="AV1552" s="418"/>
      <c r="AW1552" s="418"/>
      <c r="AX1552" s="418"/>
      <c r="AY1552" s="418"/>
      <c r="AZ1552" s="418"/>
      <c r="BA1552" s="418"/>
    </row>
    <row r="1553" spans="40:53" ht="15.75" customHeight="1">
      <c r="AN1553" s="418"/>
      <c r="AO1553" s="418"/>
      <c r="AP1553" s="418"/>
      <c r="AQ1553" s="418"/>
      <c r="AR1553" s="418"/>
      <c r="AS1553" s="418"/>
      <c r="AT1553" s="418"/>
      <c r="AU1553" s="418"/>
      <c r="AV1553" s="418"/>
      <c r="AW1553" s="418"/>
      <c r="AX1553" s="418"/>
      <c r="AY1553" s="418"/>
      <c r="AZ1553" s="418"/>
      <c r="BA1553" s="418"/>
    </row>
    <row r="1554" spans="40:53" ht="15.75" customHeight="1">
      <c r="AN1554" s="418"/>
      <c r="AO1554" s="418"/>
      <c r="AP1554" s="418"/>
      <c r="AQ1554" s="418"/>
      <c r="AR1554" s="418"/>
      <c r="AS1554" s="418"/>
      <c r="AT1554" s="418"/>
      <c r="AU1554" s="418"/>
      <c r="AV1554" s="418"/>
      <c r="AW1554" s="418"/>
      <c r="AX1554" s="418"/>
      <c r="AY1554" s="418"/>
      <c r="AZ1554" s="418"/>
      <c r="BA1554" s="418"/>
    </row>
    <row r="1555" spans="40:53" ht="15.75" customHeight="1">
      <c r="AN1555" s="418"/>
      <c r="AO1555" s="418"/>
      <c r="AP1555" s="418"/>
      <c r="AQ1555" s="418"/>
      <c r="AR1555" s="418"/>
      <c r="AS1555" s="418"/>
      <c r="AT1555" s="418"/>
      <c r="AU1555" s="418"/>
      <c r="AV1555" s="418"/>
      <c r="AW1555" s="418"/>
      <c r="AX1555" s="418"/>
      <c r="AY1555" s="418"/>
      <c r="AZ1555" s="418"/>
      <c r="BA1555" s="418"/>
    </row>
    <row r="1556" spans="40:53" ht="15.75" customHeight="1">
      <c r="AN1556" s="418"/>
      <c r="AO1556" s="418"/>
      <c r="AP1556" s="418"/>
      <c r="AQ1556" s="418"/>
      <c r="AR1556" s="418"/>
      <c r="AS1556" s="418"/>
      <c r="AT1556" s="418"/>
      <c r="AU1556" s="418"/>
      <c r="AV1556" s="418"/>
      <c r="AW1556" s="418"/>
      <c r="AX1556" s="418"/>
      <c r="AY1556" s="418"/>
      <c r="AZ1556" s="418"/>
      <c r="BA1556" s="418"/>
    </row>
    <row r="1557" spans="40:53" ht="15.75" customHeight="1">
      <c r="AN1557" s="418"/>
      <c r="AO1557" s="418"/>
      <c r="AP1557" s="418"/>
      <c r="AQ1557" s="418"/>
      <c r="AR1557" s="418"/>
      <c r="AS1557" s="418"/>
      <c r="AT1557" s="418"/>
      <c r="AU1557" s="418"/>
      <c r="AV1557" s="418"/>
      <c r="AW1557" s="418"/>
      <c r="AX1557" s="418"/>
      <c r="AY1557" s="418"/>
      <c r="AZ1557" s="418"/>
      <c r="BA1557" s="418"/>
    </row>
    <row r="1558" spans="40:53" ht="15.75" customHeight="1">
      <c r="AN1558" s="418"/>
      <c r="AO1558" s="418"/>
      <c r="AP1558" s="418"/>
      <c r="AQ1558" s="418"/>
      <c r="AR1558" s="418"/>
      <c r="AS1558" s="418"/>
      <c r="AT1558" s="418"/>
      <c r="AU1558" s="418"/>
      <c r="AV1558" s="418"/>
      <c r="AW1558" s="418"/>
      <c r="AX1558" s="418"/>
      <c r="AY1558" s="418"/>
      <c r="AZ1558" s="418"/>
      <c r="BA1558" s="418"/>
    </row>
    <row r="1559" spans="40:53" ht="15.75" customHeight="1">
      <c r="AN1559" s="418"/>
      <c r="AO1559" s="418"/>
      <c r="AP1559" s="418"/>
      <c r="AQ1559" s="418"/>
      <c r="AR1559" s="418"/>
      <c r="AS1559" s="418"/>
      <c r="AT1559" s="418"/>
      <c r="AU1559" s="418"/>
      <c r="AV1559" s="418"/>
      <c r="AW1559" s="418"/>
      <c r="AX1559" s="418"/>
      <c r="AY1559" s="418"/>
      <c r="AZ1559" s="418"/>
      <c r="BA1559" s="418"/>
    </row>
    <row r="1560" spans="40:53" ht="15.75" customHeight="1">
      <c r="AN1560" s="418"/>
      <c r="AO1560" s="418"/>
      <c r="AP1560" s="418"/>
      <c r="AQ1560" s="418"/>
      <c r="AR1560" s="418"/>
      <c r="AS1560" s="418"/>
      <c r="AT1560" s="418"/>
      <c r="AU1560" s="418"/>
      <c r="AV1560" s="418"/>
      <c r="AW1560" s="418"/>
      <c r="AX1560" s="418"/>
      <c r="AY1560" s="418"/>
      <c r="AZ1560" s="418"/>
      <c r="BA1560" s="418"/>
    </row>
    <row r="1561" spans="40:53" ht="15.75" customHeight="1">
      <c r="AN1561" s="418"/>
      <c r="AO1561" s="418"/>
      <c r="AP1561" s="418"/>
      <c r="AQ1561" s="418"/>
      <c r="AR1561" s="418"/>
      <c r="AS1561" s="418"/>
      <c r="AT1561" s="418"/>
      <c r="AU1561" s="418"/>
      <c r="AV1561" s="418"/>
      <c r="AW1561" s="418"/>
      <c r="AX1561" s="418"/>
      <c r="AY1561" s="418"/>
      <c r="AZ1561" s="418"/>
      <c r="BA1561" s="418"/>
    </row>
    <row r="1562" spans="40:53" ht="15.75" customHeight="1">
      <c r="AN1562" s="418"/>
      <c r="AO1562" s="418"/>
      <c r="AP1562" s="418"/>
      <c r="AQ1562" s="418"/>
      <c r="AR1562" s="418"/>
      <c r="AS1562" s="418"/>
      <c r="AT1562" s="418"/>
      <c r="AU1562" s="418"/>
      <c r="AV1562" s="418"/>
      <c r="AW1562" s="418"/>
      <c r="AX1562" s="418"/>
      <c r="AY1562" s="418"/>
      <c r="AZ1562" s="418"/>
      <c r="BA1562" s="418"/>
    </row>
    <row r="1563" spans="40:53" ht="15.75" customHeight="1">
      <c r="AN1563" s="418"/>
      <c r="AO1563" s="418"/>
      <c r="AP1563" s="418"/>
      <c r="AQ1563" s="418"/>
      <c r="AR1563" s="418"/>
      <c r="AS1563" s="418"/>
      <c r="AT1563" s="418"/>
      <c r="AU1563" s="418"/>
      <c r="AV1563" s="418"/>
      <c r="AW1563" s="418"/>
      <c r="AX1563" s="418"/>
      <c r="AY1563" s="418"/>
      <c r="AZ1563" s="418"/>
      <c r="BA1563" s="418"/>
    </row>
    <row r="1564" spans="40:53" ht="15.75" customHeight="1">
      <c r="AN1564" s="418"/>
      <c r="AO1564" s="418"/>
      <c r="AP1564" s="418"/>
      <c r="AQ1564" s="418"/>
      <c r="AR1564" s="418"/>
      <c r="AS1564" s="418"/>
      <c r="AT1564" s="418"/>
      <c r="AU1564" s="418"/>
      <c r="AV1564" s="418"/>
      <c r="AW1564" s="418"/>
      <c r="AX1564" s="418"/>
      <c r="AY1564" s="418"/>
      <c r="AZ1564" s="418"/>
      <c r="BA1564" s="418"/>
    </row>
    <row r="1565" spans="40:53" ht="15.75" customHeight="1">
      <c r="AN1565" s="418"/>
      <c r="AO1565" s="418"/>
      <c r="AP1565" s="418"/>
      <c r="AQ1565" s="418"/>
      <c r="AR1565" s="418"/>
      <c r="AS1565" s="418"/>
      <c r="AT1565" s="418"/>
      <c r="AU1565" s="418"/>
      <c r="AV1565" s="418"/>
      <c r="AW1565" s="418"/>
      <c r="AX1565" s="418"/>
      <c r="AY1565" s="418"/>
      <c r="AZ1565" s="418"/>
      <c r="BA1565" s="418"/>
    </row>
    <row r="1566" spans="40:53" ht="15.75" customHeight="1">
      <c r="AN1566" s="418"/>
      <c r="AO1566" s="418"/>
      <c r="AP1566" s="418"/>
      <c r="AQ1566" s="418"/>
      <c r="AR1566" s="418"/>
      <c r="AS1566" s="418"/>
      <c r="AT1566" s="418"/>
      <c r="AU1566" s="418"/>
      <c r="AV1566" s="418"/>
      <c r="AW1566" s="418"/>
      <c r="AX1566" s="418"/>
      <c r="AY1566" s="418"/>
      <c r="AZ1566" s="418"/>
      <c r="BA1566" s="418"/>
    </row>
    <row r="1567" spans="40:53" ht="15.75" customHeight="1">
      <c r="AN1567" s="418"/>
      <c r="AO1567" s="418"/>
      <c r="AP1567" s="418"/>
      <c r="AQ1567" s="418"/>
      <c r="AR1567" s="418"/>
      <c r="AS1567" s="418"/>
      <c r="AT1567" s="418"/>
      <c r="AU1567" s="418"/>
      <c r="AV1567" s="418"/>
      <c r="AW1567" s="418"/>
      <c r="AX1567" s="418"/>
      <c r="AY1567" s="418"/>
      <c r="AZ1567" s="418"/>
      <c r="BA1567" s="418"/>
    </row>
    <row r="1568" spans="40:53" ht="15.75" customHeight="1">
      <c r="AN1568" s="418"/>
      <c r="AO1568" s="418"/>
      <c r="AP1568" s="418"/>
      <c r="AQ1568" s="418"/>
      <c r="AR1568" s="418"/>
      <c r="AS1568" s="418"/>
      <c r="AT1568" s="418"/>
      <c r="AU1568" s="418"/>
      <c r="AV1568" s="418"/>
      <c r="AW1568" s="418"/>
      <c r="AX1568" s="418"/>
      <c r="AY1568" s="418"/>
      <c r="AZ1568" s="418"/>
      <c r="BA1568" s="418"/>
    </row>
    <row r="1569" spans="40:53" ht="15.75" customHeight="1">
      <c r="AN1569" s="418"/>
      <c r="AO1569" s="418"/>
      <c r="AP1569" s="418"/>
      <c r="AQ1569" s="418"/>
      <c r="AR1569" s="418"/>
      <c r="AS1569" s="418"/>
      <c r="AT1569" s="418"/>
      <c r="AU1569" s="418"/>
      <c r="AV1569" s="418"/>
      <c r="AW1569" s="418"/>
      <c r="AX1569" s="418"/>
      <c r="AY1569" s="418"/>
      <c r="AZ1569" s="418"/>
      <c r="BA1569" s="418"/>
    </row>
    <row r="1570" spans="40:53" ht="15.75" customHeight="1">
      <c r="AN1570" s="418"/>
      <c r="AO1570" s="418"/>
      <c r="AP1570" s="418"/>
      <c r="AQ1570" s="418"/>
      <c r="AR1570" s="418"/>
      <c r="AS1570" s="418"/>
      <c r="AT1570" s="418"/>
      <c r="AU1570" s="418"/>
      <c r="AV1570" s="418"/>
      <c r="AW1570" s="418"/>
      <c r="AX1570" s="418"/>
      <c r="AY1570" s="418"/>
      <c r="AZ1570" s="418"/>
      <c r="BA1570" s="418"/>
    </row>
    <row r="1571" spans="40:53" ht="15.75" customHeight="1">
      <c r="AN1571" s="418"/>
      <c r="AO1571" s="418"/>
      <c r="AP1571" s="418"/>
      <c r="AQ1571" s="418"/>
      <c r="AR1571" s="418"/>
      <c r="AS1571" s="418"/>
      <c r="AT1571" s="418"/>
      <c r="AU1571" s="418"/>
      <c r="AV1571" s="418"/>
      <c r="AW1571" s="418"/>
      <c r="AX1571" s="418"/>
      <c r="AY1571" s="418"/>
      <c r="AZ1571" s="418"/>
      <c r="BA1571" s="418"/>
    </row>
    <row r="1572" spans="40:53" ht="15.75" customHeight="1">
      <c r="AN1572" s="418"/>
      <c r="AO1572" s="418"/>
      <c r="AP1572" s="418"/>
      <c r="AQ1572" s="418"/>
      <c r="AR1572" s="418"/>
      <c r="AS1572" s="418"/>
      <c r="AT1572" s="418"/>
      <c r="AU1572" s="418"/>
      <c r="AV1572" s="418"/>
      <c r="AW1572" s="418"/>
      <c r="AX1572" s="418"/>
      <c r="AY1572" s="418"/>
      <c r="AZ1572" s="418"/>
      <c r="BA1572" s="418"/>
    </row>
    <row r="1573" spans="40:53" ht="15.75" customHeight="1">
      <c r="AN1573" s="418"/>
      <c r="AO1573" s="418"/>
      <c r="AP1573" s="418"/>
      <c r="AQ1573" s="418"/>
      <c r="AR1573" s="418"/>
      <c r="AS1573" s="418"/>
      <c r="AT1573" s="418"/>
      <c r="AU1573" s="418"/>
      <c r="AV1573" s="418"/>
      <c r="AW1573" s="418"/>
      <c r="AX1573" s="418"/>
      <c r="AY1573" s="418"/>
      <c r="AZ1573" s="418"/>
      <c r="BA1573" s="418"/>
    </row>
    <row r="1574" spans="40:53" ht="15.75" customHeight="1">
      <c r="AN1574" s="418"/>
      <c r="AO1574" s="418"/>
      <c r="AP1574" s="418"/>
      <c r="AQ1574" s="418"/>
      <c r="AR1574" s="418"/>
      <c r="AS1574" s="418"/>
      <c r="AT1574" s="418"/>
      <c r="AU1574" s="418"/>
      <c r="AV1574" s="418"/>
      <c r="AW1574" s="418"/>
      <c r="AX1574" s="418"/>
      <c r="AY1574" s="418"/>
      <c r="AZ1574" s="418"/>
      <c r="BA1574" s="418"/>
    </row>
    <row r="1575" spans="40:53" ht="15.75" customHeight="1">
      <c r="AN1575" s="418"/>
      <c r="AO1575" s="418"/>
      <c r="AP1575" s="418"/>
      <c r="AQ1575" s="418"/>
      <c r="AR1575" s="418"/>
      <c r="AS1575" s="418"/>
      <c r="AT1575" s="418"/>
      <c r="AU1575" s="418"/>
      <c r="AV1575" s="418"/>
      <c r="AW1575" s="418"/>
      <c r="AX1575" s="418"/>
      <c r="AY1575" s="418"/>
      <c r="AZ1575" s="418"/>
      <c r="BA1575" s="418"/>
    </row>
    <row r="1576" spans="40:53" ht="15.75" customHeight="1">
      <c r="AN1576" s="418"/>
      <c r="AO1576" s="418"/>
      <c r="AP1576" s="418"/>
      <c r="AQ1576" s="418"/>
      <c r="AR1576" s="418"/>
      <c r="AS1576" s="418"/>
      <c r="AT1576" s="418"/>
      <c r="AU1576" s="418"/>
      <c r="AV1576" s="418"/>
      <c r="AW1576" s="418"/>
      <c r="AX1576" s="418"/>
      <c r="AY1576" s="418"/>
      <c r="AZ1576" s="418"/>
      <c r="BA1576" s="418"/>
    </row>
    <row r="1577" spans="40:53" ht="15.75" customHeight="1">
      <c r="AN1577" s="418"/>
      <c r="AO1577" s="418"/>
      <c r="AP1577" s="418"/>
      <c r="AQ1577" s="418"/>
      <c r="AR1577" s="418"/>
      <c r="AS1577" s="418"/>
      <c r="AT1577" s="418"/>
      <c r="AU1577" s="418"/>
      <c r="AV1577" s="418"/>
      <c r="AW1577" s="418"/>
      <c r="AX1577" s="418"/>
      <c r="AY1577" s="418"/>
      <c r="AZ1577" s="418"/>
      <c r="BA1577" s="418"/>
    </row>
    <row r="1578" spans="40:53" ht="15.75" customHeight="1">
      <c r="AN1578" s="418"/>
      <c r="AO1578" s="418"/>
      <c r="AP1578" s="418"/>
      <c r="AQ1578" s="418"/>
      <c r="AR1578" s="418"/>
      <c r="AS1578" s="418"/>
      <c r="AT1578" s="418"/>
      <c r="AU1578" s="418"/>
      <c r="AV1578" s="418"/>
      <c r="AW1578" s="418"/>
      <c r="AX1578" s="418"/>
      <c r="AY1578" s="418"/>
      <c r="AZ1578" s="418"/>
      <c r="BA1578" s="418"/>
    </row>
    <row r="1579" spans="40:53" ht="15.75" customHeight="1">
      <c r="AN1579" s="418"/>
      <c r="AO1579" s="418"/>
      <c r="AP1579" s="418"/>
      <c r="AQ1579" s="418"/>
      <c r="AR1579" s="418"/>
      <c r="AS1579" s="418"/>
      <c r="AT1579" s="418"/>
      <c r="AU1579" s="418"/>
      <c r="AV1579" s="418"/>
      <c r="AW1579" s="418"/>
      <c r="AX1579" s="418"/>
      <c r="AY1579" s="418"/>
      <c r="AZ1579" s="418"/>
      <c r="BA1579" s="418"/>
    </row>
    <row r="1580" spans="40:53" ht="15.75" customHeight="1">
      <c r="AN1580" s="418"/>
      <c r="AO1580" s="418"/>
      <c r="AP1580" s="418"/>
      <c r="AQ1580" s="418"/>
      <c r="AR1580" s="418"/>
      <c r="AS1580" s="418"/>
      <c r="AT1580" s="418"/>
      <c r="AU1580" s="418"/>
      <c r="AV1580" s="418"/>
      <c r="AW1580" s="418"/>
      <c r="AX1580" s="418"/>
      <c r="AY1580" s="418"/>
      <c r="AZ1580" s="418"/>
      <c r="BA1580" s="418"/>
    </row>
    <row r="1581" spans="40:53" ht="15.75" customHeight="1">
      <c r="AN1581" s="418"/>
      <c r="AO1581" s="418"/>
      <c r="AP1581" s="418"/>
      <c r="AQ1581" s="418"/>
      <c r="AR1581" s="418"/>
      <c r="AS1581" s="418"/>
      <c r="AT1581" s="418"/>
      <c r="AU1581" s="418"/>
      <c r="AV1581" s="418"/>
      <c r="AW1581" s="418"/>
      <c r="AX1581" s="418"/>
      <c r="AY1581" s="418"/>
      <c r="AZ1581" s="418"/>
      <c r="BA1581" s="418"/>
    </row>
    <row r="1582" spans="40:53" ht="15.75" customHeight="1">
      <c r="AN1582" s="418"/>
      <c r="AO1582" s="418"/>
      <c r="AP1582" s="418"/>
      <c r="AQ1582" s="418"/>
      <c r="AR1582" s="418"/>
      <c r="AS1582" s="418"/>
      <c r="AT1582" s="418"/>
      <c r="AU1582" s="418"/>
      <c r="AV1582" s="418"/>
      <c r="AW1582" s="418"/>
      <c r="AX1582" s="418"/>
      <c r="AY1582" s="418"/>
      <c r="AZ1582" s="418"/>
      <c r="BA1582" s="418"/>
    </row>
    <row r="1583" spans="40:53" ht="15.75" customHeight="1">
      <c r="AN1583" s="418"/>
      <c r="AO1583" s="418"/>
      <c r="AP1583" s="418"/>
      <c r="AQ1583" s="418"/>
      <c r="AR1583" s="418"/>
      <c r="AS1583" s="418"/>
      <c r="AT1583" s="418"/>
      <c r="AU1583" s="418"/>
      <c r="AV1583" s="418"/>
      <c r="AW1583" s="418"/>
      <c r="AX1583" s="418"/>
      <c r="AY1583" s="418"/>
      <c r="AZ1583" s="418"/>
      <c r="BA1583" s="418"/>
    </row>
    <row r="1584" spans="40:53" ht="15.75" customHeight="1">
      <c r="AN1584" s="418"/>
      <c r="AO1584" s="418"/>
      <c r="AP1584" s="418"/>
      <c r="AQ1584" s="418"/>
      <c r="AR1584" s="418"/>
      <c r="AS1584" s="418"/>
      <c r="AT1584" s="418"/>
      <c r="AU1584" s="418"/>
      <c r="AV1584" s="418"/>
      <c r="AW1584" s="418"/>
      <c r="AX1584" s="418"/>
      <c r="AY1584" s="418"/>
      <c r="AZ1584" s="418"/>
      <c r="BA1584" s="418"/>
    </row>
    <row r="1585" spans="40:53" ht="15.75" customHeight="1">
      <c r="AN1585" s="418"/>
      <c r="AO1585" s="418"/>
      <c r="AP1585" s="418"/>
      <c r="AQ1585" s="418"/>
      <c r="AR1585" s="418"/>
      <c r="AS1585" s="418"/>
      <c r="AT1585" s="418"/>
      <c r="AU1585" s="418"/>
      <c r="AV1585" s="418"/>
      <c r="AW1585" s="418"/>
      <c r="AX1585" s="418"/>
      <c r="AY1585" s="418"/>
      <c r="AZ1585" s="418"/>
      <c r="BA1585" s="418"/>
    </row>
    <row r="1586" spans="40:53" ht="15.75" customHeight="1">
      <c r="AN1586" s="418"/>
      <c r="AO1586" s="418"/>
      <c r="AP1586" s="418"/>
      <c r="AQ1586" s="418"/>
      <c r="AR1586" s="418"/>
      <c r="AS1586" s="418"/>
      <c r="AT1586" s="418"/>
      <c r="AU1586" s="418"/>
      <c r="AV1586" s="418"/>
      <c r="AW1586" s="418"/>
      <c r="AX1586" s="418"/>
      <c r="AY1586" s="418"/>
      <c r="AZ1586" s="418"/>
      <c r="BA1586" s="418"/>
    </row>
    <row r="1587" spans="40:53" ht="15.75" customHeight="1">
      <c r="AN1587" s="418"/>
      <c r="AO1587" s="418"/>
      <c r="AP1587" s="418"/>
      <c r="AQ1587" s="418"/>
      <c r="AR1587" s="418"/>
      <c r="AS1587" s="418"/>
      <c r="AT1587" s="418"/>
      <c r="AU1587" s="418"/>
      <c r="AV1587" s="418"/>
      <c r="AW1587" s="418"/>
      <c r="AX1587" s="418"/>
      <c r="AY1587" s="418"/>
      <c r="AZ1587" s="418"/>
      <c r="BA1587" s="418"/>
    </row>
    <row r="1588" spans="40:53" ht="15.75" customHeight="1">
      <c r="AN1588" s="418"/>
      <c r="AO1588" s="418"/>
      <c r="AP1588" s="418"/>
      <c r="AQ1588" s="418"/>
      <c r="AR1588" s="418"/>
      <c r="AS1588" s="418"/>
      <c r="AT1588" s="418"/>
      <c r="AU1588" s="418"/>
      <c r="AV1588" s="418"/>
      <c r="AW1588" s="418"/>
      <c r="AX1588" s="418"/>
      <c r="AY1588" s="418"/>
      <c r="AZ1588" s="418"/>
      <c r="BA1588" s="418"/>
    </row>
    <row r="1589" spans="40:53" ht="15.75" customHeight="1">
      <c r="AN1589" s="418"/>
      <c r="AO1589" s="418"/>
      <c r="AP1589" s="418"/>
      <c r="AQ1589" s="418"/>
      <c r="AR1589" s="418"/>
      <c r="AS1589" s="418"/>
      <c r="AT1589" s="418"/>
      <c r="AU1589" s="418"/>
      <c r="AV1589" s="418"/>
      <c r="AW1589" s="418"/>
      <c r="AX1589" s="418"/>
      <c r="AY1589" s="418"/>
      <c r="AZ1589" s="418"/>
      <c r="BA1589" s="418"/>
    </row>
    <row r="1590" spans="40:53" ht="15.75" customHeight="1">
      <c r="AN1590" s="418"/>
      <c r="AO1590" s="418"/>
      <c r="AP1590" s="418"/>
      <c r="AQ1590" s="418"/>
      <c r="AR1590" s="418"/>
      <c r="AS1590" s="418"/>
      <c r="AT1590" s="418"/>
      <c r="AU1590" s="418"/>
      <c r="AV1590" s="418"/>
      <c r="AW1590" s="418"/>
      <c r="AX1590" s="418"/>
      <c r="AY1590" s="418"/>
      <c r="AZ1590" s="418"/>
      <c r="BA1590" s="418"/>
    </row>
    <row r="1591" spans="40:53" ht="15.75" customHeight="1">
      <c r="AN1591" s="418"/>
      <c r="AO1591" s="418"/>
      <c r="AP1591" s="418"/>
      <c r="AQ1591" s="418"/>
      <c r="AR1591" s="418"/>
      <c r="AS1591" s="418"/>
      <c r="AT1591" s="418"/>
      <c r="AU1591" s="418"/>
      <c r="AV1591" s="418"/>
      <c r="AW1591" s="418"/>
      <c r="AX1591" s="418"/>
      <c r="AY1591" s="418"/>
      <c r="AZ1591" s="418"/>
      <c r="BA1591" s="418"/>
    </row>
    <row r="1592" spans="40:53" ht="15.75" customHeight="1">
      <c r="AN1592" s="418"/>
      <c r="AO1592" s="418"/>
      <c r="AP1592" s="418"/>
      <c r="AQ1592" s="418"/>
      <c r="AR1592" s="418"/>
      <c r="AS1592" s="418"/>
      <c r="AT1592" s="418"/>
      <c r="AU1592" s="418"/>
      <c r="AV1592" s="418"/>
      <c r="AW1592" s="418"/>
      <c r="AX1592" s="418"/>
      <c r="AY1592" s="418"/>
      <c r="AZ1592" s="418"/>
      <c r="BA1592" s="418"/>
    </row>
    <row r="1593" spans="40:53" ht="15.75" customHeight="1">
      <c r="AN1593" s="418"/>
      <c r="AO1593" s="418"/>
      <c r="AP1593" s="418"/>
      <c r="AQ1593" s="418"/>
      <c r="AR1593" s="418"/>
      <c r="AS1593" s="418"/>
      <c r="AT1593" s="418"/>
      <c r="AU1593" s="418"/>
      <c r="AV1593" s="418"/>
      <c r="AW1593" s="418"/>
      <c r="AX1593" s="418"/>
      <c r="AY1593" s="418"/>
      <c r="AZ1593" s="418"/>
      <c r="BA1593" s="418"/>
    </row>
    <row r="1594" spans="40:53" ht="15.75" customHeight="1">
      <c r="AN1594" s="418"/>
      <c r="AO1594" s="418"/>
      <c r="AP1594" s="418"/>
      <c r="AQ1594" s="418"/>
      <c r="AR1594" s="418"/>
      <c r="AS1594" s="418"/>
      <c r="AT1594" s="418"/>
      <c r="AU1594" s="418"/>
      <c r="AV1594" s="418"/>
      <c r="AW1594" s="418"/>
      <c r="AX1594" s="418"/>
      <c r="AY1594" s="418"/>
      <c r="AZ1594" s="418"/>
      <c r="BA1594" s="418"/>
    </row>
    <row r="1595" spans="40:53" ht="15.75" customHeight="1">
      <c r="AN1595" s="418"/>
      <c r="AO1595" s="418"/>
      <c r="AP1595" s="418"/>
      <c r="AQ1595" s="418"/>
      <c r="AR1595" s="418"/>
      <c r="AS1595" s="418"/>
      <c r="AT1595" s="418"/>
      <c r="AU1595" s="418"/>
      <c r="AV1595" s="418"/>
      <c r="AW1595" s="418"/>
      <c r="AX1595" s="418"/>
      <c r="AY1595" s="418"/>
      <c r="AZ1595" s="418"/>
      <c r="BA1595" s="418"/>
    </row>
    <row r="1596" spans="40:53" ht="15.75" customHeight="1">
      <c r="AN1596" s="418"/>
      <c r="AO1596" s="418"/>
      <c r="AP1596" s="418"/>
      <c r="AQ1596" s="418"/>
      <c r="AR1596" s="418"/>
      <c r="AS1596" s="418"/>
      <c r="AT1596" s="418"/>
      <c r="AU1596" s="418"/>
      <c r="AV1596" s="418"/>
      <c r="AW1596" s="418"/>
      <c r="AX1596" s="418"/>
      <c r="AY1596" s="418"/>
      <c r="AZ1596" s="418"/>
      <c r="BA1596" s="418"/>
    </row>
    <row r="1597" spans="40:53" ht="15.75" customHeight="1">
      <c r="AN1597" s="418"/>
      <c r="AO1597" s="418"/>
      <c r="AP1597" s="418"/>
      <c r="AQ1597" s="418"/>
      <c r="AR1597" s="418"/>
      <c r="AS1597" s="418"/>
      <c r="AT1597" s="418"/>
      <c r="AU1597" s="418"/>
      <c r="AV1597" s="418"/>
      <c r="AW1597" s="418"/>
      <c r="AX1597" s="418"/>
      <c r="AY1597" s="418"/>
      <c r="AZ1597" s="418"/>
      <c r="BA1597" s="418"/>
    </row>
    <row r="1598" spans="40:53" ht="15.75" customHeight="1">
      <c r="AN1598" s="418"/>
      <c r="AO1598" s="418"/>
      <c r="AP1598" s="418"/>
      <c r="AQ1598" s="418"/>
      <c r="AR1598" s="418"/>
      <c r="AS1598" s="418"/>
      <c r="AT1598" s="418"/>
      <c r="AU1598" s="418"/>
      <c r="AV1598" s="418"/>
      <c r="AW1598" s="418"/>
      <c r="AX1598" s="418"/>
      <c r="AY1598" s="418"/>
      <c r="AZ1598" s="418"/>
      <c r="BA1598" s="418"/>
    </row>
    <row r="1599" spans="40:53" ht="15.75" customHeight="1">
      <c r="AN1599" s="418"/>
      <c r="AO1599" s="418"/>
      <c r="AP1599" s="418"/>
      <c r="AQ1599" s="418"/>
      <c r="AR1599" s="418"/>
      <c r="AS1599" s="418"/>
      <c r="AT1599" s="418"/>
      <c r="AU1599" s="418"/>
      <c r="AV1599" s="418"/>
      <c r="AW1599" s="418"/>
      <c r="AX1599" s="418"/>
      <c r="AY1599" s="418"/>
      <c r="AZ1599" s="418"/>
      <c r="BA1599" s="418"/>
    </row>
    <row r="1600" spans="40:53" ht="15.75" customHeight="1">
      <c r="AN1600" s="418"/>
      <c r="AO1600" s="418"/>
      <c r="AP1600" s="418"/>
      <c r="AQ1600" s="418"/>
      <c r="AR1600" s="418"/>
      <c r="AS1600" s="418"/>
      <c r="AT1600" s="418"/>
      <c r="AU1600" s="418"/>
      <c r="AV1600" s="418"/>
      <c r="AW1600" s="418"/>
      <c r="AX1600" s="418"/>
      <c r="AY1600" s="418"/>
      <c r="AZ1600" s="418"/>
      <c r="BA1600" s="418"/>
    </row>
    <row r="1601" spans="40:53" ht="15.75" customHeight="1">
      <c r="AN1601" s="418"/>
      <c r="AO1601" s="418"/>
      <c r="AP1601" s="418"/>
      <c r="AQ1601" s="418"/>
      <c r="AR1601" s="418"/>
      <c r="AS1601" s="418"/>
      <c r="AT1601" s="418"/>
      <c r="AU1601" s="418"/>
      <c r="AV1601" s="418"/>
      <c r="AW1601" s="418"/>
      <c r="AX1601" s="418"/>
      <c r="AY1601" s="418"/>
      <c r="AZ1601" s="418"/>
      <c r="BA1601" s="418"/>
    </row>
    <row r="1602" spans="40:53" ht="15.75" customHeight="1">
      <c r="AN1602" s="418"/>
      <c r="AO1602" s="418"/>
      <c r="AP1602" s="418"/>
      <c r="AQ1602" s="418"/>
      <c r="AR1602" s="418"/>
      <c r="AS1602" s="418"/>
      <c r="AT1602" s="418"/>
      <c r="AU1602" s="418"/>
      <c r="AV1602" s="418"/>
      <c r="AW1602" s="418"/>
      <c r="AX1602" s="418"/>
      <c r="AY1602" s="418"/>
      <c r="AZ1602" s="418"/>
      <c r="BA1602" s="418"/>
    </row>
    <row r="1603" spans="40:53" ht="15.75" customHeight="1">
      <c r="AN1603" s="418"/>
      <c r="AO1603" s="418"/>
      <c r="AP1603" s="418"/>
      <c r="AQ1603" s="418"/>
      <c r="AR1603" s="418"/>
      <c r="AS1603" s="418"/>
      <c r="AT1603" s="418"/>
      <c r="AU1603" s="418"/>
      <c r="AV1603" s="418"/>
      <c r="AW1603" s="418"/>
      <c r="AX1603" s="418"/>
      <c r="AY1603" s="418"/>
      <c r="AZ1603" s="418"/>
      <c r="BA1603" s="418"/>
    </row>
    <row r="1604" spans="40:53" ht="15.75" customHeight="1">
      <c r="AN1604" s="418"/>
      <c r="AO1604" s="418"/>
      <c r="AP1604" s="418"/>
      <c r="AQ1604" s="418"/>
      <c r="AR1604" s="418"/>
      <c r="AS1604" s="418"/>
      <c r="AT1604" s="418"/>
      <c r="AU1604" s="418"/>
      <c r="AV1604" s="418"/>
      <c r="AW1604" s="418"/>
      <c r="AX1604" s="418"/>
      <c r="AY1604" s="418"/>
      <c r="AZ1604" s="418"/>
      <c r="BA1604" s="418"/>
    </row>
    <row r="1605" spans="40:53" ht="15.75" customHeight="1">
      <c r="AN1605" s="418"/>
      <c r="AO1605" s="418"/>
      <c r="AP1605" s="418"/>
      <c r="AQ1605" s="418"/>
      <c r="AR1605" s="418"/>
      <c r="AS1605" s="418"/>
      <c r="AT1605" s="418"/>
      <c r="AU1605" s="418"/>
      <c r="AV1605" s="418"/>
      <c r="AW1605" s="418"/>
      <c r="AX1605" s="418"/>
      <c r="AY1605" s="418"/>
      <c r="AZ1605" s="418"/>
      <c r="BA1605" s="418"/>
    </row>
    <row r="1606" spans="40:53" ht="15.75" customHeight="1">
      <c r="AN1606" s="418"/>
      <c r="AO1606" s="418"/>
      <c r="AP1606" s="418"/>
      <c r="AQ1606" s="418"/>
      <c r="AR1606" s="418"/>
      <c r="AS1606" s="418"/>
      <c r="AT1606" s="418"/>
      <c r="AU1606" s="418"/>
      <c r="AV1606" s="418"/>
      <c r="AW1606" s="418"/>
      <c r="AX1606" s="418"/>
      <c r="AY1606" s="418"/>
      <c r="AZ1606" s="418"/>
      <c r="BA1606" s="418"/>
    </row>
    <row r="1607" spans="40:53" ht="15.75" customHeight="1">
      <c r="AN1607" s="418"/>
      <c r="AO1607" s="418"/>
      <c r="AP1607" s="418"/>
      <c r="AQ1607" s="418"/>
      <c r="AR1607" s="418"/>
      <c r="AS1607" s="418"/>
      <c r="AT1607" s="418"/>
      <c r="AU1607" s="418"/>
      <c r="AV1607" s="418"/>
      <c r="AW1607" s="418"/>
      <c r="AX1607" s="418"/>
      <c r="AY1607" s="418"/>
      <c r="AZ1607" s="418"/>
      <c r="BA1607" s="418"/>
    </row>
    <row r="1608" spans="40:53" ht="15.75" customHeight="1">
      <c r="AN1608" s="418"/>
      <c r="AO1608" s="418"/>
      <c r="AP1608" s="418"/>
      <c r="AQ1608" s="418"/>
      <c r="AR1608" s="418"/>
      <c r="AS1608" s="418"/>
      <c r="AT1608" s="418"/>
      <c r="AU1608" s="418"/>
      <c r="AV1608" s="418"/>
      <c r="AW1608" s="418"/>
      <c r="AX1608" s="418"/>
      <c r="AY1608" s="418"/>
      <c r="AZ1608" s="418"/>
      <c r="BA1608" s="418"/>
    </row>
    <row r="1609" spans="40:53" ht="15.75" customHeight="1">
      <c r="AN1609" s="418"/>
      <c r="AO1609" s="418"/>
      <c r="AP1609" s="418"/>
      <c r="AQ1609" s="418"/>
      <c r="AR1609" s="418"/>
      <c r="AS1609" s="418"/>
      <c r="AT1609" s="418"/>
      <c r="AU1609" s="418"/>
      <c r="AV1609" s="418"/>
      <c r="AW1609" s="418"/>
      <c r="AX1609" s="418"/>
      <c r="AY1609" s="418"/>
      <c r="AZ1609" s="418"/>
      <c r="BA1609" s="418"/>
    </row>
    <row r="1610" spans="40:53" ht="15.75" customHeight="1">
      <c r="AN1610" s="418"/>
      <c r="AO1610" s="418"/>
      <c r="AP1610" s="418"/>
      <c r="AQ1610" s="418"/>
      <c r="AR1610" s="418"/>
      <c r="AS1610" s="418"/>
      <c r="AT1610" s="418"/>
      <c r="AU1610" s="418"/>
      <c r="AV1610" s="418"/>
      <c r="AW1610" s="418"/>
      <c r="AX1610" s="418"/>
      <c r="AY1610" s="418"/>
      <c r="AZ1610" s="418"/>
      <c r="BA1610" s="418"/>
    </row>
    <row r="1611" spans="40:53" ht="15.75" customHeight="1">
      <c r="AN1611" s="418"/>
      <c r="AO1611" s="418"/>
      <c r="AP1611" s="418"/>
      <c r="AQ1611" s="418"/>
      <c r="AR1611" s="418"/>
      <c r="AS1611" s="418"/>
      <c r="AT1611" s="418"/>
      <c r="AU1611" s="418"/>
      <c r="AV1611" s="418"/>
      <c r="AW1611" s="418"/>
      <c r="AX1611" s="418"/>
      <c r="AY1611" s="418"/>
      <c r="AZ1611" s="418"/>
      <c r="BA1611" s="418"/>
    </row>
    <row r="1612" spans="40:53" ht="15.75" customHeight="1">
      <c r="AN1612" s="418"/>
      <c r="AO1612" s="418"/>
      <c r="AP1612" s="418"/>
      <c r="AQ1612" s="418"/>
      <c r="AR1612" s="418"/>
      <c r="AS1612" s="418"/>
      <c r="AT1612" s="418"/>
      <c r="AU1612" s="418"/>
      <c r="AV1612" s="418"/>
      <c r="AW1612" s="418"/>
      <c r="AX1612" s="418"/>
      <c r="AY1612" s="418"/>
      <c r="AZ1612" s="418"/>
      <c r="BA1612" s="418"/>
    </row>
    <row r="1613" spans="40:53" ht="15.75" customHeight="1">
      <c r="AN1613" s="418"/>
      <c r="AO1613" s="418"/>
      <c r="AP1613" s="418"/>
      <c r="AQ1613" s="418"/>
      <c r="AR1613" s="418"/>
      <c r="AS1613" s="418"/>
      <c r="AT1613" s="418"/>
      <c r="AU1613" s="418"/>
      <c r="AV1613" s="418"/>
      <c r="AW1613" s="418"/>
      <c r="AX1613" s="418"/>
      <c r="AY1613" s="418"/>
      <c r="AZ1613" s="418"/>
      <c r="BA1613" s="418"/>
    </row>
    <row r="1614" spans="40:53" ht="15.75" customHeight="1">
      <c r="AN1614" s="418"/>
      <c r="AO1614" s="418"/>
      <c r="AP1614" s="418"/>
      <c r="AQ1614" s="418"/>
      <c r="AR1614" s="418"/>
      <c r="AS1614" s="418"/>
      <c r="AT1614" s="418"/>
      <c r="AU1614" s="418"/>
      <c r="AV1614" s="418"/>
      <c r="AW1614" s="418"/>
      <c r="AX1614" s="418"/>
      <c r="AY1614" s="418"/>
      <c r="AZ1614" s="418"/>
      <c r="BA1614" s="418"/>
    </row>
    <row r="1615" spans="40:53" ht="15.75" customHeight="1">
      <c r="AN1615" s="418"/>
      <c r="AO1615" s="418"/>
      <c r="AP1615" s="418"/>
      <c r="AQ1615" s="418"/>
      <c r="AR1615" s="418"/>
      <c r="AS1615" s="418"/>
      <c r="AT1615" s="418"/>
      <c r="AU1615" s="418"/>
      <c r="AV1615" s="418"/>
      <c r="AW1615" s="418"/>
      <c r="AX1615" s="418"/>
      <c r="AY1615" s="418"/>
      <c r="AZ1615" s="418"/>
      <c r="BA1615" s="418"/>
    </row>
    <row r="1616" spans="40:53" ht="15.75" customHeight="1">
      <c r="AN1616" s="418"/>
      <c r="AO1616" s="418"/>
      <c r="AP1616" s="418"/>
      <c r="AQ1616" s="418"/>
      <c r="AR1616" s="418"/>
      <c r="AS1616" s="418"/>
      <c r="AT1616" s="418"/>
      <c r="AU1616" s="418"/>
      <c r="AV1616" s="418"/>
      <c r="AW1616" s="418"/>
      <c r="AX1616" s="418"/>
      <c r="AY1616" s="418"/>
      <c r="AZ1616" s="418"/>
      <c r="BA1616" s="418"/>
    </row>
    <row r="1617" spans="40:53" ht="15.75" customHeight="1">
      <c r="AN1617" s="418"/>
      <c r="AO1617" s="418"/>
      <c r="AP1617" s="418"/>
      <c r="AQ1617" s="418"/>
      <c r="AR1617" s="418"/>
      <c r="AS1617" s="418"/>
      <c r="AT1617" s="418"/>
      <c r="AU1617" s="418"/>
      <c r="AV1617" s="418"/>
      <c r="AW1617" s="418"/>
      <c r="AX1617" s="418"/>
      <c r="AY1617" s="418"/>
      <c r="AZ1617" s="418"/>
      <c r="BA1617" s="418"/>
    </row>
    <row r="1618" spans="40:53" ht="15.75" customHeight="1">
      <c r="AN1618" s="418"/>
      <c r="AO1618" s="418"/>
      <c r="AP1618" s="418"/>
      <c r="AQ1618" s="418"/>
      <c r="AR1618" s="418"/>
      <c r="AS1618" s="418"/>
      <c r="AT1618" s="418"/>
      <c r="AU1618" s="418"/>
      <c r="AV1618" s="418"/>
      <c r="AW1618" s="418"/>
      <c r="AX1618" s="418"/>
      <c r="AY1618" s="418"/>
      <c r="AZ1618" s="418"/>
      <c r="BA1618" s="418"/>
    </row>
    <row r="1619" spans="40:53" ht="15.75" customHeight="1">
      <c r="AN1619" s="418"/>
      <c r="AO1619" s="418"/>
      <c r="AP1619" s="418"/>
      <c r="AQ1619" s="418"/>
      <c r="AR1619" s="418"/>
      <c r="AS1619" s="418"/>
      <c r="AT1619" s="418"/>
      <c r="AU1619" s="418"/>
      <c r="AV1619" s="418"/>
      <c r="AW1619" s="418"/>
      <c r="AX1619" s="418"/>
      <c r="AY1619" s="418"/>
      <c r="AZ1619" s="418"/>
      <c r="BA1619" s="418"/>
    </row>
    <row r="1620" spans="40:53" ht="15.75" customHeight="1">
      <c r="AN1620" s="418"/>
      <c r="AO1620" s="418"/>
      <c r="AP1620" s="418"/>
      <c r="AQ1620" s="418"/>
      <c r="AR1620" s="418"/>
      <c r="AS1620" s="418"/>
      <c r="AT1620" s="418"/>
      <c r="AU1620" s="418"/>
      <c r="AV1620" s="418"/>
      <c r="AW1620" s="418"/>
      <c r="AX1620" s="418"/>
      <c r="AY1620" s="418"/>
      <c r="AZ1620" s="418"/>
      <c r="BA1620" s="418"/>
    </row>
    <row r="1621" spans="40:53" ht="15.75" customHeight="1">
      <c r="AN1621" s="418"/>
      <c r="AO1621" s="418"/>
      <c r="AP1621" s="418"/>
      <c r="AQ1621" s="418"/>
      <c r="AR1621" s="418"/>
      <c r="AS1621" s="418"/>
      <c r="AT1621" s="418"/>
      <c r="AU1621" s="418"/>
      <c r="AV1621" s="418"/>
      <c r="AW1621" s="418"/>
      <c r="AX1621" s="418"/>
      <c r="AY1621" s="418"/>
      <c r="AZ1621" s="418"/>
      <c r="BA1621" s="418"/>
    </row>
    <row r="1622" spans="40:53" ht="15.75" customHeight="1">
      <c r="AN1622" s="418"/>
      <c r="AO1622" s="418"/>
      <c r="AP1622" s="418"/>
      <c r="AQ1622" s="418"/>
      <c r="AR1622" s="418"/>
      <c r="AS1622" s="418"/>
      <c r="AT1622" s="418"/>
      <c r="AU1622" s="418"/>
      <c r="AV1622" s="418"/>
      <c r="AW1622" s="418"/>
      <c r="AX1622" s="418"/>
      <c r="AY1622" s="418"/>
      <c r="AZ1622" s="418"/>
      <c r="BA1622" s="418"/>
    </row>
    <row r="1623" spans="40:53" ht="15.75" customHeight="1">
      <c r="AN1623" s="418"/>
      <c r="AO1623" s="418"/>
      <c r="AP1623" s="418"/>
      <c r="AQ1623" s="418"/>
      <c r="AR1623" s="418"/>
      <c r="AS1623" s="418"/>
      <c r="AT1623" s="418"/>
      <c r="AU1623" s="418"/>
      <c r="AV1623" s="418"/>
      <c r="AW1623" s="418"/>
      <c r="AX1623" s="418"/>
      <c r="AY1623" s="418"/>
      <c r="AZ1623" s="418"/>
      <c r="BA1623" s="418"/>
    </row>
    <row r="1624" spans="40:53" ht="15.75" customHeight="1">
      <c r="AN1624" s="418"/>
      <c r="AO1624" s="418"/>
      <c r="AP1624" s="418"/>
      <c r="AQ1624" s="418"/>
      <c r="AR1624" s="418"/>
      <c r="AS1624" s="418"/>
      <c r="AT1624" s="418"/>
      <c r="AU1624" s="418"/>
      <c r="AV1624" s="418"/>
      <c r="AW1624" s="418"/>
      <c r="AX1624" s="418"/>
      <c r="AY1624" s="418"/>
      <c r="AZ1624" s="418"/>
      <c r="BA1624" s="418"/>
    </row>
    <row r="1625" spans="40:53" ht="15.75" customHeight="1">
      <c r="AN1625" s="418"/>
      <c r="AO1625" s="418"/>
      <c r="AP1625" s="418"/>
      <c r="AQ1625" s="418"/>
      <c r="AR1625" s="418"/>
      <c r="AS1625" s="418"/>
      <c r="AT1625" s="418"/>
      <c r="AU1625" s="418"/>
      <c r="AV1625" s="418"/>
      <c r="AW1625" s="418"/>
      <c r="AX1625" s="418"/>
      <c r="AY1625" s="418"/>
      <c r="AZ1625" s="418"/>
      <c r="BA1625" s="418"/>
    </row>
    <row r="1626" spans="40:53" ht="15.75" customHeight="1">
      <c r="AN1626" s="418"/>
      <c r="AO1626" s="418"/>
      <c r="AP1626" s="418"/>
      <c r="AQ1626" s="418"/>
      <c r="AR1626" s="418"/>
      <c r="AS1626" s="418"/>
      <c r="AT1626" s="418"/>
      <c r="AU1626" s="418"/>
      <c r="AV1626" s="418"/>
      <c r="AW1626" s="418"/>
      <c r="AX1626" s="418"/>
      <c r="AY1626" s="418"/>
      <c r="AZ1626" s="418"/>
      <c r="BA1626" s="418"/>
    </row>
    <row r="1627" spans="40:53" ht="15.75" customHeight="1">
      <c r="AN1627" s="418"/>
      <c r="AO1627" s="418"/>
      <c r="AP1627" s="418"/>
      <c r="AQ1627" s="418"/>
      <c r="AR1627" s="418"/>
      <c r="AS1627" s="418"/>
      <c r="AT1627" s="418"/>
      <c r="AU1627" s="418"/>
      <c r="AV1627" s="418"/>
      <c r="AW1627" s="418"/>
      <c r="AX1627" s="418"/>
      <c r="AY1627" s="418"/>
      <c r="AZ1627" s="418"/>
      <c r="BA1627" s="418"/>
    </row>
    <row r="1628" spans="40:53" ht="15.75" customHeight="1">
      <c r="AN1628" s="418"/>
      <c r="AO1628" s="418"/>
      <c r="AP1628" s="418"/>
      <c r="AQ1628" s="418"/>
      <c r="AR1628" s="418"/>
      <c r="AS1628" s="418"/>
      <c r="AT1628" s="418"/>
      <c r="AU1628" s="418"/>
      <c r="AV1628" s="418"/>
      <c r="AW1628" s="418"/>
      <c r="AX1628" s="418"/>
      <c r="AY1628" s="418"/>
      <c r="AZ1628" s="418"/>
      <c r="BA1628" s="418"/>
    </row>
    <row r="1629" spans="40:53" ht="15.75" customHeight="1">
      <c r="AN1629" s="418"/>
      <c r="AO1629" s="418"/>
      <c r="AP1629" s="418"/>
      <c r="AQ1629" s="418"/>
      <c r="AR1629" s="418"/>
      <c r="AS1629" s="418"/>
      <c r="AT1629" s="418"/>
      <c r="AU1629" s="418"/>
      <c r="AV1629" s="418"/>
      <c r="AW1629" s="418"/>
      <c r="AX1629" s="418"/>
      <c r="AY1629" s="418"/>
      <c r="AZ1629" s="418"/>
      <c r="BA1629" s="418"/>
    </row>
    <row r="1630" spans="40:53" ht="15.75" customHeight="1">
      <c r="AN1630" s="418"/>
      <c r="AO1630" s="418"/>
      <c r="AP1630" s="418"/>
      <c r="AQ1630" s="418"/>
      <c r="AR1630" s="418"/>
      <c r="AS1630" s="418"/>
      <c r="AT1630" s="418"/>
      <c r="AU1630" s="418"/>
      <c r="AV1630" s="418"/>
      <c r="AW1630" s="418"/>
      <c r="AX1630" s="418"/>
      <c r="AY1630" s="418"/>
      <c r="AZ1630" s="418"/>
      <c r="BA1630" s="418"/>
    </row>
    <row r="1631" spans="40:53" ht="15.75" customHeight="1">
      <c r="AN1631" s="418"/>
      <c r="AO1631" s="418"/>
      <c r="AP1631" s="418"/>
      <c r="AQ1631" s="418"/>
      <c r="AR1631" s="418"/>
      <c r="AS1631" s="418"/>
      <c r="AT1631" s="418"/>
      <c r="AU1631" s="418"/>
      <c r="AV1631" s="418"/>
      <c r="AW1631" s="418"/>
      <c r="AX1631" s="418"/>
      <c r="AY1631" s="418"/>
      <c r="AZ1631" s="418"/>
      <c r="BA1631" s="418"/>
    </row>
    <row r="1632" spans="40:53" ht="15.75" customHeight="1">
      <c r="AN1632" s="418"/>
      <c r="AO1632" s="418"/>
      <c r="AP1632" s="418"/>
      <c r="AQ1632" s="418"/>
      <c r="AR1632" s="418"/>
      <c r="AS1632" s="418"/>
      <c r="AT1632" s="418"/>
      <c r="AU1632" s="418"/>
      <c r="AV1632" s="418"/>
      <c r="AW1632" s="418"/>
      <c r="AX1632" s="418"/>
      <c r="AY1632" s="418"/>
      <c r="AZ1632" s="418"/>
      <c r="BA1632" s="418"/>
    </row>
    <row r="1633" spans="40:53" ht="15.75" customHeight="1">
      <c r="AN1633" s="418"/>
      <c r="AO1633" s="418"/>
      <c r="AP1633" s="418"/>
      <c r="AQ1633" s="418"/>
      <c r="AR1633" s="418"/>
      <c r="AS1633" s="418"/>
      <c r="AT1633" s="418"/>
      <c r="AU1633" s="418"/>
      <c r="AV1633" s="418"/>
      <c r="AW1633" s="418"/>
      <c r="AX1633" s="418"/>
      <c r="AY1633" s="418"/>
      <c r="AZ1633" s="418"/>
      <c r="BA1633" s="418"/>
    </row>
    <row r="1634" spans="40:53" ht="15.75" customHeight="1">
      <c r="AN1634" s="418"/>
      <c r="AO1634" s="418"/>
      <c r="AP1634" s="418"/>
      <c r="AQ1634" s="418"/>
      <c r="AR1634" s="418"/>
      <c r="AS1634" s="418"/>
      <c r="AT1634" s="418"/>
      <c r="AU1634" s="418"/>
      <c r="AV1634" s="418"/>
      <c r="AW1634" s="418"/>
      <c r="AX1634" s="418"/>
      <c r="AY1634" s="418"/>
      <c r="AZ1634" s="418"/>
      <c r="BA1634" s="418"/>
    </row>
    <row r="1635" spans="40:53" ht="15.75" customHeight="1">
      <c r="AN1635" s="418"/>
      <c r="AO1635" s="418"/>
      <c r="AP1635" s="418"/>
      <c r="AQ1635" s="418"/>
      <c r="AR1635" s="418"/>
      <c r="AS1635" s="418"/>
      <c r="AT1635" s="418"/>
      <c r="AU1635" s="418"/>
      <c r="AV1635" s="418"/>
      <c r="AW1635" s="418"/>
      <c r="AX1635" s="418"/>
      <c r="AY1635" s="418"/>
      <c r="AZ1635" s="418"/>
      <c r="BA1635" s="418"/>
    </row>
    <row r="1636" spans="40:53" ht="15.75" customHeight="1">
      <c r="AN1636" s="418"/>
      <c r="AO1636" s="418"/>
      <c r="AP1636" s="418"/>
      <c r="AQ1636" s="418"/>
      <c r="AR1636" s="418"/>
      <c r="AS1636" s="418"/>
      <c r="AT1636" s="418"/>
      <c r="AU1636" s="418"/>
      <c r="AV1636" s="418"/>
      <c r="AW1636" s="418"/>
      <c r="AX1636" s="418"/>
      <c r="AY1636" s="418"/>
      <c r="AZ1636" s="418"/>
      <c r="BA1636" s="418"/>
    </row>
    <row r="1637" spans="40:53" ht="15.75" customHeight="1">
      <c r="AN1637" s="418"/>
      <c r="AO1637" s="418"/>
      <c r="AP1637" s="418"/>
      <c r="AQ1637" s="418"/>
      <c r="AR1637" s="418"/>
      <c r="AS1637" s="418"/>
      <c r="AT1637" s="418"/>
      <c r="AU1637" s="418"/>
      <c r="AV1637" s="418"/>
      <c r="AW1637" s="418"/>
      <c r="AX1637" s="418"/>
      <c r="AY1637" s="418"/>
      <c r="AZ1637" s="418"/>
      <c r="BA1637" s="418"/>
    </row>
    <row r="1638" spans="40:53" ht="15.75" customHeight="1">
      <c r="AN1638" s="418"/>
      <c r="AO1638" s="418"/>
      <c r="AP1638" s="418"/>
      <c r="AQ1638" s="418"/>
      <c r="AR1638" s="418"/>
      <c r="AS1638" s="418"/>
      <c r="AT1638" s="418"/>
      <c r="AU1638" s="418"/>
      <c r="AV1638" s="418"/>
      <c r="AW1638" s="418"/>
      <c r="AX1638" s="418"/>
      <c r="AY1638" s="418"/>
      <c r="AZ1638" s="418"/>
      <c r="BA1638" s="418"/>
    </row>
    <row r="1639" spans="40:53" ht="15.75" customHeight="1">
      <c r="AN1639" s="418"/>
      <c r="AO1639" s="418"/>
      <c r="AP1639" s="418"/>
      <c r="AQ1639" s="418"/>
      <c r="AR1639" s="418"/>
      <c r="AS1639" s="418"/>
      <c r="AT1639" s="418"/>
      <c r="AU1639" s="418"/>
      <c r="AV1639" s="418"/>
      <c r="AW1639" s="418"/>
      <c r="AX1639" s="418"/>
      <c r="AY1639" s="418"/>
      <c r="AZ1639" s="418"/>
      <c r="BA1639" s="418"/>
    </row>
    <row r="1640" spans="40:53" ht="15.75" customHeight="1">
      <c r="AN1640" s="418"/>
      <c r="AO1640" s="418"/>
      <c r="AP1640" s="418"/>
      <c r="AQ1640" s="418"/>
      <c r="AR1640" s="418"/>
      <c r="AS1640" s="418"/>
      <c r="AT1640" s="418"/>
      <c r="AU1640" s="418"/>
      <c r="AV1640" s="418"/>
      <c r="AW1640" s="418"/>
      <c r="AX1640" s="418"/>
      <c r="AY1640" s="418"/>
      <c r="AZ1640" s="418"/>
      <c r="BA1640" s="418"/>
    </row>
    <row r="1641" spans="40:53" ht="15.75" customHeight="1">
      <c r="AN1641" s="418"/>
      <c r="AO1641" s="418"/>
      <c r="AP1641" s="418"/>
      <c r="AQ1641" s="418"/>
      <c r="AR1641" s="418"/>
      <c r="AS1641" s="418"/>
      <c r="AT1641" s="418"/>
      <c r="AU1641" s="418"/>
      <c r="AV1641" s="418"/>
      <c r="AW1641" s="418"/>
      <c r="AX1641" s="418"/>
      <c r="AY1641" s="418"/>
      <c r="AZ1641" s="418"/>
      <c r="BA1641" s="418"/>
    </row>
    <row r="1642" spans="40:53" ht="15.75" customHeight="1">
      <c r="AN1642" s="418"/>
      <c r="AO1642" s="418"/>
      <c r="AP1642" s="418"/>
      <c r="AQ1642" s="418"/>
      <c r="AR1642" s="418"/>
      <c r="AS1642" s="418"/>
      <c r="AT1642" s="418"/>
      <c r="AU1642" s="418"/>
      <c r="AV1642" s="418"/>
      <c r="AW1642" s="418"/>
      <c r="AX1642" s="418"/>
      <c r="AY1642" s="418"/>
      <c r="AZ1642" s="418"/>
      <c r="BA1642" s="418"/>
    </row>
    <row r="1643" spans="40:53" ht="15.75" customHeight="1">
      <c r="AN1643" s="418"/>
      <c r="AO1643" s="418"/>
      <c r="AP1643" s="418"/>
      <c r="AQ1643" s="418"/>
      <c r="AR1643" s="418"/>
      <c r="AS1643" s="418"/>
      <c r="AT1643" s="418"/>
      <c r="AU1643" s="418"/>
      <c r="AV1643" s="418"/>
      <c r="AW1643" s="418"/>
      <c r="AX1643" s="418"/>
      <c r="AY1643" s="418"/>
      <c r="AZ1643" s="418"/>
      <c r="BA1643" s="418"/>
    </row>
    <row r="1644" spans="40:53" ht="15.75" customHeight="1">
      <c r="AN1644" s="418"/>
      <c r="AO1644" s="418"/>
      <c r="AP1644" s="418"/>
      <c r="AQ1644" s="418"/>
      <c r="AR1644" s="418"/>
      <c r="AS1644" s="418"/>
      <c r="AT1644" s="418"/>
      <c r="AU1644" s="418"/>
      <c r="AV1644" s="418"/>
      <c r="AW1644" s="418"/>
      <c r="AX1644" s="418"/>
      <c r="AY1644" s="418"/>
      <c r="AZ1644" s="418"/>
      <c r="BA1644" s="418"/>
    </row>
    <row r="1645" spans="40:53" ht="15.75" customHeight="1">
      <c r="AN1645" s="418"/>
      <c r="AO1645" s="418"/>
      <c r="AP1645" s="418"/>
      <c r="AQ1645" s="418"/>
      <c r="AR1645" s="418"/>
      <c r="AS1645" s="418"/>
      <c r="AT1645" s="418"/>
      <c r="AU1645" s="418"/>
      <c r="AV1645" s="418"/>
      <c r="AW1645" s="418"/>
      <c r="AX1645" s="418"/>
      <c r="AY1645" s="418"/>
      <c r="AZ1645" s="418"/>
      <c r="BA1645" s="418"/>
    </row>
    <row r="1646" spans="40:53" ht="15.75" customHeight="1">
      <c r="AN1646" s="418"/>
      <c r="AO1646" s="418"/>
      <c r="AP1646" s="418"/>
      <c r="AQ1646" s="418"/>
      <c r="AR1646" s="418"/>
      <c r="AS1646" s="418"/>
      <c r="AT1646" s="418"/>
      <c r="AU1646" s="418"/>
      <c r="AV1646" s="418"/>
      <c r="AW1646" s="418"/>
      <c r="AX1646" s="418"/>
      <c r="AY1646" s="418"/>
      <c r="AZ1646" s="418"/>
      <c r="BA1646" s="418"/>
    </row>
    <row r="1647" spans="40:53" ht="15.75" customHeight="1">
      <c r="AN1647" s="418"/>
      <c r="AO1647" s="418"/>
      <c r="AP1647" s="418"/>
      <c r="AQ1647" s="418"/>
      <c r="AR1647" s="418"/>
      <c r="AS1647" s="418"/>
      <c r="AT1647" s="418"/>
      <c r="AU1647" s="418"/>
      <c r="AV1647" s="418"/>
      <c r="AW1647" s="418"/>
      <c r="AX1647" s="418"/>
      <c r="AY1647" s="418"/>
      <c r="AZ1647" s="418"/>
      <c r="BA1647" s="418"/>
    </row>
    <row r="1648" spans="40:53" ht="15.75" customHeight="1">
      <c r="AN1648" s="418"/>
      <c r="AO1648" s="418"/>
      <c r="AP1648" s="418"/>
      <c r="AQ1648" s="418"/>
      <c r="AR1648" s="418"/>
      <c r="AS1648" s="418"/>
      <c r="AT1648" s="418"/>
      <c r="AU1648" s="418"/>
      <c r="AV1648" s="418"/>
      <c r="AW1648" s="418"/>
      <c r="AX1648" s="418"/>
      <c r="AY1648" s="418"/>
      <c r="AZ1648" s="418"/>
      <c r="BA1648" s="418"/>
    </row>
    <row r="1649" spans="40:53" ht="15.75" customHeight="1">
      <c r="AN1649" s="418"/>
      <c r="AO1649" s="418"/>
      <c r="AP1649" s="418"/>
      <c r="AQ1649" s="418"/>
      <c r="AR1649" s="418"/>
      <c r="AS1649" s="418"/>
      <c r="AT1649" s="418"/>
      <c r="AU1649" s="418"/>
      <c r="AV1649" s="418"/>
      <c r="AW1649" s="418"/>
      <c r="AX1649" s="418"/>
      <c r="AY1649" s="418"/>
      <c r="AZ1649" s="418"/>
      <c r="BA1649" s="418"/>
    </row>
    <row r="1650" spans="40:53" ht="15.75" customHeight="1">
      <c r="AN1650" s="418"/>
      <c r="AO1650" s="418"/>
      <c r="AP1650" s="418"/>
      <c r="AQ1650" s="418"/>
      <c r="AR1650" s="418"/>
      <c r="AS1650" s="418"/>
      <c r="AT1650" s="418"/>
      <c r="AU1650" s="418"/>
      <c r="AV1650" s="418"/>
      <c r="AW1650" s="418"/>
      <c r="AX1650" s="418"/>
      <c r="AY1650" s="418"/>
      <c r="AZ1650" s="418"/>
      <c r="BA1650" s="418"/>
    </row>
    <row r="1651" spans="40:53" ht="15.75" customHeight="1">
      <c r="AN1651" s="418"/>
      <c r="AO1651" s="418"/>
      <c r="AP1651" s="418"/>
      <c r="AQ1651" s="418"/>
      <c r="AR1651" s="418"/>
      <c r="AS1651" s="418"/>
      <c r="AT1651" s="418"/>
      <c r="AU1651" s="418"/>
      <c r="AV1651" s="418"/>
      <c r="AW1651" s="418"/>
      <c r="AX1651" s="418"/>
      <c r="AY1651" s="418"/>
      <c r="AZ1651" s="418"/>
      <c r="BA1651" s="418"/>
    </row>
    <row r="1652" spans="40:53" ht="15.75" customHeight="1">
      <c r="AN1652" s="418"/>
      <c r="AO1652" s="418"/>
      <c r="AP1652" s="418"/>
      <c r="AQ1652" s="418"/>
      <c r="AR1652" s="418"/>
      <c r="AS1652" s="418"/>
      <c r="AT1652" s="418"/>
      <c r="AU1652" s="418"/>
      <c r="AV1652" s="418"/>
      <c r="AW1652" s="418"/>
      <c r="AX1652" s="418"/>
      <c r="AY1652" s="418"/>
      <c r="AZ1652" s="418"/>
      <c r="BA1652" s="418"/>
    </row>
    <row r="1653" spans="40:53" ht="15.75" customHeight="1">
      <c r="AN1653" s="418"/>
      <c r="AO1653" s="418"/>
      <c r="AP1653" s="418"/>
      <c r="AQ1653" s="418"/>
      <c r="AR1653" s="418"/>
      <c r="AS1653" s="418"/>
      <c r="AT1653" s="418"/>
      <c r="AU1653" s="418"/>
      <c r="AV1653" s="418"/>
      <c r="AW1653" s="418"/>
      <c r="AX1653" s="418"/>
      <c r="AY1653" s="418"/>
      <c r="AZ1653" s="418"/>
      <c r="BA1653" s="418"/>
    </row>
    <row r="1654" spans="40:53" ht="15.75" customHeight="1">
      <c r="AN1654" s="418"/>
      <c r="AO1654" s="418"/>
      <c r="AP1654" s="418"/>
      <c r="AQ1654" s="418"/>
      <c r="AR1654" s="418"/>
      <c r="AS1654" s="418"/>
      <c r="AT1654" s="418"/>
      <c r="AU1654" s="418"/>
      <c r="AV1654" s="418"/>
      <c r="AW1654" s="418"/>
      <c r="AX1654" s="418"/>
      <c r="AY1654" s="418"/>
      <c r="AZ1654" s="418"/>
      <c r="BA1654" s="418"/>
    </row>
    <row r="1655" spans="40:53" ht="15.75" customHeight="1">
      <c r="AN1655" s="418"/>
      <c r="AO1655" s="418"/>
      <c r="AP1655" s="418"/>
      <c r="AQ1655" s="418"/>
      <c r="AR1655" s="418"/>
      <c r="AS1655" s="418"/>
      <c r="AT1655" s="418"/>
      <c r="AU1655" s="418"/>
      <c r="AV1655" s="418"/>
      <c r="AW1655" s="418"/>
      <c r="AX1655" s="418"/>
      <c r="AY1655" s="418"/>
      <c r="AZ1655" s="418"/>
      <c r="BA1655" s="418"/>
    </row>
    <row r="1656" spans="40:53" ht="15.75" customHeight="1">
      <c r="AN1656" s="418"/>
      <c r="AO1656" s="418"/>
      <c r="AP1656" s="418"/>
      <c r="AQ1656" s="418"/>
      <c r="AR1656" s="418"/>
      <c r="AS1656" s="418"/>
      <c r="AT1656" s="418"/>
      <c r="AU1656" s="418"/>
      <c r="AV1656" s="418"/>
      <c r="AW1656" s="418"/>
      <c r="AX1656" s="418"/>
      <c r="AY1656" s="418"/>
      <c r="AZ1656" s="418"/>
      <c r="BA1656" s="418"/>
    </row>
    <row r="1657" spans="40:53" ht="15.75" customHeight="1">
      <c r="AN1657" s="418"/>
      <c r="AO1657" s="418"/>
      <c r="AP1657" s="418"/>
      <c r="AQ1657" s="418"/>
      <c r="AR1657" s="418"/>
      <c r="AS1657" s="418"/>
      <c r="AT1657" s="418"/>
      <c r="AU1657" s="418"/>
      <c r="AV1657" s="418"/>
      <c r="AW1657" s="418"/>
      <c r="AX1657" s="418"/>
      <c r="AY1657" s="418"/>
      <c r="AZ1657" s="418"/>
      <c r="BA1657" s="418"/>
    </row>
    <row r="1658" spans="40:53" ht="15.75" customHeight="1">
      <c r="AN1658" s="418"/>
      <c r="AO1658" s="418"/>
      <c r="AP1658" s="418"/>
      <c r="AQ1658" s="418"/>
      <c r="AR1658" s="418"/>
      <c r="AS1658" s="418"/>
      <c r="AT1658" s="418"/>
      <c r="AU1658" s="418"/>
      <c r="AV1658" s="418"/>
      <c r="AW1658" s="418"/>
      <c r="AX1658" s="418"/>
      <c r="AY1658" s="418"/>
      <c r="AZ1658" s="418"/>
      <c r="BA1658" s="418"/>
    </row>
    <row r="1659" spans="40:53" ht="15.75" customHeight="1">
      <c r="AN1659" s="418"/>
      <c r="AO1659" s="418"/>
      <c r="AP1659" s="418"/>
      <c r="AQ1659" s="418"/>
      <c r="AR1659" s="418"/>
      <c r="AS1659" s="418"/>
      <c r="AT1659" s="418"/>
      <c r="AU1659" s="418"/>
      <c r="AV1659" s="418"/>
      <c r="AW1659" s="418"/>
      <c r="AX1659" s="418"/>
      <c r="AY1659" s="418"/>
      <c r="AZ1659" s="418"/>
      <c r="BA1659" s="418"/>
    </row>
    <row r="1660" spans="40:53" ht="15.75" customHeight="1">
      <c r="AN1660" s="418"/>
      <c r="AO1660" s="418"/>
      <c r="AP1660" s="418"/>
      <c r="AQ1660" s="418"/>
      <c r="AR1660" s="418"/>
      <c r="AS1660" s="418"/>
      <c r="AT1660" s="418"/>
      <c r="AU1660" s="418"/>
      <c r="AV1660" s="418"/>
      <c r="AW1660" s="418"/>
      <c r="AX1660" s="418"/>
      <c r="AY1660" s="418"/>
      <c r="AZ1660" s="418"/>
      <c r="BA1660" s="418"/>
    </row>
    <row r="1661" spans="40:53" ht="15.75" customHeight="1">
      <c r="AN1661" s="418"/>
      <c r="AO1661" s="418"/>
      <c r="AP1661" s="418"/>
      <c r="AQ1661" s="418"/>
      <c r="AR1661" s="418"/>
      <c r="AS1661" s="418"/>
      <c r="AT1661" s="418"/>
      <c r="AU1661" s="418"/>
      <c r="AV1661" s="418"/>
      <c r="AW1661" s="418"/>
      <c r="AX1661" s="418"/>
      <c r="AY1661" s="418"/>
      <c r="AZ1661" s="418"/>
      <c r="BA1661" s="418"/>
    </row>
    <row r="1662" spans="40:53" ht="15.75" customHeight="1">
      <c r="AN1662" s="418"/>
      <c r="AO1662" s="418"/>
      <c r="AP1662" s="418"/>
      <c r="AQ1662" s="418"/>
      <c r="AR1662" s="418"/>
      <c r="AS1662" s="418"/>
      <c r="AT1662" s="418"/>
      <c r="AU1662" s="418"/>
      <c r="AV1662" s="418"/>
      <c r="AW1662" s="418"/>
      <c r="AX1662" s="418"/>
      <c r="AY1662" s="418"/>
      <c r="AZ1662" s="418"/>
      <c r="BA1662" s="418"/>
    </row>
    <row r="1663" spans="40:53" ht="15.75" customHeight="1">
      <c r="AN1663" s="418"/>
      <c r="AO1663" s="418"/>
      <c r="AP1663" s="418"/>
      <c r="AQ1663" s="418"/>
      <c r="AR1663" s="418"/>
      <c r="AS1663" s="418"/>
      <c r="AT1663" s="418"/>
      <c r="AU1663" s="418"/>
      <c r="AV1663" s="418"/>
      <c r="AW1663" s="418"/>
      <c r="AX1663" s="418"/>
      <c r="AY1663" s="418"/>
      <c r="AZ1663" s="418"/>
      <c r="BA1663" s="418"/>
    </row>
    <row r="1664" spans="40:53" ht="15.75" customHeight="1">
      <c r="AN1664" s="418"/>
      <c r="AO1664" s="418"/>
      <c r="AP1664" s="418"/>
      <c r="AQ1664" s="418"/>
      <c r="AR1664" s="418"/>
      <c r="AS1664" s="418"/>
      <c r="AT1664" s="418"/>
      <c r="AU1664" s="418"/>
      <c r="AV1664" s="418"/>
      <c r="AW1664" s="418"/>
      <c r="AX1664" s="418"/>
      <c r="AY1664" s="418"/>
      <c r="AZ1664" s="418"/>
      <c r="BA1664" s="418"/>
    </row>
    <row r="1665" spans="40:53" ht="15.75" customHeight="1">
      <c r="AN1665" s="418"/>
      <c r="AO1665" s="418"/>
      <c r="AP1665" s="418"/>
      <c r="AQ1665" s="418"/>
      <c r="AR1665" s="418"/>
      <c r="AS1665" s="418"/>
      <c r="AT1665" s="418"/>
      <c r="AU1665" s="418"/>
      <c r="AV1665" s="418"/>
      <c r="AW1665" s="418"/>
      <c r="AX1665" s="418"/>
      <c r="AY1665" s="418"/>
      <c r="AZ1665" s="418"/>
      <c r="BA1665" s="418"/>
    </row>
    <row r="1666" spans="40:53" ht="15.75" customHeight="1">
      <c r="AN1666" s="418"/>
      <c r="AO1666" s="418"/>
      <c r="AP1666" s="418"/>
      <c r="AQ1666" s="418"/>
      <c r="AR1666" s="418"/>
      <c r="AS1666" s="418"/>
      <c r="AT1666" s="418"/>
      <c r="AU1666" s="418"/>
      <c r="AV1666" s="418"/>
      <c r="AW1666" s="418"/>
      <c r="AX1666" s="418"/>
      <c r="AY1666" s="418"/>
      <c r="AZ1666" s="418"/>
      <c r="BA1666" s="418"/>
    </row>
    <row r="1667" spans="40:53" ht="15.75" customHeight="1">
      <c r="AN1667" s="418"/>
      <c r="AO1667" s="418"/>
      <c r="AP1667" s="418"/>
      <c r="AQ1667" s="418"/>
      <c r="AR1667" s="418"/>
      <c r="AS1667" s="418"/>
      <c r="AT1667" s="418"/>
      <c r="AU1667" s="418"/>
      <c r="AV1667" s="418"/>
      <c r="AW1667" s="418"/>
      <c r="AX1667" s="418"/>
      <c r="AY1667" s="418"/>
      <c r="AZ1667" s="418"/>
      <c r="BA1667" s="418"/>
    </row>
    <row r="1668" spans="40:53" ht="15.75" customHeight="1">
      <c r="AN1668" s="418"/>
      <c r="AO1668" s="418"/>
      <c r="AP1668" s="418"/>
      <c r="AQ1668" s="418"/>
      <c r="AR1668" s="418"/>
      <c r="AS1668" s="418"/>
      <c r="AT1668" s="418"/>
      <c r="AU1668" s="418"/>
      <c r="AV1668" s="418"/>
      <c r="AW1668" s="418"/>
      <c r="AX1668" s="418"/>
      <c r="AY1668" s="418"/>
      <c r="AZ1668" s="418"/>
      <c r="BA1668" s="418"/>
    </row>
    <row r="1669" spans="40:53" ht="15.75" customHeight="1">
      <c r="AN1669" s="418"/>
      <c r="AO1669" s="418"/>
      <c r="AP1669" s="418"/>
      <c r="AQ1669" s="418"/>
      <c r="AR1669" s="418"/>
      <c r="AS1669" s="418"/>
      <c r="AT1669" s="418"/>
      <c r="AU1669" s="418"/>
      <c r="AV1669" s="418"/>
      <c r="AW1669" s="418"/>
      <c r="AX1669" s="418"/>
      <c r="AY1669" s="418"/>
      <c r="AZ1669" s="418"/>
      <c r="BA1669" s="418"/>
    </row>
    <row r="1670" spans="40:53" ht="15.75" customHeight="1">
      <c r="AN1670" s="418"/>
      <c r="AO1670" s="418"/>
      <c r="AP1670" s="418"/>
      <c r="AQ1670" s="418"/>
      <c r="AR1670" s="418"/>
      <c r="AS1670" s="418"/>
      <c r="AT1670" s="418"/>
      <c r="AU1670" s="418"/>
      <c r="AV1670" s="418"/>
      <c r="AW1670" s="418"/>
      <c r="AX1670" s="418"/>
      <c r="AY1670" s="418"/>
      <c r="AZ1670" s="418"/>
      <c r="BA1670" s="418"/>
    </row>
    <row r="1671" spans="40:53" ht="15.75" customHeight="1">
      <c r="AN1671" s="418"/>
      <c r="AO1671" s="418"/>
      <c r="AP1671" s="418"/>
      <c r="AQ1671" s="418"/>
      <c r="AR1671" s="418"/>
      <c r="AS1671" s="418"/>
      <c r="AT1671" s="418"/>
      <c r="AU1671" s="418"/>
      <c r="AV1671" s="418"/>
      <c r="AW1671" s="418"/>
      <c r="AX1671" s="418"/>
      <c r="AY1671" s="418"/>
      <c r="AZ1671" s="418"/>
      <c r="BA1671" s="418"/>
    </row>
    <row r="1672" spans="40:53" ht="15.75" customHeight="1">
      <c r="AN1672" s="418"/>
      <c r="AO1672" s="418"/>
      <c r="AP1672" s="418"/>
      <c r="AQ1672" s="418"/>
      <c r="AR1672" s="418"/>
      <c r="AS1672" s="418"/>
      <c r="AT1672" s="418"/>
      <c r="AU1672" s="418"/>
      <c r="AV1672" s="418"/>
      <c r="AW1672" s="418"/>
      <c r="AX1672" s="418"/>
      <c r="AY1672" s="418"/>
      <c r="AZ1672" s="418"/>
      <c r="BA1672" s="418"/>
    </row>
    <row r="1673" spans="40:53" ht="15.75" customHeight="1">
      <c r="AN1673" s="418"/>
      <c r="AO1673" s="418"/>
      <c r="AP1673" s="418"/>
      <c r="AQ1673" s="418"/>
      <c r="AR1673" s="418"/>
      <c r="AS1673" s="418"/>
      <c r="AT1673" s="418"/>
      <c r="AU1673" s="418"/>
      <c r="AV1673" s="418"/>
      <c r="AW1673" s="418"/>
      <c r="AX1673" s="418"/>
      <c r="AY1673" s="418"/>
      <c r="AZ1673" s="418"/>
      <c r="BA1673" s="418"/>
    </row>
    <row r="1674" spans="40:53" ht="15.75" customHeight="1">
      <c r="AN1674" s="418"/>
      <c r="AO1674" s="418"/>
      <c r="AP1674" s="418"/>
      <c r="AQ1674" s="418"/>
      <c r="AR1674" s="418"/>
      <c r="AS1674" s="418"/>
      <c r="AT1674" s="418"/>
      <c r="AU1674" s="418"/>
      <c r="AV1674" s="418"/>
      <c r="AW1674" s="418"/>
      <c r="AX1674" s="418"/>
      <c r="AY1674" s="418"/>
      <c r="AZ1674" s="418"/>
      <c r="BA1674" s="418"/>
    </row>
    <row r="1675" spans="40:53" ht="15.75" customHeight="1">
      <c r="AN1675" s="418"/>
      <c r="AO1675" s="418"/>
      <c r="AP1675" s="418"/>
      <c r="AQ1675" s="418"/>
      <c r="AR1675" s="418"/>
      <c r="AS1675" s="418"/>
      <c r="AT1675" s="418"/>
      <c r="AU1675" s="418"/>
      <c r="AV1675" s="418"/>
      <c r="AW1675" s="418"/>
      <c r="AX1675" s="418"/>
      <c r="AY1675" s="418"/>
      <c r="AZ1675" s="418"/>
      <c r="BA1675" s="418"/>
    </row>
    <row r="1676" spans="40:53" ht="15.75" customHeight="1">
      <c r="AN1676" s="418"/>
      <c r="AO1676" s="418"/>
      <c r="AP1676" s="418"/>
      <c r="AQ1676" s="418"/>
      <c r="AR1676" s="418"/>
      <c r="AS1676" s="418"/>
      <c r="AT1676" s="418"/>
      <c r="AU1676" s="418"/>
      <c r="AV1676" s="418"/>
      <c r="AW1676" s="418"/>
      <c r="AX1676" s="418"/>
      <c r="AY1676" s="418"/>
      <c r="AZ1676" s="418"/>
      <c r="BA1676" s="418"/>
    </row>
    <row r="1677" spans="40:53" ht="15.75" customHeight="1">
      <c r="AN1677" s="418"/>
      <c r="AO1677" s="418"/>
      <c r="AP1677" s="418"/>
      <c r="AQ1677" s="418"/>
      <c r="AR1677" s="418"/>
      <c r="AS1677" s="418"/>
      <c r="AT1677" s="418"/>
      <c r="AU1677" s="418"/>
      <c r="AV1677" s="418"/>
      <c r="AW1677" s="418"/>
      <c r="AX1677" s="418"/>
      <c r="AY1677" s="418"/>
      <c r="AZ1677" s="418"/>
      <c r="BA1677" s="418"/>
    </row>
    <row r="1678" spans="40:53" ht="15.75" customHeight="1">
      <c r="AN1678" s="418"/>
      <c r="AO1678" s="418"/>
      <c r="AP1678" s="418"/>
      <c r="AQ1678" s="418"/>
      <c r="AR1678" s="418"/>
      <c r="AS1678" s="418"/>
      <c r="AT1678" s="418"/>
      <c r="AU1678" s="418"/>
      <c r="AV1678" s="418"/>
      <c r="AW1678" s="418"/>
      <c r="AX1678" s="418"/>
      <c r="AY1678" s="418"/>
      <c r="AZ1678" s="418"/>
      <c r="BA1678" s="418"/>
    </row>
    <row r="1679" spans="40:53" ht="15.75" customHeight="1">
      <c r="AN1679" s="418"/>
      <c r="AO1679" s="418"/>
      <c r="AP1679" s="418"/>
      <c r="AQ1679" s="418"/>
      <c r="AR1679" s="418"/>
      <c r="AS1679" s="418"/>
      <c r="AT1679" s="418"/>
      <c r="AU1679" s="418"/>
      <c r="AV1679" s="418"/>
      <c r="AW1679" s="418"/>
      <c r="AX1679" s="418"/>
      <c r="AY1679" s="418"/>
      <c r="AZ1679" s="418"/>
      <c r="BA1679" s="418"/>
    </row>
    <row r="1680" spans="40:53" ht="15.75" customHeight="1">
      <c r="AN1680" s="418"/>
      <c r="AO1680" s="418"/>
      <c r="AP1680" s="418"/>
      <c r="AQ1680" s="418"/>
      <c r="AR1680" s="418"/>
      <c r="AS1680" s="418"/>
      <c r="AT1680" s="418"/>
      <c r="AU1680" s="418"/>
      <c r="AV1680" s="418"/>
      <c r="AW1680" s="418"/>
      <c r="AX1680" s="418"/>
      <c r="AY1680" s="418"/>
      <c r="AZ1680" s="418"/>
      <c r="BA1680" s="418"/>
    </row>
    <row r="1681" spans="40:53" ht="15.75" customHeight="1">
      <c r="AN1681" s="418"/>
      <c r="AO1681" s="418"/>
      <c r="AP1681" s="418"/>
      <c r="AQ1681" s="418"/>
      <c r="AR1681" s="418"/>
      <c r="AS1681" s="418"/>
      <c r="AT1681" s="418"/>
      <c r="AU1681" s="418"/>
      <c r="AV1681" s="418"/>
      <c r="AW1681" s="418"/>
      <c r="AX1681" s="418"/>
      <c r="AY1681" s="418"/>
      <c r="AZ1681" s="418"/>
      <c r="BA1681" s="418"/>
    </row>
    <row r="1682" spans="40:53" ht="15.75" customHeight="1">
      <c r="AN1682" s="418"/>
      <c r="AO1682" s="418"/>
      <c r="AP1682" s="418"/>
      <c r="AQ1682" s="418"/>
      <c r="AR1682" s="418"/>
      <c r="AS1682" s="418"/>
      <c r="AT1682" s="418"/>
      <c r="AU1682" s="418"/>
      <c r="AV1682" s="418"/>
      <c r="AW1682" s="418"/>
      <c r="AX1682" s="418"/>
      <c r="AY1682" s="418"/>
      <c r="AZ1682" s="418"/>
      <c r="BA1682" s="418"/>
    </row>
    <row r="1683" spans="40:53" ht="15.75" customHeight="1">
      <c r="AN1683" s="418"/>
      <c r="AO1683" s="418"/>
      <c r="AP1683" s="418"/>
      <c r="AQ1683" s="418"/>
      <c r="AR1683" s="418"/>
      <c r="AS1683" s="418"/>
      <c r="AT1683" s="418"/>
      <c r="AU1683" s="418"/>
      <c r="AV1683" s="418"/>
      <c r="AW1683" s="418"/>
      <c r="AX1683" s="418"/>
      <c r="AY1683" s="418"/>
      <c r="AZ1683" s="418"/>
      <c r="BA1683" s="418"/>
    </row>
    <row r="1684" spans="40:53" ht="15.75" customHeight="1">
      <c r="AN1684" s="418"/>
      <c r="AO1684" s="418"/>
      <c r="AP1684" s="418"/>
      <c r="AQ1684" s="418"/>
      <c r="AR1684" s="418"/>
      <c r="AS1684" s="418"/>
      <c r="AT1684" s="418"/>
      <c r="AU1684" s="418"/>
      <c r="AV1684" s="418"/>
      <c r="AW1684" s="418"/>
      <c r="AX1684" s="418"/>
      <c r="AY1684" s="418"/>
      <c r="AZ1684" s="418"/>
      <c r="BA1684" s="418"/>
    </row>
    <row r="1685" spans="40:53" ht="15.75" customHeight="1">
      <c r="AN1685" s="418"/>
      <c r="AO1685" s="418"/>
      <c r="AP1685" s="418"/>
      <c r="AQ1685" s="418"/>
      <c r="AR1685" s="418"/>
      <c r="AS1685" s="418"/>
      <c r="AT1685" s="418"/>
      <c r="AU1685" s="418"/>
      <c r="AV1685" s="418"/>
      <c r="AW1685" s="418"/>
      <c r="AX1685" s="418"/>
      <c r="AY1685" s="418"/>
      <c r="AZ1685" s="418"/>
      <c r="BA1685" s="418"/>
    </row>
    <row r="1686" spans="40:53" ht="15.75" customHeight="1">
      <c r="AN1686" s="418"/>
      <c r="AO1686" s="418"/>
      <c r="AP1686" s="418"/>
      <c r="AQ1686" s="418"/>
      <c r="AR1686" s="418"/>
      <c r="AS1686" s="418"/>
      <c r="AT1686" s="418"/>
      <c r="AU1686" s="418"/>
      <c r="AV1686" s="418"/>
      <c r="AW1686" s="418"/>
      <c r="AX1686" s="418"/>
      <c r="AY1686" s="418"/>
      <c r="AZ1686" s="418"/>
      <c r="BA1686" s="418"/>
    </row>
    <row r="1687" spans="40:53" ht="15.75" customHeight="1">
      <c r="AN1687" s="418"/>
      <c r="AO1687" s="418"/>
      <c r="AP1687" s="418"/>
      <c r="AQ1687" s="418"/>
      <c r="AR1687" s="418"/>
      <c r="AS1687" s="418"/>
      <c r="AT1687" s="418"/>
      <c r="AU1687" s="418"/>
      <c r="AV1687" s="418"/>
      <c r="AW1687" s="418"/>
      <c r="AX1687" s="418"/>
      <c r="AY1687" s="418"/>
      <c r="AZ1687" s="418"/>
      <c r="BA1687" s="418"/>
    </row>
    <row r="1688" spans="40:53" ht="15.75" customHeight="1">
      <c r="AN1688" s="418"/>
      <c r="AO1688" s="418"/>
      <c r="AP1688" s="418"/>
      <c r="AQ1688" s="418"/>
      <c r="AR1688" s="418"/>
      <c r="AS1688" s="418"/>
      <c r="AT1688" s="418"/>
      <c r="AU1688" s="418"/>
      <c r="AV1688" s="418"/>
      <c r="AW1688" s="418"/>
      <c r="AX1688" s="418"/>
      <c r="AY1688" s="418"/>
      <c r="AZ1688" s="418"/>
      <c r="BA1688" s="418"/>
    </row>
    <row r="1689" spans="40:53" ht="15.75" customHeight="1">
      <c r="AN1689" s="418"/>
      <c r="AO1689" s="418"/>
      <c r="AP1689" s="418"/>
      <c r="AQ1689" s="418"/>
      <c r="AR1689" s="418"/>
      <c r="AS1689" s="418"/>
      <c r="AT1689" s="418"/>
      <c r="AU1689" s="418"/>
      <c r="AV1689" s="418"/>
      <c r="AW1689" s="418"/>
      <c r="AX1689" s="418"/>
      <c r="AY1689" s="418"/>
      <c r="AZ1689" s="418"/>
      <c r="BA1689" s="418"/>
    </row>
    <row r="1690" spans="40:53" ht="15.75" customHeight="1">
      <c r="AN1690" s="418"/>
      <c r="AO1690" s="418"/>
      <c r="AP1690" s="418"/>
      <c r="AQ1690" s="418"/>
      <c r="AR1690" s="418"/>
      <c r="AS1690" s="418"/>
      <c r="AT1690" s="418"/>
      <c r="AU1690" s="418"/>
      <c r="AV1690" s="418"/>
      <c r="AW1690" s="418"/>
      <c r="AX1690" s="418"/>
      <c r="AY1690" s="418"/>
      <c r="AZ1690" s="418"/>
      <c r="BA1690" s="418"/>
    </row>
    <row r="1691" spans="40:53" ht="15.75" customHeight="1">
      <c r="AN1691" s="418"/>
      <c r="AO1691" s="418"/>
      <c r="AP1691" s="418"/>
      <c r="AQ1691" s="418"/>
      <c r="AR1691" s="418"/>
      <c r="AS1691" s="418"/>
      <c r="AT1691" s="418"/>
      <c r="AU1691" s="418"/>
      <c r="AV1691" s="418"/>
      <c r="AW1691" s="418"/>
      <c r="AX1691" s="418"/>
      <c r="AY1691" s="418"/>
      <c r="AZ1691" s="418"/>
      <c r="BA1691" s="418"/>
    </row>
    <row r="1692" spans="40:53" ht="15.75" customHeight="1">
      <c r="AN1692" s="418"/>
      <c r="AO1692" s="418"/>
      <c r="AP1692" s="418"/>
      <c r="AQ1692" s="418"/>
      <c r="AR1692" s="418"/>
      <c r="AS1692" s="418"/>
      <c r="AT1692" s="418"/>
      <c r="AU1692" s="418"/>
      <c r="AV1692" s="418"/>
      <c r="AW1692" s="418"/>
      <c r="AX1692" s="418"/>
      <c r="AY1692" s="418"/>
      <c r="AZ1692" s="418"/>
      <c r="BA1692" s="418"/>
    </row>
    <row r="1693" spans="40:53" ht="15.75" customHeight="1">
      <c r="AN1693" s="418"/>
      <c r="AO1693" s="418"/>
      <c r="AP1693" s="418"/>
      <c r="AQ1693" s="418"/>
      <c r="AR1693" s="418"/>
      <c r="AS1693" s="418"/>
      <c r="AT1693" s="418"/>
      <c r="AU1693" s="418"/>
      <c r="AV1693" s="418"/>
      <c r="AW1693" s="418"/>
      <c r="AX1693" s="418"/>
      <c r="AY1693" s="418"/>
      <c r="AZ1693" s="418"/>
      <c r="BA1693" s="418"/>
    </row>
    <row r="1694" spans="40:53" ht="15.75" customHeight="1">
      <c r="AN1694" s="418"/>
      <c r="AO1694" s="418"/>
      <c r="AP1694" s="418"/>
      <c r="AQ1694" s="418"/>
      <c r="AR1694" s="418"/>
      <c r="AS1694" s="418"/>
      <c r="AT1694" s="418"/>
      <c r="AU1694" s="418"/>
      <c r="AV1694" s="418"/>
      <c r="AW1694" s="418"/>
      <c r="AX1694" s="418"/>
      <c r="AY1694" s="418"/>
      <c r="AZ1694" s="418"/>
      <c r="BA1694" s="418"/>
    </row>
    <row r="1695" spans="40:53" ht="15.75" customHeight="1">
      <c r="AN1695" s="418"/>
      <c r="AO1695" s="418"/>
      <c r="AP1695" s="418"/>
      <c r="AQ1695" s="418"/>
      <c r="AR1695" s="418"/>
      <c r="AS1695" s="418"/>
      <c r="AT1695" s="418"/>
      <c r="AU1695" s="418"/>
      <c r="AV1695" s="418"/>
      <c r="AW1695" s="418"/>
      <c r="AX1695" s="418"/>
      <c r="AY1695" s="418"/>
      <c r="AZ1695" s="418"/>
      <c r="BA1695" s="418"/>
    </row>
    <row r="1696" spans="40:53" ht="15.75" customHeight="1">
      <c r="AN1696" s="418"/>
      <c r="AO1696" s="418"/>
      <c r="AP1696" s="418"/>
      <c r="AQ1696" s="418"/>
      <c r="AR1696" s="418"/>
      <c r="AS1696" s="418"/>
      <c r="AT1696" s="418"/>
      <c r="AU1696" s="418"/>
      <c r="AV1696" s="418"/>
      <c r="AW1696" s="418"/>
      <c r="AX1696" s="418"/>
      <c r="AY1696" s="418"/>
      <c r="AZ1696" s="418"/>
      <c r="BA1696" s="418"/>
    </row>
    <row r="1697" spans="40:53" ht="15.75" customHeight="1">
      <c r="AN1697" s="418"/>
      <c r="AO1697" s="418"/>
      <c r="AP1697" s="418"/>
      <c r="AQ1697" s="418"/>
      <c r="AR1697" s="418"/>
      <c r="AS1697" s="418"/>
      <c r="AT1697" s="418"/>
      <c r="AU1697" s="418"/>
      <c r="AV1697" s="418"/>
      <c r="AW1697" s="418"/>
      <c r="AX1697" s="418"/>
      <c r="AY1697" s="418"/>
      <c r="AZ1697" s="418"/>
      <c r="BA1697" s="418"/>
    </row>
    <row r="1698" spans="40:53" ht="15.75" customHeight="1">
      <c r="AN1698" s="418"/>
      <c r="AO1698" s="418"/>
      <c r="AP1698" s="418"/>
      <c r="AQ1698" s="418"/>
      <c r="AR1698" s="418"/>
      <c r="AS1698" s="418"/>
      <c r="AT1698" s="418"/>
      <c r="AU1698" s="418"/>
      <c r="AV1698" s="418"/>
      <c r="AW1698" s="418"/>
      <c r="AX1698" s="418"/>
      <c r="AY1698" s="418"/>
      <c r="AZ1698" s="418"/>
      <c r="BA1698" s="418"/>
    </row>
    <row r="1699" spans="40:53" ht="15.75" customHeight="1">
      <c r="AN1699" s="418"/>
      <c r="AO1699" s="418"/>
      <c r="AP1699" s="418"/>
      <c r="AQ1699" s="418"/>
      <c r="AR1699" s="418"/>
      <c r="AS1699" s="418"/>
      <c r="AT1699" s="418"/>
      <c r="AU1699" s="418"/>
      <c r="AV1699" s="418"/>
      <c r="AW1699" s="418"/>
      <c r="AX1699" s="418"/>
      <c r="AY1699" s="418"/>
      <c r="AZ1699" s="418"/>
      <c r="BA1699" s="418"/>
    </row>
    <row r="1700" spans="40:53" ht="15.75" customHeight="1">
      <c r="AN1700" s="418"/>
      <c r="AO1700" s="418"/>
      <c r="AP1700" s="418"/>
      <c r="AQ1700" s="418"/>
      <c r="AR1700" s="418"/>
      <c r="AS1700" s="418"/>
      <c r="AT1700" s="418"/>
      <c r="AU1700" s="418"/>
      <c r="AV1700" s="418"/>
      <c r="AW1700" s="418"/>
      <c r="AX1700" s="418"/>
      <c r="AY1700" s="418"/>
      <c r="AZ1700" s="418"/>
      <c r="BA1700" s="418"/>
    </row>
    <row r="1701" spans="40:53" ht="15.75" customHeight="1">
      <c r="AN1701" s="418"/>
      <c r="AO1701" s="418"/>
      <c r="AP1701" s="418"/>
      <c r="AQ1701" s="418"/>
      <c r="AR1701" s="418"/>
      <c r="AS1701" s="418"/>
      <c r="AT1701" s="418"/>
      <c r="AU1701" s="418"/>
      <c r="AV1701" s="418"/>
      <c r="AW1701" s="418"/>
      <c r="AX1701" s="418"/>
      <c r="AY1701" s="418"/>
      <c r="AZ1701" s="418"/>
      <c r="BA1701" s="418"/>
    </row>
    <row r="1702" spans="40:53" ht="15.75" customHeight="1">
      <c r="AN1702" s="418"/>
      <c r="AO1702" s="418"/>
      <c r="AP1702" s="418"/>
      <c r="AQ1702" s="418"/>
      <c r="AR1702" s="418"/>
      <c r="AS1702" s="418"/>
      <c r="AT1702" s="418"/>
      <c r="AU1702" s="418"/>
      <c r="AV1702" s="418"/>
      <c r="AW1702" s="418"/>
      <c r="AX1702" s="418"/>
      <c r="AY1702" s="418"/>
      <c r="AZ1702" s="418"/>
      <c r="BA1702" s="418"/>
    </row>
    <row r="1703" spans="40:53" ht="15.75" customHeight="1">
      <c r="AN1703" s="418"/>
      <c r="AO1703" s="418"/>
      <c r="AP1703" s="418"/>
      <c r="AQ1703" s="418"/>
      <c r="AR1703" s="418"/>
      <c r="AS1703" s="418"/>
      <c r="AT1703" s="418"/>
      <c r="AU1703" s="418"/>
      <c r="AV1703" s="418"/>
      <c r="AW1703" s="418"/>
      <c r="AX1703" s="418"/>
      <c r="AY1703" s="418"/>
      <c r="AZ1703" s="418"/>
      <c r="BA1703" s="418"/>
    </row>
    <row r="1704" spans="40:53" ht="15.75" customHeight="1">
      <c r="AN1704" s="418"/>
      <c r="AO1704" s="418"/>
      <c r="AP1704" s="418"/>
      <c r="AQ1704" s="418"/>
      <c r="AR1704" s="418"/>
      <c r="AS1704" s="418"/>
      <c r="AT1704" s="418"/>
      <c r="AU1704" s="418"/>
      <c r="AV1704" s="418"/>
      <c r="AW1704" s="418"/>
      <c r="AX1704" s="418"/>
      <c r="AY1704" s="418"/>
      <c r="AZ1704" s="418"/>
      <c r="BA1704" s="418"/>
    </row>
    <row r="1705" spans="40:53" ht="15.75" customHeight="1">
      <c r="AN1705" s="418"/>
      <c r="AO1705" s="418"/>
      <c r="AP1705" s="418"/>
      <c r="AQ1705" s="418"/>
      <c r="AR1705" s="418"/>
      <c r="AS1705" s="418"/>
      <c r="AT1705" s="418"/>
      <c r="AU1705" s="418"/>
      <c r="AV1705" s="418"/>
      <c r="AW1705" s="418"/>
      <c r="AX1705" s="418"/>
      <c r="AY1705" s="418"/>
      <c r="AZ1705" s="418"/>
      <c r="BA1705" s="418"/>
    </row>
    <row r="1706" spans="40:53" ht="15.75" customHeight="1">
      <c r="AN1706" s="418"/>
      <c r="AO1706" s="418"/>
      <c r="AP1706" s="418"/>
      <c r="AQ1706" s="418"/>
      <c r="AR1706" s="418"/>
      <c r="AS1706" s="418"/>
      <c r="AT1706" s="418"/>
      <c r="AU1706" s="418"/>
      <c r="AV1706" s="418"/>
      <c r="AW1706" s="418"/>
      <c r="AX1706" s="418"/>
      <c r="AY1706" s="418"/>
      <c r="AZ1706" s="418"/>
      <c r="BA1706" s="418"/>
    </row>
    <row r="1707" spans="40:53" ht="15.75" customHeight="1">
      <c r="AN1707" s="418"/>
      <c r="AO1707" s="418"/>
      <c r="AP1707" s="418"/>
      <c r="AQ1707" s="418"/>
      <c r="AR1707" s="418"/>
      <c r="AS1707" s="418"/>
      <c r="AT1707" s="418"/>
      <c r="AU1707" s="418"/>
      <c r="AV1707" s="418"/>
      <c r="AW1707" s="418"/>
      <c r="AX1707" s="418"/>
      <c r="AY1707" s="418"/>
      <c r="AZ1707" s="418"/>
      <c r="BA1707" s="418"/>
    </row>
    <row r="1708" spans="40:53" ht="15.75" customHeight="1">
      <c r="AN1708" s="418"/>
      <c r="AO1708" s="418"/>
      <c r="AP1708" s="418"/>
      <c r="AQ1708" s="418"/>
      <c r="AR1708" s="418"/>
      <c r="AS1708" s="418"/>
      <c r="AT1708" s="418"/>
      <c r="AU1708" s="418"/>
      <c r="AV1708" s="418"/>
      <c r="AW1708" s="418"/>
      <c r="AX1708" s="418"/>
      <c r="AY1708" s="418"/>
      <c r="AZ1708" s="418"/>
      <c r="BA1708" s="418"/>
    </row>
    <row r="1709" spans="40:53" ht="15.75" customHeight="1">
      <c r="AN1709" s="418"/>
      <c r="AO1709" s="418"/>
      <c r="AP1709" s="418"/>
      <c r="AQ1709" s="418"/>
      <c r="AR1709" s="418"/>
      <c r="AS1709" s="418"/>
      <c r="AT1709" s="418"/>
      <c r="AU1709" s="418"/>
      <c r="AV1709" s="418"/>
      <c r="AW1709" s="418"/>
      <c r="AX1709" s="418"/>
      <c r="AY1709" s="418"/>
      <c r="AZ1709" s="418"/>
      <c r="BA1709" s="418"/>
    </row>
    <row r="1710" spans="40:53" ht="15.75" customHeight="1">
      <c r="AN1710" s="418"/>
      <c r="AO1710" s="418"/>
      <c r="AP1710" s="418"/>
      <c r="AQ1710" s="418"/>
      <c r="AR1710" s="418"/>
      <c r="AS1710" s="418"/>
      <c r="AT1710" s="418"/>
      <c r="AU1710" s="418"/>
      <c r="AV1710" s="418"/>
      <c r="AW1710" s="418"/>
      <c r="AX1710" s="418"/>
      <c r="AY1710" s="418"/>
      <c r="AZ1710" s="418"/>
      <c r="BA1710" s="418"/>
    </row>
    <row r="1711" spans="40:53" ht="15.75" customHeight="1">
      <c r="AN1711" s="418"/>
      <c r="AO1711" s="418"/>
      <c r="AP1711" s="418"/>
      <c r="AQ1711" s="418"/>
      <c r="AR1711" s="418"/>
      <c r="AS1711" s="418"/>
      <c r="AT1711" s="418"/>
      <c r="AU1711" s="418"/>
      <c r="AV1711" s="418"/>
      <c r="AW1711" s="418"/>
      <c r="AX1711" s="418"/>
      <c r="AY1711" s="418"/>
      <c r="AZ1711" s="418"/>
      <c r="BA1711" s="418"/>
    </row>
    <row r="1712" spans="40:53" ht="15.75" customHeight="1">
      <c r="AN1712" s="418"/>
      <c r="AO1712" s="418"/>
      <c r="AP1712" s="418"/>
      <c r="AQ1712" s="418"/>
      <c r="AR1712" s="418"/>
      <c r="AS1712" s="418"/>
      <c r="AT1712" s="418"/>
      <c r="AU1712" s="418"/>
      <c r="AV1712" s="418"/>
      <c r="AW1712" s="418"/>
      <c r="AX1712" s="418"/>
      <c r="AY1712" s="418"/>
      <c r="AZ1712" s="418"/>
      <c r="BA1712" s="418"/>
    </row>
    <row r="1713" spans="40:53" ht="15.75" customHeight="1">
      <c r="AN1713" s="418"/>
      <c r="AO1713" s="418"/>
      <c r="AP1713" s="418"/>
      <c r="AQ1713" s="418"/>
      <c r="AR1713" s="418"/>
      <c r="AS1713" s="418"/>
      <c r="AT1713" s="418"/>
      <c r="AU1713" s="418"/>
      <c r="AV1713" s="418"/>
      <c r="AW1713" s="418"/>
      <c r="AX1713" s="418"/>
      <c r="AY1713" s="418"/>
      <c r="AZ1713" s="418"/>
      <c r="BA1713" s="418"/>
    </row>
    <row r="1714" spans="40:53" ht="15.75" customHeight="1">
      <c r="AN1714" s="418"/>
      <c r="AO1714" s="418"/>
      <c r="AP1714" s="418"/>
      <c r="AQ1714" s="418"/>
      <c r="AR1714" s="418"/>
      <c r="AS1714" s="418"/>
      <c r="AT1714" s="418"/>
      <c r="AU1714" s="418"/>
      <c r="AV1714" s="418"/>
      <c r="AW1714" s="418"/>
      <c r="AX1714" s="418"/>
      <c r="AY1714" s="418"/>
      <c r="AZ1714" s="418"/>
      <c r="BA1714" s="418"/>
    </row>
    <row r="1715" spans="40:53" ht="15.75" customHeight="1">
      <c r="AN1715" s="418"/>
      <c r="AO1715" s="418"/>
      <c r="AP1715" s="418"/>
      <c r="AQ1715" s="418"/>
      <c r="AR1715" s="418"/>
      <c r="AS1715" s="418"/>
      <c r="AT1715" s="418"/>
      <c r="AU1715" s="418"/>
      <c r="AV1715" s="418"/>
      <c r="AW1715" s="418"/>
      <c r="AX1715" s="418"/>
      <c r="AY1715" s="418"/>
      <c r="AZ1715" s="418"/>
      <c r="BA1715" s="418"/>
    </row>
    <row r="1716" spans="40:53" ht="15.75" customHeight="1">
      <c r="AN1716" s="418"/>
      <c r="AO1716" s="418"/>
      <c r="AP1716" s="418"/>
      <c r="AQ1716" s="418"/>
      <c r="AR1716" s="418"/>
      <c r="AS1716" s="418"/>
      <c r="AT1716" s="418"/>
      <c r="AU1716" s="418"/>
      <c r="AV1716" s="418"/>
      <c r="AW1716" s="418"/>
      <c r="AX1716" s="418"/>
      <c r="AY1716" s="418"/>
      <c r="AZ1716" s="418"/>
      <c r="BA1716" s="418"/>
    </row>
    <row r="1717" spans="40:53" ht="15.75" customHeight="1">
      <c r="AN1717" s="418"/>
      <c r="AO1717" s="418"/>
      <c r="AP1717" s="418"/>
      <c r="AQ1717" s="418"/>
      <c r="AR1717" s="418"/>
      <c r="AS1717" s="418"/>
      <c r="AT1717" s="418"/>
      <c r="AU1717" s="418"/>
      <c r="AV1717" s="418"/>
      <c r="AW1717" s="418"/>
      <c r="AX1717" s="418"/>
      <c r="AY1717" s="418"/>
      <c r="AZ1717" s="418"/>
      <c r="BA1717" s="418"/>
    </row>
    <row r="1718" spans="40:53" ht="15.75" customHeight="1">
      <c r="AN1718" s="418"/>
      <c r="AO1718" s="418"/>
      <c r="AP1718" s="418"/>
      <c r="AQ1718" s="418"/>
      <c r="AR1718" s="418"/>
      <c r="AS1718" s="418"/>
      <c r="AT1718" s="418"/>
      <c r="AU1718" s="418"/>
      <c r="AV1718" s="418"/>
      <c r="AW1718" s="418"/>
      <c r="AX1718" s="418"/>
      <c r="AY1718" s="418"/>
      <c r="AZ1718" s="418"/>
      <c r="BA1718" s="418"/>
    </row>
    <row r="1719" spans="40:53" ht="15.75" customHeight="1">
      <c r="AN1719" s="418"/>
      <c r="AO1719" s="418"/>
      <c r="AP1719" s="418"/>
      <c r="AQ1719" s="418"/>
      <c r="AR1719" s="418"/>
      <c r="AS1719" s="418"/>
      <c r="AT1719" s="418"/>
      <c r="AU1719" s="418"/>
      <c r="AV1719" s="418"/>
      <c r="AW1719" s="418"/>
      <c r="AX1719" s="418"/>
      <c r="AY1719" s="418"/>
      <c r="AZ1719" s="418"/>
      <c r="BA1719" s="418"/>
    </row>
    <row r="1720" spans="40:53" ht="15.75" customHeight="1">
      <c r="AN1720" s="418"/>
      <c r="AO1720" s="418"/>
      <c r="AP1720" s="418"/>
      <c r="AQ1720" s="418"/>
      <c r="AR1720" s="418"/>
      <c r="AS1720" s="418"/>
      <c r="AT1720" s="418"/>
      <c r="AU1720" s="418"/>
      <c r="AV1720" s="418"/>
      <c r="AW1720" s="418"/>
      <c r="AX1720" s="418"/>
      <c r="AY1720" s="418"/>
      <c r="AZ1720" s="418"/>
      <c r="BA1720" s="418"/>
    </row>
    <row r="1721" spans="40:53" ht="15.75" customHeight="1">
      <c r="AN1721" s="418"/>
      <c r="AO1721" s="418"/>
      <c r="AP1721" s="418"/>
      <c r="AQ1721" s="418"/>
      <c r="AR1721" s="418"/>
      <c r="AS1721" s="418"/>
      <c r="AT1721" s="418"/>
      <c r="AU1721" s="418"/>
      <c r="AV1721" s="418"/>
      <c r="AW1721" s="418"/>
      <c r="AX1721" s="418"/>
      <c r="AY1721" s="418"/>
      <c r="AZ1721" s="418"/>
      <c r="BA1721" s="418"/>
    </row>
    <row r="1722" spans="40:53" ht="15.75" customHeight="1">
      <c r="AN1722" s="418"/>
      <c r="AO1722" s="418"/>
      <c r="AP1722" s="418"/>
      <c r="AQ1722" s="418"/>
      <c r="AR1722" s="418"/>
      <c r="AS1722" s="418"/>
      <c r="AT1722" s="418"/>
      <c r="AU1722" s="418"/>
      <c r="AV1722" s="418"/>
      <c r="AW1722" s="418"/>
      <c r="AX1722" s="418"/>
      <c r="AY1722" s="418"/>
      <c r="AZ1722" s="418"/>
      <c r="BA1722" s="418"/>
    </row>
    <row r="1723" spans="40:53" ht="15.75" customHeight="1">
      <c r="AN1723" s="418"/>
      <c r="AO1723" s="418"/>
      <c r="AP1723" s="418"/>
      <c r="AQ1723" s="418"/>
      <c r="AR1723" s="418"/>
      <c r="AS1723" s="418"/>
      <c r="AT1723" s="418"/>
      <c r="AU1723" s="418"/>
      <c r="AV1723" s="418"/>
      <c r="AW1723" s="418"/>
      <c r="AX1723" s="418"/>
      <c r="AY1723" s="418"/>
      <c r="AZ1723" s="418"/>
      <c r="BA1723" s="418"/>
    </row>
    <row r="1724" spans="40:53" ht="15.75" customHeight="1">
      <c r="AN1724" s="418"/>
      <c r="AO1724" s="418"/>
      <c r="AP1724" s="418"/>
      <c r="AQ1724" s="418"/>
      <c r="AR1724" s="418"/>
      <c r="AS1724" s="418"/>
      <c r="AT1724" s="418"/>
      <c r="AU1724" s="418"/>
      <c r="AV1724" s="418"/>
      <c r="AW1724" s="418"/>
      <c r="AX1724" s="418"/>
      <c r="AY1724" s="418"/>
      <c r="AZ1724" s="418"/>
      <c r="BA1724" s="418"/>
    </row>
    <row r="1725" spans="40:53" ht="15.75" customHeight="1">
      <c r="AN1725" s="418"/>
      <c r="AO1725" s="418"/>
      <c r="AP1725" s="418"/>
      <c r="AQ1725" s="418"/>
      <c r="AR1725" s="418"/>
      <c r="AS1725" s="418"/>
      <c r="AT1725" s="418"/>
      <c r="AU1725" s="418"/>
      <c r="AV1725" s="418"/>
      <c r="AW1725" s="418"/>
      <c r="AX1725" s="418"/>
      <c r="AY1725" s="418"/>
      <c r="AZ1725" s="418"/>
      <c r="BA1725" s="418"/>
    </row>
    <row r="1726" spans="40:53" ht="15.75" customHeight="1">
      <c r="AN1726" s="418"/>
      <c r="AO1726" s="418"/>
      <c r="AP1726" s="418"/>
      <c r="AQ1726" s="418"/>
      <c r="AR1726" s="418"/>
      <c r="AS1726" s="418"/>
      <c r="AT1726" s="418"/>
      <c r="AU1726" s="418"/>
      <c r="AV1726" s="418"/>
      <c r="AW1726" s="418"/>
      <c r="AX1726" s="418"/>
      <c r="AY1726" s="418"/>
      <c r="AZ1726" s="418"/>
      <c r="BA1726" s="418"/>
    </row>
    <row r="1727" spans="40:53" ht="15.75" customHeight="1">
      <c r="AN1727" s="418"/>
      <c r="AO1727" s="418"/>
      <c r="AP1727" s="418"/>
      <c r="AQ1727" s="418"/>
      <c r="AR1727" s="418"/>
      <c r="AS1727" s="418"/>
      <c r="AT1727" s="418"/>
      <c r="AU1727" s="418"/>
      <c r="AV1727" s="418"/>
      <c r="AW1727" s="418"/>
      <c r="AX1727" s="418"/>
      <c r="AY1727" s="418"/>
      <c r="AZ1727" s="418"/>
      <c r="BA1727" s="418"/>
    </row>
    <row r="1728" spans="40:53" ht="15.75" customHeight="1">
      <c r="AN1728" s="418"/>
      <c r="AO1728" s="418"/>
      <c r="AP1728" s="418"/>
      <c r="AQ1728" s="418"/>
      <c r="AR1728" s="418"/>
      <c r="AS1728" s="418"/>
      <c r="AT1728" s="418"/>
      <c r="AU1728" s="418"/>
      <c r="AV1728" s="418"/>
      <c r="AW1728" s="418"/>
      <c r="AX1728" s="418"/>
      <c r="AY1728" s="418"/>
      <c r="AZ1728" s="418"/>
      <c r="BA1728" s="418"/>
    </row>
    <row r="1729" spans="40:53" ht="15.75" customHeight="1">
      <c r="AN1729" s="418"/>
      <c r="AO1729" s="418"/>
      <c r="AP1729" s="418"/>
      <c r="AQ1729" s="418"/>
      <c r="AR1729" s="418"/>
      <c r="AS1729" s="418"/>
      <c r="AT1729" s="418"/>
      <c r="AU1729" s="418"/>
      <c r="AV1729" s="418"/>
      <c r="AW1729" s="418"/>
      <c r="AX1729" s="418"/>
      <c r="AY1729" s="418"/>
      <c r="AZ1729" s="418"/>
      <c r="BA1729" s="418"/>
    </row>
    <row r="1730" spans="40:53" ht="15.75" customHeight="1">
      <c r="AN1730" s="418"/>
      <c r="AO1730" s="418"/>
      <c r="AP1730" s="418"/>
      <c r="AQ1730" s="418"/>
      <c r="AR1730" s="418"/>
      <c r="AS1730" s="418"/>
      <c r="AT1730" s="418"/>
      <c r="AU1730" s="418"/>
      <c r="AV1730" s="418"/>
      <c r="AW1730" s="418"/>
      <c r="AX1730" s="418"/>
      <c r="AY1730" s="418"/>
      <c r="AZ1730" s="418"/>
      <c r="BA1730" s="418"/>
    </row>
    <row r="1731" spans="40:53" ht="15.75" customHeight="1">
      <c r="AN1731" s="418"/>
      <c r="AO1731" s="418"/>
      <c r="AP1731" s="418"/>
      <c r="AQ1731" s="418"/>
      <c r="AR1731" s="418"/>
      <c r="AS1731" s="418"/>
      <c r="AT1731" s="418"/>
      <c r="AU1731" s="418"/>
      <c r="AV1731" s="418"/>
      <c r="AW1731" s="418"/>
      <c r="AX1731" s="418"/>
      <c r="AY1731" s="418"/>
      <c r="AZ1731" s="418"/>
      <c r="BA1731" s="418"/>
    </row>
    <row r="1732" spans="40:53" ht="15.75" customHeight="1">
      <c r="AN1732" s="418"/>
      <c r="AO1732" s="418"/>
      <c r="AP1732" s="418"/>
      <c r="AQ1732" s="418"/>
      <c r="AR1732" s="418"/>
      <c r="AS1732" s="418"/>
      <c r="AT1732" s="418"/>
      <c r="AU1732" s="418"/>
      <c r="AV1732" s="418"/>
      <c r="AW1732" s="418"/>
      <c r="AX1732" s="418"/>
      <c r="AY1732" s="418"/>
      <c r="AZ1732" s="418"/>
      <c r="BA1732" s="418"/>
    </row>
    <row r="1733" spans="40:53" ht="15.75" customHeight="1">
      <c r="AN1733" s="418"/>
      <c r="AO1733" s="418"/>
      <c r="AP1733" s="418"/>
      <c r="AQ1733" s="418"/>
      <c r="AR1733" s="418"/>
      <c r="AS1733" s="418"/>
      <c r="AT1733" s="418"/>
      <c r="AU1733" s="418"/>
      <c r="AV1733" s="418"/>
      <c r="AW1733" s="418"/>
      <c r="AX1733" s="418"/>
      <c r="AY1733" s="418"/>
      <c r="AZ1733" s="418"/>
      <c r="BA1733" s="418"/>
    </row>
    <row r="1734" spans="40:53" ht="15.75" customHeight="1">
      <c r="AN1734" s="418"/>
      <c r="AO1734" s="418"/>
      <c r="AP1734" s="418"/>
      <c r="AQ1734" s="418"/>
      <c r="AR1734" s="418"/>
      <c r="AS1734" s="418"/>
      <c r="AT1734" s="418"/>
      <c r="AU1734" s="418"/>
      <c r="AV1734" s="418"/>
      <c r="AW1734" s="418"/>
      <c r="AX1734" s="418"/>
      <c r="AY1734" s="418"/>
      <c r="AZ1734" s="418"/>
      <c r="BA1734" s="418"/>
    </row>
    <row r="1735" spans="40:53" ht="15.75" customHeight="1">
      <c r="AN1735" s="418"/>
      <c r="AO1735" s="418"/>
      <c r="AP1735" s="418"/>
      <c r="AQ1735" s="418"/>
      <c r="AR1735" s="418"/>
      <c r="AS1735" s="418"/>
      <c r="AT1735" s="418"/>
      <c r="AU1735" s="418"/>
      <c r="AV1735" s="418"/>
      <c r="AW1735" s="418"/>
      <c r="AX1735" s="418"/>
      <c r="AY1735" s="418"/>
      <c r="AZ1735" s="418"/>
      <c r="BA1735" s="418"/>
    </row>
    <row r="1736" spans="40:53" ht="15.75" customHeight="1">
      <c r="AN1736" s="418"/>
      <c r="AO1736" s="418"/>
      <c r="AP1736" s="418"/>
      <c r="AQ1736" s="418"/>
      <c r="AR1736" s="418"/>
      <c r="AS1736" s="418"/>
      <c r="AT1736" s="418"/>
      <c r="AU1736" s="418"/>
      <c r="AV1736" s="418"/>
      <c r="AW1736" s="418"/>
      <c r="AX1736" s="418"/>
      <c r="AY1736" s="418"/>
      <c r="AZ1736" s="418"/>
      <c r="BA1736" s="418"/>
    </row>
    <row r="1737" spans="40:53" ht="15.75" customHeight="1">
      <c r="AN1737" s="418"/>
      <c r="AO1737" s="418"/>
      <c r="AP1737" s="418"/>
      <c r="AQ1737" s="418"/>
      <c r="AR1737" s="418"/>
      <c r="AS1737" s="418"/>
      <c r="AT1737" s="418"/>
      <c r="AU1737" s="418"/>
      <c r="AV1737" s="418"/>
      <c r="AW1737" s="418"/>
      <c r="AX1737" s="418"/>
      <c r="AY1737" s="418"/>
      <c r="AZ1737" s="418"/>
      <c r="BA1737" s="418"/>
    </row>
    <row r="1738" spans="40:53" ht="15.75" customHeight="1">
      <c r="AN1738" s="418"/>
      <c r="AO1738" s="418"/>
      <c r="AP1738" s="418"/>
      <c r="AQ1738" s="418"/>
      <c r="AR1738" s="418"/>
      <c r="AS1738" s="418"/>
      <c r="AT1738" s="418"/>
      <c r="AU1738" s="418"/>
      <c r="AV1738" s="418"/>
      <c r="AW1738" s="418"/>
      <c r="AX1738" s="418"/>
      <c r="AY1738" s="418"/>
      <c r="AZ1738" s="418"/>
      <c r="BA1738" s="418"/>
    </row>
    <row r="1739" spans="40:53" ht="15.75" customHeight="1">
      <c r="AN1739" s="418"/>
      <c r="AO1739" s="418"/>
      <c r="AP1739" s="418"/>
      <c r="AQ1739" s="418"/>
      <c r="AR1739" s="418"/>
      <c r="AS1739" s="418"/>
      <c r="AT1739" s="418"/>
      <c r="AU1739" s="418"/>
      <c r="AV1739" s="418"/>
      <c r="AW1739" s="418"/>
      <c r="AX1739" s="418"/>
      <c r="AY1739" s="418"/>
      <c r="AZ1739" s="418"/>
      <c r="BA1739" s="418"/>
    </row>
    <row r="1740" spans="40:53" ht="15.75" customHeight="1">
      <c r="AN1740" s="418"/>
      <c r="AO1740" s="418"/>
      <c r="AP1740" s="418"/>
      <c r="AQ1740" s="418"/>
      <c r="AR1740" s="418"/>
      <c r="AS1740" s="418"/>
      <c r="AT1740" s="418"/>
      <c r="AU1740" s="418"/>
      <c r="AV1740" s="418"/>
      <c r="AW1740" s="418"/>
      <c r="AX1740" s="418"/>
      <c r="AY1740" s="418"/>
      <c r="AZ1740" s="418"/>
      <c r="BA1740" s="418"/>
    </row>
    <row r="1741" spans="40:53" ht="15.75" customHeight="1">
      <c r="AN1741" s="418"/>
      <c r="AO1741" s="418"/>
      <c r="AP1741" s="418"/>
      <c r="AQ1741" s="418"/>
      <c r="AR1741" s="418"/>
      <c r="AS1741" s="418"/>
      <c r="AT1741" s="418"/>
      <c r="AU1741" s="418"/>
      <c r="AV1741" s="418"/>
      <c r="AW1741" s="418"/>
      <c r="AX1741" s="418"/>
      <c r="AY1741" s="418"/>
      <c r="AZ1741" s="418"/>
      <c r="BA1741" s="418"/>
    </row>
    <row r="1742" spans="40:53" ht="15.75" customHeight="1">
      <c r="AN1742" s="418"/>
      <c r="AO1742" s="418"/>
      <c r="AP1742" s="418"/>
      <c r="AQ1742" s="418"/>
      <c r="AR1742" s="418"/>
      <c r="AS1742" s="418"/>
      <c r="AT1742" s="418"/>
      <c r="AU1742" s="418"/>
      <c r="AV1742" s="418"/>
      <c r="AW1742" s="418"/>
      <c r="AX1742" s="418"/>
      <c r="AY1742" s="418"/>
      <c r="AZ1742" s="418"/>
      <c r="BA1742" s="418"/>
    </row>
    <row r="1743" spans="40:53" ht="15.75" customHeight="1">
      <c r="AN1743" s="418"/>
      <c r="AO1743" s="418"/>
      <c r="AP1743" s="418"/>
      <c r="AQ1743" s="418"/>
      <c r="AR1743" s="418"/>
      <c r="AS1743" s="418"/>
      <c r="AT1743" s="418"/>
      <c r="AU1743" s="418"/>
      <c r="AV1743" s="418"/>
      <c r="AW1743" s="418"/>
      <c r="AX1743" s="418"/>
      <c r="AY1743" s="418"/>
      <c r="AZ1743" s="418"/>
      <c r="BA1743" s="418"/>
    </row>
    <row r="1744" spans="40:53" ht="15.75" customHeight="1">
      <c r="AN1744" s="418"/>
      <c r="AO1744" s="418"/>
      <c r="AP1744" s="418"/>
      <c r="AQ1744" s="418"/>
      <c r="AR1744" s="418"/>
      <c r="AS1744" s="418"/>
      <c r="AT1744" s="418"/>
      <c r="AU1744" s="418"/>
      <c r="AV1744" s="418"/>
      <c r="AW1744" s="418"/>
      <c r="AX1744" s="418"/>
      <c r="AY1744" s="418"/>
      <c r="AZ1744" s="418"/>
      <c r="BA1744" s="418"/>
    </row>
    <row r="1745" spans="40:53" ht="15.75" customHeight="1">
      <c r="AN1745" s="418"/>
      <c r="AO1745" s="418"/>
      <c r="AP1745" s="418"/>
      <c r="AQ1745" s="418"/>
      <c r="AR1745" s="418"/>
      <c r="AS1745" s="418"/>
      <c r="AT1745" s="418"/>
      <c r="AU1745" s="418"/>
      <c r="AV1745" s="418"/>
      <c r="AW1745" s="418"/>
      <c r="AX1745" s="418"/>
      <c r="AY1745" s="418"/>
      <c r="AZ1745" s="418"/>
      <c r="BA1745" s="418"/>
    </row>
    <row r="1746" spans="40:53" ht="15.75" customHeight="1">
      <c r="AN1746" s="418"/>
      <c r="AO1746" s="418"/>
      <c r="AP1746" s="418"/>
      <c r="AQ1746" s="418"/>
      <c r="AR1746" s="418"/>
      <c r="AS1746" s="418"/>
      <c r="AT1746" s="418"/>
      <c r="AU1746" s="418"/>
      <c r="AV1746" s="418"/>
      <c r="AW1746" s="418"/>
      <c r="AX1746" s="418"/>
      <c r="AY1746" s="418"/>
      <c r="AZ1746" s="418"/>
      <c r="BA1746" s="418"/>
    </row>
    <row r="1747" spans="40:53" ht="15.75" customHeight="1">
      <c r="AN1747" s="418"/>
      <c r="AO1747" s="418"/>
      <c r="AP1747" s="418"/>
      <c r="AQ1747" s="418"/>
      <c r="AR1747" s="418"/>
      <c r="AS1747" s="418"/>
      <c r="AT1747" s="418"/>
      <c r="AU1747" s="418"/>
      <c r="AV1747" s="418"/>
      <c r="AW1747" s="418"/>
      <c r="AX1747" s="418"/>
      <c r="AY1747" s="418"/>
      <c r="AZ1747" s="418"/>
      <c r="BA1747" s="418"/>
    </row>
    <row r="1748" spans="40:53" ht="15.75" customHeight="1">
      <c r="AN1748" s="418"/>
      <c r="AO1748" s="418"/>
      <c r="AP1748" s="418"/>
      <c r="AQ1748" s="418"/>
      <c r="AR1748" s="418"/>
      <c r="AS1748" s="418"/>
      <c r="AT1748" s="418"/>
      <c r="AU1748" s="418"/>
      <c r="AV1748" s="418"/>
      <c r="AW1748" s="418"/>
      <c r="AX1748" s="418"/>
      <c r="AY1748" s="418"/>
      <c r="AZ1748" s="418"/>
      <c r="BA1748" s="418"/>
    </row>
    <row r="1749" spans="40:53" ht="15.75" customHeight="1">
      <c r="AN1749" s="418"/>
      <c r="AO1749" s="418"/>
      <c r="AP1749" s="418"/>
      <c r="AQ1749" s="418"/>
      <c r="AR1749" s="418"/>
      <c r="AS1749" s="418"/>
      <c r="AT1749" s="418"/>
      <c r="AU1749" s="418"/>
      <c r="AV1749" s="418"/>
      <c r="AW1749" s="418"/>
      <c r="AX1749" s="418"/>
      <c r="AY1749" s="418"/>
      <c r="AZ1749" s="418"/>
      <c r="BA1749" s="418"/>
    </row>
    <row r="1750" spans="40:53" ht="15.75" customHeight="1">
      <c r="AN1750" s="418"/>
      <c r="AO1750" s="418"/>
      <c r="AP1750" s="418"/>
      <c r="AQ1750" s="418"/>
      <c r="AR1750" s="418"/>
      <c r="AS1750" s="418"/>
      <c r="AT1750" s="418"/>
      <c r="AU1750" s="418"/>
      <c r="AV1750" s="418"/>
      <c r="AW1750" s="418"/>
      <c r="AX1750" s="418"/>
      <c r="AY1750" s="418"/>
      <c r="AZ1750" s="418"/>
      <c r="BA1750" s="418"/>
    </row>
    <row r="1751" spans="40:53" ht="15.75" customHeight="1">
      <c r="AN1751" s="418"/>
      <c r="AO1751" s="418"/>
      <c r="AP1751" s="418"/>
      <c r="AQ1751" s="418"/>
      <c r="AR1751" s="418"/>
      <c r="AS1751" s="418"/>
      <c r="AT1751" s="418"/>
      <c r="AU1751" s="418"/>
      <c r="AV1751" s="418"/>
      <c r="AW1751" s="418"/>
      <c r="AX1751" s="418"/>
      <c r="AY1751" s="418"/>
      <c r="AZ1751" s="418"/>
      <c r="BA1751" s="418"/>
    </row>
    <row r="1752" spans="40:53" ht="15.75" customHeight="1">
      <c r="AN1752" s="418"/>
      <c r="AO1752" s="418"/>
      <c r="AP1752" s="418"/>
      <c r="AQ1752" s="418"/>
      <c r="AR1752" s="418"/>
      <c r="AS1752" s="418"/>
      <c r="AT1752" s="418"/>
      <c r="AU1752" s="418"/>
      <c r="AV1752" s="418"/>
      <c r="AW1752" s="418"/>
      <c r="AX1752" s="418"/>
      <c r="AY1752" s="418"/>
      <c r="AZ1752" s="418"/>
      <c r="BA1752" s="418"/>
    </row>
    <row r="1753" spans="40:53" ht="15.75" customHeight="1">
      <c r="AN1753" s="418"/>
      <c r="AO1753" s="418"/>
      <c r="AP1753" s="418"/>
      <c r="AQ1753" s="418"/>
      <c r="AR1753" s="418"/>
      <c r="AS1753" s="418"/>
      <c r="AT1753" s="418"/>
      <c r="AU1753" s="418"/>
      <c r="AV1753" s="418"/>
      <c r="AW1753" s="418"/>
      <c r="AX1753" s="418"/>
      <c r="AY1753" s="418"/>
      <c r="AZ1753" s="418"/>
      <c r="BA1753" s="418"/>
    </row>
    <row r="1754" spans="40:53" ht="15.75" customHeight="1">
      <c r="AN1754" s="418"/>
      <c r="AO1754" s="418"/>
      <c r="AP1754" s="418"/>
      <c r="AQ1754" s="418"/>
      <c r="AR1754" s="418"/>
      <c r="AS1754" s="418"/>
      <c r="AT1754" s="418"/>
      <c r="AU1754" s="418"/>
      <c r="AV1754" s="418"/>
      <c r="AW1754" s="418"/>
      <c r="AX1754" s="418"/>
      <c r="AY1754" s="418"/>
      <c r="AZ1754" s="418"/>
      <c r="BA1754" s="418"/>
    </row>
    <row r="1755" spans="40:53" ht="15.75" customHeight="1">
      <c r="AN1755" s="418"/>
      <c r="AO1755" s="418"/>
      <c r="AP1755" s="418"/>
      <c r="AQ1755" s="418"/>
      <c r="AR1755" s="418"/>
      <c r="AS1755" s="418"/>
      <c r="AT1755" s="418"/>
      <c r="AU1755" s="418"/>
      <c r="AV1755" s="418"/>
      <c r="AW1755" s="418"/>
      <c r="AX1755" s="418"/>
      <c r="AY1755" s="418"/>
      <c r="AZ1755" s="418"/>
      <c r="BA1755" s="418"/>
    </row>
    <row r="1756" spans="40:53" ht="15.75" customHeight="1">
      <c r="AN1756" s="418"/>
      <c r="AO1756" s="418"/>
      <c r="AP1756" s="418"/>
      <c r="AQ1756" s="418"/>
      <c r="AR1756" s="418"/>
      <c r="AS1756" s="418"/>
      <c r="AT1756" s="418"/>
      <c r="AU1756" s="418"/>
      <c r="AV1756" s="418"/>
      <c r="AW1756" s="418"/>
      <c r="AX1756" s="418"/>
      <c r="AY1756" s="418"/>
      <c r="AZ1756" s="418"/>
      <c r="BA1756" s="418"/>
    </row>
    <row r="1757" spans="40:53" ht="15.75" customHeight="1">
      <c r="AN1757" s="418"/>
      <c r="AO1757" s="418"/>
      <c r="AP1757" s="418"/>
      <c r="AQ1757" s="418"/>
      <c r="AR1757" s="418"/>
      <c r="AS1757" s="418"/>
      <c r="AT1757" s="418"/>
      <c r="AU1757" s="418"/>
      <c r="AV1757" s="418"/>
      <c r="AW1757" s="418"/>
      <c r="AX1757" s="418"/>
      <c r="AY1757" s="418"/>
      <c r="AZ1757" s="418"/>
      <c r="BA1757" s="418"/>
    </row>
    <row r="1758" spans="40:53" ht="15.75" customHeight="1">
      <c r="AN1758" s="418"/>
      <c r="AO1758" s="418"/>
      <c r="AP1758" s="418"/>
      <c r="AQ1758" s="418"/>
      <c r="AR1758" s="418"/>
      <c r="AS1758" s="418"/>
      <c r="AT1758" s="418"/>
      <c r="AU1758" s="418"/>
      <c r="AV1758" s="418"/>
      <c r="AW1758" s="418"/>
      <c r="AX1758" s="418"/>
      <c r="AY1758" s="418"/>
      <c r="AZ1758" s="418"/>
      <c r="BA1758" s="418"/>
    </row>
    <row r="1759" spans="40:53" ht="15.75" customHeight="1">
      <c r="AN1759" s="418"/>
      <c r="AO1759" s="418"/>
      <c r="AP1759" s="418"/>
      <c r="AQ1759" s="418"/>
      <c r="AR1759" s="418"/>
      <c r="AS1759" s="418"/>
      <c r="AT1759" s="418"/>
      <c r="AU1759" s="418"/>
      <c r="AV1759" s="418"/>
      <c r="AW1759" s="418"/>
      <c r="AX1759" s="418"/>
      <c r="AY1759" s="418"/>
      <c r="AZ1759" s="418"/>
      <c r="BA1759" s="418"/>
    </row>
    <row r="1760" spans="40:53" ht="15.75" customHeight="1">
      <c r="AN1760" s="418"/>
      <c r="AO1760" s="418"/>
      <c r="AP1760" s="418"/>
      <c r="AQ1760" s="418"/>
      <c r="AR1760" s="418"/>
      <c r="AS1760" s="418"/>
      <c r="AT1760" s="418"/>
      <c r="AU1760" s="418"/>
      <c r="AV1760" s="418"/>
      <c r="AW1760" s="418"/>
      <c r="AX1760" s="418"/>
      <c r="AY1760" s="418"/>
      <c r="AZ1760" s="418"/>
      <c r="BA1760" s="418"/>
    </row>
    <row r="1761" spans="40:53" ht="15.75" customHeight="1">
      <c r="AN1761" s="418"/>
      <c r="AO1761" s="418"/>
      <c r="AP1761" s="418"/>
      <c r="AQ1761" s="418"/>
      <c r="AR1761" s="418"/>
      <c r="AS1761" s="418"/>
      <c r="AT1761" s="418"/>
      <c r="AU1761" s="418"/>
      <c r="AV1761" s="418"/>
      <c r="AW1761" s="418"/>
      <c r="AX1761" s="418"/>
      <c r="AY1761" s="418"/>
      <c r="AZ1761" s="418"/>
      <c r="BA1761" s="418"/>
    </row>
    <row r="1762" spans="40:53" ht="15.75" customHeight="1">
      <c r="AN1762" s="418"/>
      <c r="AO1762" s="418"/>
      <c r="AP1762" s="418"/>
      <c r="AQ1762" s="418"/>
      <c r="AR1762" s="418"/>
      <c r="AS1762" s="418"/>
      <c r="AT1762" s="418"/>
      <c r="AU1762" s="418"/>
      <c r="AV1762" s="418"/>
      <c r="AW1762" s="418"/>
      <c r="AX1762" s="418"/>
      <c r="AY1762" s="418"/>
      <c r="AZ1762" s="418"/>
      <c r="BA1762" s="418"/>
    </row>
    <row r="1763" spans="40:53" ht="15.75" customHeight="1">
      <c r="AN1763" s="418"/>
      <c r="AO1763" s="418"/>
      <c r="AP1763" s="418"/>
      <c r="AQ1763" s="418"/>
      <c r="AR1763" s="418"/>
      <c r="AS1763" s="418"/>
      <c r="AT1763" s="418"/>
      <c r="AU1763" s="418"/>
      <c r="AV1763" s="418"/>
      <c r="AW1763" s="418"/>
      <c r="AX1763" s="418"/>
      <c r="AY1763" s="418"/>
      <c r="AZ1763" s="418"/>
      <c r="BA1763" s="418"/>
    </row>
    <row r="1764" spans="40:53" ht="15.75" customHeight="1">
      <c r="AN1764" s="418"/>
      <c r="AO1764" s="418"/>
      <c r="AP1764" s="418"/>
      <c r="AQ1764" s="418"/>
      <c r="AR1764" s="418"/>
      <c r="AS1764" s="418"/>
      <c r="AT1764" s="418"/>
      <c r="AU1764" s="418"/>
      <c r="AV1764" s="418"/>
      <c r="AW1764" s="418"/>
      <c r="AX1764" s="418"/>
      <c r="AY1764" s="418"/>
      <c r="AZ1764" s="418"/>
      <c r="BA1764" s="418"/>
    </row>
    <row r="1765" spans="40:53" ht="15.75" customHeight="1">
      <c r="AN1765" s="418"/>
      <c r="AO1765" s="418"/>
      <c r="AP1765" s="418"/>
      <c r="AQ1765" s="418"/>
      <c r="AR1765" s="418"/>
      <c r="AS1765" s="418"/>
      <c r="AT1765" s="418"/>
      <c r="AU1765" s="418"/>
      <c r="AV1765" s="418"/>
      <c r="AW1765" s="418"/>
      <c r="AX1765" s="418"/>
      <c r="AY1765" s="418"/>
      <c r="AZ1765" s="418"/>
      <c r="BA1765" s="418"/>
    </row>
    <row r="1766" spans="40:53" ht="15.75" customHeight="1">
      <c r="AN1766" s="418"/>
      <c r="AO1766" s="418"/>
      <c r="AP1766" s="418"/>
      <c r="AQ1766" s="418"/>
      <c r="AR1766" s="418"/>
      <c r="AS1766" s="418"/>
      <c r="AT1766" s="418"/>
      <c r="AU1766" s="418"/>
      <c r="AV1766" s="418"/>
      <c r="AW1766" s="418"/>
      <c r="AX1766" s="418"/>
      <c r="AY1766" s="418"/>
      <c r="AZ1766" s="418"/>
      <c r="BA1766" s="418"/>
    </row>
    <row r="1767" spans="40:53" ht="15.75" customHeight="1">
      <c r="AN1767" s="418"/>
      <c r="AO1767" s="418"/>
      <c r="AP1767" s="418"/>
      <c r="AQ1767" s="418"/>
      <c r="AR1767" s="418"/>
      <c r="AS1767" s="418"/>
      <c r="AT1767" s="418"/>
      <c r="AU1767" s="418"/>
      <c r="AV1767" s="418"/>
      <c r="AW1767" s="418"/>
      <c r="AX1767" s="418"/>
      <c r="AY1767" s="418"/>
      <c r="AZ1767" s="418"/>
      <c r="BA1767" s="418"/>
    </row>
    <row r="1768" spans="40:53" ht="15.75" customHeight="1">
      <c r="AN1768" s="418"/>
      <c r="AO1768" s="418"/>
      <c r="AP1768" s="418"/>
      <c r="AQ1768" s="418"/>
      <c r="AR1768" s="418"/>
      <c r="AS1768" s="418"/>
      <c r="AT1768" s="418"/>
      <c r="AU1768" s="418"/>
      <c r="AV1768" s="418"/>
      <c r="AW1768" s="418"/>
      <c r="AX1768" s="418"/>
      <c r="AY1768" s="418"/>
      <c r="AZ1768" s="418"/>
      <c r="BA1768" s="418"/>
    </row>
    <row r="1769" spans="40:53" ht="15.75" customHeight="1">
      <c r="AN1769" s="418"/>
      <c r="AO1769" s="418"/>
      <c r="AP1769" s="418"/>
      <c r="AQ1769" s="418"/>
      <c r="AR1769" s="418"/>
      <c r="AS1769" s="418"/>
      <c r="AT1769" s="418"/>
      <c r="AU1769" s="418"/>
      <c r="AV1769" s="418"/>
      <c r="AW1769" s="418"/>
      <c r="AX1769" s="418"/>
      <c r="AY1769" s="418"/>
      <c r="AZ1769" s="418"/>
      <c r="BA1769" s="418"/>
    </row>
    <row r="1770" spans="40:53" ht="15.75" customHeight="1">
      <c r="AN1770" s="418"/>
      <c r="AO1770" s="418"/>
      <c r="AP1770" s="418"/>
      <c r="AQ1770" s="418"/>
      <c r="AR1770" s="418"/>
      <c r="AS1770" s="418"/>
      <c r="AT1770" s="418"/>
      <c r="AU1770" s="418"/>
      <c r="AV1770" s="418"/>
      <c r="AW1770" s="418"/>
      <c r="AX1770" s="418"/>
      <c r="AY1770" s="418"/>
      <c r="AZ1770" s="418"/>
      <c r="BA1770" s="418"/>
    </row>
    <row r="1771" spans="40:53" ht="15.75" customHeight="1">
      <c r="AN1771" s="418"/>
      <c r="AO1771" s="418"/>
      <c r="AP1771" s="418"/>
      <c r="AQ1771" s="418"/>
      <c r="AR1771" s="418"/>
      <c r="AS1771" s="418"/>
      <c r="AT1771" s="418"/>
      <c r="AU1771" s="418"/>
      <c r="AV1771" s="418"/>
      <c r="AW1771" s="418"/>
      <c r="AX1771" s="418"/>
      <c r="AY1771" s="418"/>
      <c r="AZ1771" s="418"/>
      <c r="BA1771" s="418"/>
    </row>
    <row r="1772" spans="40:53" ht="15.75" customHeight="1">
      <c r="AN1772" s="418"/>
      <c r="AO1772" s="418"/>
      <c r="AP1772" s="418"/>
      <c r="AQ1772" s="418"/>
      <c r="AR1772" s="418"/>
      <c r="AS1772" s="418"/>
      <c r="AT1772" s="418"/>
      <c r="AU1772" s="418"/>
      <c r="AV1772" s="418"/>
      <c r="AW1772" s="418"/>
      <c r="AX1772" s="418"/>
      <c r="AY1772" s="418"/>
      <c r="AZ1772" s="418"/>
      <c r="BA1772" s="418"/>
    </row>
    <row r="1773" spans="40:53" ht="15.75" customHeight="1">
      <c r="AN1773" s="418"/>
      <c r="AO1773" s="418"/>
      <c r="AP1773" s="418"/>
      <c r="AQ1773" s="418"/>
      <c r="AR1773" s="418"/>
      <c r="AS1773" s="418"/>
      <c r="AT1773" s="418"/>
      <c r="AU1773" s="418"/>
      <c r="AV1773" s="418"/>
      <c r="AW1773" s="418"/>
      <c r="AX1773" s="418"/>
      <c r="AY1773" s="418"/>
      <c r="AZ1773" s="418"/>
      <c r="BA1773" s="418"/>
    </row>
    <row r="1774" spans="40:53" ht="15.75" customHeight="1">
      <c r="AN1774" s="418"/>
      <c r="AO1774" s="418"/>
      <c r="AP1774" s="418"/>
      <c r="AQ1774" s="418"/>
      <c r="AR1774" s="418"/>
      <c r="AS1774" s="418"/>
      <c r="AT1774" s="418"/>
      <c r="AU1774" s="418"/>
      <c r="AV1774" s="418"/>
      <c r="AW1774" s="418"/>
      <c r="AX1774" s="418"/>
      <c r="AY1774" s="418"/>
      <c r="AZ1774" s="418"/>
      <c r="BA1774" s="418"/>
    </row>
    <row r="1775" spans="40:53" ht="15.75" customHeight="1">
      <c r="AN1775" s="418"/>
      <c r="AO1775" s="418"/>
      <c r="AP1775" s="418"/>
      <c r="AQ1775" s="418"/>
      <c r="AR1775" s="418"/>
      <c r="AS1775" s="418"/>
      <c r="AT1775" s="418"/>
      <c r="AU1775" s="418"/>
      <c r="AV1775" s="418"/>
      <c r="AW1775" s="418"/>
      <c r="AX1775" s="418"/>
      <c r="AY1775" s="418"/>
      <c r="AZ1775" s="418"/>
      <c r="BA1775" s="418"/>
    </row>
    <row r="1776" spans="40:53" ht="15.75" customHeight="1">
      <c r="AN1776" s="418"/>
      <c r="AO1776" s="418"/>
      <c r="AP1776" s="418"/>
      <c r="AQ1776" s="418"/>
      <c r="AR1776" s="418"/>
      <c r="AS1776" s="418"/>
      <c r="AT1776" s="418"/>
      <c r="AU1776" s="418"/>
      <c r="AV1776" s="418"/>
      <c r="AW1776" s="418"/>
      <c r="AX1776" s="418"/>
      <c r="AY1776" s="418"/>
      <c r="AZ1776" s="418"/>
      <c r="BA1776" s="418"/>
    </row>
    <row r="1777" spans="40:53" ht="15.75" customHeight="1">
      <c r="AN1777" s="418"/>
      <c r="AO1777" s="418"/>
      <c r="AP1777" s="418"/>
      <c r="AQ1777" s="418"/>
      <c r="AR1777" s="418"/>
      <c r="AS1777" s="418"/>
      <c r="AT1777" s="418"/>
      <c r="AU1777" s="418"/>
      <c r="AV1777" s="418"/>
      <c r="AW1777" s="418"/>
      <c r="AX1777" s="418"/>
      <c r="AY1777" s="418"/>
      <c r="AZ1777" s="418"/>
      <c r="BA1777" s="418"/>
    </row>
    <row r="1778" spans="40:53" ht="15.75" customHeight="1">
      <c r="AN1778" s="418"/>
      <c r="AO1778" s="418"/>
      <c r="AP1778" s="418"/>
      <c r="AQ1778" s="418"/>
      <c r="AR1778" s="418"/>
      <c r="AS1778" s="418"/>
      <c r="AT1778" s="418"/>
      <c r="AU1778" s="418"/>
      <c r="AV1778" s="418"/>
      <c r="AW1778" s="418"/>
      <c r="AX1778" s="418"/>
      <c r="AY1778" s="418"/>
      <c r="AZ1778" s="418"/>
      <c r="BA1778" s="418"/>
    </row>
    <row r="1779" spans="40:53" ht="15.75" customHeight="1">
      <c r="AN1779" s="418"/>
      <c r="AO1779" s="418"/>
      <c r="AP1779" s="418"/>
      <c r="AQ1779" s="418"/>
      <c r="AR1779" s="418"/>
      <c r="AS1779" s="418"/>
      <c r="AT1779" s="418"/>
      <c r="AU1779" s="418"/>
      <c r="AV1779" s="418"/>
      <c r="AW1779" s="418"/>
      <c r="AX1779" s="418"/>
      <c r="AY1779" s="418"/>
      <c r="AZ1779" s="418"/>
      <c r="BA1779" s="418"/>
    </row>
    <row r="1780" spans="40:53" ht="15.75" customHeight="1">
      <c r="AN1780" s="418"/>
      <c r="AO1780" s="418"/>
      <c r="AP1780" s="418"/>
      <c r="AQ1780" s="418"/>
      <c r="AR1780" s="418"/>
      <c r="AS1780" s="418"/>
      <c r="AT1780" s="418"/>
      <c r="AU1780" s="418"/>
      <c r="AV1780" s="418"/>
      <c r="AW1780" s="418"/>
      <c r="AX1780" s="418"/>
      <c r="AY1780" s="418"/>
      <c r="AZ1780" s="418"/>
      <c r="BA1780" s="418"/>
    </row>
    <row r="1781" spans="40:53" ht="15.75" customHeight="1">
      <c r="AN1781" s="418"/>
      <c r="AO1781" s="418"/>
      <c r="AP1781" s="418"/>
      <c r="AQ1781" s="418"/>
      <c r="AR1781" s="418"/>
      <c r="AS1781" s="418"/>
      <c r="AT1781" s="418"/>
      <c r="AU1781" s="418"/>
      <c r="AV1781" s="418"/>
      <c r="AW1781" s="418"/>
      <c r="AX1781" s="418"/>
      <c r="AY1781" s="418"/>
      <c r="AZ1781" s="418"/>
      <c r="BA1781" s="418"/>
    </row>
    <row r="1782" spans="40:53" ht="15.75" customHeight="1">
      <c r="AN1782" s="418"/>
      <c r="AO1782" s="418"/>
      <c r="AP1782" s="418"/>
      <c r="AQ1782" s="418"/>
      <c r="AR1782" s="418"/>
      <c r="AS1782" s="418"/>
      <c r="AT1782" s="418"/>
      <c r="AU1782" s="418"/>
      <c r="AV1782" s="418"/>
      <c r="AW1782" s="418"/>
      <c r="AX1782" s="418"/>
      <c r="AY1782" s="418"/>
      <c r="AZ1782" s="418"/>
      <c r="BA1782" s="418"/>
    </row>
    <row r="1783" spans="40:53" ht="15.75" customHeight="1">
      <c r="AN1783" s="418"/>
      <c r="AO1783" s="418"/>
      <c r="AP1783" s="418"/>
      <c r="AQ1783" s="418"/>
      <c r="AR1783" s="418"/>
      <c r="AS1783" s="418"/>
      <c r="AT1783" s="418"/>
      <c r="AU1783" s="418"/>
      <c r="AV1783" s="418"/>
      <c r="AW1783" s="418"/>
      <c r="AX1783" s="418"/>
      <c r="AY1783" s="418"/>
      <c r="AZ1783" s="418"/>
      <c r="BA1783" s="418"/>
    </row>
    <row r="1784" spans="40:53" ht="15.75" customHeight="1">
      <c r="AN1784" s="418"/>
      <c r="AO1784" s="418"/>
      <c r="AP1784" s="418"/>
      <c r="AQ1784" s="418"/>
      <c r="AR1784" s="418"/>
      <c r="AS1784" s="418"/>
      <c r="AT1784" s="418"/>
      <c r="AU1784" s="418"/>
      <c r="AV1784" s="418"/>
      <c r="AW1784" s="418"/>
      <c r="AX1784" s="418"/>
      <c r="AY1784" s="418"/>
      <c r="AZ1784" s="418"/>
      <c r="BA1784" s="418"/>
    </row>
    <row r="1785" spans="40:53" ht="15.75" customHeight="1">
      <c r="AN1785" s="418"/>
      <c r="AO1785" s="418"/>
      <c r="AP1785" s="418"/>
      <c r="AQ1785" s="418"/>
      <c r="AR1785" s="418"/>
      <c r="AS1785" s="418"/>
      <c r="AT1785" s="418"/>
      <c r="AU1785" s="418"/>
      <c r="AV1785" s="418"/>
      <c r="AW1785" s="418"/>
      <c r="AX1785" s="418"/>
      <c r="AY1785" s="418"/>
      <c r="AZ1785" s="418"/>
      <c r="BA1785" s="418"/>
    </row>
    <row r="1786" spans="40:53" ht="15.75" customHeight="1">
      <c r="AN1786" s="418"/>
      <c r="AO1786" s="418"/>
      <c r="AP1786" s="418"/>
      <c r="AQ1786" s="418"/>
      <c r="AR1786" s="418"/>
      <c r="AS1786" s="418"/>
      <c r="AT1786" s="418"/>
      <c r="AU1786" s="418"/>
      <c r="AV1786" s="418"/>
      <c r="AW1786" s="418"/>
      <c r="AX1786" s="418"/>
      <c r="AY1786" s="418"/>
      <c r="AZ1786" s="418"/>
      <c r="BA1786" s="418"/>
    </row>
    <row r="1787" spans="40:53" ht="15.75" customHeight="1">
      <c r="AN1787" s="418"/>
      <c r="AO1787" s="418"/>
      <c r="AP1787" s="418"/>
      <c r="AQ1787" s="418"/>
      <c r="AR1787" s="418"/>
      <c r="AS1787" s="418"/>
      <c r="AT1787" s="418"/>
      <c r="AU1787" s="418"/>
      <c r="AV1787" s="418"/>
      <c r="AW1787" s="418"/>
      <c r="AX1787" s="418"/>
      <c r="AY1787" s="418"/>
      <c r="AZ1787" s="418"/>
      <c r="BA1787" s="418"/>
    </row>
    <row r="1788" spans="40:53" ht="15.75" customHeight="1">
      <c r="AN1788" s="418"/>
      <c r="AO1788" s="418"/>
      <c r="AP1788" s="418"/>
      <c r="AQ1788" s="418"/>
      <c r="AR1788" s="418"/>
      <c r="AS1788" s="418"/>
      <c r="AT1788" s="418"/>
      <c r="AU1788" s="418"/>
      <c r="AV1788" s="418"/>
      <c r="AW1788" s="418"/>
      <c r="AX1788" s="418"/>
      <c r="AY1788" s="418"/>
      <c r="AZ1788" s="418"/>
      <c r="BA1788" s="418"/>
    </row>
    <row r="1789" spans="40:53" ht="15.75" customHeight="1">
      <c r="AN1789" s="418"/>
      <c r="AO1789" s="418"/>
      <c r="AP1789" s="418"/>
      <c r="AQ1789" s="418"/>
      <c r="AR1789" s="418"/>
      <c r="AS1789" s="418"/>
      <c r="AT1789" s="418"/>
      <c r="AU1789" s="418"/>
      <c r="AV1789" s="418"/>
      <c r="AW1789" s="418"/>
      <c r="AX1789" s="418"/>
      <c r="AY1789" s="418"/>
      <c r="AZ1789" s="418"/>
      <c r="BA1789" s="418"/>
    </row>
    <row r="1790" spans="40:53" ht="15.75" customHeight="1">
      <c r="AN1790" s="418"/>
      <c r="AO1790" s="418"/>
      <c r="AP1790" s="418"/>
      <c r="AQ1790" s="418"/>
      <c r="AR1790" s="418"/>
      <c r="AS1790" s="418"/>
      <c r="AT1790" s="418"/>
      <c r="AU1790" s="418"/>
      <c r="AV1790" s="418"/>
      <c r="AW1790" s="418"/>
      <c r="AX1790" s="418"/>
      <c r="AY1790" s="418"/>
      <c r="AZ1790" s="418"/>
      <c r="BA1790" s="418"/>
    </row>
    <row r="1791" spans="40:53" ht="15.75" customHeight="1">
      <c r="AN1791" s="418"/>
      <c r="AO1791" s="418"/>
      <c r="AP1791" s="418"/>
      <c r="AQ1791" s="418"/>
      <c r="AR1791" s="418"/>
      <c r="AS1791" s="418"/>
      <c r="AT1791" s="418"/>
      <c r="AU1791" s="418"/>
      <c r="AV1791" s="418"/>
      <c r="AW1791" s="418"/>
      <c r="AX1791" s="418"/>
      <c r="AY1791" s="418"/>
      <c r="AZ1791" s="418"/>
      <c r="BA1791" s="418"/>
    </row>
    <row r="1792" spans="40:53" ht="15.75" customHeight="1">
      <c r="AN1792" s="418"/>
      <c r="AO1792" s="418"/>
      <c r="AP1792" s="418"/>
      <c r="AQ1792" s="418"/>
      <c r="AR1792" s="418"/>
      <c r="AS1792" s="418"/>
      <c r="AT1792" s="418"/>
      <c r="AU1792" s="418"/>
      <c r="AV1792" s="418"/>
      <c r="AW1792" s="418"/>
      <c r="AX1792" s="418"/>
      <c r="AY1792" s="418"/>
      <c r="AZ1792" s="418"/>
      <c r="BA1792" s="418"/>
    </row>
    <row r="1793" spans="40:53" ht="15.75" customHeight="1">
      <c r="AN1793" s="418"/>
      <c r="AO1793" s="418"/>
      <c r="AP1793" s="418"/>
      <c r="AQ1793" s="418"/>
      <c r="AR1793" s="418"/>
      <c r="AS1793" s="418"/>
      <c r="AT1793" s="418"/>
      <c r="AU1793" s="418"/>
      <c r="AV1793" s="418"/>
      <c r="AW1793" s="418"/>
      <c r="AX1793" s="418"/>
      <c r="AY1793" s="418"/>
      <c r="AZ1793" s="418"/>
      <c r="BA1793" s="418"/>
    </row>
    <row r="1794" spans="40:53" ht="15.75" customHeight="1">
      <c r="AN1794" s="418"/>
      <c r="AO1794" s="418"/>
      <c r="AP1794" s="418"/>
      <c r="AQ1794" s="418"/>
      <c r="AR1794" s="418"/>
      <c r="AS1794" s="418"/>
      <c r="AT1794" s="418"/>
      <c r="AU1794" s="418"/>
      <c r="AV1794" s="418"/>
      <c r="AW1794" s="418"/>
      <c r="AX1794" s="418"/>
      <c r="AY1794" s="418"/>
      <c r="AZ1794" s="418"/>
      <c r="BA1794" s="418"/>
    </row>
    <row r="1795" spans="40:53" ht="15.75" customHeight="1">
      <c r="AN1795" s="418"/>
      <c r="AO1795" s="418"/>
      <c r="AP1795" s="418"/>
      <c r="AQ1795" s="418"/>
      <c r="AR1795" s="418"/>
      <c r="AS1795" s="418"/>
      <c r="AT1795" s="418"/>
      <c r="AU1795" s="418"/>
      <c r="AV1795" s="418"/>
      <c r="AW1795" s="418"/>
      <c r="AX1795" s="418"/>
      <c r="AY1795" s="418"/>
      <c r="AZ1795" s="418"/>
      <c r="BA1795" s="418"/>
    </row>
    <row r="1796" spans="40:53" ht="15.75" customHeight="1">
      <c r="AN1796" s="418"/>
      <c r="AO1796" s="418"/>
      <c r="AP1796" s="418"/>
      <c r="AQ1796" s="418"/>
      <c r="AR1796" s="418"/>
      <c r="AS1796" s="418"/>
      <c r="AT1796" s="418"/>
      <c r="AU1796" s="418"/>
      <c r="AV1796" s="418"/>
      <c r="AW1796" s="418"/>
      <c r="AX1796" s="418"/>
      <c r="AY1796" s="418"/>
      <c r="AZ1796" s="418"/>
      <c r="BA1796" s="418"/>
    </row>
    <row r="1797" spans="40:53" ht="15.75" customHeight="1">
      <c r="AN1797" s="418"/>
      <c r="AO1797" s="418"/>
      <c r="AP1797" s="418"/>
      <c r="AQ1797" s="418"/>
      <c r="AR1797" s="418"/>
      <c r="AS1797" s="418"/>
      <c r="AT1797" s="418"/>
      <c r="AU1797" s="418"/>
      <c r="AV1797" s="418"/>
      <c r="AW1797" s="418"/>
      <c r="AX1797" s="418"/>
      <c r="AY1797" s="418"/>
      <c r="AZ1797" s="418"/>
      <c r="BA1797" s="418"/>
    </row>
    <row r="1798" spans="40:53" ht="15.75" customHeight="1">
      <c r="AN1798" s="418"/>
      <c r="AO1798" s="418"/>
      <c r="AP1798" s="418"/>
      <c r="AQ1798" s="418"/>
      <c r="AR1798" s="418"/>
      <c r="AS1798" s="418"/>
      <c r="AT1798" s="418"/>
      <c r="AU1798" s="418"/>
      <c r="AV1798" s="418"/>
      <c r="AW1798" s="418"/>
      <c r="AX1798" s="418"/>
      <c r="AY1798" s="418"/>
      <c r="AZ1798" s="418"/>
      <c r="BA1798" s="418"/>
    </row>
    <row r="1799" spans="40:53" ht="15.75" customHeight="1">
      <c r="AN1799" s="418"/>
      <c r="AO1799" s="418"/>
      <c r="AP1799" s="418"/>
      <c r="AQ1799" s="418"/>
      <c r="AR1799" s="418"/>
      <c r="AS1799" s="418"/>
      <c r="AT1799" s="418"/>
      <c r="AU1799" s="418"/>
      <c r="AV1799" s="418"/>
      <c r="AW1799" s="418"/>
      <c r="AX1799" s="418"/>
      <c r="AY1799" s="418"/>
      <c r="AZ1799" s="418"/>
      <c r="BA1799" s="418"/>
    </row>
    <row r="1800" spans="40:53" ht="15.75" customHeight="1">
      <c r="AN1800" s="418"/>
      <c r="AO1800" s="418"/>
      <c r="AP1800" s="418"/>
      <c r="AQ1800" s="418"/>
      <c r="AR1800" s="418"/>
      <c r="AS1800" s="418"/>
      <c r="AT1800" s="418"/>
      <c r="AU1800" s="418"/>
      <c r="AV1800" s="418"/>
      <c r="AW1800" s="418"/>
      <c r="AX1800" s="418"/>
      <c r="AY1800" s="418"/>
      <c r="AZ1800" s="418"/>
      <c r="BA1800" s="418"/>
    </row>
    <row r="1801" spans="40:53" ht="15.75" customHeight="1">
      <c r="AN1801" s="418"/>
      <c r="AO1801" s="418"/>
      <c r="AP1801" s="418"/>
      <c r="AQ1801" s="418"/>
      <c r="AR1801" s="418"/>
      <c r="AS1801" s="418"/>
      <c r="AT1801" s="418"/>
      <c r="AU1801" s="418"/>
      <c r="AV1801" s="418"/>
      <c r="AW1801" s="418"/>
      <c r="AX1801" s="418"/>
      <c r="AY1801" s="418"/>
      <c r="AZ1801" s="418"/>
      <c r="BA1801" s="418"/>
    </row>
    <row r="1802" spans="40:53" ht="15.75" customHeight="1">
      <c r="AN1802" s="418"/>
      <c r="AO1802" s="418"/>
      <c r="AP1802" s="418"/>
      <c r="AQ1802" s="418"/>
      <c r="AR1802" s="418"/>
      <c r="AS1802" s="418"/>
      <c r="AT1802" s="418"/>
      <c r="AU1802" s="418"/>
      <c r="AV1802" s="418"/>
      <c r="AW1802" s="418"/>
      <c r="AX1802" s="418"/>
      <c r="AY1802" s="418"/>
      <c r="AZ1802" s="418"/>
      <c r="BA1802" s="418"/>
    </row>
    <row r="1803" spans="40:53" ht="15.75" customHeight="1">
      <c r="AN1803" s="418"/>
      <c r="AO1803" s="418"/>
      <c r="AP1803" s="418"/>
      <c r="AQ1803" s="418"/>
      <c r="AR1803" s="418"/>
      <c r="AS1803" s="418"/>
      <c r="AT1803" s="418"/>
      <c r="AU1803" s="418"/>
      <c r="AV1803" s="418"/>
      <c r="AW1803" s="418"/>
      <c r="AX1803" s="418"/>
      <c r="AY1803" s="418"/>
      <c r="AZ1803" s="418"/>
      <c r="BA1803" s="418"/>
    </row>
    <row r="1804" spans="40:53" ht="15.75" customHeight="1">
      <c r="AN1804" s="418"/>
      <c r="AO1804" s="418"/>
      <c r="AP1804" s="418"/>
      <c r="AQ1804" s="418"/>
      <c r="AR1804" s="418"/>
      <c r="AS1804" s="418"/>
      <c r="AT1804" s="418"/>
      <c r="AU1804" s="418"/>
      <c r="AV1804" s="418"/>
      <c r="AW1804" s="418"/>
      <c r="AX1804" s="418"/>
      <c r="AY1804" s="418"/>
      <c r="AZ1804" s="418"/>
      <c r="BA1804" s="418"/>
    </row>
    <row r="1805" spans="40:53" ht="15.75" customHeight="1">
      <c r="AN1805" s="418"/>
      <c r="AO1805" s="418"/>
      <c r="AP1805" s="418"/>
      <c r="AQ1805" s="418"/>
      <c r="AR1805" s="418"/>
      <c r="AS1805" s="418"/>
      <c r="AT1805" s="418"/>
      <c r="AU1805" s="418"/>
      <c r="AV1805" s="418"/>
      <c r="AW1805" s="418"/>
      <c r="AX1805" s="418"/>
      <c r="AY1805" s="418"/>
      <c r="AZ1805" s="418"/>
      <c r="BA1805" s="418"/>
    </row>
    <row r="1806" spans="40:53" ht="15.75" customHeight="1">
      <c r="AN1806" s="418"/>
      <c r="AO1806" s="418"/>
      <c r="AP1806" s="418"/>
      <c r="AQ1806" s="418"/>
      <c r="AR1806" s="418"/>
      <c r="AS1806" s="418"/>
      <c r="AT1806" s="418"/>
      <c r="AU1806" s="418"/>
      <c r="AV1806" s="418"/>
      <c r="AW1806" s="418"/>
      <c r="AX1806" s="418"/>
      <c r="AY1806" s="418"/>
      <c r="AZ1806" s="418"/>
      <c r="BA1806" s="418"/>
    </row>
    <row r="1807" spans="40:53" ht="15.75" customHeight="1">
      <c r="AN1807" s="418"/>
      <c r="AO1807" s="418"/>
      <c r="AP1807" s="418"/>
      <c r="AQ1807" s="418"/>
      <c r="AR1807" s="418"/>
      <c r="AS1807" s="418"/>
      <c r="AT1807" s="418"/>
      <c r="AU1807" s="418"/>
      <c r="AV1807" s="418"/>
      <c r="AW1807" s="418"/>
      <c r="AX1807" s="418"/>
      <c r="AY1807" s="418"/>
      <c r="AZ1807" s="418"/>
      <c r="BA1807" s="418"/>
    </row>
    <row r="1808" spans="40:53" ht="15.75" customHeight="1">
      <c r="AN1808" s="418"/>
      <c r="AO1808" s="418"/>
      <c r="AP1808" s="418"/>
      <c r="AQ1808" s="418"/>
      <c r="AR1808" s="418"/>
      <c r="AS1808" s="418"/>
      <c r="AT1808" s="418"/>
      <c r="AU1808" s="418"/>
      <c r="AV1808" s="418"/>
      <c r="AW1808" s="418"/>
      <c r="AX1808" s="418"/>
      <c r="AY1808" s="418"/>
      <c r="AZ1808" s="418"/>
      <c r="BA1808" s="418"/>
    </row>
    <row r="1809" spans="40:53" ht="15.75" customHeight="1">
      <c r="AN1809" s="418"/>
      <c r="AO1809" s="418"/>
      <c r="AP1809" s="418"/>
      <c r="AQ1809" s="418"/>
      <c r="AR1809" s="418"/>
      <c r="AS1809" s="418"/>
      <c r="AT1809" s="418"/>
      <c r="AU1809" s="418"/>
      <c r="AV1809" s="418"/>
      <c r="AW1809" s="418"/>
      <c r="AX1809" s="418"/>
      <c r="AY1809" s="418"/>
      <c r="AZ1809" s="418"/>
      <c r="BA1809" s="418"/>
    </row>
    <row r="1810" spans="40:53" ht="15.75" customHeight="1">
      <c r="AN1810" s="418"/>
      <c r="AO1810" s="418"/>
      <c r="AP1810" s="418"/>
      <c r="AQ1810" s="418"/>
      <c r="AR1810" s="418"/>
      <c r="AS1810" s="418"/>
      <c r="AT1810" s="418"/>
      <c r="AU1810" s="418"/>
      <c r="AV1810" s="418"/>
      <c r="AW1810" s="418"/>
      <c r="AX1810" s="418"/>
      <c r="AY1810" s="418"/>
      <c r="AZ1810" s="418"/>
      <c r="BA1810" s="418"/>
    </row>
    <row r="1811" spans="40:53" ht="15.75" customHeight="1">
      <c r="AN1811" s="418"/>
      <c r="AO1811" s="418"/>
      <c r="AP1811" s="418"/>
      <c r="AQ1811" s="418"/>
      <c r="AR1811" s="418"/>
      <c r="AS1811" s="418"/>
      <c r="AT1811" s="418"/>
      <c r="AU1811" s="418"/>
      <c r="AV1811" s="418"/>
      <c r="AW1811" s="418"/>
      <c r="AX1811" s="418"/>
      <c r="AY1811" s="418"/>
      <c r="AZ1811" s="418"/>
      <c r="BA1811" s="418"/>
    </row>
    <row r="1812" spans="40:53" ht="15.75" customHeight="1">
      <c r="AN1812" s="418"/>
      <c r="AO1812" s="418"/>
      <c r="AP1812" s="418"/>
      <c r="AQ1812" s="418"/>
      <c r="AR1812" s="418"/>
      <c r="AS1812" s="418"/>
      <c r="AT1812" s="418"/>
      <c r="AU1812" s="418"/>
      <c r="AV1812" s="418"/>
      <c r="AW1812" s="418"/>
      <c r="AX1812" s="418"/>
      <c r="AY1812" s="418"/>
      <c r="AZ1812" s="418"/>
      <c r="BA1812" s="418"/>
    </row>
    <row r="1813" spans="40:53" ht="15.75" customHeight="1">
      <c r="AN1813" s="418"/>
      <c r="AO1813" s="418"/>
      <c r="AP1813" s="418"/>
      <c r="AQ1813" s="418"/>
      <c r="AR1813" s="418"/>
      <c r="AS1813" s="418"/>
      <c r="AT1813" s="418"/>
      <c r="AU1813" s="418"/>
      <c r="AV1813" s="418"/>
      <c r="AW1813" s="418"/>
      <c r="AX1813" s="418"/>
      <c r="AY1813" s="418"/>
      <c r="AZ1813" s="418"/>
      <c r="BA1813" s="418"/>
    </row>
    <row r="1814" spans="40:53" ht="15.75" customHeight="1">
      <c r="AN1814" s="418"/>
      <c r="AO1814" s="418"/>
      <c r="AP1814" s="418"/>
      <c r="AQ1814" s="418"/>
      <c r="AR1814" s="418"/>
      <c r="AS1814" s="418"/>
      <c r="AT1814" s="418"/>
      <c r="AU1814" s="418"/>
      <c r="AV1814" s="418"/>
      <c r="AW1814" s="418"/>
      <c r="AX1814" s="418"/>
      <c r="AY1814" s="418"/>
      <c r="AZ1814" s="418"/>
      <c r="BA1814" s="418"/>
    </row>
    <row r="1815" spans="40:53" ht="15.75" customHeight="1">
      <c r="AN1815" s="418"/>
      <c r="AO1815" s="418"/>
      <c r="AP1815" s="418"/>
      <c r="AQ1815" s="418"/>
      <c r="AR1815" s="418"/>
      <c r="AS1815" s="418"/>
      <c r="AT1815" s="418"/>
      <c r="AU1815" s="418"/>
      <c r="AV1815" s="418"/>
      <c r="AW1815" s="418"/>
      <c r="AX1815" s="418"/>
      <c r="AY1815" s="418"/>
      <c r="AZ1815" s="418"/>
      <c r="BA1815" s="418"/>
    </row>
    <row r="1816" spans="40:53" ht="15.75" customHeight="1">
      <c r="AN1816" s="418"/>
      <c r="AO1816" s="418"/>
      <c r="AP1816" s="418"/>
      <c r="AQ1816" s="418"/>
      <c r="AR1816" s="418"/>
      <c r="AS1816" s="418"/>
      <c r="AT1816" s="418"/>
      <c r="AU1816" s="418"/>
      <c r="AV1816" s="418"/>
      <c r="AW1816" s="418"/>
      <c r="AX1816" s="418"/>
      <c r="AY1816" s="418"/>
      <c r="AZ1816" s="418"/>
      <c r="BA1816" s="418"/>
    </row>
    <row r="1817" spans="40:53" ht="15.75" customHeight="1">
      <c r="AN1817" s="418"/>
      <c r="AO1817" s="418"/>
      <c r="AP1817" s="418"/>
      <c r="AQ1817" s="418"/>
      <c r="AR1817" s="418"/>
      <c r="AS1817" s="418"/>
      <c r="AT1817" s="418"/>
      <c r="AU1817" s="418"/>
      <c r="AV1817" s="418"/>
      <c r="AW1817" s="418"/>
      <c r="AX1817" s="418"/>
      <c r="AY1817" s="418"/>
      <c r="AZ1817" s="418"/>
      <c r="BA1817" s="418"/>
    </row>
    <row r="1818" spans="40:53" ht="15.75" customHeight="1">
      <c r="AN1818" s="418"/>
      <c r="AO1818" s="418"/>
      <c r="AP1818" s="418"/>
      <c r="AQ1818" s="418"/>
      <c r="AR1818" s="418"/>
      <c r="AS1818" s="418"/>
      <c r="AT1818" s="418"/>
      <c r="AU1818" s="418"/>
      <c r="AV1818" s="418"/>
      <c r="AW1818" s="418"/>
      <c r="AX1818" s="418"/>
      <c r="AY1818" s="418"/>
      <c r="AZ1818" s="418"/>
      <c r="BA1818" s="418"/>
    </row>
    <row r="1819" spans="40:53" ht="15.75" customHeight="1">
      <c r="AN1819" s="418"/>
      <c r="AO1819" s="418"/>
      <c r="AP1819" s="418"/>
      <c r="AQ1819" s="418"/>
      <c r="AR1819" s="418"/>
      <c r="AS1819" s="418"/>
      <c r="AT1819" s="418"/>
      <c r="AU1819" s="418"/>
      <c r="AV1819" s="418"/>
      <c r="AW1819" s="418"/>
      <c r="AX1819" s="418"/>
      <c r="AY1819" s="418"/>
      <c r="AZ1819" s="418"/>
      <c r="BA1819" s="418"/>
    </row>
    <row r="1820" spans="40:53" ht="15.75" customHeight="1">
      <c r="AN1820" s="418"/>
      <c r="AO1820" s="418"/>
      <c r="AP1820" s="418"/>
      <c r="AQ1820" s="418"/>
      <c r="AR1820" s="418"/>
      <c r="AS1820" s="418"/>
      <c r="AT1820" s="418"/>
      <c r="AU1820" s="418"/>
      <c r="AV1820" s="418"/>
      <c r="AW1820" s="418"/>
      <c r="AX1820" s="418"/>
      <c r="AY1820" s="418"/>
      <c r="AZ1820" s="418"/>
      <c r="BA1820" s="418"/>
    </row>
    <row r="1821" spans="40:53" ht="15.75" customHeight="1">
      <c r="AN1821" s="418"/>
      <c r="AO1821" s="418"/>
      <c r="AP1821" s="418"/>
      <c r="AQ1821" s="418"/>
      <c r="AR1821" s="418"/>
      <c r="AS1821" s="418"/>
      <c r="AT1821" s="418"/>
      <c r="AU1821" s="418"/>
      <c r="AV1821" s="418"/>
      <c r="AW1821" s="418"/>
      <c r="AX1821" s="418"/>
      <c r="AY1821" s="418"/>
      <c r="AZ1821" s="418"/>
      <c r="BA1821" s="418"/>
    </row>
    <row r="1822" spans="40:53" ht="15.75" customHeight="1">
      <c r="AN1822" s="418"/>
      <c r="AO1822" s="418"/>
      <c r="AP1822" s="418"/>
      <c r="AQ1822" s="418"/>
      <c r="AR1822" s="418"/>
      <c r="AS1822" s="418"/>
      <c r="AT1822" s="418"/>
      <c r="AU1822" s="418"/>
      <c r="AV1822" s="418"/>
      <c r="AW1822" s="418"/>
      <c r="AX1822" s="418"/>
      <c r="AY1822" s="418"/>
      <c r="AZ1822" s="418"/>
      <c r="BA1822" s="418"/>
    </row>
    <row r="1823" spans="40:53" ht="15.75" customHeight="1">
      <c r="AN1823" s="418"/>
      <c r="AO1823" s="418"/>
      <c r="AP1823" s="418"/>
      <c r="AQ1823" s="418"/>
      <c r="AR1823" s="418"/>
      <c r="AS1823" s="418"/>
      <c r="AT1823" s="418"/>
      <c r="AU1823" s="418"/>
      <c r="AV1823" s="418"/>
      <c r="AW1823" s="418"/>
      <c r="AX1823" s="418"/>
      <c r="AY1823" s="418"/>
      <c r="AZ1823" s="418"/>
      <c r="BA1823" s="418"/>
    </row>
    <row r="1824" spans="40:53" ht="15.75" customHeight="1">
      <c r="AN1824" s="418"/>
      <c r="AO1824" s="418"/>
      <c r="AP1824" s="418"/>
      <c r="AQ1824" s="418"/>
      <c r="AR1824" s="418"/>
      <c r="AS1824" s="418"/>
      <c r="AT1824" s="418"/>
      <c r="AU1824" s="418"/>
      <c r="AV1824" s="418"/>
      <c r="AW1824" s="418"/>
      <c r="AX1824" s="418"/>
      <c r="AY1824" s="418"/>
      <c r="AZ1824" s="418"/>
      <c r="BA1824" s="418"/>
    </row>
    <row r="1825" spans="40:53" ht="15.75" customHeight="1">
      <c r="AN1825" s="418"/>
      <c r="AO1825" s="418"/>
      <c r="AP1825" s="418"/>
      <c r="AQ1825" s="418"/>
      <c r="AR1825" s="418"/>
      <c r="AS1825" s="418"/>
      <c r="AT1825" s="418"/>
      <c r="AU1825" s="418"/>
      <c r="AV1825" s="418"/>
      <c r="AW1825" s="418"/>
      <c r="AX1825" s="418"/>
      <c r="AY1825" s="418"/>
      <c r="AZ1825" s="418"/>
      <c r="BA1825" s="418"/>
    </row>
    <row r="1826" spans="40:53" ht="15.75" customHeight="1">
      <c r="AN1826" s="418"/>
      <c r="AO1826" s="418"/>
      <c r="AP1826" s="418"/>
      <c r="AQ1826" s="418"/>
      <c r="AR1826" s="418"/>
      <c r="AS1826" s="418"/>
      <c r="AT1826" s="418"/>
      <c r="AU1826" s="418"/>
      <c r="AV1826" s="418"/>
      <c r="AW1826" s="418"/>
      <c r="AX1826" s="418"/>
      <c r="AY1826" s="418"/>
      <c r="AZ1826" s="418"/>
      <c r="BA1826" s="418"/>
    </row>
    <row r="1827" spans="40:53" ht="15.75" customHeight="1">
      <c r="AN1827" s="418"/>
      <c r="AO1827" s="418"/>
      <c r="AP1827" s="418"/>
      <c r="AQ1827" s="418"/>
      <c r="AR1827" s="418"/>
      <c r="AS1827" s="418"/>
      <c r="AT1827" s="418"/>
      <c r="AU1827" s="418"/>
      <c r="AV1827" s="418"/>
      <c r="AW1827" s="418"/>
      <c r="AX1827" s="418"/>
      <c r="AY1827" s="418"/>
      <c r="AZ1827" s="418"/>
      <c r="BA1827" s="418"/>
    </row>
    <row r="1828" spans="40:53" ht="15.75" customHeight="1">
      <c r="AN1828" s="418"/>
      <c r="AO1828" s="418"/>
      <c r="AP1828" s="418"/>
      <c r="AQ1828" s="418"/>
      <c r="AR1828" s="418"/>
      <c r="AS1828" s="418"/>
      <c r="AT1828" s="418"/>
      <c r="AU1828" s="418"/>
      <c r="AV1828" s="418"/>
      <c r="AW1828" s="418"/>
      <c r="AX1828" s="418"/>
      <c r="AY1828" s="418"/>
      <c r="AZ1828" s="418"/>
      <c r="BA1828" s="418"/>
    </row>
    <row r="1829" spans="40:53" ht="15.75" customHeight="1">
      <c r="AN1829" s="418"/>
      <c r="AO1829" s="418"/>
      <c r="AP1829" s="418"/>
      <c r="AQ1829" s="418"/>
      <c r="AR1829" s="418"/>
      <c r="AS1829" s="418"/>
      <c r="AT1829" s="418"/>
      <c r="AU1829" s="418"/>
      <c r="AV1829" s="418"/>
      <c r="AW1829" s="418"/>
      <c r="AX1829" s="418"/>
      <c r="AY1829" s="418"/>
      <c r="AZ1829" s="418"/>
      <c r="BA1829" s="418"/>
    </row>
    <row r="1830" spans="40:53" ht="15.75" customHeight="1">
      <c r="AN1830" s="418"/>
      <c r="AO1830" s="418"/>
      <c r="AP1830" s="418"/>
      <c r="AQ1830" s="418"/>
      <c r="AR1830" s="418"/>
      <c r="AS1830" s="418"/>
      <c r="AT1830" s="418"/>
      <c r="AU1830" s="418"/>
      <c r="AV1830" s="418"/>
      <c r="AW1830" s="418"/>
      <c r="AX1830" s="418"/>
      <c r="AY1830" s="418"/>
      <c r="AZ1830" s="418"/>
      <c r="BA1830" s="418"/>
    </row>
    <row r="1831" spans="40:53" ht="15.75" customHeight="1">
      <c r="AN1831" s="418"/>
      <c r="AO1831" s="418"/>
      <c r="AP1831" s="418"/>
      <c r="AQ1831" s="418"/>
      <c r="AR1831" s="418"/>
      <c r="AS1831" s="418"/>
      <c r="AT1831" s="418"/>
      <c r="AU1831" s="418"/>
      <c r="AV1831" s="418"/>
      <c r="AW1831" s="418"/>
      <c r="AX1831" s="418"/>
      <c r="AY1831" s="418"/>
      <c r="AZ1831" s="418"/>
      <c r="BA1831" s="418"/>
    </row>
    <row r="1832" spans="40:53" ht="15.75" customHeight="1">
      <c r="AN1832" s="418"/>
      <c r="AO1832" s="418"/>
      <c r="AP1832" s="418"/>
      <c r="AQ1832" s="418"/>
      <c r="AR1832" s="418"/>
      <c r="AS1832" s="418"/>
      <c r="AT1832" s="418"/>
      <c r="AU1832" s="418"/>
      <c r="AV1832" s="418"/>
      <c r="AW1832" s="418"/>
      <c r="AX1832" s="418"/>
      <c r="AY1832" s="418"/>
      <c r="AZ1832" s="418"/>
      <c r="BA1832" s="418"/>
    </row>
    <row r="1833" spans="40:53" ht="15.75" customHeight="1">
      <c r="AN1833" s="418"/>
      <c r="AO1833" s="418"/>
      <c r="AP1833" s="418"/>
      <c r="AQ1833" s="418"/>
      <c r="AR1833" s="418"/>
      <c r="AS1833" s="418"/>
      <c r="AT1833" s="418"/>
      <c r="AU1833" s="418"/>
      <c r="AV1833" s="418"/>
      <c r="AW1833" s="418"/>
      <c r="AX1833" s="418"/>
      <c r="AY1833" s="418"/>
      <c r="AZ1833" s="418"/>
      <c r="BA1833" s="418"/>
    </row>
    <row r="1834" spans="40:53" ht="15.75" customHeight="1">
      <c r="AN1834" s="418"/>
      <c r="AO1834" s="418"/>
      <c r="AP1834" s="418"/>
      <c r="AQ1834" s="418"/>
      <c r="AR1834" s="418"/>
      <c r="AS1834" s="418"/>
      <c r="AT1834" s="418"/>
      <c r="AU1834" s="418"/>
      <c r="AV1834" s="418"/>
      <c r="AW1834" s="418"/>
      <c r="AX1834" s="418"/>
      <c r="AY1834" s="418"/>
      <c r="AZ1834" s="418"/>
      <c r="BA1834" s="418"/>
    </row>
    <row r="1835" spans="40:53" ht="15.75" customHeight="1">
      <c r="AN1835" s="418"/>
      <c r="AO1835" s="418"/>
      <c r="AP1835" s="418"/>
      <c r="AQ1835" s="418"/>
      <c r="AR1835" s="418"/>
      <c r="AS1835" s="418"/>
      <c r="AT1835" s="418"/>
      <c r="AU1835" s="418"/>
      <c r="AV1835" s="418"/>
      <c r="AW1835" s="418"/>
      <c r="AX1835" s="418"/>
      <c r="AY1835" s="418"/>
      <c r="AZ1835" s="418"/>
      <c r="BA1835" s="418"/>
    </row>
    <row r="1836" spans="40:53" ht="15.75" customHeight="1">
      <c r="AN1836" s="418"/>
      <c r="AO1836" s="418"/>
      <c r="AP1836" s="418"/>
      <c r="AQ1836" s="418"/>
      <c r="AR1836" s="418"/>
      <c r="AS1836" s="418"/>
      <c r="AT1836" s="418"/>
      <c r="AU1836" s="418"/>
      <c r="AV1836" s="418"/>
      <c r="AW1836" s="418"/>
      <c r="AX1836" s="418"/>
      <c r="AY1836" s="418"/>
      <c r="AZ1836" s="418"/>
      <c r="BA1836" s="418"/>
    </row>
    <row r="1837" spans="40:53" ht="15.75" customHeight="1">
      <c r="AN1837" s="418"/>
      <c r="AO1837" s="418"/>
      <c r="AP1837" s="418"/>
      <c r="AQ1837" s="418"/>
      <c r="AR1837" s="418"/>
      <c r="AS1837" s="418"/>
      <c r="AT1837" s="418"/>
      <c r="AU1837" s="418"/>
      <c r="AV1837" s="418"/>
      <c r="AW1837" s="418"/>
      <c r="AX1837" s="418"/>
      <c r="AY1837" s="418"/>
      <c r="AZ1837" s="418"/>
      <c r="BA1837" s="418"/>
    </row>
    <row r="1838" spans="40:53" ht="15.75" customHeight="1">
      <c r="AN1838" s="418"/>
      <c r="AO1838" s="418"/>
      <c r="AP1838" s="418"/>
      <c r="AQ1838" s="418"/>
      <c r="AR1838" s="418"/>
      <c r="AS1838" s="418"/>
      <c r="AT1838" s="418"/>
      <c r="AU1838" s="418"/>
      <c r="AV1838" s="418"/>
      <c r="AW1838" s="418"/>
      <c r="AX1838" s="418"/>
      <c r="AY1838" s="418"/>
      <c r="AZ1838" s="418"/>
      <c r="BA1838" s="418"/>
    </row>
    <row r="1839" spans="40:53" ht="15.75" customHeight="1">
      <c r="AN1839" s="418"/>
      <c r="AO1839" s="418"/>
      <c r="AP1839" s="418"/>
      <c r="AQ1839" s="418"/>
      <c r="AR1839" s="418"/>
      <c r="AS1839" s="418"/>
      <c r="AT1839" s="418"/>
      <c r="AU1839" s="418"/>
      <c r="AV1839" s="418"/>
      <c r="AW1839" s="418"/>
      <c r="AX1839" s="418"/>
      <c r="AY1839" s="418"/>
      <c r="AZ1839" s="418"/>
      <c r="BA1839" s="418"/>
    </row>
    <row r="1840" spans="40:53" ht="15.75" customHeight="1">
      <c r="AN1840" s="418"/>
      <c r="AO1840" s="418"/>
      <c r="AP1840" s="418"/>
      <c r="AQ1840" s="418"/>
      <c r="AR1840" s="418"/>
      <c r="AS1840" s="418"/>
      <c r="AT1840" s="418"/>
      <c r="AU1840" s="418"/>
      <c r="AV1840" s="418"/>
      <c r="AW1840" s="418"/>
      <c r="AX1840" s="418"/>
      <c r="AY1840" s="418"/>
      <c r="AZ1840" s="418"/>
      <c r="BA1840" s="418"/>
    </row>
    <row r="1841" spans="40:53" ht="15.75" customHeight="1">
      <c r="AN1841" s="418"/>
      <c r="AO1841" s="418"/>
      <c r="AP1841" s="418"/>
      <c r="AQ1841" s="418"/>
      <c r="AR1841" s="418"/>
      <c r="AS1841" s="418"/>
      <c r="AT1841" s="418"/>
      <c r="AU1841" s="418"/>
      <c r="AV1841" s="418"/>
      <c r="AW1841" s="418"/>
      <c r="AX1841" s="418"/>
      <c r="AY1841" s="418"/>
      <c r="AZ1841" s="418"/>
      <c r="BA1841" s="418"/>
    </row>
    <row r="1842" spans="40:53" ht="15.75" customHeight="1">
      <c r="AN1842" s="418"/>
      <c r="AO1842" s="418"/>
      <c r="AP1842" s="418"/>
      <c r="AQ1842" s="418"/>
      <c r="AR1842" s="418"/>
      <c r="AS1842" s="418"/>
      <c r="AT1842" s="418"/>
      <c r="AU1842" s="418"/>
      <c r="AV1842" s="418"/>
      <c r="AW1842" s="418"/>
      <c r="AX1842" s="418"/>
      <c r="AY1842" s="418"/>
      <c r="AZ1842" s="418"/>
      <c r="BA1842" s="418"/>
    </row>
    <row r="1843" spans="40:53" ht="15.75" customHeight="1">
      <c r="AN1843" s="418"/>
      <c r="AO1843" s="418"/>
      <c r="AP1843" s="418"/>
      <c r="AQ1843" s="418"/>
      <c r="AR1843" s="418"/>
      <c r="AS1843" s="418"/>
      <c r="AT1843" s="418"/>
      <c r="AU1843" s="418"/>
      <c r="AV1843" s="418"/>
      <c r="AW1843" s="418"/>
      <c r="AX1843" s="418"/>
      <c r="AY1843" s="418"/>
      <c r="AZ1843" s="418"/>
      <c r="BA1843" s="418"/>
    </row>
    <row r="1844" spans="40:53" ht="15.75" customHeight="1">
      <c r="AN1844" s="418"/>
      <c r="AO1844" s="418"/>
      <c r="AP1844" s="418"/>
      <c r="AQ1844" s="418"/>
      <c r="AR1844" s="418"/>
      <c r="AS1844" s="418"/>
      <c r="AT1844" s="418"/>
      <c r="AU1844" s="418"/>
      <c r="AV1844" s="418"/>
      <c r="AW1844" s="418"/>
      <c r="AX1844" s="418"/>
      <c r="AY1844" s="418"/>
      <c r="AZ1844" s="418"/>
      <c r="BA1844" s="418"/>
    </row>
    <row r="1845" spans="40:53" ht="15.75" customHeight="1">
      <c r="AN1845" s="418"/>
      <c r="AO1845" s="418"/>
      <c r="AP1845" s="418"/>
      <c r="AQ1845" s="418"/>
      <c r="AR1845" s="418"/>
      <c r="AS1845" s="418"/>
      <c r="AT1845" s="418"/>
      <c r="AU1845" s="418"/>
      <c r="AV1845" s="418"/>
      <c r="AW1845" s="418"/>
      <c r="AX1845" s="418"/>
      <c r="AY1845" s="418"/>
      <c r="AZ1845" s="418"/>
      <c r="BA1845" s="418"/>
    </row>
    <row r="1846" spans="40:53" ht="15.75" customHeight="1">
      <c r="AN1846" s="418"/>
      <c r="AO1846" s="418"/>
      <c r="AP1846" s="418"/>
      <c r="AQ1846" s="418"/>
      <c r="AR1846" s="418"/>
      <c r="AS1846" s="418"/>
      <c r="AT1846" s="418"/>
      <c r="AU1846" s="418"/>
      <c r="AV1846" s="418"/>
      <c r="AW1846" s="418"/>
      <c r="AX1846" s="418"/>
      <c r="AY1846" s="418"/>
      <c r="AZ1846" s="418"/>
      <c r="BA1846" s="418"/>
    </row>
    <row r="1847" spans="40:53" ht="15.75" customHeight="1">
      <c r="AN1847" s="418"/>
      <c r="AO1847" s="418"/>
      <c r="AP1847" s="418"/>
      <c r="AQ1847" s="418"/>
      <c r="AR1847" s="418"/>
      <c r="AS1847" s="418"/>
      <c r="AT1847" s="418"/>
      <c r="AU1847" s="418"/>
      <c r="AV1847" s="418"/>
      <c r="AW1847" s="418"/>
      <c r="AX1847" s="418"/>
      <c r="AY1847" s="418"/>
      <c r="AZ1847" s="418"/>
      <c r="BA1847" s="418"/>
    </row>
    <row r="1848" spans="40:53" ht="15.75" customHeight="1">
      <c r="AN1848" s="418"/>
      <c r="AO1848" s="418"/>
      <c r="AP1848" s="418"/>
      <c r="AQ1848" s="418"/>
      <c r="AR1848" s="418"/>
      <c r="AS1848" s="418"/>
      <c r="AT1848" s="418"/>
      <c r="AU1848" s="418"/>
      <c r="AV1848" s="418"/>
      <c r="AW1848" s="418"/>
      <c r="AX1848" s="418"/>
      <c r="AY1848" s="418"/>
      <c r="AZ1848" s="418"/>
      <c r="BA1848" s="418"/>
    </row>
    <row r="1849" spans="40:53" ht="15.75" customHeight="1">
      <c r="AN1849" s="418"/>
      <c r="AO1849" s="418"/>
      <c r="AP1849" s="418"/>
      <c r="AQ1849" s="418"/>
      <c r="AR1849" s="418"/>
      <c r="AS1849" s="418"/>
      <c r="AT1849" s="418"/>
      <c r="AU1849" s="418"/>
      <c r="AV1849" s="418"/>
      <c r="AW1849" s="418"/>
      <c r="AX1849" s="418"/>
      <c r="AY1849" s="418"/>
      <c r="AZ1849" s="418"/>
      <c r="BA1849" s="418"/>
    </row>
    <row r="1850" spans="40:53" ht="15.75" customHeight="1">
      <c r="AN1850" s="418"/>
      <c r="AO1850" s="418"/>
      <c r="AP1850" s="418"/>
      <c r="AQ1850" s="418"/>
      <c r="AR1850" s="418"/>
      <c r="AS1850" s="418"/>
      <c r="AT1850" s="418"/>
      <c r="AU1850" s="418"/>
      <c r="AV1850" s="418"/>
      <c r="AW1850" s="418"/>
      <c r="AX1850" s="418"/>
      <c r="AY1850" s="418"/>
      <c r="AZ1850" s="418"/>
      <c r="BA1850" s="418"/>
    </row>
    <row r="1851" spans="40:53" ht="15.75" customHeight="1">
      <c r="AN1851" s="418"/>
      <c r="AO1851" s="418"/>
      <c r="AP1851" s="418"/>
      <c r="AQ1851" s="418"/>
      <c r="AR1851" s="418"/>
      <c r="AS1851" s="418"/>
      <c r="AT1851" s="418"/>
      <c r="AU1851" s="418"/>
      <c r="AV1851" s="418"/>
      <c r="AW1851" s="418"/>
      <c r="AX1851" s="418"/>
      <c r="AY1851" s="418"/>
      <c r="AZ1851" s="418"/>
      <c r="BA1851" s="418"/>
    </row>
    <row r="1852" spans="40:53" ht="15.75" customHeight="1">
      <c r="AN1852" s="418"/>
      <c r="AO1852" s="418"/>
      <c r="AP1852" s="418"/>
      <c r="AQ1852" s="418"/>
      <c r="AR1852" s="418"/>
      <c r="AS1852" s="418"/>
      <c r="AT1852" s="418"/>
      <c r="AU1852" s="418"/>
      <c r="AV1852" s="418"/>
      <c r="AW1852" s="418"/>
      <c r="AX1852" s="418"/>
      <c r="AY1852" s="418"/>
      <c r="AZ1852" s="418"/>
      <c r="BA1852" s="418"/>
    </row>
    <row r="1853" spans="40:53" ht="15.75" customHeight="1">
      <c r="AN1853" s="418"/>
      <c r="AO1853" s="418"/>
      <c r="AP1853" s="418"/>
      <c r="AQ1853" s="418"/>
      <c r="AR1853" s="418"/>
      <c r="AS1853" s="418"/>
      <c r="AT1853" s="418"/>
      <c r="AU1853" s="418"/>
      <c r="AV1853" s="418"/>
      <c r="AW1853" s="418"/>
      <c r="AX1853" s="418"/>
      <c r="AY1853" s="418"/>
      <c r="AZ1853" s="418"/>
      <c r="BA1853" s="418"/>
    </row>
    <row r="1854" spans="40:53" ht="15.75" customHeight="1">
      <c r="AN1854" s="418"/>
      <c r="AO1854" s="418"/>
      <c r="AP1854" s="418"/>
      <c r="AQ1854" s="418"/>
      <c r="AR1854" s="418"/>
      <c r="AS1854" s="418"/>
      <c r="AT1854" s="418"/>
      <c r="AU1854" s="418"/>
      <c r="AV1854" s="418"/>
      <c r="AW1854" s="418"/>
      <c r="AX1854" s="418"/>
      <c r="AY1854" s="418"/>
      <c r="AZ1854" s="418"/>
      <c r="BA1854" s="418"/>
    </row>
    <row r="1855" spans="40:53" ht="15.75" customHeight="1">
      <c r="AN1855" s="418"/>
      <c r="AO1855" s="418"/>
      <c r="AP1855" s="418"/>
      <c r="AQ1855" s="418"/>
      <c r="AR1855" s="418"/>
      <c r="AS1855" s="418"/>
      <c r="AT1855" s="418"/>
      <c r="AU1855" s="418"/>
      <c r="AV1855" s="418"/>
      <c r="AW1855" s="418"/>
      <c r="AX1855" s="418"/>
      <c r="AY1855" s="418"/>
      <c r="AZ1855" s="418"/>
      <c r="BA1855" s="418"/>
    </row>
    <row r="1856" spans="40:53" ht="15.75" customHeight="1">
      <c r="AN1856" s="418"/>
      <c r="AO1856" s="418"/>
      <c r="AP1856" s="418"/>
      <c r="AQ1856" s="418"/>
      <c r="AR1856" s="418"/>
      <c r="AS1856" s="418"/>
      <c r="AT1856" s="418"/>
      <c r="AU1856" s="418"/>
      <c r="AV1856" s="418"/>
      <c r="AW1856" s="418"/>
      <c r="AX1856" s="418"/>
      <c r="AY1856" s="418"/>
      <c r="AZ1856" s="418"/>
      <c r="BA1856" s="418"/>
    </row>
    <row r="1857" spans="40:53" ht="15.75" customHeight="1">
      <c r="AN1857" s="418"/>
      <c r="AO1857" s="418"/>
      <c r="AP1857" s="418"/>
      <c r="AQ1857" s="418"/>
      <c r="AR1857" s="418"/>
      <c r="AS1857" s="418"/>
      <c r="AT1857" s="418"/>
      <c r="AU1857" s="418"/>
      <c r="AV1857" s="418"/>
      <c r="AW1857" s="418"/>
      <c r="AX1857" s="418"/>
      <c r="AY1857" s="418"/>
      <c r="AZ1857" s="418"/>
      <c r="BA1857" s="418"/>
    </row>
    <row r="1858" spans="40:53" ht="15.75" customHeight="1">
      <c r="AN1858" s="418"/>
      <c r="AO1858" s="418"/>
      <c r="AP1858" s="418"/>
      <c r="AQ1858" s="418"/>
      <c r="AR1858" s="418"/>
      <c r="AS1858" s="418"/>
      <c r="AT1858" s="418"/>
      <c r="AU1858" s="418"/>
      <c r="AV1858" s="418"/>
      <c r="AW1858" s="418"/>
      <c r="AX1858" s="418"/>
      <c r="AY1858" s="418"/>
      <c r="AZ1858" s="418"/>
      <c r="BA1858" s="418"/>
    </row>
    <row r="1859" spans="40:53" ht="15.75" customHeight="1">
      <c r="AN1859" s="418"/>
      <c r="AO1859" s="418"/>
      <c r="AP1859" s="418"/>
      <c r="AQ1859" s="418"/>
      <c r="AR1859" s="418"/>
      <c r="AS1859" s="418"/>
      <c r="AT1859" s="418"/>
      <c r="AU1859" s="418"/>
      <c r="AV1859" s="418"/>
      <c r="AW1859" s="418"/>
      <c r="AX1859" s="418"/>
      <c r="AY1859" s="418"/>
      <c r="AZ1859" s="418"/>
      <c r="BA1859" s="418"/>
    </row>
    <row r="1860" spans="40:53" ht="15.75" customHeight="1">
      <c r="AN1860" s="418"/>
      <c r="AO1860" s="418"/>
      <c r="AP1860" s="418"/>
      <c r="AQ1860" s="418"/>
      <c r="AR1860" s="418"/>
      <c r="AS1860" s="418"/>
      <c r="AT1860" s="418"/>
      <c r="AU1860" s="418"/>
      <c r="AV1860" s="418"/>
      <c r="AW1860" s="418"/>
      <c r="AX1860" s="418"/>
      <c r="AY1860" s="418"/>
      <c r="AZ1860" s="418"/>
      <c r="BA1860" s="418"/>
    </row>
    <row r="1861" spans="40:53" ht="15.75" customHeight="1">
      <c r="AN1861" s="418"/>
      <c r="AO1861" s="418"/>
      <c r="AP1861" s="418"/>
      <c r="AQ1861" s="418"/>
      <c r="AR1861" s="418"/>
      <c r="AS1861" s="418"/>
      <c r="AT1861" s="418"/>
      <c r="AU1861" s="418"/>
      <c r="AV1861" s="418"/>
      <c r="AW1861" s="418"/>
      <c r="AX1861" s="418"/>
      <c r="AY1861" s="418"/>
      <c r="AZ1861" s="418"/>
      <c r="BA1861" s="418"/>
    </row>
    <row r="1862" spans="40:53" ht="15.75" customHeight="1">
      <c r="AN1862" s="418"/>
      <c r="AO1862" s="418"/>
      <c r="AP1862" s="418"/>
      <c r="AQ1862" s="418"/>
      <c r="AR1862" s="418"/>
      <c r="AS1862" s="418"/>
      <c r="AT1862" s="418"/>
      <c r="AU1862" s="418"/>
      <c r="AV1862" s="418"/>
      <c r="AW1862" s="418"/>
      <c r="AX1862" s="418"/>
      <c r="AY1862" s="418"/>
      <c r="AZ1862" s="418"/>
      <c r="BA1862" s="418"/>
    </row>
    <row r="1863" spans="40:53" ht="15.75" customHeight="1">
      <c r="AN1863" s="418"/>
      <c r="AO1863" s="418"/>
      <c r="AP1863" s="418"/>
      <c r="AQ1863" s="418"/>
      <c r="AR1863" s="418"/>
      <c r="AS1863" s="418"/>
      <c r="AT1863" s="418"/>
      <c r="AU1863" s="418"/>
      <c r="AV1863" s="418"/>
      <c r="AW1863" s="418"/>
      <c r="AX1863" s="418"/>
      <c r="AY1863" s="418"/>
      <c r="AZ1863" s="418"/>
      <c r="BA1863" s="418"/>
    </row>
    <row r="1864" spans="40:53" ht="15.75" customHeight="1">
      <c r="AN1864" s="418"/>
      <c r="AO1864" s="418"/>
      <c r="AP1864" s="418"/>
      <c r="AQ1864" s="418"/>
      <c r="AR1864" s="418"/>
      <c r="AS1864" s="418"/>
      <c r="AT1864" s="418"/>
      <c r="AU1864" s="418"/>
      <c r="AV1864" s="418"/>
      <c r="AW1864" s="418"/>
      <c r="AX1864" s="418"/>
      <c r="AY1864" s="418"/>
      <c r="AZ1864" s="418"/>
      <c r="BA1864" s="418"/>
    </row>
    <row r="1865" spans="40:53" ht="15.75" customHeight="1">
      <c r="AN1865" s="418"/>
      <c r="AO1865" s="418"/>
      <c r="AP1865" s="418"/>
      <c r="AQ1865" s="418"/>
      <c r="AR1865" s="418"/>
      <c r="AS1865" s="418"/>
      <c r="AT1865" s="418"/>
      <c r="AU1865" s="418"/>
      <c r="AV1865" s="418"/>
      <c r="AW1865" s="418"/>
      <c r="AX1865" s="418"/>
      <c r="AY1865" s="418"/>
      <c r="AZ1865" s="418"/>
      <c r="BA1865" s="418"/>
    </row>
    <row r="1866" spans="40:53" ht="15.75" customHeight="1">
      <c r="AN1866" s="418"/>
      <c r="AO1866" s="418"/>
      <c r="AP1866" s="418"/>
      <c r="AQ1866" s="418"/>
      <c r="AR1866" s="418"/>
      <c r="AS1866" s="418"/>
      <c r="AT1866" s="418"/>
      <c r="AU1866" s="418"/>
      <c r="AV1866" s="418"/>
      <c r="AW1866" s="418"/>
      <c r="AX1866" s="418"/>
      <c r="AY1866" s="418"/>
      <c r="AZ1866" s="418"/>
      <c r="BA1866" s="418"/>
    </row>
    <row r="1867" spans="40:53" ht="15.75" customHeight="1">
      <c r="AN1867" s="418"/>
      <c r="AO1867" s="418"/>
      <c r="AP1867" s="418"/>
      <c r="AQ1867" s="418"/>
      <c r="AR1867" s="418"/>
      <c r="AS1867" s="418"/>
      <c r="AT1867" s="418"/>
      <c r="AU1867" s="418"/>
      <c r="AV1867" s="418"/>
      <c r="AW1867" s="418"/>
      <c r="AX1867" s="418"/>
      <c r="AY1867" s="418"/>
      <c r="AZ1867" s="418"/>
      <c r="BA1867" s="418"/>
    </row>
    <row r="1868" spans="40:53" ht="15.75" customHeight="1">
      <c r="AN1868" s="418"/>
      <c r="AO1868" s="418"/>
      <c r="AP1868" s="418"/>
      <c r="AQ1868" s="418"/>
      <c r="AR1868" s="418"/>
      <c r="AS1868" s="418"/>
      <c r="AT1868" s="418"/>
      <c r="AU1868" s="418"/>
      <c r="AV1868" s="418"/>
      <c r="AW1868" s="418"/>
      <c r="AX1868" s="418"/>
      <c r="AY1868" s="418"/>
      <c r="AZ1868" s="418"/>
      <c r="BA1868" s="418"/>
    </row>
    <row r="1869" spans="40:53" ht="15.75" customHeight="1">
      <c r="AN1869" s="418"/>
      <c r="AO1869" s="418"/>
      <c r="AP1869" s="418"/>
      <c r="AQ1869" s="418"/>
      <c r="AR1869" s="418"/>
      <c r="AS1869" s="418"/>
      <c r="AT1869" s="418"/>
      <c r="AU1869" s="418"/>
      <c r="AV1869" s="418"/>
      <c r="AW1869" s="418"/>
      <c r="AX1869" s="418"/>
      <c r="AY1869" s="418"/>
      <c r="AZ1869" s="418"/>
      <c r="BA1869" s="418"/>
    </row>
    <row r="1870" spans="40:53" ht="15.75" customHeight="1">
      <c r="AN1870" s="418"/>
      <c r="AO1870" s="418"/>
      <c r="AP1870" s="418"/>
      <c r="AQ1870" s="418"/>
      <c r="AR1870" s="418"/>
      <c r="AS1870" s="418"/>
      <c r="AT1870" s="418"/>
      <c r="AU1870" s="418"/>
      <c r="AV1870" s="418"/>
      <c r="AW1870" s="418"/>
      <c r="AX1870" s="418"/>
      <c r="AY1870" s="418"/>
      <c r="AZ1870" s="418"/>
      <c r="BA1870" s="418"/>
    </row>
    <row r="1871" spans="40:53" ht="15.75" customHeight="1">
      <c r="AN1871" s="418"/>
      <c r="AO1871" s="418"/>
      <c r="AP1871" s="418"/>
      <c r="AQ1871" s="418"/>
      <c r="AR1871" s="418"/>
      <c r="AS1871" s="418"/>
      <c r="AT1871" s="418"/>
      <c r="AU1871" s="418"/>
      <c r="AV1871" s="418"/>
      <c r="AW1871" s="418"/>
      <c r="AX1871" s="418"/>
      <c r="AY1871" s="418"/>
      <c r="AZ1871" s="418"/>
      <c r="BA1871" s="418"/>
    </row>
    <row r="1872" spans="40:53" ht="15.75" customHeight="1">
      <c r="AN1872" s="418"/>
      <c r="AO1872" s="418"/>
      <c r="AP1872" s="418"/>
      <c r="AQ1872" s="418"/>
      <c r="AR1872" s="418"/>
      <c r="AS1872" s="418"/>
      <c r="AT1872" s="418"/>
      <c r="AU1872" s="418"/>
      <c r="AV1872" s="418"/>
      <c r="AW1872" s="418"/>
      <c r="AX1872" s="418"/>
      <c r="AY1872" s="418"/>
      <c r="AZ1872" s="418"/>
      <c r="BA1872" s="418"/>
    </row>
    <row r="1873" spans="40:53" ht="15.75" customHeight="1">
      <c r="AN1873" s="418"/>
      <c r="AO1873" s="418"/>
      <c r="AP1873" s="418"/>
      <c r="AQ1873" s="418"/>
      <c r="AR1873" s="418"/>
      <c r="AS1873" s="418"/>
      <c r="AT1873" s="418"/>
      <c r="AU1873" s="418"/>
      <c r="AV1873" s="418"/>
      <c r="AW1873" s="418"/>
      <c r="AX1873" s="418"/>
      <c r="AY1873" s="418"/>
      <c r="AZ1873" s="418"/>
      <c r="BA1873" s="418"/>
    </row>
    <row r="1874" spans="40:53" ht="15.75" customHeight="1">
      <c r="AN1874" s="418"/>
      <c r="AO1874" s="418"/>
      <c r="AP1874" s="418"/>
      <c r="AQ1874" s="418"/>
      <c r="AR1874" s="418"/>
      <c r="AS1874" s="418"/>
      <c r="AT1874" s="418"/>
      <c r="AU1874" s="418"/>
      <c r="AV1874" s="418"/>
      <c r="AW1874" s="418"/>
      <c r="AX1874" s="418"/>
      <c r="AY1874" s="418"/>
      <c r="AZ1874" s="418"/>
      <c r="BA1874" s="418"/>
    </row>
    <row r="1875" spans="40:53" ht="15.75" customHeight="1">
      <c r="AN1875" s="418"/>
      <c r="AO1875" s="418"/>
      <c r="AP1875" s="418"/>
      <c r="AQ1875" s="418"/>
      <c r="AR1875" s="418"/>
      <c r="AS1875" s="418"/>
      <c r="AT1875" s="418"/>
      <c r="AU1875" s="418"/>
      <c r="AV1875" s="418"/>
      <c r="AW1875" s="418"/>
      <c r="AX1875" s="418"/>
      <c r="AY1875" s="418"/>
      <c r="AZ1875" s="418"/>
      <c r="BA1875" s="418"/>
    </row>
    <row r="1876" spans="40:53" ht="15.75" customHeight="1">
      <c r="AN1876" s="418"/>
      <c r="AO1876" s="418"/>
      <c r="AP1876" s="418"/>
      <c r="AQ1876" s="418"/>
      <c r="AR1876" s="418"/>
      <c r="AS1876" s="418"/>
      <c r="AT1876" s="418"/>
      <c r="AU1876" s="418"/>
      <c r="AV1876" s="418"/>
      <c r="AW1876" s="418"/>
      <c r="AX1876" s="418"/>
      <c r="AY1876" s="418"/>
      <c r="AZ1876" s="418"/>
      <c r="BA1876" s="418"/>
    </row>
    <row r="1877" spans="40:53" ht="15.75" customHeight="1">
      <c r="AN1877" s="418"/>
      <c r="AO1877" s="418"/>
      <c r="AP1877" s="418"/>
      <c r="AQ1877" s="418"/>
      <c r="AR1877" s="418"/>
      <c r="AS1877" s="418"/>
      <c r="AT1877" s="418"/>
      <c r="AU1877" s="418"/>
      <c r="AV1877" s="418"/>
      <c r="AW1877" s="418"/>
      <c r="AX1877" s="418"/>
      <c r="AY1877" s="418"/>
      <c r="AZ1877" s="418"/>
      <c r="BA1877" s="418"/>
    </row>
    <row r="1878" spans="40:53" ht="15.75" customHeight="1">
      <c r="AN1878" s="418"/>
      <c r="AO1878" s="418"/>
      <c r="AP1878" s="418"/>
      <c r="AQ1878" s="418"/>
      <c r="AR1878" s="418"/>
      <c r="AS1878" s="418"/>
      <c r="AT1878" s="418"/>
      <c r="AU1878" s="418"/>
      <c r="AV1878" s="418"/>
      <c r="AW1878" s="418"/>
      <c r="AX1878" s="418"/>
      <c r="AY1878" s="418"/>
      <c r="AZ1878" s="418"/>
      <c r="BA1878" s="418"/>
    </row>
    <row r="1879" spans="40:53" ht="15.75" customHeight="1">
      <c r="AN1879" s="418"/>
      <c r="AO1879" s="418"/>
      <c r="AP1879" s="418"/>
      <c r="AQ1879" s="418"/>
      <c r="AR1879" s="418"/>
      <c r="AS1879" s="418"/>
      <c r="AT1879" s="418"/>
      <c r="AU1879" s="418"/>
      <c r="AV1879" s="418"/>
      <c r="AW1879" s="418"/>
      <c r="AX1879" s="418"/>
      <c r="AY1879" s="418"/>
      <c r="AZ1879" s="418"/>
      <c r="BA1879" s="418"/>
    </row>
    <row r="1880" spans="40:53" ht="15.75" customHeight="1">
      <c r="AN1880" s="418"/>
      <c r="AO1880" s="418"/>
      <c r="AP1880" s="418"/>
      <c r="AQ1880" s="418"/>
      <c r="AR1880" s="418"/>
      <c r="AS1880" s="418"/>
      <c r="AT1880" s="418"/>
      <c r="AU1880" s="418"/>
      <c r="AV1880" s="418"/>
      <c r="AW1880" s="418"/>
      <c r="AX1880" s="418"/>
      <c r="AY1880" s="418"/>
      <c r="AZ1880" s="418"/>
      <c r="BA1880" s="418"/>
    </row>
    <row r="1881" spans="40:53" ht="15.75" customHeight="1">
      <c r="AN1881" s="418"/>
      <c r="AO1881" s="418"/>
      <c r="AP1881" s="418"/>
      <c r="AQ1881" s="418"/>
      <c r="AR1881" s="418"/>
      <c r="AS1881" s="418"/>
      <c r="AT1881" s="418"/>
      <c r="AU1881" s="418"/>
      <c r="AV1881" s="418"/>
      <c r="AW1881" s="418"/>
      <c r="AX1881" s="418"/>
      <c r="AY1881" s="418"/>
      <c r="AZ1881" s="418"/>
      <c r="BA1881" s="418"/>
    </row>
    <row r="1882" spans="40:53" ht="15.75" customHeight="1">
      <c r="AN1882" s="418"/>
      <c r="AO1882" s="418"/>
      <c r="AP1882" s="418"/>
      <c r="AQ1882" s="418"/>
      <c r="AR1882" s="418"/>
      <c r="AS1882" s="418"/>
      <c r="AT1882" s="418"/>
      <c r="AU1882" s="418"/>
      <c r="AV1882" s="418"/>
      <c r="AW1882" s="418"/>
      <c r="AX1882" s="418"/>
      <c r="AY1882" s="418"/>
      <c r="AZ1882" s="418"/>
      <c r="BA1882" s="418"/>
    </row>
    <row r="1883" spans="40:53" ht="15.75" customHeight="1">
      <c r="AN1883" s="418"/>
      <c r="AO1883" s="418"/>
      <c r="AP1883" s="418"/>
      <c r="AQ1883" s="418"/>
      <c r="AR1883" s="418"/>
      <c r="AS1883" s="418"/>
      <c r="AT1883" s="418"/>
      <c r="AU1883" s="418"/>
      <c r="AV1883" s="418"/>
      <c r="AW1883" s="418"/>
      <c r="AX1883" s="418"/>
      <c r="AY1883" s="418"/>
      <c r="AZ1883" s="418"/>
      <c r="BA1883" s="418"/>
    </row>
    <row r="1884" spans="40:53" ht="15.75" customHeight="1">
      <c r="AN1884" s="418"/>
      <c r="AO1884" s="418"/>
      <c r="AP1884" s="418"/>
      <c r="AQ1884" s="418"/>
      <c r="AR1884" s="418"/>
      <c r="AS1884" s="418"/>
      <c r="AT1884" s="418"/>
      <c r="AU1884" s="418"/>
      <c r="AV1884" s="418"/>
      <c r="AW1884" s="418"/>
      <c r="AX1884" s="418"/>
      <c r="AY1884" s="418"/>
      <c r="AZ1884" s="418"/>
      <c r="BA1884" s="418"/>
    </row>
    <row r="1885" spans="40:53" ht="15.75" customHeight="1">
      <c r="AN1885" s="418"/>
      <c r="AO1885" s="418"/>
      <c r="AP1885" s="418"/>
      <c r="AQ1885" s="418"/>
      <c r="AR1885" s="418"/>
      <c r="AS1885" s="418"/>
      <c r="AT1885" s="418"/>
      <c r="AU1885" s="418"/>
      <c r="AV1885" s="418"/>
      <c r="AW1885" s="418"/>
      <c r="AX1885" s="418"/>
      <c r="AY1885" s="418"/>
      <c r="AZ1885" s="418"/>
      <c r="BA1885" s="418"/>
    </row>
    <row r="1886" spans="40:53" ht="15.75" customHeight="1">
      <c r="AN1886" s="418"/>
      <c r="AO1886" s="418"/>
      <c r="AP1886" s="418"/>
      <c r="AQ1886" s="418"/>
      <c r="AR1886" s="418"/>
      <c r="AS1886" s="418"/>
      <c r="AT1886" s="418"/>
      <c r="AU1886" s="418"/>
      <c r="AV1886" s="418"/>
      <c r="AW1886" s="418"/>
      <c r="AX1886" s="418"/>
      <c r="AY1886" s="418"/>
      <c r="AZ1886" s="418"/>
      <c r="BA1886" s="418"/>
    </row>
    <row r="1887" spans="40:53" ht="15.75" customHeight="1">
      <c r="AN1887" s="418"/>
      <c r="AO1887" s="418"/>
      <c r="AP1887" s="418"/>
      <c r="AQ1887" s="418"/>
      <c r="AR1887" s="418"/>
      <c r="AS1887" s="418"/>
      <c r="AT1887" s="418"/>
      <c r="AU1887" s="418"/>
      <c r="AV1887" s="418"/>
      <c r="AW1887" s="418"/>
      <c r="AX1887" s="418"/>
      <c r="AY1887" s="418"/>
      <c r="AZ1887" s="418"/>
      <c r="BA1887" s="418"/>
    </row>
    <row r="1888" spans="40:53" ht="15.75" customHeight="1">
      <c r="AN1888" s="418"/>
      <c r="AO1888" s="418"/>
      <c r="AP1888" s="418"/>
      <c r="AQ1888" s="418"/>
      <c r="AR1888" s="418"/>
      <c r="AS1888" s="418"/>
      <c r="AT1888" s="418"/>
      <c r="AU1888" s="418"/>
      <c r="AV1888" s="418"/>
      <c r="AW1888" s="418"/>
      <c r="AX1888" s="418"/>
      <c r="AY1888" s="418"/>
      <c r="AZ1888" s="418"/>
      <c r="BA1888" s="418"/>
    </row>
    <row r="1889" spans="40:53" ht="15.75" customHeight="1">
      <c r="AN1889" s="418"/>
      <c r="AO1889" s="418"/>
      <c r="AP1889" s="418"/>
      <c r="AQ1889" s="418"/>
      <c r="AR1889" s="418"/>
      <c r="AS1889" s="418"/>
      <c r="AT1889" s="418"/>
      <c r="AU1889" s="418"/>
      <c r="AV1889" s="418"/>
      <c r="AW1889" s="418"/>
      <c r="AX1889" s="418"/>
      <c r="AY1889" s="418"/>
      <c r="AZ1889" s="418"/>
      <c r="BA1889" s="418"/>
    </row>
    <row r="1890" spans="40:53" ht="15.75" customHeight="1">
      <c r="AN1890" s="418"/>
      <c r="AO1890" s="418"/>
      <c r="AP1890" s="418"/>
      <c r="AQ1890" s="418"/>
      <c r="AR1890" s="418"/>
      <c r="AS1890" s="418"/>
      <c r="AT1890" s="418"/>
      <c r="AU1890" s="418"/>
      <c r="AV1890" s="418"/>
      <c r="AW1890" s="418"/>
      <c r="AX1890" s="418"/>
      <c r="AY1890" s="418"/>
      <c r="AZ1890" s="418"/>
      <c r="BA1890" s="418"/>
    </row>
    <row r="1891" spans="40:53" ht="15.75" customHeight="1">
      <c r="AN1891" s="418"/>
      <c r="AO1891" s="418"/>
      <c r="AP1891" s="418"/>
      <c r="AQ1891" s="418"/>
      <c r="AR1891" s="418"/>
      <c r="AS1891" s="418"/>
      <c r="AT1891" s="418"/>
      <c r="AU1891" s="418"/>
      <c r="AV1891" s="418"/>
      <c r="AW1891" s="418"/>
      <c r="AX1891" s="418"/>
      <c r="AY1891" s="418"/>
      <c r="AZ1891" s="418"/>
      <c r="BA1891" s="418"/>
    </row>
    <row r="1892" spans="40:53" ht="15.75" customHeight="1">
      <c r="AN1892" s="418"/>
      <c r="AO1892" s="418"/>
      <c r="AP1892" s="418"/>
      <c r="AQ1892" s="418"/>
      <c r="AR1892" s="418"/>
      <c r="AS1892" s="418"/>
      <c r="AT1892" s="418"/>
      <c r="AU1892" s="418"/>
      <c r="AV1892" s="418"/>
      <c r="AW1892" s="418"/>
      <c r="AX1892" s="418"/>
      <c r="AY1892" s="418"/>
      <c r="AZ1892" s="418"/>
      <c r="BA1892" s="418"/>
    </row>
    <row r="1893" spans="40:53" ht="15.75" customHeight="1">
      <c r="AN1893" s="418"/>
      <c r="AO1893" s="418"/>
      <c r="AP1893" s="418"/>
      <c r="AQ1893" s="418"/>
      <c r="AR1893" s="418"/>
      <c r="AS1893" s="418"/>
      <c r="AT1893" s="418"/>
      <c r="AU1893" s="418"/>
      <c r="AV1893" s="418"/>
      <c r="AW1893" s="418"/>
      <c r="AX1893" s="418"/>
      <c r="AY1893" s="418"/>
      <c r="AZ1893" s="418"/>
      <c r="BA1893" s="418"/>
    </row>
    <row r="1894" spans="40:53" ht="15.75" customHeight="1">
      <c r="AN1894" s="418"/>
      <c r="AO1894" s="418"/>
      <c r="AP1894" s="418"/>
      <c r="AQ1894" s="418"/>
      <c r="AR1894" s="418"/>
      <c r="AS1894" s="418"/>
      <c r="AT1894" s="418"/>
      <c r="AU1894" s="418"/>
      <c r="AV1894" s="418"/>
      <c r="AW1894" s="418"/>
      <c r="AX1894" s="418"/>
      <c r="AY1894" s="418"/>
      <c r="AZ1894" s="418"/>
      <c r="BA1894" s="418"/>
    </row>
    <row r="1895" spans="40:53" ht="15.75" customHeight="1">
      <c r="AN1895" s="418"/>
      <c r="AO1895" s="418"/>
      <c r="AP1895" s="418"/>
      <c r="AQ1895" s="418"/>
      <c r="AR1895" s="418"/>
      <c r="AS1895" s="418"/>
      <c r="AT1895" s="418"/>
      <c r="AU1895" s="418"/>
      <c r="AV1895" s="418"/>
      <c r="AW1895" s="418"/>
      <c r="AX1895" s="418"/>
      <c r="AY1895" s="418"/>
      <c r="AZ1895" s="418"/>
      <c r="BA1895" s="418"/>
    </row>
    <row r="1896" spans="40:53" ht="15.75" customHeight="1">
      <c r="AN1896" s="418"/>
      <c r="AO1896" s="418"/>
      <c r="AP1896" s="418"/>
      <c r="AQ1896" s="418"/>
      <c r="AR1896" s="418"/>
      <c r="AS1896" s="418"/>
      <c r="AT1896" s="418"/>
      <c r="AU1896" s="418"/>
      <c r="AV1896" s="418"/>
      <c r="AW1896" s="418"/>
      <c r="AX1896" s="418"/>
      <c r="AY1896" s="418"/>
      <c r="AZ1896" s="418"/>
      <c r="BA1896" s="418"/>
    </row>
    <row r="1897" spans="40:53" ht="15.75" customHeight="1">
      <c r="AN1897" s="418"/>
      <c r="AO1897" s="418"/>
      <c r="AP1897" s="418"/>
      <c r="AQ1897" s="418"/>
      <c r="AR1897" s="418"/>
      <c r="AS1897" s="418"/>
      <c r="AT1897" s="418"/>
      <c r="AU1897" s="418"/>
      <c r="AV1897" s="418"/>
      <c r="AW1897" s="418"/>
      <c r="AX1897" s="418"/>
      <c r="AY1897" s="418"/>
      <c r="AZ1897" s="418"/>
      <c r="BA1897" s="418"/>
    </row>
    <row r="1898" spans="40:53" ht="15.75" customHeight="1">
      <c r="AN1898" s="418"/>
      <c r="AO1898" s="418"/>
      <c r="AP1898" s="418"/>
      <c r="AQ1898" s="418"/>
      <c r="AR1898" s="418"/>
      <c r="AS1898" s="418"/>
      <c r="AT1898" s="418"/>
      <c r="AU1898" s="418"/>
      <c r="AV1898" s="418"/>
      <c r="AW1898" s="418"/>
      <c r="AX1898" s="418"/>
      <c r="AY1898" s="418"/>
      <c r="AZ1898" s="418"/>
      <c r="BA1898" s="418"/>
    </row>
    <row r="1899" spans="40:53" ht="15.75" customHeight="1">
      <c r="AN1899" s="418"/>
      <c r="AO1899" s="418"/>
      <c r="AP1899" s="418"/>
      <c r="AQ1899" s="418"/>
      <c r="AR1899" s="418"/>
      <c r="AS1899" s="418"/>
      <c r="AT1899" s="418"/>
      <c r="AU1899" s="418"/>
      <c r="AV1899" s="418"/>
      <c r="AW1899" s="418"/>
      <c r="AX1899" s="418"/>
      <c r="AY1899" s="418"/>
      <c r="AZ1899" s="418"/>
      <c r="BA1899" s="418"/>
    </row>
    <row r="1900" spans="40:53" ht="15.75" customHeight="1">
      <c r="AN1900" s="418"/>
      <c r="AO1900" s="418"/>
      <c r="AP1900" s="418"/>
      <c r="AQ1900" s="418"/>
      <c r="AR1900" s="418"/>
      <c r="AS1900" s="418"/>
      <c r="AT1900" s="418"/>
      <c r="AU1900" s="418"/>
      <c r="AV1900" s="418"/>
      <c r="AW1900" s="418"/>
      <c r="AX1900" s="418"/>
      <c r="AY1900" s="418"/>
      <c r="AZ1900" s="418"/>
      <c r="BA1900" s="418"/>
    </row>
    <row r="1901" spans="40:53" ht="15.75" customHeight="1">
      <c r="AN1901" s="418"/>
      <c r="AO1901" s="418"/>
      <c r="AP1901" s="418"/>
      <c r="AQ1901" s="418"/>
      <c r="AR1901" s="418"/>
      <c r="AS1901" s="418"/>
      <c r="AT1901" s="418"/>
      <c r="AU1901" s="418"/>
      <c r="AV1901" s="418"/>
      <c r="AW1901" s="418"/>
      <c r="AX1901" s="418"/>
      <c r="AY1901" s="418"/>
      <c r="AZ1901" s="418"/>
      <c r="BA1901" s="418"/>
    </row>
    <row r="1902" spans="40:53" ht="15.75" customHeight="1">
      <c r="AN1902" s="418"/>
      <c r="AO1902" s="418"/>
      <c r="AP1902" s="418"/>
      <c r="AQ1902" s="418"/>
      <c r="AR1902" s="418"/>
      <c r="AS1902" s="418"/>
      <c r="AT1902" s="418"/>
      <c r="AU1902" s="418"/>
      <c r="AV1902" s="418"/>
      <c r="AW1902" s="418"/>
      <c r="AX1902" s="418"/>
      <c r="AY1902" s="418"/>
      <c r="AZ1902" s="418"/>
      <c r="BA1902" s="418"/>
    </row>
    <row r="1903" spans="40:53" ht="15.75" customHeight="1">
      <c r="AN1903" s="418"/>
      <c r="AO1903" s="418"/>
      <c r="AP1903" s="418"/>
      <c r="AQ1903" s="418"/>
      <c r="AR1903" s="418"/>
      <c r="AS1903" s="418"/>
      <c r="AT1903" s="418"/>
      <c r="AU1903" s="418"/>
      <c r="AV1903" s="418"/>
      <c r="AW1903" s="418"/>
      <c r="AX1903" s="418"/>
      <c r="AY1903" s="418"/>
      <c r="AZ1903" s="418"/>
      <c r="BA1903" s="418"/>
    </row>
    <row r="1904" spans="40:53" ht="15.75" customHeight="1">
      <c r="AN1904" s="418"/>
      <c r="AO1904" s="418"/>
      <c r="AP1904" s="418"/>
      <c r="AQ1904" s="418"/>
      <c r="AR1904" s="418"/>
      <c r="AS1904" s="418"/>
      <c r="AT1904" s="418"/>
      <c r="AU1904" s="418"/>
      <c r="AV1904" s="418"/>
      <c r="AW1904" s="418"/>
      <c r="AX1904" s="418"/>
      <c r="AY1904" s="418"/>
      <c r="AZ1904" s="418"/>
      <c r="BA1904" s="418"/>
    </row>
    <row r="1905" spans="40:53" ht="15.75" customHeight="1">
      <c r="AN1905" s="418"/>
      <c r="AO1905" s="418"/>
      <c r="AP1905" s="418"/>
      <c r="AQ1905" s="418"/>
      <c r="AR1905" s="418"/>
      <c r="AS1905" s="418"/>
      <c r="AT1905" s="418"/>
      <c r="AU1905" s="418"/>
      <c r="AV1905" s="418"/>
      <c r="AW1905" s="418"/>
      <c r="AX1905" s="418"/>
      <c r="AY1905" s="418"/>
      <c r="AZ1905" s="418"/>
      <c r="BA1905" s="418"/>
    </row>
    <row r="1906" spans="40:53" ht="15.75" customHeight="1">
      <c r="AN1906" s="418"/>
      <c r="AO1906" s="418"/>
      <c r="AP1906" s="418"/>
      <c r="AQ1906" s="418"/>
      <c r="AR1906" s="418"/>
      <c r="AS1906" s="418"/>
      <c r="AT1906" s="418"/>
      <c r="AU1906" s="418"/>
      <c r="AV1906" s="418"/>
      <c r="AW1906" s="418"/>
      <c r="AX1906" s="418"/>
      <c r="AY1906" s="418"/>
      <c r="AZ1906" s="418"/>
      <c r="BA1906" s="418"/>
    </row>
    <row r="1907" spans="40:53" ht="15.75" customHeight="1">
      <c r="AN1907" s="418"/>
      <c r="AO1907" s="418"/>
      <c r="AP1907" s="418"/>
      <c r="AQ1907" s="418"/>
      <c r="AR1907" s="418"/>
      <c r="AS1907" s="418"/>
      <c r="AT1907" s="418"/>
      <c r="AU1907" s="418"/>
      <c r="AV1907" s="418"/>
      <c r="AW1907" s="418"/>
      <c r="AX1907" s="418"/>
      <c r="AY1907" s="418"/>
      <c r="AZ1907" s="418"/>
      <c r="BA1907" s="418"/>
    </row>
    <row r="1908" spans="40:53" ht="15.75" customHeight="1">
      <c r="AN1908" s="418"/>
      <c r="AO1908" s="418"/>
      <c r="AP1908" s="418"/>
      <c r="AQ1908" s="418"/>
      <c r="AR1908" s="418"/>
      <c r="AS1908" s="418"/>
      <c r="AT1908" s="418"/>
      <c r="AU1908" s="418"/>
      <c r="AV1908" s="418"/>
      <c r="AW1908" s="418"/>
      <c r="AX1908" s="418"/>
      <c r="AY1908" s="418"/>
      <c r="AZ1908" s="418"/>
      <c r="BA1908" s="418"/>
    </row>
    <row r="1909" spans="40:53" ht="15.75" customHeight="1">
      <c r="AN1909" s="418"/>
      <c r="AO1909" s="418"/>
      <c r="AP1909" s="418"/>
      <c r="AQ1909" s="418"/>
      <c r="AR1909" s="418"/>
      <c r="AS1909" s="418"/>
      <c r="AT1909" s="418"/>
      <c r="AU1909" s="418"/>
      <c r="AV1909" s="418"/>
      <c r="AW1909" s="418"/>
      <c r="AX1909" s="418"/>
      <c r="AY1909" s="418"/>
      <c r="AZ1909" s="418"/>
      <c r="BA1909" s="418"/>
    </row>
    <row r="1910" spans="40:53" ht="15.75" customHeight="1">
      <c r="AN1910" s="418"/>
      <c r="AO1910" s="418"/>
      <c r="AP1910" s="418"/>
      <c r="AQ1910" s="418"/>
      <c r="AR1910" s="418"/>
      <c r="AS1910" s="418"/>
      <c r="AT1910" s="418"/>
      <c r="AU1910" s="418"/>
      <c r="AV1910" s="418"/>
      <c r="AW1910" s="418"/>
      <c r="AX1910" s="418"/>
      <c r="AY1910" s="418"/>
      <c r="AZ1910" s="418"/>
      <c r="BA1910" s="418"/>
    </row>
    <row r="1911" spans="40:53" ht="15.75" customHeight="1">
      <c r="AN1911" s="418"/>
      <c r="AO1911" s="418"/>
      <c r="AP1911" s="418"/>
      <c r="AQ1911" s="418"/>
      <c r="AR1911" s="418"/>
      <c r="AS1911" s="418"/>
      <c r="AT1911" s="418"/>
      <c r="AU1911" s="418"/>
      <c r="AV1911" s="418"/>
      <c r="AW1911" s="418"/>
      <c r="AX1911" s="418"/>
      <c r="AY1911" s="418"/>
      <c r="AZ1911" s="418"/>
      <c r="BA1911" s="418"/>
    </row>
    <row r="1912" spans="40:53" ht="15.75" customHeight="1">
      <c r="AN1912" s="418"/>
      <c r="AO1912" s="418"/>
      <c r="AP1912" s="418"/>
      <c r="AQ1912" s="418"/>
      <c r="AR1912" s="418"/>
      <c r="AS1912" s="418"/>
      <c r="AT1912" s="418"/>
      <c r="AU1912" s="418"/>
      <c r="AV1912" s="418"/>
      <c r="AW1912" s="418"/>
      <c r="AX1912" s="418"/>
      <c r="AY1912" s="418"/>
      <c r="AZ1912" s="418"/>
      <c r="BA1912" s="418"/>
    </row>
    <row r="1913" spans="40:53" ht="15.75" customHeight="1">
      <c r="AN1913" s="418"/>
      <c r="AO1913" s="418"/>
      <c r="AP1913" s="418"/>
      <c r="AQ1913" s="418"/>
      <c r="AR1913" s="418"/>
      <c r="AS1913" s="418"/>
      <c r="AT1913" s="418"/>
      <c r="AU1913" s="418"/>
      <c r="AV1913" s="418"/>
      <c r="AW1913" s="418"/>
      <c r="AX1913" s="418"/>
      <c r="AY1913" s="418"/>
      <c r="AZ1913" s="418"/>
      <c r="BA1913" s="418"/>
    </row>
    <row r="1914" spans="40:53" ht="15.75" customHeight="1">
      <c r="AN1914" s="418"/>
      <c r="AO1914" s="418"/>
      <c r="AP1914" s="418"/>
      <c r="AQ1914" s="418"/>
      <c r="AR1914" s="418"/>
      <c r="AS1914" s="418"/>
      <c r="AT1914" s="418"/>
      <c r="AU1914" s="418"/>
      <c r="AV1914" s="418"/>
      <c r="AW1914" s="418"/>
      <c r="AX1914" s="418"/>
      <c r="AY1914" s="418"/>
      <c r="AZ1914" s="418"/>
      <c r="BA1914" s="418"/>
    </row>
    <row r="1915" spans="40:53" ht="15.75" customHeight="1">
      <c r="AN1915" s="418"/>
      <c r="AO1915" s="418"/>
      <c r="AP1915" s="418"/>
      <c r="AQ1915" s="418"/>
      <c r="AR1915" s="418"/>
      <c r="AS1915" s="418"/>
      <c r="AT1915" s="418"/>
      <c r="AU1915" s="418"/>
      <c r="AV1915" s="418"/>
      <c r="AW1915" s="418"/>
      <c r="AX1915" s="418"/>
      <c r="AY1915" s="418"/>
      <c r="AZ1915" s="418"/>
      <c r="BA1915" s="418"/>
    </row>
    <row r="1916" spans="40:53" ht="15.75" customHeight="1">
      <c r="AN1916" s="418"/>
      <c r="AO1916" s="418"/>
      <c r="AP1916" s="418"/>
      <c r="AQ1916" s="418"/>
      <c r="AR1916" s="418"/>
      <c r="AS1916" s="418"/>
      <c r="AT1916" s="418"/>
      <c r="AU1916" s="418"/>
      <c r="AV1916" s="418"/>
      <c r="AW1916" s="418"/>
      <c r="AX1916" s="418"/>
      <c r="AY1916" s="418"/>
      <c r="AZ1916" s="418"/>
      <c r="BA1916" s="418"/>
    </row>
    <row r="1917" spans="40:53" ht="15.75" customHeight="1">
      <c r="AN1917" s="418"/>
      <c r="AO1917" s="418"/>
      <c r="AP1917" s="418"/>
      <c r="AQ1917" s="418"/>
      <c r="AR1917" s="418"/>
      <c r="AS1917" s="418"/>
      <c r="AT1917" s="418"/>
      <c r="AU1917" s="418"/>
      <c r="AV1917" s="418"/>
      <c r="AW1917" s="418"/>
      <c r="AX1917" s="418"/>
      <c r="AY1917" s="418"/>
      <c r="AZ1917" s="418"/>
      <c r="BA1917" s="418"/>
    </row>
    <row r="1918" spans="40:53" ht="15.75" customHeight="1">
      <c r="AN1918" s="418"/>
      <c r="AO1918" s="418"/>
      <c r="AP1918" s="418"/>
      <c r="AQ1918" s="418"/>
      <c r="AR1918" s="418"/>
      <c r="AS1918" s="418"/>
      <c r="AT1918" s="418"/>
      <c r="AU1918" s="418"/>
      <c r="AV1918" s="418"/>
      <c r="AW1918" s="418"/>
      <c r="AX1918" s="418"/>
      <c r="AY1918" s="418"/>
      <c r="AZ1918" s="418"/>
      <c r="BA1918" s="418"/>
    </row>
    <row r="1919" spans="40:53" ht="15.75" customHeight="1">
      <c r="AN1919" s="418"/>
      <c r="AO1919" s="418"/>
      <c r="AP1919" s="418"/>
      <c r="AQ1919" s="418"/>
      <c r="AR1919" s="418"/>
      <c r="AS1919" s="418"/>
      <c r="AT1919" s="418"/>
      <c r="AU1919" s="418"/>
      <c r="AV1919" s="418"/>
      <c r="AW1919" s="418"/>
      <c r="AX1919" s="418"/>
      <c r="AY1919" s="418"/>
      <c r="AZ1919" s="418"/>
      <c r="BA1919" s="418"/>
    </row>
    <row r="1920" spans="40:53" ht="15.75" customHeight="1">
      <c r="AN1920" s="418"/>
      <c r="AO1920" s="418"/>
      <c r="AP1920" s="418"/>
      <c r="AQ1920" s="418"/>
      <c r="AR1920" s="418"/>
      <c r="AS1920" s="418"/>
      <c r="AT1920" s="418"/>
      <c r="AU1920" s="418"/>
      <c r="AV1920" s="418"/>
      <c r="AW1920" s="418"/>
      <c r="AX1920" s="418"/>
      <c r="AY1920" s="418"/>
      <c r="AZ1920" s="418"/>
      <c r="BA1920" s="418"/>
    </row>
    <row r="1921" spans="40:53" ht="15.75" customHeight="1">
      <c r="AN1921" s="418"/>
      <c r="AO1921" s="418"/>
      <c r="AP1921" s="418"/>
      <c r="AQ1921" s="418"/>
      <c r="AR1921" s="418"/>
      <c r="AS1921" s="418"/>
      <c r="AT1921" s="418"/>
      <c r="AU1921" s="418"/>
      <c r="AV1921" s="418"/>
      <c r="AW1921" s="418"/>
      <c r="AX1921" s="418"/>
      <c r="AY1921" s="418"/>
      <c r="AZ1921" s="418"/>
      <c r="BA1921" s="418"/>
    </row>
    <row r="1922" spans="40:53" ht="15.75" customHeight="1">
      <c r="AN1922" s="418"/>
      <c r="AO1922" s="418"/>
      <c r="AP1922" s="418"/>
      <c r="AQ1922" s="418"/>
      <c r="AR1922" s="418"/>
      <c r="AS1922" s="418"/>
      <c r="AT1922" s="418"/>
      <c r="AU1922" s="418"/>
      <c r="AV1922" s="418"/>
      <c r="AW1922" s="418"/>
      <c r="AX1922" s="418"/>
      <c r="AY1922" s="418"/>
      <c r="AZ1922" s="418"/>
      <c r="BA1922" s="418"/>
    </row>
    <row r="1923" spans="40:53" ht="15.75" customHeight="1">
      <c r="AN1923" s="418"/>
      <c r="AO1923" s="418"/>
      <c r="AP1923" s="418"/>
      <c r="AQ1923" s="418"/>
      <c r="AR1923" s="418"/>
      <c r="AS1923" s="418"/>
      <c r="AT1923" s="418"/>
      <c r="AU1923" s="418"/>
      <c r="AV1923" s="418"/>
      <c r="AW1923" s="418"/>
      <c r="AX1923" s="418"/>
      <c r="AY1923" s="418"/>
      <c r="AZ1923" s="418"/>
      <c r="BA1923" s="418"/>
    </row>
    <row r="1924" spans="40:53" ht="15.75" customHeight="1">
      <c r="AN1924" s="418"/>
      <c r="AO1924" s="418"/>
      <c r="AP1924" s="418"/>
      <c r="AQ1924" s="418"/>
      <c r="AR1924" s="418"/>
      <c r="AS1924" s="418"/>
      <c r="AT1924" s="418"/>
      <c r="AU1924" s="418"/>
      <c r="AV1924" s="418"/>
      <c r="AW1924" s="418"/>
      <c r="AX1924" s="418"/>
      <c r="AY1924" s="418"/>
      <c r="AZ1924" s="418"/>
      <c r="BA1924" s="418"/>
    </row>
    <row r="1925" spans="40:53" ht="15.75" customHeight="1">
      <c r="AN1925" s="418"/>
      <c r="AO1925" s="418"/>
      <c r="AP1925" s="418"/>
      <c r="AQ1925" s="418"/>
      <c r="AR1925" s="418"/>
      <c r="AS1925" s="418"/>
      <c r="AT1925" s="418"/>
      <c r="AU1925" s="418"/>
      <c r="AV1925" s="418"/>
      <c r="AW1925" s="418"/>
      <c r="AX1925" s="418"/>
      <c r="AY1925" s="418"/>
      <c r="AZ1925" s="418"/>
      <c r="BA1925" s="418"/>
    </row>
    <row r="1926" spans="40:53" ht="15.75" customHeight="1">
      <c r="AN1926" s="418"/>
      <c r="AO1926" s="418"/>
      <c r="AP1926" s="418"/>
      <c r="AQ1926" s="418"/>
      <c r="AR1926" s="418"/>
      <c r="AS1926" s="418"/>
      <c r="AT1926" s="418"/>
      <c r="AU1926" s="418"/>
      <c r="AV1926" s="418"/>
      <c r="AW1926" s="418"/>
      <c r="AX1926" s="418"/>
      <c r="AY1926" s="418"/>
      <c r="AZ1926" s="418"/>
      <c r="BA1926" s="418"/>
    </row>
    <row r="1927" spans="40:53" ht="15.75" customHeight="1">
      <c r="AN1927" s="418"/>
      <c r="AO1927" s="418"/>
      <c r="AP1927" s="418"/>
      <c r="AQ1927" s="418"/>
      <c r="AR1927" s="418"/>
      <c r="AS1927" s="418"/>
      <c r="AT1927" s="418"/>
      <c r="AU1927" s="418"/>
      <c r="AV1927" s="418"/>
      <c r="AW1927" s="418"/>
      <c r="AX1927" s="418"/>
      <c r="AY1927" s="418"/>
      <c r="AZ1927" s="418"/>
      <c r="BA1927" s="418"/>
    </row>
    <row r="1928" spans="40:53" ht="15.75" customHeight="1">
      <c r="AN1928" s="418"/>
      <c r="AO1928" s="418"/>
      <c r="AP1928" s="418"/>
      <c r="AQ1928" s="418"/>
      <c r="AR1928" s="418"/>
      <c r="AS1928" s="418"/>
      <c r="AT1928" s="418"/>
      <c r="AU1928" s="418"/>
      <c r="AV1928" s="418"/>
      <c r="AW1928" s="418"/>
      <c r="AX1928" s="418"/>
      <c r="AY1928" s="418"/>
      <c r="AZ1928" s="418"/>
      <c r="BA1928" s="418"/>
    </row>
    <row r="1929" spans="40:53" ht="15.75" customHeight="1">
      <c r="AN1929" s="418"/>
      <c r="AO1929" s="418"/>
      <c r="AP1929" s="418"/>
      <c r="AQ1929" s="418"/>
      <c r="AR1929" s="418"/>
      <c r="AS1929" s="418"/>
      <c r="AT1929" s="418"/>
      <c r="AU1929" s="418"/>
      <c r="AV1929" s="418"/>
      <c r="AW1929" s="418"/>
      <c r="AX1929" s="418"/>
      <c r="AY1929" s="418"/>
      <c r="AZ1929" s="418"/>
      <c r="BA1929" s="418"/>
    </row>
    <row r="1930" spans="40:53" ht="15.75" customHeight="1">
      <c r="AN1930" s="418"/>
      <c r="AO1930" s="418"/>
      <c r="AP1930" s="418"/>
      <c r="AQ1930" s="418"/>
      <c r="AR1930" s="418"/>
      <c r="AS1930" s="418"/>
      <c r="AT1930" s="418"/>
      <c r="AU1930" s="418"/>
      <c r="AV1930" s="418"/>
      <c r="AW1930" s="418"/>
      <c r="AX1930" s="418"/>
      <c r="AY1930" s="418"/>
      <c r="AZ1930" s="418"/>
      <c r="BA1930" s="418"/>
    </row>
    <row r="1931" spans="40:53" ht="15.75" customHeight="1">
      <c r="AN1931" s="418"/>
      <c r="AO1931" s="418"/>
      <c r="AP1931" s="418"/>
      <c r="AQ1931" s="418"/>
      <c r="AR1931" s="418"/>
      <c r="AS1931" s="418"/>
      <c r="AT1931" s="418"/>
      <c r="AU1931" s="418"/>
      <c r="AV1931" s="418"/>
      <c r="AW1931" s="418"/>
      <c r="AX1931" s="418"/>
      <c r="AY1931" s="418"/>
      <c r="AZ1931" s="418"/>
      <c r="BA1931" s="418"/>
    </row>
    <row r="1932" spans="40:53" ht="15.75" customHeight="1">
      <c r="AN1932" s="418"/>
      <c r="AO1932" s="418"/>
      <c r="AP1932" s="418"/>
      <c r="AQ1932" s="418"/>
      <c r="AR1932" s="418"/>
      <c r="AS1932" s="418"/>
      <c r="AT1932" s="418"/>
      <c r="AU1932" s="418"/>
      <c r="AV1932" s="418"/>
      <c r="AW1932" s="418"/>
      <c r="AX1932" s="418"/>
      <c r="AY1932" s="418"/>
      <c r="AZ1932" s="418"/>
      <c r="BA1932" s="418"/>
    </row>
    <row r="1933" spans="40:53" ht="15.75" customHeight="1">
      <c r="AN1933" s="418"/>
      <c r="AO1933" s="418"/>
      <c r="AP1933" s="418"/>
      <c r="AQ1933" s="418"/>
      <c r="AR1933" s="418"/>
      <c r="AS1933" s="418"/>
      <c r="AT1933" s="418"/>
      <c r="AU1933" s="418"/>
      <c r="AV1933" s="418"/>
      <c r="AW1933" s="418"/>
      <c r="AX1933" s="418"/>
      <c r="AY1933" s="418"/>
      <c r="AZ1933" s="418"/>
      <c r="BA1933" s="418"/>
    </row>
    <row r="1934" spans="40:53" ht="15.75" customHeight="1">
      <c r="AN1934" s="418"/>
      <c r="AO1934" s="418"/>
      <c r="AP1934" s="418"/>
      <c r="AQ1934" s="418"/>
      <c r="AR1934" s="418"/>
      <c r="AS1934" s="418"/>
      <c r="AT1934" s="418"/>
      <c r="AU1934" s="418"/>
      <c r="AV1934" s="418"/>
      <c r="AW1934" s="418"/>
      <c r="AX1934" s="418"/>
      <c r="AY1934" s="418"/>
      <c r="AZ1934" s="418"/>
      <c r="BA1934" s="418"/>
    </row>
    <row r="1935" spans="40:53" ht="15.75" customHeight="1">
      <c r="AN1935" s="418"/>
      <c r="AO1935" s="418"/>
      <c r="AP1935" s="418"/>
      <c r="AQ1935" s="418"/>
      <c r="AR1935" s="418"/>
      <c r="AS1935" s="418"/>
      <c r="AT1935" s="418"/>
      <c r="AU1935" s="418"/>
      <c r="AV1935" s="418"/>
      <c r="AW1935" s="418"/>
      <c r="AX1935" s="418"/>
      <c r="AY1935" s="418"/>
      <c r="AZ1935" s="418"/>
      <c r="BA1935" s="418"/>
    </row>
    <row r="1936" spans="40:53" ht="15.75" customHeight="1">
      <c r="AN1936" s="418"/>
      <c r="AO1936" s="418"/>
      <c r="AP1936" s="418"/>
      <c r="AQ1936" s="418"/>
      <c r="AR1936" s="418"/>
      <c r="AS1936" s="418"/>
      <c r="AT1936" s="418"/>
      <c r="AU1936" s="418"/>
      <c r="AV1936" s="418"/>
      <c r="AW1936" s="418"/>
      <c r="AX1936" s="418"/>
      <c r="AY1936" s="418"/>
      <c r="AZ1936" s="418"/>
      <c r="BA1936" s="418"/>
    </row>
    <row r="1937" spans="40:53" ht="15.75" customHeight="1">
      <c r="AN1937" s="418"/>
      <c r="AO1937" s="418"/>
      <c r="AP1937" s="418"/>
      <c r="AQ1937" s="418"/>
      <c r="AR1937" s="418"/>
      <c r="AS1937" s="418"/>
      <c r="AT1937" s="418"/>
      <c r="AU1937" s="418"/>
      <c r="AV1937" s="418"/>
      <c r="AW1937" s="418"/>
      <c r="AX1937" s="418"/>
      <c r="AY1937" s="418"/>
      <c r="AZ1937" s="418"/>
      <c r="BA1937" s="418"/>
    </row>
    <row r="1938" spans="40:53" ht="15.75" customHeight="1">
      <c r="AN1938" s="418"/>
      <c r="AO1938" s="418"/>
      <c r="AP1938" s="418"/>
      <c r="AQ1938" s="418"/>
      <c r="AR1938" s="418"/>
      <c r="AS1938" s="418"/>
      <c r="AT1938" s="418"/>
      <c r="AU1938" s="418"/>
      <c r="AV1938" s="418"/>
      <c r="AW1938" s="418"/>
      <c r="AX1938" s="418"/>
      <c r="AY1938" s="418"/>
      <c r="AZ1938" s="418"/>
      <c r="BA1938" s="418"/>
    </row>
    <row r="1939" spans="40:53" ht="15.75" customHeight="1">
      <c r="AN1939" s="418"/>
      <c r="AO1939" s="418"/>
      <c r="AP1939" s="418"/>
      <c r="AQ1939" s="418"/>
      <c r="AR1939" s="418"/>
      <c r="AS1939" s="418"/>
      <c r="AT1939" s="418"/>
      <c r="AU1939" s="418"/>
      <c r="AV1939" s="418"/>
      <c r="AW1939" s="418"/>
      <c r="AX1939" s="418"/>
      <c r="AY1939" s="418"/>
      <c r="AZ1939" s="418"/>
      <c r="BA1939" s="418"/>
    </row>
    <row r="1940" spans="40:53" ht="15.75" customHeight="1">
      <c r="AN1940" s="418"/>
      <c r="AO1940" s="418"/>
      <c r="AP1940" s="418"/>
      <c r="AQ1940" s="418"/>
      <c r="AR1940" s="418"/>
      <c r="AS1940" s="418"/>
      <c r="AT1940" s="418"/>
      <c r="AU1940" s="418"/>
      <c r="AV1940" s="418"/>
      <c r="AW1940" s="418"/>
      <c r="AX1940" s="418"/>
      <c r="AY1940" s="418"/>
      <c r="AZ1940" s="418"/>
      <c r="BA1940" s="418"/>
    </row>
    <row r="1941" spans="40:53" ht="15.75" customHeight="1">
      <c r="AN1941" s="418"/>
      <c r="AO1941" s="418"/>
      <c r="AP1941" s="418"/>
      <c r="AQ1941" s="418"/>
      <c r="AR1941" s="418"/>
      <c r="AS1941" s="418"/>
      <c r="AT1941" s="418"/>
      <c r="AU1941" s="418"/>
      <c r="AV1941" s="418"/>
      <c r="AW1941" s="418"/>
      <c r="AX1941" s="418"/>
      <c r="AY1941" s="418"/>
      <c r="AZ1941" s="418"/>
      <c r="BA1941" s="418"/>
    </row>
    <row r="1942" spans="40:53" ht="15.75" customHeight="1">
      <c r="AN1942" s="418"/>
      <c r="AO1942" s="418"/>
      <c r="AP1942" s="418"/>
      <c r="AQ1942" s="418"/>
      <c r="AR1942" s="418"/>
      <c r="AS1942" s="418"/>
      <c r="AT1942" s="418"/>
      <c r="AU1942" s="418"/>
      <c r="AV1942" s="418"/>
      <c r="AW1942" s="418"/>
      <c r="AX1942" s="418"/>
      <c r="AY1942" s="418"/>
      <c r="AZ1942" s="418"/>
      <c r="BA1942" s="418"/>
    </row>
    <row r="1943" spans="40:53" ht="15.75" customHeight="1">
      <c r="AN1943" s="418"/>
      <c r="AO1943" s="418"/>
      <c r="AP1943" s="418"/>
      <c r="AQ1943" s="418"/>
      <c r="AR1943" s="418"/>
      <c r="AS1943" s="418"/>
      <c r="AT1943" s="418"/>
      <c r="AU1943" s="418"/>
      <c r="AV1943" s="418"/>
      <c r="AW1943" s="418"/>
      <c r="AX1943" s="418"/>
      <c r="AY1943" s="418"/>
      <c r="AZ1943" s="418"/>
      <c r="BA1943" s="418"/>
    </row>
    <row r="1944" spans="40:53" ht="15.75" customHeight="1">
      <c r="AN1944" s="418"/>
      <c r="AO1944" s="418"/>
      <c r="AP1944" s="418"/>
      <c r="AQ1944" s="418"/>
      <c r="AR1944" s="418"/>
      <c r="AS1944" s="418"/>
      <c r="AT1944" s="418"/>
      <c r="AU1944" s="418"/>
      <c r="AV1944" s="418"/>
      <c r="AW1944" s="418"/>
      <c r="AX1944" s="418"/>
      <c r="AY1944" s="418"/>
      <c r="AZ1944" s="418"/>
      <c r="BA1944" s="418"/>
    </row>
    <row r="1945" spans="40:53" ht="15.75" customHeight="1">
      <c r="AN1945" s="418"/>
      <c r="AO1945" s="418"/>
      <c r="AP1945" s="418"/>
      <c r="AQ1945" s="418"/>
      <c r="AR1945" s="418"/>
      <c r="AS1945" s="418"/>
      <c r="AT1945" s="418"/>
      <c r="AU1945" s="418"/>
      <c r="AV1945" s="418"/>
      <c r="AW1945" s="418"/>
      <c r="AX1945" s="418"/>
      <c r="AY1945" s="418"/>
      <c r="AZ1945" s="418"/>
      <c r="BA1945" s="418"/>
    </row>
    <row r="1946" spans="40:53" ht="15.75" customHeight="1">
      <c r="AN1946" s="418"/>
      <c r="AO1946" s="418"/>
      <c r="AP1946" s="418"/>
      <c r="AQ1946" s="418"/>
      <c r="AR1946" s="418"/>
      <c r="AS1946" s="418"/>
      <c r="AT1946" s="418"/>
      <c r="AU1946" s="418"/>
      <c r="AV1946" s="418"/>
      <c r="AW1946" s="418"/>
      <c r="AX1946" s="418"/>
      <c r="AY1946" s="418"/>
      <c r="AZ1946" s="418"/>
      <c r="BA1946" s="418"/>
    </row>
    <row r="1947" spans="40:53" ht="15.75" customHeight="1">
      <c r="AN1947" s="418"/>
      <c r="AO1947" s="418"/>
      <c r="AP1947" s="418"/>
      <c r="AQ1947" s="418"/>
      <c r="AR1947" s="418"/>
      <c r="AS1947" s="418"/>
      <c r="AT1947" s="418"/>
      <c r="AU1947" s="418"/>
      <c r="AV1947" s="418"/>
      <c r="AW1947" s="418"/>
      <c r="AX1947" s="418"/>
      <c r="AY1947" s="418"/>
      <c r="AZ1947" s="418"/>
      <c r="BA1947" s="418"/>
    </row>
    <row r="1948" spans="40:53" ht="15.75" customHeight="1">
      <c r="AN1948" s="418"/>
      <c r="AO1948" s="418"/>
      <c r="AP1948" s="418"/>
      <c r="AQ1948" s="418"/>
      <c r="AR1948" s="418"/>
      <c r="AS1948" s="418"/>
      <c r="AT1948" s="418"/>
      <c r="AU1948" s="418"/>
      <c r="AV1948" s="418"/>
      <c r="AW1948" s="418"/>
      <c r="AX1948" s="418"/>
      <c r="AY1948" s="418"/>
      <c r="AZ1948" s="418"/>
      <c r="BA1948" s="418"/>
    </row>
    <row r="1949" spans="40:53" ht="15.75" customHeight="1">
      <c r="AN1949" s="418"/>
      <c r="AO1949" s="418"/>
      <c r="AP1949" s="418"/>
      <c r="AQ1949" s="418"/>
      <c r="AR1949" s="418"/>
      <c r="AS1949" s="418"/>
      <c r="AT1949" s="418"/>
      <c r="AU1949" s="418"/>
      <c r="AV1949" s="418"/>
      <c r="AW1949" s="418"/>
      <c r="AX1949" s="418"/>
      <c r="AY1949" s="418"/>
      <c r="AZ1949" s="418"/>
      <c r="BA1949" s="418"/>
    </row>
    <row r="1950" spans="40:53" ht="15.75" customHeight="1">
      <c r="AN1950" s="418"/>
      <c r="AO1950" s="418"/>
      <c r="AP1950" s="418"/>
      <c r="AQ1950" s="418"/>
      <c r="AR1950" s="418"/>
      <c r="AS1950" s="418"/>
      <c r="AT1950" s="418"/>
      <c r="AU1950" s="418"/>
      <c r="AV1950" s="418"/>
      <c r="AW1950" s="418"/>
      <c r="AX1950" s="418"/>
      <c r="AY1950" s="418"/>
      <c r="AZ1950" s="418"/>
      <c r="BA1950" s="418"/>
    </row>
    <row r="1951" spans="40:53" ht="15.75" customHeight="1">
      <c r="AN1951" s="418"/>
      <c r="AO1951" s="418"/>
      <c r="AP1951" s="418"/>
      <c r="AQ1951" s="418"/>
      <c r="AR1951" s="418"/>
      <c r="AS1951" s="418"/>
      <c r="AT1951" s="418"/>
      <c r="AU1951" s="418"/>
      <c r="AV1951" s="418"/>
      <c r="AW1951" s="418"/>
      <c r="AX1951" s="418"/>
      <c r="AY1951" s="418"/>
      <c r="AZ1951" s="418"/>
      <c r="BA1951" s="418"/>
    </row>
    <row r="1952" spans="40:53" ht="15.75" customHeight="1">
      <c r="AN1952" s="418"/>
      <c r="AO1952" s="418"/>
      <c r="AP1952" s="418"/>
      <c r="AQ1952" s="418"/>
      <c r="AR1952" s="418"/>
      <c r="AS1952" s="418"/>
      <c r="AT1952" s="418"/>
      <c r="AU1952" s="418"/>
      <c r="AV1952" s="418"/>
      <c r="AW1952" s="418"/>
      <c r="AX1952" s="418"/>
      <c r="AY1952" s="418"/>
      <c r="AZ1952" s="418"/>
      <c r="BA1952" s="418"/>
    </row>
    <row r="1953" spans="40:53" ht="15.75" customHeight="1">
      <c r="AN1953" s="418"/>
      <c r="AO1953" s="418"/>
      <c r="AP1953" s="418"/>
      <c r="AQ1953" s="418"/>
      <c r="AR1953" s="418"/>
      <c r="AS1953" s="418"/>
      <c r="AT1953" s="418"/>
      <c r="AU1953" s="418"/>
      <c r="AV1953" s="418"/>
      <c r="AW1953" s="418"/>
      <c r="AX1953" s="418"/>
      <c r="AY1953" s="418"/>
      <c r="AZ1953" s="418"/>
      <c r="BA1953" s="418"/>
    </row>
    <row r="1954" spans="40:53" ht="15.75" customHeight="1">
      <c r="AN1954" s="418"/>
      <c r="AO1954" s="418"/>
      <c r="AP1954" s="418"/>
      <c r="AQ1954" s="418"/>
      <c r="AR1954" s="418"/>
      <c r="AS1954" s="418"/>
      <c r="AT1954" s="418"/>
      <c r="AU1954" s="418"/>
      <c r="AV1954" s="418"/>
      <c r="AW1954" s="418"/>
      <c r="AX1954" s="418"/>
      <c r="AY1954" s="418"/>
      <c r="AZ1954" s="418"/>
      <c r="BA1954" s="418"/>
    </row>
    <row r="1955" spans="40:53" ht="15.75" customHeight="1">
      <c r="AN1955" s="418"/>
      <c r="AO1955" s="418"/>
      <c r="AP1955" s="418"/>
      <c r="AQ1955" s="418"/>
      <c r="AR1955" s="418"/>
      <c r="AS1955" s="418"/>
      <c r="AT1955" s="418"/>
      <c r="AU1955" s="418"/>
      <c r="AV1955" s="418"/>
      <c r="AW1955" s="418"/>
      <c r="AX1955" s="418"/>
      <c r="AY1955" s="418"/>
      <c r="AZ1955" s="418"/>
      <c r="BA1955" s="418"/>
    </row>
    <row r="1956" spans="40:53" ht="15.75" customHeight="1">
      <c r="AN1956" s="418"/>
      <c r="AO1956" s="418"/>
      <c r="AP1956" s="418"/>
      <c r="AQ1956" s="418"/>
      <c r="AR1956" s="418"/>
      <c r="AS1956" s="418"/>
      <c r="AT1956" s="418"/>
      <c r="AU1956" s="418"/>
      <c r="AV1956" s="418"/>
      <c r="AW1956" s="418"/>
      <c r="AX1956" s="418"/>
      <c r="AY1956" s="418"/>
      <c r="AZ1956" s="418"/>
      <c r="BA1956" s="418"/>
    </row>
    <row r="1957" spans="40:53" ht="15.75" customHeight="1">
      <c r="AN1957" s="418"/>
      <c r="AO1957" s="418"/>
      <c r="AP1957" s="418"/>
      <c r="AQ1957" s="418"/>
      <c r="AR1957" s="418"/>
      <c r="AS1957" s="418"/>
      <c r="AT1957" s="418"/>
      <c r="AU1957" s="418"/>
      <c r="AV1957" s="418"/>
      <c r="AW1957" s="418"/>
      <c r="AX1957" s="418"/>
      <c r="AY1957" s="418"/>
      <c r="AZ1957" s="418"/>
      <c r="BA1957" s="418"/>
    </row>
    <row r="1958" spans="40:53" ht="15.75" customHeight="1">
      <c r="AN1958" s="418"/>
      <c r="AO1958" s="418"/>
      <c r="AP1958" s="418"/>
      <c r="AQ1958" s="418"/>
      <c r="AR1958" s="418"/>
      <c r="AS1958" s="418"/>
      <c r="AT1958" s="418"/>
      <c r="AU1958" s="418"/>
      <c r="AV1958" s="418"/>
      <c r="AW1958" s="418"/>
      <c r="AX1958" s="418"/>
      <c r="AY1958" s="418"/>
      <c r="AZ1958" s="418"/>
      <c r="BA1958" s="418"/>
    </row>
    <row r="1959" spans="40:53" ht="15.75" customHeight="1">
      <c r="AN1959" s="418"/>
      <c r="AO1959" s="418"/>
      <c r="AP1959" s="418"/>
      <c r="AQ1959" s="418"/>
      <c r="AR1959" s="418"/>
      <c r="AS1959" s="418"/>
      <c r="AT1959" s="418"/>
      <c r="AU1959" s="418"/>
      <c r="AV1959" s="418"/>
      <c r="AW1959" s="418"/>
      <c r="AX1959" s="418"/>
      <c r="AY1959" s="418"/>
      <c r="AZ1959" s="418"/>
      <c r="BA1959" s="418"/>
    </row>
    <row r="1960" spans="40:53" ht="15.75" customHeight="1">
      <c r="AN1960" s="418"/>
      <c r="AO1960" s="418"/>
      <c r="AP1960" s="418"/>
      <c r="AQ1960" s="418"/>
      <c r="AR1960" s="418"/>
      <c r="AS1960" s="418"/>
      <c r="AT1960" s="418"/>
      <c r="AU1960" s="418"/>
      <c r="AV1960" s="418"/>
      <c r="AW1960" s="418"/>
      <c r="AX1960" s="418"/>
      <c r="AY1960" s="418"/>
      <c r="AZ1960" s="418"/>
      <c r="BA1960" s="418"/>
    </row>
    <row r="1961" spans="40:53" ht="15.75" customHeight="1">
      <c r="AN1961" s="418"/>
      <c r="AO1961" s="418"/>
      <c r="AP1961" s="418"/>
      <c r="AQ1961" s="418"/>
      <c r="AR1961" s="418"/>
      <c r="AS1961" s="418"/>
      <c r="AT1961" s="418"/>
      <c r="AU1961" s="418"/>
      <c r="AV1961" s="418"/>
      <c r="AW1961" s="418"/>
      <c r="AX1961" s="418"/>
      <c r="AY1961" s="418"/>
      <c r="AZ1961" s="418"/>
      <c r="BA1961" s="418"/>
    </row>
    <row r="1962" spans="40:53" ht="15.75" customHeight="1">
      <c r="AN1962" s="418"/>
      <c r="AO1962" s="418"/>
      <c r="AP1962" s="418"/>
      <c r="AQ1962" s="418"/>
      <c r="AR1962" s="418"/>
      <c r="AS1962" s="418"/>
      <c r="AT1962" s="418"/>
      <c r="AU1962" s="418"/>
      <c r="AV1962" s="418"/>
      <c r="AW1962" s="418"/>
      <c r="AX1962" s="418"/>
      <c r="AY1962" s="418"/>
      <c r="AZ1962" s="418"/>
      <c r="BA1962" s="418"/>
    </row>
    <row r="1963" spans="40:53" ht="15.75" customHeight="1">
      <c r="AN1963" s="418"/>
      <c r="AO1963" s="418"/>
      <c r="AP1963" s="418"/>
      <c r="AQ1963" s="418"/>
      <c r="AR1963" s="418"/>
      <c r="AS1963" s="418"/>
      <c r="AT1963" s="418"/>
      <c r="AU1963" s="418"/>
      <c r="AV1963" s="418"/>
      <c r="AW1963" s="418"/>
      <c r="AX1963" s="418"/>
      <c r="AY1963" s="418"/>
      <c r="AZ1963" s="418"/>
      <c r="BA1963" s="418"/>
    </row>
    <row r="1964" spans="40:53" ht="15.75" customHeight="1">
      <c r="AN1964" s="418"/>
      <c r="AO1964" s="418"/>
      <c r="AP1964" s="418"/>
      <c r="AQ1964" s="418"/>
      <c r="AR1964" s="418"/>
      <c r="AS1964" s="418"/>
      <c r="AT1964" s="418"/>
      <c r="AU1964" s="418"/>
      <c r="AV1964" s="418"/>
      <c r="AW1964" s="418"/>
      <c r="AX1964" s="418"/>
      <c r="AY1964" s="418"/>
      <c r="AZ1964" s="418"/>
      <c r="BA1964" s="418"/>
    </row>
    <row r="1965" spans="40:53" ht="15.75" customHeight="1">
      <c r="AN1965" s="418"/>
      <c r="AO1965" s="418"/>
      <c r="AP1965" s="418"/>
      <c r="AQ1965" s="418"/>
      <c r="AR1965" s="418"/>
      <c r="AS1965" s="418"/>
      <c r="AT1965" s="418"/>
      <c r="AU1965" s="418"/>
      <c r="AV1965" s="418"/>
      <c r="AW1965" s="418"/>
      <c r="AX1965" s="418"/>
      <c r="AY1965" s="418"/>
      <c r="AZ1965" s="418"/>
      <c r="BA1965" s="418"/>
    </row>
    <row r="1966" spans="40:53" ht="15.75" customHeight="1">
      <c r="AN1966" s="418"/>
      <c r="AO1966" s="418"/>
      <c r="AP1966" s="418"/>
      <c r="AQ1966" s="418"/>
      <c r="AR1966" s="418"/>
      <c r="AS1966" s="418"/>
      <c r="AT1966" s="418"/>
      <c r="AU1966" s="418"/>
      <c r="AV1966" s="418"/>
      <c r="AW1966" s="418"/>
      <c r="AX1966" s="418"/>
      <c r="AY1966" s="418"/>
      <c r="AZ1966" s="418"/>
      <c r="BA1966" s="418"/>
    </row>
    <row r="1967" spans="40:53" ht="15.75" customHeight="1">
      <c r="AN1967" s="418"/>
      <c r="AO1967" s="418"/>
      <c r="AP1967" s="418"/>
      <c r="AQ1967" s="418"/>
      <c r="AR1967" s="418"/>
      <c r="AS1967" s="418"/>
      <c r="AT1967" s="418"/>
      <c r="AU1967" s="418"/>
      <c r="AV1967" s="418"/>
      <c r="AW1967" s="418"/>
      <c r="AX1967" s="418"/>
      <c r="AY1967" s="418"/>
      <c r="AZ1967" s="418"/>
      <c r="BA1967" s="418"/>
    </row>
    <row r="1968" spans="40:53" ht="15.75" customHeight="1">
      <c r="AN1968" s="418"/>
      <c r="AO1968" s="418"/>
      <c r="AP1968" s="418"/>
      <c r="AQ1968" s="418"/>
      <c r="AR1968" s="418"/>
      <c r="AS1968" s="418"/>
      <c r="AT1968" s="418"/>
      <c r="AU1968" s="418"/>
      <c r="AV1968" s="418"/>
      <c r="AW1968" s="418"/>
      <c r="AX1968" s="418"/>
      <c r="AY1968" s="418"/>
      <c r="AZ1968" s="418"/>
      <c r="BA1968" s="418"/>
    </row>
    <row r="1969" spans="40:53" ht="15.75" customHeight="1">
      <c r="AN1969" s="418"/>
      <c r="AO1969" s="418"/>
      <c r="AP1969" s="418"/>
      <c r="AQ1969" s="418"/>
      <c r="AR1969" s="418"/>
      <c r="AS1969" s="418"/>
      <c r="AT1969" s="418"/>
      <c r="AU1969" s="418"/>
      <c r="AV1969" s="418"/>
      <c r="AW1969" s="418"/>
      <c r="AX1969" s="418"/>
      <c r="AY1969" s="418"/>
      <c r="AZ1969" s="418"/>
      <c r="BA1969" s="418"/>
    </row>
    <row r="1970" spans="40:53" ht="15.75" customHeight="1">
      <c r="AN1970" s="418"/>
      <c r="AO1970" s="418"/>
      <c r="AP1970" s="418"/>
      <c r="AQ1970" s="418"/>
      <c r="AR1970" s="418"/>
      <c r="AS1970" s="418"/>
      <c r="AT1970" s="418"/>
      <c r="AU1970" s="418"/>
      <c r="AV1970" s="418"/>
      <c r="AW1970" s="418"/>
      <c r="AX1970" s="418"/>
      <c r="AY1970" s="418"/>
      <c r="AZ1970" s="418"/>
      <c r="BA1970" s="418"/>
    </row>
    <row r="1971" spans="40:53" ht="15.75" customHeight="1">
      <c r="AN1971" s="418"/>
      <c r="AO1971" s="418"/>
      <c r="AP1971" s="418"/>
      <c r="AQ1971" s="418"/>
      <c r="AR1971" s="418"/>
      <c r="AS1971" s="418"/>
      <c r="AT1971" s="418"/>
      <c r="AU1971" s="418"/>
      <c r="AV1971" s="418"/>
      <c r="AW1971" s="418"/>
      <c r="AX1971" s="418"/>
      <c r="AY1971" s="418"/>
      <c r="AZ1971" s="418"/>
      <c r="BA1971" s="418"/>
    </row>
    <row r="1972" spans="40:53" ht="15.75" customHeight="1">
      <c r="AN1972" s="418"/>
      <c r="AO1972" s="418"/>
      <c r="AP1972" s="418"/>
      <c r="AQ1972" s="418"/>
      <c r="AR1972" s="418"/>
      <c r="AS1972" s="418"/>
      <c r="AT1972" s="418"/>
      <c r="AU1972" s="418"/>
      <c r="AV1972" s="418"/>
      <c r="AW1972" s="418"/>
      <c r="AX1972" s="418"/>
      <c r="AY1972" s="418"/>
      <c r="AZ1972" s="418"/>
      <c r="BA1972" s="418"/>
    </row>
    <row r="1973" spans="40:53" ht="15.75" customHeight="1">
      <c r="AN1973" s="418"/>
      <c r="AO1973" s="418"/>
      <c r="AP1973" s="418"/>
      <c r="AQ1973" s="418"/>
      <c r="AR1973" s="418"/>
      <c r="AS1973" s="418"/>
      <c r="AT1973" s="418"/>
      <c r="AU1973" s="418"/>
      <c r="AV1973" s="418"/>
      <c r="AW1973" s="418"/>
      <c r="AX1973" s="418"/>
      <c r="AY1973" s="418"/>
      <c r="AZ1973" s="418"/>
      <c r="BA1973" s="418"/>
    </row>
    <row r="1974" spans="40:53" ht="15.75" customHeight="1">
      <c r="AN1974" s="418"/>
      <c r="AO1974" s="418"/>
      <c r="AP1974" s="418"/>
      <c r="AQ1974" s="418"/>
      <c r="AR1974" s="418"/>
      <c r="AS1974" s="418"/>
      <c r="AT1974" s="418"/>
      <c r="AU1974" s="418"/>
      <c r="AV1974" s="418"/>
      <c r="AW1974" s="418"/>
      <c r="AX1974" s="418"/>
      <c r="AY1974" s="418"/>
      <c r="AZ1974" s="418"/>
      <c r="BA1974" s="418"/>
    </row>
    <row r="1975" spans="40:53" ht="15.75" customHeight="1">
      <c r="AN1975" s="418"/>
      <c r="AO1975" s="418"/>
      <c r="AP1975" s="418"/>
      <c r="AQ1975" s="418"/>
      <c r="AR1975" s="418"/>
      <c r="AS1975" s="418"/>
      <c r="AT1975" s="418"/>
      <c r="AU1975" s="418"/>
      <c r="AV1975" s="418"/>
      <c r="AW1975" s="418"/>
      <c r="AX1975" s="418"/>
      <c r="AY1975" s="418"/>
      <c r="AZ1975" s="418"/>
      <c r="BA1975" s="418"/>
    </row>
    <row r="1976" spans="40:53" ht="15.75" customHeight="1">
      <c r="AN1976" s="418"/>
      <c r="AO1976" s="418"/>
      <c r="AP1976" s="418"/>
      <c r="AQ1976" s="418"/>
      <c r="AR1976" s="418"/>
      <c r="AS1976" s="418"/>
      <c r="AT1976" s="418"/>
      <c r="AU1976" s="418"/>
      <c r="AV1976" s="418"/>
      <c r="AW1976" s="418"/>
      <c r="AX1976" s="418"/>
      <c r="AY1976" s="418"/>
      <c r="AZ1976" s="418"/>
      <c r="BA1976" s="418"/>
    </row>
    <row r="1977" spans="40:53" ht="15.75" customHeight="1">
      <c r="AN1977" s="418"/>
      <c r="AO1977" s="418"/>
      <c r="AP1977" s="418"/>
      <c r="AQ1977" s="418"/>
      <c r="AR1977" s="418"/>
      <c r="AS1977" s="418"/>
      <c r="AT1977" s="418"/>
      <c r="AU1977" s="418"/>
      <c r="AV1977" s="418"/>
      <c r="AW1977" s="418"/>
      <c r="AX1977" s="418"/>
      <c r="AY1977" s="418"/>
      <c r="AZ1977" s="418"/>
      <c r="BA1977" s="418"/>
    </row>
    <row r="1978" spans="40:53" ht="15.75" customHeight="1">
      <c r="AN1978" s="418"/>
      <c r="AO1978" s="418"/>
      <c r="AP1978" s="418"/>
      <c r="AQ1978" s="418"/>
      <c r="AR1978" s="418"/>
      <c r="AS1978" s="418"/>
      <c r="AT1978" s="418"/>
      <c r="AU1978" s="418"/>
      <c r="AV1978" s="418"/>
      <c r="AW1978" s="418"/>
      <c r="AX1978" s="418"/>
      <c r="AY1978" s="418"/>
      <c r="AZ1978" s="418"/>
      <c r="BA1978" s="418"/>
    </row>
    <row r="1979" spans="40:53" ht="15.75" customHeight="1">
      <c r="AN1979" s="418"/>
      <c r="AO1979" s="418"/>
      <c r="AP1979" s="418"/>
      <c r="AQ1979" s="418"/>
      <c r="AR1979" s="418"/>
      <c r="AS1979" s="418"/>
      <c r="AT1979" s="418"/>
      <c r="AU1979" s="418"/>
      <c r="AV1979" s="418"/>
      <c r="AW1979" s="418"/>
      <c r="AX1979" s="418"/>
      <c r="AY1979" s="418"/>
      <c r="AZ1979" s="418"/>
      <c r="BA1979" s="418"/>
    </row>
    <row r="1980" spans="40:53" ht="15.75" customHeight="1">
      <c r="AN1980" s="418"/>
      <c r="AO1980" s="418"/>
      <c r="AP1980" s="418"/>
      <c r="AQ1980" s="418"/>
      <c r="AR1980" s="418"/>
      <c r="AS1980" s="418"/>
      <c r="AT1980" s="418"/>
      <c r="AU1980" s="418"/>
      <c r="AV1980" s="418"/>
      <c r="AW1980" s="418"/>
      <c r="AX1980" s="418"/>
      <c r="AY1980" s="418"/>
      <c r="AZ1980" s="418"/>
      <c r="BA1980" s="418"/>
    </row>
    <row r="1981" spans="40:53" ht="15.75" customHeight="1">
      <c r="AN1981" s="418"/>
      <c r="AO1981" s="418"/>
      <c r="AP1981" s="418"/>
      <c r="AQ1981" s="418"/>
      <c r="AR1981" s="418"/>
      <c r="AS1981" s="418"/>
      <c r="AT1981" s="418"/>
      <c r="AU1981" s="418"/>
      <c r="AV1981" s="418"/>
      <c r="AW1981" s="418"/>
      <c r="AX1981" s="418"/>
      <c r="AY1981" s="418"/>
      <c r="AZ1981" s="418"/>
      <c r="BA1981" s="418"/>
    </row>
    <row r="1982" spans="40:53" ht="15.75" customHeight="1">
      <c r="AN1982" s="418"/>
      <c r="AO1982" s="418"/>
      <c r="AP1982" s="418"/>
      <c r="AQ1982" s="418"/>
      <c r="AR1982" s="418"/>
      <c r="AS1982" s="418"/>
      <c r="AT1982" s="418"/>
      <c r="AU1982" s="418"/>
      <c r="AV1982" s="418"/>
      <c r="AW1982" s="418"/>
      <c r="AX1982" s="418"/>
      <c r="AY1982" s="418"/>
      <c r="AZ1982" s="418"/>
      <c r="BA1982" s="418"/>
    </row>
    <row r="1983" spans="40:53" ht="15.75" customHeight="1">
      <c r="AN1983" s="418"/>
      <c r="AO1983" s="418"/>
      <c r="AP1983" s="418"/>
      <c r="AQ1983" s="418"/>
      <c r="AR1983" s="418"/>
      <c r="AS1983" s="418"/>
      <c r="AT1983" s="418"/>
      <c r="AU1983" s="418"/>
      <c r="AV1983" s="418"/>
      <c r="AW1983" s="418"/>
      <c r="AX1983" s="418"/>
      <c r="AY1983" s="418"/>
      <c r="AZ1983" s="418"/>
      <c r="BA1983" s="418"/>
    </row>
    <row r="1984" spans="40:53" ht="15.75" customHeight="1">
      <c r="AN1984" s="418"/>
      <c r="AO1984" s="418"/>
      <c r="AP1984" s="418"/>
      <c r="AQ1984" s="418"/>
      <c r="AR1984" s="418"/>
      <c r="AS1984" s="418"/>
      <c r="AT1984" s="418"/>
      <c r="AU1984" s="418"/>
      <c r="AV1984" s="418"/>
      <c r="AW1984" s="418"/>
      <c r="AX1984" s="418"/>
      <c r="AY1984" s="418"/>
      <c r="AZ1984" s="418"/>
      <c r="BA1984" s="418"/>
    </row>
    <row r="1985" spans="40:53" ht="15.75" customHeight="1">
      <c r="AN1985" s="418"/>
      <c r="AO1985" s="418"/>
      <c r="AP1985" s="418"/>
      <c r="AQ1985" s="418"/>
      <c r="AR1985" s="418"/>
      <c r="AS1985" s="418"/>
      <c r="AT1985" s="418"/>
      <c r="AU1985" s="418"/>
      <c r="AV1985" s="418"/>
      <c r="AW1985" s="418"/>
      <c r="AX1985" s="418"/>
      <c r="AY1985" s="418"/>
      <c r="AZ1985" s="418"/>
      <c r="BA1985" s="418"/>
    </row>
    <row r="1986" spans="40:53" ht="15.75" customHeight="1">
      <c r="AN1986" s="418"/>
      <c r="AO1986" s="418"/>
      <c r="AP1986" s="418"/>
      <c r="AQ1986" s="418"/>
      <c r="AR1986" s="418"/>
      <c r="AS1986" s="418"/>
      <c r="AT1986" s="418"/>
      <c r="AU1986" s="418"/>
      <c r="AV1986" s="418"/>
      <c r="AW1986" s="418"/>
      <c r="AX1986" s="418"/>
      <c r="AY1986" s="418"/>
      <c r="AZ1986" s="418"/>
      <c r="BA1986" s="418"/>
    </row>
    <row r="1987" spans="40:53" ht="15.75" customHeight="1">
      <c r="AN1987" s="418"/>
      <c r="AO1987" s="418"/>
      <c r="AP1987" s="418"/>
      <c r="AQ1987" s="418"/>
      <c r="AR1987" s="418"/>
      <c r="AS1987" s="418"/>
      <c r="AT1987" s="418"/>
      <c r="AU1987" s="418"/>
      <c r="AV1987" s="418"/>
      <c r="AW1987" s="418"/>
      <c r="AX1987" s="418"/>
      <c r="AY1987" s="418"/>
      <c r="AZ1987" s="418"/>
      <c r="BA1987" s="418"/>
    </row>
    <row r="1988" spans="40:53" ht="15.75" customHeight="1">
      <c r="AN1988" s="418"/>
      <c r="AO1988" s="418"/>
      <c r="AP1988" s="418"/>
      <c r="AQ1988" s="418"/>
      <c r="AR1988" s="418"/>
      <c r="AS1988" s="418"/>
      <c r="AT1988" s="418"/>
      <c r="AU1988" s="418"/>
      <c r="AV1988" s="418"/>
      <c r="AW1988" s="418"/>
      <c r="AX1988" s="418"/>
      <c r="AY1988" s="418"/>
      <c r="AZ1988" s="418"/>
      <c r="BA1988" s="418"/>
    </row>
    <row r="1989" spans="40:53" ht="15.75" customHeight="1">
      <c r="AN1989" s="418"/>
      <c r="AO1989" s="418"/>
      <c r="AP1989" s="418"/>
      <c r="AQ1989" s="418"/>
      <c r="AR1989" s="418"/>
      <c r="AS1989" s="418"/>
      <c r="AT1989" s="418"/>
      <c r="AU1989" s="418"/>
      <c r="AV1989" s="418"/>
      <c r="AW1989" s="418"/>
      <c r="AX1989" s="418"/>
      <c r="AY1989" s="418"/>
      <c r="AZ1989" s="418"/>
      <c r="BA1989" s="418"/>
    </row>
    <row r="1990" spans="40:53" ht="15.75" customHeight="1">
      <c r="AN1990" s="418"/>
      <c r="AO1990" s="418"/>
      <c r="AP1990" s="418"/>
      <c r="AQ1990" s="418"/>
      <c r="AR1990" s="418"/>
      <c r="AS1990" s="418"/>
      <c r="AT1990" s="418"/>
      <c r="AU1990" s="418"/>
      <c r="AV1990" s="418"/>
      <c r="AW1990" s="418"/>
      <c r="AX1990" s="418"/>
      <c r="AY1990" s="418"/>
      <c r="AZ1990" s="418"/>
      <c r="BA1990" s="418"/>
    </row>
    <row r="1991" spans="40:53" ht="15.75" customHeight="1">
      <c r="AN1991" s="418"/>
      <c r="AO1991" s="418"/>
      <c r="AP1991" s="418"/>
      <c r="AQ1991" s="418"/>
      <c r="AR1991" s="418"/>
      <c r="AS1991" s="418"/>
      <c r="AT1991" s="418"/>
      <c r="AU1991" s="418"/>
      <c r="AV1991" s="418"/>
      <c r="AW1991" s="418"/>
      <c r="AX1991" s="418"/>
      <c r="AY1991" s="418"/>
      <c r="AZ1991" s="418"/>
      <c r="BA1991" s="418"/>
    </row>
    <row r="1992" spans="40:53" ht="15.75" customHeight="1">
      <c r="AN1992" s="418"/>
      <c r="AO1992" s="418"/>
      <c r="AP1992" s="418"/>
      <c r="AQ1992" s="418"/>
      <c r="AR1992" s="418"/>
      <c r="AS1992" s="418"/>
      <c r="AT1992" s="418"/>
      <c r="AU1992" s="418"/>
      <c r="AV1992" s="418"/>
      <c r="AW1992" s="418"/>
      <c r="AX1992" s="418"/>
      <c r="AY1992" s="418"/>
      <c r="AZ1992" s="418"/>
      <c r="BA1992" s="418"/>
    </row>
    <row r="1993" spans="40:53" ht="15.75" customHeight="1">
      <c r="AN1993" s="418"/>
      <c r="AO1993" s="418"/>
      <c r="AP1993" s="418"/>
      <c r="AQ1993" s="418"/>
      <c r="AR1993" s="418"/>
      <c r="AS1993" s="418"/>
      <c r="AT1993" s="418"/>
      <c r="AU1993" s="418"/>
      <c r="AV1993" s="418"/>
      <c r="AW1993" s="418"/>
      <c r="AX1993" s="418"/>
      <c r="AY1993" s="418"/>
      <c r="AZ1993" s="418"/>
      <c r="BA1993" s="418"/>
    </row>
    <row r="1994" spans="40:53" ht="15.75" customHeight="1">
      <c r="AN1994" s="418"/>
      <c r="AO1994" s="418"/>
      <c r="AP1994" s="418"/>
      <c r="AQ1994" s="418"/>
      <c r="AR1994" s="418"/>
      <c r="AS1994" s="418"/>
      <c r="AT1994" s="418"/>
      <c r="AU1994" s="418"/>
      <c r="AV1994" s="418"/>
      <c r="AW1994" s="418"/>
      <c r="AX1994" s="418"/>
      <c r="AY1994" s="418"/>
      <c r="AZ1994" s="418"/>
      <c r="BA1994" s="418"/>
    </row>
    <row r="1995" spans="40:53" ht="15.75" customHeight="1">
      <c r="AN1995" s="418"/>
      <c r="AO1995" s="418"/>
      <c r="AP1995" s="418"/>
      <c r="AQ1995" s="418"/>
      <c r="AR1995" s="418"/>
      <c r="AS1995" s="418"/>
      <c r="AT1995" s="418"/>
      <c r="AU1995" s="418"/>
      <c r="AV1995" s="418"/>
      <c r="AW1995" s="418"/>
      <c r="AX1995" s="418"/>
      <c r="AY1995" s="418"/>
      <c r="AZ1995" s="418"/>
      <c r="BA1995" s="418"/>
    </row>
    <row r="1996" spans="40:53" ht="15.75" customHeight="1">
      <c r="AN1996" s="418"/>
      <c r="AO1996" s="418"/>
      <c r="AP1996" s="418"/>
      <c r="AQ1996" s="418"/>
      <c r="AR1996" s="418"/>
      <c r="AS1996" s="418"/>
      <c r="AT1996" s="418"/>
      <c r="AU1996" s="418"/>
      <c r="AV1996" s="418"/>
      <c r="AW1996" s="418"/>
      <c r="AX1996" s="418"/>
      <c r="AY1996" s="418"/>
      <c r="AZ1996" s="418"/>
      <c r="BA1996" s="418"/>
    </row>
    <row r="1997" spans="40:53" ht="15.75" customHeight="1">
      <c r="AN1997" s="418"/>
      <c r="AO1997" s="418"/>
      <c r="AP1997" s="418"/>
      <c r="AQ1997" s="418"/>
      <c r="AR1997" s="418"/>
      <c r="AS1997" s="418"/>
      <c r="AT1997" s="418"/>
      <c r="AU1997" s="418"/>
      <c r="AV1997" s="418"/>
      <c r="AW1997" s="418"/>
      <c r="AX1997" s="418"/>
      <c r="AY1997" s="418"/>
      <c r="AZ1997" s="418"/>
      <c r="BA1997" s="418"/>
    </row>
    <row r="1998" spans="40:53" ht="15.75" customHeight="1">
      <c r="AN1998" s="418"/>
      <c r="AO1998" s="418"/>
      <c r="AP1998" s="418"/>
      <c r="AQ1998" s="418"/>
      <c r="AR1998" s="418"/>
      <c r="AS1998" s="418"/>
      <c r="AT1998" s="418"/>
      <c r="AU1998" s="418"/>
      <c r="AV1998" s="418"/>
      <c r="AW1998" s="418"/>
      <c r="AX1998" s="418"/>
      <c r="AY1998" s="418"/>
      <c r="AZ1998" s="418"/>
      <c r="BA1998" s="418"/>
    </row>
    <row r="1999" spans="40:53" ht="15.75" customHeight="1">
      <c r="AN1999" s="418"/>
      <c r="AO1999" s="418"/>
      <c r="AP1999" s="418"/>
      <c r="AQ1999" s="418"/>
      <c r="AR1999" s="418"/>
      <c r="AS1999" s="418"/>
      <c r="AT1999" s="418"/>
      <c r="AU1999" s="418"/>
      <c r="AV1999" s="418"/>
      <c r="AW1999" s="418"/>
      <c r="AX1999" s="418"/>
      <c r="AY1999" s="418"/>
      <c r="AZ1999" s="418"/>
      <c r="BA1999" s="418"/>
    </row>
    <row r="2000" spans="40:53" ht="15.75" customHeight="1">
      <c r="AN2000" s="418"/>
      <c r="AO2000" s="418"/>
      <c r="AP2000" s="418"/>
      <c r="AQ2000" s="418"/>
      <c r="AR2000" s="418"/>
      <c r="AS2000" s="418"/>
      <c r="AT2000" s="418"/>
      <c r="AU2000" s="418"/>
      <c r="AV2000" s="418"/>
      <c r="AW2000" s="418"/>
      <c r="AX2000" s="418"/>
      <c r="AY2000" s="418"/>
      <c r="AZ2000" s="418"/>
      <c r="BA2000" s="418"/>
    </row>
    <row r="2001" spans="40:53" ht="15.75" customHeight="1">
      <c r="AN2001" s="418"/>
      <c r="AO2001" s="418"/>
      <c r="AP2001" s="418"/>
      <c r="AQ2001" s="418"/>
      <c r="AR2001" s="418"/>
      <c r="AS2001" s="418"/>
      <c r="AT2001" s="418"/>
      <c r="AU2001" s="418"/>
      <c r="AV2001" s="418"/>
      <c r="AW2001" s="418"/>
      <c r="AX2001" s="418"/>
      <c r="AY2001" s="418"/>
      <c r="AZ2001" s="418"/>
      <c r="BA2001" s="418"/>
    </row>
    <row r="2002" spans="40:53" ht="15.75" customHeight="1">
      <c r="AN2002" s="418"/>
      <c r="AO2002" s="418"/>
      <c r="AP2002" s="418"/>
      <c r="AQ2002" s="418"/>
      <c r="AR2002" s="418"/>
      <c r="AS2002" s="418"/>
      <c r="AT2002" s="418"/>
      <c r="AU2002" s="418"/>
      <c r="AV2002" s="418"/>
      <c r="AW2002" s="418"/>
      <c r="AX2002" s="418"/>
      <c r="AY2002" s="418"/>
      <c r="AZ2002" s="418"/>
      <c r="BA2002" s="418"/>
    </row>
    <row r="2003" spans="40:53" ht="15.75" customHeight="1">
      <c r="AN2003" s="418"/>
      <c r="AO2003" s="418"/>
      <c r="AP2003" s="418"/>
      <c r="AQ2003" s="418"/>
      <c r="AR2003" s="418"/>
      <c r="AS2003" s="418"/>
      <c r="AT2003" s="418"/>
      <c r="AU2003" s="418"/>
      <c r="AV2003" s="418"/>
      <c r="AW2003" s="418"/>
      <c r="AX2003" s="418"/>
      <c r="AY2003" s="418"/>
      <c r="AZ2003" s="418"/>
      <c r="BA2003" s="418"/>
    </row>
    <row r="2004" spans="40:53" ht="15.75" customHeight="1">
      <c r="AN2004" s="418"/>
      <c r="AO2004" s="418"/>
      <c r="AP2004" s="418"/>
      <c r="AQ2004" s="418"/>
      <c r="AR2004" s="418"/>
      <c r="AS2004" s="418"/>
      <c r="AT2004" s="418"/>
      <c r="AU2004" s="418"/>
      <c r="AV2004" s="418"/>
      <c r="AW2004" s="418"/>
      <c r="AX2004" s="418"/>
      <c r="AY2004" s="418"/>
      <c r="AZ2004" s="418"/>
      <c r="BA2004" s="418"/>
    </row>
    <row r="2005" spans="40:53" ht="15.75" customHeight="1">
      <c r="AN2005" s="418"/>
      <c r="AO2005" s="418"/>
      <c r="AP2005" s="418"/>
      <c r="AQ2005" s="418"/>
      <c r="AR2005" s="418"/>
      <c r="AS2005" s="418"/>
      <c r="AT2005" s="418"/>
      <c r="AU2005" s="418"/>
      <c r="AV2005" s="418"/>
      <c r="AW2005" s="418"/>
      <c r="AX2005" s="418"/>
      <c r="AY2005" s="418"/>
      <c r="AZ2005" s="418"/>
      <c r="BA2005" s="418"/>
    </row>
    <row r="2006" spans="40:53" ht="15.75" customHeight="1">
      <c r="AN2006" s="418"/>
      <c r="AO2006" s="418"/>
      <c r="AP2006" s="418"/>
      <c r="AQ2006" s="418"/>
      <c r="AR2006" s="418"/>
      <c r="AS2006" s="418"/>
      <c r="AT2006" s="418"/>
      <c r="AU2006" s="418"/>
      <c r="AV2006" s="418"/>
      <c r="AW2006" s="418"/>
      <c r="AX2006" s="418"/>
      <c r="AY2006" s="418"/>
      <c r="AZ2006" s="418"/>
      <c r="BA2006" s="418"/>
    </row>
    <row r="2007" spans="40:53" ht="15.75" customHeight="1">
      <c r="AN2007" s="418"/>
      <c r="AO2007" s="418"/>
      <c r="AP2007" s="418"/>
      <c r="AQ2007" s="418"/>
      <c r="AR2007" s="418"/>
      <c r="AS2007" s="418"/>
      <c r="AT2007" s="418"/>
      <c r="AU2007" s="418"/>
      <c r="AV2007" s="418"/>
      <c r="AW2007" s="418"/>
      <c r="AX2007" s="418"/>
      <c r="AY2007" s="418"/>
      <c r="AZ2007" s="418"/>
      <c r="BA2007" s="418"/>
    </row>
    <row r="2008" spans="40:53" ht="15.75" customHeight="1">
      <c r="AN2008" s="418"/>
      <c r="AO2008" s="418"/>
      <c r="AP2008" s="418"/>
      <c r="AQ2008" s="418"/>
      <c r="AR2008" s="418"/>
      <c r="AS2008" s="418"/>
      <c r="AT2008" s="418"/>
      <c r="AU2008" s="418"/>
      <c r="AV2008" s="418"/>
      <c r="AW2008" s="418"/>
      <c r="AX2008" s="418"/>
      <c r="AY2008" s="418"/>
      <c r="AZ2008" s="418"/>
      <c r="BA2008" s="418"/>
    </row>
    <row r="2009" spans="40:53" ht="15.75" customHeight="1">
      <c r="AN2009" s="418"/>
      <c r="AO2009" s="418"/>
      <c r="AP2009" s="418"/>
      <c r="AQ2009" s="418"/>
      <c r="AR2009" s="418"/>
      <c r="AS2009" s="418"/>
      <c r="AT2009" s="418"/>
      <c r="AU2009" s="418"/>
      <c r="AV2009" s="418"/>
      <c r="AW2009" s="418"/>
      <c r="AX2009" s="418"/>
      <c r="AY2009" s="418"/>
      <c r="AZ2009" s="418"/>
      <c r="BA2009" s="418"/>
    </row>
    <row r="2010" spans="40:53" ht="15.75" customHeight="1">
      <c r="AN2010" s="418"/>
      <c r="AO2010" s="418"/>
      <c r="AP2010" s="418"/>
      <c r="AQ2010" s="418"/>
      <c r="AR2010" s="418"/>
      <c r="AS2010" s="418"/>
      <c r="AT2010" s="418"/>
      <c r="AU2010" s="418"/>
      <c r="AV2010" s="418"/>
      <c r="AW2010" s="418"/>
      <c r="AX2010" s="418"/>
      <c r="AY2010" s="418"/>
      <c r="AZ2010" s="418"/>
      <c r="BA2010" s="418"/>
    </row>
    <row r="2011" spans="40:53" ht="15.75" customHeight="1">
      <c r="AN2011" s="418"/>
      <c r="AO2011" s="418"/>
      <c r="AP2011" s="418"/>
      <c r="AQ2011" s="418"/>
      <c r="AR2011" s="418"/>
      <c r="AS2011" s="418"/>
      <c r="AT2011" s="418"/>
      <c r="AU2011" s="418"/>
      <c r="AV2011" s="418"/>
      <c r="AW2011" s="418"/>
      <c r="AX2011" s="418"/>
      <c r="AY2011" s="418"/>
      <c r="AZ2011" s="418"/>
      <c r="BA2011" s="418"/>
    </row>
    <row r="2012" spans="40:53" ht="15.75" customHeight="1">
      <c r="AN2012" s="418"/>
      <c r="AO2012" s="418"/>
      <c r="AP2012" s="418"/>
      <c r="AQ2012" s="418"/>
      <c r="AR2012" s="418"/>
      <c r="AS2012" s="418"/>
      <c r="AT2012" s="418"/>
      <c r="AU2012" s="418"/>
      <c r="AV2012" s="418"/>
      <c r="AW2012" s="418"/>
      <c r="AX2012" s="418"/>
      <c r="AY2012" s="418"/>
      <c r="AZ2012" s="418"/>
      <c r="BA2012" s="418"/>
    </row>
    <row r="2013" spans="40:53" ht="15.75" customHeight="1">
      <c r="AN2013" s="418"/>
      <c r="AO2013" s="418"/>
      <c r="AP2013" s="418"/>
      <c r="AQ2013" s="418"/>
      <c r="AR2013" s="418"/>
      <c r="AS2013" s="418"/>
      <c r="AT2013" s="418"/>
      <c r="AU2013" s="418"/>
      <c r="AV2013" s="418"/>
      <c r="AW2013" s="418"/>
      <c r="AX2013" s="418"/>
      <c r="AY2013" s="418"/>
      <c r="AZ2013" s="418"/>
      <c r="BA2013" s="418"/>
    </row>
    <row r="2014" spans="40:53" ht="15.75" customHeight="1">
      <c r="AN2014" s="418"/>
      <c r="AO2014" s="418"/>
      <c r="AP2014" s="418"/>
      <c r="AQ2014" s="418"/>
      <c r="AR2014" s="418"/>
      <c r="AS2014" s="418"/>
      <c r="AT2014" s="418"/>
      <c r="AU2014" s="418"/>
      <c r="AV2014" s="418"/>
      <c r="AW2014" s="418"/>
      <c r="AX2014" s="418"/>
      <c r="AY2014" s="418"/>
      <c r="AZ2014" s="418"/>
      <c r="BA2014" s="418"/>
    </row>
    <row r="2015" spans="40:53" ht="15.75" customHeight="1">
      <c r="AN2015" s="418"/>
      <c r="AO2015" s="418"/>
      <c r="AP2015" s="418"/>
      <c r="AQ2015" s="418"/>
      <c r="AR2015" s="418"/>
      <c r="AS2015" s="418"/>
      <c r="AT2015" s="418"/>
      <c r="AU2015" s="418"/>
      <c r="AV2015" s="418"/>
      <c r="AW2015" s="418"/>
      <c r="AX2015" s="418"/>
      <c r="AY2015" s="418"/>
      <c r="AZ2015" s="418"/>
      <c r="BA2015" s="418"/>
    </row>
    <row r="2016" spans="40:53" ht="15.75" customHeight="1">
      <c r="AN2016" s="418"/>
      <c r="AO2016" s="418"/>
      <c r="AP2016" s="418"/>
      <c r="AQ2016" s="418"/>
      <c r="AR2016" s="418"/>
      <c r="AS2016" s="418"/>
      <c r="AT2016" s="418"/>
      <c r="AU2016" s="418"/>
      <c r="AV2016" s="418"/>
      <c r="AW2016" s="418"/>
      <c r="AX2016" s="418"/>
      <c r="AY2016" s="418"/>
      <c r="AZ2016" s="418"/>
      <c r="BA2016" s="418"/>
    </row>
    <row r="2017" spans="40:53" ht="15.75" customHeight="1">
      <c r="AN2017" s="418"/>
      <c r="AO2017" s="418"/>
      <c r="AP2017" s="418"/>
      <c r="AQ2017" s="418"/>
      <c r="AR2017" s="418"/>
      <c r="AS2017" s="418"/>
      <c r="AT2017" s="418"/>
      <c r="AU2017" s="418"/>
      <c r="AV2017" s="418"/>
      <c r="AW2017" s="418"/>
      <c r="AX2017" s="418"/>
      <c r="AY2017" s="418"/>
      <c r="AZ2017" s="418"/>
      <c r="BA2017" s="418"/>
    </row>
    <row r="2018" spans="40:53" ht="15.75" customHeight="1">
      <c r="AN2018" s="418"/>
      <c r="AO2018" s="418"/>
      <c r="AP2018" s="418"/>
      <c r="AQ2018" s="418"/>
      <c r="AR2018" s="418"/>
      <c r="AS2018" s="418"/>
      <c r="AT2018" s="418"/>
      <c r="AU2018" s="418"/>
      <c r="AV2018" s="418"/>
      <c r="AW2018" s="418"/>
      <c r="AX2018" s="418"/>
      <c r="AY2018" s="418"/>
      <c r="AZ2018" s="418"/>
      <c r="BA2018" s="418"/>
    </row>
    <row r="2019" spans="40:53" ht="15.75" customHeight="1">
      <c r="AN2019" s="418"/>
      <c r="AO2019" s="418"/>
      <c r="AP2019" s="418"/>
      <c r="AQ2019" s="418"/>
      <c r="AR2019" s="418"/>
      <c r="AS2019" s="418"/>
      <c r="AT2019" s="418"/>
      <c r="AU2019" s="418"/>
      <c r="AV2019" s="418"/>
      <c r="AW2019" s="418"/>
      <c r="AX2019" s="418"/>
      <c r="AY2019" s="418"/>
      <c r="AZ2019" s="418"/>
      <c r="BA2019" s="418"/>
    </row>
    <row r="2020" spans="40:53" ht="15.75" customHeight="1">
      <c r="AN2020" s="418"/>
      <c r="AO2020" s="418"/>
      <c r="AP2020" s="418"/>
      <c r="AQ2020" s="418"/>
      <c r="AR2020" s="418"/>
      <c r="AS2020" s="418"/>
      <c r="AT2020" s="418"/>
      <c r="AU2020" s="418"/>
      <c r="AV2020" s="418"/>
      <c r="AW2020" s="418"/>
      <c r="AX2020" s="418"/>
      <c r="AY2020" s="418"/>
      <c r="AZ2020" s="418"/>
      <c r="BA2020" s="418"/>
    </row>
    <row r="2021" spans="40:53" ht="15.75" customHeight="1">
      <c r="AN2021" s="418"/>
      <c r="AO2021" s="418"/>
      <c r="AP2021" s="418"/>
      <c r="AQ2021" s="418"/>
      <c r="AR2021" s="418"/>
      <c r="AS2021" s="418"/>
      <c r="AT2021" s="418"/>
      <c r="AU2021" s="418"/>
      <c r="AV2021" s="418"/>
      <c r="AW2021" s="418"/>
      <c r="AX2021" s="418"/>
      <c r="AY2021" s="418"/>
      <c r="AZ2021" s="418"/>
      <c r="BA2021" s="418"/>
    </row>
    <row r="2022" spans="40:53" ht="15.75" customHeight="1">
      <c r="AN2022" s="418"/>
      <c r="AO2022" s="418"/>
      <c r="AP2022" s="418"/>
      <c r="AQ2022" s="418"/>
      <c r="AR2022" s="418"/>
      <c r="AS2022" s="418"/>
      <c r="AT2022" s="418"/>
      <c r="AU2022" s="418"/>
      <c r="AV2022" s="418"/>
      <c r="AW2022" s="418"/>
      <c r="AX2022" s="418"/>
      <c r="AY2022" s="418"/>
      <c r="AZ2022" s="418"/>
      <c r="BA2022" s="418"/>
    </row>
    <row r="2023" spans="40:53" ht="15.75" customHeight="1">
      <c r="AN2023" s="418"/>
      <c r="AO2023" s="418"/>
      <c r="AP2023" s="418"/>
      <c r="AQ2023" s="418"/>
      <c r="AR2023" s="418"/>
      <c r="AS2023" s="418"/>
      <c r="AT2023" s="418"/>
      <c r="AU2023" s="418"/>
      <c r="AV2023" s="418"/>
      <c r="AW2023" s="418"/>
      <c r="AX2023" s="418"/>
      <c r="AY2023" s="418"/>
      <c r="AZ2023" s="418"/>
      <c r="BA2023" s="418"/>
    </row>
    <row r="2024" spans="40:53" ht="15.75" customHeight="1">
      <c r="AN2024" s="418"/>
      <c r="AO2024" s="418"/>
      <c r="AP2024" s="418"/>
      <c r="AQ2024" s="418"/>
      <c r="AR2024" s="418"/>
      <c r="AS2024" s="418"/>
      <c r="AT2024" s="418"/>
      <c r="AU2024" s="418"/>
      <c r="AV2024" s="418"/>
      <c r="AW2024" s="418"/>
      <c r="AX2024" s="418"/>
      <c r="AY2024" s="418"/>
      <c r="AZ2024" s="418"/>
      <c r="BA2024" s="418"/>
    </row>
    <row r="2025" spans="40:53" ht="15.75" customHeight="1">
      <c r="AN2025" s="418"/>
      <c r="AO2025" s="418"/>
      <c r="AP2025" s="418"/>
      <c r="AQ2025" s="418"/>
      <c r="AR2025" s="418"/>
      <c r="AS2025" s="418"/>
      <c r="AT2025" s="418"/>
      <c r="AU2025" s="418"/>
      <c r="AV2025" s="418"/>
      <c r="AW2025" s="418"/>
      <c r="AX2025" s="418"/>
      <c r="AY2025" s="418"/>
      <c r="AZ2025" s="418"/>
      <c r="BA2025" s="418"/>
    </row>
    <row r="2026" spans="40:53" ht="15.75" customHeight="1">
      <c r="AN2026" s="418"/>
      <c r="AO2026" s="418"/>
      <c r="AP2026" s="418"/>
      <c r="AQ2026" s="418"/>
      <c r="AR2026" s="418"/>
      <c r="AS2026" s="418"/>
      <c r="AT2026" s="418"/>
      <c r="AU2026" s="418"/>
      <c r="AV2026" s="418"/>
      <c r="AW2026" s="418"/>
      <c r="AX2026" s="418"/>
      <c r="AY2026" s="418"/>
      <c r="AZ2026" s="418"/>
      <c r="BA2026" s="418"/>
    </row>
    <row r="2027" spans="40:53" ht="15.75" customHeight="1">
      <c r="AN2027" s="418"/>
      <c r="AO2027" s="418"/>
      <c r="AP2027" s="418"/>
      <c r="AQ2027" s="418"/>
      <c r="AR2027" s="418"/>
      <c r="AS2027" s="418"/>
      <c r="AT2027" s="418"/>
      <c r="AU2027" s="418"/>
      <c r="AV2027" s="418"/>
      <c r="AW2027" s="418"/>
      <c r="AX2027" s="418"/>
      <c r="AY2027" s="418"/>
      <c r="AZ2027" s="418"/>
      <c r="BA2027" s="418"/>
    </row>
    <row r="2028" spans="40:53" ht="15.75" customHeight="1">
      <c r="AN2028" s="418"/>
      <c r="AO2028" s="418"/>
      <c r="AP2028" s="418"/>
      <c r="AQ2028" s="418"/>
      <c r="AR2028" s="418"/>
      <c r="AS2028" s="418"/>
      <c r="AT2028" s="418"/>
      <c r="AU2028" s="418"/>
      <c r="AV2028" s="418"/>
      <c r="AW2028" s="418"/>
      <c r="AX2028" s="418"/>
      <c r="AY2028" s="418"/>
      <c r="AZ2028" s="418"/>
      <c r="BA2028" s="418"/>
    </row>
    <row r="2029" spans="40:53" ht="15.75" customHeight="1">
      <c r="AN2029" s="418"/>
      <c r="AO2029" s="418"/>
      <c r="AP2029" s="418"/>
      <c r="AQ2029" s="418"/>
      <c r="AR2029" s="418"/>
      <c r="AS2029" s="418"/>
      <c r="AT2029" s="418"/>
      <c r="AU2029" s="418"/>
      <c r="AV2029" s="418"/>
      <c r="AW2029" s="418"/>
      <c r="AX2029" s="418"/>
      <c r="AY2029" s="418"/>
      <c r="AZ2029" s="418"/>
      <c r="BA2029" s="418"/>
    </row>
    <row r="2030" spans="40:53" ht="15.75" customHeight="1">
      <c r="AN2030" s="418"/>
      <c r="AO2030" s="418"/>
      <c r="AP2030" s="418"/>
      <c r="AQ2030" s="418"/>
      <c r="AR2030" s="418"/>
      <c r="AS2030" s="418"/>
      <c r="AT2030" s="418"/>
      <c r="AU2030" s="418"/>
      <c r="AV2030" s="418"/>
      <c r="AW2030" s="418"/>
      <c r="AX2030" s="418"/>
      <c r="AY2030" s="418"/>
      <c r="AZ2030" s="418"/>
      <c r="BA2030" s="418"/>
    </row>
    <row r="2031" spans="40:53" ht="15.75" customHeight="1">
      <c r="AN2031" s="418"/>
      <c r="AO2031" s="418"/>
      <c r="AP2031" s="418"/>
      <c r="AQ2031" s="418"/>
      <c r="AR2031" s="418"/>
      <c r="AS2031" s="418"/>
      <c r="AT2031" s="418"/>
      <c r="AU2031" s="418"/>
      <c r="AV2031" s="418"/>
      <c r="AW2031" s="418"/>
      <c r="AX2031" s="418"/>
      <c r="AY2031" s="418"/>
      <c r="AZ2031" s="418"/>
      <c r="BA2031" s="418"/>
    </row>
    <row r="2032" spans="40:53" ht="15.75" customHeight="1">
      <c r="AN2032" s="418"/>
      <c r="AO2032" s="418"/>
      <c r="AP2032" s="418"/>
      <c r="AQ2032" s="418"/>
      <c r="AR2032" s="418"/>
      <c r="AS2032" s="418"/>
      <c r="AT2032" s="418"/>
      <c r="AU2032" s="418"/>
      <c r="AV2032" s="418"/>
      <c r="AW2032" s="418"/>
      <c r="AX2032" s="418"/>
      <c r="AY2032" s="418"/>
      <c r="AZ2032" s="418"/>
      <c r="BA2032" s="418"/>
    </row>
    <row r="2033" spans="40:53" ht="15.75" customHeight="1">
      <c r="AN2033" s="418"/>
      <c r="AO2033" s="418"/>
      <c r="AP2033" s="418"/>
      <c r="AQ2033" s="418"/>
      <c r="AR2033" s="418"/>
      <c r="AS2033" s="418"/>
      <c r="AT2033" s="418"/>
      <c r="AU2033" s="418"/>
      <c r="AV2033" s="418"/>
      <c r="AW2033" s="418"/>
      <c r="AX2033" s="418"/>
      <c r="AY2033" s="418"/>
      <c r="AZ2033" s="418"/>
      <c r="BA2033" s="418"/>
    </row>
    <row r="2034" spans="40:53" ht="15.75" customHeight="1">
      <c r="AN2034" s="418"/>
      <c r="AO2034" s="418"/>
      <c r="AP2034" s="418"/>
      <c r="AQ2034" s="418"/>
      <c r="AR2034" s="418"/>
      <c r="AS2034" s="418"/>
      <c r="AT2034" s="418"/>
      <c r="AU2034" s="418"/>
      <c r="AV2034" s="418"/>
      <c r="AW2034" s="418"/>
      <c r="AX2034" s="418"/>
      <c r="AY2034" s="418"/>
      <c r="AZ2034" s="418"/>
      <c r="BA2034" s="418"/>
    </row>
    <row r="2035" spans="40:53" ht="15.75" customHeight="1">
      <c r="AN2035" s="418"/>
      <c r="AO2035" s="418"/>
      <c r="AP2035" s="418"/>
      <c r="AQ2035" s="418"/>
      <c r="AR2035" s="418"/>
      <c r="AS2035" s="418"/>
      <c r="AT2035" s="418"/>
      <c r="AU2035" s="418"/>
      <c r="AV2035" s="418"/>
      <c r="AW2035" s="418"/>
      <c r="AX2035" s="418"/>
      <c r="AY2035" s="418"/>
      <c r="AZ2035" s="418"/>
      <c r="BA2035" s="418"/>
    </row>
    <row r="2036" spans="40:53" ht="15.75" customHeight="1">
      <c r="AN2036" s="418"/>
      <c r="AO2036" s="418"/>
      <c r="AP2036" s="418"/>
      <c r="AQ2036" s="418"/>
      <c r="AR2036" s="418"/>
      <c r="AS2036" s="418"/>
      <c r="AT2036" s="418"/>
      <c r="AU2036" s="418"/>
      <c r="AV2036" s="418"/>
      <c r="AW2036" s="418"/>
      <c r="AX2036" s="418"/>
      <c r="AY2036" s="418"/>
      <c r="AZ2036" s="418"/>
      <c r="BA2036" s="418"/>
    </row>
    <row r="2037" spans="40:53" ht="15.75" customHeight="1">
      <c r="AN2037" s="418"/>
      <c r="AO2037" s="418"/>
      <c r="AP2037" s="418"/>
      <c r="AQ2037" s="418"/>
      <c r="AR2037" s="418"/>
      <c r="AS2037" s="418"/>
      <c r="AT2037" s="418"/>
      <c r="AU2037" s="418"/>
      <c r="AV2037" s="418"/>
      <c r="AW2037" s="418"/>
      <c r="AX2037" s="418"/>
      <c r="AY2037" s="418"/>
      <c r="AZ2037" s="418"/>
      <c r="BA2037" s="418"/>
    </row>
    <row r="2038" spans="40:53" ht="15.75" customHeight="1">
      <c r="AN2038" s="418"/>
      <c r="AO2038" s="418"/>
      <c r="AP2038" s="418"/>
      <c r="AQ2038" s="418"/>
      <c r="AR2038" s="418"/>
      <c r="AS2038" s="418"/>
      <c r="AT2038" s="418"/>
      <c r="AU2038" s="418"/>
      <c r="AV2038" s="418"/>
      <c r="AW2038" s="418"/>
      <c r="AX2038" s="418"/>
      <c r="AY2038" s="418"/>
      <c r="AZ2038" s="418"/>
      <c r="BA2038" s="418"/>
    </row>
    <row r="2039" spans="40:53" ht="15.75" customHeight="1">
      <c r="AN2039" s="418"/>
      <c r="AO2039" s="418"/>
      <c r="AP2039" s="418"/>
      <c r="AQ2039" s="418"/>
      <c r="AR2039" s="418"/>
      <c r="AS2039" s="418"/>
      <c r="AT2039" s="418"/>
      <c r="AU2039" s="418"/>
      <c r="AV2039" s="418"/>
      <c r="AW2039" s="418"/>
      <c r="AX2039" s="418"/>
      <c r="AY2039" s="418"/>
      <c r="AZ2039" s="418"/>
      <c r="BA2039" s="418"/>
    </row>
    <row r="2040" spans="40:53" ht="15.75" customHeight="1">
      <c r="AN2040" s="418"/>
      <c r="AO2040" s="418"/>
      <c r="AP2040" s="418"/>
      <c r="AQ2040" s="418"/>
      <c r="AR2040" s="418"/>
      <c r="AS2040" s="418"/>
      <c r="AT2040" s="418"/>
      <c r="AU2040" s="418"/>
      <c r="AV2040" s="418"/>
      <c r="AW2040" s="418"/>
      <c r="AX2040" s="418"/>
      <c r="AY2040" s="418"/>
      <c r="AZ2040" s="418"/>
      <c r="BA2040" s="418"/>
    </row>
    <row r="2041" spans="40:53" ht="15.75" customHeight="1">
      <c r="AN2041" s="418"/>
      <c r="AO2041" s="418"/>
      <c r="AP2041" s="418"/>
      <c r="AQ2041" s="418"/>
      <c r="AR2041" s="418"/>
      <c r="AS2041" s="418"/>
      <c r="AT2041" s="418"/>
      <c r="AU2041" s="418"/>
      <c r="AV2041" s="418"/>
      <c r="AW2041" s="418"/>
      <c r="AX2041" s="418"/>
      <c r="AY2041" s="418"/>
      <c r="AZ2041" s="418"/>
      <c r="BA2041" s="418"/>
    </row>
    <row r="2042" spans="40:53" ht="15.75" customHeight="1">
      <c r="AN2042" s="418"/>
      <c r="AO2042" s="418"/>
      <c r="AP2042" s="418"/>
      <c r="AQ2042" s="418"/>
      <c r="AR2042" s="418"/>
      <c r="AS2042" s="418"/>
      <c r="AT2042" s="418"/>
      <c r="AU2042" s="418"/>
      <c r="AV2042" s="418"/>
      <c r="AW2042" s="418"/>
      <c r="AX2042" s="418"/>
      <c r="AY2042" s="418"/>
      <c r="AZ2042" s="418"/>
      <c r="BA2042" s="418"/>
    </row>
    <row r="2043" spans="40:53" ht="15.75" customHeight="1">
      <c r="AN2043" s="418"/>
      <c r="AO2043" s="418"/>
      <c r="AP2043" s="418"/>
      <c r="AQ2043" s="418"/>
      <c r="AR2043" s="418"/>
      <c r="AS2043" s="418"/>
      <c r="AT2043" s="418"/>
      <c r="AU2043" s="418"/>
      <c r="AV2043" s="418"/>
      <c r="AW2043" s="418"/>
      <c r="AX2043" s="418"/>
      <c r="AY2043" s="418"/>
      <c r="AZ2043" s="418"/>
      <c r="BA2043" s="418"/>
    </row>
    <row r="2044" spans="40:53" ht="15.75" customHeight="1">
      <c r="AN2044" s="418"/>
      <c r="AO2044" s="418"/>
      <c r="AP2044" s="418"/>
      <c r="AQ2044" s="418"/>
      <c r="AR2044" s="418"/>
      <c r="AS2044" s="418"/>
      <c r="AT2044" s="418"/>
      <c r="AU2044" s="418"/>
      <c r="AV2044" s="418"/>
      <c r="AW2044" s="418"/>
      <c r="AX2044" s="418"/>
      <c r="AY2044" s="418"/>
      <c r="AZ2044" s="418"/>
      <c r="BA2044" s="418"/>
    </row>
    <row r="2045" spans="40:53" ht="15.75" customHeight="1">
      <c r="AN2045" s="418"/>
      <c r="AO2045" s="418"/>
      <c r="AP2045" s="418"/>
      <c r="AQ2045" s="418"/>
      <c r="AR2045" s="418"/>
      <c r="AS2045" s="418"/>
      <c r="AT2045" s="418"/>
      <c r="AU2045" s="418"/>
      <c r="AV2045" s="418"/>
      <c r="AW2045" s="418"/>
      <c r="AX2045" s="418"/>
      <c r="AY2045" s="418"/>
      <c r="AZ2045" s="418"/>
      <c r="BA2045" s="418"/>
    </row>
    <row r="2046" spans="40:53" ht="15.75" customHeight="1">
      <c r="AN2046" s="418"/>
      <c r="AO2046" s="418"/>
      <c r="AP2046" s="418"/>
      <c r="AQ2046" s="418"/>
      <c r="AR2046" s="418"/>
      <c r="AS2046" s="418"/>
      <c r="AT2046" s="418"/>
      <c r="AU2046" s="418"/>
      <c r="AV2046" s="418"/>
      <c r="AW2046" s="418"/>
      <c r="AX2046" s="418"/>
      <c r="AY2046" s="418"/>
      <c r="AZ2046" s="418"/>
      <c r="BA2046" s="418"/>
    </row>
    <row r="2047" spans="40:53" ht="15.75" customHeight="1">
      <c r="AN2047" s="418"/>
      <c r="AO2047" s="418"/>
      <c r="AP2047" s="418"/>
      <c r="AQ2047" s="418"/>
      <c r="AR2047" s="418"/>
      <c r="AS2047" s="418"/>
      <c r="AT2047" s="418"/>
      <c r="AU2047" s="418"/>
      <c r="AV2047" s="418"/>
      <c r="AW2047" s="418"/>
      <c r="AX2047" s="418"/>
      <c r="AY2047" s="418"/>
      <c r="AZ2047" s="418"/>
      <c r="BA2047" s="418"/>
    </row>
    <row r="2048" spans="40:53" ht="15.75" customHeight="1">
      <c r="AN2048" s="418"/>
      <c r="AO2048" s="418"/>
      <c r="AP2048" s="418"/>
      <c r="AQ2048" s="418"/>
      <c r="AR2048" s="418"/>
      <c r="AS2048" s="418"/>
      <c r="AT2048" s="418"/>
      <c r="AU2048" s="418"/>
      <c r="AV2048" s="418"/>
      <c r="AW2048" s="418"/>
      <c r="AX2048" s="418"/>
      <c r="AY2048" s="418"/>
      <c r="AZ2048" s="418"/>
      <c r="BA2048" s="418"/>
    </row>
    <row r="2049" spans="40:53" ht="15.75" customHeight="1">
      <c r="AN2049" s="418"/>
      <c r="AO2049" s="418"/>
      <c r="AP2049" s="418"/>
      <c r="AQ2049" s="418"/>
      <c r="AR2049" s="418"/>
      <c r="AS2049" s="418"/>
      <c r="AT2049" s="418"/>
      <c r="AU2049" s="418"/>
      <c r="AV2049" s="418"/>
      <c r="AW2049" s="418"/>
      <c r="AX2049" s="418"/>
      <c r="AY2049" s="418"/>
      <c r="AZ2049" s="418"/>
      <c r="BA2049" s="418"/>
    </row>
    <row r="2050" spans="40:53" ht="15.75" customHeight="1">
      <c r="AN2050" s="418"/>
      <c r="AO2050" s="418"/>
      <c r="AP2050" s="418"/>
      <c r="AQ2050" s="418"/>
      <c r="AR2050" s="418"/>
      <c r="AS2050" s="418"/>
      <c r="AT2050" s="418"/>
      <c r="AU2050" s="418"/>
      <c r="AV2050" s="418"/>
      <c r="AW2050" s="418"/>
      <c r="AX2050" s="418"/>
      <c r="AY2050" s="418"/>
      <c r="AZ2050" s="418"/>
      <c r="BA2050" s="418"/>
    </row>
    <row r="2051" spans="40:53" ht="15.75" customHeight="1">
      <c r="AN2051" s="418"/>
      <c r="AO2051" s="418"/>
      <c r="AP2051" s="418"/>
      <c r="AQ2051" s="418"/>
      <c r="AR2051" s="418"/>
      <c r="AS2051" s="418"/>
      <c r="AT2051" s="418"/>
      <c r="AU2051" s="418"/>
      <c r="AV2051" s="418"/>
      <c r="AW2051" s="418"/>
      <c r="AX2051" s="418"/>
      <c r="AY2051" s="418"/>
      <c r="AZ2051" s="418"/>
      <c r="BA2051" s="418"/>
    </row>
    <row r="2052" spans="40:53" ht="15.75" customHeight="1">
      <c r="AN2052" s="418"/>
      <c r="AO2052" s="418"/>
      <c r="AP2052" s="418"/>
      <c r="AQ2052" s="418"/>
      <c r="AR2052" s="418"/>
      <c r="AS2052" s="418"/>
      <c r="AT2052" s="418"/>
      <c r="AU2052" s="418"/>
      <c r="AV2052" s="418"/>
      <c r="AW2052" s="418"/>
      <c r="AX2052" s="418"/>
      <c r="AY2052" s="418"/>
      <c r="AZ2052" s="418"/>
      <c r="BA2052" s="418"/>
    </row>
    <row r="2053" spans="40:53" ht="15.75" customHeight="1">
      <c r="AN2053" s="418"/>
      <c r="AO2053" s="418"/>
      <c r="AP2053" s="418"/>
      <c r="AQ2053" s="418"/>
      <c r="AR2053" s="418"/>
      <c r="AS2053" s="418"/>
      <c r="AT2053" s="418"/>
      <c r="AU2053" s="418"/>
      <c r="AV2053" s="418"/>
      <c r="AW2053" s="418"/>
      <c r="AX2053" s="418"/>
      <c r="AY2053" s="418"/>
      <c r="AZ2053" s="418"/>
      <c r="BA2053" s="418"/>
    </row>
    <row r="2054" spans="40:53" ht="15.75" customHeight="1">
      <c r="AN2054" s="418"/>
      <c r="AO2054" s="418"/>
      <c r="AP2054" s="418"/>
      <c r="AQ2054" s="418"/>
      <c r="AR2054" s="418"/>
      <c r="AS2054" s="418"/>
      <c r="AT2054" s="418"/>
      <c r="AU2054" s="418"/>
      <c r="AV2054" s="418"/>
      <c r="AW2054" s="418"/>
      <c r="AX2054" s="418"/>
      <c r="AY2054" s="418"/>
      <c r="AZ2054" s="418"/>
      <c r="BA2054" s="418"/>
    </row>
    <row r="2055" spans="40:53" ht="15.75" customHeight="1">
      <c r="AN2055" s="418"/>
      <c r="AO2055" s="418"/>
      <c r="AP2055" s="418"/>
      <c r="AQ2055" s="418"/>
      <c r="AR2055" s="418"/>
      <c r="AS2055" s="418"/>
      <c r="AT2055" s="418"/>
      <c r="AU2055" s="418"/>
      <c r="AV2055" s="418"/>
      <c r="AW2055" s="418"/>
      <c r="AX2055" s="418"/>
      <c r="AY2055" s="418"/>
      <c r="AZ2055" s="418"/>
      <c r="BA2055" s="418"/>
    </row>
    <row r="2056" spans="40:53" ht="15.75" customHeight="1">
      <c r="AN2056" s="418"/>
      <c r="AO2056" s="418"/>
      <c r="AP2056" s="418"/>
      <c r="AQ2056" s="418"/>
      <c r="AR2056" s="418"/>
      <c r="AS2056" s="418"/>
      <c r="AT2056" s="418"/>
      <c r="AU2056" s="418"/>
      <c r="AV2056" s="418"/>
      <c r="AW2056" s="418"/>
      <c r="AX2056" s="418"/>
      <c r="AY2056" s="418"/>
      <c r="AZ2056" s="418"/>
      <c r="BA2056" s="418"/>
    </row>
    <row r="2057" spans="40:53" ht="15.75" customHeight="1">
      <c r="AN2057" s="418"/>
      <c r="AO2057" s="418"/>
      <c r="AP2057" s="418"/>
      <c r="AQ2057" s="418"/>
      <c r="AR2057" s="418"/>
      <c r="AS2057" s="418"/>
      <c r="AT2057" s="418"/>
      <c r="AU2057" s="418"/>
      <c r="AV2057" s="418"/>
      <c r="AW2057" s="418"/>
      <c r="AX2057" s="418"/>
      <c r="AY2057" s="418"/>
      <c r="AZ2057" s="418"/>
      <c r="BA2057" s="418"/>
    </row>
    <row r="2058" spans="40:53" ht="15.75" customHeight="1">
      <c r="AN2058" s="418"/>
      <c r="AO2058" s="418"/>
      <c r="AP2058" s="418"/>
      <c r="AQ2058" s="418"/>
      <c r="AR2058" s="418"/>
      <c r="AS2058" s="418"/>
      <c r="AT2058" s="418"/>
      <c r="AU2058" s="418"/>
      <c r="AV2058" s="418"/>
      <c r="AW2058" s="418"/>
      <c r="AX2058" s="418"/>
      <c r="AY2058" s="418"/>
      <c r="AZ2058" s="418"/>
      <c r="BA2058" s="418"/>
    </row>
    <row r="2059" spans="40:53" ht="15.75" customHeight="1">
      <c r="AN2059" s="418"/>
      <c r="AO2059" s="418"/>
      <c r="AP2059" s="418"/>
      <c r="AQ2059" s="418"/>
      <c r="AR2059" s="418"/>
      <c r="AS2059" s="418"/>
      <c r="AT2059" s="418"/>
      <c r="AU2059" s="418"/>
      <c r="AV2059" s="418"/>
      <c r="AW2059" s="418"/>
      <c r="AX2059" s="418"/>
      <c r="AY2059" s="418"/>
      <c r="AZ2059" s="418"/>
      <c r="BA2059" s="418"/>
    </row>
    <row r="2060" spans="40:53" ht="15.75" customHeight="1">
      <c r="AN2060" s="418"/>
      <c r="AO2060" s="418"/>
      <c r="AP2060" s="418"/>
      <c r="AQ2060" s="418"/>
      <c r="AR2060" s="418"/>
      <c r="AS2060" s="418"/>
      <c r="AT2060" s="418"/>
      <c r="AU2060" s="418"/>
      <c r="AV2060" s="418"/>
      <c r="AW2060" s="418"/>
      <c r="AX2060" s="418"/>
      <c r="AY2060" s="418"/>
      <c r="AZ2060" s="418"/>
      <c r="BA2060" s="418"/>
    </row>
    <row r="2061" spans="40:53" ht="15.75" customHeight="1">
      <c r="AN2061" s="418"/>
      <c r="AO2061" s="418"/>
      <c r="AP2061" s="418"/>
      <c r="AQ2061" s="418"/>
      <c r="AR2061" s="418"/>
      <c r="AS2061" s="418"/>
      <c r="AT2061" s="418"/>
      <c r="AU2061" s="418"/>
      <c r="AV2061" s="418"/>
      <c r="AW2061" s="418"/>
      <c r="AX2061" s="418"/>
      <c r="AY2061" s="418"/>
      <c r="AZ2061" s="418"/>
      <c r="BA2061" s="418"/>
    </row>
    <row r="2062" spans="40:53" ht="15.75" customHeight="1">
      <c r="AN2062" s="418"/>
      <c r="AO2062" s="418"/>
      <c r="AP2062" s="418"/>
      <c r="AQ2062" s="418"/>
      <c r="AR2062" s="418"/>
      <c r="AS2062" s="418"/>
      <c r="AT2062" s="418"/>
      <c r="AU2062" s="418"/>
      <c r="AV2062" s="418"/>
      <c r="AW2062" s="418"/>
      <c r="AX2062" s="418"/>
      <c r="AY2062" s="418"/>
      <c r="AZ2062" s="418"/>
      <c r="BA2062" s="418"/>
    </row>
    <row r="2063" spans="40:53" ht="15.75" customHeight="1">
      <c r="AN2063" s="418"/>
      <c r="AO2063" s="418"/>
      <c r="AP2063" s="418"/>
      <c r="AQ2063" s="418"/>
      <c r="AR2063" s="418"/>
      <c r="AS2063" s="418"/>
      <c r="AT2063" s="418"/>
      <c r="AU2063" s="418"/>
      <c r="AV2063" s="418"/>
      <c r="AW2063" s="418"/>
      <c r="AX2063" s="418"/>
      <c r="AY2063" s="418"/>
      <c r="AZ2063" s="418"/>
      <c r="BA2063" s="418"/>
    </row>
    <row r="2064" spans="40:53" ht="15.75" customHeight="1">
      <c r="AN2064" s="418"/>
      <c r="AO2064" s="418"/>
      <c r="AP2064" s="418"/>
      <c r="AQ2064" s="418"/>
      <c r="AR2064" s="418"/>
      <c r="AS2064" s="418"/>
      <c r="AT2064" s="418"/>
      <c r="AU2064" s="418"/>
      <c r="AV2064" s="418"/>
      <c r="AW2064" s="418"/>
      <c r="AX2064" s="418"/>
      <c r="AY2064" s="418"/>
      <c r="AZ2064" s="418"/>
      <c r="BA2064" s="418"/>
    </row>
    <row r="2065" spans="40:53" ht="15.75" customHeight="1">
      <c r="AN2065" s="418"/>
      <c r="AO2065" s="418"/>
      <c r="AP2065" s="418"/>
      <c r="AQ2065" s="418"/>
      <c r="AR2065" s="418"/>
      <c r="AS2065" s="418"/>
      <c r="AT2065" s="418"/>
      <c r="AU2065" s="418"/>
      <c r="AV2065" s="418"/>
      <c r="AW2065" s="418"/>
      <c r="AX2065" s="418"/>
      <c r="AY2065" s="418"/>
      <c r="AZ2065" s="418"/>
      <c r="BA2065" s="418"/>
    </row>
    <row r="2066" spans="40:53" ht="15.75" customHeight="1">
      <c r="AN2066" s="418"/>
      <c r="AO2066" s="418"/>
      <c r="AP2066" s="418"/>
      <c r="AQ2066" s="418"/>
      <c r="AR2066" s="418"/>
      <c r="AS2066" s="418"/>
      <c r="AT2066" s="418"/>
      <c r="AU2066" s="418"/>
      <c r="AV2066" s="418"/>
      <c r="AW2066" s="418"/>
      <c r="AX2066" s="418"/>
      <c r="AY2066" s="418"/>
      <c r="AZ2066" s="418"/>
      <c r="BA2066" s="418"/>
    </row>
    <row r="2067" spans="40:53" ht="15.75" customHeight="1">
      <c r="AN2067" s="418"/>
      <c r="AO2067" s="418"/>
      <c r="AP2067" s="418"/>
      <c r="AQ2067" s="418"/>
      <c r="AR2067" s="418"/>
      <c r="AS2067" s="418"/>
      <c r="AT2067" s="418"/>
      <c r="AU2067" s="418"/>
      <c r="AV2067" s="418"/>
      <c r="AW2067" s="418"/>
      <c r="AX2067" s="418"/>
      <c r="AY2067" s="418"/>
      <c r="AZ2067" s="418"/>
      <c r="BA2067" s="418"/>
    </row>
    <row r="2068" spans="40:53" ht="15.75" customHeight="1">
      <c r="AN2068" s="418"/>
      <c r="AO2068" s="418"/>
      <c r="AP2068" s="418"/>
      <c r="AQ2068" s="418"/>
      <c r="AR2068" s="418"/>
      <c r="AS2068" s="418"/>
      <c r="AT2068" s="418"/>
      <c r="AU2068" s="418"/>
      <c r="AV2068" s="418"/>
      <c r="AW2068" s="418"/>
      <c r="AX2068" s="418"/>
      <c r="AY2068" s="418"/>
      <c r="AZ2068" s="418"/>
      <c r="BA2068" s="418"/>
    </row>
    <row r="2069" spans="40:53" ht="15.75" customHeight="1">
      <c r="AN2069" s="418"/>
      <c r="AO2069" s="418"/>
      <c r="AP2069" s="418"/>
      <c r="AQ2069" s="418"/>
      <c r="AR2069" s="418"/>
      <c r="AS2069" s="418"/>
      <c r="AT2069" s="418"/>
      <c r="AU2069" s="418"/>
      <c r="AV2069" s="418"/>
      <c r="AW2069" s="418"/>
      <c r="AX2069" s="418"/>
      <c r="AY2069" s="418"/>
      <c r="AZ2069" s="418"/>
      <c r="BA2069" s="418"/>
    </row>
    <row r="2070" spans="40:53" ht="15.75" customHeight="1">
      <c r="AN2070" s="418"/>
      <c r="AO2070" s="418"/>
      <c r="AP2070" s="418"/>
      <c r="AQ2070" s="418"/>
      <c r="AR2070" s="418"/>
      <c r="AS2070" s="418"/>
      <c r="AT2070" s="418"/>
      <c r="AU2070" s="418"/>
      <c r="AV2070" s="418"/>
      <c r="AW2070" s="418"/>
      <c r="AX2070" s="418"/>
      <c r="AY2070" s="418"/>
      <c r="AZ2070" s="418"/>
      <c r="BA2070" s="418"/>
    </row>
    <row r="2071" spans="40:53" ht="15.75" customHeight="1">
      <c r="AN2071" s="418"/>
      <c r="AO2071" s="418"/>
      <c r="AP2071" s="418"/>
      <c r="AQ2071" s="418"/>
      <c r="AR2071" s="418"/>
      <c r="AS2071" s="418"/>
      <c r="AT2071" s="418"/>
      <c r="AU2071" s="418"/>
      <c r="AV2071" s="418"/>
      <c r="AW2071" s="418"/>
      <c r="AX2071" s="418"/>
      <c r="AY2071" s="418"/>
      <c r="AZ2071" s="418"/>
      <c r="BA2071" s="418"/>
    </row>
    <row r="2072" spans="40:53" ht="15.75" customHeight="1">
      <c r="AN2072" s="418"/>
      <c r="AO2072" s="418"/>
      <c r="AP2072" s="418"/>
      <c r="AQ2072" s="418"/>
      <c r="AR2072" s="418"/>
      <c r="AS2072" s="418"/>
      <c r="AT2072" s="418"/>
      <c r="AU2072" s="418"/>
      <c r="AV2072" s="418"/>
      <c r="AW2072" s="418"/>
      <c r="AX2072" s="418"/>
      <c r="AY2072" s="418"/>
      <c r="AZ2072" s="418"/>
      <c r="BA2072" s="418"/>
    </row>
    <row r="2073" spans="40:53" ht="15.75" customHeight="1">
      <c r="AN2073" s="418"/>
      <c r="AO2073" s="418"/>
      <c r="AP2073" s="418"/>
      <c r="AQ2073" s="418"/>
      <c r="AR2073" s="418"/>
      <c r="AS2073" s="418"/>
      <c r="AT2073" s="418"/>
      <c r="AU2073" s="418"/>
      <c r="AV2073" s="418"/>
      <c r="AW2073" s="418"/>
      <c r="AX2073" s="418"/>
      <c r="AY2073" s="418"/>
      <c r="AZ2073" s="418"/>
      <c r="BA2073" s="418"/>
    </row>
    <row r="2074" spans="40:53" ht="15.75" customHeight="1">
      <c r="AN2074" s="418"/>
      <c r="AO2074" s="418"/>
      <c r="AP2074" s="418"/>
      <c r="AQ2074" s="418"/>
      <c r="AR2074" s="418"/>
      <c r="AS2074" s="418"/>
      <c r="AT2074" s="418"/>
      <c r="AU2074" s="418"/>
      <c r="AV2074" s="418"/>
      <c r="AW2074" s="418"/>
      <c r="AX2074" s="418"/>
      <c r="AY2074" s="418"/>
      <c r="AZ2074" s="418"/>
      <c r="BA2074" s="418"/>
    </row>
    <row r="2075" spans="40:53" ht="15.75" customHeight="1">
      <c r="AN2075" s="418"/>
      <c r="AO2075" s="418"/>
      <c r="AP2075" s="418"/>
      <c r="AQ2075" s="418"/>
      <c r="AR2075" s="418"/>
      <c r="AS2075" s="418"/>
      <c r="AT2075" s="418"/>
      <c r="AU2075" s="418"/>
      <c r="AV2075" s="418"/>
      <c r="AW2075" s="418"/>
      <c r="AX2075" s="418"/>
      <c r="AY2075" s="418"/>
      <c r="AZ2075" s="418"/>
      <c r="BA2075" s="418"/>
    </row>
    <row r="2076" spans="40:53" ht="15.75" customHeight="1">
      <c r="AN2076" s="418"/>
      <c r="AO2076" s="418"/>
      <c r="AP2076" s="418"/>
      <c r="AQ2076" s="418"/>
      <c r="AR2076" s="418"/>
      <c r="AS2076" s="418"/>
      <c r="AT2076" s="418"/>
      <c r="AU2076" s="418"/>
      <c r="AV2076" s="418"/>
      <c r="AW2076" s="418"/>
      <c r="AX2076" s="418"/>
      <c r="AY2076" s="418"/>
      <c r="AZ2076" s="418"/>
      <c r="BA2076" s="418"/>
    </row>
    <row r="2077" spans="40:53" ht="15.75" customHeight="1">
      <c r="AN2077" s="418"/>
      <c r="AO2077" s="418"/>
      <c r="AP2077" s="418"/>
      <c r="AQ2077" s="418"/>
      <c r="AR2077" s="418"/>
      <c r="AS2077" s="418"/>
      <c r="AT2077" s="418"/>
      <c r="AU2077" s="418"/>
      <c r="AV2077" s="418"/>
      <c r="AW2077" s="418"/>
      <c r="AX2077" s="418"/>
      <c r="AY2077" s="418"/>
      <c r="AZ2077" s="418"/>
      <c r="BA2077" s="418"/>
    </row>
    <row r="2078" spans="40:53" ht="15.75" customHeight="1">
      <c r="AN2078" s="418"/>
      <c r="AO2078" s="418"/>
      <c r="AP2078" s="418"/>
      <c r="AQ2078" s="418"/>
      <c r="AR2078" s="418"/>
      <c r="AS2078" s="418"/>
      <c r="AT2078" s="418"/>
      <c r="AU2078" s="418"/>
      <c r="AV2078" s="418"/>
      <c r="AW2078" s="418"/>
      <c r="AX2078" s="418"/>
      <c r="AY2078" s="418"/>
      <c r="AZ2078" s="418"/>
      <c r="BA2078" s="418"/>
    </row>
    <row r="2079" spans="40:53" ht="15.75" customHeight="1">
      <c r="AN2079" s="418"/>
      <c r="AO2079" s="418"/>
      <c r="AP2079" s="418"/>
      <c r="AQ2079" s="418"/>
      <c r="AR2079" s="418"/>
      <c r="AS2079" s="418"/>
      <c r="AT2079" s="418"/>
      <c r="AU2079" s="418"/>
      <c r="AV2079" s="418"/>
      <c r="AW2079" s="418"/>
      <c r="AX2079" s="418"/>
      <c r="AY2079" s="418"/>
      <c r="AZ2079" s="418"/>
      <c r="BA2079" s="418"/>
    </row>
    <row r="2080" spans="40:53" ht="15.75" customHeight="1">
      <c r="AN2080" s="418"/>
      <c r="AO2080" s="418"/>
      <c r="AP2080" s="418"/>
      <c r="AQ2080" s="418"/>
      <c r="AR2080" s="418"/>
      <c r="AS2080" s="418"/>
      <c r="AT2080" s="418"/>
      <c r="AU2080" s="418"/>
      <c r="AV2080" s="418"/>
      <c r="AW2080" s="418"/>
      <c r="AX2080" s="418"/>
      <c r="AY2080" s="418"/>
      <c r="AZ2080" s="418"/>
      <c r="BA2080" s="418"/>
    </row>
    <row r="2081" spans="40:53" ht="15.75" customHeight="1">
      <c r="AN2081" s="418"/>
      <c r="AO2081" s="418"/>
      <c r="AP2081" s="418"/>
      <c r="AQ2081" s="418"/>
      <c r="AR2081" s="418"/>
      <c r="AS2081" s="418"/>
      <c r="AT2081" s="418"/>
      <c r="AU2081" s="418"/>
      <c r="AV2081" s="418"/>
      <c r="AW2081" s="418"/>
      <c r="AX2081" s="418"/>
      <c r="AY2081" s="418"/>
      <c r="AZ2081" s="418"/>
      <c r="BA2081" s="418"/>
    </row>
    <row r="2082" spans="40:53" ht="15.75" customHeight="1">
      <c r="AN2082" s="418"/>
      <c r="AO2082" s="418"/>
      <c r="AP2082" s="418"/>
      <c r="AQ2082" s="418"/>
      <c r="AR2082" s="418"/>
      <c r="AS2082" s="418"/>
      <c r="AT2082" s="418"/>
      <c r="AU2082" s="418"/>
      <c r="AV2082" s="418"/>
      <c r="AW2082" s="418"/>
      <c r="AX2082" s="418"/>
      <c r="AY2082" s="418"/>
      <c r="AZ2082" s="418"/>
      <c r="BA2082" s="418"/>
    </row>
    <row r="2083" spans="40:53" ht="15.75" customHeight="1">
      <c r="AN2083" s="418"/>
      <c r="AO2083" s="418"/>
      <c r="AP2083" s="418"/>
      <c r="AQ2083" s="418"/>
      <c r="AR2083" s="418"/>
      <c r="AS2083" s="418"/>
      <c r="AT2083" s="418"/>
      <c r="AU2083" s="418"/>
      <c r="AV2083" s="418"/>
      <c r="AW2083" s="418"/>
      <c r="AX2083" s="418"/>
      <c r="AY2083" s="418"/>
      <c r="AZ2083" s="418"/>
      <c r="BA2083" s="418"/>
    </row>
    <row r="2084" spans="40:53" ht="15.75" customHeight="1">
      <c r="AN2084" s="418"/>
      <c r="AO2084" s="418"/>
      <c r="AP2084" s="418"/>
      <c r="AQ2084" s="418"/>
      <c r="AR2084" s="418"/>
      <c r="AS2084" s="418"/>
      <c r="AT2084" s="418"/>
      <c r="AU2084" s="418"/>
      <c r="AV2084" s="418"/>
      <c r="AW2084" s="418"/>
      <c r="AX2084" s="418"/>
      <c r="AY2084" s="418"/>
      <c r="AZ2084" s="418"/>
      <c r="BA2084" s="418"/>
    </row>
    <row r="2085" spans="40:53" ht="15.75" customHeight="1">
      <c r="AN2085" s="418"/>
      <c r="AO2085" s="418"/>
      <c r="AP2085" s="418"/>
      <c r="AQ2085" s="418"/>
      <c r="AR2085" s="418"/>
      <c r="AS2085" s="418"/>
      <c r="AT2085" s="418"/>
      <c r="AU2085" s="418"/>
      <c r="AV2085" s="418"/>
      <c r="AW2085" s="418"/>
      <c r="AX2085" s="418"/>
      <c r="AY2085" s="418"/>
      <c r="AZ2085" s="418"/>
      <c r="BA2085" s="418"/>
    </row>
    <row r="2086" spans="40:53" ht="15.75" customHeight="1">
      <c r="AN2086" s="418"/>
      <c r="AO2086" s="418"/>
      <c r="AP2086" s="418"/>
      <c r="AQ2086" s="418"/>
      <c r="AR2086" s="418"/>
      <c r="AS2086" s="418"/>
      <c r="AT2086" s="418"/>
      <c r="AU2086" s="418"/>
      <c r="AV2086" s="418"/>
      <c r="AW2086" s="418"/>
      <c r="AX2086" s="418"/>
      <c r="AY2086" s="418"/>
      <c r="AZ2086" s="418"/>
      <c r="BA2086" s="418"/>
    </row>
    <row r="2087" spans="40:53" ht="15.75" customHeight="1">
      <c r="AN2087" s="418"/>
      <c r="AO2087" s="418"/>
      <c r="AP2087" s="418"/>
      <c r="AQ2087" s="418"/>
      <c r="AR2087" s="418"/>
      <c r="AS2087" s="418"/>
      <c r="AT2087" s="418"/>
      <c r="AU2087" s="418"/>
      <c r="AV2087" s="418"/>
      <c r="AW2087" s="418"/>
      <c r="AX2087" s="418"/>
      <c r="AY2087" s="418"/>
      <c r="AZ2087" s="418"/>
      <c r="BA2087" s="418"/>
    </row>
    <row r="2088" spans="40:53" ht="15.75" customHeight="1">
      <c r="AN2088" s="418"/>
      <c r="AO2088" s="418"/>
      <c r="AP2088" s="418"/>
      <c r="AQ2088" s="418"/>
      <c r="AR2088" s="418"/>
      <c r="AS2088" s="418"/>
      <c r="AT2088" s="418"/>
      <c r="AU2088" s="418"/>
      <c r="AV2088" s="418"/>
      <c r="AW2088" s="418"/>
      <c r="AX2088" s="418"/>
      <c r="AY2088" s="418"/>
      <c r="AZ2088" s="418"/>
      <c r="BA2088" s="418"/>
    </row>
    <row r="2089" spans="40:53" ht="15.75" customHeight="1">
      <c r="AN2089" s="418"/>
      <c r="AO2089" s="418"/>
      <c r="AP2089" s="418"/>
      <c r="AQ2089" s="418"/>
      <c r="AR2089" s="418"/>
      <c r="AS2089" s="418"/>
      <c r="AT2089" s="418"/>
      <c r="AU2089" s="418"/>
      <c r="AV2089" s="418"/>
      <c r="AW2089" s="418"/>
      <c r="AX2089" s="418"/>
      <c r="AY2089" s="418"/>
      <c r="AZ2089" s="418"/>
      <c r="BA2089" s="418"/>
    </row>
    <row r="2090" spans="40:53" ht="15.75" customHeight="1">
      <c r="AN2090" s="418"/>
      <c r="AO2090" s="418"/>
      <c r="AP2090" s="418"/>
      <c r="AQ2090" s="418"/>
      <c r="AR2090" s="418"/>
      <c r="AS2090" s="418"/>
      <c r="AT2090" s="418"/>
      <c r="AU2090" s="418"/>
      <c r="AV2090" s="418"/>
      <c r="AW2090" s="418"/>
      <c r="AX2090" s="418"/>
      <c r="AY2090" s="418"/>
      <c r="AZ2090" s="418"/>
      <c r="BA2090" s="418"/>
    </row>
    <row r="2091" spans="40:53" ht="15.75" customHeight="1">
      <c r="AN2091" s="418"/>
      <c r="AO2091" s="418"/>
      <c r="AP2091" s="418"/>
      <c r="AQ2091" s="418"/>
      <c r="AR2091" s="418"/>
      <c r="AS2091" s="418"/>
      <c r="AT2091" s="418"/>
      <c r="AU2091" s="418"/>
      <c r="AV2091" s="418"/>
      <c r="AW2091" s="418"/>
      <c r="AX2091" s="418"/>
      <c r="AY2091" s="418"/>
      <c r="AZ2091" s="418"/>
      <c r="BA2091" s="418"/>
    </row>
    <row r="2092" spans="40:53" ht="15.75" customHeight="1">
      <c r="AN2092" s="418"/>
      <c r="AO2092" s="418"/>
      <c r="AP2092" s="418"/>
      <c r="AQ2092" s="418"/>
      <c r="AR2092" s="418"/>
      <c r="AS2092" s="418"/>
      <c r="AT2092" s="418"/>
      <c r="AU2092" s="418"/>
      <c r="AV2092" s="418"/>
      <c r="AW2092" s="418"/>
      <c r="AX2092" s="418"/>
      <c r="AY2092" s="418"/>
      <c r="AZ2092" s="418"/>
      <c r="BA2092" s="418"/>
    </row>
    <row r="2093" spans="40:53" ht="15.75" customHeight="1">
      <c r="AN2093" s="418"/>
      <c r="AO2093" s="418"/>
      <c r="AP2093" s="418"/>
      <c r="AQ2093" s="418"/>
      <c r="AR2093" s="418"/>
      <c r="AS2093" s="418"/>
      <c r="AT2093" s="418"/>
      <c r="AU2093" s="418"/>
      <c r="AV2093" s="418"/>
      <c r="AW2093" s="418"/>
      <c r="AX2093" s="418"/>
      <c r="AY2093" s="418"/>
      <c r="AZ2093" s="418"/>
      <c r="BA2093" s="418"/>
    </row>
    <row r="2094" spans="40:53" ht="15.75" customHeight="1">
      <c r="AN2094" s="418"/>
      <c r="AO2094" s="418"/>
      <c r="AP2094" s="418"/>
      <c r="AQ2094" s="418"/>
      <c r="AR2094" s="418"/>
      <c r="AS2094" s="418"/>
      <c r="AT2094" s="418"/>
      <c r="AU2094" s="418"/>
      <c r="AV2094" s="418"/>
      <c r="AW2094" s="418"/>
      <c r="AX2094" s="418"/>
      <c r="AY2094" s="418"/>
      <c r="AZ2094" s="418"/>
      <c r="BA2094" s="418"/>
    </row>
    <row r="2095" spans="40:53" ht="15.75" customHeight="1">
      <c r="AN2095" s="418"/>
      <c r="AO2095" s="418"/>
      <c r="AP2095" s="418"/>
      <c r="AQ2095" s="418"/>
      <c r="AR2095" s="418"/>
      <c r="AS2095" s="418"/>
      <c r="AT2095" s="418"/>
      <c r="AU2095" s="418"/>
      <c r="AV2095" s="418"/>
      <c r="AW2095" s="418"/>
      <c r="AX2095" s="418"/>
      <c r="AY2095" s="418"/>
      <c r="AZ2095" s="418"/>
      <c r="BA2095" s="418"/>
    </row>
    <row r="2096" spans="40:53" ht="15.75" customHeight="1">
      <c r="AN2096" s="418"/>
      <c r="AO2096" s="418"/>
      <c r="AP2096" s="418"/>
      <c r="AQ2096" s="418"/>
      <c r="AR2096" s="418"/>
      <c r="AS2096" s="418"/>
      <c r="AT2096" s="418"/>
      <c r="AU2096" s="418"/>
      <c r="AV2096" s="418"/>
      <c r="AW2096" s="418"/>
      <c r="AX2096" s="418"/>
      <c r="AY2096" s="418"/>
      <c r="AZ2096" s="418"/>
      <c r="BA2096" s="418"/>
    </row>
    <row r="2097" spans="40:53" ht="15.75" customHeight="1">
      <c r="AN2097" s="418"/>
      <c r="AO2097" s="418"/>
      <c r="AP2097" s="418"/>
      <c r="AQ2097" s="418"/>
      <c r="AR2097" s="418"/>
      <c r="AS2097" s="418"/>
      <c r="AT2097" s="418"/>
      <c r="AU2097" s="418"/>
      <c r="AV2097" s="418"/>
      <c r="AW2097" s="418"/>
      <c r="AX2097" s="418"/>
      <c r="AY2097" s="418"/>
      <c r="AZ2097" s="418"/>
      <c r="BA2097" s="418"/>
    </row>
    <row r="2098" spans="40:53" ht="15.75" customHeight="1">
      <c r="AN2098" s="418"/>
      <c r="AO2098" s="418"/>
      <c r="AP2098" s="418"/>
      <c r="AQ2098" s="418"/>
      <c r="AR2098" s="418"/>
      <c r="AS2098" s="418"/>
      <c r="AT2098" s="418"/>
      <c r="AU2098" s="418"/>
      <c r="AV2098" s="418"/>
      <c r="AW2098" s="418"/>
      <c r="AX2098" s="418"/>
      <c r="AY2098" s="418"/>
      <c r="AZ2098" s="418"/>
      <c r="BA2098" s="418"/>
    </row>
    <row r="2099" spans="40:53" ht="15.75" customHeight="1">
      <c r="AN2099" s="418"/>
      <c r="AO2099" s="418"/>
      <c r="AP2099" s="418"/>
      <c r="AQ2099" s="418"/>
      <c r="AR2099" s="418"/>
      <c r="AS2099" s="418"/>
      <c r="AT2099" s="418"/>
      <c r="AU2099" s="418"/>
      <c r="AV2099" s="418"/>
      <c r="AW2099" s="418"/>
      <c r="AX2099" s="418"/>
      <c r="AY2099" s="418"/>
      <c r="AZ2099" s="418"/>
      <c r="BA2099" s="418"/>
    </row>
    <row r="2100" spans="40:53" ht="15.75" customHeight="1">
      <c r="AN2100" s="418"/>
      <c r="AO2100" s="418"/>
      <c r="AP2100" s="418"/>
      <c r="AQ2100" s="418"/>
      <c r="AR2100" s="418"/>
      <c r="AS2100" s="418"/>
      <c r="AT2100" s="418"/>
      <c r="AU2100" s="418"/>
      <c r="AV2100" s="418"/>
      <c r="AW2100" s="418"/>
      <c r="AX2100" s="418"/>
      <c r="AY2100" s="418"/>
      <c r="AZ2100" s="418"/>
      <c r="BA2100" s="418"/>
    </row>
    <row r="2101" spans="40:53" ht="15.75" customHeight="1">
      <c r="AN2101" s="418"/>
      <c r="AO2101" s="418"/>
      <c r="AP2101" s="418"/>
      <c r="AQ2101" s="418"/>
      <c r="AR2101" s="418"/>
      <c r="AS2101" s="418"/>
      <c r="AT2101" s="418"/>
      <c r="AU2101" s="418"/>
      <c r="AV2101" s="418"/>
      <c r="AW2101" s="418"/>
      <c r="AX2101" s="418"/>
      <c r="AY2101" s="418"/>
      <c r="AZ2101" s="418"/>
      <c r="BA2101" s="418"/>
    </row>
    <row r="2102" spans="40:53" ht="15.75" customHeight="1">
      <c r="AN2102" s="418"/>
      <c r="AO2102" s="418"/>
      <c r="AP2102" s="418"/>
      <c r="AQ2102" s="418"/>
      <c r="AR2102" s="418"/>
      <c r="AS2102" s="418"/>
      <c r="AT2102" s="418"/>
      <c r="AU2102" s="418"/>
      <c r="AV2102" s="418"/>
      <c r="AW2102" s="418"/>
      <c r="AX2102" s="418"/>
      <c r="AY2102" s="418"/>
      <c r="AZ2102" s="418"/>
      <c r="BA2102" s="418"/>
    </row>
    <row r="2103" spans="40:53" ht="15.75" customHeight="1">
      <c r="AN2103" s="418"/>
      <c r="AO2103" s="418"/>
      <c r="AP2103" s="418"/>
      <c r="AQ2103" s="418"/>
      <c r="AR2103" s="418"/>
      <c r="AS2103" s="418"/>
      <c r="AT2103" s="418"/>
      <c r="AU2103" s="418"/>
      <c r="AV2103" s="418"/>
      <c r="AW2103" s="418"/>
      <c r="AX2103" s="418"/>
      <c r="AY2103" s="418"/>
      <c r="AZ2103" s="418"/>
      <c r="BA2103" s="418"/>
    </row>
    <row r="2104" spans="40:53" ht="15.75" customHeight="1">
      <c r="AN2104" s="418"/>
      <c r="AO2104" s="418"/>
      <c r="AP2104" s="418"/>
      <c r="AQ2104" s="418"/>
      <c r="AR2104" s="418"/>
      <c r="AS2104" s="418"/>
      <c r="AT2104" s="418"/>
      <c r="AU2104" s="418"/>
      <c r="AV2104" s="418"/>
      <c r="AW2104" s="418"/>
      <c r="AX2104" s="418"/>
      <c r="AY2104" s="418"/>
      <c r="AZ2104" s="418"/>
      <c r="BA2104" s="418"/>
    </row>
    <row r="2105" spans="40:53" ht="15.75" customHeight="1">
      <c r="AN2105" s="418"/>
      <c r="AO2105" s="418"/>
      <c r="AP2105" s="418"/>
      <c r="AQ2105" s="418"/>
      <c r="AR2105" s="418"/>
      <c r="AS2105" s="418"/>
      <c r="AT2105" s="418"/>
      <c r="AU2105" s="418"/>
      <c r="AV2105" s="418"/>
      <c r="AW2105" s="418"/>
      <c r="AX2105" s="418"/>
      <c r="AY2105" s="418"/>
      <c r="AZ2105" s="418"/>
      <c r="BA2105" s="418"/>
    </row>
    <row r="2106" spans="40:53" ht="15.75" customHeight="1">
      <c r="AN2106" s="418"/>
      <c r="AO2106" s="418"/>
      <c r="AP2106" s="418"/>
      <c r="AQ2106" s="418"/>
      <c r="AR2106" s="418"/>
      <c r="AS2106" s="418"/>
      <c r="AT2106" s="418"/>
      <c r="AU2106" s="418"/>
      <c r="AV2106" s="418"/>
      <c r="AW2106" s="418"/>
      <c r="AX2106" s="418"/>
      <c r="AY2106" s="418"/>
      <c r="AZ2106" s="418"/>
      <c r="BA2106" s="418"/>
    </row>
    <row r="2107" spans="40:53" ht="15.75" customHeight="1">
      <c r="AN2107" s="418"/>
      <c r="AO2107" s="418"/>
      <c r="AP2107" s="418"/>
      <c r="AQ2107" s="418"/>
      <c r="AR2107" s="418"/>
      <c r="AS2107" s="418"/>
      <c r="AT2107" s="418"/>
      <c r="AU2107" s="418"/>
      <c r="AV2107" s="418"/>
      <c r="AW2107" s="418"/>
      <c r="AX2107" s="418"/>
      <c r="AY2107" s="418"/>
      <c r="AZ2107" s="418"/>
      <c r="BA2107" s="418"/>
    </row>
    <row r="2108" spans="40:53" ht="15.75" customHeight="1">
      <c r="AN2108" s="418"/>
      <c r="AO2108" s="418"/>
      <c r="AP2108" s="418"/>
      <c r="AQ2108" s="418"/>
      <c r="AR2108" s="418"/>
      <c r="AS2108" s="418"/>
      <c r="AT2108" s="418"/>
      <c r="AU2108" s="418"/>
      <c r="AV2108" s="418"/>
      <c r="AW2108" s="418"/>
      <c r="AX2108" s="418"/>
      <c r="AY2108" s="418"/>
      <c r="AZ2108" s="418"/>
      <c r="BA2108" s="418"/>
    </row>
    <row r="2109" spans="40:53" ht="15.75" customHeight="1">
      <c r="AN2109" s="418"/>
      <c r="AO2109" s="418"/>
      <c r="AP2109" s="418"/>
      <c r="AQ2109" s="418"/>
      <c r="AR2109" s="418"/>
      <c r="AS2109" s="418"/>
      <c r="AT2109" s="418"/>
      <c r="AU2109" s="418"/>
      <c r="AV2109" s="418"/>
      <c r="AW2109" s="418"/>
      <c r="AX2109" s="418"/>
      <c r="AY2109" s="418"/>
      <c r="AZ2109" s="418"/>
      <c r="BA2109" s="418"/>
    </row>
    <row r="2110" spans="40:53" ht="15.75" customHeight="1">
      <c r="AN2110" s="418"/>
      <c r="AO2110" s="418"/>
      <c r="AP2110" s="418"/>
      <c r="AQ2110" s="418"/>
      <c r="AR2110" s="418"/>
      <c r="AS2110" s="418"/>
      <c r="AT2110" s="418"/>
      <c r="AU2110" s="418"/>
      <c r="AV2110" s="418"/>
      <c r="AW2110" s="418"/>
      <c r="AX2110" s="418"/>
      <c r="AY2110" s="418"/>
      <c r="AZ2110" s="418"/>
      <c r="BA2110" s="418"/>
    </row>
    <row r="2111" spans="40:53" ht="15.75" customHeight="1">
      <c r="AN2111" s="418"/>
      <c r="AO2111" s="418"/>
      <c r="AP2111" s="418"/>
      <c r="AQ2111" s="418"/>
      <c r="AR2111" s="418"/>
      <c r="AS2111" s="418"/>
      <c r="AT2111" s="418"/>
      <c r="AU2111" s="418"/>
      <c r="AV2111" s="418"/>
      <c r="AW2111" s="418"/>
      <c r="AX2111" s="418"/>
      <c r="AY2111" s="418"/>
      <c r="AZ2111" s="418"/>
      <c r="BA2111" s="418"/>
    </row>
    <row r="2112" spans="40:53" ht="15.75" customHeight="1">
      <c r="AN2112" s="418"/>
      <c r="AO2112" s="418"/>
      <c r="AP2112" s="418"/>
      <c r="AQ2112" s="418"/>
      <c r="AR2112" s="418"/>
      <c r="AS2112" s="418"/>
      <c r="AT2112" s="418"/>
      <c r="AU2112" s="418"/>
      <c r="AV2112" s="418"/>
      <c r="AW2112" s="418"/>
      <c r="AX2112" s="418"/>
      <c r="AY2112" s="418"/>
      <c r="AZ2112" s="418"/>
      <c r="BA2112" s="418"/>
    </row>
    <row r="2113" spans="40:53" ht="15.75" customHeight="1">
      <c r="AN2113" s="418"/>
      <c r="AO2113" s="418"/>
      <c r="AP2113" s="418"/>
      <c r="AQ2113" s="418"/>
      <c r="AR2113" s="418"/>
      <c r="AS2113" s="418"/>
      <c r="AT2113" s="418"/>
      <c r="AU2113" s="418"/>
      <c r="AV2113" s="418"/>
      <c r="AW2113" s="418"/>
      <c r="AX2113" s="418"/>
      <c r="AY2113" s="418"/>
      <c r="AZ2113" s="418"/>
      <c r="BA2113" s="418"/>
    </row>
    <row r="2114" spans="40:53" ht="15.75" customHeight="1">
      <c r="AN2114" s="418"/>
      <c r="AO2114" s="418"/>
      <c r="AP2114" s="418"/>
      <c r="AQ2114" s="418"/>
      <c r="AR2114" s="418"/>
      <c r="AS2114" s="418"/>
      <c r="AT2114" s="418"/>
      <c r="AU2114" s="418"/>
      <c r="AV2114" s="418"/>
      <c r="AW2114" s="418"/>
      <c r="AX2114" s="418"/>
      <c r="AY2114" s="418"/>
      <c r="AZ2114" s="418"/>
      <c r="BA2114" s="418"/>
    </row>
    <row r="2115" spans="40:53" ht="15.75" customHeight="1">
      <c r="AN2115" s="418"/>
      <c r="AO2115" s="418"/>
      <c r="AP2115" s="418"/>
      <c r="AQ2115" s="418"/>
      <c r="AR2115" s="418"/>
      <c r="AS2115" s="418"/>
      <c r="AT2115" s="418"/>
      <c r="AU2115" s="418"/>
      <c r="AV2115" s="418"/>
      <c r="AW2115" s="418"/>
      <c r="AX2115" s="418"/>
      <c r="AY2115" s="418"/>
      <c r="AZ2115" s="418"/>
      <c r="BA2115" s="418"/>
    </row>
    <row r="2116" spans="40:53" ht="15.75" customHeight="1">
      <c r="AN2116" s="418"/>
      <c r="AO2116" s="418"/>
      <c r="AP2116" s="418"/>
      <c r="AQ2116" s="418"/>
      <c r="AR2116" s="418"/>
      <c r="AS2116" s="418"/>
      <c r="AT2116" s="418"/>
      <c r="AU2116" s="418"/>
      <c r="AV2116" s="418"/>
      <c r="AW2116" s="418"/>
      <c r="AX2116" s="418"/>
      <c r="AY2116" s="418"/>
      <c r="AZ2116" s="418"/>
      <c r="BA2116" s="418"/>
    </row>
    <row r="2117" spans="40:53" ht="15.75" customHeight="1">
      <c r="AN2117" s="418"/>
      <c r="AO2117" s="418"/>
      <c r="AP2117" s="418"/>
      <c r="AQ2117" s="418"/>
      <c r="AR2117" s="418"/>
      <c r="AS2117" s="418"/>
      <c r="AT2117" s="418"/>
      <c r="AU2117" s="418"/>
      <c r="AV2117" s="418"/>
      <c r="AW2117" s="418"/>
      <c r="AX2117" s="418"/>
      <c r="AY2117" s="418"/>
      <c r="AZ2117" s="418"/>
      <c r="BA2117" s="418"/>
    </row>
    <row r="2118" spans="40:53" ht="15.75" customHeight="1">
      <c r="AN2118" s="418"/>
      <c r="AO2118" s="418"/>
      <c r="AP2118" s="418"/>
      <c r="AQ2118" s="418"/>
      <c r="AR2118" s="418"/>
      <c r="AS2118" s="418"/>
      <c r="AT2118" s="418"/>
      <c r="AU2118" s="418"/>
      <c r="AV2118" s="418"/>
      <c r="AW2118" s="418"/>
      <c r="AX2118" s="418"/>
      <c r="AY2118" s="418"/>
      <c r="AZ2118" s="418"/>
      <c r="BA2118" s="418"/>
    </row>
    <row r="2119" spans="40:53" ht="15.75" customHeight="1">
      <c r="AN2119" s="418"/>
      <c r="AO2119" s="418"/>
      <c r="AP2119" s="418"/>
      <c r="AQ2119" s="418"/>
      <c r="AR2119" s="418"/>
      <c r="AS2119" s="418"/>
      <c r="AT2119" s="418"/>
      <c r="AU2119" s="418"/>
      <c r="AV2119" s="418"/>
      <c r="AW2119" s="418"/>
      <c r="AX2119" s="418"/>
      <c r="AY2119" s="418"/>
      <c r="AZ2119" s="418"/>
      <c r="BA2119" s="418"/>
    </row>
    <row r="2120" spans="40:53" ht="15.75" customHeight="1">
      <c r="AN2120" s="418"/>
      <c r="AO2120" s="418"/>
      <c r="AP2120" s="418"/>
      <c r="AQ2120" s="418"/>
      <c r="AR2120" s="418"/>
      <c r="AS2120" s="418"/>
      <c r="AT2120" s="418"/>
      <c r="AU2120" s="418"/>
      <c r="AV2120" s="418"/>
      <c r="AW2120" s="418"/>
      <c r="AX2120" s="418"/>
      <c r="AY2120" s="418"/>
      <c r="AZ2120" s="418"/>
      <c r="BA2120" s="418"/>
    </row>
    <row r="2121" spans="40:53" ht="15.75" customHeight="1">
      <c r="AN2121" s="418"/>
      <c r="AO2121" s="418"/>
      <c r="AP2121" s="418"/>
      <c r="AQ2121" s="418"/>
      <c r="AR2121" s="418"/>
      <c r="AS2121" s="418"/>
      <c r="AT2121" s="418"/>
      <c r="AU2121" s="418"/>
      <c r="AV2121" s="418"/>
      <c r="AW2121" s="418"/>
      <c r="AX2121" s="418"/>
      <c r="AY2121" s="418"/>
      <c r="AZ2121" s="418"/>
      <c r="BA2121" s="418"/>
    </row>
    <row r="2122" spans="40:53" ht="15.75" customHeight="1">
      <c r="AN2122" s="418"/>
      <c r="AO2122" s="418"/>
      <c r="AP2122" s="418"/>
      <c r="AQ2122" s="418"/>
      <c r="AR2122" s="418"/>
      <c r="AS2122" s="418"/>
      <c r="AT2122" s="418"/>
      <c r="AU2122" s="418"/>
      <c r="AV2122" s="418"/>
      <c r="AW2122" s="418"/>
      <c r="AX2122" s="418"/>
      <c r="AY2122" s="418"/>
      <c r="AZ2122" s="418"/>
      <c r="BA2122" s="418"/>
    </row>
    <row r="2123" spans="40:53" ht="15.75" customHeight="1">
      <c r="AN2123" s="418"/>
      <c r="AO2123" s="418"/>
      <c r="AP2123" s="418"/>
      <c r="AQ2123" s="418"/>
      <c r="AR2123" s="418"/>
      <c r="AS2123" s="418"/>
      <c r="AT2123" s="418"/>
      <c r="AU2123" s="418"/>
      <c r="AV2123" s="418"/>
      <c r="AW2123" s="418"/>
      <c r="AX2123" s="418"/>
      <c r="AY2123" s="418"/>
      <c r="AZ2123" s="418"/>
      <c r="BA2123" s="418"/>
    </row>
    <row r="2124" spans="40:53" ht="15.75" customHeight="1">
      <c r="AN2124" s="418"/>
      <c r="AO2124" s="418"/>
      <c r="AP2124" s="418"/>
      <c r="AQ2124" s="418"/>
      <c r="AR2124" s="418"/>
      <c r="AS2124" s="418"/>
      <c r="AT2124" s="418"/>
      <c r="AU2124" s="418"/>
      <c r="AV2124" s="418"/>
      <c r="AW2124" s="418"/>
      <c r="AX2124" s="418"/>
      <c r="AY2124" s="418"/>
      <c r="AZ2124" s="418"/>
      <c r="BA2124" s="418"/>
    </row>
    <row r="2125" spans="40:53" ht="15.75" customHeight="1">
      <c r="AN2125" s="418"/>
      <c r="AO2125" s="418"/>
      <c r="AP2125" s="418"/>
      <c r="AQ2125" s="418"/>
      <c r="AR2125" s="418"/>
      <c r="AS2125" s="418"/>
      <c r="AT2125" s="418"/>
      <c r="AU2125" s="418"/>
      <c r="AV2125" s="418"/>
      <c r="AW2125" s="418"/>
      <c r="AX2125" s="418"/>
      <c r="AY2125" s="418"/>
      <c r="AZ2125" s="418"/>
      <c r="BA2125" s="418"/>
    </row>
    <row r="2126" spans="40:53" ht="15.75" customHeight="1">
      <c r="AN2126" s="418"/>
      <c r="AO2126" s="418"/>
      <c r="AP2126" s="418"/>
      <c r="AQ2126" s="418"/>
      <c r="AR2126" s="418"/>
      <c r="AS2126" s="418"/>
      <c r="AT2126" s="418"/>
      <c r="AU2126" s="418"/>
      <c r="AV2126" s="418"/>
      <c r="AW2126" s="418"/>
      <c r="AX2126" s="418"/>
      <c r="AY2126" s="418"/>
      <c r="AZ2126" s="418"/>
      <c r="BA2126" s="418"/>
    </row>
    <row r="2127" spans="40:53" ht="15.75" customHeight="1">
      <c r="AN2127" s="418"/>
      <c r="AO2127" s="418"/>
      <c r="AP2127" s="418"/>
      <c r="AQ2127" s="418"/>
      <c r="AR2127" s="418"/>
      <c r="AS2127" s="418"/>
      <c r="AT2127" s="418"/>
      <c r="AU2127" s="418"/>
      <c r="AV2127" s="418"/>
      <c r="AW2127" s="418"/>
      <c r="AX2127" s="418"/>
      <c r="AY2127" s="418"/>
      <c r="AZ2127" s="418"/>
      <c r="BA2127" s="418"/>
    </row>
    <row r="2128" spans="40:53" ht="15.75" customHeight="1">
      <c r="AN2128" s="418"/>
      <c r="AO2128" s="418"/>
      <c r="AP2128" s="418"/>
      <c r="AQ2128" s="418"/>
      <c r="AR2128" s="418"/>
      <c r="AS2128" s="418"/>
      <c r="AT2128" s="418"/>
      <c r="AU2128" s="418"/>
      <c r="AV2128" s="418"/>
      <c r="AW2128" s="418"/>
      <c r="AX2128" s="418"/>
      <c r="AY2128" s="418"/>
      <c r="AZ2128" s="418"/>
      <c r="BA2128" s="418"/>
    </row>
    <row r="2129" spans="40:53" ht="15.75" customHeight="1">
      <c r="AN2129" s="418"/>
      <c r="AO2129" s="418"/>
      <c r="AP2129" s="418"/>
      <c r="AQ2129" s="418"/>
      <c r="AR2129" s="418"/>
      <c r="AS2129" s="418"/>
      <c r="AT2129" s="418"/>
      <c r="AU2129" s="418"/>
      <c r="AV2129" s="418"/>
      <c r="AW2129" s="418"/>
      <c r="AX2129" s="418"/>
      <c r="AY2129" s="418"/>
      <c r="AZ2129" s="418"/>
      <c r="BA2129" s="418"/>
    </row>
    <row r="2130" spans="40:53" ht="15.75" customHeight="1">
      <c r="AN2130" s="418"/>
      <c r="AO2130" s="418"/>
      <c r="AP2130" s="418"/>
      <c r="AQ2130" s="418"/>
      <c r="AR2130" s="418"/>
      <c r="AS2130" s="418"/>
      <c r="AT2130" s="418"/>
      <c r="AU2130" s="418"/>
      <c r="AV2130" s="418"/>
      <c r="AW2130" s="418"/>
      <c r="AX2130" s="418"/>
      <c r="AY2130" s="418"/>
      <c r="AZ2130" s="418"/>
      <c r="BA2130" s="418"/>
    </row>
    <row r="2131" spans="40:53" ht="15.75" customHeight="1">
      <c r="AN2131" s="418"/>
      <c r="AO2131" s="418"/>
      <c r="AP2131" s="418"/>
      <c r="AQ2131" s="418"/>
      <c r="AR2131" s="418"/>
      <c r="AS2131" s="418"/>
      <c r="AT2131" s="418"/>
      <c r="AU2131" s="418"/>
      <c r="AV2131" s="418"/>
      <c r="AW2131" s="418"/>
      <c r="AX2131" s="418"/>
      <c r="AY2131" s="418"/>
      <c r="AZ2131" s="418"/>
      <c r="BA2131" s="418"/>
    </row>
    <row r="2132" spans="40:53" ht="15.75" customHeight="1">
      <c r="AN2132" s="418"/>
      <c r="AO2132" s="418"/>
      <c r="AP2132" s="418"/>
      <c r="AQ2132" s="418"/>
      <c r="AR2132" s="418"/>
      <c r="AS2132" s="418"/>
      <c r="AT2132" s="418"/>
      <c r="AU2132" s="418"/>
      <c r="AV2132" s="418"/>
      <c r="AW2132" s="418"/>
      <c r="AX2132" s="418"/>
      <c r="AY2132" s="418"/>
      <c r="AZ2132" s="418"/>
      <c r="BA2132" s="418"/>
    </row>
    <row r="2133" spans="40:53" ht="15.75" customHeight="1">
      <c r="AN2133" s="418"/>
      <c r="AO2133" s="418"/>
      <c r="AP2133" s="418"/>
      <c r="AQ2133" s="418"/>
      <c r="AR2133" s="418"/>
      <c r="AS2133" s="418"/>
      <c r="AT2133" s="418"/>
      <c r="AU2133" s="418"/>
      <c r="AV2133" s="418"/>
      <c r="AW2133" s="418"/>
      <c r="AX2133" s="418"/>
      <c r="AY2133" s="418"/>
      <c r="AZ2133" s="418"/>
      <c r="BA2133" s="418"/>
    </row>
    <row r="2134" spans="40:53" ht="15.75" customHeight="1">
      <c r="AN2134" s="418"/>
      <c r="AO2134" s="418"/>
      <c r="AP2134" s="418"/>
      <c r="AQ2134" s="418"/>
      <c r="AR2134" s="418"/>
      <c r="AS2134" s="418"/>
      <c r="AT2134" s="418"/>
      <c r="AU2134" s="418"/>
      <c r="AV2134" s="418"/>
      <c r="AW2134" s="418"/>
      <c r="AX2134" s="418"/>
      <c r="AY2134" s="418"/>
      <c r="AZ2134" s="418"/>
      <c r="BA2134" s="418"/>
    </row>
    <row r="2135" spans="40:53" ht="15.75" customHeight="1">
      <c r="AN2135" s="418"/>
      <c r="AO2135" s="418"/>
      <c r="AP2135" s="418"/>
      <c r="AQ2135" s="418"/>
      <c r="AR2135" s="418"/>
      <c r="AS2135" s="418"/>
      <c r="AT2135" s="418"/>
      <c r="AU2135" s="418"/>
      <c r="AV2135" s="418"/>
      <c r="AW2135" s="418"/>
      <c r="AX2135" s="418"/>
      <c r="AY2135" s="418"/>
      <c r="AZ2135" s="418"/>
      <c r="BA2135" s="418"/>
    </row>
    <row r="2136" spans="40:53" ht="15.75" customHeight="1">
      <c r="AN2136" s="418"/>
      <c r="AO2136" s="418"/>
      <c r="AP2136" s="418"/>
      <c r="AQ2136" s="418"/>
      <c r="AR2136" s="418"/>
      <c r="AS2136" s="418"/>
      <c r="AT2136" s="418"/>
      <c r="AU2136" s="418"/>
      <c r="AV2136" s="418"/>
      <c r="AW2136" s="418"/>
      <c r="AX2136" s="418"/>
      <c r="AY2136" s="418"/>
      <c r="AZ2136" s="418"/>
      <c r="BA2136" s="418"/>
    </row>
    <row r="2137" spans="40:53" ht="15.75" customHeight="1">
      <c r="AN2137" s="418"/>
      <c r="AO2137" s="418"/>
      <c r="AP2137" s="418"/>
      <c r="AQ2137" s="418"/>
      <c r="AR2137" s="418"/>
      <c r="AS2137" s="418"/>
      <c r="AT2137" s="418"/>
      <c r="AU2137" s="418"/>
      <c r="AV2137" s="418"/>
      <c r="AW2137" s="418"/>
      <c r="AX2137" s="418"/>
      <c r="AY2137" s="418"/>
      <c r="AZ2137" s="418"/>
      <c r="BA2137" s="418"/>
    </row>
    <row r="2138" spans="40:53" ht="15.75" customHeight="1">
      <c r="AN2138" s="418"/>
      <c r="AO2138" s="418"/>
      <c r="AP2138" s="418"/>
      <c r="AQ2138" s="418"/>
      <c r="AR2138" s="418"/>
      <c r="AS2138" s="418"/>
      <c r="AT2138" s="418"/>
      <c r="AU2138" s="418"/>
      <c r="AV2138" s="418"/>
      <c r="AW2138" s="418"/>
      <c r="AX2138" s="418"/>
      <c r="AY2138" s="418"/>
      <c r="AZ2138" s="418"/>
      <c r="BA2138" s="418"/>
    </row>
    <row r="2139" spans="40:53" ht="15.75" customHeight="1">
      <c r="AN2139" s="418"/>
      <c r="AO2139" s="418"/>
      <c r="AP2139" s="418"/>
      <c r="AQ2139" s="418"/>
      <c r="AR2139" s="418"/>
      <c r="AS2139" s="418"/>
      <c r="AT2139" s="418"/>
      <c r="AU2139" s="418"/>
      <c r="AV2139" s="418"/>
      <c r="AW2139" s="418"/>
      <c r="AX2139" s="418"/>
      <c r="AY2139" s="418"/>
      <c r="AZ2139" s="418"/>
      <c r="BA2139" s="418"/>
    </row>
    <row r="2140" spans="40:53" ht="15.75" customHeight="1">
      <c r="AN2140" s="418"/>
      <c r="AO2140" s="418"/>
      <c r="AP2140" s="418"/>
      <c r="AQ2140" s="418"/>
      <c r="AR2140" s="418"/>
      <c r="AS2140" s="418"/>
      <c r="AT2140" s="418"/>
      <c r="AU2140" s="418"/>
      <c r="AV2140" s="418"/>
      <c r="AW2140" s="418"/>
      <c r="AX2140" s="418"/>
      <c r="AY2140" s="418"/>
      <c r="AZ2140" s="418"/>
      <c r="BA2140" s="418"/>
    </row>
    <row r="2141" spans="40:53" ht="15.75" customHeight="1">
      <c r="AN2141" s="418"/>
      <c r="AO2141" s="418"/>
      <c r="AP2141" s="418"/>
      <c r="AQ2141" s="418"/>
      <c r="AR2141" s="418"/>
      <c r="AS2141" s="418"/>
      <c r="AT2141" s="418"/>
      <c r="AU2141" s="418"/>
      <c r="AV2141" s="418"/>
      <c r="AW2141" s="418"/>
      <c r="AX2141" s="418"/>
      <c r="AY2141" s="418"/>
      <c r="AZ2141" s="418"/>
      <c r="BA2141" s="418"/>
    </row>
    <row r="2142" spans="40:53" ht="15.75" customHeight="1">
      <c r="AN2142" s="418"/>
      <c r="AO2142" s="418"/>
      <c r="AP2142" s="418"/>
      <c r="AQ2142" s="418"/>
      <c r="AR2142" s="418"/>
      <c r="AS2142" s="418"/>
      <c r="AT2142" s="418"/>
      <c r="AU2142" s="418"/>
      <c r="AV2142" s="418"/>
      <c r="AW2142" s="418"/>
      <c r="AX2142" s="418"/>
      <c r="AY2142" s="418"/>
      <c r="AZ2142" s="418"/>
      <c r="BA2142" s="418"/>
    </row>
    <row r="2143" spans="40:53" ht="15.75" customHeight="1">
      <c r="AN2143" s="418"/>
      <c r="AO2143" s="418"/>
      <c r="AP2143" s="418"/>
      <c r="AQ2143" s="418"/>
      <c r="AR2143" s="418"/>
      <c r="AS2143" s="418"/>
      <c r="AT2143" s="418"/>
      <c r="AU2143" s="418"/>
      <c r="AV2143" s="418"/>
      <c r="AW2143" s="418"/>
      <c r="AX2143" s="418"/>
      <c r="AY2143" s="418"/>
      <c r="AZ2143" s="418"/>
      <c r="BA2143" s="418"/>
    </row>
    <row r="2144" spans="40:53" ht="15.75" customHeight="1">
      <c r="AN2144" s="418"/>
      <c r="AO2144" s="418"/>
      <c r="AP2144" s="418"/>
      <c r="AQ2144" s="418"/>
      <c r="AR2144" s="418"/>
      <c r="AS2144" s="418"/>
      <c r="AT2144" s="418"/>
      <c r="AU2144" s="418"/>
      <c r="AV2144" s="418"/>
      <c r="AW2144" s="418"/>
      <c r="AX2144" s="418"/>
      <c r="AY2144" s="418"/>
      <c r="AZ2144" s="418"/>
      <c r="BA2144" s="418"/>
    </row>
    <row r="2145" spans="40:53" ht="15.75" customHeight="1">
      <c r="AN2145" s="418"/>
      <c r="AO2145" s="418"/>
      <c r="AP2145" s="418"/>
      <c r="AQ2145" s="418"/>
      <c r="AR2145" s="418"/>
      <c r="AS2145" s="418"/>
      <c r="AT2145" s="418"/>
      <c r="AU2145" s="418"/>
      <c r="AV2145" s="418"/>
      <c r="AW2145" s="418"/>
      <c r="AX2145" s="418"/>
      <c r="AY2145" s="418"/>
      <c r="AZ2145" s="418"/>
      <c r="BA2145" s="418"/>
    </row>
    <row r="2146" spans="40:53" ht="15.75" customHeight="1">
      <c r="AN2146" s="418"/>
      <c r="AO2146" s="418"/>
      <c r="AP2146" s="418"/>
      <c r="AQ2146" s="418"/>
      <c r="AR2146" s="418"/>
      <c r="AS2146" s="418"/>
      <c r="AT2146" s="418"/>
      <c r="AU2146" s="418"/>
      <c r="AV2146" s="418"/>
      <c r="AW2146" s="418"/>
      <c r="AX2146" s="418"/>
      <c r="AY2146" s="418"/>
      <c r="AZ2146" s="418"/>
      <c r="BA2146" s="418"/>
    </row>
    <row r="2147" spans="40:53" ht="15.75" customHeight="1">
      <c r="AN2147" s="418"/>
      <c r="AO2147" s="418"/>
      <c r="AP2147" s="418"/>
      <c r="AQ2147" s="418"/>
      <c r="AR2147" s="418"/>
      <c r="AS2147" s="418"/>
      <c r="AT2147" s="418"/>
      <c r="AU2147" s="418"/>
      <c r="AV2147" s="418"/>
      <c r="AW2147" s="418"/>
      <c r="AX2147" s="418"/>
      <c r="AY2147" s="418"/>
      <c r="AZ2147" s="418"/>
      <c r="BA2147" s="418"/>
    </row>
    <row r="2148" spans="40:53" ht="15.75" customHeight="1">
      <c r="AN2148" s="418"/>
      <c r="AO2148" s="418"/>
      <c r="AP2148" s="418"/>
      <c r="AQ2148" s="418"/>
      <c r="AR2148" s="418"/>
      <c r="AS2148" s="418"/>
      <c r="AT2148" s="418"/>
      <c r="AU2148" s="418"/>
      <c r="AV2148" s="418"/>
      <c r="AW2148" s="418"/>
      <c r="AX2148" s="418"/>
      <c r="AY2148" s="418"/>
      <c r="AZ2148" s="418"/>
      <c r="BA2148" s="418"/>
    </row>
    <row r="2149" spans="40:53" ht="15.75" customHeight="1">
      <c r="AN2149" s="418"/>
      <c r="AO2149" s="418"/>
      <c r="AP2149" s="418"/>
      <c r="AQ2149" s="418"/>
      <c r="AR2149" s="418"/>
      <c r="AS2149" s="418"/>
      <c r="AT2149" s="418"/>
      <c r="AU2149" s="418"/>
      <c r="AV2149" s="418"/>
      <c r="AW2149" s="418"/>
      <c r="AX2149" s="418"/>
      <c r="AY2149" s="418"/>
      <c r="AZ2149" s="418"/>
      <c r="BA2149" s="418"/>
    </row>
    <row r="2150" spans="40:53" ht="15.75" customHeight="1">
      <c r="AN2150" s="418"/>
      <c r="AO2150" s="418"/>
      <c r="AP2150" s="418"/>
      <c r="AQ2150" s="418"/>
      <c r="AR2150" s="418"/>
      <c r="AS2150" s="418"/>
      <c r="AT2150" s="418"/>
      <c r="AU2150" s="418"/>
      <c r="AV2150" s="418"/>
      <c r="AW2150" s="418"/>
      <c r="AX2150" s="418"/>
      <c r="AY2150" s="418"/>
      <c r="AZ2150" s="418"/>
      <c r="BA2150" s="418"/>
    </row>
    <row r="2151" spans="40:53" ht="15.75" customHeight="1">
      <c r="AN2151" s="418"/>
      <c r="AO2151" s="418"/>
      <c r="AP2151" s="418"/>
      <c r="AQ2151" s="418"/>
      <c r="AR2151" s="418"/>
      <c r="AS2151" s="418"/>
      <c r="AT2151" s="418"/>
      <c r="AU2151" s="418"/>
      <c r="AV2151" s="418"/>
      <c r="AW2151" s="418"/>
      <c r="AX2151" s="418"/>
      <c r="AY2151" s="418"/>
      <c r="AZ2151" s="418"/>
      <c r="BA2151" s="418"/>
    </row>
    <row r="2152" spans="40:53" ht="15.75" customHeight="1">
      <c r="AN2152" s="418"/>
      <c r="AO2152" s="418"/>
      <c r="AP2152" s="418"/>
      <c r="AQ2152" s="418"/>
      <c r="AR2152" s="418"/>
      <c r="AS2152" s="418"/>
      <c r="AT2152" s="418"/>
      <c r="AU2152" s="418"/>
      <c r="AV2152" s="418"/>
      <c r="AW2152" s="418"/>
      <c r="AX2152" s="418"/>
      <c r="AY2152" s="418"/>
      <c r="AZ2152" s="418"/>
      <c r="BA2152" s="418"/>
    </row>
    <row r="2153" spans="40:53" ht="15.75" customHeight="1">
      <c r="AN2153" s="418"/>
      <c r="AO2153" s="418"/>
      <c r="AP2153" s="418"/>
      <c r="AQ2153" s="418"/>
      <c r="AR2153" s="418"/>
      <c r="AS2153" s="418"/>
      <c r="AT2153" s="418"/>
      <c r="AU2153" s="418"/>
      <c r="AV2153" s="418"/>
      <c r="AW2153" s="418"/>
      <c r="AX2153" s="418"/>
      <c r="AY2153" s="418"/>
      <c r="AZ2153" s="418"/>
      <c r="BA2153" s="418"/>
    </row>
    <row r="2154" spans="40:53" ht="15.75" customHeight="1">
      <c r="AN2154" s="418"/>
      <c r="AO2154" s="418"/>
      <c r="AP2154" s="418"/>
      <c r="AQ2154" s="418"/>
      <c r="AR2154" s="418"/>
      <c r="AS2154" s="418"/>
      <c r="AT2154" s="418"/>
      <c r="AU2154" s="418"/>
      <c r="AV2154" s="418"/>
      <c r="AW2154" s="418"/>
      <c r="AX2154" s="418"/>
      <c r="AY2154" s="418"/>
      <c r="AZ2154" s="418"/>
      <c r="BA2154" s="418"/>
    </row>
    <row r="2155" spans="40:53" ht="15.75" customHeight="1">
      <c r="AN2155" s="418"/>
      <c r="AO2155" s="418"/>
      <c r="AP2155" s="418"/>
      <c r="AQ2155" s="418"/>
      <c r="AR2155" s="418"/>
      <c r="AS2155" s="418"/>
      <c r="AT2155" s="418"/>
      <c r="AU2155" s="418"/>
      <c r="AV2155" s="418"/>
      <c r="AW2155" s="418"/>
      <c r="AX2155" s="418"/>
      <c r="AY2155" s="418"/>
      <c r="AZ2155" s="418"/>
      <c r="BA2155" s="418"/>
    </row>
    <row r="2156" spans="40:53" ht="15.75" customHeight="1">
      <c r="AN2156" s="418"/>
      <c r="AO2156" s="418"/>
      <c r="AP2156" s="418"/>
      <c r="AQ2156" s="418"/>
      <c r="AR2156" s="418"/>
      <c r="AS2156" s="418"/>
      <c r="AT2156" s="418"/>
      <c r="AU2156" s="418"/>
      <c r="AV2156" s="418"/>
      <c r="AW2156" s="418"/>
      <c r="AX2156" s="418"/>
      <c r="AY2156" s="418"/>
      <c r="AZ2156" s="418"/>
      <c r="BA2156" s="418"/>
    </row>
    <row r="2157" spans="40:53" ht="15.75" customHeight="1">
      <c r="AN2157" s="418"/>
      <c r="AO2157" s="418"/>
      <c r="AP2157" s="418"/>
      <c r="AQ2157" s="418"/>
      <c r="AR2157" s="418"/>
      <c r="AS2157" s="418"/>
      <c r="AT2157" s="418"/>
      <c r="AU2157" s="418"/>
      <c r="AV2157" s="418"/>
      <c r="AW2157" s="418"/>
      <c r="AX2157" s="418"/>
      <c r="AY2157" s="418"/>
      <c r="AZ2157" s="418"/>
      <c r="BA2157" s="418"/>
    </row>
    <row r="2158" spans="40:53" ht="15.75" customHeight="1">
      <c r="AN2158" s="418"/>
      <c r="AO2158" s="418"/>
      <c r="AP2158" s="418"/>
      <c r="AQ2158" s="418"/>
      <c r="AR2158" s="418"/>
      <c r="AS2158" s="418"/>
      <c r="AT2158" s="418"/>
      <c r="AU2158" s="418"/>
      <c r="AV2158" s="418"/>
      <c r="AW2158" s="418"/>
      <c r="AX2158" s="418"/>
      <c r="AY2158" s="418"/>
      <c r="AZ2158" s="418"/>
      <c r="BA2158" s="418"/>
    </row>
    <row r="2159" spans="40:53" ht="15.75" customHeight="1">
      <c r="AN2159" s="418"/>
      <c r="AO2159" s="418"/>
      <c r="AP2159" s="418"/>
      <c r="AQ2159" s="418"/>
      <c r="AR2159" s="418"/>
      <c r="AS2159" s="418"/>
      <c r="AT2159" s="418"/>
      <c r="AU2159" s="418"/>
      <c r="AV2159" s="418"/>
      <c r="AW2159" s="418"/>
      <c r="AX2159" s="418"/>
      <c r="AY2159" s="418"/>
      <c r="AZ2159" s="418"/>
      <c r="BA2159" s="418"/>
    </row>
    <row r="2160" spans="40:53" ht="15.75" customHeight="1">
      <c r="AN2160" s="418"/>
      <c r="AO2160" s="418"/>
      <c r="AP2160" s="418"/>
      <c r="AQ2160" s="418"/>
      <c r="AR2160" s="418"/>
      <c r="AS2160" s="418"/>
      <c r="AT2160" s="418"/>
      <c r="AU2160" s="418"/>
      <c r="AV2160" s="418"/>
      <c r="AW2160" s="418"/>
      <c r="AX2160" s="418"/>
      <c r="AY2160" s="418"/>
      <c r="AZ2160" s="418"/>
      <c r="BA2160" s="418"/>
    </row>
    <row r="2161" spans="40:53" ht="15.75" customHeight="1">
      <c r="AN2161" s="418"/>
      <c r="AO2161" s="418"/>
      <c r="AP2161" s="418"/>
      <c r="AQ2161" s="418"/>
      <c r="AR2161" s="418"/>
      <c r="AS2161" s="418"/>
      <c r="AT2161" s="418"/>
      <c r="AU2161" s="418"/>
      <c r="AV2161" s="418"/>
      <c r="AW2161" s="418"/>
      <c r="AX2161" s="418"/>
      <c r="AY2161" s="418"/>
      <c r="AZ2161" s="418"/>
      <c r="BA2161" s="418"/>
    </row>
    <row r="2162" spans="40:53" ht="15.75" customHeight="1">
      <c r="AN2162" s="418"/>
      <c r="AO2162" s="418"/>
      <c r="AP2162" s="418"/>
      <c r="AQ2162" s="418"/>
      <c r="AR2162" s="418"/>
      <c r="AS2162" s="418"/>
      <c r="AT2162" s="418"/>
      <c r="AU2162" s="418"/>
      <c r="AV2162" s="418"/>
      <c r="AW2162" s="418"/>
      <c r="AX2162" s="418"/>
      <c r="AY2162" s="418"/>
      <c r="AZ2162" s="418"/>
      <c r="BA2162" s="418"/>
    </row>
    <row r="2163" spans="40:53" ht="15.75" customHeight="1">
      <c r="AN2163" s="418"/>
      <c r="AO2163" s="418"/>
      <c r="AP2163" s="418"/>
      <c r="AQ2163" s="418"/>
      <c r="AR2163" s="418"/>
      <c r="AS2163" s="418"/>
      <c r="AT2163" s="418"/>
      <c r="AU2163" s="418"/>
      <c r="AV2163" s="418"/>
      <c r="AW2163" s="418"/>
      <c r="AX2163" s="418"/>
      <c r="AY2163" s="418"/>
      <c r="AZ2163" s="418"/>
      <c r="BA2163" s="418"/>
    </row>
    <row r="2164" spans="40:53" ht="15.75" customHeight="1">
      <c r="AN2164" s="418"/>
      <c r="AO2164" s="418"/>
      <c r="AP2164" s="418"/>
      <c r="AQ2164" s="418"/>
      <c r="AR2164" s="418"/>
      <c r="AS2164" s="418"/>
      <c r="AT2164" s="418"/>
      <c r="AU2164" s="418"/>
      <c r="AV2164" s="418"/>
      <c r="AW2164" s="418"/>
      <c r="AX2164" s="418"/>
      <c r="AY2164" s="418"/>
      <c r="AZ2164" s="418"/>
      <c r="BA2164" s="418"/>
    </row>
  </sheetData>
  <mergeCells count="9">
    <mergeCell ref="A1:BA1"/>
    <mergeCell ref="AN2:AP2"/>
    <mergeCell ref="AQ2:AS2"/>
    <mergeCell ref="AT2:AV2"/>
    <mergeCell ref="N2:P2"/>
    <mergeCell ref="T2:V2"/>
    <mergeCell ref="W2:Y2"/>
    <mergeCell ref="Z2:AB2"/>
    <mergeCell ref="AC2:AE2"/>
  </mergeCells>
  <printOptions horizontalCentered="1" gridLines="1"/>
  <pageMargins left="0.39370078740157483" right="0.39370078740157483" top="0.98425196850393704" bottom="1.1811023622047245" header="0.31496062992125984" footer="0.31496062992125984"/>
  <pageSetup paperSize="8" scale="55" fitToHeight="0" orientation="landscape" cellComments="asDisplayed" r:id="rId1"/>
  <headerFooter alignWithMargins="0">
    <oddHeader>&amp;L&amp;G&amp;C
LAYOUT AND EQUIPMENT
EP11 
KP11+813 - KP30+900
&amp;R&amp;G</oddHeader>
    <oddFooter>&amp;L
&amp;F&amp;C&amp;G
&amp;D&amp;R
Pag &amp;P of &amp;N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/>
    <pageSetUpPr fitToPage="1"/>
  </sheetPr>
  <dimension ref="A1:BM2164"/>
  <sheetViews>
    <sheetView zoomScale="70" zoomScaleNormal="70" zoomScaleSheetLayoutView="80" workbookViewId="0">
      <pane xSplit="5" ySplit="3" topLeftCell="I4" activePane="bottomRight" state="frozen"/>
      <selection activeCell="C20" sqref="C20"/>
      <selection pane="topRight" activeCell="C20" sqref="C20"/>
      <selection pane="bottomLeft" activeCell="C20" sqref="C20"/>
      <selection pane="bottomRight" activeCell="C20" sqref="C20"/>
    </sheetView>
  </sheetViews>
  <sheetFormatPr baseColWidth="10" defaultColWidth="11.42578125" defaultRowHeight="15.75" customHeight="1"/>
  <cols>
    <col min="1" max="1" width="24.7109375" style="1134" customWidth="1"/>
    <col min="2" max="2" width="9.85546875" style="462" customWidth="1"/>
    <col min="3" max="3" width="13.140625" style="1140" hidden="1" customWidth="1"/>
    <col min="4" max="4" width="13.85546875" style="1134" hidden="1" customWidth="1"/>
    <col min="5" max="5" width="10.85546875" style="1134" hidden="1" customWidth="1"/>
    <col min="6" max="6" width="9.85546875" style="1134" hidden="1" customWidth="1"/>
    <col min="7" max="7" width="9.85546875" style="462" hidden="1" customWidth="1"/>
    <col min="8" max="8" width="22.140625" style="462" bestFit="1" customWidth="1"/>
    <col min="9" max="9" width="15.42578125" style="1134" customWidth="1"/>
    <col min="10" max="10" width="11.42578125" style="1140" hidden="1" customWidth="1"/>
    <col min="11" max="11" width="15.85546875" style="1134" customWidth="1"/>
    <col min="12" max="12" width="16.85546875" style="1134" customWidth="1"/>
    <col min="13" max="13" width="15.85546875" style="1134" customWidth="1"/>
    <col min="14" max="15" width="9.140625" style="1134" customWidth="1"/>
    <col min="16" max="16" width="9.7109375" style="1134" customWidth="1"/>
    <col min="17" max="19" width="11.42578125" style="1134" customWidth="1"/>
    <col min="20" max="28" width="7.5703125" style="1134" customWidth="1"/>
    <col min="29" max="30" width="10" style="1134" bestFit="1" customWidth="1"/>
    <col min="31" max="31" width="7.5703125" style="1134" customWidth="1"/>
    <col min="32" max="36" width="11.42578125" style="1134" customWidth="1"/>
    <col min="37" max="37" width="11.42578125" style="462" customWidth="1"/>
    <col min="38" max="39" width="11.42578125" style="1134" customWidth="1"/>
    <col min="40" max="40" width="8.140625" style="436" customWidth="1"/>
    <col min="41" max="42" width="6.85546875" style="436" hidden="1" customWidth="1"/>
    <col min="43" max="48" width="6.85546875" style="312" hidden="1" customWidth="1"/>
    <col min="49" max="49" width="9.42578125" style="312" hidden="1" customWidth="1"/>
    <col min="50" max="50" width="10.85546875" style="312" hidden="1" customWidth="1"/>
    <col min="51" max="52" width="9.42578125" style="312" hidden="1" customWidth="1"/>
    <col min="53" max="53" width="13.85546875" style="312" hidden="1" customWidth="1"/>
    <col min="54" max="54" width="11.42578125" style="1134" customWidth="1"/>
    <col min="55" max="55" width="54.85546875" style="1199" customWidth="1"/>
    <col min="56" max="56" width="15.85546875" style="1136" customWidth="1"/>
    <col min="57" max="57" width="2.85546875" style="1137" customWidth="1"/>
    <col min="58" max="58" width="45.85546875" style="1137" customWidth="1"/>
    <col min="59" max="59" width="19.140625" style="1137" customWidth="1"/>
    <col min="60" max="60" width="4.85546875" style="1136" customWidth="1"/>
    <col min="61" max="61" width="22.85546875" style="1138" customWidth="1"/>
    <col min="62" max="65" width="11.42578125" style="1136" customWidth="1"/>
    <col min="66" max="16384" width="11.42578125" style="1134"/>
  </cols>
  <sheetData>
    <row r="1" spans="1:65" ht="35.25" customHeight="1" thickBot="1">
      <c r="A1" s="1250" t="s">
        <v>2525</v>
      </c>
      <c r="B1" s="1251"/>
      <c r="C1" s="1251"/>
      <c r="D1" s="1251"/>
      <c r="E1" s="1251"/>
      <c r="F1" s="1251"/>
      <c r="G1" s="1251"/>
      <c r="H1" s="1251"/>
      <c r="I1" s="1251"/>
      <c r="J1" s="1251"/>
      <c r="K1" s="1251"/>
      <c r="L1" s="1251"/>
      <c r="M1" s="1251"/>
      <c r="N1" s="1251"/>
      <c r="O1" s="1251"/>
      <c r="P1" s="1251"/>
      <c r="Q1" s="1251"/>
      <c r="R1" s="1251"/>
      <c r="S1" s="1251"/>
      <c r="T1" s="1251"/>
      <c r="U1" s="1251"/>
      <c r="V1" s="1251"/>
      <c r="W1" s="1251"/>
      <c r="X1" s="1251"/>
      <c r="Y1" s="1251"/>
      <c r="Z1" s="1251"/>
      <c r="AA1" s="1251"/>
      <c r="AB1" s="1251"/>
      <c r="AC1" s="1251"/>
      <c r="AD1" s="1251"/>
      <c r="AE1" s="1251"/>
      <c r="AF1" s="1251"/>
      <c r="AG1" s="1251"/>
      <c r="AH1" s="1251"/>
      <c r="AI1" s="1251"/>
      <c r="AJ1" s="1251"/>
      <c r="AK1" s="1251"/>
      <c r="AL1" s="1251"/>
      <c r="AM1" s="1251"/>
      <c r="AN1" s="1251"/>
      <c r="AO1" s="1251"/>
      <c r="AP1" s="1251"/>
      <c r="AQ1" s="1251"/>
      <c r="AR1" s="1251"/>
      <c r="AS1" s="1251"/>
      <c r="AT1" s="1251"/>
      <c r="AU1" s="1251"/>
      <c r="AV1" s="1251"/>
      <c r="AW1" s="1251"/>
      <c r="AX1" s="1251"/>
      <c r="AY1" s="1251"/>
      <c r="AZ1" s="1251"/>
      <c r="BA1" s="1251"/>
      <c r="BC1" s="1135"/>
    </row>
    <row r="2" spans="1:65" ht="42" customHeight="1" thickBot="1">
      <c r="A2" s="262" t="s">
        <v>1594</v>
      </c>
      <c r="B2" s="262" t="s">
        <v>460</v>
      </c>
      <c r="C2" s="266" t="s">
        <v>3013</v>
      </c>
      <c r="D2" s="262" t="s">
        <v>1595</v>
      </c>
      <c r="E2" s="262" t="s">
        <v>662</v>
      </c>
      <c r="F2" s="262" t="s">
        <v>461</v>
      </c>
      <c r="G2" s="262" t="s">
        <v>3016</v>
      </c>
      <c r="H2" s="262" t="s">
        <v>464</v>
      </c>
      <c r="I2" s="262" t="s">
        <v>463</v>
      </c>
      <c r="J2" s="266" t="s">
        <v>975</v>
      </c>
      <c r="K2" s="262" t="s">
        <v>1600</v>
      </c>
      <c r="L2" s="262" t="s">
        <v>465</v>
      </c>
      <c r="M2" s="262" t="s">
        <v>462</v>
      </c>
      <c r="N2" s="1252" t="s">
        <v>466</v>
      </c>
      <c r="O2" s="1253"/>
      <c r="P2" s="1254"/>
      <c r="Q2" s="262" t="s">
        <v>661</v>
      </c>
      <c r="R2" s="262" t="s">
        <v>663</v>
      </c>
      <c r="S2" s="262" t="s">
        <v>664</v>
      </c>
      <c r="T2" s="1252" t="s">
        <v>471</v>
      </c>
      <c r="U2" s="1253"/>
      <c r="V2" s="1254"/>
      <c r="W2" s="1252" t="s">
        <v>2628</v>
      </c>
      <c r="X2" s="1253"/>
      <c r="Y2" s="1254"/>
      <c r="Z2" s="1252" t="s">
        <v>1596</v>
      </c>
      <c r="AA2" s="1253"/>
      <c r="AB2" s="1254"/>
      <c r="AC2" s="1252" t="s">
        <v>665</v>
      </c>
      <c r="AD2" s="1253"/>
      <c r="AE2" s="1254"/>
      <c r="AF2" s="262" t="s">
        <v>666</v>
      </c>
      <c r="AG2" s="262" t="s">
        <v>3015</v>
      </c>
      <c r="AH2" s="262" t="s">
        <v>667</v>
      </c>
      <c r="AI2" s="262" t="s">
        <v>668</v>
      </c>
      <c r="AJ2" s="262" t="s">
        <v>669</v>
      </c>
      <c r="AK2" s="262" t="s">
        <v>467</v>
      </c>
      <c r="AL2" s="1126" t="s">
        <v>468</v>
      </c>
      <c r="AM2" s="1126" t="s">
        <v>671</v>
      </c>
      <c r="AN2" s="1252" t="s">
        <v>2626</v>
      </c>
      <c r="AO2" s="1253"/>
      <c r="AP2" s="1254"/>
      <c r="AQ2" s="1252" t="s">
        <v>472</v>
      </c>
      <c r="AR2" s="1253"/>
      <c r="AS2" s="1254"/>
      <c r="AT2" s="1252" t="s">
        <v>670</v>
      </c>
      <c r="AU2" s="1253"/>
      <c r="AV2" s="1254"/>
      <c r="AW2" s="1126" t="s">
        <v>1597</v>
      </c>
      <c r="AX2" s="1126" t="s">
        <v>1598</v>
      </c>
      <c r="AY2" s="1126" t="s">
        <v>1599</v>
      </c>
      <c r="AZ2" s="1126" t="s">
        <v>2723</v>
      </c>
      <c r="BA2" s="1126" t="s">
        <v>3011</v>
      </c>
      <c r="BC2" s="153" t="s">
        <v>976</v>
      </c>
      <c r="BD2" s="154"/>
      <c r="BE2" s="155"/>
      <c r="BF2" s="156" t="s">
        <v>976</v>
      </c>
      <c r="BG2" s="157"/>
      <c r="BH2" s="158"/>
      <c r="BI2" s="1026" t="s">
        <v>977</v>
      </c>
      <c r="BJ2" s="1027" t="s">
        <v>926</v>
      </c>
      <c r="BK2" s="1027" t="s">
        <v>927</v>
      </c>
      <c r="BL2" s="1027" t="s">
        <v>928</v>
      </c>
      <c r="BM2" s="1139" t="s">
        <v>198</v>
      </c>
    </row>
    <row r="3" spans="1:65" ht="15.75" customHeight="1" thickBot="1">
      <c r="D3" s="1141"/>
      <c r="E3" s="1141"/>
      <c r="F3" s="1142"/>
      <c r="G3" s="1134"/>
      <c r="I3" s="462"/>
      <c r="J3" s="466"/>
      <c r="K3" s="462"/>
      <c r="N3" s="1143" t="s">
        <v>123</v>
      </c>
      <c r="O3" s="1143" t="s">
        <v>124</v>
      </c>
      <c r="P3" s="1143" t="s">
        <v>125</v>
      </c>
      <c r="T3" s="1144" t="s">
        <v>126</v>
      </c>
      <c r="U3" s="1145" t="s">
        <v>127</v>
      </c>
      <c r="V3" s="1144" t="s">
        <v>128</v>
      </c>
      <c r="W3" s="1144" t="s">
        <v>129</v>
      </c>
      <c r="X3" s="1145" t="s">
        <v>130</v>
      </c>
      <c r="Y3" s="1144" t="s">
        <v>131</v>
      </c>
      <c r="Z3" s="1144" t="s">
        <v>132</v>
      </c>
      <c r="AA3" s="1145" t="s">
        <v>133</v>
      </c>
      <c r="AB3" s="1144" t="s">
        <v>134</v>
      </c>
      <c r="AC3" s="1144" t="s">
        <v>135</v>
      </c>
      <c r="AD3" s="1145" t="s">
        <v>136</v>
      </c>
      <c r="AE3" s="1144" t="s">
        <v>137</v>
      </c>
      <c r="AJ3" s="462"/>
      <c r="AN3" s="1144" t="s">
        <v>129</v>
      </c>
      <c r="AO3" s="1144" t="s">
        <v>130</v>
      </c>
      <c r="AP3" s="1144" t="s">
        <v>131</v>
      </c>
      <c r="AQ3" s="1144" t="s">
        <v>645</v>
      </c>
      <c r="AR3" s="1144" t="s">
        <v>646</v>
      </c>
      <c r="AS3" s="1144" t="s">
        <v>647</v>
      </c>
      <c r="AT3" s="1144" t="s">
        <v>648</v>
      </c>
      <c r="AU3" s="1144" t="s">
        <v>649</v>
      </c>
      <c r="AV3" s="1144" t="s">
        <v>650</v>
      </c>
      <c r="AW3" s="1134"/>
      <c r="AX3" s="1134"/>
      <c r="AY3" s="1134"/>
      <c r="AZ3" s="1134"/>
      <c r="BA3" s="1134"/>
      <c r="BC3" s="1146"/>
      <c r="BD3" s="169"/>
      <c r="BE3" s="155"/>
      <c r="BF3" s="1146"/>
      <c r="BG3" s="169"/>
      <c r="BI3" s="1147"/>
      <c r="BJ3" s="1148"/>
      <c r="BK3" s="1148"/>
      <c r="BL3" s="1148"/>
      <c r="BM3" s="1149"/>
    </row>
    <row r="4" spans="1:65" ht="15.75" hidden="1" customHeight="1">
      <c r="A4" s="1150"/>
      <c r="B4" s="1151"/>
      <c r="C4" s="1152"/>
      <c r="D4" s="1153"/>
      <c r="E4" s="1153"/>
      <c r="F4" s="1150"/>
      <c r="G4" s="1153"/>
      <c r="H4" s="1154"/>
      <c r="I4" s="1154"/>
      <c r="J4" s="1152"/>
      <c r="K4" s="1155"/>
      <c r="L4" s="1155"/>
      <c r="M4" s="1155"/>
      <c r="N4" s="1154"/>
      <c r="O4" s="1154"/>
      <c r="P4" s="1155"/>
      <c r="Q4" s="1155"/>
      <c r="R4" s="1155"/>
      <c r="S4" s="1155"/>
      <c r="T4" s="1155"/>
      <c r="U4" s="1155"/>
      <c r="V4" s="1155"/>
      <c r="W4" s="1155"/>
      <c r="X4" s="1155"/>
      <c r="Y4" s="1155"/>
      <c r="Z4" s="1155"/>
      <c r="AA4" s="1155"/>
      <c r="AB4" s="1155"/>
      <c r="AC4" s="1155"/>
      <c r="AD4" s="1155"/>
      <c r="AE4" s="1155"/>
      <c r="AF4" s="1155"/>
      <c r="AG4" s="1155"/>
      <c r="AH4" s="1155"/>
      <c r="AI4" s="1156"/>
      <c r="AJ4" s="1155"/>
      <c r="AK4" s="1154"/>
      <c r="AL4" s="1155"/>
      <c r="AM4" s="1155"/>
      <c r="AN4" s="1154"/>
      <c r="AO4" s="1154"/>
      <c r="AP4" s="1154"/>
      <c r="AQ4" s="1157"/>
      <c r="AR4" s="1157"/>
      <c r="AS4" s="1157"/>
      <c r="AT4" s="1157"/>
      <c r="AU4" s="1157"/>
      <c r="AV4" s="1157"/>
      <c r="AW4" s="1155"/>
      <c r="AX4" s="1155"/>
      <c r="AY4" s="1155"/>
      <c r="AZ4" s="1155"/>
      <c r="BA4" s="1155"/>
      <c r="BC4" s="1158" t="s">
        <v>979</v>
      </c>
      <c r="BD4" s="1159"/>
      <c r="BE4" s="1160"/>
      <c r="BF4" s="1161" t="s">
        <v>1031</v>
      </c>
      <c r="BG4" s="1109" t="s">
        <v>473</v>
      </c>
      <c r="BI4" s="1162" t="s">
        <v>2526</v>
      </c>
      <c r="BJ4" s="317">
        <v>21050</v>
      </c>
      <c r="BK4" s="317">
        <v>21150</v>
      </c>
      <c r="BL4" s="306">
        <v>2</v>
      </c>
      <c r="BM4" s="1149">
        <f>+(BK4-BJ4)*BL4/1000</f>
        <v>0.2</v>
      </c>
    </row>
    <row r="5" spans="1:65" ht="15.75" customHeight="1">
      <c r="A5" s="340"/>
      <c r="B5" s="287" t="s">
        <v>2729</v>
      </c>
      <c r="C5" s="288">
        <v>20761</v>
      </c>
      <c r="D5" s="287"/>
      <c r="E5" s="287"/>
      <c r="F5" s="287" t="s">
        <v>2731</v>
      </c>
      <c r="G5" s="292"/>
      <c r="H5" s="291" t="s">
        <v>138</v>
      </c>
      <c r="I5" s="291" t="s">
        <v>657</v>
      </c>
      <c r="J5" s="288">
        <f>C5-7.5</f>
        <v>20753.5</v>
      </c>
      <c r="K5" s="1121" t="s">
        <v>653</v>
      </c>
      <c r="L5" s="287" t="s">
        <v>1062</v>
      </c>
      <c r="M5" s="287" t="s">
        <v>235</v>
      </c>
      <c r="N5" s="291" t="s">
        <v>144</v>
      </c>
      <c r="O5" s="291"/>
      <c r="P5" s="287"/>
      <c r="Q5" s="1121">
        <v>19</v>
      </c>
      <c r="R5" s="1121">
        <v>3000</v>
      </c>
      <c r="S5" s="1121"/>
      <c r="T5" s="1121">
        <v>-25</v>
      </c>
      <c r="U5" s="1121"/>
      <c r="V5" s="1121"/>
      <c r="W5" s="1121">
        <v>1.4</v>
      </c>
      <c r="X5" s="1121"/>
      <c r="Y5" s="1121"/>
      <c r="Z5" s="1121"/>
      <c r="AA5" s="1121"/>
      <c r="AB5" s="1121"/>
      <c r="AC5" s="1121" t="s">
        <v>2963</v>
      </c>
      <c r="AD5" s="1121"/>
      <c r="AE5" s="1121"/>
      <c r="AF5" s="1121">
        <v>6000</v>
      </c>
      <c r="AG5" s="288">
        <v>20769.18</v>
      </c>
      <c r="AH5" s="1121">
        <v>2600</v>
      </c>
      <c r="AI5" s="477">
        <v>625</v>
      </c>
      <c r="AJ5" s="287"/>
      <c r="AK5" s="287"/>
      <c r="AL5" s="287"/>
      <c r="AM5" s="287" t="s">
        <v>1228</v>
      </c>
      <c r="AN5" s="291">
        <v>5.5</v>
      </c>
      <c r="AO5" s="291"/>
      <c r="AP5" s="291"/>
      <c r="AQ5" s="1163"/>
      <c r="AR5" s="1163"/>
      <c r="AS5" s="1163"/>
      <c r="AT5" s="1163"/>
      <c r="AU5" s="1163"/>
      <c r="AV5" s="1163"/>
      <c r="AW5" s="315" t="s">
        <v>2634</v>
      </c>
      <c r="AX5" s="315" t="s">
        <v>1639</v>
      </c>
      <c r="AY5" s="287" t="s">
        <v>2733</v>
      </c>
      <c r="AZ5" s="287" t="s">
        <v>2734</v>
      </c>
      <c r="BA5" s="287"/>
      <c r="BC5" s="1158" t="s">
        <v>981</v>
      </c>
      <c r="BD5" s="1164"/>
      <c r="BE5" s="1160"/>
      <c r="BF5" s="1161" t="s">
        <v>1032</v>
      </c>
      <c r="BG5" s="1109" t="s">
        <v>474</v>
      </c>
      <c r="BI5" s="1162"/>
      <c r="BJ5" s="317"/>
      <c r="BK5" s="317"/>
      <c r="BL5" s="306"/>
      <c r="BM5" s="1149">
        <f>+(BK5-BJ5)*BL5/1000</f>
        <v>0</v>
      </c>
    </row>
    <row r="6" spans="1:65" ht="15.75" customHeight="1">
      <c r="A6" s="1165"/>
      <c r="B6" s="391"/>
      <c r="C6" s="288"/>
      <c r="D6" s="289"/>
      <c r="E6" s="289"/>
      <c r="F6" s="1165"/>
      <c r="G6" s="289">
        <v>50</v>
      </c>
      <c r="H6" s="291"/>
      <c r="I6" s="291"/>
      <c r="J6" s="288"/>
      <c r="K6" s="1121"/>
      <c r="L6" s="1121"/>
      <c r="M6" s="1121"/>
      <c r="N6" s="291"/>
      <c r="O6" s="291"/>
      <c r="P6" s="1121"/>
      <c r="Q6" s="1121"/>
      <c r="R6" s="1121"/>
      <c r="S6" s="1121">
        <f>AG7-AG5</f>
        <v>41.909999999999854</v>
      </c>
      <c r="T6" s="1121"/>
      <c r="U6" s="1121"/>
      <c r="V6" s="1121"/>
      <c r="W6" s="1121"/>
      <c r="X6" s="1121"/>
      <c r="Y6" s="1121"/>
      <c r="Z6" s="1121"/>
      <c r="AA6" s="1121"/>
      <c r="AB6" s="1121"/>
      <c r="AC6" s="1121"/>
      <c r="AD6" s="1121"/>
      <c r="AE6" s="1121"/>
      <c r="AF6" s="1121"/>
      <c r="AG6" s="288"/>
      <c r="AH6" s="1121"/>
      <c r="AI6" s="477"/>
      <c r="AJ6" s="1121"/>
      <c r="AK6" s="291"/>
      <c r="AL6" s="1121"/>
      <c r="AM6" s="1121"/>
      <c r="AN6" s="291"/>
      <c r="AO6" s="291"/>
      <c r="AP6" s="291"/>
      <c r="AQ6" s="1163"/>
      <c r="AR6" s="1163"/>
      <c r="AS6" s="1163"/>
      <c r="AT6" s="1163"/>
      <c r="AU6" s="1163"/>
      <c r="AV6" s="1163"/>
      <c r="AW6" s="1121"/>
      <c r="AX6" s="1121"/>
      <c r="AY6" s="1121"/>
      <c r="AZ6" s="1121"/>
      <c r="BA6" s="1121"/>
      <c r="BC6" s="1158" t="s">
        <v>980</v>
      </c>
      <c r="BD6" s="1159"/>
      <c r="BE6" s="1160"/>
      <c r="BF6" s="1161"/>
      <c r="BG6" s="1109"/>
      <c r="BI6" s="1162"/>
      <c r="BJ6" s="317"/>
      <c r="BK6" s="317"/>
      <c r="BL6" s="306"/>
      <c r="BM6" s="1149">
        <f>+(BK6-BJ6)*BL6/1000</f>
        <v>0</v>
      </c>
    </row>
    <row r="7" spans="1:65" ht="15.75" customHeight="1" thickBot="1">
      <c r="A7" s="340"/>
      <c r="B7" s="391" t="s">
        <v>2504</v>
      </c>
      <c r="C7" s="288">
        <f>C5+G6</f>
        <v>20811</v>
      </c>
      <c r="D7" s="289"/>
      <c r="E7" s="289"/>
      <c r="F7" s="1165"/>
      <c r="G7" s="292"/>
      <c r="H7" s="291" t="s">
        <v>651</v>
      </c>
      <c r="I7" s="385" t="s">
        <v>2016</v>
      </c>
      <c r="J7" s="288"/>
      <c r="K7" s="1121"/>
      <c r="L7" s="1121" t="s">
        <v>1056</v>
      </c>
      <c r="M7" s="1121" t="s">
        <v>1614</v>
      </c>
      <c r="N7" s="291" t="s">
        <v>140</v>
      </c>
      <c r="O7" s="291" t="s">
        <v>144</v>
      </c>
      <c r="P7" s="1121"/>
      <c r="Q7" s="1121">
        <v>6</v>
      </c>
      <c r="R7" s="1121">
        <v>3000</v>
      </c>
      <c r="S7" s="1121"/>
      <c r="T7" s="1121">
        <v>-35</v>
      </c>
      <c r="U7" s="1121">
        <v>10</v>
      </c>
      <c r="V7" s="1121"/>
      <c r="W7" s="1121">
        <v>2.2999999999999998</v>
      </c>
      <c r="X7" s="1121">
        <v>1.4</v>
      </c>
      <c r="Y7" s="1121"/>
      <c r="Z7" s="1121">
        <v>0.5</v>
      </c>
      <c r="AA7" s="1121"/>
      <c r="AB7" s="1121"/>
      <c r="AC7" s="1121"/>
      <c r="AD7" s="1121" t="s">
        <v>1706</v>
      </c>
      <c r="AE7" s="1121"/>
      <c r="AF7" s="1121">
        <v>6000</v>
      </c>
      <c r="AG7" s="288">
        <v>20811.09</v>
      </c>
      <c r="AH7" s="1121">
        <v>2450</v>
      </c>
      <c r="AI7" s="477">
        <v>651</v>
      </c>
      <c r="AJ7" s="1121"/>
      <c r="AK7" s="291"/>
      <c r="AL7" s="1121"/>
      <c r="AM7" s="287" t="s">
        <v>1228</v>
      </c>
      <c r="AN7" s="291">
        <v>5.5</v>
      </c>
      <c r="AO7" s="291"/>
      <c r="AP7" s="291"/>
      <c r="AQ7" s="1163"/>
      <c r="AR7" s="1163"/>
      <c r="AS7" s="1163"/>
      <c r="AT7" s="1163"/>
      <c r="AU7" s="1163"/>
      <c r="AV7" s="1163"/>
      <c r="AW7" s="315" t="s">
        <v>2634</v>
      </c>
      <c r="AX7" s="315" t="s">
        <v>1639</v>
      </c>
      <c r="AY7" s="1121">
        <v>3.4</v>
      </c>
      <c r="AZ7" s="1121"/>
      <c r="BA7" s="1121"/>
      <c r="BC7" s="1158" t="s">
        <v>978</v>
      </c>
      <c r="BD7" s="1166"/>
      <c r="BE7" s="1160"/>
      <c r="BF7" s="1167" t="s">
        <v>888</v>
      </c>
      <c r="BG7" s="170"/>
      <c r="BI7" s="1168" t="s">
        <v>973</v>
      </c>
      <c r="BJ7" s="1029"/>
      <c r="BK7" s="1029"/>
      <c r="BL7" s="1029"/>
      <c r="BM7" s="1169">
        <f>SUM(BM4:BM6)</f>
        <v>0.2</v>
      </c>
    </row>
    <row r="8" spans="1:65" ht="38.25" customHeight="1">
      <c r="A8" s="1165"/>
      <c r="B8" s="391"/>
      <c r="C8" s="288"/>
      <c r="D8" s="289"/>
      <c r="E8" s="289"/>
      <c r="F8" s="1165"/>
      <c r="G8" s="289">
        <v>10</v>
      </c>
      <c r="H8" s="291"/>
      <c r="I8" s="291"/>
      <c r="J8" s="288"/>
      <c r="K8" s="1121"/>
      <c r="L8" s="1121"/>
      <c r="M8" s="1121"/>
      <c r="N8" s="291"/>
      <c r="O8" s="291"/>
      <c r="P8" s="1121"/>
      <c r="Q8" s="1121"/>
      <c r="R8" s="1121"/>
      <c r="S8" s="315">
        <f>AG11-AG7</f>
        <v>49.959999999999127</v>
      </c>
      <c r="T8" s="1121"/>
      <c r="U8" s="1121"/>
      <c r="V8" s="1121"/>
      <c r="W8" s="1121"/>
      <c r="X8" s="1121"/>
      <c r="Y8" s="1121"/>
      <c r="Z8" s="1121"/>
      <c r="AA8" s="1121"/>
      <c r="AB8" s="1121"/>
      <c r="AC8" s="1121"/>
      <c r="AD8" s="1121"/>
      <c r="AE8" s="1121"/>
      <c r="AF8" s="1121"/>
      <c r="AG8" s="288"/>
      <c r="AH8" s="1121"/>
      <c r="AI8" s="477"/>
      <c r="AJ8" s="1121"/>
      <c r="AK8" s="291"/>
      <c r="AL8" s="1121"/>
      <c r="AM8" s="1121"/>
      <c r="AN8" s="291"/>
      <c r="AO8" s="291"/>
      <c r="AP8" s="291"/>
      <c r="AQ8" s="1163"/>
      <c r="AR8" s="1163"/>
      <c r="AS8" s="1163"/>
      <c r="AT8" s="1163"/>
      <c r="AU8" s="1163"/>
      <c r="AV8" s="1163"/>
      <c r="AW8" s="1121"/>
      <c r="AX8" s="1121"/>
      <c r="AY8" s="1121" t="s">
        <v>695</v>
      </c>
      <c r="AZ8" s="1121"/>
      <c r="BA8" s="1121"/>
      <c r="BC8" s="1158" t="s">
        <v>982</v>
      </c>
      <c r="BD8" s="1170"/>
      <c r="BE8" s="1160"/>
      <c r="BF8" s="1161" t="s">
        <v>1051</v>
      </c>
      <c r="BG8" s="1109" t="s">
        <v>1050</v>
      </c>
      <c r="BI8" s="1137"/>
      <c r="BJ8" s="1137"/>
      <c r="BK8" s="1137"/>
      <c r="BL8" s="1137"/>
      <c r="BM8" s="1137"/>
    </row>
    <row r="9" spans="1:65" ht="15.75" customHeight="1">
      <c r="A9" s="1165"/>
      <c r="B9" s="391" t="s">
        <v>2730</v>
      </c>
      <c r="C9" s="288">
        <f>C7+G8</f>
        <v>20821</v>
      </c>
      <c r="D9" s="289"/>
      <c r="E9" s="289"/>
      <c r="F9" s="1165"/>
      <c r="G9" s="292"/>
      <c r="H9" s="291" t="s">
        <v>3269</v>
      </c>
      <c r="I9" s="287" t="s">
        <v>657</v>
      </c>
      <c r="J9" s="288">
        <f>C9-7.5</f>
        <v>20813.5</v>
      </c>
      <c r="K9" s="1121" t="s">
        <v>653</v>
      </c>
      <c r="L9" s="1121" t="s">
        <v>231</v>
      </c>
      <c r="M9" s="1121" t="s">
        <v>2672</v>
      </c>
      <c r="N9" s="291"/>
      <c r="O9" s="291"/>
      <c r="P9" s="1121"/>
      <c r="Q9" s="1121"/>
      <c r="R9" s="1121"/>
      <c r="T9" s="1121"/>
      <c r="U9" s="1121"/>
      <c r="V9" s="1121"/>
      <c r="W9" s="1121"/>
      <c r="X9" s="1121"/>
      <c r="Y9" s="1121"/>
      <c r="Z9" s="1121"/>
      <c r="AA9" s="1121"/>
      <c r="AB9" s="1121"/>
      <c r="AC9" s="1121"/>
      <c r="AD9" s="1121"/>
      <c r="AE9" s="1121"/>
      <c r="AF9" s="1121"/>
      <c r="AG9" s="288">
        <v>20821.05</v>
      </c>
      <c r="AH9" s="1121"/>
      <c r="AI9" s="477"/>
      <c r="AJ9" s="1121"/>
      <c r="AK9" s="291"/>
      <c r="AL9" s="1121"/>
      <c r="AM9" s="287" t="s">
        <v>1228</v>
      </c>
      <c r="AN9" s="291">
        <v>5.5</v>
      </c>
      <c r="AO9" s="291"/>
      <c r="AP9" s="291"/>
      <c r="AQ9" s="1163"/>
      <c r="AR9" s="1163"/>
      <c r="AS9" s="1163"/>
      <c r="AT9" s="1163"/>
      <c r="AU9" s="1163"/>
      <c r="AV9" s="1163"/>
      <c r="AW9" s="315" t="s">
        <v>2634</v>
      </c>
      <c r="AX9" s="315" t="s">
        <v>1639</v>
      </c>
      <c r="AY9" s="1121">
        <v>3.4</v>
      </c>
      <c r="AZ9" s="1121">
        <v>2.5</v>
      </c>
      <c r="BA9" s="1121"/>
      <c r="BC9" s="1158" t="s">
        <v>983</v>
      </c>
      <c r="BD9" s="1171"/>
      <c r="BE9" s="1160"/>
      <c r="BF9" s="1161" t="s">
        <v>2046</v>
      </c>
      <c r="BG9" s="1109" t="s">
        <v>893</v>
      </c>
      <c r="BI9" s="1172" t="s">
        <v>974</v>
      </c>
      <c r="BJ9" s="1030"/>
      <c r="BK9" s="1030"/>
      <c r="BL9" s="1031"/>
      <c r="BM9" s="1173">
        <f>+(BK4-BJ4)/1000</f>
        <v>0.1</v>
      </c>
    </row>
    <row r="10" spans="1:65" ht="15.75" customHeight="1">
      <c r="A10" s="1165"/>
      <c r="B10" s="391"/>
      <c r="C10" s="288"/>
      <c r="D10" s="289"/>
      <c r="E10" s="289"/>
      <c r="F10" s="1165"/>
      <c r="G10" s="289">
        <v>40</v>
      </c>
      <c r="H10" s="291"/>
      <c r="I10" s="382">
        <f>+C19-C9</f>
        <v>176</v>
      </c>
      <c r="J10" s="288">
        <f>C13-9.5</f>
        <v>20884.5</v>
      </c>
      <c r="K10" s="1121" t="s">
        <v>658</v>
      </c>
      <c r="L10" s="1121"/>
      <c r="M10" s="1121"/>
      <c r="N10" s="291"/>
      <c r="O10" s="291"/>
      <c r="P10" s="1121"/>
      <c r="Q10" s="1121"/>
      <c r="R10" s="1121"/>
      <c r="S10" s="1121"/>
      <c r="T10" s="1121"/>
      <c r="U10" s="1121"/>
      <c r="V10" s="1121"/>
      <c r="W10" s="1121"/>
      <c r="X10" s="1121"/>
      <c r="Y10" s="1121"/>
      <c r="Z10" s="1121"/>
      <c r="AA10" s="1121"/>
      <c r="AB10" s="1121"/>
      <c r="AC10" s="1121"/>
      <c r="AD10" s="1121"/>
      <c r="AE10" s="1121"/>
      <c r="AF10" s="1121"/>
      <c r="AG10" s="288"/>
      <c r="AH10" s="1121"/>
      <c r="AI10" s="477"/>
      <c r="AJ10" s="1121"/>
      <c r="AK10" s="291"/>
      <c r="AL10" s="1121"/>
      <c r="AM10" s="1121"/>
      <c r="AN10" s="291"/>
      <c r="AO10" s="291"/>
      <c r="AP10" s="291"/>
      <c r="AQ10" s="1163"/>
      <c r="AR10" s="1163"/>
      <c r="AS10" s="1163"/>
      <c r="AT10" s="1163"/>
      <c r="AU10" s="1163"/>
      <c r="AV10" s="1163"/>
      <c r="AW10" s="315" t="s">
        <v>2634</v>
      </c>
      <c r="AX10" s="315" t="s">
        <v>1639</v>
      </c>
      <c r="AY10" s="1121" t="s">
        <v>695</v>
      </c>
      <c r="AZ10" s="1121">
        <v>2.5</v>
      </c>
      <c r="BA10" s="1121"/>
      <c r="BC10" s="1158"/>
      <c r="BD10" s="1174"/>
      <c r="BE10" s="1160"/>
      <c r="BF10" s="1161" t="s">
        <v>2047</v>
      </c>
      <c r="BG10" s="1109" t="s">
        <v>892</v>
      </c>
      <c r="BI10" s="1137"/>
      <c r="BJ10" s="1137"/>
      <c r="BK10" s="1137"/>
      <c r="BL10" s="1137"/>
      <c r="BM10" s="1137"/>
    </row>
    <row r="11" spans="1:65" ht="15.75" customHeight="1">
      <c r="A11" s="340" t="s">
        <v>3234</v>
      </c>
      <c r="B11" s="287" t="s">
        <v>2505</v>
      </c>
      <c r="C11" s="288">
        <f>C9+G10</f>
        <v>20861</v>
      </c>
      <c r="D11" s="287"/>
      <c r="E11" s="287"/>
      <c r="F11" s="287" t="s">
        <v>2592</v>
      </c>
      <c r="G11" s="292"/>
      <c r="H11" s="287" t="s">
        <v>2732</v>
      </c>
      <c r="I11" s="291" t="s">
        <v>2668</v>
      </c>
      <c r="J11" s="288">
        <f>C11-7.5</f>
        <v>20853.5</v>
      </c>
      <c r="K11" s="1121" t="s">
        <v>658</v>
      </c>
      <c r="L11" s="287" t="s">
        <v>1056</v>
      </c>
      <c r="M11" s="287" t="s">
        <v>1614</v>
      </c>
      <c r="N11" s="291" t="s">
        <v>140</v>
      </c>
      <c r="O11" s="291" t="s">
        <v>145</v>
      </c>
      <c r="P11" s="287" t="s">
        <v>140</v>
      </c>
      <c r="Q11" s="1121">
        <v>5</v>
      </c>
      <c r="R11" s="1121">
        <v>3000</v>
      </c>
      <c r="S11" s="1121"/>
      <c r="T11" s="1121">
        <v>-15</v>
      </c>
      <c r="U11" s="1121">
        <v>-30</v>
      </c>
      <c r="V11" s="1121">
        <v>25</v>
      </c>
      <c r="W11" s="1121">
        <v>2</v>
      </c>
      <c r="X11" s="1121">
        <v>2.5</v>
      </c>
      <c r="Y11" s="1121">
        <v>1.4</v>
      </c>
      <c r="Z11" s="1121">
        <v>0.45</v>
      </c>
      <c r="AA11" s="1121"/>
      <c r="AB11" s="1121">
        <v>0.5</v>
      </c>
      <c r="AC11" s="1121"/>
      <c r="AD11" s="1121" t="s">
        <v>1704</v>
      </c>
      <c r="AE11" s="1121"/>
      <c r="AF11" s="1121">
        <v>5900</v>
      </c>
      <c r="AG11" s="288">
        <v>20861.05</v>
      </c>
      <c r="AH11" s="1121">
        <v>2465</v>
      </c>
      <c r="AI11" s="477">
        <v>681</v>
      </c>
      <c r="AJ11" s="1121" t="s">
        <v>2017</v>
      </c>
      <c r="AK11" s="287"/>
      <c r="AL11" s="287"/>
      <c r="AM11" s="287" t="s">
        <v>1228</v>
      </c>
      <c r="AN11" s="287">
        <v>5.5</v>
      </c>
      <c r="AO11" s="287"/>
      <c r="AP11" s="287"/>
      <c r="AQ11" s="1163"/>
      <c r="AR11" s="1163"/>
      <c r="AS11" s="1163"/>
      <c r="AT11" s="1163">
        <f>+ab($U$11,$T$7,$U$13,$G$8,$G$12, 1*$F$11,1200)</f>
        <v>-11.473974491900348</v>
      </c>
      <c r="AU11" s="1163"/>
      <c r="AV11" s="1163"/>
      <c r="AW11" s="315" t="s">
        <v>2634</v>
      </c>
      <c r="AX11" s="315" t="s">
        <v>1639</v>
      </c>
      <c r="AY11" s="287" t="s">
        <v>2733</v>
      </c>
      <c r="AZ11" s="287" t="s">
        <v>2734</v>
      </c>
      <c r="BA11" s="287"/>
      <c r="BC11" s="1167" t="s">
        <v>984</v>
      </c>
      <c r="BD11" s="170"/>
      <c r="BE11" s="155"/>
      <c r="BF11" s="1161"/>
      <c r="BG11" s="1109"/>
      <c r="BI11" s="1032" t="s">
        <v>932</v>
      </c>
      <c r="BJ11" s="1032" t="s">
        <v>926</v>
      </c>
      <c r="BK11" s="1032" t="s">
        <v>927</v>
      </c>
      <c r="BL11" s="1032" t="s">
        <v>928</v>
      </c>
      <c r="BM11" s="1175" t="s">
        <v>198</v>
      </c>
    </row>
    <row r="12" spans="1:65" ht="15.75" customHeight="1" thickBot="1">
      <c r="A12" s="340"/>
      <c r="B12" s="287"/>
      <c r="C12" s="288"/>
      <c r="D12" s="287"/>
      <c r="E12" s="287"/>
      <c r="F12" s="287"/>
      <c r="G12" s="1163">
        <v>33</v>
      </c>
      <c r="H12" s="287"/>
      <c r="I12" s="291" t="s">
        <v>1223</v>
      </c>
      <c r="J12" s="1176"/>
      <c r="K12" s="1165"/>
      <c r="L12" s="287"/>
      <c r="M12" s="287"/>
      <c r="N12" s="287"/>
      <c r="O12" s="287"/>
      <c r="P12" s="287"/>
      <c r="Q12" s="1121"/>
      <c r="R12" s="1121"/>
      <c r="S12" s="1121">
        <f>AG13-AG11</f>
        <v>32.930000000000291</v>
      </c>
      <c r="T12" s="1121"/>
      <c r="U12" s="1121"/>
      <c r="V12" s="1121"/>
      <c r="W12" s="1121"/>
      <c r="X12" s="1121"/>
      <c r="Y12" s="1121"/>
      <c r="Z12" s="1121"/>
      <c r="AA12" s="1121"/>
      <c r="AB12" s="1121"/>
      <c r="AC12" s="1121"/>
      <c r="AD12" s="1121"/>
      <c r="AE12" s="1121"/>
      <c r="AF12" s="1121"/>
      <c r="AG12" s="288"/>
      <c r="AH12" s="1121"/>
      <c r="AI12" s="477"/>
      <c r="AJ12" s="1121" t="s">
        <v>3002</v>
      </c>
      <c r="AK12" s="287"/>
      <c r="AL12" s="287"/>
      <c r="AM12" s="287"/>
      <c r="AN12" s="287"/>
      <c r="AO12" s="287"/>
      <c r="AP12" s="287"/>
      <c r="AQ12" s="1163">
        <f>+FL_1($T$13,$T$11,$G$12,1200,9.28, 1*$F$13)</f>
        <v>9.1404266269209555E-2</v>
      </c>
      <c r="AR12" s="1163"/>
      <c r="AS12" s="1163"/>
      <c r="AT12" s="1163"/>
      <c r="AU12" s="1163"/>
      <c r="AV12" s="1163"/>
      <c r="AW12" s="1121"/>
      <c r="AX12" s="1121"/>
      <c r="AY12" s="287" t="s">
        <v>695</v>
      </c>
      <c r="AZ12" s="287"/>
      <c r="BA12" s="287"/>
      <c r="BC12" s="1161" t="s">
        <v>987</v>
      </c>
      <c r="BD12" s="1109" t="s">
        <v>138</v>
      </c>
      <c r="BE12" s="155"/>
      <c r="BF12" s="1167" t="s">
        <v>869</v>
      </c>
      <c r="BG12" s="170"/>
      <c r="BI12" s="1172"/>
      <c r="BJ12" s="1030"/>
      <c r="BK12" s="1030"/>
      <c r="BL12" s="1031"/>
      <c r="BM12" s="1173">
        <f>SUM(BM13:BM18)+SUM(BM22:BM28)</f>
        <v>0</v>
      </c>
    </row>
    <row r="13" spans="1:65" ht="15.75" customHeight="1">
      <c r="A13" s="340"/>
      <c r="B13" s="287" t="s">
        <v>2506</v>
      </c>
      <c r="C13" s="288">
        <f>C11+G12</f>
        <v>20894</v>
      </c>
      <c r="D13" s="287"/>
      <c r="E13" s="287"/>
      <c r="F13" s="287" t="s">
        <v>2592</v>
      </c>
      <c r="G13" s="292"/>
      <c r="H13" s="287" t="s">
        <v>3270</v>
      </c>
      <c r="I13" s="287" t="s">
        <v>657</v>
      </c>
      <c r="J13" s="288">
        <f>C13-7.5</f>
        <v>20886.5</v>
      </c>
      <c r="K13" s="1121" t="s">
        <v>653</v>
      </c>
      <c r="L13" s="287" t="s">
        <v>1056</v>
      </c>
      <c r="M13" s="287" t="s">
        <v>1614</v>
      </c>
      <c r="N13" s="287" t="s">
        <v>145</v>
      </c>
      <c r="O13" s="287" t="s">
        <v>144</v>
      </c>
      <c r="P13" s="287"/>
      <c r="Q13" s="1121">
        <v>0</v>
      </c>
      <c r="R13" s="1121">
        <v>0</v>
      </c>
      <c r="S13" s="1121"/>
      <c r="T13" s="1121">
        <v>-15</v>
      </c>
      <c r="U13" s="1121">
        <v>-30</v>
      </c>
      <c r="V13" s="1121"/>
      <c r="W13" s="1121">
        <v>1.4</v>
      </c>
      <c r="X13" s="1121">
        <v>2.2999999999999998</v>
      </c>
      <c r="Y13" s="1121"/>
      <c r="Z13" s="1121"/>
      <c r="AA13" s="1121"/>
      <c r="AB13" s="1121"/>
      <c r="AC13" s="1121" t="s">
        <v>2968</v>
      </c>
      <c r="AD13" s="1121" t="s">
        <v>2989</v>
      </c>
      <c r="AE13" s="1121"/>
      <c r="AF13" s="1121">
        <v>5900</v>
      </c>
      <c r="AG13" s="288">
        <v>20893.98</v>
      </c>
      <c r="AH13" s="1121">
        <v>2469</v>
      </c>
      <c r="AI13" s="477">
        <v>693</v>
      </c>
      <c r="AJ13" s="287"/>
      <c r="AK13" s="287"/>
      <c r="AL13" s="287"/>
      <c r="AM13" s="287" t="s">
        <v>1228</v>
      </c>
      <c r="AN13" s="287">
        <v>5.5</v>
      </c>
      <c r="AO13" s="287"/>
      <c r="AP13" s="287"/>
      <c r="AQ13" s="1163"/>
      <c r="AR13" s="1163"/>
      <c r="AS13" s="1163"/>
      <c r="AT13" s="315">
        <f>+ab($U$13,$U$11,$U$15,$G$12,$G$14, 1*$F$13,1200)</f>
        <v>-6.4053376717291322</v>
      </c>
      <c r="AU13" s="1163"/>
      <c r="AV13" s="1163"/>
      <c r="AW13" s="315" t="s">
        <v>2634</v>
      </c>
      <c r="AX13" s="315" t="s">
        <v>1639</v>
      </c>
      <c r="AY13" s="287" t="s">
        <v>2733</v>
      </c>
      <c r="AZ13" s="287" t="s">
        <v>2734</v>
      </c>
      <c r="BA13" s="287"/>
      <c r="BC13" s="1161" t="s">
        <v>988</v>
      </c>
      <c r="BD13" s="1109" t="s">
        <v>986</v>
      </c>
      <c r="BE13" s="155"/>
      <c r="BF13" s="1161" t="s">
        <v>1023</v>
      </c>
      <c r="BG13" s="1109" t="s">
        <v>144</v>
      </c>
      <c r="BI13" s="1177"/>
      <c r="BJ13" s="1033"/>
      <c r="BK13" s="1033"/>
      <c r="BL13" s="1034"/>
      <c r="BM13" s="1178">
        <f t="shared" ref="BM13:BM18" si="0">+(BK13-BJ13)*BL13/1000</f>
        <v>0</v>
      </c>
    </row>
    <row r="14" spans="1:65" ht="15.75" customHeight="1">
      <c r="A14" s="340"/>
      <c r="B14" s="287"/>
      <c r="C14" s="288"/>
      <c r="D14" s="287"/>
      <c r="E14" s="287"/>
      <c r="F14" s="287"/>
      <c r="G14" s="1163">
        <v>30</v>
      </c>
      <c r="H14" s="287"/>
      <c r="I14" s="382">
        <f>+C30-C13</f>
        <v>238</v>
      </c>
      <c r="J14" s="288"/>
      <c r="K14" s="287"/>
      <c r="L14" s="287"/>
      <c r="M14" s="287"/>
      <c r="N14" s="287"/>
      <c r="O14" s="287"/>
      <c r="P14" s="287"/>
      <c r="Q14" s="1121"/>
      <c r="R14" s="1121"/>
      <c r="S14" s="1121"/>
      <c r="T14" s="1121"/>
      <c r="U14" s="1121"/>
      <c r="V14" s="1121"/>
      <c r="W14" s="1121"/>
      <c r="X14" s="1121"/>
      <c r="Y14" s="1121"/>
      <c r="Z14" s="1121"/>
      <c r="AA14" s="1121"/>
      <c r="AB14" s="1121"/>
      <c r="AC14" s="1121"/>
      <c r="AD14" s="1121"/>
      <c r="AE14" s="1121"/>
      <c r="AF14" s="1121"/>
      <c r="AG14" s="288"/>
      <c r="AH14" s="1121"/>
      <c r="AI14" s="477"/>
      <c r="AJ14" s="287"/>
      <c r="AK14" s="287"/>
      <c r="AL14" s="287"/>
      <c r="AM14" s="287"/>
      <c r="AN14" s="287"/>
      <c r="AO14" s="287"/>
      <c r="AP14" s="287"/>
      <c r="AQ14" s="1163">
        <f>+FL_2($U$15,$T$13,$G$14,1200,9.28, 1*$F$15)</f>
        <v>-0.36573563199999998</v>
      </c>
      <c r="AR14" s="1163"/>
      <c r="AS14" s="1163"/>
      <c r="AT14" s="315"/>
      <c r="AU14" s="1163"/>
      <c r="AV14" s="1163"/>
      <c r="AW14" s="1121"/>
      <c r="AX14" s="1121"/>
      <c r="AY14" s="287" t="s">
        <v>695</v>
      </c>
      <c r="AZ14" s="287"/>
      <c r="BA14" s="287"/>
      <c r="BC14" s="1161" t="s">
        <v>990</v>
      </c>
      <c r="BD14" s="1109" t="s">
        <v>651</v>
      </c>
      <c r="BE14" s="155"/>
      <c r="BF14" s="1161" t="s">
        <v>1052</v>
      </c>
      <c r="BG14" s="1109" t="s">
        <v>145</v>
      </c>
      <c r="BI14" s="1162"/>
      <c r="BJ14" s="317"/>
      <c r="BK14" s="317"/>
      <c r="BL14" s="1028"/>
      <c r="BM14" s="1149">
        <f t="shared" si="0"/>
        <v>0</v>
      </c>
    </row>
    <row r="15" spans="1:65" ht="15.75" customHeight="1">
      <c r="A15" s="340"/>
      <c r="B15" s="287" t="s">
        <v>2507</v>
      </c>
      <c r="C15" s="288">
        <f t="shared" ref="C15" si="1">C13+G14</f>
        <v>20924</v>
      </c>
      <c r="D15" s="287"/>
      <c r="E15" s="287"/>
      <c r="F15" s="287"/>
      <c r="G15" s="292"/>
      <c r="H15" s="287"/>
      <c r="I15" s="291"/>
      <c r="J15" s="288"/>
      <c r="K15" s="287"/>
      <c r="L15" s="287" t="s">
        <v>880</v>
      </c>
      <c r="M15" s="287" t="s">
        <v>2676</v>
      </c>
      <c r="N15" s="291" t="s">
        <v>140</v>
      </c>
      <c r="O15" s="287" t="s">
        <v>144</v>
      </c>
      <c r="P15" s="287"/>
      <c r="Q15" s="1121"/>
      <c r="R15" s="1121"/>
      <c r="S15" s="1121"/>
      <c r="T15" s="1121">
        <v>0</v>
      </c>
      <c r="U15" s="1121">
        <v>-35</v>
      </c>
      <c r="V15" s="1121"/>
      <c r="W15" s="1121">
        <v>1.4</v>
      </c>
      <c r="X15" s="1121">
        <v>2.2999999999999998</v>
      </c>
      <c r="Y15" s="1121"/>
      <c r="Z15" s="1121">
        <v>0.5</v>
      </c>
      <c r="AA15" s="1121"/>
      <c r="AB15" s="1121"/>
      <c r="AC15" s="1121" t="str">
        <f t="shared" ref="AC15:AC17" si="2">IF(OR(AT15&gt;8,AT15&lt;-8),"PH",IF(OR(AT15&gt;5,AT15&lt;-5),"PH-Q",IF(OR(AT15&gt;1,AT15&lt;-1),"PH-C")))</f>
        <v>PH</v>
      </c>
      <c r="AD15" s="1121"/>
      <c r="AE15" s="1121"/>
      <c r="AF15" s="1121"/>
      <c r="AG15" s="1121"/>
      <c r="AH15" s="1121"/>
      <c r="AI15" s="477"/>
      <c r="AJ15" s="287"/>
      <c r="AK15" s="287"/>
      <c r="AL15" s="1121" t="s">
        <v>895</v>
      </c>
      <c r="AM15" s="287" t="s">
        <v>1228</v>
      </c>
      <c r="AN15" s="287">
        <v>5.5</v>
      </c>
      <c r="AO15" s="287"/>
      <c r="AP15" s="287"/>
      <c r="AQ15" s="1163"/>
      <c r="AR15" s="1163"/>
      <c r="AS15" s="1163"/>
      <c r="AT15" s="315">
        <f>+ab($U$15,$U$13,$U$17,$G$14,$G$16, 1*$F$15,1200)</f>
        <v>-8.6640261095481055</v>
      </c>
      <c r="AU15" s="1163"/>
      <c r="AV15" s="1163"/>
      <c r="AW15" s="315" t="s">
        <v>2634</v>
      </c>
      <c r="AX15" s="315" t="s">
        <v>1639</v>
      </c>
      <c r="AY15" s="287" t="s">
        <v>3209</v>
      </c>
      <c r="AZ15" s="287"/>
      <c r="BA15" s="287"/>
      <c r="BC15" s="1161" t="s">
        <v>989</v>
      </c>
      <c r="BD15" s="1109" t="s">
        <v>652</v>
      </c>
      <c r="BE15" s="155"/>
      <c r="BF15" s="1161" t="s">
        <v>1024</v>
      </c>
      <c r="BG15" s="1109" t="s">
        <v>140</v>
      </c>
      <c r="BI15" s="1162"/>
      <c r="BJ15" s="317"/>
      <c r="BK15" s="317"/>
      <c r="BL15" s="1028"/>
      <c r="BM15" s="1149">
        <f t="shared" si="0"/>
        <v>0</v>
      </c>
    </row>
    <row r="16" spans="1:65" ht="15.75" customHeight="1">
      <c r="A16" s="340"/>
      <c r="B16" s="287"/>
      <c r="C16" s="288"/>
      <c r="D16" s="287"/>
      <c r="E16" s="287"/>
      <c r="F16" s="287"/>
      <c r="G16" s="1163">
        <v>32</v>
      </c>
      <c r="H16" s="287"/>
      <c r="I16" s="385"/>
      <c r="J16" s="288"/>
      <c r="K16" s="287"/>
      <c r="L16" s="287"/>
      <c r="M16" s="287"/>
      <c r="N16" s="287"/>
      <c r="O16" s="287"/>
      <c r="P16" s="287"/>
      <c r="Q16" s="1121"/>
      <c r="R16" s="1121"/>
      <c r="S16" s="1121"/>
      <c r="T16" s="1121"/>
      <c r="U16" s="1121"/>
      <c r="V16" s="1121"/>
      <c r="W16" s="1121"/>
      <c r="X16" s="1121"/>
      <c r="Y16" s="1121"/>
      <c r="Z16" s="1121"/>
      <c r="AA16" s="1121"/>
      <c r="AB16" s="1121"/>
      <c r="AC16" s="1121"/>
      <c r="AD16" s="1121"/>
      <c r="AE16" s="1121"/>
      <c r="AF16" s="1121"/>
      <c r="AG16" s="1121"/>
      <c r="AH16" s="1121"/>
      <c r="AI16" s="477"/>
      <c r="AJ16" s="287"/>
      <c r="AK16" s="287"/>
      <c r="AL16" s="287"/>
      <c r="AM16" s="287"/>
      <c r="AN16" s="287"/>
      <c r="AO16" s="287"/>
      <c r="AP16" s="287"/>
      <c r="AQ16" s="1163">
        <f>+FL_2($U$17,$U$15,$G$16,1200,9.28, 1*$F$17)</f>
        <v>-0.35000000000001757</v>
      </c>
      <c r="AR16" s="1163"/>
      <c r="AS16" s="1163"/>
      <c r="AT16" s="315"/>
      <c r="AU16" s="1163"/>
      <c r="AV16" s="1163"/>
      <c r="AW16" s="1121"/>
      <c r="AX16" s="1121"/>
      <c r="AY16" s="287" t="s">
        <v>695</v>
      </c>
      <c r="AZ16" s="287"/>
      <c r="BA16" s="287"/>
      <c r="BC16" s="1161" t="s">
        <v>992</v>
      </c>
      <c r="BD16" s="1109" t="s">
        <v>955</v>
      </c>
      <c r="BE16" s="155"/>
      <c r="BF16" s="1161" t="s">
        <v>1025</v>
      </c>
      <c r="BG16" s="1109" t="s">
        <v>673</v>
      </c>
      <c r="BI16" s="1162"/>
      <c r="BJ16" s="317"/>
      <c r="BK16" s="317"/>
      <c r="BL16" s="1028"/>
      <c r="BM16" s="1149">
        <f t="shared" si="0"/>
        <v>0</v>
      </c>
    </row>
    <row r="17" spans="1:65" ht="15.75" customHeight="1">
      <c r="A17" s="340"/>
      <c r="B17" s="287" t="s">
        <v>2508</v>
      </c>
      <c r="C17" s="288">
        <f t="shared" ref="C17" si="3">C15+G16</f>
        <v>20956</v>
      </c>
      <c r="D17" s="287"/>
      <c r="E17" s="287"/>
      <c r="F17" s="287"/>
      <c r="G17" s="292"/>
      <c r="H17" s="287"/>
      <c r="I17" s="287"/>
      <c r="J17" s="288"/>
      <c r="K17" s="287"/>
      <c r="L17" s="287" t="s">
        <v>2515</v>
      </c>
      <c r="M17" s="287" t="s">
        <v>2788</v>
      </c>
      <c r="N17" s="291" t="s">
        <v>140</v>
      </c>
      <c r="O17" s="287" t="s">
        <v>145</v>
      </c>
      <c r="P17" s="287"/>
      <c r="Q17" s="1121"/>
      <c r="R17" s="1121"/>
      <c r="S17" s="1121"/>
      <c r="T17" s="1121">
        <v>50</v>
      </c>
      <c r="U17" s="1121">
        <v>30</v>
      </c>
      <c r="V17" s="1121"/>
      <c r="W17" s="1121">
        <v>1.4</v>
      </c>
      <c r="X17" s="1121">
        <v>2.2999999999999998</v>
      </c>
      <c r="Y17" s="1121"/>
      <c r="Z17" s="1121">
        <v>0.5</v>
      </c>
      <c r="AA17" s="1121"/>
      <c r="AB17" s="1121"/>
      <c r="AC17" s="1121" t="str">
        <f t="shared" si="2"/>
        <v>PH-Q</v>
      </c>
      <c r="AD17" s="1121"/>
      <c r="AE17" s="1121"/>
      <c r="AF17" s="1121"/>
      <c r="AG17" s="1121"/>
      <c r="AH17" s="1121"/>
      <c r="AI17" s="477"/>
      <c r="AJ17" s="287"/>
      <c r="AK17" s="287"/>
      <c r="AL17" s="1121" t="s">
        <v>894</v>
      </c>
      <c r="AM17" s="287" t="s">
        <v>1228</v>
      </c>
      <c r="AN17" s="287">
        <v>5.5</v>
      </c>
      <c r="AO17" s="287"/>
      <c r="AP17" s="287"/>
      <c r="AQ17" s="1163"/>
      <c r="AR17" s="1163"/>
      <c r="AS17" s="1163"/>
      <c r="AT17" s="315">
        <f>+ab($U$17,$U$15,$T$19,$G$16,$G$18, 1*$F$17,1200)</f>
        <v>6.91146247336229</v>
      </c>
      <c r="AU17" s="1163"/>
      <c r="AV17" s="1163"/>
      <c r="AW17" s="315" t="s">
        <v>2634</v>
      </c>
      <c r="AX17" s="315" t="s">
        <v>1641</v>
      </c>
      <c r="AY17" s="287" t="s">
        <v>2735</v>
      </c>
      <c r="AZ17" s="287"/>
      <c r="BA17" s="287"/>
      <c r="BC17" s="1161" t="s">
        <v>991</v>
      </c>
      <c r="BD17" s="1109" t="s">
        <v>956</v>
      </c>
      <c r="BE17" s="155"/>
      <c r="BF17" s="1161" t="s">
        <v>1026</v>
      </c>
      <c r="BG17" s="1109" t="s">
        <v>674</v>
      </c>
      <c r="BI17" s="1162"/>
      <c r="BJ17" s="317"/>
      <c r="BK17" s="317"/>
      <c r="BL17" s="306"/>
      <c r="BM17" s="1149">
        <f t="shared" si="0"/>
        <v>0</v>
      </c>
    </row>
    <row r="18" spans="1:65" ht="15.75" customHeight="1">
      <c r="A18" s="340"/>
      <c r="B18" s="287"/>
      <c r="C18" s="288"/>
      <c r="D18" s="287"/>
      <c r="E18" s="287"/>
      <c r="F18" s="287"/>
      <c r="G18" s="1163">
        <v>41</v>
      </c>
      <c r="H18" s="287"/>
      <c r="I18" s="287"/>
      <c r="J18" s="288"/>
      <c r="K18" s="287"/>
      <c r="L18" s="287"/>
      <c r="M18" s="287"/>
      <c r="N18" s="287"/>
      <c r="O18" s="287"/>
      <c r="P18" s="287"/>
      <c r="Q18" s="1121"/>
      <c r="R18" s="1121"/>
      <c r="S18" s="1121"/>
      <c r="T18" s="1121"/>
      <c r="U18" s="1121"/>
      <c r="V18" s="1121"/>
      <c r="W18" s="1121"/>
      <c r="X18" s="1121"/>
      <c r="Y18" s="1121"/>
      <c r="Z18" s="1121"/>
      <c r="AA18" s="1121"/>
      <c r="AB18" s="1121"/>
      <c r="AC18" s="1121"/>
      <c r="AD18" s="1121"/>
      <c r="AE18" s="1121"/>
      <c r="AF18" s="1121"/>
      <c r="AG18" s="1121"/>
      <c r="AH18" s="1121"/>
      <c r="AI18" s="477"/>
      <c r="AJ18" s="287"/>
      <c r="AK18" s="287"/>
      <c r="AL18" s="287"/>
      <c r="AM18" s="287"/>
      <c r="AN18" s="287"/>
      <c r="AO18" s="287"/>
      <c r="AP18" s="287"/>
      <c r="AQ18" s="1163">
        <f>+FL_1($T$19,$U$17,$G$18,1200,9.28, 1*$F$19)</f>
        <v>0.34711276019512188</v>
      </c>
      <c r="AR18" s="1163"/>
      <c r="AS18" s="1163"/>
      <c r="AT18" s="315"/>
      <c r="AU18" s="1163"/>
      <c r="AV18" s="1163"/>
      <c r="AW18" s="1121"/>
      <c r="AX18" s="1121"/>
      <c r="AY18" s="287" t="s">
        <v>695</v>
      </c>
      <c r="AZ18" s="287"/>
      <c r="BA18" s="287"/>
      <c r="BC18" s="1161" t="s">
        <v>993</v>
      </c>
      <c r="BD18" s="1109" t="s">
        <v>954</v>
      </c>
      <c r="BE18" s="155"/>
      <c r="BF18" s="1161" t="s">
        <v>1027</v>
      </c>
      <c r="BG18" s="1109" t="s">
        <v>675</v>
      </c>
      <c r="BI18" s="1162"/>
      <c r="BJ18" s="1035"/>
      <c r="BK18" s="1035"/>
      <c r="BL18" s="336"/>
      <c r="BM18" s="1179">
        <f t="shared" si="0"/>
        <v>0</v>
      </c>
    </row>
    <row r="19" spans="1:65" ht="15.75" customHeight="1">
      <c r="A19" s="340"/>
      <c r="B19" s="287" t="s">
        <v>2509</v>
      </c>
      <c r="C19" s="288">
        <f t="shared" ref="C19" si="4">C17+G18</f>
        <v>20997</v>
      </c>
      <c r="D19" s="287"/>
      <c r="E19" s="287"/>
      <c r="F19" s="287"/>
      <c r="G19" s="292"/>
      <c r="H19" s="291" t="s">
        <v>3269</v>
      </c>
      <c r="I19" s="291" t="s">
        <v>656</v>
      </c>
      <c r="J19" s="288"/>
      <c r="K19" s="287"/>
      <c r="L19" s="287" t="s">
        <v>1061</v>
      </c>
      <c r="M19" s="287" t="s">
        <v>2672</v>
      </c>
      <c r="N19" s="287"/>
      <c r="O19" s="287"/>
      <c r="P19" s="287"/>
      <c r="Q19" s="1121"/>
      <c r="R19" s="1121"/>
      <c r="S19" s="1121"/>
      <c r="T19" s="1121"/>
      <c r="U19" s="1121"/>
      <c r="V19" s="1121"/>
      <c r="W19" s="1121"/>
      <c r="X19" s="1121"/>
      <c r="Y19" s="1121"/>
      <c r="Z19" s="1121"/>
      <c r="AA19" s="1121"/>
      <c r="AB19" s="1121"/>
      <c r="AC19" s="1121"/>
      <c r="AD19" s="1121"/>
      <c r="AE19" s="1121"/>
      <c r="AF19" s="1121"/>
      <c r="AG19" s="1121"/>
      <c r="AH19" s="1121"/>
      <c r="AI19" s="477"/>
      <c r="AJ19" s="287"/>
      <c r="AK19" s="287"/>
      <c r="AL19" s="287"/>
      <c r="AM19" s="1121" t="s">
        <v>1228</v>
      </c>
      <c r="AN19" s="287"/>
      <c r="AO19" s="287"/>
      <c r="AP19" s="287"/>
      <c r="AQ19" s="1163"/>
      <c r="AR19" s="1163"/>
      <c r="AS19" s="1163"/>
      <c r="AT19" s="315"/>
      <c r="AU19" s="1163"/>
      <c r="AV19" s="1163"/>
      <c r="AW19" s="315" t="s">
        <v>2634</v>
      </c>
      <c r="AX19" s="315" t="s">
        <v>1639</v>
      </c>
      <c r="AY19" s="287">
        <v>3.4</v>
      </c>
      <c r="AZ19" s="287"/>
      <c r="BA19" s="287"/>
      <c r="BC19" s="1161" t="s">
        <v>1605</v>
      </c>
      <c r="BD19" s="1109" t="s">
        <v>1059</v>
      </c>
      <c r="BE19" s="155"/>
      <c r="BF19" s="1161" t="s">
        <v>1028</v>
      </c>
      <c r="BG19" s="1109" t="s">
        <v>916</v>
      </c>
      <c r="BI19" s="1180" t="s">
        <v>1084</v>
      </c>
      <c r="BJ19" s="1181"/>
      <c r="BK19" s="1181"/>
      <c r="BL19" s="1181"/>
      <c r="BM19" s="1182">
        <f>SUM(BM13:BM18)</f>
        <v>0</v>
      </c>
    </row>
    <row r="20" spans="1:65" ht="15.75" customHeight="1">
      <c r="A20" s="340"/>
      <c r="B20" s="287"/>
      <c r="C20" s="288"/>
      <c r="D20" s="287"/>
      <c r="E20" s="287"/>
      <c r="F20" s="287"/>
      <c r="G20" s="1163"/>
      <c r="H20" s="287"/>
      <c r="I20" s="287"/>
      <c r="J20" s="288">
        <f>C19+7.5</f>
        <v>21004.5</v>
      </c>
      <c r="K20" s="287" t="s">
        <v>653</v>
      </c>
      <c r="L20" s="287"/>
      <c r="M20" s="287"/>
      <c r="N20" s="287"/>
      <c r="O20" s="287"/>
      <c r="P20" s="287"/>
      <c r="Q20" s="1121"/>
      <c r="R20" s="1121"/>
      <c r="S20" s="1121"/>
      <c r="T20" s="1121"/>
      <c r="U20" s="1121"/>
      <c r="V20" s="1121"/>
      <c r="W20" s="1121"/>
      <c r="X20" s="1121"/>
      <c r="Y20" s="1121"/>
      <c r="Z20" s="1121"/>
      <c r="AA20" s="1121"/>
      <c r="AB20" s="1121"/>
      <c r="AC20" s="1121"/>
      <c r="AD20" s="1121"/>
      <c r="AE20" s="1121"/>
      <c r="AF20" s="1121"/>
      <c r="AG20" s="1121"/>
      <c r="AH20" s="1121"/>
      <c r="AI20" s="477"/>
      <c r="AJ20" s="287"/>
      <c r="AK20" s="287"/>
      <c r="AL20" s="287"/>
      <c r="AM20" s="287"/>
      <c r="AN20" s="287"/>
      <c r="AO20" s="287"/>
      <c r="AP20" s="287"/>
      <c r="AQ20" s="1163"/>
      <c r="AR20" s="1163"/>
      <c r="AS20" s="1163"/>
      <c r="AT20" s="1163"/>
      <c r="AU20" s="1163"/>
      <c r="AV20" s="1163"/>
      <c r="AW20" s="315" t="s">
        <v>2634</v>
      </c>
      <c r="AX20" s="315" t="s">
        <v>1639</v>
      </c>
      <c r="AY20" s="287" t="s">
        <v>695</v>
      </c>
      <c r="AZ20" s="287" t="s">
        <v>2736</v>
      </c>
      <c r="BA20" s="287"/>
      <c r="BC20" s="1161" t="s">
        <v>1039</v>
      </c>
      <c r="BD20" s="1109" t="s">
        <v>143</v>
      </c>
      <c r="BE20" s="155"/>
      <c r="BF20" s="1161" t="s">
        <v>1029</v>
      </c>
      <c r="BG20" s="1109" t="s">
        <v>917</v>
      </c>
      <c r="BI20" s="1183"/>
      <c r="BJ20" s="1181"/>
      <c r="BK20" s="1181"/>
      <c r="BL20" s="1181"/>
      <c r="BM20" s="1184"/>
    </row>
    <row r="21" spans="1:65" ht="15.75" customHeight="1" thickBot="1">
      <c r="A21" s="1092"/>
      <c r="B21" s="1093"/>
      <c r="C21" s="1089"/>
      <c r="D21" s="1093"/>
      <c r="E21" s="1093"/>
      <c r="F21" s="1093"/>
      <c r="G21" s="1185"/>
      <c r="H21" s="1093"/>
      <c r="I21" s="1093"/>
      <c r="J21" s="1089"/>
      <c r="K21" s="1093"/>
      <c r="L21" s="1093"/>
      <c r="M21" s="1093"/>
      <c r="N21" s="1093"/>
      <c r="O21" s="1093"/>
      <c r="P21" s="1093"/>
      <c r="Q21" s="1090"/>
      <c r="R21" s="1090"/>
      <c r="S21" s="1090"/>
      <c r="T21" s="1090"/>
      <c r="U21" s="1090"/>
      <c r="V21" s="1090"/>
      <c r="W21" s="1090"/>
      <c r="X21" s="1090"/>
      <c r="Y21" s="1090"/>
      <c r="Z21" s="1090"/>
      <c r="AA21" s="1090"/>
      <c r="AB21" s="1090"/>
      <c r="AC21" s="1090"/>
      <c r="AD21" s="1090"/>
      <c r="AE21" s="1090"/>
      <c r="AF21" s="1090"/>
      <c r="AG21" s="1090"/>
      <c r="AH21" s="1090"/>
      <c r="AI21" s="1091"/>
      <c r="AJ21" s="1093"/>
      <c r="AK21" s="1093"/>
      <c r="AL21" s="1093"/>
      <c r="AM21" s="1093"/>
      <c r="AN21" s="1093"/>
      <c r="AO21" s="287"/>
      <c r="AP21" s="287"/>
      <c r="AQ21" s="1163"/>
      <c r="AR21" s="1163"/>
      <c r="AS21" s="1163"/>
      <c r="AT21" s="1163"/>
      <c r="AU21" s="1163"/>
      <c r="AV21" s="1163"/>
      <c r="AW21" s="287"/>
      <c r="AX21" s="315"/>
      <c r="AY21" s="287" t="s">
        <v>695</v>
      </c>
      <c r="AZ21" s="287"/>
      <c r="BA21" s="287"/>
      <c r="BC21" s="1161" t="s">
        <v>1040</v>
      </c>
      <c r="BD21" s="1109" t="s">
        <v>142</v>
      </c>
      <c r="BE21" s="155"/>
      <c r="BF21" s="1161" t="s">
        <v>1030</v>
      </c>
      <c r="BG21" s="1109" t="s">
        <v>918</v>
      </c>
      <c r="BI21" s="1168" t="s">
        <v>1086</v>
      </c>
      <c r="BJ21" s="1029"/>
      <c r="BK21" s="1029"/>
      <c r="BL21" s="1029"/>
      <c r="BM21" s="1169">
        <f>SUM(BK13:BK18)/1000-SUM(BJ13:BJ18)/1000</f>
        <v>0</v>
      </c>
    </row>
    <row r="22" spans="1:65" ht="15.75" customHeight="1">
      <c r="A22" s="340"/>
      <c r="B22" s="289" t="s">
        <v>2510</v>
      </c>
      <c r="C22" s="288">
        <v>21054</v>
      </c>
      <c r="D22" s="1121"/>
      <c r="E22" s="1121"/>
      <c r="F22" s="289">
        <v>0</v>
      </c>
      <c r="G22" s="292"/>
      <c r="H22" s="1121"/>
      <c r="I22" s="1121"/>
      <c r="J22" s="288"/>
      <c r="K22" s="1121"/>
      <c r="L22" s="287" t="s">
        <v>882</v>
      </c>
      <c r="M22" s="287" t="s">
        <v>2675</v>
      </c>
      <c r="N22" s="287"/>
      <c r="O22" s="287"/>
      <c r="P22" s="287"/>
      <c r="Q22" s="1121"/>
      <c r="R22" s="1121"/>
      <c r="S22" s="1121"/>
      <c r="T22" s="1121"/>
      <c r="U22" s="1121"/>
      <c r="V22" s="1121"/>
      <c r="W22" s="1121"/>
      <c r="X22" s="1121"/>
      <c r="Y22" s="1121"/>
      <c r="Z22" s="1121"/>
      <c r="AA22" s="1121"/>
      <c r="AB22" s="1121"/>
      <c r="AC22" s="1121"/>
      <c r="AD22" s="1121"/>
      <c r="AE22" s="1121"/>
      <c r="AF22" s="1121"/>
      <c r="AG22" s="1121"/>
      <c r="AH22" s="1121"/>
      <c r="AI22" s="477"/>
      <c r="AJ22" s="287"/>
      <c r="AK22" s="287"/>
      <c r="AL22" s="1121" t="s">
        <v>2518</v>
      </c>
      <c r="AM22" s="287" t="s">
        <v>1228</v>
      </c>
      <c r="AN22" s="287"/>
      <c r="AO22" s="287"/>
      <c r="AP22" s="287"/>
      <c r="AQ22" s="1163"/>
      <c r="AR22" s="1163"/>
      <c r="AS22" s="1163"/>
      <c r="AT22" s="1163"/>
      <c r="AU22" s="1163"/>
      <c r="AV22" s="1163"/>
      <c r="AW22" s="315" t="s">
        <v>2634</v>
      </c>
      <c r="AX22" s="315" t="s">
        <v>1639</v>
      </c>
      <c r="AY22" s="287">
        <v>3.8</v>
      </c>
      <c r="AZ22" s="287"/>
      <c r="BA22" s="287"/>
      <c r="BC22" s="1161" t="s">
        <v>995</v>
      </c>
      <c r="BD22" s="1109" t="s">
        <v>656</v>
      </c>
      <c r="BF22" s="1161" t="s">
        <v>1021</v>
      </c>
      <c r="BG22" s="1109" t="s">
        <v>959</v>
      </c>
      <c r="BI22" s="1162"/>
      <c r="BJ22" s="317"/>
      <c r="BK22" s="317"/>
      <c r="BL22" s="1028"/>
      <c r="BM22" s="1149">
        <f t="shared" ref="BM22:BM27" si="5">+(BK22-BJ22)*BL22/1000</f>
        <v>0</v>
      </c>
    </row>
    <row r="23" spans="1:65" ht="15.75" customHeight="1">
      <c r="A23" s="340"/>
      <c r="B23" s="391"/>
      <c r="C23" s="288"/>
      <c r="D23" s="1121"/>
      <c r="E23" s="1121"/>
      <c r="F23" s="289"/>
      <c r="G23" s="292">
        <v>10</v>
      </c>
      <c r="H23" s="1121"/>
      <c r="I23" s="1121"/>
      <c r="J23" s="288"/>
      <c r="K23" s="1121"/>
      <c r="L23" s="1121"/>
      <c r="M23" s="1121"/>
      <c r="N23" s="291"/>
      <c r="O23" s="291"/>
      <c r="P23" s="1121"/>
      <c r="Q23" s="1121"/>
      <c r="R23" s="1121"/>
      <c r="S23" s="1121"/>
      <c r="T23" s="1121"/>
      <c r="U23" s="1121"/>
      <c r="V23" s="1121"/>
      <c r="W23" s="1121"/>
      <c r="X23" s="1121"/>
      <c r="Y23" s="1121"/>
      <c r="Z23" s="1121"/>
      <c r="AA23" s="1121"/>
      <c r="AB23" s="1121"/>
      <c r="AC23" s="1121"/>
      <c r="AD23" s="1121"/>
      <c r="AE23" s="1121"/>
      <c r="AF23" s="1121"/>
      <c r="AG23" s="1121"/>
      <c r="AH23" s="1121"/>
      <c r="AI23" s="477"/>
      <c r="AJ23" s="1121"/>
      <c r="AK23" s="291"/>
      <c r="AL23" s="1121"/>
      <c r="AM23" s="1121"/>
      <c r="AN23" s="291"/>
      <c r="AO23" s="291"/>
      <c r="AP23" s="287"/>
      <c r="AQ23" s="1163">
        <f>+FL_2($T$24,$T$22,$G$23,1200,9.28, -1*$F$24)</f>
        <v>-0.35</v>
      </c>
      <c r="AR23" s="1163"/>
      <c r="AS23" s="1163"/>
      <c r="AT23" s="1163"/>
      <c r="AU23" s="1163"/>
      <c r="AV23" s="1163"/>
      <c r="AW23" s="1121"/>
      <c r="AX23" s="1121"/>
      <c r="AY23" s="287" t="s">
        <v>695</v>
      </c>
      <c r="AZ23" s="287"/>
      <c r="BA23" s="287"/>
      <c r="BC23" s="1161" t="s">
        <v>996</v>
      </c>
      <c r="BD23" s="1109" t="s">
        <v>657</v>
      </c>
      <c r="BF23" s="1161" t="s">
        <v>1022</v>
      </c>
      <c r="BG23" s="1109" t="s">
        <v>963</v>
      </c>
      <c r="BI23" s="1162"/>
      <c r="BJ23" s="317"/>
      <c r="BK23" s="317"/>
      <c r="BL23" s="1028"/>
      <c r="BM23" s="1149">
        <f t="shared" si="5"/>
        <v>0</v>
      </c>
    </row>
    <row r="24" spans="1:65" ht="15.75" customHeight="1">
      <c r="A24" s="340"/>
      <c r="B24" s="391" t="s">
        <v>2511</v>
      </c>
      <c r="C24" s="288">
        <f>C22+G23</f>
        <v>21064</v>
      </c>
      <c r="D24" s="1121"/>
      <c r="E24" s="1121"/>
      <c r="F24" s="289">
        <v>-2000</v>
      </c>
      <c r="G24" s="292"/>
      <c r="H24" s="1121"/>
      <c r="I24" s="291"/>
      <c r="J24" s="288"/>
      <c r="K24" s="1121"/>
      <c r="L24" s="287" t="s">
        <v>2515</v>
      </c>
      <c r="M24" s="287" t="s">
        <v>2788</v>
      </c>
      <c r="N24" s="291" t="s">
        <v>144</v>
      </c>
      <c r="O24" s="291"/>
      <c r="P24" s="1121"/>
      <c r="Q24" s="1121">
        <v>0</v>
      </c>
      <c r="R24" s="1121">
        <v>-350</v>
      </c>
      <c r="S24" s="1121"/>
      <c r="T24" s="1121">
        <v>-35</v>
      </c>
      <c r="U24" s="1121"/>
      <c r="V24" s="1121"/>
      <c r="W24" s="1121">
        <v>1.4</v>
      </c>
      <c r="X24" s="1121"/>
      <c r="Y24" s="1121"/>
      <c r="Z24" s="1121"/>
      <c r="AA24" s="1121"/>
      <c r="AB24" s="1121"/>
      <c r="AC24" s="1121" t="s">
        <v>2995</v>
      </c>
      <c r="AD24" s="1121"/>
      <c r="AE24" s="1121"/>
      <c r="AF24" s="1121">
        <v>5800</v>
      </c>
      <c r="AG24" s="288">
        <v>21064.21</v>
      </c>
      <c r="AH24" s="1121">
        <v>2783</v>
      </c>
      <c r="AI24" s="477">
        <v>644</v>
      </c>
      <c r="AJ24" s="1121"/>
      <c r="AK24" s="291"/>
      <c r="AL24" s="1121" t="s">
        <v>894</v>
      </c>
      <c r="AM24" s="1121" t="s">
        <v>1228</v>
      </c>
      <c r="AN24" s="291">
        <v>5.5</v>
      </c>
      <c r="AO24" s="291"/>
      <c r="AP24" s="287"/>
      <c r="AQ24" s="1163"/>
      <c r="AR24" s="1163"/>
      <c r="AS24" s="1163"/>
      <c r="AT24" s="1163">
        <f>+ab($T$24,$T$22,$T$28,$G$23,$G$25, 1*$F$24,1200)</f>
        <v>-2.805939990604609</v>
      </c>
      <c r="AU24" s="1163"/>
      <c r="AV24" s="1163"/>
      <c r="AW24" s="315" t="s">
        <v>2634</v>
      </c>
      <c r="AX24" s="315" t="s">
        <v>1641</v>
      </c>
      <c r="AY24" s="287" t="s">
        <v>2735</v>
      </c>
      <c r="AZ24" s="287"/>
      <c r="BA24" s="287"/>
      <c r="BC24" s="1161" t="s">
        <v>997</v>
      </c>
      <c r="BD24" s="1109" t="s">
        <v>912</v>
      </c>
      <c r="BF24" s="1161" t="s">
        <v>1591</v>
      </c>
      <c r="BG24" s="1109" t="s">
        <v>1592</v>
      </c>
      <c r="BI24" s="1162"/>
      <c r="BJ24" s="317"/>
      <c r="BK24" s="317"/>
      <c r="BL24" s="1028"/>
      <c r="BM24" s="1149">
        <f t="shared" si="5"/>
        <v>0</v>
      </c>
    </row>
    <row r="25" spans="1:65" ht="15.75" customHeight="1">
      <c r="A25" s="340"/>
      <c r="B25" s="391"/>
      <c r="C25" s="288"/>
      <c r="D25" s="1121"/>
      <c r="E25" s="1121"/>
      <c r="F25" s="289"/>
      <c r="G25" s="292">
        <v>30</v>
      </c>
      <c r="H25" s="1165"/>
      <c r="I25" s="291"/>
      <c r="J25" s="288"/>
      <c r="K25" s="1121"/>
      <c r="L25" s="1121"/>
      <c r="M25" s="1121"/>
      <c r="N25" s="291"/>
      <c r="O25" s="291"/>
      <c r="P25" s="1121"/>
      <c r="Q25" s="1121"/>
      <c r="R25" s="1121"/>
      <c r="S25" s="1121"/>
      <c r="T25" s="1121"/>
      <c r="U25" s="1121"/>
      <c r="V25" s="1121"/>
      <c r="W25" s="1121"/>
      <c r="X25" s="1121"/>
      <c r="Y25" s="1121"/>
      <c r="Z25" s="1121"/>
      <c r="AA25" s="1121"/>
      <c r="AB25" s="1121"/>
      <c r="AC25" s="1121"/>
      <c r="AD25" s="1121"/>
      <c r="AE25" s="1121"/>
      <c r="AF25" s="1121"/>
      <c r="AG25" s="288"/>
      <c r="AH25" s="1121"/>
      <c r="AI25" s="1121"/>
      <c r="AJ25" s="1121"/>
      <c r="AK25" s="291"/>
      <c r="AL25" s="1121"/>
      <c r="AM25" s="1121"/>
      <c r="AN25" s="291"/>
      <c r="AO25" s="291"/>
      <c r="AP25" s="287"/>
      <c r="AQ25" s="1163">
        <f>+FL_2($T$28,$T$24,$G$25,1200,9.28,- 1*$F$26)</f>
        <v>-0.35000000000002224</v>
      </c>
      <c r="AR25" s="1163"/>
      <c r="AS25" s="1163"/>
      <c r="AT25" s="1163"/>
      <c r="AU25" s="1163"/>
      <c r="AV25" s="1163"/>
      <c r="AW25" s="1121"/>
      <c r="AX25" s="1121"/>
      <c r="AY25" s="1121" t="s">
        <v>695</v>
      </c>
      <c r="AZ25" s="1121"/>
      <c r="BA25" s="1121"/>
      <c r="BC25" s="1161" t="s">
        <v>998</v>
      </c>
      <c r="BD25" s="1109" t="s">
        <v>911</v>
      </c>
      <c r="BF25" s="1161" t="s">
        <v>1005</v>
      </c>
      <c r="BG25" s="1109" t="s">
        <v>961</v>
      </c>
      <c r="BI25" s="1162"/>
      <c r="BJ25" s="317"/>
      <c r="BK25" s="317"/>
      <c r="BL25" s="1028"/>
      <c r="BM25" s="1149">
        <f t="shared" si="5"/>
        <v>0</v>
      </c>
    </row>
    <row r="26" spans="1:65" ht="15.75" customHeight="1">
      <c r="A26" s="289"/>
      <c r="B26" s="391" t="s">
        <v>2559</v>
      </c>
      <c r="C26" s="288">
        <f>C24+G25</f>
        <v>21094</v>
      </c>
      <c r="D26" s="1121"/>
      <c r="E26" s="1121"/>
      <c r="F26" s="289">
        <v>0</v>
      </c>
      <c r="G26" s="292"/>
      <c r="H26" s="291"/>
      <c r="I26" s="291"/>
      <c r="J26" s="288"/>
      <c r="K26" s="1121"/>
      <c r="L26" s="287" t="s">
        <v>2515</v>
      </c>
      <c r="M26" s="287" t="s">
        <v>2788</v>
      </c>
      <c r="N26" s="291"/>
      <c r="O26" s="291"/>
      <c r="P26" s="1121"/>
      <c r="Q26" s="1121"/>
      <c r="R26" s="1121"/>
      <c r="S26" s="1121"/>
      <c r="T26" s="1121"/>
      <c r="U26" s="1121"/>
      <c r="V26" s="1121"/>
      <c r="W26" s="1121"/>
      <c r="X26" s="1121"/>
      <c r="Y26" s="1121"/>
      <c r="Z26" s="1121"/>
      <c r="AA26" s="1121"/>
      <c r="AB26" s="1121"/>
      <c r="AC26" s="1121"/>
      <c r="AD26" s="1121"/>
      <c r="AE26" s="1121"/>
      <c r="AF26" s="1121"/>
      <c r="AG26" s="288"/>
      <c r="AH26" s="1121"/>
      <c r="AI26" s="1121"/>
      <c r="AJ26" s="1121"/>
      <c r="AK26" s="291"/>
      <c r="AL26" s="1121" t="s">
        <v>894</v>
      </c>
      <c r="AM26" s="1121" t="s">
        <v>1228</v>
      </c>
      <c r="AN26" s="291"/>
      <c r="AO26" s="291"/>
      <c r="AP26" s="287"/>
      <c r="AQ26" s="1163"/>
      <c r="AR26" s="1163"/>
      <c r="AS26" s="1163"/>
      <c r="AT26" s="1163"/>
      <c r="AU26" s="1163"/>
      <c r="AV26" s="1163"/>
      <c r="AW26" s="315" t="s">
        <v>2634</v>
      </c>
      <c r="AX26" s="315" t="s">
        <v>1641</v>
      </c>
      <c r="AY26" s="1121">
        <v>5.5</v>
      </c>
      <c r="AZ26" s="1121"/>
      <c r="BA26" s="1121"/>
      <c r="BC26" s="1161" t="s">
        <v>1604</v>
      </c>
      <c r="BD26" s="1109" t="s">
        <v>1081</v>
      </c>
      <c r="BF26" s="1161" t="s">
        <v>1602</v>
      </c>
      <c r="BG26" s="1109" t="s">
        <v>1603</v>
      </c>
      <c r="BI26" s="1162"/>
      <c r="BJ26" s="317"/>
      <c r="BK26" s="317"/>
      <c r="BL26" s="306"/>
      <c r="BM26" s="1149">
        <f t="shared" si="5"/>
        <v>0</v>
      </c>
    </row>
    <row r="27" spans="1:65" ht="15.75" customHeight="1">
      <c r="A27" s="1165"/>
      <c r="B27" s="391"/>
      <c r="C27" s="288"/>
      <c r="D27" s="1121"/>
      <c r="E27" s="1121"/>
      <c r="F27" s="289"/>
      <c r="G27" s="292">
        <v>6</v>
      </c>
      <c r="H27" s="1121"/>
      <c r="I27" s="291"/>
      <c r="J27" s="288"/>
      <c r="K27" s="1121"/>
      <c r="L27" s="1121"/>
      <c r="M27" s="1121"/>
      <c r="N27" s="291"/>
      <c r="O27" s="291"/>
      <c r="P27" s="1121"/>
      <c r="Q27" s="1121"/>
      <c r="R27" s="1121"/>
      <c r="S27" s="1121"/>
      <c r="T27" s="1121"/>
      <c r="U27" s="1121"/>
      <c r="V27" s="1121"/>
      <c r="W27" s="1121"/>
      <c r="X27" s="1121"/>
      <c r="Y27" s="1121"/>
      <c r="Z27" s="1121"/>
      <c r="AA27" s="1121"/>
      <c r="AB27" s="1121"/>
      <c r="AC27" s="1121"/>
      <c r="AD27" s="1121"/>
      <c r="AE27" s="1121"/>
      <c r="AF27" s="1121"/>
      <c r="AG27" s="288"/>
      <c r="AH27" s="1121"/>
      <c r="AI27" s="477"/>
      <c r="AJ27" s="1121"/>
      <c r="AK27" s="291"/>
      <c r="AL27" s="1121"/>
      <c r="AM27" s="1121"/>
      <c r="AN27" s="291"/>
      <c r="AO27" s="291"/>
      <c r="AP27" s="291"/>
      <c r="AQ27" s="1163"/>
      <c r="AR27" s="1163"/>
      <c r="AS27" s="1163"/>
      <c r="AT27" s="1163"/>
      <c r="AU27" s="1163"/>
      <c r="AV27" s="1163"/>
      <c r="AW27" s="1121"/>
      <c r="AX27" s="1121"/>
      <c r="AY27" s="1121" t="s">
        <v>695</v>
      </c>
      <c r="AZ27" s="1121"/>
      <c r="BA27" s="1121"/>
      <c r="BC27" s="1161" t="s">
        <v>1041</v>
      </c>
      <c r="BD27" s="1109" t="s">
        <v>1224</v>
      </c>
      <c r="BF27" s="1161" t="s">
        <v>1368</v>
      </c>
      <c r="BG27" s="1109" t="s">
        <v>1590</v>
      </c>
      <c r="BI27" s="1162"/>
      <c r="BJ27" s="317"/>
      <c r="BK27" s="317"/>
      <c r="BL27" s="306"/>
      <c r="BM27" s="1149">
        <f t="shared" si="5"/>
        <v>0</v>
      </c>
    </row>
    <row r="28" spans="1:65" ht="15.75" customHeight="1">
      <c r="A28" s="1165"/>
      <c r="B28" s="391" t="s">
        <v>2512</v>
      </c>
      <c r="C28" s="288">
        <f>C26+G27</f>
        <v>21100</v>
      </c>
      <c r="D28" s="1130"/>
      <c r="E28" s="1121"/>
      <c r="F28" s="289">
        <v>0</v>
      </c>
      <c r="G28" s="292"/>
      <c r="H28" s="291"/>
      <c r="I28" s="291" t="s">
        <v>1223</v>
      </c>
      <c r="J28" s="288">
        <f>C28+7.5</f>
        <v>21107.5</v>
      </c>
      <c r="K28" s="1121" t="s">
        <v>658</v>
      </c>
      <c r="L28" s="287" t="s">
        <v>2515</v>
      </c>
      <c r="M28" s="287" t="s">
        <v>2788</v>
      </c>
      <c r="N28" s="291" t="s">
        <v>145</v>
      </c>
      <c r="O28" s="291"/>
      <c r="P28" s="1121"/>
      <c r="Q28" s="1121">
        <v>0</v>
      </c>
      <c r="R28" s="1121">
        <v>0</v>
      </c>
      <c r="S28" s="1121"/>
      <c r="T28" s="1121">
        <v>35</v>
      </c>
      <c r="U28" s="1121"/>
      <c r="V28" s="1121"/>
      <c r="W28" s="1121">
        <v>1.4</v>
      </c>
      <c r="X28" s="1121"/>
      <c r="Y28" s="1121"/>
      <c r="Z28" s="1121"/>
      <c r="AA28" s="1121"/>
      <c r="AB28" s="1121"/>
      <c r="AC28" s="1121" t="s">
        <v>1704</v>
      </c>
      <c r="AD28" s="1121"/>
      <c r="AE28" s="1121"/>
      <c r="AF28" s="1121">
        <v>6000</v>
      </c>
      <c r="AG28" s="288">
        <v>21100.18</v>
      </c>
      <c r="AH28" s="1121">
        <v>2525</v>
      </c>
      <c r="AI28" s="477">
        <v>527</v>
      </c>
      <c r="AJ28" s="1121"/>
      <c r="AK28" s="291"/>
      <c r="AL28" s="1121" t="s">
        <v>894</v>
      </c>
      <c r="AM28" s="1121" t="s">
        <v>1228</v>
      </c>
      <c r="AN28" s="291">
        <v>5.5</v>
      </c>
      <c r="AO28" s="291"/>
      <c r="AP28" s="291"/>
      <c r="AQ28" s="1163"/>
      <c r="AR28" s="1163"/>
      <c r="AS28" s="1163"/>
      <c r="AT28" s="1163">
        <f>+ab($T$28,$T$24,$T$30,($G$27+G25),$G$29, 1*$F$28,1200)</f>
        <v>6.2906042520399215</v>
      </c>
      <c r="AU28" s="1163"/>
      <c r="AV28" s="1163"/>
      <c r="AW28" s="315" t="s">
        <v>2634</v>
      </c>
      <c r="AX28" s="315" t="s">
        <v>1641</v>
      </c>
      <c r="AY28" s="1121">
        <v>5.5</v>
      </c>
      <c r="AZ28" s="1121">
        <v>3.5</v>
      </c>
      <c r="BA28" s="1121"/>
      <c r="BC28" s="1161" t="s">
        <v>1044</v>
      </c>
      <c r="BD28" s="1109" t="s">
        <v>1223</v>
      </c>
      <c r="BF28" s="1161" t="s">
        <v>1369</v>
      </c>
      <c r="BG28" s="1109" t="s">
        <v>1593</v>
      </c>
      <c r="BI28" s="1186"/>
      <c r="BJ28" s="1148"/>
      <c r="BK28" s="1148"/>
      <c r="BL28" s="1148"/>
      <c r="BM28" s="1187"/>
    </row>
    <row r="29" spans="1:65" ht="15.75" customHeight="1">
      <c r="A29" s="1165"/>
      <c r="B29" s="391"/>
      <c r="C29" s="288"/>
      <c r="D29" s="1121"/>
      <c r="E29" s="1121"/>
      <c r="F29" s="289"/>
      <c r="G29" s="292">
        <v>32</v>
      </c>
      <c r="H29" s="1121"/>
      <c r="I29" s="291" t="s">
        <v>2668</v>
      </c>
      <c r="J29" s="288">
        <f>C28+9.5</f>
        <v>21109.5</v>
      </c>
      <c r="K29" s="1121" t="s">
        <v>658</v>
      </c>
      <c r="L29" s="1121"/>
      <c r="M29" s="1121"/>
      <c r="N29" s="291"/>
      <c r="O29" s="1121"/>
      <c r="P29" s="1121"/>
      <c r="Q29" s="1121"/>
      <c r="R29" s="1121"/>
      <c r="S29" s="1121"/>
      <c r="T29" s="1121"/>
      <c r="U29" s="1121"/>
      <c r="V29" s="1121"/>
      <c r="W29" s="1121"/>
      <c r="X29" s="1121"/>
      <c r="Y29" s="1121"/>
      <c r="Z29" s="1121"/>
      <c r="AA29" s="1121"/>
      <c r="AB29" s="1121"/>
      <c r="AC29" s="1121"/>
      <c r="AD29" s="1121"/>
      <c r="AE29" s="1121"/>
      <c r="AF29" s="1121"/>
      <c r="AG29" s="288"/>
      <c r="AH29" s="1121"/>
      <c r="AI29" s="477"/>
      <c r="AJ29" s="1121"/>
      <c r="AK29" s="291"/>
      <c r="AL29" s="1121"/>
      <c r="AM29" s="1121"/>
      <c r="AN29" s="291"/>
      <c r="AO29" s="291"/>
      <c r="AP29" s="291"/>
      <c r="AQ29" s="1163">
        <f>+FL_1($T$30,$T$28,$G$29,1200,9.28, -1*$F$30)</f>
        <v>0.35133293800000004</v>
      </c>
      <c r="AR29" s="1163"/>
      <c r="AS29" s="1163"/>
      <c r="AT29" s="1163"/>
      <c r="AU29" s="1163"/>
      <c r="AV29" s="1163"/>
      <c r="AW29" s="315" t="s">
        <v>2634</v>
      </c>
      <c r="AX29" s="315" t="s">
        <v>1641</v>
      </c>
      <c r="AY29" s="1121" t="s">
        <v>695</v>
      </c>
      <c r="AZ29" s="1121">
        <v>3.5</v>
      </c>
      <c r="BA29" s="1121"/>
      <c r="BC29" s="1161" t="s">
        <v>1042</v>
      </c>
      <c r="BD29" s="1109" t="s">
        <v>1225</v>
      </c>
      <c r="BE29" s="155"/>
      <c r="BF29" s="1161" t="s">
        <v>1365</v>
      </c>
      <c r="BG29" s="1109" t="s">
        <v>944</v>
      </c>
      <c r="BI29" s="1186" t="s">
        <v>934</v>
      </c>
      <c r="BJ29" s="1148"/>
      <c r="BK29" s="1148"/>
      <c r="BL29" s="1148"/>
      <c r="BM29" s="1187">
        <f>SUM(BM22:BM28)</f>
        <v>0</v>
      </c>
    </row>
    <row r="30" spans="1:65" ht="15.75" customHeight="1">
      <c r="A30" s="1165"/>
      <c r="B30" s="391" t="s">
        <v>2560</v>
      </c>
      <c r="C30" s="288">
        <f>C28+G29</f>
        <v>21132</v>
      </c>
      <c r="D30" s="289"/>
      <c r="E30" s="289"/>
      <c r="F30" s="1165"/>
      <c r="G30" s="292"/>
      <c r="H30" s="291" t="s">
        <v>3271</v>
      </c>
      <c r="I30" s="291" t="s">
        <v>656</v>
      </c>
      <c r="J30" s="288"/>
      <c r="K30" s="1121"/>
      <c r="L30" s="287" t="s">
        <v>1061</v>
      </c>
      <c r="M30" s="287" t="s">
        <v>2672</v>
      </c>
      <c r="N30" s="291"/>
      <c r="O30" s="291"/>
      <c r="P30" s="1121"/>
      <c r="Q30" s="1121"/>
      <c r="R30" s="1121"/>
      <c r="S30" s="1121"/>
      <c r="T30" s="1121"/>
      <c r="U30" s="1121"/>
      <c r="V30" s="1121"/>
      <c r="W30" s="1121"/>
      <c r="X30" s="1121"/>
      <c r="Y30" s="1121"/>
      <c r="Z30" s="1121"/>
      <c r="AA30" s="1121"/>
      <c r="AB30" s="1121"/>
      <c r="AC30" s="1121"/>
      <c r="AD30" s="1121"/>
      <c r="AE30" s="1121"/>
      <c r="AF30" s="1121"/>
      <c r="AG30" s="288"/>
      <c r="AH30" s="1121"/>
      <c r="AI30" s="477"/>
      <c r="AJ30" s="1121"/>
      <c r="AK30" s="291"/>
      <c r="AL30" s="1121"/>
      <c r="AM30" s="1121" t="s">
        <v>1228</v>
      </c>
      <c r="AN30" s="291"/>
      <c r="AO30" s="291"/>
      <c r="AP30" s="291"/>
      <c r="AQ30" s="1163"/>
      <c r="AR30" s="1163"/>
      <c r="AS30" s="1163"/>
      <c r="AT30" s="1163"/>
      <c r="AU30" s="1163"/>
      <c r="AV30" s="1163"/>
      <c r="AW30" s="315" t="s">
        <v>2634</v>
      </c>
      <c r="AX30" s="315" t="s">
        <v>1639</v>
      </c>
      <c r="AY30" s="1121">
        <v>3.4</v>
      </c>
      <c r="AZ30" s="1121"/>
      <c r="BA30" s="1121"/>
      <c r="BC30" s="1161" t="s">
        <v>1043</v>
      </c>
      <c r="BD30" s="1109" t="s">
        <v>1226</v>
      </c>
      <c r="BE30" s="155"/>
      <c r="BF30" s="1161"/>
      <c r="BG30" s="1109"/>
      <c r="BI30" s="1186"/>
      <c r="BJ30" s="1148"/>
      <c r="BK30" s="1148"/>
      <c r="BL30" s="1148"/>
      <c r="BM30" s="1187"/>
    </row>
    <row r="31" spans="1:65" ht="15.75" customHeight="1">
      <c r="A31" s="1165"/>
      <c r="B31" s="391"/>
      <c r="C31" s="288"/>
      <c r="D31" s="289"/>
      <c r="E31" s="289"/>
      <c r="F31" s="1165"/>
      <c r="G31" s="292"/>
      <c r="H31" s="1121"/>
      <c r="I31" s="382">
        <f>21197-C5</f>
        <v>436</v>
      </c>
      <c r="J31" s="288">
        <f>C30+7.5</f>
        <v>21139.5</v>
      </c>
      <c r="K31" s="1121" t="s">
        <v>653</v>
      </c>
      <c r="L31" s="1121"/>
      <c r="M31" s="1121"/>
      <c r="N31" s="291"/>
      <c r="O31" s="291"/>
      <c r="P31" s="1121"/>
      <c r="Q31" s="1121"/>
      <c r="R31" s="1121"/>
      <c r="S31" s="1121"/>
      <c r="T31" s="1121"/>
      <c r="U31" s="1121"/>
      <c r="V31" s="1121"/>
      <c r="W31" s="1121"/>
      <c r="X31" s="1121"/>
      <c r="Y31" s="1121"/>
      <c r="Z31" s="1121"/>
      <c r="AA31" s="1121"/>
      <c r="AB31" s="1121"/>
      <c r="AC31" s="1121"/>
      <c r="AD31" s="1121"/>
      <c r="AE31" s="1121"/>
      <c r="AF31" s="1121"/>
      <c r="AG31" s="288"/>
      <c r="AH31" s="1121"/>
      <c r="AI31" s="477"/>
      <c r="AJ31" s="1121"/>
      <c r="AK31" s="291"/>
      <c r="AL31" s="1121"/>
      <c r="AM31" s="1121"/>
      <c r="AN31" s="291"/>
      <c r="AO31" s="291"/>
      <c r="AP31" s="291"/>
      <c r="AQ31" s="1163"/>
      <c r="AR31" s="1163"/>
      <c r="AS31" s="1163"/>
      <c r="AT31" s="1163"/>
      <c r="AU31" s="1163"/>
      <c r="AV31" s="1163"/>
      <c r="AW31" s="315" t="s">
        <v>2634</v>
      </c>
      <c r="AX31" s="315" t="s">
        <v>1641</v>
      </c>
      <c r="AY31" s="1121" t="s">
        <v>695</v>
      </c>
      <c r="AZ31" s="1121">
        <v>2.5</v>
      </c>
      <c r="BA31" s="1121"/>
      <c r="BC31" s="1161" t="s">
        <v>1045</v>
      </c>
      <c r="BD31" s="1109" t="s">
        <v>1004</v>
      </c>
      <c r="BE31" s="155"/>
      <c r="BF31" s="1161" t="s">
        <v>1008</v>
      </c>
      <c r="BG31" s="1109" t="s">
        <v>967</v>
      </c>
      <c r="BI31" s="1183"/>
      <c r="BJ31" s="1181"/>
      <c r="BK31" s="1181"/>
      <c r="BL31" s="1181"/>
      <c r="BM31" s="1184"/>
    </row>
    <row r="32" spans="1:65" ht="15.75" customHeight="1" thickBot="1">
      <c r="A32" s="1165"/>
      <c r="B32" s="391"/>
      <c r="C32" s="288"/>
      <c r="D32" s="289"/>
      <c r="E32" s="289"/>
      <c r="F32" s="1165"/>
      <c r="G32" s="292"/>
      <c r="H32" s="293"/>
      <c r="I32" s="1165"/>
      <c r="J32" s="288"/>
      <c r="K32" s="1121"/>
      <c r="L32" s="287"/>
      <c r="M32" s="287"/>
      <c r="N32" s="291"/>
      <c r="O32" s="291"/>
      <c r="P32" s="1121"/>
      <c r="Q32" s="1121"/>
      <c r="R32" s="1121"/>
      <c r="S32" s="1121"/>
      <c r="T32" s="1121"/>
      <c r="U32" s="1121"/>
      <c r="V32" s="1121"/>
      <c r="W32" s="1121"/>
      <c r="X32" s="1121"/>
      <c r="Y32" s="1121"/>
      <c r="Z32" s="1121"/>
      <c r="AA32" s="1121"/>
      <c r="AB32" s="1121"/>
      <c r="AC32" s="1121"/>
      <c r="AD32" s="1121"/>
      <c r="AE32" s="1121"/>
      <c r="AF32" s="1121"/>
      <c r="AG32" s="288"/>
      <c r="AH32" s="1121"/>
      <c r="AI32" s="477"/>
      <c r="AJ32" s="1121"/>
      <c r="AK32" s="291"/>
      <c r="AL32" s="1121"/>
      <c r="AM32" s="1121"/>
      <c r="AN32" s="291"/>
      <c r="AO32" s="291"/>
      <c r="AP32" s="291"/>
      <c r="AQ32" s="1163"/>
      <c r="AR32" s="1163"/>
      <c r="AS32" s="1163"/>
      <c r="AT32" s="1163"/>
      <c r="AU32" s="1163"/>
      <c r="AV32" s="1163"/>
      <c r="AW32" s="1121"/>
      <c r="AX32" s="1121"/>
      <c r="AY32" s="1121" t="s">
        <v>695</v>
      </c>
      <c r="AZ32" s="1121"/>
      <c r="BA32" s="1121"/>
      <c r="BC32" s="1161"/>
      <c r="BD32" s="1109"/>
      <c r="BE32" s="1136"/>
      <c r="BF32" s="1161" t="s">
        <v>1009</v>
      </c>
      <c r="BG32" s="1109" t="s">
        <v>1006</v>
      </c>
      <c r="BI32" s="1168" t="s">
        <v>1085</v>
      </c>
      <c r="BJ32" s="1029"/>
      <c r="BK32" s="1029"/>
      <c r="BL32" s="1029"/>
      <c r="BM32" s="1188">
        <f>SUM(BK22:BK27)-SUM(BJ22:BJ27)</f>
        <v>0</v>
      </c>
    </row>
    <row r="33" spans="1:65" ht="15.75" customHeight="1">
      <c r="A33" s="312"/>
      <c r="B33" s="312"/>
      <c r="C33" s="312"/>
      <c r="D33" s="312"/>
      <c r="E33" s="312"/>
      <c r="F33" s="312"/>
      <c r="G33" s="312"/>
      <c r="H33" s="312"/>
      <c r="I33" s="312"/>
      <c r="J33" s="1112"/>
      <c r="K33" s="312"/>
      <c r="L33" s="312"/>
      <c r="M33" s="312"/>
      <c r="N33" s="467"/>
      <c r="O33" s="467"/>
      <c r="P33" s="312"/>
      <c r="Q33" s="312"/>
      <c r="R33" s="312"/>
      <c r="S33" s="312"/>
      <c r="T33" s="312"/>
      <c r="U33" s="312"/>
      <c r="V33" s="312"/>
      <c r="W33" s="312"/>
      <c r="X33" s="312"/>
      <c r="Y33" s="312"/>
      <c r="Z33" s="312"/>
      <c r="AA33" s="312"/>
      <c r="AB33" s="312"/>
      <c r="AC33" s="312"/>
      <c r="AD33" s="312"/>
      <c r="AE33" s="312"/>
      <c r="AF33" s="418"/>
      <c r="AG33" s="312"/>
      <c r="AH33" s="312"/>
      <c r="AI33" s="1077"/>
      <c r="AJ33" s="312"/>
      <c r="AL33" s="312"/>
      <c r="AM33" s="312"/>
      <c r="AN33" s="462"/>
      <c r="AO33" s="462"/>
      <c r="AP33" s="462"/>
      <c r="BC33" s="1161" t="s">
        <v>1607</v>
      </c>
      <c r="BD33" s="1109" t="s">
        <v>1060</v>
      </c>
      <c r="BE33" s="1136"/>
      <c r="BF33" s="1167" t="s">
        <v>1015</v>
      </c>
      <c r="BG33" s="170"/>
    </row>
    <row r="34" spans="1:65" ht="15.75" customHeight="1">
      <c r="B34" s="1134"/>
      <c r="C34" s="1134"/>
      <c r="G34" s="1134"/>
      <c r="H34" s="1134"/>
      <c r="I34" s="462"/>
      <c r="J34" s="1112"/>
      <c r="K34" s="312"/>
      <c r="L34" s="312"/>
      <c r="M34" s="418"/>
      <c r="N34" s="467"/>
      <c r="O34" s="467"/>
      <c r="P34" s="312"/>
      <c r="Q34" s="312"/>
      <c r="R34" s="312"/>
      <c r="S34" s="312"/>
      <c r="T34" s="312"/>
      <c r="U34" s="312"/>
      <c r="V34" s="312"/>
      <c r="W34" s="312"/>
      <c r="X34" s="312"/>
      <c r="Y34" s="312"/>
      <c r="Z34" s="312"/>
      <c r="AA34" s="312"/>
      <c r="AB34" s="312"/>
      <c r="AC34" s="312"/>
      <c r="AD34" s="312"/>
      <c r="AE34" s="312"/>
      <c r="AF34" s="418"/>
      <c r="AG34" s="312"/>
      <c r="AH34" s="312"/>
      <c r="AI34" s="1077"/>
      <c r="AJ34" s="312"/>
      <c r="AL34" s="312"/>
      <c r="AM34" s="312"/>
      <c r="AN34" s="462"/>
      <c r="AO34" s="462"/>
      <c r="AP34" s="462"/>
      <c r="BC34" s="1161" t="s">
        <v>1609</v>
      </c>
      <c r="BD34" s="1109" t="s">
        <v>1606</v>
      </c>
      <c r="BE34" s="1136"/>
      <c r="BF34" s="1161" t="s">
        <v>1016</v>
      </c>
      <c r="BG34" s="1109" t="s">
        <v>1001</v>
      </c>
    </row>
    <row r="35" spans="1:65" ht="15.75" customHeight="1">
      <c r="B35" s="1134"/>
      <c r="C35" s="1134"/>
      <c r="G35" s="1134"/>
      <c r="H35" s="1134"/>
      <c r="I35" s="462"/>
      <c r="J35" s="1112"/>
      <c r="K35" s="312"/>
      <c r="L35" s="312"/>
      <c r="M35" s="312"/>
      <c r="N35" s="467"/>
      <c r="O35" s="467"/>
      <c r="P35" s="312"/>
      <c r="Q35" s="312"/>
      <c r="R35" s="312"/>
      <c r="S35" s="312"/>
      <c r="T35" s="312"/>
      <c r="U35" s="312"/>
      <c r="V35" s="312"/>
      <c r="W35" s="312"/>
      <c r="X35" s="312"/>
      <c r="Y35" s="312"/>
      <c r="Z35" s="312"/>
      <c r="AA35" s="312"/>
      <c r="AB35" s="312"/>
      <c r="AC35" s="312"/>
      <c r="AD35" s="312"/>
      <c r="AE35" s="312"/>
      <c r="AF35" s="418"/>
      <c r="AG35" s="312"/>
      <c r="AH35" s="312"/>
      <c r="AI35" s="1077"/>
      <c r="AJ35" s="312"/>
      <c r="AL35" s="312"/>
      <c r="AM35" s="312"/>
      <c r="AN35" s="462"/>
      <c r="AO35" s="462"/>
      <c r="AP35" s="462"/>
      <c r="BC35" s="1161"/>
      <c r="BD35" s="1187"/>
      <c r="BE35" s="1136"/>
      <c r="BF35" s="1161" t="s">
        <v>1017</v>
      </c>
      <c r="BG35" s="1109" t="s">
        <v>1684</v>
      </c>
    </row>
    <row r="36" spans="1:65" ht="15.75" customHeight="1">
      <c r="A36" s="312"/>
      <c r="B36" s="312"/>
      <c r="C36" s="312"/>
      <c r="D36" s="312"/>
      <c r="E36" s="312"/>
      <c r="F36" s="312"/>
      <c r="G36" s="312"/>
      <c r="H36" s="312"/>
      <c r="I36" s="312"/>
      <c r="J36" s="1112"/>
      <c r="K36" s="312"/>
      <c r="L36" s="312"/>
      <c r="M36" s="418"/>
      <c r="N36" s="312"/>
      <c r="O36" s="467"/>
      <c r="P36" s="312"/>
      <c r="Q36" s="312"/>
      <c r="R36" s="312"/>
      <c r="S36" s="312"/>
      <c r="T36" s="312"/>
      <c r="U36" s="312"/>
      <c r="V36" s="312"/>
      <c r="W36" s="312"/>
      <c r="X36" s="312"/>
      <c r="Y36" s="312"/>
      <c r="Z36" s="312"/>
      <c r="AA36" s="312"/>
      <c r="AB36" s="312"/>
      <c r="AC36" s="312"/>
      <c r="AD36" s="312"/>
      <c r="AE36" s="312"/>
      <c r="AF36" s="418"/>
      <c r="AG36" s="312"/>
      <c r="AH36" s="312"/>
      <c r="AI36" s="1077"/>
      <c r="AJ36" s="312"/>
      <c r="AL36" s="312"/>
      <c r="AM36" s="312"/>
      <c r="AN36" s="462"/>
      <c r="AO36" s="462"/>
      <c r="AP36" s="462"/>
      <c r="BC36" s="1167" t="s">
        <v>1000</v>
      </c>
      <c r="BD36" s="170"/>
      <c r="BE36" s="1136"/>
      <c r="BF36" s="1161" t="s">
        <v>1018</v>
      </c>
      <c r="BG36" s="1109" t="s">
        <v>1685</v>
      </c>
    </row>
    <row r="37" spans="1:65" ht="15.75" customHeight="1">
      <c r="A37" s="312"/>
      <c r="B37" s="312"/>
      <c r="C37" s="312"/>
      <c r="D37" s="312"/>
      <c r="E37" s="312"/>
      <c r="F37" s="312"/>
      <c r="G37" s="312"/>
      <c r="H37" s="312"/>
      <c r="I37" s="312"/>
      <c r="J37" s="1112"/>
      <c r="K37" s="312"/>
      <c r="L37" s="312"/>
      <c r="M37" s="312"/>
      <c r="N37" s="467"/>
      <c r="O37" s="467"/>
      <c r="P37" s="312"/>
      <c r="Q37" s="312"/>
      <c r="R37" s="312"/>
      <c r="S37" s="312"/>
      <c r="T37" s="312"/>
      <c r="U37" s="312"/>
      <c r="V37" s="312"/>
      <c r="W37" s="312"/>
      <c r="X37" s="312"/>
      <c r="Y37" s="312"/>
      <c r="Z37" s="312"/>
      <c r="AA37" s="312"/>
      <c r="AB37" s="312"/>
      <c r="AC37" s="312"/>
      <c r="AD37" s="312"/>
      <c r="AE37" s="312"/>
      <c r="AF37" s="418"/>
      <c r="AG37" s="312"/>
      <c r="AH37" s="312"/>
      <c r="AI37" s="1077"/>
      <c r="AJ37" s="312"/>
      <c r="AL37" s="312"/>
      <c r="AM37" s="312"/>
      <c r="AN37" s="462"/>
      <c r="AO37" s="462"/>
      <c r="AP37" s="462"/>
      <c r="BC37" s="1161" t="s">
        <v>1033</v>
      </c>
      <c r="BD37" s="1109" t="s">
        <v>655</v>
      </c>
      <c r="BF37" s="1161" t="s">
        <v>1019</v>
      </c>
      <c r="BG37" s="1109" t="s">
        <v>141</v>
      </c>
    </row>
    <row r="38" spans="1:65" ht="15.75" customHeight="1">
      <c r="A38" s="312"/>
      <c r="B38" s="312"/>
      <c r="C38" s="312"/>
      <c r="D38" s="312"/>
      <c r="E38" s="312"/>
      <c r="F38" s="312"/>
      <c r="G38" s="312"/>
      <c r="H38" s="312"/>
      <c r="I38" s="312"/>
      <c r="J38" s="1112"/>
      <c r="K38" s="312"/>
      <c r="L38" s="312"/>
      <c r="M38" s="418"/>
      <c r="N38" s="467"/>
      <c r="O38" s="467"/>
      <c r="P38" s="312"/>
      <c r="Q38" s="312"/>
      <c r="R38" s="312"/>
      <c r="S38" s="312"/>
      <c r="T38" s="312"/>
      <c r="U38" s="312"/>
      <c r="V38" s="312"/>
      <c r="W38" s="312"/>
      <c r="X38" s="312"/>
      <c r="Y38" s="312"/>
      <c r="Z38" s="312"/>
      <c r="AA38" s="312"/>
      <c r="AB38" s="312"/>
      <c r="AC38" s="312"/>
      <c r="AD38" s="312"/>
      <c r="AE38" s="312"/>
      <c r="AF38" s="418"/>
      <c r="AG38" s="312"/>
      <c r="AH38" s="312"/>
      <c r="AI38" s="1077"/>
      <c r="AJ38" s="312"/>
      <c r="AL38" s="312"/>
      <c r="AM38" s="312"/>
      <c r="AN38" s="462"/>
      <c r="AO38" s="462"/>
      <c r="AP38" s="462"/>
      <c r="BC38" s="1161" t="s">
        <v>1034</v>
      </c>
      <c r="BD38" s="1109" t="s">
        <v>139</v>
      </c>
      <c r="BF38" s="1183"/>
      <c r="BG38" s="1189"/>
    </row>
    <row r="39" spans="1:65" ht="15.75" customHeight="1">
      <c r="B39" s="514"/>
      <c r="C39" s="424"/>
      <c r="D39" s="419"/>
      <c r="E39" s="447"/>
      <c r="G39" s="420"/>
      <c r="H39" s="312"/>
      <c r="I39" s="447"/>
      <c r="J39" s="1190"/>
      <c r="K39" s="312"/>
      <c r="L39" s="312"/>
      <c r="M39" s="312"/>
      <c r="N39" s="467"/>
      <c r="O39" s="467"/>
      <c r="P39" s="312"/>
      <c r="Q39" s="312"/>
      <c r="R39" s="312"/>
      <c r="S39" s="312"/>
      <c r="T39" s="312"/>
      <c r="U39" s="312"/>
      <c r="V39" s="312"/>
      <c r="W39" s="312"/>
      <c r="X39" s="312"/>
      <c r="Y39" s="312"/>
      <c r="Z39" s="312"/>
      <c r="AA39" s="312"/>
      <c r="AB39" s="312"/>
      <c r="AC39" s="312"/>
      <c r="AD39" s="312"/>
      <c r="AE39" s="312"/>
      <c r="AF39" s="418"/>
      <c r="AG39" s="312"/>
      <c r="AH39" s="312"/>
      <c r="AI39" s="1077"/>
      <c r="AJ39" s="312"/>
      <c r="AL39" s="312"/>
      <c r="AM39" s="312"/>
      <c r="AN39" s="462"/>
      <c r="AO39" s="462"/>
      <c r="AP39" s="462"/>
      <c r="BC39" s="1161" t="s">
        <v>1035</v>
      </c>
      <c r="BD39" s="1109" t="s">
        <v>229</v>
      </c>
      <c r="BF39" s="1167" t="s">
        <v>671</v>
      </c>
      <c r="BG39" s="170"/>
    </row>
    <row r="40" spans="1:65" ht="15.75" customHeight="1">
      <c r="B40" s="514"/>
      <c r="C40" s="424"/>
      <c r="D40" s="419"/>
      <c r="E40" s="419"/>
      <c r="G40" s="420"/>
      <c r="H40" s="312"/>
      <c r="I40" s="1068"/>
      <c r="J40" s="1112"/>
      <c r="K40" s="312"/>
      <c r="L40" s="312"/>
      <c r="M40" s="418"/>
      <c r="N40" s="467"/>
      <c r="O40" s="467"/>
      <c r="P40" s="312"/>
      <c r="Q40" s="312"/>
      <c r="R40" s="312"/>
      <c r="S40" s="312"/>
      <c r="T40" s="312"/>
      <c r="U40" s="312"/>
      <c r="V40" s="312"/>
      <c r="W40" s="312"/>
      <c r="X40" s="312"/>
      <c r="Y40" s="312"/>
      <c r="Z40" s="312"/>
      <c r="AA40" s="312"/>
      <c r="AB40" s="312"/>
      <c r="AC40" s="312"/>
      <c r="AD40" s="312"/>
      <c r="AE40" s="312"/>
      <c r="AF40" s="418"/>
      <c r="AG40" s="312"/>
      <c r="AH40" s="312"/>
      <c r="AI40" s="1077"/>
      <c r="AJ40" s="312"/>
      <c r="AL40" s="312"/>
      <c r="AM40" s="312"/>
      <c r="AN40" s="462"/>
      <c r="AO40" s="462"/>
      <c r="AP40" s="462"/>
      <c r="BC40" s="1161" t="s">
        <v>1036</v>
      </c>
      <c r="BD40" s="1109" t="s">
        <v>239</v>
      </c>
      <c r="BF40" s="1161" t="s">
        <v>1686</v>
      </c>
      <c r="BG40" s="1109" t="s">
        <v>1227</v>
      </c>
    </row>
    <row r="41" spans="1:65" ht="15.75" customHeight="1">
      <c r="B41" s="514"/>
      <c r="C41" s="424"/>
      <c r="D41" s="419"/>
      <c r="E41" s="419"/>
      <c r="G41" s="420"/>
      <c r="H41" s="312"/>
      <c r="I41" s="312"/>
      <c r="J41" s="1112"/>
      <c r="K41" s="312"/>
      <c r="L41" s="312"/>
      <c r="M41" s="312"/>
      <c r="N41" s="467"/>
      <c r="O41" s="467"/>
      <c r="P41" s="312"/>
      <c r="Q41" s="312"/>
      <c r="R41" s="312"/>
      <c r="S41" s="312"/>
      <c r="T41" s="312"/>
      <c r="U41" s="312"/>
      <c r="V41" s="312"/>
      <c r="W41" s="312"/>
      <c r="X41" s="312"/>
      <c r="Y41" s="312"/>
      <c r="Z41" s="312"/>
      <c r="AA41" s="312"/>
      <c r="AB41" s="312"/>
      <c r="AC41" s="312"/>
      <c r="AD41" s="312"/>
      <c r="AE41" s="312"/>
      <c r="AF41" s="418"/>
      <c r="AG41" s="312"/>
      <c r="AH41" s="312"/>
      <c r="AI41" s="1077"/>
      <c r="AJ41" s="312"/>
      <c r="AL41" s="312"/>
      <c r="AM41" s="312"/>
      <c r="AN41" s="462"/>
      <c r="AO41" s="462"/>
      <c r="AP41" s="462"/>
      <c r="BC41" s="1161" t="s">
        <v>1037</v>
      </c>
      <c r="BD41" s="1109" t="s">
        <v>458</v>
      </c>
      <c r="BF41" s="1161" t="s">
        <v>1687</v>
      </c>
      <c r="BG41" s="1109" t="s">
        <v>1228</v>
      </c>
    </row>
    <row r="42" spans="1:65" ht="15.75" customHeight="1">
      <c r="B42" s="514"/>
      <c r="C42" s="424"/>
      <c r="D42" s="419"/>
      <c r="E42" s="419"/>
      <c r="G42" s="420"/>
      <c r="H42" s="312"/>
      <c r="I42" s="312"/>
      <c r="J42" s="1112"/>
      <c r="K42" s="312"/>
      <c r="L42" s="312"/>
      <c r="M42" s="418"/>
      <c r="N42" s="467"/>
      <c r="O42" s="467"/>
      <c r="P42" s="312"/>
      <c r="Q42" s="312"/>
      <c r="R42" s="312"/>
      <c r="S42" s="312"/>
      <c r="T42" s="312"/>
      <c r="U42" s="312"/>
      <c r="V42" s="312"/>
      <c r="W42" s="312"/>
      <c r="X42" s="312"/>
      <c r="Y42" s="312"/>
      <c r="Z42" s="312"/>
      <c r="AA42" s="312"/>
      <c r="AB42" s="312"/>
      <c r="AC42" s="312"/>
      <c r="AD42" s="312"/>
      <c r="AE42" s="312"/>
      <c r="AF42" s="418"/>
      <c r="AG42" s="312"/>
      <c r="AH42" s="312"/>
      <c r="AI42" s="1077"/>
      <c r="AJ42" s="312"/>
      <c r="AL42" s="312"/>
      <c r="AM42" s="312"/>
      <c r="AN42" s="462"/>
      <c r="AO42" s="462"/>
      <c r="AP42" s="462"/>
      <c r="BC42" s="1161" t="s">
        <v>1038</v>
      </c>
      <c r="BD42" s="1109" t="s">
        <v>905</v>
      </c>
      <c r="BF42" s="1161" t="s">
        <v>1688</v>
      </c>
      <c r="BG42" s="1109" t="s">
        <v>1690</v>
      </c>
    </row>
    <row r="43" spans="1:65" ht="15.75" customHeight="1" thickBot="1">
      <c r="B43" s="514"/>
      <c r="C43" s="424"/>
      <c r="D43" s="419"/>
      <c r="E43" s="419"/>
      <c r="G43" s="420"/>
      <c r="H43" s="1113"/>
      <c r="I43" s="312"/>
      <c r="J43" s="1112"/>
      <c r="K43" s="312"/>
      <c r="L43" s="312"/>
      <c r="M43" s="312"/>
      <c r="N43" s="467"/>
      <c r="O43" s="467"/>
      <c r="P43" s="312"/>
      <c r="Q43" s="312"/>
      <c r="R43" s="312"/>
      <c r="S43" s="312"/>
      <c r="T43" s="312"/>
      <c r="U43" s="312"/>
      <c r="V43" s="312"/>
      <c r="W43" s="312"/>
      <c r="X43" s="312"/>
      <c r="Y43" s="312"/>
      <c r="Z43" s="312"/>
      <c r="AA43" s="312"/>
      <c r="AB43" s="312"/>
      <c r="AC43" s="312"/>
      <c r="AD43" s="312"/>
      <c r="AE43" s="312"/>
      <c r="AF43" s="418"/>
      <c r="AG43" s="312"/>
      <c r="AH43" s="312"/>
      <c r="AI43" s="1077"/>
      <c r="AJ43" s="312"/>
      <c r="AL43" s="312"/>
      <c r="AM43" s="312"/>
      <c r="AN43" s="462"/>
      <c r="AO43" s="462"/>
      <c r="AP43" s="462"/>
      <c r="BC43" s="1191"/>
      <c r="BD43" s="1192"/>
      <c r="BF43" s="1161" t="s">
        <v>1689</v>
      </c>
      <c r="BG43" s="1109" t="s">
        <v>1691</v>
      </c>
    </row>
    <row r="44" spans="1:65" ht="15.75" customHeight="1" thickBot="1">
      <c r="B44" s="514"/>
      <c r="C44" s="424"/>
      <c r="D44" s="419"/>
      <c r="E44" s="419"/>
      <c r="G44" s="420"/>
      <c r="H44" s="467"/>
      <c r="I44" s="467"/>
      <c r="J44" s="1112"/>
      <c r="K44" s="312"/>
      <c r="L44" s="312"/>
      <c r="M44" s="418"/>
      <c r="N44" s="312"/>
      <c r="O44" s="421"/>
      <c r="P44" s="418"/>
      <c r="Q44" s="418"/>
      <c r="R44" s="418"/>
      <c r="S44" s="418"/>
      <c r="T44" s="418"/>
      <c r="U44" s="418"/>
      <c r="V44" s="418"/>
      <c r="W44" s="418"/>
      <c r="X44" s="418"/>
      <c r="Y44" s="418"/>
      <c r="Z44" s="418"/>
      <c r="AA44" s="418"/>
      <c r="AB44" s="418"/>
      <c r="AC44" s="418"/>
      <c r="AD44" s="418"/>
      <c r="AE44" s="418"/>
      <c r="AF44" s="418"/>
      <c r="AG44" s="418"/>
      <c r="AH44" s="418"/>
      <c r="AI44" s="493"/>
      <c r="AJ44" s="418"/>
      <c r="AL44" s="312"/>
      <c r="AM44" s="312"/>
      <c r="AN44" s="462"/>
      <c r="AO44" s="462"/>
      <c r="AP44" s="462"/>
      <c r="BC44" s="1193"/>
      <c r="BD44" s="1194"/>
      <c r="BF44" s="1195"/>
      <c r="BG44" s="1196"/>
      <c r="BH44" s="1137"/>
      <c r="BI44" s="1137"/>
      <c r="BJ44" s="1137"/>
      <c r="BK44" s="1137"/>
      <c r="BL44" s="1137"/>
      <c r="BM44" s="1137"/>
    </row>
    <row r="45" spans="1:65" ht="15.75" customHeight="1">
      <c r="B45" s="514"/>
      <c r="C45" s="424"/>
      <c r="D45" s="419"/>
      <c r="E45" s="419"/>
      <c r="G45" s="420"/>
      <c r="H45" s="421"/>
      <c r="I45" s="421"/>
      <c r="J45" s="1112"/>
      <c r="K45" s="312"/>
      <c r="L45" s="312"/>
      <c r="M45" s="312"/>
      <c r="N45" s="467"/>
      <c r="O45" s="467"/>
      <c r="P45" s="312"/>
      <c r="Q45" s="312"/>
      <c r="R45" s="312"/>
      <c r="S45" s="312"/>
      <c r="T45" s="312"/>
      <c r="U45" s="312"/>
      <c r="V45" s="312"/>
      <c r="W45" s="312"/>
      <c r="X45" s="312"/>
      <c r="Y45" s="312"/>
      <c r="Z45" s="312"/>
      <c r="AA45" s="312"/>
      <c r="AB45" s="312"/>
      <c r="AC45" s="312"/>
      <c r="AD45" s="312"/>
      <c r="AE45" s="312"/>
      <c r="AF45" s="418"/>
      <c r="AG45" s="312"/>
      <c r="AH45" s="312"/>
      <c r="AI45" s="1077"/>
      <c r="AJ45" s="312"/>
      <c r="AL45" s="312"/>
      <c r="AM45" s="312"/>
      <c r="AN45" s="462"/>
      <c r="AO45" s="462"/>
      <c r="AP45" s="462"/>
      <c r="BC45" s="1193"/>
      <c r="BD45" s="1194"/>
      <c r="BH45" s="1137"/>
      <c r="BI45" s="1137"/>
      <c r="BJ45" s="1137"/>
      <c r="BK45" s="1137"/>
      <c r="BL45" s="1137"/>
      <c r="BM45" s="1137"/>
    </row>
    <row r="46" spans="1:65" ht="15.75" customHeight="1">
      <c r="B46" s="514"/>
      <c r="C46" s="424"/>
      <c r="D46" s="419"/>
      <c r="E46" s="419"/>
      <c r="G46" s="420"/>
      <c r="H46" s="421"/>
      <c r="I46" s="467"/>
      <c r="J46" s="1112"/>
      <c r="K46" s="312"/>
      <c r="L46" s="418"/>
      <c r="M46" s="418"/>
      <c r="N46" s="467"/>
      <c r="O46" s="421"/>
      <c r="P46" s="418"/>
      <c r="Q46" s="418"/>
      <c r="R46" s="418"/>
      <c r="S46" s="418"/>
      <c r="T46" s="418"/>
      <c r="U46" s="418"/>
      <c r="V46" s="418"/>
      <c r="W46" s="418"/>
      <c r="X46" s="418"/>
      <c r="Y46" s="418"/>
      <c r="Z46" s="418"/>
      <c r="AA46" s="418"/>
      <c r="AB46" s="418"/>
      <c r="AC46" s="418"/>
      <c r="AD46" s="418"/>
      <c r="AE46" s="418"/>
      <c r="AF46" s="418"/>
      <c r="AG46" s="418"/>
      <c r="AH46" s="418"/>
      <c r="AI46" s="493"/>
      <c r="AJ46" s="418"/>
      <c r="AL46" s="418"/>
      <c r="AM46" s="418"/>
      <c r="AN46" s="462"/>
      <c r="AO46" s="462"/>
      <c r="AP46" s="462"/>
      <c r="BC46" s="1193"/>
      <c r="BD46" s="1194"/>
      <c r="BH46" s="1137"/>
      <c r="BI46" s="1137"/>
      <c r="BJ46" s="1137"/>
      <c r="BK46" s="1137"/>
      <c r="BL46" s="1137"/>
      <c r="BM46" s="1137"/>
    </row>
    <row r="47" spans="1:65" ht="15.75" customHeight="1">
      <c r="B47" s="514"/>
      <c r="C47" s="424"/>
      <c r="D47" s="419"/>
      <c r="E47" s="419"/>
      <c r="G47" s="420"/>
      <c r="H47" s="421"/>
      <c r="I47" s="467"/>
      <c r="J47" s="1112"/>
      <c r="K47" s="312"/>
      <c r="L47" s="312"/>
      <c r="M47" s="312"/>
      <c r="N47" s="467"/>
      <c r="O47" s="467"/>
      <c r="P47" s="312"/>
      <c r="Q47" s="312"/>
      <c r="R47" s="312"/>
      <c r="S47" s="312"/>
      <c r="T47" s="312"/>
      <c r="U47" s="312"/>
      <c r="V47" s="312"/>
      <c r="W47" s="312"/>
      <c r="X47" s="312"/>
      <c r="Y47" s="312"/>
      <c r="Z47" s="312"/>
      <c r="AA47" s="312"/>
      <c r="AB47" s="312"/>
      <c r="AC47" s="312"/>
      <c r="AD47" s="312"/>
      <c r="AE47" s="312"/>
      <c r="AF47" s="418"/>
      <c r="AG47" s="312"/>
      <c r="AH47" s="312"/>
      <c r="AI47" s="1077"/>
      <c r="AJ47" s="312"/>
      <c r="AL47" s="312"/>
      <c r="AM47" s="312"/>
      <c r="AN47" s="462"/>
      <c r="AO47" s="462"/>
      <c r="AP47" s="462"/>
      <c r="BC47" s="1193"/>
      <c r="BD47" s="1194"/>
      <c r="BE47" s="155"/>
      <c r="BH47" s="1137"/>
      <c r="BI47" s="1137"/>
      <c r="BJ47" s="1137"/>
      <c r="BK47" s="1137"/>
      <c r="BL47" s="1137"/>
      <c r="BM47" s="1137"/>
    </row>
    <row r="48" spans="1:65" ht="15.75" customHeight="1">
      <c r="B48" s="514"/>
      <c r="C48" s="424"/>
      <c r="D48" s="419"/>
      <c r="E48" s="419"/>
      <c r="G48" s="420"/>
      <c r="H48" s="467"/>
      <c r="I48" s="467"/>
      <c r="J48" s="1112"/>
      <c r="K48" s="312"/>
      <c r="L48" s="418"/>
      <c r="M48" s="418"/>
      <c r="N48" s="1197"/>
      <c r="O48" s="421"/>
      <c r="P48" s="418"/>
      <c r="Q48" s="418"/>
      <c r="R48" s="418"/>
      <c r="S48" s="418"/>
      <c r="T48" s="418"/>
      <c r="U48" s="418"/>
      <c r="V48" s="418"/>
      <c r="W48" s="418"/>
      <c r="X48" s="418"/>
      <c r="Y48" s="418"/>
      <c r="Z48" s="418"/>
      <c r="AA48" s="418"/>
      <c r="AB48" s="418"/>
      <c r="AC48" s="418"/>
      <c r="AD48" s="418"/>
      <c r="AE48" s="418"/>
      <c r="AF48" s="418"/>
      <c r="AG48" s="418"/>
      <c r="AH48" s="418"/>
      <c r="AI48" s="493"/>
      <c r="AJ48" s="418"/>
      <c r="AL48" s="418"/>
      <c r="AM48" s="418"/>
      <c r="AN48" s="462"/>
      <c r="AO48" s="462"/>
      <c r="AP48" s="462"/>
      <c r="BC48" s="1193"/>
      <c r="BD48" s="1194"/>
      <c r="BE48" s="155"/>
      <c r="BH48" s="1137"/>
      <c r="BI48" s="1137"/>
      <c r="BJ48" s="1137"/>
      <c r="BK48" s="1137"/>
      <c r="BL48" s="1137"/>
      <c r="BM48" s="1137"/>
    </row>
    <row r="49" spans="1:65" ht="15.75" customHeight="1">
      <c r="B49" s="514"/>
      <c r="C49" s="424"/>
      <c r="D49" s="419"/>
      <c r="E49" s="419"/>
      <c r="G49" s="420"/>
      <c r="H49" s="312"/>
      <c r="I49" s="447"/>
      <c r="J49" s="1112"/>
      <c r="K49" s="312"/>
      <c r="L49" s="312"/>
      <c r="M49" s="312"/>
      <c r="N49" s="467"/>
      <c r="O49" s="467"/>
      <c r="P49" s="312"/>
      <c r="Q49" s="312"/>
      <c r="R49" s="312"/>
      <c r="S49" s="312"/>
      <c r="T49" s="312"/>
      <c r="U49" s="312"/>
      <c r="V49" s="312"/>
      <c r="W49" s="312"/>
      <c r="X49" s="312"/>
      <c r="Y49" s="312"/>
      <c r="Z49" s="312"/>
      <c r="AA49" s="312"/>
      <c r="AB49" s="312"/>
      <c r="AC49" s="312"/>
      <c r="AD49" s="312"/>
      <c r="AE49" s="312"/>
      <c r="AF49" s="418"/>
      <c r="AG49" s="312"/>
      <c r="AH49" s="312"/>
      <c r="AI49" s="1077"/>
      <c r="AJ49" s="312"/>
      <c r="AL49" s="312"/>
      <c r="AM49" s="312"/>
      <c r="AN49" s="462"/>
      <c r="AO49" s="462"/>
      <c r="AP49" s="462"/>
      <c r="BC49" s="1193"/>
      <c r="BD49" s="1194"/>
      <c r="BE49" s="155"/>
      <c r="BH49" s="1137"/>
      <c r="BI49" s="1137"/>
      <c r="BJ49" s="1137"/>
      <c r="BK49" s="1137"/>
      <c r="BL49" s="1137"/>
      <c r="BM49" s="1137"/>
    </row>
    <row r="50" spans="1:65" ht="15.75" customHeight="1">
      <c r="B50" s="514"/>
      <c r="C50" s="424"/>
      <c r="D50" s="514"/>
      <c r="E50" s="419"/>
      <c r="F50" s="447"/>
      <c r="G50" s="419"/>
      <c r="H50" s="421"/>
      <c r="I50" s="467"/>
      <c r="J50" s="469"/>
      <c r="L50" s="418"/>
      <c r="M50" s="418"/>
      <c r="N50" s="312"/>
      <c r="O50" s="421"/>
      <c r="P50" s="421"/>
      <c r="Q50" s="418"/>
      <c r="R50" s="418"/>
      <c r="S50" s="418"/>
      <c r="T50" s="418"/>
      <c r="U50" s="418"/>
      <c r="V50" s="418"/>
      <c r="W50" s="418"/>
      <c r="X50" s="418"/>
      <c r="Y50" s="418"/>
      <c r="Z50" s="418"/>
      <c r="AA50" s="418"/>
      <c r="AB50" s="418"/>
      <c r="AC50" s="418"/>
      <c r="AD50" s="418"/>
      <c r="AE50" s="418"/>
      <c r="AF50" s="418"/>
      <c r="AG50" s="418"/>
      <c r="AH50" s="418"/>
      <c r="AI50" s="418"/>
      <c r="AJ50" s="493"/>
      <c r="AK50" s="418"/>
      <c r="AL50" s="418"/>
      <c r="AM50" s="418"/>
      <c r="AN50" s="462"/>
      <c r="AO50" s="462"/>
      <c r="AP50" s="462"/>
      <c r="BC50" s="1193"/>
      <c r="BD50" s="1194"/>
      <c r="BE50" s="155"/>
      <c r="BF50" s="155"/>
      <c r="BG50" s="155"/>
      <c r="BH50" s="1137"/>
      <c r="BI50" s="1137"/>
      <c r="BJ50" s="1198"/>
      <c r="BK50" s="1137"/>
      <c r="BL50" s="1137"/>
      <c r="BM50" s="1137"/>
    </row>
    <row r="51" spans="1:65" ht="15.75" customHeight="1">
      <c r="B51" s="514"/>
      <c r="C51" s="424"/>
      <c r="D51" s="514"/>
      <c r="E51" s="419"/>
      <c r="F51" s="447"/>
      <c r="G51" s="419"/>
      <c r="H51" s="312"/>
      <c r="I51" s="447"/>
      <c r="J51" s="469"/>
      <c r="K51" s="312"/>
      <c r="L51" s="312"/>
      <c r="M51" s="312"/>
      <c r="N51" s="467"/>
      <c r="O51" s="421"/>
      <c r="P51" s="421"/>
      <c r="Q51" s="418"/>
      <c r="R51" s="418"/>
      <c r="S51" s="418"/>
      <c r="T51" s="418"/>
      <c r="U51" s="418"/>
      <c r="V51" s="418"/>
      <c r="W51" s="418"/>
      <c r="X51" s="418"/>
      <c r="Y51" s="418"/>
      <c r="Z51" s="418"/>
      <c r="AA51" s="418"/>
      <c r="AB51" s="418"/>
      <c r="AC51" s="418"/>
      <c r="AD51" s="418"/>
      <c r="AE51" s="418"/>
      <c r="AF51" s="418"/>
      <c r="AG51" s="418"/>
      <c r="AH51" s="418"/>
      <c r="AI51" s="418"/>
      <c r="AJ51" s="493"/>
      <c r="AK51" s="418"/>
      <c r="AL51" s="418"/>
      <c r="AM51" s="418"/>
      <c r="AN51" s="462"/>
      <c r="AO51" s="462"/>
      <c r="AP51" s="462"/>
      <c r="BC51" s="1137"/>
      <c r="BD51" s="1137"/>
      <c r="BH51" s="1137"/>
      <c r="BI51" s="1137"/>
      <c r="BJ51" s="1137"/>
      <c r="BK51" s="1137"/>
      <c r="BL51" s="1137"/>
      <c r="BM51" s="1137"/>
    </row>
    <row r="52" spans="1:65" ht="15.75" customHeight="1">
      <c r="B52" s="514"/>
      <c r="C52" s="424"/>
      <c r="D52" s="514"/>
      <c r="E52" s="419"/>
      <c r="F52" s="447"/>
      <c r="G52" s="419"/>
      <c r="H52" s="467"/>
      <c r="I52" s="467"/>
      <c r="J52" s="469"/>
      <c r="K52" s="312"/>
      <c r="L52" s="418"/>
      <c r="M52" s="418"/>
      <c r="N52" s="312"/>
      <c r="O52" s="421"/>
      <c r="P52" s="421"/>
      <c r="Q52" s="418"/>
      <c r="R52" s="418"/>
      <c r="S52" s="418"/>
      <c r="T52" s="418"/>
      <c r="U52" s="418"/>
      <c r="V52" s="418"/>
      <c r="W52" s="418"/>
      <c r="X52" s="418"/>
      <c r="Y52" s="418"/>
      <c r="Z52" s="418"/>
      <c r="AA52" s="418"/>
      <c r="AB52" s="418"/>
      <c r="AC52" s="418"/>
      <c r="AD52" s="418"/>
      <c r="AE52" s="418"/>
      <c r="AF52" s="418"/>
      <c r="AG52" s="418"/>
      <c r="AH52" s="418"/>
      <c r="AI52" s="418"/>
      <c r="AJ52" s="493"/>
      <c r="AK52" s="418"/>
      <c r="AL52" s="418"/>
      <c r="AM52" s="418"/>
      <c r="AN52" s="462"/>
      <c r="AO52" s="462"/>
      <c r="AP52" s="462"/>
      <c r="BF52" s="155"/>
      <c r="BG52" s="155"/>
      <c r="BH52" s="1137"/>
      <c r="BI52" s="1137"/>
      <c r="BJ52" s="1137"/>
      <c r="BK52" s="1137"/>
      <c r="BL52" s="1137"/>
      <c r="BM52" s="1137"/>
    </row>
    <row r="53" spans="1:65" ht="15.75" customHeight="1">
      <c r="B53" s="514"/>
      <c r="C53" s="424"/>
      <c r="D53" s="514"/>
      <c r="E53" s="419"/>
      <c r="F53" s="447"/>
      <c r="G53" s="419"/>
      <c r="H53" s="312"/>
      <c r="I53" s="312"/>
      <c r="J53" s="1112"/>
      <c r="K53" s="312"/>
      <c r="L53" s="418"/>
      <c r="M53" s="418"/>
      <c r="N53" s="467"/>
      <c r="O53" s="421"/>
      <c r="P53" s="421"/>
      <c r="Q53" s="418"/>
      <c r="R53" s="418"/>
      <c r="S53" s="418"/>
      <c r="T53" s="418"/>
      <c r="U53" s="418"/>
      <c r="V53" s="418"/>
      <c r="W53" s="418"/>
      <c r="X53" s="418"/>
      <c r="Y53" s="418"/>
      <c r="Z53" s="418"/>
      <c r="AA53" s="418"/>
      <c r="AB53" s="418"/>
      <c r="AC53" s="418"/>
      <c r="AD53" s="418"/>
      <c r="AE53" s="418"/>
      <c r="AF53" s="418"/>
      <c r="AG53" s="418"/>
      <c r="AH53" s="418"/>
      <c r="AI53" s="418"/>
      <c r="AJ53" s="493"/>
      <c r="AK53" s="418"/>
      <c r="AL53" s="418"/>
      <c r="AM53" s="418"/>
      <c r="AN53" s="462"/>
      <c r="AO53" s="462"/>
      <c r="AP53" s="462"/>
      <c r="BF53" s="155"/>
      <c r="BG53" s="155"/>
      <c r="BH53" s="1137"/>
      <c r="BI53" s="1137"/>
      <c r="BJ53" s="1137"/>
      <c r="BK53" s="1137"/>
      <c r="BL53" s="1137"/>
      <c r="BM53" s="1137"/>
    </row>
    <row r="54" spans="1:65" ht="15.75" customHeight="1">
      <c r="B54" s="514"/>
      <c r="C54" s="424"/>
      <c r="D54" s="514"/>
      <c r="E54" s="419"/>
      <c r="F54" s="447"/>
      <c r="G54" s="419"/>
      <c r="H54" s="312"/>
      <c r="I54" s="312"/>
      <c r="J54" s="1112"/>
      <c r="K54" s="312"/>
      <c r="L54" s="418"/>
      <c r="M54" s="418"/>
      <c r="N54" s="467"/>
      <c r="O54" s="421"/>
      <c r="P54" s="421"/>
      <c r="Q54" s="418"/>
      <c r="R54" s="418"/>
      <c r="S54" s="418"/>
      <c r="T54" s="418"/>
      <c r="U54" s="418"/>
      <c r="V54" s="418"/>
      <c r="W54" s="418"/>
      <c r="X54" s="418"/>
      <c r="Y54" s="418"/>
      <c r="Z54" s="418"/>
      <c r="AA54" s="418"/>
      <c r="AB54" s="418"/>
      <c r="AC54" s="418"/>
      <c r="AD54" s="418"/>
      <c r="AE54" s="418"/>
      <c r="AF54" s="418"/>
      <c r="AG54" s="418"/>
      <c r="AH54" s="418"/>
      <c r="AI54" s="418"/>
      <c r="AJ54" s="493"/>
      <c r="AK54" s="418"/>
      <c r="AL54" s="418"/>
      <c r="AM54" s="418"/>
      <c r="AN54" s="462"/>
      <c r="AO54" s="462"/>
      <c r="AP54" s="462"/>
      <c r="BF54" s="155"/>
      <c r="BG54" s="155"/>
      <c r="BH54" s="1137"/>
      <c r="BI54" s="1137"/>
      <c r="BJ54" s="1137"/>
      <c r="BK54" s="1137"/>
      <c r="BL54" s="1137"/>
      <c r="BM54" s="1137"/>
    </row>
    <row r="55" spans="1:65" ht="15.75" customHeight="1">
      <c r="B55" s="514"/>
      <c r="C55" s="424"/>
      <c r="D55" s="514"/>
      <c r="E55" s="419"/>
      <c r="F55" s="447"/>
      <c r="G55" s="419"/>
      <c r="H55" s="312"/>
      <c r="I55" s="312"/>
      <c r="J55" s="1112"/>
      <c r="K55" s="312"/>
      <c r="L55" s="418"/>
      <c r="M55" s="418"/>
      <c r="N55" s="467"/>
      <c r="O55" s="421"/>
      <c r="P55" s="421"/>
      <c r="Q55" s="418"/>
      <c r="R55" s="418"/>
      <c r="S55" s="418"/>
      <c r="T55" s="418"/>
      <c r="U55" s="418"/>
      <c r="V55" s="418"/>
      <c r="W55" s="418"/>
      <c r="X55" s="418"/>
      <c r="Y55" s="418"/>
      <c r="Z55" s="418"/>
      <c r="AA55" s="418"/>
      <c r="AB55" s="418"/>
      <c r="AC55" s="418"/>
      <c r="AD55" s="418"/>
      <c r="AE55" s="418"/>
      <c r="AF55" s="418"/>
      <c r="AG55" s="418"/>
      <c r="AH55" s="418"/>
      <c r="AI55" s="418"/>
      <c r="AJ55" s="493"/>
      <c r="AK55" s="418"/>
      <c r="AL55" s="418"/>
      <c r="AM55" s="418"/>
      <c r="AN55" s="462"/>
      <c r="AO55" s="462"/>
      <c r="AP55" s="462"/>
      <c r="BC55" s="1193"/>
      <c r="BD55" s="1137"/>
      <c r="BF55" s="155"/>
      <c r="BG55" s="155"/>
    </row>
    <row r="56" spans="1:65" ht="15.75" customHeight="1">
      <c r="B56" s="514"/>
      <c r="C56" s="424"/>
      <c r="D56" s="514"/>
      <c r="E56" s="419"/>
      <c r="F56" s="447"/>
      <c r="G56" s="419"/>
      <c r="H56" s="312"/>
      <c r="I56" s="312"/>
      <c r="J56" s="1112"/>
      <c r="K56" s="312"/>
      <c r="L56" s="418"/>
      <c r="M56" s="418"/>
      <c r="N56" s="467"/>
      <c r="O56" s="421"/>
      <c r="P56" s="421"/>
      <c r="Q56" s="418"/>
      <c r="R56" s="418"/>
      <c r="S56" s="418"/>
      <c r="T56" s="418"/>
      <c r="U56" s="418"/>
      <c r="V56" s="418"/>
      <c r="W56" s="418"/>
      <c r="X56" s="418"/>
      <c r="Y56" s="418"/>
      <c r="Z56" s="418"/>
      <c r="AA56" s="418"/>
      <c r="AB56" s="418"/>
      <c r="AC56" s="418"/>
      <c r="AD56" s="418"/>
      <c r="AE56" s="418"/>
      <c r="AF56" s="418"/>
      <c r="AG56" s="418"/>
      <c r="AH56" s="418"/>
      <c r="AI56" s="418"/>
      <c r="AJ56" s="493"/>
      <c r="AK56" s="418"/>
      <c r="AL56" s="418"/>
      <c r="AM56" s="418"/>
      <c r="AN56" s="462"/>
      <c r="AO56" s="462"/>
      <c r="AP56" s="462"/>
      <c r="BC56" s="1193"/>
      <c r="BD56" s="1137"/>
    </row>
    <row r="57" spans="1:65" ht="15.75" customHeight="1">
      <c r="B57" s="514"/>
      <c r="C57" s="424"/>
      <c r="D57" s="514"/>
      <c r="E57" s="419"/>
      <c r="F57" s="447"/>
      <c r="G57" s="419"/>
      <c r="H57" s="312"/>
      <c r="I57" s="312"/>
      <c r="J57" s="1112"/>
      <c r="K57" s="312"/>
      <c r="L57" s="418"/>
      <c r="M57" s="418"/>
      <c r="N57" s="467"/>
      <c r="O57" s="421"/>
      <c r="P57" s="421"/>
      <c r="Q57" s="418"/>
      <c r="R57" s="418"/>
      <c r="S57" s="418"/>
      <c r="T57" s="418"/>
      <c r="U57" s="418"/>
      <c r="V57" s="418"/>
      <c r="W57" s="418"/>
      <c r="X57" s="418"/>
      <c r="Y57" s="418"/>
      <c r="Z57" s="418"/>
      <c r="AA57" s="418"/>
      <c r="AB57" s="418"/>
      <c r="AC57" s="418"/>
      <c r="AD57" s="418"/>
      <c r="AE57" s="418"/>
      <c r="AF57" s="418"/>
      <c r="AG57" s="418"/>
      <c r="AH57" s="418"/>
      <c r="AI57" s="418"/>
      <c r="AJ57" s="493"/>
      <c r="AK57" s="418"/>
      <c r="AL57" s="418"/>
      <c r="AM57" s="418"/>
      <c r="AN57" s="462"/>
      <c r="AO57" s="462"/>
      <c r="AP57" s="462"/>
      <c r="BC57" s="1193"/>
      <c r="BD57" s="1137"/>
    </row>
    <row r="58" spans="1:65" ht="15.75" customHeight="1">
      <c r="A58" s="1141"/>
      <c r="B58" s="514"/>
      <c r="C58" s="424"/>
      <c r="D58" s="514"/>
      <c r="E58" s="419"/>
      <c r="F58" s="447"/>
      <c r="G58" s="419"/>
      <c r="H58" s="312"/>
      <c r="I58" s="312"/>
      <c r="J58" s="1112"/>
      <c r="K58" s="312"/>
      <c r="L58" s="418"/>
      <c r="M58" s="418"/>
      <c r="N58" s="312"/>
      <c r="O58" s="421"/>
      <c r="P58" s="421"/>
      <c r="Q58" s="418"/>
      <c r="R58" s="418"/>
      <c r="S58" s="418"/>
      <c r="T58" s="418"/>
      <c r="U58" s="418"/>
      <c r="V58" s="418"/>
      <c r="W58" s="418"/>
      <c r="X58" s="418"/>
      <c r="Y58" s="418"/>
      <c r="Z58" s="418"/>
      <c r="AA58" s="418"/>
      <c r="AB58" s="418"/>
      <c r="AC58" s="418"/>
      <c r="AD58" s="418"/>
      <c r="AE58" s="418"/>
      <c r="AF58" s="418"/>
      <c r="AG58" s="418"/>
      <c r="AH58" s="418"/>
      <c r="AI58" s="418"/>
      <c r="AJ58" s="493"/>
      <c r="AK58" s="418"/>
      <c r="AL58" s="418"/>
      <c r="AM58" s="418"/>
      <c r="AN58" s="462"/>
      <c r="AO58" s="462"/>
      <c r="AP58" s="462"/>
      <c r="BC58" s="1193"/>
      <c r="BD58" s="1137"/>
    </row>
    <row r="59" spans="1:65" ht="15.75" customHeight="1">
      <c r="A59" s="1141"/>
      <c r="B59" s="514"/>
      <c r="C59" s="424"/>
      <c r="D59" s="514"/>
      <c r="E59" s="419"/>
      <c r="F59" s="447"/>
      <c r="G59" s="419"/>
      <c r="H59" s="312"/>
      <c r="I59" s="312"/>
      <c r="J59" s="1112"/>
      <c r="K59" s="312"/>
      <c r="L59" s="418"/>
      <c r="M59" s="418"/>
      <c r="N59" s="467"/>
      <c r="O59" s="421"/>
      <c r="P59" s="421"/>
      <c r="Q59" s="418"/>
      <c r="R59" s="418"/>
      <c r="S59" s="418"/>
      <c r="T59" s="418"/>
      <c r="U59" s="418"/>
      <c r="V59" s="418"/>
      <c r="W59" s="418"/>
      <c r="X59" s="418"/>
      <c r="Y59" s="418"/>
      <c r="Z59" s="418"/>
      <c r="AA59" s="418"/>
      <c r="AB59" s="418"/>
      <c r="AC59" s="418"/>
      <c r="AD59" s="418"/>
      <c r="AE59" s="418"/>
      <c r="AF59" s="418"/>
      <c r="AG59" s="418"/>
      <c r="AH59" s="418"/>
      <c r="AI59" s="418"/>
      <c r="AJ59" s="493"/>
      <c r="AK59" s="418"/>
      <c r="AL59" s="418"/>
      <c r="AM59" s="418"/>
      <c r="AN59" s="462"/>
      <c r="AO59" s="462"/>
      <c r="AP59" s="462"/>
      <c r="BC59" s="1193"/>
      <c r="BD59" s="1137"/>
    </row>
    <row r="60" spans="1:65" ht="15.75" customHeight="1">
      <c r="A60" s="1141"/>
      <c r="B60" s="514"/>
      <c r="C60" s="424"/>
      <c r="D60" s="514"/>
      <c r="E60" s="419"/>
      <c r="F60" s="447"/>
      <c r="G60" s="419"/>
      <c r="H60" s="312"/>
      <c r="I60" s="312"/>
      <c r="J60" s="1112"/>
      <c r="K60" s="312"/>
      <c r="L60" s="418"/>
      <c r="M60" s="418"/>
      <c r="N60" s="312"/>
      <c r="O60" s="421"/>
      <c r="P60" s="421"/>
      <c r="Q60" s="418"/>
      <c r="R60" s="418"/>
      <c r="S60" s="418"/>
      <c r="T60" s="418"/>
      <c r="U60" s="418"/>
      <c r="V60" s="418"/>
      <c r="W60" s="418"/>
      <c r="X60" s="418"/>
      <c r="Y60" s="418"/>
      <c r="Z60" s="418"/>
      <c r="AA60" s="418"/>
      <c r="AB60" s="418"/>
      <c r="AC60" s="418"/>
      <c r="AD60" s="418"/>
      <c r="AE60" s="418"/>
      <c r="AF60" s="418"/>
      <c r="AG60" s="418"/>
      <c r="AH60" s="418"/>
      <c r="AI60" s="418"/>
      <c r="AJ60" s="493"/>
      <c r="AK60" s="418"/>
      <c r="AL60" s="418"/>
      <c r="AM60" s="418"/>
      <c r="AN60" s="462"/>
      <c r="AO60" s="462"/>
      <c r="AP60" s="462"/>
      <c r="BC60" s="1193"/>
      <c r="BD60" s="1137"/>
    </row>
    <row r="61" spans="1:65" ht="15.75" customHeight="1">
      <c r="A61" s="1141"/>
      <c r="B61" s="514"/>
      <c r="C61" s="424"/>
      <c r="D61" s="514"/>
      <c r="E61" s="419"/>
      <c r="F61" s="447"/>
      <c r="G61" s="419"/>
      <c r="H61" s="467"/>
      <c r="I61" s="467"/>
      <c r="J61" s="469"/>
      <c r="K61" s="312"/>
      <c r="L61" s="418"/>
      <c r="M61" s="418"/>
      <c r="N61" s="467"/>
      <c r="O61" s="421"/>
      <c r="P61" s="421"/>
      <c r="Q61" s="418"/>
      <c r="R61" s="418"/>
      <c r="S61" s="418"/>
      <c r="T61" s="418"/>
      <c r="U61" s="418"/>
      <c r="V61" s="418"/>
      <c r="W61" s="418"/>
      <c r="X61" s="418"/>
      <c r="Y61" s="418"/>
      <c r="Z61" s="418"/>
      <c r="AA61" s="418"/>
      <c r="AB61" s="418"/>
      <c r="AC61" s="418"/>
      <c r="AD61" s="418"/>
      <c r="AE61" s="418"/>
      <c r="AF61" s="418"/>
      <c r="AG61" s="418"/>
      <c r="AH61" s="418"/>
      <c r="AI61" s="418"/>
      <c r="AJ61" s="493"/>
      <c r="AK61" s="418"/>
      <c r="AL61" s="418"/>
      <c r="AM61" s="418"/>
      <c r="AN61" s="462"/>
      <c r="AO61" s="462"/>
      <c r="AP61" s="462"/>
      <c r="BC61" s="1193"/>
      <c r="BD61" s="1137"/>
    </row>
    <row r="62" spans="1:65" ht="15.75" customHeight="1">
      <c r="A62" s="1141"/>
      <c r="B62" s="514"/>
      <c r="C62" s="424"/>
      <c r="D62" s="514"/>
      <c r="E62" s="419"/>
      <c r="F62" s="447"/>
      <c r="G62" s="419"/>
      <c r="H62" s="467"/>
      <c r="I62" s="467"/>
      <c r="J62" s="469"/>
      <c r="K62" s="312"/>
      <c r="L62" s="418"/>
      <c r="M62" s="418"/>
      <c r="N62" s="467"/>
      <c r="O62" s="421"/>
      <c r="P62" s="421"/>
      <c r="Q62" s="418"/>
      <c r="R62" s="418"/>
      <c r="S62" s="418"/>
      <c r="T62" s="418"/>
      <c r="U62" s="418"/>
      <c r="V62" s="418"/>
      <c r="W62" s="418"/>
      <c r="X62" s="418"/>
      <c r="Y62" s="418"/>
      <c r="Z62" s="418"/>
      <c r="AA62" s="418"/>
      <c r="AB62" s="418"/>
      <c r="AC62" s="418"/>
      <c r="AD62" s="418"/>
      <c r="AE62" s="418"/>
      <c r="AF62" s="418"/>
      <c r="AG62" s="418"/>
      <c r="AH62" s="418"/>
      <c r="AI62" s="418"/>
      <c r="AJ62" s="493"/>
      <c r="AK62" s="418"/>
      <c r="AL62" s="418"/>
      <c r="AM62" s="418"/>
      <c r="AN62" s="462"/>
      <c r="AO62" s="462"/>
      <c r="AP62" s="462"/>
      <c r="BC62" s="1193"/>
      <c r="BD62" s="1137"/>
    </row>
    <row r="63" spans="1:65" ht="15.75" customHeight="1">
      <c r="A63" s="1141"/>
      <c r="B63" s="514"/>
      <c r="C63" s="424"/>
      <c r="D63" s="514"/>
      <c r="E63" s="419"/>
      <c r="F63" s="447"/>
      <c r="G63" s="419"/>
      <c r="H63" s="467"/>
      <c r="I63" s="467"/>
      <c r="J63" s="469"/>
      <c r="K63" s="312"/>
      <c r="L63" s="418"/>
      <c r="M63" s="418"/>
      <c r="N63" s="467"/>
      <c r="O63" s="421"/>
      <c r="P63" s="421"/>
      <c r="Q63" s="418"/>
      <c r="R63" s="418"/>
      <c r="S63" s="418"/>
      <c r="T63" s="418"/>
      <c r="U63" s="418"/>
      <c r="V63" s="418"/>
      <c r="W63" s="418"/>
      <c r="X63" s="418"/>
      <c r="Y63" s="418"/>
      <c r="Z63" s="418"/>
      <c r="AA63" s="418"/>
      <c r="AB63" s="418"/>
      <c r="AC63" s="418"/>
      <c r="AD63" s="418"/>
      <c r="AE63" s="418"/>
      <c r="AF63" s="418"/>
      <c r="AG63" s="418"/>
      <c r="AH63" s="418"/>
      <c r="AI63" s="418"/>
      <c r="AJ63" s="493"/>
      <c r="AK63" s="418"/>
      <c r="AL63" s="418"/>
      <c r="AM63" s="418"/>
      <c r="AN63" s="462"/>
      <c r="AO63" s="462"/>
      <c r="AP63" s="462"/>
      <c r="BC63" s="1193"/>
      <c r="BD63" s="1137"/>
    </row>
    <row r="64" spans="1:65" ht="15.75" customHeight="1">
      <c r="A64" s="1141"/>
      <c r="B64" s="514"/>
      <c r="C64" s="424"/>
      <c r="D64" s="514"/>
      <c r="E64" s="419"/>
      <c r="F64" s="447"/>
      <c r="G64" s="419"/>
      <c r="H64" s="467"/>
      <c r="I64" s="467"/>
      <c r="J64" s="469"/>
      <c r="K64" s="312"/>
      <c r="L64" s="418"/>
      <c r="M64" s="418"/>
      <c r="N64" s="467"/>
      <c r="O64" s="421"/>
      <c r="P64" s="421"/>
      <c r="Q64" s="418"/>
      <c r="R64" s="418"/>
      <c r="S64" s="418"/>
      <c r="T64" s="418"/>
      <c r="U64" s="418"/>
      <c r="V64" s="418"/>
      <c r="W64" s="418"/>
      <c r="X64" s="418"/>
      <c r="Y64" s="418"/>
      <c r="Z64" s="418"/>
      <c r="AA64" s="418"/>
      <c r="AB64" s="418"/>
      <c r="AC64" s="418"/>
      <c r="AD64" s="418"/>
      <c r="AE64" s="418"/>
      <c r="AF64" s="418"/>
      <c r="AG64" s="418"/>
      <c r="AH64" s="418"/>
      <c r="AI64" s="418"/>
      <c r="AJ64" s="418"/>
      <c r="AK64" s="418"/>
      <c r="AL64" s="418"/>
      <c r="AM64" s="418"/>
      <c r="AN64" s="462"/>
      <c r="AO64" s="462"/>
      <c r="AP64" s="462"/>
      <c r="BC64" s="1193"/>
      <c r="BD64" s="1137"/>
    </row>
    <row r="65" spans="1:59" ht="15.75" customHeight="1">
      <c r="A65" s="1141"/>
      <c r="B65" s="514"/>
      <c r="C65" s="424"/>
      <c r="D65" s="514"/>
      <c r="E65" s="419"/>
      <c r="F65" s="447"/>
      <c r="G65" s="419"/>
      <c r="H65" s="467"/>
      <c r="I65" s="467"/>
      <c r="J65" s="469"/>
      <c r="K65" s="312"/>
      <c r="L65" s="418"/>
      <c r="M65" s="418"/>
      <c r="N65" s="467"/>
      <c r="O65" s="421"/>
      <c r="P65" s="421"/>
      <c r="Q65" s="418"/>
      <c r="R65" s="418"/>
      <c r="S65" s="418"/>
      <c r="T65" s="418"/>
      <c r="U65" s="418"/>
      <c r="V65" s="418"/>
      <c r="W65" s="418"/>
      <c r="X65" s="418"/>
      <c r="Y65" s="418"/>
      <c r="Z65" s="418"/>
      <c r="AA65" s="418"/>
      <c r="AB65" s="418"/>
      <c r="AC65" s="418"/>
      <c r="AD65" s="418"/>
      <c r="AE65" s="418"/>
      <c r="AF65" s="418"/>
      <c r="AG65" s="418"/>
      <c r="AH65" s="418"/>
      <c r="AI65" s="418"/>
      <c r="AJ65" s="418"/>
      <c r="AK65" s="418"/>
      <c r="AL65" s="418"/>
      <c r="AM65" s="418"/>
      <c r="AN65" s="462"/>
      <c r="AO65" s="462"/>
      <c r="AP65" s="462"/>
      <c r="BC65" s="1193"/>
      <c r="BD65" s="1137"/>
    </row>
    <row r="66" spans="1:59" ht="15.75" customHeight="1">
      <c r="A66" s="1141"/>
      <c r="B66" s="514"/>
      <c r="C66" s="424"/>
      <c r="D66" s="514"/>
      <c r="E66" s="419"/>
      <c r="F66" s="447"/>
      <c r="G66" s="419"/>
      <c r="H66" s="421"/>
      <c r="I66" s="429"/>
      <c r="J66" s="469"/>
      <c r="K66" s="312"/>
      <c r="L66" s="418"/>
      <c r="M66" s="418"/>
      <c r="N66" s="312"/>
      <c r="O66" s="421"/>
      <c r="P66" s="421"/>
      <c r="Q66" s="418"/>
      <c r="R66" s="418"/>
      <c r="S66" s="418"/>
      <c r="T66" s="418"/>
      <c r="U66" s="418"/>
      <c r="V66" s="418"/>
      <c r="W66" s="418"/>
      <c r="X66" s="418"/>
      <c r="Y66" s="418"/>
      <c r="Z66" s="418"/>
      <c r="AA66" s="418"/>
      <c r="AB66" s="418"/>
      <c r="AC66" s="418"/>
      <c r="AD66" s="418"/>
      <c r="AE66" s="418"/>
      <c r="AF66" s="418"/>
      <c r="AG66" s="418"/>
      <c r="AH66" s="418"/>
      <c r="AI66" s="418"/>
      <c r="AJ66" s="418"/>
      <c r="AK66" s="418"/>
      <c r="AL66" s="418"/>
      <c r="AM66" s="418"/>
      <c r="AN66" s="462"/>
      <c r="AO66" s="462"/>
      <c r="AP66" s="462"/>
    </row>
    <row r="67" spans="1:59" ht="15.75" customHeight="1">
      <c r="A67" s="1141"/>
      <c r="B67" s="514"/>
      <c r="C67" s="424"/>
      <c r="D67" s="514"/>
      <c r="E67" s="419"/>
      <c r="F67" s="447"/>
      <c r="G67" s="419"/>
      <c r="H67" s="421"/>
      <c r="I67" s="467"/>
      <c r="J67" s="469"/>
      <c r="K67" s="312"/>
      <c r="L67" s="418"/>
      <c r="M67" s="418"/>
      <c r="N67" s="467"/>
      <c r="O67" s="421"/>
      <c r="P67" s="421"/>
      <c r="Q67" s="418"/>
      <c r="R67" s="418"/>
      <c r="S67" s="418"/>
      <c r="T67" s="418"/>
      <c r="U67" s="418"/>
      <c r="V67" s="418"/>
      <c r="W67" s="418"/>
      <c r="X67" s="418"/>
      <c r="Y67" s="418"/>
      <c r="Z67" s="418"/>
      <c r="AA67" s="418"/>
      <c r="AB67" s="418"/>
      <c r="AC67" s="418"/>
      <c r="AD67" s="418"/>
      <c r="AE67" s="418"/>
      <c r="AF67" s="418"/>
      <c r="AG67" s="418"/>
      <c r="AH67" s="418"/>
      <c r="AI67" s="418"/>
      <c r="AJ67" s="418"/>
      <c r="AK67" s="418"/>
      <c r="AL67" s="418"/>
      <c r="AM67" s="418"/>
      <c r="AN67" s="462"/>
      <c r="AO67" s="462"/>
      <c r="AP67" s="462"/>
    </row>
    <row r="68" spans="1:59" ht="15.75" customHeight="1">
      <c r="A68" s="1141"/>
      <c r="B68" s="514"/>
      <c r="C68" s="424"/>
      <c r="D68" s="514"/>
      <c r="E68" s="419"/>
      <c r="F68" s="447"/>
      <c r="G68" s="419"/>
      <c r="H68" s="467"/>
      <c r="I68" s="468"/>
      <c r="J68" s="469"/>
      <c r="K68" s="312"/>
      <c r="L68" s="418"/>
      <c r="M68" s="418"/>
      <c r="N68" s="312"/>
      <c r="O68" s="421"/>
      <c r="P68" s="421"/>
      <c r="Q68" s="418"/>
      <c r="R68" s="418"/>
      <c r="S68" s="418"/>
      <c r="T68" s="418"/>
      <c r="U68" s="418"/>
      <c r="V68" s="418"/>
      <c r="W68" s="418"/>
      <c r="X68" s="418"/>
      <c r="Y68" s="418"/>
      <c r="Z68" s="418"/>
      <c r="AA68" s="418"/>
      <c r="AB68" s="418"/>
      <c r="AC68" s="418"/>
      <c r="AD68" s="418"/>
      <c r="AE68" s="418"/>
      <c r="AF68" s="418"/>
      <c r="AG68" s="418"/>
      <c r="AH68" s="418"/>
      <c r="AI68" s="418"/>
      <c r="AJ68" s="418"/>
      <c r="AK68" s="418"/>
      <c r="AL68" s="418"/>
      <c r="AM68" s="418"/>
      <c r="AN68" s="462"/>
      <c r="AO68" s="462"/>
      <c r="AP68" s="462"/>
    </row>
    <row r="69" spans="1:59" ht="15.75" customHeight="1">
      <c r="A69" s="1141"/>
      <c r="B69" s="514"/>
      <c r="C69" s="424"/>
      <c r="D69" s="514"/>
      <c r="E69" s="419"/>
      <c r="F69" s="447"/>
      <c r="G69" s="419"/>
      <c r="H69" s="467"/>
      <c r="I69" s="467"/>
      <c r="J69" s="469"/>
      <c r="K69" s="312"/>
      <c r="L69" s="418"/>
      <c r="M69" s="418"/>
      <c r="N69" s="467"/>
      <c r="O69" s="421"/>
      <c r="P69" s="421"/>
      <c r="Q69" s="418"/>
      <c r="R69" s="418"/>
      <c r="S69" s="418"/>
      <c r="T69" s="418"/>
      <c r="U69" s="418"/>
      <c r="V69" s="418"/>
      <c r="W69" s="418"/>
      <c r="X69" s="418"/>
      <c r="Y69" s="418"/>
      <c r="Z69" s="418"/>
      <c r="AA69" s="418"/>
      <c r="AB69" s="418"/>
      <c r="AC69" s="418"/>
      <c r="AD69" s="418"/>
      <c r="AE69" s="418"/>
      <c r="AF69" s="418"/>
      <c r="AG69" s="418"/>
      <c r="AH69" s="418"/>
      <c r="AI69" s="418"/>
      <c r="AJ69" s="418"/>
      <c r="AK69" s="418"/>
      <c r="AL69" s="418"/>
      <c r="AM69" s="418"/>
      <c r="AN69" s="462"/>
      <c r="AO69" s="462"/>
      <c r="AP69" s="462"/>
    </row>
    <row r="70" spans="1:59" ht="15.75" customHeight="1">
      <c r="A70" s="1141"/>
      <c r="B70" s="514"/>
      <c r="C70" s="424"/>
      <c r="D70" s="514"/>
      <c r="E70" s="419"/>
      <c r="F70" s="447"/>
      <c r="G70" s="419"/>
      <c r="H70" s="312"/>
      <c r="I70" s="312"/>
      <c r="J70" s="1112"/>
      <c r="K70" s="312"/>
      <c r="L70" s="418"/>
      <c r="M70" s="418"/>
      <c r="N70" s="467"/>
      <c r="O70" s="421"/>
      <c r="P70" s="421"/>
      <c r="Q70" s="418"/>
      <c r="R70" s="418"/>
      <c r="S70" s="418"/>
      <c r="T70" s="418"/>
      <c r="U70" s="418"/>
      <c r="V70" s="418"/>
      <c r="W70" s="418"/>
      <c r="X70" s="418"/>
      <c r="Y70" s="418"/>
      <c r="Z70" s="418"/>
      <c r="AA70" s="418"/>
      <c r="AB70" s="418"/>
      <c r="AC70" s="418"/>
      <c r="AD70" s="418"/>
      <c r="AE70" s="418"/>
      <c r="AF70" s="418"/>
      <c r="AG70" s="418"/>
      <c r="AH70" s="418"/>
      <c r="AI70" s="418"/>
      <c r="AJ70" s="418"/>
      <c r="AK70" s="418"/>
      <c r="AL70" s="418"/>
      <c r="AM70" s="418"/>
      <c r="AN70" s="462"/>
      <c r="AO70" s="462"/>
      <c r="AP70" s="462"/>
    </row>
    <row r="71" spans="1:59" ht="15.75" customHeight="1">
      <c r="A71" s="1141"/>
      <c r="B71" s="514"/>
      <c r="C71" s="424"/>
      <c r="D71" s="514"/>
      <c r="E71" s="419"/>
      <c r="F71" s="447"/>
      <c r="G71" s="419"/>
      <c r="H71" s="312"/>
      <c r="I71" s="312"/>
      <c r="J71" s="1112"/>
      <c r="K71" s="312"/>
      <c r="L71" s="418"/>
      <c r="M71" s="418"/>
      <c r="N71" s="467"/>
      <c r="O71" s="421"/>
      <c r="P71" s="421"/>
      <c r="Q71" s="418"/>
      <c r="R71" s="418"/>
      <c r="S71" s="418"/>
      <c r="T71" s="418"/>
      <c r="U71" s="418"/>
      <c r="V71" s="418"/>
      <c r="W71" s="418"/>
      <c r="X71" s="418"/>
      <c r="Y71" s="418"/>
      <c r="Z71" s="418"/>
      <c r="AA71" s="418"/>
      <c r="AB71" s="418"/>
      <c r="AC71" s="418"/>
      <c r="AD71" s="418"/>
      <c r="AE71" s="418"/>
      <c r="AF71" s="418"/>
      <c r="AG71" s="418"/>
      <c r="AH71" s="418"/>
      <c r="AI71" s="418"/>
      <c r="AJ71" s="418"/>
      <c r="AK71" s="418"/>
      <c r="AL71" s="418"/>
      <c r="AM71" s="418"/>
      <c r="AN71" s="462"/>
      <c r="AO71" s="462"/>
      <c r="AP71" s="462"/>
    </row>
    <row r="72" spans="1:59" ht="15.75" customHeight="1">
      <c r="A72" s="1141"/>
      <c r="B72" s="514"/>
      <c r="C72" s="424"/>
      <c r="D72" s="514"/>
      <c r="E72" s="419"/>
      <c r="F72" s="447"/>
      <c r="G72" s="419"/>
      <c r="H72" s="421"/>
      <c r="I72" s="421"/>
      <c r="J72" s="492"/>
      <c r="K72" s="418"/>
      <c r="L72" s="418"/>
      <c r="M72" s="418"/>
      <c r="N72" s="467"/>
      <c r="O72" s="421"/>
      <c r="P72" s="421"/>
      <c r="Q72" s="418"/>
      <c r="R72" s="418"/>
      <c r="S72" s="418"/>
      <c r="T72" s="418"/>
      <c r="U72" s="418"/>
      <c r="V72" s="418"/>
      <c r="W72" s="418"/>
      <c r="X72" s="418"/>
      <c r="Y72" s="418"/>
      <c r="Z72" s="418"/>
      <c r="AA72" s="418"/>
      <c r="AB72" s="418"/>
      <c r="AC72" s="418"/>
      <c r="AD72" s="418"/>
      <c r="AE72" s="418"/>
      <c r="AF72" s="418"/>
      <c r="AG72" s="418"/>
      <c r="AH72" s="418"/>
      <c r="AI72" s="418"/>
      <c r="AJ72" s="418"/>
      <c r="AK72" s="418"/>
      <c r="AL72" s="418"/>
      <c r="AM72" s="418"/>
      <c r="AN72" s="462"/>
      <c r="AO72" s="462"/>
      <c r="AP72" s="462"/>
    </row>
    <row r="73" spans="1:59" ht="15.75" customHeight="1">
      <c r="A73" s="1141"/>
      <c r="B73" s="514"/>
      <c r="C73" s="424"/>
      <c r="D73" s="514"/>
      <c r="E73" s="419"/>
      <c r="F73" s="447"/>
      <c r="G73" s="419"/>
      <c r="H73" s="421"/>
      <c r="I73" s="421"/>
      <c r="J73" s="492"/>
      <c r="K73" s="418"/>
      <c r="L73" s="418"/>
      <c r="M73" s="418"/>
      <c r="N73" s="467"/>
      <c r="O73" s="421"/>
      <c r="P73" s="421"/>
      <c r="Q73" s="418"/>
      <c r="R73" s="418"/>
      <c r="S73" s="418"/>
      <c r="T73" s="418"/>
      <c r="U73" s="418"/>
      <c r="V73" s="418"/>
      <c r="W73" s="418"/>
      <c r="X73" s="418"/>
      <c r="Y73" s="418"/>
      <c r="Z73" s="418"/>
      <c r="AA73" s="418"/>
      <c r="AB73" s="418"/>
      <c r="AC73" s="418"/>
      <c r="AD73" s="418"/>
      <c r="AE73" s="418"/>
      <c r="AF73" s="418"/>
      <c r="AG73" s="418"/>
      <c r="AH73" s="418"/>
      <c r="AI73" s="418"/>
      <c r="AJ73" s="418"/>
      <c r="AK73" s="418"/>
      <c r="AL73" s="418"/>
      <c r="AM73" s="418"/>
      <c r="AN73" s="462"/>
      <c r="AO73" s="462"/>
      <c r="AP73" s="462"/>
    </row>
    <row r="74" spans="1:59" ht="15.75" customHeight="1">
      <c r="A74" s="1141"/>
      <c r="B74" s="514"/>
      <c r="C74" s="424"/>
      <c r="D74" s="514"/>
      <c r="E74" s="419"/>
      <c r="F74" s="419"/>
      <c r="G74" s="419"/>
      <c r="H74" s="421"/>
      <c r="I74" s="421"/>
      <c r="J74" s="492"/>
      <c r="K74" s="418"/>
      <c r="L74" s="418"/>
      <c r="M74" s="418"/>
      <c r="N74" s="312"/>
      <c r="O74" s="421"/>
      <c r="P74" s="421"/>
      <c r="Q74" s="418"/>
      <c r="R74" s="418"/>
      <c r="S74" s="418"/>
      <c r="T74" s="418"/>
      <c r="U74" s="418"/>
      <c r="V74" s="418"/>
      <c r="W74" s="418"/>
      <c r="X74" s="418"/>
      <c r="Y74" s="418"/>
      <c r="Z74" s="418"/>
      <c r="AA74" s="418"/>
      <c r="AB74" s="418"/>
      <c r="AC74" s="418"/>
      <c r="AD74" s="418"/>
      <c r="AE74" s="418"/>
      <c r="AF74" s="418"/>
      <c r="AG74" s="418"/>
      <c r="AH74" s="418"/>
      <c r="AI74" s="418"/>
      <c r="AJ74" s="418"/>
      <c r="AK74" s="418"/>
      <c r="AL74" s="418"/>
      <c r="AM74" s="418"/>
      <c r="AN74" s="462"/>
      <c r="AO74" s="462"/>
      <c r="AP74" s="462"/>
    </row>
    <row r="75" spans="1:59" ht="15.75" customHeight="1">
      <c r="A75" s="1141"/>
      <c r="B75" s="514"/>
      <c r="C75" s="424"/>
      <c r="D75" s="514"/>
      <c r="E75" s="419"/>
      <c r="F75" s="419"/>
      <c r="G75" s="419"/>
      <c r="H75" s="421"/>
      <c r="I75" s="421"/>
      <c r="J75" s="492"/>
      <c r="K75" s="418"/>
      <c r="L75" s="418"/>
      <c r="M75" s="418"/>
      <c r="N75" s="467"/>
      <c r="O75" s="421"/>
      <c r="P75" s="421"/>
      <c r="Q75" s="418"/>
      <c r="R75" s="418"/>
      <c r="S75" s="418"/>
      <c r="T75" s="418"/>
      <c r="U75" s="418"/>
      <c r="V75" s="418"/>
      <c r="W75" s="418"/>
      <c r="X75" s="418"/>
      <c r="Y75" s="418"/>
      <c r="Z75" s="418"/>
      <c r="AA75" s="418"/>
      <c r="AB75" s="418"/>
      <c r="AC75" s="418"/>
      <c r="AD75" s="418"/>
      <c r="AE75" s="418"/>
      <c r="AF75" s="418"/>
      <c r="AG75" s="418"/>
      <c r="AH75" s="418"/>
      <c r="AI75" s="418"/>
      <c r="AJ75" s="418"/>
      <c r="AK75" s="418"/>
      <c r="AL75" s="418"/>
      <c r="AM75" s="418"/>
      <c r="AN75" s="462"/>
      <c r="AO75" s="462"/>
      <c r="AP75" s="462"/>
      <c r="BC75" s="1193"/>
      <c r="BE75" s="1200"/>
    </row>
    <row r="76" spans="1:59" ht="15.75" customHeight="1">
      <c r="A76" s="1141"/>
      <c r="B76" s="514"/>
      <c r="C76" s="424"/>
      <c r="D76" s="514"/>
      <c r="E76" s="419"/>
      <c r="F76" s="419"/>
      <c r="G76" s="419"/>
      <c r="H76" s="421"/>
      <c r="I76" s="421"/>
      <c r="J76" s="492"/>
      <c r="K76" s="418"/>
      <c r="L76" s="418"/>
      <c r="M76" s="418"/>
      <c r="N76" s="312"/>
      <c r="O76" s="421"/>
      <c r="P76" s="421"/>
      <c r="Q76" s="418"/>
      <c r="R76" s="418"/>
      <c r="S76" s="418"/>
      <c r="T76" s="418"/>
      <c r="U76" s="418"/>
      <c r="V76" s="418"/>
      <c r="W76" s="418"/>
      <c r="X76" s="418"/>
      <c r="Y76" s="418"/>
      <c r="Z76" s="418"/>
      <c r="AA76" s="418"/>
      <c r="AB76" s="418"/>
      <c r="AC76" s="418"/>
      <c r="AD76" s="418"/>
      <c r="AE76" s="418"/>
      <c r="AF76" s="418"/>
      <c r="AG76" s="418"/>
      <c r="AH76" s="418"/>
      <c r="AI76" s="418"/>
      <c r="AJ76" s="418"/>
      <c r="AK76" s="418"/>
      <c r="AL76" s="418"/>
      <c r="AM76" s="418"/>
      <c r="AN76" s="462"/>
      <c r="AO76" s="462"/>
      <c r="AP76" s="462"/>
      <c r="BC76" s="1193"/>
      <c r="BD76" s="1194"/>
    </row>
    <row r="77" spans="1:59" ht="15.75" customHeight="1">
      <c r="A77" s="1141"/>
      <c r="B77" s="514"/>
      <c r="C77" s="424"/>
      <c r="D77" s="514"/>
      <c r="E77" s="419"/>
      <c r="F77" s="419"/>
      <c r="G77" s="419"/>
      <c r="H77" s="421"/>
      <c r="I77" s="421"/>
      <c r="J77" s="492"/>
      <c r="K77" s="418"/>
      <c r="L77" s="418"/>
      <c r="M77" s="418"/>
      <c r="N77" s="467"/>
      <c r="O77" s="312"/>
      <c r="P77" s="312"/>
      <c r="Q77" s="418"/>
      <c r="R77" s="418"/>
      <c r="S77" s="418"/>
      <c r="T77" s="418"/>
      <c r="U77" s="418"/>
      <c r="V77" s="418"/>
      <c r="W77" s="418"/>
      <c r="X77" s="418"/>
      <c r="Y77" s="418"/>
      <c r="Z77" s="418"/>
      <c r="AA77" s="418"/>
      <c r="AB77" s="418"/>
      <c r="AC77" s="418"/>
      <c r="AD77" s="418"/>
      <c r="AE77" s="418"/>
      <c r="AF77" s="418"/>
      <c r="AG77" s="418"/>
      <c r="AH77" s="418"/>
      <c r="AI77" s="418"/>
      <c r="AJ77" s="418"/>
      <c r="AK77" s="418"/>
      <c r="AL77" s="418"/>
      <c r="AM77" s="418"/>
      <c r="AN77" s="462"/>
      <c r="AO77" s="462"/>
      <c r="AP77" s="462"/>
      <c r="BC77" s="1193"/>
    </row>
    <row r="78" spans="1:59" ht="15.75" customHeight="1">
      <c r="A78" s="1141"/>
      <c r="B78" s="514"/>
      <c r="C78" s="424"/>
      <c r="D78" s="514"/>
      <c r="E78" s="419"/>
      <c r="F78" s="419"/>
      <c r="G78" s="419"/>
      <c r="H78" s="421"/>
      <c r="I78" s="421"/>
      <c r="J78" s="492"/>
      <c r="K78" s="418"/>
      <c r="L78" s="418"/>
      <c r="M78" s="418"/>
      <c r="N78" s="467"/>
      <c r="O78" s="421"/>
      <c r="P78" s="421"/>
      <c r="Q78" s="418"/>
      <c r="R78" s="418"/>
      <c r="S78" s="418"/>
      <c r="T78" s="418"/>
      <c r="U78" s="418"/>
      <c r="V78" s="418"/>
      <c r="W78" s="418"/>
      <c r="X78" s="418"/>
      <c r="Y78" s="418"/>
      <c r="Z78" s="418"/>
      <c r="AA78" s="418"/>
      <c r="AB78" s="418"/>
      <c r="AC78" s="418"/>
      <c r="AD78" s="418"/>
      <c r="AE78" s="418"/>
      <c r="AF78" s="418"/>
      <c r="AG78" s="418"/>
      <c r="AH78" s="418"/>
      <c r="AI78" s="418"/>
      <c r="AJ78" s="418"/>
      <c r="AK78" s="418"/>
      <c r="AL78" s="418"/>
      <c r="AM78" s="418"/>
      <c r="AN78" s="462"/>
      <c r="AO78" s="462"/>
      <c r="AP78" s="462"/>
      <c r="BC78" s="1193"/>
    </row>
    <row r="79" spans="1:59" ht="15.75" customHeight="1">
      <c r="A79" s="1141"/>
      <c r="B79" s="514"/>
      <c r="C79" s="424"/>
      <c r="D79" s="514"/>
      <c r="E79" s="419"/>
      <c r="F79" s="419"/>
      <c r="G79" s="419"/>
      <c r="H79" s="421"/>
      <c r="I79" s="421"/>
      <c r="J79" s="492"/>
      <c r="K79" s="418"/>
      <c r="L79" s="418"/>
      <c r="M79" s="418"/>
      <c r="N79" s="467"/>
      <c r="O79" s="312"/>
      <c r="P79" s="312"/>
      <c r="Q79" s="418"/>
      <c r="R79" s="418"/>
      <c r="S79" s="418"/>
      <c r="T79" s="418"/>
      <c r="U79" s="418"/>
      <c r="V79" s="418"/>
      <c r="W79" s="418"/>
      <c r="X79" s="418"/>
      <c r="Y79" s="418"/>
      <c r="Z79" s="418"/>
      <c r="AA79" s="418"/>
      <c r="AB79" s="418"/>
      <c r="AC79" s="418"/>
      <c r="AD79" s="418"/>
      <c r="AE79" s="418"/>
      <c r="AF79" s="418"/>
      <c r="AG79" s="418"/>
      <c r="AH79" s="418"/>
      <c r="AI79" s="418"/>
      <c r="AJ79" s="418"/>
      <c r="AK79" s="418"/>
      <c r="AL79" s="418"/>
      <c r="AM79" s="418"/>
      <c r="AN79" s="462"/>
      <c r="AO79" s="462"/>
      <c r="AP79" s="462"/>
      <c r="BC79" s="1193"/>
    </row>
    <row r="80" spans="1:59" ht="15.75" customHeight="1">
      <c r="A80" s="1141"/>
      <c r="B80" s="514"/>
      <c r="C80" s="424"/>
      <c r="D80" s="514"/>
      <c r="E80" s="419"/>
      <c r="F80" s="419"/>
      <c r="G80" s="419"/>
      <c r="H80" s="421"/>
      <c r="I80" s="425"/>
      <c r="J80" s="492"/>
      <c r="K80" s="418"/>
      <c r="L80" s="418"/>
      <c r="M80" s="418"/>
      <c r="N80" s="467"/>
      <c r="O80" s="421"/>
      <c r="P80" s="421"/>
      <c r="Q80" s="418"/>
      <c r="R80" s="418"/>
      <c r="S80" s="418"/>
      <c r="T80" s="418"/>
      <c r="U80" s="418"/>
      <c r="V80" s="418"/>
      <c r="W80" s="418"/>
      <c r="X80" s="418"/>
      <c r="Y80" s="418"/>
      <c r="Z80" s="418"/>
      <c r="AA80" s="418"/>
      <c r="AB80" s="418"/>
      <c r="AC80" s="418"/>
      <c r="AD80" s="418"/>
      <c r="AE80" s="418"/>
      <c r="AF80" s="418"/>
      <c r="AG80" s="418"/>
      <c r="AH80" s="418"/>
      <c r="AI80" s="418"/>
      <c r="AJ80" s="418"/>
      <c r="AK80" s="418"/>
      <c r="AL80" s="418"/>
      <c r="AM80" s="418"/>
      <c r="AN80" s="462"/>
      <c r="AO80" s="462"/>
      <c r="AP80" s="462"/>
      <c r="BC80" s="1193"/>
      <c r="BF80" s="1200"/>
      <c r="BG80" s="1200"/>
    </row>
    <row r="81" spans="1:55" ht="15.75" customHeight="1">
      <c r="A81" s="1141"/>
      <c r="B81" s="514"/>
      <c r="C81" s="424"/>
      <c r="D81" s="514"/>
      <c r="E81" s="419"/>
      <c r="F81" s="419"/>
      <c r="G81" s="419"/>
      <c r="H81" s="421"/>
      <c r="I81" s="467"/>
      <c r="J81" s="492"/>
      <c r="K81" s="418"/>
      <c r="L81" s="418"/>
      <c r="M81" s="418"/>
      <c r="N81" s="467"/>
      <c r="O81" s="421"/>
      <c r="P81" s="421"/>
      <c r="Q81" s="418"/>
      <c r="R81" s="418"/>
      <c r="S81" s="418"/>
      <c r="T81" s="418"/>
      <c r="U81" s="418"/>
      <c r="V81" s="418"/>
      <c r="W81" s="418"/>
      <c r="X81" s="418"/>
      <c r="Y81" s="418"/>
      <c r="Z81" s="418"/>
      <c r="AA81" s="418"/>
      <c r="AB81" s="418"/>
      <c r="AC81" s="418"/>
      <c r="AD81" s="418"/>
      <c r="AE81" s="418"/>
      <c r="AF81" s="418"/>
      <c r="AG81" s="418"/>
      <c r="AH81" s="418"/>
      <c r="AI81" s="418"/>
      <c r="AJ81" s="418"/>
      <c r="AK81" s="418"/>
      <c r="AL81" s="418"/>
      <c r="AM81" s="418"/>
      <c r="AN81" s="462"/>
      <c r="AO81" s="462"/>
      <c r="AP81" s="462"/>
      <c r="BC81" s="1193"/>
    </row>
    <row r="82" spans="1:55" ht="15.75" customHeight="1">
      <c r="A82" s="1141"/>
      <c r="B82" s="514"/>
      <c r="C82" s="424"/>
      <c r="D82" s="514"/>
      <c r="E82" s="419"/>
      <c r="F82" s="419"/>
      <c r="G82" s="419"/>
      <c r="H82" s="421"/>
      <c r="I82" s="421"/>
      <c r="J82" s="492"/>
      <c r="K82" s="418"/>
      <c r="L82" s="418"/>
      <c r="M82" s="418"/>
      <c r="N82" s="467"/>
      <c r="O82" s="421"/>
      <c r="P82" s="421"/>
      <c r="Q82" s="418"/>
      <c r="R82" s="418"/>
      <c r="S82" s="418"/>
      <c r="T82" s="418"/>
      <c r="U82" s="418"/>
      <c r="V82" s="418"/>
      <c r="W82" s="418"/>
      <c r="X82" s="418"/>
      <c r="Y82" s="418"/>
      <c r="Z82" s="418"/>
      <c r="AA82" s="418"/>
      <c r="AB82" s="418"/>
      <c r="AC82" s="418"/>
      <c r="AD82" s="418"/>
      <c r="AE82" s="418"/>
      <c r="AF82" s="418"/>
      <c r="AG82" s="418"/>
      <c r="AH82" s="418"/>
      <c r="AI82" s="418"/>
      <c r="AJ82" s="418"/>
      <c r="AK82" s="418"/>
      <c r="AL82" s="418"/>
      <c r="AM82" s="418"/>
      <c r="AN82" s="462"/>
      <c r="AO82" s="462"/>
      <c r="AP82" s="462"/>
      <c r="BC82" s="1193"/>
    </row>
    <row r="83" spans="1:55" ht="15.75" customHeight="1">
      <c r="A83" s="1141"/>
      <c r="B83" s="514"/>
      <c r="C83" s="424"/>
      <c r="D83" s="514"/>
      <c r="E83" s="419"/>
      <c r="F83" s="419"/>
      <c r="G83" s="419"/>
      <c r="H83" s="421"/>
      <c r="I83" s="421"/>
      <c r="J83" s="492"/>
      <c r="K83" s="418"/>
      <c r="L83" s="418"/>
      <c r="M83" s="418"/>
      <c r="N83" s="467"/>
      <c r="O83" s="421"/>
      <c r="P83" s="421"/>
      <c r="Q83" s="418"/>
      <c r="R83" s="418"/>
      <c r="S83" s="418"/>
      <c r="T83" s="418"/>
      <c r="U83" s="418"/>
      <c r="V83" s="418"/>
      <c r="W83" s="418"/>
      <c r="X83" s="418"/>
      <c r="Y83" s="418"/>
      <c r="Z83" s="418"/>
      <c r="AA83" s="418"/>
      <c r="AB83" s="418"/>
      <c r="AC83" s="418"/>
      <c r="AD83" s="418"/>
      <c r="AE83" s="418"/>
      <c r="AF83" s="418"/>
      <c r="AG83" s="418"/>
      <c r="AH83" s="418"/>
      <c r="AI83" s="418"/>
      <c r="AJ83" s="418"/>
      <c r="AK83" s="418"/>
      <c r="AL83" s="418"/>
      <c r="AM83" s="418"/>
      <c r="AN83" s="462"/>
      <c r="AO83" s="462"/>
      <c r="AP83" s="462"/>
      <c r="BC83" s="1193"/>
    </row>
    <row r="84" spans="1:55" ht="15.75" customHeight="1">
      <c r="A84" s="1141"/>
      <c r="B84" s="514"/>
      <c r="C84" s="424"/>
      <c r="D84" s="514"/>
      <c r="E84" s="419"/>
      <c r="F84" s="419"/>
      <c r="G84" s="419"/>
      <c r="H84" s="421"/>
      <c r="I84" s="421"/>
      <c r="J84" s="492"/>
      <c r="K84" s="418"/>
      <c r="L84" s="418"/>
      <c r="M84" s="418"/>
      <c r="N84" s="312"/>
      <c r="O84" s="421"/>
      <c r="P84" s="421"/>
      <c r="Q84" s="418"/>
      <c r="R84" s="418"/>
      <c r="S84" s="418"/>
      <c r="T84" s="418"/>
      <c r="U84" s="418"/>
      <c r="V84" s="418"/>
      <c r="W84" s="418"/>
      <c r="X84" s="418"/>
      <c r="Y84" s="418"/>
      <c r="Z84" s="418"/>
      <c r="AA84" s="418"/>
      <c r="AB84" s="418"/>
      <c r="AC84" s="418"/>
      <c r="AD84" s="418"/>
      <c r="AE84" s="418"/>
      <c r="AF84" s="418"/>
      <c r="AG84" s="418"/>
      <c r="AH84" s="418"/>
      <c r="AI84" s="418"/>
      <c r="AJ84" s="418"/>
      <c r="AK84" s="418"/>
      <c r="AL84" s="418"/>
      <c r="AM84" s="418"/>
      <c r="AN84" s="462"/>
      <c r="AO84" s="462"/>
      <c r="AP84" s="462"/>
      <c r="BC84" s="1193"/>
    </row>
    <row r="85" spans="1:55" ht="15.75" customHeight="1">
      <c r="A85" s="1141"/>
      <c r="B85" s="514"/>
      <c r="C85" s="424"/>
      <c r="D85" s="514"/>
      <c r="E85" s="419"/>
      <c r="F85" s="419"/>
      <c r="G85" s="419"/>
      <c r="H85" s="421"/>
      <c r="I85" s="421"/>
      <c r="J85" s="492"/>
      <c r="K85" s="418"/>
      <c r="L85" s="418"/>
      <c r="M85" s="418"/>
      <c r="N85" s="467"/>
      <c r="O85" s="421"/>
      <c r="P85" s="421"/>
      <c r="Q85" s="418"/>
      <c r="R85" s="418"/>
      <c r="S85" s="418"/>
      <c r="T85" s="418"/>
      <c r="U85" s="418"/>
      <c r="V85" s="418"/>
      <c r="W85" s="418"/>
      <c r="X85" s="418"/>
      <c r="Y85" s="418"/>
      <c r="Z85" s="418"/>
      <c r="AA85" s="418"/>
      <c r="AB85" s="418"/>
      <c r="AC85" s="418"/>
      <c r="AD85" s="418"/>
      <c r="AE85" s="418"/>
      <c r="AF85" s="418"/>
      <c r="AG85" s="418"/>
      <c r="AH85" s="418"/>
      <c r="AI85" s="418"/>
      <c r="AJ85" s="418"/>
      <c r="AK85" s="418"/>
      <c r="AL85" s="418"/>
      <c r="AM85" s="418"/>
      <c r="AN85" s="462"/>
      <c r="AO85" s="462"/>
      <c r="AP85" s="462"/>
      <c r="BC85" s="1193"/>
    </row>
    <row r="86" spans="1:55" ht="15.75" customHeight="1">
      <c r="A86" s="1141"/>
      <c r="B86" s="514"/>
      <c r="C86" s="424"/>
      <c r="D86" s="514"/>
      <c r="E86" s="419"/>
      <c r="F86" s="419"/>
      <c r="G86" s="419"/>
      <c r="H86" s="421"/>
      <c r="I86" s="425"/>
      <c r="J86" s="492"/>
      <c r="K86" s="418"/>
      <c r="L86" s="418"/>
      <c r="M86" s="418"/>
      <c r="N86" s="467"/>
      <c r="O86" s="421"/>
      <c r="P86" s="421"/>
      <c r="Q86" s="418"/>
      <c r="R86" s="418"/>
      <c r="S86" s="418"/>
      <c r="T86" s="418"/>
      <c r="U86" s="418"/>
      <c r="V86" s="418"/>
      <c r="W86" s="418"/>
      <c r="X86" s="418"/>
      <c r="Y86" s="418"/>
      <c r="Z86" s="418"/>
      <c r="AA86" s="418"/>
      <c r="AB86" s="418"/>
      <c r="AC86" s="418"/>
      <c r="AD86" s="418"/>
      <c r="AE86" s="418"/>
      <c r="AF86" s="418"/>
      <c r="AG86" s="418"/>
      <c r="AH86" s="418"/>
      <c r="AI86" s="418"/>
      <c r="AJ86" s="418"/>
      <c r="AK86" s="418"/>
      <c r="AL86" s="418"/>
      <c r="AM86" s="418"/>
      <c r="AN86" s="462"/>
      <c r="AO86" s="462"/>
      <c r="AP86" s="462"/>
      <c r="BC86" s="1193"/>
    </row>
    <row r="87" spans="1:55" ht="15.75" customHeight="1">
      <c r="A87" s="1141"/>
      <c r="B87" s="514"/>
      <c r="C87" s="424"/>
      <c r="D87" s="514"/>
      <c r="E87" s="419"/>
      <c r="F87" s="419"/>
      <c r="G87" s="419"/>
      <c r="H87" s="421"/>
      <c r="I87" s="421"/>
      <c r="J87" s="492"/>
      <c r="K87" s="418"/>
      <c r="L87" s="418"/>
      <c r="M87" s="418"/>
      <c r="N87" s="467"/>
      <c r="O87" s="421"/>
      <c r="P87" s="421"/>
      <c r="Q87" s="418"/>
      <c r="R87" s="418"/>
      <c r="S87" s="418"/>
      <c r="T87" s="418"/>
      <c r="U87" s="418"/>
      <c r="V87" s="418"/>
      <c r="W87" s="418"/>
      <c r="X87" s="418"/>
      <c r="Y87" s="418"/>
      <c r="Z87" s="418"/>
      <c r="AA87" s="418"/>
      <c r="AB87" s="418"/>
      <c r="AC87" s="418"/>
      <c r="AD87" s="418"/>
      <c r="AE87" s="418"/>
      <c r="AF87" s="418"/>
      <c r="AG87" s="418"/>
      <c r="AH87" s="418"/>
      <c r="AI87" s="418"/>
      <c r="AJ87" s="418"/>
      <c r="AK87" s="418"/>
      <c r="AL87" s="418"/>
      <c r="AM87" s="418"/>
      <c r="AN87" s="462"/>
      <c r="AO87" s="462"/>
      <c r="AP87" s="462"/>
      <c r="BC87" s="1193"/>
    </row>
    <row r="88" spans="1:55" ht="15.75" customHeight="1">
      <c r="A88" s="1141"/>
      <c r="B88" s="514"/>
      <c r="C88" s="424"/>
      <c r="D88" s="514"/>
      <c r="E88" s="419"/>
      <c r="F88" s="419"/>
      <c r="G88" s="419"/>
      <c r="H88" s="421"/>
      <c r="I88" s="421"/>
      <c r="J88" s="492"/>
      <c r="K88" s="418"/>
      <c r="L88" s="418"/>
      <c r="M88" s="418"/>
      <c r="N88" s="467"/>
      <c r="O88" s="421"/>
      <c r="P88" s="421"/>
      <c r="Q88" s="418"/>
      <c r="R88" s="418"/>
      <c r="S88" s="418"/>
      <c r="T88" s="418"/>
      <c r="U88" s="418"/>
      <c r="V88" s="418"/>
      <c r="W88" s="418"/>
      <c r="X88" s="418"/>
      <c r="Y88" s="418"/>
      <c r="Z88" s="418"/>
      <c r="AA88" s="418"/>
      <c r="AB88" s="418"/>
      <c r="AC88" s="418"/>
      <c r="AD88" s="418"/>
      <c r="AE88" s="418"/>
      <c r="AF88" s="418"/>
      <c r="AG88" s="418"/>
      <c r="AH88" s="418"/>
      <c r="AI88" s="418"/>
      <c r="AJ88" s="418"/>
      <c r="AK88" s="418"/>
      <c r="AL88" s="418"/>
      <c r="AM88" s="418"/>
      <c r="AN88" s="462"/>
      <c r="AO88" s="462"/>
      <c r="AP88" s="462"/>
      <c r="BC88" s="1193"/>
    </row>
    <row r="89" spans="1:55" ht="15.75" customHeight="1">
      <c r="A89" s="1141"/>
      <c r="B89" s="514"/>
      <c r="C89" s="424"/>
      <c r="D89" s="514"/>
      <c r="E89" s="419"/>
      <c r="F89" s="419"/>
      <c r="G89" s="419"/>
      <c r="H89" s="421"/>
      <c r="I89" s="421"/>
      <c r="J89" s="492"/>
      <c r="K89" s="418"/>
      <c r="L89" s="418"/>
      <c r="M89" s="418"/>
      <c r="N89" s="467"/>
      <c r="O89" s="421"/>
      <c r="P89" s="421"/>
      <c r="Q89" s="418"/>
      <c r="R89" s="418"/>
      <c r="S89" s="418"/>
      <c r="T89" s="418"/>
      <c r="U89" s="418"/>
      <c r="V89" s="418"/>
      <c r="W89" s="418"/>
      <c r="X89" s="418"/>
      <c r="Y89" s="418"/>
      <c r="Z89" s="418"/>
      <c r="AA89" s="418"/>
      <c r="AB89" s="418"/>
      <c r="AC89" s="418"/>
      <c r="AD89" s="418"/>
      <c r="AE89" s="418"/>
      <c r="AF89" s="418"/>
      <c r="AG89" s="418"/>
      <c r="AH89" s="418"/>
      <c r="AI89" s="418"/>
      <c r="AJ89" s="418"/>
      <c r="AK89" s="418"/>
      <c r="AL89" s="418"/>
      <c r="AM89" s="418"/>
      <c r="AN89" s="462"/>
      <c r="AO89" s="462"/>
      <c r="AP89" s="462"/>
      <c r="BC89" s="1193"/>
    </row>
    <row r="90" spans="1:55" ht="15.75" customHeight="1">
      <c r="A90" s="1141"/>
      <c r="B90" s="514"/>
      <c r="C90" s="424"/>
      <c r="D90" s="514"/>
      <c r="E90" s="419"/>
      <c r="F90" s="419"/>
      <c r="G90" s="419"/>
      <c r="H90" s="421"/>
      <c r="I90" s="421"/>
      <c r="J90" s="492"/>
      <c r="K90" s="418"/>
      <c r="L90" s="418"/>
      <c r="M90" s="418"/>
      <c r="N90" s="312"/>
      <c r="O90" s="421"/>
      <c r="P90" s="421"/>
      <c r="Q90" s="418"/>
      <c r="R90" s="418"/>
      <c r="S90" s="418"/>
      <c r="T90" s="418"/>
      <c r="U90" s="418"/>
      <c r="V90" s="418"/>
      <c r="W90" s="418"/>
      <c r="X90" s="418"/>
      <c r="Y90" s="418"/>
      <c r="Z90" s="418"/>
      <c r="AA90" s="418"/>
      <c r="AB90" s="418"/>
      <c r="AC90" s="418"/>
      <c r="AD90" s="418"/>
      <c r="AE90" s="418"/>
      <c r="AF90" s="418"/>
      <c r="AG90" s="418"/>
      <c r="AH90" s="418"/>
      <c r="AI90" s="418"/>
      <c r="AJ90" s="418"/>
      <c r="AK90" s="418"/>
      <c r="AL90" s="418"/>
      <c r="AM90" s="418"/>
      <c r="AN90" s="462"/>
      <c r="AO90" s="462"/>
      <c r="AP90" s="462"/>
      <c r="BC90" s="1193"/>
    </row>
    <row r="91" spans="1:55" ht="15.75" customHeight="1">
      <c r="A91" s="1141"/>
      <c r="B91" s="514"/>
      <c r="C91" s="424"/>
      <c r="D91" s="514"/>
      <c r="E91" s="419"/>
      <c r="F91" s="419"/>
      <c r="G91" s="419"/>
      <c r="H91" s="421"/>
      <c r="I91" s="421"/>
      <c r="J91" s="492"/>
      <c r="K91" s="418"/>
      <c r="L91" s="418"/>
      <c r="M91" s="418"/>
      <c r="N91" s="467"/>
      <c r="O91" s="467"/>
      <c r="P91" s="421"/>
      <c r="Q91" s="418"/>
      <c r="R91" s="418"/>
      <c r="S91" s="418"/>
      <c r="T91" s="418"/>
      <c r="U91" s="418"/>
      <c r="V91" s="418"/>
      <c r="W91" s="418"/>
      <c r="X91" s="418"/>
      <c r="Y91" s="418"/>
      <c r="Z91" s="418"/>
      <c r="AA91" s="418"/>
      <c r="AB91" s="418"/>
      <c r="AC91" s="418"/>
      <c r="AD91" s="418"/>
      <c r="AE91" s="418"/>
      <c r="AF91" s="418"/>
      <c r="AG91" s="418"/>
      <c r="AH91" s="418"/>
      <c r="AI91" s="418"/>
      <c r="AJ91" s="418"/>
      <c r="AK91" s="418"/>
      <c r="AL91" s="418"/>
      <c r="AM91" s="418"/>
      <c r="AN91" s="462"/>
      <c r="AO91" s="462"/>
      <c r="AP91" s="462"/>
      <c r="BC91" s="1193"/>
    </row>
    <row r="92" spans="1:55" ht="15.75" customHeight="1">
      <c r="A92" s="1141"/>
      <c r="B92" s="514"/>
      <c r="C92" s="424"/>
      <c r="D92" s="514"/>
      <c r="E92" s="419"/>
      <c r="F92" s="419"/>
      <c r="G92" s="419"/>
      <c r="H92" s="312"/>
      <c r="I92" s="467"/>
      <c r="J92" s="469"/>
      <c r="K92" s="312"/>
      <c r="L92" s="312"/>
      <c r="M92" s="312"/>
      <c r="N92" s="312"/>
      <c r="O92" s="1115"/>
      <c r="P92" s="421"/>
      <c r="Q92" s="418"/>
      <c r="R92" s="418"/>
      <c r="S92" s="418"/>
      <c r="T92" s="418"/>
      <c r="U92" s="418"/>
      <c r="V92" s="418"/>
      <c r="W92" s="418"/>
      <c r="X92" s="418"/>
      <c r="Y92" s="418"/>
      <c r="Z92" s="418"/>
      <c r="AA92" s="418"/>
      <c r="AB92" s="418"/>
      <c r="AC92" s="418"/>
      <c r="AD92" s="418"/>
      <c r="AE92" s="418"/>
      <c r="AF92" s="418"/>
      <c r="AG92" s="418"/>
      <c r="AH92" s="418"/>
      <c r="AI92" s="418"/>
      <c r="AJ92" s="418"/>
      <c r="AK92" s="418"/>
      <c r="AL92" s="418"/>
      <c r="AM92" s="418"/>
      <c r="AN92" s="462"/>
      <c r="AO92" s="462"/>
      <c r="AP92" s="462"/>
      <c r="BC92" s="1193"/>
    </row>
    <row r="93" spans="1:55" ht="15.75" customHeight="1">
      <c r="A93" s="1141"/>
      <c r="B93" s="514"/>
      <c r="C93" s="424"/>
      <c r="D93" s="514"/>
      <c r="E93" s="419"/>
      <c r="F93" s="419"/>
      <c r="G93" s="419"/>
      <c r="H93" s="467"/>
      <c r="I93" s="421"/>
      <c r="J93" s="469"/>
      <c r="K93" s="312"/>
      <c r="L93" s="418"/>
      <c r="M93" s="312"/>
      <c r="N93" s="467"/>
      <c r="O93" s="467"/>
      <c r="P93" s="421"/>
      <c r="Q93" s="418"/>
      <c r="R93" s="418"/>
      <c r="S93" s="418"/>
      <c r="T93" s="418"/>
      <c r="U93" s="418"/>
      <c r="V93" s="418"/>
      <c r="W93" s="418"/>
      <c r="X93" s="418"/>
      <c r="Y93" s="418"/>
      <c r="Z93" s="418"/>
      <c r="AA93" s="418"/>
      <c r="AB93" s="418"/>
      <c r="AC93" s="418"/>
      <c r="AD93" s="418"/>
      <c r="AE93" s="418"/>
      <c r="AF93" s="418"/>
      <c r="AG93" s="418"/>
      <c r="AH93" s="418"/>
      <c r="AI93" s="418"/>
      <c r="AJ93" s="418"/>
      <c r="AK93" s="418"/>
      <c r="AL93" s="418"/>
      <c r="AM93" s="418"/>
      <c r="AN93" s="462"/>
      <c r="AO93" s="462"/>
      <c r="AP93" s="462"/>
      <c r="BC93" s="1193"/>
    </row>
    <row r="94" spans="1:55" ht="15.75" customHeight="1">
      <c r="B94" s="514"/>
      <c r="C94" s="424"/>
      <c r="D94" s="514"/>
      <c r="E94" s="419"/>
      <c r="F94" s="419"/>
      <c r="G94" s="419"/>
      <c r="H94" s="467"/>
      <c r="I94" s="468"/>
      <c r="J94" s="469"/>
      <c r="K94" s="312"/>
      <c r="L94" s="312"/>
      <c r="M94" s="312"/>
      <c r="N94" s="467"/>
      <c r="O94" s="467"/>
      <c r="P94" s="421"/>
      <c r="Q94" s="418"/>
      <c r="R94" s="418"/>
      <c r="S94" s="418"/>
      <c r="T94" s="418"/>
      <c r="U94" s="418"/>
      <c r="V94" s="418"/>
      <c r="W94" s="418"/>
      <c r="X94" s="418"/>
      <c r="Y94" s="418"/>
      <c r="Z94" s="418"/>
      <c r="AA94" s="418"/>
      <c r="AB94" s="418"/>
      <c r="AC94" s="418"/>
      <c r="AD94" s="418"/>
      <c r="AE94" s="418"/>
      <c r="AF94" s="418"/>
      <c r="AG94" s="418"/>
      <c r="AH94" s="418"/>
      <c r="AI94" s="418"/>
      <c r="AJ94" s="418"/>
      <c r="AK94" s="418"/>
      <c r="AL94" s="418"/>
      <c r="AM94" s="418"/>
      <c r="AN94" s="462"/>
      <c r="AO94" s="462"/>
      <c r="AP94" s="462"/>
      <c r="BC94" s="1193"/>
    </row>
    <row r="95" spans="1:55" ht="15.75" customHeight="1">
      <c r="B95" s="514"/>
      <c r="C95" s="424"/>
      <c r="D95" s="514"/>
      <c r="E95" s="419"/>
      <c r="F95" s="419"/>
      <c r="G95" s="419"/>
      <c r="H95" s="467"/>
      <c r="I95" s="467"/>
      <c r="J95" s="469"/>
      <c r="K95" s="312"/>
      <c r="L95" s="418"/>
      <c r="M95" s="418"/>
      <c r="N95" s="467"/>
      <c r="O95" s="467"/>
      <c r="P95" s="421"/>
      <c r="Q95" s="418"/>
      <c r="R95" s="418"/>
      <c r="S95" s="418"/>
      <c r="T95" s="418"/>
      <c r="U95" s="418"/>
      <c r="V95" s="418"/>
      <c r="W95" s="418"/>
      <c r="X95" s="418"/>
      <c r="Y95" s="418"/>
      <c r="Z95" s="418"/>
      <c r="AA95" s="418"/>
      <c r="AB95" s="418"/>
      <c r="AC95" s="418"/>
      <c r="AD95" s="418"/>
      <c r="AE95" s="418"/>
      <c r="AF95" s="418"/>
      <c r="AG95" s="418"/>
      <c r="AH95" s="418"/>
      <c r="AI95" s="418"/>
      <c r="AJ95" s="418"/>
      <c r="AK95" s="418"/>
      <c r="AL95" s="418"/>
      <c r="AM95" s="418"/>
      <c r="AN95" s="462"/>
      <c r="AO95" s="462"/>
      <c r="AP95" s="462"/>
      <c r="BC95" s="1193"/>
    </row>
    <row r="96" spans="1:55" ht="15.75" customHeight="1">
      <c r="B96" s="514"/>
      <c r="C96" s="424"/>
      <c r="D96" s="514"/>
      <c r="E96" s="419"/>
      <c r="F96" s="419"/>
      <c r="G96" s="419"/>
      <c r="H96" s="467"/>
      <c r="I96" s="467"/>
      <c r="J96" s="469"/>
      <c r="K96" s="312"/>
      <c r="L96" s="312"/>
      <c r="M96" s="312"/>
      <c r="N96" s="467"/>
      <c r="O96" s="467"/>
      <c r="P96" s="421"/>
      <c r="Q96" s="418"/>
      <c r="R96" s="418"/>
      <c r="S96" s="418"/>
      <c r="T96" s="418"/>
      <c r="U96" s="418"/>
      <c r="V96" s="418"/>
      <c r="W96" s="418"/>
      <c r="X96" s="418"/>
      <c r="Y96" s="418"/>
      <c r="Z96" s="418"/>
      <c r="AA96" s="418"/>
      <c r="AB96" s="418"/>
      <c r="AC96" s="418"/>
      <c r="AD96" s="418"/>
      <c r="AE96" s="418"/>
      <c r="AF96" s="418"/>
      <c r="AG96" s="418"/>
      <c r="AH96" s="418"/>
      <c r="AI96" s="418"/>
      <c r="AJ96" s="418"/>
      <c r="AK96" s="418"/>
      <c r="AL96" s="418"/>
      <c r="AM96" s="418"/>
      <c r="AN96" s="462"/>
      <c r="AO96" s="462"/>
      <c r="AP96" s="462"/>
      <c r="BC96" s="1193"/>
    </row>
    <row r="97" spans="2:55" ht="15.75" customHeight="1">
      <c r="B97" s="514"/>
      <c r="C97" s="424"/>
      <c r="D97" s="514"/>
      <c r="E97" s="419"/>
      <c r="F97" s="419"/>
      <c r="G97" s="419"/>
      <c r="H97" s="467"/>
      <c r="I97" s="312"/>
      <c r="J97" s="469"/>
      <c r="K97" s="312"/>
      <c r="L97" s="418"/>
      <c r="M97" s="312"/>
      <c r="N97" s="467"/>
      <c r="O97" s="467"/>
      <c r="P97" s="421"/>
      <c r="Q97" s="418"/>
      <c r="R97" s="418"/>
      <c r="S97" s="418"/>
      <c r="T97" s="418"/>
      <c r="U97" s="418"/>
      <c r="V97" s="418"/>
      <c r="W97" s="418"/>
      <c r="X97" s="418"/>
      <c r="Y97" s="418"/>
      <c r="Z97" s="418"/>
      <c r="AA97" s="418"/>
      <c r="AB97" s="418"/>
      <c r="AC97" s="418"/>
      <c r="AD97" s="418"/>
      <c r="AE97" s="418"/>
      <c r="AF97" s="418"/>
      <c r="AG97" s="418"/>
      <c r="AH97" s="418"/>
      <c r="AI97" s="418"/>
      <c r="AJ97" s="418"/>
      <c r="AK97" s="418"/>
      <c r="AL97" s="418"/>
      <c r="AM97" s="418"/>
      <c r="AN97" s="462"/>
      <c r="AO97" s="462"/>
      <c r="AP97" s="462"/>
      <c r="BC97" s="1193"/>
    </row>
    <row r="98" spans="2:55" ht="15.75" customHeight="1">
      <c r="B98" s="514"/>
      <c r="C98" s="424"/>
      <c r="D98" s="514"/>
      <c r="E98" s="419"/>
      <c r="F98" s="419"/>
      <c r="G98" s="419"/>
      <c r="H98" s="467"/>
      <c r="I98" s="467"/>
      <c r="J98" s="469"/>
      <c r="K98" s="312"/>
      <c r="L98" s="312"/>
      <c r="M98" s="312"/>
      <c r="N98" s="312"/>
      <c r="O98" s="467"/>
      <c r="P98" s="421"/>
      <c r="Q98" s="418"/>
      <c r="R98" s="418"/>
      <c r="S98" s="418"/>
      <c r="T98" s="418"/>
      <c r="U98" s="418"/>
      <c r="V98" s="418"/>
      <c r="W98" s="418"/>
      <c r="X98" s="418"/>
      <c r="Y98" s="418"/>
      <c r="Z98" s="418"/>
      <c r="AA98" s="418"/>
      <c r="AB98" s="418"/>
      <c r="AC98" s="418"/>
      <c r="AD98" s="418"/>
      <c r="AE98" s="418"/>
      <c r="AF98" s="418"/>
      <c r="AG98" s="418"/>
      <c r="AH98" s="418"/>
      <c r="AI98" s="418"/>
      <c r="AJ98" s="418"/>
      <c r="AK98" s="418"/>
      <c r="AL98" s="418"/>
      <c r="AM98" s="418"/>
      <c r="AN98" s="462"/>
      <c r="AO98" s="462"/>
      <c r="AP98" s="462"/>
      <c r="BC98" s="1193"/>
    </row>
    <row r="99" spans="2:55" ht="15.75" customHeight="1">
      <c r="B99" s="514"/>
      <c r="C99" s="424"/>
      <c r="D99" s="419"/>
      <c r="E99" s="418"/>
      <c r="F99" s="419"/>
      <c r="G99" s="419"/>
      <c r="H99" s="467"/>
      <c r="I99" s="467"/>
      <c r="J99" s="469"/>
      <c r="K99" s="312"/>
      <c r="L99" s="418"/>
      <c r="M99" s="312"/>
      <c r="N99" s="467"/>
      <c r="O99" s="467"/>
      <c r="P99" s="421"/>
      <c r="Q99" s="418"/>
      <c r="R99" s="418"/>
      <c r="S99" s="418"/>
      <c r="T99" s="418"/>
      <c r="U99" s="418"/>
      <c r="V99" s="418"/>
      <c r="W99" s="418"/>
      <c r="X99" s="418"/>
      <c r="Y99" s="418"/>
      <c r="Z99" s="418"/>
      <c r="AA99" s="418"/>
      <c r="AB99" s="418"/>
      <c r="AC99" s="418"/>
      <c r="AD99" s="418"/>
      <c r="AE99" s="418"/>
      <c r="AF99" s="418"/>
      <c r="AG99" s="418"/>
      <c r="AH99" s="418"/>
      <c r="AI99" s="418"/>
      <c r="AJ99" s="418"/>
      <c r="AK99" s="418"/>
      <c r="AL99" s="418"/>
      <c r="AM99" s="418"/>
      <c r="AN99" s="462"/>
      <c r="AO99" s="462"/>
      <c r="AP99" s="462"/>
      <c r="BC99" s="1193"/>
    </row>
    <row r="100" spans="2:55" ht="15.75" customHeight="1">
      <c r="B100" s="416"/>
      <c r="C100" s="424"/>
      <c r="D100" s="419"/>
      <c r="E100" s="418"/>
      <c r="F100" s="419"/>
      <c r="G100" s="419"/>
      <c r="H100" s="467"/>
      <c r="I100" s="467"/>
      <c r="J100" s="469"/>
      <c r="K100" s="312"/>
      <c r="L100" s="312"/>
      <c r="M100" s="312"/>
      <c r="N100" s="467"/>
      <c r="O100" s="467"/>
      <c r="P100" s="421"/>
      <c r="Q100" s="418"/>
      <c r="R100" s="418"/>
      <c r="S100" s="418"/>
      <c r="T100" s="418"/>
      <c r="U100" s="418"/>
      <c r="V100" s="418"/>
      <c r="W100" s="418"/>
      <c r="X100" s="418"/>
      <c r="Y100" s="418"/>
      <c r="Z100" s="418"/>
      <c r="AA100" s="418"/>
      <c r="AB100" s="418"/>
      <c r="AC100" s="418"/>
      <c r="AD100" s="418"/>
      <c r="AE100" s="418"/>
      <c r="AF100" s="418"/>
      <c r="AG100" s="418"/>
      <c r="AH100" s="418"/>
      <c r="AI100" s="418"/>
      <c r="AJ100" s="418"/>
      <c r="AK100" s="418"/>
      <c r="AL100" s="418"/>
      <c r="AM100" s="418"/>
      <c r="AN100" s="462"/>
      <c r="AO100" s="462"/>
      <c r="AP100" s="462"/>
      <c r="BC100" s="1193"/>
    </row>
    <row r="101" spans="2:55" ht="15.75" customHeight="1">
      <c r="B101" s="514"/>
      <c r="C101" s="424"/>
      <c r="D101" s="419"/>
      <c r="E101" s="418"/>
      <c r="F101" s="419"/>
      <c r="G101" s="419"/>
      <c r="H101" s="421"/>
      <c r="I101" s="421"/>
      <c r="J101" s="492"/>
      <c r="K101" s="418"/>
      <c r="L101" s="418"/>
      <c r="M101" s="418"/>
      <c r="N101" s="421"/>
      <c r="O101" s="421"/>
      <c r="P101" s="421"/>
      <c r="Q101" s="418"/>
      <c r="R101" s="418"/>
      <c r="S101" s="418"/>
      <c r="T101" s="418"/>
      <c r="U101" s="418"/>
      <c r="V101" s="418"/>
      <c r="W101" s="418"/>
      <c r="X101" s="418"/>
      <c r="Y101" s="418"/>
      <c r="Z101" s="418"/>
      <c r="AA101" s="418"/>
      <c r="AB101" s="418"/>
      <c r="AC101" s="418"/>
      <c r="AD101" s="418"/>
      <c r="AE101" s="418"/>
      <c r="AF101" s="418"/>
      <c r="AG101" s="418"/>
      <c r="AH101" s="418"/>
      <c r="AI101" s="418"/>
      <c r="AJ101" s="418"/>
      <c r="AK101" s="418"/>
      <c r="AL101" s="418"/>
      <c r="AM101" s="418"/>
      <c r="AN101" s="462"/>
      <c r="AO101" s="462"/>
      <c r="AP101" s="462"/>
      <c r="BC101" s="1193"/>
    </row>
    <row r="102" spans="2:55" ht="15.75" customHeight="1">
      <c r="B102" s="416"/>
      <c r="C102" s="424"/>
      <c r="D102" s="419"/>
      <c r="E102" s="418"/>
      <c r="F102" s="419"/>
      <c r="G102" s="419"/>
      <c r="H102" s="421"/>
      <c r="I102" s="421"/>
      <c r="J102" s="492"/>
      <c r="K102" s="418"/>
      <c r="L102" s="418"/>
      <c r="M102" s="418"/>
      <c r="N102" s="421"/>
      <c r="O102" s="421"/>
      <c r="P102" s="421"/>
      <c r="Q102" s="418"/>
      <c r="R102" s="418"/>
      <c r="S102" s="418"/>
      <c r="T102" s="418"/>
      <c r="U102" s="418"/>
      <c r="V102" s="418"/>
      <c r="W102" s="418"/>
      <c r="X102" s="418"/>
      <c r="Y102" s="418"/>
      <c r="Z102" s="418"/>
      <c r="AA102" s="418"/>
      <c r="AB102" s="418"/>
      <c r="AC102" s="418"/>
      <c r="AD102" s="418"/>
      <c r="AE102" s="418"/>
      <c r="AF102" s="418"/>
      <c r="AG102" s="418"/>
      <c r="AH102" s="418"/>
      <c r="AI102" s="418"/>
      <c r="AJ102" s="418"/>
      <c r="AK102" s="418"/>
      <c r="AL102" s="418"/>
      <c r="AM102" s="418"/>
      <c r="AN102" s="462"/>
      <c r="AO102" s="462"/>
      <c r="AP102" s="462"/>
      <c r="BC102" s="1193"/>
    </row>
    <row r="103" spans="2:55" ht="15.75" customHeight="1">
      <c r="B103" s="416"/>
      <c r="C103" s="424"/>
      <c r="D103" s="419"/>
      <c r="E103" s="418"/>
      <c r="F103" s="419"/>
      <c r="G103" s="419"/>
      <c r="H103" s="421"/>
      <c r="I103" s="421"/>
      <c r="J103" s="492"/>
      <c r="K103" s="418"/>
      <c r="L103" s="418"/>
      <c r="M103" s="418"/>
      <c r="N103" s="421"/>
      <c r="O103" s="421"/>
      <c r="P103" s="421"/>
      <c r="Q103" s="418"/>
      <c r="R103" s="418"/>
      <c r="S103" s="418"/>
      <c r="T103" s="418"/>
      <c r="U103" s="418"/>
      <c r="V103" s="418"/>
      <c r="W103" s="418"/>
      <c r="X103" s="418"/>
      <c r="Y103" s="418"/>
      <c r="Z103" s="418"/>
      <c r="AA103" s="418"/>
      <c r="AB103" s="418"/>
      <c r="AC103" s="418"/>
      <c r="AD103" s="418"/>
      <c r="AE103" s="418"/>
      <c r="AF103" s="418"/>
      <c r="AG103" s="418"/>
      <c r="AH103" s="418"/>
      <c r="AI103" s="418"/>
      <c r="AJ103" s="418"/>
      <c r="AK103" s="418"/>
      <c r="AL103" s="418"/>
      <c r="AM103" s="418"/>
      <c r="AN103" s="462"/>
      <c r="AO103" s="462"/>
      <c r="AP103" s="462"/>
      <c r="BC103" s="1193"/>
    </row>
    <row r="104" spans="2:55" ht="15.75" customHeight="1">
      <c r="B104" s="416"/>
      <c r="C104" s="424"/>
      <c r="D104" s="419"/>
      <c r="E104" s="418"/>
      <c r="F104" s="419"/>
      <c r="G104" s="419"/>
      <c r="H104" s="421"/>
      <c r="I104" s="421"/>
      <c r="J104" s="492"/>
      <c r="K104" s="418"/>
      <c r="L104" s="418"/>
      <c r="M104" s="418"/>
      <c r="N104" s="421"/>
      <c r="O104" s="421"/>
      <c r="P104" s="421"/>
      <c r="Q104" s="418"/>
      <c r="R104" s="418"/>
      <c r="S104" s="418"/>
      <c r="T104" s="418"/>
      <c r="U104" s="418"/>
      <c r="V104" s="418"/>
      <c r="W104" s="418"/>
      <c r="X104" s="418"/>
      <c r="Y104" s="418"/>
      <c r="Z104" s="418"/>
      <c r="AA104" s="418"/>
      <c r="AB104" s="418"/>
      <c r="AC104" s="418"/>
      <c r="AD104" s="418"/>
      <c r="AE104" s="418"/>
      <c r="AF104" s="418"/>
      <c r="AG104" s="418"/>
      <c r="AH104" s="418"/>
      <c r="AI104" s="418"/>
      <c r="AJ104" s="418"/>
      <c r="AK104" s="418"/>
      <c r="AL104" s="418"/>
      <c r="AM104" s="418"/>
      <c r="AN104" s="462"/>
      <c r="AO104" s="462"/>
      <c r="AP104" s="462"/>
      <c r="BC104" s="1193"/>
    </row>
    <row r="105" spans="2:55" ht="15.75" customHeight="1">
      <c r="B105" s="416"/>
      <c r="C105" s="424"/>
      <c r="D105" s="419"/>
      <c r="E105" s="418"/>
      <c r="F105" s="419"/>
      <c r="G105" s="419"/>
      <c r="H105" s="421"/>
      <c r="I105" s="421"/>
      <c r="J105" s="492"/>
      <c r="K105" s="418"/>
      <c r="L105" s="418"/>
      <c r="M105" s="418"/>
      <c r="N105" s="421"/>
      <c r="O105" s="421"/>
      <c r="P105" s="421"/>
      <c r="Q105" s="418"/>
      <c r="R105" s="418"/>
      <c r="S105" s="418"/>
      <c r="T105" s="418"/>
      <c r="U105" s="418"/>
      <c r="V105" s="418"/>
      <c r="W105" s="418"/>
      <c r="X105" s="418"/>
      <c r="Y105" s="418"/>
      <c r="Z105" s="418"/>
      <c r="AA105" s="418"/>
      <c r="AB105" s="418"/>
      <c r="AC105" s="418"/>
      <c r="AD105" s="418"/>
      <c r="AE105" s="418"/>
      <c r="AF105" s="418"/>
      <c r="AG105" s="418"/>
      <c r="AH105" s="418"/>
      <c r="AI105" s="418"/>
      <c r="AJ105" s="418"/>
      <c r="AK105" s="418"/>
      <c r="AL105" s="418"/>
      <c r="AM105" s="418"/>
      <c r="AN105" s="462"/>
      <c r="AO105" s="462"/>
      <c r="AP105" s="462"/>
      <c r="BC105" s="1193"/>
    </row>
    <row r="106" spans="2:55" ht="15.75" customHeight="1">
      <c r="B106" s="416"/>
      <c r="C106" s="424"/>
      <c r="D106" s="419"/>
      <c r="E106" s="418"/>
      <c r="F106" s="419"/>
      <c r="G106" s="419"/>
      <c r="H106" s="421"/>
      <c r="I106" s="421"/>
      <c r="J106" s="492"/>
      <c r="K106" s="418"/>
      <c r="L106" s="418"/>
      <c r="M106" s="418"/>
      <c r="N106" s="421"/>
      <c r="O106" s="421"/>
      <c r="P106" s="421"/>
      <c r="Q106" s="418"/>
      <c r="R106" s="418"/>
      <c r="S106" s="418"/>
      <c r="T106" s="418"/>
      <c r="U106" s="418"/>
      <c r="V106" s="418"/>
      <c r="W106" s="418"/>
      <c r="X106" s="418"/>
      <c r="Y106" s="418"/>
      <c r="Z106" s="418"/>
      <c r="AA106" s="418"/>
      <c r="AB106" s="418"/>
      <c r="AC106" s="418"/>
      <c r="AD106" s="418"/>
      <c r="AE106" s="418"/>
      <c r="AF106" s="418"/>
      <c r="AG106" s="418"/>
      <c r="AH106" s="418"/>
      <c r="AI106" s="418"/>
      <c r="AJ106" s="418"/>
      <c r="AK106" s="418"/>
      <c r="AL106" s="418"/>
      <c r="AM106" s="418"/>
      <c r="AN106" s="462"/>
      <c r="AO106" s="462"/>
      <c r="AP106" s="462"/>
      <c r="BC106" s="1193"/>
    </row>
    <row r="107" spans="2:55" ht="15.75" customHeight="1">
      <c r="B107" s="416"/>
      <c r="C107" s="424"/>
      <c r="D107" s="419"/>
      <c r="E107" s="418"/>
      <c r="F107" s="419"/>
      <c r="G107" s="419"/>
      <c r="H107" s="421"/>
      <c r="I107" s="421"/>
      <c r="J107" s="492"/>
      <c r="K107" s="418"/>
      <c r="L107" s="418"/>
      <c r="M107" s="418"/>
      <c r="N107" s="421"/>
      <c r="O107" s="421"/>
      <c r="P107" s="421"/>
      <c r="Q107" s="418"/>
      <c r="R107" s="418"/>
      <c r="S107" s="418"/>
      <c r="T107" s="418"/>
      <c r="U107" s="418"/>
      <c r="V107" s="418"/>
      <c r="W107" s="418"/>
      <c r="X107" s="418"/>
      <c r="Y107" s="418"/>
      <c r="Z107" s="418"/>
      <c r="AA107" s="418"/>
      <c r="AB107" s="418"/>
      <c r="AC107" s="418"/>
      <c r="AD107" s="418"/>
      <c r="AE107" s="418"/>
      <c r="AF107" s="418"/>
      <c r="AG107" s="418"/>
      <c r="AH107" s="418"/>
      <c r="AI107" s="418"/>
      <c r="AJ107" s="418"/>
      <c r="AK107" s="418"/>
      <c r="AL107" s="418"/>
      <c r="AM107" s="418"/>
      <c r="AN107" s="462"/>
      <c r="AO107" s="462"/>
      <c r="AP107" s="462"/>
      <c r="BC107" s="1193"/>
    </row>
    <row r="108" spans="2:55" ht="15.75" customHeight="1">
      <c r="B108" s="416"/>
      <c r="C108" s="424"/>
      <c r="D108" s="419"/>
      <c r="E108" s="418"/>
      <c r="F108" s="419"/>
      <c r="G108" s="419"/>
      <c r="H108" s="421"/>
      <c r="I108" s="421"/>
      <c r="J108" s="492"/>
      <c r="K108" s="418"/>
      <c r="L108" s="418"/>
      <c r="M108" s="418"/>
      <c r="N108" s="421"/>
      <c r="O108" s="421"/>
      <c r="P108" s="421"/>
      <c r="Q108" s="418"/>
      <c r="R108" s="418"/>
      <c r="S108" s="418"/>
      <c r="T108" s="418"/>
      <c r="U108" s="418"/>
      <c r="V108" s="418"/>
      <c r="W108" s="418"/>
      <c r="X108" s="418"/>
      <c r="Y108" s="418"/>
      <c r="Z108" s="418"/>
      <c r="AA108" s="418"/>
      <c r="AB108" s="418"/>
      <c r="AC108" s="418"/>
      <c r="AD108" s="418"/>
      <c r="AE108" s="418"/>
      <c r="AF108" s="418"/>
      <c r="AG108" s="418"/>
      <c r="AH108" s="418"/>
      <c r="AI108" s="418"/>
      <c r="AJ108" s="418"/>
      <c r="AK108" s="418"/>
      <c r="AL108" s="418"/>
      <c r="AM108" s="418"/>
      <c r="AN108" s="462"/>
      <c r="AO108" s="462"/>
      <c r="AP108" s="462"/>
      <c r="BC108" s="1193"/>
    </row>
    <row r="109" spans="2:55" ht="15.75" customHeight="1">
      <c r="B109" s="416"/>
      <c r="C109" s="424"/>
      <c r="D109" s="419"/>
      <c r="E109" s="418"/>
      <c r="F109" s="419"/>
      <c r="G109" s="419"/>
      <c r="H109" s="421"/>
      <c r="I109" s="421"/>
      <c r="J109" s="492"/>
      <c r="K109" s="418"/>
      <c r="L109" s="418"/>
      <c r="M109" s="418"/>
      <c r="N109" s="421"/>
      <c r="O109" s="421"/>
      <c r="P109" s="421"/>
      <c r="Q109" s="418"/>
      <c r="R109" s="418"/>
      <c r="S109" s="418"/>
      <c r="T109" s="418"/>
      <c r="U109" s="418"/>
      <c r="V109" s="418"/>
      <c r="W109" s="418"/>
      <c r="X109" s="418"/>
      <c r="Y109" s="418"/>
      <c r="Z109" s="418"/>
      <c r="AA109" s="418"/>
      <c r="AB109" s="418"/>
      <c r="AC109" s="418"/>
      <c r="AD109" s="418"/>
      <c r="AE109" s="418"/>
      <c r="AF109" s="418"/>
      <c r="AG109" s="418"/>
      <c r="AH109" s="418"/>
      <c r="AI109" s="418"/>
      <c r="AJ109" s="418"/>
      <c r="AK109" s="418"/>
      <c r="AL109" s="418"/>
      <c r="AM109" s="418"/>
      <c r="AN109" s="462"/>
      <c r="AO109" s="462"/>
      <c r="AP109" s="462"/>
      <c r="BC109" s="1193"/>
    </row>
    <row r="110" spans="2:55" ht="15.75" customHeight="1">
      <c r="B110" s="416"/>
      <c r="C110" s="424"/>
      <c r="D110" s="419"/>
      <c r="E110" s="418"/>
      <c r="F110" s="419"/>
      <c r="G110" s="419"/>
      <c r="H110" s="421"/>
      <c r="I110" s="421"/>
      <c r="J110" s="492"/>
      <c r="K110" s="418"/>
      <c r="L110" s="418"/>
      <c r="M110" s="418"/>
      <c r="N110" s="421"/>
      <c r="O110" s="421"/>
      <c r="P110" s="421"/>
      <c r="Q110" s="418"/>
      <c r="R110" s="418"/>
      <c r="S110" s="418"/>
      <c r="T110" s="418"/>
      <c r="U110" s="418"/>
      <c r="V110" s="418"/>
      <c r="W110" s="418"/>
      <c r="X110" s="418"/>
      <c r="Y110" s="418"/>
      <c r="Z110" s="418"/>
      <c r="AA110" s="418"/>
      <c r="AB110" s="418"/>
      <c r="AC110" s="418"/>
      <c r="AD110" s="418"/>
      <c r="AE110" s="418"/>
      <c r="AF110" s="418"/>
      <c r="AG110" s="418"/>
      <c r="AH110" s="418"/>
      <c r="AI110" s="418"/>
      <c r="AJ110" s="418"/>
      <c r="AK110" s="418"/>
      <c r="AL110" s="418"/>
      <c r="AM110" s="418"/>
      <c r="AN110" s="462"/>
      <c r="AO110" s="462"/>
      <c r="AP110" s="462"/>
      <c r="BC110" s="1193"/>
    </row>
    <row r="111" spans="2:55" ht="15.75" customHeight="1">
      <c r="B111" s="416"/>
      <c r="C111" s="424"/>
      <c r="D111" s="419"/>
      <c r="E111" s="418"/>
      <c r="F111" s="419"/>
      <c r="G111" s="419"/>
      <c r="H111" s="421"/>
      <c r="I111" s="421"/>
      <c r="J111" s="492"/>
      <c r="K111" s="418"/>
      <c r="L111" s="418"/>
      <c r="M111" s="418"/>
      <c r="N111" s="421"/>
      <c r="O111" s="421"/>
      <c r="P111" s="421"/>
      <c r="Q111" s="418"/>
      <c r="R111" s="418"/>
      <c r="S111" s="418"/>
      <c r="T111" s="418"/>
      <c r="U111" s="418"/>
      <c r="V111" s="418"/>
      <c r="W111" s="418"/>
      <c r="X111" s="418"/>
      <c r="Y111" s="418"/>
      <c r="Z111" s="418"/>
      <c r="AA111" s="418"/>
      <c r="AB111" s="418"/>
      <c r="AC111" s="418"/>
      <c r="AD111" s="418"/>
      <c r="AE111" s="418"/>
      <c r="AF111" s="418"/>
      <c r="AG111" s="418"/>
      <c r="AH111" s="418"/>
      <c r="AI111" s="418"/>
      <c r="AJ111" s="418"/>
      <c r="AK111" s="418"/>
      <c r="AL111" s="418"/>
      <c r="AM111" s="418"/>
      <c r="AN111" s="462"/>
      <c r="AO111" s="462"/>
      <c r="AP111" s="462"/>
      <c r="BC111" s="1193"/>
    </row>
    <row r="112" spans="2:55" ht="15.75" customHeight="1">
      <c r="B112" s="416"/>
      <c r="C112" s="424"/>
      <c r="D112" s="419"/>
      <c r="E112" s="418"/>
      <c r="F112" s="419"/>
      <c r="G112" s="419"/>
      <c r="H112" s="421"/>
      <c r="I112" s="421"/>
      <c r="J112" s="492"/>
      <c r="K112" s="418"/>
      <c r="L112" s="418"/>
      <c r="M112" s="418"/>
      <c r="N112" s="421"/>
      <c r="O112" s="421"/>
      <c r="P112" s="421"/>
      <c r="Q112" s="418"/>
      <c r="R112" s="418"/>
      <c r="S112" s="418"/>
      <c r="T112" s="418"/>
      <c r="U112" s="418"/>
      <c r="V112" s="418"/>
      <c r="W112" s="418"/>
      <c r="X112" s="418"/>
      <c r="Y112" s="418"/>
      <c r="Z112" s="418"/>
      <c r="AA112" s="418"/>
      <c r="AB112" s="418"/>
      <c r="AC112" s="418"/>
      <c r="AD112" s="418"/>
      <c r="AE112" s="418"/>
      <c r="AF112" s="418"/>
      <c r="AG112" s="418"/>
      <c r="AH112" s="418"/>
      <c r="AI112" s="418"/>
      <c r="AJ112" s="418"/>
      <c r="AK112" s="418"/>
      <c r="AL112" s="418"/>
      <c r="AM112" s="418"/>
      <c r="AN112" s="462"/>
      <c r="AO112" s="462"/>
      <c r="AP112" s="462"/>
      <c r="BC112" s="1193"/>
    </row>
    <row r="113" spans="2:55" ht="15.75" customHeight="1">
      <c r="B113" s="416"/>
      <c r="C113" s="424"/>
      <c r="D113" s="419"/>
      <c r="E113" s="418"/>
      <c r="F113" s="419"/>
      <c r="G113" s="419"/>
      <c r="H113" s="421"/>
      <c r="I113" s="421"/>
      <c r="J113" s="492"/>
      <c r="K113" s="418"/>
      <c r="L113" s="418"/>
      <c r="M113" s="418"/>
      <c r="N113" s="421"/>
      <c r="O113" s="421"/>
      <c r="P113" s="421"/>
      <c r="Q113" s="418"/>
      <c r="R113" s="418"/>
      <c r="S113" s="418"/>
      <c r="T113" s="418"/>
      <c r="U113" s="418"/>
      <c r="V113" s="418"/>
      <c r="W113" s="418"/>
      <c r="X113" s="418"/>
      <c r="Y113" s="418"/>
      <c r="Z113" s="418"/>
      <c r="AA113" s="418"/>
      <c r="AB113" s="418"/>
      <c r="AC113" s="418"/>
      <c r="AD113" s="418"/>
      <c r="AE113" s="418"/>
      <c r="AF113" s="418"/>
      <c r="AG113" s="418"/>
      <c r="AH113" s="418"/>
      <c r="AI113" s="418"/>
      <c r="AJ113" s="418"/>
      <c r="AK113" s="418"/>
      <c r="AL113" s="418"/>
      <c r="AM113" s="418"/>
      <c r="AN113" s="462"/>
      <c r="AO113" s="462"/>
      <c r="AP113" s="462"/>
      <c r="BC113" s="1193"/>
    </row>
    <row r="114" spans="2:55" ht="15.75" customHeight="1">
      <c r="B114" s="416"/>
      <c r="C114" s="424"/>
      <c r="D114" s="419"/>
      <c r="E114" s="418"/>
      <c r="F114" s="419"/>
      <c r="G114" s="419"/>
      <c r="H114" s="421"/>
      <c r="I114" s="421"/>
      <c r="J114" s="492"/>
      <c r="K114" s="418"/>
      <c r="L114" s="418"/>
      <c r="M114" s="418"/>
      <c r="N114" s="421"/>
      <c r="O114" s="421"/>
      <c r="P114" s="421"/>
      <c r="Q114" s="418"/>
      <c r="R114" s="418"/>
      <c r="S114" s="418"/>
      <c r="T114" s="418"/>
      <c r="U114" s="418"/>
      <c r="V114" s="418"/>
      <c r="W114" s="418"/>
      <c r="X114" s="418"/>
      <c r="Y114" s="418"/>
      <c r="Z114" s="418"/>
      <c r="AA114" s="418"/>
      <c r="AB114" s="418"/>
      <c r="AC114" s="418"/>
      <c r="AD114" s="418"/>
      <c r="AE114" s="418"/>
      <c r="AF114" s="418"/>
      <c r="AG114" s="418"/>
      <c r="AH114" s="418"/>
      <c r="AI114" s="418"/>
      <c r="AJ114" s="418"/>
      <c r="AK114" s="418"/>
      <c r="AL114" s="418"/>
      <c r="AM114" s="418"/>
      <c r="AN114" s="462"/>
      <c r="AO114" s="462"/>
      <c r="AP114" s="462"/>
      <c r="BC114" s="1193"/>
    </row>
    <row r="115" spans="2:55" ht="15.75" customHeight="1">
      <c r="B115" s="416"/>
      <c r="C115" s="424"/>
      <c r="D115" s="419"/>
      <c r="E115" s="418"/>
      <c r="F115" s="419"/>
      <c r="G115" s="419"/>
      <c r="H115" s="421"/>
      <c r="I115" s="421"/>
      <c r="J115" s="492"/>
      <c r="K115" s="418"/>
      <c r="L115" s="418"/>
      <c r="M115" s="418"/>
      <c r="N115" s="421"/>
      <c r="O115" s="421"/>
      <c r="P115" s="421"/>
      <c r="Q115" s="418"/>
      <c r="R115" s="418"/>
      <c r="S115" s="418"/>
      <c r="T115" s="418"/>
      <c r="U115" s="418"/>
      <c r="V115" s="418"/>
      <c r="W115" s="418"/>
      <c r="X115" s="418"/>
      <c r="Y115" s="418"/>
      <c r="Z115" s="418"/>
      <c r="AA115" s="418"/>
      <c r="AB115" s="418"/>
      <c r="AC115" s="418"/>
      <c r="AD115" s="418"/>
      <c r="AE115" s="418"/>
      <c r="AF115" s="418"/>
      <c r="AG115" s="418"/>
      <c r="AH115" s="418"/>
      <c r="AI115" s="418"/>
      <c r="AJ115" s="418"/>
      <c r="AK115" s="418"/>
      <c r="AL115" s="418"/>
      <c r="AM115" s="418"/>
      <c r="AN115" s="462"/>
      <c r="AO115" s="462"/>
      <c r="AP115" s="462"/>
      <c r="BC115" s="1193"/>
    </row>
    <row r="116" spans="2:55" ht="15.75" customHeight="1">
      <c r="B116" s="1080"/>
      <c r="C116" s="1112"/>
      <c r="D116" s="447"/>
      <c r="E116" s="418"/>
      <c r="F116" s="447"/>
      <c r="G116" s="447"/>
      <c r="H116" s="418"/>
      <c r="I116" s="418"/>
      <c r="J116" s="1112"/>
      <c r="K116" s="312"/>
      <c r="L116" s="312"/>
      <c r="M116" s="312"/>
      <c r="N116" s="312"/>
      <c r="O116" s="312"/>
      <c r="P116" s="418"/>
      <c r="Q116" s="1197"/>
      <c r="R116" s="1197"/>
      <c r="S116" s="1197"/>
      <c r="T116" s="1197"/>
      <c r="U116" s="1197"/>
      <c r="V116" s="1197"/>
      <c r="W116" s="1197"/>
      <c r="X116" s="1197"/>
      <c r="Y116" s="1197"/>
      <c r="Z116" s="1197"/>
      <c r="AA116" s="1197"/>
      <c r="AB116" s="1197"/>
      <c r="AC116" s="1197"/>
      <c r="AD116" s="1197"/>
      <c r="AE116" s="1197"/>
      <c r="AF116" s="1197"/>
      <c r="AG116" s="418"/>
      <c r="AH116" s="1197"/>
      <c r="AI116" s="1197"/>
      <c r="AJ116" s="312"/>
      <c r="AK116" s="312"/>
      <c r="AL116" s="312"/>
      <c r="AM116" s="312"/>
      <c r="AN116" s="462"/>
      <c r="AO116" s="462"/>
      <c r="AP116" s="462"/>
      <c r="AV116" s="418"/>
      <c r="AW116" s="418"/>
      <c r="AX116" s="418"/>
      <c r="AY116" s="418"/>
      <c r="AZ116" s="418"/>
      <c r="BA116" s="418"/>
      <c r="BC116" s="1193"/>
    </row>
    <row r="117" spans="2:55" ht="15.75" customHeight="1">
      <c r="B117" s="1080"/>
      <c r="C117" s="1112"/>
      <c r="D117" s="447"/>
      <c r="E117" s="1201"/>
      <c r="F117" s="447"/>
      <c r="G117" s="312"/>
      <c r="H117" s="418"/>
      <c r="I117" s="312"/>
      <c r="J117" s="1112"/>
      <c r="K117" s="312"/>
      <c r="L117" s="312"/>
      <c r="M117" s="312"/>
      <c r="N117" s="312"/>
      <c r="O117" s="312"/>
      <c r="P117" s="312"/>
      <c r="Q117" s="1197"/>
      <c r="R117" s="1197"/>
      <c r="S117" s="1197"/>
      <c r="T117" s="1197"/>
      <c r="U117" s="1197"/>
      <c r="V117" s="1197"/>
      <c r="W117" s="1197"/>
      <c r="X117" s="1197"/>
      <c r="Y117" s="1197"/>
      <c r="Z117" s="1197"/>
      <c r="AA117" s="1197"/>
      <c r="AB117" s="1197"/>
      <c r="AC117" s="1197"/>
      <c r="AD117" s="1197"/>
      <c r="AE117" s="1197"/>
      <c r="AF117" s="1197"/>
      <c r="AG117" s="418"/>
      <c r="AH117" s="1197"/>
      <c r="AI117" s="1197"/>
      <c r="AJ117" s="312"/>
      <c r="AK117" s="312"/>
      <c r="AL117" s="312"/>
      <c r="AM117" s="312"/>
      <c r="AN117" s="312"/>
      <c r="AO117" s="312"/>
      <c r="AP117" s="312"/>
      <c r="BC117" s="1193"/>
    </row>
    <row r="118" spans="2:55" ht="15.75" customHeight="1">
      <c r="B118" s="1080"/>
      <c r="C118" s="1112"/>
      <c r="D118" s="447"/>
      <c r="E118" s="418"/>
      <c r="F118" s="447"/>
      <c r="G118" s="447"/>
      <c r="H118" s="312"/>
      <c r="I118" s="418"/>
      <c r="J118" s="1112"/>
      <c r="K118" s="312"/>
      <c r="L118" s="1197"/>
      <c r="M118" s="312"/>
      <c r="N118" s="312"/>
      <c r="O118" s="312"/>
      <c r="P118" s="312"/>
      <c r="Q118" s="1197"/>
      <c r="R118" s="1197"/>
      <c r="S118" s="1197"/>
      <c r="T118" s="1197"/>
      <c r="U118" s="1197"/>
      <c r="V118" s="1197"/>
      <c r="W118" s="1197"/>
      <c r="X118" s="1197"/>
      <c r="Y118" s="1197"/>
      <c r="Z118" s="1197"/>
      <c r="AA118" s="1197"/>
      <c r="AB118" s="1197"/>
      <c r="AC118" s="1197"/>
      <c r="AD118" s="1197"/>
      <c r="AE118" s="1197"/>
      <c r="AF118" s="1197"/>
      <c r="AG118" s="418"/>
      <c r="AH118" s="1197"/>
      <c r="AI118" s="1197"/>
      <c r="AJ118" s="1197"/>
      <c r="AK118" s="1197"/>
      <c r="AL118" s="312"/>
      <c r="AM118" s="312"/>
      <c r="AN118" s="312"/>
      <c r="AO118" s="312"/>
      <c r="AP118" s="312"/>
      <c r="AQ118" s="418"/>
      <c r="AR118" s="418"/>
      <c r="AS118" s="418"/>
      <c r="AT118" s="418"/>
      <c r="AU118" s="418"/>
      <c r="BC118" s="1193"/>
    </row>
    <row r="119" spans="2:55" ht="15.75" customHeight="1">
      <c r="H119" s="467"/>
      <c r="I119" s="1141"/>
      <c r="J119" s="1202"/>
      <c r="K119" s="1141"/>
      <c r="L119" s="1141"/>
      <c r="M119" s="1141"/>
      <c r="N119" s="1141"/>
      <c r="O119" s="1141"/>
      <c r="P119" s="1141"/>
      <c r="Q119" s="1141"/>
      <c r="R119" s="1141"/>
      <c r="S119" s="1141"/>
      <c r="T119" s="1141"/>
      <c r="U119" s="1141"/>
      <c r="V119" s="1141"/>
      <c r="W119" s="1141"/>
      <c r="X119" s="1141"/>
      <c r="Y119" s="1141"/>
      <c r="Z119" s="1141"/>
      <c r="AA119" s="1141"/>
      <c r="AB119" s="1141"/>
      <c r="AC119" s="1141"/>
      <c r="AD119" s="1141"/>
      <c r="AE119" s="1141"/>
      <c r="AF119" s="1141"/>
      <c r="AG119" s="1141"/>
      <c r="AH119" s="1141"/>
      <c r="AI119" s="1141"/>
      <c r="AJ119" s="1141"/>
      <c r="AK119" s="467"/>
      <c r="AL119" s="1141"/>
      <c r="AM119" s="1141"/>
      <c r="AN119" s="312"/>
      <c r="AO119" s="312"/>
      <c r="AP119" s="312"/>
      <c r="BC119" s="1193"/>
    </row>
    <row r="120" spans="2:55" ht="15.75" customHeight="1">
      <c r="H120" s="467"/>
      <c r="I120" s="1141"/>
      <c r="J120" s="1202"/>
      <c r="K120" s="1141"/>
      <c r="L120" s="1141"/>
      <c r="M120" s="1141"/>
      <c r="N120" s="1141"/>
      <c r="O120" s="1141"/>
      <c r="P120" s="1141"/>
      <c r="Q120" s="1141"/>
      <c r="R120" s="1141"/>
      <c r="S120" s="1141"/>
      <c r="T120" s="1141"/>
      <c r="U120" s="1141"/>
      <c r="V120" s="1141"/>
      <c r="W120" s="1141"/>
      <c r="X120" s="1141"/>
      <c r="Y120" s="1141"/>
      <c r="Z120" s="1141"/>
      <c r="AA120" s="1141"/>
      <c r="AB120" s="1141"/>
      <c r="AC120" s="1141"/>
      <c r="AD120" s="1141"/>
      <c r="AE120" s="1141"/>
      <c r="AF120" s="1141"/>
      <c r="AG120" s="1141"/>
      <c r="AH120" s="1141"/>
      <c r="AI120" s="1141"/>
      <c r="AJ120" s="1141"/>
      <c r="AK120" s="467"/>
      <c r="AL120" s="1141"/>
      <c r="AM120" s="1141"/>
      <c r="AN120" s="312"/>
      <c r="AO120" s="312"/>
      <c r="AP120" s="312"/>
      <c r="BC120" s="1193"/>
    </row>
    <row r="121" spans="2:55" ht="15.75" customHeight="1">
      <c r="H121" s="467"/>
      <c r="I121" s="1141"/>
      <c r="J121" s="1202"/>
      <c r="K121" s="1141"/>
      <c r="L121" s="1141"/>
      <c r="M121" s="1141"/>
      <c r="N121" s="1141"/>
      <c r="O121" s="1141"/>
      <c r="P121" s="1141"/>
      <c r="Q121" s="1141"/>
      <c r="R121" s="1141"/>
      <c r="S121" s="1141"/>
      <c r="T121" s="1141"/>
      <c r="U121" s="1141"/>
      <c r="V121" s="1141"/>
      <c r="W121" s="1141"/>
      <c r="X121" s="1141"/>
      <c r="Y121" s="1141"/>
      <c r="Z121" s="1141"/>
      <c r="AA121" s="1141"/>
      <c r="AB121" s="1141"/>
      <c r="AC121" s="1141"/>
      <c r="AD121" s="1141"/>
      <c r="AE121" s="1141"/>
      <c r="AF121" s="1141"/>
      <c r="AG121" s="1141"/>
      <c r="AH121" s="1141"/>
      <c r="AI121" s="1141"/>
      <c r="AJ121" s="1141"/>
      <c r="AK121" s="467"/>
      <c r="AL121" s="1141"/>
      <c r="AM121" s="1141"/>
      <c r="AN121" s="312"/>
      <c r="AO121" s="312"/>
      <c r="AP121" s="312"/>
      <c r="AV121" s="418"/>
      <c r="AW121" s="418"/>
      <c r="AX121" s="418"/>
      <c r="AY121" s="418"/>
      <c r="AZ121" s="418"/>
      <c r="BA121" s="418"/>
      <c r="BC121" s="1193"/>
    </row>
    <row r="122" spans="2:55" ht="15.75" customHeight="1">
      <c r="H122" s="467"/>
      <c r="I122" s="1141"/>
      <c r="J122" s="1202"/>
      <c r="K122" s="1141"/>
      <c r="L122" s="1141"/>
      <c r="M122" s="1141"/>
      <c r="N122" s="1141"/>
      <c r="O122" s="1141"/>
      <c r="P122" s="1141"/>
      <c r="Q122" s="1141"/>
      <c r="R122" s="1141"/>
      <c r="S122" s="1141"/>
      <c r="T122" s="1141"/>
      <c r="U122" s="1141"/>
      <c r="V122" s="1141"/>
      <c r="W122" s="1141"/>
      <c r="X122" s="1141"/>
      <c r="Y122" s="1141"/>
      <c r="Z122" s="1141"/>
      <c r="AA122" s="1141"/>
      <c r="AB122" s="1141"/>
      <c r="AC122" s="1141"/>
      <c r="AD122" s="1141"/>
      <c r="AE122" s="1141"/>
      <c r="AF122" s="1141"/>
      <c r="AG122" s="1141"/>
      <c r="AH122" s="1141"/>
      <c r="AI122" s="1141"/>
      <c r="AJ122" s="1141"/>
      <c r="AK122" s="467"/>
      <c r="AL122" s="1141"/>
      <c r="AM122" s="1141"/>
      <c r="AN122" s="312"/>
      <c r="AO122" s="312"/>
      <c r="AP122" s="312"/>
      <c r="AV122" s="418"/>
      <c r="AW122" s="418"/>
      <c r="AX122" s="418"/>
      <c r="AY122" s="418"/>
      <c r="AZ122" s="418"/>
      <c r="BA122" s="418"/>
      <c r="BC122" s="1193"/>
    </row>
    <row r="123" spans="2:55" ht="15.75" customHeight="1">
      <c r="H123" s="467"/>
      <c r="I123" s="1141"/>
      <c r="J123" s="1202"/>
      <c r="K123" s="1141"/>
      <c r="L123" s="1141"/>
      <c r="M123" s="1141"/>
      <c r="N123" s="1141"/>
      <c r="O123" s="1141"/>
      <c r="P123" s="1141"/>
      <c r="Q123" s="1141"/>
      <c r="R123" s="1141"/>
      <c r="S123" s="1141"/>
      <c r="T123" s="1141"/>
      <c r="U123" s="1141"/>
      <c r="V123" s="1141"/>
      <c r="W123" s="1141"/>
      <c r="X123" s="1141"/>
      <c r="Y123" s="1141"/>
      <c r="Z123" s="1141"/>
      <c r="AA123" s="1141"/>
      <c r="AB123" s="1141"/>
      <c r="AC123" s="1141"/>
      <c r="AD123" s="1141"/>
      <c r="AE123" s="1141"/>
      <c r="AF123" s="1141"/>
      <c r="AG123" s="1141"/>
      <c r="AH123" s="1141"/>
      <c r="AI123" s="1141"/>
      <c r="AJ123" s="1141"/>
      <c r="AK123" s="467"/>
      <c r="AL123" s="1141"/>
      <c r="AM123" s="1141"/>
      <c r="AN123" s="418"/>
      <c r="AO123" s="418"/>
      <c r="AP123" s="418"/>
      <c r="AQ123" s="418"/>
      <c r="AR123" s="418"/>
      <c r="AS123" s="418"/>
      <c r="AT123" s="418"/>
      <c r="AU123" s="418"/>
      <c r="AV123" s="418"/>
      <c r="AW123" s="418"/>
      <c r="AX123" s="418"/>
      <c r="AY123" s="418"/>
      <c r="AZ123" s="418"/>
      <c r="BA123" s="418"/>
      <c r="BC123" s="1193"/>
    </row>
    <row r="124" spans="2:55" ht="15.75" customHeight="1">
      <c r="H124" s="467"/>
      <c r="I124" s="1141"/>
      <c r="J124" s="1202"/>
      <c r="K124" s="1141"/>
      <c r="L124" s="1141"/>
      <c r="M124" s="1141"/>
      <c r="N124" s="1141"/>
      <c r="O124" s="1141"/>
      <c r="P124" s="1141"/>
      <c r="Q124" s="1141"/>
      <c r="R124" s="1141"/>
      <c r="S124" s="1141"/>
      <c r="T124" s="1141"/>
      <c r="U124" s="1141"/>
      <c r="V124" s="1141"/>
      <c r="W124" s="1141"/>
      <c r="X124" s="1141"/>
      <c r="Y124" s="1141"/>
      <c r="Z124" s="1141"/>
      <c r="AA124" s="1141"/>
      <c r="AB124" s="1141"/>
      <c r="AC124" s="1141"/>
      <c r="AD124" s="1141"/>
      <c r="AE124" s="1141"/>
      <c r="AF124" s="1141"/>
      <c r="AG124" s="1141"/>
      <c r="AH124" s="1141"/>
      <c r="AI124" s="1141"/>
      <c r="AJ124" s="1141"/>
      <c r="AK124" s="467"/>
      <c r="AL124" s="1141"/>
      <c r="AM124" s="1141"/>
      <c r="AN124" s="418"/>
      <c r="AO124" s="418"/>
      <c r="AP124" s="418"/>
      <c r="AQ124" s="418"/>
      <c r="AR124" s="418"/>
      <c r="AS124" s="418"/>
      <c r="AT124" s="418"/>
      <c r="AU124" s="418"/>
      <c r="AV124" s="418"/>
      <c r="AW124" s="418"/>
      <c r="AX124" s="418"/>
      <c r="AY124" s="418"/>
      <c r="AZ124" s="418"/>
      <c r="BA124" s="418"/>
      <c r="BC124" s="1193"/>
    </row>
    <row r="125" spans="2:55" ht="15.75" customHeight="1">
      <c r="H125" s="467"/>
      <c r="I125" s="1141"/>
      <c r="J125" s="1202"/>
      <c r="K125" s="1141"/>
      <c r="L125" s="1141"/>
      <c r="M125" s="1141"/>
      <c r="N125" s="1141"/>
      <c r="O125" s="1141"/>
      <c r="P125" s="1141"/>
      <c r="Q125" s="1141"/>
      <c r="R125" s="1141"/>
      <c r="S125" s="1141"/>
      <c r="T125" s="1141"/>
      <c r="U125" s="1141"/>
      <c r="V125" s="1141"/>
      <c r="W125" s="1141"/>
      <c r="X125" s="1141"/>
      <c r="Y125" s="1141"/>
      <c r="Z125" s="1141"/>
      <c r="AA125" s="1141"/>
      <c r="AB125" s="1141"/>
      <c r="AC125" s="1141"/>
      <c r="AD125" s="1141"/>
      <c r="AE125" s="1141"/>
      <c r="AF125" s="1141"/>
      <c r="AG125" s="1141"/>
      <c r="AH125" s="1141"/>
      <c r="AI125" s="1141"/>
      <c r="AJ125" s="1141"/>
      <c r="AK125" s="467"/>
      <c r="AL125" s="1141"/>
      <c r="AM125" s="1141"/>
      <c r="AN125" s="418"/>
      <c r="AO125" s="418"/>
      <c r="AP125" s="418"/>
      <c r="AQ125" s="418"/>
      <c r="AR125" s="418"/>
      <c r="AS125" s="418"/>
      <c r="AT125" s="418"/>
      <c r="AU125" s="418"/>
      <c r="AV125" s="418"/>
      <c r="AW125" s="418"/>
      <c r="AX125" s="418"/>
      <c r="AY125" s="418"/>
      <c r="AZ125" s="418"/>
      <c r="BA125" s="418"/>
      <c r="BC125" s="1193"/>
    </row>
    <row r="126" spans="2:55" ht="15.75" customHeight="1">
      <c r="H126" s="467"/>
      <c r="I126" s="1141"/>
      <c r="J126" s="1202"/>
      <c r="K126" s="1141"/>
      <c r="L126" s="1141"/>
      <c r="M126" s="1141"/>
      <c r="N126" s="1141"/>
      <c r="O126" s="1141"/>
      <c r="P126" s="1141"/>
      <c r="Q126" s="1141"/>
      <c r="R126" s="1141"/>
      <c r="S126" s="1141"/>
      <c r="T126" s="1141"/>
      <c r="U126" s="1141"/>
      <c r="V126" s="1141"/>
      <c r="W126" s="1141"/>
      <c r="X126" s="1141"/>
      <c r="Y126" s="1141"/>
      <c r="Z126" s="1141"/>
      <c r="AA126" s="1141"/>
      <c r="AB126" s="1141"/>
      <c r="AC126" s="1141"/>
      <c r="AD126" s="1141"/>
      <c r="AE126" s="1141"/>
      <c r="AF126" s="1141"/>
      <c r="AG126" s="1141"/>
      <c r="AH126" s="1141"/>
      <c r="AI126" s="1141"/>
      <c r="AJ126" s="1141"/>
      <c r="AK126" s="467"/>
      <c r="AL126" s="1141"/>
      <c r="AM126" s="1141"/>
      <c r="AN126" s="418"/>
      <c r="AO126" s="418"/>
      <c r="AP126" s="418"/>
      <c r="AQ126" s="418"/>
      <c r="AR126" s="418"/>
      <c r="AS126" s="418"/>
      <c r="AT126" s="418"/>
      <c r="AU126" s="418"/>
      <c r="AV126" s="418"/>
      <c r="AW126" s="418"/>
      <c r="AX126" s="418"/>
      <c r="AY126" s="418"/>
      <c r="AZ126" s="418"/>
      <c r="BA126" s="418"/>
      <c r="BC126" s="1193"/>
    </row>
    <row r="127" spans="2:55" ht="15.75" customHeight="1">
      <c r="H127" s="467"/>
      <c r="I127" s="1141"/>
      <c r="J127" s="1202"/>
      <c r="K127" s="1141"/>
      <c r="L127" s="1141"/>
      <c r="M127" s="1141"/>
      <c r="N127" s="1141"/>
      <c r="O127" s="1141"/>
      <c r="P127" s="1141"/>
      <c r="Q127" s="1141"/>
      <c r="R127" s="1141"/>
      <c r="S127" s="1141"/>
      <c r="T127" s="1141"/>
      <c r="U127" s="1141"/>
      <c r="V127" s="1141"/>
      <c r="W127" s="1141"/>
      <c r="X127" s="1141"/>
      <c r="Y127" s="1141"/>
      <c r="Z127" s="1141"/>
      <c r="AA127" s="1141"/>
      <c r="AB127" s="1141"/>
      <c r="AC127" s="1141"/>
      <c r="AD127" s="1141"/>
      <c r="AE127" s="1141"/>
      <c r="AF127" s="1141"/>
      <c r="AG127" s="1141"/>
      <c r="AH127" s="1141"/>
      <c r="AI127" s="1141"/>
      <c r="AJ127" s="1141"/>
      <c r="AK127" s="467"/>
      <c r="AL127" s="1141"/>
      <c r="AM127" s="1141"/>
      <c r="AN127" s="418"/>
      <c r="AO127" s="418"/>
      <c r="AP127" s="418"/>
      <c r="AQ127" s="418"/>
      <c r="AR127" s="418"/>
      <c r="AS127" s="418"/>
      <c r="AT127" s="418"/>
      <c r="AU127" s="418"/>
      <c r="AV127" s="418"/>
      <c r="AW127" s="418"/>
      <c r="AX127" s="418"/>
      <c r="AY127" s="418"/>
      <c r="AZ127" s="418"/>
      <c r="BA127" s="418"/>
      <c r="BC127" s="1193"/>
    </row>
    <row r="128" spans="2:55" ht="15.75" customHeight="1">
      <c r="H128" s="467"/>
      <c r="I128" s="1141"/>
      <c r="J128" s="1202"/>
      <c r="K128" s="1141"/>
      <c r="L128" s="1141"/>
      <c r="M128" s="1141"/>
      <c r="N128" s="1141"/>
      <c r="O128" s="1141"/>
      <c r="P128" s="1141"/>
      <c r="Q128" s="1141"/>
      <c r="R128" s="1141"/>
      <c r="S128" s="1141"/>
      <c r="T128" s="1141"/>
      <c r="U128" s="1141"/>
      <c r="V128" s="1141"/>
      <c r="W128" s="1141"/>
      <c r="X128" s="1141"/>
      <c r="Y128" s="1141"/>
      <c r="Z128" s="1141"/>
      <c r="AA128" s="1141"/>
      <c r="AB128" s="1141"/>
      <c r="AC128" s="1141"/>
      <c r="AD128" s="1141"/>
      <c r="AE128" s="1141"/>
      <c r="AF128" s="1141"/>
      <c r="AG128" s="1141"/>
      <c r="AH128" s="1141"/>
      <c r="AI128" s="1141"/>
      <c r="AJ128" s="1141"/>
      <c r="AK128" s="467"/>
      <c r="AL128" s="1141"/>
      <c r="AM128" s="1141"/>
      <c r="AN128" s="418"/>
      <c r="AO128" s="418"/>
      <c r="AP128" s="418"/>
      <c r="AQ128" s="418"/>
      <c r="AR128" s="418"/>
      <c r="AS128" s="418"/>
      <c r="AT128" s="418"/>
      <c r="AU128" s="418"/>
      <c r="AV128" s="418"/>
      <c r="AW128" s="418"/>
      <c r="AX128" s="418"/>
      <c r="AY128" s="418"/>
      <c r="AZ128" s="418"/>
      <c r="BA128" s="418"/>
      <c r="BC128" s="1193"/>
    </row>
    <row r="129" spans="8:59" ht="15.75" customHeight="1">
      <c r="H129" s="467"/>
      <c r="I129" s="1141"/>
      <c r="J129" s="1202"/>
      <c r="K129" s="1141"/>
      <c r="L129" s="1141"/>
      <c r="M129" s="1141"/>
      <c r="N129" s="1141"/>
      <c r="O129" s="1141"/>
      <c r="P129" s="1141"/>
      <c r="Q129" s="1141"/>
      <c r="R129" s="1141"/>
      <c r="S129" s="1141"/>
      <c r="T129" s="1141"/>
      <c r="U129" s="1141"/>
      <c r="V129" s="1141"/>
      <c r="W129" s="1141"/>
      <c r="X129" s="1141"/>
      <c r="Y129" s="1141"/>
      <c r="Z129" s="1141"/>
      <c r="AA129" s="1141"/>
      <c r="AB129" s="1141"/>
      <c r="AC129" s="1141"/>
      <c r="AD129" s="1141"/>
      <c r="AE129" s="1141"/>
      <c r="AF129" s="1141"/>
      <c r="AG129" s="1141"/>
      <c r="AH129" s="1141"/>
      <c r="AI129" s="1141"/>
      <c r="AJ129" s="1141"/>
      <c r="AK129" s="467"/>
      <c r="AL129" s="1141"/>
      <c r="AM129" s="1141"/>
      <c r="AN129" s="418"/>
      <c r="AO129" s="418"/>
      <c r="AP129" s="418"/>
      <c r="AQ129" s="418"/>
      <c r="AR129" s="418"/>
      <c r="AS129" s="418"/>
      <c r="AT129" s="418"/>
      <c r="AU129" s="418"/>
      <c r="AV129" s="418"/>
      <c r="AW129" s="418"/>
      <c r="AX129" s="418"/>
      <c r="AY129" s="418"/>
      <c r="AZ129" s="418"/>
      <c r="BA129" s="418"/>
      <c r="BC129" s="1193"/>
    </row>
    <row r="130" spans="8:59" ht="15.75" customHeight="1">
      <c r="H130" s="467"/>
      <c r="I130" s="1141"/>
      <c r="J130" s="1202"/>
      <c r="K130" s="1141"/>
      <c r="L130" s="1141"/>
      <c r="M130" s="1141"/>
      <c r="N130" s="1141"/>
      <c r="O130" s="1141"/>
      <c r="P130" s="1141"/>
      <c r="Q130" s="1141"/>
      <c r="R130" s="1141"/>
      <c r="S130" s="1141"/>
      <c r="T130" s="1141"/>
      <c r="U130" s="1141"/>
      <c r="V130" s="1141"/>
      <c r="W130" s="1141"/>
      <c r="X130" s="1141"/>
      <c r="Y130" s="1141"/>
      <c r="Z130" s="1141"/>
      <c r="AA130" s="1141"/>
      <c r="AB130" s="1141"/>
      <c r="AC130" s="1141"/>
      <c r="AD130" s="1141"/>
      <c r="AE130" s="1141"/>
      <c r="AF130" s="1141"/>
      <c r="AG130" s="1141"/>
      <c r="AH130" s="1141"/>
      <c r="AI130" s="1141"/>
      <c r="AJ130" s="1141"/>
      <c r="AK130" s="467"/>
      <c r="AL130" s="1141"/>
      <c r="AM130" s="1141"/>
      <c r="AN130" s="418"/>
      <c r="AO130" s="418"/>
      <c r="AP130" s="418"/>
      <c r="AQ130" s="418"/>
      <c r="AR130" s="418"/>
      <c r="AS130" s="418"/>
      <c r="AT130" s="418"/>
      <c r="AU130" s="418"/>
      <c r="AV130" s="418"/>
      <c r="AW130" s="418"/>
      <c r="AX130" s="418"/>
      <c r="AY130" s="418"/>
      <c r="AZ130" s="418"/>
      <c r="BA130" s="418"/>
      <c r="BC130" s="1193"/>
    </row>
    <row r="131" spans="8:59" ht="15.75" customHeight="1">
      <c r="H131" s="467"/>
      <c r="I131" s="1141"/>
      <c r="J131" s="1202"/>
      <c r="K131" s="1141"/>
      <c r="L131" s="1141"/>
      <c r="M131" s="1141"/>
      <c r="N131" s="1141"/>
      <c r="O131" s="1141"/>
      <c r="P131" s="1141"/>
      <c r="Q131" s="1141"/>
      <c r="R131" s="1141"/>
      <c r="S131" s="1141"/>
      <c r="T131" s="1141"/>
      <c r="U131" s="1141"/>
      <c r="V131" s="1141"/>
      <c r="W131" s="1141"/>
      <c r="X131" s="1141"/>
      <c r="Y131" s="1141"/>
      <c r="Z131" s="1141"/>
      <c r="AA131" s="1141"/>
      <c r="AB131" s="1141"/>
      <c r="AC131" s="1141"/>
      <c r="AD131" s="1141"/>
      <c r="AE131" s="1141"/>
      <c r="AF131" s="1141"/>
      <c r="AG131" s="1141"/>
      <c r="AH131" s="1141"/>
      <c r="AI131" s="1141"/>
      <c r="AJ131" s="1141"/>
      <c r="AK131" s="467"/>
      <c r="AL131" s="1141"/>
      <c r="AM131" s="1141"/>
      <c r="AN131" s="418"/>
      <c r="AO131" s="418"/>
      <c r="AP131" s="418"/>
      <c r="AQ131" s="418"/>
      <c r="AR131" s="418"/>
      <c r="AS131" s="418"/>
      <c r="AT131" s="418"/>
      <c r="AU131" s="418"/>
      <c r="AV131" s="418"/>
      <c r="AW131" s="418"/>
      <c r="AX131" s="418"/>
      <c r="AY131" s="418"/>
      <c r="AZ131" s="418"/>
      <c r="BA131" s="418"/>
      <c r="BC131" s="1193"/>
      <c r="BE131" s="1200"/>
    </row>
    <row r="132" spans="8:59" ht="15.75" customHeight="1">
      <c r="H132" s="467"/>
      <c r="I132" s="1141"/>
      <c r="J132" s="1202"/>
      <c r="K132" s="1141"/>
      <c r="L132" s="1141"/>
      <c r="M132" s="1141"/>
      <c r="N132" s="1141"/>
      <c r="O132" s="1141"/>
      <c r="P132" s="1141"/>
      <c r="Q132" s="1141"/>
      <c r="R132" s="1141"/>
      <c r="S132" s="1141"/>
      <c r="T132" s="1141"/>
      <c r="U132" s="1141"/>
      <c r="V132" s="1141"/>
      <c r="W132" s="1141"/>
      <c r="X132" s="1141"/>
      <c r="Y132" s="1141"/>
      <c r="Z132" s="1141"/>
      <c r="AA132" s="1141"/>
      <c r="AB132" s="1141"/>
      <c r="AC132" s="1141"/>
      <c r="AD132" s="1141"/>
      <c r="AE132" s="1141"/>
      <c r="AF132" s="1141"/>
      <c r="AG132" s="1141"/>
      <c r="AH132" s="1141"/>
      <c r="AI132" s="1141"/>
      <c r="AJ132" s="1141"/>
      <c r="AK132" s="467"/>
      <c r="AL132" s="1141"/>
      <c r="AM132" s="1141"/>
      <c r="AN132" s="418"/>
      <c r="AO132" s="418"/>
      <c r="AP132" s="418"/>
      <c r="AQ132" s="418"/>
      <c r="AR132" s="418"/>
      <c r="AS132" s="418"/>
      <c r="AT132" s="418"/>
      <c r="AU132" s="418"/>
      <c r="AV132" s="418"/>
      <c r="AW132" s="418"/>
      <c r="AX132" s="418"/>
      <c r="AY132" s="418"/>
      <c r="AZ132" s="418"/>
      <c r="BA132" s="418"/>
      <c r="BC132" s="1193"/>
      <c r="BD132" s="1194"/>
    </row>
    <row r="133" spans="8:59" ht="15.75" customHeight="1">
      <c r="H133" s="467"/>
      <c r="I133" s="1141"/>
      <c r="J133" s="1202"/>
      <c r="K133" s="1141"/>
      <c r="L133" s="1141"/>
      <c r="M133" s="1141"/>
      <c r="N133" s="1141"/>
      <c r="O133" s="1141"/>
      <c r="P133" s="1141"/>
      <c r="Q133" s="1141"/>
      <c r="R133" s="1141"/>
      <c r="S133" s="1141"/>
      <c r="T133" s="1141"/>
      <c r="U133" s="1141"/>
      <c r="V133" s="1141"/>
      <c r="W133" s="1141"/>
      <c r="X133" s="1141"/>
      <c r="Y133" s="1141"/>
      <c r="Z133" s="1141"/>
      <c r="AA133" s="1141"/>
      <c r="AB133" s="1141"/>
      <c r="AC133" s="1141"/>
      <c r="AD133" s="1141"/>
      <c r="AE133" s="1141"/>
      <c r="AF133" s="1141"/>
      <c r="AG133" s="1141"/>
      <c r="AH133" s="1141"/>
      <c r="AI133" s="1141"/>
      <c r="AJ133" s="1141"/>
      <c r="AK133" s="467"/>
      <c r="AL133" s="1141"/>
      <c r="AM133" s="1141"/>
      <c r="AN133" s="418"/>
      <c r="AO133" s="418"/>
      <c r="AP133" s="418"/>
      <c r="AQ133" s="418"/>
      <c r="AR133" s="418"/>
      <c r="AS133" s="418"/>
      <c r="AT133" s="418"/>
      <c r="AU133" s="418"/>
      <c r="AV133" s="418"/>
      <c r="AW133" s="418"/>
      <c r="AX133" s="418"/>
      <c r="AY133" s="418"/>
      <c r="AZ133" s="418"/>
      <c r="BA133" s="418"/>
      <c r="BC133" s="1193"/>
    </row>
    <row r="134" spans="8:59" ht="15.75" customHeight="1">
      <c r="H134" s="467"/>
      <c r="I134" s="1141"/>
      <c r="J134" s="1202"/>
      <c r="K134" s="1141"/>
      <c r="L134" s="1141"/>
      <c r="M134" s="1141"/>
      <c r="N134" s="1141"/>
      <c r="O134" s="1141"/>
      <c r="P134" s="1141"/>
      <c r="Q134" s="1141"/>
      <c r="R134" s="1141"/>
      <c r="S134" s="1141"/>
      <c r="T134" s="1141"/>
      <c r="U134" s="1141"/>
      <c r="V134" s="1141"/>
      <c r="W134" s="1141"/>
      <c r="X134" s="1141"/>
      <c r="Y134" s="1141"/>
      <c r="Z134" s="1141"/>
      <c r="AA134" s="1141"/>
      <c r="AB134" s="1141"/>
      <c r="AC134" s="1141"/>
      <c r="AD134" s="1141"/>
      <c r="AE134" s="1141"/>
      <c r="AF134" s="1141"/>
      <c r="AG134" s="1141"/>
      <c r="AH134" s="1141"/>
      <c r="AI134" s="1141"/>
      <c r="AJ134" s="1141"/>
      <c r="AK134" s="467"/>
      <c r="AL134" s="1141"/>
      <c r="AM134" s="1141"/>
      <c r="AN134" s="418"/>
      <c r="AO134" s="418"/>
      <c r="AP134" s="418"/>
      <c r="AQ134" s="418"/>
      <c r="AR134" s="418"/>
      <c r="AS134" s="418"/>
      <c r="AT134" s="418"/>
      <c r="AU134" s="418"/>
      <c r="AV134" s="418"/>
      <c r="AW134" s="418"/>
      <c r="AX134" s="418"/>
      <c r="AY134" s="418"/>
      <c r="AZ134" s="418"/>
      <c r="BA134" s="418"/>
      <c r="BC134" s="1193"/>
    </row>
    <row r="135" spans="8:59" ht="15.75" customHeight="1">
      <c r="H135" s="467"/>
      <c r="I135" s="1141"/>
      <c r="J135" s="1202"/>
      <c r="K135" s="1141"/>
      <c r="L135" s="1141"/>
      <c r="M135" s="1141"/>
      <c r="N135" s="1141"/>
      <c r="O135" s="1141"/>
      <c r="P135" s="1141"/>
      <c r="Q135" s="1141"/>
      <c r="R135" s="1141"/>
      <c r="S135" s="1141"/>
      <c r="T135" s="1141"/>
      <c r="U135" s="1141"/>
      <c r="V135" s="1141"/>
      <c r="W135" s="1141"/>
      <c r="X135" s="1141"/>
      <c r="Y135" s="1141"/>
      <c r="Z135" s="1141"/>
      <c r="AA135" s="1141"/>
      <c r="AB135" s="1141"/>
      <c r="AC135" s="1141"/>
      <c r="AD135" s="1141"/>
      <c r="AE135" s="1141"/>
      <c r="AF135" s="1141"/>
      <c r="AG135" s="1141"/>
      <c r="AH135" s="1141"/>
      <c r="AI135" s="1141"/>
      <c r="AJ135" s="1141"/>
      <c r="AK135" s="467"/>
      <c r="AL135" s="1141"/>
      <c r="AM135" s="1141"/>
      <c r="AN135" s="418"/>
      <c r="AO135" s="418"/>
      <c r="AP135" s="418"/>
      <c r="AQ135" s="418"/>
      <c r="AR135" s="418"/>
      <c r="AS135" s="418"/>
      <c r="AT135" s="418"/>
      <c r="AU135" s="418"/>
      <c r="AV135" s="418"/>
      <c r="AW135" s="418"/>
      <c r="AX135" s="418"/>
      <c r="AY135" s="418"/>
      <c r="AZ135" s="418"/>
      <c r="BA135" s="418"/>
      <c r="BC135" s="1193"/>
    </row>
    <row r="136" spans="8:59" ht="15.75" customHeight="1">
      <c r="H136" s="467"/>
      <c r="I136" s="1141"/>
      <c r="J136" s="1202"/>
      <c r="K136" s="1141"/>
      <c r="L136" s="1141"/>
      <c r="M136" s="1141"/>
      <c r="N136" s="1141"/>
      <c r="O136" s="1141"/>
      <c r="P136" s="1141"/>
      <c r="Q136" s="1141"/>
      <c r="R136" s="1141"/>
      <c r="S136" s="1141"/>
      <c r="T136" s="1141"/>
      <c r="U136" s="1141"/>
      <c r="V136" s="1141"/>
      <c r="W136" s="1141"/>
      <c r="X136" s="1141"/>
      <c r="Y136" s="1141"/>
      <c r="Z136" s="1141"/>
      <c r="AA136" s="1141"/>
      <c r="AB136" s="1141"/>
      <c r="AC136" s="1141"/>
      <c r="AD136" s="1141"/>
      <c r="AE136" s="1141"/>
      <c r="AF136" s="1141"/>
      <c r="AG136" s="1141"/>
      <c r="AH136" s="1141"/>
      <c r="AI136" s="1141"/>
      <c r="AJ136" s="1141"/>
      <c r="AK136" s="467"/>
      <c r="AL136" s="1141"/>
      <c r="AM136" s="1141"/>
      <c r="AN136" s="418"/>
      <c r="AO136" s="418"/>
      <c r="AP136" s="418"/>
      <c r="AQ136" s="418"/>
      <c r="AR136" s="418"/>
      <c r="AS136" s="418"/>
      <c r="AT136" s="418"/>
      <c r="AU136" s="418"/>
      <c r="AV136" s="418"/>
      <c r="AW136" s="418"/>
      <c r="AX136" s="418"/>
      <c r="AY136" s="418"/>
      <c r="AZ136" s="418"/>
      <c r="BA136" s="418"/>
      <c r="BC136" s="1193"/>
      <c r="BF136" s="1200"/>
      <c r="BG136" s="1200"/>
    </row>
    <row r="137" spans="8:59" ht="15.75" customHeight="1">
      <c r="H137" s="467"/>
      <c r="I137" s="1141"/>
      <c r="J137" s="1202"/>
      <c r="K137" s="1141"/>
      <c r="L137" s="1141"/>
      <c r="M137" s="1141"/>
      <c r="N137" s="1141"/>
      <c r="O137" s="1141"/>
      <c r="P137" s="1141"/>
      <c r="Q137" s="1141"/>
      <c r="R137" s="1141"/>
      <c r="S137" s="1141"/>
      <c r="T137" s="1141"/>
      <c r="U137" s="1141"/>
      <c r="V137" s="1141"/>
      <c r="W137" s="1141"/>
      <c r="X137" s="1141"/>
      <c r="Y137" s="1141"/>
      <c r="Z137" s="1141"/>
      <c r="AA137" s="1141"/>
      <c r="AB137" s="1141"/>
      <c r="AC137" s="1141"/>
      <c r="AD137" s="1141"/>
      <c r="AE137" s="1141"/>
      <c r="AF137" s="1141"/>
      <c r="AG137" s="1141"/>
      <c r="AH137" s="1141"/>
      <c r="AI137" s="1141"/>
      <c r="AJ137" s="1141"/>
      <c r="AK137" s="467"/>
      <c r="AL137" s="1141"/>
      <c r="AM137" s="1141"/>
      <c r="AN137" s="418"/>
      <c r="AO137" s="418"/>
      <c r="AP137" s="418"/>
      <c r="AQ137" s="418"/>
      <c r="AR137" s="418"/>
      <c r="AS137" s="418"/>
      <c r="AT137" s="418"/>
      <c r="AU137" s="418"/>
      <c r="AV137" s="418"/>
      <c r="AW137" s="418"/>
      <c r="AX137" s="418"/>
      <c r="AY137" s="418"/>
      <c r="AZ137" s="418"/>
      <c r="BA137" s="418"/>
      <c r="BC137" s="1193"/>
    </row>
    <row r="138" spans="8:59" ht="15.75" customHeight="1">
      <c r="H138" s="467"/>
      <c r="I138" s="1141"/>
      <c r="J138" s="1202"/>
      <c r="K138" s="1141"/>
      <c r="L138" s="1141"/>
      <c r="M138" s="1141"/>
      <c r="N138" s="1141"/>
      <c r="O138" s="1141"/>
      <c r="P138" s="1141"/>
      <c r="Q138" s="1141"/>
      <c r="R138" s="1141"/>
      <c r="S138" s="1141"/>
      <c r="T138" s="1141"/>
      <c r="U138" s="1141"/>
      <c r="V138" s="1141"/>
      <c r="W138" s="1141"/>
      <c r="X138" s="1141"/>
      <c r="Y138" s="1141"/>
      <c r="Z138" s="1141"/>
      <c r="AA138" s="1141"/>
      <c r="AB138" s="1141"/>
      <c r="AC138" s="1141"/>
      <c r="AD138" s="1141"/>
      <c r="AE138" s="1141"/>
      <c r="AF138" s="1141"/>
      <c r="AG138" s="1141"/>
      <c r="AH138" s="1141"/>
      <c r="AI138" s="1141"/>
      <c r="AJ138" s="1141"/>
      <c r="AK138" s="467"/>
      <c r="AL138" s="1141"/>
      <c r="AM138" s="1141"/>
      <c r="AN138" s="418"/>
      <c r="AO138" s="418"/>
      <c r="AP138" s="418"/>
      <c r="AQ138" s="418"/>
      <c r="AR138" s="418"/>
      <c r="AS138" s="418"/>
      <c r="AT138" s="418"/>
      <c r="AU138" s="418"/>
      <c r="AV138" s="418"/>
      <c r="AW138" s="418"/>
      <c r="AX138" s="418"/>
      <c r="AY138" s="418"/>
      <c r="AZ138" s="418"/>
      <c r="BA138" s="418"/>
      <c r="BC138" s="1193"/>
    </row>
    <row r="139" spans="8:59" ht="15.75" customHeight="1">
      <c r="H139" s="467"/>
      <c r="I139" s="1141"/>
      <c r="J139" s="1202"/>
      <c r="K139" s="1141"/>
      <c r="L139" s="1141"/>
      <c r="M139" s="1141"/>
      <c r="N139" s="1141"/>
      <c r="O139" s="1141"/>
      <c r="P139" s="1141"/>
      <c r="Q139" s="1141"/>
      <c r="R139" s="1141"/>
      <c r="S139" s="1141"/>
      <c r="T139" s="1141"/>
      <c r="U139" s="1141"/>
      <c r="V139" s="1141"/>
      <c r="W139" s="1141"/>
      <c r="X139" s="1141"/>
      <c r="Y139" s="1141"/>
      <c r="Z139" s="1141"/>
      <c r="AA139" s="1141"/>
      <c r="AB139" s="1141"/>
      <c r="AC139" s="1141"/>
      <c r="AD139" s="1141"/>
      <c r="AE139" s="1141"/>
      <c r="AF139" s="1141"/>
      <c r="AG139" s="1141"/>
      <c r="AH139" s="1141"/>
      <c r="AI139" s="1141"/>
      <c r="AJ139" s="1141"/>
      <c r="AK139" s="467"/>
      <c r="AL139" s="1141"/>
      <c r="AM139" s="1141"/>
      <c r="AN139" s="418"/>
      <c r="AO139" s="418"/>
      <c r="AP139" s="418"/>
      <c r="AQ139" s="418"/>
      <c r="AR139" s="418"/>
      <c r="AS139" s="418"/>
      <c r="AT139" s="418"/>
      <c r="AU139" s="418"/>
      <c r="AV139" s="418"/>
      <c r="AW139" s="418"/>
      <c r="AX139" s="418"/>
      <c r="AY139" s="418"/>
      <c r="AZ139" s="418"/>
      <c r="BA139" s="418"/>
      <c r="BC139" s="1193"/>
    </row>
    <row r="140" spans="8:59" ht="15.75" customHeight="1">
      <c r="H140" s="467"/>
      <c r="I140" s="1141"/>
      <c r="J140" s="1202"/>
      <c r="K140" s="1141"/>
      <c r="L140" s="1141"/>
      <c r="M140" s="1141"/>
      <c r="N140" s="1141"/>
      <c r="O140" s="1141"/>
      <c r="P140" s="1141"/>
      <c r="Q140" s="1141"/>
      <c r="R140" s="1141"/>
      <c r="S140" s="1141"/>
      <c r="T140" s="1141"/>
      <c r="U140" s="1141"/>
      <c r="V140" s="1141"/>
      <c r="W140" s="1141"/>
      <c r="X140" s="1141"/>
      <c r="Y140" s="1141"/>
      <c r="Z140" s="1141"/>
      <c r="AA140" s="1141"/>
      <c r="AB140" s="1141"/>
      <c r="AC140" s="1141"/>
      <c r="AD140" s="1141"/>
      <c r="AE140" s="1141"/>
      <c r="AF140" s="1141"/>
      <c r="AG140" s="1141"/>
      <c r="AH140" s="1141"/>
      <c r="AI140" s="1141"/>
      <c r="AJ140" s="1141"/>
      <c r="AK140" s="467"/>
      <c r="AL140" s="1141"/>
      <c r="AM140" s="1141"/>
      <c r="AN140" s="418"/>
      <c r="AO140" s="418"/>
      <c r="AP140" s="418"/>
      <c r="AQ140" s="418"/>
      <c r="AR140" s="418"/>
      <c r="AS140" s="418"/>
      <c r="AT140" s="418"/>
      <c r="AU140" s="418"/>
      <c r="AV140" s="418"/>
      <c r="AW140" s="418"/>
      <c r="AX140" s="418"/>
      <c r="AY140" s="418"/>
      <c r="AZ140" s="418"/>
      <c r="BA140" s="418"/>
      <c r="BC140" s="1193"/>
    </row>
    <row r="141" spans="8:59" ht="15.75" customHeight="1">
      <c r="H141" s="467"/>
      <c r="I141" s="1141"/>
      <c r="J141" s="1202"/>
      <c r="K141" s="1141"/>
      <c r="L141" s="1141"/>
      <c r="M141" s="1141"/>
      <c r="N141" s="1141"/>
      <c r="O141" s="1141"/>
      <c r="P141" s="1141"/>
      <c r="Q141" s="1141"/>
      <c r="R141" s="1141"/>
      <c r="S141" s="1141"/>
      <c r="T141" s="1141"/>
      <c r="U141" s="1141"/>
      <c r="V141" s="1141"/>
      <c r="W141" s="1141"/>
      <c r="X141" s="1141"/>
      <c r="Y141" s="1141"/>
      <c r="Z141" s="1141"/>
      <c r="AA141" s="1141"/>
      <c r="AB141" s="1141"/>
      <c r="AC141" s="1141"/>
      <c r="AD141" s="1141"/>
      <c r="AE141" s="1141"/>
      <c r="AF141" s="1141"/>
      <c r="AG141" s="1141"/>
      <c r="AH141" s="1141"/>
      <c r="AI141" s="1141"/>
      <c r="AJ141" s="1141"/>
      <c r="AK141" s="467"/>
      <c r="AL141" s="1141"/>
      <c r="AM141" s="1141"/>
      <c r="AN141" s="418"/>
      <c r="AO141" s="418"/>
      <c r="AP141" s="418"/>
      <c r="AQ141" s="418"/>
      <c r="AR141" s="418"/>
      <c r="AS141" s="418"/>
      <c r="AT141" s="418"/>
      <c r="AU141" s="418"/>
      <c r="AV141" s="418"/>
      <c r="AW141" s="418"/>
      <c r="AX141" s="418"/>
      <c r="AY141" s="418"/>
      <c r="AZ141" s="418"/>
      <c r="BA141" s="418"/>
      <c r="BC141" s="1193"/>
    </row>
    <row r="142" spans="8:59" ht="15.75" customHeight="1">
      <c r="H142" s="467"/>
      <c r="I142" s="1141"/>
      <c r="J142" s="1202"/>
      <c r="K142" s="1141"/>
      <c r="L142" s="1141"/>
      <c r="M142" s="1141"/>
      <c r="N142" s="1141"/>
      <c r="O142" s="1141"/>
      <c r="P142" s="1141"/>
      <c r="Q142" s="1141"/>
      <c r="R142" s="1141"/>
      <c r="S142" s="1141"/>
      <c r="T142" s="1141"/>
      <c r="U142" s="1141"/>
      <c r="V142" s="1141"/>
      <c r="W142" s="1141"/>
      <c r="X142" s="1141"/>
      <c r="Y142" s="1141"/>
      <c r="Z142" s="1141"/>
      <c r="AA142" s="1141"/>
      <c r="AB142" s="1141"/>
      <c r="AC142" s="1141"/>
      <c r="AD142" s="1141"/>
      <c r="AE142" s="1141"/>
      <c r="AF142" s="1141"/>
      <c r="AG142" s="1141"/>
      <c r="AH142" s="1141"/>
      <c r="AI142" s="1141"/>
      <c r="AJ142" s="1141"/>
      <c r="AK142" s="467"/>
      <c r="AL142" s="1141"/>
      <c r="AM142" s="1141"/>
      <c r="AN142" s="418"/>
      <c r="AO142" s="418"/>
      <c r="AP142" s="418"/>
      <c r="AQ142" s="418"/>
      <c r="AR142" s="418"/>
      <c r="AS142" s="418"/>
      <c r="AT142" s="418"/>
      <c r="AU142" s="418"/>
      <c r="AV142" s="418"/>
      <c r="AW142" s="418"/>
      <c r="AX142" s="418"/>
      <c r="AY142" s="418"/>
      <c r="AZ142" s="418"/>
      <c r="BA142" s="418"/>
      <c r="BC142" s="1193"/>
    </row>
    <row r="143" spans="8:59" ht="15.75" customHeight="1">
      <c r="AN143" s="418"/>
      <c r="AO143" s="418"/>
      <c r="AP143" s="418"/>
      <c r="AQ143" s="418"/>
      <c r="AR143" s="418"/>
      <c r="AS143" s="418"/>
      <c r="AT143" s="418"/>
      <c r="AU143" s="418"/>
      <c r="AV143" s="418"/>
      <c r="AW143" s="418"/>
      <c r="AX143" s="418"/>
      <c r="AY143" s="418"/>
      <c r="AZ143" s="418"/>
      <c r="BA143" s="418"/>
      <c r="BC143" s="1193"/>
    </row>
    <row r="144" spans="8:59" ht="15.75" customHeight="1">
      <c r="AN144" s="418"/>
      <c r="AO144" s="418"/>
      <c r="AP144" s="418"/>
      <c r="AQ144" s="418"/>
      <c r="AR144" s="418"/>
      <c r="AS144" s="418"/>
      <c r="AT144" s="418"/>
      <c r="AU144" s="418"/>
      <c r="AV144" s="418"/>
      <c r="AW144" s="418"/>
      <c r="AX144" s="418"/>
      <c r="AY144" s="418"/>
      <c r="AZ144" s="418"/>
      <c r="BA144" s="418"/>
      <c r="BC144" s="1193"/>
    </row>
    <row r="145" spans="40:55" ht="15.75" customHeight="1">
      <c r="AN145" s="418"/>
      <c r="AO145" s="418"/>
      <c r="AP145" s="418"/>
      <c r="AQ145" s="418"/>
      <c r="AR145" s="418"/>
      <c r="AS145" s="418"/>
      <c r="AT145" s="418"/>
      <c r="AU145" s="418"/>
      <c r="AV145" s="418"/>
      <c r="AW145" s="418"/>
      <c r="AX145" s="418"/>
      <c r="AY145" s="418"/>
      <c r="AZ145" s="418"/>
      <c r="BA145" s="418"/>
      <c r="BC145" s="1193"/>
    </row>
    <row r="146" spans="40:55" ht="15.75" customHeight="1">
      <c r="AN146" s="418"/>
      <c r="AO146" s="418"/>
      <c r="AP146" s="418"/>
      <c r="AQ146" s="418"/>
      <c r="AR146" s="418"/>
      <c r="AS146" s="418"/>
      <c r="AT146" s="418"/>
      <c r="AU146" s="418"/>
      <c r="AV146" s="418"/>
      <c r="AW146" s="418"/>
      <c r="AX146" s="418"/>
      <c r="AY146" s="418"/>
      <c r="AZ146" s="418"/>
      <c r="BA146" s="418"/>
      <c r="BC146" s="1193"/>
    </row>
    <row r="147" spans="40:55" ht="15.75" customHeight="1">
      <c r="AN147" s="418"/>
      <c r="AO147" s="418"/>
      <c r="AP147" s="418"/>
      <c r="AQ147" s="418"/>
      <c r="AR147" s="418"/>
      <c r="AS147" s="418"/>
      <c r="AT147" s="418"/>
      <c r="AU147" s="418"/>
      <c r="AV147" s="418"/>
      <c r="AW147" s="418"/>
      <c r="AX147" s="418"/>
      <c r="AY147" s="418"/>
      <c r="AZ147" s="418"/>
      <c r="BA147" s="418"/>
      <c r="BC147" s="1193"/>
    </row>
    <row r="148" spans="40:55" ht="15.75" customHeight="1">
      <c r="AN148" s="418"/>
      <c r="AO148" s="418"/>
      <c r="AP148" s="418"/>
      <c r="AQ148" s="418"/>
      <c r="AR148" s="418"/>
      <c r="AS148" s="418"/>
      <c r="AT148" s="418"/>
      <c r="AU148" s="418"/>
      <c r="AV148" s="418"/>
      <c r="AW148" s="418"/>
      <c r="AX148" s="418"/>
      <c r="AY148" s="418"/>
      <c r="AZ148" s="418"/>
      <c r="BA148" s="418"/>
      <c r="BC148" s="1193"/>
    </row>
    <row r="149" spans="40:55" ht="15.75" customHeight="1">
      <c r="AN149" s="418"/>
      <c r="AO149" s="418"/>
      <c r="AP149" s="418"/>
      <c r="AQ149" s="418"/>
      <c r="AR149" s="418"/>
      <c r="AS149" s="418"/>
      <c r="AT149" s="418"/>
      <c r="AU149" s="418"/>
      <c r="AV149" s="418"/>
      <c r="AW149" s="418"/>
      <c r="AX149" s="418"/>
      <c r="AY149" s="418"/>
      <c r="AZ149" s="418"/>
      <c r="BA149" s="418"/>
      <c r="BC149" s="1193"/>
    </row>
    <row r="150" spans="40:55" ht="15.75" customHeight="1">
      <c r="AN150" s="418"/>
      <c r="AO150" s="418"/>
      <c r="AP150" s="418"/>
      <c r="AQ150" s="418"/>
      <c r="AR150" s="418"/>
      <c r="AS150" s="418"/>
      <c r="AT150" s="418"/>
      <c r="AU150" s="418"/>
      <c r="AV150" s="418"/>
      <c r="AW150" s="418"/>
      <c r="AX150" s="418"/>
      <c r="AY150" s="418"/>
      <c r="AZ150" s="418"/>
      <c r="BA150" s="418"/>
      <c r="BC150" s="1193"/>
    </row>
    <row r="151" spans="40:55" ht="15.75" customHeight="1">
      <c r="AN151" s="418"/>
      <c r="AO151" s="418"/>
      <c r="AP151" s="418"/>
      <c r="AQ151" s="418"/>
      <c r="AR151" s="418"/>
      <c r="AS151" s="418"/>
      <c r="AT151" s="418"/>
      <c r="AU151" s="418"/>
      <c r="AV151" s="418"/>
      <c r="AW151" s="418"/>
      <c r="AX151" s="418"/>
      <c r="AY151" s="418"/>
      <c r="AZ151" s="418"/>
      <c r="BA151" s="418"/>
      <c r="BC151" s="1193"/>
    </row>
    <row r="152" spans="40:55" ht="15.75" customHeight="1">
      <c r="AN152" s="418"/>
      <c r="AO152" s="418"/>
      <c r="AP152" s="418"/>
      <c r="AQ152" s="418"/>
      <c r="AR152" s="418"/>
      <c r="AS152" s="418"/>
      <c r="AT152" s="418"/>
      <c r="AU152" s="418"/>
      <c r="AV152" s="418"/>
      <c r="AW152" s="418"/>
      <c r="AX152" s="418"/>
      <c r="AY152" s="418"/>
      <c r="AZ152" s="418"/>
      <c r="BA152" s="418"/>
      <c r="BC152" s="1193"/>
    </row>
    <row r="153" spans="40:55" ht="15.75" customHeight="1">
      <c r="AN153" s="418"/>
      <c r="AO153" s="418"/>
      <c r="AP153" s="418"/>
      <c r="AQ153" s="418"/>
      <c r="AR153" s="418"/>
      <c r="AS153" s="418"/>
      <c r="AT153" s="418"/>
      <c r="AU153" s="418"/>
      <c r="AV153" s="418"/>
      <c r="AW153" s="418"/>
      <c r="AX153" s="418"/>
      <c r="AY153" s="418"/>
      <c r="AZ153" s="418"/>
      <c r="BA153" s="418"/>
      <c r="BC153" s="1193"/>
    </row>
    <row r="154" spans="40:55" ht="15.75" customHeight="1">
      <c r="AN154" s="418"/>
      <c r="AO154" s="418"/>
      <c r="AP154" s="418"/>
      <c r="AQ154" s="418"/>
      <c r="AR154" s="418"/>
      <c r="AS154" s="418"/>
      <c r="AT154" s="418"/>
      <c r="AU154" s="418"/>
      <c r="AV154" s="418"/>
      <c r="AW154" s="418"/>
      <c r="AX154" s="418"/>
      <c r="AY154" s="418"/>
      <c r="AZ154" s="418"/>
      <c r="BA154" s="418"/>
      <c r="BC154" s="1193"/>
    </row>
    <row r="155" spans="40:55" ht="15.75" customHeight="1">
      <c r="AN155" s="418"/>
      <c r="AO155" s="418"/>
      <c r="AP155" s="418"/>
      <c r="AQ155" s="418"/>
      <c r="AR155" s="418"/>
      <c r="AS155" s="418"/>
      <c r="AT155" s="418"/>
      <c r="AU155" s="418"/>
      <c r="AV155" s="418"/>
      <c r="AW155" s="418"/>
      <c r="AX155" s="418"/>
      <c r="AY155" s="418"/>
      <c r="AZ155" s="418"/>
      <c r="BA155" s="418"/>
      <c r="BC155" s="1193"/>
    </row>
    <row r="156" spans="40:55" ht="15.75" customHeight="1">
      <c r="AN156" s="418"/>
      <c r="AO156" s="418"/>
      <c r="AP156" s="418"/>
      <c r="AQ156" s="418"/>
      <c r="AR156" s="418"/>
      <c r="AS156" s="418"/>
      <c r="AT156" s="418"/>
      <c r="AU156" s="418"/>
      <c r="AV156" s="418"/>
      <c r="AW156" s="418"/>
      <c r="AX156" s="418"/>
      <c r="AY156" s="418"/>
      <c r="AZ156" s="418"/>
      <c r="BA156" s="418"/>
      <c r="BC156" s="1193"/>
    </row>
    <row r="157" spans="40:55" ht="15.75" customHeight="1">
      <c r="AN157" s="418"/>
      <c r="AO157" s="418"/>
      <c r="AP157" s="418"/>
      <c r="AQ157" s="418"/>
      <c r="AR157" s="418"/>
      <c r="AS157" s="418"/>
      <c r="AT157" s="418"/>
      <c r="AU157" s="418"/>
      <c r="AV157" s="418"/>
      <c r="AW157" s="418"/>
      <c r="AX157" s="418"/>
      <c r="AY157" s="418"/>
      <c r="AZ157" s="418"/>
      <c r="BA157" s="418"/>
      <c r="BC157" s="1193"/>
    </row>
    <row r="158" spans="40:55" ht="15.75" customHeight="1">
      <c r="AN158" s="418"/>
      <c r="AO158" s="418"/>
      <c r="AP158" s="418"/>
      <c r="AQ158" s="418"/>
      <c r="AR158" s="418"/>
      <c r="AS158" s="418"/>
      <c r="AT158" s="418"/>
      <c r="AU158" s="418"/>
      <c r="AV158" s="418"/>
      <c r="AW158" s="418"/>
      <c r="AX158" s="418"/>
      <c r="AY158" s="418"/>
      <c r="AZ158" s="418"/>
      <c r="BA158" s="418"/>
      <c r="BC158" s="1193"/>
    </row>
    <row r="159" spans="40:55" ht="15.75" customHeight="1">
      <c r="AN159" s="418"/>
      <c r="AO159" s="418"/>
      <c r="AP159" s="418"/>
      <c r="AQ159" s="418"/>
      <c r="AR159" s="418"/>
      <c r="AS159" s="418"/>
      <c r="AT159" s="418"/>
      <c r="AU159" s="418"/>
      <c r="AV159" s="418"/>
      <c r="AW159" s="418"/>
      <c r="AX159" s="418"/>
      <c r="AY159" s="418"/>
      <c r="AZ159" s="418"/>
      <c r="BA159" s="418"/>
      <c r="BC159" s="1193"/>
    </row>
    <row r="160" spans="40:55" ht="15.75" customHeight="1">
      <c r="AN160" s="418"/>
      <c r="AO160" s="418"/>
      <c r="AP160" s="418"/>
      <c r="AQ160" s="418"/>
      <c r="AR160" s="418"/>
      <c r="AS160" s="418"/>
      <c r="AT160" s="418"/>
      <c r="AU160" s="418"/>
      <c r="AV160" s="418"/>
      <c r="AW160" s="418"/>
      <c r="AX160" s="418"/>
      <c r="AY160" s="418"/>
      <c r="AZ160" s="418"/>
      <c r="BA160" s="418"/>
      <c r="BC160" s="1193"/>
    </row>
    <row r="161" spans="40:55" ht="15.75" customHeight="1">
      <c r="AN161" s="418"/>
      <c r="AO161" s="418"/>
      <c r="AP161" s="418"/>
      <c r="AQ161" s="418"/>
      <c r="AR161" s="418"/>
      <c r="AS161" s="418"/>
      <c r="AT161" s="418"/>
      <c r="AU161" s="418"/>
      <c r="AV161" s="418"/>
      <c r="AW161" s="418"/>
      <c r="AX161" s="418"/>
      <c r="AY161" s="418"/>
      <c r="AZ161" s="418"/>
      <c r="BA161" s="418"/>
      <c r="BC161" s="1193"/>
    </row>
    <row r="162" spans="40:55" ht="15.75" customHeight="1">
      <c r="AN162" s="418"/>
      <c r="AO162" s="418"/>
      <c r="AP162" s="418"/>
      <c r="AQ162" s="418"/>
      <c r="AR162" s="418"/>
      <c r="AS162" s="418"/>
      <c r="AT162" s="418"/>
      <c r="AU162" s="418"/>
      <c r="AV162" s="418"/>
      <c r="AW162" s="418"/>
      <c r="AX162" s="418"/>
      <c r="AY162" s="418"/>
      <c r="AZ162" s="418"/>
      <c r="BA162" s="418"/>
      <c r="BC162" s="1193"/>
    </row>
    <row r="163" spans="40:55" ht="15.75" customHeight="1">
      <c r="AN163" s="418"/>
      <c r="AO163" s="418"/>
      <c r="AP163" s="418"/>
      <c r="AQ163" s="418"/>
      <c r="AR163" s="418"/>
      <c r="AS163" s="418"/>
      <c r="AT163" s="418"/>
      <c r="AU163" s="418"/>
      <c r="AV163" s="418"/>
      <c r="AW163" s="418"/>
      <c r="AX163" s="418"/>
      <c r="AY163" s="418"/>
      <c r="AZ163" s="418"/>
      <c r="BA163" s="418"/>
      <c r="BC163" s="1193"/>
    </row>
    <row r="164" spans="40:55" ht="15.75" customHeight="1">
      <c r="AN164" s="418"/>
      <c r="AO164" s="418"/>
      <c r="AP164" s="418"/>
      <c r="AQ164" s="418"/>
      <c r="AR164" s="418"/>
      <c r="AS164" s="418"/>
      <c r="AT164" s="418"/>
      <c r="AU164" s="418"/>
      <c r="AV164" s="418"/>
      <c r="AW164" s="418"/>
      <c r="AX164" s="418"/>
      <c r="AY164" s="418"/>
      <c r="AZ164" s="418"/>
      <c r="BA164" s="418"/>
      <c r="BC164" s="1193"/>
    </row>
    <row r="165" spans="40:55" ht="15.75" customHeight="1">
      <c r="AN165" s="418"/>
      <c r="AO165" s="418"/>
      <c r="AP165" s="418"/>
      <c r="AQ165" s="418"/>
      <c r="AR165" s="418"/>
      <c r="AS165" s="418"/>
      <c r="AT165" s="418"/>
      <c r="AU165" s="418"/>
      <c r="AV165" s="418"/>
      <c r="AW165" s="418"/>
      <c r="AX165" s="418"/>
      <c r="AY165" s="418"/>
      <c r="AZ165" s="418"/>
      <c r="BA165" s="418"/>
      <c r="BC165" s="1193"/>
    </row>
    <row r="166" spans="40:55" ht="15.75" customHeight="1">
      <c r="AN166" s="418"/>
      <c r="AO166" s="418"/>
      <c r="AP166" s="418"/>
      <c r="AQ166" s="418"/>
      <c r="AR166" s="418"/>
      <c r="AS166" s="418"/>
      <c r="AT166" s="418"/>
      <c r="AU166" s="418"/>
      <c r="AV166" s="418"/>
      <c r="AW166" s="418"/>
      <c r="AX166" s="418"/>
      <c r="AY166" s="418"/>
      <c r="AZ166" s="418"/>
      <c r="BA166" s="418"/>
      <c r="BC166" s="1193"/>
    </row>
    <row r="167" spans="40:55" ht="15.75" customHeight="1">
      <c r="AN167" s="418"/>
      <c r="AO167" s="418"/>
      <c r="AP167" s="418"/>
      <c r="AQ167" s="418"/>
      <c r="AR167" s="418"/>
      <c r="AS167" s="418"/>
      <c r="AT167" s="418"/>
      <c r="AU167" s="418"/>
      <c r="AV167" s="418"/>
      <c r="AW167" s="418"/>
      <c r="AX167" s="418"/>
      <c r="AY167" s="418"/>
      <c r="AZ167" s="418"/>
      <c r="BA167" s="418"/>
      <c r="BC167" s="1193"/>
    </row>
    <row r="168" spans="40:55" ht="15.75" customHeight="1">
      <c r="AN168" s="418"/>
      <c r="AO168" s="418"/>
      <c r="AP168" s="418"/>
      <c r="AQ168" s="418"/>
      <c r="AR168" s="418"/>
      <c r="AS168" s="418"/>
      <c r="AT168" s="418"/>
      <c r="AU168" s="418"/>
      <c r="AV168" s="418"/>
      <c r="AW168" s="418"/>
      <c r="AX168" s="418"/>
      <c r="AY168" s="418"/>
      <c r="AZ168" s="418"/>
      <c r="BA168" s="418"/>
      <c r="BC168" s="1193"/>
    </row>
    <row r="169" spans="40:55" ht="15.75" customHeight="1">
      <c r="AN169" s="418"/>
      <c r="AO169" s="418"/>
      <c r="AP169" s="418"/>
      <c r="AQ169" s="418"/>
      <c r="AR169" s="418"/>
      <c r="AS169" s="418"/>
      <c r="AT169" s="418"/>
      <c r="AU169" s="418"/>
      <c r="AV169" s="418"/>
      <c r="AW169" s="418"/>
      <c r="AX169" s="418"/>
      <c r="AY169" s="418"/>
      <c r="AZ169" s="418"/>
      <c r="BA169" s="418"/>
      <c r="BC169" s="1193"/>
    </row>
    <row r="170" spans="40:55" ht="15.75" customHeight="1">
      <c r="AN170" s="418"/>
      <c r="AO170" s="418"/>
      <c r="AP170" s="418"/>
      <c r="AQ170" s="418"/>
      <c r="AR170" s="418"/>
      <c r="AS170" s="418"/>
      <c r="AT170" s="418"/>
      <c r="AU170" s="418"/>
      <c r="AV170" s="418"/>
      <c r="AW170" s="418"/>
      <c r="AX170" s="418"/>
      <c r="AY170" s="418"/>
      <c r="AZ170" s="418"/>
      <c r="BA170" s="418"/>
      <c r="BC170" s="1193"/>
    </row>
    <row r="171" spans="40:55" ht="15.75" customHeight="1">
      <c r="AN171" s="418"/>
      <c r="AO171" s="418"/>
      <c r="AP171" s="418"/>
      <c r="AQ171" s="418"/>
      <c r="AR171" s="418"/>
      <c r="AS171" s="418"/>
      <c r="AT171" s="418"/>
      <c r="AU171" s="418"/>
      <c r="AV171" s="418"/>
      <c r="AW171" s="418"/>
      <c r="AX171" s="418"/>
      <c r="AY171" s="418"/>
      <c r="AZ171" s="418"/>
      <c r="BA171" s="418"/>
      <c r="BC171" s="1193"/>
    </row>
    <row r="172" spans="40:55" ht="15.75" customHeight="1">
      <c r="AN172" s="418"/>
      <c r="AO172" s="418"/>
      <c r="AP172" s="418"/>
      <c r="AQ172" s="418"/>
      <c r="AR172" s="418"/>
      <c r="AS172" s="418"/>
      <c r="AT172" s="418"/>
      <c r="AU172" s="418"/>
      <c r="AV172" s="418"/>
      <c r="AW172" s="418"/>
      <c r="AX172" s="418"/>
      <c r="AY172" s="418"/>
      <c r="AZ172" s="418"/>
      <c r="BA172" s="418"/>
      <c r="BC172" s="1193"/>
    </row>
    <row r="173" spans="40:55" ht="15.75" customHeight="1">
      <c r="AN173" s="418"/>
      <c r="AO173" s="418"/>
      <c r="AP173" s="418"/>
      <c r="AQ173" s="418"/>
      <c r="AR173" s="418"/>
      <c r="AS173" s="418"/>
      <c r="AT173" s="418"/>
      <c r="AU173" s="418"/>
      <c r="AV173" s="418"/>
      <c r="AW173" s="418"/>
      <c r="AX173" s="418"/>
      <c r="AY173" s="418"/>
      <c r="AZ173" s="418"/>
      <c r="BA173" s="418"/>
      <c r="BC173" s="1193"/>
    </row>
    <row r="174" spans="40:55" ht="15.75" customHeight="1">
      <c r="AN174" s="418"/>
      <c r="AO174" s="418"/>
      <c r="AP174" s="418"/>
      <c r="AQ174" s="418"/>
      <c r="AR174" s="418"/>
      <c r="AS174" s="418"/>
      <c r="AT174" s="418"/>
      <c r="AU174" s="418"/>
      <c r="AV174" s="418"/>
      <c r="AW174" s="418"/>
      <c r="AX174" s="418"/>
      <c r="AY174" s="418"/>
      <c r="AZ174" s="418"/>
      <c r="BA174" s="418"/>
      <c r="BC174" s="1193"/>
    </row>
    <row r="175" spans="40:55" ht="15.75" customHeight="1">
      <c r="AN175" s="418"/>
      <c r="AO175" s="418"/>
      <c r="AP175" s="418"/>
      <c r="AQ175" s="418"/>
      <c r="AR175" s="418"/>
      <c r="AS175" s="418"/>
      <c r="AT175" s="418"/>
      <c r="AU175" s="418"/>
      <c r="AV175" s="418"/>
      <c r="AW175" s="418"/>
      <c r="AX175" s="418"/>
      <c r="AY175" s="418"/>
      <c r="AZ175" s="418"/>
      <c r="BA175" s="418"/>
      <c r="BC175" s="1193"/>
    </row>
    <row r="176" spans="40:55" ht="15.75" customHeight="1">
      <c r="AN176" s="418"/>
      <c r="AO176" s="418"/>
      <c r="AP176" s="418"/>
      <c r="AQ176" s="418"/>
      <c r="AR176" s="418"/>
      <c r="AS176" s="418"/>
      <c r="AT176" s="418"/>
      <c r="AU176" s="418"/>
      <c r="AV176" s="418"/>
      <c r="AW176" s="418"/>
      <c r="AX176" s="418"/>
      <c r="AY176" s="418"/>
      <c r="AZ176" s="418"/>
      <c r="BA176" s="418"/>
      <c r="BC176" s="1193"/>
    </row>
    <row r="177" spans="40:59" ht="15.75" customHeight="1">
      <c r="AN177" s="418"/>
      <c r="AO177" s="418"/>
      <c r="AP177" s="418"/>
      <c r="AQ177" s="418"/>
      <c r="AR177" s="418"/>
      <c r="AS177" s="418"/>
      <c r="AT177" s="418"/>
      <c r="AU177" s="418"/>
      <c r="AV177" s="418"/>
      <c r="AW177" s="418"/>
      <c r="AX177" s="418"/>
      <c r="AY177" s="418"/>
      <c r="AZ177" s="418"/>
      <c r="BA177" s="418"/>
      <c r="BC177" s="1193"/>
    </row>
    <row r="178" spans="40:59" ht="15.75" customHeight="1">
      <c r="AN178" s="418"/>
      <c r="AO178" s="418"/>
      <c r="AP178" s="418"/>
      <c r="AQ178" s="418"/>
      <c r="AR178" s="418"/>
      <c r="AS178" s="418"/>
      <c r="AT178" s="418"/>
      <c r="AU178" s="418"/>
      <c r="AV178" s="418"/>
      <c r="AW178" s="418"/>
      <c r="AX178" s="418"/>
      <c r="AY178" s="418"/>
      <c r="AZ178" s="418"/>
      <c r="BA178" s="418"/>
      <c r="BC178" s="1193"/>
    </row>
    <row r="179" spans="40:59" ht="15.75" customHeight="1">
      <c r="AN179" s="418"/>
      <c r="AO179" s="418"/>
      <c r="AP179" s="418"/>
      <c r="AQ179" s="418"/>
      <c r="AR179" s="418"/>
      <c r="AS179" s="418"/>
      <c r="AT179" s="418"/>
      <c r="AU179" s="418"/>
      <c r="AV179" s="418"/>
      <c r="AW179" s="418"/>
      <c r="AX179" s="418"/>
      <c r="AY179" s="418"/>
      <c r="AZ179" s="418"/>
      <c r="BA179" s="418"/>
      <c r="BC179" s="1193"/>
    </row>
    <row r="180" spans="40:59" ht="15.75" customHeight="1">
      <c r="AN180" s="418"/>
      <c r="AO180" s="418"/>
      <c r="AP180" s="418"/>
      <c r="AQ180" s="418"/>
      <c r="AR180" s="418"/>
      <c r="AS180" s="418"/>
      <c r="AT180" s="418"/>
      <c r="AU180" s="418"/>
      <c r="AV180" s="418"/>
      <c r="AW180" s="418"/>
      <c r="AX180" s="418"/>
      <c r="AY180" s="418"/>
      <c r="AZ180" s="418"/>
      <c r="BA180" s="418"/>
      <c r="BC180" s="1193"/>
    </row>
    <row r="181" spans="40:59" ht="15.75" customHeight="1">
      <c r="AN181" s="418"/>
      <c r="AO181" s="418"/>
      <c r="AP181" s="418"/>
      <c r="AQ181" s="418"/>
      <c r="AR181" s="418"/>
      <c r="AS181" s="418"/>
      <c r="AT181" s="418"/>
      <c r="AU181" s="418"/>
      <c r="AV181" s="418"/>
      <c r="AW181" s="418"/>
      <c r="AX181" s="418"/>
      <c r="AY181" s="418"/>
      <c r="AZ181" s="418"/>
      <c r="BA181" s="418"/>
      <c r="BC181" s="1193"/>
    </row>
    <row r="182" spans="40:59" ht="15.75" customHeight="1">
      <c r="AN182" s="418"/>
      <c r="AO182" s="418"/>
      <c r="AP182" s="418"/>
      <c r="AQ182" s="418"/>
      <c r="AR182" s="418"/>
      <c r="AS182" s="418"/>
      <c r="AT182" s="418"/>
      <c r="AU182" s="418"/>
      <c r="AV182" s="418"/>
      <c r="AW182" s="418"/>
      <c r="AX182" s="418"/>
      <c r="AY182" s="418"/>
      <c r="AZ182" s="418"/>
      <c r="BA182" s="418"/>
      <c r="BC182" s="1193"/>
    </row>
    <row r="183" spans="40:59" ht="15.75" customHeight="1">
      <c r="AN183" s="418"/>
      <c r="AO183" s="418"/>
      <c r="AP183" s="418"/>
      <c r="AQ183" s="418"/>
      <c r="AR183" s="418"/>
      <c r="AS183" s="418"/>
      <c r="AT183" s="418"/>
      <c r="AU183" s="418"/>
      <c r="AV183" s="418"/>
      <c r="AW183" s="418"/>
      <c r="AX183" s="418"/>
      <c r="AY183" s="418"/>
      <c r="AZ183" s="418"/>
      <c r="BA183" s="418"/>
      <c r="BC183" s="1193"/>
    </row>
    <row r="184" spans="40:59" ht="15.75" customHeight="1">
      <c r="AN184" s="418"/>
      <c r="AO184" s="418"/>
      <c r="AP184" s="418"/>
      <c r="AQ184" s="418"/>
      <c r="AR184" s="418"/>
      <c r="AS184" s="418"/>
      <c r="AT184" s="418"/>
      <c r="AU184" s="418"/>
      <c r="AV184" s="418"/>
      <c r="AW184" s="418"/>
      <c r="AX184" s="418"/>
      <c r="AY184" s="418"/>
      <c r="AZ184" s="418"/>
      <c r="BA184" s="418"/>
      <c r="BC184" s="1193"/>
      <c r="BE184" s="1200"/>
    </row>
    <row r="185" spans="40:59" ht="15.75" customHeight="1">
      <c r="AN185" s="418"/>
      <c r="AO185" s="418"/>
      <c r="AP185" s="418"/>
      <c r="AQ185" s="418"/>
      <c r="AR185" s="418"/>
      <c r="AS185" s="418"/>
      <c r="AT185" s="418"/>
      <c r="AU185" s="418"/>
      <c r="AV185" s="418"/>
      <c r="AW185" s="418"/>
      <c r="AX185" s="418"/>
      <c r="AY185" s="418"/>
      <c r="AZ185" s="418"/>
      <c r="BA185" s="418"/>
      <c r="BC185" s="1193"/>
      <c r="BD185" s="1194"/>
    </row>
    <row r="186" spans="40:59" ht="15.75" customHeight="1">
      <c r="AN186" s="418"/>
      <c r="AO186" s="418"/>
      <c r="AP186" s="418"/>
      <c r="AQ186" s="418"/>
      <c r="AR186" s="418"/>
      <c r="AS186" s="418"/>
      <c r="AT186" s="418"/>
      <c r="AU186" s="418"/>
      <c r="AV186" s="418"/>
      <c r="AW186" s="418"/>
      <c r="AX186" s="418"/>
      <c r="AY186" s="418"/>
      <c r="AZ186" s="418"/>
      <c r="BA186" s="418"/>
      <c r="BC186" s="1193"/>
    </row>
    <row r="187" spans="40:59" ht="15.75" customHeight="1">
      <c r="AN187" s="418"/>
      <c r="AO187" s="418"/>
      <c r="AP187" s="418"/>
      <c r="AQ187" s="418"/>
      <c r="AR187" s="418"/>
      <c r="AS187" s="418"/>
      <c r="AT187" s="418"/>
      <c r="AU187" s="418"/>
      <c r="AV187" s="418"/>
      <c r="AW187" s="418"/>
      <c r="AX187" s="418"/>
      <c r="AY187" s="418"/>
      <c r="AZ187" s="418"/>
      <c r="BA187" s="418"/>
      <c r="BC187" s="1193"/>
    </row>
    <row r="188" spans="40:59" ht="15.75" customHeight="1">
      <c r="AN188" s="418"/>
      <c r="AO188" s="418"/>
      <c r="AP188" s="418"/>
      <c r="AQ188" s="418"/>
      <c r="AR188" s="418"/>
      <c r="AS188" s="418"/>
      <c r="AT188" s="418"/>
      <c r="AU188" s="418"/>
      <c r="AV188" s="418"/>
      <c r="AW188" s="418"/>
      <c r="AX188" s="418"/>
      <c r="AY188" s="418"/>
      <c r="AZ188" s="418"/>
      <c r="BA188" s="418"/>
      <c r="BC188" s="1193"/>
    </row>
    <row r="189" spans="40:59" ht="15.75" customHeight="1">
      <c r="AN189" s="418"/>
      <c r="AO189" s="418"/>
      <c r="AP189" s="418"/>
      <c r="AQ189" s="418"/>
      <c r="AR189" s="418"/>
      <c r="AS189" s="418"/>
      <c r="AT189" s="418"/>
      <c r="AU189" s="418"/>
      <c r="AV189" s="418"/>
      <c r="AW189" s="418"/>
      <c r="AX189" s="418"/>
      <c r="AY189" s="418"/>
      <c r="AZ189" s="418"/>
      <c r="BA189" s="418"/>
      <c r="BC189" s="1193"/>
      <c r="BF189" s="1200"/>
      <c r="BG189" s="1200"/>
    </row>
    <row r="190" spans="40:59" ht="15.75" customHeight="1">
      <c r="AN190" s="418"/>
      <c r="AO190" s="418"/>
      <c r="AP190" s="418"/>
      <c r="AQ190" s="418"/>
      <c r="AR190" s="418"/>
      <c r="AS190" s="418"/>
      <c r="AT190" s="418"/>
      <c r="AU190" s="418"/>
      <c r="AV190" s="418"/>
      <c r="AW190" s="418"/>
      <c r="AX190" s="418"/>
      <c r="AY190" s="418"/>
      <c r="AZ190" s="418"/>
      <c r="BA190" s="418"/>
      <c r="BC190" s="1193"/>
    </row>
    <row r="191" spans="40:59" ht="15.75" customHeight="1">
      <c r="AN191" s="418"/>
      <c r="AO191" s="418"/>
      <c r="AP191" s="418"/>
      <c r="AQ191" s="418"/>
      <c r="AR191" s="418"/>
      <c r="AS191" s="418"/>
      <c r="AT191" s="418"/>
      <c r="AU191" s="418"/>
      <c r="AV191" s="418"/>
      <c r="AW191" s="418"/>
      <c r="AX191" s="418"/>
      <c r="AY191" s="418"/>
      <c r="AZ191" s="418"/>
      <c r="BA191" s="418"/>
      <c r="BC191" s="1193"/>
    </row>
    <row r="192" spans="40:59" ht="15.75" customHeight="1">
      <c r="AN192" s="418"/>
      <c r="AO192" s="418"/>
      <c r="AP192" s="418"/>
      <c r="AQ192" s="418"/>
      <c r="AR192" s="418"/>
      <c r="AS192" s="418"/>
      <c r="AT192" s="418"/>
      <c r="AU192" s="418"/>
      <c r="AV192" s="418"/>
      <c r="AW192" s="418"/>
      <c r="AX192" s="418"/>
      <c r="AY192" s="418"/>
      <c r="AZ192" s="418"/>
      <c r="BA192" s="418"/>
      <c r="BC192" s="1193"/>
    </row>
    <row r="193" spans="40:55" ht="15.75" customHeight="1">
      <c r="AN193" s="418"/>
      <c r="AO193" s="418"/>
      <c r="AP193" s="418"/>
      <c r="AQ193" s="418"/>
      <c r="AR193" s="418"/>
      <c r="AS193" s="418"/>
      <c r="AT193" s="418"/>
      <c r="AU193" s="418"/>
      <c r="AV193" s="418"/>
      <c r="AW193" s="418"/>
      <c r="AX193" s="418"/>
      <c r="AY193" s="418"/>
      <c r="AZ193" s="418"/>
      <c r="BA193" s="418"/>
      <c r="BC193" s="1193"/>
    </row>
    <row r="194" spans="40:55" ht="15.75" customHeight="1">
      <c r="AN194" s="418"/>
      <c r="AO194" s="418"/>
      <c r="AP194" s="418"/>
      <c r="AQ194" s="418"/>
      <c r="AR194" s="418"/>
      <c r="AS194" s="418"/>
      <c r="AT194" s="418"/>
      <c r="AU194" s="418"/>
      <c r="AV194" s="418"/>
      <c r="AW194" s="418"/>
      <c r="AX194" s="418"/>
      <c r="AY194" s="418"/>
      <c r="AZ194" s="418"/>
      <c r="BA194" s="418"/>
      <c r="BC194" s="1193"/>
    </row>
    <row r="195" spans="40:55" ht="15.75" customHeight="1">
      <c r="AN195" s="418"/>
      <c r="AO195" s="418"/>
      <c r="AP195" s="418"/>
      <c r="AQ195" s="418"/>
      <c r="AR195" s="418"/>
      <c r="AS195" s="418"/>
      <c r="AT195" s="418"/>
      <c r="AU195" s="418"/>
      <c r="AV195" s="418"/>
      <c r="AW195" s="418"/>
      <c r="AX195" s="418"/>
      <c r="AY195" s="418"/>
      <c r="AZ195" s="418"/>
      <c r="BA195" s="418"/>
      <c r="BC195" s="1193"/>
    </row>
    <row r="196" spans="40:55" ht="15.75" customHeight="1">
      <c r="AN196" s="418"/>
      <c r="AO196" s="418"/>
      <c r="AP196" s="418"/>
      <c r="AQ196" s="418"/>
      <c r="AR196" s="418"/>
      <c r="AS196" s="418"/>
      <c r="AT196" s="418"/>
      <c r="AU196" s="418"/>
      <c r="AV196" s="418"/>
      <c r="AW196" s="418"/>
      <c r="AX196" s="418"/>
      <c r="AY196" s="418"/>
      <c r="AZ196" s="418"/>
      <c r="BA196" s="418"/>
      <c r="BC196" s="1193"/>
    </row>
    <row r="197" spans="40:55" ht="15.75" customHeight="1">
      <c r="AN197" s="418"/>
      <c r="AO197" s="418"/>
      <c r="AP197" s="418"/>
      <c r="AQ197" s="418"/>
      <c r="AR197" s="418"/>
      <c r="AS197" s="418"/>
      <c r="AT197" s="418"/>
      <c r="AU197" s="418"/>
      <c r="AV197" s="421"/>
      <c r="AW197" s="421"/>
      <c r="AX197" s="421"/>
      <c r="AY197" s="421"/>
      <c r="AZ197" s="421"/>
      <c r="BA197" s="421"/>
      <c r="BC197" s="1193"/>
    </row>
    <row r="198" spans="40:55" ht="15.75" customHeight="1">
      <c r="AN198" s="418"/>
      <c r="AO198" s="418"/>
      <c r="AP198" s="418"/>
      <c r="AQ198" s="418"/>
      <c r="AR198" s="418"/>
      <c r="AS198" s="418"/>
      <c r="AT198" s="418"/>
      <c r="AU198" s="418"/>
      <c r="AV198" s="421"/>
      <c r="AW198" s="421"/>
      <c r="AX198" s="421"/>
      <c r="AY198" s="421"/>
      <c r="AZ198" s="421"/>
      <c r="BA198" s="421"/>
      <c r="BC198" s="1193"/>
    </row>
    <row r="199" spans="40:55" ht="15.75" customHeight="1">
      <c r="AN199" s="421"/>
      <c r="AO199" s="421"/>
      <c r="AP199" s="421"/>
      <c r="AQ199" s="421"/>
      <c r="AR199" s="421"/>
      <c r="AS199" s="421"/>
      <c r="AT199" s="421"/>
      <c r="AU199" s="421"/>
      <c r="AV199" s="421"/>
      <c r="AW199" s="421"/>
      <c r="AX199" s="421"/>
      <c r="AY199" s="421"/>
      <c r="AZ199" s="421"/>
      <c r="BA199" s="421"/>
      <c r="BC199" s="1193"/>
    </row>
    <row r="200" spans="40:55" ht="15.75" customHeight="1">
      <c r="AN200" s="421"/>
      <c r="AO200" s="421"/>
      <c r="AP200" s="421"/>
      <c r="AQ200" s="421"/>
      <c r="AR200" s="421"/>
      <c r="AS200" s="421"/>
      <c r="AT200" s="421"/>
      <c r="AU200" s="421"/>
      <c r="AV200" s="421"/>
      <c r="AW200" s="421"/>
      <c r="AX200" s="421"/>
      <c r="AY200" s="421"/>
      <c r="AZ200" s="421"/>
      <c r="BA200" s="421"/>
      <c r="BC200" s="1193"/>
    </row>
    <row r="201" spans="40:55" ht="15.75" customHeight="1">
      <c r="AN201" s="421"/>
      <c r="AO201" s="421"/>
      <c r="AP201" s="421"/>
      <c r="AQ201" s="421"/>
      <c r="AR201" s="421"/>
      <c r="AS201" s="421"/>
      <c r="AT201" s="421"/>
      <c r="AU201" s="421"/>
      <c r="AV201" s="421"/>
      <c r="AW201" s="421"/>
      <c r="AX201" s="421"/>
      <c r="AY201" s="421"/>
      <c r="AZ201" s="421"/>
      <c r="BA201" s="421"/>
      <c r="BC201" s="1193"/>
    </row>
    <row r="202" spans="40:55" ht="15.75" customHeight="1">
      <c r="AN202" s="421"/>
      <c r="AO202" s="421"/>
      <c r="AP202" s="421"/>
      <c r="AQ202" s="421"/>
      <c r="AR202" s="421"/>
      <c r="AS202" s="421"/>
      <c r="AT202" s="421"/>
      <c r="AU202" s="421"/>
      <c r="AV202" s="418"/>
      <c r="AW202" s="418"/>
      <c r="AX202" s="418"/>
      <c r="AY202" s="418"/>
      <c r="AZ202" s="418"/>
      <c r="BA202" s="418"/>
      <c r="BC202" s="1193"/>
    </row>
    <row r="203" spans="40:55" ht="15.75" customHeight="1">
      <c r="AN203" s="421"/>
      <c r="AO203" s="421"/>
      <c r="AP203" s="421"/>
      <c r="AQ203" s="421"/>
      <c r="AR203" s="421"/>
      <c r="AS203" s="421"/>
      <c r="AT203" s="421"/>
      <c r="AU203" s="421"/>
      <c r="AV203" s="418"/>
      <c r="AW203" s="418"/>
      <c r="AX203" s="418"/>
      <c r="AY203" s="418"/>
      <c r="AZ203" s="418"/>
      <c r="BA203" s="418"/>
      <c r="BC203" s="1193"/>
    </row>
    <row r="204" spans="40:55" ht="15.75" customHeight="1">
      <c r="AN204" s="418"/>
      <c r="AO204" s="418"/>
      <c r="AP204" s="418"/>
      <c r="AQ204" s="418"/>
      <c r="AR204" s="418"/>
      <c r="AS204" s="418"/>
      <c r="AT204" s="418"/>
      <c r="AU204" s="418"/>
      <c r="AV204" s="418"/>
      <c r="AW204" s="418"/>
      <c r="AX204" s="418"/>
      <c r="AY204" s="418"/>
      <c r="AZ204" s="418"/>
      <c r="BA204" s="418"/>
      <c r="BC204" s="1193"/>
    </row>
    <row r="205" spans="40:55" ht="15.75" customHeight="1">
      <c r="AN205" s="418"/>
      <c r="AO205" s="418"/>
      <c r="AP205" s="418"/>
      <c r="AQ205" s="418"/>
      <c r="AR205" s="418"/>
      <c r="AS205" s="418"/>
      <c r="AT205" s="418"/>
      <c r="AU205" s="418"/>
      <c r="AV205" s="418"/>
      <c r="AW205" s="418"/>
      <c r="AX205" s="418"/>
      <c r="AY205" s="418"/>
      <c r="AZ205" s="418"/>
      <c r="BA205" s="418"/>
      <c r="BC205" s="1193"/>
    </row>
    <row r="206" spans="40:55" ht="15.75" customHeight="1">
      <c r="AN206" s="418"/>
      <c r="AO206" s="418"/>
      <c r="AP206" s="418"/>
      <c r="AQ206" s="418"/>
      <c r="AR206" s="418"/>
      <c r="AS206" s="418"/>
      <c r="AT206" s="418"/>
      <c r="AU206" s="418"/>
      <c r="AV206" s="418"/>
      <c r="AW206" s="418"/>
      <c r="AX206" s="418"/>
      <c r="AY206" s="418"/>
      <c r="AZ206" s="418"/>
      <c r="BA206" s="418"/>
      <c r="BC206" s="1193"/>
    </row>
    <row r="207" spans="40:55" ht="15.75" customHeight="1">
      <c r="AN207" s="418"/>
      <c r="AO207" s="418"/>
      <c r="AP207" s="418"/>
      <c r="AQ207" s="418"/>
      <c r="AR207" s="418"/>
      <c r="AS207" s="418"/>
      <c r="AT207" s="418"/>
      <c r="AU207" s="418"/>
      <c r="AV207" s="418"/>
      <c r="AW207" s="418"/>
      <c r="AX207" s="418"/>
      <c r="AY207" s="418"/>
      <c r="AZ207" s="418"/>
      <c r="BA207" s="418"/>
      <c r="BC207" s="1193"/>
    </row>
    <row r="208" spans="40:55" ht="15.75" customHeight="1">
      <c r="AN208" s="418"/>
      <c r="AO208" s="418"/>
      <c r="AP208" s="418"/>
      <c r="AQ208" s="418"/>
      <c r="AR208" s="418"/>
      <c r="AS208" s="418"/>
      <c r="AT208" s="418"/>
      <c r="AU208" s="418"/>
      <c r="AV208" s="418"/>
      <c r="AW208" s="418"/>
      <c r="AX208" s="418"/>
      <c r="AY208" s="418"/>
      <c r="AZ208" s="418"/>
      <c r="BA208" s="418"/>
      <c r="BC208" s="1193"/>
    </row>
    <row r="209" spans="40:55" ht="15.75" customHeight="1">
      <c r="AN209" s="418"/>
      <c r="AO209" s="418"/>
      <c r="AP209" s="418"/>
      <c r="AQ209" s="418"/>
      <c r="AR209" s="418"/>
      <c r="AS209" s="418"/>
      <c r="AT209" s="418"/>
      <c r="AU209" s="418"/>
      <c r="AV209" s="418"/>
      <c r="AW209" s="418"/>
      <c r="AX209" s="418"/>
      <c r="AY209" s="418"/>
      <c r="AZ209" s="418"/>
      <c r="BA209" s="418"/>
      <c r="BC209" s="1193"/>
    </row>
    <row r="210" spans="40:55" ht="15.75" customHeight="1">
      <c r="AN210" s="418"/>
      <c r="AO210" s="418"/>
      <c r="AP210" s="418"/>
      <c r="AQ210" s="418"/>
      <c r="AR210" s="418"/>
      <c r="AS210" s="418"/>
      <c r="AT210" s="418"/>
      <c r="AU210" s="418"/>
      <c r="AV210" s="418"/>
      <c r="AW210" s="418"/>
      <c r="AX210" s="418"/>
      <c r="AY210" s="418"/>
      <c r="AZ210" s="418"/>
      <c r="BA210" s="418"/>
      <c r="BC210" s="1193"/>
    </row>
    <row r="211" spans="40:55" ht="15.75" customHeight="1">
      <c r="AN211" s="418"/>
      <c r="AO211" s="418"/>
      <c r="AP211" s="418"/>
      <c r="AQ211" s="418"/>
      <c r="AR211" s="418"/>
      <c r="AS211" s="418"/>
      <c r="AT211" s="418"/>
      <c r="AU211" s="418"/>
      <c r="AV211" s="418"/>
      <c r="AW211" s="418"/>
      <c r="AX211" s="418"/>
      <c r="AY211" s="418"/>
      <c r="AZ211" s="418"/>
      <c r="BA211" s="418"/>
      <c r="BC211" s="1193"/>
    </row>
    <row r="212" spans="40:55" ht="15.75" customHeight="1">
      <c r="AN212" s="418"/>
      <c r="AO212" s="418"/>
      <c r="AP212" s="418"/>
      <c r="AQ212" s="418"/>
      <c r="AR212" s="418"/>
      <c r="AS212" s="418"/>
      <c r="AT212" s="418"/>
      <c r="AU212" s="418"/>
      <c r="AV212" s="418"/>
      <c r="AW212" s="418"/>
      <c r="AX212" s="418"/>
      <c r="AY212" s="418"/>
      <c r="AZ212" s="418"/>
      <c r="BA212" s="418"/>
      <c r="BC212" s="1193"/>
    </row>
    <row r="213" spans="40:55" ht="15.75" customHeight="1">
      <c r="AN213" s="418"/>
      <c r="AO213" s="418"/>
      <c r="AP213" s="418"/>
      <c r="AQ213" s="418"/>
      <c r="AR213" s="418"/>
      <c r="AS213" s="418"/>
      <c r="AT213" s="418"/>
      <c r="AU213" s="418"/>
      <c r="AV213" s="418"/>
      <c r="AW213" s="418"/>
      <c r="AX213" s="418"/>
      <c r="AY213" s="418"/>
      <c r="AZ213" s="418"/>
      <c r="BA213" s="418"/>
      <c r="BC213" s="1193"/>
    </row>
    <row r="214" spans="40:55" ht="15.75" customHeight="1">
      <c r="AN214" s="418"/>
      <c r="AO214" s="418"/>
      <c r="AP214" s="418"/>
      <c r="AQ214" s="418"/>
      <c r="AR214" s="418"/>
      <c r="AS214" s="418"/>
      <c r="AT214" s="418"/>
      <c r="AU214" s="418"/>
      <c r="AV214" s="418"/>
      <c r="AW214" s="418"/>
      <c r="AX214" s="418"/>
      <c r="AY214" s="418"/>
      <c r="AZ214" s="418"/>
      <c r="BA214" s="418"/>
      <c r="BC214" s="1193"/>
    </row>
    <row r="215" spans="40:55" ht="15.75" customHeight="1">
      <c r="AN215" s="418"/>
      <c r="AO215" s="418"/>
      <c r="AP215" s="418"/>
      <c r="AQ215" s="418"/>
      <c r="AR215" s="418"/>
      <c r="AS215" s="418"/>
      <c r="AT215" s="418"/>
      <c r="AU215" s="418"/>
      <c r="AV215" s="418"/>
      <c r="AW215" s="418"/>
      <c r="AX215" s="418"/>
      <c r="AY215" s="418"/>
      <c r="AZ215" s="418"/>
      <c r="BA215" s="418"/>
      <c r="BC215" s="1193"/>
    </row>
    <row r="216" spans="40:55" ht="15.75" customHeight="1">
      <c r="AN216" s="418"/>
      <c r="AO216" s="418"/>
      <c r="AP216" s="418"/>
      <c r="AQ216" s="418"/>
      <c r="AR216" s="418"/>
      <c r="AS216" s="418"/>
      <c r="AT216" s="418"/>
      <c r="AU216" s="418"/>
      <c r="AV216" s="418"/>
      <c r="AW216" s="418"/>
      <c r="AX216" s="418"/>
      <c r="AY216" s="418"/>
      <c r="AZ216" s="418"/>
      <c r="BA216" s="418"/>
      <c r="BC216" s="1193"/>
    </row>
    <row r="217" spans="40:55" ht="15.75" customHeight="1">
      <c r="AN217" s="418"/>
      <c r="AO217" s="418"/>
      <c r="AP217" s="418"/>
      <c r="AQ217" s="418"/>
      <c r="AR217" s="418"/>
      <c r="AS217" s="418"/>
      <c r="AT217" s="418"/>
      <c r="AU217" s="418"/>
      <c r="AV217" s="418"/>
      <c r="AW217" s="418"/>
      <c r="AX217" s="418"/>
      <c r="AY217" s="418"/>
      <c r="AZ217" s="418"/>
      <c r="BA217" s="418"/>
      <c r="BC217" s="1193"/>
    </row>
    <row r="218" spans="40:55" ht="15.75" customHeight="1">
      <c r="AN218" s="418"/>
      <c r="AO218" s="418"/>
      <c r="AP218" s="418"/>
      <c r="AQ218" s="418"/>
      <c r="AR218" s="418"/>
      <c r="AS218" s="418"/>
      <c r="AT218" s="418"/>
      <c r="AU218" s="418"/>
      <c r="AV218" s="418"/>
      <c r="AW218" s="418"/>
      <c r="AX218" s="418"/>
      <c r="AY218" s="418"/>
      <c r="AZ218" s="418"/>
      <c r="BA218" s="418"/>
      <c r="BC218" s="1193"/>
    </row>
    <row r="219" spans="40:55" ht="15.75" customHeight="1">
      <c r="AN219" s="418"/>
      <c r="AO219" s="418"/>
      <c r="AP219" s="418"/>
      <c r="AQ219" s="418"/>
      <c r="AR219" s="418"/>
      <c r="AS219" s="418"/>
      <c r="AT219" s="418"/>
      <c r="AU219" s="418"/>
      <c r="AV219" s="418"/>
      <c r="AW219" s="418"/>
      <c r="AX219" s="418"/>
      <c r="AY219" s="418"/>
      <c r="AZ219" s="418"/>
      <c r="BA219" s="418"/>
      <c r="BC219" s="1193"/>
    </row>
    <row r="220" spans="40:55" ht="15.75" customHeight="1">
      <c r="AN220" s="418"/>
      <c r="AO220" s="418"/>
      <c r="AP220" s="418"/>
      <c r="AQ220" s="418"/>
      <c r="AR220" s="418"/>
      <c r="AS220" s="418"/>
      <c r="AT220" s="418"/>
      <c r="AU220" s="418"/>
      <c r="AV220" s="418"/>
      <c r="AW220" s="418"/>
      <c r="AX220" s="418"/>
      <c r="AY220" s="418"/>
      <c r="AZ220" s="418"/>
      <c r="BA220" s="418"/>
      <c r="BC220" s="1193"/>
    </row>
    <row r="221" spans="40:55" ht="15.75" customHeight="1">
      <c r="AN221" s="418"/>
      <c r="AO221" s="418"/>
      <c r="AP221" s="418"/>
      <c r="AQ221" s="418"/>
      <c r="AR221" s="418"/>
      <c r="AS221" s="418"/>
      <c r="AT221" s="418"/>
      <c r="AU221" s="418"/>
      <c r="AV221" s="418"/>
      <c r="AW221" s="418"/>
      <c r="AX221" s="418"/>
      <c r="AY221" s="418"/>
      <c r="AZ221" s="418"/>
      <c r="BA221" s="418"/>
      <c r="BC221" s="1193"/>
    </row>
    <row r="222" spans="40:55" ht="15.75" customHeight="1">
      <c r="AN222" s="418"/>
      <c r="AO222" s="418"/>
      <c r="AP222" s="418"/>
      <c r="AQ222" s="418"/>
      <c r="AR222" s="418"/>
      <c r="AS222" s="418"/>
      <c r="AT222" s="418"/>
      <c r="AU222" s="418"/>
      <c r="AV222" s="418"/>
      <c r="AW222" s="418"/>
      <c r="AX222" s="418"/>
      <c r="AY222" s="418"/>
      <c r="AZ222" s="418"/>
      <c r="BA222" s="418"/>
      <c r="BC222" s="1193"/>
    </row>
    <row r="223" spans="40:55" ht="15.75" customHeight="1">
      <c r="AN223" s="418"/>
      <c r="AO223" s="418"/>
      <c r="AP223" s="418"/>
      <c r="AQ223" s="418"/>
      <c r="AR223" s="418"/>
      <c r="AS223" s="418"/>
      <c r="AT223" s="418"/>
      <c r="AU223" s="418"/>
      <c r="AV223" s="418"/>
      <c r="AW223" s="418"/>
      <c r="AX223" s="418"/>
      <c r="AY223" s="418"/>
      <c r="AZ223" s="418"/>
      <c r="BA223" s="418"/>
      <c r="BC223" s="1193"/>
    </row>
    <row r="224" spans="40:55" ht="15.75" customHeight="1">
      <c r="AN224" s="418"/>
      <c r="AO224" s="418"/>
      <c r="AP224" s="418"/>
      <c r="AQ224" s="418"/>
      <c r="AR224" s="418"/>
      <c r="AS224" s="418"/>
      <c r="AT224" s="418"/>
      <c r="AU224" s="418"/>
      <c r="AV224" s="418"/>
      <c r="AW224" s="418"/>
      <c r="AX224" s="418"/>
      <c r="AY224" s="418"/>
      <c r="AZ224" s="418"/>
      <c r="BA224" s="418"/>
      <c r="BC224" s="1193"/>
    </row>
    <row r="225" spans="40:55" ht="15.75" customHeight="1">
      <c r="AN225" s="418"/>
      <c r="AO225" s="418"/>
      <c r="AP225" s="418"/>
      <c r="AQ225" s="418"/>
      <c r="AR225" s="418"/>
      <c r="AS225" s="418"/>
      <c r="AT225" s="418"/>
      <c r="AU225" s="418"/>
      <c r="AV225" s="418"/>
      <c r="AW225" s="418"/>
      <c r="AX225" s="418"/>
      <c r="AY225" s="418"/>
      <c r="AZ225" s="418"/>
      <c r="BA225" s="418"/>
      <c r="BC225" s="1193"/>
    </row>
    <row r="226" spans="40:55" ht="15.75" customHeight="1">
      <c r="AN226" s="418"/>
      <c r="AO226" s="418"/>
      <c r="AP226" s="418"/>
      <c r="AQ226" s="418"/>
      <c r="AR226" s="418"/>
      <c r="AS226" s="418"/>
      <c r="AT226" s="418"/>
      <c r="AU226" s="418"/>
      <c r="AV226" s="418"/>
      <c r="AW226" s="418"/>
      <c r="AX226" s="418"/>
      <c r="AY226" s="418"/>
      <c r="AZ226" s="418"/>
      <c r="BA226" s="418"/>
      <c r="BC226" s="1193"/>
    </row>
    <row r="227" spans="40:55" ht="15.75" customHeight="1">
      <c r="AN227" s="418"/>
      <c r="AO227" s="418"/>
      <c r="AP227" s="418"/>
      <c r="AQ227" s="418"/>
      <c r="AR227" s="418"/>
      <c r="AS227" s="418"/>
      <c r="AT227" s="418"/>
      <c r="AU227" s="418"/>
      <c r="AV227" s="418"/>
      <c r="AW227" s="418"/>
      <c r="AX227" s="418"/>
      <c r="AY227" s="418"/>
      <c r="AZ227" s="418"/>
      <c r="BA227" s="418"/>
      <c r="BC227" s="1193"/>
    </row>
    <row r="228" spans="40:55" ht="15.75" customHeight="1">
      <c r="AN228" s="418"/>
      <c r="AO228" s="418"/>
      <c r="AP228" s="418"/>
      <c r="AQ228" s="418"/>
      <c r="AR228" s="418"/>
      <c r="AS228" s="418"/>
      <c r="AT228" s="418"/>
      <c r="AU228" s="418"/>
      <c r="AV228" s="418"/>
      <c r="AW228" s="418"/>
      <c r="AX228" s="418"/>
      <c r="AY228" s="418"/>
      <c r="AZ228" s="418"/>
      <c r="BA228" s="418"/>
      <c r="BC228" s="1193"/>
    </row>
    <row r="229" spans="40:55" ht="15.75" customHeight="1">
      <c r="AN229" s="418"/>
      <c r="AO229" s="418"/>
      <c r="AP229" s="418"/>
      <c r="AQ229" s="418"/>
      <c r="AR229" s="418"/>
      <c r="AS229" s="418"/>
      <c r="AT229" s="418"/>
      <c r="AU229" s="418"/>
      <c r="AV229" s="418"/>
      <c r="AW229" s="418"/>
      <c r="AX229" s="418"/>
      <c r="AY229" s="418"/>
      <c r="AZ229" s="418"/>
      <c r="BA229" s="418"/>
      <c r="BC229" s="1193"/>
    </row>
    <row r="230" spans="40:55" ht="15.75" customHeight="1">
      <c r="AN230" s="418"/>
      <c r="AO230" s="418"/>
      <c r="AP230" s="418"/>
      <c r="AQ230" s="418"/>
      <c r="AR230" s="418"/>
      <c r="AS230" s="418"/>
      <c r="AT230" s="418"/>
      <c r="AU230" s="418"/>
      <c r="AV230" s="418"/>
      <c r="AW230" s="418"/>
      <c r="AX230" s="418"/>
      <c r="AY230" s="418"/>
      <c r="AZ230" s="418"/>
      <c r="BA230" s="418"/>
      <c r="BC230" s="1193"/>
    </row>
    <row r="231" spans="40:55" ht="15.75" customHeight="1">
      <c r="AN231" s="418"/>
      <c r="AO231" s="418"/>
      <c r="AP231" s="418"/>
      <c r="AQ231" s="418"/>
      <c r="AR231" s="418"/>
      <c r="AS231" s="418"/>
      <c r="AT231" s="418"/>
      <c r="AU231" s="418"/>
      <c r="AV231" s="418"/>
      <c r="AW231" s="418"/>
      <c r="AX231" s="418"/>
      <c r="AY231" s="418"/>
      <c r="AZ231" s="418"/>
      <c r="BA231" s="418"/>
      <c r="BC231" s="1193"/>
    </row>
    <row r="232" spans="40:55" ht="15.75" customHeight="1">
      <c r="AN232" s="418"/>
      <c r="AO232" s="418"/>
      <c r="AP232" s="418"/>
      <c r="AQ232" s="418"/>
      <c r="AR232" s="418"/>
      <c r="AS232" s="418"/>
      <c r="AT232" s="418"/>
      <c r="AU232" s="418"/>
      <c r="AV232" s="418"/>
      <c r="AW232" s="418"/>
      <c r="AX232" s="418"/>
      <c r="AY232" s="418"/>
      <c r="AZ232" s="418"/>
      <c r="BA232" s="418"/>
      <c r="BC232" s="1193"/>
    </row>
    <row r="233" spans="40:55" ht="15.75" customHeight="1">
      <c r="AN233" s="418"/>
      <c r="AO233" s="418"/>
      <c r="AP233" s="418"/>
      <c r="AQ233" s="418"/>
      <c r="AR233" s="418"/>
      <c r="AS233" s="418"/>
      <c r="AT233" s="418"/>
      <c r="AU233" s="418"/>
      <c r="AV233" s="418"/>
      <c r="AW233" s="418"/>
      <c r="AX233" s="418"/>
      <c r="AY233" s="418"/>
      <c r="AZ233" s="418"/>
      <c r="BA233" s="418"/>
      <c r="BC233" s="1193"/>
    </row>
    <row r="234" spans="40:55" ht="15.75" customHeight="1">
      <c r="AN234" s="418"/>
      <c r="AO234" s="418"/>
      <c r="AP234" s="418"/>
      <c r="AQ234" s="418"/>
      <c r="AR234" s="418"/>
      <c r="AS234" s="418"/>
      <c r="AT234" s="418"/>
      <c r="AU234" s="418"/>
      <c r="AV234" s="418"/>
      <c r="AW234" s="418"/>
      <c r="AX234" s="418"/>
      <c r="AY234" s="418"/>
      <c r="AZ234" s="418"/>
      <c r="BA234" s="418"/>
      <c r="BC234" s="1193"/>
    </row>
    <row r="235" spans="40:55" ht="15.75" customHeight="1">
      <c r="AN235" s="418"/>
      <c r="AO235" s="418"/>
      <c r="AP235" s="418"/>
      <c r="AQ235" s="418"/>
      <c r="AR235" s="418"/>
      <c r="AS235" s="418"/>
      <c r="AT235" s="418"/>
      <c r="AU235" s="418"/>
      <c r="AV235" s="418"/>
      <c r="AW235" s="418"/>
      <c r="AX235" s="418"/>
      <c r="AY235" s="418"/>
      <c r="AZ235" s="418"/>
      <c r="BA235" s="418"/>
      <c r="BC235" s="1193"/>
    </row>
    <row r="236" spans="40:55" ht="15.75" customHeight="1">
      <c r="AN236" s="418"/>
      <c r="AO236" s="418"/>
      <c r="AP236" s="418"/>
      <c r="AQ236" s="418"/>
      <c r="AR236" s="418"/>
      <c r="AS236" s="418"/>
      <c r="AT236" s="418"/>
      <c r="AU236" s="418"/>
      <c r="AV236" s="418"/>
      <c r="AW236" s="418"/>
      <c r="AX236" s="418"/>
      <c r="AY236" s="418"/>
      <c r="AZ236" s="418"/>
      <c r="BA236" s="418"/>
      <c r="BC236" s="1193"/>
    </row>
    <row r="237" spans="40:55" ht="15.75" customHeight="1">
      <c r="AN237" s="418"/>
      <c r="AO237" s="418"/>
      <c r="AP237" s="418"/>
      <c r="AQ237" s="418"/>
      <c r="AR237" s="418"/>
      <c r="AS237" s="418"/>
      <c r="AT237" s="418"/>
      <c r="AU237" s="418"/>
      <c r="AV237" s="418"/>
      <c r="AW237" s="418"/>
      <c r="AX237" s="418"/>
      <c r="AY237" s="418"/>
      <c r="AZ237" s="418"/>
      <c r="BA237" s="418"/>
      <c r="BC237" s="1193"/>
    </row>
    <row r="238" spans="40:55" ht="15.75" customHeight="1">
      <c r="AN238" s="418"/>
      <c r="AO238" s="418"/>
      <c r="AP238" s="418"/>
      <c r="AQ238" s="418"/>
      <c r="AR238" s="418"/>
      <c r="AS238" s="418"/>
      <c r="AT238" s="418"/>
      <c r="AU238" s="418"/>
      <c r="AV238" s="418"/>
      <c r="AW238" s="418"/>
      <c r="AX238" s="418"/>
      <c r="AY238" s="418"/>
      <c r="AZ238" s="418"/>
      <c r="BA238" s="418"/>
      <c r="BC238" s="1193"/>
    </row>
    <row r="239" spans="40:55" ht="15.75" customHeight="1">
      <c r="AN239" s="418"/>
      <c r="AO239" s="418"/>
      <c r="AP239" s="418"/>
      <c r="AQ239" s="418"/>
      <c r="AR239" s="418"/>
      <c r="AS239" s="418"/>
      <c r="AT239" s="418"/>
      <c r="AU239" s="418"/>
      <c r="AV239" s="418"/>
      <c r="AW239" s="418"/>
      <c r="AX239" s="418"/>
      <c r="AY239" s="418"/>
      <c r="AZ239" s="418"/>
      <c r="BA239" s="418"/>
    </row>
    <row r="240" spans="40:55" ht="15.75" customHeight="1">
      <c r="AN240" s="418"/>
      <c r="AO240" s="418"/>
      <c r="AP240" s="418"/>
      <c r="AQ240" s="418"/>
      <c r="AR240" s="418"/>
      <c r="AS240" s="418"/>
      <c r="AT240" s="418"/>
      <c r="AU240" s="418"/>
      <c r="AV240" s="418"/>
      <c r="AW240" s="418"/>
      <c r="AX240" s="418"/>
      <c r="AY240" s="418"/>
      <c r="AZ240" s="418"/>
      <c r="BA240" s="418"/>
    </row>
    <row r="241" spans="40:53" ht="15.75" customHeight="1">
      <c r="AN241" s="418"/>
      <c r="AO241" s="418"/>
      <c r="AP241" s="418"/>
      <c r="AQ241" s="418"/>
      <c r="AR241" s="418"/>
      <c r="AS241" s="418"/>
      <c r="AT241" s="418"/>
      <c r="AU241" s="418"/>
      <c r="AV241" s="418"/>
      <c r="AW241" s="418"/>
      <c r="AX241" s="418"/>
      <c r="AY241" s="418"/>
      <c r="AZ241" s="418"/>
      <c r="BA241" s="418"/>
    </row>
    <row r="242" spans="40:53" ht="15.75" customHeight="1">
      <c r="AN242" s="418"/>
      <c r="AO242" s="418"/>
      <c r="AP242" s="418"/>
      <c r="AQ242" s="418"/>
      <c r="AR242" s="418"/>
      <c r="AS242" s="418"/>
      <c r="AT242" s="418"/>
      <c r="AU242" s="418"/>
      <c r="AV242" s="418"/>
      <c r="AW242" s="418"/>
      <c r="AX242" s="418"/>
      <c r="AY242" s="418"/>
      <c r="AZ242" s="418"/>
      <c r="BA242" s="418"/>
    </row>
    <row r="243" spans="40:53" ht="15.75" customHeight="1">
      <c r="AN243" s="418"/>
      <c r="AO243" s="418"/>
      <c r="AP243" s="418"/>
      <c r="AQ243" s="418"/>
      <c r="AR243" s="418"/>
      <c r="AS243" s="418"/>
      <c r="AT243" s="418"/>
      <c r="AU243" s="418"/>
      <c r="AV243" s="418"/>
      <c r="AW243" s="418"/>
      <c r="AX243" s="418"/>
      <c r="AY243" s="418"/>
      <c r="AZ243" s="418"/>
      <c r="BA243" s="418"/>
    </row>
    <row r="244" spans="40:53" ht="15.75" customHeight="1">
      <c r="AN244" s="418"/>
      <c r="AO244" s="418"/>
      <c r="AP244" s="418"/>
      <c r="AQ244" s="418"/>
      <c r="AR244" s="418"/>
      <c r="AS244" s="418"/>
      <c r="AT244" s="418"/>
      <c r="AU244" s="418"/>
      <c r="AV244" s="418"/>
      <c r="AW244" s="418"/>
      <c r="AX244" s="418"/>
      <c r="AY244" s="418"/>
      <c r="AZ244" s="418"/>
      <c r="BA244" s="418"/>
    </row>
    <row r="245" spans="40:53" ht="15.75" customHeight="1">
      <c r="AN245" s="418"/>
      <c r="AO245" s="418"/>
      <c r="AP245" s="418"/>
      <c r="AQ245" s="418"/>
      <c r="AR245" s="418"/>
      <c r="AS245" s="418"/>
      <c r="AT245" s="418"/>
      <c r="AU245" s="418"/>
      <c r="AV245" s="418"/>
      <c r="AW245" s="418"/>
      <c r="AX245" s="418"/>
      <c r="AY245" s="418"/>
      <c r="AZ245" s="418"/>
      <c r="BA245" s="418"/>
    </row>
    <row r="246" spans="40:53" ht="15.75" customHeight="1">
      <c r="AN246" s="418"/>
      <c r="AO246" s="418"/>
      <c r="AP246" s="418"/>
      <c r="AQ246" s="418"/>
      <c r="AR246" s="418"/>
      <c r="AS246" s="418"/>
      <c r="AT246" s="418"/>
      <c r="AU246" s="418"/>
      <c r="AV246" s="418"/>
      <c r="AW246" s="418"/>
      <c r="AX246" s="418"/>
      <c r="AY246" s="418"/>
      <c r="AZ246" s="418"/>
      <c r="BA246" s="418"/>
    </row>
    <row r="247" spans="40:53" ht="15.75" customHeight="1">
      <c r="AN247" s="418"/>
      <c r="AO247" s="418"/>
      <c r="AP247" s="418"/>
      <c r="AQ247" s="418"/>
      <c r="AR247" s="418"/>
      <c r="AS247" s="418"/>
      <c r="AT247" s="418"/>
      <c r="AU247" s="418"/>
      <c r="AV247" s="418"/>
      <c r="AW247" s="418"/>
      <c r="AX247" s="418"/>
      <c r="AY247" s="418"/>
      <c r="AZ247" s="418"/>
      <c r="BA247" s="418"/>
    </row>
    <row r="248" spans="40:53" ht="15.75" customHeight="1">
      <c r="AN248" s="418"/>
      <c r="AO248" s="418"/>
      <c r="AP248" s="418"/>
      <c r="AQ248" s="418"/>
      <c r="AR248" s="418"/>
      <c r="AS248" s="418"/>
      <c r="AT248" s="418"/>
      <c r="AU248" s="418"/>
      <c r="AV248" s="418"/>
      <c r="AW248" s="418"/>
      <c r="AX248" s="418"/>
      <c r="AY248" s="418"/>
      <c r="AZ248" s="418"/>
      <c r="BA248" s="418"/>
    </row>
    <row r="249" spans="40:53" ht="15.75" customHeight="1">
      <c r="AN249" s="418"/>
      <c r="AO249" s="418"/>
      <c r="AP249" s="418"/>
      <c r="AQ249" s="418"/>
      <c r="AR249" s="418"/>
      <c r="AS249" s="418"/>
      <c r="AT249" s="418"/>
      <c r="AU249" s="418"/>
      <c r="AV249" s="418"/>
      <c r="AW249" s="418"/>
      <c r="AX249" s="418"/>
      <c r="AY249" s="418"/>
      <c r="AZ249" s="418"/>
      <c r="BA249" s="418"/>
    </row>
    <row r="250" spans="40:53" ht="15.75" customHeight="1">
      <c r="AN250" s="418"/>
      <c r="AO250" s="418"/>
      <c r="AP250" s="418"/>
      <c r="AQ250" s="418"/>
      <c r="AR250" s="418"/>
      <c r="AS250" s="418"/>
      <c r="AT250" s="418"/>
      <c r="AU250" s="418"/>
      <c r="AV250" s="418"/>
      <c r="AW250" s="418"/>
      <c r="AX250" s="418"/>
      <c r="AY250" s="418"/>
      <c r="AZ250" s="418"/>
      <c r="BA250" s="418"/>
    </row>
    <row r="251" spans="40:53" ht="15.75" customHeight="1">
      <c r="AN251" s="418"/>
      <c r="AO251" s="418"/>
      <c r="AP251" s="418"/>
      <c r="AQ251" s="418"/>
      <c r="AR251" s="418"/>
      <c r="AS251" s="418"/>
      <c r="AT251" s="418"/>
      <c r="AU251" s="418"/>
      <c r="AV251" s="418"/>
      <c r="AW251" s="418"/>
      <c r="AX251" s="418"/>
      <c r="AY251" s="418"/>
      <c r="AZ251" s="418"/>
      <c r="BA251" s="418"/>
    </row>
    <row r="252" spans="40:53" ht="15.75" customHeight="1">
      <c r="AN252" s="418"/>
      <c r="AO252" s="418"/>
      <c r="AP252" s="418"/>
      <c r="AQ252" s="418"/>
      <c r="AR252" s="418"/>
      <c r="AS252" s="418"/>
      <c r="AT252" s="418"/>
      <c r="AU252" s="418"/>
      <c r="AV252" s="418"/>
      <c r="AW252" s="418"/>
      <c r="AX252" s="418"/>
      <c r="AY252" s="418"/>
      <c r="AZ252" s="418"/>
      <c r="BA252" s="418"/>
    </row>
    <row r="253" spans="40:53" ht="15.75" customHeight="1">
      <c r="AN253" s="418"/>
      <c r="AO253" s="418"/>
      <c r="AP253" s="418"/>
      <c r="AQ253" s="418"/>
      <c r="AR253" s="418"/>
      <c r="AS253" s="418"/>
      <c r="AT253" s="418"/>
      <c r="AU253" s="418"/>
      <c r="AV253" s="418"/>
      <c r="AW253" s="418"/>
      <c r="AX253" s="418"/>
      <c r="AY253" s="418"/>
      <c r="AZ253" s="418"/>
      <c r="BA253" s="418"/>
    </row>
    <row r="254" spans="40:53" ht="15.75" customHeight="1">
      <c r="AN254" s="418"/>
      <c r="AO254" s="418"/>
      <c r="AP254" s="418"/>
      <c r="AQ254" s="418"/>
      <c r="AR254" s="418"/>
      <c r="AS254" s="418"/>
      <c r="AT254" s="418"/>
      <c r="AU254" s="418"/>
      <c r="AV254" s="418"/>
      <c r="AW254" s="418"/>
      <c r="AX254" s="418"/>
      <c r="AY254" s="418"/>
      <c r="AZ254" s="418"/>
      <c r="BA254" s="418"/>
    </row>
    <row r="255" spans="40:53" ht="15.75" customHeight="1">
      <c r="AN255" s="418"/>
      <c r="AO255" s="418"/>
      <c r="AP255" s="418"/>
      <c r="AQ255" s="418"/>
      <c r="AR255" s="418"/>
      <c r="AS255" s="418"/>
      <c r="AT255" s="418"/>
      <c r="AU255" s="418"/>
      <c r="AV255" s="418"/>
      <c r="AW255" s="418"/>
      <c r="AX255" s="418"/>
      <c r="AY255" s="418"/>
      <c r="AZ255" s="418"/>
      <c r="BA255" s="418"/>
    </row>
    <row r="256" spans="40:53" ht="15.75" customHeight="1">
      <c r="AN256" s="418"/>
      <c r="AO256" s="418"/>
      <c r="AP256" s="418"/>
      <c r="AQ256" s="418"/>
      <c r="AR256" s="418"/>
      <c r="AS256" s="418"/>
      <c r="AT256" s="418"/>
      <c r="AU256" s="418"/>
      <c r="AV256" s="418"/>
      <c r="AW256" s="418"/>
      <c r="AX256" s="418"/>
      <c r="AY256" s="418"/>
      <c r="AZ256" s="418"/>
      <c r="BA256" s="418"/>
    </row>
    <row r="257" spans="40:59" ht="15.75" customHeight="1">
      <c r="AN257" s="418"/>
      <c r="AO257" s="418"/>
      <c r="AP257" s="418"/>
      <c r="AQ257" s="418"/>
      <c r="AR257" s="418"/>
      <c r="AS257" s="418"/>
      <c r="AT257" s="418"/>
      <c r="AU257" s="418"/>
      <c r="AV257" s="418"/>
      <c r="AW257" s="418"/>
      <c r="AX257" s="418"/>
      <c r="AY257" s="418"/>
      <c r="AZ257" s="418"/>
      <c r="BA257" s="418"/>
    </row>
    <row r="258" spans="40:59" ht="15.75" customHeight="1">
      <c r="AN258" s="418"/>
      <c r="AO258" s="418"/>
      <c r="AP258" s="418"/>
      <c r="AQ258" s="418"/>
      <c r="AR258" s="418"/>
      <c r="AS258" s="418"/>
      <c r="AT258" s="418"/>
      <c r="AU258" s="418"/>
      <c r="AV258" s="418"/>
      <c r="AW258" s="418"/>
      <c r="AX258" s="418"/>
      <c r="AY258" s="418"/>
      <c r="AZ258" s="418"/>
      <c r="BA258" s="418"/>
    </row>
    <row r="259" spans="40:59" ht="15.75" customHeight="1">
      <c r="AN259" s="418"/>
      <c r="AO259" s="418"/>
      <c r="AP259" s="418"/>
      <c r="AQ259" s="418"/>
      <c r="AR259" s="418"/>
      <c r="AS259" s="418"/>
      <c r="AT259" s="418"/>
      <c r="AU259" s="418"/>
      <c r="AV259" s="418"/>
      <c r="AW259" s="418"/>
      <c r="AX259" s="418"/>
      <c r="AY259" s="418"/>
      <c r="AZ259" s="418"/>
      <c r="BA259" s="418"/>
    </row>
    <row r="260" spans="40:59" ht="15.75" customHeight="1">
      <c r="AN260" s="418"/>
      <c r="AO260" s="418"/>
      <c r="AP260" s="418"/>
      <c r="AQ260" s="418"/>
      <c r="AR260" s="418"/>
      <c r="AS260" s="418"/>
      <c r="AT260" s="418"/>
      <c r="AU260" s="418"/>
      <c r="AV260" s="418"/>
      <c r="AW260" s="418"/>
      <c r="AX260" s="418"/>
      <c r="AY260" s="418"/>
      <c r="AZ260" s="418"/>
      <c r="BA260" s="418"/>
    </row>
    <row r="261" spans="40:59" ht="15.75" customHeight="1">
      <c r="AN261" s="418"/>
      <c r="AO261" s="418"/>
      <c r="AP261" s="418"/>
      <c r="AQ261" s="418"/>
      <c r="AR261" s="418"/>
      <c r="AS261" s="418"/>
      <c r="AT261" s="418"/>
      <c r="AU261" s="418"/>
      <c r="AV261" s="418"/>
      <c r="AW261" s="418"/>
      <c r="AX261" s="418"/>
      <c r="AY261" s="418"/>
      <c r="AZ261" s="418"/>
      <c r="BA261" s="418"/>
    </row>
    <row r="262" spans="40:59" ht="15.75" customHeight="1">
      <c r="AN262" s="418"/>
      <c r="AO262" s="418"/>
      <c r="AP262" s="418"/>
      <c r="AQ262" s="418"/>
      <c r="AR262" s="418"/>
      <c r="AS262" s="418"/>
      <c r="AT262" s="418"/>
      <c r="AU262" s="418"/>
      <c r="AV262" s="418"/>
      <c r="AW262" s="418"/>
      <c r="AX262" s="418"/>
      <c r="AY262" s="418"/>
      <c r="AZ262" s="418"/>
      <c r="BA262" s="418"/>
    </row>
    <row r="263" spans="40:59" ht="15.75" customHeight="1">
      <c r="AN263" s="418"/>
      <c r="AO263" s="418"/>
      <c r="AP263" s="418"/>
      <c r="AQ263" s="418"/>
      <c r="AR263" s="418"/>
      <c r="AS263" s="418"/>
      <c r="AT263" s="418"/>
      <c r="AU263" s="418"/>
      <c r="AV263" s="418"/>
      <c r="AW263" s="418"/>
      <c r="AX263" s="418"/>
      <c r="AY263" s="418"/>
      <c r="AZ263" s="418"/>
      <c r="BA263" s="418"/>
    </row>
    <row r="264" spans="40:59" ht="15.75" customHeight="1">
      <c r="AN264" s="418"/>
      <c r="AO264" s="418"/>
      <c r="AP264" s="418"/>
      <c r="AQ264" s="418"/>
      <c r="AR264" s="418"/>
      <c r="AS264" s="418"/>
      <c r="AT264" s="418"/>
      <c r="AU264" s="418"/>
      <c r="AV264" s="418"/>
      <c r="AW264" s="418"/>
      <c r="AX264" s="418"/>
      <c r="AY264" s="418"/>
      <c r="AZ264" s="418"/>
      <c r="BA264" s="418"/>
    </row>
    <row r="265" spans="40:59" ht="15.75" customHeight="1">
      <c r="AN265" s="418"/>
      <c r="AO265" s="418"/>
      <c r="AP265" s="418"/>
      <c r="AQ265" s="418"/>
      <c r="AR265" s="418"/>
      <c r="AS265" s="418"/>
      <c r="AT265" s="418"/>
      <c r="AU265" s="418"/>
      <c r="AV265" s="418"/>
      <c r="AW265" s="418"/>
      <c r="AX265" s="418"/>
      <c r="AY265" s="418"/>
      <c r="AZ265" s="418"/>
      <c r="BA265" s="418"/>
    </row>
    <row r="266" spans="40:59" ht="15.75" customHeight="1">
      <c r="AN266" s="418"/>
      <c r="AO266" s="418"/>
      <c r="AP266" s="418"/>
      <c r="AQ266" s="418"/>
      <c r="AR266" s="418"/>
      <c r="AS266" s="418"/>
      <c r="AT266" s="418"/>
      <c r="AU266" s="418"/>
      <c r="AV266" s="418"/>
      <c r="AW266" s="418"/>
      <c r="AX266" s="418"/>
      <c r="AY266" s="418"/>
      <c r="AZ266" s="418"/>
      <c r="BA266" s="418"/>
      <c r="BE266" s="1200"/>
    </row>
    <row r="267" spans="40:59" ht="15.75" customHeight="1">
      <c r="AN267" s="418"/>
      <c r="AO267" s="418"/>
      <c r="AP267" s="418"/>
      <c r="AQ267" s="418"/>
      <c r="AR267" s="418"/>
      <c r="AS267" s="418"/>
      <c r="AT267" s="418"/>
      <c r="AU267" s="418"/>
      <c r="AV267" s="418"/>
      <c r="AW267" s="418"/>
      <c r="AX267" s="418"/>
      <c r="AY267" s="418"/>
      <c r="AZ267" s="418"/>
      <c r="BA267" s="418"/>
      <c r="BD267" s="1194"/>
    </row>
    <row r="268" spans="40:59" ht="15.75" customHeight="1">
      <c r="AN268" s="418"/>
      <c r="AO268" s="418"/>
      <c r="AP268" s="418"/>
      <c r="AQ268" s="418"/>
      <c r="AR268" s="418"/>
      <c r="AS268" s="418"/>
      <c r="AT268" s="418"/>
      <c r="AU268" s="418"/>
      <c r="AV268" s="418"/>
      <c r="AW268" s="418"/>
      <c r="AX268" s="418"/>
      <c r="AY268" s="418"/>
      <c r="AZ268" s="418"/>
      <c r="BA268" s="418"/>
    </row>
    <row r="269" spans="40:59" ht="15.75" customHeight="1">
      <c r="AN269" s="418"/>
      <c r="AO269" s="418"/>
      <c r="AP269" s="418"/>
      <c r="AQ269" s="418"/>
      <c r="AR269" s="418"/>
      <c r="AS269" s="418"/>
      <c r="AT269" s="418"/>
      <c r="AU269" s="418"/>
      <c r="AV269" s="418"/>
      <c r="AW269" s="418"/>
      <c r="AX269" s="418"/>
      <c r="AY269" s="418"/>
      <c r="AZ269" s="418"/>
      <c r="BA269" s="418"/>
    </row>
    <row r="270" spans="40:59" ht="15.75" customHeight="1">
      <c r="AN270" s="418"/>
      <c r="AO270" s="418"/>
      <c r="AP270" s="418"/>
      <c r="AQ270" s="418"/>
      <c r="AR270" s="418"/>
      <c r="AS270" s="418"/>
      <c r="AT270" s="418"/>
      <c r="AU270" s="418"/>
      <c r="AV270" s="418"/>
      <c r="AW270" s="418"/>
      <c r="AX270" s="418"/>
      <c r="AY270" s="418"/>
      <c r="AZ270" s="418"/>
      <c r="BA270" s="418"/>
    </row>
    <row r="271" spans="40:59" ht="15.75" customHeight="1">
      <c r="AN271" s="418"/>
      <c r="AO271" s="418"/>
      <c r="AP271" s="418"/>
      <c r="AQ271" s="418"/>
      <c r="AR271" s="418"/>
      <c r="AS271" s="418"/>
      <c r="AT271" s="418"/>
      <c r="AU271" s="418"/>
      <c r="AV271" s="418"/>
      <c r="AW271" s="418"/>
      <c r="AX271" s="418"/>
      <c r="AY271" s="418"/>
      <c r="AZ271" s="418"/>
      <c r="BA271" s="418"/>
      <c r="BF271" s="1200"/>
      <c r="BG271" s="1200"/>
    </row>
    <row r="272" spans="40:59" ht="15.75" customHeight="1">
      <c r="AN272" s="418"/>
      <c r="AO272" s="418"/>
      <c r="AP272" s="418"/>
      <c r="AQ272" s="418"/>
      <c r="AR272" s="418"/>
      <c r="AS272" s="418"/>
      <c r="AT272" s="418"/>
      <c r="AU272" s="418"/>
      <c r="AV272" s="418"/>
      <c r="AW272" s="418"/>
      <c r="AX272" s="418"/>
      <c r="AY272" s="418"/>
      <c r="AZ272" s="418"/>
      <c r="BA272" s="418"/>
    </row>
    <row r="273" spans="40:53" ht="15.75" customHeight="1">
      <c r="AN273" s="418"/>
      <c r="AO273" s="418"/>
      <c r="AP273" s="418"/>
      <c r="AQ273" s="418"/>
      <c r="AR273" s="418"/>
      <c r="AS273" s="418"/>
      <c r="AT273" s="418"/>
      <c r="AU273" s="418"/>
      <c r="AV273" s="418"/>
      <c r="AW273" s="418"/>
      <c r="AX273" s="418"/>
      <c r="AY273" s="418"/>
      <c r="AZ273" s="418"/>
      <c r="BA273" s="418"/>
    </row>
    <row r="274" spans="40:53" ht="15.75" customHeight="1">
      <c r="AN274" s="418"/>
      <c r="AO274" s="418"/>
      <c r="AP274" s="418"/>
      <c r="AQ274" s="418"/>
      <c r="AR274" s="418"/>
      <c r="AS274" s="418"/>
      <c r="AT274" s="418"/>
      <c r="AU274" s="418"/>
      <c r="AV274" s="418"/>
      <c r="AW274" s="418"/>
      <c r="AX274" s="418"/>
      <c r="AY274" s="418"/>
      <c r="AZ274" s="418"/>
      <c r="BA274" s="418"/>
    </row>
    <row r="275" spans="40:53" ht="15.75" customHeight="1">
      <c r="AN275" s="418"/>
      <c r="AO275" s="418"/>
      <c r="AP275" s="418"/>
      <c r="AQ275" s="418"/>
      <c r="AR275" s="418"/>
      <c r="AS275" s="418"/>
      <c r="AT275" s="418"/>
      <c r="AU275" s="418"/>
      <c r="AV275" s="418"/>
      <c r="AW275" s="418"/>
      <c r="AX275" s="418"/>
      <c r="AY275" s="418"/>
      <c r="AZ275" s="418"/>
      <c r="BA275" s="418"/>
    </row>
    <row r="276" spans="40:53" ht="15.75" customHeight="1">
      <c r="AN276" s="418"/>
      <c r="AO276" s="418"/>
      <c r="AP276" s="418"/>
      <c r="AQ276" s="418"/>
      <c r="AR276" s="418"/>
      <c r="AS276" s="418"/>
      <c r="AT276" s="418"/>
      <c r="AU276" s="418"/>
      <c r="AV276" s="418"/>
      <c r="AW276" s="418"/>
      <c r="AX276" s="418"/>
      <c r="AY276" s="418"/>
      <c r="AZ276" s="418"/>
      <c r="BA276" s="418"/>
    </row>
    <row r="277" spans="40:53" ht="15.75" customHeight="1">
      <c r="AN277" s="418"/>
      <c r="AO277" s="418"/>
      <c r="AP277" s="418"/>
      <c r="AQ277" s="418"/>
      <c r="AR277" s="418"/>
      <c r="AS277" s="418"/>
      <c r="AT277" s="418"/>
      <c r="AU277" s="418"/>
      <c r="AV277" s="418"/>
      <c r="AW277" s="418"/>
      <c r="AX277" s="418"/>
      <c r="AY277" s="418"/>
      <c r="AZ277" s="418"/>
      <c r="BA277" s="418"/>
    </row>
    <row r="278" spans="40:53" ht="15.75" customHeight="1">
      <c r="AN278" s="418"/>
      <c r="AO278" s="418"/>
      <c r="AP278" s="418"/>
      <c r="AQ278" s="418"/>
      <c r="AR278" s="418"/>
      <c r="AS278" s="418"/>
      <c r="AT278" s="418"/>
      <c r="AU278" s="418"/>
      <c r="AV278" s="418"/>
      <c r="AW278" s="418"/>
      <c r="AX278" s="418"/>
      <c r="AY278" s="418"/>
      <c r="AZ278" s="418"/>
      <c r="BA278" s="418"/>
    </row>
    <row r="279" spans="40:53" ht="15.75" customHeight="1">
      <c r="AN279" s="418"/>
      <c r="AO279" s="418"/>
      <c r="AP279" s="418"/>
      <c r="AQ279" s="418"/>
      <c r="AR279" s="418"/>
      <c r="AS279" s="418"/>
      <c r="AT279" s="418"/>
      <c r="AU279" s="418"/>
      <c r="AV279" s="418"/>
      <c r="AW279" s="418"/>
      <c r="AX279" s="418"/>
      <c r="AY279" s="418"/>
      <c r="AZ279" s="418"/>
      <c r="BA279" s="418"/>
    </row>
    <row r="280" spans="40:53" ht="15.75" customHeight="1">
      <c r="AN280" s="418"/>
      <c r="AO280" s="418"/>
      <c r="AP280" s="418"/>
      <c r="AQ280" s="418"/>
      <c r="AR280" s="418"/>
      <c r="AS280" s="418"/>
      <c r="AT280" s="418"/>
      <c r="AU280" s="418"/>
      <c r="AV280" s="418"/>
      <c r="AW280" s="418"/>
      <c r="AX280" s="418"/>
      <c r="AY280" s="418"/>
      <c r="AZ280" s="418"/>
      <c r="BA280" s="418"/>
    </row>
    <row r="281" spans="40:53" ht="15.75" customHeight="1">
      <c r="AN281" s="418"/>
      <c r="AO281" s="418"/>
      <c r="AP281" s="418"/>
      <c r="AQ281" s="418"/>
      <c r="AR281" s="418"/>
      <c r="AS281" s="418"/>
      <c r="AT281" s="418"/>
      <c r="AU281" s="418"/>
      <c r="AV281" s="418"/>
      <c r="AW281" s="418"/>
      <c r="AX281" s="418"/>
      <c r="AY281" s="418"/>
      <c r="AZ281" s="418"/>
      <c r="BA281" s="418"/>
    </row>
    <row r="282" spans="40:53" ht="15.75" customHeight="1">
      <c r="AN282" s="418"/>
      <c r="AO282" s="418"/>
      <c r="AP282" s="418"/>
      <c r="AQ282" s="418"/>
      <c r="AR282" s="418"/>
      <c r="AS282" s="418"/>
      <c r="AT282" s="418"/>
      <c r="AU282" s="418"/>
      <c r="AV282" s="418"/>
      <c r="AW282" s="418"/>
      <c r="AX282" s="418"/>
      <c r="AY282" s="418"/>
      <c r="AZ282" s="418"/>
      <c r="BA282" s="418"/>
    </row>
    <row r="283" spans="40:53" ht="15.75" customHeight="1">
      <c r="AN283" s="418"/>
      <c r="AO283" s="418"/>
      <c r="AP283" s="418"/>
      <c r="AQ283" s="418"/>
      <c r="AR283" s="418"/>
      <c r="AS283" s="418"/>
      <c r="AT283" s="418"/>
      <c r="AU283" s="418"/>
      <c r="AV283" s="418"/>
      <c r="AW283" s="418"/>
      <c r="AX283" s="418"/>
      <c r="AY283" s="418"/>
      <c r="AZ283" s="418"/>
      <c r="BA283" s="418"/>
    </row>
    <row r="284" spans="40:53" ht="15.75" customHeight="1">
      <c r="AN284" s="418"/>
      <c r="AO284" s="418"/>
      <c r="AP284" s="418"/>
      <c r="AQ284" s="418"/>
      <c r="AR284" s="418"/>
      <c r="AS284" s="418"/>
      <c r="AT284" s="418"/>
      <c r="AU284" s="418"/>
      <c r="AV284" s="418"/>
      <c r="AW284" s="418"/>
      <c r="AX284" s="418"/>
      <c r="AY284" s="418"/>
      <c r="AZ284" s="418"/>
      <c r="BA284" s="418"/>
    </row>
    <row r="285" spans="40:53" ht="15.75" customHeight="1">
      <c r="AN285" s="418"/>
      <c r="AO285" s="418"/>
      <c r="AP285" s="418"/>
      <c r="AQ285" s="418"/>
      <c r="AR285" s="418"/>
      <c r="AS285" s="418"/>
      <c r="AT285" s="418"/>
      <c r="AU285" s="418"/>
      <c r="AV285" s="418"/>
      <c r="AW285" s="418"/>
      <c r="AX285" s="418"/>
      <c r="AY285" s="418"/>
      <c r="AZ285" s="418"/>
      <c r="BA285" s="418"/>
    </row>
    <row r="286" spans="40:53" ht="15.75" customHeight="1">
      <c r="AN286" s="418"/>
      <c r="AO286" s="418"/>
      <c r="AP286" s="418"/>
      <c r="AQ286" s="418"/>
      <c r="AR286" s="418"/>
      <c r="AS286" s="418"/>
      <c r="AT286" s="418"/>
      <c r="AU286" s="418"/>
      <c r="AV286" s="418"/>
      <c r="AW286" s="418"/>
      <c r="AX286" s="418"/>
      <c r="AY286" s="418"/>
      <c r="AZ286" s="418"/>
      <c r="BA286" s="418"/>
    </row>
    <row r="287" spans="40:53" ht="15.75" customHeight="1">
      <c r="AN287" s="418"/>
      <c r="AO287" s="418"/>
      <c r="AP287" s="418"/>
      <c r="AQ287" s="418"/>
      <c r="AR287" s="418"/>
      <c r="AS287" s="418"/>
      <c r="AT287" s="418"/>
      <c r="AU287" s="418"/>
      <c r="AV287" s="418"/>
      <c r="AW287" s="418"/>
      <c r="AX287" s="418"/>
      <c r="AY287" s="418"/>
      <c r="AZ287" s="418"/>
      <c r="BA287" s="418"/>
    </row>
    <row r="288" spans="40:53" ht="15.75" customHeight="1">
      <c r="AN288" s="418"/>
      <c r="AO288" s="418"/>
      <c r="AP288" s="418"/>
      <c r="AQ288" s="418"/>
      <c r="AR288" s="418"/>
      <c r="AS288" s="418"/>
      <c r="AT288" s="418"/>
      <c r="AU288" s="418"/>
      <c r="AV288" s="418"/>
      <c r="AW288" s="418"/>
      <c r="AX288" s="418"/>
      <c r="AY288" s="418"/>
      <c r="AZ288" s="418"/>
      <c r="BA288" s="418"/>
    </row>
    <row r="289" spans="40:57" ht="15.75" customHeight="1">
      <c r="AN289" s="418"/>
      <c r="AO289" s="418"/>
      <c r="AP289" s="418"/>
      <c r="AQ289" s="418"/>
      <c r="AR289" s="418"/>
      <c r="AS289" s="418"/>
      <c r="AT289" s="418"/>
      <c r="AU289" s="418"/>
      <c r="AV289" s="418"/>
      <c r="AW289" s="418"/>
      <c r="AX289" s="418"/>
      <c r="AY289" s="418"/>
      <c r="AZ289" s="418"/>
      <c r="BA289" s="418"/>
    </row>
    <row r="290" spans="40:57" ht="15.75" customHeight="1">
      <c r="AN290" s="418"/>
      <c r="AO290" s="418"/>
      <c r="AP290" s="418"/>
      <c r="AQ290" s="418"/>
      <c r="AR290" s="418"/>
      <c r="AS290" s="418"/>
      <c r="AT290" s="418"/>
      <c r="AU290" s="418"/>
      <c r="AV290" s="418"/>
      <c r="AW290" s="418"/>
      <c r="AX290" s="418"/>
      <c r="AY290" s="418"/>
      <c r="AZ290" s="418"/>
      <c r="BA290" s="418"/>
    </row>
    <row r="291" spans="40:57" ht="15.75" customHeight="1">
      <c r="AN291" s="418"/>
      <c r="AO291" s="418"/>
      <c r="AP291" s="418"/>
      <c r="AQ291" s="418"/>
      <c r="AR291" s="418"/>
      <c r="AS291" s="418"/>
      <c r="AT291" s="418"/>
      <c r="AU291" s="418"/>
      <c r="AV291" s="418"/>
      <c r="AW291" s="418"/>
      <c r="AX291" s="418"/>
      <c r="AY291" s="418"/>
      <c r="AZ291" s="418"/>
      <c r="BA291" s="418"/>
    </row>
    <row r="292" spans="40:57" ht="15.75" customHeight="1">
      <c r="AN292" s="418"/>
      <c r="AO292" s="418"/>
      <c r="AP292" s="418"/>
      <c r="AQ292" s="418"/>
      <c r="AR292" s="418"/>
      <c r="AS292" s="418"/>
      <c r="AT292" s="418"/>
      <c r="AU292" s="418"/>
      <c r="AV292" s="418"/>
      <c r="AW292" s="418"/>
      <c r="AX292" s="418"/>
      <c r="AY292" s="418"/>
      <c r="AZ292" s="418"/>
      <c r="BA292" s="418"/>
    </row>
    <row r="293" spans="40:57" ht="15.75" customHeight="1">
      <c r="AN293" s="418"/>
      <c r="AO293" s="418"/>
      <c r="AP293" s="418"/>
      <c r="AQ293" s="418"/>
      <c r="AR293" s="418"/>
      <c r="AS293" s="418"/>
      <c r="AT293" s="418"/>
      <c r="AU293" s="418"/>
      <c r="AV293" s="418"/>
      <c r="AW293" s="418"/>
      <c r="AX293" s="418"/>
      <c r="AY293" s="418"/>
      <c r="AZ293" s="418"/>
      <c r="BA293" s="418"/>
    </row>
    <row r="294" spans="40:57" ht="15.75" customHeight="1">
      <c r="AN294" s="418"/>
      <c r="AO294" s="418"/>
      <c r="AP294" s="418"/>
      <c r="AQ294" s="418"/>
      <c r="AR294" s="418"/>
      <c r="AS294" s="418"/>
      <c r="AT294" s="418"/>
      <c r="AU294" s="418"/>
      <c r="AV294" s="418"/>
      <c r="AW294" s="418"/>
      <c r="AX294" s="418"/>
      <c r="AY294" s="418"/>
      <c r="AZ294" s="418"/>
      <c r="BA294" s="418"/>
    </row>
    <row r="295" spans="40:57" ht="15.75" customHeight="1">
      <c r="AN295" s="418"/>
      <c r="AO295" s="418"/>
      <c r="AP295" s="418"/>
      <c r="AQ295" s="418"/>
      <c r="AR295" s="418"/>
      <c r="AS295" s="418"/>
      <c r="AT295" s="418"/>
      <c r="AU295" s="418"/>
      <c r="AV295" s="418"/>
      <c r="AW295" s="418"/>
      <c r="AX295" s="418"/>
      <c r="AY295" s="418"/>
      <c r="AZ295" s="418"/>
      <c r="BA295" s="418"/>
    </row>
    <row r="296" spans="40:57" ht="15.75" customHeight="1">
      <c r="AN296" s="418"/>
      <c r="AO296" s="418"/>
      <c r="AP296" s="418"/>
      <c r="AQ296" s="418"/>
      <c r="AR296" s="418"/>
      <c r="AS296" s="418"/>
      <c r="AT296" s="418"/>
      <c r="AU296" s="418"/>
      <c r="AV296" s="418"/>
      <c r="AW296" s="418"/>
      <c r="AX296" s="418"/>
      <c r="AY296" s="418"/>
      <c r="AZ296" s="418"/>
      <c r="BA296" s="418"/>
    </row>
    <row r="297" spans="40:57" ht="15.75" customHeight="1">
      <c r="AN297" s="418"/>
      <c r="AO297" s="418"/>
      <c r="AP297" s="418"/>
      <c r="AQ297" s="418"/>
      <c r="AR297" s="418"/>
      <c r="AS297" s="418"/>
      <c r="AT297" s="418"/>
      <c r="AU297" s="418"/>
      <c r="AV297" s="418"/>
      <c r="AW297" s="418"/>
      <c r="AX297" s="418"/>
      <c r="AY297" s="418"/>
      <c r="AZ297" s="418"/>
      <c r="BA297" s="418"/>
    </row>
    <row r="298" spans="40:57" ht="15.75" customHeight="1">
      <c r="AN298" s="418"/>
      <c r="AO298" s="418"/>
      <c r="AP298" s="418"/>
      <c r="AQ298" s="418"/>
      <c r="AR298" s="418"/>
      <c r="AS298" s="418"/>
      <c r="AT298" s="418"/>
      <c r="AU298" s="418"/>
      <c r="AV298" s="418"/>
      <c r="AW298" s="418"/>
      <c r="AX298" s="418"/>
      <c r="AY298" s="418"/>
      <c r="AZ298" s="418"/>
      <c r="BA298" s="418"/>
    </row>
    <row r="299" spans="40:57" ht="15.75" customHeight="1">
      <c r="AN299" s="418"/>
      <c r="AO299" s="418"/>
      <c r="AP299" s="418"/>
      <c r="AQ299" s="418"/>
      <c r="AR299" s="418"/>
      <c r="AS299" s="418"/>
      <c r="AT299" s="418"/>
      <c r="AU299" s="418"/>
      <c r="AV299" s="418"/>
      <c r="AW299" s="418"/>
      <c r="AX299" s="418"/>
      <c r="AY299" s="418"/>
      <c r="AZ299" s="418"/>
      <c r="BA299" s="418"/>
    </row>
    <row r="300" spans="40:57" ht="15.75" customHeight="1">
      <c r="AN300" s="418"/>
      <c r="AO300" s="418"/>
      <c r="AP300" s="418"/>
      <c r="AQ300" s="418"/>
      <c r="AR300" s="418"/>
      <c r="AS300" s="418"/>
      <c r="AT300" s="418"/>
      <c r="AU300" s="418"/>
      <c r="AV300" s="418"/>
      <c r="AW300" s="418"/>
      <c r="AX300" s="418"/>
      <c r="AY300" s="418"/>
      <c r="AZ300" s="418"/>
      <c r="BA300" s="418"/>
    </row>
    <row r="301" spans="40:57" ht="15.75" customHeight="1">
      <c r="AN301" s="418"/>
      <c r="AO301" s="418"/>
      <c r="AP301" s="418"/>
      <c r="AQ301" s="418"/>
      <c r="AR301" s="418"/>
      <c r="AS301" s="418"/>
      <c r="AT301" s="418"/>
      <c r="AU301" s="418"/>
      <c r="AV301" s="418"/>
      <c r="AW301" s="418"/>
      <c r="AX301" s="418"/>
      <c r="AY301" s="418"/>
      <c r="AZ301" s="418"/>
      <c r="BA301" s="418"/>
      <c r="BE301" s="1200"/>
    </row>
    <row r="302" spans="40:57" ht="15.75" customHeight="1">
      <c r="AN302" s="418"/>
      <c r="AO302" s="418"/>
      <c r="AP302" s="418"/>
      <c r="AQ302" s="418"/>
      <c r="AR302" s="418"/>
      <c r="AS302" s="418"/>
      <c r="AT302" s="418"/>
      <c r="AU302" s="418"/>
      <c r="AV302" s="418"/>
      <c r="AW302" s="418"/>
      <c r="AX302" s="418"/>
      <c r="AY302" s="418"/>
      <c r="AZ302" s="418"/>
      <c r="BA302" s="418"/>
      <c r="BD302" s="1194"/>
    </row>
    <row r="303" spans="40:57" ht="15.75" customHeight="1">
      <c r="AN303" s="418"/>
      <c r="AO303" s="418"/>
      <c r="AP303" s="418"/>
      <c r="AQ303" s="418"/>
      <c r="AR303" s="418"/>
      <c r="AS303" s="418"/>
      <c r="AT303" s="418"/>
      <c r="AU303" s="418"/>
      <c r="AV303" s="418"/>
      <c r="AW303" s="418"/>
      <c r="AX303" s="418"/>
      <c r="AY303" s="418"/>
      <c r="AZ303" s="418"/>
      <c r="BA303" s="418"/>
    </row>
    <row r="304" spans="40:57" ht="15.75" customHeight="1">
      <c r="AN304" s="418"/>
      <c r="AO304" s="418"/>
      <c r="AP304" s="418"/>
      <c r="AQ304" s="418"/>
      <c r="AR304" s="418"/>
      <c r="AS304" s="418"/>
      <c r="AT304" s="418"/>
      <c r="AU304" s="418"/>
      <c r="AV304" s="418"/>
      <c r="AW304" s="418"/>
      <c r="AX304" s="418"/>
      <c r="AY304" s="418"/>
      <c r="AZ304" s="418"/>
      <c r="BA304" s="418"/>
    </row>
    <row r="305" spans="40:59" ht="15.75" customHeight="1">
      <c r="AN305" s="418"/>
      <c r="AO305" s="418"/>
      <c r="AP305" s="418"/>
      <c r="AQ305" s="418"/>
      <c r="AR305" s="418"/>
      <c r="AS305" s="418"/>
      <c r="AT305" s="418"/>
      <c r="AU305" s="418"/>
      <c r="AV305" s="418"/>
      <c r="AW305" s="418"/>
      <c r="AX305" s="418"/>
      <c r="AY305" s="418"/>
      <c r="AZ305" s="418"/>
      <c r="BA305" s="418"/>
    </row>
    <row r="306" spans="40:59" ht="15.75" customHeight="1">
      <c r="AN306" s="418"/>
      <c r="AO306" s="418"/>
      <c r="AP306" s="418"/>
      <c r="AQ306" s="418"/>
      <c r="AR306" s="418"/>
      <c r="AS306" s="418"/>
      <c r="AT306" s="418"/>
      <c r="AU306" s="418"/>
      <c r="AV306" s="418"/>
      <c r="AW306" s="418"/>
      <c r="AX306" s="418"/>
      <c r="AY306" s="418"/>
      <c r="AZ306" s="418"/>
      <c r="BA306" s="418"/>
      <c r="BF306" s="1200"/>
      <c r="BG306" s="1200"/>
    </row>
    <row r="307" spans="40:59" ht="15.75" customHeight="1">
      <c r="AN307" s="418"/>
      <c r="AO307" s="418"/>
      <c r="AP307" s="418"/>
      <c r="AQ307" s="418"/>
      <c r="AR307" s="418"/>
      <c r="AS307" s="418"/>
      <c r="AT307" s="418"/>
      <c r="AU307" s="418"/>
      <c r="AV307" s="418"/>
      <c r="AW307" s="418"/>
      <c r="AX307" s="418"/>
      <c r="AY307" s="418"/>
      <c r="AZ307" s="418"/>
      <c r="BA307" s="418"/>
    </row>
    <row r="308" spans="40:59" ht="15.75" customHeight="1">
      <c r="AN308" s="418"/>
      <c r="AO308" s="418"/>
      <c r="AP308" s="418"/>
      <c r="AQ308" s="418"/>
      <c r="AR308" s="418"/>
      <c r="AS308" s="418"/>
      <c r="AT308" s="418"/>
      <c r="AU308" s="418"/>
      <c r="AV308" s="418"/>
      <c r="AW308" s="418"/>
      <c r="AX308" s="418"/>
      <c r="AY308" s="418"/>
      <c r="AZ308" s="418"/>
      <c r="BA308" s="418"/>
    </row>
    <row r="309" spans="40:59" ht="15.75" customHeight="1">
      <c r="AN309" s="418"/>
      <c r="AO309" s="418"/>
      <c r="AP309" s="418"/>
      <c r="AQ309" s="418"/>
      <c r="AR309" s="418"/>
      <c r="AS309" s="418"/>
      <c r="AT309" s="418"/>
      <c r="AU309" s="418"/>
      <c r="AV309" s="418"/>
      <c r="AW309" s="418"/>
      <c r="AX309" s="418"/>
      <c r="AY309" s="418"/>
      <c r="AZ309" s="418"/>
      <c r="BA309" s="418"/>
    </row>
    <row r="310" spans="40:59" ht="15.75" customHeight="1">
      <c r="AN310" s="418"/>
      <c r="AO310" s="418"/>
      <c r="AP310" s="418"/>
      <c r="AQ310" s="418"/>
      <c r="AR310" s="418"/>
      <c r="AS310" s="418"/>
      <c r="AT310" s="418"/>
      <c r="AU310" s="418"/>
      <c r="AV310" s="418"/>
      <c r="AW310" s="418"/>
      <c r="AX310" s="418"/>
      <c r="AY310" s="418"/>
      <c r="AZ310" s="418"/>
      <c r="BA310" s="418"/>
    </row>
    <row r="311" spans="40:59" ht="15.75" customHeight="1">
      <c r="AN311" s="418"/>
      <c r="AO311" s="418"/>
      <c r="AP311" s="418"/>
      <c r="AQ311" s="418"/>
      <c r="AR311" s="418"/>
      <c r="AS311" s="418"/>
      <c r="AT311" s="418"/>
      <c r="AU311" s="418"/>
      <c r="AV311" s="418"/>
      <c r="AW311" s="418"/>
      <c r="AX311" s="418"/>
      <c r="AY311" s="418"/>
      <c r="AZ311" s="418"/>
      <c r="BA311" s="418"/>
    </row>
    <row r="312" spans="40:59" ht="15.75" customHeight="1">
      <c r="AN312" s="418"/>
      <c r="AO312" s="418"/>
      <c r="AP312" s="418"/>
      <c r="AQ312" s="418"/>
      <c r="AR312" s="418"/>
      <c r="AS312" s="418"/>
      <c r="AT312" s="418"/>
      <c r="AU312" s="418"/>
      <c r="AV312" s="418"/>
      <c r="AW312" s="418"/>
      <c r="AX312" s="418"/>
      <c r="AY312" s="418"/>
      <c r="AZ312" s="418"/>
      <c r="BA312" s="418"/>
    </row>
    <row r="313" spans="40:59" ht="15.75" customHeight="1">
      <c r="AN313" s="418"/>
      <c r="AO313" s="418"/>
      <c r="AP313" s="418"/>
      <c r="AQ313" s="418"/>
      <c r="AR313" s="418"/>
      <c r="AS313" s="418"/>
      <c r="AT313" s="418"/>
      <c r="AU313" s="418"/>
      <c r="AV313" s="418"/>
      <c r="AW313" s="418"/>
      <c r="AX313" s="418"/>
      <c r="AY313" s="418"/>
      <c r="AZ313" s="418"/>
      <c r="BA313" s="418"/>
    </row>
    <row r="314" spans="40:59" ht="15.75" customHeight="1">
      <c r="AN314" s="418"/>
      <c r="AO314" s="418"/>
      <c r="AP314" s="418"/>
      <c r="AQ314" s="418"/>
      <c r="AR314" s="418"/>
      <c r="AS314" s="418"/>
      <c r="AT314" s="418"/>
      <c r="AU314" s="418"/>
      <c r="AV314" s="418"/>
      <c r="AW314" s="418"/>
      <c r="AX314" s="418"/>
      <c r="AY314" s="418"/>
      <c r="AZ314" s="418"/>
      <c r="BA314" s="418"/>
    </row>
    <row r="315" spans="40:59" ht="15.75" customHeight="1">
      <c r="AN315" s="418"/>
      <c r="AO315" s="418"/>
      <c r="AP315" s="418"/>
      <c r="AQ315" s="418"/>
      <c r="AR315" s="418"/>
      <c r="AS315" s="418"/>
      <c r="AT315" s="418"/>
      <c r="AU315" s="418"/>
      <c r="AV315" s="418"/>
      <c r="AW315" s="418"/>
      <c r="AX315" s="418"/>
      <c r="AY315" s="418"/>
      <c r="AZ315" s="418"/>
      <c r="BA315" s="418"/>
    </row>
    <row r="316" spans="40:59" ht="15.75" customHeight="1">
      <c r="AN316" s="418"/>
      <c r="AO316" s="418"/>
      <c r="AP316" s="418"/>
      <c r="AQ316" s="418"/>
      <c r="AR316" s="418"/>
      <c r="AS316" s="418"/>
      <c r="AT316" s="418"/>
      <c r="AU316" s="418"/>
      <c r="AV316" s="418"/>
      <c r="AW316" s="418"/>
      <c r="AX316" s="418"/>
      <c r="AY316" s="418"/>
      <c r="AZ316" s="418"/>
      <c r="BA316" s="418"/>
    </row>
    <row r="317" spans="40:59" ht="15.75" customHeight="1">
      <c r="AN317" s="418"/>
      <c r="AO317" s="418"/>
      <c r="AP317" s="418"/>
      <c r="AQ317" s="418"/>
      <c r="AR317" s="418"/>
      <c r="AS317" s="418"/>
      <c r="AT317" s="418"/>
      <c r="AU317" s="418"/>
      <c r="AV317" s="418"/>
      <c r="AW317" s="418"/>
      <c r="AX317" s="418"/>
      <c r="AY317" s="418"/>
      <c r="AZ317" s="418"/>
      <c r="BA317" s="418"/>
    </row>
    <row r="318" spans="40:59" ht="15.75" customHeight="1">
      <c r="AN318" s="418"/>
      <c r="AO318" s="418"/>
      <c r="AP318" s="418"/>
      <c r="AQ318" s="418"/>
      <c r="AR318" s="418"/>
      <c r="AS318" s="418"/>
      <c r="AT318" s="418"/>
      <c r="AU318" s="418"/>
      <c r="AV318" s="418"/>
      <c r="AW318" s="418"/>
      <c r="AX318" s="418"/>
      <c r="AY318" s="418"/>
      <c r="AZ318" s="418"/>
      <c r="BA318" s="418"/>
    </row>
    <row r="319" spans="40:59" ht="15.75" customHeight="1">
      <c r="AN319" s="418"/>
      <c r="AO319" s="418"/>
      <c r="AP319" s="418"/>
      <c r="AQ319" s="418"/>
      <c r="AR319" s="418"/>
      <c r="AS319" s="418"/>
      <c r="AT319" s="418"/>
      <c r="AU319" s="418"/>
      <c r="AV319" s="418"/>
      <c r="AW319" s="418"/>
      <c r="AX319" s="418"/>
      <c r="AY319" s="418"/>
      <c r="AZ319" s="418"/>
      <c r="BA319" s="418"/>
    </row>
    <row r="320" spans="40:59" ht="15.75" customHeight="1">
      <c r="AN320" s="418"/>
      <c r="AO320" s="418"/>
      <c r="AP320" s="418"/>
      <c r="AQ320" s="418"/>
      <c r="AR320" s="418"/>
      <c r="AS320" s="418"/>
      <c r="AT320" s="418"/>
      <c r="AU320" s="418"/>
      <c r="AV320" s="418"/>
      <c r="AW320" s="418"/>
      <c r="AX320" s="418"/>
      <c r="AY320" s="418"/>
      <c r="AZ320" s="418"/>
      <c r="BA320" s="418"/>
    </row>
    <row r="321" spans="40:53" ht="15.75" customHeight="1">
      <c r="AN321" s="418"/>
      <c r="AO321" s="418"/>
      <c r="AP321" s="418"/>
      <c r="AQ321" s="418"/>
      <c r="AR321" s="418"/>
      <c r="AS321" s="418"/>
      <c r="AT321" s="418"/>
      <c r="AU321" s="418"/>
      <c r="AV321" s="418"/>
      <c r="AW321" s="418"/>
      <c r="AX321" s="418"/>
      <c r="AY321" s="418"/>
      <c r="AZ321" s="418"/>
      <c r="BA321" s="418"/>
    </row>
    <row r="322" spans="40:53" ht="15.75" customHeight="1">
      <c r="AN322" s="418"/>
      <c r="AO322" s="418"/>
      <c r="AP322" s="418"/>
      <c r="AQ322" s="418"/>
      <c r="AR322" s="418"/>
      <c r="AS322" s="418"/>
      <c r="AT322" s="418"/>
      <c r="AU322" s="418"/>
      <c r="AV322" s="418"/>
      <c r="AW322" s="418"/>
      <c r="AX322" s="418"/>
      <c r="AY322" s="418"/>
      <c r="AZ322" s="418"/>
      <c r="BA322" s="418"/>
    </row>
    <row r="323" spans="40:53" ht="15.75" customHeight="1">
      <c r="AN323" s="418"/>
      <c r="AO323" s="418"/>
      <c r="AP323" s="418"/>
      <c r="AQ323" s="418"/>
      <c r="AR323" s="418"/>
      <c r="AS323" s="418"/>
      <c r="AT323" s="418"/>
      <c r="AU323" s="418"/>
      <c r="AV323" s="418"/>
      <c r="AW323" s="418"/>
      <c r="AX323" s="418"/>
      <c r="AY323" s="418"/>
      <c r="AZ323" s="418"/>
      <c r="BA323" s="418"/>
    </row>
    <row r="324" spans="40:53" ht="15.75" customHeight="1">
      <c r="AN324" s="418"/>
      <c r="AO324" s="418"/>
      <c r="AP324" s="418"/>
      <c r="AQ324" s="418"/>
      <c r="AR324" s="418"/>
      <c r="AS324" s="418"/>
      <c r="AT324" s="418"/>
      <c r="AU324" s="418"/>
      <c r="AV324" s="418"/>
      <c r="AW324" s="418"/>
      <c r="AX324" s="418"/>
      <c r="AY324" s="418"/>
      <c r="AZ324" s="418"/>
      <c r="BA324" s="418"/>
    </row>
    <row r="325" spans="40:53" ht="15.75" customHeight="1">
      <c r="AN325" s="418"/>
      <c r="AO325" s="418"/>
      <c r="AP325" s="418"/>
      <c r="AQ325" s="418"/>
      <c r="AR325" s="418"/>
      <c r="AS325" s="418"/>
      <c r="AT325" s="418"/>
      <c r="AU325" s="418"/>
      <c r="AV325" s="418"/>
      <c r="AW325" s="418"/>
      <c r="AX325" s="418"/>
      <c r="AY325" s="418"/>
      <c r="AZ325" s="418"/>
      <c r="BA325" s="418"/>
    </row>
    <row r="326" spans="40:53" ht="15.75" customHeight="1">
      <c r="AN326" s="418"/>
      <c r="AO326" s="418"/>
      <c r="AP326" s="418"/>
      <c r="AQ326" s="418"/>
      <c r="AR326" s="418"/>
      <c r="AS326" s="418"/>
      <c r="AT326" s="418"/>
      <c r="AU326" s="418"/>
      <c r="AV326" s="418"/>
      <c r="AW326" s="418"/>
      <c r="AX326" s="418"/>
      <c r="AY326" s="418"/>
      <c r="AZ326" s="418"/>
      <c r="BA326" s="418"/>
    </row>
    <row r="327" spans="40:53" ht="15.75" customHeight="1">
      <c r="AN327" s="418"/>
      <c r="AO327" s="418"/>
      <c r="AP327" s="418"/>
      <c r="AQ327" s="418"/>
      <c r="AR327" s="418"/>
      <c r="AS327" s="418"/>
      <c r="AT327" s="418"/>
      <c r="AU327" s="418"/>
      <c r="AV327" s="418"/>
      <c r="AW327" s="418"/>
      <c r="AX327" s="418"/>
      <c r="AY327" s="418"/>
      <c r="AZ327" s="418"/>
      <c r="BA327" s="418"/>
    </row>
    <row r="328" spans="40:53" ht="15.75" customHeight="1">
      <c r="AN328" s="418"/>
      <c r="AO328" s="418"/>
      <c r="AP328" s="418"/>
      <c r="AQ328" s="418"/>
      <c r="AR328" s="418"/>
      <c r="AS328" s="418"/>
      <c r="AT328" s="418"/>
      <c r="AU328" s="418"/>
      <c r="AV328" s="418"/>
      <c r="AW328" s="418"/>
      <c r="AX328" s="418"/>
      <c r="AY328" s="418"/>
      <c r="AZ328" s="418"/>
      <c r="BA328" s="418"/>
    </row>
    <row r="329" spans="40:53" ht="15.75" customHeight="1">
      <c r="AN329" s="418"/>
      <c r="AO329" s="418"/>
      <c r="AP329" s="418"/>
      <c r="AQ329" s="418"/>
      <c r="AR329" s="418"/>
      <c r="AS329" s="418"/>
      <c r="AT329" s="418"/>
      <c r="AU329" s="418"/>
      <c r="AV329" s="418"/>
      <c r="AW329" s="418"/>
      <c r="AX329" s="418"/>
      <c r="AY329" s="418"/>
      <c r="AZ329" s="418"/>
      <c r="BA329" s="418"/>
    </row>
    <row r="330" spans="40:53" ht="15.75" customHeight="1">
      <c r="AN330" s="418"/>
      <c r="AO330" s="418"/>
      <c r="AP330" s="418"/>
      <c r="AQ330" s="418"/>
      <c r="AR330" s="418"/>
      <c r="AS330" s="418"/>
      <c r="AT330" s="418"/>
      <c r="AU330" s="418"/>
      <c r="AV330" s="418"/>
      <c r="AW330" s="418"/>
      <c r="AX330" s="418"/>
      <c r="AY330" s="418"/>
      <c r="AZ330" s="418"/>
      <c r="BA330" s="418"/>
    </row>
    <row r="331" spans="40:53" ht="15.75" customHeight="1">
      <c r="AN331" s="418"/>
      <c r="AO331" s="418"/>
      <c r="AP331" s="418"/>
      <c r="AQ331" s="418"/>
      <c r="AR331" s="418"/>
      <c r="AS331" s="418"/>
      <c r="AT331" s="418"/>
      <c r="AU331" s="418"/>
      <c r="AV331" s="418"/>
      <c r="AW331" s="418"/>
      <c r="AX331" s="418"/>
      <c r="AY331" s="418"/>
      <c r="AZ331" s="418"/>
      <c r="BA331" s="418"/>
    </row>
    <row r="332" spans="40:53" ht="15.75" customHeight="1">
      <c r="AN332" s="418"/>
      <c r="AO332" s="418"/>
      <c r="AP332" s="418"/>
      <c r="AQ332" s="418"/>
      <c r="AR332" s="418"/>
      <c r="AS332" s="418"/>
      <c r="AT332" s="418"/>
      <c r="AU332" s="418"/>
      <c r="AV332" s="418"/>
      <c r="AW332" s="418"/>
      <c r="AX332" s="418"/>
      <c r="AY332" s="418"/>
      <c r="AZ332" s="418"/>
      <c r="BA332" s="418"/>
    </row>
    <row r="333" spans="40:53" ht="15.75" customHeight="1">
      <c r="AN333" s="418"/>
      <c r="AO333" s="418"/>
      <c r="AP333" s="418"/>
      <c r="AQ333" s="418"/>
      <c r="AR333" s="418"/>
      <c r="AS333" s="418"/>
      <c r="AT333" s="418"/>
      <c r="AU333" s="418"/>
      <c r="AV333" s="418"/>
      <c r="AW333" s="418"/>
      <c r="AX333" s="418"/>
      <c r="AY333" s="418"/>
      <c r="AZ333" s="418"/>
      <c r="BA333" s="418"/>
    </row>
    <row r="334" spans="40:53" ht="15.75" customHeight="1">
      <c r="AN334" s="418"/>
      <c r="AO334" s="418"/>
      <c r="AP334" s="418"/>
      <c r="AQ334" s="418"/>
      <c r="AR334" s="418"/>
      <c r="AS334" s="418"/>
      <c r="AT334" s="418"/>
      <c r="AU334" s="418"/>
      <c r="AV334" s="418"/>
      <c r="AW334" s="418"/>
      <c r="AX334" s="418"/>
      <c r="AY334" s="418"/>
      <c r="AZ334" s="418"/>
      <c r="BA334" s="418"/>
    </row>
    <row r="335" spans="40:53" ht="15.75" customHeight="1">
      <c r="AN335" s="418"/>
      <c r="AO335" s="418"/>
      <c r="AP335" s="418"/>
      <c r="AQ335" s="418"/>
      <c r="AR335" s="418"/>
      <c r="AS335" s="418"/>
      <c r="AT335" s="418"/>
      <c r="AU335" s="418"/>
      <c r="AV335" s="418"/>
      <c r="AW335" s="418"/>
      <c r="AX335" s="418"/>
      <c r="AY335" s="418"/>
      <c r="AZ335" s="418"/>
      <c r="BA335" s="418"/>
    </row>
    <row r="336" spans="40:53" ht="15.75" customHeight="1">
      <c r="AN336" s="418"/>
      <c r="AO336" s="418"/>
      <c r="AP336" s="418"/>
      <c r="AQ336" s="418"/>
      <c r="AR336" s="418"/>
      <c r="AS336" s="418"/>
      <c r="AT336" s="418"/>
      <c r="AU336" s="418"/>
      <c r="AV336" s="418"/>
      <c r="AW336" s="418"/>
      <c r="AX336" s="418"/>
      <c r="AY336" s="418"/>
      <c r="AZ336" s="418"/>
      <c r="BA336" s="418"/>
    </row>
    <row r="337" spans="40:53" ht="15.75" customHeight="1">
      <c r="AN337" s="418"/>
      <c r="AO337" s="418"/>
      <c r="AP337" s="418"/>
      <c r="AQ337" s="418"/>
      <c r="AR337" s="418"/>
      <c r="AS337" s="418"/>
      <c r="AT337" s="418"/>
      <c r="AU337" s="418"/>
      <c r="AV337" s="418"/>
      <c r="AW337" s="418"/>
      <c r="AX337" s="418"/>
      <c r="AY337" s="418"/>
      <c r="AZ337" s="418"/>
      <c r="BA337" s="418"/>
    </row>
    <row r="338" spans="40:53" ht="15.75" customHeight="1">
      <c r="AN338" s="418"/>
      <c r="AO338" s="418"/>
      <c r="AP338" s="418"/>
      <c r="AQ338" s="418"/>
      <c r="AR338" s="418"/>
      <c r="AS338" s="418"/>
      <c r="AT338" s="418"/>
      <c r="AU338" s="418"/>
      <c r="AV338" s="418"/>
      <c r="AW338" s="418"/>
      <c r="AX338" s="418"/>
      <c r="AY338" s="418"/>
      <c r="AZ338" s="418"/>
      <c r="BA338" s="418"/>
    </row>
    <row r="339" spans="40:53" ht="15.75" customHeight="1">
      <c r="AN339" s="418"/>
      <c r="AO339" s="418"/>
      <c r="AP339" s="418"/>
      <c r="AQ339" s="418"/>
      <c r="AR339" s="418"/>
      <c r="AS339" s="418"/>
      <c r="AT339" s="418"/>
      <c r="AU339" s="418"/>
      <c r="AV339" s="418"/>
      <c r="AW339" s="418"/>
      <c r="AX339" s="418"/>
      <c r="AY339" s="418"/>
      <c r="AZ339" s="418"/>
      <c r="BA339" s="418"/>
    </row>
    <row r="340" spans="40:53" ht="15.75" customHeight="1">
      <c r="AN340" s="418"/>
      <c r="AO340" s="418"/>
      <c r="AP340" s="418"/>
      <c r="AQ340" s="418"/>
      <c r="AR340" s="418"/>
      <c r="AS340" s="418"/>
      <c r="AT340" s="418"/>
      <c r="AU340" s="418"/>
      <c r="AV340" s="418"/>
      <c r="AW340" s="418"/>
      <c r="AX340" s="418"/>
      <c r="AY340" s="418"/>
      <c r="AZ340" s="418"/>
      <c r="BA340" s="418"/>
    </row>
    <row r="341" spans="40:53" ht="15.75" customHeight="1">
      <c r="AN341" s="418"/>
      <c r="AO341" s="418"/>
      <c r="AP341" s="418"/>
      <c r="AQ341" s="418"/>
      <c r="AR341" s="418"/>
      <c r="AS341" s="418"/>
      <c r="AT341" s="418"/>
      <c r="AU341" s="418"/>
      <c r="AV341" s="418"/>
      <c r="AW341" s="418"/>
      <c r="AX341" s="418"/>
      <c r="AY341" s="418"/>
      <c r="AZ341" s="418"/>
      <c r="BA341" s="418"/>
    </row>
    <row r="342" spans="40:53" ht="15.75" customHeight="1">
      <c r="AN342" s="418"/>
      <c r="AO342" s="418"/>
      <c r="AP342" s="418"/>
      <c r="AQ342" s="418"/>
      <c r="AR342" s="418"/>
      <c r="AS342" s="418"/>
      <c r="AT342" s="418"/>
      <c r="AU342" s="418"/>
      <c r="AV342" s="418"/>
      <c r="AW342" s="418"/>
      <c r="AX342" s="418"/>
      <c r="AY342" s="418"/>
      <c r="AZ342" s="418"/>
      <c r="BA342" s="418"/>
    </row>
    <row r="343" spans="40:53" ht="15.75" customHeight="1">
      <c r="AN343" s="418"/>
      <c r="AO343" s="418"/>
      <c r="AP343" s="418"/>
      <c r="AQ343" s="418"/>
      <c r="AR343" s="418"/>
      <c r="AS343" s="418"/>
      <c r="AT343" s="418"/>
      <c r="AU343" s="418"/>
      <c r="AV343" s="418"/>
      <c r="AW343" s="418"/>
      <c r="AX343" s="418"/>
      <c r="AY343" s="418"/>
      <c r="AZ343" s="418"/>
      <c r="BA343" s="418"/>
    </row>
    <row r="344" spans="40:53" ht="15.75" customHeight="1">
      <c r="AN344" s="418"/>
      <c r="AO344" s="418"/>
      <c r="AP344" s="418"/>
      <c r="AQ344" s="418"/>
      <c r="AR344" s="418"/>
      <c r="AS344" s="418"/>
      <c r="AT344" s="418"/>
      <c r="AU344" s="418"/>
      <c r="AV344" s="418"/>
      <c r="AW344" s="418"/>
      <c r="AX344" s="418"/>
      <c r="AY344" s="418"/>
      <c r="AZ344" s="418"/>
      <c r="BA344" s="418"/>
    </row>
    <row r="345" spans="40:53" ht="15.75" customHeight="1">
      <c r="AN345" s="418"/>
      <c r="AO345" s="418"/>
      <c r="AP345" s="418"/>
      <c r="AQ345" s="418"/>
      <c r="AR345" s="418"/>
      <c r="AS345" s="418"/>
      <c r="AT345" s="418"/>
      <c r="AU345" s="418"/>
      <c r="AV345" s="418"/>
      <c r="AW345" s="418"/>
      <c r="AX345" s="418"/>
      <c r="AY345" s="418"/>
      <c r="AZ345" s="418"/>
      <c r="BA345" s="418"/>
    </row>
    <row r="346" spans="40:53" ht="15.75" customHeight="1">
      <c r="AN346" s="418"/>
      <c r="AO346" s="418"/>
      <c r="AP346" s="418"/>
      <c r="AQ346" s="418"/>
      <c r="AR346" s="418"/>
      <c r="AS346" s="418"/>
      <c r="AT346" s="418"/>
      <c r="AU346" s="418"/>
      <c r="AV346" s="418"/>
      <c r="AW346" s="418"/>
      <c r="AX346" s="418"/>
      <c r="AY346" s="418"/>
      <c r="AZ346" s="418"/>
      <c r="BA346" s="418"/>
    </row>
    <row r="347" spans="40:53" ht="15.75" customHeight="1">
      <c r="AN347" s="418"/>
      <c r="AO347" s="418"/>
      <c r="AP347" s="418"/>
      <c r="AQ347" s="418"/>
      <c r="AR347" s="418"/>
      <c r="AS347" s="418"/>
      <c r="AT347" s="418"/>
      <c r="AU347" s="418"/>
      <c r="AV347" s="418"/>
      <c r="AW347" s="418"/>
      <c r="AX347" s="418"/>
      <c r="AY347" s="418"/>
      <c r="AZ347" s="418"/>
      <c r="BA347" s="418"/>
    </row>
    <row r="348" spans="40:53" ht="15.75" customHeight="1">
      <c r="AN348" s="418"/>
      <c r="AO348" s="418"/>
      <c r="AP348" s="418"/>
      <c r="AQ348" s="418"/>
      <c r="AR348" s="418"/>
      <c r="AS348" s="418"/>
      <c r="AT348" s="418"/>
      <c r="AU348" s="418"/>
      <c r="AV348" s="418"/>
      <c r="AW348" s="418"/>
      <c r="AX348" s="418"/>
      <c r="AY348" s="418"/>
      <c r="AZ348" s="418"/>
      <c r="BA348" s="418"/>
    </row>
    <row r="349" spans="40:53" ht="15.75" customHeight="1">
      <c r="AN349" s="418"/>
      <c r="AO349" s="418"/>
      <c r="AP349" s="418"/>
      <c r="AQ349" s="418"/>
      <c r="AR349" s="418"/>
      <c r="AS349" s="418"/>
      <c r="AT349" s="418"/>
      <c r="AU349" s="418"/>
      <c r="AV349" s="418"/>
      <c r="AW349" s="418"/>
      <c r="AX349" s="418"/>
      <c r="AY349" s="418"/>
      <c r="AZ349" s="418"/>
      <c r="BA349" s="418"/>
    </row>
    <row r="350" spans="40:53" ht="15.75" customHeight="1">
      <c r="AN350" s="418"/>
      <c r="AO350" s="418"/>
      <c r="AP350" s="418"/>
      <c r="AQ350" s="418"/>
      <c r="AR350" s="418"/>
      <c r="AS350" s="418"/>
      <c r="AT350" s="418"/>
      <c r="AU350" s="418"/>
      <c r="AV350" s="418"/>
      <c r="AW350" s="418"/>
      <c r="AX350" s="418"/>
      <c r="AY350" s="418"/>
      <c r="AZ350" s="418"/>
      <c r="BA350" s="418"/>
    </row>
    <row r="351" spans="40:53" ht="15.75" customHeight="1">
      <c r="AN351" s="418"/>
      <c r="AO351" s="418"/>
      <c r="AP351" s="418"/>
      <c r="AQ351" s="418"/>
      <c r="AR351" s="418"/>
      <c r="AS351" s="418"/>
      <c r="AT351" s="418"/>
      <c r="AU351" s="418"/>
      <c r="AV351" s="418"/>
      <c r="AW351" s="418"/>
      <c r="AX351" s="418"/>
      <c r="AY351" s="418"/>
      <c r="AZ351" s="418"/>
      <c r="BA351" s="418"/>
    </row>
    <row r="352" spans="40:53" ht="15.75" customHeight="1">
      <c r="AN352" s="418"/>
      <c r="AO352" s="418"/>
      <c r="AP352" s="418"/>
      <c r="AQ352" s="418"/>
      <c r="AR352" s="418"/>
      <c r="AS352" s="418"/>
      <c r="AT352" s="418"/>
      <c r="AU352" s="418"/>
      <c r="AV352" s="418"/>
      <c r="AW352" s="418"/>
      <c r="AX352" s="418"/>
      <c r="AY352" s="418"/>
      <c r="AZ352" s="418"/>
      <c r="BA352" s="418"/>
    </row>
    <row r="353" spans="40:53" ht="15.75" customHeight="1">
      <c r="AN353" s="418"/>
      <c r="AO353" s="418"/>
      <c r="AP353" s="418"/>
      <c r="AQ353" s="418"/>
      <c r="AR353" s="418"/>
      <c r="AS353" s="418"/>
      <c r="AT353" s="418"/>
      <c r="AU353" s="418"/>
      <c r="AV353" s="418"/>
      <c r="AW353" s="418"/>
      <c r="AX353" s="418"/>
      <c r="AY353" s="418"/>
      <c r="AZ353" s="418"/>
      <c r="BA353" s="418"/>
    </row>
    <row r="354" spans="40:53" ht="15.75" customHeight="1">
      <c r="AN354" s="418"/>
      <c r="AO354" s="418"/>
      <c r="AP354" s="418"/>
      <c r="AQ354" s="418"/>
      <c r="AR354" s="418"/>
      <c r="AS354" s="418"/>
      <c r="AT354" s="418"/>
      <c r="AU354" s="418"/>
      <c r="AV354" s="418"/>
      <c r="AW354" s="418"/>
      <c r="AX354" s="418"/>
      <c r="AY354" s="418"/>
      <c r="AZ354" s="418"/>
      <c r="BA354" s="418"/>
    </row>
    <row r="355" spans="40:53" ht="15.75" customHeight="1">
      <c r="AN355" s="418"/>
      <c r="AO355" s="418"/>
      <c r="AP355" s="418"/>
      <c r="AQ355" s="418"/>
      <c r="AR355" s="418"/>
      <c r="AS355" s="418"/>
      <c r="AT355" s="418"/>
      <c r="AU355" s="418"/>
      <c r="AV355" s="418"/>
      <c r="AW355" s="418"/>
      <c r="AX355" s="418"/>
      <c r="AY355" s="418"/>
      <c r="AZ355" s="418"/>
      <c r="BA355" s="418"/>
    </row>
    <row r="356" spans="40:53" ht="15.75" customHeight="1">
      <c r="AN356" s="418"/>
      <c r="AO356" s="418"/>
      <c r="AP356" s="418"/>
      <c r="AQ356" s="418"/>
      <c r="AR356" s="418"/>
      <c r="AS356" s="418"/>
      <c r="AT356" s="418"/>
      <c r="AU356" s="418"/>
      <c r="AV356" s="418"/>
      <c r="AW356" s="418"/>
      <c r="AX356" s="418"/>
      <c r="AY356" s="418"/>
      <c r="AZ356" s="418"/>
      <c r="BA356" s="418"/>
    </row>
    <row r="357" spans="40:53" ht="15.75" customHeight="1">
      <c r="AN357" s="418"/>
      <c r="AO357" s="418"/>
      <c r="AP357" s="418"/>
      <c r="AQ357" s="418"/>
      <c r="AR357" s="418"/>
      <c r="AS357" s="418"/>
      <c r="AT357" s="418"/>
      <c r="AU357" s="418"/>
      <c r="AV357" s="418"/>
      <c r="AW357" s="418"/>
      <c r="AX357" s="418"/>
      <c r="AY357" s="418"/>
      <c r="AZ357" s="418"/>
      <c r="BA357" s="418"/>
    </row>
    <row r="358" spans="40:53" ht="15.75" customHeight="1">
      <c r="AN358" s="418"/>
      <c r="AO358" s="418"/>
      <c r="AP358" s="418"/>
      <c r="AQ358" s="418"/>
      <c r="AR358" s="418"/>
      <c r="AS358" s="418"/>
      <c r="AT358" s="418"/>
      <c r="AU358" s="418"/>
      <c r="AV358" s="418"/>
      <c r="AW358" s="418"/>
      <c r="AX358" s="418"/>
      <c r="AY358" s="418"/>
      <c r="AZ358" s="418"/>
      <c r="BA358" s="418"/>
    </row>
    <row r="359" spans="40:53" ht="15.75" customHeight="1">
      <c r="AN359" s="418"/>
      <c r="AO359" s="418"/>
      <c r="AP359" s="418"/>
      <c r="AQ359" s="418"/>
      <c r="AR359" s="418"/>
      <c r="AS359" s="418"/>
      <c r="AT359" s="418"/>
      <c r="AU359" s="418"/>
      <c r="AV359" s="418"/>
      <c r="AW359" s="418"/>
      <c r="AX359" s="418"/>
      <c r="AY359" s="418"/>
      <c r="AZ359" s="418"/>
      <c r="BA359" s="418"/>
    </row>
    <row r="360" spans="40:53" ht="15.75" customHeight="1">
      <c r="AN360" s="418"/>
      <c r="AO360" s="418"/>
      <c r="AP360" s="418"/>
      <c r="AQ360" s="418"/>
      <c r="AR360" s="418"/>
      <c r="AS360" s="418"/>
      <c r="AT360" s="418"/>
      <c r="AU360" s="418"/>
      <c r="AV360" s="418"/>
      <c r="AW360" s="418"/>
      <c r="AX360" s="418"/>
      <c r="AY360" s="418"/>
      <c r="AZ360" s="418"/>
      <c r="BA360" s="418"/>
    </row>
    <row r="361" spans="40:53" ht="15.75" customHeight="1">
      <c r="AN361" s="418"/>
      <c r="AO361" s="418"/>
      <c r="AP361" s="418"/>
      <c r="AQ361" s="418"/>
      <c r="AR361" s="418"/>
      <c r="AS361" s="418"/>
      <c r="AT361" s="418"/>
      <c r="AU361" s="418"/>
      <c r="AV361" s="418"/>
      <c r="AW361" s="418"/>
      <c r="AX361" s="418"/>
      <c r="AY361" s="418"/>
      <c r="AZ361" s="418"/>
      <c r="BA361" s="418"/>
    </row>
    <row r="362" spans="40:53" ht="15.75" customHeight="1">
      <c r="AN362" s="418"/>
      <c r="AO362" s="418"/>
      <c r="AP362" s="418"/>
      <c r="AQ362" s="418"/>
      <c r="AR362" s="418"/>
      <c r="AS362" s="418"/>
      <c r="AT362" s="418"/>
      <c r="AU362" s="418"/>
      <c r="AV362" s="418"/>
      <c r="AW362" s="418"/>
      <c r="AX362" s="418"/>
      <c r="AY362" s="418"/>
      <c r="AZ362" s="418"/>
      <c r="BA362" s="418"/>
    </row>
    <row r="363" spans="40:53" ht="15.75" customHeight="1">
      <c r="AN363" s="418"/>
      <c r="AO363" s="418"/>
      <c r="AP363" s="418"/>
      <c r="AQ363" s="418"/>
      <c r="AR363" s="418"/>
      <c r="AS363" s="418"/>
      <c r="AT363" s="418"/>
      <c r="AU363" s="418"/>
      <c r="AV363" s="418"/>
      <c r="AW363" s="418"/>
      <c r="AX363" s="418"/>
      <c r="AY363" s="418"/>
      <c r="AZ363" s="418"/>
      <c r="BA363" s="418"/>
    </row>
    <row r="364" spans="40:53" ht="15.75" customHeight="1">
      <c r="AN364" s="418"/>
      <c r="AO364" s="418"/>
      <c r="AP364" s="418"/>
      <c r="AQ364" s="418"/>
      <c r="AR364" s="418"/>
      <c r="AS364" s="418"/>
      <c r="AT364" s="418"/>
      <c r="AU364" s="418"/>
      <c r="AV364" s="418"/>
      <c r="AW364" s="418"/>
      <c r="AX364" s="418"/>
      <c r="AY364" s="418"/>
      <c r="AZ364" s="418"/>
      <c r="BA364" s="418"/>
    </row>
    <row r="365" spans="40:53" ht="15.75" customHeight="1">
      <c r="AN365" s="418"/>
      <c r="AO365" s="418"/>
      <c r="AP365" s="418"/>
      <c r="AQ365" s="418"/>
      <c r="AR365" s="418"/>
      <c r="AS365" s="418"/>
      <c r="AT365" s="418"/>
      <c r="AU365" s="418"/>
      <c r="AV365" s="418"/>
      <c r="AW365" s="418"/>
      <c r="AX365" s="418"/>
      <c r="AY365" s="418"/>
      <c r="AZ365" s="418"/>
      <c r="BA365" s="418"/>
    </row>
    <row r="366" spans="40:53" ht="15.75" customHeight="1">
      <c r="AN366" s="418"/>
      <c r="AO366" s="418"/>
      <c r="AP366" s="418"/>
      <c r="AQ366" s="418"/>
      <c r="AR366" s="418"/>
      <c r="AS366" s="418"/>
      <c r="AT366" s="418"/>
      <c r="AU366" s="418"/>
      <c r="AV366" s="418"/>
      <c r="AW366" s="418"/>
      <c r="AX366" s="418"/>
      <c r="AY366" s="418"/>
      <c r="AZ366" s="418"/>
      <c r="BA366" s="418"/>
    </row>
    <row r="367" spans="40:53" ht="15.75" customHeight="1">
      <c r="AN367" s="418"/>
      <c r="AO367" s="418"/>
      <c r="AP367" s="418"/>
      <c r="AQ367" s="418"/>
      <c r="AR367" s="418"/>
      <c r="AS367" s="418"/>
      <c r="AT367" s="418"/>
      <c r="AU367" s="418"/>
      <c r="AV367" s="418"/>
      <c r="AW367" s="418"/>
      <c r="AX367" s="418"/>
      <c r="AY367" s="418"/>
      <c r="AZ367" s="418"/>
      <c r="BA367" s="418"/>
    </row>
    <row r="368" spans="40:53" ht="15.75" customHeight="1">
      <c r="AN368" s="418"/>
      <c r="AO368" s="418"/>
      <c r="AP368" s="418"/>
      <c r="AQ368" s="418"/>
      <c r="AR368" s="418"/>
      <c r="AS368" s="418"/>
      <c r="AT368" s="418"/>
      <c r="AU368" s="418"/>
      <c r="AV368" s="418"/>
      <c r="AW368" s="418"/>
      <c r="AX368" s="418"/>
      <c r="AY368" s="418"/>
      <c r="AZ368" s="418"/>
      <c r="BA368" s="418"/>
    </row>
    <row r="369" spans="40:53" ht="15.75" customHeight="1">
      <c r="AN369" s="418"/>
      <c r="AO369" s="418"/>
      <c r="AP369" s="418"/>
      <c r="AQ369" s="418"/>
      <c r="AR369" s="418"/>
      <c r="AS369" s="418"/>
      <c r="AT369" s="418"/>
      <c r="AU369" s="418"/>
      <c r="AV369" s="418"/>
      <c r="AW369" s="418"/>
      <c r="AX369" s="418"/>
      <c r="AY369" s="418"/>
      <c r="AZ369" s="418"/>
      <c r="BA369" s="418"/>
    </row>
    <row r="370" spans="40:53" ht="15.75" customHeight="1">
      <c r="AN370" s="418"/>
      <c r="AO370" s="418"/>
      <c r="AP370" s="418"/>
      <c r="AQ370" s="418"/>
      <c r="AR370" s="418"/>
      <c r="AS370" s="418"/>
      <c r="AT370" s="418"/>
      <c r="AU370" s="418"/>
      <c r="AV370" s="418"/>
      <c r="AW370" s="418"/>
      <c r="AX370" s="418"/>
      <c r="AY370" s="418"/>
      <c r="AZ370" s="418"/>
      <c r="BA370" s="418"/>
    </row>
    <row r="371" spans="40:53" ht="15.75" customHeight="1">
      <c r="AN371" s="418"/>
      <c r="AO371" s="418"/>
      <c r="AP371" s="418"/>
      <c r="AQ371" s="418"/>
      <c r="AR371" s="418"/>
      <c r="AS371" s="418"/>
      <c r="AT371" s="418"/>
      <c r="AU371" s="418"/>
      <c r="AV371" s="418"/>
      <c r="AW371" s="418"/>
      <c r="AX371" s="418"/>
      <c r="AY371" s="418"/>
      <c r="AZ371" s="418"/>
      <c r="BA371" s="418"/>
    </row>
    <row r="372" spans="40:53" ht="15.75" customHeight="1">
      <c r="AN372" s="418"/>
      <c r="AO372" s="418"/>
      <c r="AP372" s="418"/>
      <c r="AQ372" s="418"/>
      <c r="AR372" s="418"/>
      <c r="AS372" s="418"/>
      <c r="AT372" s="418"/>
      <c r="AU372" s="418"/>
      <c r="AV372" s="418"/>
      <c r="AW372" s="418"/>
      <c r="AX372" s="418"/>
      <c r="AY372" s="418"/>
      <c r="AZ372" s="418"/>
      <c r="BA372" s="418"/>
    </row>
    <row r="373" spans="40:53" ht="15.75" customHeight="1">
      <c r="AN373" s="418"/>
      <c r="AO373" s="418"/>
      <c r="AP373" s="418"/>
      <c r="AQ373" s="418"/>
      <c r="AR373" s="418"/>
      <c r="AS373" s="418"/>
      <c r="AT373" s="418"/>
      <c r="AU373" s="418"/>
      <c r="AV373" s="418"/>
      <c r="AW373" s="418"/>
      <c r="AX373" s="418"/>
      <c r="AY373" s="418"/>
      <c r="AZ373" s="418"/>
      <c r="BA373" s="418"/>
    </row>
    <row r="374" spans="40:53" ht="15.75" customHeight="1">
      <c r="AN374" s="418"/>
      <c r="AO374" s="418"/>
      <c r="AP374" s="418"/>
      <c r="AQ374" s="418"/>
      <c r="AR374" s="418"/>
      <c r="AS374" s="418"/>
      <c r="AT374" s="418"/>
      <c r="AU374" s="418"/>
      <c r="AV374" s="418"/>
      <c r="AW374" s="418"/>
      <c r="AX374" s="418"/>
      <c r="AY374" s="418"/>
      <c r="AZ374" s="418"/>
      <c r="BA374" s="418"/>
    </row>
    <row r="375" spans="40:53" ht="15.75" customHeight="1">
      <c r="AN375" s="418"/>
      <c r="AO375" s="418"/>
      <c r="AP375" s="418"/>
      <c r="AQ375" s="418"/>
      <c r="AR375" s="418"/>
      <c r="AS375" s="418"/>
      <c r="AT375" s="418"/>
      <c r="AU375" s="418"/>
      <c r="AV375" s="418"/>
      <c r="AW375" s="418"/>
      <c r="AX375" s="418"/>
      <c r="AY375" s="418"/>
      <c r="AZ375" s="418"/>
      <c r="BA375" s="418"/>
    </row>
    <row r="376" spans="40:53" ht="15.75" customHeight="1">
      <c r="AN376" s="418"/>
      <c r="AO376" s="418"/>
      <c r="AP376" s="418"/>
      <c r="AQ376" s="418"/>
      <c r="AR376" s="418"/>
      <c r="AS376" s="418"/>
      <c r="AT376" s="418"/>
      <c r="AU376" s="418"/>
      <c r="AV376" s="418"/>
      <c r="AW376" s="418"/>
      <c r="AX376" s="418"/>
      <c r="AY376" s="418"/>
      <c r="AZ376" s="418"/>
      <c r="BA376" s="418"/>
    </row>
    <row r="377" spans="40:53" ht="15.75" customHeight="1">
      <c r="AN377" s="418"/>
      <c r="AO377" s="418"/>
      <c r="AP377" s="418"/>
      <c r="AQ377" s="418"/>
      <c r="AR377" s="418"/>
      <c r="AS377" s="418"/>
      <c r="AT377" s="418"/>
      <c r="AU377" s="418"/>
      <c r="AV377" s="418"/>
      <c r="AW377" s="418"/>
      <c r="AX377" s="418"/>
      <c r="AY377" s="418"/>
      <c r="AZ377" s="418"/>
      <c r="BA377" s="418"/>
    </row>
    <row r="378" spans="40:53" ht="15.75" customHeight="1">
      <c r="AN378" s="418"/>
      <c r="AO378" s="418"/>
      <c r="AP378" s="418"/>
      <c r="AQ378" s="418"/>
      <c r="AR378" s="418"/>
      <c r="AS378" s="418"/>
      <c r="AT378" s="418"/>
      <c r="AU378" s="418"/>
      <c r="AV378" s="418"/>
      <c r="AW378" s="418"/>
      <c r="AX378" s="418"/>
      <c r="AY378" s="418"/>
      <c r="AZ378" s="418"/>
      <c r="BA378" s="418"/>
    </row>
    <row r="379" spans="40:53" ht="15.75" customHeight="1">
      <c r="AN379" s="418"/>
      <c r="AO379" s="418"/>
      <c r="AP379" s="418"/>
      <c r="AQ379" s="418"/>
      <c r="AR379" s="418"/>
      <c r="AS379" s="418"/>
      <c r="AT379" s="418"/>
      <c r="AU379" s="418"/>
      <c r="AV379" s="418"/>
      <c r="AW379" s="418"/>
      <c r="AX379" s="418"/>
      <c r="AY379" s="418"/>
      <c r="AZ379" s="418"/>
      <c r="BA379" s="418"/>
    </row>
    <row r="380" spans="40:53" ht="15.75" customHeight="1">
      <c r="AN380" s="418"/>
      <c r="AO380" s="418"/>
      <c r="AP380" s="418"/>
      <c r="AQ380" s="418"/>
      <c r="AR380" s="418"/>
      <c r="AS380" s="418"/>
      <c r="AT380" s="418"/>
      <c r="AU380" s="418"/>
      <c r="AV380" s="418"/>
      <c r="AW380" s="418"/>
      <c r="AX380" s="418"/>
      <c r="AY380" s="418"/>
      <c r="AZ380" s="418"/>
      <c r="BA380" s="418"/>
    </row>
    <row r="381" spans="40:53" ht="15.75" customHeight="1">
      <c r="AN381" s="418"/>
      <c r="AO381" s="418"/>
      <c r="AP381" s="418"/>
      <c r="AQ381" s="418"/>
      <c r="AR381" s="418"/>
      <c r="AS381" s="418"/>
      <c r="AT381" s="418"/>
      <c r="AU381" s="418"/>
      <c r="AV381" s="418"/>
      <c r="AW381" s="418"/>
      <c r="AX381" s="418"/>
      <c r="AY381" s="418"/>
      <c r="AZ381" s="418"/>
      <c r="BA381" s="418"/>
    </row>
    <row r="382" spans="40:53" ht="15.75" customHeight="1">
      <c r="AN382" s="418"/>
      <c r="AO382" s="418"/>
      <c r="AP382" s="418"/>
      <c r="AQ382" s="418"/>
      <c r="AR382" s="418"/>
      <c r="AS382" s="418"/>
      <c r="AT382" s="418"/>
      <c r="AU382" s="418"/>
      <c r="AV382" s="418"/>
      <c r="AW382" s="418"/>
      <c r="AX382" s="418"/>
      <c r="AY382" s="418"/>
      <c r="AZ382" s="418"/>
      <c r="BA382" s="418"/>
    </row>
    <row r="383" spans="40:53" ht="15.75" customHeight="1">
      <c r="AN383" s="418"/>
      <c r="AO383" s="418"/>
      <c r="AP383" s="418"/>
      <c r="AQ383" s="418"/>
      <c r="AR383" s="418"/>
      <c r="AS383" s="418"/>
      <c r="AT383" s="418"/>
      <c r="AU383" s="418"/>
      <c r="AV383" s="418"/>
      <c r="AW383" s="418"/>
      <c r="AX383" s="418"/>
      <c r="AY383" s="418"/>
      <c r="AZ383" s="418"/>
      <c r="BA383" s="418"/>
    </row>
    <row r="384" spans="40:53" ht="15.75" customHeight="1">
      <c r="AN384" s="418"/>
      <c r="AO384" s="418"/>
      <c r="AP384" s="418"/>
      <c r="AQ384" s="418"/>
      <c r="AR384" s="418"/>
      <c r="AS384" s="418"/>
      <c r="AT384" s="418"/>
      <c r="AU384" s="418"/>
      <c r="AV384" s="418"/>
      <c r="AW384" s="418"/>
      <c r="AX384" s="418"/>
      <c r="AY384" s="418"/>
      <c r="AZ384" s="418"/>
      <c r="BA384" s="418"/>
    </row>
    <row r="385" spans="40:53" ht="15.75" customHeight="1">
      <c r="AN385" s="418"/>
      <c r="AO385" s="418"/>
      <c r="AP385" s="418"/>
      <c r="AQ385" s="418"/>
      <c r="AR385" s="418"/>
      <c r="AS385" s="418"/>
      <c r="AT385" s="418"/>
      <c r="AU385" s="418"/>
      <c r="AV385" s="418"/>
      <c r="AW385" s="418"/>
      <c r="AX385" s="418"/>
      <c r="AY385" s="418"/>
      <c r="AZ385" s="418"/>
      <c r="BA385" s="418"/>
    </row>
    <row r="386" spans="40:53" ht="15.75" customHeight="1">
      <c r="AN386" s="418"/>
      <c r="AO386" s="418"/>
      <c r="AP386" s="418"/>
      <c r="AQ386" s="418"/>
      <c r="AR386" s="418"/>
      <c r="AS386" s="418"/>
      <c r="AT386" s="418"/>
      <c r="AU386" s="418"/>
      <c r="AV386" s="418"/>
      <c r="AW386" s="418"/>
      <c r="AX386" s="418"/>
      <c r="AY386" s="418"/>
      <c r="AZ386" s="418"/>
      <c r="BA386" s="418"/>
    </row>
    <row r="387" spans="40:53" ht="15.75" customHeight="1">
      <c r="AN387" s="418"/>
      <c r="AO387" s="418"/>
      <c r="AP387" s="418"/>
      <c r="AQ387" s="418"/>
      <c r="AR387" s="418"/>
      <c r="AS387" s="418"/>
      <c r="AT387" s="418"/>
      <c r="AU387" s="418"/>
      <c r="AV387" s="418"/>
      <c r="AW387" s="418"/>
      <c r="AX387" s="418"/>
      <c r="AY387" s="418"/>
      <c r="AZ387" s="418"/>
      <c r="BA387" s="418"/>
    </row>
    <row r="388" spans="40:53" ht="15.75" customHeight="1">
      <c r="AN388" s="418"/>
      <c r="AO388" s="418"/>
      <c r="AP388" s="418"/>
      <c r="AQ388" s="418"/>
      <c r="AR388" s="418"/>
      <c r="AS388" s="418"/>
      <c r="AT388" s="418"/>
      <c r="AU388" s="418"/>
      <c r="AV388" s="418"/>
      <c r="AW388" s="418"/>
      <c r="AX388" s="418"/>
      <c r="AY388" s="418"/>
      <c r="AZ388" s="418"/>
      <c r="BA388" s="418"/>
    </row>
    <row r="389" spans="40:53" ht="15.75" customHeight="1">
      <c r="AN389" s="418"/>
      <c r="AO389" s="418"/>
      <c r="AP389" s="418"/>
      <c r="AQ389" s="418"/>
      <c r="AR389" s="418"/>
      <c r="AS389" s="418"/>
      <c r="AT389" s="418"/>
      <c r="AU389" s="418"/>
      <c r="AV389" s="418"/>
      <c r="AW389" s="418"/>
      <c r="AX389" s="418"/>
      <c r="AY389" s="418"/>
      <c r="AZ389" s="418"/>
      <c r="BA389" s="418"/>
    </row>
    <row r="390" spans="40:53" ht="15.75" customHeight="1">
      <c r="AN390" s="418"/>
      <c r="AO390" s="418"/>
      <c r="AP390" s="418"/>
      <c r="AQ390" s="418"/>
      <c r="AR390" s="418"/>
      <c r="AS390" s="418"/>
      <c r="AT390" s="418"/>
      <c r="AU390" s="418"/>
      <c r="AV390" s="418"/>
      <c r="AW390" s="418"/>
      <c r="AX390" s="418"/>
      <c r="AY390" s="418"/>
      <c r="AZ390" s="418"/>
      <c r="BA390" s="418"/>
    </row>
    <row r="391" spans="40:53" ht="15.75" customHeight="1">
      <c r="AN391" s="418"/>
      <c r="AO391" s="418"/>
      <c r="AP391" s="418"/>
      <c r="AQ391" s="418"/>
      <c r="AR391" s="418"/>
      <c r="AS391" s="418"/>
      <c r="AT391" s="418"/>
      <c r="AU391" s="418"/>
      <c r="AV391" s="418"/>
      <c r="AW391" s="418"/>
      <c r="AX391" s="418"/>
      <c r="AY391" s="418"/>
      <c r="AZ391" s="418"/>
      <c r="BA391" s="418"/>
    </row>
    <row r="392" spans="40:53" ht="15.75" customHeight="1">
      <c r="AN392" s="418"/>
      <c r="AO392" s="418"/>
      <c r="AP392" s="418"/>
      <c r="AQ392" s="418"/>
      <c r="AR392" s="418"/>
      <c r="AS392" s="418"/>
      <c r="AT392" s="418"/>
      <c r="AU392" s="418"/>
      <c r="AV392" s="418"/>
      <c r="AW392" s="418"/>
      <c r="AX392" s="418"/>
      <c r="AY392" s="418"/>
      <c r="AZ392" s="418"/>
      <c r="BA392" s="418"/>
    </row>
    <row r="393" spans="40:53" ht="15.75" customHeight="1">
      <c r="AN393" s="418"/>
      <c r="AO393" s="418"/>
      <c r="AP393" s="418"/>
      <c r="AQ393" s="418"/>
      <c r="AR393" s="418"/>
      <c r="AS393" s="418"/>
      <c r="AT393" s="418"/>
      <c r="AU393" s="418"/>
      <c r="AV393" s="418"/>
      <c r="AW393" s="418"/>
      <c r="AX393" s="418"/>
      <c r="AY393" s="418"/>
      <c r="AZ393" s="418"/>
      <c r="BA393" s="418"/>
    </row>
    <row r="394" spans="40:53" ht="15.75" customHeight="1">
      <c r="AN394" s="418"/>
      <c r="AO394" s="418"/>
      <c r="AP394" s="418"/>
      <c r="AQ394" s="418"/>
      <c r="AR394" s="418"/>
      <c r="AS394" s="418"/>
      <c r="AT394" s="418"/>
      <c r="AU394" s="418"/>
      <c r="AV394" s="418"/>
      <c r="AW394" s="418"/>
      <c r="AX394" s="418"/>
      <c r="AY394" s="418"/>
      <c r="AZ394" s="418"/>
      <c r="BA394" s="418"/>
    </row>
    <row r="395" spans="40:53" ht="15.75" customHeight="1">
      <c r="AN395" s="418"/>
      <c r="AO395" s="418"/>
      <c r="AP395" s="418"/>
      <c r="AQ395" s="418"/>
      <c r="AR395" s="418"/>
      <c r="AS395" s="418"/>
      <c r="AT395" s="418"/>
      <c r="AU395" s="418"/>
      <c r="AV395" s="418"/>
      <c r="AW395" s="418"/>
      <c r="AX395" s="418"/>
      <c r="AY395" s="418"/>
      <c r="AZ395" s="418"/>
      <c r="BA395" s="418"/>
    </row>
    <row r="396" spans="40:53" ht="15.75" customHeight="1">
      <c r="AN396" s="418"/>
      <c r="AO396" s="418"/>
      <c r="AP396" s="418"/>
      <c r="AQ396" s="418"/>
      <c r="AR396" s="418"/>
      <c r="AS396" s="418"/>
      <c r="AT396" s="418"/>
      <c r="AU396" s="418"/>
      <c r="AV396" s="418"/>
      <c r="AW396" s="418"/>
      <c r="AX396" s="418"/>
      <c r="AY396" s="418"/>
      <c r="AZ396" s="418"/>
      <c r="BA396" s="418"/>
    </row>
    <row r="397" spans="40:53" ht="15.75" customHeight="1">
      <c r="AN397" s="418"/>
      <c r="AO397" s="418"/>
      <c r="AP397" s="418"/>
      <c r="AQ397" s="418"/>
      <c r="AR397" s="418"/>
      <c r="AS397" s="418"/>
      <c r="AT397" s="418"/>
      <c r="AU397" s="418"/>
      <c r="AV397" s="418"/>
      <c r="AW397" s="418"/>
      <c r="AX397" s="418"/>
      <c r="AY397" s="418"/>
      <c r="AZ397" s="418"/>
      <c r="BA397" s="418"/>
    </row>
    <row r="398" spans="40:53" ht="15.75" customHeight="1">
      <c r="AN398" s="418"/>
      <c r="AO398" s="418"/>
      <c r="AP398" s="418"/>
      <c r="AQ398" s="418"/>
      <c r="AR398" s="418"/>
      <c r="AS398" s="418"/>
      <c r="AT398" s="418"/>
      <c r="AU398" s="418"/>
      <c r="AV398" s="418"/>
      <c r="AW398" s="418"/>
      <c r="AX398" s="418"/>
      <c r="AY398" s="418"/>
      <c r="AZ398" s="418"/>
      <c r="BA398" s="418"/>
    </row>
    <row r="399" spans="40:53" ht="15.75" customHeight="1">
      <c r="AN399" s="418"/>
      <c r="AO399" s="418"/>
      <c r="AP399" s="418"/>
      <c r="AQ399" s="418"/>
      <c r="AR399" s="418"/>
      <c r="AS399" s="418"/>
      <c r="AT399" s="418"/>
      <c r="AU399" s="418"/>
      <c r="AV399" s="418"/>
      <c r="AW399" s="418"/>
      <c r="AX399" s="418"/>
      <c r="AY399" s="418"/>
      <c r="AZ399" s="418"/>
      <c r="BA399" s="418"/>
    </row>
    <row r="400" spans="40:53" ht="15.75" customHeight="1">
      <c r="AN400" s="418"/>
      <c r="AO400" s="418"/>
      <c r="AP400" s="418"/>
      <c r="AQ400" s="418"/>
      <c r="AR400" s="418"/>
      <c r="AS400" s="418"/>
      <c r="AT400" s="418"/>
      <c r="AU400" s="418"/>
      <c r="AV400" s="418"/>
      <c r="AW400" s="418"/>
      <c r="AX400" s="418"/>
      <c r="AY400" s="418"/>
      <c r="AZ400" s="418"/>
      <c r="BA400" s="418"/>
    </row>
    <row r="401" spans="40:53" ht="15.75" customHeight="1">
      <c r="AN401" s="418"/>
      <c r="AO401" s="418"/>
      <c r="AP401" s="418"/>
      <c r="AQ401" s="418"/>
      <c r="AR401" s="418"/>
      <c r="AS401" s="418"/>
      <c r="AT401" s="418"/>
      <c r="AU401" s="418"/>
      <c r="AV401" s="418"/>
      <c r="AW401" s="418"/>
      <c r="AX401" s="418"/>
      <c r="AY401" s="418"/>
      <c r="AZ401" s="418"/>
      <c r="BA401" s="418"/>
    </row>
    <row r="402" spans="40:53" ht="15.75" customHeight="1">
      <c r="AN402" s="418"/>
      <c r="AO402" s="418"/>
      <c r="AP402" s="418"/>
      <c r="AQ402" s="418"/>
      <c r="AR402" s="418"/>
      <c r="AS402" s="418"/>
      <c r="AT402" s="418"/>
      <c r="AU402" s="418"/>
      <c r="AV402" s="418"/>
      <c r="AW402" s="418"/>
      <c r="AX402" s="418"/>
      <c r="AY402" s="418"/>
      <c r="AZ402" s="418"/>
      <c r="BA402" s="418"/>
    </row>
    <row r="403" spans="40:53" ht="15.75" customHeight="1">
      <c r="AN403" s="418"/>
      <c r="AO403" s="418"/>
      <c r="AP403" s="418"/>
      <c r="AQ403" s="418"/>
      <c r="AR403" s="418"/>
      <c r="AS403" s="418"/>
      <c r="AT403" s="418"/>
      <c r="AU403" s="418"/>
      <c r="AV403" s="418"/>
      <c r="AW403" s="418"/>
      <c r="AX403" s="418"/>
      <c r="AY403" s="418"/>
      <c r="AZ403" s="418"/>
      <c r="BA403" s="418"/>
    </row>
    <row r="404" spans="40:53" ht="15.75" customHeight="1">
      <c r="AN404" s="418"/>
      <c r="AO404" s="418"/>
      <c r="AP404" s="418"/>
      <c r="AQ404" s="418"/>
      <c r="AR404" s="418"/>
      <c r="AS404" s="418"/>
      <c r="AT404" s="418"/>
      <c r="AU404" s="418"/>
      <c r="AV404" s="418"/>
      <c r="AW404" s="418"/>
      <c r="AX404" s="418"/>
      <c r="AY404" s="418"/>
      <c r="AZ404" s="418"/>
      <c r="BA404" s="418"/>
    </row>
    <row r="405" spans="40:53" ht="15.75" customHeight="1">
      <c r="AN405" s="418"/>
      <c r="AO405" s="418"/>
      <c r="AP405" s="418"/>
      <c r="AQ405" s="418"/>
      <c r="AR405" s="418"/>
      <c r="AS405" s="418"/>
      <c r="AT405" s="418"/>
      <c r="AU405" s="418"/>
      <c r="AV405" s="418"/>
      <c r="AW405" s="418"/>
      <c r="AX405" s="418"/>
      <c r="AY405" s="418"/>
      <c r="AZ405" s="418"/>
      <c r="BA405" s="418"/>
    </row>
    <row r="406" spans="40:53" ht="15.75" customHeight="1">
      <c r="AN406" s="418"/>
      <c r="AO406" s="418"/>
      <c r="AP406" s="418"/>
      <c r="AQ406" s="418"/>
      <c r="AR406" s="418"/>
      <c r="AS406" s="418"/>
      <c r="AT406" s="418"/>
      <c r="AU406" s="418"/>
      <c r="AV406" s="418"/>
      <c r="AW406" s="418"/>
      <c r="AX406" s="418"/>
      <c r="AY406" s="418"/>
      <c r="AZ406" s="418"/>
      <c r="BA406" s="418"/>
    </row>
    <row r="407" spans="40:53" ht="15.75" customHeight="1">
      <c r="AN407" s="418"/>
      <c r="AO407" s="418"/>
      <c r="AP407" s="418"/>
      <c r="AQ407" s="418"/>
      <c r="AR407" s="418"/>
      <c r="AS407" s="418"/>
      <c r="AT407" s="418"/>
      <c r="AU407" s="418"/>
      <c r="AV407" s="418"/>
      <c r="AW407" s="418"/>
      <c r="AX407" s="418"/>
      <c r="AY407" s="418"/>
      <c r="AZ407" s="418"/>
      <c r="BA407" s="418"/>
    </row>
    <row r="408" spans="40:53" ht="15.75" customHeight="1">
      <c r="AN408" s="418"/>
      <c r="AO408" s="418"/>
      <c r="AP408" s="418"/>
      <c r="AQ408" s="418"/>
      <c r="AR408" s="418"/>
      <c r="AS408" s="418"/>
      <c r="AT408" s="418"/>
      <c r="AU408" s="418"/>
      <c r="AV408" s="418"/>
      <c r="AW408" s="418"/>
      <c r="AX408" s="418"/>
      <c r="AY408" s="418"/>
      <c r="AZ408" s="418"/>
      <c r="BA408" s="418"/>
    </row>
    <row r="409" spans="40:53" ht="15.75" customHeight="1">
      <c r="AN409" s="418"/>
      <c r="AO409" s="418"/>
      <c r="AP409" s="418"/>
      <c r="AQ409" s="418"/>
      <c r="AR409" s="418"/>
      <c r="AS409" s="418"/>
      <c r="AT409" s="418"/>
      <c r="AU409" s="418"/>
      <c r="AV409" s="418"/>
      <c r="AW409" s="418"/>
      <c r="AX409" s="418"/>
      <c r="AY409" s="418"/>
      <c r="AZ409" s="418"/>
      <c r="BA409" s="418"/>
    </row>
    <row r="410" spans="40:53" ht="15.75" customHeight="1">
      <c r="AN410" s="418"/>
      <c r="AO410" s="418"/>
      <c r="AP410" s="418"/>
      <c r="AQ410" s="418"/>
      <c r="AR410" s="418"/>
      <c r="AS410" s="418"/>
      <c r="AT410" s="418"/>
      <c r="AU410" s="418"/>
      <c r="AV410" s="418"/>
      <c r="AW410" s="418"/>
      <c r="AX410" s="418"/>
      <c r="AY410" s="418"/>
      <c r="AZ410" s="418"/>
      <c r="BA410" s="418"/>
    </row>
    <row r="411" spans="40:53" ht="15.75" customHeight="1">
      <c r="AN411" s="418"/>
      <c r="AO411" s="418"/>
      <c r="AP411" s="418"/>
      <c r="AQ411" s="418"/>
      <c r="AR411" s="418"/>
      <c r="AS411" s="418"/>
      <c r="AT411" s="418"/>
      <c r="AU411" s="418"/>
      <c r="AV411" s="418"/>
      <c r="AW411" s="418"/>
      <c r="AX411" s="418"/>
      <c r="AY411" s="418"/>
      <c r="AZ411" s="418"/>
      <c r="BA411" s="418"/>
    </row>
    <row r="412" spans="40:53" ht="15.75" customHeight="1">
      <c r="AN412" s="418"/>
      <c r="AO412" s="418"/>
      <c r="AP412" s="418"/>
      <c r="AQ412" s="418"/>
      <c r="AR412" s="418"/>
      <c r="AS412" s="418"/>
      <c r="AT412" s="418"/>
      <c r="AU412" s="418"/>
      <c r="AV412" s="418"/>
      <c r="AW412" s="418"/>
      <c r="AX412" s="418"/>
      <c r="AY412" s="418"/>
      <c r="AZ412" s="418"/>
      <c r="BA412" s="418"/>
    </row>
    <row r="413" spans="40:53" ht="15.75" customHeight="1">
      <c r="AN413" s="418"/>
      <c r="AO413" s="418"/>
      <c r="AP413" s="418"/>
      <c r="AQ413" s="418"/>
      <c r="AR413" s="418"/>
      <c r="AS413" s="418"/>
      <c r="AT413" s="418"/>
      <c r="AU413" s="418"/>
      <c r="AV413" s="418"/>
      <c r="AW413" s="418"/>
      <c r="AX413" s="418"/>
      <c r="AY413" s="418"/>
      <c r="AZ413" s="418"/>
      <c r="BA413" s="418"/>
    </row>
    <row r="414" spans="40:53" ht="15.75" customHeight="1">
      <c r="AN414" s="418"/>
      <c r="AO414" s="418"/>
      <c r="AP414" s="418"/>
      <c r="AQ414" s="418"/>
      <c r="AR414" s="418"/>
      <c r="AS414" s="418"/>
      <c r="AT414" s="418"/>
      <c r="AU414" s="418"/>
      <c r="AV414" s="418"/>
      <c r="AW414" s="418"/>
      <c r="AX414" s="418"/>
      <c r="AY414" s="418"/>
      <c r="AZ414" s="418"/>
      <c r="BA414" s="418"/>
    </row>
    <row r="415" spans="40:53" ht="15.75" customHeight="1">
      <c r="AN415" s="418"/>
      <c r="AO415" s="418"/>
      <c r="AP415" s="418"/>
      <c r="AQ415" s="418"/>
      <c r="AR415" s="418"/>
      <c r="AS415" s="418"/>
      <c r="AT415" s="418"/>
      <c r="AU415" s="418"/>
      <c r="AV415" s="418"/>
      <c r="AW415" s="418"/>
      <c r="AX415" s="418"/>
      <c r="AY415" s="418"/>
      <c r="AZ415" s="418"/>
      <c r="BA415" s="418"/>
    </row>
    <row r="416" spans="40:53" ht="15.75" customHeight="1">
      <c r="AN416" s="418"/>
      <c r="AO416" s="418"/>
      <c r="AP416" s="418"/>
      <c r="AQ416" s="418"/>
      <c r="AR416" s="418"/>
      <c r="AS416" s="418"/>
      <c r="AT416" s="418"/>
      <c r="AU416" s="418"/>
      <c r="AV416" s="418"/>
      <c r="AW416" s="418"/>
      <c r="AX416" s="418"/>
      <c r="AY416" s="418"/>
      <c r="AZ416" s="418"/>
      <c r="BA416" s="418"/>
    </row>
    <row r="417" spans="40:53" ht="15.75" customHeight="1">
      <c r="AN417" s="418"/>
      <c r="AO417" s="418"/>
      <c r="AP417" s="418"/>
      <c r="AQ417" s="418"/>
      <c r="AR417" s="418"/>
      <c r="AS417" s="418"/>
      <c r="AT417" s="418"/>
      <c r="AU417" s="418"/>
      <c r="AV417" s="418"/>
      <c r="AW417" s="418"/>
      <c r="AX417" s="418"/>
      <c r="AY417" s="418"/>
      <c r="AZ417" s="418"/>
      <c r="BA417" s="418"/>
    </row>
    <row r="418" spans="40:53" ht="15.75" customHeight="1">
      <c r="AN418" s="418"/>
      <c r="AO418" s="418"/>
      <c r="AP418" s="418"/>
      <c r="AQ418" s="418"/>
      <c r="AR418" s="418"/>
      <c r="AS418" s="418"/>
      <c r="AT418" s="418"/>
      <c r="AU418" s="418"/>
      <c r="AV418" s="418"/>
      <c r="AW418" s="418"/>
      <c r="AX418" s="418"/>
      <c r="AY418" s="418"/>
      <c r="AZ418" s="418"/>
      <c r="BA418" s="418"/>
    </row>
    <row r="419" spans="40:53" ht="15.75" customHeight="1">
      <c r="AN419" s="418"/>
      <c r="AO419" s="418"/>
      <c r="AP419" s="418"/>
      <c r="AQ419" s="418"/>
      <c r="AR419" s="418"/>
      <c r="AS419" s="418"/>
      <c r="AT419" s="418"/>
      <c r="AU419" s="418"/>
      <c r="AV419" s="418"/>
      <c r="AW419" s="418"/>
      <c r="AX419" s="418"/>
      <c r="AY419" s="418"/>
      <c r="AZ419" s="418"/>
      <c r="BA419" s="418"/>
    </row>
    <row r="420" spans="40:53" ht="15.75" customHeight="1">
      <c r="AN420" s="418"/>
      <c r="AO420" s="418"/>
      <c r="AP420" s="418"/>
      <c r="AQ420" s="418"/>
      <c r="AR420" s="418"/>
      <c r="AS420" s="418"/>
      <c r="AT420" s="418"/>
      <c r="AU420" s="418"/>
      <c r="AV420" s="418"/>
      <c r="AW420" s="418"/>
      <c r="AX420" s="418"/>
      <c r="AY420" s="418"/>
      <c r="AZ420" s="418"/>
      <c r="BA420" s="418"/>
    </row>
    <row r="421" spans="40:53" ht="15.75" customHeight="1">
      <c r="AN421" s="418"/>
      <c r="AO421" s="418"/>
      <c r="AP421" s="418"/>
      <c r="AQ421" s="418"/>
      <c r="AR421" s="418"/>
      <c r="AS421" s="418"/>
      <c r="AT421" s="418"/>
      <c r="AU421" s="418"/>
      <c r="AV421" s="418"/>
      <c r="AW421" s="418"/>
      <c r="AX421" s="418"/>
      <c r="AY421" s="418"/>
      <c r="AZ421" s="418"/>
      <c r="BA421" s="418"/>
    </row>
    <row r="422" spans="40:53" ht="15.75" customHeight="1">
      <c r="AN422" s="418"/>
      <c r="AO422" s="418"/>
      <c r="AP422" s="418"/>
      <c r="AQ422" s="418"/>
      <c r="AR422" s="418"/>
      <c r="AS422" s="418"/>
      <c r="AT422" s="418"/>
      <c r="AU422" s="418"/>
      <c r="AV422" s="418"/>
      <c r="AW422" s="418"/>
      <c r="AX422" s="418"/>
      <c r="AY422" s="418"/>
      <c r="AZ422" s="418"/>
      <c r="BA422" s="418"/>
    </row>
    <row r="423" spans="40:53" ht="15.75" customHeight="1">
      <c r="AN423" s="418"/>
      <c r="AO423" s="418"/>
      <c r="AP423" s="418"/>
      <c r="AQ423" s="418"/>
      <c r="AR423" s="418"/>
      <c r="AS423" s="418"/>
      <c r="AT423" s="418"/>
      <c r="AU423" s="418"/>
      <c r="AV423" s="418"/>
      <c r="AW423" s="418"/>
      <c r="AX423" s="418"/>
      <c r="AY423" s="418"/>
      <c r="AZ423" s="418"/>
      <c r="BA423" s="418"/>
    </row>
    <row r="424" spans="40:53" ht="15.75" customHeight="1">
      <c r="AN424" s="418"/>
      <c r="AO424" s="418"/>
      <c r="AP424" s="418"/>
      <c r="AQ424" s="418"/>
      <c r="AR424" s="418"/>
      <c r="AS424" s="418"/>
      <c r="AT424" s="418"/>
      <c r="AU424" s="418"/>
      <c r="AV424" s="418"/>
      <c r="AW424" s="418"/>
      <c r="AX424" s="418"/>
      <c r="AY424" s="418"/>
      <c r="AZ424" s="418"/>
      <c r="BA424" s="418"/>
    </row>
    <row r="425" spans="40:53" ht="15.75" customHeight="1">
      <c r="AN425" s="418"/>
      <c r="AO425" s="418"/>
      <c r="AP425" s="418"/>
      <c r="AQ425" s="418"/>
      <c r="AR425" s="418"/>
      <c r="AS425" s="418"/>
      <c r="AT425" s="418"/>
      <c r="AU425" s="418"/>
      <c r="AV425" s="418"/>
      <c r="AW425" s="418"/>
      <c r="AX425" s="418"/>
      <c r="AY425" s="418"/>
      <c r="AZ425" s="418"/>
      <c r="BA425" s="418"/>
    </row>
    <row r="426" spans="40:53" ht="15.75" customHeight="1">
      <c r="AN426" s="418"/>
      <c r="AO426" s="418"/>
      <c r="AP426" s="418"/>
      <c r="AQ426" s="418"/>
      <c r="AR426" s="418"/>
      <c r="AS426" s="418"/>
      <c r="AT426" s="418"/>
      <c r="AU426" s="418"/>
      <c r="AV426" s="418"/>
      <c r="AW426" s="418"/>
      <c r="AX426" s="418"/>
      <c r="AY426" s="418"/>
      <c r="AZ426" s="418"/>
      <c r="BA426" s="418"/>
    </row>
    <row r="427" spans="40:53" ht="15.75" customHeight="1">
      <c r="AN427" s="418"/>
      <c r="AO427" s="418"/>
      <c r="AP427" s="418"/>
      <c r="AQ427" s="418"/>
      <c r="AR427" s="418"/>
      <c r="AS427" s="418"/>
      <c r="AT427" s="418"/>
      <c r="AU427" s="418"/>
      <c r="AV427" s="418"/>
      <c r="AW427" s="418"/>
      <c r="AX427" s="418"/>
      <c r="AY427" s="418"/>
      <c r="AZ427" s="418"/>
      <c r="BA427" s="418"/>
    </row>
    <row r="428" spans="40:53" ht="15.75" customHeight="1">
      <c r="AN428" s="418"/>
      <c r="AO428" s="418"/>
      <c r="AP428" s="418"/>
      <c r="AQ428" s="418"/>
      <c r="AR428" s="418"/>
      <c r="AS428" s="418"/>
      <c r="AT428" s="418"/>
      <c r="AU428" s="418"/>
      <c r="AV428" s="418"/>
      <c r="AW428" s="418"/>
      <c r="AX428" s="418"/>
      <c r="AY428" s="418"/>
      <c r="AZ428" s="418"/>
      <c r="BA428" s="418"/>
    </row>
    <row r="429" spans="40:53" ht="15.75" customHeight="1">
      <c r="AN429" s="418"/>
      <c r="AO429" s="418"/>
      <c r="AP429" s="418"/>
      <c r="AQ429" s="418"/>
      <c r="AR429" s="418"/>
      <c r="AS429" s="418"/>
      <c r="AT429" s="418"/>
      <c r="AU429" s="418"/>
      <c r="AV429" s="418"/>
      <c r="AW429" s="418"/>
      <c r="AX429" s="418"/>
      <c r="AY429" s="418"/>
      <c r="AZ429" s="418"/>
      <c r="BA429" s="418"/>
    </row>
    <row r="430" spans="40:53" ht="15.75" customHeight="1">
      <c r="AN430" s="418"/>
      <c r="AO430" s="418"/>
      <c r="AP430" s="418"/>
      <c r="AQ430" s="418"/>
      <c r="AR430" s="418"/>
      <c r="AS430" s="418"/>
      <c r="AT430" s="418"/>
      <c r="AU430" s="418"/>
      <c r="AV430" s="418"/>
      <c r="AW430" s="418"/>
      <c r="AX430" s="418"/>
      <c r="AY430" s="418"/>
      <c r="AZ430" s="418"/>
      <c r="BA430" s="418"/>
    </row>
    <row r="431" spans="40:53" ht="15.75" customHeight="1">
      <c r="AN431" s="418"/>
      <c r="AO431" s="418"/>
      <c r="AP431" s="418"/>
      <c r="AQ431" s="418"/>
      <c r="AR431" s="418"/>
      <c r="AS431" s="418"/>
      <c r="AT431" s="418"/>
      <c r="AU431" s="418"/>
      <c r="AV431" s="418"/>
      <c r="AW431" s="418"/>
      <c r="AX431" s="418"/>
      <c r="AY431" s="418"/>
      <c r="AZ431" s="418"/>
      <c r="BA431" s="418"/>
    </row>
    <row r="432" spans="40:53" ht="15.75" customHeight="1">
      <c r="AN432" s="418"/>
      <c r="AO432" s="418"/>
      <c r="AP432" s="418"/>
      <c r="AQ432" s="418"/>
      <c r="AR432" s="418"/>
      <c r="AS432" s="418"/>
      <c r="AT432" s="418"/>
      <c r="AU432" s="418"/>
      <c r="AV432" s="418"/>
      <c r="AW432" s="418"/>
      <c r="AX432" s="418"/>
      <c r="AY432" s="418"/>
      <c r="AZ432" s="418"/>
      <c r="BA432" s="418"/>
    </row>
    <row r="433" spans="40:53" ht="15.75" customHeight="1">
      <c r="AN433" s="418"/>
      <c r="AO433" s="418"/>
      <c r="AP433" s="418"/>
      <c r="AQ433" s="418"/>
      <c r="AR433" s="418"/>
      <c r="AS433" s="418"/>
      <c r="AT433" s="418"/>
      <c r="AU433" s="418"/>
      <c r="AV433" s="418"/>
      <c r="AW433" s="418"/>
      <c r="AX433" s="418"/>
      <c r="AY433" s="418"/>
      <c r="AZ433" s="418"/>
      <c r="BA433" s="418"/>
    </row>
    <row r="434" spans="40:53" ht="15.75" customHeight="1">
      <c r="AN434" s="418"/>
      <c r="AO434" s="418"/>
      <c r="AP434" s="418"/>
      <c r="AQ434" s="418"/>
      <c r="AR434" s="418"/>
      <c r="AS434" s="418"/>
      <c r="AT434" s="418"/>
      <c r="AU434" s="418"/>
      <c r="AV434" s="418"/>
      <c r="AW434" s="418"/>
      <c r="AX434" s="418"/>
      <c r="AY434" s="418"/>
      <c r="AZ434" s="418"/>
      <c r="BA434" s="418"/>
    </row>
    <row r="435" spans="40:53" ht="15.75" customHeight="1">
      <c r="AN435" s="418"/>
      <c r="AO435" s="418"/>
      <c r="AP435" s="418"/>
      <c r="AQ435" s="418"/>
      <c r="AR435" s="418"/>
      <c r="AS435" s="418"/>
      <c r="AT435" s="418"/>
      <c r="AU435" s="418"/>
      <c r="AV435" s="418"/>
      <c r="AW435" s="418"/>
      <c r="AX435" s="418"/>
      <c r="AY435" s="418"/>
      <c r="AZ435" s="418"/>
      <c r="BA435" s="418"/>
    </row>
    <row r="436" spans="40:53" ht="15.75" customHeight="1">
      <c r="AN436" s="418"/>
      <c r="AO436" s="418"/>
      <c r="AP436" s="418"/>
      <c r="AQ436" s="418"/>
      <c r="AR436" s="418"/>
      <c r="AS436" s="418"/>
      <c r="AT436" s="418"/>
      <c r="AU436" s="418"/>
      <c r="AV436" s="418"/>
      <c r="AW436" s="418"/>
      <c r="AX436" s="418"/>
      <c r="AY436" s="418"/>
      <c r="AZ436" s="418"/>
      <c r="BA436" s="418"/>
    </row>
    <row r="437" spans="40:53" ht="15.75" customHeight="1">
      <c r="AN437" s="418"/>
      <c r="AO437" s="418"/>
      <c r="AP437" s="418"/>
      <c r="AQ437" s="418"/>
      <c r="AR437" s="418"/>
      <c r="AS437" s="418"/>
      <c r="AT437" s="418"/>
      <c r="AU437" s="418"/>
      <c r="AV437" s="418"/>
      <c r="AW437" s="418"/>
      <c r="AX437" s="418"/>
      <c r="AY437" s="418"/>
      <c r="AZ437" s="418"/>
      <c r="BA437" s="418"/>
    </row>
    <row r="438" spans="40:53" ht="15.75" customHeight="1">
      <c r="AN438" s="418"/>
      <c r="AO438" s="418"/>
      <c r="AP438" s="418"/>
      <c r="AQ438" s="418"/>
      <c r="AR438" s="418"/>
      <c r="AS438" s="418"/>
      <c r="AT438" s="418"/>
      <c r="AU438" s="418"/>
      <c r="AV438" s="418"/>
      <c r="AW438" s="418"/>
      <c r="AX438" s="418"/>
      <c r="AY438" s="418"/>
      <c r="AZ438" s="418"/>
      <c r="BA438" s="418"/>
    </row>
    <row r="439" spans="40:53" ht="15.75" customHeight="1">
      <c r="AN439" s="418"/>
      <c r="AO439" s="418"/>
      <c r="AP439" s="418"/>
      <c r="AQ439" s="418"/>
      <c r="AR439" s="418"/>
      <c r="AS439" s="418"/>
      <c r="AT439" s="418"/>
      <c r="AU439" s="418"/>
      <c r="AV439" s="418"/>
      <c r="AW439" s="418"/>
      <c r="AX439" s="418"/>
      <c r="AY439" s="418"/>
      <c r="AZ439" s="418"/>
      <c r="BA439" s="418"/>
    </row>
    <row r="440" spans="40:53" ht="15.75" customHeight="1">
      <c r="AN440" s="418"/>
      <c r="AO440" s="418"/>
      <c r="AP440" s="418"/>
      <c r="AQ440" s="418"/>
      <c r="AR440" s="418"/>
      <c r="AS440" s="418"/>
      <c r="AT440" s="418"/>
      <c r="AU440" s="418"/>
      <c r="AV440" s="418"/>
      <c r="AW440" s="418"/>
      <c r="AX440" s="418"/>
      <c r="AY440" s="418"/>
      <c r="AZ440" s="418"/>
      <c r="BA440" s="418"/>
    </row>
    <row r="441" spans="40:53" ht="15.75" customHeight="1">
      <c r="AN441" s="418"/>
      <c r="AO441" s="418"/>
      <c r="AP441" s="418"/>
      <c r="AQ441" s="418"/>
      <c r="AR441" s="418"/>
      <c r="AS441" s="418"/>
      <c r="AT441" s="418"/>
      <c r="AU441" s="418"/>
      <c r="AV441" s="418"/>
      <c r="AW441" s="418"/>
      <c r="AX441" s="418"/>
      <c r="AY441" s="418"/>
      <c r="AZ441" s="418"/>
      <c r="BA441" s="418"/>
    </row>
    <row r="442" spans="40:53" ht="15.75" customHeight="1">
      <c r="AN442" s="418"/>
      <c r="AO442" s="418"/>
      <c r="AP442" s="418"/>
      <c r="AQ442" s="418"/>
      <c r="AR442" s="418"/>
      <c r="AS442" s="418"/>
      <c r="AT442" s="418"/>
      <c r="AU442" s="418"/>
      <c r="AV442" s="418"/>
      <c r="AW442" s="418"/>
      <c r="AX442" s="418"/>
      <c r="AY442" s="418"/>
      <c r="AZ442" s="418"/>
      <c r="BA442" s="418"/>
    </row>
    <row r="443" spans="40:53" ht="15.75" customHeight="1">
      <c r="AN443" s="418"/>
      <c r="AO443" s="418"/>
      <c r="AP443" s="418"/>
      <c r="AQ443" s="418"/>
      <c r="AR443" s="418"/>
      <c r="AS443" s="418"/>
      <c r="AT443" s="418"/>
      <c r="AU443" s="418"/>
      <c r="AV443" s="418"/>
      <c r="AW443" s="418"/>
      <c r="AX443" s="418"/>
      <c r="AY443" s="418"/>
      <c r="AZ443" s="418"/>
      <c r="BA443" s="418"/>
    </row>
    <row r="444" spans="40:53" ht="15.75" customHeight="1">
      <c r="AN444" s="418"/>
      <c r="AO444" s="418"/>
      <c r="AP444" s="418"/>
      <c r="AQ444" s="418"/>
      <c r="AR444" s="418"/>
      <c r="AS444" s="418"/>
      <c r="AT444" s="418"/>
      <c r="AU444" s="418"/>
      <c r="AV444" s="418"/>
      <c r="AW444" s="418"/>
      <c r="AX444" s="418"/>
      <c r="AY444" s="418"/>
      <c r="AZ444" s="418"/>
      <c r="BA444" s="418"/>
    </row>
    <row r="445" spans="40:53" ht="15.75" customHeight="1">
      <c r="AN445" s="418"/>
      <c r="AO445" s="418"/>
      <c r="AP445" s="418"/>
      <c r="AQ445" s="418"/>
      <c r="AR445" s="418"/>
      <c r="AS445" s="418"/>
      <c r="AT445" s="418"/>
      <c r="AU445" s="418"/>
      <c r="AV445" s="418"/>
      <c r="AW445" s="418"/>
      <c r="AX445" s="418"/>
      <c r="AY445" s="418"/>
      <c r="AZ445" s="418"/>
      <c r="BA445" s="418"/>
    </row>
    <row r="446" spans="40:53" ht="15.75" customHeight="1">
      <c r="AN446" s="418"/>
      <c r="AO446" s="418"/>
      <c r="AP446" s="418"/>
      <c r="AQ446" s="418"/>
      <c r="AR446" s="418"/>
      <c r="AS446" s="418"/>
      <c r="AT446" s="418"/>
      <c r="AU446" s="418"/>
      <c r="AV446" s="418"/>
      <c r="AW446" s="418"/>
      <c r="AX446" s="418"/>
      <c r="AY446" s="418"/>
      <c r="AZ446" s="418"/>
      <c r="BA446" s="418"/>
    </row>
    <row r="447" spans="40:53" ht="15.75" customHeight="1">
      <c r="AN447" s="418"/>
      <c r="AO447" s="418"/>
      <c r="AP447" s="418"/>
      <c r="AQ447" s="418"/>
      <c r="AR447" s="418"/>
      <c r="AS447" s="418"/>
      <c r="AT447" s="418"/>
      <c r="AU447" s="418"/>
      <c r="AV447" s="418"/>
      <c r="AW447" s="418"/>
      <c r="AX447" s="418"/>
      <c r="AY447" s="418"/>
      <c r="AZ447" s="418"/>
      <c r="BA447" s="418"/>
    </row>
    <row r="448" spans="40:53" ht="15.75" customHeight="1">
      <c r="AN448" s="418"/>
      <c r="AO448" s="418"/>
      <c r="AP448" s="418"/>
      <c r="AQ448" s="418"/>
      <c r="AR448" s="418"/>
      <c r="AS448" s="418"/>
      <c r="AT448" s="418"/>
      <c r="AU448" s="418"/>
      <c r="AV448" s="418"/>
      <c r="AW448" s="418"/>
      <c r="AX448" s="418"/>
      <c r="AY448" s="418"/>
      <c r="AZ448" s="418"/>
      <c r="BA448" s="418"/>
    </row>
    <row r="449" spans="40:53" ht="15.75" customHeight="1">
      <c r="AN449" s="418"/>
      <c r="AO449" s="418"/>
      <c r="AP449" s="418"/>
      <c r="AQ449" s="418"/>
      <c r="AR449" s="418"/>
      <c r="AS449" s="418"/>
      <c r="AT449" s="418"/>
      <c r="AU449" s="418"/>
      <c r="AV449" s="418"/>
      <c r="AW449" s="418"/>
      <c r="AX449" s="418"/>
      <c r="AY449" s="418"/>
      <c r="AZ449" s="418"/>
      <c r="BA449" s="418"/>
    </row>
    <row r="450" spans="40:53" ht="15.75" customHeight="1">
      <c r="AN450" s="418"/>
      <c r="AO450" s="418"/>
      <c r="AP450" s="418"/>
      <c r="AQ450" s="418"/>
      <c r="AR450" s="418"/>
      <c r="AS450" s="418"/>
      <c r="AT450" s="418"/>
      <c r="AU450" s="418"/>
      <c r="AV450" s="418"/>
      <c r="AW450" s="418"/>
      <c r="AX450" s="418"/>
      <c r="AY450" s="418"/>
      <c r="AZ450" s="418"/>
      <c r="BA450" s="418"/>
    </row>
    <row r="451" spans="40:53" ht="15.75" customHeight="1">
      <c r="AN451" s="418"/>
      <c r="AO451" s="418"/>
      <c r="AP451" s="418"/>
      <c r="AQ451" s="418"/>
      <c r="AR451" s="418"/>
      <c r="AS451" s="418"/>
      <c r="AT451" s="418"/>
      <c r="AU451" s="418"/>
      <c r="AV451" s="418"/>
      <c r="AW451" s="418"/>
      <c r="AX451" s="418"/>
      <c r="AY451" s="418"/>
      <c r="AZ451" s="418"/>
      <c r="BA451" s="418"/>
    </row>
    <row r="452" spans="40:53" ht="15.75" customHeight="1">
      <c r="AN452" s="418"/>
      <c r="AO452" s="418"/>
      <c r="AP452" s="418"/>
      <c r="AQ452" s="418"/>
      <c r="AR452" s="418"/>
      <c r="AS452" s="418"/>
      <c r="AT452" s="418"/>
      <c r="AU452" s="418"/>
      <c r="AV452" s="418"/>
      <c r="AW452" s="418"/>
      <c r="AX452" s="418"/>
      <c r="AY452" s="418"/>
      <c r="AZ452" s="418"/>
      <c r="BA452" s="418"/>
    </row>
    <row r="453" spans="40:53" ht="15.75" customHeight="1">
      <c r="AN453" s="418"/>
      <c r="AO453" s="418"/>
      <c r="AP453" s="418"/>
      <c r="AQ453" s="418"/>
      <c r="AR453" s="418"/>
      <c r="AS453" s="418"/>
      <c r="AT453" s="418"/>
      <c r="AU453" s="418"/>
      <c r="AV453" s="418"/>
      <c r="AW453" s="418"/>
      <c r="AX453" s="418"/>
      <c r="AY453" s="418"/>
      <c r="AZ453" s="418"/>
      <c r="BA453" s="418"/>
    </row>
    <row r="454" spans="40:53" ht="15.75" customHeight="1">
      <c r="AN454" s="418"/>
      <c r="AO454" s="418"/>
      <c r="AP454" s="418"/>
      <c r="AQ454" s="418"/>
      <c r="AR454" s="418"/>
      <c r="AS454" s="418"/>
      <c r="AT454" s="418"/>
      <c r="AU454" s="418"/>
      <c r="AV454" s="418"/>
      <c r="AW454" s="418"/>
      <c r="AX454" s="418"/>
      <c r="AY454" s="418"/>
      <c r="AZ454" s="418"/>
      <c r="BA454" s="418"/>
    </row>
    <row r="455" spans="40:53" ht="15.75" customHeight="1">
      <c r="AN455" s="418"/>
      <c r="AO455" s="418"/>
      <c r="AP455" s="418"/>
      <c r="AQ455" s="418"/>
      <c r="AR455" s="418"/>
      <c r="AS455" s="418"/>
      <c r="AT455" s="418"/>
      <c r="AU455" s="418"/>
      <c r="AV455" s="418"/>
      <c r="AW455" s="418"/>
      <c r="AX455" s="418"/>
      <c r="AY455" s="418"/>
      <c r="AZ455" s="418"/>
      <c r="BA455" s="418"/>
    </row>
    <row r="456" spans="40:53" ht="15.75" customHeight="1">
      <c r="AN456" s="418"/>
      <c r="AO456" s="418"/>
      <c r="AP456" s="418"/>
      <c r="AQ456" s="418"/>
      <c r="AR456" s="418"/>
      <c r="AS456" s="418"/>
      <c r="AT456" s="418"/>
      <c r="AU456" s="418"/>
      <c r="AV456" s="418"/>
      <c r="AW456" s="418"/>
      <c r="AX456" s="418"/>
      <c r="AY456" s="418"/>
      <c r="AZ456" s="418"/>
      <c r="BA456" s="418"/>
    </row>
    <row r="457" spans="40:53" ht="15.75" customHeight="1">
      <c r="AN457" s="418"/>
      <c r="AO457" s="418"/>
      <c r="AP457" s="418"/>
      <c r="AQ457" s="418"/>
      <c r="AR457" s="418"/>
      <c r="AS457" s="418"/>
      <c r="AT457" s="418"/>
      <c r="AU457" s="418"/>
      <c r="AV457" s="418"/>
      <c r="AW457" s="418"/>
      <c r="AX457" s="418"/>
      <c r="AY457" s="418"/>
      <c r="AZ457" s="418"/>
      <c r="BA457" s="418"/>
    </row>
    <row r="458" spans="40:53" ht="15.75" customHeight="1">
      <c r="AN458" s="418"/>
      <c r="AO458" s="418"/>
      <c r="AP458" s="418"/>
      <c r="AQ458" s="418"/>
      <c r="AR458" s="418"/>
      <c r="AS458" s="418"/>
      <c r="AT458" s="418"/>
      <c r="AU458" s="418"/>
      <c r="AV458" s="418"/>
      <c r="AW458" s="418"/>
      <c r="AX458" s="418"/>
      <c r="AY458" s="418"/>
      <c r="AZ458" s="418"/>
      <c r="BA458" s="418"/>
    </row>
    <row r="459" spans="40:53" ht="15.75" customHeight="1">
      <c r="AN459" s="418"/>
      <c r="AO459" s="418"/>
      <c r="AP459" s="418"/>
      <c r="AQ459" s="418"/>
      <c r="AR459" s="418"/>
      <c r="AS459" s="418"/>
      <c r="AT459" s="418"/>
      <c r="AU459" s="418"/>
      <c r="AV459" s="418"/>
      <c r="AW459" s="418"/>
      <c r="AX459" s="418"/>
      <c r="AY459" s="418"/>
      <c r="AZ459" s="418"/>
      <c r="BA459" s="418"/>
    </row>
    <row r="460" spans="40:53" ht="15.75" customHeight="1">
      <c r="AN460" s="418"/>
      <c r="AO460" s="418"/>
      <c r="AP460" s="418"/>
      <c r="AQ460" s="418"/>
      <c r="AR460" s="418"/>
      <c r="AS460" s="418"/>
      <c r="AT460" s="418"/>
      <c r="AU460" s="418"/>
      <c r="AV460" s="418"/>
      <c r="AW460" s="418"/>
      <c r="AX460" s="418"/>
      <c r="AY460" s="418"/>
      <c r="AZ460" s="418"/>
      <c r="BA460" s="418"/>
    </row>
    <row r="461" spans="40:53" ht="15.75" customHeight="1">
      <c r="AN461" s="418"/>
      <c r="AO461" s="418"/>
      <c r="AP461" s="418"/>
      <c r="AQ461" s="418"/>
      <c r="AR461" s="418"/>
      <c r="AS461" s="418"/>
      <c r="AT461" s="418"/>
      <c r="AU461" s="418"/>
      <c r="AV461" s="418"/>
      <c r="AW461" s="418"/>
      <c r="AX461" s="418"/>
      <c r="AY461" s="418"/>
      <c r="AZ461" s="418"/>
      <c r="BA461" s="418"/>
    </row>
    <row r="462" spans="40:53" ht="15.75" customHeight="1">
      <c r="AN462" s="418"/>
      <c r="AO462" s="418"/>
      <c r="AP462" s="418"/>
      <c r="AQ462" s="418"/>
      <c r="AR462" s="418"/>
      <c r="AS462" s="418"/>
      <c r="AT462" s="418"/>
      <c r="AU462" s="418"/>
      <c r="AV462" s="418"/>
      <c r="AW462" s="418"/>
      <c r="AX462" s="418"/>
      <c r="AY462" s="418"/>
      <c r="AZ462" s="418"/>
      <c r="BA462" s="418"/>
    </row>
    <row r="463" spans="40:53" ht="15.75" customHeight="1">
      <c r="AN463" s="418"/>
      <c r="AO463" s="418"/>
      <c r="AP463" s="418"/>
      <c r="AQ463" s="418"/>
      <c r="AR463" s="418"/>
      <c r="AS463" s="418"/>
      <c r="AT463" s="418"/>
      <c r="AU463" s="418"/>
      <c r="AV463" s="418"/>
      <c r="AW463" s="418"/>
      <c r="AX463" s="418"/>
      <c r="AY463" s="418"/>
      <c r="AZ463" s="418"/>
      <c r="BA463" s="418"/>
    </row>
    <row r="464" spans="40:53" ht="15.75" customHeight="1">
      <c r="AN464" s="418"/>
      <c r="AO464" s="418"/>
      <c r="AP464" s="418"/>
      <c r="AQ464" s="418"/>
      <c r="AR464" s="418"/>
      <c r="AS464" s="418"/>
      <c r="AT464" s="418"/>
      <c r="AU464" s="418"/>
      <c r="AV464" s="418"/>
      <c r="AW464" s="418"/>
      <c r="AX464" s="418"/>
      <c r="AY464" s="418"/>
      <c r="AZ464" s="418"/>
      <c r="BA464" s="418"/>
    </row>
    <row r="465" spans="40:53" ht="15.75" customHeight="1">
      <c r="AN465" s="418"/>
      <c r="AO465" s="418"/>
      <c r="AP465" s="418"/>
      <c r="AQ465" s="418"/>
      <c r="AR465" s="418"/>
      <c r="AS465" s="418"/>
      <c r="AT465" s="418"/>
      <c r="AU465" s="418"/>
      <c r="AV465" s="418"/>
      <c r="AW465" s="418"/>
      <c r="AX465" s="418"/>
      <c r="AY465" s="418"/>
      <c r="AZ465" s="418"/>
      <c r="BA465" s="418"/>
    </row>
    <row r="466" spans="40:53" ht="15.75" customHeight="1">
      <c r="AN466" s="418"/>
      <c r="AO466" s="418"/>
      <c r="AP466" s="418"/>
      <c r="AQ466" s="418"/>
      <c r="AR466" s="418"/>
      <c r="AS466" s="418"/>
      <c r="AT466" s="418"/>
      <c r="AU466" s="418"/>
      <c r="AV466" s="418"/>
      <c r="AW466" s="418"/>
      <c r="AX466" s="418"/>
      <c r="AY466" s="418"/>
      <c r="AZ466" s="418"/>
      <c r="BA466" s="418"/>
    </row>
    <row r="467" spans="40:53" ht="15.75" customHeight="1">
      <c r="AN467" s="418"/>
      <c r="AO467" s="418"/>
      <c r="AP467" s="418"/>
      <c r="AQ467" s="418"/>
      <c r="AR467" s="418"/>
      <c r="AS467" s="418"/>
      <c r="AT467" s="418"/>
      <c r="AU467" s="418"/>
      <c r="AV467" s="418"/>
      <c r="AW467" s="418"/>
      <c r="AX467" s="418"/>
      <c r="AY467" s="418"/>
      <c r="AZ467" s="418"/>
      <c r="BA467" s="418"/>
    </row>
    <row r="468" spans="40:53" ht="15.75" customHeight="1">
      <c r="AN468" s="418"/>
      <c r="AO468" s="418"/>
      <c r="AP468" s="418"/>
      <c r="AQ468" s="418"/>
      <c r="AR468" s="418"/>
      <c r="AS468" s="418"/>
      <c r="AT468" s="418"/>
      <c r="AU468" s="418"/>
      <c r="AV468" s="418"/>
      <c r="AW468" s="418"/>
      <c r="AX468" s="418"/>
      <c r="AY468" s="418"/>
      <c r="AZ468" s="418"/>
      <c r="BA468" s="418"/>
    </row>
    <row r="469" spans="40:53" ht="15.75" customHeight="1">
      <c r="AN469" s="418"/>
      <c r="AO469" s="418"/>
      <c r="AP469" s="418"/>
      <c r="AQ469" s="418"/>
      <c r="AR469" s="418"/>
      <c r="AS469" s="418"/>
      <c r="AT469" s="418"/>
      <c r="AU469" s="418"/>
      <c r="AV469" s="418"/>
      <c r="AW469" s="418"/>
      <c r="AX469" s="418"/>
      <c r="AY469" s="418"/>
      <c r="AZ469" s="418"/>
      <c r="BA469" s="418"/>
    </row>
    <row r="470" spans="40:53" ht="15.75" customHeight="1">
      <c r="AN470" s="418"/>
      <c r="AO470" s="418"/>
      <c r="AP470" s="418"/>
      <c r="AQ470" s="418"/>
      <c r="AR470" s="418"/>
      <c r="AS470" s="418"/>
      <c r="AT470" s="418"/>
      <c r="AU470" s="418"/>
      <c r="AV470" s="418"/>
      <c r="AW470" s="418"/>
      <c r="AX470" s="418"/>
      <c r="AY470" s="418"/>
      <c r="AZ470" s="418"/>
      <c r="BA470" s="418"/>
    </row>
    <row r="471" spans="40:53" ht="15.75" customHeight="1">
      <c r="AN471" s="418"/>
      <c r="AO471" s="418"/>
      <c r="AP471" s="418"/>
      <c r="AQ471" s="418"/>
      <c r="AR471" s="418"/>
      <c r="AS471" s="418"/>
      <c r="AT471" s="418"/>
      <c r="AU471" s="418"/>
      <c r="AV471" s="418"/>
      <c r="AW471" s="418"/>
      <c r="AX471" s="418"/>
      <c r="AY471" s="418"/>
      <c r="AZ471" s="418"/>
      <c r="BA471" s="418"/>
    </row>
    <row r="472" spans="40:53" ht="15.75" customHeight="1">
      <c r="AN472" s="418"/>
      <c r="AO472" s="418"/>
      <c r="AP472" s="418"/>
      <c r="AQ472" s="418"/>
      <c r="AR472" s="418"/>
      <c r="AS472" s="418"/>
      <c r="AT472" s="418"/>
      <c r="AU472" s="418"/>
      <c r="AV472" s="418"/>
      <c r="AW472" s="418"/>
      <c r="AX472" s="418"/>
      <c r="AY472" s="418"/>
      <c r="AZ472" s="418"/>
      <c r="BA472" s="418"/>
    </row>
    <row r="473" spans="40:53" ht="15.75" customHeight="1">
      <c r="AN473" s="418"/>
      <c r="AO473" s="418"/>
      <c r="AP473" s="418"/>
      <c r="AQ473" s="418"/>
      <c r="AR473" s="418"/>
      <c r="AS473" s="418"/>
      <c r="AT473" s="418"/>
      <c r="AU473" s="418"/>
      <c r="AV473" s="418"/>
      <c r="AW473" s="418"/>
      <c r="AX473" s="418"/>
      <c r="AY473" s="418"/>
      <c r="AZ473" s="418"/>
      <c r="BA473" s="418"/>
    </row>
    <row r="474" spans="40:53" ht="15.75" customHeight="1">
      <c r="AN474" s="418"/>
      <c r="AO474" s="418"/>
      <c r="AP474" s="418"/>
      <c r="AQ474" s="418"/>
      <c r="AR474" s="418"/>
      <c r="AS474" s="418"/>
      <c r="AT474" s="418"/>
      <c r="AU474" s="418"/>
      <c r="AV474" s="418"/>
      <c r="AW474" s="418"/>
      <c r="AX474" s="418"/>
      <c r="AY474" s="418"/>
      <c r="AZ474" s="418"/>
      <c r="BA474" s="418"/>
    </row>
    <row r="475" spans="40:53" ht="15.75" customHeight="1">
      <c r="AN475" s="418"/>
      <c r="AO475" s="418"/>
      <c r="AP475" s="418"/>
      <c r="AQ475" s="418"/>
      <c r="AR475" s="418"/>
      <c r="AS475" s="418"/>
      <c r="AT475" s="418"/>
      <c r="AU475" s="418"/>
      <c r="AV475" s="418"/>
      <c r="AW475" s="418"/>
      <c r="AX475" s="418"/>
      <c r="AY475" s="418"/>
      <c r="AZ475" s="418"/>
      <c r="BA475" s="418"/>
    </row>
    <row r="476" spans="40:53" ht="15.75" customHeight="1">
      <c r="AN476" s="418"/>
      <c r="AO476" s="418"/>
      <c r="AP476" s="418"/>
      <c r="AQ476" s="418"/>
      <c r="AR476" s="418"/>
      <c r="AS476" s="418"/>
      <c r="AT476" s="418"/>
      <c r="AU476" s="418"/>
      <c r="AV476" s="418"/>
      <c r="AW476" s="418"/>
      <c r="AX476" s="418"/>
      <c r="AY476" s="418"/>
      <c r="AZ476" s="418"/>
      <c r="BA476" s="418"/>
    </row>
    <row r="477" spans="40:53" ht="15.75" customHeight="1">
      <c r="AN477" s="418"/>
      <c r="AO477" s="418"/>
      <c r="AP477" s="418"/>
      <c r="AQ477" s="418"/>
      <c r="AR477" s="418"/>
      <c r="AS477" s="418"/>
      <c r="AT477" s="418"/>
      <c r="AU477" s="418"/>
      <c r="AV477" s="418"/>
      <c r="AW477" s="418"/>
      <c r="AX477" s="418"/>
      <c r="AY477" s="418"/>
      <c r="AZ477" s="418"/>
      <c r="BA477" s="418"/>
    </row>
    <row r="478" spans="40:53" ht="15.75" customHeight="1">
      <c r="AN478" s="418"/>
      <c r="AO478" s="418"/>
      <c r="AP478" s="418"/>
      <c r="AQ478" s="418"/>
      <c r="AR478" s="418"/>
      <c r="AS478" s="418"/>
      <c r="AT478" s="418"/>
      <c r="AU478" s="418"/>
      <c r="AV478" s="418"/>
      <c r="AW478" s="418"/>
      <c r="AX478" s="418"/>
      <c r="AY478" s="418"/>
      <c r="AZ478" s="418"/>
      <c r="BA478" s="418"/>
    </row>
    <row r="479" spans="40:53" ht="15.75" customHeight="1">
      <c r="AN479" s="418"/>
      <c r="AO479" s="418"/>
      <c r="AP479" s="418"/>
      <c r="AQ479" s="418"/>
      <c r="AR479" s="418"/>
      <c r="AS479" s="418"/>
      <c r="AT479" s="418"/>
      <c r="AU479" s="418"/>
      <c r="AV479" s="418"/>
      <c r="AW479" s="418"/>
      <c r="AX479" s="418"/>
      <c r="AY479" s="418"/>
      <c r="AZ479" s="418"/>
      <c r="BA479" s="418"/>
    </row>
    <row r="480" spans="40:53" ht="15.75" customHeight="1">
      <c r="AN480" s="418"/>
      <c r="AO480" s="418"/>
      <c r="AP480" s="418"/>
      <c r="AQ480" s="418"/>
      <c r="AR480" s="418"/>
      <c r="AS480" s="418"/>
      <c r="AT480" s="418"/>
      <c r="AU480" s="418"/>
      <c r="AV480" s="418"/>
      <c r="AW480" s="418"/>
      <c r="AX480" s="418"/>
      <c r="AY480" s="418"/>
      <c r="AZ480" s="418"/>
      <c r="BA480" s="418"/>
    </row>
    <row r="481" spans="40:53" ht="15.75" customHeight="1">
      <c r="AN481" s="418"/>
      <c r="AO481" s="418"/>
      <c r="AP481" s="418"/>
      <c r="AQ481" s="418"/>
      <c r="AR481" s="418"/>
      <c r="AS481" s="418"/>
      <c r="AT481" s="418"/>
      <c r="AU481" s="418"/>
      <c r="AV481" s="418"/>
      <c r="AW481" s="418"/>
      <c r="AX481" s="418"/>
      <c r="AY481" s="418"/>
      <c r="AZ481" s="418"/>
      <c r="BA481" s="418"/>
    </row>
    <row r="482" spans="40:53" ht="15.75" customHeight="1">
      <c r="AN482" s="418"/>
      <c r="AO482" s="418"/>
      <c r="AP482" s="418"/>
      <c r="AQ482" s="418"/>
      <c r="AR482" s="418"/>
      <c r="AS482" s="418"/>
      <c r="AT482" s="418"/>
      <c r="AU482" s="418"/>
      <c r="AV482" s="418"/>
      <c r="AW482" s="418"/>
      <c r="AX482" s="418"/>
      <c r="AY482" s="418"/>
      <c r="AZ482" s="418"/>
      <c r="BA482" s="418"/>
    </row>
    <row r="483" spans="40:53" ht="15.75" customHeight="1">
      <c r="AN483" s="418"/>
      <c r="AO483" s="418"/>
      <c r="AP483" s="418"/>
      <c r="AQ483" s="418"/>
      <c r="AR483" s="418"/>
      <c r="AS483" s="418"/>
      <c r="AT483" s="418"/>
      <c r="AU483" s="418"/>
      <c r="AV483" s="418"/>
      <c r="AW483" s="418"/>
      <c r="AX483" s="418"/>
      <c r="AY483" s="418"/>
      <c r="AZ483" s="418"/>
      <c r="BA483" s="418"/>
    </row>
    <row r="484" spans="40:53" ht="15.75" customHeight="1">
      <c r="AN484" s="418"/>
      <c r="AO484" s="418"/>
      <c r="AP484" s="418"/>
      <c r="AQ484" s="418"/>
      <c r="AR484" s="418"/>
      <c r="AS484" s="418"/>
      <c r="AT484" s="418"/>
      <c r="AU484" s="418"/>
      <c r="AV484" s="418"/>
      <c r="AW484" s="418"/>
      <c r="AX484" s="418"/>
      <c r="AY484" s="418"/>
      <c r="AZ484" s="418"/>
      <c r="BA484" s="418"/>
    </row>
    <row r="485" spans="40:53" ht="15.75" customHeight="1">
      <c r="AN485" s="418"/>
      <c r="AO485" s="418"/>
      <c r="AP485" s="418"/>
      <c r="AQ485" s="418"/>
      <c r="AR485" s="418"/>
      <c r="AS485" s="418"/>
      <c r="AT485" s="418"/>
      <c r="AU485" s="418"/>
      <c r="AV485" s="418"/>
      <c r="AW485" s="418"/>
      <c r="AX485" s="418"/>
      <c r="AY485" s="418"/>
      <c r="AZ485" s="418"/>
      <c r="BA485" s="418"/>
    </row>
    <row r="486" spans="40:53" ht="15.75" customHeight="1">
      <c r="AN486" s="418"/>
      <c r="AO486" s="418"/>
      <c r="AP486" s="418"/>
      <c r="AQ486" s="418"/>
      <c r="AR486" s="418"/>
      <c r="AS486" s="418"/>
      <c r="AT486" s="418"/>
      <c r="AU486" s="418"/>
      <c r="AV486" s="418"/>
      <c r="AW486" s="418"/>
      <c r="AX486" s="418"/>
      <c r="AY486" s="418"/>
      <c r="AZ486" s="418"/>
      <c r="BA486" s="418"/>
    </row>
    <row r="487" spans="40:53" ht="15.75" customHeight="1">
      <c r="AN487" s="418"/>
      <c r="AO487" s="418"/>
      <c r="AP487" s="418"/>
      <c r="AQ487" s="418"/>
      <c r="AR487" s="418"/>
      <c r="AS487" s="418"/>
      <c r="AT487" s="418"/>
      <c r="AU487" s="418"/>
      <c r="AV487" s="418"/>
      <c r="AW487" s="418"/>
      <c r="AX487" s="418"/>
      <c r="AY487" s="418"/>
      <c r="AZ487" s="418"/>
      <c r="BA487" s="418"/>
    </row>
    <row r="488" spans="40:53" ht="15.75" customHeight="1">
      <c r="AN488" s="418"/>
      <c r="AO488" s="418"/>
      <c r="AP488" s="418"/>
      <c r="AQ488" s="418"/>
      <c r="AR488" s="418"/>
      <c r="AS488" s="418"/>
      <c r="AT488" s="418"/>
      <c r="AU488" s="418"/>
      <c r="AV488" s="418"/>
      <c r="AW488" s="418"/>
      <c r="AX488" s="418"/>
      <c r="AY488" s="418"/>
      <c r="AZ488" s="418"/>
      <c r="BA488" s="418"/>
    </row>
    <row r="489" spans="40:53" ht="15.75" customHeight="1">
      <c r="AN489" s="418"/>
      <c r="AO489" s="418"/>
      <c r="AP489" s="418"/>
      <c r="AQ489" s="418"/>
      <c r="AR489" s="418"/>
      <c r="AS489" s="418"/>
      <c r="AT489" s="418"/>
      <c r="AU489" s="418"/>
      <c r="AV489" s="418"/>
      <c r="AW489" s="418"/>
      <c r="AX489" s="418"/>
      <c r="AY489" s="418"/>
      <c r="AZ489" s="418"/>
      <c r="BA489" s="418"/>
    </row>
    <row r="490" spans="40:53" ht="15.75" customHeight="1">
      <c r="AN490" s="418"/>
      <c r="AO490" s="418"/>
      <c r="AP490" s="418"/>
      <c r="AQ490" s="418"/>
      <c r="AR490" s="418"/>
      <c r="AS490" s="418"/>
      <c r="AT490" s="418"/>
      <c r="AU490" s="418"/>
      <c r="AV490" s="418"/>
      <c r="AW490" s="418"/>
      <c r="AX490" s="418"/>
      <c r="AY490" s="418"/>
      <c r="AZ490" s="418"/>
      <c r="BA490" s="418"/>
    </row>
    <row r="491" spans="40:53" ht="15.75" customHeight="1">
      <c r="AN491" s="418"/>
      <c r="AO491" s="418"/>
      <c r="AP491" s="418"/>
      <c r="AQ491" s="418"/>
      <c r="AR491" s="418"/>
      <c r="AS491" s="418"/>
      <c r="AT491" s="418"/>
      <c r="AU491" s="418"/>
      <c r="AV491" s="418"/>
      <c r="AW491" s="418"/>
      <c r="AX491" s="418"/>
      <c r="AY491" s="418"/>
      <c r="AZ491" s="418"/>
      <c r="BA491" s="418"/>
    </row>
    <row r="492" spans="40:53" ht="15.75" customHeight="1">
      <c r="AN492" s="418"/>
      <c r="AO492" s="418"/>
      <c r="AP492" s="418"/>
      <c r="AQ492" s="418"/>
      <c r="AR492" s="418"/>
      <c r="AS492" s="418"/>
      <c r="AT492" s="418"/>
      <c r="AU492" s="418"/>
      <c r="AV492" s="418"/>
      <c r="AW492" s="418"/>
      <c r="AX492" s="418"/>
      <c r="AY492" s="418"/>
      <c r="AZ492" s="418"/>
      <c r="BA492" s="418"/>
    </row>
    <row r="493" spans="40:53" ht="15.75" customHeight="1">
      <c r="AN493" s="418"/>
      <c r="AO493" s="418"/>
      <c r="AP493" s="418"/>
      <c r="AQ493" s="418"/>
      <c r="AR493" s="418"/>
      <c r="AS493" s="418"/>
      <c r="AT493" s="418"/>
      <c r="AU493" s="418"/>
      <c r="AV493" s="418"/>
      <c r="AW493" s="418"/>
      <c r="AX493" s="418"/>
      <c r="AY493" s="418"/>
      <c r="AZ493" s="418"/>
      <c r="BA493" s="418"/>
    </row>
    <row r="494" spans="40:53" ht="15.75" customHeight="1">
      <c r="AN494" s="418"/>
      <c r="AO494" s="418"/>
      <c r="AP494" s="418"/>
      <c r="AQ494" s="418"/>
      <c r="AR494" s="418"/>
      <c r="AS494" s="418"/>
      <c r="AT494" s="418"/>
      <c r="AU494" s="418"/>
      <c r="AV494" s="418"/>
      <c r="AW494" s="418"/>
      <c r="AX494" s="418"/>
      <c r="AY494" s="418"/>
      <c r="AZ494" s="418"/>
      <c r="BA494" s="418"/>
    </row>
    <row r="495" spans="40:53" ht="15.75" customHeight="1">
      <c r="AN495" s="418"/>
      <c r="AO495" s="418"/>
      <c r="AP495" s="418"/>
      <c r="AQ495" s="418"/>
      <c r="AR495" s="418"/>
      <c r="AS495" s="418"/>
      <c r="AT495" s="418"/>
      <c r="AU495" s="418"/>
      <c r="AV495" s="418"/>
      <c r="AW495" s="418"/>
      <c r="AX495" s="418"/>
      <c r="AY495" s="418"/>
      <c r="AZ495" s="418"/>
      <c r="BA495" s="418"/>
    </row>
    <row r="496" spans="40:53" ht="15.75" customHeight="1">
      <c r="AN496" s="418"/>
      <c r="AO496" s="418"/>
      <c r="AP496" s="418"/>
      <c r="AQ496" s="418"/>
      <c r="AR496" s="418"/>
      <c r="AS496" s="418"/>
      <c r="AT496" s="418"/>
      <c r="AU496" s="418"/>
      <c r="AV496" s="418"/>
      <c r="AW496" s="418"/>
      <c r="AX496" s="418"/>
      <c r="AY496" s="418"/>
      <c r="AZ496" s="418"/>
      <c r="BA496" s="418"/>
    </row>
    <row r="497" spans="40:53" ht="15.75" customHeight="1">
      <c r="AN497" s="418"/>
      <c r="AO497" s="418"/>
      <c r="AP497" s="418"/>
      <c r="AQ497" s="418"/>
      <c r="AR497" s="418"/>
      <c r="AS497" s="418"/>
      <c r="AT497" s="418"/>
      <c r="AU497" s="418"/>
      <c r="AV497" s="418"/>
      <c r="AW497" s="418"/>
      <c r="AX497" s="418"/>
      <c r="AY497" s="418"/>
      <c r="AZ497" s="418"/>
      <c r="BA497" s="418"/>
    </row>
    <row r="498" spans="40:53" ht="15.75" customHeight="1">
      <c r="AN498" s="418"/>
      <c r="AO498" s="418"/>
      <c r="AP498" s="418"/>
      <c r="AQ498" s="418"/>
      <c r="AR498" s="418"/>
      <c r="AS498" s="418"/>
      <c r="AT498" s="418"/>
      <c r="AU498" s="418"/>
      <c r="AV498" s="418"/>
      <c r="AW498" s="418"/>
      <c r="AX498" s="418"/>
      <c r="AY498" s="418"/>
      <c r="AZ498" s="418"/>
      <c r="BA498" s="418"/>
    </row>
    <row r="499" spans="40:53" ht="15.75" customHeight="1">
      <c r="AN499" s="418"/>
      <c r="AO499" s="418"/>
      <c r="AP499" s="418"/>
      <c r="AQ499" s="418"/>
      <c r="AR499" s="418"/>
      <c r="AS499" s="418"/>
      <c r="AT499" s="418"/>
      <c r="AU499" s="418"/>
      <c r="AV499" s="418"/>
      <c r="AW499" s="418"/>
      <c r="AX499" s="418"/>
      <c r="AY499" s="418"/>
      <c r="AZ499" s="418"/>
      <c r="BA499" s="418"/>
    </row>
    <row r="500" spans="40:53" ht="15.75" customHeight="1">
      <c r="AN500" s="418"/>
      <c r="AO500" s="418"/>
      <c r="AP500" s="418"/>
      <c r="AQ500" s="418"/>
      <c r="AR500" s="418"/>
      <c r="AS500" s="418"/>
      <c r="AT500" s="418"/>
      <c r="AU500" s="418"/>
      <c r="AV500" s="419"/>
      <c r="AW500" s="419"/>
      <c r="AX500" s="419"/>
      <c r="AY500" s="419"/>
      <c r="AZ500" s="419"/>
      <c r="BA500" s="419"/>
    </row>
    <row r="501" spans="40:53" ht="15.75" customHeight="1">
      <c r="AN501" s="418"/>
      <c r="AO501" s="418"/>
      <c r="AP501" s="418"/>
      <c r="AQ501" s="418"/>
      <c r="AR501" s="418"/>
      <c r="AS501" s="418"/>
      <c r="AT501" s="418"/>
      <c r="AU501" s="418"/>
      <c r="AV501" s="419"/>
      <c r="AW501" s="419"/>
      <c r="AX501" s="419"/>
      <c r="AY501" s="419"/>
      <c r="AZ501" s="419"/>
      <c r="BA501" s="419"/>
    </row>
    <row r="502" spans="40:53" ht="15.75" customHeight="1">
      <c r="AN502" s="418"/>
      <c r="AO502" s="418"/>
      <c r="AP502" s="418"/>
      <c r="AQ502" s="419"/>
      <c r="AR502" s="419"/>
      <c r="AS502" s="419"/>
      <c r="AT502" s="419"/>
      <c r="AU502" s="419"/>
      <c r="AV502" s="419"/>
      <c r="AW502" s="419"/>
      <c r="AX502" s="419"/>
      <c r="AY502" s="419"/>
      <c r="AZ502" s="419"/>
      <c r="BA502" s="419"/>
    </row>
    <row r="503" spans="40:53" ht="15.75" customHeight="1">
      <c r="AN503" s="418"/>
      <c r="AO503" s="418"/>
      <c r="AP503" s="418"/>
      <c r="AQ503" s="419"/>
      <c r="AR503" s="419"/>
      <c r="AS503" s="419"/>
      <c r="AT503" s="419"/>
      <c r="AU503" s="419"/>
      <c r="AV503" s="419"/>
      <c r="AW503" s="419"/>
      <c r="AX503" s="419"/>
      <c r="AY503" s="419"/>
      <c r="AZ503" s="419"/>
      <c r="BA503" s="419"/>
    </row>
    <row r="504" spans="40:53" ht="15.75" customHeight="1">
      <c r="AN504" s="418"/>
      <c r="AO504" s="418"/>
      <c r="AP504" s="418"/>
      <c r="AQ504" s="419"/>
      <c r="AR504" s="419"/>
      <c r="AS504" s="419"/>
      <c r="AT504" s="419"/>
      <c r="AU504" s="419"/>
      <c r="AV504" s="419"/>
      <c r="AW504" s="419"/>
      <c r="AX504" s="419"/>
      <c r="AY504" s="419"/>
      <c r="AZ504" s="419"/>
      <c r="BA504" s="419"/>
    </row>
    <row r="505" spans="40:53" ht="15.75" customHeight="1">
      <c r="AN505" s="418"/>
      <c r="AO505" s="418"/>
      <c r="AP505" s="418"/>
      <c r="AQ505" s="419"/>
      <c r="AR505" s="419"/>
      <c r="AS505" s="419"/>
      <c r="AT505" s="419"/>
      <c r="AU505" s="419"/>
      <c r="AV505" s="419"/>
      <c r="AW505" s="419"/>
      <c r="AX505" s="419"/>
      <c r="AY505" s="419"/>
      <c r="AZ505" s="419"/>
      <c r="BA505" s="419"/>
    </row>
    <row r="506" spans="40:53" ht="15.75" customHeight="1">
      <c r="AN506" s="418"/>
      <c r="AO506" s="418"/>
      <c r="AP506" s="418"/>
      <c r="AQ506" s="419"/>
      <c r="AR506" s="419"/>
      <c r="AS506" s="419"/>
      <c r="AT506" s="419"/>
      <c r="AU506" s="419"/>
      <c r="AV506" s="419"/>
      <c r="AW506" s="419"/>
      <c r="AX506" s="419"/>
      <c r="AY506" s="419"/>
      <c r="AZ506" s="419"/>
      <c r="BA506" s="419"/>
    </row>
    <row r="507" spans="40:53" ht="15.75" customHeight="1">
      <c r="AN507" s="418"/>
      <c r="AO507" s="418"/>
      <c r="AP507" s="418"/>
      <c r="AQ507" s="419"/>
      <c r="AR507" s="419"/>
      <c r="AS507" s="419"/>
      <c r="AT507" s="419"/>
      <c r="AU507" s="419"/>
      <c r="AV507" s="419"/>
      <c r="AW507" s="419"/>
      <c r="AX507" s="419"/>
      <c r="AY507" s="419"/>
      <c r="AZ507" s="419"/>
      <c r="BA507" s="419"/>
    </row>
    <row r="508" spans="40:53" ht="15.75" customHeight="1">
      <c r="AN508" s="418"/>
      <c r="AO508" s="418"/>
      <c r="AP508" s="418"/>
      <c r="AQ508" s="419"/>
      <c r="AR508" s="419"/>
      <c r="AS508" s="419"/>
      <c r="AT508" s="419"/>
      <c r="AU508" s="419"/>
      <c r="AV508" s="419"/>
      <c r="AW508" s="419"/>
      <c r="AX508" s="419"/>
      <c r="AY508" s="419"/>
      <c r="AZ508" s="419"/>
      <c r="BA508" s="419"/>
    </row>
    <row r="509" spans="40:53" ht="15.75" customHeight="1">
      <c r="AN509" s="418"/>
      <c r="AO509" s="418"/>
      <c r="AP509" s="418"/>
      <c r="AQ509" s="419"/>
      <c r="AR509" s="419"/>
      <c r="AS509" s="419"/>
      <c r="AT509" s="419"/>
      <c r="AU509" s="419"/>
      <c r="AV509" s="419"/>
      <c r="AW509" s="419"/>
      <c r="AX509" s="419"/>
      <c r="AY509" s="419"/>
      <c r="AZ509" s="419"/>
      <c r="BA509" s="419"/>
    </row>
    <row r="510" spans="40:53" ht="15.75" customHeight="1">
      <c r="AN510" s="418"/>
      <c r="AO510" s="418"/>
      <c r="AP510" s="418"/>
      <c r="AQ510" s="419"/>
      <c r="AR510" s="419"/>
      <c r="AS510" s="419"/>
      <c r="AT510" s="419"/>
      <c r="AU510" s="419"/>
      <c r="AV510" s="419"/>
      <c r="AW510" s="419"/>
      <c r="AX510" s="419"/>
      <c r="AY510" s="419"/>
      <c r="AZ510" s="419"/>
      <c r="BA510" s="419"/>
    </row>
    <row r="511" spans="40:53" ht="15.75" customHeight="1">
      <c r="AN511" s="418"/>
      <c r="AO511" s="418"/>
      <c r="AP511" s="418"/>
      <c r="AQ511" s="419"/>
      <c r="AR511" s="419"/>
      <c r="AS511" s="419"/>
      <c r="AT511" s="419"/>
      <c r="AU511" s="419"/>
      <c r="AV511" s="419"/>
      <c r="AW511" s="419"/>
      <c r="AX511" s="419"/>
      <c r="AY511" s="419"/>
      <c r="AZ511" s="419"/>
      <c r="BA511" s="419"/>
    </row>
    <row r="512" spans="40:53" ht="15.75" customHeight="1">
      <c r="AN512" s="418"/>
      <c r="AO512" s="418"/>
      <c r="AP512" s="418"/>
      <c r="AQ512" s="419"/>
      <c r="AR512" s="419"/>
      <c r="AS512" s="419"/>
      <c r="AT512" s="419"/>
      <c r="AU512" s="419"/>
      <c r="AV512" s="419"/>
      <c r="AW512" s="419"/>
      <c r="AX512" s="419"/>
      <c r="AY512" s="419"/>
      <c r="AZ512" s="419"/>
      <c r="BA512" s="419"/>
    </row>
    <row r="513" spans="40:55" ht="15.75" customHeight="1">
      <c r="AN513" s="418"/>
      <c r="AO513" s="418"/>
      <c r="AP513" s="418"/>
      <c r="AQ513" s="419"/>
      <c r="AR513" s="419"/>
      <c r="AS513" s="419"/>
      <c r="AT513" s="419"/>
      <c r="AU513" s="419"/>
      <c r="AV513" s="418"/>
      <c r="AW513" s="418"/>
      <c r="AX513" s="418"/>
      <c r="AY513" s="418"/>
      <c r="AZ513" s="418"/>
      <c r="BA513" s="418"/>
    </row>
    <row r="514" spans="40:55" ht="15.75" customHeight="1">
      <c r="AN514" s="418"/>
      <c r="AO514" s="418"/>
      <c r="AP514" s="418"/>
      <c r="AQ514" s="419"/>
      <c r="AR514" s="419"/>
      <c r="AS514" s="419"/>
      <c r="AT514" s="419"/>
      <c r="AU514" s="419"/>
      <c r="AV514" s="418"/>
      <c r="AW514" s="418"/>
      <c r="AX514" s="418"/>
      <c r="AY514" s="418"/>
      <c r="AZ514" s="418"/>
      <c r="BA514" s="418"/>
    </row>
    <row r="515" spans="40:55" ht="15.75" customHeight="1">
      <c r="AN515" s="418"/>
      <c r="AO515" s="418"/>
      <c r="AP515" s="418"/>
      <c r="AQ515" s="418"/>
      <c r="AR515" s="418"/>
      <c r="AS515" s="418"/>
      <c r="AT515" s="418"/>
      <c r="AU515" s="418"/>
      <c r="AV515" s="418"/>
      <c r="AW515" s="418"/>
      <c r="AX515" s="418"/>
      <c r="AY515" s="418"/>
      <c r="AZ515" s="418"/>
      <c r="BA515" s="418"/>
    </row>
    <row r="516" spans="40:55" ht="15.75" customHeight="1">
      <c r="AN516" s="418"/>
      <c r="AO516" s="418"/>
      <c r="AP516" s="418"/>
      <c r="AQ516" s="418"/>
      <c r="AR516" s="418"/>
      <c r="AS516" s="418"/>
      <c r="AT516" s="418"/>
      <c r="AU516" s="418"/>
      <c r="AV516" s="418"/>
      <c r="AW516" s="418"/>
      <c r="AX516" s="418"/>
      <c r="AY516" s="418"/>
      <c r="AZ516" s="418"/>
      <c r="BA516" s="418"/>
    </row>
    <row r="517" spans="40:55" ht="15.75" customHeight="1">
      <c r="AN517" s="418"/>
      <c r="AO517" s="418"/>
      <c r="AP517" s="418"/>
      <c r="AQ517" s="418"/>
      <c r="AR517" s="418"/>
      <c r="AS517" s="418"/>
      <c r="AT517" s="418"/>
      <c r="AU517" s="418"/>
      <c r="AV517" s="418"/>
      <c r="AW517" s="418"/>
      <c r="AX517" s="418"/>
      <c r="AY517" s="418"/>
      <c r="AZ517" s="418"/>
      <c r="BA517" s="418"/>
      <c r="BC517" s="1193"/>
    </row>
    <row r="518" spans="40:55" ht="15.75" customHeight="1">
      <c r="AN518" s="418"/>
      <c r="AO518" s="418"/>
      <c r="AP518" s="418"/>
      <c r="AQ518" s="418"/>
      <c r="AR518" s="418"/>
      <c r="AS518" s="418"/>
      <c r="AT518" s="418"/>
      <c r="AU518" s="418"/>
      <c r="AV518" s="419"/>
      <c r="AW518" s="419"/>
      <c r="AX518" s="419"/>
      <c r="AY518" s="419"/>
      <c r="AZ518" s="419"/>
      <c r="BA518" s="419"/>
      <c r="BC518" s="1193"/>
    </row>
    <row r="519" spans="40:55" ht="15.75" customHeight="1">
      <c r="AN519" s="418"/>
      <c r="AO519" s="418"/>
      <c r="AP519" s="418"/>
      <c r="AQ519" s="418"/>
      <c r="AR519" s="418"/>
      <c r="AS519" s="418"/>
      <c r="AT519" s="418"/>
      <c r="AU519" s="418"/>
      <c r="AV519" s="419"/>
      <c r="AW519" s="419"/>
      <c r="AX519" s="419"/>
      <c r="AY519" s="419"/>
      <c r="AZ519" s="419"/>
      <c r="BA519" s="419"/>
      <c r="BC519" s="1193"/>
    </row>
    <row r="520" spans="40:55" ht="15.75" customHeight="1">
      <c r="AN520" s="418"/>
      <c r="AO520" s="418"/>
      <c r="AP520" s="418"/>
      <c r="AQ520" s="419"/>
      <c r="AR520" s="419"/>
      <c r="AS520" s="419"/>
      <c r="AT520" s="419"/>
      <c r="AU520" s="419"/>
      <c r="AV520" s="419"/>
      <c r="AW520" s="419"/>
      <c r="AX520" s="419"/>
      <c r="AY520" s="419"/>
      <c r="AZ520" s="419"/>
      <c r="BA520" s="419"/>
      <c r="BC520" s="1193"/>
    </row>
    <row r="521" spans="40:55" ht="15.75" customHeight="1">
      <c r="AN521" s="418"/>
      <c r="AO521" s="418"/>
      <c r="AP521" s="418"/>
      <c r="AQ521" s="419"/>
      <c r="AR521" s="419"/>
      <c r="AS521" s="419"/>
      <c r="AT521" s="419"/>
      <c r="AU521" s="419"/>
      <c r="AV521" s="419"/>
      <c r="AW521" s="419"/>
      <c r="AX521" s="419"/>
      <c r="AY521" s="419"/>
      <c r="AZ521" s="419"/>
      <c r="BA521" s="419"/>
      <c r="BC521" s="1203"/>
    </row>
    <row r="522" spans="40:55" ht="15.75" customHeight="1">
      <c r="AN522" s="418"/>
      <c r="AO522" s="418"/>
      <c r="AP522" s="418"/>
      <c r="AQ522" s="419"/>
      <c r="AR522" s="419"/>
      <c r="AS522" s="419"/>
      <c r="AT522" s="419"/>
      <c r="AU522" s="419"/>
      <c r="AV522" s="419"/>
      <c r="AW522" s="419"/>
      <c r="AX522" s="419"/>
      <c r="AY522" s="419"/>
      <c r="AZ522" s="419"/>
      <c r="BA522" s="419"/>
      <c r="BC522" s="1193"/>
    </row>
    <row r="523" spans="40:55" ht="15.75" customHeight="1">
      <c r="AN523" s="418"/>
      <c r="AO523" s="418"/>
      <c r="AP523" s="418"/>
      <c r="AQ523" s="419"/>
      <c r="AR523" s="419"/>
      <c r="AS523" s="419"/>
      <c r="AT523" s="419"/>
      <c r="AU523" s="419"/>
      <c r="AV523" s="418"/>
      <c r="AW523" s="418"/>
      <c r="AX523" s="418"/>
      <c r="AY523" s="418"/>
      <c r="AZ523" s="418"/>
      <c r="BA523" s="418"/>
      <c r="BC523" s="1193"/>
    </row>
    <row r="524" spans="40:55" ht="15.75" customHeight="1">
      <c r="AN524" s="418"/>
      <c r="AO524" s="418"/>
      <c r="AP524" s="418"/>
      <c r="AQ524" s="419"/>
      <c r="AR524" s="419"/>
      <c r="AS524" s="419"/>
      <c r="AT524" s="419"/>
      <c r="AU524" s="419"/>
      <c r="AV524" s="418"/>
      <c r="AW524" s="418"/>
      <c r="AX524" s="418"/>
      <c r="AY524" s="418"/>
      <c r="AZ524" s="418"/>
      <c r="BA524" s="418"/>
      <c r="BC524" s="1193"/>
    </row>
    <row r="525" spans="40:55" ht="15.75" customHeight="1">
      <c r="AN525" s="418"/>
      <c r="AO525" s="418"/>
      <c r="AP525" s="418"/>
      <c r="AQ525" s="418"/>
      <c r="AR525" s="418"/>
      <c r="AS525" s="418"/>
      <c r="AT525" s="418"/>
      <c r="AU525" s="418"/>
      <c r="AV525" s="418"/>
      <c r="AW525" s="418"/>
      <c r="AX525" s="418"/>
      <c r="AY525" s="418"/>
      <c r="AZ525" s="418"/>
      <c r="BA525" s="418"/>
      <c r="BC525" s="1203"/>
    </row>
    <row r="526" spans="40:55" ht="15.75" customHeight="1">
      <c r="AN526" s="418"/>
      <c r="AO526" s="418"/>
      <c r="AP526" s="418"/>
      <c r="AQ526" s="418"/>
      <c r="AR526" s="418"/>
      <c r="AS526" s="418"/>
      <c r="AT526" s="418"/>
      <c r="AU526" s="418"/>
      <c r="AV526" s="419"/>
      <c r="AW526" s="419"/>
      <c r="AX526" s="419"/>
      <c r="AY526" s="419"/>
      <c r="AZ526" s="419"/>
      <c r="BA526" s="419"/>
      <c r="BC526" s="1193"/>
    </row>
    <row r="527" spans="40:55" ht="15.75" customHeight="1">
      <c r="AN527" s="418"/>
      <c r="AO527" s="418"/>
      <c r="AP527" s="418"/>
      <c r="AQ527" s="418"/>
      <c r="AR527" s="418"/>
      <c r="AS527" s="418"/>
      <c r="AT527" s="418"/>
      <c r="AU527" s="418"/>
      <c r="AV527" s="419"/>
      <c r="AW527" s="419"/>
      <c r="AX527" s="419"/>
      <c r="AY527" s="419"/>
      <c r="AZ527" s="419"/>
      <c r="BA527" s="419"/>
      <c r="BC527" s="1193"/>
    </row>
    <row r="528" spans="40:55" ht="15.75" customHeight="1">
      <c r="AN528" s="418"/>
      <c r="AO528" s="418"/>
      <c r="AP528" s="418"/>
      <c r="AQ528" s="419"/>
      <c r="AR528" s="419"/>
      <c r="AS528" s="419"/>
      <c r="AT528" s="419"/>
      <c r="AU528" s="419"/>
      <c r="AV528" s="419"/>
      <c r="AW528" s="419"/>
      <c r="AX528" s="419"/>
      <c r="AY528" s="419"/>
      <c r="AZ528" s="419"/>
      <c r="BA528" s="419"/>
      <c r="BC528" s="1193"/>
    </row>
    <row r="529" spans="40:55" ht="15.75" customHeight="1">
      <c r="AN529" s="418"/>
      <c r="AO529" s="418"/>
      <c r="AP529" s="418"/>
      <c r="AQ529" s="419"/>
      <c r="AR529" s="419"/>
      <c r="AS529" s="419"/>
      <c r="AT529" s="419"/>
      <c r="AU529" s="419"/>
      <c r="AV529" s="419"/>
      <c r="AW529" s="419"/>
      <c r="AX529" s="419"/>
      <c r="AY529" s="419"/>
      <c r="AZ529" s="419"/>
      <c r="BA529" s="419"/>
      <c r="BC529" s="1193"/>
    </row>
    <row r="530" spans="40:55" ht="15.75" customHeight="1">
      <c r="AN530" s="418"/>
      <c r="AO530" s="418"/>
      <c r="AP530" s="418"/>
      <c r="AQ530" s="419"/>
      <c r="AR530" s="419"/>
      <c r="AS530" s="419"/>
      <c r="AT530" s="419"/>
      <c r="AU530" s="419"/>
      <c r="AV530" s="419"/>
      <c r="AW530" s="419"/>
      <c r="AX530" s="419"/>
      <c r="AY530" s="419"/>
      <c r="AZ530" s="419"/>
      <c r="BA530" s="419"/>
      <c r="BC530" s="1193"/>
    </row>
    <row r="531" spans="40:55" ht="15.75" customHeight="1">
      <c r="AN531" s="418"/>
      <c r="AO531" s="418"/>
      <c r="AP531" s="418"/>
      <c r="AQ531" s="419"/>
      <c r="AR531" s="419"/>
      <c r="AS531" s="419"/>
      <c r="AT531" s="419"/>
      <c r="AU531" s="419"/>
      <c r="AV531" s="419"/>
      <c r="AW531" s="419"/>
      <c r="AX531" s="419"/>
      <c r="AY531" s="419"/>
      <c r="AZ531" s="419"/>
      <c r="BA531" s="419"/>
      <c r="BC531" s="1193"/>
    </row>
    <row r="532" spans="40:55" ht="15.75" customHeight="1">
      <c r="AN532" s="418"/>
      <c r="AO532" s="418"/>
      <c r="AP532" s="418"/>
      <c r="AQ532" s="419"/>
      <c r="AR532" s="419"/>
      <c r="AS532" s="419"/>
      <c r="AT532" s="419"/>
      <c r="AU532" s="419"/>
      <c r="AV532" s="419"/>
      <c r="AW532" s="419"/>
      <c r="AX532" s="419"/>
      <c r="AY532" s="419"/>
      <c r="AZ532" s="419"/>
      <c r="BA532" s="419"/>
    </row>
    <row r="533" spans="40:55" ht="15.75" customHeight="1">
      <c r="AN533" s="418"/>
      <c r="AO533" s="418"/>
      <c r="AP533" s="418"/>
      <c r="AQ533" s="419"/>
      <c r="AR533" s="419"/>
      <c r="AS533" s="419"/>
      <c r="AT533" s="419"/>
      <c r="AU533" s="419"/>
      <c r="AV533" s="418"/>
      <c r="AW533" s="418"/>
      <c r="AX533" s="418"/>
      <c r="AY533" s="418"/>
      <c r="AZ533" s="418"/>
      <c r="BA533" s="418"/>
    </row>
    <row r="534" spans="40:55" ht="15.75" customHeight="1">
      <c r="AN534" s="418"/>
      <c r="AO534" s="418"/>
      <c r="AP534" s="418"/>
      <c r="AQ534" s="419"/>
      <c r="AR534" s="419"/>
      <c r="AS534" s="419"/>
      <c r="AT534" s="419"/>
      <c r="AU534" s="419"/>
      <c r="AV534" s="418"/>
      <c r="AW534" s="418"/>
      <c r="AX534" s="418"/>
      <c r="AY534" s="418"/>
      <c r="AZ534" s="418"/>
      <c r="BA534" s="418"/>
    </row>
    <row r="535" spans="40:55" ht="15.75" customHeight="1">
      <c r="AN535" s="418"/>
      <c r="AO535" s="418"/>
      <c r="AP535" s="418"/>
      <c r="AQ535" s="418"/>
      <c r="AR535" s="418"/>
      <c r="AS535" s="418"/>
      <c r="AT535" s="418"/>
      <c r="AU535" s="418"/>
      <c r="AV535" s="418"/>
      <c r="AW535" s="418"/>
      <c r="AX535" s="418"/>
      <c r="AY535" s="418"/>
      <c r="AZ535" s="418"/>
      <c r="BA535" s="418"/>
    </row>
    <row r="536" spans="40:55" ht="15.75" customHeight="1">
      <c r="AN536" s="418"/>
      <c r="AO536" s="418"/>
      <c r="AP536" s="418"/>
      <c r="AQ536" s="418"/>
      <c r="AR536" s="418"/>
      <c r="AS536" s="418"/>
      <c r="AT536" s="418"/>
      <c r="AU536" s="418"/>
      <c r="AV536" s="418"/>
      <c r="AW536" s="418"/>
      <c r="AX536" s="418"/>
      <c r="AY536" s="418"/>
      <c r="AZ536" s="418"/>
      <c r="BA536" s="418"/>
    </row>
    <row r="537" spans="40:55" ht="15.75" customHeight="1">
      <c r="AN537" s="418"/>
      <c r="AO537" s="418"/>
      <c r="AP537" s="418"/>
      <c r="AQ537" s="418"/>
      <c r="AR537" s="418"/>
      <c r="AS537" s="418"/>
      <c r="AT537" s="418"/>
      <c r="AU537" s="418"/>
      <c r="AV537" s="418"/>
      <c r="AW537" s="418"/>
      <c r="AX537" s="418"/>
      <c r="AY537" s="418"/>
      <c r="AZ537" s="418"/>
      <c r="BA537" s="418"/>
    </row>
    <row r="538" spans="40:55" ht="15.75" customHeight="1">
      <c r="AN538" s="418"/>
      <c r="AO538" s="418"/>
      <c r="AP538" s="418"/>
      <c r="AQ538" s="418"/>
      <c r="AR538" s="418"/>
      <c r="AS538" s="418"/>
      <c r="AT538" s="418"/>
      <c r="AU538" s="418"/>
      <c r="AV538" s="418"/>
      <c r="AW538" s="418"/>
      <c r="AX538" s="418"/>
      <c r="AY538" s="418"/>
      <c r="AZ538" s="418"/>
      <c r="BA538" s="418"/>
    </row>
    <row r="539" spans="40:55" ht="15.75" customHeight="1">
      <c r="AN539" s="418"/>
      <c r="AO539" s="418"/>
      <c r="AP539" s="418"/>
      <c r="AQ539" s="418"/>
      <c r="AR539" s="418"/>
      <c r="AS539" s="418"/>
      <c r="AT539" s="418"/>
      <c r="AU539" s="418"/>
      <c r="AV539" s="418"/>
      <c r="AW539" s="418"/>
      <c r="AX539" s="418"/>
      <c r="AY539" s="418"/>
      <c r="AZ539" s="418"/>
      <c r="BA539" s="418"/>
    </row>
    <row r="540" spans="40:55" ht="15.75" customHeight="1">
      <c r="AN540" s="418"/>
      <c r="AO540" s="418"/>
      <c r="AP540" s="418"/>
      <c r="AQ540" s="418"/>
      <c r="AR540" s="418"/>
      <c r="AS540" s="418"/>
      <c r="AT540" s="418"/>
      <c r="AU540" s="418"/>
      <c r="AV540" s="418"/>
      <c r="AW540" s="418"/>
      <c r="AX540" s="418"/>
      <c r="AY540" s="418"/>
      <c r="AZ540" s="418"/>
      <c r="BA540" s="418"/>
    </row>
    <row r="541" spans="40:55" ht="15.75" customHeight="1">
      <c r="AN541" s="418"/>
      <c r="AO541" s="418"/>
      <c r="AP541" s="418"/>
      <c r="AQ541" s="418"/>
      <c r="AR541" s="418"/>
      <c r="AS541" s="418"/>
      <c r="AT541" s="418"/>
      <c r="AU541" s="418"/>
      <c r="AV541" s="418"/>
      <c r="AW541" s="418"/>
      <c r="AX541" s="418"/>
      <c r="AY541" s="418"/>
      <c r="AZ541" s="418"/>
      <c r="BA541" s="418"/>
    </row>
    <row r="542" spans="40:55" ht="15.75" customHeight="1">
      <c r="AN542" s="418"/>
      <c r="AO542" s="418"/>
      <c r="AP542" s="418"/>
      <c r="AQ542" s="418"/>
      <c r="AR542" s="418"/>
      <c r="AS542" s="418"/>
      <c r="AT542" s="418"/>
      <c r="AU542" s="418"/>
      <c r="AV542" s="418"/>
      <c r="AW542" s="418"/>
      <c r="AX542" s="418"/>
      <c r="AY542" s="418"/>
      <c r="AZ542" s="418"/>
      <c r="BA542" s="418"/>
    </row>
    <row r="543" spans="40:55" ht="15.75" customHeight="1">
      <c r="AN543" s="418"/>
      <c r="AO543" s="418"/>
      <c r="AP543" s="418"/>
      <c r="AQ543" s="418"/>
      <c r="AR543" s="418"/>
      <c r="AS543" s="418"/>
      <c r="AT543" s="418"/>
      <c r="AU543" s="418"/>
      <c r="AV543" s="418"/>
      <c r="AW543" s="418"/>
      <c r="AX543" s="418"/>
      <c r="AY543" s="418"/>
      <c r="AZ543" s="418"/>
      <c r="BA543" s="418"/>
    </row>
    <row r="544" spans="40:55" ht="15.75" customHeight="1">
      <c r="AN544" s="418"/>
      <c r="AO544" s="418"/>
      <c r="AP544" s="418"/>
      <c r="AQ544" s="418"/>
      <c r="AR544" s="418"/>
      <c r="AS544" s="418"/>
      <c r="AT544" s="418"/>
      <c r="AU544" s="418"/>
      <c r="AV544" s="418"/>
      <c r="AW544" s="418"/>
      <c r="AX544" s="418"/>
      <c r="AY544" s="418"/>
      <c r="AZ544" s="418"/>
      <c r="BA544" s="418"/>
    </row>
    <row r="545" spans="40:53" ht="15.75" customHeight="1">
      <c r="AN545" s="418"/>
      <c r="AO545" s="418"/>
      <c r="AP545" s="418"/>
      <c r="AQ545" s="418"/>
      <c r="AR545" s="418"/>
      <c r="AS545" s="418"/>
      <c r="AT545" s="418"/>
      <c r="AU545" s="418"/>
      <c r="AV545" s="418"/>
      <c r="AW545" s="418"/>
      <c r="AX545" s="418"/>
      <c r="AY545" s="418"/>
      <c r="AZ545" s="418"/>
      <c r="BA545" s="418"/>
    </row>
    <row r="546" spans="40:53" ht="15.75" customHeight="1">
      <c r="AN546" s="418"/>
      <c r="AO546" s="418"/>
      <c r="AP546" s="418"/>
      <c r="AQ546" s="418"/>
      <c r="AR546" s="418"/>
      <c r="AS546" s="418"/>
      <c r="AT546" s="418"/>
      <c r="AU546" s="418"/>
      <c r="AV546" s="418"/>
      <c r="AW546" s="418"/>
      <c r="AX546" s="418"/>
      <c r="AY546" s="418"/>
      <c r="AZ546" s="418"/>
      <c r="BA546" s="418"/>
    </row>
    <row r="547" spans="40:53" ht="15.75" customHeight="1">
      <c r="AN547" s="418"/>
      <c r="AO547" s="418"/>
      <c r="AP547" s="418"/>
      <c r="AQ547" s="418"/>
      <c r="AR547" s="418"/>
      <c r="AS547" s="418"/>
      <c r="AT547" s="418"/>
      <c r="AU547" s="418"/>
      <c r="AV547" s="418"/>
      <c r="AW547" s="418"/>
      <c r="AX547" s="418"/>
      <c r="AY547" s="418"/>
      <c r="AZ547" s="418"/>
      <c r="BA547" s="418"/>
    </row>
    <row r="548" spans="40:53" ht="15.75" customHeight="1">
      <c r="AN548" s="418"/>
      <c r="AO548" s="418"/>
      <c r="AP548" s="418"/>
      <c r="AQ548" s="418"/>
      <c r="AR548" s="418"/>
      <c r="AS548" s="418"/>
      <c r="AT548" s="418"/>
      <c r="AU548" s="418"/>
      <c r="AV548" s="418"/>
      <c r="AW548" s="418"/>
      <c r="AX548" s="418"/>
      <c r="AY548" s="418"/>
      <c r="AZ548" s="418"/>
      <c r="BA548" s="418"/>
    </row>
    <row r="549" spans="40:53" ht="15.75" customHeight="1">
      <c r="AN549" s="418"/>
      <c r="AO549" s="418"/>
      <c r="AP549" s="418"/>
      <c r="AQ549" s="418"/>
      <c r="AR549" s="418"/>
      <c r="AS549" s="418"/>
      <c r="AT549" s="418"/>
      <c r="AU549" s="418"/>
      <c r="AV549" s="418"/>
      <c r="AW549" s="418"/>
      <c r="AX549" s="418"/>
      <c r="AY549" s="418"/>
      <c r="AZ549" s="418"/>
      <c r="BA549" s="418"/>
    </row>
    <row r="550" spans="40:53" ht="15.75" customHeight="1">
      <c r="AN550" s="418"/>
      <c r="AO550" s="418"/>
      <c r="AP550" s="418"/>
      <c r="AQ550" s="418"/>
      <c r="AR550" s="418"/>
      <c r="AS550" s="418"/>
      <c r="AT550" s="418"/>
      <c r="AU550" s="418"/>
      <c r="AV550" s="418"/>
      <c r="AW550" s="418"/>
      <c r="AX550" s="418"/>
      <c r="AY550" s="418"/>
      <c r="AZ550" s="418"/>
      <c r="BA550" s="418"/>
    </row>
    <row r="551" spans="40:53" ht="15.75" customHeight="1">
      <c r="AN551" s="418"/>
      <c r="AO551" s="418"/>
      <c r="AP551" s="418"/>
      <c r="AQ551" s="418"/>
      <c r="AR551" s="418"/>
      <c r="AS551" s="418"/>
      <c r="AT551" s="418"/>
      <c r="AU551" s="418"/>
      <c r="AV551" s="418"/>
      <c r="AW551" s="418"/>
      <c r="AX551" s="418"/>
      <c r="AY551" s="418"/>
      <c r="AZ551" s="418"/>
      <c r="BA551" s="418"/>
    </row>
    <row r="552" spans="40:53" ht="15.75" customHeight="1">
      <c r="AN552" s="418"/>
      <c r="AO552" s="418"/>
      <c r="AP552" s="418"/>
      <c r="AQ552" s="418"/>
      <c r="AR552" s="418"/>
      <c r="AS552" s="418"/>
      <c r="AT552" s="418"/>
      <c r="AU552" s="418"/>
      <c r="AV552" s="418"/>
      <c r="AW552" s="418"/>
      <c r="AX552" s="418"/>
      <c r="AY552" s="418"/>
      <c r="AZ552" s="418"/>
      <c r="BA552" s="418"/>
    </row>
    <row r="553" spans="40:53" ht="15.75" customHeight="1">
      <c r="AN553" s="418"/>
      <c r="AO553" s="418"/>
      <c r="AP553" s="418"/>
      <c r="AQ553" s="418"/>
      <c r="AR553" s="418"/>
      <c r="AS553" s="418"/>
      <c r="AT553" s="418"/>
      <c r="AU553" s="418"/>
      <c r="AV553" s="418"/>
      <c r="AW553" s="418"/>
      <c r="AX553" s="418"/>
      <c r="AY553" s="418"/>
      <c r="AZ553" s="418"/>
      <c r="BA553" s="418"/>
    </row>
    <row r="554" spans="40:53" ht="15.75" customHeight="1">
      <c r="AN554" s="418"/>
      <c r="AO554" s="418"/>
      <c r="AP554" s="418"/>
      <c r="AQ554" s="418"/>
      <c r="AR554" s="418"/>
      <c r="AS554" s="418"/>
      <c r="AT554" s="418"/>
      <c r="AU554" s="418"/>
      <c r="AV554" s="418"/>
      <c r="AW554" s="418"/>
      <c r="AX554" s="418"/>
      <c r="AY554" s="418"/>
      <c r="AZ554" s="418"/>
      <c r="BA554" s="418"/>
    </row>
    <row r="555" spans="40:53" ht="15.75" customHeight="1">
      <c r="AN555" s="418"/>
      <c r="AO555" s="418"/>
      <c r="AP555" s="418"/>
      <c r="AQ555" s="418"/>
      <c r="AR555" s="418"/>
      <c r="AS555" s="418"/>
      <c r="AT555" s="418"/>
      <c r="AU555" s="418"/>
      <c r="AV555" s="418"/>
      <c r="AW555" s="418"/>
      <c r="AX555" s="418"/>
      <c r="AY555" s="418"/>
      <c r="AZ555" s="418"/>
      <c r="BA555" s="418"/>
    </row>
    <row r="556" spans="40:53" ht="15.75" customHeight="1">
      <c r="AN556" s="418"/>
      <c r="AO556" s="418"/>
      <c r="AP556" s="418"/>
      <c r="AQ556" s="418"/>
      <c r="AR556" s="418"/>
      <c r="AS556" s="418"/>
      <c r="AT556" s="418"/>
      <c r="AU556" s="418"/>
      <c r="AV556" s="418"/>
      <c r="AW556" s="418"/>
      <c r="AX556" s="418"/>
      <c r="AY556" s="418"/>
      <c r="AZ556" s="418"/>
      <c r="BA556" s="418"/>
    </row>
    <row r="557" spans="40:53" ht="15.75" customHeight="1">
      <c r="AN557" s="418"/>
      <c r="AO557" s="418"/>
      <c r="AP557" s="418"/>
      <c r="AQ557" s="418"/>
      <c r="AR557" s="418"/>
      <c r="AS557" s="418"/>
      <c r="AT557" s="418"/>
      <c r="AU557" s="418"/>
      <c r="AV557" s="418"/>
      <c r="AW557" s="418"/>
      <c r="AX557" s="418"/>
      <c r="AY557" s="418"/>
      <c r="AZ557" s="418"/>
      <c r="BA557" s="418"/>
    </row>
    <row r="558" spans="40:53" ht="15.75" customHeight="1">
      <c r="AN558" s="418"/>
      <c r="AO558" s="418"/>
      <c r="AP558" s="418"/>
      <c r="AQ558" s="418"/>
      <c r="AR558" s="418"/>
      <c r="AS558" s="418"/>
      <c r="AT558" s="418"/>
      <c r="AU558" s="418"/>
      <c r="AV558" s="418"/>
      <c r="AW558" s="418"/>
      <c r="AX558" s="418"/>
      <c r="AY558" s="418"/>
      <c r="AZ558" s="418"/>
      <c r="BA558" s="418"/>
    </row>
    <row r="559" spans="40:53" ht="15.75" customHeight="1">
      <c r="AN559" s="418"/>
      <c r="AO559" s="418"/>
      <c r="AP559" s="418"/>
      <c r="AQ559" s="418"/>
      <c r="AR559" s="418"/>
      <c r="AS559" s="418"/>
      <c r="AT559" s="418"/>
      <c r="AU559" s="418"/>
      <c r="AV559" s="418"/>
      <c r="AW559" s="418"/>
      <c r="AX559" s="418"/>
      <c r="AY559" s="418"/>
      <c r="AZ559" s="418"/>
      <c r="BA559" s="418"/>
    </row>
    <row r="560" spans="40:53" ht="15.75" customHeight="1">
      <c r="AN560" s="418"/>
      <c r="AO560" s="418"/>
      <c r="AP560" s="418"/>
      <c r="AQ560" s="418"/>
      <c r="AR560" s="418"/>
      <c r="AS560" s="418"/>
      <c r="AT560" s="418"/>
      <c r="AU560" s="418"/>
      <c r="AV560" s="418"/>
      <c r="AW560" s="418"/>
      <c r="AX560" s="418"/>
      <c r="AY560" s="418"/>
      <c r="AZ560" s="418"/>
      <c r="BA560" s="418"/>
    </row>
    <row r="561" spans="40:53" ht="15.75" customHeight="1">
      <c r="AN561" s="418"/>
      <c r="AO561" s="418"/>
      <c r="AP561" s="418"/>
      <c r="AQ561" s="418"/>
      <c r="AR561" s="418"/>
      <c r="AS561" s="418"/>
      <c r="AT561" s="418"/>
      <c r="AU561" s="418"/>
      <c r="AV561" s="418"/>
      <c r="AW561" s="418"/>
      <c r="AX561" s="418"/>
      <c r="AY561" s="418"/>
      <c r="AZ561" s="418"/>
      <c r="BA561" s="418"/>
    </row>
    <row r="562" spans="40:53" ht="15.75" customHeight="1">
      <c r="AN562" s="418"/>
      <c r="AO562" s="418"/>
      <c r="AP562" s="418"/>
      <c r="AQ562" s="418"/>
      <c r="AR562" s="418"/>
      <c r="AS562" s="418"/>
      <c r="AT562" s="418"/>
      <c r="AU562" s="418"/>
      <c r="AV562" s="418"/>
      <c r="AW562" s="418"/>
      <c r="AX562" s="418"/>
      <c r="AY562" s="418"/>
      <c r="AZ562" s="418"/>
      <c r="BA562" s="418"/>
    </row>
    <row r="563" spans="40:53" ht="15.75" customHeight="1">
      <c r="AN563" s="418"/>
      <c r="AO563" s="418"/>
      <c r="AP563" s="418"/>
      <c r="AQ563" s="418"/>
      <c r="AR563" s="418"/>
      <c r="AS563" s="418"/>
      <c r="AT563" s="418"/>
      <c r="AU563" s="418"/>
      <c r="AV563" s="418"/>
      <c r="AW563" s="418"/>
      <c r="AX563" s="418"/>
      <c r="AY563" s="418"/>
      <c r="AZ563" s="418"/>
      <c r="BA563" s="418"/>
    </row>
    <row r="564" spans="40:53" ht="15.75" customHeight="1">
      <c r="AN564" s="418"/>
      <c r="AO564" s="418"/>
      <c r="AP564" s="418"/>
      <c r="AQ564" s="418"/>
      <c r="AR564" s="418"/>
      <c r="AS564" s="418"/>
      <c r="AT564" s="418"/>
      <c r="AU564" s="418"/>
      <c r="AV564" s="418"/>
      <c r="AW564" s="418"/>
      <c r="AX564" s="418"/>
      <c r="AY564" s="418"/>
      <c r="AZ564" s="418"/>
      <c r="BA564" s="418"/>
    </row>
    <row r="565" spans="40:53" ht="15.75" customHeight="1">
      <c r="AN565" s="418"/>
      <c r="AO565" s="418"/>
      <c r="AP565" s="418"/>
      <c r="AQ565" s="418"/>
      <c r="AR565" s="418"/>
      <c r="AS565" s="418"/>
      <c r="AT565" s="418"/>
      <c r="AU565" s="418"/>
      <c r="AV565" s="418"/>
      <c r="AW565" s="418"/>
      <c r="AX565" s="418"/>
      <c r="AY565" s="418"/>
      <c r="AZ565" s="418"/>
      <c r="BA565" s="418"/>
    </row>
    <row r="566" spans="40:53" ht="15.75" customHeight="1">
      <c r="AN566" s="418"/>
      <c r="AO566" s="418"/>
      <c r="AP566" s="418"/>
      <c r="AQ566" s="418"/>
      <c r="AR566" s="418"/>
      <c r="AS566" s="418"/>
      <c r="AT566" s="418"/>
      <c r="AU566" s="418"/>
      <c r="AV566" s="418"/>
      <c r="AW566" s="418"/>
      <c r="AX566" s="418"/>
      <c r="AY566" s="418"/>
      <c r="AZ566" s="418"/>
      <c r="BA566" s="418"/>
    </row>
    <row r="567" spans="40:53" ht="15.75" customHeight="1">
      <c r="AN567" s="418"/>
      <c r="AO567" s="418"/>
      <c r="AP567" s="418"/>
      <c r="AQ567" s="418"/>
      <c r="AR567" s="418"/>
      <c r="AS567" s="418"/>
      <c r="AT567" s="418"/>
      <c r="AU567" s="418"/>
      <c r="AV567" s="418"/>
      <c r="AW567" s="418"/>
      <c r="AX567" s="418"/>
      <c r="AY567" s="418"/>
      <c r="AZ567" s="418"/>
      <c r="BA567" s="418"/>
    </row>
    <row r="568" spans="40:53" ht="15.75" customHeight="1">
      <c r="AN568" s="418"/>
      <c r="AO568" s="418"/>
      <c r="AP568" s="418"/>
      <c r="AQ568" s="418"/>
      <c r="AR568" s="418"/>
      <c r="AS568" s="418"/>
      <c r="AT568" s="418"/>
      <c r="AU568" s="418"/>
      <c r="AV568" s="418"/>
      <c r="AW568" s="418"/>
      <c r="AX568" s="418"/>
      <c r="AY568" s="418"/>
      <c r="AZ568" s="418"/>
      <c r="BA568" s="418"/>
    </row>
    <row r="569" spans="40:53" ht="15.75" customHeight="1">
      <c r="AN569" s="418"/>
      <c r="AO569" s="418"/>
      <c r="AP569" s="418"/>
      <c r="AQ569" s="418"/>
      <c r="AR569" s="418"/>
      <c r="AS569" s="418"/>
      <c r="AT569" s="418"/>
      <c r="AU569" s="418"/>
      <c r="AV569" s="418"/>
      <c r="AW569" s="418"/>
      <c r="AX569" s="418"/>
      <c r="AY569" s="418"/>
      <c r="AZ569" s="418"/>
      <c r="BA569" s="418"/>
    </row>
    <row r="570" spans="40:53" ht="15.75" customHeight="1">
      <c r="AN570" s="418"/>
      <c r="AO570" s="418"/>
      <c r="AP570" s="418"/>
      <c r="AQ570" s="418"/>
      <c r="AR570" s="418"/>
      <c r="AS570" s="418"/>
      <c r="AT570" s="418"/>
      <c r="AU570" s="418"/>
      <c r="AV570" s="418"/>
      <c r="AW570" s="418"/>
      <c r="AX570" s="418"/>
      <c r="AY570" s="418"/>
      <c r="AZ570" s="418"/>
      <c r="BA570" s="418"/>
    </row>
    <row r="571" spans="40:53" ht="15.75" customHeight="1">
      <c r="AN571" s="418"/>
      <c r="AO571" s="418"/>
      <c r="AP571" s="418"/>
      <c r="AQ571" s="418"/>
      <c r="AR571" s="418"/>
      <c r="AS571" s="418"/>
      <c r="AT571" s="418"/>
      <c r="AU571" s="418"/>
      <c r="AV571" s="418"/>
      <c r="AW571" s="418"/>
      <c r="AX571" s="418"/>
      <c r="AY571" s="418"/>
      <c r="AZ571" s="418"/>
      <c r="BA571" s="418"/>
    </row>
    <row r="572" spans="40:53" ht="15.75" customHeight="1">
      <c r="AN572" s="418"/>
      <c r="AO572" s="418"/>
      <c r="AP572" s="418"/>
      <c r="AQ572" s="418"/>
      <c r="AR572" s="418"/>
      <c r="AS572" s="418"/>
      <c r="AT572" s="418"/>
      <c r="AU572" s="418"/>
      <c r="AV572" s="418"/>
      <c r="AW572" s="418"/>
      <c r="AX572" s="418"/>
      <c r="AY572" s="418"/>
      <c r="AZ572" s="418"/>
      <c r="BA572" s="418"/>
    </row>
    <row r="573" spans="40:53" ht="15.75" customHeight="1">
      <c r="AN573" s="418"/>
      <c r="AO573" s="418"/>
      <c r="AP573" s="418"/>
      <c r="AQ573" s="418"/>
      <c r="AR573" s="418"/>
      <c r="AS573" s="418"/>
      <c r="AT573" s="418"/>
      <c r="AU573" s="418"/>
      <c r="AV573" s="418"/>
      <c r="AW573" s="418"/>
      <c r="AX573" s="418"/>
      <c r="AY573" s="418"/>
      <c r="AZ573" s="418"/>
      <c r="BA573" s="418"/>
    </row>
    <row r="574" spans="40:53" ht="15.75" customHeight="1">
      <c r="AN574" s="418"/>
      <c r="AO574" s="418"/>
      <c r="AP574" s="418"/>
      <c r="AQ574" s="418"/>
      <c r="AR574" s="418"/>
      <c r="AS574" s="418"/>
      <c r="AT574" s="418"/>
      <c r="AU574" s="418"/>
      <c r="AV574" s="418"/>
      <c r="AW574" s="418"/>
      <c r="AX574" s="418"/>
      <c r="AY574" s="418"/>
      <c r="AZ574" s="418"/>
      <c r="BA574" s="418"/>
    </row>
    <row r="575" spans="40:53" ht="15.75" customHeight="1">
      <c r="AN575" s="418"/>
      <c r="AO575" s="418"/>
      <c r="AP575" s="418"/>
      <c r="AQ575" s="418"/>
      <c r="AR575" s="418"/>
      <c r="AS575" s="418"/>
      <c r="AT575" s="418"/>
      <c r="AU575" s="418"/>
      <c r="AV575" s="418"/>
      <c r="AW575" s="418"/>
      <c r="AX575" s="418"/>
      <c r="AY575" s="418"/>
      <c r="AZ575" s="418"/>
      <c r="BA575" s="418"/>
    </row>
    <row r="576" spans="40:53" ht="15.75" customHeight="1">
      <c r="AN576" s="418"/>
      <c r="AO576" s="418"/>
      <c r="AP576" s="418"/>
      <c r="AQ576" s="418"/>
      <c r="AR576" s="418"/>
      <c r="AS576" s="418"/>
      <c r="AT576" s="418"/>
      <c r="AU576" s="418"/>
      <c r="AV576" s="418"/>
      <c r="AW576" s="418"/>
      <c r="AX576" s="418"/>
      <c r="AY576" s="418"/>
      <c r="AZ576" s="418"/>
      <c r="BA576" s="418"/>
    </row>
    <row r="577" spans="40:53" ht="15.75" customHeight="1">
      <c r="AN577" s="418"/>
      <c r="AO577" s="418"/>
      <c r="AP577" s="418"/>
      <c r="AQ577" s="418"/>
      <c r="AR577" s="418"/>
      <c r="AS577" s="418"/>
      <c r="AT577" s="418"/>
      <c r="AU577" s="418"/>
      <c r="AV577" s="418"/>
      <c r="AW577" s="418"/>
      <c r="AX577" s="418"/>
      <c r="AY577" s="418"/>
      <c r="AZ577" s="418"/>
      <c r="BA577" s="418"/>
    </row>
    <row r="578" spans="40:53" ht="15.75" customHeight="1">
      <c r="AN578" s="418"/>
      <c r="AO578" s="418"/>
      <c r="AP578" s="418"/>
      <c r="AQ578" s="418"/>
      <c r="AR578" s="418"/>
      <c r="AS578" s="418"/>
      <c r="AT578" s="418"/>
      <c r="AU578" s="418"/>
      <c r="AV578" s="418"/>
      <c r="AW578" s="418"/>
      <c r="AX578" s="418"/>
      <c r="AY578" s="418"/>
      <c r="AZ578" s="418"/>
      <c r="BA578" s="418"/>
    </row>
    <row r="579" spans="40:53" ht="15.75" customHeight="1">
      <c r="AN579" s="418"/>
      <c r="AO579" s="418"/>
      <c r="AP579" s="418"/>
      <c r="AQ579" s="418"/>
      <c r="AR579" s="418"/>
      <c r="AS579" s="418"/>
      <c r="AT579" s="418"/>
      <c r="AU579" s="418"/>
      <c r="AV579" s="418"/>
      <c r="AW579" s="418"/>
      <c r="AX579" s="418"/>
      <c r="AY579" s="418"/>
      <c r="AZ579" s="418"/>
      <c r="BA579" s="418"/>
    </row>
    <row r="580" spans="40:53" ht="15.75" customHeight="1">
      <c r="AN580" s="418"/>
      <c r="AO580" s="418"/>
      <c r="AP580" s="418"/>
      <c r="AQ580" s="418"/>
      <c r="AR580" s="418"/>
      <c r="AS580" s="418"/>
      <c r="AT580" s="418"/>
      <c r="AU580" s="418"/>
      <c r="AV580" s="418"/>
      <c r="AW580" s="418"/>
      <c r="AX580" s="418"/>
      <c r="AY580" s="418"/>
      <c r="AZ580" s="418"/>
      <c r="BA580" s="418"/>
    </row>
    <row r="581" spans="40:53" ht="15.75" customHeight="1">
      <c r="AN581" s="418"/>
      <c r="AO581" s="418"/>
      <c r="AP581" s="418"/>
      <c r="AQ581" s="418"/>
      <c r="AR581" s="418"/>
      <c r="AS581" s="418"/>
      <c r="AT581" s="418"/>
      <c r="AU581" s="418"/>
      <c r="AV581" s="418"/>
      <c r="AW581" s="418"/>
      <c r="AX581" s="418"/>
      <c r="AY581" s="418"/>
      <c r="AZ581" s="418"/>
      <c r="BA581" s="418"/>
    </row>
    <row r="582" spans="40:53" ht="15.75" customHeight="1">
      <c r="AN582" s="418"/>
      <c r="AO582" s="418"/>
      <c r="AP582" s="418"/>
      <c r="AQ582" s="418"/>
      <c r="AR582" s="418"/>
      <c r="AS582" s="418"/>
      <c r="AT582" s="418"/>
      <c r="AU582" s="418"/>
      <c r="AV582" s="418"/>
      <c r="AW582" s="418"/>
      <c r="AX582" s="418"/>
      <c r="AY582" s="418"/>
      <c r="AZ582" s="418"/>
      <c r="BA582" s="418"/>
    </row>
    <row r="583" spans="40:53" ht="15.75" customHeight="1">
      <c r="AN583" s="418"/>
      <c r="AO583" s="418"/>
      <c r="AP583" s="418"/>
      <c r="AQ583" s="418"/>
      <c r="AR583" s="418"/>
      <c r="AS583" s="418"/>
      <c r="AT583" s="418"/>
      <c r="AU583" s="418"/>
      <c r="AV583" s="418"/>
      <c r="AW583" s="418"/>
      <c r="AX583" s="418"/>
      <c r="AY583" s="418"/>
      <c r="AZ583" s="418"/>
      <c r="BA583" s="418"/>
    </row>
    <row r="584" spans="40:53" ht="15.75" customHeight="1">
      <c r="AN584" s="418"/>
      <c r="AO584" s="418"/>
      <c r="AP584" s="418"/>
      <c r="AQ584" s="418"/>
      <c r="AR584" s="418"/>
      <c r="AS584" s="418"/>
      <c r="AT584" s="418"/>
      <c r="AU584" s="418"/>
      <c r="AV584" s="418"/>
      <c r="AW584" s="418"/>
      <c r="AX584" s="418"/>
      <c r="AY584" s="418"/>
      <c r="AZ584" s="418"/>
      <c r="BA584" s="418"/>
    </row>
    <row r="585" spans="40:53" ht="15.75" customHeight="1">
      <c r="AN585" s="418"/>
      <c r="AO585" s="418"/>
      <c r="AP585" s="418"/>
      <c r="AQ585" s="418"/>
      <c r="AR585" s="418"/>
      <c r="AS585" s="418"/>
      <c r="AT585" s="418"/>
      <c r="AU585" s="418"/>
      <c r="AV585" s="418"/>
      <c r="AW585" s="418"/>
      <c r="AX585" s="418"/>
      <c r="AY585" s="418"/>
      <c r="AZ585" s="418"/>
      <c r="BA585" s="418"/>
    </row>
    <row r="586" spans="40:53" ht="15.75" customHeight="1">
      <c r="AN586" s="418"/>
      <c r="AO586" s="418"/>
      <c r="AP586" s="418"/>
      <c r="AQ586" s="418"/>
      <c r="AR586" s="418"/>
      <c r="AS586" s="418"/>
      <c r="AT586" s="418"/>
      <c r="AU586" s="418"/>
      <c r="AV586" s="418"/>
      <c r="AW586" s="418"/>
      <c r="AX586" s="418"/>
      <c r="AY586" s="418"/>
      <c r="AZ586" s="418"/>
      <c r="BA586" s="418"/>
    </row>
    <row r="587" spans="40:53" ht="15.75" customHeight="1">
      <c r="AN587" s="418"/>
      <c r="AO587" s="418"/>
      <c r="AP587" s="418"/>
      <c r="AQ587" s="418"/>
      <c r="AR587" s="418"/>
      <c r="AS587" s="418"/>
      <c r="AT587" s="418"/>
      <c r="AU587" s="418"/>
      <c r="AV587" s="418"/>
      <c r="AW587" s="418"/>
      <c r="AX587" s="418"/>
      <c r="AY587" s="418"/>
      <c r="AZ587" s="418"/>
      <c r="BA587" s="418"/>
    </row>
    <row r="588" spans="40:53" ht="15.75" customHeight="1">
      <c r="AN588" s="418"/>
      <c r="AO588" s="418"/>
      <c r="AP588" s="418"/>
      <c r="AQ588" s="418"/>
      <c r="AR588" s="418"/>
      <c r="AS588" s="418"/>
      <c r="AT588" s="418"/>
      <c r="AU588" s="418"/>
      <c r="AV588" s="418"/>
      <c r="AW588" s="418"/>
      <c r="AX588" s="418"/>
      <c r="AY588" s="418"/>
      <c r="AZ588" s="418"/>
      <c r="BA588" s="418"/>
    </row>
    <row r="589" spans="40:53" ht="15.75" customHeight="1">
      <c r="AN589" s="418"/>
      <c r="AO589" s="418"/>
      <c r="AP589" s="418"/>
      <c r="AQ589" s="418"/>
      <c r="AR589" s="418"/>
      <c r="AS589" s="418"/>
      <c r="AT589" s="418"/>
      <c r="AU589" s="418"/>
      <c r="AV589" s="418"/>
      <c r="AW589" s="418"/>
      <c r="AX589" s="418"/>
      <c r="AY589" s="418"/>
      <c r="AZ589" s="418"/>
      <c r="BA589" s="418"/>
    </row>
    <row r="590" spans="40:53" ht="15.75" customHeight="1">
      <c r="AN590" s="418"/>
      <c r="AO590" s="418"/>
      <c r="AP590" s="418"/>
      <c r="AQ590" s="418"/>
      <c r="AR590" s="418"/>
      <c r="AS590" s="418"/>
      <c r="AT590" s="418"/>
      <c r="AU590" s="418"/>
      <c r="AV590" s="418"/>
      <c r="AW590" s="418"/>
      <c r="AX590" s="418"/>
      <c r="AY590" s="418"/>
      <c r="AZ590" s="418"/>
      <c r="BA590" s="418"/>
    </row>
    <row r="591" spans="40:53" ht="15.75" customHeight="1">
      <c r="AN591" s="418"/>
      <c r="AO591" s="418"/>
      <c r="AP591" s="418"/>
      <c r="AQ591" s="418"/>
      <c r="AR591" s="418"/>
      <c r="AS591" s="418"/>
      <c r="AT591" s="418"/>
      <c r="AU591" s="418"/>
      <c r="AV591" s="418"/>
      <c r="AW591" s="418"/>
      <c r="AX591" s="418"/>
      <c r="AY591" s="418"/>
      <c r="AZ591" s="418"/>
      <c r="BA591" s="418"/>
    </row>
    <row r="592" spans="40:53" ht="15.75" customHeight="1">
      <c r="AN592" s="418"/>
      <c r="AO592" s="418"/>
      <c r="AP592" s="418"/>
      <c r="AQ592" s="418"/>
      <c r="AR592" s="418"/>
      <c r="AS592" s="418"/>
      <c r="AT592" s="418"/>
      <c r="AU592" s="418"/>
      <c r="AV592" s="418"/>
      <c r="AW592" s="418"/>
      <c r="AX592" s="418"/>
      <c r="AY592" s="418"/>
      <c r="AZ592" s="418"/>
      <c r="BA592" s="418"/>
    </row>
    <row r="593" spans="40:65" ht="15.75" customHeight="1">
      <c r="AN593" s="418"/>
      <c r="AO593" s="418"/>
      <c r="AP593" s="418"/>
      <c r="AQ593" s="418"/>
      <c r="AR593" s="418"/>
      <c r="AS593" s="418"/>
      <c r="AT593" s="418"/>
      <c r="AU593" s="418"/>
      <c r="AV593" s="418"/>
      <c r="AW593" s="418"/>
      <c r="AX593" s="418"/>
      <c r="AY593" s="418"/>
      <c r="AZ593" s="418"/>
      <c r="BA593" s="418"/>
    </row>
    <row r="594" spans="40:65" ht="15.75" customHeight="1">
      <c r="AN594" s="418"/>
      <c r="AO594" s="418"/>
      <c r="AP594" s="418"/>
      <c r="AQ594" s="418"/>
      <c r="AR594" s="418"/>
      <c r="AS594" s="418"/>
      <c r="AT594" s="418"/>
      <c r="AU594" s="418"/>
      <c r="AV594" s="418"/>
      <c r="AW594" s="418"/>
      <c r="AX594" s="418"/>
      <c r="AY594" s="418"/>
      <c r="AZ594" s="418"/>
      <c r="BA594" s="418"/>
    </row>
    <row r="595" spans="40:65" ht="15.75" customHeight="1">
      <c r="AN595" s="418"/>
      <c r="AO595" s="418"/>
      <c r="AP595" s="418"/>
      <c r="AQ595" s="418"/>
      <c r="AR595" s="418"/>
      <c r="AS595" s="418"/>
      <c r="AT595" s="418"/>
      <c r="AU595" s="418"/>
      <c r="AV595" s="418"/>
      <c r="AW595" s="418"/>
      <c r="AX595" s="418"/>
      <c r="AY595" s="418"/>
      <c r="AZ595" s="418"/>
      <c r="BA595" s="418"/>
    </row>
    <row r="596" spans="40:65" ht="15.75" customHeight="1">
      <c r="AN596" s="418"/>
      <c r="AO596" s="418"/>
      <c r="AP596" s="418"/>
      <c r="AQ596" s="418"/>
      <c r="AR596" s="418"/>
      <c r="AS596" s="418"/>
      <c r="AT596" s="418"/>
      <c r="AU596" s="418"/>
      <c r="AV596" s="418"/>
      <c r="AW596" s="418"/>
      <c r="AX596" s="418"/>
      <c r="AY596" s="418"/>
      <c r="AZ596" s="418"/>
      <c r="BA596" s="418"/>
    </row>
    <row r="597" spans="40:65" ht="15.75" customHeight="1">
      <c r="AN597" s="418"/>
      <c r="AO597" s="418"/>
      <c r="AP597" s="418"/>
      <c r="AQ597" s="418"/>
      <c r="AR597" s="418"/>
      <c r="AS597" s="418"/>
      <c r="AT597" s="418"/>
      <c r="AU597" s="418"/>
      <c r="AV597" s="418"/>
      <c r="AW597" s="418"/>
      <c r="AX597" s="418"/>
      <c r="AY597" s="418"/>
      <c r="AZ597" s="418"/>
      <c r="BA597" s="418"/>
    </row>
    <row r="598" spans="40:65" ht="15.75" customHeight="1">
      <c r="AN598" s="418"/>
      <c r="AO598" s="418"/>
      <c r="AP598" s="418"/>
      <c r="AQ598" s="418"/>
      <c r="AR598" s="418"/>
      <c r="AS598" s="418"/>
      <c r="AT598" s="418"/>
      <c r="AU598" s="418"/>
      <c r="AV598" s="418"/>
      <c r="AW598" s="418"/>
      <c r="AX598" s="418"/>
      <c r="AY598" s="418"/>
      <c r="AZ598" s="418"/>
      <c r="BA598" s="418"/>
    </row>
    <row r="599" spans="40:65" ht="15.75" customHeight="1">
      <c r="AN599" s="418"/>
      <c r="AO599" s="418"/>
      <c r="AP599" s="418"/>
      <c r="AQ599" s="418"/>
      <c r="AR599" s="418"/>
      <c r="AS599" s="418"/>
      <c r="AT599" s="418"/>
      <c r="AU599" s="418"/>
      <c r="AV599" s="418"/>
      <c r="AW599" s="418"/>
      <c r="AX599" s="418"/>
      <c r="AY599" s="418"/>
      <c r="AZ599" s="418"/>
      <c r="BA599" s="418"/>
    </row>
    <row r="600" spans="40:65" ht="15.75" customHeight="1">
      <c r="AN600" s="418"/>
      <c r="AO600" s="418"/>
      <c r="AP600" s="418"/>
      <c r="AQ600" s="418"/>
      <c r="AR600" s="418"/>
      <c r="AS600" s="418"/>
      <c r="AT600" s="418"/>
      <c r="AU600" s="418"/>
      <c r="AV600" s="418"/>
      <c r="AW600" s="418"/>
      <c r="AX600" s="418"/>
      <c r="AY600" s="418"/>
      <c r="AZ600" s="418"/>
      <c r="BA600" s="418"/>
    </row>
    <row r="601" spans="40:65" ht="15.75" customHeight="1">
      <c r="AN601" s="418"/>
      <c r="AO601" s="418"/>
      <c r="AP601" s="418"/>
      <c r="AQ601" s="418"/>
      <c r="AR601" s="418"/>
      <c r="AS601" s="418"/>
      <c r="AT601" s="418"/>
      <c r="AU601" s="418"/>
      <c r="AV601" s="418"/>
      <c r="AW601" s="418"/>
      <c r="AX601" s="418"/>
      <c r="AY601" s="418"/>
      <c r="AZ601" s="418"/>
      <c r="BA601" s="418"/>
      <c r="BH601" s="1137"/>
    </row>
    <row r="602" spans="40:65" ht="15.75" customHeight="1">
      <c r="AN602" s="418"/>
      <c r="AO602" s="418"/>
      <c r="AP602" s="418"/>
      <c r="AQ602" s="418"/>
      <c r="AR602" s="418"/>
      <c r="AS602" s="418"/>
      <c r="AT602" s="418"/>
      <c r="AU602" s="418"/>
      <c r="AV602" s="418"/>
      <c r="AW602" s="418"/>
      <c r="AX602" s="418"/>
      <c r="AY602" s="418"/>
      <c r="AZ602" s="418"/>
      <c r="BA602" s="418"/>
    </row>
    <row r="603" spans="40:65" ht="15.75" customHeight="1">
      <c r="AN603" s="418"/>
      <c r="AO603" s="418"/>
      <c r="AP603" s="418"/>
      <c r="AQ603" s="418"/>
      <c r="AR603" s="418"/>
      <c r="AS603" s="418"/>
      <c r="AT603" s="418"/>
      <c r="AU603" s="418"/>
      <c r="AV603" s="418"/>
      <c r="AW603" s="418"/>
      <c r="AX603" s="418"/>
      <c r="AY603" s="418"/>
      <c r="AZ603" s="418"/>
      <c r="BA603" s="418"/>
      <c r="BI603" s="1198"/>
      <c r="BJ603" s="1137"/>
      <c r="BK603" s="1137"/>
      <c r="BL603" s="1137"/>
      <c r="BM603" s="1137"/>
    </row>
    <row r="604" spans="40:65" ht="15.75" customHeight="1">
      <c r="AN604" s="418"/>
      <c r="AO604" s="418"/>
      <c r="AP604" s="418"/>
      <c r="AQ604" s="418"/>
      <c r="AR604" s="418"/>
      <c r="AS604" s="418"/>
      <c r="AT604" s="418"/>
      <c r="AU604" s="418"/>
      <c r="AV604" s="418"/>
      <c r="AW604" s="418"/>
      <c r="AX604" s="418"/>
      <c r="AY604" s="418"/>
      <c r="AZ604" s="418"/>
      <c r="BA604" s="418"/>
    </row>
    <row r="605" spans="40:65" ht="15.75" customHeight="1">
      <c r="AN605" s="418"/>
      <c r="AO605" s="418"/>
      <c r="AP605" s="418"/>
      <c r="AQ605" s="418"/>
      <c r="AR605" s="418"/>
      <c r="AS605" s="418"/>
      <c r="AT605" s="418"/>
      <c r="AU605" s="418"/>
      <c r="AV605" s="418"/>
      <c r="AW605" s="418"/>
      <c r="AX605" s="418"/>
      <c r="AY605" s="418"/>
      <c r="AZ605" s="418"/>
      <c r="BA605" s="418"/>
    </row>
    <row r="606" spans="40:65" ht="15.75" customHeight="1">
      <c r="AN606" s="418"/>
      <c r="AO606" s="418"/>
      <c r="AP606" s="418"/>
      <c r="AQ606" s="418"/>
      <c r="AR606" s="418"/>
      <c r="AS606" s="418"/>
      <c r="AT606" s="418"/>
      <c r="AU606" s="418"/>
      <c r="AV606" s="418"/>
      <c r="AW606" s="418"/>
      <c r="AX606" s="418"/>
      <c r="AY606" s="418"/>
      <c r="AZ606" s="418"/>
      <c r="BA606" s="418"/>
    </row>
    <row r="607" spans="40:65" ht="15.75" customHeight="1">
      <c r="AN607" s="418"/>
      <c r="AO607" s="418"/>
      <c r="AP607" s="418"/>
      <c r="AQ607" s="418"/>
      <c r="AR607" s="418"/>
      <c r="AS607" s="418"/>
      <c r="AT607" s="418"/>
      <c r="AU607" s="418"/>
      <c r="AV607" s="418"/>
      <c r="AW607" s="418"/>
      <c r="AX607" s="418"/>
      <c r="AY607" s="418"/>
      <c r="AZ607" s="418"/>
      <c r="BA607" s="418"/>
    </row>
    <row r="608" spans="40:65" ht="15.75" customHeight="1">
      <c r="AN608" s="418"/>
      <c r="AO608" s="418"/>
      <c r="AP608" s="418"/>
      <c r="AQ608" s="418"/>
      <c r="AR608" s="418"/>
      <c r="AS608" s="418"/>
      <c r="AT608" s="418"/>
      <c r="AU608" s="418"/>
      <c r="AV608" s="418"/>
      <c r="AW608" s="418"/>
      <c r="AX608" s="418"/>
      <c r="AY608" s="418"/>
      <c r="AZ608" s="418"/>
      <c r="BA608" s="418"/>
    </row>
    <row r="609" spans="40:56" ht="15.75" customHeight="1">
      <c r="AN609" s="418"/>
      <c r="AO609" s="418"/>
      <c r="AP609" s="418"/>
      <c r="AQ609" s="418"/>
      <c r="AR609" s="418"/>
      <c r="AS609" s="418"/>
      <c r="AT609" s="418"/>
      <c r="AU609" s="418"/>
      <c r="AV609" s="418"/>
      <c r="AW609" s="418"/>
      <c r="AX609" s="418"/>
      <c r="AY609" s="418"/>
      <c r="AZ609" s="418"/>
      <c r="BA609" s="418"/>
    </row>
    <row r="610" spans="40:56" ht="15.75" customHeight="1">
      <c r="AN610" s="418"/>
      <c r="AO610" s="418"/>
      <c r="AP610" s="418"/>
      <c r="AQ610" s="418"/>
      <c r="AR610" s="418"/>
      <c r="AS610" s="418"/>
      <c r="AT610" s="418"/>
      <c r="AU610" s="418"/>
      <c r="AV610" s="418"/>
      <c r="AW610" s="418"/>
      <c r="AX610" s="418"/>
      <c r="AY610" s="418"/>
      <c r="AZ610" s="418"/>
      <c r="BA610" s="418"/>
    </row>
    <row r="611" spans="40:56" ht="15.75" customHeight="1">
      <c r="AN611" s="418"/>
      <c r="AO611" s="418"/>
      <c r="AP611" s="418"/>
      <c r="AQ611" s="418"/>
      <c r="AR611" s="418"/>
      <c r="AS611" s="418"/>
      <c r="AT611" s="418"/>
      <c r="AU611" s="418"/>
      <c r="AV611" s="418"/>
      <c r="AW611" s="418"/>
      <c r="AX611" s="418"/>
      <c r="AY611" s="418"/>
      <c r="AZ611" s="418"/>
      <c r="BA611" s="418"/>
    </row>
    <row r="612" spans="40:56" ht="15.75" customHeight="1">
      <c r="AN612" s="418"/>
      <c r="AO612" s="418"/>
      <c r="AP612" s="418"/>
      <c r="AQ612" s="418"/>
      <c r="AR612" s="418"/>
      <c r="AS612" s="418"/>
      <c r="AT612" s="418"/>
      <c r="AU612" s="418"/>
      <c r="AV612" s="418"/>
      <c r="AW612" s="418"/>
      <c r="AX612" s="418"/>
      <c r="AY612" s="418"/>
      <c r="AZ612" s="418"/>
      <c r="BA612" s="418"/>
    </row>
    <row r="613" spans="40:56" ht="15.75" customHeight="1">
      <c r="AN613" s="418"/>
      <c r="AO613" s="418"/>
      <c r="AP613" s="418"/>
      <c r="AQ613" s="418"/>
      <c r="AR613" s="418"/>
      <c r="AS613" s="418"/>
      <c r="AT613" s="418"/>
      <c r="AU613" s="418"/>
      <c r="AV613" s="418"/>
      <c r="AW613" s="418"/>
      <c r="AX613" s="418"/>
      <c r="AY613" s="418"/>
      <c r="AZ613" s="418"/>
      <c r="BA613" s="418"/>
    </row>
    <row r="614" spans="40:56" ht="15.75" customHeight="1">
      <c r="AN614" s="418"/>
      <c r="AO614" s="418"/>
      <c r="AP614" s="418"/>
      <c r="AQ614" s="418"/>
      <c r="AR614" s="418"/>
      <c r="AS614" s="418"/>
      <c r="AT614" s="418"/>
      <c r="AU614" s="418"/>
      <c r="AV614" s="418"/>
      <c r="AW614" s="418"/>
      <c r="AX614" s="418"/>
      <c r="AY614" s="418"/>
      <c r="AZ614" s="418"/>
      <c r="BA614" s="418"/>
    </row>
    <row r="615" spans="40:56" ht="15.75" customHeight="1">
      <c r="AN615" s="418"/>
      <c r="AO615" s="418"/>
      <c r="AP615" s="418"/>
      <c r="AQ615" s="418"/>
      <c r="AR615" s="418"/>
      <c r="AS615" s="418"/>
      <c r="AT615" s="418"/>
      <c r="AU615" s="418"/>
      <c r="AV615" s="418"/>
      <c r="AW615" s="418"/>
      <c r="AX615" s="418"/>
      <c r="AY615" s="418"/>
      <c r="AZ615" s="418"/>
      <c r="BA615" s="418"/>
    </row>
    <row r="616" spans="40:56" ht="15.75" customHeight="1">
      <c r="AN616" s="418"/>
      <c r="AO616" s="418"/>
      <c r="AP616" s="418"/>
      <c r="AQ616" s="418"/>
      <c r="AR616" s="418"/>
      <c r="AS616" s="418"/>
      <c r="AT616" s="418"/>
      <c r="AU616" s="418"/>
      <c r="AV616" s="418"/>
      <c r="AW616" s="418"/>
      <c r="AX616" s="418"/>
      <c r="AY616" s="418"/>
      <c r="AZ616" s="418"/>
      <c r="BA616" s="418"/>
    </row>
    <row r="617" spans="40:56" ht="15.75" customHeight="1">
      <c r="AN617" s="418"/>
      <c r="AO617" s="418"/>
      <c r="AP617" s="418"/>
      <c r="AQ617" s="418"/>
      <c r="AR617" s="418"/>
      <c r="AS617" s="418"/>
      <c r="AT617" s="418"/>
      <c r="AU617" s="418"/>
      <c r="AV617" s="418"/>
      <c r="AW617" s="418"/>
      <c r="AX617" s="418"/>
      <c r="AY617" s="418"/>
      <c r="AZ617" s="418"/>
      <c r="BA617" s="418"/>
    </row>
    <row r="618" spans="40:56" ht="15.75" customHeight="1">
      <c r="AN618" s="418"/>
      <c r="AO618" s="418"/>
      <c r="AP618" s="418"/>
      <c r="AQ618" s="418"/>
      <c r="AR618" s="418"/>
      <c r="AS618" s="418"/>
      <c r="AT618" s="418"/>
      <c r="AU618" s="418"/>
      <c r="AV618" s="418"/>
      <c r="AW618" s="418"/>
      <c r="AX618" s="418"/>
      <c r="AY618" s="418"/>
      <c r="AZ618" s="418"/>
      <c r="BA618" s="418"/>
      <c r="BC618" s="1193"/>
      <c r="BD618" s="1137"/>
    </row>
    <row r="619" spans="40:56" ht="15.75" customHeight="1">
      <c r="AN619" s="418"/>
      <c r="AO619" s="418"/>
      <c r="AP619" s="418"/>
      <c r="AQ619" s="418"/>
      <c r="AR619" s="418"/>
      <c r="AS619" s="418"/>
      <c r="AT619" s="418"/>
      <c r="AU619" s="418"/>
      <c r="AV619" s="418"/>
      <c r="AW619" s="418"/>
      <c r="AX619" s="418"/>
      <c r="AY619" s="418"/>
      <c r="AZ619" s="418"/>
      <c r="BA619" s="418"/>
    </row>
    <row r="620" spans="40:56" ht="15.75" customHeight="1">
      <c r="AN620" s="418"/>
      <c r="AO620" s="418"/>
      <c r="AP620" s="418"/>
      <c r="AQ620" s="418"/>
      <c r="AR620" s="418"/>
      <c r="AS620" s="418"/>
      <c r="AT620" s="418"/>
      <c r="AU620" s="418"/>
      <c r="AV620" s="418"/>
      <c r="AW620" s="418"/>
      <c r="AX620" s="418"/>
      <c r="AY620" s="418"/>
      <c r="AZ620" s="418"/>
      <c r="BA620" s="418"/>
    </row>
    <row r="621" spans="40:56" ht="15.75" customHeight="1">
      <c r="AN621" s="418"/>
      <c r="AO621" s="418"/>
      <c r="AP621" s="418"/>
      <c r="AQ621" s="418"/>
      <c r="AR621" s="418"/>
      <c r="AS621" s="418"/>
      <c r="AT621" s="418"/>
      <c r="AU621" s="418"/>
      <c r="AV621" s="418"/>
      <c r="AW621" s="418"/>
      <c r="AX621" s="418"/>
      <c r="AY621" s="418"/>
      <c r="AZ621" s="418"/>
      <c r="BA621" s="418"/>
    </row>
    <row r="622" spans="40:56" ht="15.75" customHeight="1">
      <c r="AN622" s="418"/>
      <c r="AO622" s="418"/>
      <c r="AP622" s="418"/>
      <c r="AQ622" s="418"/>
      <c r="AR622" s="418"/>
      <c r="AS622" s="418"/>
      <c r="AT622" s="418"/>
      <c r="AU622" s="418"/>
      <c r="AV622" s="418"/>
      <c r="AW622" s="418"/>
      <c r="AX622" s="418"/>
      <c r="AY622" s="418"/>
      <c r="AZ622" s="418"/>
      <c r="BA622" s="418"/>
    </row>
    <row r="623" spans="40:56" ht="15.75" customHeight="1">
      <c r="AN623" s="418"/>
      <c r="AO623" s="418"/>
      <c r="AP623" s="418"/>
      <c r="AQ623" s="418"/>
      <c r="AR623" s="418"/>
      <c r="AS623" s="418"/>
      <c r="AT623" s="418"/>
      <c r="AU623" s="418"/>
      <c r="AV623" s="418"/>
      <c r="AW623" s="418"/>
      <c r="AX623" s="418"/>
      <c r="AY623" s="418"/>
      <c r="AZ623" s="418"/>
      <c r="BA623" s="418"/>
    </row>
    <row r="624" spans="40:56" ht="15.75" customHeight="1">
      <c r="AN624" s="418"/>
      <c r="AO624" s="418"/>
      <c r="AP624" s="418"/>
      <c r="AQ624" s="418"/>
      <c r="AR624" s="418"/>
      <c r="AS624" s="418"/>
      <c r="AT624" s="418"/>
      <c r="AU624" s="418"/>
      <c r="AV624" s="418"/>
      <c r="AW624" s="418"/>
      <c r="AX624" s="418"/>
      <c r="AY624" s="418"/>
      <c r="AZ624" s="418"/>
      <c r="BA624" s="418"/>
    </row>
    <row r="625" spans="40:53" ht="15.75" customHeight="1">
      <c r="AN625" s="418"/>
      <c r="AO625" s="418"/>
      <c r="AP625" s="418"/>
      <c r="AQ625" s="418"/>
      <c r="AR625" s="418"/>
      <c r="AS625" s="418"/>
      <c r="AT625" s="418"/>
      <c r="AU625" s="418"/>
      <c r="AV625" s="418"/>
      <c r="AW625" s="418"/>
      <c r="AX625" s="418"/>
      <c r="AY625" s="418"/>
      <c r="AZ625" s="418"/>
      <c r="BA625" s="418"/>
    </row>
    <row r="626" spans="40:53" ht="15.75" customHeight="1">
      <c r="AN626" s="418"/>
      <c r="AO626" s="418"/>
      <c r="AP626" s="418"/>
      <c r="AQ626" s="418"/>
      <c r="AR626" s="418"/>
      <c r="AS626" s="418"/>
      <c r="AT626" s="418"/>
      <c r="AU626" s="418"/>
      <c r="AV626" s="418"/>
      <c r="AW626" s="418"/>
      <c r="AX626" s="418"/>
      <c r="AY626" s="418"/>
      <c r="AZ626" s="418"/>
      <c r="BA626" s="418"/>
    </row>
    <row r="627" spans="40:53" ht="15.75" customHeight="1">
      <c r="AN627" s="418"/>
      <c r="AO627" s="418"/>
      <c r="AP627" s="418"/>
      <c r="AQ627" s="418"/>
      <c r="AR627" s="418"/>
      <c r="AS627" s="418"/>
      <c r="AT627" s="418"/>
      <c r="AU627" s="418"/>
      <c r="AV627" s="418"/>
      <c r="AW627" s="418"/>
      <c r="AX627" s="418"/>
      <c r="AY627" s="418"/>
      <c r="AZ627" s="418"/>
      <c r="BA627" s="418"/>
    </row>
    <row r="628" spans="40:53" ht="15.75" customHeight="1">
      <c r="AN628" s="418"/>
      <c r="AO628" s="418"/>
      <c r="AP628" s="418"/>
      <c r="AQ628" s="418"/>
      <c r="AR628" s="418"/>
      <c r="AS628" s="418"/>
      <c r="AT628" s="418"/>
      <c r="AU628" s="418"/>
      <c r="AV628" s="418"/>
      <c r="AW628" s="418"/>
      <c r="AX628" s="418"/>
      <c r="AY628" s="418"/>
      <c r="AZ628" s="418"/>
      <c r="BA628" s="418"/>
    </row>
    <row r="629" spans="40:53" ht="15.75" customHeight="1">
      <c r="AN629" s="418"/>
      <c r="AO629" s="418"/>
      <c r="AP629" s="418"/>
      <c r="AQ629" s="418"/>
      <c r="AR629" s="418"/>
      <c r="AS629" s="418"/>
      <c r="AT629" s="418"/>
      <c r="AU629" s="418"/>
      <c r="AV629" s="418"/>
      <c r="AW629" s="418"/>
      <c r="AX629" s="418"/>
      <c r="AY629" s="418"/>
      <c r="AZ629" s="418"/>
      <c r="BA629" s="418"/>
    </row>
    <row r="630" spans="40:53" ht="15.75" customHeight="1">
      <c r="AN630" s="418"/>
      <c r="AO630" s="418"/>
      <c r="AP630" s="418"/>
      <c r="AQ630" s="418"/>
      <c r="AR630" s="418"/>
      <c r="AS630" s="418"/>
      <c r="AT630" s="418"/>
      <c r="AU630" s="418"/>
      <c r="AV630" s="418"/>
      <c r="AW630" s="418"/>
      <c r="AX630" s="418"/>
      <c r="AY630" s="418"/>
      <c r="AZ630" s="418"/>
      <c r="BA630" s="418"/>
    </row>
    <row r="631" spans="40:53" ht="15.75" customHeight="1">
      <c r="AN631" s="418"/>
      <c r="AO631" s="418"/>
      <c r="AP631" s="418"/>
      <c r="AQ631" s="418"/>
      <c r="AR631" s="418"/>
      <c r="AS631" s="418"/>
      <c r="AT631" s="418"/>
      <c r="AU631" s="418"/>
      <c r="AV631" s="418"/>
      <c r="AW631" s="418"/>
      <c r="AX631" s="418"/>
      <c r="AY631" s="418"/>
      <c r="AZ631" s="418"/>
      <c r="BA631" s="418"/>
    </row>
    <row r="632" spans="40:53" ht="15.75" customHeight="1">
      <c r="AN632" s="418"/>
      <c r="AO632" s="418"/>
      <c r="AP632" s="418"/>
      <c r="AQ632" s="418"/>
      <c r="AR632" s="418"/>
      <c r="AS632" s="418"/>
      <c r="AT632" s="418"/>
      <c r="AU632" s="418"/>
      <c r="AV632" s="418"/>
      <c r="AW632" s="418"/>
      <c r="AX632" s="418"/>
      <c r="AY632" s="418"/>
      <c r="AZ632" s="418"/>
      <c r="BA632" s="418"/>
    </row>
    <row r="633" spans="40:53" ht="15.75" customHeight="1">
      <c r="AN633" s="418"/>
      <c r="AO633" s="418"/>
      <c r="AP633" s="418"/>
      <c r="AQ633" s="418"/>
      <c r="AR633" s="418"/>
      <c r="AS633" s="418"/>
      <c r="AT633" s="418"/>
      <c r="AU633" s="418"/>
      <c r="AV633" s="418"/>
      <c r="AW633" s="418"/>
      <c r="AX633" s="418"/>
      <c r="AY633" s="418"/>
      <c r="AZ633" s="418"/>
      <c r="BA633" s="418"/>
    </row>
    <row r="634" spans="40:53" ht="15.75" customHeight="1">
      <c r="AN634" s="418"/>
      <c r="AO634" s="418"/>
      <c r="AP634" s="418"/>
      <c r="AQ634" s="418"/>
      <c r="AR634" s="418"/>
      <c r="AS634" s="418"/>
      <c r="AT634" s="418"/>
      <c r="AU634" s="418"/>
      <c r="AV634" s="418"/>
      <c r="AW634" s="418"/>
      <c r="AX634" s="418"/>
      <c r="AY634" s="418"/>
      <c r="AZ634" s="418"/>
      <c r="BA634" s="418"/>
    </row>
    <row r="635" spans="40:53" ht="15.75" customHeight="1">
      <c r="AN635" s="418"/>
      <c r="AO635" s="418"/>
      <c r="AP635" s="418"/>
      <c r="AQ635" s="418"/>
      <c r="AR635" s="418"/>
      <c r="AS635" s="418"/>
      <c r="AT635" s="418"/>
      <c r="AU635" s="418"/>
      <c r="AV635" s="418"/>
      <c r="AW635" s="418"/>
      <c r="AX635" s="418"/>
      <c r="AY635" s="418"/>
      <c r="AZ635" s="418"/>
      <c r="BA635" s="418"/>
    </row>
    <row r="636" spans="40:53" ht="15.75" customHeight="1">
      <c r="AN636" s="418"/>
      <c r="AO636" s="418"/>
      <c r="AP636" s="418"/>
      <c r="AQ636" s="418"/>
      <c r="AR636" s="418"/>
      <c r="AS636" s="418"/>
      <c r="AT636" s="418"/>
      <c r="AU636" s="418"/>
      <c r="AV636" s="418"/>
      <c r="AW636" s="418"/>
      <c r="AX636" s="418"/>
      <c r="AY636" s="418"/>
      <c r="AZ636" s="418"/>
      <c r="BA636" s="418"/>
    </row>
    <row r="637" spans="40:53" ht="15.75" customHeight="1">
      <c r="AN637" s="418"/>
      <c r="AO637" s="418"/>
      <c r="AP637" s="418"/>
      <c r="AQ637" s="418"/>
      <c r="AR637" s="418"/>
      <c r="AS637" s="418"/>
      <c r="AT637" s="418"/>
      <c r="AU637" s="418"/>
      <c r="AV637" s="418"/>
      <c r="AW637" s="418"/>
      <c r="AX637" s="418"/>
      <c r="AY637" s="418"/>
      <c r="AZ637" s="418"/>
      <c r="BA637" s="418"/>
    </row>
    <row r="638" spans="40:53" ht="15.75" customHeight="1">
      <c r="AN638" s="418"/>
      <c r="AO638" s="418"/>
      <c r="AP638" s="418"/>
      <c r="AQ638" s="418"/>
      <c r="AR638" s="418"/>
      <c r="AS638" s="418"/>
      <c r="AT638" s="418"/>
      <c r="AU638" s="418"/>
      <c r="AV638" s="418"/>
      <c r="AW638" s="418"/>
      <c r="AX638" s="418"/>
      <c r="AY638" s="418"/>
      <c r="AZ638" s="418"/>
      <c r="BA638" s="418"/>
    </row>
    <row r="639" spans="40:53" ht="15.75" customHeight="1">
      <c r="AN639" s="418"/>
      <c r="AO639" s="418"/>
      <c r="AP639" s="418"/>
      <c r="AQ639" s="418"/>
      <c r="AR639" s="418"/>
      <c r="AS639" s="418"/>
      <c r="AT639" s="418"/>
      <c r="AU639" s="418"/>
      <c r="AV639" s="418"/>
      <c r="AW639" s="418"/>
      <c r="AX639" s="418"/>
      <c r="AY639" s="418"/>
      <c r="AZ639" s="418"/>
      <c r="BA639" s="418"/>
    </row>
    <row r="640" spans="40:53" ht="15.75" customHeight="1">
      <c r="AN640" s="418"/>
      <c r="AO640" s="418"/>
      <c r="AP640" s="418"/>
      <c r="AQ640" s="418"/>
      <c r="AR640" s="418"/>
      <c r="AS640" s="418"/>
      <c r="AT640" s="418"/>
      <c r="AU640" s="418"/>
      <c r="AV640" s="418"/>
      <c r="AW640" s="418"/>
      <c r="AX640" s="418"/>
      <c r="AY640" s="418"/>
      <c r="AZ640" s="418"/>
      <c r="BA640" s="418"/>
    </row>
    <row r="641" spans="40:53" ht="15.75" customHeight="1">
      <c r="AN641" s="418"/>
      <c r="AO641" s="418"/>
      <c r="AP641" s="418"/>
      <c r="AQ641" s="418"/>
      <c r="AR641" s="418"/>
      <c r="AS641" s="418"/>
      <c r="AT641" s="418"/>
      <c r="AU641" s="418"/>
      <c r="AV641" s="418"/>
      <c r="AW641" s="418"/>
      <c r="AX641" s="418"/>
      <c r="AY641" s="418"/>
      <c r="AZ641" s="418"/>
      <c r="BA641" s="418"/>
    </row>
    <row r="642" spans="40:53" ht="15.75" customHeight="1">
      <c r="AN642" s="418"/>
      <c r="AO642" s="418"/>
      <c r="AP642" s="418"/>
      <c r="AQ642" s="418"/>
      <c r="AR642" s="418"/>
      <c r="AS642" s="418"/>
      <c r="AT642" s="418"/>
      <c r="AU642" s="418"/>
      <c r="AV642" s="418"/>
      <c r="AW642" s="418"/>
      <c r="AX642" s="418"/>
      <c r="AY642" s="418"/>
      <c r="AZ642" s="418"/>
      <c r="BA642" s="418"/>
    </row>
    <row r="643" spans="40:53" ht="15.75" customHeight="1">
      <c r="AN643" s="418"/>
      <c r="AO643" s="418"/>
      <c r="AP643" s="418"/>
      <c r="AQ643" s="418"/>
      <c r="AR643" s="418"/>
      <c r="AS643" s="418"/>
      <c r="AT643" s="418"/>
      <c r="AU643" s="418"/>
      <c r="AV643" s="418"/>
      <c r="AW643" s="418"/>
      <c r="AX643" s="418"/>
      <c r="AY643" s="418"/>
      <c r="AZ643" s="418"/>
      <c r="BA643" s="418"/>
    </row>
    <row r="644" spans="40:53" ht="15.75" customHeight="1">
      <c r="AN644" s="418"/>
      <c r="AO644" s="418"/>
      <c r="AP644" s="418"/>
      <c r="AQ644" s="418"/>
      <c r="AR644" s="418"/>
      <c r="AS644" s="418"/>
      <c r="AT644" s="418"/>
      <c r="AU644" s="418"/>
      <c r="AV644" s="418"/>
      <c r="AW644" s="418"/>
      <c r="AX644" s="418"/>
      <c r="AY644" s="418"/>
      <c r="AZ644" s="418"/>
      <c r="BA644" s="418"/>
    </row>
    <row r="645" spans="40:53" ht="15.75" customHeight="1">
      <c r="AN645" s="418"/>
      <c r="AO645" s="418"/>
      <c r="AP645" s="418"/>
      <c r="AQ645" s="418"/>
      <c r="AR645" s="418"/>
      <c r="AS645" s="418"/>
      <c r="AT645" s="418"/>
      <c r="AU645" s="418"/>
      <c r="AV645" s="418"/>
      <c r="AW645" s="418"/>
      <c r="AX645" s="418"/>
      <c r="AY645" s="418"/>
      <c r="AZ645" s="418"/>
      <c r="BA645" s="418"/>
    </row>
    <row r="646" spans="40:53" ht="15.75" customHeight="1">
      <c r="AN646" s="418"/>
      <c r="AO646" s="418"/>
      <c r="AP646" s="418"/>
      <c r="AQ646" s="418"/>
      <c r="AR646" s="418"/>
      <c r="AS646" s="418"/>
      <c r="AT646" s="418"/>
      <c r="AU646" s="418"/>
      <c r="AV646" s="418"/>
      <c r="AW646" s="418"/>
      <c r="AX646" s="418"/>
      <c r="AY646" s="418"/>
      <c r="AZ646" s="418"/>
      <c r="BA646" s="418"/>
    </row>
    <row r="647" spans="40:53" ht="15.75" customHeight="1">
      <c r="AN647" s="418"/>
      <c r="AO647" s="418"/>
      <c r="AP647" s="418"/>
      <c r="AQ647" s="418"/>
      <c r="AR647" s="418"/>
      <c r="AS647" s="418"/>
      <c r="AT647" s="418"/>
      <c r="AU647" s="418"/>
      <c r="AV647" s="418"/>
      <c r="AW647" s="418"/>
      <c r="AX647" s="418"/>
      <c r="AY647" s="418"/>
      <c r="AZ647" s="418"/>
      <c r="BA647" s="418"/>
    </row>
    <row r="648" spans="40:53" ht="15.75" customHeight="1">
      <c r="AN648" s="418"/>
      <c r="AO648" s="418"/>
      <c r="AP648" s="418"/>
      <c r="AQ648" s="418"/>
      <c r="AR648" s="418"/>
      <c r="AS648" s="418"/>
      <c r="AT648" s="418"/>
      <c r="AU648" s="418"/>
      <c r="AV648" s="418"/>
      <c r="AW648" s="418"/>
      <c r="AX648" s="418"/>
      <c r="AY648" s="418"/>
      <c r="AZ648" s="418"/>
      <c r="BA648" s="418"/>
    </row>
    <row r="649" spans="40:53" ht="15.75" customHeight="1">
      <c r="AN649" s="418"/>
      <c r="AO649" s="418"/>
      <c r="AP649" s="418"/>
      <c r="AQ649" s="418"/>
      <c r="AR649" s="418"/>
      <c r="AS649" s="418"/>
      <c r="AT649" s="418"/>
      <c r="AU649" s="418"/>
      <c r="AV649" s="418"/>
      <c r="AW649" s="418"/>
      <c r="AX649" s="418"/>
      <c r="AY649" s="418"/>
      <c r="AZ649" s="418"/>
      <c r="BA649" s="418"/>
    </row>
    <row r="650" spans="40:53" ht="15.75" customHeight="1">
      <c r="AN650" s="418"/>
      <c r="AO650" s="418"/>
      <c r="AP650" s="418"/>
      <c r="AQ650" s="418"/>
      <c r="AR650" s="418"/>
      <c r="AS650" s="418"/>
      <c r="AT650" s="418"/>
      <c r="AU650" s="418"/>
      <c r="AV650" s="418"/>
      <c r="AW650" s="418"/>
      <c r="AX650" s="418"/>
      <c r="AY650" s="418"/>
      <c r="AZ650" s="418"/>
      <c r="BA650" s="418"/>
    </row>
    <row r="651" spans="40:53" ht="15.75" customHeight="1">
      <c r="AN651" s="418"/>
      <c r="AO651" s="418"/>
      <c r="AP651" s="418"/>
      <c r="AQ651" s="418"/>
      <c r="AR651" s="418"/>
      <c r="AS651" s="418"/>
      <c r="AT651" s="418"/>
      <c r="AU651" s="418"/>
      <c r="AV651" s="418"/>
      <c r="AW651" s="418"/>
      <c r="AX651" s="418"/>
      <c r="AY651" s="418"/>
      <c r="AZ651" s="418"/>
      <c r="BA651" s="418"/>
    </row>
    <row r="652" spans="40:53" ht="15.75" customHeight="1">
      <c r="AN652" s="418"/>
      <c r="AO652" s="418"/>
      <c r="AP652" s="418"/>
      <c r="AQ652" s="418"/>
      <c r="AR652" s="418"/>
      <c r="AS652" s="418"/>
      <c r="AT652" s="418"/>
      <c r="AU652" s="418"/>
      <c r="AV652" s="418"/>
      <c r="AW652" s="418"/>
      <c r="AX652" s="418"/>
      <c r="AY652" s="418"/>
      <c r="AZ652" s="418"/>
      <c r="BA652" s="418"/>
    </row>
    <row r="653" spans="40:53" ht="15.75" customHeight="1">
      <c r="AN653" s="418"/>
      <c r="AO653" s="418"/>
      <c r="AP653" s="418"/>
      <c r="AQ653" s="418"/>
      <c r="AR653" s="418"/>
      <c r="AS653" s="418"/>
      <c r="AT653" s="418"/>
      <c r="AU653" s="418"/>
      <c r="AV653" s="418"/>
      <c r="AW653" s="418"/>
      <c r="AX653" s="418"/>
      <c r="AY653" s="418"/>
      <c r="AZ653" s="418"/>
      <c r="BA653" s="418"/>
    </row>
    <row r="654" spans="40:53" ht="15.75" customHeight="1">
      <c r="AN654" s="418"/>
      <c r="AO654" s="418"/>
      <c r="AP654" s="418"/>
      <c r="AQ654" s="418"/>
      <c r="AR654" s="418"/>
      <c r="AS654" s="418"/>
      <c r="AT654" s="418"/>
      <c r="AU654" s="418"/>
      <c r="AV654" s="418"/>
      <c r="AW654" s="418"/>
      <c r="AX654" s="418"/>
      <c r="AY654" s="418"/>
      <c r="AZ654" s="418"/>
      <c r="BA654" s="418"/>
    </row>
    <row r="655" spans="40:53" ht="15.75" customHeight="1">
      <c r="AN655" s="418"/>
      <c r="AO655" s="418"/>
      <c r="AP655" s="418"/>
      <c r="AQ655" s="418"/>
      <c r="AR655" s="418"/>
      <c r="AS655" s="418"/>
      <c r="AT655" s="418"/>
      <c r="AU655" s="418"/>
      <c r="AV655" s="418"/>
      <c r="AW655" s="418"/>
      <c r="AX655" s="418"/>
      <c r="AY655" s="418"/>
      <c r="AZ655" s="418"/>
      <c r="BA655" s="418"/>
    </row>
    <row r="656" spans="40:53" ht="15.75" customHeight="1">
      <c r="AN656" s="418"/>
      <c r="AO656" s="418"/>
      <c r="AP656" s="418"/>
      <c r="AQ656" s="418"/>
      <c r="AR656" s="418"/>
      <c r="AS656" s="418"/>
      <c r="AT656" s="418"/>
      <c r="AU656" s="418"/>
      <c r="AV656" s="418"/>
      <c r="AW656" s="418"/>
      <c r="AX656" s="418"/>
      <c r="AY656" s="418"/>
      <c r="AZ656" s="418"/>
      <c r="BA656" s="418"/>
    </row>
    <row r="657" spans="40:53" ht="15.75" customHeight="1">
      <c r="AN657" s="418"/>
      <c r="AO657" s="418"/>
      <c r="AP657" s="418"/>
      <c r="AQ657" s="418"/>
      <c r="AR657" s="418"/>
      <c r="AS657" s="418"/>
      <c r="AT657" s="418"/>
      <c r="AU657" s="418"/>
      <c r="AV657" s="418"/>
      <c r="AW657" s="418"/>
      <c r="AX657" s="418"/>
      <c r="AY657" s="418"/>
      <c r="AZ657" s="418"/>
      <c r="BA657" s="418"/>
    </row>
    <row r="658" spans="40:53" ht="15.75" customHeight="1">
      <c r="AN658" s="418"/>
      <c r="AO658" s="418"/>
      <c r="AP658" s="418"/>
      <c r="AQ658" s="418"/>
      <c r="AR658" s="418"/>
      <c r="AS658" s="418"/>
      <c r="AT658" s="418"/>
      <c r="AU658" s="418"/>
      <c r="AV658" s="418"/>
      <c r="AW658" s="418"/>
      <c r="AX658" s="418"/>
      <c r="AY658" s="418"/>
      <c r="AZ658" s="418"/>
      <c r="BA658" s="418"/>
    </row>
    <row r="659" spans="40:53" ht="15.75" customHeight="1">
      <c r="AN659" s="418"/>
      <c r="AO659" s="418"/>
      <c r="AP659" s="418"/>
      <c r="AQ659" s="418"/>
      <c r="AR659" s="418"/>
      <c r="AS659" s="418"/>
      <c r="AT659" s="418"/>
      <c r="AU659" s="418"/>
      <c r="AV659" s="418"/>
      <c r="AW659" s="418"/>
      <c r="AX659" s="418"/>
      <c r="AY659" s="418"/>
      <c r="AZ659" s="418"/>
      <c r="BA659" s="418"/>
    </row>
    <row r="660" spans="40:53" ht="15.75" customHeight="1">
      <c r="AN660" s="418"/>
      <c r="AO660" s="418"/>
      <c r="AP660" s="418"/>
      <c r="AQ660" s="418"/>
      <c r="AR660" s="418"/>
      <c r="AS660" s="418"/>
      <c r="AT660" s="418"/>
      <c r="AU660" s="418"/>
      <c r="AV660" s="418"/>
      <c r="AW660" s="418"/>
      <c r="AX660" s="418"/>
      <c r="AY660" s="418"/>
      <c r="AZ660" s="418"/>
      <c r="BA660" s="418"/>
    </row>
    <row r="661" spans="40:53" ht="15.75" customHeight="1">
      <c r="AN661" s="418"/>
      <c r="AO661" s="418"/>
      <c r="AP661" s="418"/>
      <c r="AQ661" s="418"/>
      <c r="AR661" s="418"/>
      <c r="AS661" s="418"/>
      <c r="AT661" s="418"/>
      <c r="AU661" s="418"/>
      <c r="AV661" s="418"/>
      <c r="AW661" s="418"/>
      <c r="AX661" s="418"/>
      <c r="AY661" s="418"/>
      <c r="AZ661" s="418"/>
      <c r="BA661" s="418"/>
    </row>
    <row r="662" spans="40:53" ht="15.75" customHeight="1">
      <c r="AN662" s="418"/>
      <c r="AO662" s="418"/>
      <c r="AP662" s="418"/>
      <c r="AQ662" s="418"/>
      <c r="AR662" s="418"/>
      <c r="AS662" s="418"/>
      <c r="AT662" s="418"/>
      <c r="AU662" s="418"/>
      <c r="AV662" s="418"/>
      <c r="AW662" s="418"/>
      <c r="AX662" s="418"/>
      <c r="AY662" s="418"/>
      <c r="AZ662" s="418"/>
      <c r="BA662" s="418"/>
    </row>
    <row r="663" spans="40:53" ht="15.75" customHeight="1">
      <c r="AN663" s="418"/>
      <c r="AO663" s="418"/>
      <c r="AP663" s="418"/>
      <c r="AQ663" s="418"/>
      <c r="AR663" s="418"/>
      <c r="AS663" s="418"/>
      <c r="AT663" s="418"/>
      <c r="AU663" s="418"/>
      <c r="AV663" s="418"/>
      <c r="AW663" s="418"/>
      <c r="AX663" s="418"/>
      <c r="AY663" s="418"/>
      <c r="AZ663" s="418"/>
      <c r="BA663" s="418"/>
    </row>
    <row r="664" spans="40:53" ht="15.75" customHeight="1">
      <c r="AN664" s="418"/>
      <c r="AO664" s="418"/>
      <c r="AP664" s="418"/>
      <c r="AQ664" s="418"/>
      <c r="AR664" s="418"/>
      <c r="AS664" s="418"/>
      <c r="AT664" s="418"/>
      <c r="AU664" s="418"/>
      <c r="AV664" s="418"/>
      <c r="AW664" s="418"/>
      <c r="AX664" s="418"/>
      <c r="AY664" s="418"/>
      <c r="AZ664" s="418"/>
      <c r="BA664" s="418"/>
    </row>
    <row r="665" spans="40:53" ht="15.75" customHeight="1">
      <c r="AN665" s="418"/>
      <c r="AO665" s="418"/>
      <c r="AP665" s="418"/>
      <c r="AQ665" s="418"/>
      <c r="AR665" s="418"/>
      <c r="AS665" s="418"/>
      <c r="AT665" s="418"/>
      <c r="AU665" s="418"/>
      <c r="AV665" s="418"/>
      <c r="AW665" s="418"/>
      <c r="AX665" s="418"/>
      <c r="AY665" s="418"/>
      <c r="AZ665" s="418"/>
      <c r="BA665" s="418"/>
    </row>
    <row r="666" spans="40:53" ht="15.75" customHeight="1">
      <c r="AN666" s="418"/>
      <c r="AO666" s="418"/>
      <c r="AP666" s="418"/>
      <c r="AQ666" s="418"/>
      <c r="AR666" s="418"/>
      <c r="AS666" s="418"/>
      <c r="AT666" s="418"/>
      <c r="AU666" s="418"/>
      <c r="AV666" s="418"/>
      <c r="AW666" s="418"/>
      <c r="AX666" s="418"/>
      <c r="AY666" s="418"/>
      <c r="AZ666" s="418"/>
      <c r="BA666" s="418"/>
    </row>
    <row r="667" spans="40:53" ht="15.75" customHeight="1">
      <c r="AN667" s="418"/>
      <c r="AO667" s="418"/>
      <c r="AP667" s="418"/>
      <c r="AQ667" s="418"/>
      <c r="AR667" s="418"/>
      <c r="AS667" s="418"/>
      <c r="AT667" s="418"/>
      <c r="AU667" s="418"/>
      <c r="AV667" s="418"/>
      <c r="AW667" s="418"/>
      <c r="AX667" s="418"/>
      <c r="AY667" s="418"/>
      <c r="AZ667" s="418"/>
      <c r="BA667" s="418"/>
    </row>
    <row r="668" spans="40:53" ht="15.75" customHeight="1">
      <c r="AN668" s="418"/>
      <c r="AO668" s="418"/>
      <c r="AP668" s="418"/>
      <c r="AQ668" s="418"/>
      <c r="AR668" s="418"/>
      <c r="AS668" s="418"/>
      <c r="AT668" s="418"/>
      <c r="AU668" s="418"/>
      <c r="AV668" s="418"/>
      <c r="AW668" s="418"/>
      <c r="AX668" s="418"/>
      <c r="AY668" s="418"/>
      <c r="AZ668" s="418"/>
      <c r="BA668" s="418"/>
    </row>
    <row r="669" spans="40:53" ht="15.75" customHeight="1">
      <c r="AN669" s="418"/>
      <c r="AO669" s="418"/>
      <c r="AP669" s="418"/>
      <c r="AQ669" s="418"/>
      <c r="AR669" s="418"/>
      <c r="AS669" s="418"/>
      <c r="AT669" s="418"/>
      <c r="AU669" s="418"/>
      <c r="AV669" s="418"/>
      <c r="AW669" s="418"/>
      <c r="AX669" s="418"/>
      <c r="AY669" s="418"/>
      <c r="AZ669" s="418"/>
      <c r="BA669" s="418"/>
    </row>
    <row r="670" spans="40:53" ht="15.75" customHeight="1">
      <c r="AN670" s="418"/>
      <c r="AO670" s="418"/>
      <c r="AP670" s="418"/>
      <c r="AQ670" s="418"/>
      <c r="AR670" s="418"/>
      <c r="AS670" s="418"/>
      <c r="AT670" s="418"/>
      <c r="AU670" s="418"/>
      <c r="AV670" s="418"/>
      <c r="AW670" s="418"/>
      <c r="AX670" s="418"/>
      <c r="AY670" s="418"/>
      <c r="AZ670" s="418"/>
      <c r="BA670" s="418"/>
    </row>
    <row r="671" spans="40:53" ht="15.75" customHeight="1">
      <c r="AN671" s="418"/>
      <c r="AO671" s="418"/>
      <c r="AP671" s="418"/>
      <c r="AQ671" s="418"/>
      <c r="AR671" s="418"/>
      <c r="AS671" s="418"/>
      <c r="AT671" s="418"/>
      <c r="AU671" s="418"/>
      <c r="AV671" s="418"/>
      <c r="AW671" s="418"/>
      <c r="AX671" s="418"/>
      <c r="AY671" s="418"/>
      <c r="AZ671" s="418"/>
      <c r="BA671" s="418"/>
    </row>
    <row r="672" spans="40:53" ht="15.75" customHeight="1">
      <c r="AN672" s="418"/>
      <c r="AO672" s="418"/>
      <c r="AP672" s="418"/>
      <c r="AQ672" s="418"/>
      <c r="AR672" s="418"/>
      <c r="AS672" s="418"/>
      <c r="AT672" s="418"/>
      <c r="AU672" s="418"/>
      <c r="AV672" s="418"/>
      <c r="AW672" s="418"/>
      <c r="AX672" s="418"/>
      <c r="AY672" s="418"/>
      <c r="AZ672" s="418"/>
      <c r="BA672" s="418"/>
    </row>
    <row r="673" spans="40:53" ht="15.75" customHeight="1">
      <c r="AN673" s="418"/>
      <c r="AO673" s="418"/>
      <c r="AP673" s="418"/>
      <c r="AQ673" s="418"/>
      <c r="AR673" s="418"/>
      <c r="AS673" s="418"/>
      <c r="AT673" s="418"/>
      <c r="AU673" s="418"/>
      <c r="AV673" s="418"/>
      <c r="AW673" s="418"/>
      <c r="AX673" s="418"/>
      <c r="AY673" s="418"/>
      <c r="AZ673" s="418"/>
      <c r="BA673" s="418"/>
    </row>
    <row r="674" spans="40:53" ht="15.75" customHeight="1">
      <c r="AN674" s="418"/>
      <c r="AO674" s="418"/>
      <c r="AP674" s="418"/>
      <c r="AQ674" s="418"/>
      <c r="AR674" s="418"/>
      <c r="AS674" s="418"/>
      <c r="AT674" s="418"/>
      <c r="AU674" s="418"/>
      <c r="AV674" s="418"/>
      <c r="AW674" s="418"/>
      <c r="AX674" s="418"/>
      <c r="AY674" s="418"/>
      <c r="AZ674" s="418"/>
      <c r="BA674" s="418"/>
    </row>
    <row r="675" spans="40:53" ht="15.75" customHeight="1">
      <c r="AN675" s="418"/>
      <c r="AO675" s="418"/>
      <c r="AP675" s="418"/>
      <c r="AQ675" s="418"/>
      <c r="AR675" s="418"/>
      <c r="AS675" s="418"/>
      <c r="AT675" s="418"/>
      <c r="AU675" s="418"/>
      <c r="AV675" s="418"/>
      <c r="AW675" s="418"/>
      <c r="AX675" s="418"/>
      <c r="AY675" s="418"/>
      <c r="AZ675" s="418"/>
      <c r="BA675" s="418"/>
    </row>
    <row r="676" spans="40:53" ht="15.75" customHeight="1">
      <c r="AN676" s="418"/>
      <c r="AO676" s="418"/>
      <c r="AP676" s="418"/>
      <c r="AQ676" s="418"/>
      <c r="AR676" s="418"/>
      <c r="AS676" s="418"/>
      <c r="AT676" s="418"/>
      <c r="AU676" s="418"/>
      <c r="AV676" s="418"/>
      <c r="AW676" s="418"/>
      <c r="AX676" s="418"/>
      <c r="AY676" s="418"/>
      <c r="AZ676" s="418"/>
      <c r="BA676" s="418"/>
    </row>
    <row r="677" spans="40:53" ht="15.75" customHeight="1">
      <c r="AN677" s="418"/>
      <c r="AO677" s="418"/>
      <c r="AP677" s="418"/>
      <c r="AQ677" s="418"/>
      <c r="AR677" s="418"/>
      <c r="AS677" s="418"/>
      <c r="AT677" s="418"/>
      <c r="AU677" s="418"/>
      <c r="AV677" s="418"/>
      <c r="AW677" s="418"/>
      <c r="AX677" s="418"/>
      <c r="AY677" s="418"/>
      <c r="AZ677" s="418"/>
      <c r="BA677" s="418"/>
    </row>
    <row r="678" spans="40:53" ht="15.75" customHeight="1">
      <c r="AN678" s="418"/>
      <c r="AO678" s="418"/>
      <c r="AP678" s="418"/>
      <c r="AQ678" s="418"/>
      <c r="AR678" s="418"/>
      <c r="AS678" s="418"/>
      <c r="AT678" s="418"/>
      <c r="AU678" s="418"/>
      <c r="AV678" s="418"/>
      <c r="AW678" s="418"/>
      <c r="AX678" s="418"/>
      <c r="AY678" s="418"/>
      <c r="AZ678" s="418"/>
      <c r="BA678" s="418"/>
    </row>
    <row r="679" spans="40:53" ht="15.75" customHeight="1">
      <c r="AN679" s="418"/>
      <c r="AO679" s="418"/>
      <c r="AP679" s="418"/>
      <c r="AQ679" s="418"/>
      <c r="AR679" s="418"/>
      <c r="AS679" s="418"/>
      <c r="AT679" s="418"/>
      <c r="AU679" s="418"/>
      <c r="AV679" s="418"/>
      <c r="AW679" s="418"/>
      <c r="AX679" s="418"/>
      <c r="AY679" s="418"/>
      <c r="AZ679" s="418"/>
      <c r="BA679" s="418"/>
    </row>
    <row r="680" spans="40:53" ht="15.75" customHeight="1">
      <c r="AN680" s="418"/>
      <c r="AO680" s="418"/>
      <c r="AP680" s="418"/>
      <c r="AQ680" s="418"/>
      <c r="AR680" s="418"/>
      <c r="AS680" s="418"/>
      <c r="AT680" s="418"/>
      <c r="AU680" s="418"/>
      <c r="AV680" s="418"/>
      <c r="AW680" s="418"/>
      <c r="AX680" s="418"/>
      <c r="AY680" s="418"/>
      <c r="AZ680" s="418"/>
      <c r="BA680" s="418"/>
    </row>
    <row r="681" spans="40:53" ht="15.75" customHeight="1">
      <c r="AN681" s="418"/>
      <c r="AO681" s="418"/>
      <c r="AP681" s="418"/>
      <c r="AQ681" s="418"/>
      <c r="AR681" s="418"/>
      <c r="AS681" s="418"/>
      <c r="AT681" s="418"/>
      <c r="AU681" s="418"/>
      <c r="AV681" s="418"/>
      <c r="AW681" s="418"/>
      <c r="AX681" s="418"/>
      <c r="AY681" s="418"/>
      <c r="AZ681" s="418"/>
      <c r="BA681" s="418"/>
    </row>
    <row r="682" spans="40:53" ht="15.75" customHeight="1">
      <c r="AN682" s="418"/>
      <c r="AO682" s="418"/>
      <c r="AP682" s="418"/>
      <c r="AQ682" s="418"/>
      <c r="AR682" s="418"/>
      <c r="AS682" s="418"/>
      <c r="AT682" s="418"/>
      <c r="AU682" s="418"/>
      <c r="AV682" s="418"/>
      <c r="AW682" s="418"/>
      <c r="AX682" s="418"/>
      <c r="AY682" s="418"/>
      <c r="AZ682" s="418"/>
      <c r="BA682" s="418"/>
    </row>
    <row r="683" spans="40:53" ht="15.75" customHeight="1">
      <c r="AN683" s="418"/>
      <c r="AO683" s="418"/>
      <c r="AP683" s="418"/>
      <c r="AQ683" s="418"/>
      <c r="AR683" s="418"/>
      <c r="AS683" s="418"/>
      <c r="AT683" s="418"/>
      <c r="AU683" s="418"/>
      <c r="AV683" s="418"/>
      <c r="AW683" s="418"/>
      <c r="AX683" s="418"/>
      <c r="AY683" s="418"/>
      <c r="AZ683" s="418"/>
      <c r="BA683" s="418"/>
    </row>
    <row r="684" spans="40:53" ht="15.75" customHeight="1">
      <c r="AN684" s="418"/>
      <c r="AO684" s="418"/>
      <c r="AP684" s="418"/>
      <c r="AQ684" s="418"/>
      <c r="AR684" s="418"/>
      <c r="AS684" s="418"/>
      <c r="AT684" s="418"/>
      <c r="AU684" s="418"/>
      <c r="AV684" s="418"/>
      <c r="AW684" s="418"/>
      <c r="AX684" s="418"/>
      <c r="AY684" s="418"/>
      <c r="AZ684" s="418"/>
      <c r="BA684" s="418"/>
    </row>
    <row r="685" spans="40:53" ht="15.75" customHeight="1">
      <c r="AN685" s="418"/>
      <c r="AO685" s="418"/>
      <c r="AP685" s="418"/>
      <c r="AQ685" s="418"/>
      <c r="AR685" s="418"/>
      <c r="AS685" s="418"/>
      <c r="AT685" s="418"/>
      <c r="AU685" s="418"/>
      <c r="AV685" s="418"/>
      <c r="AW685" s="418"/>
      <c r="AX685" s="418"/>
      <c r="AY685" s="418"/>
      <c r="AZ685" s="418"/>
      <c r="BA685" s="418"/>
    </row>
    <row r="686" spans="40:53" ht="15.75" customHeight="1">
      <c r="AN686" s="418"/>
      <c r="AO686" s="418"/>
      <c r="AP686" s="418"/>
      <c r="AQ686" s="418"/>
      <c r="AR686" s="418"/>
      <c r="AS686" s="418"/>
      <c r="AT686" s="418"/>
      <c r="AU686" s="418"/>
      <c r="AV686" s="418"/>
      <c r="AW686" s="418"/>
      <c r="AX686" s="418"/>
      <c r="AY686" s="418"/>
      <c r="AZ686" s="418"/>
      <c r="BA686" s="418"/>
    </row>
    <row r="687" spans="40:53" ht="15.75" customHeight="1">
      <c r="AN687" s="418"/>
      <c r="AO687" s="418"/>
      <c r="AP687" s="418"/>
      <c r="AQ687" s="418"/>
      <c r="AR687" s="418"/>
      <c r="AS687" s="418"/>
      <c r="AT687" s="418"/>
      <c r="AU687" s="418"/>
      <c r="AV687" s="418"/>
      <c r="AW687" s="418"/>
      <c r="AX687" s="418"/>
      <c r="AY687" s="418"/>
      <c r="AZ687" s="418"/>
      <c r="BA687" s="418"/>
    </row>
    <row r="688" spans="40:53" ht="15.75" customHeight="1">
      <c r="AN688" s="418"/>
      <c r="AO688" s="418"/>
      <c r="AP688" s="418"/>
      <c r="AQ688" s="418"/>
      <c r="AR688" s="418"/>
      <c r="AS688" s="418"/>
      <c r="AT688" s="418"/>
      <c r="AU688" s="418"/>
      <c r="AV688" s="418"/>
      <c r="AW688" s="418"/>
      <c r="AX688" s="418"/>
      <c r="AY688" s="418"/>
      <c r="AZ688" s="418"/>
      <c r="BA688" s="418"/>
    </row>
    <row r="689" spans="40:53" ht="15.75" customHeight="1">
      <c r="AN689" s="418"/>
      <c r="AO689" s="418"/>
      <c r="AP689" s="418"/>
      <c r="AQ689" s="418"/>
      <c r="AR689" s="418"/>
      <c r="AS689" s="418"/>
      <c r="AT689" s="418"/>
      <c r="AU689" s="418"/>
      <c r="AV689" s="418"/>
      <c r="AW689" s="418"/>
      <c r="AX689" s="418"/>
      <c r="AY689" s="418"/>
      <c r="AZ689" s="418"/>
      <c r="BA689" s="418"/>
    </row>
    <row r="690" spans="40:53" ht="15.75" customHeight="1">
      <c r="AN690" s="418"/>
      <c r="AO690" s="418"/>
      <c r="AP690" s="418"/>
      <c r="AQ690" s="418"/>
      <c r="AR690" s="418"/>
      <c r="AS690" s="418"/>
      <c r="AT690" s="418"/>
      <c r="AU690" s="418"/>
      <c r="AV690" s="418"/>
      <c r="AW690" s="418"/>
      <c r="AX690" s="418"/>
      <c r="AY690" s="418"/>
      <c r="AZ690" s="418"/>
      <c r="BA690" s="418"/>
    </row>
    <row r="691" spans="40:53" ht="15.75" customHeight="1">
      <c r="AN691" s="418"/>
      <c r="AO691" s="418"/>
      <c r="AP691" s="418"/>
      <c r="AQ691" s="418"/>
      <c r="AR691" s="418"/>
      <c r="AS691" s="418"/>
      <c r="AT691" s="418"/>
      <c r="AU691" s="418"/>
      <c r="AV691" s="418"/>
      <c r="AW691" s="418"/>
      <c r="AX691" s="418"/>
      <c r="AY691" s="418"/>
      <c r="AZ691" s="418"/>
      <c r="BA691" s="418"/>
    </row>
    <row r="692" spans="40:53" ht="15.75" customHeight="1">
      <c r="AN692" s="418"/>
      <c r="AO692" s="418"/>
      <c r="AP692" s="418"/>
      <c r="AQ692" s="418"/>
      <c r="AR692" s="418"/>
      <c r="AS692" s="418"/>
      <c r="AT692" s="418"/>
      <c r="AU692" s="418"/>
      <c r="AV692" s="418"/>
      <c r="AW692" s="418"/>
      <c r="AX692" s="418"/>
      <c r="AY692" s="418"/>
      <c r="AZ692" s="418"/>
      <c r="BA692" s="418"/>
    </row>
    <row r="693" spans="40:53" ht="15.75" customHeight="1">
      <c r="AN693" s="418"/>
      <c r="AO693" s="418"/>
      <c r="AP693" s="418"/>
      <c r="AQ693" s="418"/>
      <c r="AR693" s="418"/>
      <c r="AS693" s="418"/>
      <c r="AT693" s="418"/>
      <c r="AU693" s="418"/>
      <c r="AV693" s="418"/>
      <c r="AW693" s="418"/>
      <c r="AX693" s="418"/>
      <c r="AY693" s="418"/>
      <c r="AZ693" s="418"/>
      <c r="BA693" s="418"/>
    </row>
    <row r="694" spans="40:53" ht="15.75" customHeight="1">
      <c r="AN694" s="418"/>
      <c r="AO694" s="418"/>
      <c r="AP694" s="418"/>
      <c r="AQ694" s="418"/>
      <c r="AR694" s="418"/>
      <c r="AS694" s="418"/>
      <c r="AT694" s="418"/>
      <c r="AU694" s="418"/>
      <c r="AV694" s="418"/>
      <c r="AW694" s="418"/>
      <c r="AX694" s="418"/>
      <c r="AY694" s="418"/>
      <c r="AZ694" s="418"/>
      <c r="BA694" s="418"/>
    </row>
    <row r="695" spans="40:53" ht="15.75" customHeight="1">
      <c r="AN695" s="418"/>
      <c r="AO695" s="418"/>
      <c r="AP695" s="418"/>
      <c r="AQ695" s="418"/>
      <c r="AR695" s="418"/>
      <c r="AS695" s="418"/>
      <c r="AT695" s="418"/>
      <c r="AU695" s="418"/>
      <c r="AV695" s="418"/>
      <c r="AW695" s="418"/>
      <c r="AX695" s="418"/>
      <c r="AY695" s="418"/>
      <c r="AZ695" s="418"/>
      <c r="BA695" s="418"/>
    </row>
    <row r="696" spans="40:53" ht="15.75" customHeight="1">
      <c r="AN696" s="418"/>
      <c r="AO696" s="418"/>
      <c r="AP696" s="418"/>
      <c r="AQ696" s="418"/>
      <c r="AR696" s="418"/>
      <c r="AS696" s="418"/>
      <c r="AT696" s="418"/>
      <c r="AU696" s="418"/>
      <c r="AV696" s="418"/>
      <c r="AW696" s="418"/>
      <c r="AX696" s="418"/>
      <c r="AY696" s="418"/>
      <c r="AZ696" s="418"/>
      <c r="BA696" s="418"/>
    </row>
    <row r="697" spans="40:53" ht="15.75" customHeight="1">
      <c r="AN697" s="418"/>
      <c r="AO697" s="418"/>
      <c r="AP697" s="418"/>
      <c r="AQ697" s="418"/>
      <c r="AR697" s="418"/>
      <c r="AS697" s="418"/>
      <c r="AT697" s="418"/>
      <c r="AU697" s="418"/>
      <c r="AV697" s="418"/>
      <c r="AW697" s="418"/>
      <c r="AX697" s="418"/>
      <c r="AY697" s="418"/>
      <c r="AZ697" s="418"/>
      <c r="BA697" s="418"/>
    </row>
    <row r="698" spans="40:53" ht="15.75" customHeight="1">
      <c r="AN698" s="418"/>
      <c r="AO698" s="418"/>
      <c r="AP698" s="418"/>
      <c r="AQ698" s="418"/>
      <c r="AR698" s="418"/>
      <c r="AS698" s="418"/>
      <c r="AT698" s="418"/>
      <c r="AU698" s="418"/>
      <c r="AV698" s="418"/>
      <c r="AW698" s="418"/>
      <c r="AX698" s="418"/>
      <c r="AY698" s="418"/>
      <c r="AZ698" s="418"/>
      <c r="BA698" s="418"/>
    </row>
    <row r="699" spans="40:53" ht="15.75" customHeight="1">
      <c r="AN699" s="418"/>
      <c r="AO699" s="418"/>
      <c r="AP699" s="418"/>
      <c r="AQ699" s="418"/>
      <c r="AR699" s="418"/>
      <c r="AS699" s="418"/>
      <c r="AT699" s="418"/>
      <c r="AU699" s="418"/>
      <c r="AV699" s="418"/>
      <c r="AW699" s="418"/>
      <c r="AX699" s="418"/>
      <c r="AY699" s="418"/>
      <c r="AZ699" s="418"/>
      <c r="BA699" s="418"/>
    </row>
    <row r="700" spans="40:53" ht="15.75" customHeight="1">
      <c r="AN700" s="418"/>
      <c r="AO700" s="418"/>
      <c r="AP700" s="418"/>
      <c r="AQ700" s="418"/>
      <c r="AR700" s="418"/>
      <c r="AS700" s="418"/>
      <c r="AT700" s="418"/>
      <c r="AU700" s="418"/>
      <c r="AV700" s="418"/>
      <c r="AW700" s="418"/>
      <c r="AX700" s="418"/>
      <c r="AY700" s="418"/>
      <c r="AZ700" s="418"/>
      <c r="BA700" s="418"/>
    </row>
    <row r="701" spans="40:53" ht="15.75" customHeight="1">
      <c r="AN701" s="418"/>
      <c r="AO701" s="418"/>
      <c r="AP701" s="418"/>
      <c r="AQ701" s="418"/>
      <c r="AR701" s="418"/>
      <c r="AS701" s="418"/>
      <c r="AT701" s="418"/>
      <c r="AU701" s="418"/>
      <c r="AV701" s="418"/>
      <c r="AW701" s="418"/>
      <c r="AX701" s="418"/>
      <c r="AY701" s="418"/>
      <c r="AZ701" s="418"/>
      <c r="BA701" s="418"/>
    </row>
    <row r="702" spans="40:53" ht="15.75" customHeight="1">
      <c r="AN702" s="418"/>
      <c r="AO702" s="418"/>
      <c r="AP702" s="418"/>
      <c r="AQ702" s="418"/>
      <c r="AR702" s="418"/>
      <c r="AS702" s="418"/>
      <c r="AT702" s="418"/>
      <c r="AU702" s="418"/>
      <c r="AV702" s="418"/>
      <c r="AW702" s="418"/>
      <c r="AX702" s="418"/>
      <c r="AY702" s="418"/>
      <c r="AZ702" s="418"/>
      <c r="BA702" s="418"/>
    </row>
    <row r="703" spans="40:53" ht="15.75" customHeight="1">
      <c r="AN703" s="418"/>
      <c r="AO703" s="418"/>
      <c r="AP703" s="418"/>
      <c r="AQ703" s="418"/>
      <c r="AR703" s="418"/>
      <c r="AS703" s="418"/>
      <c r="AT703" s="418"/>
      <c r="AU703" s="418"/>
      <c r="AV703" s="418"/>
      <c r="AW703" s="418"/>
      <c r="AX703" s="418"/>
      <c r="AY703" s="418"/>
      <c r="AZ703" s="418"/>
      <c r="BA703" s="418"/>
    </row>
    <row r="704" spans="40:53" ht="15.75" customHeight="1">
      <c r="AN704" s="418"/>
      <c r="AO704" s="418"/>
      <c r="AP704" s="418"/>
      <c r="AQ704" s="418"/>
      <c r="AR704" s="418"/>
      <c r="AS704" s="418"/>
      <c r="AT704" s="418"/>
      <c r="AU704" s="418"/>
      <c r="AV704" s="418"/>
      <c r="AW704" s="418"/>
      <c r="AX704" s="418"/>
      <c r="AY704" s="418"/>
      <c r="AZ704" s="418"/>
      <c r="BA704" s="418"/>
    </row>
    <row r="705" spans="40:53" ht="15.75" customHeight="1">
      <c r="AN705" s="418"/>
      <c r="AO705" s="418"/>
      <c r="AP705" s="418"/>
      <c r="AQ705" s="418"/>
      <c r="AR705" s="418"/>
      <c r="AS705" s="418"/>
      <c r="AT705" s="418"/>
      <c r="AU705" s="418"/>
      <c r="AV705" s="418"/>
      <c r="AW705" s="418"/>
      <c r="AX705" s="418"/>
      <c r="AY705" s="418"/>
      <c r="AZ705" s="418"/>
      <c r="BA705" s="418"/>
    </row>
    <row r="706" spans="40:53" ht="15.75" customHeight="1">
      <c r="AN706" s="418"/>
      <c r="AO706" s="418"/>
      <c r="AP706" s="418"/>
      <c r="AQ706" s="418"/>
      <c r="AR706" s="418"/>
      <c r="AS706" s="418"/>
      <c r="AT706" s="418"/>
      <c r="AU706" s="418"/>
      <c r="AV706" s="418"/>
      <c r="AW706" s="418"/>
      <c r="AX706" s="418"/>
      <c r="AY706" s="418"/>
      <c r="AZ706" s="418"/>
      <c r="BA706" s="418"/>
    </row>
    <row r="707" spans="40:53" ht="15.75" customHeight="1">
      <c r="AN707" s="418"/>
      <c r="AO707" s="418"/>
      <c r="AP707" s="418"/>
      <c r="AQ707" s="418"/>
      <c r="AR707" s="418"/>
      <c r="AS707" s="418"/>
      <c r="AT707" s="418"/>
      <c r="AU707" s="418"/>
      <c r="AV707" s="418"/>
      <c r="AW707" s="418"/>
      <c r="AX707" s="418"/>
      <c r="AY707" s="418"/>
      <c r="AZ707" s="418"/>
      <c r="BA707" s="418"/>
    </row>
    <row r="708" spans="40:53" ht="15.75" customHeight="1">
      <c r="AN708" s="418"/>
      <c r="AO708" s="418"/>
      <c r="AP708" s="418"/>
      <c r="AQ708" s="418"/>
      <c r="AR708" s="418"/>
      <c r="AS708" s="418"/>
      <c r="AT708" s="418"/>
      <c r="AU708" s="418"/>
      <c r="AV708" s="418"/>
      <c r="AW708" s="418"/>
      <c r="AX708" s="418"/>
      <c r="AY708" s="418"/>
      <c r="AZ708" s="418"/>
      <c r="BA708" s="418"/>
    </row>
    <row r="709" spans="40:53" ht="15.75" customHeight="1">
      <c r="AN709" s="418"/>
      <c r="AO709" s="418"/>
      <c r="AP709" s="418"/>
      <c r="AQ709" s="418"/>
      <c r="AR709" s="418"/>
      <c r="AS709" s="418"/>
      <c r="AT709" s="418"/>
      <c r="AU709" s="418"/>
      <c r="AV709" s="418"/>
      <c r="AW709" s="418"/>
      <c r="AX709" s="418"/>
      <c r="AY709" s="418"/>
      <c r="AZ709" s="418"/>
      <c r="BA709" s="418"/>
    </row>
    <row r="710" spans="40:53" ht="15.75" customHeight="1">
      <c r="AN710" s="418"/>
      <c r="AO710" s="418"/>
      <c r="AP710" s="418"/>
      <c r="AQ710" s="418"/>
      <c r="AR710" s="418"/>
      <c r="AS710" s="418"/>
      <c r="AT710" s="418"/>
      <c r="AU710" s="418"/>
      <c r="AV710" s="418"/>
      <c r="AW710" s="418"/>
      <c r="AX710" s="418"/>
      <c r="AY710" s="418"/>
      <c r="AZ710" s="418"/>
      <c r="BA710" s="418"/>
    </row>
    <row r="711" spans="40:53" ht="15.75" customHeight="1">
      <c r="AN711" s="418"/>
      <c r="AO711" s="418"/>
      <c r="AP711" s="418"/>
      <c r="AQ711" s="418"/>
      <c r="AR711" s="418"/>
      <c r="AS711" s="418"/>
      <c r="AT711" s="418"/>
      <c r="AU711" s="418"/>
      <c r="AV711" s="418"/>
      <c r="AW711" s="418"/>
      <c r="AX711" s="418"/>
      <c r="AY711" s="418"/>
      <c r="AZ711" s="418"/>
      <c r="BA711" s="418"/>
    </row>
    <row r="712" spans="40:53" ht="15.75" customHeight="1">
      <c r="AN712" s="418"/>
      <c r="AO712" s="418"/>
      <c r="AP712" s="418"/>
      <c r="AQ712" s="418"/>
      <c r="AR712" s="418"/>
      <c r="AS712" s="418"/>
      <c r="AT712" s="418"/>
      <c r="AU712" s="418"/>
      <c r="AV712" s="418"/>
      <c r="AW712" s="418"/>
      <c r="AX712" s="418"/>
      <c r="AY712" s="418"/>
      <c r="AZ712" s="418"/>
      <c r="BA712" s="418"/>
    </row>
    <row r="713" spans="40:53" ht="15.75" customHeight="1">
      <c r="AN713" s="418"/>
      <c r="AO713" s="418"/>
      <c r="AP713" s="418"/>
      <c r="AQ713" s="418"/>
      <c r="AR713" s="418"/>
      <c r="AS713" s="418"/>
      <c r="AT713" s="418"/>
      <c r="AU713" s="418"/>
      <c r="AV713" s="418"/>
      <c r="AW713" s="418"/>
      <c r="AX713" s="418"/>
      <c r="AY713" s="418"/>
      <c r="AZ713" s="418"/>
      <c r="BA713" s="418"/>
    </row>
    <row r="714" spans="40:53" ht="15.75" customHeight="1">
      <c r="AN714" s="418"/>
      <c r="AO714" s="418"/>
      <c r="AP714" s="418"/>
      <c r="AQ714" s="418"/>
      <c r="AR714" s="418"/>
      <c r="AS714" s="418"/>
      <c r="AT714" s="418"/>
      <c r="AU714" s="418"/>
      <c r="AV714" s="418"/>
      <c r="AW714" s="418"/>
      <c r="AX714" s="418"/>
      <c r="AY714" s="418"/>
      <c r="AZ714" s="418"/>
      <c r="BA714" s="418"/>
    </row>
    <row r="715" spans="40:53" ht="15.75" customHeight="1">
      <c r="AN715" s="418"/>
      <c r="AO715" s="418"/>
      <c r="AP715" s="418"/>
      <c r="AQ715" s="418"/>
      <c r="AR715" s="418"/>
      <c r="AS715" s="418"/>
      <c r="AT715" s="418"/>
      <c r="AU715" s="418"/>
      <c r="AV715" s="418"/>
      <c r="AW715" s="418"/>
      <c r="AX715" s="418"/>
      <c r="AY715" s="418"/>
      <c r="AZ715" s="418"/>
      <c r="BA715" s="418"/>
    </row>
    <row r="716" spans="40:53" ht="15.75" customHeight="1">
      <c r="AN716" s="418"/>
      <c r="AO716" s="418"/>
      <c r="AP716" s="418"/>
      <c r="AQ716" s="418"/>
      <c r="AR716" s="418"/>
      <c r="AS716" s="418"/>
      <c r="AT716" s="418"/>
      <c r="AU716" s="418"/>
      <c r="AV716" s="418"/>
      <c r="AW716" s="418"/>
      <c r="AX716" s="418"/>
      <c r="AY716" s="418"/>
      <c r="AZ716" s="418"/>
      <c r="BA716" s="418"/>
    </row>
    <row r="717" spans="40:53" ht="15.75" customHeight="1">
      <c r="AN717" s="418"/>
      <c r="AO717" s="418"/>
      <c r="AP717" s="418"/>
      <c r="AQ717" s="418"/>
      <c r="AR717" s="418"/>
      <c r="AS717" s="418"/>
      <c r="AT717" s="418"/>
      <c r="AU717" s="418"/>
      <c r="AV717" s="418"/>
      <c r="AW717" s="418"/>
      <c r="AX717" s="418"/>
      <c r="AY717" s="418"/>
      <c r="AZ717" s="418"/>
      <c r="BA717" s="418"/>
    </row>
    <row r="718" spans="40:53" ht="15.75" customHeight="1">
      <c r="AN718" s="418"/>
      <c r="AO718" s="418"/>
      <c r="AP718" s="418"/>
      <c r="AQ718" s="418"/>
      <c r="AR718" s="418"/>
      <c r="AS718" s="418"/>
      <c r="AT718" s="418"/>
      <c r="AU718" s="418"/>
      <c r="AV718" s="418"/>
      <c r="AW718" s="418"/>
      <c r="AX718" s="418"/>
      <c r="AY718" s="418"/>
      <c r="AZ718" s="418"/>
      <c r="BA718" s="418"/>
    </row>
    <row r="719" spans="40:53" ht="15.75" customHeight="1">
      <c r="AN719" s="418"/>
      <c r="AO719" s="418"/>
      <c r="AP719" s="418"/>
      <c r="AQ719" s="418"/>
      <c r="AR719" s="418"/>
      <c r="AS719" s="418"/>
      <c r="AT719" s="418"/>
      <c r="AU719" s="418"/>
      <c r="AV719" s="418"/>
      <c r="AW719" s="418"/>
      <c r="AX719" s="418"/>
      <c r="AY719" s="418"/>
      <c r="AZ719" s="418"/>
      <c r="BA719" s="418"/>
    </row>
    <row r="720" spans="40:53" ht="15.75" customHeight="1">
      <c r="AN720" s="418"/>
      <c r="AO720" s="418"/>
      <c r="AP720" s="418"/>
      <c r="AQ720" s="418"/>
      <c r="AR720" s="418"/>
      <c r="AS720" s="418"/>
      <c r="AT720" s="418"/>
      <c r="AU720" s="418"/>
      <c r="AV720" s="418"/>
      <c r="AW720" s="418"/>
      <c r="AX720" s="418"/>
      <c r="AY720" s="418"/>
      <c r="AZ720" s="418"/>
      <c r="BA720" s="418"/>
    </row>
    <row r="721" spans="40:53" ht="15.75" customHeight="1">
      <c r="AN721" s="418"/>
      <c r="AO721" s="418"/>
      <c r="AP721" s="418"/>
      <c r="AQ721" s="418"/>
      <c r="AR721" s="418"/>
      <c r="AS721" s="418"/>
      <c r="AT721" s="418"/>
      <c r="AU721" s="418"/>
      <c r="AV721" s="418"/>
      <c r="AW721" s="418"/>
      <c r="AX721" s="418"/>
      <c r="AY721" s="418"/>
      <c r="AZ721" s="418"/>
      <c r="BA721" s="418"/>
    </row>
    <row r="722" spans="40:53" ht="15.75" customHeight="1">
      <c r="AN722" s="418"/>
      <c r="AO722" s="418"/>
      <c r="AP722" s="418"/>
      <c r="AQ722" s="418"/>
      <c r="AR722" s="418"/>
      <c r="AS722" s="418"/>
      <c r="AT722" s="418"/>
      <c r="AU722" s="418"/>
      <c r="AV722" s="418"/>
      <c r="AW722" s="418"/>
      <c r="AX722" s="418"/>
      <c r="AY722" s="418"/>
      <c r="AZ722" s="418"/>
      <c r="BA722" s="418"/>
    </row>
    <row r="723" spans="40:53" ht="15.75" customHeight="1">
      <c r="AN723" s="418"/>
      <c r="AO723" s="418"/>
      <c r="AP723" s="418"/>
      <c r="AQ723" s="418"/>
      <c r="AR723" s="418"/>
      <c r="AS723" s="418"/>
      <c r="AT723" s="418"/>
      <c r="AU723" s="418"/>
      <c r="AV723" s="418"/>
      <c r="AW723" s="418"/>
      <c r="AX723" s="418"/>
      <c r="AY723" s="418"/>
      <c r="AZ723" s="418"/>
      <c r="BA723" s="418"/>
    </row>
    <row r="724" spans="40:53" ht="15.75" customHeight="1">
      <c r="AN724" s="418"/>
      <c r="AO724" s="418"/>
      <c r="AP724" s="418"/>
      <c r="AQ724" s="418"/>
      <c r="AR724" s="418"/>
      <c r="AS724" s="418"/>
      <c r="AT724" s="418"/>
      <c r="AU724" s="418"/>
      <c r="AV724" s="418"/>
      <c r="AW724" s="418"/>
      <c r="AX724" s="418"/>
      <c r="AY724" s="418"/>
      <c r="AZ724" s="418"/>
      <c r="BA724" s="418"/>
    </row>
    <row r="725" spans="40:53" ht="15.75" customHeight="1">
      <c r="AN725" s="418"/>
      <c r="AO725" s="418"/>
      <c r="AP725" s="418"/>
      <c r="AQ725" s="418"/>
      <c r="AR725" s="418"/>
      <c r="AS725" s="418"/>
      <c r="AT725" s="418"/>
      <c r="AU725" s="418"/>
      <c r="AV725" s="418"/>
      <c r="AW725" s="418"/>
      <c r="AX725" s="418"/>
      <c r="AY725" s="418"/>
      <c r="AZ725" s="418"/>
      <c r="BA725" s="418"/>
    </row>
    <row r="726" spans="40:53" ht="15.75" customHeight="1">
      <c r="AN726" s="418"/>
      <c r="AO726" s="418"/>
      <c r="AP726" s="418"/>
      <c r="AQ726" s="418"/>
      <c r="AR726" s="418"/>
      <c r="AS726" s="418"/>
      <c r="AT726" s="418"/>
      <c r="AU726" s="418"/>
      <c r="AV726" s="418"/>
      <c r="AW726" s="418"/>
      <c r="AX726" s="418"/>
      <c r="AY726" s="418"/>
      <c r="AZ726" s="418"/>
      <c r="BA726" s="418"/>
    </row>
    <row r="727" spans="40:53" ht="15.75" customHeight="1">
      <c r="AN727" s="418"/>
      <c r="AO727" s="418"/>
      <c r="AP727" s="418"/>
      <c r="AQ727" s="418"/>
      <c r="AR727" s="418"/>
      <c r="AS727" s="418"/>
      <c r="AT727" s="418"/>
      <c r="AU727" s="418"/>
      <c r="AV727" s="418"/>
      <c r="AW727" s="418"/>
      <c r="AX727" s="418"/>
      <c r="AY727" s="418"/>
      <c r="AZ727" s="418"/>
      <c r="BA727" s="418"/>
    </row>
    <row r="728" spans="40:53" ht="15.75" customHeight="1">
      <c r="AN728" s="418"/>
      <c r="AO728" s="418"/>
      <c r="AP728" s="418"/>
      <c r="AQ728" s="418"/>
      <c r="AR728" s="418"/>
      <c r="AS728" s="418"/>
      <c r="AT728" s="418"/>
      <c r="AU728" s="418"/>
      <c r="AV728" s="418"/>
      <c r="AW728" s="418"/>
      <c r="AX728" s="418"/>
      <c r="AY728" s="418"/>
      <c r="AZ728" s="418"/>
      <c r="BA728" s="418"/>
    </row>
    <row r="729" spans="40:53" ht="15.75" customHeight="1">
      <c r="AN729" s="418"/>
      <c r="AO729" s="418"/>
      <c r="AP729" s="418"/>
      <c r="AQ729" s="418"/>
      <c r="AR729" s="418"/>
      <c r="AS729" s="418"/>
      <c r="AT729" s="418"/>
      <c r="AU729" s="418"/>
      <c r="AV729" s="418"/>
      <c r="AW729" s="418"/>
      <c r="AX729" s="418"/>
      <c r="AY729" s="418"/>
      <c r="AZ729" s="418"/>
      <c r="BA729" s="418"/>
    </row>
    <row r="730" spans="40:53" ht="15.75" customHeight="1">
      <c r="AN730" s="418"/>
      <c r="AO730" s="418"/>
      <c r="AP730" s="418"/>
      <c r="AQ730" s="418"/>
      <c r="AR730" s="418"/>
      <c r="AS730" s="418"/>
      <c r="AT730" s="418"/>
      <c r="AU730" s="418"/>
      <c r="AV730" s="418"/>
      <c r="AW730" s="418"/>
      <c r="AX730" s="418"/>
      <c r="AY730" s="418"/>
      <c r="AZ730" s="418"/>
      <c r="BA730" s="418"/>
    </row>
    <row r="731" spans="40:53" ht="15.75" customHeight="1">
      <c r="AN731" s="418"/>
      <c r="AO731" s="418"/>
      <c r="AP731" s="418"/>
      <c r="AQ731" s="418"/>
      <c r="AR731" s="418"/>
      <c r="AS731" s="418"/>
      <c r="AT731" s="418"/>
      <c r="AU731" s="418"/>
      <c r="AV731" s="418"/>
      <c r="AW731" s="418"/>
      <c r="AX731" s="418"/>
      <c r="AY731" s="418"/>
      <c r="AZ731" s="418"/>
      <c r="BA731" s="418"/>
    </row>
    <row r="732" spans="40:53" ht="15.75" customHeight="1">
      <c r="AN732" s="418"/>
      <c r="AO732" s="418"/>
      <c r="AP732" s="418"/>
      <c r="AQ732" s="418"/>
      <c r="AR732" s="418"/>
      <c r="AS732" s="418"/>
      <c r="AT732" s="418"/>
      <c r="AU732" s="418"/>
      <c r="AV732" s="418"/>
      <c r="AW732" s="418"/>
      <c r="AX732" s="418"/>
      <c r="AY732" s="418"/>
      <c r="AZ732" s="418"/>
      <c r="BA732" s="418"/>
    </row>
    <row r="733" spans="40:53" ht="15.75" customHeight="1">
      <c r="AN733" s="418"/>
      <c r="AO733" s="418"/>
      <c r="AP733" s="418"/>
      <c r="AQ733" s="418"/>
      <c r="AR733" s="418"/>
      <c r="AS733" s="418"/>
      <c r="AT733" s="418"/>
      <c r="AU733" s="418"/>
      <c r="AV733" s="418"/>
      <c r="AW733" s="418"/>
      <c r="AX733" s="418"/>
      <c r="AY733" s="418"/>
      <c r="AZ733" s="418"/>
      <c r="BA733" s="418"/>
    </row>
    <row r="734" spans="40:53" ht="15.75" customHeight="1">
      <c r="AN734" s="418"/>
      <c r="AO734" s="418"/>
      <c r="AP734" s="418"/>
      <c r="AQ734" s="418"/>
      <c r="AR734" s="418"/>
      <c r="AS734" s="418"/>
      <c r="AT734" s="418"/>
      <c r="AU734" s="418"/>
      <c r="AV734" s="418"/>
      <c r="AW734" s="418"/>
      <c r="AX734" s="418"/>
      <c r="AY734" s="418"/>
      <c r="AZ734" s="418"/>
      <c r="BA734" s="418"/>
    </row>
    <row r="735" spans="40:53" ht="15.75" customHeight="1">
      <c r="AN735" s="418"/>
      <c r="AO735" s="418"/>
      <c r="AP735" s="418"/>
      <c r="AQ735" s="418"/>
      <c r="AR735" s="418"/>
      <c r="AS735" s="418"/>
      <c r="AT735" s="418"/>
      <c r="AU735" s="418"/>
      <c r="AV735" s="418"/>
      <c r="AW735" s="418"/>
      <c r="AX735" s="418"/>
      <c r="AY735" s="418"/>
      <c r="AZ735" s="418"/>
      <c r="BA735" s="418"/>
    </row>
    <row r="736" spans="40:53" ht="15.75" customHeight="1">
      <c r="AN736" s="418"/>
      <c r="AO736" s="418"/>
      <c r="AP736" s="418"/>
      <c r="AQ736" s="418"/>
      <c r="AR736" s="418"/>
      <c r="AS736" s="418"/>
      <c r="AT736" s="418"/>
      <c r="AU736" s="418"/>
      <c r="AV736" s="418"/>
      <c r="AW736" s="418"/>
      <c r="AX736" s="418"/>
      <c r="AY736" s="418"/>
      <c r="AZ736" s="418"/>
      <c r="BA736" s="418"/>
    </row>
    <row r="737" spans="40:53" ht="15.75" customHeight="1">
      <c r="AN737" s="418"/>
      <c r="AO737" s="418"/>
      <c r="AP737" s="418"/>
      <c r="AQ737" s="418"/>
      <c r="AR737" s="418"/>
      <c r="AS737" s="418"/>
      <c r="AT737" s="418"/>
      <c r="AU737" s="418"/>
      <c r="AV737" s="418"/>
      <c r="AW737" s="418"/>
      <c r="AX737" s="418"/>
      <c r="AY737" s="418"/>
      <c r="AZ737" s="418"/>
      <c r="BA737" s="418"/>
    </row>
    <row r="738" spans="40:53" ht="15.75" customHeight="1">
      <c r="AN738" s="418"/>
      <c r="AO738" s="418"/>
      <c r="AP738" s="418"/>
      <c r="AQ738" s="418"/>
      <c r="AR738" s="418"/>
      <c r="AS738" s="418"/>
      <c r="AT738" s="418"/>
      <c r="AU738" s="418"/>
      <c r="AV738" s="418"/>
      <c r="AW738" s="418"/>
      <c r="AX738" s="418"/>
      <c r="AY738" s="418"/>
      <c r="AZ738" s="418"/>
      <c r="BA738" s="418"/>
    </row>
    <row r="739" spans="40:53" ht="15.75" customHeight="1">
      <c r="AN739" s="418"/>
      <c r="AO739" s="418"/>
      <c r="AP739" s="418"/>
      <c r="AQ739" s="418"/>
      <c r="AR739" s="418"/>
      <c r="AS739" s="418"/>
      <c r="AT739" s="418"/>
      <c r="AU739" s="418"/>
      <c r="AV739" s="418"/>
      <c r="AW739" s="418"/>
      <c r="AX739" s="418"/>
      <c r="AY739" s="418"/>
      <c r="AZ739" s="418"/>
      <c r="BA739" s="418"/>
    </row>
    <row r="740" spans="40:53" ht="15.75" customHeight="1">
      <c r="AN740" s="418"/>
      <c r="AO740" s="418"/>
      <c r="AP740" s="418"/>
      <c r="AQ740" s="418"/>
      <c r="AR740" s="418"/>
      <c r="AS740" s="418"/>
      <c r="AT740" s="418"/>
      <c r="AU740" s="418"/>
      <c r="AV740" s="418"/>
      <c r="AW740" s="418"/>
      <c r="AX740" s="418"/>
      <c r="AY740" s="418"/>
      <c r="AZ740" s="418"/>
      <c r="BA740" s="418"/>
    </row>
    <row r="741" spans="40:53" ht="15.75" customHeight="1">
      <c r="AN741" s="418"/>
      <c r="AO741" s="418"/>
      <c r="AP741" s="418"/>
      <c r="AQ741" s="418"/>
      <c r="AR741" s="418"/>
      <c r="AS741" s="418"/>
      <c r="AT741" s="418"/>
      <c r="AU741" s="418"/>
      <c r="AV741" s="418"/>
      <c r="AW741" s="418"/>
      <c r="AX741" s="418"/>
      <c r="AY741" s="418"/>
      <c r="AZ741" s="418"/>
      <c r="BA741" s="418"/>
    </row>
    <row r="742" spans="40:53" ht="15.75" customHeight="1">
      <c r="AN742" s="418"/>
      <c r="AO742" s="418"/>
      <c r="AP742" s="418"/>
      <c r="AQ742" s="418"/>
      <c r="AR742" s="418"/>
      <c r="AS742" s="418"/>
      <c r="AT742" s="418"/>
      <c r="AU742" s="418"/>
      <c r="AV742" s="418"/>
      <c r="AW742" s="418"/>
      <c r="AX742" s="418"/>
      <c r="AY742" s="418"/>
      <c r="AZ742" s="418"/>
      <c r="BA742" s="418"/>
    </row>
    <row r="743" spans="40:53" ht="15.75" customHeight="1">
      <c r="AN743" s="418"/>
      <c r="AO743" s="418"/>
      <c r="AP743" s="418"/>
      <c r="AQ743" s="418"/>
      <c r="AR743" s="418"/>
      <c r="AS743" s="418"/>
      <c r="AT743" s="418"/>
      <c r="AU743" s="418"/>
      <c r="AV743" s="418"/>
      <c r="AW743" s="418"/>
      <c r="AX743" s="418"/>
      <c r="AY743" s="418"/>
      <c r="AZ743" s="418"/>
      <c r="BA743" s="418"/>
    </row>
    <row r="744" spans="40:53" ht="15.75" customHeight="1">
      <c r="AN744" s="418"/>
      <c r="AO744" s="418"/>
      <c r="AP744" s="418"/>
      <c r="AQ744" s="418"/>
      <c r="AR744" s="418"/>
      <c r="AS744" s="418"/>
      <c r="AT744" s="418"/>
      <c r="AU744" s="418"/>
      <c r="AV744" s="418"/>
      <c r="AW744" s="418"/>
      <c r="AX744" s="418"/>
      <c r="AY744" s="418"/>
      <c r="AZ744" s="418"/>
      <c r="BA744" s="418"/>
    </row>
    <row r="745" spans="40:53" ht="15.75" customHeight="1">
      <c r="AN745" s="418"/>
      <c r="AO745" s="418"/>
      <c r="AP745" s="418"/>
      <c r="AQ745" s="418"/>
      <c r="AR745" s="418"/>
      <c r="AS745" s="418"/>
      <c r="AT745" s="418"/>
      <c r="AU745" s="418"/>
      <c r="AV745" s="418"/>
      <c r="AW745" s="418"/>
      <c r="AX745" s="418"/>
      <c r="AY745" s="418"/>
      <c r="AZ745" s="418"/>
      <c r="BA745" s="418"/>
    </row>
    <row r="746" spans="40:53" ht="15.75" customHeight="1">
      <c r="AN746" s="418"/>
      <c r="AO746" s="418"/>
      <c r="AP746" s="418"/>
      <c r="AQ746" s="418"/>
      <c r="AR746" s="418"/>
      <c r="AS746" s="418"/>
      <c r="AT746" s="418"/>
      <c r="AU746" s="418"/>
      <c r="AV746" s="418"/>
      <c r="AW746" s="418"/>
      <c r="AX746" s="418"/>
      <c r="AY746" s="418"/>
      <c r="AZ746" s="418"/>
      <c r="BA746" s="418"/>
    </row>
    <row r="747" spans="40:53" ht="15.75" customHeight="1">
      <c r="AN747" s="418"/>
      <c r="AO747" s="418"/>
      <c r="AP747" s="418"/>
      <c r="AQ747" s="418"/>
      <c r="AR747" s="418"/>
      <c r="AS747" s="418"/>
      <c r="AT747" s="418"/>
      <c r="AU747" s="418"/>
      <c r="AV747" s="418"/>
      <c r="AW747" s="418"/>
      <c r="AX747" s="418"/>
      <c r="AY747" s="418"/>
      <c r="AZ747" s="418"/>
      <c r="BA747" s="418"/>
    </row>
    <row r="748" spans="40:53" ht="15.75" customHeight="1">
      <c r="AN748" s="418"/>
      <c r="AO748" s="418"/>
      <c r="AP748" s="418"/>
      <c r="AQ748" s="418"/>
      <c r="AR748" s="418"/>
      <c r="AS748" s="418"/>
      <c r="AT748" s="418"/>
      <c r="AU748" s="418"/>
      <c r="AV748" s="418"/>
      <c r="AW748" s="418"/>
      <c r="AX748" s="418"/>
      <c r="AY748" s="418"/>
      <c r="AZ748" s="418"/>
      <c r="BA748" s="418"/>
    </row>
    <row r="749" spans="40:53" ht="15.75" customHeight="1">
      <c r="AN749" s="418"/>
      <c r="AO749" s="418"/>
      <c r="AP749" s="418"/>
      <c r="AQ749" s="418"/>
      <c r="AR749" s="418"/>
      <c r="AS749" s="418"/>
      <c r="AT749" s="418"/>
      <c r="AU749" s="418"/>
      <c r="AV749" s="418"/>
      <c r="AW749" s="418"/>
      <c r="AX749" s="418"/>
      <c r="AY749" s="418"/>
      <c r="AZ749" s="418"/>
      <c r="BA749" s="418"/>
    </row>
    <row r="750" spans="40:53" ht="15.75" customHeight="1">
      <c r="AN750" s="418"/>
      <c r="AO750" s="418"/>
      <c r="AP750" s="418"/>
      <c r="AQ750" s="418"/>
      <c r="AR750" s="418"/>
      <c r="AS750" s="418"/>
      <c r="AT750" s="418"/>
      <c r="AU750" s="418"/>
      <c r="AV750" s="418"/>
      <c r="AW750" s="418"/>
      <c r="AX750" s="418"/>
      <c r="AY750" s="418"/>
      <c r="AZ750" s="418"/>
      <c r="BA750" s="418"/>
    </row>
    <row r="751" spans="40:53" ht="15.75" customHeight="1">
      <c r="AN751" s="418"/>
      <c r="AO751" s="418"/>
      <c r="AP751" s="418"/>
      <c r="AQ751" s="418"/>
      <c r="AR751" s="418"/>
      <c r="AS751" s="418"/>
      <c r="AT751" s="418"/>
      <c r="AU751" s="418"/>
      <c r="AV751" s="418"/>
      <c r="AW751" s="418"/>
      <c r="AX751" s="418"/>
      <c r="AY751" s="418"/>
      <c r="AZ751" s="418"/>
      <c r="BA751" s="418"/>
    </row>
    <row r="752" spans="40:53" ht="15.75" customHeight="1">
      <c r="AN752" s="418"/>
      <c r="AO752" s="418"/>
      <c r="AP752" s="418"/>
      <c r="AQ752" s="418"/>
      <c r="AR752" s="418"/>
      <c r="AS752" s="418"/>
      <c r="AT752" s="418"/>
      <c r="AU752" s="418"/>
      <c r="AV752" s="418"/>
      <c r="AW752" s="418"/>
      <c r="AX752" s="418"/>
      <c r="AY752" s="418"/>
      <c r="AZ752" s="418"/>
      <c r="BA752" s="418"/>
    </row>
    <row r="753" spans="40:53" ht="15.75" customHeight="1">
      <c r="AN753" s="418"/>
      <c r="AO753" s="418"/>
      <c r="AP753" s="418"/>
      <c r="AQ753" s="418"/>
      <c r="AR753" s="418"/>
      <c r="AS753" s="418"/>
      <c r="AT753" s="418"/>
      <c r="AU753" s="418"/>
      <c r="AV753" s="418"/>
      <c r="AW753" s="418"/>
      <c r="AX753" s="418"/>
      <c r="AY753" s="418"/>
      <c r="AZ753" s="418"/>
      <c r="BA753" s="418"/>
    </row>
    <row r="754" spans="40:53" ht="15.75" customHeight="1">
      <c r="AN754" s="418"/>
      <c r="AO754" s="418"/>
      <c r="AP754" s="418"/>
      <c r="AQ754" s="418"/>
      <c r="AR754" s="418"/>
      <c r="AS754" s="418"/>
      <c r="AT754" s="418"/>
      <c r="AU754" s="418"/>
      <c r="AV754" s="418"/>
      <c r="AW754" s="418"/>
      <c r="AX754" s="418"/>
      <c r="AY754" s="418"/>
      <c r="AZ754" s="418"/>
      <c r="BA754" s="418"/>
    </row>
    <row r="755" spans="40:53" ht="15.75" customHeight="1">
      <c r="AN755" s="418"/>
      <c r="AO755" s="418"/>
      <c r="AP755" s="418"/>
      <c r="AQ755" s="418"/>
      <c r="AR755" s="418"/>
      <c r="AS755" s="418"/>
      <c r="AT755" s="418"/>
      <c r="AU755" s="418"/>
      <c r="AV755" s="418"/>
      <c r="AW755" s="418"/>
      <c r="AX755" s="418"/>
      <c r="AY755" s="418"/>
      <c r="AZ755" s="418"/>
      <c r="BA755" s="418"/>
    </row>
    <row r="756" spans="40:53" ht="15.75" customHeight="1">
      <c r="AN756" s="418"/>
      <c r="AO756" s="418"/>
      <c r="AP756" s="418"/>
      <c r="AQ756" s="418"/>
      <c r="AR756" s="418"/>
      <c r="AS756" s="418"/>
      <c r="AT756" s="418"/>
      <c r="AU756" s="418"/>
      <c r="AV756" s="418"/>
      <c r="AW756" s="418"/>
      <c r="AX756" s="418"/>
      <c r="AY756" s="418"/>
      <c r="AZ756" s="418"/>
      <c r="BA756" s="418"/>
    </row>
    <row r="757" spans="40:53" ht="15.75" customHeight="1">
      <c r="AN757" s="418"/>
      <c r="AO757" s="418"/>
      <c r="AP757" s="418"/>
      <c r="AQ757" s="418"/>
      <c r="AR757" s="418"/>
      <c r="AS757" s="418"/>
      <c r="AT757" s="418"/>
      <c r="AU757" s="418"/>
      <c r="AV757" s="418"/>
      <c r="AW757" s="418"/>
      <c r="AX757" s="418"/>
      <c r="AY757" s="418"/>
      <c r="AZ757" s="418"/>
      <c r="BA757" s="418"/>
    </row>
    <row r="758" spans="40:53" ht="15.75" customHeight="1">
      <c r="AN758" s="418"/>
      <c r="AO758" s="418"/>
      <c r="AP758" s="418"/>
      <c r="AQ758" s="418"/>
      <c r="AR758" s="418"/>
      <c r="AS758" s="418"/>
      <c r="AT758" s="418"/>
      <c r="AU758" s="418"/>
      <c r="AV758" s="418"/>
      <c r="AW758" s="418"/>
      <c r="AX758" s="418"/>
      <c r="AY758" s="418"/>
      <c r="AZ758" s="418"/>
      <c r="BA758" s="418"/>
    </row>
    <row r="759" spans="40:53" ht="15.75" customHeight="1">
      <c r="AN759" s="418"/>
      <c r="AO759" s="418"/>
      <c r="AP759" s="418"/>
      <c r="AQ759" s="418"/>
      <c r="AR759" s="418"/>
      <c r="AS759" s="418"/>
      <c r="AT759" s="418"/>
      <c r="AU759" s="418"/>
      <c r="AV759" s="418"/>
      <c r="AW759" s="418"/>
      <c r="AX759" s="418"/>
      <c r="AY759" s="418"/>
      <c r="AZ759" s="418"/>
      <c r="BA759" s="418"/>
    </row>
    <row r="760" spans="40:53" ht="15.75" customHeight="1">
      <c r="AN760" s="418"/>
      <c r="AO760" s="418"/>
      <c r="AP760" s="418"/>
      <c r="AQ760" s="418"/>
      <c r="AR760" s="418"/>
      <c r="AS760" s="418"/>
      <c r="AT760" s="418"/>
      <c r="AU760" s="418"/>
      <c r="AV760" s="418"/>
      <c r="AW760" s="418"/>
      <c r="AX760" s="418"/>
      <c r="AY760" s="418"/>
      <c r="AZ760" s="418"/>
      <c r="BA760" s="418"/>
    </row>
    <row r="761" spans="40:53" ht="15.75" customHeight="1">
      <c r="AN761" s="418"/>
      <c r="AO761" s="418"/>
      <c r="AP761" s="418"/>
      <c r="AQ761" s="418"/>
      <c r="AR761" s="418"/>
      <c r="AS761" s="418"/>
      <c r="AT761" s="418"/>
      <c r="AU761" s="418"/>
      <c r="AV761" s="418"/>
      <c r="AW761" s="418"/>
      <c r="AX761" s="418"/>
      <c r="AY761" s="418"/>
      <c r="AZ761" s="418"/>
      <c r="BA761" s="418"/>
    </row>
    <row r="762" spans="40:53" ht="15.75" customHeight="1">
      <c r="AN762" s="418"/>
      <c r="AO762" s="418"/>
      <c r="AP762" s="418"/>
      <c r="AQ762" s="418"/>
      <c r="AR762" s="418"/>
      <c r="AS762" s="418"/>
      <c r="AT762" s="418"/>
      <c r="AU762" s="418"/>
      <c r="AV762" s="418"/>
      <c r="AW762" s="418"/>
      <c r="AX762" s="418"/>
      <c r="AY762" s="418"/>
      <c r="AZ762" s="418"/>
      <c r="BA762" s="418"/>
    </row>
    <row r="763" spans="40:53" ht="15.75" customHeight="1">
      <c r="AN763" s="418"/>
      <c r="AO763" s="418"/>
      <c r="AP763" s="418"/>
      <c r="AQ763" s="418"/>
      <c r="AR763" s="418"/>
      <c r="AS763" s="418"/>
      <c r="AT763" s="418"/>
      <c r="AU763" s="418"/>
      <c r="AV763" s="418"/>
      <c r="AW763" s="418"/>
      <c r="AX763" s="418"/>
      <c r="AY763" s="418"/>
      <c r="AZ763" s="418"/>
      <c r="BA763" s="418"/>
    </row>
    <row r="764" spans="40:53" ht="15.75" customHeight="1">
      <c r="AN764" s="418"/>
      <c r="AO764" s="418"/>
      <c r="AP764" s="418"/>
      <c r="AQ764" s="418"/>
      <c r="AR764" s="418"/>
      <c r="AS764" s="418"/>
      <c r="AT764" s="418"/>
      <c r="AU764" s="418"/>
      <c r="AV764" s="418"/>
      <c r="AW764" s="418"/>
      <c r="AX764" s="418"/>
      <c r="AY764" s="418"/>
      <c r="AZ764" s="418"/>
      <c r="BA764" s="418"/>
    </row>
    <row r="765" spans="40:53" ht="15.75" customHeight="1">
      <c r="AN765" s="418"/>
      <c r="AO765" s="418"/>
      <c r="AP765" s="418"/>
      <c r="AQ765" s="418"/>
      <c r="AR765" s="418"/>
      <c r="AS765" s="418"/>
      <c r="AT765" s="418"/>
      <c r="AU765" s="418"/>
      <c r="AV765" s="418"/>
      <c r="AW765" s="418"/>
      <c r="AX765" s="418"/>
      <c r="AY765" s="418"/>
      <c r="AZ765" s="418"/>
      <c r="BA765" s="418"/>
    </row>
    <row r="766" spans="40:53" ht="15.75" customHeight="1">
      <c r="AN766" s="418"/>
      <c r="AO766" s="418"/>
      <c r="AP766" s="418"/>
      <c r="AQ766" s="418"/>
      <c r="AR766" s="418"/>
      <c r="AS766" s="418"/>
      <c r="AT766" s="418"/>
      <c r="AU766" s="418"/>
      <c r="AV766" s="418"/>
      <c r="AW766" s="418"/>
      <c r="AX766" s="418"/>
      <c r="AY766" s="418"/>
      <c r="AZ766" s="418"/>
      <c r="BA766" s="418"/>
    </row>
    <row r="767" spans="40:53" ht="15.75" customHeight="1">
      <c r="AN767" s="418"/>
      <c r="AO767" s="418"/>
      <c r="AP767" s="418"/>
      <c r="AQ767" s="418"/>
      <c r="AR767" s="418"/>
      <c r="AS767" s="418"/>
      <c r="AT767" s="418"/>
      <c r="AU767" s="418"/>
      <c r="AV767" s="418"/>
      <c r="AW767" s="418"/>
      <c r="AX767" s="418"/>
      <c r="AY767" s="418"/>
      <c r="AZ767" s="418"/>
      <c r="BA767" s="418"/>
    </row>
    <row r="768" spans="40:53" ht="15.75" customHeight="1">
      <c r="AN768" s="418"/>
      <c r="AO768" s="418"/>
      <c r="AP768" s="418"/>
      <c r="AQ768" s="418"/>
      <c r="AR768" s="418"/>
      <c r="AS768" s="418"/>
      <c r="AT768" s="418"/>
      <c r="AU768" s="418"/>
      <c r="AV768" s="418"/>
      <c r="AW768" s="418"/>
      <c r="AX768" s="418"/>
      <c r="AY768" s="418"/>
      <c r="AZ768" s="418"/>
      <c r="BA768" s="418"/>
    </row>
    <row r="769" spans="40:53" ht="15.75" customHeight="1">
      <c r="AN769" s="418"/>
      <c r="AO769" s="418"/>
      <c r="AP769" s="418"/>
      <c r="AQ769" s="418"/>
      <c r="AR769" s="418"/>
      <c r="AS769" s="418"/>
      <c r="AT769" s="418"/>
      <c r="AU769" s="418"/>
      <c r="AV769" s="418"/>
      <c r="AW769" s="418"/>
      <c r="AX769" s="418"/>
      <c r="AY769" s="418"/>
      <c r="AZ769" s="418"/>
      <c r="BA769" s="418"/>
    </row>
    <row r="770" spans="40:53" ht="15.75" customHeight="1">
      <c r="AN770" s="418"/>
      <c r="AO770" s="418"/>
      <c r="AP770" s="418"/>
      <c r="AQ770" s="418"/>
      <c r="AR770" s="418"/>
      <c r="AS770" s="418"/>
      <c r="AT770" s="418"/>
      <c r="AU770" s="418"/>
      <c r="AV770" s="418"/>
      <c r="AW770" s="418"/>
      <c r="AX770" s="418"/>
      <c r="AY770" s="418"/>
      <c r="AZ770" s="418"/>
      <c r="BA770" s="418"/>
    </row>
    <row r="771" spans="40:53" ht="15.75" customHeight="1">
      <c r="AN771" s="418"/>
      <c r="AO771" s="418"/>
      <c r="AP771" s="418"/>
      <c r="AQ771" s="418"/>
      <c r="AR771" s="418"/>
      <c r="AS771" s="418"/>
      <c r="AT771" s="418"/>
      <c r="AU771" s="418"/>
      <c r="AV771" s="418"/>
      <c r="AW771" s="418"/>
      <c r="AX771" s="418"/>
      <c r="AY771" s="418"/>
      <c r="AZ771" s="418"/>
      <c r="BA771" s="418"/>
    </row>
    <row r="772" spans="40:53" ht="15.75" customHeight="1">
      <c r="AN772" s="418"/>
      <c r="AO772" s="418"/>
      <c r="AP772" s="418"/>
      <c r="AQ772" s="418"/>
      <c r="AR772" s="418"/>
      <c r="AS772" s="418"/>
      <c r="AT772" s="418"/>
      <c r="AU772" s="418"/>
      <c r="AV772" s="418"/>
      <c r="AW772" s="418"/>
      <c r="AX772" s="418"/>
      <c r="AY772" s="418"/>
      <c r="AZ772" s="418"/>
      <c r="BA772" s="418"/>
    </row>
    <row r="773" spans="40:53" ht="15.75" customHeight="1">
      <c r="AN773" s="418"/>
      <c r="AO773" s="418"/>
      <c r="AP773" s="418"/>
      <c r="AQ773" s="418"/>
      <c r="AR773" s="418"/>
      <c r="AS773" s="418"/>
      <c r="AT773" s="418"/>
      <c r="AU773" s="418"/>
      <c r="AV773" s="418"/>
      <c r="AW773" s="418"/>
      <c r="AX773" s="418"/>
      <c r="AY773" s="418"/>
      <c r="AZ773" s="418"/>
      <c r="BA773" s="418"/>
    </row>
    <row r="774" spans="40:53" ht="15.75" customHeight="1">
      <c r="AN774" s="418"/>
      <c r="AO774" s="418"/>
      <c r="AP774" s="418"/>
      <c r="AQ774" s="418"/>
      <c r="AR774" s="418"/>
      <c r="AS774" s="418"/>
      <c r="AT774" s="418"/>
      <c r="AU774" s="418"/>
      <c r="AV774" s="418"/>
      <c r="AW774" s="418"/>
      <c r="AX774" s="418"/>
      <c r="AY774" s="418"/>
      <c r="AZ774" s="418"/>
      <c r="BA774" s="418"/>
    </row>
    <row r="775" spans="40:53" ht="15.75" customHeight="1">
      <c r="AN775" s="418"/>
      <c r="AO775" s="418"/>
      <c r="AP775" s="418"/>
      <c r="AQ775" s="418"/>
      <c r="AR775" s="418"/>
      <c r="AS775" s="418"/>
      <c r="AT775" s="418"/>
      <c r="AU775" s="418"/>
      <c r="AV775" s="418"/>
      <c r="AW775" s="418"/>
      <c r="AX775" s="418"/>
      <c r="AY775" s="418"/>
      <c r="AZ775" s="418"/>
      <c r="BA775" s="418"/>
    </row>
    <row r="776" spans="40:53" ht="15.75" customHeight="1">
      <c r="AN776" s="418"/>
      <c r="AO776" s="418"/>
      <c r="AP776" s="418"/>
      <c r="AQ776" s="418"/>
      <c r="AR776" s="418"/>
      <c r="AS776" s="418"/>
      <c r="AT776" s="418"/>
      <c r="AU776" s="418"/>
      <c r="AV776" s="418"/>
      <c r="AW776" s="418"/>
      <c r="AX776" s="418"/>
      <c r="AY776" s="418"/>
      <c r="AZ776" s="418"/>
      <c r="BA776" s="418"/>
    </row>
    <row r="777" spans="40:53" ht="15.75" customHeight="1">
      <c r="AN777" s="418"/>
      <c r="AO777" s="418"/>
      <c r="AP777" s="418"/>
      <c r="AQ777" s="418"/>
      <c r="AR777" s="418"/>
      <c r="AS777" s="418"/>
      <c r="AT777" s="418"/>
      <c r="AU777" s="418"/>
      <c r="AV777" s="418"/>
      <c r="AW777" s="418"/>
      <c r="AX777" s="418"/>
      <c r="AY777" s="418"/>
      <c r="AZ777" s="418"/>
      <c r="BA777" s="418"/>
    </row>
    <row r="778" spans="40:53" ht="15.75" customHeight="1">
      <c r="AN778" s="418"/>
      <c r="AO778" s="418"/>
      <c r="AP778" s="418"/>
      <c r="AQ778" s="418"/>
      <c r="AR778" s="418"/>
      <c r="AS778" s="418"/>
      <c r="AT778" s="418"/>
      <c r="AU778" s="418"/>
      <c r="AV778" s="418"/>
      <c r="AW778" s="418"/>
      <c r="AX778" s="418"/>
      <c r="AY778" s="418"/>
      <c r="AZ778" s="418"/>
      <c r="BA778" s="418"/>
    </row>
    <row r="779" spans="40:53" ht="15.75" customHeight="1">
      <c r="AN779" s="418"/>
      <c r="AO779" s="418"/>
      <c r="AP779" s="418"/>
      <c r="AQ779" s="418"/>
      <c r="AR779" s="418"/>
      <c r="AS779" s="418"/>
      <c r="AT779" s="418"/>
      <c r="AU779" s="418"/>
      <c r="AV779" s="418"/>
      <c r="AW779" s="418"/>
      <c r="AX779" s="418"/>
      <c r="AY779" s="418"/>
      <c r="AZ779" s="418"/>
      <c r="BA779" s="418"/>
    </row>
    <row r="780" spans="40:53" ht="15.75" customHeight="1">
      <c r="AN780" s="418"/>
      <c r="AO780" s="418"/>
      <c r="AP780" s="418"/>
      <c r="AQ780" s="418"/>
      <c r="AR780" s="418"/>
      <c r="AS780" s="418"/>
      <c r="AT780" s="418"/>
      <c r="AU780" s="418"/>
      <c r="AV780" s="418"/>
      <c r="AW780" s="418"/>
      <c r="AX780" s="418"/>
      <c r="AY780" s="418"/>
      <c r="AZ780" s="418"/>
      <c r="BA780" s="418"/>
    </row>
    <row r="781" spans="40:53" ht="15.75" customHeight="1">
      <c r="AN781" s="418"/>
      <c r="AO781" s="418"/>
      <c r="AP781" s="418"/>
      <c r="AQ781" s="418"/>
      <c r="AR781" s="418"/>
      <c r="AS781" s="418"/>
      <c r="AT781" s="418"/>
      <c r="AU781" s="418"/>
      <c r="AV781" s="418"/>
      <c r="AW781" s="418"/>
      <c r="AX781" s="418"/>
      <c r="AY781" s="418"/>
      <c r="AZ781" s="418"/>
      <c r="BA781" s="418"/>
    </row>
    <row r="782" spans="40:53" ht="15.75" customHeight="1">
      <c r="AN782" s="418"/>
      <c r="AO782" s="418"/>
      <c r="AP782" s="418"/>
      <c r="AQ782" s="418"/>
      <c r="AR782" s="418"/>
      <c r="AS782" s="418"/>
      <c r="AT782" s="418"/>
      <c r="AU782" s="418"/>
      <c r="AV782" s="418"/>
      <c r="AW782" s="418"/>
      <c r="AX782" s="418"/>
      <c r="AY782" s="418"/>
      <c r="AZ782" s="418"/>
      <c r="BA782" s="418"/>
    </row>
    <row r="783" spans="40:53" ht="15.75" customHeight="1">
      <c r="AN783" s="418"/>
      <c r="AO783" s="418"/>
      <c r="AP783" s="418"/>
      <c r="AQ783" s="418"/>
      <c r="AR783" s="418"/>
      <c r="AS783" s="418"/>
      <c r="AT783" s="418"/>
      <c r="AU783" s="418"/>
      <c r="AV783" s="418"/>
      <c r="AW783" s="418"/>
      <c r="AX783" s="418"/>
      <c r="AY783" s="418"/>
      <c r="AZ783" s="418"/>
      <c r="BA783" s="418"/>
    </row>
    <row r="784" spans="40:53" ht="15.75" customHeight="1">
      <c r="AN784" s="418"/>
      <c r="AO784" s="418"/>
      <c r="AP784" s="418"/>
      <c r="AQ784" s="418"/>
      <c r="AR784" s="418"/>
      <c r="AS784" s="418"/>
      <c r="AT784" s="418"/>
      <c r="AU784" s="418"/>
      <c r="AV784" s="418"/>
      <c r="AW784" s="418"/>
      <c r="AX784" s="418"/>
      <c r="AY784" s="418"/>
      <c r="AZ784" s="418"/>
      <c r="BA784" s="418"/>
    </row>
    <row r="785" spans="40:53" ht="15.75" customHeight="1">
      <c r="AN785" s="418"/>
      <c r="AO785" s="418"/>
      <c r="AP785" s="418"/>
      <c r="AQ785" s="418"/>
      <c r="AR785" s="418"/>
      <c r="AS785" s="418"/>
      <c r="AT785" s="418"/>
      <c r="AU785" s="418"/>
      <c r="AV785" s="418"/>
      <c r="AW785" s="418"/>
      <c r="AX785" s="418"/>
      <c r="AY785" s="418"/>
      <c r="AZ785" s="418"/>
      <c r="BA785" s="418"/>
    </row>
    <row r="786" spans="40:53" ht="15.75" customHeight="1">
      <c r="AN786" s="418"/>
      <c r="AO786" s="418"/>
      <c r="AP786" s="418"/>
      <c r="AQ786" s="418"/>
      <c r="AR786" s="418"/>
      <c r="AS786" s="418"/>
      <c r="AT786" s="418"/>
      <c r="AU786" s="418"/>
      <c r="AV786" s="418"/>
      <c r="AW786" s="418"/>
      <c r="AX786" s="418"/>
      <c r="AY786" s="418"/>
      <c r="AZ786" s="418"/>
      <c r="BA786" s="418"/>
    </row>
    <row r="787" spans="40:53" ht="15.75" customHeight="1">
      <c r="AN787" s="418"/>
      <c r="AO787" s="418"/>
      <c r="AP787" s="418"/>
      <c r="AQ787" s="418"/>
      <c r="AR787" s="418"/>
      <c r="AS787" s="418"/>
      <c r="AT787" s="418"/>
      <c r="AU787" s="418"/>
      <c r="AV787" s="418"/>
      <c r="AW787" s="418"/>
      <c r="AX787" s="418"/>
      <c r="AY787" s="418"/>
      <c r="AZ787" s="418"/>
      <c r="BA787" s="418"/>
    </row>
    <row r="788" spans="40:53" ht="15.75" customHeight="1">
      <c r="AN788" s="418"/>
      <c r="AO788" s="418"/>
      <c r="AP788" s="418"/>
      <c r="AQ788" s="418"/>
      <c r="AR788" s="418"/>
      <c r="AS788" s="418"/>
      <c r="AT788" s="418"/>
      <c r="AU788" s="418"/>
      <c r="AV788" s="418"/>
      <c r="AW788" s="418"/>
      <c r="AX788" s="418"/>
      <c r="AY788" s="418"/>
      <c r="AZ788" s="418"/>
      <c r="BA788" s="418"/>
    </row>
    <row r="789" spans="40:53" ht="15.75" customHeight="1">
      <c r="AN789" s="418"/>
      <c r="AO789" s="418"/>
      <c r="AP789" s="418"/>
      <c r="AQ789" s="418"/>
      <c r="AR789" s="418"/>
      <c r="AS789" s="418"/>
      <c r="AT789" s="418"/>
      <c r="AU789" s="418"/>
      <c r="AV789" s="418"/>
      <c r="AW789" s="418"/>
      <c r="AX789" s="418"/>
      <c r="AY789" s="418"/>
      <c r="AZ789" s="418"/>
      <c r="BA789" s="418"/>
    </row>
    <row r="790" spans="40:53" ht="15.75" customHeight="1">
      <c r="AN790" s="418"/>
      <c r="AO790" s="418"/>
      <c r="AP790" s="418"/>
      <c r="AQ790" s="418"/>
      <c r="AR790" s="418"/>
      <c r="AS790" s="418"/>
      <c r="AT790" s="418"/>
      <c r="AU790" s="418"/>
      <c r="AV790" s="418"/>
      <c r="AW790" s="418"/>
      <c r="AX790" s="418"/>
      <c r="AY790" s="418"/>
      <c r="AZ790" s="418"/>
      <c r="BA790" s="418"/>
    </row>
    <row r="791" spans="40:53" ht="15.75" customHeight="1">
      <c r="AN791" s="418"/>
      <c r="AO791" s="418"/>
      <c r="AP791" s="418"/>
      <c r="AQ791" s="418"/>
      <c r="AR791" s="418"/>
      <c r="AS791" s="418"/>
      <c r="AT791" s="418"/>
      <c r="AU791" s="418"/>
      <c r="AV791" s="418"/>
      <c r="AW791" s="418"/>
      <c r="AX791" s="418"/>
      <c r="AY791" s="418"/>
      <c r="AZ791" s="418"/>
      <c r="BA791" s="418"/>
    </row>
    <row r="792" spans="40:53" ht="15.75" customHeight="1">
      <c r="AN792" s="418"/>
      <c r="AO792" s="418"/>
      <c r="AP792" s="418"/>
      <c r="AQ792" s="418"/>
      <c r="AR792" s="418"/>
      <c r="AS792" s="418"/>
      <c r="AT792" s="418"/>
      <c r="AU792" s="418"/>
      <c r="AV792" s="418"/>
      <c r="AW792" s="418"/>
      <c r="AX792" s="418"/>
      <c r="AY792" s="418"/>
      <c r="AZ792" s="418"/>
      <c r="BA792" s="418"/>
    </row>
    <row r="793" spans="40:53" ht="15.75" customHeight="1">
      <c r="AN793" s="418"/>
      <c r="AO793" s="418"/>
      <c r="AP793" s="418"/>
      <c r="AQ793" s="418"/>
      <c r="AR793" s="418"/>
      <c r="AS793" s="418"/>
      <c r="AT793" s="418"/>
      <c r="AU793" s="418"/>
      <c r="AV793" s="418"/>
      <c r="AW793" s="418"/>
      <c r="AX793" s="418"/>
      <c r="AY793" s="418"/>
      <c r="AZ793" s="418"/>
      <c r="BA793" s="418"/>
    </row>
    <row r="794" spans="40:53" ht="15.75" customHeight="1">
      <c r="AN794" s="418"/>
      <c r="AO794" s="418"/>
      <c r="AP794" s="418"/>
      <c r="AQ794" s="418"/>
      <c r="AR794" s="418"/>
      <c r="AS794" s="418"/>
      <c r="AT794" s="418"/>
      <c r="AU794" s="418"/>
      <c r="AV794" s="418"/>
      <c r="AW794" s="418"/>
      <c r="AX794" s="418"/>
      <c r="AY794" s="418"/>
      <c r="AZ794" s="418"/>
      <c r="BA794" s="418"/>
    </row>
    <row r="795" spans="40:53" ht="15.75" customHeight="1">
      <c r="AN795" s="418"/>
      <c r="AO795" s="418"/>
      <c r="AP795" s="418"/>
      <c r="AQ795" s="418"/>
      <c r="AR795" s="418"/>
      <c r="AS795" s="418"/>
      <c r="AT795" s="418"/>
      <c r="AU795" s="418"/>
      <c r="AV795" s="418"/>
      <c r="AW795" s="418"/>
      <c r="AX795" s="418"/>
      <c r="AY795" s="418"/>
      <c r="AZ795" s="418"/>
      <c r="BA795" s="418"/>
    </row>
    <row r="796" spans="40:53" ht="15.75" customHeight="1">
      <c r="AN796" s="418"/>
      <c r="AO796" s="418"/>
      <c r="AP796" s="418"/>
      <c r="AQ796" s="418"/>
      <c r="AR796" s="418"/>
      <c r="AS796" s="418"/>
      <c r="AT796" s="418"/>
      <c r="AU796" s="418"/>
      <c r="AV796" s="418"/>
      <c r="AW796" s="418"/>
      <c r="AX796" s="418"/>
      <c r="AY796" s="418"/>
      <c r="AZ796" s="418"/>
      <c r="BA796" s="418"/>
    </row>
    <row r="797" spans="40:53" ht="15.75" customHeight="1">
      <c r="AN797" s="418"/>
      <c r="AO797" s="418"/>
      <c r="AP797" s="418"/>
      <c r="AQ797" s="418"/>
      <c r="AR797" s="418"/>
      <c r="AS797" s="418"/>
      <c r="AT797" s="418"/>
      <c r="AU797" s="418"/>
      <c r="AV797" s="418"/>
      <c r="AW797" s="418"/>
      <c r="AX797" s="418"/>
      <c r="AY797" s="418"/>
      <c r="AZ797" s="418"/>
      <c r="BA797" s="418"/>
    </row>
    <row r="798" spans="40:53" ht="15.75" customHeight="1">
      <c r="AN798" s="418"/>
      <c r="AO798" s="418"/>
      <c r="AP798" s="418"/>
      <c r="AQ798" s="418"/>
      <c r="AR798" s="418"/>
      <c r="AS798" s="418"/>
      <c r="AT798" s="418"/>
      <c r="AU798" s="418"/>
      <c r="AV798" s="418"/>
      <c r="AW798" s="418"/>
      <c r="AX798" s="418"/>
      <c r="AY798" s="418"/>
      <c r="AZ798" s="418"/>
      <c r="BA798" s="418"/>
    </row>
    <row r="799" spans="40:53" ht="15.75" customHeight="1">
      <c r="AN799" s="418"/>
      <c r="AO799" s="418"/>
      <c r="AP799" s="418"/>
      <c r="AQ799" s="418"/>
      <c r="AR799" s="418"/>
      <c r="AS799" s="418"/>
      <c r="AT799" s="418"/>
      <c r="AU799" s="418"/>
      <c r="AV799" s="418"/>
      <c r="AW799" s="418"/>
      <c r="AX799" s="418"/>
      <c r="AY799" s="418"/>
      <c r="AZ799" s="418"/>
      <c r="BA799" s="418"/>
    </row>
    <row r="800" spans="40:53" ht="15.75" customHeight="1">
      <c r="AN800" s="418"/>
      <c r="AO800" s="418"/>
      <c r="AP800" s="418"/>
      <c r="AQ800" s="418"/>
      <c r="AR800" s="418"/>
      <c r="AS800" s="418"/>
      <c r="AT800" s="418"/>
      <c r="AU800" s="418"/>
      <c r="AV800" s="418"/>
      <c r="AW800" s="418"/>
      <c r="AX800" s="418"/>
      <c r="AY800" s="418"/>
      <c r="AZ800" s="418"/>
      <c r="BA800" s="418"/>
    </row>
    <row r="801" spans="40:53" ht="15.75" customHeight="1">
      <c r="AN801" s="418"/>
      <c r="AO801" s="418"/>
      <c r="AP801" s="418"/>
      <c r="AQ801" s="418"/>
      <c r="AR801" s="418"/>
      <c r="AS801" s="418"/>
      <c r="AT801" s="418"/>
      <c r="AU801" s="418"/>
      <c r="AV801" s="418"/>
      <c r="AW801" s="418"/>
      <c r="AX801" s="418"/>
      <c r="AY801" s="418"/>
      <c r="AZ801" s="418"/>
      <c r="BA801" s="418"/>
    </row>
    <row r="802" spans="40:53" ht="15.75" customHeight="1">
      <c r="AN802" s="418"/>
      <c r="AO802" s="418"/>
      <c r="AP802" s="418"/>
      <c r="AQ802" s="418"/>
      <c r="AR802" s="418"/>
      <c r="AS802" s="418"/>
      <c r="AT802" s="418"/>
      <c r="AU802" s="418"/>
      <c r="AV802" s="418"/>
      <c r="AW802" s="418"/>
      <c r="AX802" s="418"/>
      <c r="AY802" s="418"/>
      <c r="AZ802" s="418"/>
      <c r="BA802" s="418"/>
    </row>
    <row r="803" spans="40:53" ht="15.75" customHeight="1">
      <c r="AN803" s="418"/>
      <c r="AO803" s="418"/>
      <c r="AP803" s="418"/>
      <c r="AQ803" s="418"/>
      <c r="AR803" s="418"/>
      <c r="AS803" s="418"/>
      <c r="AT803" s="418"/>
      <c r="AU803" s="418"/>
      <c r="AV803" s="418"/>
      <c r="AW803" s="418"/>
      <c r="AX803" s="418"/>
      <c r="AY803" s="418"/>
      <c r="AZ803" s="418"/>
      <c r="BA803" s="418"/>
    </row>
    <row r="804" spans="40:53" ht="15.75" customHeight="1">
      <c r="AN804" s="418"/>
      <c r="AO804" s="418"/>
      <c r="AP804" s="418"/>
      <c r="AQ804" s="418"/>
      <c r="AR804" s="418"/>
      <c r="AS804" s="418"/>
      <c r="AT804" s="418"/>
      <c r="AU804" s="418"/>
      <c r="AV804" s="418"/>
      <c r="AW804" s="418"/>
      <c r="AX804" s="418"/>
      <c r="AY804" s="418"/>
      <c r="AZ804" s="418"/>
      <c r="BA804" s="418"/>
    </row>
    <row r="805" spans="40:53" ht="15.75" customHeight="1">
      <c r="AN805" s="418"/>
      <c r="AO805" s="418"/>
      <c r="AP805" s="418"/>
      <c r="AQ805" s="418"/>
      <c r="AR805" s="418"/>
      <c r="AS805" s="418"/>
      <c r="AT805" s="418"/>
      <c r="AU805" s="418"/>
      <c r="AV805" s="418"/>
      <c r="AW805" s="418"/>
      <c r="AX805" s="418"/>
      <c r="AY805" s="418"/>
      <c r="AZ805" s="418"/>
      <c r="BA805" s="418"/>
    </row>
    <row r="806" spans="40:53" ht="15.75" customHeight="1">
      <c r="AN806" s="418"/>
      <c r="AO806" s="418"/>
      <c r="AP806" s="418"/>
      <c r="AQ806" s="418"/>
      <c r="AR806" s="418"/>
      <c r="AS806" s="418"/>
      <c r="AT806" s="418"/>
      <c r="AU806" s="418"/>
      <c r="AV806" s="418"/>
      <c r="AW806" s="418"/>
      <c r="AX806" s="418"/>
      <c r="AY806" s="418"/>
      <c r="AZ806" s="418"/>
      <c r="BA806" s="418"/>
    </row>
    <row r="807" spans="40:53" ht="15.75" customHeight="1">
      <c r="AN807" s="418"/>
      <c r="AO807" s="418"/>
      <c r="AP807" s="418"/>
      <c r="AQ807" s="418"/>
      <c r="AR807" s="418"/>
      <c r="AS807" s="418"/>
      <c r="AT807" s="418"/>
      <c r="AU807" s="418"/>
      <c r="AV807" s="418"/>
      <c r="AW807" s="418"/>
      <c r="AX807" s="418"/>
      <c r="AY807" s="418"/>
      <c r="AZ807" s="418"/>
      <c r="BA807" s="418"/>
    </row>
    <row r="808" spans="40:53" ht="15.75" customHeight="1">
      <c r="AN808" s="418"/>
      <c r="AO808" s="418"/>
      <c r="AP808" s="418"/>
      <c r="AQ808" s="418"/>
      <c r="AR808" s="418"/>
      <c r="AS808" s="418"/>
      <c r="AT808" s="418"/>
      <c r="AU808" s="418"/>
      <c r="AV808" s="418"/>
      <c r="AW808" s="418"/>
      <c r="AX808" s="418"/>
      <c r="AY808" s="418"/>
      <c r="AZ808" s="418"/>
      <c r="BA808" s="418"/>
    </row>
    <row r="809" spans="40:53" ht="15.75" customHeight="1">
      <c r="AN809" s="418"/>
      <c r="AO809" s="418"/>
      <c r="AP809" s="418"/>
      <c r="AQ809" s="418"/>
      <c r="AR809" s="418"/>
      <c r="AS809" s="418"/>
      <c r="AT809" s="418"/>
      <c r="AU809" s="418"/>
      <c r="AV809" s="418"/>
      <c r="AW809" s="418"/>
      <c r="AX809" s="418"/>
      <c r="AY809" s="418"/>
      <c r="AZ809" s="418"/>
      <c r="BA809" s="418"/>
    </row>
    <row r="810" spans="40:53" ht="15.75" customHeight="1">
      <c r="AN810" s="418"/>
      <c r="AO810" s="418"/>
      <c r="AP810" s="418"/>
      <c r="AQ810" s="418"/>
      <c r="AR810" s="418"/>
      <c r="AS810" s="418"/>
      <c r="AT810" s="418"/>
      <c r="AU810" s="418"/>
      <c r="AV810" s="418"/>
      <c r="AW810" s="418"/>
      <c r="AX810" s="418"/>
      <c r="AY810" s="418"/>
      <c r="AZ810" s="418"/>
      <c r="BA810" s="418"/>
    </row>
    <row r="811" spans="40:53" ht="15.75" customHeight="1">
      <c r="AN811" s="418"/>
      <c r="AO811" s="418"/>
      <c r="AP811" s="418"/>
      <c r="AQ811" s="418"/>
      <c r="AR811" s="418"/>
      <c r="AS811" s="418"/>
      <c r="AT811" s="418"/>
      <c r="AU811" s="418"/>
      <c r="AV811" s="418"/>
      <c r="AW811" s="418"/>
      <c r="AX811" s="418"/>
      <c r="AY811" s="418"/>
      <c r="AZ811" s="418"/>
      <c r="BA811" s="418"/>
    </row>
    <row r="812" spans="40:53" ht="15.75" customHeight="1">
      <c r="AN812" s="418"/>
      <c r="AO812" s="418"/>
      <c r="AP812" s="418"/>
      <c r="AQ812" s="418"/>
      <c r="AR812" s="418"/>
      <c r="AS812" s="418"/>
      <c r="AT812" s="418"/>
      <c r="AU812" s="418"/>
      <c r="AV812" s="418"/>
      <c r="AW812" s="418"/>
      <c r="AX812" s="418"/>
      <c r="AY812" s="418"/>
      <c r="AZ812" s="418"/>
      <c r="BA812" s="418"/>
    </row>
    <row r="813" spans="40:53" ht="15.75" customHeight="1">
      <c r="AN813" s="418"/>
      <c r="AO813" s="418"/>
      <c r="AP813" s="418"/>
      <c r="AQ813" s="418"/>
      <c r="AR813" s="418"/>
      <c r="AS813" s="418"/>
      <c r="AT813" s="418"/>
      <c r="AU813" s="418"/>
      <c r="AV813" s="418"/>
      <c r="AW813" s="418"/>
      <c r="AX813" s="418"/>
      <c r="AY813" s="418"/>
      <c r="AZ813" s="418"/>
      <c r="BA813" s="418"/>
    </row>
    <row r="814" spans="40:53" ht="15.75" customHeight="1">
      <c r="AN814" s="418"/>
      <c r="AO814" s="418"/>
      <c r="AP814" s="418"/>
      <c r="AQ814" s="418"/>
      <c r="AR814" s="418"/>
      <c r="AS814" s="418"/>
      <c r="AT814" s="418"/>
      <c r="AU814" s="418"/>
      <c r="AV814" s="418"/>
      <c r="AW814" s="418"/>
      <c r="AX814" s="418"/>
      <c r="AY814" s="418"/>
      <c r="AZ814" s="418"/>
      <c r="BA814" s="418"/>
    </row>
    <row r="815" spans="40:53" ht="15.75" customHeight="1">
      <c r="AN815" s="418"/>
      <c r="AO815" s="418"/>
      <c r="AP815" s="418"/>
      <c r="AQ815" s="418"/>
      <c r="AR815" s="418"/>
      <c r="AS815" s="418"/>
      <c r="AT815" s="418"/>
      <c r="AU815" s="418"/>
      <c r="AV815" s="418"/>
      <c r="AW815" s="418"/>
      <c r="AX815" s="418"/>
      <c r="AY815" s="418"/>
      <c r="AZ815" s="418"/>
      <c r="BA815" s="418"/>
    </row>
    <row r="816" spans="40:53" ht="15.75" customHeight="1">
      <c r="AN816" s="418"/>
      <c r="AO816" s="418"/>
      <c r="AP816" s="418"/>
      <c r="AQ816" s="418"/>
      <c r="AR816" s="418"/>
      <c r="AS816" s="418"/>
      <c r="AT816" s="418"/>
      <c r="AU816" s="418"/>
      <c r="AV816" s="418"/>
      <c r="AW816" s="418"/>
      <c r="AX816" s="418"/>
      <c r="AY816" s="418"/>
      <c r="AZ816" s="418"/>
      <c r="BA816" s="418"/>
    </row>
    <row r="817" spans="40:53" ht="15.75" customHeight="1">
      <c r="AN817" s="418"/>
      <c r="AO817" s="418"/>
      <c r="AP817" s="418"/>
      <c r="AQ817" s="418"/>
      <c r="AR817" s="418"/>
      <c r="AS817" s="418"/>
      <c r="AT817" s="418"/>
      <c r="AU817" s="418"/>
      <c r="AV817" s="418"/>
      <c r="AW817" s="418"/>
      <c r="AX817" s="418"/>
      <c r="AY817" s="418"/>
      <c r="AZ817" s="418"/>
      <c r="BA817" s="418"/>
    </row>
    <row r="818" spans="40:53" ht="15.75" customHeight="1">
      <c r="AN818" s="418"/>
      <c r="AO818" s="418"/>
      <c r="AP818" s="418"/>
      <c r="AQ818" s="418"/>
      <c r="AR818" s="418"/>
      <c r="AS818" s="418"/>
      <c r="AT818" s="418"/>
      <c r="AU818" s="418"/>
      <c r="AV818" s="418"/>
      <c r="AW818" s="418"/>
      <c r="AX818" s="418"/>
      <c r="AY818" s="418"/>
      <c r="AZ818" s="418"/>
      <c r="BA818" s="418"/>
    </row>
    <row r="819" spans="40:53" ht="15.75" customHeight="1">
      <c r="AN819" s="418"/>
      <c r="AO819" s="418"/>
      <c r="AP819" s="418"/>
      <c r="AQ819" s="418"/>
      <c r="AR819" s="418"/>
      <c r="AS819" s="418"/>
      <c r="AT819" s="418"/>
      <c r="AU819" s="418"/>
      <c r="AV819" s="418"/>
      <c r="AW819" s="418"/>
      <c r="AX819" s="418"/>
      <c r="AY819" s="418"/>
      <c r="AZ819" s="418"/>
      <c r="BA819" s="418"/>
    </row>
    <row r="820" spans="40:53" ht="15.75" customHeight="1">
      <c r="AN820" s="418"/>
      <c r="AO820" s="418"/>
      <c r="AP820" s="418"/>
      <c r="AQ820" s="418"/>
      <c r="AR820" s="418"/>
      <c r="AS820" s="418"/>
      <c r="AT820" s="418"/>
      <c r="AU820" s="418"/>
      <c r="AV820" s="418"/>
      <c r="AW820" s="418"/>
      <c r="AX820" s="418"/>
      <c r="AY820" s="418"/>
      <c r="AZ820" s="418"/>
      <c r="BA820" s="418"/>
    </row>
    <row r="821" spans="40:53" ht="15.75" customHeight="1">
      <c r="AN821" s="418"/>
      <c r="AO821" s="418"/>
      <c r="AP821" s="418"/>
      <c r="AQ821" s="418"/>
      <c r="AR821" s="418"/>
      <c r="AS821" s="418"/>
      <c r="AT821" s="418"/>
      <c r="AU821" s="418"/>
      <c r="AV821" s="418"/>
      <c r="AW821" s="418"/>
      <c r="AX821" s="418"/>
      <c r="AY821" s="418"/>
      <c r="AZ821" s="418"/>
      <c r="BA821" s="418"/>
    </row>
    <row r="822" spans="40:53" ht="15.75" customHeight="1">
      <c r="AN822" s="418"/>
      <c r="AO822" s="418"/>
      <c r="AP822" s="418"/>
      <c r="AQ822" s="418"/>
      <c r="AR822" s="418"/>
      <c r="AS822" s="418"/>
      <c r="AT822" s="418"/>
      <c r="AU822" s="418"/>
      <c r="AV822" s="418"/>
      <c r="AW822" s="418"/>
      <c r="AX822" s="418"/>
      <c r="AY822" s="418"/>
      <c r="AZ822" s="418"/>
      <c r="BA822" s="418"/>
    </row>
    <row r="823" spans="40:53" ht="15.75" customHeight="1">
      <c r="AN823" s="418"/>
      <c r="AO823" s="418"/>
      <c r="AP823" s="418"/>
      <c r="AQ823" s="418"/>
      <c r="AR823" s="418"/>
      <c r="AS823" s="418"/>
      <c r="AT823" s="418"/>
      <c r="AU823" s="418"/>
      <c r="AV823" s="418"/>
      <c r="AW823" s="418"/>
      <c r="AX823" s="418"/>
      <c r="AY823" s="418"/>
      <c r="AZ823" s="418"/>
      <c r="BA823" s="418"/>
    </row>
    <row r="824" spans="40:53" ht="15.75" customHeight="1">
      <c r="AN824" s="418"/>
      <c r="AO824" s="418"/>
      <c r="AP824" s="418"/>
      <c r="AQ824" s="418"/>
      <c r="AR824" s="418"/>
      <c r="AS824" s="418"/>
      <c r="AT824" s="418"/>
      <c r="AU824" s="418"/>
      <c r="AV824" s="418"/>
      <c r="AW824" s="418"/>
      <c r="AX824" s="418"/>
      <c r="AY824" s="418"/>
      <c r="AZ824" s="418"/>
      <c r="BA824" s="418"/>
    </row>
    <row r="825" spans="40:53" ht="15.75" customHeight="1">
      <c r="AN825" s="418"/>
      <c r="AO825" s="418"/>
      <c r="AP825" s="418"/>
      <c r="AQ825" s="418"/>
      <c r="AR825" s="418"/>
      <c r="AS825" s="418"/>
      <c r="AT825" s="418"/>
      <c r="AU825" s="418"/>
      <c r="AV825" s="418"/>
      <c r="AW825" s="418"/>
      <c r="AX825" s="418"/>
      <c r="AY825" s="418"/>
      <c r="AZ825" s="418"/>
      <c r="BA825" s="418"/>
    </row>
    <row r="826" spans="40:53" ht="15.75" customHeight="1">
      <c r="AN826" s="418"/>
      <c r="AO826" s="418"/>
      <c r="AP826" s="418"/>
      <c r="AQ826" s="418"/>
      <c r="AR826" s="418"/>
      <c r="AS826" s="418"/>
      <c r="AT826" s="418"/>
      <c r="AU826" s="418"/>
      <c r="AV826" s="418"/>
      <c r="AW826" s="418"/>
      <c r="AX826" s="418"/>
      <c r="AY826" s="418"/>
      <c r="AZ826" s="418"/>
      <c r="BA826" s="418"/>
    </row>
    <row r="827" spans="40:53" ht="15.75" customHeight="1">
      <c r="AN827" s="418"/>
      <c r="AO827" s="418"/>
      <c r="AP827" s="418"/>
      <c r="AQ827" s="418"/>
      <c r="AR827" s="418"/>
      <c r="AS827" s="418"/>
      <c r="AT827" s="418"/>
      <c r="AU827" s="418"/>
      <c r="AV827" s="418"/>
      <c r="AW827" s="418"/>
      <c r="AX827" s="418"/>
      <c r="AY827" s="418"/>
      <c r="AZ827" s="418"/>
      <c r="BA827" s="418"/>
    </row>
    <row r="828" spans="40:53" ht="15.75" customHeight="1">
      <c r="AN828" s="418"/>
      <c r="AO828" s="418"/>
      <c r="AP828" s="418"/>
      <c r="AQ828" s="418"/>
      <c r="AR828" s="418"/>
      <c r="AS828" s="418"/>
      <c r="AT828" s="418"/>
      <c r="AU828" s="418"/>
      <c r="AV828" s="418"/>
      <c r="AW828" s="418"/>
      <c r="AX828" s="418"/>
      <c r="AY828" s="418"/>
      <c r="AZ828" s="418"/>
      <c r="BA828" s="418"/>
    </row>
    <row r="829" spans="40:53" ht="15.75" customHeight="1">
      <c r="AN829" s="418"/>
      <c r="AO829" s="418"/>
      <c r="AP829" s="418"/>
      <c r="AQ829" s="418"/>
      <c r="AR829" s="418"/>
      <c r="AS829" s="418"/>
      <c r="AT829" s="418"/>
      <c r="AU829" s="418"/>
      <c r="AV829" s="418"/>
      <c r="AW829" s="418"/>
      <c r="AX829" s="418"/>
      <c r="AY829" s="418"/>
      <c r="AZ829" s="418"/>
      <c r="BA829" s="418"/>
    </row>
    <row r="830" spans="40:53" ht="15.75" customHeight="1">
      <c r="AN830" s="418"/>
      <c r="AO830" s="418"/>
      <c r="AP830" s="418"/>
      <c r="AQ830" s="418"/>
      <c r="AR830" s="418"/>
      <c r="AS830" s="418"/>
      <c r="AT830" s="418"/>
      <c r="AU830" s="418"/>
      <c r="AV830" s="418"/>
      <c r="AW830" s="418"/>
      <c r="AX830" s="418"/>
      <c r="AY830" s="418"/>
      <c r="AZ830" s="418"/>
      <c r="BA830" s="418"/>
    </row>
    <row r="831" spans="40:53" ht="15.75" customHeight="1">
      <c r="AN831" s="418"/>
      <c r="AO831" s="418"/>
      <c r="AP831" s="418"/>
      <c r="AQ831" s="418"/>
      <c r="AR831" s="418"/>
      <c r="AS831" s="418"/>
      <c r="AT831" s="418"/>
      <c r="AU831" s="418"/>
      <c r="AV831" s="418"/>
      <c r="AW831" s="418"/>
      <c r="AX831" s="418"/>
      <c r="AY831" s="418"/>
      <c r="AZ831" s="418"/>
      <c r="BA831" s="418"/>
    </row>
    <row r="832" spans="40:53" ht="15.75" customHeight="1">
      <c r="AN832" s="418"/>
      <c r="AO832" s="418"/>
      <c r="AP832" s="418"/>
      <c r="AQ832" s="418"/>
      <c r="AR832" s="418"/>
      <c r="AS832" s="418"/>
      <c r="AT832" s="418"/>
      <c r="AU832" s="418"/>
      <c r="AV832" s="418"/>
      <c r="AW832" s="418"/>
      <c r="AX832" s="418"/>
      <c r="AY832" s="418"/>
      <c r="AZ832" s="418"/>
      <c r="BA832" s="418"/>
    </row>
    <row r="833" spans="40:53" ht="15.75" customHeight="1">
      <c r="AN833" s="418"/>
      <c r="AO833" s="418"/>
      <c r="AP833" s="418"/>
      <c r="AQ833" s="418"/>
      <c r="AR833" s="418"/>
      <c r="AS833" s="418"/>
      <c r="AT833" s="418"/>
      <c r="AU833" s="418"/>
      <c r="AV833" s="418"/>
      <c r="AW833" s="418"/>
      <c r="AX833" s="418"/>
      <c r="AY833" s="418"/>
      <c r="AZ833" s="418"/>
      <c r="BA833" s="418"/>
    </row>
    <row r="834" spans="40:53" ht="15.75" customHeight="1">
      <c r="AN834" s="418"/>
      <c r="AO834" s="418"/>
      <c r="AP834" s="418"/>
      <c r="AQ834" s="418"/>
      <c r="AR834" s="418"/>
      <c r="AS834" s="418"/>
      <c r="AT834" s="418"/>
      <c r="AU834" s="418"/>
      <c r="AV834" s="418"/>
      <c r="AW834" s="418"/>
      <c r="AX834" s="418"/>
      <c r="AY834" s="418"/>
      <c r="AZ834" s="418"/>
      <c r="BA834" s="418"/>
    </row>
    <row r="835" spans="40:53" ht="15.75" customHeight="1">
      <c r="AN835" s="418"/>
      <c r="AO835" s="418"/>
      <c r="AP835" s="418"/>
      <c r="AQ835" s="418"/>
      <c r="AR835" s="418"/>
      <c r="AS835" s="418"/>
      <c r="AT835" s="418"/>
      <c r="AU835" s="418"/>
      <c r="AV835" s="418"/>
      <c r="AW835" s="418"/>
      <c r="AX835" s="418"/>
      <c r="AY835" s="418"/>
      <c r="AZ835" s="418"/>
      <c r="BA835" s="418"/>
    </row>
    <row r="836" spans="40:53" ht="15.75" customHeight="1">
      <c r="AN836" s="418"/>
      <c r="AO836" s="418"/>
      <c r="AP836" s="418"/>
      <c r="AQ836" s="418"/>
      <c r="AR836" s="418"/>
      <c r="AS836" s="418"/>
      <c r="AT836" s="418"/>
      <c r="AU836" s="418"/>
      <c r="AV836" s="418"/>
      <c r="AW836" s="418"/>
      <c r="AX836" s="418"/>
      <c r="AY836" s="418"/>
      <c r="AZ836" s="418"/>
      <c r="BA836" s="418"/>
    </row>
    <row r="837" spans="40:53" ht="15.75" customHeight="1">
      <c r="AN837" s="418"/>
      <c r="AO837" s="418"/>
      <c r="AP837" s="418"/>
      <c r="AQ837" s="418"/>
      <c r="AR837" s="418"/>
      <c r="AS837" s="418"/>
      <c r="AT837" s="418"/>
      <c r="AU837" s="418"/>
      <c r="AV837" s="418"/>
      <c r="AW837" s="418"/>
      <c r="AX837" s="418"/>
      <c r="AY837" s="418"/>
      <c r="AZ837" s="418"/>
      <c r="BA837" s="418"/>
    </row>
    <row r="838" spans="40:53" ht="15.75" customHeight="1">
      <c r="AN838" s="418"/>
      <c r="AO838" s="418"/>
      <c r="AP838" s="418"/>
      <c r="AQ838" s="418"/>
      <c r="AR838" s="418"/>
      <c r="AS838" s="418"/>
      <c r="AT838" s="418"/>
      <c r="AU838" s="418"/>
      <c r="AV838" s="418"/>
      <c r="AW838" s="418"/>
      <c r="AX838" s="418"/>
      <c r="AY838" s="418"/>
      <c r="AZ838" s="418"/>
      <c r="BA838" s="418"/>
    </row>
    <row r="839" spans="40:53" ht="15.75" customHeight="1">
      <c r="AN839" s="418"/>
      <c r="AO839" s="418"/>
      <c r="AP839" s="418"/>
      <c r="AQ839" s="418"/>
      <c r="AR839" s="418"/>
      <c r="AS839" s="418"/>
      <c r="AT839" s="418"/>
      <c r="AU839" s="418"/>
      <c r="AV839" s="418"/>
      <c r="AW839" s="418"/>
      <c r="AX839" s="418"/>
      <c r="AY839" s="418"/>
      <c r="AZ839" s="418"/>
      <c r="BA839" s="418"/>
    </row>
    <row r="840" spans="40:53" ht="15.75" customHeight="1">
      <c r="AN840" s="418"/>
      <c r="AO840" s="418"/>
      <c r="AP840" s="418"/>
      <c r="AQ840" s="418"/>
      <c r="AR840" s="418"/>
      <c r="AS840" s="418"/>
      <c r="AT840" s="418"/>
      <c r="AU840" s="418"/>
      <c r="AV840" s="418"/>
      <c r="AW840" s="418"/>
      <c r="AX840" s="418"/>
      <c r="AY840" s="418"/>
      <c r="AZ840" s="418"/>
      <c r="BA840" s="418"/>
    </row>
    <row r="841" spans="40:53" ht="15.75" customHeight="1">
      <c r="AN841" s="418"/>
      <c r="AO841" s="418"/>
      <c r="AP841" s="418"/>
      <c r="AQ841" s="418"/>
      <c r="AR841" s="418"/>
      <c r="AS841" s="418"/>
      <c r="AT841" s="418"/>
      <c r="AU841" s="418"/>
      <c r="AV841" s="418"/>
      <c r="AW841" s="418"/>
      <c r="AX841" s="418"/>
      <c r="AY841" s="418"/>
      <c r="AZ841" s="418"/>
      <c r="BA841" s="418"/>
    </row>
    <row r="842" spans="40:53" ht="15.75" customHeight="1">
      <c r="AN842" s="418"/>
      <c r="AO842" s="418"/>
      <c r="AP842" s="418"/>
      <c r="AQ842" s="418"/>
      <c r="AR842" s="418"/>
      <c r="AS842" s="418"/>
      <c r="AT842" s="418"/>
      <c r="AU842" s="418"/>
      <c r="AV842" s="418"/>
      <c r="AW842" s="418"/>
      <c r="AX842" s="418"/>
      <c r="AY842" s="418"/>
      <c r="AZ842" s="418"/>
      <c r="BA842" s="418"/>
    </row>
    <row r="843" spans="40:53" ht="15.75" customHeight="1">
      <c r="AN843" s="418"/>
      <c r="AO843" s="418"/>
      <c r="AP843" s="418"/>
      <c r="AQ843" s="418"/>
      <c r="AR843" s="418"/>
      <c r="AS843" s="418"/>
      <c r="AT843" s="418"/>
      <c r="AU843" s="418"/>
      <c r="AV843" s="418"/>
      <c r="AW843" s="418"/>
      <c r="AX843" s="418"/>
      <c r="AY843" s="418"/>
      <c r="AZ843" s="418"/>
      <c r="BA843" s="418"/>
    </row>
    <row r="844" spans="40:53" ht="15.75" customHeight="1">
      <c r="AN844" s="418"/>
      <c r="AO844" s="418"/>
      <c r="AP844" s="418"/>
      <c r="AQ844" s="418"/>
      <c r="AR844" s="418"/>
      <c r="AS844" s="418"/>
      <c r="AT844" s="418"/>
      <c r="AU844" s="418"/>
      <c r="AV844" s="418"/>
      <c r="AW844" s="418"/>
      <c r="AX844" s="418"/>
      <c r="AY844" s="418"/>
      <c r="AZ844" s="418"/>
      <c r="BA844" s="418"/>
    </row>
    <row r="845" spans="40:53" ht="15.75" customHeight="1">
      <c r="AN845" s="418"/>
      <c r="AO845" s="418"/>
      <c r="AP845" s="418"/>
      <c r="AQ845" s="418"/>
      <c r="AR845" s="418"/>
      <c r="AS845" s="418"/>
      <c r="AT845" s="418"/>
      <c r="AU845" s="418"/>
      <c r="AV845" s="418"/>
      <c r="AW845" s="418"/>
      <c r="AX845" s="418"/>
      <c r="AY845" s="418"/>
      <c r="AZ845" s="418"/>
      <c r="BA845" s="418"/>
    </row>
    <row r="846" spans="40:53" ht="15.75" customHeight="1">
      <c r="AN846" s="418"/>
      <c r="AO846" s="418"/>
      <c r="AP846" s="418"/>
      <c r="AQ846" s="418"/>
      <c r="AR846" s="418"/>
      <c r="AS846" s="418"/>
      <c r="AT846" s="418"/>
      <c r="AU846" s="418"/>
      <c r="AV846" s="418"/>
      <c r="AW846" s="418"/>
      <c r="AX846" s="418"/>
      <c r="AY846" s="418"/>
      <c r="AZ846" s="418"/>
      <c r="BA846" s="418"/>
    </row>
    <row r="847" spans="40:53" ht="15.75" customHeight="1">
      <c r="AN847" s="418"/>
      <c r="AO847" s="418"/>
      <c r="AP847" s="418"/>
      <c r="AQ847" s="418"/>
      <c r="AR847" s="418"/>
      <c r="AS847" s="418"/>
      <c r="AT847" s="418"/>
      <c r="AU847" s="418"/>
      <c r="AV847" s="418"/>
      <c r="AW847" s="418"/>
      <c r="AX847" s="418"/>
      <c r="AY847" s="418"/>
      <c r="AZ847" s="418"/>
      <c r="BA847" s="418"/>
    </row>
    <row r="848" spans="40:53" ht="15.75" customHeight="1">
      <c r="AN848" s="418"/>
      <c r="AO848" s="418"/>
      <c r="AP848" s="418"/>
      <c r="AQ848" s="418"/>
      <c r="AR848" s="418"/>
      <c r="AS848" s="418"/>
      <c r="AT848" s="418"/>
      <c r="AU848" s="418"/>
      <c r="AV848" s="418"/>
      <c r="AW848" s="418"/>
      <c r="AX848" s="418"/>
      <c r="AY848" s="418"/>
      <c r="AZ848" s="418"/>
      <c r="BA848" s="418"/>
    </row>
    <row r="849" spans="40:53" ht="15.75" customHeight="1">
      <c r="AN849" s="418"/>
      <c r="AO849" s="418"/>
      <c r="AP849" s="418"/>
      <c r="AQ849" s="418"/>
      <c r="AR849" s="418"/>
      <c r="AS849" s="418"/>
      <c r="AT849" s="418"/>
      <c r="AU849" s="418"/>
      <c r="AV849" s="418"/>
      <c r="AW849" s="418"/>
      <c r="AX849" s="418"/>
      <c r="AY849" s="418"/>
      <c r="AZ849" s="418"/>
      <c r="BA849" s="418"/>
    </row>
    <row r="850" spans="40:53" ht="15.75" customHeight="1">
      <c r="AN850" s="418"/>
      <c r="AO850" s="418"/>
      <c r="AP850" s="418"/>
      <c r="AQ850" s="418"/>
      <c r="AR850" s="418"/>
      <c r="AS850" s="418"/>
      <c r="AT850" s="418"/>
      <c r="AU850" s="418"/>
      <c r="AV850" s="418"/>
      <c r="AW850" s="418"/>
      <c r="AX850" s="418"/>
      <c r="AY850" s="418"/>
      <c r="AZ850" s="418"/>
      <c r="BA850" s="418"/>
    </row>
    <row r="851" spans="40:53" ht="15.75" customHeight="1">
      <c r="AN851" s="418"/>
      <c r="AO851" s="418"/>
      <c r="AP851" s="418"/>
      <c r="AQ851" s="418"/>
      <c r="AR851" s="418"/>
      <c r="AS851" s="418"/>
      <c r="AT851" s="418"/>
      <c r="AU851" s="418"/>
      <c r="AV851" s="418"/>
      <c r="AW851" s="418"/>
      <c r="AX851" s="418"/>
      <c r="AY851" s="418"/>
      <c r="AZ851" s="418"/>
      <c r="BA851" s="418"/>
    </row>
    <row r="852" spans="40:53" ht="15.75" customHeight="1">
      <c r="AN852" s="418"/>
      <c r="AO852" s="418"/>
      <c r="AP852" s="418"/>
      <c r="AQ852" s="418"/>
      <c r="AR852" s="418"/>
      <c r="AS852" s="418"/>
      <c r="AT852" s="418"/>
      <c r="AU852" s="418"/>
      <c r="AV852" s="418"/>
      <c r="AW852" s="418"/>
      <c r="AX852" s="418"/>
      <c r="AY852" s="418"/>
      <c r="AZ852" s="418"/>
      <c r="BA852" s="418"/>
    </row>
    <row r="853" spans="40:53" ht="15.75" customHeight="1">
      <c r="AN853" s="418"/>
      <c r="AO853" s="418"/>
      <c r="AP853" s="418"/>
      <c r="AQ853" s="418"/>
      <c r="AR853" s="418"/>
      <c r="AS853" s="418"/>
      <c r="AT853" s="418"/>
      <c r="AU853" s="418"/>
      <c r="AV853" s="418"/>
      <c r="AW853" s="418"/>
      <c r="AX853" s="418"/>
      <c r="AY853" s="418"/>
      <c r="AZ853" s="418"/>
      <c r="BA853" s="418"/>
    </row>
    <row r="854" spans="40:53" ht="15.75" customHeight="1">
      <c r="AN854" s="418"/>
      <c r="AO854" s="418"/>
      <c r="AP854" s="418"/>
      <c r="AQ854" s="418"/>
      <c r="AR854" s="418"/>
      <c r="AS854" s="418"/>
      <c r="AT854" s="418"/>
      <c r="AU854" s="418"/>
      <c r="AV854" s="418"/>
      <c r="AW854" s="418"/>
      <c r="AX854" s="418"/>
      <c r="AY854" s="418"/>
      <c r="AZ854" s="418"/>
      <c r="BA854" s="418"/>
    </row>
    <row r="855" spans="40:53" ht="15.75" customHeight="1">
      <c r="AN855" s="418"/>
      <c r="AO855" s="418"/>
      <c r="AP855" s="418"/>
      <c r="AQ855" s="418"/>
      <c r="AR855" s="418"/>
      <c r="AS855" s="418"/>
      <c r="AT855" s="418"/>
      <c r="AU855" s="418"/>
      <c r="AV855" s="418"/>
      <c r="AW855" s="418"/>
      <c r="AX855" s="418"/>
      <c r="AY855" s="418"/>
      <c r="AZ855" s="418"/>
      <c r="BA855" s="418"/>
    </row>
    <row r="856" spans="40:53" ht="15.75" customHeight="1">
      <c r="AN856" s="418"/>
      <c r="AO856" s="418"/>
      <c r="AP856" s="418"/>
      <c r="AQ856" s="418"/>
      <c r="AR856" s="418"/>
      <c r="AS856" s="418"/>
      <c r="AT856" s="418"/>
      <c r="AU856" s="418"/>
      <c r="AV856" s="418"/>
      <c r="AW856" s="418"/>
      <c r="AX856" s="418"/>
      <c r="AY856" s="418"/>
      <c r="AZ856" s="418"/>
      <c r="BA856" s="418"/>
    </row>
    <row r="857" spans="40:53" ht="15.75" customHeight="1">
      <c r="AN857" s="418"/>
      <c r="AO857" s="418"/>
      <c r="AP857" s="418"/>
      <c r="AQ857" s="418"/>
      <c r="AR857" s="418"/>
      <c r="AS857" s="418"/>
      <c r="AT857" s="418"/>
      <c r="AU857" s="418"/>
      <c r="AV857" s="418"/>
      <c r="AW857" s="418"/>
      <c r="AX857" s="418"/>
      <c r="AY857" s="418"/>
      <c r="AZ857" s="418"/>
      <c r="BA857" s="418"/>
    </row>
    <row r="858" spans="40:53" ht="15.75" customHeight="1">
      <c r="AN858" s="418"/>
      <c r="AO858" s="418"/>
      <c r="AP858" s="418"/>
      <c r="AQ858" s="418"/>
      <c r="AR858" s="418"/>
      <c r="AS858" s="418"/>
      <c r="AT858" s="418"/>
      <c r="AU858" s="418"/>
      <c r="AV858" s="418"/>
      <c r="AW858" s="418"/>
      <c r="AX858" s="418"/>
      <c r="AY858" s="418"/>
      <c r="AZ858" s="418"/>
      <c r="BA858" s="418"/>
    </row>
    <row r="859" spans="40:53" ht="15.75" customHeight="1">
      <c r="AN859" s="418"/>
      <c r="AO859" s="418"/>
      <c r="AP859" s="418"/>
      <c r="AQ859" s="418"/>
      <c r="AR859" s="418"/>
      <c r="AS859" s="418"/>
      <c r="AT859" s="418"/>
      <c r="AU859" s="418"/>
      <c r="AV859" s="418"/>
      <c r="AW859" s="418"/>
      <c r="AX859" s="418"/>
      <c r="AY859" s="418"/>
      <c r="AZ859" s="418"/>
      <c r="BA859" s="418"/>
    </row>
    <row r="860" spans="40:53" ht="15.75" customHeight="1">
      <c r="AN860" s="418"/>
      <c r="AO860" s="418"/>
      <c r="AP860" s="418"/>
      <c r="AQ860" s="418"/>
      <c r="AR860" s="418"/>
      <c r="AS860" s="418"/>
      <c r="AT860" s="418"/>
      <c r="AU860" s="418"/>
      <c r="AV860" s="418"/>
      <c r="AW860" s="418"/>
      <c r="AX860" s="418"/>
      <c r="AY860" s="418"/>
      <c r="AZ860" s="418"/>
      <c r="BA860" s="418"/>
    </row>
    <row r="861" spans="40:53" ht="15.75" customHeight="1">
      <c r="AN861" s="418"/>
      <c r="AO861" s="418"/>
      <c r="AP861" s="418"/>
      <c r="AQ861" s="418"/>
      <c r="AR861" s="418"/>
      <c r="AS861" s="418"/>
      <c r="AT861" s="418"/>
      <c r="AU861" s="418"/>
      <c r="AV861" s="418"/>
      <c r="AW861" s="418"/>
      <c r="AX861" s="418"/>
      <c r="AY861" s="418"/>
      <c r="AZ861" s="418"/>
      <c r="BA861" s="418"/>
    </row>
    <row r="862" spans="40:53" ht="15.75" customHeight="1">
      <c r="AN862" s="418"/>
      <c r="AO862" s="418"/>
      <c r="AP862" s="418"/>
      <c r="AQ862" s="418"/>
      <c r="AR862" s="418"/>
      <c r="AS862" s="418"/>
      <c r="AT862" s="418"/>
      <c r="AU862" s="418"/>
      <c r="AV862" s="418"/>
      <c r="AW862" s="418"/>
      <c r="AX862" s="418"/>
      <c r="AY862" s="418"/>
      <c r="AZ862" s="418"/>
      <c r="BA862" s="418"/>
    </row>
    <row r="863" spans="40:53" ht="15.75" customHeight="1">
      <c r="AN863" s="418"/>
      <c r="AO863" s="418"/>
      <c r="AP863" s="418"/>
      <c r="AQ863" s="418"/>
      <c r="AR863" s="418"/>
      <c r="AS863" s="418"/>
      <c r="AT863" s="418"/>
      <c r="AU863" s="418"/>
      <c r="AV863" s="418"/>
      <c r="AW863" s="418"/>
      <c r="AX863" s="418"/>
      <c r="AY863" s="418"/>
      <c r="AZ863" s="418"/>
      <c r="BA863" s="418"/>
    </row>
    <row r="864" spans="40:53" ht="15.75" customHeight="1">
      <c r="AN864" s="418"/>
      <c r="AO864" s="418"/>
      <c r="AP864" s="418"/>
      <c r="AQ864" s="418"/>
      <c r="AR864" s="418"/>
      <c r="AS864" s="418"/>
      <c r="AT864" s="418"/>
      <c r="AU864" s="418"/>
      <c r="AV864" s="418"/>
      <c r="AW864" s="418"/>
      <c r="AX864" s="418"/>
      <c r="AY864" s="418"/>
      <c r="AZ864" s="418"/>
      <c r="BA864" s="418"/>
    </row>
    <row r="865" spans="40:53" ht="15.75" customHeight="1">
      <c r="AN865" s="418"/>
      <c r="AO865" s="418"/>
      <c r="AP865" s="418"/>
      <c r="AQ865" s="418"/>
      <c r="AR865" s="418"/>
      <c r="AS865" s="418"/>
      <c r="AT865" s="418"/>
      <c r="AU865" s="418"/>
      <c r="AV865" s="418"/>
      <c r="AW865" s="418"/>
      <c r="AX865" s="418"/>
      <c r="AY865" s="418"/>
      <c r="AZ865" s="418"/>
      <c r="BA865" s="418"/>
    </row>
    <row r="866" spans="40:53" ht="15.75" customHeight="1">
      <c r="AN866" s="418"/>
      <c r="AO866" s="418"/>
      <c r="AP866" s="418"/>
      <c r="AQ866" s="418"/>
      <c r="AR866" s="418"/>
      <c r="AS866" s="418"/>
      <c r="AT866" s="418"/>
      <c r="AU866" s="418"/>
      <c r="AV866" s="418"/>
      <c r="AW866" s="418"/>
      <c r="AX866" s="418"/>
      <c r="AY866" s="418"/>
      <c r="AZ866" s="418"/>
      <c r="BA866" s="418"/>
    </row>
    <row r="867" spans="40:53" ht="15.75" customHeight="1">
      <c r="AN867" s="418"/>
      <c r="AO867" s="418"/>
      <c r="AP867" s="418"/>
      <c r="AQ867" s="418"/>
      <c r="AR867" s="418"/>
      <c r="AS867" s="418"/>
      <c r="AT867" s="418"/>
      <c r="AU867" s="418"/>
      <c r="AV867" s="418"/>
      <c r="AW867" s="418"/>
      <c r="AX867" s="418"/>
      <c r="AY867" s="418"/>
      <c r="AZ867" s="418"/>
      <c r="BA867" s="418"/>
    </row>
    <row r="868" spans="40:53" ht="15.75" customHeight="1">
      <c r="AN868" s="418"/>
      <c r="AO868" s="418"/>
      <c r="AP868" s="418"/>
      <c r="AQ868" s="418"/>
      <c r="AR868" s="418"/>
      <c r="AS868" s="418"/>
      <c r="AT868" s="418"/>
      <c r="AU868" s="418"/>
      <c r="AV868" s="418"/>
      <c r="AW868" s="418"/>
      <c r="AX868" s="418"/>
      <c r="AY868" s="418"/>
      <c r="AZ868" s="418"/>
      <c r="BA868" s="418"/>
    </row>
    <row r="869" spans="40:53" ht="15.75" customHeight="1">
      <c r="AN869" s="418"/>
      <c r="AO869" s="418"/>
      <c r="AP869" s="418"/>
      <c r="AQ869" s="418"/>
      <c r="AR869" s="418"/>
      <c r="AS869" s="418"/>
      <c r="AT869" s="418"/>
      <c r="AU869" s="418"/>
      <c r="AV869" s="418"/>
      <c r="AW869" s="418"/>
      <c r="AX869" s="418"/>
      <c r="AY869" s="418"/>
      <c r="AZ869" s="418"/>
      <c r="BA869" s="418"/>
    </row>
    <row r="870" spans="40:53" ht="15.75" customHeight="1">
      <c r="AN870" s="418"/>
      <c r="AO870" s="418"/>
      <c r="AP870" s="418"/>
      <c r="AQ870" s="418"/>
      <c r="AR870" s="418"/>
      <c r="AS870" s="418"/>
      <c r="AT870" s="418"/>
      <c r="AU870" s="418"/>
      <c r="AV870" s="418"/>
      <c r="AW870" s="418"/>
      <c r="AX870" s="418"/>
      <c r="AY870" s="418"/>
      <c r="AZ870" s="418"/>
      <c r="BA870" s="418"/>
    </row>
    <row r="871" spans="40:53" ht="15.75" customHeight="1">
      <c r="AN871" s="418"/>
      <c r="AO871" s="418"/>
      <c r="AP871" s="418"/>
      <c r="AQ871" s="418"/>
      <c r="AR871" s="418"/>
      <c r="AS871" s="418"/>
      <c r="AT871" s="418"/>
      <c r="AU871" s="418"/>
      <c r="AV871" s="418"/>
      <c r="AW871" s="418"/>
      <c r="AX871" s="418"/>
      <c r="AY871" s="418"/>
      <c r="AZ871" s="418"/>
      <c r="BA871" s="418"/>
    </row>
    <row r="872" spans="40:53" ht="15.75" customHeight="1">
      <c r="AN872" s="418"/>
      <c r="AO872" s="418"/>
      <c r="AP872" s="418"/>
      <c r="AQ872" s="418"/>
      <c r="AR872" s="418"/>
      <c r="AS872" s="418"/>
      <c r="AT872" s="418"/>
      <c r="AU872" s="418"/>
      <c r="AV872" s="418"/>
      <c r="AW872" s="418"/>
      <c r="AX872" s="418"/>
      <c r="AY872" s="418"/>
      <c r="AZ872" s="418"/>
      <c r="BA872" s="418"/>
    </row>
    <row r="873" spans="40:53" ht="15.75" customHeight="1">
      <c r="AN873" s="418"/>
      <c r="AO873" s="418"/>
      <c r="AP873" s="418"/>
      <c r="AQ873" s="418"/>
      <c r="AR873" s="418"/>
      <c r="AS873" s="418"/>
      <c r="AT873" s="418"/>
      <c r="AU873" s="418"/>
      <c r="AV873" s="418"/>
      <c r="AW873" s="418"/>
      <c r="AX873" s="418"/>
      <c r="AY873" s="418"/>
      <c r="AZ873" s="418"/>
      <c r="BA873" s="418"/>
    </row>
    <row r="874" spans="40:53" ht="15.75" customHeight="1">
      <c r="AN874" s="418"/>
      <c r="AO874" s="418"/>
      <c r="AP874" s="418"/>
      <c r="AQ874" s="418"/>
      <c r="AR874" s="418"/>
      <c r="AS874" s="418"/>
      <c r="AT874" s="418"/>
      <c r="AU874" s="418"/>
      <c r="AV874" s="418"/>
      <c r="AW874" s="418"/>
      <c r="AX874" s="418"/>
      <c r="AY874" s="418"/>
      <c r="AZ874" s="418"/>
      <c r="BA874" s="418"/>
    </row>
    <row r="875" spans="40:53" ht="15.75" customHeight="1">
      <c r="AN875" s="418"/>
      <c r="AO875" s="418"/>
      <c r="AP875" s="418"/>
      <c r="AQ875" s="418"/>
      <c r="AR875" s="418"/>
      <c r="AS875" s="418"/>
      <c r="AT875" s="418"/>
      <c r="AU875" s="418"/>
      <c r="AV875" s="418"/>
      <c r="AW875" s="418"/>
      <c r="AX875" s="418"/>
      <c r="AY875" s="418"/>
      <c r="AZ875" s="418"/>
      <c r="BA875" s="418"/>
    </row>
    <row r="876" spans="40:53" ht="15.75" customHeight="1">
      <c r="AN876" s="418"/>
      <c r="AO876" s="418"/>
      <c r="AP876" s="418"/>
      <c r="AQ876" s="418"/>
      <c r="AR876" s="418"/>
      <c r="AS876" s="418"/>
      <c r="AT876" s="418"/>
      <c r="AU876" s="418"/>
      <c r="AV876" s="418"/>
      <c r="AW876" s="418"/>
      <c r="AX876" s="418"/>
      <c r="AY876" s="418"/>
      <c r="AZ876" s="418"/>
      <c r="BA876" s="418"/>
    </row>
    <row r="877" spans="40:53" ht="15.75" customHeight="1">
      <c r="AN877" s="418"/>
      <c r="AO877" s="418"/>
      <c r="AP877" s="418"/>
      <c r="AQ877" s="418"/>
      <c r="AR877" s="418"/>
      <c r="AS877" s="418"/>
      <c r="AT877" s="418"/>
      <c r="AU877" s="418"/>
      <c r="AV877" s="418"/>
      <c r="AW877" s="418"/>
      <c r="AX877" s="418"/>
      <c r="AY877" s="418"/>
      <c r="AZ877" s="418"/>
      <c r="BA877" s="418"/>
    </row>
    <row r="878" spans="40:53" ht="15.75" customHeight="1">
      <c r="AN878" s="418"/>
      <c r="AO878" s="418"/>
      <c r="AP878" s="418"/>
      <c r="AQ878" s="418"/>
      <c r="AR878" s="418"/>
      <c r="AS878" s="418"/>
      <c r="AT878" s="418"/>
      <c r="AU878" s="418"/>
      <c r="AV878" s="418"/>
      <c r="AW878" s="418"/>
      <c r="AX878" s="418"/>
      <c r="AY878" s="418"/>
      <c r="AZ878" s="418"/>
      <c r="BA878" s="418"/>
    </row>
    <row r="879" spans="40:53" ht="15.75" customHeight="1">
      <c r="AN879" s="418"/>
      <c r="AO879" s="418"/>
      <c r="AP879" s="418"/>
      <c r="AQ879" s="418"/>
      <c r="AR879" s="418"/>
      <c r="AS879" s="418"/>
      <c r="AT879" s="418"/>
      <c r="AU879" s="418"/>
      <c r="AV879" s="418"/>
      <c r="AW879" s="418"/>
      <c r="AX879" s="418"/>
      <c r="AY879" s="418"/>
      <c r="AZ879" s="418"/>
      <c r="BA879" s="418"/>
    </row>
    <row r="880" spans="40:53" ht="15.75" customHeight="1">
      <c r="AN880" s="418"/>
      <c r="AO880" s="418"/>
      <c r="AP880" s="418"/>
      <c r="AQ880" s="418"/>
      <c r="AR880" s="418"/>
      <c r="AS880" s="418"/>
      <c r="AT880" s="418"/>
      <c r="AU880" s="418"/>
      <c r="AV880" s="418"/>
      <c r="AW880" s="418"/>
      <c r="AX880" s="418"/>
      <c r="AY880" s="418"/>
      <c r="AZ880" s="418"/>
      <c r="BA880" s="418"/>
    </row>
    <row r="881" spans="40:53" ht="15.75" customHeight="1">
      <c r="AN881" s="418"/>
      <c r="AO881" s="418"/>
      <c r="AP881" s="418"/>
      <c r="AQ881" s="418"/>
      <c r="AR881" s="418"/>
      <c r="AS881" s="418"/>
      <c r="AT881" s="418"/>
      <c r="AU881" s="418"/>
      <c r="AV881" s="418"/>
      <c r="AW881" s="418"/>
      <c r="AX881" s="418"/>
      <c r="AY881" s="418"/>
      <c r="AZ881" s="418"/>
      <c r="BA881" s="418"/>
    </row>
    <row r="882" spans="40:53" ht="15.75" customHeight="1">
      <c r="AN882" s="418"/>
      <c r="AO882" s="418"/>
      <c r="AP882" s="418"/>
      <c r="AQ882" s="418"/>
      <c r="AR882" s="418"/>
      <c r="AS882" s="418"/>
      <c r="AT882" s="418"/>
      <c r="AU882" s="418"/>
      <c r="AV882" s="418"/>
      <c r="AW882" s="418"/>
      <c r="AX882" s="418"/>
      <c r="AY882" s="418"/>
      <c r="AZ882" s="418"/>
      <c r="BA882" s="418"/>
    </row>
    <row r="883" spans="40:53" ht="15.75" customHeight="1">
      <c r="AN883" s="418"/>
      <c r="AO883" s="418"/>
      <c r="AP883" s="418"/>
      <c r="AQ883" s="418"/>
      <c r="AR883" s="418"/>
      <c r="AS883" s="418"/>
      <c r="AT883" s="418"/>
      <c r="AU883" s="418"/>
      <c r="AV883" s="418"/>
      <c r="AW883" s="418"/>
      <c r="AX883" s="418"/>
      <c r="AY883" s="418"/>
      <c r="AZ883" s="418"/>
      <c r="BA883" s="418"/>
    </row>
    <row r="884" spans="40:53" ht="15.75" customHeight="1">
      <c r="AN884" s="418"/>
      <c r="AO884" s="418"/>
      <c r="AP884" s="418"/>
      <c r="AQ884" s="418"/>
      <c r="AR884" s="418"/>
      <c r="AS884" s="418"/>
      <c r="AT884" s="418"/>
      <c r="AU884" s="418"/>
      <c r="AV884" s="418"/>
      <c r="AW884" s="418"/>
      <c r="AX884" s="418"/>
      <c r="AY884" s="418"/>
      <c r="AZ884" s="418"/>
      <c r="BA884" s="418"/>
    </row>
    <row r="885" spans="40:53" ht="15.75" customHeight="1">
      <c r="AN885" s="418"/>
      <c r="AO885" s="418"/>
      <c r="AP885" s="418"/>
      <c r="AQ885" s="418"/>
      <c r="AR885" s="418"/>
      <c r="AS885" s="418"/>
      <c r="AT885" s="418"/>
      <c r="AU885" s="418"/>
      <c r="AV885" s="418"/>
      <c r="AW885" s="418"/>
      <c r="AX885" s="418"/>
      <c r="AY885" s="418"/>
      <c r="AZ885" s="418"/>
      <c r="BA885" s="418"/>
    </row>
    <row r="886" spans="40:53" ht="15.75" customHeight="1">
      <c r="AN886" s="418"/>
      <c r="AO886" s="418"/>
      <c r="AP886" s="418"/>
      <c r="AQ886" s="418"/>
      <c r="AR886" s="418"/>
      <c r="AS886" s="418"/>
      <c r="AT886" s="418"/>
      <c r="AU886" s="418"/>
      <c r="AV886" s="418"/>
      <c r="AW886" s="418"/>
      <c r="AX886" s="418"/>
      <c r="AY886" s="418"/>
      <c r="AZ886" s="418"/>
      <c r="BA886" s="418"/>
    </row>
    <row r="887" spans="40:53" ht="15.75" customHeight="1">
      <c r="AN887" s="418"/>
      <c r="AO887" s="418"/>
      <c r="AP887" s="418"/>
      <c r="AQ887" s="418"/>
      <c r="AR887" s="418"/>
      <c r="AS887" s="418"/>
      <c r="AT887" s="418"/>
      <c r="AU887" s="418"/>
      <c r="AV887" s="418"/>
      <c r="AW887" s="418"/>
      <c r="AX887" s="418"/>
      <c r="AY887" s="418"/>
      <c r="AZ887" s="418"/>
      <c r="BA887" s="418"/>
    </row>
    <row r="888" spans="40:53" ht="15.75" customHeight="1">
      <c r="AN888" s="418"/>
      <c r="AO888" s="418"/>
      <c r="AP888" s="418"/>
      <c r="AQ888" s="418"/>
      <c r="AR888" s="418"/>
      <c r="AS888" s="418"/>
      <c r="AT888" s="418"/>
      <c r="AU888" s="418"/>
      <c r="AV888" s="418"/>
      <c r="AW888" s="418"/>
      <c r="AX888" s="418"/>
      <c r="AY888" s="418"/>
      <c r="AZ888" s="418"/>
      <c r="BA888" s="418"/>
    </row>
    <row r="889" spans="40:53" ht="15.75" customHeight="1">
      <c r="AN889" s="418"/>
      <c r="AO889" s="418"/>
      <c r="AP889" s="418"/>
      <c r="AQ889" s="418"/>
      <c r="AR889" s="418"/>
      <c r="AS889" s="418"/>
      <c r="AT889" s="418"/>
      <c r="AU889" s="418"/>
      <c r="AV889" s="418"/>
      <c r="AW889" s="418"/>
      <c r="AX889" s="418"/>
      <c r="AY889" s="418"/>
      <c r="AZ889" s="418"/>
      <c r="BA889" s="418"/>
    </row>
    <row r="890" spans="40:53" ht="15.75" customHeight="1">
      <c r="AN890" s="418"/>
      <c r="AO890" s="418"/>
      <c r="AP890" s="418"/>
      <c r="AQ890" s="418"/>
      <c r="AR890" s="418"/>
      <c r="AS890" s="418"/>
      <c r="AT890" s="418"/>
      <c r="AU890" s="418"/>
      <c r="AV890" s="418"/>
      <c r="AW890" s="418"/>
      <c r="AX890" s="418"/>
      <c r="AY890" s="418"/>
      <c r="AZ890" s="418"/>
      <c r="BA890" s="418"/>
    </row>
    <row r="891" spans="40:53" ht="15.75" customHeight="1">
      <c r="AN891" s="418"/>
      <c r="AO891" s="418"/>
      <c r="AP891" s="418"/>
      <c r="AQ891" s="418"/>
      <c r="AR891" s="418"/>
      <c r="AS891" s="418"/>
      <c r="AT891" s="418"/>
      <c r="AU891" s="418"/>
      <c r="AV891" s="418"/>
      <c r="AW891" s="418"/>
      <c r="AX891" s="418"/>
      <c r="AY891" s="418"/>
      <c r="AZ891" s="418"/>
      <c r="BA891" s="418"/>
    </row>
    <row r="892" spans="40:53" ht="15.75" customHeight="1">
      <c r="AN892" s="418"/>
      <c r="AO892" s="418"/>
      <c r="AP892" s="418"/>
      <c r="AQ892" s="418"/>
      <c r="AR892" s="418"/>
      <c r="AS892" s="418"/>
      <c r="AT892" s="418"/>
      <c r="AU892" s="418"/>
      <c r="AV892" s="418"/>
      <c r="AW892" s="418"/>
      <c r="AX892" s="418"/>
      <c r="AY892" s="418"/>
      <c r="AZ892" s="418"/>
      <c r="BA892" s="418"/>
    </row>
    <row r="893" spans="40:53" ht="15.75" customHeight="1">
      <c r="AN893" s="418"/>
      <c r="AO893" s="418"/>
      <c r="AP893" s="418"/>
      <c r="AQ893" s="418"/>
      <c r="AR893" s="418"/>
      <c r="AS893" s="418"/>
      <c r="AT893" s="418"/>
      <c r="AU893" s="418"/>
      <c r="AV893" s="418"/>
      <c r="AW893" s="418"/>
      <c r="AX893" s="418"/>
      <c r="AY893" s="418"/>
      <c r="AZ893" s="418"/>
      <c r="BA893" s="418"/>
    </row>
    <row r="894" spans="40:53" ht="15.75" customHeight="1">
      <c r="AN894" s="418"/>
      <c r="AO894" s="418"/>
      <c r="AP894" s="418"/>
      <c r="AQ894" s="418"/>
      <c r="AR894" s="418"/>
      <c r="AS894" s="418"/>
      <c r="AT894" s="418"/>
      <c r="AU894" s="418"/>
      <c r="AV894" s="418"/>
      <c r="AW894" s="418"/>
      <c r="AX894" s="418"/>
      <c r="AY894" s="418"/>
      <c r="AZ894" s="418"/>
      <c r="BA894" s="418"/>
    </row>
    <row r="895" spans="40:53" ht="15.75" customHeight="1">
      <c r="AN895" s="418"/>
      <c r="AO895" s="418"/>
      <c r="AP895" s="418"/>
      <c r="AQ895" s="418"/>
      <c r="AR895" s="418"/>
      <c r="AS895" s="418"/>
      <c r="AT895" s="418"/>
      <c r="AU895" s="418"/>
      <c r="AV895" s="418"/>
      <c r="AW895" s="418"/>
      <c r="AX895" s="418"/>
      <c r="AY895" s="418"/>
      <c r="AZ895" s="418"/>
      <c r="BA895" s="418"/>
    </row>
    <row r="896" spans="40:53" ht="15.75" customHeight="1">
      <c r="AN896" s="418"/>
      <c r="AO896" s="418"/>
      <c r="AP896" s="418"/>
      <c r="AQ896" s="418"/>
      <c r="AR896" s="418"/>
      <c r="AS896" s="418"/>
      <c r="AT896" s="418"/>
      <c r="AU896" s="418"/>
      <c r="AV896" s="418"/>
      <c r="AW896" s="418"/>
      <c r="AX896" s="418"/>
      <c r="AY896" s="418"/>
      <c r="AZ896" s="418"/>
      <c r="BA896" s="418"/>
    </row>
    <row r="897" spans="40:53" ht="15.75" customHeight="1">
      <c r="AN897" s="418"/>
      <c r="AO897" s="418"/>
      <c r="AP897" s="418"/>
      <c r="AQ897" s="418"/>
      <c r="AR897" s="418"/>
      <c r="AS897" s="418"/>
      <c r="AT897" s="418"/>
      <c r="AU897" s="418"/>
      <c r="AV897" s="418"/>
      <c r="AW897" s="418"/>
      <c r="AX897" s="418"/>
      <c r="AY897" s="418"/>
      <c r="AZ897" s="418"/>
      <c r="BA897" s="418"/>
    </row>
    <row r="898" spans="40:53" ht="15.75" customHeight="1">
      <c r="AN898" s="418"/>
      <c r="AO898" s="418"/>
      <c r="AP898" s="418"/>
      <c r="AQ898" s="418"/>
      <c r="AR898" s="418"/>
      <c r="AS898" s="418"/>
      <c r="AT898" s="418"/>
      <c r="AU898" s="418"/>
      <c r="AV898" s="418"/>
      <c r="AW898" s="418"/>
      <c r="AX898" s="418"/>
      <c r="AY898" s="418"/>
      <c r="AZ898" s="418"/>
      <c r="BA898" s="418"/>
    </row>
    <row r="899" spans="40:53" ht="15.75" customHeight="1">
      <c r="AN899" s="418"/>
      <c r="AO899" s="418"/>
      <c r="AP899" s="418"/>
      <c r="AQ899" s="418"/>
      <c r="AR899" s="418"/>
      <c r="AS899" s="418"/>
      <c r="AT899" s="418"/>
      <c r="AU899" s="418"/>
      <c r="AV899" s="418"/>
      <c r="AW899" s="418"/>
      <c r="AX899" s="418"/>
      <c r="AY899" s="418"/>
      <c r="AZ899" s="418"/>
      <c r="BA899" s="418"/>
    </row>
    <row r="900" spans="40:53" ht="15.75" customHeight="1">
      <c r="AN900" s="418"/>
      <c r="AO900" s="418"/>
      <c r="AP900" s="418"/>
      <c r="AQ900" s="418"/>
      <c r="AR900" s="418"/>
      <c r="AS900" s="418"/>
      <c r="AT900" s="418"/>
      <c r="AU900" s="418"/>
      <c r="AV900" s="418"/>
      <c r="AW900" s="418"/>
      <c r="AX900" s="418"/>
      <c r="AY900" s="418"/>
      <c r="AZ900" s="418"/>
      <c r="BA900" s="418"/>
    </row>
    <row r="901" spans="40:53" ht="15.75" customHeight="1">
      <c r="AN901" s="418"/>
      <c r="AO901" s="418"/>
      <c r="AP901" s="418"/>
      <c r="AQ901" s="418"/>
      <c r="AR901" s="418"/>
      <c r="AS901" s="418"/>
      <c r="AT901" s="418"/>
      <c r="AU901" s="418"/>
      <c r="AV901" s="418"/>
      <c r="AW901" s="418"/>
      <c r="AX901" s="418"/>
      <c r="AY901" s="418"/>
      <c r="AZ901" s="418"/>
      <c r="BA901" s="418"/>
    </row>
    <row r="902" spans="40:53" ht="15.75" customHeight="1">
      <c r="AN902" s="418"/>
      <c r="AO902" s="418"/>
      <c r="AP902" s="418"/>
      <c r="AQ902" s="418"/>
      <c r="AR902" s="418"/>
      <c r="AS902" s="418"/>
      <c r="AT902" s="418"/>
      <c r="AU902" s="418"/>
      <c r="AV902" s="418"/>
      <c r="AW902" s="418"/>
      <c r="AX902" s="418"/>
      <c r="AY902" s="418"/>
      <c r="AZ902" s="418"/>
      <c r="BA902" s="418"/>
    </row>
    <row r="903" spans="40:53" ht="15.75" customHeight="1">
      <c r="AN903" s="418"/>
      <c r="AO903" s="418"/>
      <c r="AP903" s="418"/>
      <c r="AQ903" s="418"/>
      <c r="AR903" s="418"/>
      <c r="AS903" s="418"/>
      <c r="AT903" s="418"/>
      <c r="AU903" s="418"/>
      <c r="AV903" s="418"/>
      <c r="AW903" s="418"/>
      <c r="AX903" s="418"/>
      <c r="AY903" s="418"/>
      <c r="AZ903" s="418"/>
      <c r="BA903" s="418"/>
    </row>
    <row r="904" spans="40:53" ht="15.75" customHeight="1">
      <c r="AN904" s="418"/>
      <c r="AO904" s="418"/>
      <c r="AP904" s="418"/>
      <c r="AQ904" s="418"/>
      <c r="AR904" s="418"/>
      <c r="AS904" s="418"/>
      <c r="AT904" s="418"/>
      <c r="AU904" s="418"/>
      <c r="AV904" s="418"/>
      <c r="AW904" s="418"/>
      <c r="AX904" s="418"/>
      <c r="AY904" s="418"/>
      <c r="AZ904" s="418"/>
      <c r="BA904" s="418"/>
    </row>
    <row r="905" spans="40:53" ht="15.75" customHeight="1">
      <c r="AN905" s="418"/>
      <c r="AO905" s="418"/>
      <c r="AP905" s="418"/>
      <c r="AQ905" s="418"/>
      <c r="AR905" s="418"/>
      <c r="AS905" s="418"/>
      <c r="AT905" s="418"/>
      <c r="AU905" s="418"/>
      <c r="AV905" s="418"/>
      <c r="AW905" s="418"/>
      <c r="AX905" s="418"/>
      <c r="AY905" s="418"/>
      <c r="AZ905" s="418"/>
      <c r="BA905" s="418"/>
    </row>
    <row r="906" spans="40:53" ht="15.75" customHeight="1">
      <c r="AN906" s="418"/>
      <c r="AO906" s="418"/>
      <c r="AP906" s="418"/>
      <c r="AQ906" s="418"/>
      <c r="AR906" s="418"/>
      <c r="AS906" s="418"/>
      <c r="AT906" s="418"/>
      <c r="AU906" s="418"/>
      <c r="AV906" s="418"/>
      <c r="AW906" s="418"/>
      <c r="AX906" s="418"/>
      <c r="AY906" s="418"/>
      <c r="AZ906" s="418"/>
      <c r="BA906" s="418"/>
    </row>
    <row r="907" spans="40:53" ht="15.75" customHeight="1">
      <c r="AN907" s="418"/>
      <c r="AO907" s="418"/>
      <c r="AP907" s="418"/>
      <c r="AQ907" s="418"/>
      <c r="AR907" s="418"/>
      <c r="AS907" s="418"/>
      <c r="AT907" s="418"/>
      <c r="AU907" s="418"/>
      <c r="AV907" s="418"/>
      <c r="AW907" s="418"/>
      <c r="AX907" s="418"/>
      <c r="AY907" s="418"/>
      <c r="AZ907" s="418"/>
      <c r="BA907" s="418"/>
    </row>
    <row r="908" spans="40:53" ht="15.75" customHeight="1">
      <c r="AN908" s="418"/>
      <c r="AO908" s="418"/>
      <c r="AP908" s="418"/>
      <c r="AQ908" s="418"/>
      <c r="AR908" s="418"/>
      <c r="AS908" s="418"/>
      <c r="AT908" s="418"/>
      <c r="AU908" s="418"/>
      <c r="AV908" s="418"/>
      <c r="AW908" s="418"/>
      <c r="AX908" s="418"/>
      <c r="AY908" s="418"/>
      <c r="AZ908" s="418"/>
      <c r="BA908" s="418"/>
    </row>
    <row r="909" spans="40:53" ht="15.75" customHeight="1">
      <c r="AN909" s="418"/>
      <c r="AO909" s="418"/>
      <c r="AP909" s="418"/>
      <c r="AQ909" s="418"/>
      <c r="AR909" s="418"/>
      <c r="AS909" s="418"/>
      <c r="AT909" s="418"/>
      <c r="AU909" s="418"/>
      <c r="AV909" s="418"/>
      <c r="AW909" s="418"/>
      <c r="AX909" s="418"/>
      <c r="AY909" s="418"/>
      <c r="AZ909" s="418"/>
      <c r="BA909" s="418"/>
    </row>
    <row r="910" spans="40:53" ht="15.75" customHeight="1">
      <c r="AN910" s="418"/>
      <c r="AO910" s="418"/>
      <c r="AP910" s="418"/>
      <c r="AQ910" s="418"/>
      <c r="AR910" s="418"/>
      <c r="AS910" s="418"/>
      <c r="AT910" s="418"/>
      <c r="AU910" s="418"/>
      <c r="AV910" s="418"/>
      <c r="AW910" s="418"/>
      <c r="AX910" s="418"/>
      <c r="AY910" s="418"/>
      <c r="AZ910" s="418"/>
      <c r="BA910" s="418"/>
    </row>
    <row r="911" spans="40:53" ht="15.75" customHeight="1">
      <c r="AN911" s="418"/>
      <c r="AO911" s="418"/>
      <c r="AP911" s="418"/>
      <c r="AQ911" s="418"/>
      <c r="AR911" s="418"/>
      <c r="AS911" s="418"/>
      <c r="AT911" s="418"/>
      <c r="AU911" s="418"/>
      <c r="AV911" s="418"/>
      <c r="AW911" s="418"/>
      <c r="AX911" s="418"/>
      <c r="AY911" s="418"/>
      <c r="AZ911" s="418"/>
      <c r="BA911" s="418"/>
    </row>
    <row r="912" spans="40:53" ht="15.75" customHeight="1">
      <c r="AN912" s="418"/>
      <c r="AO912" s="418"/>
      <c r="AP912" s="418"/>
      <c r="AQ912" s="418"/>
      <c r="AR912" s="418"/>
      <c r="AS912" s="418"/>
      <c r="AT912" s="418"/>
      <c r="AU912" s="418"/>
      <c r="AV912" s="418"/>
      <c r="AW912" s="418"/>
      <c r="AX912" s="418"/>
      <c r="AY912" s="418"/>
      <c r="AZ912" s="418"/>
      <c r="BA912" s="418"/>
    </row>
    <row r="913" spans="40:53" ht="15.75" customHeight="1">
      <c r="AN913" s="418"/>
      <c r="AO913" s="418"/>
      <c r="AP913" s="418"/>
      <c r="AQ913" s="418"/>
      <c r="AR913" s="418"/>
      <c r="AS913" s="418"/>
      <c r="AT913" s="418"/>
      <c r="AU913" s="418"/>
      <c r="AV913" s="418"/>
      <c r="AW913" s="418"/>
      <c r="AX913" s="418"/>
      <c r="AY913" s="418"/>
      <c r="AZ913" s="418"/>
      <c r="BA913" s="418"/>
    </row>
    <row r="914" spans="40:53" ht="15.75" customHeight="1">
      <c r="AN914" s="418"/>
      <c r="AO914" s="418"/>
      <c r="AP914" s="418"/>
      <c r="AQ914" s="418"/>
      <c r="AR914" s="418"/>
      <c r="AS914" s="418"/>
      <c r="AT914" s="418"/>
      <c r="AU914" s="418"/>
      <c r="AV914" s="418"/>
      <c r="AW914" s="418"/>
      <c r="AX914" s="418"/>
      <c r="AY914" s="418"/>
      <c r="AZ914" s="418"/>
      <c r="BA914" s="418"/>
    </row>
    <row r="915" spans="40:53" ht="15.75" customHeight="1">
      <c r="AN915" s="418"/>
      <c r="AO915" s="418"/>
      <c r="AP915" s="418"/>
      <c r="AQ915" s="418"/>
      <c r="AR915" s="418"/>
      <c r="AS915" s="418"/>
      <c r="AT915" s="418"/>
      <c r="AU915" s="418"/>
      <c r="AV915" s="418"/>
      <c r="AW915" s="418"/>
      <c r="AX915" s="418"/>
      <c r="AY915" s="418"/>
      <c r="AZ915" s="418"/>
      <c r="BA915" s="418"/>
    </row>
    <row r="916" spans="40:53" ht="15.75" customHeight="1">
      <c r="AN916" s="418"/>
      <c r="AO916" s="418"/>
      <c r="AP916" s="418"/>
      <c r="AQ916" s="418"/>
      <c r="AR916" s="418"/>
      <c r="AS916" s="418"/>
      <c r="AT916" s="418"/>
      <c r="AU916" s="418"/>
      <c r="AV916" s="418"/>
      <c r="AW916" s="418"/>
      <c r="AX916" s="418"/>
      <c r="AY916" s="418"/>
      <c r="AZ916" s="418"/>
      <c r="BA916" s="418"/>
    </row>
    <row r="917" spans="40:53" ht="15.75" customHeight="1">
      <c r="AN917" s="418"/>
      <c r="AO917" s="418"/>
      <c r="AP917" s="418"/>
      <c r="AQ917" s="418"/>
      <c r="AR917" s="418"/>
      <c r="AS917" s="418"/>
      <c r="AT917" s="418"/>
      <c r="AU917" s="418"/>
      <c r="AV917" s="418"/>
      <c r="AW917" s="418"/>
      <c r="AX917" s="418"/>
      <c r="AY917" s="418"/>
      <c r="AZ917" s="418"/>
      <c r="BA917" s="418"/>
    </row>
    <row r="918" spans="40:53" ht="15.75" customHeight="1">
      <c r="AN918" s="418"/>
      <c r="AO918" s="418"/>
      <c r="AP918" s="418"/>
      <c r="AQ918" s="418"/>
      <c r="AR918" s="418"/>
      <c r="AS918" s="418"/>
      <c r="AT918" s="418"/>
      <c r="AU918" s="418"/>
      <c r="AV918" s="418"/>
      <c r="AW918" s="418"/>
      <c r="AX918" s="418"/>
      <c r="AY918" s="418"/>
      <c r="AZ918" s="418"/>
      <c r="BA918" s="418"/>
    </row>
    <row r="919" spans="40:53" ht="15.75" customHeight="1">
      <c r="AN919" s="418"/>
      <c r="AO919" s="418"/>
      <c r="AP919" s="418"/>
      <c r="AQ919" s="418"/>
      <c r="AR919" s="418"/>
      <c r="AS919" s="418"/>
      <c r="AT919" s="418"/>
      <c r="AU919" s="418"/>
      <c r="AV919" s="418"/>
      <c r="AW919" s="418"/>
      <c r="AX919" s="418"/>
      <c r="AY919" s="418"/>
      <c r="AZ919" s="418"/>
      <c r="BA919" s="418"/>
    </row>
    <row r="920" spans="40:53" ht="15.75" customHeight="1">
      <c r="AN920" s="418"/>
      <c r="AO920" s="418"/>
      <c r="AP920" s="418"/>
      <c r="AQ920" s="418"/>
      <c r="AR920" s="418"/>
      <c r="AS920" s="418"/>
      <c r="AT920" s="418"/>
      <c r="AU920" s="418"/>
      <c r="AV920" s="418"/>
      <c r="AW920" s="418"/>
      <c r="AX920" s="418"/>
      <c r="AY920" s="418"/>
      <c r="AZ920" s="418"/>
      <c r="BA920" s="418"/>
    </row>
    <row r="921" spans="40:53" ht="15.75" customHeight="1">
      <c r="AN921" s="418"/>
      <c r="AO921" s="418"/>
      <c r="AP921" s="418"/>
      <c r="AQ921" s="418"/>
      <c r="AR921" s="418"/>
      <c r="AS921" s="418"/>
      <c r="AT921" s="418"/>
      <c r="AU921" s="418"/>
      <c r="AV921" s="418"/>
      <c r="AW921" s="418"/>
      <c r="AX921" s="418"/>
      <c r="AY921" s="418"/>
      <c r="AZ921" s="418"/>
      <c r="BA921" s="418"/>
    </row>
    <row r="922" spans="40:53" ht="15.75" customHeight="1">
      <c r="AN922" s="418"/>
      <c r="AO922" s="418"/>
      <c r="AP922" s="418"/>
      <c r="AQ922" s="418"/>
      <c r="AR922" s="418"/>
      <c r="AS922" s="418"/>
      <c r="AT922" s="418"/>
      <c r="AU922" s="418"/>
      <c r="AV922" s="418"/>
      <c r="AW922" s="418"/>
      <c r="AX922" s="418"/>
      <c r="AY922" s="418"/>
      <c r="AZ922" s="418"/>
      <c r="BA922" s="418"/>
    </row>
    <row r="923" spans="40:53" ht="15.75" customHeight="1">
      <c r="AN923" s="418"/>
      <c r="AO923" s="418"/>
      <c r="AP923" s="418"/>
      <c r="AQ923" s="418"/>
      <c r="AR923" s="418"/>
      <c r="AS923" s="418"/>
      <c r="AT923" s="418"/>
      <c r="AU923" s="418"/>
      <c r="AV923" s="418"/>
      <c r="AW923" s="418"/>
      <c r="AX923" s="418"/>
      <c r="AY923" s="418"/>
      <c r="AZ923" s="418"/>
      <c r="BA923" s="418"/>
    </row>
    <row r="924" spans="40:53" ht="15.75" customHeight="1">
      <c r="AN924" s="418"/>
      <c r="AO924" s="418"/>
      <c r="AP924" s="418"/>
      <c r="AQ924" s="418"/>
      <c r="AR924" s="418"/>
      <c r="AS924" s="418"/>
      <c r="AT924" s="418"/>
      <c r="AU924" s="418"/>
      <c r="AV924" s="418"/>
      <c r="AW924" s="418"/>
      <c r="AX924" s="418"/>
      <c r="AY924" s="418"/>
      <c r="AZ924" s="418"/>
      <c r="BA924" s="418"/>
    </row>
    <row r="925" spans="40:53" ht="15.75" customHeight="1">
      <c r="AN925" s="418"/>
      <c r="AO925" s="418"/>
      <c r="AP925" s="418"/>
      <c r="AQ925" s="418"/>
      <c r="AR925" s="418"/>
      <c r="AS925" s="418"/>
      <c r="AT925" s="418"/>
      <c r="AU925" s="418"/>
      <c r="AV925" s="418"/>
      <c r="AW925" s="418"/>
      <c r="AX925" s="418"/>
      <c r="AY925" s="418"/>
      <c r="AZ925" s="418"/>
      <c r="BA925" s="418"/>
    </row>
    <row r="926" spans="40:53" ht="15.75" customHeight="1">
      <c r="AN926" s="418"/>
      <c r="AO926" s="418"/>
      <c r="AP926" s="418"/>
      <c r="AQ926" s="418"/>
      <c r="AR926" s="418"/>
      <c r="AS926" s="418"/>
      <c r="AT926" s="418"/>
      <c r="AU926" s="418"/>
      <c r="AV926" s="418"/>
      <c r="AW926" s="418"/>
      <c r="AX926" s="418"/>
      <c r="AY926" s="418"/>
      <c r="AZ926" s="418"/>
      <c r="BA926" s="418"/>
    </row>
    <row r="927" spans="40:53" ht="15.75" customHeight="1">
      <c r="AN927" s="418"/>
      <c r="AO927" s="418"/>
      <c r="AP927" s="418"/>
      <c r="AQ927" s="418"/>
      <c r="AR927" s="418"/>
      <c r="AS927" s="418"/>
      <c r="AT927" s="418"/>
      <c r="AU927" s="418"/>
      <c r="AV927" s="418"/>
      <c r="AW927" s="418"/>
      <c r="AX927" s="418"/>
      <c r="AY927" s="418"/>
      <c r="AZ927" s="418"/>
      <c r="BA927" s="418"/>
    </row>
    <row r="928" spans="40:53" ht="15.75" customHeight="1">
      <c r="AN928" s="418"/>
      <c r="AO928" s="418"/>
      <c r="AP928" s="418"/>
      <c r="AQ928" s="418"/>
      <c r="AR928" s="418"/>
      <c r="AS928" s="418"/>
      <c r="AT928" s="418"/>
      <c r="AU928" s="418"/>
      <c r="AV928" s="418"/>
      <c r="AW928" s="418"/>
      <c r="AX928" s="418"/>
      <c r="AY928" s="418"/>
      <c r="AZ928" s="418"/>
      <c r="BA928" s="418"/>
    </row>
    <row r="929" spans="40:53" ht="15.75" customHeight="1">
      <c r="AN929" s="418"/>
      <c r="AO929" s="418"/>
      <c r="AP929" s="418"/>
      <c r="AQ929" s="418"/>
      <c r="AR929" s="418"/>
      <c r="AS929" s="418"/>
      <c r="AT929" s="418"/>
      <c r="AU929" s="418"/>
      <c r="AV929" s="418"/>
      <c r="AW929" s="418"/>
      <c r="AX929" s="418"/>
      <c r="AY929" s="418"/>
      <c r="AZ929" s="418"/>
      <c r="BA929" s="418"/>
    </row>
    <row r="930" spans="40:53" ht="15.75" customHeight="1">
      <c r="AN930" s="418"/>
      <c r="AO930" s="418"/>
      <c r="AP930" s="418"/>
      <c r="AQ930" s="418"/>
      <c r="AR930" s="418"/>
      <c r="AS930" s="418"/>
      <c r="AT930" s="418"/>
      <c r="AU930" s="418"/>
      <c r="AV930" s="418"/>
      <c r="AW930" s="418"/>
      <c r="AX930" s="418"/>
      <c r="AY930" s="418"/>
      <c r="AZ930" s="418"/>
      <c r="BA930" s="418"/>
    </row>
    <row r="931" spans="40:53" ht="15.75" customHeight="1">
      <c r="AN931" s="418"/>
      <c r="AO931" s="418"/>
      <c r="AP931" s="418"/>
      <c r="AQ931" s="418"/>
      <c r="AR931" s="418"/>
      <c r="AS931" s="418"/>
      <c r="AT931" s="418"/>
      <c r="AU931" s="418"/>
      <c r="AV931" s="418"/>
      <c r="AW931" s="418"/>
      <c r="AX931" s="418"/>
      <c r="AY931" s="418"/>
      <c r="AZ931" s="418"/>
      <c r="BA931" s="418"/>
    </row>
    <row r="932" spans="40:53" ht="15.75" customHeight="1">
      <c r="AN932" s="418"/>
      <c r="AO932" s="418"/>
      <c r="AP932" s="418"/>
      <c r="AQ932" s="418"/>
      <c r="AR932" s="418"/>
      <c r="AS932" s="418"/>
      <c r="AT932" s="418"/>
      <c r="AU932" s="418"/>
      <c r="AV932" s="418"/>
      <c r="AW932" s="418"/>
      <c r="AX932" s="418"/>
      <c r="AY932" s="418"/>
      <c r="AZ932" s="418"/>
      <c r="BA932" s="418"/>
    </row>
    <row r="933" spans="40:53" ht="15.75" customHeight="1">
      <c r="AN933" s="418"/>
      <c r="AO933" s="418"/>
      <c r="AP933" s="418"/>
      <c r="AQ933" s="418"/>
      <c r="AR933" s="418"/>
      <c r="AS933" s="418"/>
      <c r="AT933" s="418"/>
      <c r="AU933" s="418"/>
      <c r="AV933" s="418"/>
      <c r="AW933" s="418"/>
      <c r="AX933" s="418"/>
      <c r="AY933" s="418"/>
      <c r="AZ933" s="418"/>
      <c r="BA933" s="418"/>
    </row>
    <row r="934" spans="40:53" ht="15.75" customHeight="1">
      <c r="AN934" s="418"/>
      <c r="AO934" s="418"/>
      <c r="AP934" s="418"/>
      <c r="AQ934" s="418"/>
      <c r="AR934" s="418"/>
      <c r="AS934" s="418"/>
      <c r="AT934" s="418"/>
      <c r="AU934" s="418"/>
      <c r="AV934" s="418"/>
      <c r="AW934" s="418"/>
      <c r="AX934" s="418"/>
      <c r="AY934" s="418"/>
      <c r="AZ934" s="418"/>
      <c r="BA934" s="418"/>
    </row>
    <row r="935" spans="40:53" ht="15.75" customHeight="1">
      <c r="AN935" s="418"/>
      <c r="AO935" s="418"/>
      <c r="AP935" s="418"/>
      <c r="AQ935" s="418"/>
      <c r="AR935" s="418"/>
      <c r="AS935" s="418"/>
      <c r="AT935" s="418"/>
      <c r="AU935" s="418"/>
      <c r="AV935" s="418"/>
      <c r="AW935" s="418"/>
      <c r="AX935" s="418"/>
      <c r="AY935" s="418"/>
      <c r="AZ935" s="418"/>
      <c r="BA935" s="418"/>
    </row>
    <row r="936" spans="40:53" ht="15.75" customHeight="1">
      <c r="AN936" s="418"/>
      <c r="AO936" s="418"/>
      <c r="AP936" s="418"/>
      <c r="AQ936" s="418"/>
      <c r="AR936" s="418"/>
      <c r="AS936" s="418"/>
      <c r="AT936" s="418"/>
      <c r="AU936" s="418"/>
      <c r="AV936" s="418"/>
      <c r="AW936" s="418"/>
      <c r="AX936" s="418"/>
      <c r="AY936" s="418"/>
      <c r="AZ936" s="418"/>
      <c r="BA936" s="418"/>
    </row>
    <row r="937" spans="40:53" ht="15.75" customHeight="1">
      <c r="AN937" s="418"/>
      <c r="AO937" s="418"/>
      <c r="AP937" s="418"/>
      <c r="AQ937" s="418"/>
      <c r="AR937" s="418"/>
      <c r="AS937" s="418"/>
      <c r="AT937" s="418"/>
      <c r="AU937" s="418"/>
      <c r="AV937" s="418"/>
      <c r="AW937" s="418"/>
      <c r="AX937" s="418"/>
      <c r="AY937" s="418"/>
      <c r="AZ937" s="418"/>
      <c r="BA937" s="418"/>
    </row>
    <row r="938" spans="40:53" ht="15.75" customHeight="1">
      <c r="AN938" s="418"/>
      <c r="AO938" s="418"/>
      <c r="AP938" s="418"/>
      <c r="AQ938" s="418"/>
      <c r="AR938" s="418"/>
      <c r="AS938" s="418"/>
      <c r="AT938" s="418"/>
      <c r="AU938" s="418"/>
      <c r="AV938" s="418"/>
      <c r="AW938" s="418"/>
      <c r="AX938" s="418"/>
      <c r="AY938" s="418"/>
      <c r="AZ938" s="418"/>
      <c r="BA938" s="418"/>
    </row>
    <row r="939" spans="40:53" ht="15.75" customHeight="1">
      <c r="AN939" s="418"/>
      <c r="AO939" s="418"/>
      <c r="AP939" s="418"/>
      <c r="AQ939" s="418"/>
      <c r="AR939" s="418"/>
      <c r="AS939" s="418"/>
      <c r="AT939" s="418"/>
      <c r="AU939" s="418"/>
      <c r="AV939" s="418"/>
      <c r="AW939" s="418"/>
      <c r="AX939" s="418"/>
      <c r="AY939" s="418"/>
      <c r="AZ939" s="418"/>
      <c r="BA939" s="418"/>
    </row>
    <row r="940" spans="40:53" ht="15.75" customHeight="1">
      <c r="AN940" s="418"/>
      <c r="AO940" s="418"/>
      <c r="AP940" s="418"/>
      <c r="AQ940" s="418"/>
      <c r="AR940" s="418"/>
      <c r="AS940" s="418"/>
      <c r="AT940" s="418"/>
      <c r="AU940" s="418"/>
      <c r="AV940" s="418"/>
      <c r="AW940" s="418"/>
      <c r="AX940" s="418"/>
      <c r="AY940" s="418"/>
      <c r="AZ940" s="418"/>
      <c r="BA940" s="418"/>
    </row>
    <row r="941" spans="40:53" ht="15.75" customHeight="1">
      <c r="AN941" s="418"/>
      <c r="AO941" s="418"/>
      <c r="AP941" s="418"/>
      <c r="AQ941" s="418"/>
      <c r="AR941" s="418"/>
      <c r="AS941" s="418"/>
      <c r="AT941" s="418"/>
      <c r="AU941" s="418"/>
      <c r="AV941" s="418"/>
      <c r="AW941" s="418"/>
      <c r="AX941" s="418"/>
      <c r="AY941" s="418"/>
      <c r="AZ941" s="418"/>
      <c r="BA941" s="418"/>
    </row>
    <row r="942" spans="40:53" ht="15.75" customHeight="1">
      <c r="AN942" s="418"/>
      <c r="AO942" s="418"/>
      <c r="AP942" s="418"/>
      <c r="AQ942" s="418"/>
      <c r="AR942" s="418"/>
      <c r="AS942" s="418"/>
      <c r="AT942" s="418"/>
      <c r="AU942" s="418"/>
      <c r="AV942" s="418"/>
      <c r="AW942" s="418"/>
      <c r="AX942" s="418"/>
      <c r="AY942" s="418"/>
      <c r="AZ942" s="418"/>
      <c r="BA942" s="418"/>
    </row>
    <row r="943" spans="40:53" ht="15.75" customHeight="1">
      <c r="AN943" s="418"/>
      <c r="AO943" s="418"/>
      <c r="AP943" s="418"/>
      <c r="AQ943" s="418"/>
      <c r="AR943" s="418"/>
      <c r="AS943" s="418"/>
      <c r="AT943" s="418"/>
      <c r="AU943" s="418"/>
      <c r="AV943" s="418"/>
      <c r="AW943" s="418"/>
      <c r="AX943" s="418"/>
      <c r="AY943" s="418"/>
      <c r="AZ943" s="418"/>
      <c r="BA943" s="418"/>
    </row>
    <row r="944" spans="40:53" ht="15.75" customHeight="1">
      <c r="AN944" s="418"/>
      <c r="AO944" s="418"/>
      <c r="AP944" s="418"/>
      <c r="AQ944" s="418"/>
      <c r="AR944" s="418"/>
      <c r="AS944" s="418"/>
      <c r="AT944" s="418"/>
      <c r="AU944" s="418"/>
      <c r="AV944" s="418"/>
      <c r="AW944" s="418"/>
      <c r="AX944" s="418"/>
      <c r="AY944" s="418"/>
      <c r="AZ944" s="418"/>
      <c r="BA944" s="418"/>
    </row>
    <row r="945" spans="40:65" ht="15.75" customHeight="1">
      <c r="AN945" s="418"/>
      <c r="AO945" s="418"/>
      <c r="AP945" s="418"/>
      <c r="AQ945" s="418"/>
      <c r="AR945" s="418"/>
      <c r="AS945" s="418"/>
      <c r="AT945" s="418"/>
      <c r="AU945" s="418"/>
      <c r="AV945" s="418"/>
      <c r="AW945" s="418"/>
      <c r="AX945" s="418"/>
      <c r="AY945" s="418"/>
      <c r="AZ945" s="418"/>
      <c r="BA945" s="418"/>
    </row>
    <row r="946" spans="40:65" ht="15.75" customHeight="1">
      <c r="AN946" s="418"/>
      <c r="AO946" s="418"/>
      <c r="AP946" s="418"/>
      <c r="AQ946" s="418"/>
      <c r="AR946" s="418"/>
      <c r="AS946" s="418"/>
      <c r="AT946" s="418"/>
      <c r="AU946" s="418"/>
      <c r="AV946" s="418"/>
      <c r="AW946" s="418"/>
      <c r="AX946" s="418"/>
      <c r="AY946" s="418"/>
      <c r="AZ946" s="418"/>
      <c r="BA946" s="418"/>
    </row>
    <row r="947" spans="40:65" ht="15.75" customHeight="1">
      <c r="AN947" s="418"/>
      <c r="AO947" s="418"/>
      <c r="AP947" s="418"/>
      <c r="AQ947" s="418"/>
      <c r="AR947" s="418"/>
      <c r="AS947" s="418"/>
      <c r="AT947" s="418"/>
      <c r="AU947" s="418"/>
      <c r="AV947" s="418"/>
      <c r="AW947" s="418"/>
      <c r="AX947" s="418"/>
      <c r="AY947" s="418"/>
      <c r="AZ947" s="418"/>
      <c r="BA947" s="418"/>
    </row>
    <row r="948" spans="40:65" ht="15.75" customHeight="1">
      <c r="AN948" s="418"/>
      <c r="AO948" s="418"/>
      <c r="AP948" s="418"/>
      <c r="AQ948" s="418"/>
      <c r="AR948" s="418"/>
      <c r="AS948" s="418"/>
      <c r="AT948" s="418"/>
      <c r="AU948" s="418"/>
      <c r="AV948" s="418"/>
      <c r="AW948" s="418"/>
      <c r="AX948" s="418"/>
      <c r="AY948" s="418"/>
      <c r="AZ948" s="418"/>
      <c r="BA948" s="418"/>
    </row>
    <row r="949" spans="40:65" ht="15.75" customHeight="1">
      <c r="AN949" s="418"/>
      <c r="AO949" s="418"/>
      <c r="AP949" s="418"/>
      <c r="AQ949" s="418"/>
      <c r="AR949" s="418"/>
      <c r="AS949" s="418"/>
      <c r="AT949" s="418"/>
      <c r="AU949" s="418"/>
      <c r="AV949" s="418"/>
      <c r="AW949" s="418"/>
      <c r="AX949" s="418"/>
      <c r="AY949" s="418"/>
      <c r="AZ949" s="418"/>
      <c r="BA949" s="418"/>
    </row>
    <row r="950" spans="40:65" ht="15.75" customHeight="1">
      <c r="AN950" s="418"/>
      <c r="AO950" s="418"/>
      <c r="AP950" s="418"/>
      <c r="AQ950" s="418"/>
      <c r="AR950" s="418"/>
      <c r="AS950" s="418"/>
      <c r="AT950" s="418"/>
      <c r="AU950" s="418"/>
      <c r="AV950" s="418"/>
      <c r="AW950" s="418"/>
      <c r="AX950" s="418"/>
      <c r="AY950" s="418"/>
      <c r="AZ950" s="418"/>
      <c r="BA950" s="418"/>
    </row>
    <row r="951" spans="40:65" ht="15.75" customHeight="1">
      <c r="AN951" s="418"/>
      <c r="AO951" s="418"/>
      <c r="AP951" s="418"/>
      <c r="AQ951" s="418"/>
      <c r="AR951" s="418"/>
      <c r="AS951" s="418"/>
      <c r="AT951" s="418"/>
      <c r="AU951" s="418"/>
      <c r="AV951" s="418"/>
      <c r="AW951" s="418"/>
      <c r="AX951" s="418"/>
      <c r="AY951" s="418"/>
      <c r="AZ951" s="418"/>
      <c r="BA951" s="418"/>
      <c r="BH951" s="1137"/>
      <c r="BI951" s="1198"/>
      <c r="BJ951" s="1137"/>
      <c r="BK951" s="1137"/>
      <c r="BL951" s="1137"/>
      <c r="BM951" s="1137"/>
    </row>
    <row r="952" spans="40:65" ht="15.75" customHeight="1">
      <c r="AN952" s="418"/>
      <c r="AO952" s="418"/>
      <c r="AP952" s="418"/>
      <c r="AQ952" s="418"/>
      <c r="AR952" s="418"/>
      <c r="AS952" s="418"/>
      <c r="AT952" s="418"/>
      <c r="AU952" s="418"/>
      <c r="AV952" s="418"/>
      <c r="AW952" s="418"/>
      <c r="AX952" s="418"/>
      <c r="AY952" s="418"/>
      <c r="AZ952" s="418"/>
      <c r="BA952" s="418"/>
      <c r="BH952" s="1137"/>
      <c r="BI952" s="1198"/>
      <c r="BJ952" s="1137"/>
      <c r="BK952" s="1137"/>
      <c r="BL952" s="1137"/>
      <c r="BM952" s="1137"/>
    </row>
    <row r="953" spans="40:65" ht="15.75" customHeight="1">
      <c r="AN953" s="418"/>
      <c r="AO953" s="418"/>
      <c r="AP953" s="418"/>
      <c r="AQ953" s="418"/>
      <c r="AR953" s="418"/>
      <c r="AS953" s="418"/>
      <c r="AT953" s="418"/>
      <c r="AU953" s="418"/>
      <c r="AV953" s="418"/>
      <c r="AW953" s="418"/>
      <c r="AX953" s="418"/>
      <c r="AY953" s="418"/>
      <c r="AZ953" s="418"/>
      <c r="BA953" s="418"/>
      <c r="BH953" s="1137"/>
      <c r="BI953" s="1198"/>
      <c r="BJ953" s="1137"/>
      <c r="BK953" s="1137"/>
      <c r="BL953" s="1137"/>
      <c r="BM953" s="1137"/>
    </row>
    <row r="954" spans="40:65" ht="15.75" customHeight="1">
      <c r="AN954" s="418"/>
      <c r="AO954" s="418"/>
      <c r="AP954" s="418"/>
      <c r="AQ954" s="418"/>
      <c r="AR954" s="418"/>
      <c r="AS954" s="418"/>
      <c r="AT954" s="418"/>
      <c r="AU954" s="418"/>
      <c r="AV954" s="418"/>
      <c r="AW954" s="418"/>
      <c r="AX954" s="418"/>
      <c r="AY954" s="418"/>
      <c r="AZ954" s="418"/>
      <c r="BA954" s="418"/>
      <c r="BH954" s="1137"/>
      <c r="BI954" s="1198"/>
      <c r="BJ954" s="1137"/>
      <c r="BK954" s="1137"/>
      <c r="BL954" s="1137"/>
      <c r="BM954" s="1137"/>
    </row>
    <row r="955" spans="40:65" ht="15.75" customHeight="1">
      <c r="AN955" s="418"/>
      <c r="AO955" s="418"/>
      <c r="AP955" s="418"/>
      <c r="AQ955" s="418"/>
      <c r="AR955" s="418"/>
      <c r="AS955" s="418"/>
      <c r="AT955" s="418"/>
      <c r="AU955" s="418"/>
      <c r="AV955" s="418"/>
      <c r="AW955" s="418"/>
      <c r="AX955" s="418"/>
      <c r="AY955" s="418"/>
      <c r="AZ955" s="418"/>
      <c r="BA955" s="418"/>
      <c r="BH955" s="1137"/>
      <c r="BI955" s="1198"/>
      <c r="BJ955" s="1137"/>
      <c r="BK955" s="1137"/>
      <c r="BL955" s="1137"/>
      <c r="BM955" s="1137"/>
    </row>
    <row r="956" spans="40:65" ht="15.75" customHeight="1">
      <c r="AN956" s="418"/>
      <c r="AO956" s="418"/>
      <c r="AP956" s="418"/>
      <c r="AQ956" s="418"/>
      <c r="AR956" s="418"/>
      <c r="AS956" s="418"/>
      <c r="AT956" s="418"/>
      <c r="AU956" s="418"/>
      <c r="AV956" s="418"/>
      <c r="AW956" s="418"/>
      <c r="AX956" s="418"/>
      <c r="AY956" s="418"/>
      <c r="AZ956" s="418"/>
      <c r="BA956" s="418"/>
      <c r="BH956" s="1137"/>
      <c r="BI956" s="1198"/>
      <c r="BJ956" s="1137"/>
      <c r="BK956" s="1137"/>
      <c r="BL956" s="1137"/>
      <c r="BM956" s="1137"/>
    </row>
    <row r="957" spans="40:65" ht="15.75" customHeight="1">
      <c r="AN957" s="418"/>
      <c r="AO957" s="418"/>
      <c r="AP957" s="418"/>
      <c r="AQ957" s="418"/>
      <c r="AR957" s="418"/>
      <c r="AS957" s="418"/>
      <c r="AT957" s="418"/>
      <c r="AU957" s="418"/>
      <c r="AV957" s="418"/>
      <c r="AW957" s="418"/>
      <c r="AX957" s="418"/>
      <c r="AY957" s="418"/>
      <c r="AZ957" s="418"/>
      <c r="BA957" s="418"/>
      <c r="BH957" s="1137"/>
      <c r="BI957" s="1198"/>
      <c r="BJ957" s="1137"/>
      <c r="BK957" s="1137"/>
      <c r="BL957" s="1137"/>
      <c r="BM957" s="1137"/>
    </row>
    <row r="958" spans="40:65" ht="15.75" customHeight="1">
      <c r="AN958" s="418"/>
      <c r="AO958" s="418"/>
      <c r="AP958" s="418"/>
      <c r="AQ958" s="418"/>
      <c r="AR958" s="418"/>
      <c r="AS958" s="418"/>
      <c r="AT958" s="418"/>
      <c r="AU958" s="418"/>
      <c r="AV958" s="418"/>
      <c r="AW958" s="418"/>
      <c r="AX958" s="418"/>
      <c r="AY958" s="418"/>
      <c r="AZ958" s="418"/>
      <c r="BA958" s="418"/>
      <c r="BH958" s="1137"/>
      <c r="BI958" s="1198"/>
      <c r="BJ958" s="1137"/>
      <c r="BK958" s="1137"/>
      <c r="BL958" s="1137"/>
      <c r="BM958" s="1137"/>
    </row>
    <row r="959" spans="40:65" ht="15.75" customHeight="1">
      <c r="AN959" s="418"/>
      <c r="AO959" s="418"/>
      <c r="AP959" s="418"/>
      <c r="AQ959" s="418"/>
      <c r="AR959" s="418"/>
      <c r="AS959" s="418"/>
      <c r="AT959" s="418"/>
      <c r="AU959" s="418"/>
      <c r="AV959" s="418"/>
      <c r="AW959" s="418"/>
      <c r="AX959" s="418"/>
      <c r="AY959" s="418"/>
      <c r="AZ959" s="418"/>
      <c r="BA959" s="418"/>
      <c r="BH959" s="1137"/>
      <c r="BI959" s="1198"/>
      <c r="BJ959" s="1137"/>
      <c r="BK959" s="1137"/>
      <c r="BL959" s="1137"/>
      <c r="BM959" s="1137"/>
    </row>
    <row r="960" spans="40:65" ht="15.75" customHeight="1">
      <c r="AN960" s="418"/>
      <c r="AO960" s="418"/>
      <c r="AP960" s="418"/>
      <c r="AQ960" s="418"/>
      <c r="AR960" s="418"/>
      <c r="AS960" s="418"/>
      <c r="AT960" s="418"/>
      <c r="AU960" s="418"/>
      <c r="AV960" s="418"/>
      <c r="AW960" s="418"/>
      <c r="AX960" s="418"/>
      <c r="AY960" s="418"/>
      <c r="AZ960" s="418"/>
      <c r="BA960" s="418"/>
      <c r="BH960" s="1137"/>
      <c r="BI960" s="1198"/>
      <c r="BJ960" s="1137"/>
      <c r="BK960" s="1137"/>
      <c r="BL960" s="1137"/>
      <c r="BM960" s="1137"/>
    </row>
    <row r="961" spans="40:65" ht="15.75" customHeight="1">
      <c r="AN961" s="418"/>
      <c r="AO961" s="418"/>
      <c r="AP961" s="418"/>
      <c r="AQ961" s="418"/>
      <c r="AR961" s="418"/>
      <c r="AS961" s="418"/>
      <c r="AT961" s="418"/>
      <c r="AU961" s="418"/>
      <c r="AV961" s="418"/>
      <c r="AW961" s="418"/>
      <c r="AX961" s="418"/>
      <c r="AY961" s="418"/>
      <c r="AZ961" s="418"/>
      <c r="BA961" s="418"/>
      <c r="BH961" s="1137"/>
      <c r="BI961" s="1198"/>
      <c r="BJ961" s="1137"/>
      <c r="BK961" s="1137"/>
      <c r="BL961" s="1137"/>
      <c r="BM961" s="1137"/>
    </row>
    <row r="962" spans="40:65" ht="15.75" customHeight="1">
      <c r="AN962" s="418"/>
      <c r="AO962" s="418"/>
      <c r="AP962" s="418"/>
      <c r="AQ962" s="418"/>
      <c r="AR962" s="418"/>
      <c r="AS962" s="418"/>
      <c r="AT962" s="418"/>
      <c r="AU962" s="418"/>
      <c r="AV962" s="418"/>
      <c r="AW962" s="418"/>
      <c r="AX962" s="418"/>
      <c r="AY962" s="418"/>
      <c r="AZ962" s="418"/>
      <c r="BA962" s="418"/>
      <c r="BC962" s="1193"/>
      <c r="BD962" s="1137"/>
      <c r="BH962" s="1137"/>
      <c r="BI962" s="1198"/>
      <c r="BJ962" s="1137"/>
      <c r="BK962" s="1137"/>
      <c r="BL962" s="1137"/>
      <c r="BM962" s="1137"/>
    </row>
    <row r="963" spans="40:65" ht="15.75" customHeight="1">
      <c r="AN963" s="418"/>
      <c r="AO963" s="418"/>
      <c r="AP963" s="418"/>
      <c r="AQ963" s="418"/>
      <c r="AR963" s="418"/>
      <c r="AS963" s="418"/>
      <c r="AT963" s="418"/>
      <c r="AU963" s="418"/>
      <c r="AV963" s="418"/>
      <c r="AW963" s="418"/>
      <c r="AX963" s="418"/>
      <c r="AY963" s="418"/>
      <c r="AZ963" s="418"/>
      <c r="BA963" s="418"/>
      <c r="BC963" s="1193"/>
      <c r="BD963" s="1137"/>
      <c r="BH963" s="1137"/>
      <c r="BI963" s="1198"/>
      <c r="BJ963" s="1137"/>
      <c r="BK963" s="1137"/>
      <c r="BL963" s="1137"/>
      <c r="BM963" s="1137"/>
    </row>
    <row r="964" spans="40:65" ht="15.75" customHeight="1">
      <c r="AN964" s="418"/>
      <c r="AO964" s="418"/>
      <c r="AP964" s="418"/>
      <c r="AQ964" s="418"/>
      <c r="AR964" s="418"/>
      <c r="AS964" s="418"/>
      <c r="AT964" s="418"/>
      <c r="AU964" s="418"/>
      <c r="AV964" s="418"/>
      <c r="AW964" s="418"/>
      <c r="AX964" s="418"/>
      <c r="AY964" s="418"/>
      <c r="AZ964" s="418"/>
      <c r="BA964" s="418"/>
      <c r="BC964" s="1193"/>
      <c r="BD964" s="1137"/>
      <c r="BH964" s="1137"/>
      <c r="BI964" s="1198"/>
      <c r="BJ964" s="1137"/>
      <c r="BK964" s="1137"/>
      <c r="BL964" s="1137"/>
      <c r="BM964" s="1137"/>
    </row>
    <row r="965" spans="40:65" ht="15.75" customHeight="1">
      <c r="AN965" s="418"/>
      <c r="AO965" s="418"/>
      <c r="AP965" s="418"/>
      <c r="AQ965" s="418"/>
      <c r="AR965" s="418"/>
      <c r="AS965" s="418"/>
      <c r="AT965" s="418"/>
      <c r="AU965" s="418"/>
      <c r="AV965" s="418"/>
      <c r="AW965" s="418"/>
      <c r="AX965" s="418"/>
      <c r="AY965" s="418"/>
      <c r="AZ965" s="418"/>
      <c r="BA965" s="418"/>
      <c r="BC965" s="1193"/>
      <c r="BD965" s="1137"/>
      <c r="BH965" s="1137"/>
      <c r="BI965" s="1198"/>
      <c r="BJ965" s="1137"/>
      <c r="BK965" s="1137"/>
      <c r="BL965" s="1137"/>
      <c r="BM965" s="1137"/>
    </row>
    <row r="966" spans="40:65" ht="15.75" customHeight="1">
      <c r="AN966" s="418"/>
      <c r="AO966" s="418"/>
      <c r="AP966" s="418"/>
      <c r="AQ966" s="418"/>
      <c r="AR966" s="418"/>
      <c r="AS966" s="418"/>
      <c r="AT966" s="418"/>
      <c r="AU966" s="418"/>
      <c r="AV966" s="418"/>
      <c r="AW966" s="418"/>
      <c r="AX966" s="418"/>
      <c r="AY966" s="418"/>
      <c r="AZ966" s="418"/>
      <c r="BA966" s="418"/>
      <c r="BC966" s="1193"/>
      <c r="BD966" s="1137"/>
      <c r="BH966" s="1137"/>
      <c r="BI966" s="1198"/>
      <c r="BJ966" s="1137"/>
      <c r="BK966" s="1137"/>
      <c r="BL966" s="1137"/>
      <c r="BM966" s="1137"/>
    </row>
    <row r="967" spans="40:65" ht="15.75" customHeight="1">
      <c r="AN967" s="418"/>
      <c r="AO967" s="418"/>
      <c r="AP967" s="418"/>
      <c r="AQ967" s="418"/>
      <c r="AR967" s="418"/>
      <c r="AS967" s="418"/>
      <c r="AT967" s="418"/>
      <c r="AU967" s="418"/>
      <c r="AV967" s="418"/>
      <c r="AW967" s="418"/>
      <c r="AX967" s="418"/>
      <c r="AY967" s="418"/>
      <c r="AZ967" s="418"/>
      <c r="BA967" s="418"/>
      <c r="BC967" s="1193"/>
      <c r="BD967" s="1137"/>
      <c r="BH967" s="1137"/>
      <c r="BI967" s="1198"/>
      <c r="BJ967" s="1137"/>
      <c r="BK967" s="1137"/>
      <c r="BL967" s="1137"/>
      <c r="BM967" s="1137"/>
    </row>
    <row r="968" spans="40:65" ht="15.75" customHeight="1">
      <c r="AN968" s="418"/>
      <c r="AO968" s="418"/>
      <c r="AP968" s="418"/>
      <c r="AQ968" s="418"/>
      <c r="AR968" s="418"/>
      <c r="AS968" s="418"/>
      <c r="AT968" s="418"/>
      <c r="AU968" s="418"/>
      <c r="AV968" s="418"/>
      <c r="AW968" s="418"/>
      <c r="AX968" s="418"/>
      <c r="AY968" s="418"/>
      <c r="AZ968" s="418"/>
      <c r="BA968" s="418"/>
      <c r="BC968" s="1193"/>
      <c r="BD968" s="1137"/>
      <c r="BH968" s="1137"/>
      <c r="BI968" s="1198"/>
      <c r="BJ968" s="1137"/>
      <c r="BK968" s="1137"/>
      <c r="BL968" s="1137"/>
      <c r="BM968" s="1137"/>
    </row>
    <row r="969" spans="40:65" ht="15.75" customHeight="1">
      <c r="AN969" s="418"/>
      <c r="AO969" s="418"/>
      <c r="AP969" s="418"/>
      <c r="AQ969" s="418"/>
      <c r="AR969" s="418"/>
      <c r="AS969" s="418"/>
      <c r="AT969" s="418"/>
      <c r="AU969" s="418"/>
      <c r="AV969" s="418"/>
      <c r="AW969" s="418"/>
      <c r="AX969" s="418"/>
      <c r="AY969" s="418"/>
      <c r="AZ969" s="418"/>
      <c r="BA969" s="418"/>
      <c r="BC969" s="1193"/>
      <c r="BD969" s="1137"/>
      <c r="BH969" s="1137"/>
      <c r="BI969" s="1198"/>
      <c r="BJ969" s="1137"/>
      <c r="BK969" s="1137"/>
      <c r="BL969" s="1137"/>
      <c r="BM969" s="1137"/>
    </row>
    <row r="970" spans="40:65" ht="15.75" customHeight="1">
      <c r="AN970" s="418"/>
      <c r="AO970" s="418"/>
      <c r="AP970" s="418"/>
      <c r="AQ970" s="418"/>
      <c r="AR970" s="418"/>
      <c r="AS970" s="418"/>
      <c r="AT970" s="418"/>
      <c r="AU970" s="418"/>
      <c r="AV970" s="418"/>
      <c r="AW970" s="418"/>
      <c r="AX970" s="418"/>
      <c r="AY970" s="418"/>
      <c r="AZ970" s="418"/>
      <c r="BA970" s="418"/>
      <c r="BC970" s="1193"/>
      <c r="BD970" s="1137"/>
      <c r="BH970" s="1137"/>
      <c r="BI970" s="1198"/>
      <c r="BJ970" s="1137"/>
      <c r="BK970" s="1137"/>
      <c r="BL970" s="1137"/>
      <c r="BM970" s="1137"/>
    </row>
    <row r="971" spans="40:65" ht="15.75" customHeight="1">
      <c r="AN971" s="418"/>
      <c r="AO971" s="418"/>
      <c r="AP971" s="418"/>
      <c r="AQ971" s="418"/>
      <c r="AR971" s="418"/>
      <c r="AS971" s="418"/>
      <c r="AT971" s="418"/>
      <c r="AU971" s="418"/>
      <c r="AV971" s="418"/>
      <c r="AW971" s="418"/>
      <c r="AX971" s="418"/>
      <c r="AY971" s="418"/>
      <c r="AZ971" s="418"/>
      <c r="BA971" s="418"/>
      <c r="BC971" s="1193"/>
      <c r="BD971" s="1137"/>
      <c r="BH971" s="1137"/>
      <c r="BI971" s="1198"/>
      <c r="BJ971" s="1137"/>
      <c r="BK971" s="1137"/>
      <c r="BL971" s="1137"/>
      <c r="BM971" s="1137"/>
    </row>
    <row r="972" spans="40:65" ht="15.75" customHeight="1">
      <c r="AN972" s="418"/>
      <c r="AO972" s="418"/>
      <c r="AP972" s="418"/>
      <c r="AQ972" s="418"/>
      <c r="AR972" s="418"/>
      <c r="AS972" s="418"/>
      <c r="AT972" s="418"/>
      <c r="AU972" s="418"/>
      <c r="AV972" s="418"/>
      <c r="AW972" s="418"/>
      <c r="AX972" s="418"/>
      <c r="AY972" s="418"/>
      <c r="AZ972" s="418"/>
      <c r="BA972" s="418"/>
      <c r="BC972" s="1193"/>
      <c r="BD972" s="1137"/>
      <c r="BH972" s="1137"/>
      <c r="BI972" s="1198"/>
      <c r="BJ972" s="1137"/>
      <c r="BK972" s="1137"/>
      <c r="BL972" s="1137"/>
      <c r="BM972" s="1137"/>
    </row>
    <row r="973" spans="40:65" ht="15.75" customHeight="1">
      <c r="AN973" s="418"/>
      <c r="AO973" s="418"/>
      <c r="AP973" s="418"/>
      <c r="AQ973" s="418"/>
      <c r="AR973" s="418"/>
      <c r="AS973" s="418"/>
      <c r="AT973" s="418"/>
      <c r="AU973" s="418"/>
      <c r="AV973" s="418"/>
      <c r="AW973" s="418"/>
      <c r="AX973" s="418"/>
      <c r="AY973" s="418"/>
      <c r="AZ973" s="418"/>
      <c r="BA973" s="418"/>
      <c r="BC973" s="1193"/>
      <c r="BD973" s="1137"/>
      <c r="BH973" s="1137"/>
      <c r="BI973" s="1198"/>
      <c r="BJ973" s="1137"/>
      <c r="BK973" s="1137"/>
      <c r="BL973" s="1137"/>
      <c r="BM973" s="1137"/>
    </row>
    <row r="974" spans="40:65" ht="15.75" customHeight="1">
      <c r="AN974" s="418"/>
      <c r="AO974" s="418"/>
      <c r="AP974" s="418"/>
      <c r="AQ974" s="418"/>
      <c r="AR974" s="418"/>
      <c r="AS974" s="418"/>
      <c r="AT974" s="418"/>
      <c r="AU974" s="418"/>
      <c r="AV974" s="418"/>
      <c r="AW974" s="418"/>
      <c r="AX974" s="418"/>
      <c r="AY974" s="418"/>
      <c r="AZ974" s="418"/>
      <c r="BA974" s="418"/>
      <c r="BC974" s="1193"/>
      <c r="BD974" s="1137"/>
      <c r="BH974" s="1137"/>
      <c r="BI974" s="1198"/>
      <c r="BJ974" s="1137"/>
      <c r="BK974" s="1137"/>
      <c r="BL974" s="1137"/>
      <c r="BM974" s="1137"/>
    </row>
    <row r="975" spans="40:65" ht="15.75" customHeight="1">
      <c r="AN975" s="418"/>
      <c r="AO975" s="418"/>
      <c r="AP975" s="418"/>
      <c r="AQ975" s="418"/>
      <c r="AR975" s="418"/>
      <c r="AS975" s="418"/>
      <c r="AT975" s="418"/>
      <c r="AU975" s="418"/>
      <c r="AV975" s="418"/>
      <c r="AW975" s="418"/>
      <c r="AX975" s="418"/>
      <c r="AY975" s="418"/>
      <c r="AZ975" s="418"/>
      <c r="BA975" s="418"/>
      <c r="BC975" s="1193"/>
      <c r="BD975" s="1137"/>
      <c r="BH975" s="1137"/>
      <c r="BI975" s="1198"/>
      <c r="BJ975" s="1137"/>
      <c r="BK975" s="1137"/>
      <c r="BL975" s="1137"/>
      <c r="BM975" s="1137"/>
    </row>
    <row r="976" spans="40:65" ht="15.75" customHeight="1">
      <c r="AN976" s="418"/>
      <c r="AO976" s="418"/>
      <c r="AP976" s="418"/>
      <c r="AQ976" s="418"/>
      <c r="AR976" s="418"/>
      <c r="AS976" s="418"/>
      <c r="AT976" s="418"/>
      <c r="AU976" s="418"/>
      <c r="AV976" s="418"/>
      <c r="AW976" s="418"/>
      <c r="AX976" s="418"/>
      <c r="AY976" s="418"/>
      <c r="AZ976" s="418"/>
      <c r="BA976" s="418"/>
      <c r="BC976" s="1193"/>
      <c r="BD976" s="1137"/>
      <c r="BH976" s="1137"/>
      <c r="BI976" s="1198"/>
      <c r="BJ976" s="1137"/>
      <c r="BK976" s="1137"/>
      <c r="BL976" s="1137"/>
      <c r="BM976" s="1137"/>
    </row>
    <row r="977" spans="40:65" ht="15.75" customHeight="1">
      <c r="AN977" s="418"/>
      <c r="AO977" s="418"/>
      <c r="AP977" s="418"/>
      <c r="AQ977" s="418"/>
      <c r="AR977" s="418"/>
      <c r="AS977" s="418"/>
      <c r="AT977" s="418"/>
      <c r="AU977" s="418"/>
      <c r="AV977" s="418"/>
      <c r="AW977" s="418"/>
      <c r="AX977" s="418"/>
      <c r="AY977" s="418"/>
      <c r="AZ977" s="418"/>
      <c r="BA977" s="418"/>
      <c r="BC977" s="1193"/>
      <c r="BD977" s="1137"/>
      <c r="BH977" s="1137"/>
      <c r="BI977" s="1198"/>
      <c r="BJ977" s="1137"/>
      <c r="BK977" s="1137"/>
      <c r="BL977" s="1137"/>
      <c r="BM977" s="1137"/>
    </row>
    <row r="978" spans="40:65" ht="15.75" customHeight="1">
      <c r="AN978" s="418"/>
      <c r="AO978" s="418"/>
      <c r="AP978" s="418"/>
      <c r="AQ978" s="418"/>
      <c r="AR978" s="418"/>
      <c r="AS978" s="418"/>
      <c r="AT978" s="418"/>
      <c r="AU978" s="418"/>
      <c r="AV978" s="418"/>
      <c r="AW978" s="418"/>
      <c r="AX978" s="418"/>
      <c r="AY978" s="418"/>
      <c r="AZ978" s="418"/>
      <c r="BA978" s="418"/>
      <c r="BC978" s="1193"/>
      <c r="BD978" s="1137"/>
      <c r="BH978" s="1137"/>
      <c r="BI978" s="1198"/>
      <c r="BJ978" s="1137"/>
      <c r="BK978" s="1137"/>
      <c r="BL978" s="1137"/>
      <c r="BM978" s="1137"/>
    </row>
    <row r="979" spans="40:65" ht="15.75" customHeight="1">
      <c r="AN979" s="418"/>
      <c r="AO979" s="418"/>
      <c r="AP979" s="418"/>
      <c r="AQ979" s="418"/>
      <c r="AR979" s="418"/>
      <c r="AS979" s="418"/>
      <c r="AT979" s="418"/>
      <c r="AU979" s="418"/>
      <c r="AV979" s="418"/>
      <c r="AW979" s="418"/>
      <c r="AX979" s="418"/>
      <c r="AY979" s="418"/>
      <c r="AZ979" s="418"/>
      <c r="BA979" s="418"/>
      <c r="BC979" s="1193"/>
      <c r="BD979" s="1137"/>
      <c r="BH979" s="1137"/>
      <c r="BI979" s="1198"/>
      <c r="BJ979" s="1137"/>
      <c r="BK979" s="1137"/>
      <c r="BL979" s="1137"/>
      <c r="BM979" s="1137"/>
    </row>
    <row r="980" spans="40:65" ht="15.75" customHeight="1">
      <c r="AN980" s="418"/>
      <c r="AO980" s="418"/>
      <c r="AP980" s="418"/>
      <c r="AQ980" s="418"/>
      <c r="AR980" s="418"/>
      <c r="AS980" s="418"/>
      <c r="AT980" s="418"/>
      <c r="AU980" s="418"/>
      <c r="AV980" s="418"/>
      <c r="AW980" s="418"/>
      <c r="AX980" s="418"/>
      <c r="AY980" s="418"/>
      <c r="AZ980" s="418"/>
      <c r="BA980" s="418"/>
      <c r="BC980" s="1193"/>
      <c r="BD980" s="1137"/>
      <c r="BH980" s="1137"/>
      <c r="BI980" s="1198"/>
      <c r="BJ980" s="1137"/>
      <c r="BK980" s="1137"/>
      <c r="BL980" s="1137"/>
      <c r="BM980" s="1137"/>
    </row>
    <row r="981" spans="40:65" ht="15.75" customHeight="1">
      <c r="AN981" s="418"/>
      <c r="AO981" s="418"/>
      <c r="AP981" s="418"/>
      <c r="AQ981" s="418"/>
      <c r="AR981" s="418"/>
      <c r="AS981" s="418"/>
      <c r="AT981" s="418"/>
      <c r="AU981" s="418"/>
      <c r="AV981" s="418"/>
      <c r="AW981" s="418"/>
      <c r="AX981" s="418"/>
      <c r="AY981" s="418"/>
      <c r="AZ981" s="418"/>
      <c r="BA981" s="418"/>
      <c r="BC981" s="1193"/>
      <c r="BD981" s="1137"/>
      <c r="BH981" s="1137"/>
      <c r="BI981" s="1198"/>
      <c r="BJ981" s="1137"/>
      <c r="BK981" s="1137"/>
      <c r="BL981" s="1137"/>
      <c r="BM981" s="1137"/>
    </row>
    <row r="982" spans="40:65" ht="15.75" customHeight="1">
      <c r="AN982" s="418"/>
      <c r="AO982" s="418"/>
      <c r="AP982" s="418"/>
      <c r="AQ982" s="418"/>
      <c r="AR982" s="418"/>
      <c r="AS982" s="418"/>
      <c r="AT982" s="418"/>
      <c r="AU982" s="418"/>
      <c r="AV982" s="418"/>
      <c r="AW982" s="418"/>
      <c r="AX982" s="418"/>
      <c r="AY982" s="418"/>
      <c r="AZ982" s="418"/>
      <c r="BA982" s="418"/>
      <c r="BC982" s="1193"/>
      <c r="BD982" s="1137"/>
      <c r="BH982" s="1137"/>
      <c r="BI982" s="1198"/>
      <c r="BJ982" s="1137"/>
      <c r="BK982" s="1137"/>
      <c r="BL982" s="1137"/>
      <c r="BM982" s="1137"/>
    </row>
    <row r="983" spans="40:65" ht="15.75" customHeight="1">
      <c r="AN983" s="418"/>
      <c r="AO983" s="418"/>
      <c r="AP983" s="418"/>
      <c r="AQ983" s="418"/>
      <c r="AR983" s="418"/>
      <c r="AS983" s="418"/>
      <c r="AT983" s="418"/>
      <c r="AU983" s="418"/>
      <c r="AV983" s="418"/>
      <c r="AW983" s="418"/>
      <c r="AX983" s="418"/>
      <c r="AY983" s="418"/>
      <c r="AZ983" s="418"/>
      <c r="BA983" s="418"/>
      <c r="BC983" s="1193"/>
      <c r="BD983" s="1137"/>
      <c r="BH983" s="1137"/>
      <c r="BI983" s="1198"/>
      <c r="BJ983" s="1137"/>
      <c r="BK983" s="1137"/>
      <c r="BL983" s="1137"/>
      <c r="BM983" s="1137"/>
    </row>
    <row r="984" spans="40:65" ht="15.75" customHeight="1">
      <c r="AN984" s="418"/>
      <c r="AO984" s="418"/>
      <c r="AP984" s="418"/>
      <c r="AQ984" s="418"/>
      <c r="AR984" s="418"/>
      <c r="AS984" s="418"/>
      <c r="AT984" s="418"/>
      <c r="AU984" s="418"/>
      <c r="AV984" s="418"/>
      <c r="AW984" s="418"/>
      <c r="AX984" s="418"/>
      <c r="AY984" s="418"/>
      <c r="AZ984" s="418"/>
      <c r="BA984" s="418"/>
      <c r="BC984" s="1193"/>
      <c r="BD984" s="1137"/>
      <c r="BH984" s="1137"/>
      <c r="BI984" s="1198"/>
      <c r="BJ984" s="1137"/>
      <c r="BK984" s="1137"/>
      <c r="BL984" s="1137"/>
      <c r="BM984" s="1137"/>
    </row>
    <row r="985" spans="40:65" ht="15.75" customHeight="1">
      <c r="AN985" s="418"/>
      <c r="AO985" s="418"/>
      <c r="AP985" s="418"/>
      <c r="AQ985" s="418"/>
      <c r="AR985" s="418"/>
      <c r="AS985" s="418"/>
      <c r="AT985" s="418"/>
      <c r="AU985" s="418"/>
      <c r="AV985" s="418"/>
      <c r="AW985" s="418"/>
      <c r="AX985" s="418"/>
      <c r="AY985" s="418"/>
      <c r="AZ985" s="418"/>
      <c r="BA985" s="418"/>
      <c r="BC985" s="1193"/>
      <c r="BD985" s="1137"/>
      <c r="BH985" s="1137"/>
      <c r="BI985" s="1198"/>
      <c r="BJ985" s="1137"/>
      <c r="BK985" s="1137"/>
      <c r="BL985" s="1137"/>
      <c r="BM985" s="1137"/>
    </row>
    <row r="986" spans="40:65" ht="15.75" customHeight="1">
      <c r="AN986" s="418"/>
      <c r="AO986" s="418"/>
      <c r="AP986" s="418"/>
      <c r="AQ986" s="418"/>
      <c r="AR986" s="418"/>
      <c r="AS986" s="418"/>
      <c r="AT986" s="418"/>
      <c r="AU986" s="418"/>
      <c r="AV986" s="418"/>
      <c r="AW986" s="418"/>
      <c r="AX986" s="418"/>
      <c r="AY986" s="418"/>
      <c r="AZ986" s="418"/>
      <c r="BA986" s="418"/>
      <c r="BC986" s="1193"/>
      <c r="BD986" s="1137"/>
      <c r="BH986" s="1137"/>
      <c r="BI986" s="1198"/>
      <c r="BJ986" s="1137"/>
      <c r="BK986" s="1137"/>
      <c r="BL986" s="1137"/>
      <c r="BM986" s="1137"/>
    </row>
    <row r="987" spans="40:65" ht="15.75" customHeight="1">
      <c r="AN987" s="418"/>
      <c r="AO987" s="418"/>
      <c r="AP987" s="418"/>
      <c r="AQ987" s="418"/>
      <c r="AR987" s="418"/>
      <c r="AS987" s="418"/>
      <c r="AT987" s="418"/>
      <c r="AU987" s="418"/>
      <c r="AV987" s="418"/>
      <c r="AW987" s="418"/>
      <c r="AX987" s="418"/>
      <c r="AY987" s="418"/>
      <c r="AZ987" s="418"/>
      <c r="BA987" s="418"/>
      <c r="BC987" s="1193"/>
      <c r="BD987" s="1137"/>
      <c r="BH987" s="1137"/>
      <c r="BI987" s="1198"/>
      <c r="BJ987" s="1137"/>
      <c r="BK987" s="1137"/>
      <c r="BL987" s="1137"/>
      <c r="BM987" s="1137"/>
    </row>
    <row r="988" spans="40:65" ht="15.75" customHeight="1">
      <c r="AN988" s="418"/>
      <c r="AO988" s="418"/>
      <c r="AP988" s="418"/>
      <c r="AQ988" s="418"/>
      <c r="AR988" s="418"/>
      <c r="AS988" s="418"/>
      <c r="AT988" s="418"/>
      <c r="AU988" s="418"/>
      <c r="AV988" s="418"/>
      <c r="AW988" s="418"/>
      <c r="AX988" s="418"/>
      <c r="AY988" s="418"/>
      <c r="AZ988" s="418"/>
      <c r="BA988" s="418"/>
      <c r="BC988" s="1193"/>
      <c r="BD988" s="1137"/>
      <c r="BH988" s="1137"/>
      <c r="BI988" s="1198"/>
      <c r="BJ988" s="1137"/>
      <c r="BK988" s="1137"/>
      <c r="BL988" s="1137"/>
      <c r="BM988" s="1137"/>
    </row>
    <row r="989" spans="40:65" ht="15.75" customHeight="1">
      <c r="AN989" s="418"/>
      <c r="AO989" s="418"/>
      <c r="AP989" s="418"/>
      <c r="AQ989" s="418"/>
      <c r="AR989" s="418"/>
      <c r="AS989" s="418"/>
      <c r="AT989" s="418"/>
      <c r="AU989" s="418"/>
      <c r="AV989" s="418"/>
      <c r="AW989" s="418"/>
      <c r="AX989" s="418"/>
      <c r="AY989" s="418"/>
      <c r="AZ989" s="418"/>
      <c r="BA989" s="418"/>
      <c r="BC989" s="1193"/>
      <c r="BD989" s="1137"/>
      <c r="BH989" s="1137"/>
      <c r="BI989" s="1198"/>
      <c r="BJ989" s="1137"/>
      <c r="BK989" s="1137"/>
      <c r="BL989" s="1137"/>
      <c r="BM989" s="1137"/>
    </row>
    <row r="990" spans="40:65" ht="15.75" customHeight="1">
      <c r="AN990" s="418"/>
      <c r="AO990" s="418"/>
      <c r="AP990" s="418"/>
      <c r="AQ990" s="418"/>
      <c r="AR990" s="418"/>
      <c r="AS990" s="418"/>
      <c r="AT990" s="418"/>
      <c r="AU990" s="418"/>
      <c r="AV990" s="418"/>
      <c r="AW990" s="418"/>
      <c r="AX990" s="418"/>
      <c r="AY990" s="418"/>
      <c r="AZ990" s="418"/>
      <c r="BA990" s="418"/>
      <c r="BC990" s="1193"/>
      <c r="BD990" s="1137"/>
      <c r="BH990" s="1137"/>
      <c r="BI990" s="1198"/>
      <c r="BJ990" s="1137"/>
      <c r="BK990" s="1137"/>
      <c r="BL990" s="1137"/>
      <c r="BM990" s="1137"/>
    </row>
    <row r="991" spans="40:65" ht="15.75" customHeight="1">
      <c r="AN991" s="418"/>
      <c r="AO991" s="418"/>
      <c r="AP991" s="418"/>
      <c r="AQ991" s="418"/>
      <c r="AR991" s="418"/>
      <c r="AS991" s="418"/>
      <c r="AT991" s="418"/>
      <c r="AU991" s="418"/>
      <c r="AV991" s="418"/>
      <c r="AW991" s="418"/>
      <c r="AX991" s="418"/>
      <c r="AY991" s="418"/>
      <c r="AZ991" s="418"/>
      <c r="BA991" s="418"/>
      <c r="BC991" s="1193"/>
      <c r="BD991" s="1137"/>
      <c r="BH991" s="1137"/>
      <c r="BI991" s="1198"/>
      <c r="BJ991" s="1137"/>
      <c r="BK991" s="1137"/>
      <c r="BL991" s="1137"/>
      <c r="BM991" s="1137"/>
    </row>
    <row r="992" spans="40:65" ht="15.75" customHeight="1">
      <c r="AN992" s="418"/>
      <c r="AO992" s="418"/>
      <c r="AP992" s="418"/>
      <c r="AQ992" s="418"/>
      <c r="AR992" s="418"/>
      <c r="AS992" s="418"/>
      <c r="AT992" s="418"/>
      <c r="AU992" s="418"/>
      <c r="AV992" s="418"/>
      <c r="AW992" s="418"/>
      <c r="AX992" s="418"/>
      <c r="AY992" s="418"/>
      <c r="AZ992" s="418"/>
      <c r="BA992" s="418"/>
      <c r="BC992" s="1193"/>
      <c r="BD992" s="1137"/>
      <c r="BH992" s="1137"/>
      <c r="BI992" s="1198"/>
      <c r="BJ992" s="1137"/>
      <c r="BK992" s="1137"/>
      <c r="BL992" s="1137"/>
      <c r="BM992" s="1137"/>
    </row>
    <row r="993" spans="40:56" ht="15.75" customHeight="1">
      <c r="AN993" s="418"/>
      <c r="AO993" s="418"/>
      <c r="AP993" s="418"/>
      <c r="AQ993" s="418"/>
      <c r="AR993" s="418"/>
      <c r="AS993" s="418"/>
      <c r="AT993" s="418"/>
      <c r="AU993" s="418"/>
      <c r="AV993" s="418"/>
      <c r="AW993" s="418"/>
      <c r="AX993" s="418"/>
      <c r="AY993" s="418"/>
      <c r="AZ993" s="418"/>
      <c r="BA993" s="418"/>
      <c r="BC993" s="1193"/>
      <c r="BD993" s="1137"/>
    </row>
    <row r="994" spans="40:56" ht="15.75" customHeight="1">
      <c r="AN994" s="418"/>
      <c r="AO994" s="418"/>
      <c r="AP994" s="418"/>
      <c r="AQ994" s="418"/>
      <c r="AR994" s="418"/>
      <c r="AS994" s="418"/>
      <c r="AT994" s="418"/>
      <c r="AU994" s="418"/>
      <c r="AV994" s="418"/>
      <c r="AW994" s="418"/>
      <c r="AX994" s="418"/>
      <c r="AY994" s="418"/>
      <c r="AZ994" s="418"/>
      <c r="BA994" s="418"/>
      <c r="BC994" s="1193"/>
      <c r="BD994" s="1137"/>
    </row>
    <row r="995" spans="40:56" ht="15.75" customHeight="1">
      <c r="AN995" s="418"/>
      <c r="AO995" s="418"/>
      <c r="AP995" s="418"/>
      <c r="AQ995" s="418"/>
      <c r="AR995" s="418"/>
      <c r="AS995" s="418"/>
      <c r="AT995" s="418"/>
      <c r="AU995" s="418"/>
      <c r="AV995" s="418"/>
      <c r="AW995" s="418"/>
      <c r="AX995" s="418"/>
      <c r="AY995" s="418"/>
      <c r="AZ995" s="418"/>
      <c r="BA995" s="418"/>
      <c r="BC995" s="1193"/>
      <c r="BD995" s="1137"/>
    </row>
    <row r="996" spans="40:56" ht="15.75" customHeight="1">
      <c r="AN996" s="418"/>
      <c r="AO996" s="418"/>
      <c r="AP996" s="418"/>
      <c r="AQ996" s="418"/>
      <c r="AR996" s="418"/>
      <c r="AS996" s="418"/>
      <c r="AT996" s="418"/>
      <c r="AU996" s="418"/>
      <c r="AV996" s="418"/>
      <c r="AW996" s="418"/>
      <c r="AX996" s="418"/>
      <c r="AY996" s="418"/>
      <c r="AZ996" s="418"/>
      <c r="BA996" s="418"/>
      <c r="BC996" s="1193"/>
      <c r="BD996" s="1137"/>
    </row>
    <row r="997" spans="40:56" ht="15.75" customHeight="1">
      <c r="AN997" s="418"/>
      <c r="AO997" s="418"/>
      <c r="AP997" s="418"/>
      <c r="AQ997" s="418"/>
      <c r="AR997" s="418"/>
      <c r="AS997" s="418"/>
      <c r="AT997" s="418"/>
      <c r="AU997" s="418"/>
      <c r="AV997" s="418"/>
      <c r="AW997" s="418"/>
      <c r="AX997" s="418"/>
      <c r="AY997" s="418"/>
      <c r="AZ997" s="418"/>
      <c r="BA997" s="418"/>
      <c r="BC997" s="1193"/>
      <c r="BD997" s="1137"/>
    </row>
    <row r="998" spans="40:56" ht="15.75" customHeight="1">
      <c r="AN998" s="418"/>
      <c r="AO998" s="418"/>
      <c r="AP998" s="418"/>
      <c r="AQ998" s="418"/>
      <c r="AR998" s="418"/>
      <c r="AS998" s="418"/>
      <c r="AT998" s="418"/>
      <c r="AU998" s="418"/>
      <c r="AV998" s="418"/>
      <c r="AW998" s="418"/>
      <c r="AX998" s="418"/>
      <c r="AY998" s="418"/>
      <c r="AZ998" s="418"/>
      <c r="BA998" s="418"/>
      <c r="BC998" s="1193"/>
      <c r="BD998" s="1137"/>
    </row>
    <row r="999" spans="40:56" ht="15.75" customHeight="1">
      <c r="AN999" s="418"/>
      <c r="AO999" s="418"/>
      <c r="AP999" s="418"/>
      <c r="AQ999" s="418"/>
      <c r="AR999" s="418"/>
      <c r="AS999" s="418"/>
      <c r="AT999" s="418"/>
      <c r="AU999" s="418"/>
      <c r="AV999" s="418"/>
      <c r="AW999" s="418"/>
      <c r="AX999" s="418"/>
      <c r="AY999" s="418"/>
      <c r="AZ999" s="418"/>
      <c r="BA999" s="418"/>
      <c r="BC999" s="1193"/>
      <c r="BD999" s="1137"/>
    </row>
    <row r="1000" spans="40:56" ht="15.75" customHeight="1">
      <c r="AN1000" s="418"/>
      <c r="AO1000" s="418"/>
      <c r="AP1000" s="418"/>
      <c r="AQ1000" s="418"/>
      <c r="AR1000" s="418"/>
      <c r="AS1000" s="418"/>
      <c r="AT1000" s="418"/>
      <c r="AU1000" s="418"/>
      <c r="AV1000" s="418"/>
      <c r="AW1000" s="418"/>
      <c r="AX1000" s="418"/>
      <c r="AY1000" s="418"/>
      <c r="AZ1000" s="418"/>
      <c r="BA1000" s="418"/>
      <c r="BC1000" s="1193"/>
      <c r="BD1000" s="1137"/>
    </row>
    <row r="1001" spans="40:56" ht="15.75" customHeight="1">
      <c r="AN1001" s="418"/>
      <c r="AO1001" s="418"/>
      <c r="AP1001" s="418"/>
      <c r="AQ1001" s="418"/>
      <c r="AR1001" s="418"/>
      <c r="AS1001" s="418"/>
      <c r="AT1001" s="418"/>
      <c r="AU1001" s="418"/>
      <c r="AV1001" s="418"/>
      <c r="AW1001" s="418"/>
      <c r="AX1001" s="418"/>
      <c r="AY1001" s="418"/>
      <c r="AZ1001" s="418"/>
      <c r="BA1001" s="418"/>
      <c r="BC1001" s="1193"/>
      <c r="BD1001" s="1137"/>
    </row>
    <row r="1002" spans="40:56" ht="15.75" customHeight="1">
      <c r="AN1002" s="418"/>
      <c r="AO1002" s="418"/>
      <c r="AP1002" s="418"/>
      <c r="AQ1002" s="418"/>
      <c r="AR1002" s="418"/>
      <c r="AS1002" s="418"/>
      <c r="AT1002" s="418"/>
      <c r="AU1002" s="418"/>
      <c r="AV1002" s="418"/>
      <c r="AW1002" s="418"/>
      <c r="AX1002" s="418"/>
      <c r="AY1002" s="418"/>
      <c r="AZ1002" s="418"/>
      <c r="BA1002" s="418"/>
      <c r="BC1002" s="1193"/>
      <c r="BD1002" s="1137"/>
    </row>
    <row r="1003" spans="40:56" ht="15.75" customHeight="1">
      <c r="AN1003" s="418"/>
      <c r="AO1003" s="418"/>
      <c r="AP1003" s="418"/>
      <c r="AQ1003" s="418"/>
      <c r="AR1003" s="418"/>
      <c r="AS1003" s="418"/>
      <c r="AT1003" s="418"/>
      <c r="AU1003" s="418"/>
      <c r="AV1003" s="418"/>
      <c r="AW1003" s="418"/>
      <c r="AX1003" s="418"/>
      <c r="AY1003" s="418"/>
      <c r="AZ1003" s="418"/>
      <c r="BA1003" s="418"/>
      <c r="BC1003" s="1193"/>
      <c r="BD1003" s="1137"/>
    </row>
    <row r="1004" spans="40:56" ht="15.75" customHeight="1">
      <c r="AN1004" s="418"/>
      <c r="AO1004" s="418"/>
      <c r="AP1004" s="418"/>
      <c r="AQ1004" s="418"/>
      <c r="AR1004" s="418"/>
      <c r="AS1004" s="418"/>
      <c r="AT1004" s="418"/>
      <c r="AU1004" s="418"/>
      <c r="AV1004" s="418"/>
      <c r="AW1004" s="418"/>
      <c r="AX1004" s="418"/>
      <c r="AY1004" s="418"/>
      <c r="AZ1004" s="418"/>
      <c r="BA1004" s="418"/>
    </row>
    <row r="1005" spans="40:56" ht="15.75" customHeight="1">
      <c r="AN1005" s="418"/>
      <c r="AO1005" s="418"/>
      <c r="AP1005" s="418"/>
      <c r="AQ1005" s="418"/>
      <c r="AR1005" s="418"/>
      <c r="AS1005" s="418"/>
      <c r="AT1005" s="418"/>
      <c r="AU1005" s="418"/>
      <c r="AV1005" s="418"/>
      <c r="AW1005" s="418"/>
      <c r="AX1005" s="418"/>
      <c r="AY1005" s="418"/>
      <c r="AZ1005" s="418"/>
      <c r="BA1005" s="418"/>
    </row>
    <row r="1006" spans="40:56" ht="15.75" customHeight="1">
      <c r="AN1006" s="418"/>
      <c r="AO1006" s="418"/>
      <c r="AP1006" s="418"/>
      <c r="AQ1006" s="418"/>
      <c r="AR1006" s="418"/>
      <c r="AS1006" s="418"/>
      <c r="AT1006" s="418"/>
      <c r="AU1006" s="418"/>
      <c r="AV1006" s="418"/>
      <c r="AW1006" s="418"/>
      <c r="AX1006" s="418"/>
      <c r="AY1006" s="418"/>
      <c r="AZ1006" s="418"/>
      <c r="BA1006" s="418"/>
    </row>
    <row r="1007" spans="40:56" ht="15.75" customHeight="1">
      <c r="AN1007" s="418"/>
      <c r="AO1007" s="418"/>
      <c r="AP1007" s="418"/>
      <c r="AQ1007" s="418"/>
      <c r="AR1007" s="418"/>
      <c r="AS1007" s="418"/>
      <c r="AT1007" s="418"/>
      <c r="AU1007" s="418"/>
      <c r="AV1007" s="418"/>
      <c r="AW1007" s="418"/>
      <c r="AX1007" s="418"/>
      <c r="AY1007" s="418"/>
      <c r="AZ1007" s="418"/>
      <c r="BA1007" s="418"/>
    </row>
    <row r="1008" spans="40:56" ht="15.75" customHeight="1">
      <c r="AN1008" s="418"/>
      <c r="AO1008" s="418"/>
      <c r="AP1008" s="418"/>
      <c r="AQ1008" s="418"/>
      <c r="AR1008" s="418"/>
      <c r="AS1008" s="418"/>
      <c r="AT1008" s="418"/>
      <c r="AU1008" s="418"/>
      <c r="AV1008" s="418"/>
      <c r="AW1008" s="418"/>
      <c r="AX1008" s="418"/>
      <c r="AY1008" s="418"/>
      <c r="AZ1008" s="418"/>
      <c r="BA1008" s="418"/>
    </row>
    <row r="1009" spans="40:53" ht="15.75" customHeight="1">
      <c r="AN1009" s="418"/>
      <c r="AO1009" s="418"/>
      <c r="AP1009" s="418"/>
      <c r="AQ1009" s="418"/>
      <c r="AR1009" s="418"/>
      <c r="AS1009" s="418"/>
      <c r="AT1009" s="418"/>
      <c r="AU1009" s="418"/>
      <c r="AV1009" s="418"/>
      <c r="AW1009" s="418"/>
      <c r="AX1009" s="418"/>
      <c r="AY1009" s="418"/>
      <c r="AZ1009" s="418"/>
      <c r="BA1009" s="418"/>
    </row>
    <row r="1010" spans="40:53" ht="15.75" customHeight="1">
      <c r="AN1010" s="418"/>
      <c r="AO1010" s="418"/>
      <c r="AP1010" s="418"/>
      <c r="AQ1010" s="418"/>
      <c r="AR1010" s="418"/>
      <c r="AS1010" s="418"/>
      <c r="AT1010" s="418"/>
      <c r="AU1010" s="418"/>
      <c r="AV1010" s="418"/>
      <c r="AW1010" s="418"/>
      <c r="AX1010" s="418"/>
      <c r="AY1010" s="418"/>
      <c r="AZ1010" s="418"/>
      <c r="BA1010" s="418"/>
    </row>
    <row r="1011" spans="40:53" ht="15.75" customHeight="1">
      <c r="AN1011" s="418"/>
      <c r="AO1011" s="418"/>
      <c r="AP1011" s="418"/>
      <c r="AQ1011" s="418"/>
      <c r="AR1011" s="418"/>
      <c r="AS1011" s="418"/>
      <c r="AT1011" s="418"/>
      <c r="AU1011" s="418"/>
      <c r="AV1011" s="418"/>
      <c r="AW1011" s="418"/>
      <c r="AX1011" s="418"/>
      <c r="AY1011" s="418"/>
      <c r="AZ1011" s="418"/>
      <c r="BA1011" s="418"/>
    </row>
    <row r="1012" spans="40:53" ht="15.75" customHeight="1">
      <c r="AN1012" s="418"/>
      <c r="AO1012" s="418"/>
      <c r="AP1012" s="418"/>
      <c r="AQ1012" s="418"/>
      <c r="AR1012" s="418"/>
      <c r="AS1012" s="418"/>
      <c r="AT1012" s="418"/>
      <c r="AU1012" s="418"/>
      <c r="AV1012" s="418"/>
      <c r="AW1012" s="418"/>
      <c r="AX1012" s="418"/>
      <c r="AY1012" s="418"/>
      <c r="AZ1012" s="418"/>
      <c r="BA1012" s="418"/>
    </row>
    <row r="1013" spans="40:53" ht="15.75" customHeight="1">
      <c r="AN1013" s="418"/>
      <c r="AO1013" s="418"/>
      <c r="AP1013" s="418"/>
      <c r="AQ1013" s="418"/>
      <c r="AR1013" s="418"/>
      <c r="AS1013" s="418"/>
      <c r="AT1013" s="418"/>
      <c r="AU1013" s="418"/>
      <c r="AV1013" s="418"/>
      <c r="AW1013" s="418"/>
      <c r="AX1013" s="418"/>
      <c r="AY1013" s="418"/>
      <c r="AZ1013" s="418"/>
      <c r="BA1013" s="418"/>
    </row>
    <row r="1014" spans="40:53" ht="15.75" customHeight="1">
      <c r="AN1014" s="418"/>
      <c r="AO1014" s="418"/>
      <c r="AP1014" s="418"/>
      <c r="AQ1014" s="418"/>
      <c r="AR1014" s="418"/>
      <c r="AS1014" s="418"/>
      <c r="AT1014" s="418"/>
      <c r="AU1014" s="418"/>
      <c r="AV1014" s="418"/>
      <c r="AW1014" s="418"/>
      <c r="AX1014" s="418"/>
      <c r="AY1014" s="418"/>
      <c r="AZ1014" s="418"/>
      <c r="BA1014" s="418"/>
    </row>
    <row r="1015" spans="40:53" ht="15.75" customHeight="1">
      <c r="AN1015" s="418"/>
      <c r="AO1015" s="418"/>
      <c r="AP1015" s="418"/>
      <c r="AQ1015" s="418"/>
      <c r="AR1015" s="418"/>
      <c r="AS1015" s="418"/>
      <c r="AT1015" s="418"/>
      <c r="AU1015" s="418"/>
      <c r="AV1015" s="418"/>
      <c r="AW1015" s="418"/>
      <c r="AX1015" s="418"/>
      <c r="AY1015" s="418"/>
      <c r="AZ1015" s="418"/>
      <c r="BA1015" s="418"/>
    </row>
    <row r="1016" spans="40:53" ht="15.75" customHeight="1">
      <c r="AN1016" s="418"/>
      <c r="AO1016" s="418"/>
      <c r="AP1016" s="418"/>
      <c r="AQ1016" s="418"/>
      <c r="AR1016" s="418"/>
      <c r="AS1016" s="418"/>
      <c r="AT1016" s="418"/>
      <c r="AU1016" s="418"/>
      <c r="AV1016" s="418"/>
      <c r="AW1016" s="418"/>
      <c r="AX1016" s="418"/>
      <c r="AY1016" s="418"/>
      <c r="AZ1016" s="418"/>
      <c r="BA1016" s="418"/>
    </row>
    <row r="1017" spans="40:53" ht="15.75" customHeight="1">
      <c r="AN1017" s="418"/>
      <c r="AO1017" s="418"/>
      <c r="AP1017" s="418"/>
      <c r="AQ1017" s="418"/>
      <c r="AR1017" s="418"/>
      <c r="AS1017" s="418"/>
      <c r="AT1017" s="418"/>
      <c r="AU1017" s="418"/>
      <c r="AV1017" s="418"/>
      <c r="AW1017" s="418"/>
      <c r="AX1017" s="418"/>
      <c r="AY1017" s="418"/>
      <c r="AZ1017" s="418"/>
      <c r="BA1017" s="418"/>
    </row>
    <row r="1018" spans="40:53" ht="15.75" customHeight="1">
      <c r="AN1018" s="418"/>
      <c r="AO1018" s="418"/>
      <c r="AP1018" s="418"/>
      <c r="AQ1018" s="418"/>
      <c r="AR1018" s="418"/>
      <c r="AS1018" s="418"/>
      <c r="AT1018" s="418"/>
      <c r="AU1018" s="418"/>
      <c r="AV1018" s="418"/>
      <c r="AW1018" s="418"/>
      <c r="AX1018" s="418"/>
      <c r="AY1018" s="418"/>
      <c r="AZ1018" s="418"/>
      <c r="BA1018" s="418"/>
    </row>
    <row r="1019" spans="40:53" ht="15.75" customHeight="1">
      <c r="AN1019" s="418"/>
      <c r="AO1019" s="418"/>
      <c r="AP1019" s="418"/>
      <c r="AQ1019" s="418"/>
      <c r="AR1019" s="418"/>
      <c r="AS1019" s="418"/>
      <c r="AT1019" s="418"/>
      <c r="AU1019" s="418"/>
      <c r="AV1019" s="418"/>
      <c r="AW1019" s="418"/>
      <c r="AX1019" s="418"/>
      <c r="AY1019" s="418"/>
      <c r="AZ1019" s="418"/>
      <c r="BA1019" s="418"/>
    </row>
    <row r="1020" spans="40:53" ht="15.75" customHeight="1">
      <c r="AN1020" s="418"/>
      <c r="AO1020" s="418"/>
      <c r="AP1020" s="418"/>
      <c r="AQ1020" s="418"/>
      <c r="AR1020" s="418"/>
      <c r="AS1020" s="418"/>
      <c r="AT1020" s="418"/>
      <c r="AU1020" s="418"/>
      <c r="AV1020" s="418"/>
      <c r="AW1020" s="418"/>
      <c r="AX1020" s="418"/>
      <c r="AY1020" s="418"/>
      <c r="AZ1020" s="418"/>
      <c r="BA1020" s="418"/>
    </row>
    <row r="1021" spans="40:53" ht="15.75" customHeight="1">
      <c r="AN1021" s="418"/>
      <c r="AO1021" s="418"/>
      <c r="AP1021" s="418"/>
      <c r="AQ1021" s="418"/>
      <c r="AR1021" s="418"/>
      <c r="AS1021" s="418"/>
      <c r="AT1021" s="418"/>
      <c r="AU1021" s="418"/>
      <c r="AV1021" s="418"/>
      <c r="AW1021" s="418"/>
      <c r="AX1021" s="418"/>
      <c r="AY1021" s="418"/>
      <c r="AZ1021" s="418"/>
      <c r="BA1021" s="418"/>
    </row>
    <row r="1022" spans="40:53" ht="15.75" customHeight="1">
      <c r="AN1022" s="418"/>
      <c r="AO1022" s="418"/>
      <c r="AP1022" s="418"/>
      <c r="AQ1022" s="418"/>
      <c r="AR1022" s="418"/>
      <c r="AS1022" s="418"/>
      <c r="AT1022" s="418"/>
      <c r="AU1022" s="418"/>
      <c r="AV1022" s="418"/>
      <c r="AW1022" s="418"/>
      <c r="AX1022" s="418"/>
      <c r="AY1022" s="418"/>
      <c r="AZ1022" s="418"/>
      <c r="BA1022" s="418"/>
    </row>
    <row r="1023" spans="40:53" ht="15.75" customHeight="1">
      <c r="AN1023" s="418"/>
      <c r="AO1023" s="418"/>
      <c r="AP1023" s="418"/>
      <c r="AQ1023" s="418"/>
      <c r="AR1023" s="418"/>
      <c r="AS1023" s="418"/>
      <c r="AT1023" s="418"/>
      <c r="AU1023" s="418"/>
      <c r="AV1023" s="418"/>
      <c r="AW1023" s="418"/>
      <c r="AX1023" s="418"/>
      <c r="AY1023" s="418"/>
      <c r="AZ1023" s="418"/>
      <c r="BA1023" s="418"/>
    </row>
    <row r="1024" spans="40:53" ht="15.75" customHeight="1">
      <c r="AN1024" s="418"/>
      <c r="AO1024" s="418"/>
      <c r="AP1024" s="418"/>
      <c r="AQ1024" s="418"/>
      <c r="AR1024" s="418"/>
      <c r="AS1024" s="418"/>
      <c r="AT1024" s="418"/>
      <c r="AU1024" s="418"/>
      <c r="AV1024" s="418"/>
      <c r="AW1024" s="418"/>
      <c r="AX1024" s="418"/>
      <c r="AY1024" s="418"/>
      <c r="AZ1024" s="418"/>
      <c r="BA1024" s="418"/>
    </row>
    <row r="1025" spans="40:53" ht="15.75" customHeight="1">
      <c r="AN1025" s="418"/>
      <c r="AO1025" s="418"/>
      <c r="AP1025" s="418"/>
      <c r="AQ1025" s="418"/>
      <c r="AR1025" s="418"/>
      <c r="AS1025" s="418"/>
      <c r="AT1025" s="418"/>
      <c r="AU1025" s="418"/>
      <c r="AV1025" s="418"/>
      <c r="AW1025" s="418"/>
      <c r="AX1025" s="418"/>
      <c r="AY1025" s="418"/>
      <c r="AZ1025" s="418"/>
      <c r="BA1025" s="418"/>
    </row>
    <row r="1026" spans="40:53" ht="15.75" customHeight="1">
      <c r="AN1026" s="418"/>
      <c r="AO1026" s="418"/>
      <c r="AP1026" s="418"/>
      <c r="AQ1026" s="418"/>
      <c r="AR1026" s="418"/>
      <c r="AS1026" s="418"/>
      <c r="AT1026" s="418"/>
      <c r="AU1026" s="418"/>
      <c r="AV1026" s="418"/>
      <c r="AW1026" s="418"/>
      <c r="AX1026" s="418"/>
      <c r="AY1026" s="418"/>
      <c r="AZ1026" s="418"/>
      <c r="BA1026" s="418"/>
    </row>
    <row r="1027" spans="40:53" ht="15.75" customHeight="1">
      <c r="AN1027" s="418"/>
      <c r="AO1027" s="418"/>
      <c r="AP1027" s="418"/>
      <c r="AQ1027" s="418"/>
      <c r="AR1027" s="418"/>
      <c r="AS1027" s="418"/>
      <c r="AT1027" s="418"/>
      <c r="AU1027" s="418"/>
      <c r="AV1027" s="418"/>
      <c r="AW1027" s="418"/>
      <c r="AX1027" s="418"/>
      <c r="AY1027" s="418"/>
      <c r="AZ1027" s="418"/>
      <c r="BA1027" s="418"/>
    </row>
    <row r="1028" spans="40:53" ht="15.75" customHeight="1">
      <c r="AN1028" s="418"/>
      <c r="AO1028" s="418"/>
      <c r="AP1028" s="418"/>
      <c r="AQ1028" s="418"/>
      <c r="AR1028" s="418"/>
      <c r="AS1028" s="418"/>
      <c r="AT1028" s="418"/>
      <c r="AU1028" s="418"/>
      <c r="AV1028" s="418"/>
      <c r="AW1028" s="418"/>
      <c r="AX1028" s="418"/>
      <c r="AY1028" s="418"/>
      <c r="AZ1028" s="418"/>
      <c r="BA1028" s="418"/>
    </row>
    <row r="1029" spans="40:53" ht="15.75" customHeight="1">
      <c r="AN1029" s="418"/>
      <c r="AO1029" s="418"/>
      <c r="AP1029" s="418"/>
      <c r="AQ1029" s="418"/>
      <c r="AR1029" s="418"/>
      <c r="AS1029" s="418"/>
      <c r="AT1029" s="418"/>
      <c r="AU1029" s="418"/>
      <c r="AV1029" s="418"/>
      <c r="AW1029" s="418"/>
      <c r="AX1029" s="418"/>
      <c r="AY1029" s="418"/>
      <c r="AZ1029" s="418"/>
      <c r="BA1029" s="418"/>
    </row>
    <row r="1030" spans="40:53" ht="15.75" customHeight="1">
      <c r="AN1030" s="418"/>
      <c r="AO1030" s="418"/>
      <c r="AP1030" s="418"/>
      <c r="AQ1030" s="418"/>
      <c r="AR1030" s="418"/>
      <c r="AS1030" s="418"/>
      <c r="AT1030" s="418"/>
      <c r="AU1030" s="418"/>
      <c r="AV1030" s="418"/>
      <c r="AW1030" s="418"/>
      <c r="AX1030" s="418"/>
      <c r="AY1030" s="418"/>
      <c r="AZ1030" s="418"/>
      <c r="BA1030" s="418"/>
    </row>
    <row r="1031" spans="40:53" ht="15.75" customHeight="1">
      <c r="AN1031" s="418"/>
      <c r="AO1031" s="418"/>
      <c r="AP1031" s="418"/>
      <c r="AQ1031" s="418"/>
      <c r="AR1031" s="418"/>
      <c r="AS1031" s="418"/>
      <c r="AT1031" s="418"/>
      <c r="AU1031" s="418"/>
      <c r="AV1031" s="418"/>
      <c r="AW1031" s="418"/>
      <c r="AX1031" s="418"/>
      <c r="AY1031" s="418"/>
      <c r="AZ1031" s="418"/>
      <c r="BA1031" s="418"/>
    </row>
    <row r="1032" spans="40:53" ht="15.75" customHeight="1">
      <c r="AN1032" s="418"/>
      <c r="AO1032" s="418"/>
      <c r="AP1032" s="418"/>
      <c r="AQ1032" s="418"/>
      <c r="AR1032" s="418"/>
      <c r="AS1032" s="418"/>
      <c r="AT1032" s="418"/>
      <c r="AU1032" s="418"/>
      <c r="AV1032" s="418"/>
      <c r="AW1032" s="418"/>
      <c r="AX1032" s="418"/>
      <c r="AY1032" s="418"/>
      <c r="AZ1032" s="418"/>
      <c r="BA1032" s="418"/>
    </row>
    <row r="1033" spans="40:53" ht="15.75" customHeight="1">
      <c r="AN1033" s="418"/>
      <c r="AO1033" s="418"/>
      <c r="AP1033" s="418"/>
      <c r="AQ1033" s="418"/>
      <c r="AR1033" s="418"/>
      <c r="AS1033" s="418"/>
      <c r="AT1033" s="418"/>
      <c r="AU1033" s="418"/>
      <c r="AV1033" s="418"/>
      <c r="AW1033" s="418"/>
      <c r="AX1033" s="418"/>
      <c r="AY1033" s="418"/>
      <c r="AZ1033" s="418"/>
      <c r="BA1033" s="418"/>
    </row>
    <row r="1034" spans="40:53" ht="15.75" customHeight="1">
      <c r="AN1034" s="418"/>
      <c r="AO1034" s="418"/>
      <c r="AP1034" s="418"/>
      <c r="AQ1034" s="418"/>
      <c r="AR1034" s="418"/>
      <c r="AS1034" s="418"/>
      <c r="AT1034" s="418"/>
      <c r="AU1034" s="418"/>
      <c r="AV1034" s="418"/>
      <c r="AW1034" s="418"/>
      <c r="AX1034" s="418"/>
      <c r="AY1034" s="418"/>
      <c r="AZ1034" s="418"/>
      <c r="BA1034" s="418"/>
    </row>
    <row r="1035" spans="40:53" ht="15.75" customHeight="1">
      <c r="AN1035" s="418"/>
      <c r="AO1035" s="418"/>
      <c r="AP1035" s="418"/>
      <c r="AQ1035" s="418"/>
      <c r="AR1035" s="418"/>
      <c r="AS1035" s="418"/>
      <c r="AT1035" s="418"/>
      <c r="AU1035" s="418"/>
      <c r="AV1035" s="418"/>
      <c r="AW1035" s="418"/>
      <c r="AX1035" s="418"/>
      <c r="AY1035" s="418"/>
      <c r="AZ1035" s="418"/>
      <c r="BA1035" s="418"/>
    </row>
    <row r="1036" spans="40:53" ht="15.75" customHeight="1">
      <c r="AN1036" s="418"/>
      <c r="AO1036" s="418"/>
      <c r="AP1036" s="418"/>
      <c r="AQ1036" s="418"/>
      <c r="AR1036" s="418"/>
      <c r="AS1036" s="418"/>
      <c r="AT1036" s="418"/>
      <c r="AU1036" s="418"/>
      <c r="AV1036" s="418"/>
      <c r="AW1036" s="418"/>
      <c r="AX1036" s="418"/>
      <c r="AY1036" s="418"/>
      <c r="AZ1036" s="418"/>
      <c r="BA1036" s="418"/>
    </row>
    <row r="1037" spans="40:53" ht="15.75" customHeight="1">
      <c r="AN1037" s="418"/>
      <c r="AO1037" s="418"/>
      <c r="AP1037" s="418"/>
      <c r="AQ1037" s="418"/>
      <c r="AR1037" s="418"/>
      <c r="AS1037" s="418"/>
      <c r="AT1037" s="418"/>
      <c r="AU1037" s="418"/>
      <c r="AV1037" s="418"/>
      <c r="AW1037" s="418"/>
      <c r="AX1037" s="418"/>
      <c r="AY1037" s="418"/>
      <c r="AZ1037" s="418"/>
      <c r="BA1037" s="418"/>
    </row>
    <row r="1038" spans="40:53" ht="15.75" customHeight="1">
      <c r="AN1038" s="418"/>
      <c r="AO1038" s="418"/>
      <c r="AP1038" s="418"/>
      <c r="AQ1038" s="418"/>
      <c r="AR1038" s="418"/>
      <c r="AS1038" s="418"/>
      <c r="AT1038" s="418"/>
      <c r="AU1038" s="418"/>
      <c r="AV1038" s="418"/>
      <c r="AW1038" s="418"/>
      <c r="AX1038" s="418"/>
      <c r="AY1038" s="418"/>
      <c r="AZ1038" s="418"/>
      <c r="BA1038" s="418"/>
    </row>
    <row r="1039" spans="40:53" ht="15.75" customHeight="1">
      <c r="AN1039" s="418"/>
      <c r="AO1039" s="418"/>
      <c r="AP1039" s="418"/>
      <c r="AQ1039" s="418"/>
      <c r="AR1039" s="418"/>
      <c r="AS1039" s="418"/>
      <c r="AT1039" s="418"/>
      <c r="AU1039" s="418"/>
      <c r="AV1039" s="418"/>
      <c r="AW1039" s="418"/>
      <c r="AX1039" s="418"/>
      <c r="AY1039" s="418"/>
      <c r="AZ1039" s="418"/>
      <c r="BA1039" s="418"/>
    </row>
    <row r="1040" spans="40:53" ht="15.75" customHeight="1">
      <c r="AN1040" s="418"/>
      <c r="AO1040" s="418"/>
      <c r="AP1040" s="418"/>
      <c r="AQ1040" s="418"/>
      <c r="AR1040" s="418"/>
      <c r="AS1040" s="418"/>
      <c r="AT1040" s="418"/>
      <c r="AU1040" s="418"/>
      <c r="AV1040" s="418"/>
      <c r="AW1040" s="418"/>
      <c r="AX1040" s="418"/>
      <c r="AY1040" s="418"/>
      <c r="AZ1040" s="418"/>
      <c r="BA1040" s="418"/>
    </row>
    <row r="1041" spans="40:53" ht="15.75" customHeight="1">
      <c r="AN1041" s="418"/>
      <c r="AO1041" s="418"/>
      <c r="AP1041" s="418"/>
      <c r="AQ1041" s="418"/>
      <c r="AR1041" s="418"/>
      <c r="AS1041" s="418"/>
      <c r="AT1041" s="418"/>
      <c r="AU1041" s="418"/>
      <c r="AV1041" s="418"/>
      <c r="AW1041" s="418"/>
      <c r="AX1041" s="418"/>
      <c r="AY1041" s="418"/>
      <c r="AZ1041" s="418"/>
      <c r="BA1041" s="418"/>
    </row>
    <row r="1042" spans="40:53" ht="15.75" customHeight="1">
      <c r="AN1042" s="418"/>
      <c r="AO1042" s="418"/>
      <c r="AP1042" s="418"/>
      <c r="AQ1042" s="418"/>
      <c r="AR1042" s="418"/>
      <c r="AS1042" s="418"/>
      <c r="AT1042" s="418"/>
      <c r="AU1042" s="418"/>
      <c r="AV1042" s="418"/>
      <c r="AW1042" s="418"/>
      <c r="AX1042" s="418"/>
      <c r="AY1042" s="418"/>
      <c r="AZ1042" s="418"/>
      <c r="BA1042" s="418"/>
    </row>
    <row r="1043" spans="40:53" ht="15.75" customHeight="1">
      <c r="AN1043" s="418"/>
      <c r="AO1043" s="418"/>
      <c r="AP1043" s="418"/>
      <c r="AQ1043" s="418"/>
      <c r="AR1043" s="418"/>
      <c r="AS1043" s="418"/>
      <c r="AT1043" s="418"/>
      <c r="AU1043" s="418"/>
      <c r="AV1043" s="418"/>
      <c r="AW1043" s="418"/>
      <c r="AX1043" s="418"/>
      <c r="AY1043" s="418"/>
      <c r="AZ1043" s="418"/>
      <c r="BA1043" s="418"/>
    </row>
    <row r="1044" spans="40:53" ht="15.75" customHeight="1">
      <c r="AN1044" s="418"/>
      <c r="AO1044" s="418"/>
      <c r="AP1044" s="418"/>
      <c r="AQ1044" s="418"/>
      <c r="AR1044" s="418"/>
      <c r="AS1044" s="418"/>
      <c r="AT1044" s="418"/>
      <c r="AU1044" s="418"/>
      <c r="AV1044" s="418"/>
      <c r="AW1044" s="418"/>
      <c r="AX1044" s="418"/>
      <c r="AY1044" s="418"/>
      <c r="AZ1044" s="418"/>
      <c r="BA1044" s="418"/>
    </row>
    <row r="1045" spans="40:53" ht="15.75" customHeight="1">
      <c r="AN1045" s="418"/>
      <c r="AO1045" s="418"/>
      <c r="AP1045" s="418"/>
      <c r="AQ1045" s="418"/>
      <c r="AR1045" s="418"/>
      <c r="AS1045" s="418"/>
      <c r="AT1045" s="418"/>
      <c r="AU1045" s="418"/>
      <c r="AV1045" s="418"/>
      <c r="AW1045" s="418"/>
      <c r="AX1045" s="418"/>
      <c r="AY1045" s="418"/>
      <c r="AZ1045" s="418"/>
      <c r="BA1045" s="418"/>
    </row>
    <row r="1046" spans="40:53" ht="15.75" customHeight="1">
      <c r="AN1046" s="418"/>
      <c r="AO1046" s="418"/>
      <c r="AP1046" s="418"/>
      <c r="AQ1046" s="418"/>
      <c r="AR1046" s="418"/>
      <c r="AS1046" s="418"/>
      <c r="AT1046" s="418"/>
      <c r="AU1046" s="418"/>
      <c r="AV1046" s="418"/>
      <c r="AW1046" s="418"/>
      <c r="AX1046" s="418"/>
      <c r="AY1046" s="418"/>
      <c r="AZ1046" s="418"/>
      <c r="BA1046" s="418"/>
    </row>
    <row r="1047" spans="40:53" ht="15.75" customHeight="1">
      <c r="AN1047" s="418"/>
      <c r="AO1047" s="418"/>
      <c r="AP1047" s="418"/>
      <c r="AQ1047" s="418"/>
      <c r="AR1047" s="418"/>
      <c r="AS1047" s="418"/>
      <c r="AT1047" s="418"/>
      <c r="AU1047" s="418"/>
      <c r="AV1047" s="418"/>
      <c r="AW1047" s="418"/>
      <c r="AX1047" s="418"/>
      <c r="AY1047" s="418"/>
      <c r="AZ1047" s="418"/>
      <c r="BA1047" s="418"/>
    </row>
    <row r="1048" spans="40:53" ht="15.75" customHeight="1">
      <c r="AN1048" s="418"/>
      <c r="AO1048" s="418"/>
      <c r="AP1048" s="418"/>
      <c r="AQ1048" s="418"/>
      <c r="AR1048" s="418"/>
      <c r="AS1048" s="418"/>
      <c r="AT1048" s="418"/>
      <c r="AU1048" s="418"/>
      <c r="AV1048" s="418"/>
      <c r="AW1048" s="418"/>
      <c r="AX1048" s="418"/>
      <c r="AY1048" s="418"/>
      <c r="AZ1048" s="418"/>
      <c r="BA1048" s="418"/>
    </row>
    <row r="1049" spans="40:53" ht="15.75" customHeight="1">
      <c r="AN1049" s="418"/>
      <c r="AO1049" s="418"/>
      <c r="AP1049" s="418"/>
      <c r="AQ1049" s="418"/>
      <c r="AR1049" s="418"/>
      <c r="AS1049" s="418"/>
      <c r="AT1049" s="418"/>
      <c r="AU1049" s="418"/>
      <c r="AV1049" s="418"/>
      <c r="AW1049" s="418"/>
      <c r="AX1049" s="418"/>
      <c r="AY1049" s="418"/>
      <c r="AZ1049" s="418"/>
      <c r="BA1049" s="418"/>
    </row>
    <row r="1050" spans="40:53" ht="15.75" customHeight="1">
      <c r="AN1050" s="418"/>
      <c r="AO1050" s="418"/>
      <c r="AP1050" s="418"/>
      <c r="AQ1050" s="418"/>
      <c r="AR1050" s="418"/>
      <c r="AS1050" s="418"/>
      <c r="AT1050" s="418"/>
      <c r="AU1050" s="418"/>
      <c r="AV1050" s="418"/>
      <c r="AW1050" s="418"/>
      <c r="AX1050" s="418"/>
      <c r="AY1050" s="418"/>
      <c r="AZ1050" s="418"/>
      <c r="BA1050" s="418"/>
    </row>
    <row r="1051" spans="40:53" ht="15.75" customHeight="1">
      <c r="AN1051" s="418"/>
      <c r="AO1051" s="418"/>
      <c r="AP1051" s="418"/>
      <c r="AQ1051" s="418"/>
      <c r="AR1051" s="418"/>
      <c r="AS1051" s="418"/>
      <c r="AT1051" s="418"/>
      <c r="AU1051" s="418"/>
      <c r="AV1051" s="418"/>
      <c r="AW1051" s="418"/>
      <c r="AX1051" s="418"/>
      <c r="AY1051" s="418"/>
      <c r="AZ1051" s="418"/>
      <c r="BA1051" s="418"/>
    </row>
    <row r="1052" spans="40:53" ht="15.75" customHeight="1">
      <c r="AN1052" s="418"/>
      <c r="AO1052" s="418"/>
      <c r="AP1052" s="418"/>
      <c r="AQ1052" s="418"/>
      <c r="AR1052" s="418"/>
      <c r="AS1052" s="418"/>
      <c r="AT1052" s="418"/>
      <c r="AU1052" s="418"/>
      <c r="AV1052" s="418"/>
      <c r="AW1052" s="418"/>
      <c r="AX1052" s="418"/>
      <c r="AY1052" s="418"/>
      <c r="AZ1052" s="418"/>
      <c r="BA1052" s="418"/>
    </row>
    <row r="1053" spans="40:53" ht="15.75" customHeight="1">
      <c r="AN1053" s="418"/>
      <c r="AO1053" s="418"/>
      <c r="AP1053" s="418"/>
      <c r="AQ1053" s="418"/>
      <c r="AR1053" s="418"/>
      <c r="AS1053" s="418"/>
      <c r="AT1053" s="418"/>
      <c r="AU1053" s="418"/>
      <c r="AV1053" s="418"/>
      <c r="AW1053" s="418"/>
      <c r="AX1053" s="418"/>
      <c r="AY1053" s="418"/>
      <c r="AZ1053" s="418"/>
      <c r="BA1053" s="418"/>
    </row>
    <row r="1054" spans="40:53" ht="15.75" customHeight="1">
      <c r="AN1054" s="418"/>
      <c r="AO1054" s="418"/>
      <c r="AP1054" s="418"/>
      <c r="AQ1054" s="418"/>
      <c r="AR1054" s="418"/>
      <c r="AS1054" s="418"/>
      <c r="AT1054" s="418"/>
      <c r="AU1054" s="418"/>
      <c r="AV1054" s="418"/>
      <c r="AW1054" s="418"/>
      <c r="AX1054" s="418"/>
      <c r="AY1054" s="418"/>
      <c r="AZ1054" s="418"/>
      <c r="BA1054" s="418"/>
    </row>
    <row r="1055" spans="40:53" ht="15.75" customHeight="1">
      <c r="AN1055" s="418"/>
      <c r="AO1055" s="418"/>
      <c r="AP1055" s="418"/>
      <c r="AQ1055" s="418"/>
      <c r="AR1055" s="418"/>
      <c r="AS1055" s="418"/>
      <c r="AT1055" s="418"/>
      <c r="AU1055" s="418"/>
      <c r="AV1055" s="418"/>
      <c r="AW1055" s="418"/>
      <c r="AX1055" s="418"/>
      <c r="AY1055" s="418"/>
      <c r="AZ1055" s="418"/>
      <c r="BA1055" s="418"/>
    </row>
    <row r="1056" spans="40:53" ht="15.75" customHeight="1">
      <c r="AN1056" s="418"/>
      <c r="AO1056" s="418"/>
      <c r="AP1056" s="418"/>
      <c r="AQ1056" s="418"/>
      <c r="AR1056" s="418"/>
      <c r="AS1056" s="418"/>
      <c r="AT1056" s="418"/>
      <c r="AU1056" s="418"/>
      <c r="AV1056" s="418"/>
      <c r="AW1056" s="418"/>
      <c r="AX1056" s="418"/>
      <c r="AY1056" s="418"/>
      <c r="AZ1056" s="418"/>
      <c r="BA1056" s="418"/>
    </row>
    <row r="1057" spans="40:53" ht="15.75" customHeight="1">
      <c r="AN1057" s="418"/>
      <c r="AO1057" s="418"/>
      <c r="AP1057" s="418"/>
      <c r="AQ1057" s="418"/>
      <c r="AR1057" s="418"/>
      <c r="AS1057" s="418"/>
      <c r="AT1057" s="418"/>
      <c r="AU1057" s="418"/>
      <c r="AV1057" s="418"/>
      <c r="AW1057" s="418"/>
      <c r="AX1057" s="418"/>
      <c r="AY1057" s="418"/>
      <c r="AZ1057" s="418"/>
      <c r="BA1057" s="418"/>
    </row>
    <row r="1058" spans="40:53" ht="15.75" customHeight="1">
      <c r="AN1058" s="418"/>
      <c r="AO1058" s="418"/>
      <c r="AP1058" s="418"/>
      <c r="AQ1058" s="418"/>
      <c r="AR1058" s="418"/>
      <c r="AS1058" s="418"/>
      <c r="AT1058" s="418"/>
      <c r="AU1058" s="418"/>
      <c r="AV1058" s="418"/>
      <c r="AW1058" s="418"/>
      <c r="AX1058" s="418"/>
      <c r="AY1058" s="418"/>
      <c r="AZ1058" s="418"/>
      <c r="BA1058" s="418"/>
    </row>
    <row r="1059" spans="40:53" ht="15.75" customHeight="1">
      <c r="AN1059" s="418"/>
      <c r="AO1059" s="418"/>
      <c r="AP1059" s="418"/>
      <c r="AQ1059" s="418"/>
      <c r="AR1059" s="418"/>
      <c r="AS1059" s="418"/>
      <c r="AT1059" s="418"/>
      <c r="AU1059" s="418"/>
      <c r="AV1059" s="418"/>
      <c r="AW1059" s="418"/>
      <c r="AX1059" s="418"/>
      <c r="AY1059" s="418"/>
      <c r="AZ1059" s="418"/>
      <c r="BA1059" s="418"/>
    </row>
    <row r="1060" spans="40:53" ht="15.75" customHeight="1">
      <c r="AN1060" s="418"/>
      <c r="AO1060" s="418"/>
      <c r="AP1060" s="418"/>
      <c r="AQ1060" s="418"/>
      <c r="AR1060" s="418"/>
      <c r="AS1060" s="418"/>
      <c r="AT1060" s="418"/>
      <c r="AU1060" s="418"/>
      <c r="AV1060" s="418"/>
      <c r="AW1060" s="418"/>
      <c r="AX1060" s="418"/>
      <c r="AY1060" s="418"/>
      <c r="AZ1060" s="418"/>
      <c r="BA1060" s="418"/>
    </row>
    <row r="1061" spans="40:53" ht="15.75" customHeight="1">
      <c r="AN1061" s="418"/>
      <c r="AO1061" s="418"/>
      <c r="AP1061" s="418"/>
      <c r="AQ1061" s="418"/>
      <c r="AR1061" s="418"/>
      <c r="AS1061" s="418"/>
      <c r="AT1061" s="418"/>
      <c r="AU1061" s="418"/>
      <c r="AV1061" s="418"/>
      <c r="AW1061" s="418"/>
      <c r="AX1061" s="418"/>
      <c r="AY1061" s="418"/>
      <c r="AZ1061" s="418"/>
      <c r="BA1061" s="418"/>
    </row>
    <row r="1062" spans="40:53" ht="15.75" customHeight="1">
      <c r="AN1062" s="418"/>
      <c r="AO1062" s="418"/>
      <c r="AP1062" s="418"/>
      <c r="AQ1062" s="418"/>
      <c r="AR1062" s="418"/>
      <c r="AS1062" s="418"/>
      <c r="AT1062" s="418"/>
      <c r="AU1062" s="418"/>
      <c r="AV1062" s="418"/>
      <c r="AW1062" s="418"/>
      <c r="AX1062" s="418"/>
      <c r="AY1062" s="418"/>
      <c r="AZ1062" s="418"/>
      <c r="BA1062" s="418"/>
    </row>
    <row r="1063" spans="40:53" ht="15.75" customHeight="1">
      <c r="AN1063" s="418"/>
      <c r="AO1063" s="418"/>
      <c r="AP1063" s="418"/>
      <c r="AQ1063" s="418"/>
      <c r="AR1063" s="418"/>
      <c r="AS1063" s="418"/>
      <c r="AT1063" s="418"/>
      <c r="AU1063" s="418"/>
      <c r="AV1063" s="418"/>
      <c r="AW1063" s="418"/>
      <c r="AX1063" s="418"/>
      <c r="AY1063" s="418"/>
      <c r="AZ1063" s="418"/>
      <c r="BA1063" s="418"/>
    </row>
    <row r="1064" spans="40:53" ht="15.75" customHeight="1">
      <c r="AN1064" s="418"/>
      <c r="AO1064" s="418"/>
      <c r="AP1064" s="418"/>
      <c r="AQ1064" s="418"/>
      <c r="AR1064" s="418"/>
      <c r="AS1064" s="418"/>
      <c r="AT1064" s="418"/>
      <c r="AU1064" s="418"/>
      <c r="AV1064" s="418"/>
      <c r="AW1064" s="418"/>
      <c r="AX1064" s="418"/>
      <c r="AY1064" s="418"/>
      <c r="AZ1064" s="418"/>
      <c r="BA1064" s="418"/>
    </row>
    <row r="1065" spans="40:53" ht="15.75" customHeight="1">
      <c r="AN1065" s="418"/>
      <c r="AO1065" s="418"/>
      <c r="AP1065" s="418"/>
      <c r="AQ1065" s="418"/>
      <c r="AR1065" s="418"/>
      <c r="AS1065" s="418"/>
      <c r="AT1065" s="418"/>
      <c r="AU1065" s="418"/>
      <c r="AV1065" s="418"/>
      <c r="AW1065" s="418"/>
      <c r="AX1065" s="418"/>
      <c r="AY1065" s="418"/>
      <c r="AZ1065" s="418"/>
      <c r="BA1065" s="418"/>
    </row>
    <row r="1066" spans="40:53" ht="15.75" customHeight="1">
      <c r="AN1066" s="418"/>
      <c r="AO1066" s="418"/>
      <c r="AP1066" s="418"/>
      <c r="AQ1066" s="418"/>
      <c r="AR1066" s="418"/>
      <c r="AS1066" s="418"/>
      <c r="AT1066" s="418"/>
      <c r="AU1066" s="418"/>
      <c r="AV1066" s="418"/>
      <c r="AW1066" s="418"/>
      <c r="AX1066" s="418"/>
      <c r="AY1066" s="418"/>
      <c r="AZ1066" s="418"/>
      <c r="BA1066" s="418"/>
    </row>
    <row r="1067" spans="40:53" ht="15.75" customHeight="1">
      <c r="AN1067" s="418"/>
      <c r="AO1067" s="418"/>
      <c r="AP1067" s="418"/>
      <c r="AQ1067" s="418"/>
      <c r="AR1067" s="418"/>
      <c r="AS1067" s="418"/>
      <c r="AT1067" s="418"/>
      <c r="AU1067" s="418"/>
      <c r="AV1067" s="418"/>
      <c r="AW1067" s="418"/>
      <c r="AX1067" s="418"/>
      <c r="AY1067" s="418"/>
      <c r="AZ1067" s="418"/>
      <c r="BA1067" s="418"/>
    </row>
    <row r="1068" spans="40:53" ht="15.75" customHeight="1">
      <c r="AN1068" s="418"/>
      <c r="AO1068" s="418"/>
      <c r="AP1068" s="418"/>
      <c r="AQ1068" s="418"/>
      <c r="AR1068" s="418"/>
      <c r="AS1068" s="418"/>
      <c r="AT1068" s="418"/>
      <c r="AU1068" s="418"/>
      <c r="AV1068" s="418"/>
      <c r="AW1068" s="418"/>
      <c r="AX1068" s="418"/>
      <c r="AY1068" s="418"/>
      <c r="AZ1068" s="418"/>
      <c r="BA1068" s="418"/>
    </row>
    <row r="1069" spans="40:53" ht="15.75" customHeight="1">
      <c r="AN1069" s="418"/>
      <c r="AO1069" s="418"/>
      <c r="AP1069" s="418"/>
      <c r="AQ1069" s="418"/>
      <c r="AR1069" s="418"/>
      <c r="AS1069" s="418"/>
      <c r="AT1069" s="418"/>
      <c r="AU1069" s="418"/>
      <c r="AV1069" s="418"/>
      <c r="AW1069" s="418"/>
      <c r="AX1069" s="418"/>
      <c r="AY1069" s="418"/>
      <c r="AZ1069" s="418"/>
      <c r="BA1069" s="418"/>
    </row>
    <row r="1070" spans="40:53" ht="15.75" customHeight="1">
      <c r="AN1070" s="418"/>
      <c r="AO1070" s="418"/>
      <c r="AP1070" s="418"/>
      <c r="AQ1070" s="418"/>
      <c r="AR1070" s="418"/>
      <c r="AS1070" s="418"/>
      <c r="AT1070" s="418"/>
      <c r="AU1070" s="418"/>
      <c r="AV1070" s="418"/>
      <c r="AW1070" s="418"/>
      <c r="AX1070" s="418"/>
      <c r="AY1070" s="418"/>
      <c r="AZ1070" s="418"/>
      <c r="BA1070" s="418"/>
    </row>
    <row r="1071" spans="40:53" ht="15.75" customHeight="1">
      <c r="AN1071" s="418"/>
      <c r="AO1071" s="418"/>
      <c r="AP1071" s="418"/>
      <c r="AQ1071" s="418"/>
      <c r="AR1071" s="418"/>
      <c r="AS1071" s="418"/>
      <c r="AT1071" s="418"/>
      <c r="AU1071" s="418"/>
      <c r="AV1071" s="418"/>
      <c r="AW1071" s="418"/>
      <c r="AX1071" s="418"/>
      <c r="AY1071" s="418"/>
      <c r="AZ1071" s="418"/>
      <c r="BA1071" s="418"/>
    </row>
    <row r="1072" spans="40:53" ht="15.75" customHeight="1">
      <c r="AN1072" s="418"/>
      <c r="AO1072" s="418"/>
      <c r="AP1072" s="418"/>
      <c r="AQ1072" s="418"/>
      <c r="AR1072" s="418"/>
      <c r="AS1072" s="418"/>
      <c r="AT1072" s="418"/>
      <c r="AU1072" s="418"/>
      <c r="AV1072" s="418"/>
      <c r="AW1072" s="418"/>
      <c r="AX1072" s="418"/>
      <c r="AY1072" s="418"/>
      <c r="AZ1072" s="418"/>
      <c r="BA1072" s="418"/>
    </row>
    <row r="1073" spans="40:53" ht="15.75" customHeight="1">
      <c r="AN1073" s="418"/>
      <c r="AO1073" s="418"/>
      <c r="AP1073" s="418"/>
      <c r="AQ1073" s="418"/>
      <c r="AR1073" s="418"/>
      <c r="AS1073" s="418"/>
      <c r="AT1073" s="418"/>
      <c r="AU1073" s="418"/>
      <c r="AV1073" s="418"/>
      <c r="AW1073" s="418"/>
      <c r="AX1073" s="418"/>
      <c r="AY1073" s="418"/>
      <c r="AZ1073" s="418"/>
      <c r="BA1073" s="418"/>
    </row>
    <row r="1074" spans="40:53" ht="15.75" customHeight="1">
      <c r="AN1074" s="418"/>
      <c r="AO1074" s="418"/>
      <c r="AP1074" s="418"/>
      <c r="AQ1074" s="418"/>
      <c r="AR1074" s="418"/>
      <c r="AS1074" s="418"/>
      <c r="AT1074" s="418"/>
      <c r="AU1074" s="418"/>
      <c r="AV1074" s="418"/>
      <c r="AW1074" s="418"/>
      <c r="AX1074" s="418"/>
      <c r="AY1074" s="418"/>
      <c r="AZ1074" s="418"/>
      <c r="BA1074" s="418"/>
    </row>
    <row r="1075" spans="40:53" ht="15.75" customHeight="1">
      <c r="AN1075" s="418"/>
      <c r="AO1075" s="418"/>
      <c r="AP1075" s="418"/>
      <c r="AQ1075" s="418"/>
      <c r="AR1075" s="418"/>
      <c r="AS1075" s="418"/>
      <c r="AT1075" s="418"/>
      <c r="AU1075" s="418"/>
      <c r="AV1075" s="418"/>
      <c r="AW1075" s="418"/>
      <c r="AX1075" s="418"/>
      <c r="AY1075" s="418"/>
      <c r="AZ1075" s="418"/>
      <c r="BA1075" s="418"/>
    </row>
    <row r="1076" spans="40:53" ht="15.75" customHeight="1">
      <c r="AN1076" s="418"/>
      <c r="AO1076" s="418"/>
      <c r="AP1076" s="418"/>
      <c r="AQ1076" s="418"/>
      <c r="AR1076" s="418"/>
      <c r="AS1076" s="418"/>
      <c r="AT1076" s="418"/>
      <c r="AU1076" s="418"/>
      <c r="AV1076" s="418"/>
      <c r="AW1076" s="418"/>
      <c r="AX1076" s="418"/>
      <c r="AY1076" s="418"/>
      <c r="AZ1076" s="418"/>
      <c r="BA1076" s="418"/>
    </row>
    <row r="1077" spans="40:53" ht="15.75" customHeight="1">
      <c r="AN1077" s="418"/>
      <c r="AO1077" s="418"/>
      <c r="AP1077" s="418"/>
      <c r="AQ1077" s="418"/>
      <c r="AR1077" s="418"/>
      <c r="AS1077" s="418"/>
      <c r="AT1077" s="418"/>
      <c r="AU1077" s="418"/>
      <c r="AV1077" s="418"/>
      <c r="AW1077" s="418"/>
      <c r="AX1077" s="418"/>
      <c r="AY1077" s="418"/>
      <c r="AZ1077" s="418"/>
      <c r="BA1077" s="418"/>
    </row>
    <row r="1078" spans="40:53" ht="15.75" customHeight="1">
      <c r="AN1078" s="418"/>
      <c r="AO1078" s="418"/>
      <c r="AP1078" s="418"/>
      <c r="AQ1078" s="418"/>
      <c r="AR1078" s="418"/>
      <c r="AS1078" s="418"/>
      <c r="AT1078" s="418"/>
      <c r="AU1078" s="418"/>
      <c r="AV1078" s="418"/>
      <c r="AW1078" s="418"/>
      <c r="AX1078" s="418"/>
      <c r="AY1078" s="418"/>
      <c r="AZ1078" s="418"/>
      <c r="BA1078" s="418"/>
    </row>
    <row r="1079" spans="40:53" ht="15.75" customHeight="1">
      <c r="AN1079" s="418"/>
      <c r="AO1079" s="418"/>
      <c r="AP1079" s="418"/>
      <c r="AQ1079" s="418"/>
      <c r="AR1079" s="418"/>
      <c r="AS1079" s="418"/>
      <c r="AT1079" s="418"/>
      <c r="AU1079" s="418"/>
      <c r="AV1079" s="418"/>
      <c r="AW1079" s="418"/>
      <c r="AX1079" s="418"/>
      <c r="AY1079" s="418"/>
      <c r="AZ1079" s="418"/>
      <c r="BA1079" s="418"/>
    </row>
    <row r="1080" spans="40:53" ht="15.75" customHeight="1">
      <c r="AN1080" s="418"/>
      <c r="AO1080" s="418"/>
      <c r="AP1080" s="418"/>
      <c r="AQ1080" s="418"/>
      <c r="AR1080" s="418"/>
      <c r="AS1080" s="418"/>
      <c r="AT1080" s="418"/>
      <c r="AU1080" s="418"/>
      <c r="AV1080" s="418"/>
      <c r="AW1080" s="418"/>
      <c r="AX1080" s="418"/>
      <c r="AY1080" s="418"/>
      <c r="AZ1080" s="418"/>
      <c r="BA1080" s="418"/>
    </row>
    <row r="1081" spans="40:53" ht="15.75" customHeight="1">
      <c r="AN1081" s="418"/>
      <c r="AO1081" s="418"/>
      <c r="AP1081" s="418"/>
      <c r="AQ1081" s="418"/>
      <c r="AR1081" s="418"/>
      <c r="AS1081" s="418"/>
      <c r="AT1081" s="418"/>
      <c r="AU1081" s="418"/>
      <c r="AV1081" s="418"/>
      <c r="AW1081" s="418"/>
      <c r="AX1081" s="418"/>
      <c r="AY1081" s="418"/>
      <c r="AZ1081" s="418"/>
      <c r="BA1081" s="418"/>
    </row>
    <row r="1082" spans="40:53" ht="15.75" customHeight="1">
      <c r="AN1082" s="418"/>
      <c r="AO1082" s="418"/>
      <c r="AP1082" s="418"/>
      <c r="AQ1082" s="418"/>
      <c r="AR1082" s="418"/>
      <c r="AS1082" s="418"/>
      <c r="AT1082" s="418"/>
      <c r="AU1082" s="418"/>
      <c r="AV1082" s="418"/>
      <c r="AW1082" s="418"/>
      <c r="AX1082" s="418"/>
      <c r="AY1082" s="418"/>
      <c r="AZ1082" s="418"/>
      <c r="BA1082" s="418"/>
    </row>
    <row r="1083" spans="40:53" ht="15.75" customHeight="1">
      <c r="AN1083" s="418"/>
      <c r="AO1083" s="418"/>
      <c r="AP1083" s="418"/>
      <c r="AQ1083" s="418"/>
      <c r="AR1083" s="418"/>
      <c r="AS1083" s="418"/>
      <c r="AT1083" s="418"/>
      <c r="AU1083" s="418"/>
      <c r="AV1083" s="418"/>
      <c r="AW1083" s="418"/>
      <c r="AX1083" s="418"/>
      <c r="AY1083" s="418"/>
      <c r="AZ1083" s="418"/>
      <c r="BA1083" s="418"/>
    </row>
    <row r="1084" spans="40:53" ht="15.75" customHeight="1">
      <c r="AN1084" s="418"/>
      <c r="AO1084" s="418"/>
      <c r="AP1084" s="418"/>
      <c r="AQ1084" s="418"/>
      <c r="AR1084" s="418"/>
      <c r="AS1084" s="418"/>
      <c r="AT1084" s="418"/>
      <c r="AU1084" s="418"/>
      <c r="AV1084" s="418"/>
      <c r="AW1084" s="418"/>
      <c r="AX1084" s="418"/>
      <c r="AY1084" s="418"/>
      <c r="AZ1084" s="418"/>
      <c r="BA1084" s="418"/>
    </row>
    <row r="1085" spans="40:53" ht="15.75" customHeight="1">
      <c r="AN1085" s="418"/>
      <c r="AO1085" s="418"/>
      <c r="AP1085" s="418"/>
      <c r="AQ1085" s="418"/>
      <c r="AR1085" s="418"/>
      <c r="AS1085" s="418"/>
      <c r="AT1085" s="418"/>
      <c r="AU1085" s="418"/>
      <c r="AV1085" s="418"/>
      <c r="AW1085" s="418"/>
      <c r="AX1085" s="418"/>
      <c r="AY1085" s="418"/>
      <c r="AZ1085" s="418"/>
      <c r="BA1085" s="418"/>
    </row>
    <row r="1086" spans="40:53" ht="15.75" customHeight="1">
      <c r="AN1086" s="418"/>
      <c r="AO1086" s="418"/>
      <c r="AP1086" s="418"/>
      <c r="AQ1086" s="418"/>
      <c r="AR1086" s="418"/>
      <c r="AS1086" s="418"/>
      <c r="AT1086" s="418"/>
      <c r="AU1086" s="418"/>
      <c r="AV1086" s="418"/>
      <c r="AW1086" s="418"/>
      <c r="AX1086" s="418"/>
      <c r="AY1086" s="418"/>
      <c r="AZ1086" s="418"/>
      <c r="BA1086" s="418"/>
    </row>
    <row r="1087" spans="40:53" ht="15.75" customHeight="1">
      <c r="AN1087" s="418"/>
      <c r="AO1087" s="418"/>
      <c r="AP1087" s="418"/>
      <c r="AQ1087" s="418"/>
      <c r="AR1087" s="418"/>
      <c r="AS1087" s="418"/>
      <c r="AT1087" s="418"/>
      <c r="AU1087" s="418"/>
      <c r="AV1087" s="418"/>
      <c r="AW1087" s="418"/>
      <c r="AX1087" s="418"/>
      <c r="AY1087" s="418"/>
      <c r="AZ1087" s="418"/>
      <c r="BA1087" s="418"/>
    </row>
    <row r="1088" spans="40:53" ht="15.75" customHeight="1">
      <c r="AN1088" s="418"/>
      <c r="AO1088" s="418"/>
      <c r="AP1088" s="418"/>
      <c r="AQ1088" s="418"/>
      <c r="AR1088" s="418"/>
      <c r="AS1088" s="418"/>
      <c r="AT1088" s="418"/>
      <c r="AU1088" s="418"/>
      <c r="AV1088" s="418"/>
      <c r="AW1088" s="418"/>
      <c r="AX1088" s="418"/>
      <c r="AY1088" s="418"/>
      <c r="AZ1088" s="418"/>
      <c r="BA1088" s="418"/>
    </row>
    <row r="1089" spans="40:53" ht="15.75" customHeight="1">
      <c r="AN1089" s="418"/>
      <c r="AO1089" s="418"/>
      <c r="AP1089" s="418"/>
      <c r="AQ1089" s="418"/>
      <c r="AR1089" s="418"/>
      <c r="AS1089" s="418"/>
      <c r="AT1089" s="418"/>
      <c r="AU1089" s="418"/>
      <c r="AV1089" s="418"/>
      <c r="AW1089" s="418"/>
      <c r="AX1089" s="418"/>
      <c r="AY1089" s="418"/>
      <c r="AZ1089" s="418"/>
      <c r="BA1089" s="418"/>
    </row>
    <row r="1090" spans="40:53" ht="15.75" customHeight="1">
      <c r="AN1090" s="418"/>
      <c r="AO1090" s="418"/>
      <c r="AP1090" s="418"/>
      <c r="AQ1090" s="418"/>
      <c r="AR1090" s="418"/>
      <c r="AS1090" s="418"/>
      <c r="AT1090" s="418"/>
      <c r="AU1090" s="418"/>
      <c r="AV1090" s="418"/>
      <c r="AW1090" s="418"/>
      <c r="AX1090" s="418"/>
      <c r="AY1090" s="418"/>
      <c r="AZ1090" s="418"/>
      <c r="BA1090" s="418"/>
    </row>
    <row r="1091" spans="40:53" ht="15.75" customHeight="1">
      <c r="AN1091" s="418"/>
      <c r="AO1091" s="418"/>
      <c r="AP1091" s="418"/>
      <c r="AQ1091" s="418"/>
      <c r="AR1091" s="418"/>
      <c r="AS1091" s="418"/>
      <c r="AT1091" s="418"/>
      <c r="AU1091" s="418"/>
      <c r="AV1091" s="418"/>
      <c r="AW1091" s="418"/>
      <c r="AX1091" s="418"/>
      <c r="AY1091" s="418"/>
      <c r="AZ1091" s="418"/>
      <c r="BA1091" s="418"/>
    </row>
    <row r="1092" spans="40:53" ht="15.75" customHeight="1">
      <c r="AN1092" s="418"/>
      <c r="AO1092" s="418"/>
      <c r="AP1092" s="418"/>
      <c r="AQ1092" s="418"/>
      <c r="AR1092" s="418"/>
      <c r="AS1092" s="418"/>
      <c r="AT1092" s="418"/>
      <c r="AU1092" s="418"/>
      <c r="AV1092" s="418"/>
      <c r="AW1092" s="418"/>
      <c r="AX1092" s="418"/>
      <c r="AY1092" s="418"/>
      <c r="AZ1092" s="418"/>
      <c r="BA1092" s="418"/>
    </row>
    <row r="1093" spans="40:53" ht="15.75" customHeight="1">
      <c r="AN1093" s="418"/>
      <c r="AO1093" s="418"/>
      <c r="AP1093" s="418"/>
      <c r="AQ1093" s="418"/>
      <c r="AR1093" s="418"/>
      <c r="AS1093" s="418"/>
      <c r="AT1093" s="418"/>
      <c r="AU1093" s="418"/>
      <c r="AV1093" s="418"/>
      <c r="AW1093" s="418"/>
      <c r="AX1093" s="418"/>
      <c r="AY1093" s="418"/>
      <c r="AZ1093" s="418"/>
      <c r="BA1093" s="418"/>
    </row>
    <row r="1094" spans="40:53" ht="15.75" customHeight="1">
      <c r="AN1094" s="418"/>
      <c r="AO1094" s="418"/>
      <c r="AP1094" s="418"/>
      <c r="AQ1094" s="418"/>
      <c r="AR1094" s="418"/>
      <c r="AS1094" s="418"/>
      <c r="AT1094" s="418"/>
      <c r="AU1094" s="418"/>
      <c r="AV1094" s="418"/>
      <c r="AW1094" s="418"/>
      <c r="AX1094" s="418"/>
      <c r="AY1094" s="418"/>
      <c r="AZ1094" s="418"/>
      <c r="BA1094" s="418"/>
    </row>
    <row r="1095" spans="40:53" ht="15.75" customHeight="1">
      <c r="AN1095" s="418"/>
      <c r="AO1095" s="418"/>
      <c r="AP1095" s="418"/>
      <c r="AQ1095" s="418"/>
      <c r="AR1095" s="418"/>
      <c r="AS1095" s="418"/>
      <c r="AT1095" s="418"/>
      <c r="AU1095" s="418"/>
      <c r="AV1095" s="418"/>
      <c r="AW1095" s="418"/>
      <c r="AX1095" s="418"/>
      <c r="AY1095" s="418"/>
      <c r="AZ1095" s="418"/>
      <c r="BA1095" s="418"/>
    </row>
    <row r="1096" spans="40:53" ht="15.75" customHeight="1">
      <c r="AN1096" s="418"/>
      <c r="AO1096" s="418"/>
      <c r="AP1096" s="418"/>
      <c r="AQ1096" s="418"/>
      <c r="AR1096" s="418"/>
      <c r="AS1096" s="418"/>
      <c r="AT1096" s="418"/>
      <c r="AU1096" s="418"/>
      <c r="AV1096" s="418"/>
      <c r="AW1096" s="418"/>
      <c r="AX1096" s="418"/>
      <c r="AY1096" s="418"/>
      <c r="AZ1096" s="418"/>
      <c r="BA1096" s="418"/>
    </row>
    <row r="1097" spans="40:53" ht="15.75" customHeight="1">
      <c r="AN1097" s="418"/>
      <c r="AO1097" s="418"/>
      <c r="AP1097" s="418"/>
      <c r="AQ1097" s="418"/>
      <c r="AR1097" s="418"/>
      <c r="AS1097" s="418"/>
      <c r="AT1097" s="418"/>
      <c r="AU1097" s="418"/>
      <c r="AV1097" s="418"/>
      <c r="AW1097" s="418"/>
      <c r="AX1097" s="418"/>
      <c r="AY1097" s="418"/>
      <c r="AZ1097" s="418"/>
      <c r="BA1097" s="418"/>
    </row>
    <row r="1098" spans="40:53" ht="15.75" customHeight="1">
      <c r="AN1098" s="418"/>
      <c r="AO1098" s="418"/>
      <c r="AP1098" s="418"/>
      <c r="AQ1098" s="418"/>
      <c r="AR1098" s="418"/>
      <c r="AS1098" s="418"/>
      <c r="AT1098" s="418"/>
      <c r="AU1098" s="418"/>
      <c r="AV1098" s="418"/>
      <c r="AW1098" s="418"/>
      <c r="AX1098" s="418"/>
      <c r="AY1098" s="418"/>
      <c r="AZ1098" s="418"/>
      <c r="BA1098" s="418"/>
    </row>
    <row r="1099" spans="40:53" ht="15.75" customHeight="1">
      <c r="AN1099" s="418"/>
      <c r="AO1099" s="418"/>
      <c r="AP1099" s="418"/>
      <c r="AQ1099" s="418"/>
      <c r="AR1099" s="418"/>
      <c r="AS1099" s="418"/>
      <c r="AT1099" s="418"/>
      <c r="AU1099" s="418"/>
      <c r="AV1099" s="418"/>
      <c r="AW1099" s="418"/>
      <c r="AX1099" s="418"/>
      <c r="AY1099" s="418"/>
      <c r="AZ1099" s="418"/>
      <c r="BA1099" s="418"/>
    </row>
    <row r="1100" spans="40:53" ht="15.75" customHeight="1">
      <c r="AN1100" s="418"/>
      <c r="AO1100" s="418"/>
      <c r="AP1100" s="418"/>
      <c r="AQ1100" s="418"/>
      <c r="AR1100" s="418"/>
      <c r="AS1100" s="418"/>
      <c r="AT1100" s="418"/>
      <c r="AU1100" s="418"/>
      <c r="AV1100" s="418"/>
      <c r="AW1100" s="418"/>
      <c r="AX1100" s="418"/>
      <c r="AY1100" s="418"/>
      <c r="AZ1100" s="418"/>
      <c r="BA1100" s="418"/>
    </row>
    <row r="1101" spans="40:53" ht="15.75" customHeight="1">
      <c r="AN1101" s="418"/>
      <c r="AO1101" s="418"/>
      <c r="AP1101" s="418"/>
      <c r="AQ1101" s="418"/>
      <c r="AR1101" s="418"/>
      <c r="AS1101" s="418"/>
      <c r="AT1101" s="418"/>
      <c r="AU1101" s="418"/>
      <c r="AV1101" s="418"/>
      <c r="AW1101" s="418"/>
      <c r="AX1101" s="418"/>
      <c r="AY1101" s="418"/>
      <c r="AZ1101" s="418"/>
      <c r="BA1101" s="418"/>
    </row>
    <row r="1102" spans="40:53" ht="15.75" customHeight="1">
      <c r="AN1102" s="418"/>
      <c r="AO1102" s="418"/>
      <c r="AP1102" s="418"/>
      <c r="AQ1102" s="418"/>
      <c r="AR1102" s="418"/>
      <c r="AS1102" s="418"/>
      <c r="AT1102" s="418"/>
      <c r="AU1102" s="418"/>
      <c r="AV1102" s="418"/>
      <c r="AW1102" s="418"/>
      <c r="AX1102" s="418"/>
      <c r="AY1102" s="418"/>
      <c r="AZ1102" s="418"/>
      <c r="BA1102" s="418"/>
    </row>
    <row r="1103" spans="40:53" ht="15.75" customHeight="1">
      <c r="AN1103" s="418"/>
      <c r="AO1103" s="418"/>
      <c r="AP1103" s="418"/>
      <c r="AQ1103" s="418"/>
      <c r="AR1103" s="418"/>
      <c r="AS1103" s="418"/>
      <c r="AT1103" s="418"/>
      <c r="AU1103" s="418"/>
      <c r="AV1103" s="418"/>
      <c r="AW1103" s="418"/>
      <c r="AX1103" s="418"/>
      <c r="AY1103" s="418"/>
      <c r="AZ1103" s="418"/>
      <c r="BA1103" s="418"/>
    </row>
    <row r="1104" spans="40:53" ht="15.75" customHeight="1">
      <c r="AN1104" s="418"/>
      <c r="AO1104" s="418"/>
      <c r="AP1104" s="418"/>
      <c r="AQ1104" s="418"/>
      <c r="AR1104" s="418"/>
      <c r="AS1104" s="418"/>
      <c r="AT1104" s="418"/>
      <c r="AU1104" s="418"/>
      <c r="AV1104" s="418"/>
      <c r="AW1104" s="418"/>
      <c r="AX1104" s="418"/>
      <c r="AY1104" s="418"/>
      <c r="AZ1104" s="418"/>
      <c r="BA1104" s="418"/>
    </row>
    <row r="1105" spans="40:53" ht="15.75" customHeight="1">
      <c r="AN1105" s="418"/>
      <c r="AO1105" s="418"/>
      <c r="AP1105" s="418"/>
      <c r="AQ1105" s="418"/>
      <c r="AR1105" s="418"/>
      <c r="AS1105" s="418"/>
      <c r="AT1105" s="418"/>
      <c r="AU1105" s="418"/>
      <c r="AV1105" s="418"/>
      <c r="AW1105" s="418"/>
      <c r="AX1105" s="418"/>
      <c r="AY1105" s="418"/>
      <c r="AZ1105" s="418"/>
      <c r="BA1105" s="418"/>
    </row>
    <row r="1106" spans="40:53" ht="15.75" customHeight="1">
      <c r="AN1106" s="418"/>
      <c r="AO1106" s="418"/>
      <c r="AP1106" s="418"/>
      <c r="AQ1106" s="418"/>
      <c r="AR1106" s="418"/>
      <c r="AS1106" s="418"/>
      <c r="AT1106" s="418"/>
      <c r="AU1106" s="418"/>
      <c r="AV1106" s="418"/>
      <c r="AW1106" s="418"/>
      <c r="AX1106" s="418"/>
      <c r="AY1106" s="418"/>
      <c r="AZ1106" s="418"/>
      <c r="BA1106" s="418"/>
    </row>
    <row r="1107" spans="40:53" ht="15.75" customHeight="1">
      <c r="AN1107" s="418"/>
      <c r="AO1107" s="418"/>
      <c r="AP1107" s="418"/>
      <c r="AQ1107" s="418"/>
      <c r="AR1107" s="418"/>
      <c r="AS1107" s="418"/>
      <c r="AT1107" s="418"/>
      <c r="AU1107" s="418"/>
      <c r="AV1107" s="418"/>
      <c r="AW1107" s="418"/>
      <c r="AX1107" s="418"/>
      <c r="AY1107" s="418"/>
      <c r="AZ1107" s="418"/>
      <c r="BA1107" s="418"/>
    </row>
    <row r="1108" spans="40:53" ht="15.75" customHeight="1">
      <c r="AN1108" s="418"/>
      <c r="AO1108" s="418"/>
      <c r="AP1108" s="418"/>
      <c r="AQ1108" s="418"/>
      <c r="AR1108" s="418"/>
      <c r="AS1108" s="418"/>
      <c r="AT1108" s="418"/>
      <c r="AU1108" s="418"/>
      <c r="AV1108" s="418"/>
      <c r="AW1108" s="418"/>
      <c r="AX1108" s="418"/>
      <c r="AY1108" s="418"/>
      <c r="AZ1108" s="418"/>
      <c r="BA1108" s="418"/>
    </row>
    <row r="1109" spans="40:53" ht="15.75" customHeight="1">
      <c r="AN1109" s="418"/>
      <c r="AO1109" s="418"/>
      <c r="AP1109" s="418"/>
      <c r="AQ1109" s="418"/>
      <c r="AR1109" s="418"/>
      <c r="AS1109" s="418"/>
      <c r="AT1109" s="418"/>
      <c r="AU1109" s="418"/>
      <c r="AV1109" s="418"/>
      <c r="AW1109" s="418"/>
      <c r="AX1109" s="418"/>
      <c r="AY1109" s="418"/>
      <c r="AZ1109" s="418"/>
      <c r="BA1109" s="418"/>
    </row>
    <row r="1110" spans="40:53" ht="15.75" customHeight="1">
      <c r="AN1110" s="418"/>
      <c r="AO1110" s="418"/>
      <c r="AP1110" s="418"/>
      <c r="AQ1110" s="418"/>
      <c r="AR1110" s="418"/>
      <c r="AS1110" s="418"/>
      <c r="AT1110" s="418"/>
      <c r="AU1110" s="418"/>
      <c r="AV1110" s="418"/>
      <c r="AW1110" s="418"/>
      <c r="AX1110" s="418"/>
      <c r="AY1110" s="418"/>
      <c r="AZ1110" s="418"/>
      <c r="BA1110" s="418"/>
    </row>
    <row r="1111" spans="40:53" ht="15.75" customHeight="1">
      <c r="AN1111" s="418"/>
      <c r="AO1111" s="418"/>
      <c r="AP1111" s="418"/>
      <c r="AQ1111" s="418"/>
      <c r="AR1111" s="418"/>
      <c r="AS1111" s="418"/>
      <c r="AT1111" s="418"/>
      <c r="AU1111" s="418"/>
      <c r="AV1111" s="418"/>
      <c r="AW1111" s="418"/>
      <c r="AX1111" s="418"/>
      <c r="AY1111" s="418"/>
      <c r="AZ1111" s="418"/>
      <c r="BA1111" s="418"/>
    </row>
    <row r="1112" spans="40:53" ht="15.75" customHeight="1">
      <c r="AN1112" s="418"/>
      <c r="AO1112" s="418"/>
      <c r="AP1112" s="418"/>
      <c r="AQ1112" s="418"/>
      <c r="AR1112" s="418"/>
      <c r="AS1112" s="418"/>
      <c r="AT1112" s="418"/>
      <c r="AU1112" s="418"/>
      <c r="AV1112" s="418"/>
      <c r="AW1112" s="418"/>
      <c r="AX1112" s="418"/>
      <c r="AY1112" s="418"/>
      <c r="AZ1112" s="418"/>
      <c r="BA1112" s="418"/>
    </row>
    <row r="1113" spans="40:53" ht="15.75" customHeight="1">
      <c r="AN1113" s="418"/>
      <c r="AO1113" s="418"/>
      <c r="AP1113" s="418"/>
      <c r="AQ1113" s="418"/>
      <c r="AR1113" s="418"/>
      <c r="AS1113" s="418"/>
      <c r="AT1113" s="418"/>
      <c r="AU1113" s="418"/>
      <c r="AV1113" s="418"/>
      <c r="AW1113" s="418"/>
      <c r="AX1113" s="418"/>
      <c r="AY1113" s="418"/>
      <c r="AZ1113" s="418"/>
      <c r="BA1113" s="418"/>
    </row>
    <row r="1114" spans="40:53" ht="15.75" customHeight="1">
      <c r="AN1114" s="418"/>
      <c r="AO1114" s="418"/>
      <c r="AP1114" s="418"/>
      <c r="AQ1114" s="418"/>
      <c r="AR1114" s="418"/>
      <c r="AS1114" s="418"/>
      <c r="AT1114" s="418"/>
      <c r="AU1114" s="418"/>
      <c r="AV1114" s="418"/>
      <c r="AW1114" s="418"/>
      <c r="AX1114" s="418"/>
      <c r="AY1114" s="418"/>
      <c r="AZ1114" s="418"/>
      <c r="BA1114" s="418"/>
    </row>
    <row r="1115" spans="40:53" ht="15.75" customHeight="1">
      <c r="AN1115" s="418"/>
      <c r="AO1115" s="418"/>
      <c r="AP1115" s="418"/>
      <c r="AQ1115" s="418"/>
      <c r="AR1115" s="418"/>
      <c r="AS1115" s="418"/>
      <c r="AT1115" s="418"/>
      <c r="AU1115" s="418"/>
      <c r="AV1115" s="418"/>
      <c r="AW1115" s="418"/>
      <c r="AX1115" s="418"/>
      <c r="AY1115" s="418"/>
      <c r="AZ1115" s="418"/>
      <c r="BA1115" s="418"/>
    </row>
    <row r="1116" spans="40:53" ht="15.75" customHeight="1">
      <c r="AN1116" s="418"/>
      <c r="AO1116" s="418"/>
      <c r="AP1116" s="418"/>
      <c r="AQ1116" s="418"/>
      <c r="AR1116" s="418"/>
      <c r="AS1116" s="418"/>
      <c r="AT1116" s="418"/>
      <c r="AU1116" s="418"/>
      <c r="AV1116" s="418"/>
      <c r="AW1116" s="418"/>
      <c r="AX1116" s="418"/>
      <c r="AY1116" s="418"/>
      <c r="AZ1116" s="418"/>
      <c r="BA1116" s="418"/>
    </row>
    <row r="1117" spans="40:53" ht="15.75" customHeight="1">
      <c r="AN1117" s="418"/>
      <c r="AO1117" s="418"/>
      <c r="AP1117" s="418"/>
      <c r="AQ1117" s="418"/>
      <c r="AR1117" s="418"/>
      <c r="AS1117" s="418"/>
      <c r="AT1117" s="418"/>
      <c r="AU1117" s="418"/>
      <c r="AV1117" s="418"/>
      <c r="AW1117" s="418"/>
      <c r="AX1117" s="418"/>
      <c r="AY1117" s="418"/>
      <c r="AZ1117" s="418"/>
      <c r="BA1117" s="418"/>
    </row>
    <row r="1118" spans="40:53" ht="15.75" customHeight="1">
      <c r="AN1118" s="418"/>
      <c r="AO1118" s="418"/>
      <c r="AP1118" s="418"/>
      <c r="AQ1118" s="418"/>
      <c r="AR1118" s="418"/>
      <c r="AS1118" s="418"/>
      <c r="AT1118" s="418"/>
      <c r="AU1118" s="418"/>
      <c r="AV1118" s="418"/>
      <c r="AW1118" s="418"/>
      <c r="AX1118" s="418"/>
      <c r="AY1118" s="418"/>
      <c r="AZ1118" s="418"/>
      <c r="BA1118" s="418"/>
    </row>
    <row r="1119" spans="40:53" ht="15.75" customHeight="1">
      <c r="AN1119" s="418"/>
      <c r="AO1119" s="418"/>
      <c r="AP1119" s="418"/>
      <c r="AQ1119" s="418"/>
      <c r="AR1119" s="418"/>
      <c r="AS1119" s="418"/>
      <c r="AT1119" s="418"/>
      <c r="AU1119" s="418"/>
      <c r="AV1119" s="418"/>
      <c r="AW1119" s="418"/>
      <c r="AX1119" s="418"/>
      <c r="AY1119" s="418"/>
      <c r="AZ1119" s="418"/>
      <c r="BA1119" s="418"/>
    </row>
    <row r="1120" spans="40:53" ht="15.75" customHeight="1">
      <c r="AN1120" s="418"/>
      <c r="AO1120" s="418"/>
      <c r="AP1120" s="418"/>
      <c r="AQ1120" s="418"/>
      <c r="AR1120" s="418"/>
      <c r="AS1120" s="418"/>
      <c r="AT1120" s="418"/>
      <c r="AU1120" s="418"/>
      <c r="AV1120" s="418"/>
      <c r="AW1120" s="418"/>
      <c r="AX1120" s="418"/>
      <c r="AY1120" s="418"/>
      <c r="AZ1120" s="418"/>
      <c r="BA1120" s="418"/>
    </row>
    <row r="1121" spans="40:53" ht="15.75" customHeight="1">
      <c r="AN1121" s="418"/>
      <c r="AO1121" s="418"/>
      <c r="AP1121" s="418"/>
      <c r="AQ1121" s="418"/>
      <c r="AR1121" s="418"/>
      <c r="AS1121" s="418"/>
      <c r="AT1121" s="418"/>
      <c r="AU1121" s="418"/>
      <c r="AV1121" s="418"/>
      <c r="AW1121" s="418"/>
      <c r="AX1121" s="418"/>
      <c r="AY1121" s="418"/>
      <c r="AZ1121" s="418"/>
      <c r="BA1121" s="418"/>
    </row>
    <row r="1122" spans="40:53" ht="15.75" customHeight="1">
      <c r="AN1122" s="418"/>
      <c r="AO1122" s="418"/>
      <c r="AP1122" s="418"/>
      <c r="AQ1122" s="418"/>
      <c r="AR1122" s="418"/>
      <c r="AS1122" s="418"/>
      <c r="AT1122" s="418"/>
      <c r="AU1122" s="418"/>
      <c r="AV1122" s="418"/>
      <c r="AW1122" s="418"/>
      <c r="AX1122" s="418"/>
      <c r="AY1122" s="418"/>
      <c r="AZ1122" s="418"/>
      <c r="BA1122" s="418"/>
    </row>
    <row r="1123" spans="40:53" ht="15.75" customHeight="1">
      <c r="AN1123" s="418"/>
      <c r="AO1123" s="418"/>
      <c r="AP1123" s="418"/>
      <c r="AQ1123" s="418"/>
      <c r="AR1123" s="418"/>
      <c r="AS1123" s="418"/>
      <c r="AT1123" s="418"/>
      <c r="AU1123" s="418"/>
      <c r="AV1123" s="418"/>
      <c r="AW1123" s="418"/>
      <c r="AX1123" s="418"/>
      <c r="AY1123" s="418"/>
      <c r="AZ1123" s="418"/>
      <c r="BA1123" s="418"/>
    </row>
    <row r="1124" spans="40:53" ht="15.75" customHeight="1">
      <c r="AN1124" s="418"/>
      <c r="AO1124" s="418"/>
      <c r="AP1124" s="418"/>
      <c r="AQ1124" s="418"/>
      <c r="AR1124" s="418"/>
      <c r="AS1124" s="418"/>
      <c r="AT1124" s="418"/>
      <c r="AU1124" s="418"/>
      <c r="AV1124" s="418"/>
      <c r="AW1124" s="418"/>
      <c r="AX1124" s="418"/>
      <c r="AY1124" s="418"/>
      <c r="AZ1124" s="418"/>
      <c r="BA1124" s="418"/>
    </row>
    <row r="1125" spans="40:53" ht="15.75" customHeight="1">
      <c r="AN1125" s="418"/>
      <c r="AO1125" s="418"/>
      <c r="AP1125" s="418"/>
      <c r="AQ1125" s="418"/>
      <c r="AR1125" s="418"/>
      <c r="AS1125" s="418"/>
      <c r="AT1125" s="418"/>
      <c r="AU1125" s="418"/>
      <c r="AV1125" s="418"/>
      <c r="AW1125" s="418"/>
      <c r="AX1125" s="418"/>
      <c r="AY1125" s="418"/>
      <c r="AZ1125" s="418"/>
      <c r="BA1125" s="418"/>
    </row>
    <row r="1126" spans="40:53" ht="15.75" customHeight="1">
      <c r="AN1126" s="418"/>
      <c r="AO1126" s="418"/>
      <c r="AP1126" s="418"/>
      <c r="AQ1126" s="418"/>
      <c r="AR1126" s="418"/>
      <c r="AS1126" s="418"/>
      <c r="AT1126" s="418"/>
      <c r="AU1126" s="418"/>
      <c r="AV1126" s="418"/>
      <c r="AW1126" s="418"/>
      <c r="AX1126" s="418"/>
      <c r="AY1126" s="418"/>
      <c r="AZ1126" s="418"/>
      <c r="BA1126" s="418"/>
    </row>
    <row r="1127" spans="40:53" ht="15.75" customHeight="1">
      <c r="AN1127" s="418"/>
      <c r="AO1127" s="418"/>
      <c r="AP1127" s="418"/>
      <c r="AQ1127" s="418"/>
      <c r="AR1127" s="418"/>
      <c r="AS1127" s="418"/>
      <c r="AT1127" s="418"/>
      <c r="AU1127" s="418"/>
      <c r="AV1127" s="418"/>
      <c r="AW1127" s="418"/>
      <c r="AX1127" s="418"/>
      <c r="AY1127" s="418"/>
      <c r="AZ1127" s="418"/>
      <c r="BA1127" s="418"/>
    </row>
    <row r="1128" spans="40:53" ht="15.75" customHeight="1">
      <c r="AN1128" s="418"/>
      <c r="AO1128" s="418"/>
      <c r="AP1128" s="418"/>
      <c r="AQ1128" s="418"/>
      <c r="AR1128" s="418"/>
      <c r="AS1128" s="418"/>
      <c r="AT1128" s="418"/>
      <c r="AU1128" s="418"/>
      <c r="AV1128" s="418"/>
      <c r="AW1128" s="418"/>
      <c r="AX1128" s="418"/>
      <c r="AY1128" s="418"/>
      <c r="AZ1128" s="418"/>
      <c r="BA1128" s="418"/>
    </row>
    <row r="1129" spans="40:53" ht="15.75" customHeight="1">
      <c r="AN1129" s="418"/>
      <c r="AO1129" s="418"/>
      <c r="AP1129" s="418"/>
      <c r="AQ1129" s="418"/>
      <c r="AR1129" s="418"/>
      <c r="AS1129" s="418"/>
      <c r="AT1129" s="418"/>
      <c r="AU1129" s="418"/>
      <c r="AV1129" s="418"/>
      <c r="AW1129" s="418"/>
      <c r="AX1129" s="418"/>
      <c r="AY1129" s="418"/>
      <c r="AZ1129" s="418"/>
      <c r="BA1129" s="418"/>
    </row>
    <row r="1130" spans="40:53" ht="15.75" customHeight="1">
      <c r="AN1130" s="418"/>
      <c r="AO1130" s="418"/>
      <c r="AP1130" s="418"/>
      <c r="AQ1130" s="418"/>
      <c r="AR1130" s="418"/>
      <c r="AS1130" s="418"/>
      <c r="AT1130" s="418"/>
      <c r="AU1130" s="418"/>
      <c r="AV1130" s="418"/>
      <c r="AW1130" s="418"/>
      <c r="AX1130" s="418"/>
      <c r="AY1130" s="418"/>
      <c r="AZ1130" s="418"/>
      <c r="BA1130" s="418"/>
    </row>
    <row r="1131" spans="40:53" ht="15.75" customHeight="1">
      <c r="AN1131" s="418"/>
      <c r="AO1131" s="418"/>
      <c r="AP1131" s="418"/>
      <c r="AQ1131" s="418"/>
      <c r="AR1131" s="418"/>
      <c r="AS1131" s="418"/>
      <c r="AT1131" s="418"/>
      <c r="AU1131" s="418"/>
      <c r="AV1131" s="418"/>
      <c r="AW1131" s="418"/>
      <c r="AX1131" s="418"/>
      <c r="AY1131" s="418"/>
      <c r="AZ1131" s="418"/>
      <c r="BA1131" s="418"/>
    </row>
    <row r="1132" spans="40:53" ht="15.75" customHeight="1">
      <c r="AN1132" s="418"/>
      <c r="AO1132" s="418"/>
      <c r="AP1132" s="418"/>
      <c r="AQ1132" s="418"/>
      <c r="AR1132" s="418"/>
      <c r="AS1132" s="418"/>
      <c r="AT1132" s="418"/>
      <c r="AU1132" s="418"/>
      <c r="AV1132" s="418"/>
      <c r="AW1132" s="418"/>
      <c r="AX1132" s="418"/>
      <c r="AY1132" s="418"/>
      <c r="AZ1132" s="418"/>
      <c r="BA1132" s="418"/>
    </row>
    <row r="1133" spans="40:53" ht="15.75" customHeight="1">
      <c r="AN1133" s="418"/>
      <c r="AO1133" s="418"/>
      <c r="AP1133" s="418"/>
      <c r="AQ1133" s="418"/>
      <c r="AR1133" s="418"/>
      <c r="AS1133" s="418"/>
      <c r="AT1133" s="418"/>
      <c r="AU1133" s="418"/>
      <c r="AV1133" s="418"/>
      <c r="AW1133" s="418"/>
      <c r="AX1133" s="418"/>
      <c r="AY1133" s="418"/>
      <c r="AZ1133" s="418"/>
      <c r="BA1133" s="418"/>
    </row>
    <row r="1134" spans="40:53" ht="15.75" customHeight="1">
      <c r="AN1134" s="418"/>
      <c r="AO1134" s="418"/>
      <c r="AP1134" s="418"/>
      <c r="AQ1134" s="418"/>
      <c r="AR1134" s="418"/>
      <c r="AS1134" s="418"/>
      <c r="AT1134" s="418"/>
      <c r="AU1134" s="418"/>
      <c r="AV1134" s="418"/>
      <c r="AW1134" s="418"/>
      <c r="AX1134" s="418"/>
      <c r="AY1134" s="418"/>
      <c r="AZ1134" s="418"/>
      <c r="BA1134" s="418"/>
    </row>
    <row r="1135" spans="40:53" ht="15.75" customHeight="1">
      <c r="AN1135" s="418"/>
      <c r="AO1135" s="418"/>
      <c r="AP1135" s="418"/>
      <c r="AQ1135" s="418"/>
      <c r="AR1135" s="418"/>
      <c r="AS1135" s="418"/>
      <c r="AT1135" s="418"/>
      <c r="AU1135" s="418"/>
      <c r="AV1135" s="418"/>
      <c r="AW1135" s="418"/>
      <c r="AX1135" s="418"/>
      <c r="AY1135" s="418"/>
      <c r="AZ1135" s="418"/>
      <c r="BA1135" s="418"/>
    </row>
    <row r="1136" spans="40:53" ht="15.75" customHeight="1">
      <c r="AN1136" s="418"/>
      <c r="AO1136" s="418"/>
      <c r="AP1136" s="418"/>
      <c r="AQ1136" s="418"/>
      <c r="AR1136" s="418"/>
      <c r="AS1136" s="418"/>
      <c r="AT1136" s="418"/>
      <c r="AU1136" s="418"/>
      <c r="AV1136" s="418"/>
      <c r="AW1136" s="418"/>
      <c r="AX1136" s="418"/>
      <c r="AY1136" s="418"/>
      <c r="AZ1136" s="418"/>
      <c r="BA1136" s="418"/>
    </row>
    <row r="1137" spans="40:53" ht="15.75" customHeight="1">
      <c r="AN1137" s="418"/>
      <c r="AO1137" s="418"/>
      <c r="AP1137" s="418"/>
      <c r="AQ1137" s="418"/>
      <c r="AR1137" s="418"/>
      <c r="AS1137" s="418"/>
      <c r="AT1137" s="418"/>
      <c r="AU1137" s="418"/>
      <c r="AV1137" s="418"/>
      <c r="AW1137" s="418"/>
      <c r="AX1137" s="418"/>
      <c r="AY1137" s="418"/>
      <c r="AZ1137" s="418"/>
      <c r="BA1137" s="418"/>
    </row>
    <row r="1138" spans="40:53" ht="15.75" customHeight="1">
      <c r="AN1138" s="418"/>
      <c r="AO1138" s="418"/>
      <c r="AP1138" s="418"/>
      <c r="AQ1138" s="418"/>
      <c r="AR1138" s="418"/>
      <c r="AS1138" s="418"/>
      <c r="AT1138" s="418"/>
      <c r="AU1138" s="418"/>
      <c r="AV1138" s="418"/>
      <c r="AW1138" s="418"/>
      <c r="AX1138" s="418"/>
      <c r="AY1138" s="418"/>
      <c r="AZ1138" s="418"/>
      <c r="BA1138" s="418"/>
    </row>
    <row r="1139" spans="40:53" ht="15.75" customHeight="1">
      <c r="AN1139" s="418"/>
      <c r="AO1139" s="418"/>
      <c r="AP1139" s="418"/>
      <c r="AQ1139" s="418"/>
      <c r="AR1139" s="418"/>
      <c r="AS1139" s="418"/>
      <c r="AT1139" s="418"/>
      <c r="AU1139" s="418"/>
      <c r="AV1139" s="418"/>
      <c r="AW1139" s="418"/>
      <c r="AX1139" s="418"/>
      <c r="AY1139" s="418"/>
      <c r="AZ1139" s="418"/>
      <c r="BA1139" s="418"/>
    </row>
    <row r="1140" spans="40:53" ht="15.75" customHeight="1">
      <c r="AN1140" s="418"/>
      <c r="AO1140" s="418"/>
      <c r="AP1140" s="418"/>
      <c r="AQ1140" s="418"/>
      <c r="AR1140" s="418"/>
      <c r="AS1140" s="418"/>
      <c r="AT1140" s="418"/>
      <c r="AU1140" s="418"/>
      <c r="AV1140" s="418"/>
      <c r="AW1140" s="418"/>
      <c r="AX1140" s="418"/>
      <c r="AY1140" s="418"/>
      <c r="AZ1140" s="418"/>
      <c r="BA1140" s="418"/>
    </row>
    <row r="1141" spans="40:53" ht="15.75" customHeight="1">
      <c r="AN1141" s="418"/>
      <c r="AO1141" s="418"/>
      <c r="AP1141" s="418"/>
      <c r="AQ1141" s="418"/>
      <c r="AR1141" s="418"/>
      <c r="AS1141" s="418"/>
      <c r="AT1141" s="418"/>
      <c r="AU1141" s="418"/>
      <c r="AV1141" s="418"/>
      <c r="AW1141" s="418"/>
      <c r="AX1141" s="418"/>
      <c r="AY1141" s="418"/>
      <c r="AZ1141" s="418"/>
      <c r="BA1141" s="418"/>
    </row>
    <row r="1142" spans="40:53" ht="15.75" customHeight="1">
      <c r="AN1142" s="418"/>
      <c r="AO1142" s="418"/>
      <c r="AP1142" s="418"/>
      <c r="AQ1142" s="418"/>
      <c r="AR1142" s="418"/>
      <c r="AS1142" s="418"/>
      <c r="AT1142" s="418"/>
      <c r="AU1142" s="418"/>
      <c r="AV1142" s="418"/>
      <c r="AW1142" s="418"/>
      <c r="AX1142" s="418"/>
      <c r="AY1142" s="418"/>
      <c r="AZ1142" s="418"/>
      <c r="BA1142" s="418"/>
    </row>
    <row r="1143" spans="40:53" ht="15.75" customHeight="1">
      <c r="AN1143" s="418"/>
      <c r="AO1143" s="418"/>
      <c r="AP1143" s="418"/>
      <c r="AQ1143" s="418"/>
      <c r="AR1143" s="418"/>
      <c r="AS1143" s="418"/>
      <c r="AT1143" s="418"/>
      <c r="AU1143" s="418"/>
      <c r="AV1143" s="418"/>
      <c r="AW1143" s="418"/>
      <c r="AX1143" s="418"/>
      <c r="AY1143" s="418"/>
      <c r="AZ1143" s="418"/>
      <c r="BA1143" s="418"/>
    </row>
    <row r="1144" spans="40:53" ht="15.75" customHeight="1">
      <c r="AN1144" s="418"/>
      <c r="AO1144" s="418"/>
      <c r="AP1144" s="418"/>
      <c r="AQ1144" s="418"/>
      <c r="AR1144" s="418"/>
      <c r="AS1144" s="418"/>
      <c r="AT1144" s="418"/>
      <c r="AU1144" s="418"/>
      <c r="AV1144" s="418"/>
      <c r="AW1144" s="418"/>
      <c r="AX1144" s="418"/>
      <c r="AY1144" s="418"/>
      <c r="AZ1144" s="418"/>
      <c r="BA1144" s="418"/>
    </row>
    <row r="1145" spans="40:53" ht="15.75" customHeight="1">
      <c r="AN1145" s="418"/>
      <c r="AO1145" s="418"/>
      <c r="AP1145" s="418"/>
      <c r="AQ1145" s="418"/>
      <c r="AR1145" s="418"/>
      <c r="AS1145" s="418"/>
      <c r="AT1145" s="418"/>
      <c r="AU1145" s="418"/>
      <c r="AV1145" s="418"/>
      <c r="AW1145" s="418"/>
      <c r="AX1145" s="418"/>
      <c r="AY1145" s="418"/>
      <c r="AZ1145" s="418"/>
      <c r="BA1145" s="418"/>
    </row>
    <row r="1146" spans="40:53" ht="15.75" customHeight="1">
      <c r="AN1146" s="418"/>
      <c r="AO1146" s="418"/>
      <c r="AP1146" s="418"/>
      <c r="AQ1146" s="418"/>
      <c r="AR1146" s="418"/>
      <c r="AS1146" s="418"/>
      <c r="AT1146" s="418"/>
      <c r="AU1146" s="418"/>
      <c r="AV1146" s="418"/>
      <c r="AW1146" s="418"/>
      <c r="AX1146" s="418"/>
      <c r="AY1146" s="418"/>
      <c r="AZ1146" s="418"/>
      <c r="BA1146" s="418"/>
    </row>
    <row r="1147" spans="40:53" ht="15.75" customHeight="1">
      <c r="AN1147" s="418"/>
      <c r="AO1147" s="418"/>
      <c r="AP1147" s="418"/>
      <c r="AQ1147" s="418"/>
      <c r="AR1147" s="418"/>
      <c r="AS1147" s="418"/>
      <c r="AT1147" s="418"/>
      <c r="AU1147" s="418"/>
      <c r="AV1147" s="418"/>
      <c r="AW1147" s="418"/>
      <c r="AX1147" s="418"/>
      <c r="AY1147" s="418"/>
      <c r="AZ1147" s="418"/>
      <c r="BA1147" s="418"/>
    </row>
    <row r="1148" spans="40:53" ht="15.75" customHeight="1">
      <c r="AN1148" s="418"/>
      <c r="AO1148" s="418"/>
      <c r="AP1148" s="418"/>
      <c r="AQ1148" s="418"/>
      <c r="AR1148" s="418"/>
      <c r="AS1148" s="418"/>
      <c r="AT1148" s="418"/>
      <c r="AU1148" s="418"/>
      <c r="AV1148" s="418"/>
      <c r="AW1148" s="418"/>
      <c r="AX1148" s="418"/>
      <c r="AY1148" s="418"/>
      <c r="AZ1148" s="418"/>
      <c r="BA1148" s="418"/>
    </row>
    <row r="1149" spans="40:53" ht="15.75" customHeight="1">
      <c r="AN1149" s="418"/>
      <c r="AO1149" s="418"/>
      <c r="AP1149" s="418"/>
      <c r="AQ1149" s="418"/>
      <c r="AR1149" s="418"/>
      <c r="AS1149" s="418"/>
      <c r="AT1149" s="418"/>
      <c r="AU1149" s="418"/>
      <c r="AV1149" s="418"/>
      <c r="AW1149" s="418"/>
      <c r="AX1149" s="418"/>
      <c r="AY1149" s="418"/>
      <c r="AZ1149" s="418"/>
      <c r="BA1149" s="418"/>
    </row>
    <row r="1150" spans="40:53" ht="15.75" customHeight="1">
      <c r="AN1150" s="418"/>
      <c r="AO1150" s="418"/>
      <c r="AP1150" s="418"/>
      <c r="AQ1150" s="418"/>
      <c r="AR1150" s="418"/>
      <c r="AS1150" s="418"/>
      <c r="AT1150" s="418"/>
      <c r="AU1150" s="418"/>
      <c r="AV1150" s="418"/>
      <c r="AW1150" s="418"/>
      <c r="AX1150" s="418"/>
      <c r="AY1150" s="418"/>
      <c r="AZ1150" s="418"/>
      <c r="BA1150" s="418"/>
    </row>
    <row r="1151" spans="40:53" ht="15.75" customHeight="1">
      <c r="AN1151" s="418"/>
      <c r="AO1151" s="418"/>
      <c r="AP1151" s="418"/>
      <c r="AQ1151" s="418"/>
      <c r="AR1151" s="418"/>
      <c r="AS1151" s="418"/>
      <c r="AT1151" s="418"/>
      <c r="AU1151" s="418"/>
      <c r="AV1151" s="418"/>
      <c r="AW1151" s="418"/>
      <c r="AX1151" s="418"/>
      <c r="AY1151" s="418"/>
      <c r="AZ1151" s="418"/>
      <c r="BA1151" s="418"/>
    </row>
    <row r="1152" spans="40:53" ht="15.75" customHeight="1">
      <c r="AN1152" s="418"/>
      <c r="AO1152" s="418"/>
      <c r="AP1152" s="418"/>
      <c r="AQ1152" s="418"/>
      <c r="AR1152" s="418"/>
      <c r="AS1152" s="418"/>
      <c r="AT1152" s="418"/>
      <c r="AU1152" s="418"/>
      <c r="AV1152" s="418"/>
      <c r="AW1152" s="418"/>
      <c r="AX1152" s="418"/>
      <c r="AY1152" s="418"/>
      <c r="AZ1152" s="418"/>
      <c r="BA1152" s="418"/>
    </row>
    <row r="1153" spans="40:53" ht="15.75" customHeight="1">
      <c r="AN1153" s="418"/>
      <c r="AO1153" s="418"/>
      <c r="AP1153" s="418"/>
      <c r="AQ1153" s="418"/>
      <c r="AR1153" s="418"/>
      <c r="AS1153" s="418"/>
      <c r="AT1153" s="418"/>
      <c r="AU1153" s="418"/>
      <c r="AV1153" s="418"/>
      <c r="AW1153" s="418"/>
      <c r="AX1153" s="418"/>
      <c r="AY1153" s="418"/>
      <c r="AZ1153" s="418"/>
      <c r="BA1153" s="418"/>
    </row>
    <row r="1154" spans="40:53" ht="15.75" customHeight="1">
      <c r="AN1154" s="418"/>
      <c r="AO1154" s="418"/>
      <c r="AP1154" s="418"/>
      <c r="AQ1154" s="418"/>
      <c r="AR1154" s="418"/>
      <c r="AS1154" s="418"/>
      <c r="AT1154" s="418"/>
      <c r="AU1154" s="418"/>
      <c r="AV1154" s="418"/>
      <c r="AW1154" s="418"/>
      <c r="AX1154" s="418"/>
      <c r="AY1154" s="418"/>
      <c r="AZ1154" s="418"/>
      <c r="BA1154" s="418"/>
    </row>
    <row r="1155" spans="40:53" ht="15.75" customHeight="1">
      <c r="AN1155" s="418"/>
      <c r="AO1155" s="418"/>
      <c r="AP1155" s="418"/>
      <c r="AQ1155" s="418"/>
      <c r="AR1155" s="418"/>
      <c r="AS1155" s="418"/>
      <c r="AT1155" s="418"/>
      <c r="AU1155" s="418"/>
      <c r="AV1155" s="418"/>
      <c r="AW1155" s="418"/>
      <c r="AX1155" s="418"/>
      <c r="AY1155" s="418"/>
      <c r="AZ1155" s="418"/>
      <c r="BA1155" s="418"/>
    </row>
    <row r="1156" spans="40:53" ht="15.75" customHeight="1">
      <c r="AN1156" s="418"/>
      <c r="AO1156" s="418"/>
      <c r="AP1156" s="418"/>
      <c r="AQ1156" s="418"/>
      <c r="AR1156" s="418"/>
      <c r="AS1156" s="418"/>
      <c r="AT1156" s="418"/>
      <c r="AU1156" s="418"/>
      <c r="AV1156" s="418"/>
      <c r="AW1156" s="418"/>
      <c r="AX1156" s="418"/>
      <c r="AY1156" s="418"/>
      <c r="AZ1156" s="418"/>
      <c r="BA1156" s="418"/>
    </row>
    <row r="1157" spans="40:53" ht="15.75" customHeight="1">
      <c r="AN1157" s="418"/>
      <c r="AO1157" s="418"/>
      <c r="AP1157" s="418"/>
      <c r="AQ1157" s="418"/>
      <c r="AR1157" s="418"/>
      <c r="AS1157" s="418"/>
      <c r="AT1157" s="418"/>
      <c r="AU1157" s="418"/>
      <c r="AV1157" s="418"/>
      <c r="AW1157" s="418"/>
      <c r="AX1157" s="418"/>
      <c r="AY1157" s="418"/>
      <c r="AZ1157" s="418"/>
      <c r="BA1157" s="418"/>
    </row>
    <row r="1158" spans="40:53" ht="15.75" customHeight="1">
      <c r="AN1158" s="418"/>
      <c r="AO1158" s="418"/>
      <c r="AP1158" s="418"/>
      <c r="AQ1158" s="418"/>
      <c r="AR1158" s="418"/>
      <c r="AS1158" s="418"/>
      <c r="AT1158" s="418"/>
      <c r="AU1158" s="418"/>
      <c r="AV1158" s="418"/>
      <c r="AW1158" s="418"/>
      <c r="AX1158" s="418"/>
      <c r="AY1158" s="418"/>
      <c r="AZ1158" s="418"/>
      <c r="BA1158" s="418"/>
    </row>
    <row r="1159" spans="40:53" ht="15.75" customHeight="1">
      <c r="AN1159" s="418"/>
      <c r="AO1159" s="418"/>
      <c r="AP1159" s="418"/>
      <c r="AQ1159" s="418"/>
      <c r="AR1159" s="418"/>
      <c r="AS1159" s="418"/>
      <c r="AT1159" s="418"/>
      <c r="AU1159" s="418"/>
      <c r="AV1159" s="418"/>
      <c r="AW1159" s="418"/>
      <c r="AX1159" s="418"/>
      <c r="AY1159" s="418"/>
      <c r="AZ1159" s="418"/>
      <c r="BA1159" s="418"/>
    </row>
    <row r="1160" spans="40:53" ht="15.75" customHeight="1">
      <c r="AN1160" s="418"/>
      <c r="AO1160" s="418"/>
      <c r="AP1160" s="418"/>
      <c r="AQ1160" s="418"/>
      <c r="AR1160" s="418"/>
      <c r="AS1160" s="418"/>
      <c r="AT1160" s="418"/>
      <c r="AU1160" s="418"/>
      <c r="AV1160" s="418"/>
      <c r="AW1160" s="418"/>
      <c r="AX1160" s="418"/>
      <c r="AY1160" s="418"/>
      <c r="AZ1160" s="418"/>
      <c r="BA1160" s="418"/>
    </row>
    <row r="1161" spans="40:53" ht="15.75" customHeight="1">
      <c r="AN1161" s="418"/>
      <c r="AO1161" s="418"/>
      <c r="AP1161" s="418"/>
      <c r="AQ1161" s="418"/>
      <c r="AR1161" s="418"/>
      <c r="AS1161" s="418"/>
      <c r="AT1161" s="418"/>
      <c r="AU1161" s="418"/>
      <c r="AV1161" s="418"/>
      <c r="AW1161" s="418"/>
      <c r="AX1161" s="418"/>
      <c r="AY1161" s="418"/>
      <c r="AZ1161" s="418"/>
      <c r="BA1161" s="418"/>
    </row>
    <row r="1162" spans="40:53" ht="15.75" customHeight="1">
      <c r="AN1162" s="418"/>
      <c r="AO1162" s="418"/>
      <c r="AP1162" s="418"/>
      <c r="AQ1162" s="418"/>
      <c r="AR1162" s="418"/>
      <c r="AS1162" s="418"/>
      <c r="AT1162" s="418"/>
      <c r="AU1162" s="418"/>
      <c r="AV1162" s="418"/>
      <c r="AW1162" s="418"/>
      <c r="AX1162" s="418"/>
      <c r="AY1162" s="418"/>
      <c r="AZ1162" s="418"/>
      <c r="BA1162" s="418"/>
    </row>
    <row r="1163" spans="40:53" ht="15.75" customHeight="1">
      <c r="AN1163" s="418"/>
      <c r="AO1163" s="418"/>
      <c r="AP1163" s="418"/>
      <c r="AQ1163" s="418"/>
      <c r="AR1163" s="418"/>
      <c r="AS1163" s="418"/>
      <c r="AT1163" s="418"/>
      <c r="AU1163" s="418"/>
      <c r="AV1163" s="418"/>
      <c r="AW1163" s="418"/>
      <c r="AX1163" s="418"/>
      <c r="AY1163" s="418"/>
      <c r="AZ1163" s="418"/>
      <c r="BA1163" s="418"/>
    </row>
    <row r="1164" spans="40:53" ht="15.75" customHeight="1">
      <c r="AN1164" s="418"/>
      <c r="AO1164" s="418"/>
      <c r="AP1164" s="418"/>
      <c r="AQ1164" s="418"/>
      <c r="AR1164" s="418"/>
      <c r="AS1164" s="418"/>
      <c r="AT1164" s="418"/>
      <c r="AU1164" s="418"/>
      <c r="AV1164" s="418"/>
      <c r="AW1164" s="418"/>
      <c r="AX1164" s="418"/>
      <c r="AY1164" s="418"/>
      <c r="AZ1164" s="418"/>
      <c r="BA1164" s="418"/>
    </row>
    <row r="1165" spans="40:53" ht="15.75" customHeight="1">
      <c r="AN1165" s="418"/>
      <c r="AO1165" s="418"/>
      <c r="AP1165" s="418"/>
      <c r="AQ1165" s="418"/>
      <c r="AR1165" s="418"/>
      <c r="AS1165" s="418"/>
      <c r="AT1165" s="418"/>
      <c r="AU1165" s="418"/>
      <c r="AV1165" s="418"/>
      <c r="AW1165" s="418"/>
      <c r="AX1165" s="418"/>
      <c r="AY1165" s="418"/>
      <c r="AZ1165" s="418"/>
      <c r="BA1165" s="418"/>
    </row>
    <row r="1166" spans="40:53" ht="15.75" customHeight="1">
      <c r="AN1166" s="418"/>
      <c r="AO1166" s="418"/>
      <c r="AP1166" s="418"/>
      <c r="AQ1166" s="418"/>
      <c r="AR1166" s="418"/>
      <c r="AS1166" s="418"/>
      <c r="AT1166" s="418"/>
      <c r="AU1166" s="418"/>
      <c r="AV1166" s="418"/>
      <c r="AW1166" s="418"/>
      <c r="AX1166" s="418"/>
      <c r="AY1166" s="418"/>
      <c r="AZ1166" s="418"/>
      <c r="BA1166" s="418"/>
    </row>
    <row r="1167" spans="40:53" ht="15.75" customHeight="1">
      <c r="AN1167" s="418"/>
      <c r="AO1167" s="418"/>
      <c r="AP1167" s="418"/>
      <c r="AQ1167" s="418"/>
      <c r="AR1167" s="418"/>
      <c r="AS1167" s="418"/>
      <c r="AT1167" s="418"/>
      <c r="AU1167" s="418"/>
      <c r="AV1167" s="418"/>
      <c r="AW1167" s="418"/>
      <c r="AX1167" s="418"/>
      <c r="AY1167" s="418"/>
      <c r="AZ1167" s="418"/>
      <c r="BA1167" s="418"/>
    </row>
    <row r="1168" spans="40:53" ht="15.75" customHeight="1">
      <c r="AN1168" s="418"/>
      <c r="AO1168" s="418"/>
      <c r="AP1168" s="418"/>
      <c r="AQ1168" s="418"/>
      <c r="AR1168" s="418"/>
      <c r="AS1168" s="418"/>
      <c r="AT1168" s="418"/>
      <c r="AU1168" s="418"/>
      <c r="AV1168" s="418"/>
      <c r="AW1168" s="418"/>
      <c r="AX1168" s="418"/>
      <c r="AY1168" s="418"/>
      <c r="AZ1168" s="418"/>
      <c r="BA1168" s="418"/>
    </row>
    <row r="1169" spans="40:53" ht="15.75" customHeight="1">
      <c r="AN1169" s="418"/>
      <c r="AO1169" s="418"/>
      <c r="AP1169" s="418"/>
      <c r="AQ1169" s="418"/>
      <c r="AR1169" s="418"/>
      <c r="AS1169" s="418"/>
      <c r="AT1169" s="418"/>
      <c r="AU1169" s="418"/>
      <c r="AV1169" s="418"/>
      <c r="AW1169" s="418"/>
      <c r="AX1169" s="418"/>
      <c r="AY1169" s="418"/>
      <c r="AZ1169" s="418"/>
      <c r="BA1169" s="418"/>
    </row>
    <row r="1170" spans="40:53" ht="15.75" customHeight="1">
      <c r="AN1170" s="418"/>
      <c r="AO1170" s="418"/>
      <c r="AP1170" s="418"/>
      <c r="AQ1170" s="418"/>
      <c r="AR1170" s="418"/>
      <c r="AS1170" s="418"/>
      <c r="AT1170" s="418"/>
      <c r="AU1170" s="418"/>
      <c r="AV1170" s="418"/>
      <c r="AW1170" s="418"/>
      <c r="AX1170" s="418"/>
      <c r="AY1170" s="418"/>
      <c r="AZ1170" s="418"/>
      <c r="BA1170" s="418"/>
    </row>
    <row r="1171" spans="40:53" ht="15.75" customHeight="1">
      <c r="AN1171" s="418"/>
      <c r="AO1171" s="418"/>
      <c r="AP1171" s="418"/>
      <c r="AQ1171" s="418"/>
      <c r="AR1171" s="418"/>
      <c r="AS1171" s="418"/>
      <c r="AT1171" s="418"/>
      <c r="AU1171" s="418"/>
      <c r="AV1171" s="418"/>
      <c r="AW1171" s="418"/>
      <c r="AX1171" s="418"/>
      <c r="AY1171" s="418"/>
      <c r="AZ1171" s="418"/>
      <c r="BA1171" s="418"/>
    </row>
    <row r="1172" spans="40:53" ht="15.75" customHeight="1">
      <c r="AN1172" s="418"/>
      <c r="AO1172" s="418"/>
      <c r="AP1172" s="418"/>
      <c r="AQ1172" s="418"/>
      <c r="AR1172" s="418"/>
      <c r="AS1172" s="418"/>
      <c r="AT1172" s="418"/>
      <c r="AU1172" s="418"/>
      <c r="AV1172" s="418"/>
      <c r="AW1172" s="418"/>
      <c r="AX1172" s="418"/>
      <c r="AY1172" s="418"/>
      <c r="AZ1172" s="418"/>
      <c r="BA1172" s="418"/>
    </row>
    <row r="1173" spans="40:53" ht="15.75" customHeight="1">
      <c r="AN1173" s="418"/>
      <c r="AO1173" s="418"/>
      <c r="AP1173" s="418"/>
      <c r="AQ1173" s="418"/>
      <c r="AR1173" s="418"/>
      <c r="AS1173" s="418"/>
      <c r="AT1173" s="418"/>
      <c r="AU1173" s="418"/>
      <c r="AV1173" s="418"/>
      <c r="AW1173" s="418"/>
      <c r="AX1173" s="418"/>
      <c r="AY1173" s="418"/>
      <c r="AZ1173" s="418"/>
      <c r="BA1173" s="418"/>
    </row>
    <row r="1174" spans="40:53" ht="15.75" customHeight="1">
      <c r="AN1174" s="418"/>
      <c r="AO1174" s="418"/>
      <c r="AP1174" s="418"/>
      <c r="AQ1174" s="418"/>
      <c r="AR1174" s="418"/>
      <c r="AS1174" s="418"/>
      <c r="AT1174" s="418"/>
      <c r="AU1174" s="418"/>
      <c r="AV1174" s="418"/>
      <c r="AW1174" s="418"/>
      <c r="AX1174" s="418"/>
      <c r="AY1174" s="418"/>
      <c r="AZ1174" s="418"/>
      <c r="BA1174" s="418"/>
    </row>
    <row r="1175" spans="40:53" ht="15.75" customHeight="1">
      <c r="AN1175" s="418"/>
      <c r="AO1175" s="418"/>
      <c r="AP1175" s="418"/>
      <c r="AQ1175" s="418"/>
      <c r="AR1175" s="418"/>
      <c r="AS1175" s="418"/>
      <c r="AT1175" s="418"/>
      <c r="AU1175" s="418"/>
      <c r="AV1175" s="418"/>
      <c r="AW1175" s="418"/>
      <c r="AX1175" s="418"/>
      <c r="AY1175" s="418"/>
      <c r="AZ1175" s="418"/>
      <c r="BA1175" s="418"/>
    </row>
    <row r="1176" spans="40:53" ht="15.75" customHeight="1">
      <c r="AN1176" s="418"/>
      <c r="AO1176" s="418"/>
      <c r="AP1176" s="418"/>
      <c r="AQ1176" s="418"/>
      <c r="AR1176" s="418"/>
      <c r="AS1176" s="418"/>
      <c r="AT1176" s="418"/>
      <c r="AU1176" s="418"/>
      <c r="AV1176" s="418"/>
      <c r="AW1176" s="418"/>
      <c r="AX1176" s="418"/>
      <c r="AY1176" s="418"/>
      <c r="AZ1176" s="418"/>
      <c r="BA1176" s="418"/>
    </row>
    <row r="1177" spans="40:53" ht="15.75" customHeight="1">
      <c r="AN1177" s="418"/>
      <c r="AO1177" s="418"/>
      <c r="AP1177" s="418"/>
      <c r="AQ1177" s="418"/>
      <c r="AR1177" s="418"/>
      <c r="AS1177" s="418"/>
      <c r="AT1177" s="418"/>
      <c r="AU1177" s="418"/>
      <c r="AV1177" s="418"/>
      <c r="AW1177" s="418"/>
      <c r="AX1177" s="418"/>
      <c r="AY1177" s="418"/>
      <c r="AZ1177" s="418"/>
      <c r="BA1177" s="418"/>
    </row>
    <row r="1178" spans="40:53" ht="15.75" customHeight="1">
      <c r="AN1178" s="418"/>
      <c r="AO1178" s="418"/>
      <c r="AP1178" s="418"/>
      <c r="AQ1178" s="418"/>
      <c r="AR1178" s="418"/>
      <c r="AS1178" s="418"/>
      <c r="AT1178" s="418"/>
      <c r="AU1178" s="418"/>
      <c r="AV1178" s="418"/>
      <c r="AW1178" s="418"/>
      <c r="AX1178" s="418"/>
      <c r="AY1178" s="418"/>
      <c r="AZ1178" s="418"/>
      <c r="BA1178" s="418"/>
    </row>
    <row r="1179" spans="40:53" ht="15.75" customHeight="1">
      <c r="AN1179" s="418"/>
      <c r="AO1179" s="418"/>
      <c r="AP1179" s="418"/>
      <c r="AQ1179" s="418"/>
      <c r="AR1179" s="418"/>
      <c r="AS1179" s="418"/>
      <c r="AT1179" s="418"/>
      <c r="AU1179" s="418"/>
      <c r="AV1179" s="418"/>
      <c r="AW1179" s="418"/>
      <c r="AX1179" s="418"/>
      <c r="AY1179" s="418"/>
      <c r="AZ1179" s="418"/>
      <c r="BA1179" s="418"/>
    </row>
    <row r="1180" spans="40:53" ht="15.75" customHeight="1">
      <c r="AN1180" s="418"/>
      <c r="AO1180" s="418"/>
      <c r="AP1180" s="418"/>
      <c r="AQ1180" s="418"/>
      <c r="AR1180" s="418"/>
      <c r="AS1180" s="418"/>
      <c r="AT1180" s="418"/>
      <c r="AU1180" s="418"/>
      <c r="AV1180" s="418"/>
      <c r="AW1180" s="418"/>
      <c r="AX1180" s="418"/>
      <c r="AY1180" s="418"/>
      <c r="AZ1180" s="418"/>
      <c r="BA1180" s="418"/>
    </row>
    <row r="1181" spans="40:53" ht="15.75" customHeight="1">
      <c r="AN1181" s="418"/>
      <c r="AO1181" s="418"/>
      <c r="AP1181" s="418"/>
      <c r="AQ1181" s="418"/>
      <c r="AR1181" s="418"/>
      <c r="AS1181" s="418"/>
      <c r="AT1181" s="418"/>
      <c r="AU1181" s="418"/>
      <c r="AV1181" s="418"/>
      <c r="AW1181" s="418"/>
      <c r="AX1181" s="418"/>
      <c r="AY1181" s="418"/>
      <c r="AZ1181" s="418"/>
      <c r="BA1181" s="418"/>
    </row>
    <row r="1182" spans="40:53" ht="15.75" customHeight="1">
      <c r="AN1182" s="418"/>
      <c r="AO1182" s="418"/>
      <c r="AP1182" s="418"/>
      <c r="AQ1182" s="418"/>
      <c r="AR1182" s="418"/>
      <c r="AS1182" s="418"/>
      <c r="AT1182" s="418"/>
      <c r="AU1182" s="418"/>
      <c r="AV1182" s="418"/>
      <c r="AW1182" s="418"/>
      <c r="AX1182" s="418"/>
      <c r="AY1182" s="418"/>
      <c r="AZ1182" s="418"/>
      <c r="BA1182" s="418"/>
    </row>
    <row r="1183" spans="40:53" ht="15.75" customHeight="1">
      <c r="AN1183" s="418"/>
      <c r="AO1183" s="418"/>
      <c r="AP1183" s="418"/>
      <c r="AQ1183" s="418"/>
      <c r="AR1183" s="418"/>
      <c r="AS1183" s="418"/>
      <c r="AT1183" s="418"/>
      <c r="AU1183" s="418"/>
      <c r="AV1183" s="418"/>
      <c r="AW1183" s="418"/>
      <c r="AX1183" s="418"/>
      <c r="AY1183" s="418"/>
      <c r="AZ1183" s="418"/>
      <c r="BA1183" s="418"/>
    </row>
    <row r="1184" spans="40:53" ht="15.75" customHeight="1">
      <c r="AN1184" s="418"/>
      <c r="AO1184" s="418"/>
      <c r="AP1184" s="418"/>
      <c r="AQ1184" s="418"/>
      <c r="AR1184" s="418"/>
      <c r="AS1184" s="418"/>
      <c r="AT1184" s="418"/>
      <c r="AU1184" s="418"/>
      <c r="AV1184" s="418"/>
      <c r="AW1184" s="418"/>
      <c r="AX1184" s="418"/>
      <c r="AY1184" s="418"/>
      <c r="AZ1184" s="418"/>
      <c r="BA1184" s="418"/>
    </row>
    <row r="1185" spans="40:53" ht="15.75" customHeight="1">
      <c r="AN1185" s="418"/>
      <c r="AO1185" s="418"/>
      <c r="AP1185" s="418"/>
      <c r="AQ1185" s="418"/>
      <c r="AR1185" s="418"/>
      <c r="AS1185" s="418"/>
      <c r="AT1185" s="418"/>
      <c r="AU1185" s="418"/>
      <c r="AV1185" s="418"/>
      <c r="AW1185" s="418"/>
      <c r="AX1185" s="418"/>
      <c r="AY1185" s="418"/>
      <c r="AZ1185" s="418"/>
      <c r="BA1185" s="418"/>
    </row>
    <row r="1186" spans="40:53" ht="15.75" customHeight="1">
      <c r="AN1186" s="418"/>
      <c r="AO1186" s="418"/>
      <c r="AP1186" s="418"/>
      <c r="AQ1186" s="418"/>
      <c r="AR1186" s="418"/>
      <c r="AS1186" s="418"/>
      <c r="AT1186" s="418"/>
      <c r="AU1186" s="418"/>
      <c r="AV1186" s="418"/>
      <c r="AW1186" s="418"/>
      <c r="AX1186" s="418"/>
      <c r="AY1186" s="418"/>
      <c r="AZ1186" s="418"/>
      <c r="BA1186" s="418"/>
    </row>
    <row r="1187" spans="40:53" ht="15.75" customHeight="1">
      <c r="AN1187" s="418"/>
      <c r="AO1187" s="418"/>
      <c r="AP1187" s="418"/>
      <c r="AQ1187" s="418"/>
      <c r="AR1187" s="418"/>
      <c r="AS1187" s="418"/>
      <c r="AT1187" s="418"/>
      <c r="AU1187" s="418"/>
      <c r="AV1187" s="418"/>
      <c r="AW1187" s="418"/>
      <c r="AX1187" s="418"/>
      <c r="AY1187" s="418"/>
      <c r="AZ1187" s="418"/>
      <c r="BA1187" s="418"/>
    </row>
    <row r="1188" spans="40:53" ht="15.75" customHeight="1">
      <c r="AN1188" s="418"/>
      <c r="AO1188" s="418"/>
      <c r="AP1188" s="418"/>
      <c r="AQ1188" s="418"/>
      <c r="AR1188" s="418"/>
      <c r="AS1188" s="418"/>
      <c r="AT1188" s="418"/>
      <c r="AU1188" s="418"/>
      <c r="AV1188" s="418"/>
      <c r="AW1188" s="418"/>
      <c r="AX1188" s="418"/>
      <c r="AY1188" s="418"/>
      <c r="AZ1188" s="418"/>
      <c r="BA1188" s="418"/>
    </row>
    <row r="1189" spans="40:53" ht="15.75" customHeight="1">
      <c r="AN1189" s="418"/>
      <c r="AO1189" s="418"/>
      <c r="AP1189" s="418"/>
      <c r="AQ1189" s="418"/>
      <c r="AR1189" s="418"/>
      <c r="AS1189" s="418"/>
      <c r="AT1189" s="418"/>
      <c r="AU1189" s="418"/>
      <c r="AV1189" s="418"/>
      <c r="AW1189" s="418"/>
      <c r="AX1189" s="418"/>
      <c r="AY1189" s="418"/>
      <c r="AZ1189" s="418"/>
      <c r="BA1189" s="418"/>
    </row>
    <row r="1190" spans="40:53" ht="15.75" customHeight="1">
      <c r="AN1190" s="418"/>
      <c r="AO1190" s="418"/>
      <c r="AP1190" s="418"/>
      <c r="AQ1190" s="418"/>
      <c r="AR1190" s="418"/>
      <c r="AS1190" s="418"/>
      <c r="AT1190" s="418"/>
      <c r="AU1190" s="418"/>
      <c r="AV1190" s="418"/>
      <c r="AW1190" s="418"/>
      <c r="AX1190" s="418"/>
      <c r="AY1190" s="418"/>
      <c r="AZ1190" s="418"/>
      <c r="BA1190" s="418"/>
    </row>
    <row r="1191" spans="40:53" ht="15.75" customHeight="1">
      <c r="AN1191" s="418"/>
      <c r="AO1191" s="418"/>
      <c r="AP1191" s="418"/>
      <c r="AQ1191" s="418"/>
      <c r="AR1191" s="418"/>
      <c r="AS1191" s="418"/>
      <c r="AT1191" s="418"/>
      <c r="AU1191" s="418"/>
      <c r="AV1191" s="418"/>
      <c r="AW1191" s="418"/>
      <c r="AX1191" s="418"/>
      <c r="AY1191" s="418"/>
      <c r="AZ1191" s="418"/>
      <c r="BA1191" s="418"/>
    </row>
    <row r="1192" spans="40:53" ht="15.75" customHeight="1">
      <c r="AN1192" s="418"/>
      <c r="AO1192" s="418"/>
      <c r="AP1192" s="418"/>
      <c r="AQ1192" s="418"/>
      <c r="AR1192" s="418"/>
      <c r="AS1192" s="418"/>
      <c r="AT1192" s="418"/>
      <c r="AU1192" s="418"/>
      <c r="AV1192" s="418"/>
      <c r="AW1192" s="418"/>
      <c r="AX1192" s="418"/>
      <c r="AY1192" s="418"/>
      <c r="AZ1192" s="418"/>
      <c r="BA1192" s="418"/>
    </row>
    <row r="1193" spans="40:53" ht="15.75" customHeight="1">
      <c r="AN1193" s="418"/>
      <c r="AO1193" s="418"/>
      <c r="AP1193" s="418"/>
      <c r="AQ1193" s="418"/>
      <c r="AR1193" s="418"/>
      <c r="AS1193" s="418"/>
      <c r="AT1193" s="418"/>
      <c r="AU1193" s="418"/>
      <c r="AV1193" s="418"/>
      <c r="AW1193" s="418"/>
      <c r="AX1193" s="418"/>
      <c r="AY1193" s="418"/>
      <c r="AZ1193" s="418"/>
      <c r="BA1193" s="418"/>
    </row>
    <row r="1194" spans="40:53" ht="15.75" customHeight="1">
      <c r="AN1194" s="418"/>
      <c r="AO1194" s="418"/>
      <c r="AP1194" s="418"/>
      <c r="AQ1194" s="418"/>
      <c r="AR1194" s="418"/>
      <c r="AS1194" s="418"/>
      <c r="AT1194" s="418"/>
      <c r="AU1194" s="418"/>
      <c r="AV1194" s="418"/>
      <c r="AW1194" s="418"/>
      <c r="AX1194" s="418"/>
      <c r="AY1194" s="418"/>
      <c r="AZ1194" s="418"/>
      <c r="BA1194" s="418"/>
    </row>
    <row r="1195" spans="40:53" ht="15.75" customHeight="1">
      <c r="AN1195" s="418"/>
      <c r="AO1195" s="418"/>
      <c r="AP1195" s="418"/>
      <c r="AQ1195" s="418"/>
      <c r="AR1195" s="418"/>
      <c r="AS1195" s="418"/>
      <c r="AT1195" s="418"/>
      <c r="AU1195" s="418"/>
      <c r="AV1195" s="418"/>
      <c r="AW1195" s="418"/>
      <c r="AX1195" s="418"/>
      <c r="AY1195" s="418"/>
      <c r="AZ1195" s="418"/>
      <c r="BA1195" s="418"/>
    </row>
    <row r="1196" spans="40:53" ht="15.75" customHeight="1">
      <c r="AN1196" s="418"/>
      <c r="AO1196" s="418"/>
      <c r="AP1196" s="418"/>
      <c r="AQ1196" s="418"/>
      <c r="AR1196" s="418"/>
      <c r="AS1196" s="418"/>
      <c r="AT1196" s="418"/>
      <c r="AU1196" s="418"/>
      <c r="AV1196" s="418"/>
      <c r="AW1196" s="418"/>
      <c r="AX1196" s="418"/>
      <c r="AY1196" s="418"/>
      <c r="AZ1196" s="418"/>
      <c r="BA1196" s="418"/>
    </row>
    <row r="1197" spans="40:53" ht="15.75" customHeight="1">
      <c r="AN1197" s="418"/>
      <c r="AO1197" s="418"/>
      <c r="AP1197" s="418"/>
      <c r="AQ1197" s="418"/>
      <c r="AR1197" s="418"/>
      <c r="AS1197" s="418"/>
      <c r="AT1197" s="418"/>
      <c r="AU1197" s="418"/>
      <c r="AV1197" s="418"/>
      <c r="AW1197" s="418"/>
      <c r="AX1197" s="418"/>
      <c r="AY1197" s="418"/>
      <c r="AZ1197" s="418"/>
      <c r="BA1197" s="418"/>
    </row>
    <row r="1198" spans="40:53" ht="15.75" customHeight="1">
      <c r="AN1198" s="418"/>
      <c r="AO1198" s="418"/>
      <c r="AP1198" s="418"/>
      <c r="AQ1198" s="418"/>
      <c r="AR1198" s="418"/>
      <c r="AS1198" s="418"/>
      <c r="AT1198" s="418"/>
      <c r="AU1198" s="418"/>
      <c r="AV1198" s="418"/>
      <c r="AW1198" s="418"/>
      <c r="AX1198" s="418"/>
      <c r="AY1198" s="418"/>
      <c r="AZ1198" s="418"/>
      <c r="BA1198" s="418"/>
    </row>
    <row r="1199" spans="40:53" ht="15.75" customHeight="1">
      <c r="AN1199" s="418"/>
      <c r="AO1199" s="418"/>
      <c r="AP1199" s="418"/>
      <c r="AQ1199" s="418"/>
      <c r="AR1199" s="418"/>
      <c r="AS1199" s="418"/>
      <c r="AT1199" s="418"/>
      <c r="AU1199" s="418"/>
      <c r="AV1199" s="418"/>
      <c r="AW1199" s="418"/>
      <c r="AX1199" s="418"/>
      <c r="AY1199" s="418"/>
      <c r="AZ1199" s="418"/>
      <c r="BA1199" s="418"/>
    </row>
    <row r="1200" spans="40:53" ht="15.75" customHeight="1">
      <c r="AN1200" s="418"/>
      <c r="AO1200" s="418"/>
      <c r="AP1200" s="418"/>
      <c r="AQ1200" s="418"/>
      <c r="AR1200" s="418"/>
      <c r="AS1200" s="418"/>
      <c r="AT1200" s="418"/>
      <c r="AU1200" s="418"/>
      <c r="AV1200" s="418"/>
      <c r="AW1200" s="418"/>
      <c r="AX1200" s="418"/>
      <c r="AY1200" s="418"/>
      <c r="AZ1200" s="418"/>
      <c r="BA1200" s="418"/>
    </row>
    <row r="1201" spans="40:53" ht="15.75" customHeight="1">
      <c r="AN1201" s="418"/>
      <c r="AO1201" s="418"/>
      <c r="AP1201" s="418"/>
      <c r="AQ1201" s="418"/>
      <c r="AR1201" s="418"/>
      <c r="AS1201" s="418"/>
      <c r="AT1201" s="418"/>
      <c r="AU1201" s="418"/>
      <c r="AV1201" s="418"/>
      <c r="AW1201" s="418"/>
      <c r="AX1201" s="418"/>
      <c r="AY1201" s="418"/>
      <c r="AZ1201" s="418"/>
      <c r="BA1201" s="418"/>
    </row>
    <row r="1202" spans="40:53" ht="15.75" customHeight="1">
      <c r="AN1202" s="418"/>
      <c r="AO1202" s="418"/>
      <c r="AP1202" s="418"/>
      <c r="AQ1202" s="418"/>
      <c r="AR1202" s="418"/>
      <c r="AS1202" s="418"/>
      <c r="AT1202" s="418"/>
      <c r="AU1202" s="418"/>
      <c r="AV1202" s="418"/>
      <c r="AW1202" s="418"/>
      <c r="AX1202" s="418"/>
      <c r="AY1202" s="418"/>
      <c r="AZ1202" s="418"/>
      <c r="BA1202" s="418"/>
    </row>
    <row r="1203" spans="40:53" ht="15.75" customHeight="1">
      <c r="AN1203" s="418"/>
      <c r="AO1203" s="418"/>
      <c r="AP1203" s="418"/>
      <c r="AQ1203" s="418"/>
      <c r="AR1203" s="418"/>
      <c r="AS1203" s="418"/>
      <c r="AT1203" s="418"/>
      <c r="AU1203" s="418"/>
      <c r="AV1203" s="418"/>
      <c r="AW1203" s="418"/>
      <c r="AX1203" s="418"/>
      <c r="AY1203" s="418"/>
      <c r="AZ1203" s="418"/>
      <c r="BA1203" s="418"/>
    </row>
    <row r="1204" spans="40:53" ht="15.75" customHeight="1">
      <c r="AN1204" s="418"/>
      <c r="AO1204" s="418"/>
      <c r="AP1204" s="418"/>
      <c r="AQ1204" s="418"/>
      <c r="AR1204" s="418"/>
      <c r="AS1204" s="418"/>
      <c r="AT1204" s="418"/>
      <c r="AU1204" s="418"/>
      <c r="AV1204" s="418"/>
      <c r="AW1204" s="418"/>
      <c r="AX1204" s="418"/>
      <c r="AY1204" s="418"/>
      <c r="AZ1204" s="418"/>
      <c r="BA1204" s="418"/>
    </row>
    <row r="1205" spans="40:53" ht="15.75" customHeight="1">
      <c r="AN1205" s="418"/>
      <c r="AO1205" s="418"/>
      <c r="AP1205" s="418"/>
      <c r="AQ1205" s="418"/>
      <c r="AR1205" s="418"/>
      <c r="AS1205" s="418"/>
      <c r="AT1205" s="418"/>
      <c r="AU1205" s="418"/>
      <c r="AV1205" s="418"/>
      <c r="AW1205" s="418"/>
      <c r="AX1205" s="418"/>
      <c r="AY1205" s="418"/>
      <c r="AZ1205" s="418"/>
      <c r="BA1205" s="418"/>
    </row>
    <row r="1206" spans="40:53" ht="15.75" customHeight="1">
      <c r="AN1206" s="418"/>
      <c r="AO1206" s="418"/>
      <c r="AP1206" s="418"/>
      <c r="AQ1206" s="418"/>
      <c r="AR1206" s="418"/>
      <c r="AS1206" s="418"/>
      <c r="AT1206" s="418"/>
      <c r="AU1206" s="418"/>
      <c r="AV1206" s="418"/>
      <c r="AW1206" s="418"/>
      <c r="AX1206" s="418"/>
      <c r="AY1206" s="418"/>
      <c r="AZ1206" s="418"/>
      <c r="BA1206" s="418"/>
    </row>
    <row r="1207" spans="40:53" ht="15.75" customHeight="1">
      <c r="AN1207" s="418"/>
      <c r="AO1207" s="418"/>
      <c r="AP1207" s="418"/>
      <c r="AQ1207" s="418"/>
      <c r="AR1207" s="418"/>
      <c r="AS1207" s="418"/>
      <c r="AT1207" s="418"/>
      <c r="AU1207" s="418"/>
      <c r="AV1207" s="418"/>
      <c r="AW1207" s="418"/>
      <c r="AX1207" s="418"/>
      <c r="AY1207" s="418"/>
      <c r="AZ1207" s="418"/>
      <c r="BA1207" s="418"/>
    </row>
    <row r="1208" spans="40:53" ht="15.75" customHeight="1">
      <c r="AN1208" s="418"/>
      <c r="AO1208" s="418"/>
      <c r="AP1208" s="418"/>
      <c r="AQ1208" s="418"/>
      <c r="AR1208" s="418"/>
      <c r="AS1208" s="418"/>
      <c r="AT1208" s="418"/>
      <c r="AU1208" s="418"/>
      <c r="AV1208" s="418"/>
      <c r="AW1208" s="418"/>
      <c r="AX1208" s="418"/>
      <c r="AY1208" s="418"/>
      <c r="AZ1208" s="418"/>
      <c r="BA1208" s="418"/>
    </row>
    <row r="1209" spans="40:53" ht="15.75" customHeight="1">
      <c r="AN1209" s="418"/>
      <c r="AO1209" s="418"/>
      <c r="AP1209" s="418"/>
      <c r="AQ1209" s="418"/>
      <c r="AR1209" s="418"/>
      <c r="AS1209" s="418"/>
      <c r="AT1209" s="418"/>
      <c r="AU1209" s="418"/>
      <c r="AV1209" s="418"/>
      <c r="AW1209" s="418"/>
      <c r="AX1209" s="418"/>
      <c r="AY1209" s="418"/>
      <c r="AZ1209" s="418"/>
      <c r="BA1209" s="418"/>
    </row>
    <row r="1210" spans="40:53" ht="15.75" customHeight="1">
      <c r="AN1210" s="418"/>
      <c r="AO1210" s="418"/>
      <c r="AP1210" s="418"/>
      <c r="AQ1210" s="418"/>
      <c r="AR1210" s="418"/>
      <c r="AS1210" s="418"/>
      <c r="AT1210" s="418"/>
      <c r="AU1210" s="418"/>
      <c r="AV1210" s="418"/>
      <c r="AW1210" s="418"/>
      <c r="AX1210" s="418"/>
      <c r="AY1210" s="418"/>
      <c r="AZ1210" s="418"/>
      <c r="BA1210" s="418"/>
    </row>
    <row r="1211" spans="40:53" ht="15.75" customHeight="1">
      <c r="AN1211" s="418"/>
      <c r="AO1211" s="418"/>
      <c r="AP1211" s="418"/>
      <c r="AQ1211" s="418"/>
      <c r="AR1211" s="418"/>
      <c r="AS1211" s="418"/>
      <c r="AT1211" s="418"/>
      <c r="AU1211" s="418"/>
      <c r="AV1211" s="418"/>
      <c r="AW1211" s="418"/>
      <c r="AX1211" s="418"/>
      <c r="AY1211" s="418"/>
      <c r="AZ1211" s="418"/>
      <c r="BA1211" s="418"/>
    </row>
    <row r="1212" spans="40:53" ht="15.75" customHeight="1">
      <c r="AN1212" s="418"/>
      <c r="AO1212" s="418"/>
      <c r="AP1212" s="418"/>
      <c r="AQ1212" s="418"/>
      <c r="AR1212" s="418"/>
      <c r="AS1212" s="418"/>
      <c r="AT1212" s="418"/>
      <c r="AU1212" s="418"/>
      <c r="AV1212" s="418"/>
      <c r="AW1212" s="418"/>
      <c r="AX1212" s="418"/>
      <c r="AY1212" s="418"/>
      <c r="AZ1212" s="418"/>
      <c r="BA1212" s="418"/>
    </row>
    <row r="1213" spans="40:53" ht="15.75" customHeight="1">
      <c r="AN1213" s="418"/>
      <c r="AO1213" s="418"/>
      <c r="AP1213" s="418"/>
      <c r="AQ1213" s="418"/>
      <c r="AR1213" s="418"/>
      <c r="AS1213" s="418"/>
      <c r="AT1213" s="418"/>
      <c r="AU1213" s="418"/>
      <c r="AV1213" s="418"/>
      <c r="AW1213" s="418"/>
      <c r="AX1213" s="418"/>
      <c r="AY1213" s="418"/>
      <c r="AZ1213" s="418"/>
      <c r="BA1213" s="418"/>
    </row>
    <row r="1214" spans="40:53" ht="15.75" customHeight="1">
      <c r="AN1214" s="418"/>
      <c r="AO1214" s="418"/>
      <c r="AP1214" s="418"/>
      <c r="AQ1214" s="418"/>
      <c r="AR1214" s="418"/>
      <c r="AS1214" s="418"/>
      <c r="AT1214" s="418"/>
      <c r="AU1214" s="418"/>
      <c r="AV1214" s="418"/>
      <c r="AW1214" s="418"/>
      <c r="AX1214" s="418"/>
      <c r="AY1214" s="418"/>
      <c r="AZ1214" s="418"/>
      <c r="BA1214" s="418"/>
    </row>
    <row r="1215" spans="40:53" ht="15.75" customHeight="1">
      <c r="AN1215" s="418"/>
      <c r="AO1215" s="418"/>
      <c r="AP1215" s="418"/>
      <c r="AQ1215" s="418"/>
      <c r="AR1215" s="418"/>
      <c r="AS1215" s="418"/>
      <c r="AT1215" s="418"/>
      <c r="AU1215" s="418"/>
      <c r="AV1215" s="418"/>
      <c r="AW1215" s="418"/>
      <c r="AX1215" s="418"/>
      <c r="AY1215" s="418"/>
      <c r="AZ1215" s="418"/>
      <c r="BA1215" s="418"/>
    </row>
    <row r="1216" spans="40:53" ht="15.75" customHeight="1">
      <c r="AN1216" s="418"/>
      <c r="AO1216" s="418"/>
      <c r="AP1216" s="418"/>
      <c r="AQ1216" s="418"/>
      <c r="AR1216" s="418"/>
      <c r="AS1216" s="418"/>
      <c r="AT1216" s="418"/>
      <c r="AU1216" s="418"/>
      <c r="AV1216" s="418"/>
      <c r="AW1216" s="418"/>
      <c r="AX1216" s="418"/>
      <c r="AY1216" s="418"/>
      <c r="AZ1216" s="418"/>
      <c r="BA1216" s="418"/>
    </row>
    <row r="1217" spans="40:53" ht="15.75" customHeight="1">
      <c r="AN1217" s="418"/>
      <c r="AO1217" s="418"/>
      <c r="AP1217" s="418"/>
      <c r="AQ1217" s="418"/>
      <c r="AR1217" s="418"/>
      <c r="AS1217" s="418"/>
      <c r="AT1217" s="418"/>
      <c r="AU1217" s="418"/>
      <c r="AV1217" s="418"/>
      <c r="AW1217" s="418"/>
      <c r="AX1217" s="418"/>
      <c r="AY1217" s="418"/>
      <c r="AZ1217" s="418"/>
      <c r="BA1217" s="418"/>
    </row>
    <row r="1218" spans="40:53" ht="15.75" customHeight="1">
      <c r="AN1218" s="418"/>
      <c r="AO1218" s="418"/>
      <c r="AP1218" s="418"/>
      <c r="AQ1218" s="418"/>
      <c r="AR1218" s="418"/>
      <c r="AS1218" s="418"/>
      <c r="AT1218" s="418"/>
      <c r="AU1218" s="418"/>
      <c r="AV1218" s="418"/>
      <c r="AW1218" s="418"/>
      <c r="AX1218" s="418"/>
      <c r="AY1218" s="418"/>
      <c r="AZ1218" s="418"/>
      <c r="BA1218" s="418"/>
    </row>
    <row r="1219" spans="40:53" ht="15.75" customHeight="1">
      <c r="AN1219" s="418"/>
      <c r="AO1219" s="418"/>
      <c r="AP1219" s="418"/>
      <c r="AQ1219" s="418"/>
      <c r="AR1219" s="418"/>
      <c r="AS1219" s="418"/>
      <c r="AT1219" s="418"/>
      <c r="AU1219" s="418"/>
      <c r="AV1219" s="418"/>
      <c r="AW1219" s="418"/>
      <c r="AX1219" s="418"/>
      <c r="AY1219" s="418"/>
      <c r="AZ1219" s="418"/>
      <c r="BA1219" s="418"/>
    </row>
    <row r="1220" spans="40:53" ht="15.75" customHeight="1">
      <c r="AN1220" s="418"/>
      <c r="AO1220" s="418"/>
      <c r="AP1220" s="418"/>
      <c r="AQ1220" s="418"/>
      <c r="AR1220" s="418"/>
      <c r="AS1220" s="418"/>
      <c r="AT1220" s="418"/>
      <c r="AU1220" s="418"/>
      <c r="AV1220" s="418"/>
      <c r="AW1220" s="418"/>
      <c r="AX1220" s="418"/>
      <c r="AY1220" s="418"/>
      <c r="AZ1220" s="418"/>
      <c r="BA1220" s="418"/>
    </row>
    <row r="1221" spans="40:53" ht="15.75" customHeight="1">
      <c r="AN1221" s="418"/>
      <c r="AO1221" s="418"/>
      <c r="AP1221" s="418"/>
      <c r="AQ1221" s="418"/>
      <c r="AR1221" s="418"/>
      <c r="AS1221" s="418"/>
      <c r="AT1221" s="418"/>
      <c r="AU1221" s="418"/>
      <c r="AV1221" s="418"/>
      <c r="AW1221" s="418"/>
      <c r="AX1221" s="418"/>
      <c r="AY1221" s="418"/>
      <c r="AZ1221" s="418"/>
      <c r="BA1221" s="418"/>
    </row>
    <row r="1222" spans="40:53" ht="15.75" customHeight="1">
      <c r="AN1222" s="418"/>
      <c r="AO1222" s="418"/>
      <c r="AP1222" s="418"/>
      <c r="AQ1222" s="418"/>
      <c r="AR1222" s="418"/>
      <c r="AS1222" s="418"/>
      <c r="AT1222" s="418"/>
      <c r="AU1222" s="418"/>
      <c r="AV1222" s="418"/>
      <c r="AW1222" s="418"/>
      <c r="AX1222" s="418"/>
      <c r="AY1222" s="418"/>
      <c r="AZ1222" s="418"/>
      <c r="BA1222" s="418"/>
    </row>
    <row r="1223" spans="40:53" ht="15.75" customHeight="1">
      <c r="AN1223" s="418"/>
      <c r="AO1223" s="418"/>
      <c r="AP1223" s="418"/>
      <c r="AQ1223" s="418"/>
      <c r="AR1223" s="418"/>
      <c r="AS1223" s="418"/>
      <c r="AT1223" s="418"/>
      <c r="AU1223" s="418"/>
      <c r="AV1223" s="418"/>
      <c r="AW1223" s="418"/>
      <c r="AX1223" s="418"/>
      <c r="AY1223" s="418"/>
      <c r="AZ1223" s="418"/>
      <c r="BA1223" s="418"/>
    </row>
    <row r="1224" spans="40:53" ht="15.75" customHeight="1">
      <c r="AN1224" s="418"/>
      <c r="AO1224" s="418"/>
      <c r="AP1224" s="418"/>
      <c r="AQ1224" s="418"/>
      <c r="AR1224" s="418"/>
      <c r="AS1224" s="418"/>
      <c r="AT1224" s="418"/>
      <c r="AU1224" s="418"/>
      <c r="AV1224" s="418"/>
      <c r="AW1224" s="418"/>
      <c r="AX1224" s="418"/>
      <c r="AY1224" s="418"/>
      <c r="AZ1224" s="418"/>
      <c r="BA1224" s="418"/>
    </row>
    <row r="1225" spans="40:53" ht="15.75" customHeight="1">
      <c r="AN1225" s="418"/>
      <c r="AO1225" s="418"/>
      <c r="AP1225" s="418"/>
      <c r="AQ1225" s="418"/>
      <c r="AR1225" s="418"/>
      <c r="AS1225" s="418"/>
      <c r="AT1225" s="418"/>
      <c r="AU1225" s="418"/>
      <c r="AV1225" s="418"/>
      <c r="AW1225" s="418"/>
      <c r="AX1225" s="418"/>
      <c r="AY1225" s="418"/>
      <c r="AZ1225" s="418"/>
      <c r="BA1225" s="418"/>
    </row>
    <row r="1226" spans="40:53" ht="15.75" customHeight="1">
      <c r="AN1226" s="418"/>
      <c r="AO1226" s="418"/>
      <c r="AP1226" s="418"/>
      <c r="AQ1226" s="418"/>
      <c r="AR1226" s="418"/>
      <c r="AS1226" s="418"/>
      <c r="AT1226" s="418"/>
      <c r="AU1226" s="418"/>
      <c r="AV1226" s="418"/>
      <c r="AW1226" s="418"/>
      <c r="AX1226" s="418"/>
      <c r="AY1226" s="418"/>
      <c r="AZ1226" s="418"/>
      <c r="BA1226" s="418"/>
    </row>
    <row r="1227" spans="40:53" ht="15.75" customHeight="1">
      <c r="AN1227" s="418"/>
      <c r="AO1227" s="418"/>
      <c r="AP1227" s="418"/>
      <c r="AQ1227" s="418"/>
      <c r="AR1227" s="418"/>
      <c r="AS1227" s="418"/>
      <c r="AT1227" s="418"/>
      <c r="AU1227" s="418"/>
      <c r="AV1227" s="418"/>
      <c r="AW1227" s="418"/>
      <c r="AX1227" s="418"/>
      <c r="AY1227" s="418"/>
      <c r="AZ1227" s="418"/>
      <c r="BA1227" s="418"/>
    </row>
    <row r="1228" spans="40:53" ht="15.75" customHeight="1">
      <c r="AN1228" s="418"/>
      <c r="AO1228" s="418"/>
      <c r="AP1228" s="418"/>
      <c r="AQ1228" s="418"/>
      <c r="AR1228" s="418"/>
      <c r="AS1228" s="418"/>
      <c r="AT1228" s="418"/>
      <c r="AU1228" s="418"/>
      <c r="AV1228" s="418"/>
      <c r="AW1228" s="418"/>
      <c r="AX1228" s="418"/>
      <c r="AY1228" s="418"/>
      <c r="AZ1228" s="418"/>
      <c r="BA1228" s="418"/>
    </row>
    <row r="1229" spans="40:53" ht="15.75" customHeight="1">
      <c r="AN1229" s="418"/>
      <c r="AO1229" s="418"/>
      <c r="AP1229" s="418"/>
      <c r="AQ1229" s="418"/>
      <c r="AR1229" s="418"/>
      <c r="AS1229" s="418"/>
      <c r="AT1229" s="418"/>
      <c r="AU1229" s="418"/>
      <c r="AV1229" s="418"/>
      <c r="AW1229" s="418"/>
      <c r="AX1229" s="418"/>
      <c r="AY1229" s="418"/>
      <c r="AZ1229" s="418"/>
      <c r="BA1229" s="418"/>
    </row>
    <row r="1230" spans="40:53" ht="15.75" customHeight="1">
      <c r="AN1230" s="418"/>
      <c r="AO1230" s="418"/>
      <c r="AP1230" s="418"/>
      <c r="AQ1230" s="418"/>
      <c r="AR1230" s="418"/>
      <c r="AS1230" s="418"/>
      <c r="AT1230" s="418"/>
      <c r="AU1230" s="418"/>
      <c r="AV1230" s="418"/>
      <c r="AW1230" s="418"/>
      <c r="AX1230" s="418"/>
      <c r="AY1230" s="418"/>
      <c r="AZ1230" s="418"/>
      <c r="BA1230" s="418"/>
    </row>
    <row r="1231" spans="40:53" ht="15.75" customHeight="1">
      <c r="AN1231" s="418"/>
      <c r="AO1231" s="418"/>
      <c r="AP1231" s="418"/>
      <c r="AQ1231" s="418"/>
      <c r="AR1231" s="418"/>
      <c r="AS1231" s="418"/>
      <c r="AT1231" s="418"/>
      <c r="AU1231" s="418"/>
      <c r="AV1231" s="418"/>
      <c r="AW1231" s="418"/>
      <c r="AX1231" s="418"/>
      <c r="AY1231" s="418"/>
      <c r="AZ1231" s="418"/>
      <c r="BA1231" s="418"/>
    </row>
    <row r="1232" spans="40:53" ht="15.75" customHeight="1">
      <c r="AN1232" s="418"/>
      <c r="AO1232" s="418"/>
      <c r="AP1232" s="418"/>
      <c r="AQ1232" s="418"/>
      <c r="AR1232" s="418"/>
      <c r="AS1232" s="418"/>
      <c r="AT1232" s="418"/>
      <c r="AU1232" s="418"/>
      <c r="AV1232" s="418"/>
      <c r="AW1232" s="418"/>
      <c r="AX1232" s="418"/>
      <c r="AY1232" s="418"/>
      <c r="AZ1232" s="418"/>
      <c r="BA1232" s="418"/>
    </row>
    <row r="1233" spans="40:53" ht="15.75" customHeight="1">
      <c r="AN1233" s="418"/>
      <c r="AO1233" s="418"/>
      <c r="AP1233" s="418"/>
      <c r="AQ1233" s="418"/>
      <c r="AR1233" s="418"/>
      <c r="AS1233" s="418"/>
      <c r="AT1233" s="418"/>
      <c r="AU1233" s="418"/>
      <c r="AV1233" s="418"/>
      <c r="AW1233" s="418"/>
      <c r="AX1233" s="418"/>
      <c r="AY1233" s="418"/>
      <c r="AZ1233" s="418"/>
      <c r="BA1233" s="418"/>
    </row>
    <row r="1234" spans="40:53" ht="15.75" customHeight="1">
      <c r="AN1234" s="418"/>
      <c r="AO1234" s="418"/>
      <c r="AP1234" s="418"/>
      <c r="AQ1234" s="418"/>
      <c r="AR1234" s="418"/>
      <c r="AS1234" s="418"/>
      <c r="AT1234" s="418"/>
      <c r="AU1234" s="418"/>
      <c r="AV1234" s="418"/>
      <c r="AW1234" s="418"/>
      <c r="AX1234" s="418"/>
      <c r="AY1234" s="418"/>
      <c r="AZ1234" s="418"/>
      <c r="BA1234" s="418"/>
    </row>
    <row r="1235" spans="40:53" ht="15.75" customHeight="1">
      <c r="AN1235" s="418"/>
      <c r="AO1235" s="418"/>
      <c r="AP1235" s="418"/>
      <c r="AQ1235" s="418"/>
      <c r="AR1235" s="418"/>
      <c r="AS1235" s="418"/>
      <c r="AT1235" s="418"/>
      <c r="AU1235" s="418"/>
      <c r="AV1235" s="418"/>
      <c r="AW1235" s="418"/>
      <c r="AX1235" s="418"/>
      <c r="AY1235" s="418"/>
      <c r="AZ1235" s="418"/>
      <c r="BA1235" s="418"/>
    </row>
    <row r="1236" spans="40:53" ht="15.75" customHeight="1">
      <c r="AN1236" s="418"/>
      <c r="AO1236" s="418"/>
      <c r="AP1236" s="418"/>
      <c r="AQ1236" s="418"/>
      <c r="AR1236" s="418"/>
      <c r="AS1236" s="418"/>
      <c r="AT1236" s="418"/>
      <c r="AU1236" s="418"/>
      <c r="AV1236" s="418"/>
      <c r="AW1236" s="418"/>
      <c r="AX1236" s="418"/>
      <c r="AY1236" s="418"/>
      <c r="AZ1236" s="418"/>
      <c r="BA1236" s="418"/>
    </row>
    <row r="1237" spans="40:53" ht="15.75" customHeight="1">
      <c r="AN1237" s="418"/>
      <c r="AO1237" s="418"/>
      <c r="AP1237" s="418"/>
      <c r="AQ1237" s="418"/>
      <c r="AR1237" s="418"/>
      <c r="AS1237" s="418"/>
      <c r="AT1237" s="418"/>
      <c r="AU1237" s="418"/>
      <c r="AV1237" s="418"/>
      <c r="AW1237" s="418"/>
      <c r="AX1237" s="418"/>
      <c r="AY1237" s="418"/>
      <c r="AZ1237" s="418"/>
      <c r="BA1237" s="418"/>
    </row>
    <row r="1238" spans="40:53" ht="15.75" customHeight="1">
      <c r="AN1238" s="418"/>
      <c r="AO1238" s="418"/>
      <c r="AP1238" s="418"/>
      <c r="AQ1238" s="418"/>
      <c r="AR1238" s="418"/>
      <c r="AS1238" s="418"/>
      <c r="AT1238" s="418"/>
      <c r="AU1238" s="418"/>
      <c r="AV1238" s="418"/>
      <c r="AW1238" s="418"/>
      <c r="AX1238" s="418"/>
      <c r="AY1238" s="418"/>
      <c r="AZ1238" s="418"/>
      <c r="BA1238" s="418"/>
    </row>
    <row r="1239" spans="40:53" ht="15.75" customHeight="1">
      <c r="AN1239" s="418"/>
      <c r="AO1239" s="418"/>
      <c r="AP1239" s="418"/>
      <c r="AQ1239" s="418"/>
      <c r="AR1239" s="418"/>
      <c r="AS1239" s="418"/>
      <c r="AT1239" s="418"/>
      <c r="AU1239" s="418"/>
      <c r="AV1239" s="418"/>
      <c r="AW1239" s="418"/>
      <c r="AX1239" s="418"/>
      <c r="AY1239" s="418"/>
      <c r="AZ1239" s="418"/>
      <c r="BA1239" s="418"/>
    </row>
    <row r="1240" spans="40:53" ht="15.75" customHeight="1">
      <c r="AN1240" s="418"/>
      <c r="AO1240" s="418"/>
      <c r="AP1240" s="418"/>
      <c r="AQ1240" s="418"/>
      <c r="AR1240" s="418"/>
      <c r="AS1240" s="418"/>
      <c r="AT1240" s="418"/>
      <c r="AU1240" s="418"/>
      <c r="AV1240" s="418"/>
      <c r="AW1240" s="418"/>
      <c r="AX1240" s="418"/>
      <c r="AY1240" s="418"/>
      <c r="AZ1240" s="418"/>
      <c r="BA1240" s="418"/>
    </row>
    <row r="1241" spans="40:53" ht="15.75" customHeight="1">
      <c r="AN1241" s="418"/>
      <c r="AO1241" s="418"/>
      <c r="AP1241" s="418"/>
      <c r="AQ1241" s="418"/>
      <c r="AR1241" s="418"/>
      <c r="AS1241" s="418"/>
      <c r="AT1241" s="418"/>
      <c r="AU1241" s="418"/>
      <c r="AV1241" s="418"/>
      <c r="AW1241" s="418"/>
      <c r="AX1241" s="418"/>
      <c r="AY1241" s="418"/>
      <c r="AZ1241" s="418"/>
      <c r="BA1241" s="418"/>
    </row>
    <row r="1242" spans="40:53" ht="15.75" customHeight="1">
      <c r="AN1242" s="418"/>
      <c r="AO1242" s="418"/>
      <c r="AP1242" s="418"/>
      <c r="AQ1242" s="418"/>
      <c r="AR1242" s="418"/>
      <c r="AS1242" s="418"/>
      <c r="AT1242" s="418"/>
      <c r="AU1242" s="418"/>
      <c r="AV1242" s="418"/>
      <c r="AW1242" s="418"/>
      <c r="AX1242" s="418"/>
      <c r="AY1242" s="418"/>
      <c r="AZ1242" s="418"/>
      <c r="BA1242" s="418"/>
    </row>
    <row r="1243" spans="40:53" ht="15.75" customHeight="1">
      <c r="AN1243" s="418"/>
      <c r="AO1243" s="418"/>
      <c r="AP1243" s="418"/>
      <c r="AQ1243" s="418"/>
      <c r="AR1243" s="418"/>
      <c r="AS1243" s="418"/>
      <c r="AT1243" s="418"/>
      <c r="AU1243" s="418"/>
      <c r="AV1243" s="418"/>
      <c r="AW1243" s="418"/>
      <c r="AX1243" s="418"/>
      <c r="AY1243" s="418"/>
      <c r="AZ1243" s="418"/>
      <c r="BA1243" s="418"/>
    </row>
    <row r="1244" spans="40:53" ht="15.75" customHeight="1">
      <c r="AN1244" s="418"/>
      <c r="AO1244" s="418"/>
      <c r="AP1244" s="418"/>
      <c r="AQ1244" s="418"/>
      <c r="AR1244" s="418"/>
      <c r="AS1244" s="418"/>
      <c r="AT1244" s="418"/>
      <c r="AU1244" s="418"/>
      <c r="AV1244" s="418"/>
      <c r="AW1244" s="418"/>
      <c r="AX1244" s="418"/>
      <c r="AY1244" s="418"/>
      <c r="AZ1244" s="418"/>
      <c r="BA1244" s="418"/>
    </row>
    <row r="1245" spans="40:53" ht="15.75" customHeight="1">
      <c r="AN1245" s="418"/>
      <c r="AO1245" s="418"/>
      <c r="AP1245" s="418"/>
      <c r="AQ1245" s="418"/>
      <c r="AR1245" s="418"/>
      <c r="AS1245" s="418"/>
      <c r="AT1245" s="418"/>
      <c r="AU1245" s="418"/>
      <c r="AV1245" s="418"/>
      <c r="AW1245" s="418"/>
      <c r="AX1245" s="418"/>
      <c r="AY1245" s="418"/>
      <c r="AZ1245" s="418"/>
      <c r="BA1245" s="418"/>
    </row>
    <row r="1246" spans="40:53" ht="15.75" customHeight="1">
      <c r="AN1246" s="418"/>
      <c r="AO1246" s="418"/>
      <c r="AP1246" s="418"/>
      <c r="AQ1246" s="418"/>
      <c r="AR1246" s="418"/>
      <c r="AS1246" s="418"/>
      <c r="AT1246" s="418"/>
      <c r="AU1246" s="418"/>
      <c r="AV1246" s="418"/>
      <c r="AW1246" s="418"/>
      <c r="AX1246" s="418"/>
      <c r="AY1246" s="418"/>
      <c r="AZ1246" s="418"/>
      <c r="BA1246" s="418"/>
    </row>
    <row r="1247" spans="40:53" ht="15.75" customHeight="1">
      <c r="AN1247" s="418"/>
      <c r="AO1247" s="418"/>
      <c r="AP1247" s="418"/>
      <c r="AQ1247" s="418"/>
      <c r="AR1247" s="418"/>
      <c r="AS1247" s="418"/>
      <c r="AT1247" s="418"/>
      <c r="AU1247" s="418"/>
      <c r="AV1247" s="418"/>
      <c r="AW1247" s="418"/>
      <c r="AX1247" s="418"/>
      <c r="AY1247" s="418"/>
      <c r="AZ1247" s="418"/>
      <c r="BA1247" s="418"/>
    </row>
    <row r="1248" spans="40:53" ht="15.75" customHeight="1">
      <c r="AN1248" s="418"/>
      <c r="AO1248" s="418"/>
      <c r="AP1248" s="418"/>
      <c r="AQ1248" s="418"/>
      <c r="AR1248" s="418"/>
      <c r="AS1248" s="418"/>
      <c r="AT1248" s="418"/>
      <c r="AU1248" s="418"/>
      <c r="AV1248" s="418"/>
      <c r="AW1248" s="418"/>
      <c r="AX1248" s="418"/>
      <c r="AY1248" s="418"/>
      <c r="AZ1248" s="418"/>
      <c r="BA1248" s="418"/>
    </row>
    <row r="1249" spans="40:53" ht="15.75" customHeight="1">
      <c r="AN1249" s="418"/>
      <c r="AO1249" s="418"/>
      <c r="AP1249" s="418"/>
      <c r="AQ1249" s="418"/>
      <c r="AR1249" s="418"/>
      <c r="AS1249" s="418"/>
      <c r="AT1249" s="418"/>
      <c r="AU1249" s="418"/>
      <c r="AV1249" s="418"/>
      <c r="AW1249" s="418"/>
      <c r="AX1249" s="418"/>
      <c r="AY1249" s="418"/>
      <c r="AZ1249" s="418"/>
      <c r="BA1249" s="418"/>
    </row>
    <row r="1250" spans="40:53" ht="15.75" customHeight="1">
      <c r="AN1250" s="418"/>
      <c r="AO1250" s="418"/>
      <c r="AP1250" s="418"/>
      <c r="AQ1250" s="418"/>
      <c r="AR1250" s="418"/>
      <c r="AS1250" s="418"/>
      <c r="AT1250" s="418"/>
      <c r="AU1250" s="418"/>
      <c r="AV1250" s="418"/>
      <c r="AW1250" s="418"/>
      <c r="AX1250" s="418"/>
      <c r="AY1250" s="418"/>
      <c r="AZ1250" s="418"/>
      <c r="BA1250" s="418"/>
    </row>
    <row r="1251" spans="40:53" ht="15.75" customHeight="1">
      <c r="AN1251" s="418"/>
      <c r="AO1251" s="418"/>
      <c r="AP1251" s="418"/>
      <c r="AQ1251" s="418"/>
      <c r="AR1251" s="418"/>
      <c r="AS1251" s="418"/>
      <c r="AT1251" s="418"/>
      <c r="AU1251" s="418"/>
      <c r="AV1251" s="418"/>
      <c r="AW1251" s="418"/>
      <c r="AX1251" s="418"/>
      <c r="AY1251" s="418"/>
      <c r="AZ1251" s="418"/>
      <c r="BA1251" s="418"/>
    </row>
    <row r="1252" spans="40:53" ht="15.75" customHeight="1">
      <c r="AN1252" s="418"/>
      <c r="AO1252" s="418"/>
      <c r="AP1252" s="418"/>
      <c r="AQ1252" s="418"/>
      <c r="AR1252" s="418"/>
      <c r="AS1252" s="418"/>
      <c r="AT1252" s="418"/>
      <c r="AU1252" s="418"/>
      <c r="AV1252" s="418"/>
      <c r="AW1252" s="418"/>
      <c r="AX1252" s="418"/>
      <c r="AY1252" s="418"/>
      <c r="AZ1252" s="418"/>
      <c r="BA1252" s="418"/>
    </row>
    <row r="1253" spans="40:53" ht="15.75" customHeight="1">
      <c r="AN1253" s="418"/>
      <c r="AO1253" s="418"/>
      <c r="AP1253" s="418"/>
      <c r="AQ1253" s="418"/>
      <c r="AR1253" s="418"/>
      <c r="AS1253" s="418"/>
      <c r="AT1253" s="418"/>
      <c r="AU1253" s="418"/>
      <c r="AV1253" s="418"/>
      <c r="AW1253" s="418"/>
      <c r="AX1253" s="418"/>
      <c r="AY1253" s="418"/>
      <c r="AZ1253" s="418"/>
      <c r="BA1253" s="418"/>
    </row>
    <row r="1254" spans="40:53" ht="15.75" customHeight="1">
      <c r="AN1254" s="418"/>
      <c r="AO1254" s="418"/>
      <c r="AP1254" s="418"/>
      <c r="AQ1254" s="418"/>
      <c r="AR1254" s="418"/>
      <c r="AS1254" s="418"/>
      <c r="AT1254" s="418"/>
      <c r="AU1254" s="418"/>
      <c r="AV1254" s="418"/>
      <c r="AW1254" s="418"/>
      <c r="AX1254" s="418"/>
      <c r="AY1254" s="418"/>
      <c r="AZ1254" s="418"/>
      <c r="BA1254" s="418"/>
    </row>
    <row r="1255" spans="40:53" ht="15.75" customHeight="1">
      <c r="AN1255" s="418"/>
      <c r="AO1255" s="418"/>
      <c r="AP1255" s="418"/>
      <c r="AQ1255" s="418"/>
      <c r="AR1255" s="418"/>
      <c r="AS1255" s="418"/>
      <c r="AT1255" s="418"/>
      <c r="AU1255" s="418"/>
      <c r="AV1255" s="418"/>
      <c r="AW1255" s="418"/>
      <c r="AX1255" s="418"/>
      <c r="AY1255" s="418"/>
      <c r="AZ1255" s="418"/>
      <c r="BA1255" s="418"/>
    </row>
    <row r="1256" spans="40:53" ht="15.75" customHeight="1">
      <c r="AN1256" s="418"/>
      <c r="AO1256" s="418"/>
      <c r="AP1256" s="418"/>
      <c r="AQ1256" s="418"/>
      <c r="AR1256" s="418"/>
      <c r="AS1256" s="418"/>
      <c r="AT1256" s="418"/>
      <c r="AU1256" s="418"/>
      <c r="AV1256" s="418"/>
      <c r="AW1256" s="418"/>
      <c r="AX1256" s="418"/>
      <c r="AY1256" s="418"/>
      <c r="AZ1256" s="418"/>
      <c r="BA1256" s="418"/>
    </row>
    <row r="1257" spans="40:53" ht="15.75" customHeight="1">
      <c r="AN1257" s="418"/>
      <c r="AO1257" s="418"/>
      <c r="AP1257" s="418"/>
      <c r="AQ1257" s="418"/>
      <c r="AR1257" s="418"/>
      <c r="AS1257" s="418"/>
      <c r="AT1257" s="418"/>
      <c r="AU1257" s="418"/>
      <c r="AV1257" s="418"/>
      <c r="AW1257" s="418"/>
      <c r="AX1257" s="418"/>
      <c r="AY1257" s="418"/>
      <c r="AZ1257" s="418"/>
      <c r="BA1257" s="418"/>
    </row>
    <row r="1258" spans="40:53" ht="15.75" customHeight="1">
      <c r="AN1258" s="418"/>
      <c r="AO1258" s="418"/>
      <c r="AP1258" s="418"/>
      <c r="AQ1258" s="418"/>
      <c r="AR1258" s="418"/>
      <c r="AS1258" s="418"/>
      <c r="AT1258" s="418"/>
      <c r="AU1258" s="418"/>
      <c r="AV1258" s="418"/>
      <c r="AW1258" s="418"/>
      <c r="AX1258" s="418"/>
      <c r="AY1258" s="418"/>
      <c r="AZ1258" s="418"/>
      <c r="BA1258" s="418"/>
    </row>
    <row r="1259" spans="40:53" ht="15.75" customHeight="1">
      <c r="AN1259" s="418"/>
      <c r="AO1259" s="418"/>
      <c r="AP1259" s="418"/>
      <c r="AQ1259" s="418"/>
      <c r="AR1259" s="418"/>
      <c r="AS1259" s="418"/>
      <c r="AT1259" s="418"/>
      <c r="AU1259" s="418"/>
      <c r="AV1259" s="418"/>
      <c r="AW1259" s="418"/>
      <c r="AX1259" s="418"/>
      <c r="AY1259" s="418"/>
      <c r="AZ1259" s="418"/>
      <c r="BA1259" s="418"/>
    </row>
    <row r="1260" spans="40:53" ht="15.75" customHeight="1">
      <c r="AN1260" s="418"/>
      <c r="AO1260" s="418"/>
      <c r="AP1260" s="418"/>
      <c r="AQ1260" s="418"/>
      <c r="AR1260" s="418"/>
      <c r="AS1260" s="418"/>
      <c r="AT1260" s="418"/>
      <c r="AU1260" s="418"/>
      <c r="AV1260" s="418"/>
      <c r="AW1260" s="418"/>
      <c r="AX1260" s="418"/>
      <c r="AY1260" s="418"/>
      <c r="AZ1260" s="418"/>
      <c r="BA1260" s="418"/>
    </row>
    <row r="1261" spans="40:53" ht="15.75" customHeight="1">
      <c r="AN1261" s="418"/>
      <c r="AO1261" s="418"/>
      <c r="AP1261" s="418"/>
      <c r="AQ1261" s="418"/>
      <c r="AR1261" s="418"/>
      <c r="AS1261" s="418"/>
      <c r="AT1261" s="418"/>
      <c r="AU1261" s="418"/>
      <c r="AV1261" s="418"/>
      <c r="AW1261" s="418"/>
      <c r="AX1261" s="418"/>
      <c r="AY1261" s="418"/>
      <c r="AZ1261" s="418"/>
      <c r="BA1261" s="418"/>
    </row>
    <row r="1262" spans="40:53" ht="15.75" customHeight="1">
      <c r="AN1262" s="418"/>
      <c r="AO1262" s="418"/>
      <c r="AP1262" s="418"/>
      <c r="AQ1262" s="418"/>
      <c r="AR1262" s="418"/>
      <c r="AS1262" s="418"/>
      <c r="AT1262" s="418"/>
      <c r="AU1262" s="418"/>
      <c r="AV1262" s="418"/>
      <c r="AW1262" s="418"/>
      <c r="AX1262" s="418"/>
      <c r="AY1262" s="418"/>
      <c r="AZ1262" s="418"/>
      <c r="BA1262" s="418"/>
    </row>
    <row r="1263" spans="40:53" ht="15.75" customHeight="1">
      <c r="AN1263" s="418"/>
      <c r="AO1263" s="418"/>
      <c r="AP1263" s="418"/>
      <c r="AQ1263" s="418"/>
      <c r="AR1263" s="418"/>
      <c r="AS1263" s="418"/>
      <c r="AT1263" s="418"/>
      <c r="AU1263" s="418"/>
      <c r="AV1263" s="418"/>
      <c r="AW1263" s="418"/>
      <c r="AX1263" s="418"/>
      <c r="AY1263" s="418"/>
      <c r="AZ1263" s="418"/>
      <c r="BA1263" s="418"/>
    </row>
    <row r="1264" spans="40:53" ht="15.75" customHeight="1">
      <c r="AN1264" s="418"/>
      <c r="AO1264" s="418"/>
      <c r="AP1264" s="418"/>
      <c r="AQ1264" s="418"/>
      <c r="AR1264" s="418"/>
      <c r="AS1264" s="418"/>
      <c r="AT1264" s="418"/>
      <c r="AU1264" s="418"/>
      <c r="AV1264" s="418"/>
      <c r="AW1264" s="418"/>
      <c r="AX1264" s="418"/>
      <c r="AY1264" s="418"/>
      <c r="AZ1264" s="418"/>
      <c r="BA1264" s="418"/>
    </row>
    <row r="1265" spans="40:53" ht="15.75" customHeight="1">
      <c r="AN1265" s="418"/>
      <c r="AO1265" s="418"/>
      <c r="AP1265" s="418"/>
      <c r="AQ1265" s="418"/>
      <c r="AR1265" s="418"/>
      <c r="AS1265" s="418"/>
      <c r="AT1265" s="418"/>
      <c r="AU1265" s="418"/>
      <c r="AV1265" s="418"/>
      <c r="AW1265" s="418"/>
      <c r="AX1265" s="418"/>
      <c r="AY1265" s="418"/>
      <c r="AZ1265" s="418"/>
      <c r="BA1265" s="418"/>
    </row>
    <row r="1266" spans="40:53" ht="15.75" customHeight="1">
      <c r="AN1266" s="418"/>
      <c r="AO1266" s="418"/>
      <c r="AP1266" s="418"/>
      <c r="AQ1266" s="418"/>
      <c r="AR1266" s="418"/>
      <c r="AS1266" s="418"/>
      <c r="AT1266" s="418"/>
      <c r="AU1266" s="418"/>
      <c r="AV1266" s="418"/>
      <c r="AW1266" s="418"/>
      <c r="AX1266" s="418"/>
      <c r="AY1266" s="418"/>
      <c r="AZ1266" s="418"/>
      <c r="BA1266" s="418"/>
    </row>
    <row r="1267" spans="40:53" ht="15.75" customHeight="1">
      <c r="AN1267" s="418"/>
      <c r="AO1267" s="418"/>
      <c r="AP1267" s="418"/>
      <c r="AQ1267" s="418"/>
      <c r="AR1267" s="418"/>
      <c r="AS1267" s="418"/>
      <c r="AT1267" s="418"/>
      <c r="AU1267" s="418"/>
      <c r="AV1267" s="418"/>
      <c r="AW1267" s="418"/>
      <c r="AX1267" s="418"/>
      <c r="AY1267" s="418"/>
      <c r="AZ1267" s="418"/>
      <c r="BA1267" s="418"/>
    </row>
    <row r="1268" spans="40:53" ht="15.75" customHeight="1">
      <c r="AN1268" s="418"/>
      <c r="AO1268" s="418"/>
      <c r="AP1268" s="418"/>
      <c r="AQ1268" s="418"/>
      <c r="AR1268" s="418"/>
      <c r="AS1268" s="418"/>
      <c r="AT1268" s="418"/>
      <c r="AU1268" s="418"/>
      <c r="AV1268" s="418"/>
      <c r="AW1268" s="418"/>
      <c r="AX1268" s="418"/>
      <c r="AY1268" s="418"/>
      <c r="AZ1268" s="418"/>
      <c r="BA1268" s="418"/>
    </row>
    <row r="1269" spans="40:53" ht="15.75" customHeight="1">
      <c r="AN1269" s="418"/>
      <c r="AO1269" s="418"/>
      <c r="AP1269" s="418"/>
      <c r="AQ1269" s="418"/>
      <c r="AR1269" s="418"/>
      <c r="AS1269" s="418"/>
      <c r="AT1269" s="418"/>
      <c r="AU1269" s="418"/>
      <c r="AV1269" s="418"/>
      <c r="AW1269" s="418"/>
      <c r="AX1269" s="418"/>
      <c r="AY1269" s="418"/>
      <c r="AZ1269" s="418"/>
      <c r="BA1269" s="418"/>
    </row>
    <row r="1270" spans="40:53" ht="15.75" customHeight="1">
      <c r="AN1270" s="418"/>
      <c r="AO1270" s="418"/>
      <c r="AP1270" s="418"/>
      <c r="AQ1270" s="418"/>
      <c r="AR1270" s="418"/>
      <c r="AS1270" s="418"/>
      <c r="AT1270" s="418"/>
      <c r="AU1270" s="418"/>
      <c r="AV1270" s="418"/>
      <c r="AW1270" s="418"/>
      <c r="AX1270" s="418"/>
      <c r="AY1270" s="418"/>
      <c r="AZ1270" s="418"/>
      <c r="BA1270" s="418"/>
    </row>
    <row r="1271" spans="40:53" ht="15.75" customHeight="1">
      <c r="AN1271" s="418"/>
      <c r="AO1271" s="418"/>
      <c r="AP1271" s="418"/>
      <c r="AQ1271" s="418"/>
      <c r="AR1271" s="418"/>
      <c r="AS1271" s="418"/>
      <c r="AT1271" s="418"/>
      <c r="AU1271" s="418"/>
      <c r="AV1271" s="418"/>
      <c r="AW1271" s="418"/>
      <c r="AX1271" s="418"/>
      <c r="AY1271" s="418"/>
      <c r="AZ1271" s="418"/>
      <c r="BA1271" s="418"/>
    </row>
    <row r="1272" spans="40:53" ht="15.75" customHeight="1">
      <c r="AN1272" s="418"/>
      <c r="AO1272" s="418"/>
      <c r="AP1272" s="418"/>
      <c r="AQ1272" s="418"/>
      <c r="AR1272" s="418"/>
      <c r="AS1272" s="418"/>
      <c r="AT1272" s="418"/>
      <c r="AU1272" s="418"/>
      <c r="AV1272" s="418"/>
      <c r="AW1272" s="418"/>
      <c r="AX1272" s="418"/>
      <c r="AY1272" s="418"/>
      <c r="AZ1272" s="418"/>
      <c r="BA1272" s="418"/>
    </row>
    <row r="1273" spans="40:53" ht="15.75" customHeight="1">
      <c r="AN1273" s="418"/>
      <c r="AO1273" s="418"/>
      <c r="AP1273" s="418"/>
      <c r="AQ1273" s="418"/>
      <c r="AR1273" s="418"/>
      <c r="AS1273" s="418"/>
      <c r="AT1273" s="418"/>
      <c r="AU1273" s="418"/>
      <c r="AV1273" s="418"/>
      <c r="AW1273" s="418"/>
      <c r="AX1273" s="418"/>
      <c r="AY1273" s="418"/>
      <c r="AZ1273" s="418"/>
      <c r="BA1273" s="418"/>
    </row>
    <row r="1274" spans="40:53" ht="15.75" customHeight="1">
      <c r="AN1274" s="418"/>
      <c r="AO1274" s="418"/>
      <c r="AP1274" s="418"/>
      <c r="AQ1274" s="418"/>
      <c r="AR1274" s="418"/>
      <c r="AS1274" s="418"/>
      <c r="AT1274" s="418"/>
      <c r="AU1274" s="418"/>
      <c r="AV1274" s="418"/>
      <c r="AW1274" s="418"/>
      <c r="AX1274" s="418"/>
      <c r="AY1274" s="418"/>
      <c r="AZ1274" s="418"/>
      <c r="BA1274" s="418"/>
    </row>
    <row r="1275" spans="40:53" ht="15.75" customHeight="1">
      <c r="AN1275" s="418"/>
      <c r="AO1275" s="418"/>
      <c r="AP1275" s="418"/>
      <c r="AQ1275" s="418"/>
      <c r="AR1275" s="418"/>
      <c r="AS1275" s="418"/>
      <c r="AT1275" s="418"/>
      <c r="AU1275" s="418"/>
      <c r="AV1275" s="418"/>
      <c r="AW1275" s="418"/>
      <c r="AX1275" s="418"/>
      <c r="AY1275" s="418"/>
      <c r="AZ1275" s="418"/>
      <c r="BA1275" s="418"/>
    </row>
    <row r="1276" spans="40:53" ht="15.75" customHeight="1">
      <c r="AN1276" s="418"/>
      <c r="AO1276" s="418"/>
      <c r="AP1276" s="418"/>
      <c r="AQ1276" s="418"/>
      <c r="AR1276" s="418"/>
      <c r="AS1276" s="418"/>
      <c r="AT1276" s="418"/>
      <c r="AU1276" s="418"/>
      <c r="AV1276" s="418"/>
      <c r="AW1276" s="418"/>
      <c r="AX1276" s="418"/>
      <c r="AY1276" s="418"/>
      <c r="AZ1276" s="418"/>
      <c r="BA1276" s="418"/>
    </row>
    <row r="1277" spans="40:53" ht="15.75" customHeight="1">
      <c r="AN1277" s="418"/>
      <c r="AO1277" s="418"/>
      <c r="AP1277" s="418"/>
      <c r="AQ1277" s="418"/>
      <c r="AR1277" s="418"/>
      <c r="AS1277" s="418"/>
      <c r="AT1277" s="418"/>
      <c r="AU1277" s="418"/>
      <c r="AV1277" s="418"/>
      <c r="AW1277" s="418"/>
      <c r="AX1277" s="418"/>
      <c r="AY1277" s="418"/>
      <c r="AZ1277" s="418"/>
      <c r="BA1277" s="418"/>
    </row>
    <row r="1278" spans="40:53" ht="15.75" customHeight="1">
      <c r="AN1278" s="418"/>
      <c r="AO1278" s="418"/>
      <c r="AP1278" s="418"/>
      <c r="AQ1278" s="418"/>
      <c r="AR1278" s="418"/>
      <c r="AS1278" s="418"/>
      <c r="AT1278" s="418"/>
      <c r="AU1278" s="418"/>
      <c r="AV1278" s="418"/>
      <c r="AW1278" s="418"/>
      <c r="AX1278" s="418"/>
      <c r="AY1278" s="418"/>
      <c r="AZ1278" s="418"/>
      <c r="BA1278" s="418"/>
    </row>
    <row r="1279" spans="40:53" ht="15.75" customHeight="1">
      <c r="AN1279" s="418"/>
      <c r="AO1279" s="418"/>
      <c r="AP1279" s="418"/>
      <c r="AQ1279" s="418"/>
      <c r="AR1279" s="418"/>
      <c r="AS1279" s="418"/>
      <c r="AT1279" s="418"/>
      <c r="AU1279" s="418"/>
      <c r="AV1279" s="418"/>
      <c r="AW1279" s="418"/>
      <c r="AX1279" s="418"/>
      <c r="AY1279" s="418"/>
      <c r="AZ1279" s="418"/>
      <c r="BA1279" s="418"/>
    </row>
    <row r="1280" spans="40:53" ht="15.75" customHeight="1">
      <c r="AN1280" s="418"/>
      <c r="AO1280" s="418"/>
      <c r="AP1280" s="418"/>
      <c r="AQ1280" s="418"/>
      <c r="AR1280" s="418"/>
      <c r="AS1280" s="418"/>
      <c r="AT1280" s="418"/>
      <c r="AU1280" s="418"/>
      <c r="AV1280" s="418"/>
      <c r="AW1280" s="418"/>
      <c r="AX1280" s="418"/>
      <c r="AY1280" s="418"/>
      <c r="AZ1280" s="418"/>
      <c r="BA1280" s="418"/>
    </row>
    <row r="1281" spans="40:53" ht="15.75" customHeight="1">
      <c r="AN1281" s="418"/>
      <c r="AO1281" s="418"/>
      <c r="AP1281" s="418"/>
      <c r="AQ1281" s="418"/>
      <c r="AR1281" s="418"/>
      <c r="AS1281" s="418"/>
      <c r="AT1281" s="418"/>
      <c r="AU1281" s="418"/>
      <c r="AV1281" s="418"/>
      <c r="AW1281" s="418"/>
      <c r="AX1281" s="418"/>
      <c r="AY1281" s="418"/>
      <c r="AZ1281" s="418"/>
      <c r="BA1281" s="418"/>
    </row>
    <row r="1282" spans="40:53" ht="15.75" customHeight="1">
      <c r="AN1282" s="418"/>
      <c r="AO1282" s="418"/>
      <c r="AP1282" s="418"/>
      <c r="AQ1282" s="418"/>
      <c r="AR1282" s="418"/>
      <c r="AS1282" s="418"/>
      <c r="AT1282" s="418"/>
      <c r="AU1282" s="418"/>
      <c r="AV1282" s="418"/>
      <c r="AW1282" s="418"/>
      <c r="AX1282" s="418"/>
      <c r="AY1282" s="418"/>
      <c r="AZ1282" s="418"/>
      <c r="BA1282" s="418"/>
    </row>
    <row r="1283" spans="40:53" ht="15.75" customHeight="1">
      <c r="AN1283" s="418"/>
      <c r="AO1283" s="418"/>
      <c r="AP1283" s="418"/>
      <c r="AQ1283" s="418"/>
      <c r="AR1283" s="418"/>
      <c r="AS1283" s="418"/>
      <c r="AT1283" s="418"/>
      <c r="AU1283" s="418"/>
      <c r="AV1283" s="418"/>
      <c r="AW1283" s="418"/>
      <c r="AX1283" s="418"/>
      <c r="AY1283" s="418"/>
      <c r="AZ1283" s="418"/>
      <c r="BA1283" s="418"/>
    </row>
    <row r="1284" spans="40:53" ht="15.75" customHeight="1">
      <c r="AN1284" s="418"/>
      <c r="AO1284" s="418"/>
      <c r="AP1284" s="418"/>
      <c r="AQ1284" s="418"/>
      <c r="AR1284" s="418"/>
      <c r="AS1284" s="418"/>
      <c r="AT1284" s="418"/>
      <c r="AU1284" s="418"/>
      <c r="AV1284" s="418"/>
      <c r="AW1284" s="418"/>
      <c r="AX1284" s="418"/>
      <c r="AY1284" s="418"/>
      <c r="AZ1284" s="418"/>
      <c r="BA1284" s="418"/>
    </row>
    <row r="1285" spans="40:53" ht="15.75" customHeight="1">
      <c r="AN1285" s="418"/>
      <c r="AO1285" s="418"/>
      <c r="AP1285" s="418"/>
      <c r="AQ1285" s="418"/>
      <c r="AR1285" s="418"/>
      <c r="AS1285" s="418"/>
      <c r="AT1285" s="418"/>
      <c r="AU1285" s="418"/>
      <c r="AV1285" s="418"/>
      <c r="AW1285" s="418"/>
      <c r="AX1285" s="418"/>
      <c r="AY1285" s="418"/>
      <c r="AZ1285" s="418"/>
      <c r="BA1285" s="418"/>
    </row>
    <row r="1286" spans="40:53" ht="15.75" customHeight="1">
      <c r="AN1286" s="418"/>
      <c r="AO1286" s="418"/>
      <c r="AP1286" s="418"/>
      <c r="AQ1286" s="418"/>
      <c r="AR1286" s="418"/>
      <c r="AS1286" s="418"/>
      <c r="AT1286" s="418"/>
      <c r="AU1286" s="418"/>
      <c r="AV1286" s="418"/>
      <c r="AW1286" s="418"/>
      <c r="AX1286" s="418"/>
      <c r="AY1286" s="418"/>
      <c r="AZ1286" s="418"/>
      <c r="BA1286" s="418"/>
    </row>
    <row r="1287" spans="40:53" ht="15.75" customHeight="1">
      <c r="AN1287" s="418"/>
      <c r="AO1287" s="418"/>
      <c r="AP1287" s="418"/>
      <c r="AQ1287" s="418"/>
      <c r="AR1287" s="418"/>
      <c r="AS1287" s="418"/>
      <c r="AT1287" s="418"/>
      <c r="AU1287" s="418"/>
      <c r="AV1287" s="418"/>
      <c r="AW1287" s="418"/>
      <c r="AX1287" s="418"/>
      <c r="AY1287" s="418"/>
      <c r="AZ1287" s="418"/>
      <c r="BA1287" s="418"/>
    </row>
    <row r="1288" spans="40:53" ht="15.75" customHeight="1">
      <c r="AN1288" s="418"/>
      <c r="AO1288" s="418"/>
      <c r="AP1288" s="418"/>
      <c r="AQ1288" s="418"/>
      <c r="AR1288" s="418"/>
      <c r="AS1288" s="418"/>
      <c r="AT1288" s="418"/>
      <c r="AU1288" s="418"/>
      <c r="AV1288" s="418"/>
      <c r="AW1288" s="418"/>
      <c r="AX1288" s="418"/>
      <c r="AY1288" s="418"/>
      <c r="AZ1288" s="418"/>
      <c r="BA1288" s="418"/>
    </row>
    <row r="1289" spans="40:53" ht="15.75" customHeight="1">
      <c r="AN1289" s="418"/>
      <c r="AO1289" s="418"/>
      <c r="AP1289" s="418"/>
      <c r="AQ1289" s="418"/>
      <c r="AR1289" s="418"/>
      <c r="AS1289" s="418"/>
      <c r="AT1289" s="418"/>
      <c r="AU1289" s="418"/>
      <c r="AV1289" s="418"/>
      <c r="AW1289" s="418"/>
      <c r="AX1289" s="418"/>
      <c r="AY1289" s="418"/>
      <c r="AZ1289" s="418"/>
      <c r="BA1289" s="418"/>
    </row>
    <row r="1290" spans="40:53" ht="15.75" customHeight="1">
      <c r="AN1290" s="418"/>
      <c r="AO1290" s="418"/>
      <c r="AP1290" s="418"/>
      <c r="AQ1290" s="418"/>
      <c r="AR1290" s="418"/>
      <c r="AS1290" s="418"/>
      <c r="AT1290" s="418"/>
      <c r="AU1290" s="418"/>
      <c r="AV1290" s="418"/>
      <c r="AW1290" s="418"/>
      <c r="AX1290" s="418"/>
      <c r="AY1290" s="418"/>
      <c r="AZ1290" s="418"/>
      <c r="BA1290" s="418"/>
    </row>
    <row r="1291" spans="40:53" ht="15.75" customHeight="1">
      <c r="AN1291" s="418"/>
      <c r="AO1291" s="418"/>
      <c r="AP1291" s="418"/>
      <c r="AQ1291" s="418"/>
      <c r="AR1291" s="418"/>
      <c r="AS1291" s="418"/>
      <c r="AT1291" s="418"/>
      <c r="AU1291" s="418"/>
      <c r="AV1291" s="418"/>
      <c r="AW1291" s="418"/>
      <c r="AX1291" s="418"/>
      <c r="AY1291" s="418"/>
      <c r="AZ1291" s="418"/>
      <c r="BA1291" s="418"/>
    </row>
    <row r="1292" spans="40:53" ht="15.75" customHeight="1">
      <c r="AN1292" s="418"/>
      <c r="AO1292" s="418"/>
      <c r="AP1292" s="418"/>
      <c r="AQ1292" s="418"/>
      <c r="AR1292" s="418"/>
      <c r="AS1292" s="418"/>
      <c r="AT1292" s="418"/>
      <c r="AU1292" s="418"/>
      <c r="AV1292" s="418"/>
      <c r="AW1292" s="418"/>
      <c r="AX1292" s="418"/>
      <c r="AY1292" s="418"/>
      <c r="AZ1292" s="418"/>
      <c r="BA1292" s="418"/>
    </row>
    <row r="1293" spans="40:53" ht="15.75" customHeight="1">
      <c r="AN1293" s="418"/>
      <c r="AO1293" s="418"/>
      <c r="AP1293" s="418"/>
      <c r="AQ1293" s="418"/>
      <c r="AR1293" s="418"/>
      <c r="AS1293" s="418"/>
      <c r="AT1293" s="418"/>
      <c r="AU1293" s="418"/>
      <c r="AV1293" s="418"/>
      <c r="AW1293" s="418"/>
      <c r="AX1293" s="418"/>
      <c r="AY1293" s="418"/>
      <c r="AZ1293" s="418"/>
      <c r="BA1293" s="418"/>
    </row>
    <row r="1294" spans="40:53" ht="15.75" customHeight="1">
      <c r="AN1294" s="418"/>
      <c r="AO1294" s="418"/>
      <c r="AP1294" s="418"/>
      <c r="AQ1294" s="418"/>
      <c r="AR1294" s="418"/>
      <c r="AS1294" s="418"/>
      <c r="AT1294" s="418"/>
      <c r="AU1294" s="418"/>
      <c r="AV1294" s="418"/>
      <c r="AW1294" s="418"/>
      <c r="AX1294" s="418"/>
      <c r="AY1294" s="418"/>
      <c r="AZ1294" s="418"/>
      <c r="BA1294" s="418"/>
    </row>
    <row r="1295" spans="40:53" ht="15.75" customHeight="1">
      <c r="AN1295" s="418"/>
      <c r="AO1295" s="418"/>
      <c r="AP1295" s="418"/>
      <c r="AQ1295" s="418"/>
      <c r="AR1295" s="418"/>
      <c r="AS1295" s="418"/>
      <c r="AT1295" s="418"/>
      <c r="AU1295" s="418"/>
      <c r="AV1295" s="418"/>
      <c r="AW1295" s="418"/>
      <c r="AX1295" s="418"/>
      <c r="AY1295" s="418"/>
      <c r="AZ1295" s="418"/>
      <c r="BA1295" s="418"/>
    </row>
    <row r="1296" spans="40:53" ht="15.75" customHeight="1">
      <c r="AN1296" s="418"/>
      <c r="AO1296" s="418"/>
      <c r="AP1296" s="418"/>
      <c r="AQ1296" s="418"/>
      <c r="AR1296" s="418"/>
      <c r="AS1296" s="418"/>
      <c r="AT1296" s="418"/>
      <c r="AU1296" s="418"/>
      <c r="AV1296" s="418"/>
      <c r="AW1296" s="418"/>
      <c r="AX1296" s="418"/>
      <c r="AY1296" s="418"/>
      <c r="AZ1296" s="418"/>
      <c r="BA1296" s="418"/>
    </row>
    <row r="1297" spans="40:53" ht="15.75" customHeight="1">
      <c r="AN1297" s="418"/>
      <c r="AO1297" s="418"/>
      <c r="AP1297" s="418"/>
      <c r="AQ1297" s="418"/>
      <c r="AR1297" s="418"/>
      <c r="AS1297" s="418"/>
      <c r="AT1297" s="418"/>
      <c r="AU1297" s="418"/>
      <c r="AV1297" s="418"/>
      <c r="AW1297" s="418"/>
      <c r="AX1297" s="418"/>
      <c r="AY1297" s="418"/>
      <c r="AZ1297" s="418"/>
      <c r="BA1297" s="418"/>
    </row>
    <row r="1298" spans="40:53" ht="15.75" customHeight="1">
      <c r="AN1298" s="418"/>
      <c r="AO1298" s="418"/>
      <c r="AP1298" s="418"/>
      <c r="AQ1298" s="418"/>
      <c r="AR1298" s="418"/>
      <c r="AS1298" s="418"/>
      <c r="AT1298" s="418"/>
      <c r="AU1298" s="418"/>
      <c r="AV1298" s="418"/>
      <c r="AW1298" s="418"/>
      <c r="AX1298" s="418"/>
      <c r="AY1298" s="418"/>
      <c r="AZ1298" s="418"/>
      <c r="BA1298" s="418"/>
    </row>
    <row r="1299" spans="40:53" ht="15.75" customHeight="1">
      <c r="AN1299" s="418"/>
      <c r="AO1299" s="418"/>
      <c r="AP1299" s="418"/>
      <c r="AQ1299" s="418"/>
      <c r="AR1299" s="418"/>
      <c r="AS1299" s="418"/>
      <c r="AT1299" s="418"/>
      <c r="AU1299" s="418"/>
      <c r="AV1299" s="418"/>
      <c r="AW1299" s="418"/>
      <c r="AX1299" s="418"/>
      <c r="AY1299" s="418"/>
      <c r="AZ1299" s="418"/>
      <c r="BA1299" s="418"/>
    </row>
    <row r="1300" spans="40:53" ht="15.75" customHeight="1">
      <c r="AN1300" s="418"/>
      <c r="AO1300" s="418"/>
      <c r="AP1300" s="418"/>
      <c r="AQ1300" s="418"/>
      <c r="AR1300" s="418"/>
      <c r="AS1300" s="418"/>
      <c r="AT1300" s="418"/>
      <c r="AU1300" s="418"/>
      <c r="AV1300" s="418"/>
      <c r="AW1300" s="418"/>
      <c r="AX1300" s="418"/>
      <c r="AY1300" s="418"/>
      <c r="AZ1300" s="418"/>
      <c r="BA1300" s="418"/>
    </row>
    <row r="1301" spans="40:53" ht="15.75" customHeight="1">
      <c r="AN1301" s="418"/>
      <c r="AO1301" s="418"/>
      <c r="AP1301" s="418"/>
      <c r="AQ1301" s="418"/>
      <c r="AR1301" s="418"/>
      <c r="AS1301" s="418"/>
      <c r="AT1301" s="418"/>
      <c r="AU1301" s="418"/>
      <c r="AV1301" s="418"/>
      <c r="AW1301" s="418"/>
      <c r="AX1301" s="418"/>
      <c r="AY1301" s="418"/>
      <c r="AZ1301" s="418"/>
      <c r="BA1301" s="418"/>
    </row>
    <row r="1302" spans="40:53" ht="15.75" customHeight="1">
      <c r="AN1302" s="418"/>
      <c r="AO1302" s="418"/>
      <c r="AP1302" s="418"/>
      <c r="AQ1302" s="418"/>
      <c r="AR1302" s="418"/>
      <c r="AS1302" s="418"/>
      <c r="AT1302" s="418"/>
      <c r="AU1302" s="418"/>
      <c r="AV1302" s="418"/>
      <c r="AW1302" s="418"/>
      <c r="AX1302" s="418"/>
      <c r="AY1302" s="418"/>
      <c r="AZ1302" s="418"/>
      <c r="BA1302" s="418"/>
    </row>
    <row r="1303" spans="40:53" ht="15.75" customHeight="1">
      <c r="AN1303" s="418"/>
      <c r="AO1303" s="418"/>
      <c r="AP1303" s="418"/>
      <c r="AQ1303" s="418"/>
      <c r="AR1303" s="418"/>
      <c r="AS1303" s="418"/>
      <c r="AT1303" s="418"/>
      <c r="AU1303" s="418"/>
      <c r="AV1303" s="418"/>
      <c r="AW1303" s="418"/>
      <c r="AX1303" s="418"/>
      <c r="AY1303" s="418"/>
      <c r="AZ1303" s="418"/>
      <c r="BA1303" s="418"/>
    </row>
    <row r="1304" spans="40:53" ht="15.75" customHeight="1">
      <c r="AN1304" s="418"/>
      <c r="AO1304" s="418"/>
      <c r="AP1304" s="418"/>
      <c r="AQ1304" s="418"/>
      <c r="AR1304" s="418"/>
      <c r="AS1304" s="418"/>
      <c r="AT1304" s="418"/>
      <c r="AU1304" s="418"/>
      <c r="AV1304" s="418"/>
      <c r="AW1304" s="418"/>
      <c r="AX1304" s="418"/>
      <c r="AY1304" s="418"/>
      <c r="AZ1304" s="418"/>
      <c r="BA1304" s="418"/>
    </row>
    <row r="1305" spans="40:53" ht="15.75" customHeight="1">
      <c r="AN1305" s="418"/>
      <c r="AO1305" s="418"/>
      <c r="AP1305" s="418"/>
      <c r="AQ1305" s="418"/>
      <c r="AR1305" s="418"/>
      <c r="AS1305" s="418"/>
      <c r="AT1305" s="418"/>
      <c r="AU1305" s="418"/>
      <c r="AV1305" s="418"/>
      <c r="AW1305" s="418"/>
      <c r="AX1305" s="418"/>
      <c r="AY1305" s="418"/>
      <c r="AZ1305" s="418"/>
      <c r="BA1305" s="418"/>
    </row>
    <row r="1306" spans="40:53" ht="15.75" customHeight="1">
      <c r="AN1306" s="418"/>
      <c r="AO1306" s="418"/>
      <c r="AP1306" s="418"/>
      <c r="AQ1306" s="418"/>
      <c r="AR1306" s="418"/>
      <c r="AS1306" s="418"/>
      <c r="AT1306" s="418"/>
      <c r="AU1306" s="418"/>
      <c r="AV1306" s="418"/>
      <c r="AW1306" s="418"/>
      <c r="AX1306" s="418"/>
      <c r="AY1306" s="418"/>
      <c r="AZ1306" s="418"/>
      <c r="BA1306" s="418"/>
    </row>
    <row r="1307" spans="40:53" ht="15.75" customHeight="1">
      <c r="AN1307" s="418"/>
      <c r="AO1307" s="418"/>
      <c r="AP1307" s="418"/>
      <c r="AQ1307" s="418"/>
      <c r="AR1307" s="418"/>
      <c r="AS1307" s="418"/>
      <c r="AT1307" s="418"/>
      <c r="AU1307" s="418"/>
      <c r="AV1307" s="418"/>
      <c r="AW1307" s="418"/>
      <c r="AX1307" s="418"/>
      <c r="AY1307" s="418"/>
      <c r="AZ1307" s="418"/>
      <c r="BA1307" s="418"/>
    </row>
    <row r="1308" spans="40:53" ht="15.75" customHeight="1">
      <c r="AN1308" s="418"/>
      <c r="AO1308" s="418"/>
      <c r="AP1308" s="418"/>
      <c r="AQ1308" s="418"/>
      <c r="AR1308" s="418"/>
      <c r="AS1308" s="418"/>
      <c r="AT1308" s="418"/>
      <c r="AU1308" s="418"/>
      <c r="AV1308" s="418"/>
      <c r="AW1308" s="418"/>
      <c r="AX1308" s="418"/>
      <c r="AY1308" s="418"/>
      <c r="AZ1308" s="418"/>
      <c r="BA1308" s="418"/>
    </row>
    <row r="1309" spans="40:53" ht="15.75" customHeight="1">
      <c r="AN1309" s="418"/>
      <c r="AO1309" s="418"/>
      <c r="AP1309" s="418"/>
      <c r="AQ1309" s="418"/>
      <c r="AR1309" s="418"/>
      <c r="AS1309" s="418"/>
      <c r="AT1309" s="418"/>
      <c r="AU1309" s="418"/>
      <c r="AV1309" s="418"/>
      <c r="AW1309" s="418"/>
      <c r="AX1309" s="418"/>
      <c r="AY1309" s="418"/>
      <c r="AZ1309" s="418"/>
      <c r="BA1309" s="418"/>
    </row>
    <row r="1310" spans="40:53" ht="15.75" customHeight="1">
      <c r="AN1310" s="418"/>
      <c r="AO1310" s="418"/>
      <c r="AP1310" s="418"/>
      <c r="AQ1310" s="418"/>
      <c r="AR1310" s="418"/>
      <c r="AS1310" s="418"/>
      <c r="AT1310" s="418"/>
      <c r="AU1310" s="418"/>
      <c r="AV1310" s="418"/>
      <c r="AW1310" s="418"/>
      <c r="AX1310" s="418"/>
      <c r="AY1310" s="418"/>
      <c r="AZ1310" s="418"/>
      <c r="BA1310" s="418"/>
    </row>
    <row r="1311" spans="40:53" ht="15.75" customHeight="1">
      <c r="AN1311" s="418"/>
      <c r="AO1311" s="418"/>
      <c r="AP1311" s="418"/>
      <c r="AQ1311" s="418"/>
      <c r="AR1311" s="418"/>
      <c r="AS1311" s="418"/>
      <c r="AT1311" s="418"/>
      <c r="AU1311" s="418"/>
      <c r="AV1311" s="418"/>
      <c r="AW1311" s="418"/>
      <c r="AX1311" s="418"/>
      <c r="AY1311" s="418"/>
      <c r="AZ1311" s="418"/>
      <c r="BA1311" s="418"/>
    </row>
    <row r="1312" spans="40:53" ht="15.75" customHeight="1">
      <c r="AN1312" s="418"/>
      <c r="AO1312" s="418"/>
      <c r="AP1312" s="418"/>
      <c r="AQ1312" s="418"/>
      <c r="AR1312" s="418"/>
      <c r="AS1312" s="418"/>
      <c r="AT1312" s="418"/>
      <c r="AU1312" s="418"/>
      <c r="AV1312" s="418"/>
      <c r="AW1312" s="418"/>
      <c r="AX1312" s="418"/>
      <c r="AY1312" s="418"/>
      <c r="AZ1312" s="418"/>
      <c r="BA1312" s="418"/>
    </row>
    <row r="1313" spans="40:53" ht="15.75" customHeight="1">
      <c r="AN1313" s="418"/>
      <c r="AO1313" s="418"/>
      <c r="AP1313" s="418"/>
      <c r="AQ1313" s="418"/>
      <c r="AR1313" s="418"/>
      <c r="AS1313" s="418"/>
      <c r="AT1313" s="418"/>
      <c r="AU1313" s="418"/>
      <c r="AV1313" s="418"/>
      <c r="AW1313" s="418"/>
      <c r="AX1313" s="418"/>
      <c r="AY1313" s="418"/>
      <c r="AZ1313" s="418"/>
      <c r="BA1313" s="418"/>
    </row>
    <row r="1314" spans="40:53" ht="15.75" customHeight="1">
      <c r="AN1314" s="418"/>
      <c r="AO1314" s="418"/>
      <c r="AP1314" s="418"/>
      <c r="AQ1314" s="418"/>
      <c r="AR1314" s="418"/>
      <c r="AS1314" s="418"/>
      <c r="AT1314" s="418"/>
      <c r="AU1314" s="418"/>
      <c r="AV1314" s="418"/>
      <c r="AW1314" s="418"/>
      <c r="AX1314" s="418"/>
      <c r="AY1314" s="418"/>
      <c r="AZ1314" s="418"/>
      <c r="BA1314" s="418"/>
    </row>
    <row r="1315" spans="40:53" ht="15.75" customHeight="1">
      <c r="AN1315" s="418"/>
      <c r="AO1315" s="418"/>
      <c r="AP1315" s="418"/>
      <c r="AQ1315" s="418"/>
      <c r="AR1315" s="418"/>
      <c r="AS1315" s="418"/>
      <c r="AT1315" s="418"/>
      <c r="AU1315" s="418"/>
      <c r="AV1315" s="418"/>
      <c r="AW1315" s="418"/>
      <c r="AX1315" s="418"/>
      <c r="AY1315" s="418"/>
      <c r="AZ1315" s="418"/>
      <c r="BA1315" s="418"/>
    </row>
    <row r="1316" spans="40:53" ht="15.75" customHeight="1">
      <c r="AN1316" s="418"/>
      <c r="AO1316" s="418"/>
      <c r="AP1316" s="418"/>
      <c r="AQ1316" s="418"/>
      <c r="AR1316" s="418"/>
      <c r="AS1316" s="418"/>
      <c r="AT1316" s="418"/>
      <c r="AU1316" s="418"/>
      <c r="AV1316" s="418"/>
      <c r="AW1316" s="418"/>
      <c r="AX1316" s="418"/>
      <c r="AY1316" s="418"/>
      <c r="AZ1316" s="418"/>
      <c r="BA1316" s="418"/>
    </row>
    <row r="1317" spans="40:53" ht="15.75" customHeight="1">
      <c r="AN1317" s="418"/>
      <c r="AO1317" s="418"/>
      <c r="AP1317" s="418"/>
      <c r="AQ1317" s="418"/>
      <c r="AR1317" s="418"/>
      <c r="AS1317" s="418"/>
      <c r="AT1317" s="418"/>
      <c r="AU1317" s="418"/>
      <c r="AV1317" s="418"/>
      <c r="AW1317" s="418"/>
      <c r="AX1317" s="418"/>
      <c r="AY1317" s="418"/>
      <c r="AZ1317" s="418"/>
      <c r="BA1317" s="418"/>
    </row>
    <row r="1318" spans="40:53" ht="15.75" customHeight="1">
      <c r="AN1318" s="418"/>
      <c r="AO1318" s="418"/>
      <c r="AP1318" s="418"/>
      <c r="AQ1318" s="418"/>
      <c r="AR1318" s="418"/>
      <c r="AS1318" s="418"/>
      <c r="AT1318" s="418"/>
      <c r="AU1318" s="418"/>
      <c r="AV1318" s="418"/>
      <c r="AW1318" s="418"/>
      <c r="AX1318" s="418"/>
      <c r="AY1318" s="418"/>
      <c r="AZ1318" s="418"/>
      <c r="BA1318" s="418"/>
    </row>
    <row r="1319" spans="40:53" ht="15.75" customHeight="1">
      <c r="AN1319" s="418"/>
      <c r="AO1319" s="418"/>
      <c r="AP1319" s="418"/>
      <c r="AQ1319" s="418"/>
      <c r="AR1319" s="418"/>
      <c r="AS1319" s="418"/>
      <c r="AT1319" s="418"/>
      <c r="AU1319" s="418"/>
      <c r="AV1319" s="418"/>
      <c r="AW1319" s="418"/>
      <c r="AX1319" s="418"/>
      <c r="AY1319" s="418"/>
      <c r="AZ1319" s="418"/>
      <c r="BA1319" s="418"/>
    </row>
    <row r="1320" spans="40:53" ht="15.75" customHeight="1">
      <c r="AN1320" s="418"/>
      <c r="AO1320" s="418"/>
      <c r="AP1320" s="418"/>
      <c r="AQ1320" s="418"/>
      <c r="AR1320" s="418"/>
      <c r="AS1320" s="418"/>
      <c r="AT1320" s="418"/>
      <c r="AU1320" s="418"/>
      <c r="AV1320" s="418"/>
      <c r="AW1320" s="418"/>
      <c r="AX1320" s="418"/>
      <c r="AY1320" s="418"/>
      <c r="AZ1320" s="418"/>
      <c r="BA1320" s="418"/>
    </row>
    <row r="1321" spans="40:53" ht="15.75" customHeight="1">
      <c r="AN1321" s="418"/>
      <c r="AO1321" s="418"/>
      <c r="AP1321" s="418"/>
      <c r="AQ1321" s="418"/>
      <c r="AR1321" s="418"/>
      <c r="AS1321" s="418"/>
      <c r="AT1321" s="418"/>
      <c r="AU1321" s="418"/>
      <c r="AV1321" s="418"/>
      <c r="AW1321" s="418"/>
      <c r="AX1321" s="418"/>
      <c r="AY1321" s="418"/>
      <c r="AZ1321" s="418"/>
      <c r="BA1321" s="418"/>
    </row>
    <row r="1322" spans="40:53" ht="15.75" customHeight="1">
      <c r="AN1322" s="418"/>
      <c r="AO1322" s="418"/>
      <c r="AP1322" s="418"/>
      <c r="AQ1322" s="418"/>
      <c r="AR1322" s="418"/>
      <c r="AS1322" s="418"/>
      <c r="AT1322" s="418"/>
      <c r="AU1322" s="418"/>
      <c r="AV1322" s="418"/>
      <c r="AW1322" s="418"/>
      <c r="AX1322" s="418"/>
      <c r="AY1322" s="418"/>
      <c r="AZ1322" s="418"/>
      <c r="BA1322" s="418"/>
    </row>
    <row r="1323" spans="40:53" ht="15.75" customHeight="1">
      <c r="AN1323" s="418"/>
      <c r="AO1323" s="418"/>
      <c r="AP1323" s="418"/>
      <c r="AQ1323" s="418"/>
      <c r="AR1323" s="418"/>
      <c r="AS1323" s="418"/>
      <c r="AT1323" s="418"/>
      <c r="AU1323" s="418"/>
      <c r="AV1323" s="418"/>
      <c r="AW1323" s="418"/>
      <c r="AX1323" s="418"/>
      <c r="AY1323" s="418"/>
      <c r="AZ1323" s="418"/>
      <c r="BA1323" s="418"/>
    </row>
    <row r="1324" spans="40:53" ht="15.75" customHeight="1">
      <c r="AN1324" s="418"/>
      <c r="AO1324" s="418"/>
      <c r="AP1324" s="418"/>
      <c r="AQ1324" s="418"/>
      <c r="AR1324" s="418"/>
      <c r="AS1324" s="418"/>
      <c r="AT1324" s="418"/>
      <c r="AU1324" s="418"/>
      <c r="AV1324" s="418"/>
      <c r="AW1324" s="418"/>
      <c r="AX1324" s="418"/>
      <c r="AY1324" s="418"/>
      <c r="AZ1324" s="418"/>
      <c r="BA1324" s="418"/>
    </row>
    <row r="1325" spans="40:53" ht="15.75" customHeight="1">
      <c r="AN1325" s="418"/>
      <c r="AO1325" s="418"/>
      <c r="AP1325" s="418"/>
      <c r="AQ1325" s="418"/>
      <c r="AR1325" s="418"/>
      <c r="AS1325" s="418"/>
      <c r="AT1325" s="418"/>
      <c r="AU1325" s="418"/>
      <c r="AV1325" s="418"/>
      <c r="AW1325" s="418"/>
      <c r="AX1325" s="418"/>
      <c r="AY1325" s="418"/>
      <c r="AZ1325" s="418"/>
      <c r="BA1325" s="418"/>
    </row>
    <row r="1326" spans="40:53" ht="15.75" customHeight="1">
      <c r="AN1326" s="418"/>
      <c r="AO1326" s="418"/>
      <c r="AP1326" s="418"/>
      <c r="AQ1326" s="418"/>
      <c r="AR1326" s="418"/>
      <c r="AS1326" s="418"/>
      <c r="AT1326" s="418"/>
      <c r="AU1326" s="418"/>
      <c r="AV1326" s="418"/>
      <c r="AW1326" s="418"/>
      <c r="AX1326" s="418"/>
      <c r="AY1326" s="418"/>
      <c r="AZ1326" s="418"/>
      <c r="BA1326" s="418"/>
    </row>
    <row r="1327" spans="40:53" ht="15.75" customHeight="1">
      <c r="AN1327" s="418"/>
      <c r="AO1327" s="418"/>
      <c r="AP1327" s="418"/>
      <c r="AQ1327" s="418"/>
      <c r="AR1327" s="418"/>
      <c r="AS1327" s="418"/>
      <c r="AT1327" s="418"/>
      <c r="AU1327" s="418"/>
      <c r="AV1327" s="418"/>
      <c r="AW1327" s="418"/>
      <c r="AX1327" s="418"/>
      <c r="AY1327" s="418"/>
      <c r="AZ1327" s="418"/>
      <c r="BA1327" s="418"/>
    </row>
    <row r="1328" spans="40:53" ht="15.75" customHeight="1">
      <c r="AN1328" s="418"/>
      <c r="AO1328" s="418"/>
      <c r="AP1328" s="418"/>
      <c r="AQ1328" s="418"/>
      <c r="AR1328" s="418"/>
      <c r="AS1328" s="418"/>
      <c r="AT1328" s="418"/>
      <c r="AU1328" s="418"/>
      <c r="AV1328" s="418"/>
      <c r="AW1328" s="418"/>
      <c r="AX1328" s="418"/>
      <c r="AY1328" s="418"/>
      <c r="AZ1328" s="418"/>
      <c r="BA1328" s="418"/>
    </row>
    <row r="1329" spans="40:53" ht="15.75" customHeight="1">
      <c r="AN1329" s="418"/>
      <c r="AO1329" s="418"/>
      <c r="AP1329" s="418"/>
      <c r="AQ1329" s="418"/>
      <c r="AR1329" s="418"/>
      <c r="AS1329" s="418"/>
      <c r="AT1329" s="418"/>
      <c r="AU1329" s="418"/>
      <c r="AV1329" s="418"/>
      <c r="AW1329" s="418"/>
      <c r="AX1329" s="418"/>
      <c r="AY1329" s="418"/>
      <c r="AZ1329" s="418"/>
      <c r="BA1329" s="418"/>
    </row>
    <row r="1330" spans="40:53" ht="15.75" customHeight="1">
      <c r="AN1330" s="418"/>
      <c r="AO1330" s="418"/>
      <c r="AP1330" s="418"/>
      <c r="AQ1330" s="418"/>
      <c r="AR1330" s="418"/>
      <c r="AS1330" s="418"/>
      <c r="AT1330" s="418"/>
      <c r="AU1330" s="418"/>
      <c r="AV1330" s="418"/>
      <c r="AW1330" s="418"/>
      <c r="AX1330" s="418"/>
      <c r="AY1330" s="418"/>
      <c r="AZ1330" s="418"/>
      <c r="BA1330" s="418"/>
    </row>
    <row r="1331" spans="40:53" ht="15.75" customHeight="1">
      <c r="AN1331" s="418"/>
      <c r="AO1331" s="418"/>
      <c r="AP1331" s="418"/>
      <c r="AQ1331" s="418"/>
      <c r="AR1331" s="418"/>
      <c r="AS1331" s="418"/>
      <c r="AT1331" s="418"/>
      <c r="AU1331" s="418"/>
      <c r="AV1331" s="418"/>
      <c r="AW1331" s="418"/>
      <c r="AX1331" s="418"/>
      <c r="AY1331" s="418"/>
      <c r="AZ1331" s="418"/>
      <c r="BA1331" s="418"/>
    </row>
    <row r="1332" spans="40:53" ht="15.75" customHeight="1">
      <c r="AN1332" s="418"/>
      <c r="AO1332" s="418"/>
      <c r="AP1332" s="418"/>
      <c r="AQ1332" s="418"/>
      <c r="AR1332" s="418"/>
      <c r="AS1332" s="418"/>
      <c r="AT1332" s="418"/>
      <c r="AU1332" s="418"/>
      <c r="AV1332" s="418"/>
      <c r="AW1332" s="418"/>
      <c r="AX1332" s="418"/>
      <c r="AY1332" s="418"/>
      <c r="AZ1332" s="418"/>
      <c r="BA1332" s="418"/>
    </row>
    <row r="1333" spans="40:53" ht="15.75" customHeight="1">
      <c r="AN1333" s="418"/>
      <c r="AO1333" s="418"/>
      <c r="AP1333" s="418"/>
      <c r="AQ1333" s="418"/>
      <c r="AR1333" s="418"/>
      <c r="AS1333" s="418"/>
      <c r="AT1333" s="418"/>
      <c r="AU1333" s="418"/>
      <c r="AV1333" s="418"/>
      <c r="AW1333" s="418"/>
      <c r="AX1333" s="418"/>
      <c r="AY1333" s="418"/>
      <c r="AZ1333" s="418"/>
      <c r="BA1333" s="418"/>
    </row>
    <row r="1334" spans="40:53" ht="15.75" customHeight="1">
      <c r="AN1334" s="418"/>
      <c r="AO1334" s="418"/>
      <c r="AP1334" s="418"/>
      <c r="AQ1334" s="418"/>
      <c r="AR1334" s="418"/>
      <c r="AS1334" s="418"/>
      <c r="AT1334" s="418"/>
      <c r="AU1334" s="418"/>
      <c r="AV1334" s="418"/>
      <c r="AW1334" s="418"/>
      <c r="AX1334" s="418"/>
      <c r="AY1334" s="418"/>
      <c r="AZ1334" s="418"/>
      <c r="BA1334" s="418"/>
    </row>
    <row r="1335" spans="40:53" ht="15.75" customHeight="1">
      <c r="AN1335" s="418"/>
      <c r="AO1335" s="418"/>
      <c r="AP1335" s="418"/>
      <c r="AQ1335" s="418"/>
      <c r="AR1335" s="418"/>
      <c r="AS1335" s="418"/>
      <c r="AT1335" s="418"/>
      <c r="AU1335" s="418"/>
      <c r="AV1335" s="418"/>
      <c r="AW1335" s="418"/>
      <c r="AX1335" s="418"/>
      <c r="AY1335" s="418"/>
      <c r="AZ1335" s="418"/>
      <c r="BA1335" s="418"/>
    </row>
    <row r="1336" spans="40:53" ht="15.75" customHeight="1">
      <c r="AN1336" s="418"/>
      <c r="AO1336" s="418"/>
      <c r="AP1336" s="418"/>
      <c r="AQ1336" s="418"/>
      <c r="AR1336" s="418"/>
      <c r="AS1336" s="418"/>
      <c r="AT1336" s="418"/>
      <c r="AU1336" s="418"/>
      <c r="AV1336" s="418"/>
      <c r="AW1336" s="418"/>
      <c r="AX1336" s="418"/>
      <c r="AY1336" s="418"/>
      <c r="AZ1336" s="418"/>
      <c r="BA1336" s="418"/>
    </row>
    <row r="1337" spans="40:53" ht="15.75" customHeight="1">
      <c r="AN1337" s="418"/>
      <c r="AO1337" s="418"/>
      <c r="AP1337" s="418"/>
      <c r="AQ1337" s="418"/>
      <c r="AR1337" s="418"/>
      <c r="AS1337" s="418"/>
      <c r="AT1337" s="418"/>
      <c r="AU1337" s="418"/>
      <c r="AV1337" s="418"/>
      <c r="AW1337" s="418"/>
      <c r="AX1337" s="418"/>
      <c r="AY1337" s="418"/>
      <c r="AZ1337" s="418"/>
      <c r="BA1337" s="418"/>
    </row>
    <row r="1338" spans="40:53" ht="15.75" customHeight="1">
      <c r="AN1338" s="418"/>
      <c r="AO1338" s="418"/>
      <c r="AP1338" s="418"/>
      <c r="AQ1338" s="418"/>
      <c r="AR1338" s="418"/>
      <c r="AS1338" s="418"/>
      <c r="AT1338" s="418"/>
      <c r="AU1338" s="418"/>
      <c r="AV1338" s="418"/>
      <c r="AW1338" s="418"/>
      <c r="AX1338" s="418"/>
      <c r="AY1338" s="418"/>
      <c r="AZ1338" s="418"/>
      <c r="BA1338" s="418"/>
    </row>
    <row r="1339" spans="40:53" ht="15.75" customHeight="1">
      <c r="AN1339" s="418"/>
      <c r="AO1339" s="418"/>
      <c r="AP1339" s="418"/>
      <c r="AQ1339" s="418"/>
      <c r="AR1339" s="418"/>
      <c r="AS1339" s="418"/>
      <c r="AT1339" s="418"/>
      <c r="AU1339" s="418"/>
      <c r="AV1339" s="418"/>
      <c r="AW1339" s="418"/>
      <c r="AX1339" s="418"/>
      <c r="AY1339" s="418"/>
      <c r="AZ1339" s="418"/>
      <c r="BA1339" s="418"/>
    </row>
    <row r="1340" spans="40:53" ht="15.75" customHeight="1">
      <c r="AN1340" s="418"/>
      <c r="AO1340" s="418"/>
      <c r="AP1340" s="418"/>
      <c r="AQ1340" s="418"/>
      <c r="AR1340" s="418"/>
      <c r="AS1340" s="418"/>
      <c r="AT1340" s="418"/>
      <c r="AU1340" s="418"/>
      <c r="AV1340" s="418"/>
      <c r="AW1340" s="418"/>
      <c r="AX1340" s="418"/>
      <c r="AY1340" s="418"/>
      <c r="AZ1340" s="418"/>
      <c r="BA1340" s="418"/>
    </row>
    <row r="1341" spans="40:53" ht="15.75" customHeight="1">
      <c r="AN1341" s="418"/>
      <c r="AO1341" s="418"/>
      <c r="AP1341" s="418"/>
      <c r="AQ1341" s="418"/>
      <c r="AR1341" s="418"/>
      <c r="AS1341" s="418"/>
      <c r="AT1341" s="418"/>
      <c r="AU1341" s="418"/>
      <c r="AV1341" s="418"/>
      <c r="AW1341" s="418"/>
      <c r="AX1341" s="418"/>
      <c r="AY1341" s="418"/>
      <c r="AZ1341" s="418"/>
      <c r="BA1341" s="418"/>
    </row>
    <row r="1342" spans="40:53" ht="15.75" customHeight="1">
      <c r="AN1342" s="418"/>
      <c r="AO1342" s="418"/>
      <c r="AP1342" s="418"/>
      <c r="AQ1342" s="418"/>
      <c r="AR1342" s="418"/>
      <c r="AS1342" s="418"/>
      <c r="AT1342" s="418"/>
      <c r="AU1342" s="418"/>
      <c r="AV1342" s="418"/>
      <c r="AW1342" s="418"/>
      <c r="AX1342" s="418"/>
      <c r="AY1342" s="418"/>
      <c r="AZ1342" s="418"/>
      <c r="BA1342" s="418"/>
    </row>
    <row r="1343" spans="40:53" ht="15.75" customHeight="1">
      <c r="AN1343" s="418"/>
      <c r="AO1343" s="418"/>
      <c r="AP1343" s="418"/>
      <c r="AQ1343" s="418"/>
      <c r="AR1343" s="418"/>
      <c r="AS1343" s="418"/>
      <c r="AT1343" s="418"/>
      <c r="AU1343" s="418"/>
      <c r="AV1343" s="418"/>
      <c r="AW1343" s="418"/>
      <c r="AX1343" s="418"/>
      <c r="AY1343" s="418"/>
      <c r="AZ1343" s="418"/>
      <c r="BA1343" s="418"/>
    </row>
    <row r="1344" spans="40:53" ht="15.75" customHeight="1">
      <c r="AN1344" s="418"/>
      <c r="AO1344" s="418"/>
      <c r="AP1344" s="418"/>
      <c r="AQ1344" s="418"/>
      <c r="AR1344" s="418"/>
      <c r="AS1344" s="418"/>
      <c r="AT1344" s="418"/>
      <c r="AU1344" s="418"/>
      <c r="AV1344" s="418"/>
      <c r="AW1344" s="418"/>
      <c r="AX1344" s="418"/>
      <c r="AY1344" s="418"/>
      <c r="AZ1344" s="418"/>
      <c r="BA1344" s="418"/>
    </row>
    <row r="1345" spans="40:53" ht="15.75" customHeight="1">
      <c r="AN1345" s="418"/>
      <c r="AO1345" s="418"/>
      <c r="AP1345" s="418"/>
      <c r="AQ1345" s="418"/>
      <c r="AR1345" s="418"/>
      <c r="AS1345" s="418"/>
      <c r="AT1345" s="418"/>
      <c r="AU1345" s="418"/>
      <c r="AV1345" s="418"/>
      <c r="AW1345" s="418"/>
      <c r="AX1345" s="418"/>
      <c r="AY1345" s="418"/>
      <c r="AZ1345" s="418"/>
      <c r="BA1345" s="418"/>
    </row>
    <row r="1346" spans="40:53" ht="15.75" customHeight="1">
      <c r="AN1346" s="418"/>
      <c r="AO1346" s="418"/>
      <c r="AP1346" s="418"/>
      <c r="AQ1346" s="418"/>
      <c r="AR1346" s="418"/>
      <c r="AS1346" s="418"/>
      <c r="AT1346" s="418"/>
      <c r="AU1346" s="418"/>
      <c r="AV1346" s="418"/>
      <c r="AW1346" s="418"/>
      <c r="AX1346" s="418"/>
      <c r="AY1346" s="418"/>
      <c r="AZ1346" s="418"/>
      <c r="BA1346" s="418"/>
    </row>
    <row r="1347" spans="40:53" ht="15.75" customHeight="1">
      <c r="AN1347" s="418"/>
      <c r="AO1347" s="418"/>
      <c r="AP1347" s="418"/>
      <c r="AQ1347" s="418"/>
      <c r="AR1347" s="418"/>
      <c r="AS1347" s="418"/>
      <c r="AT1347" s="418"/>
      <c r="AU1347" s="418"/>
      <c r="AV1347" s="418"/>
      <c r="AW1347" s="418"/>
      <c r="AX1347" s="418"/>
      <c r="AY1347" s="418"/>
      <c r="AZ1347" s="418"/>
      <c r="BA1347" s="418"/>
    </row>
    <row r="1348" spans="40:53" ht="15.75" customHeight="1">
      <c r="AN1348" s="418"/>
      <c r="AO1348" s="418"/>
      <c r="AP1348" s="418"/>
      <c r="AQ1348" s="418"/>
      <c r="AR1348" s="418"/>
      <c r="AS1348" s="418"/>
      <c r="AT1348" s="418"/>
      <c r="AU1348" s="418"/>
      <c r="AV1348" s="418"/>
      <c r="AW1348" s="418"/>
      <c r="AX1348" s="418"/>
      <c r="AY1348" s="418"/>
      <c r="AZ1348" s="418"/>
      <c r="BA1348" s="418"/>
    </row>
    <row r="1349" spans="40:53" ht="15.75" customHeight="1">
      <c r="AN1349" s="418"/>
      <c r="AO1349" s="418"/>
      <c r="AP1349" s="418"/>
      <c r="AQ1349" s="418"/>
      <c r="AR1349" s="418"/>
      <c r="AS1349" s="418"/>
      <c r="AT1349" s="418"/>
      <c r="AU1349" s="418"/>
      <c r="AV1349" s="418"/>
      <c r="AW1349" s="418"/>
      <c r="AX1349" s="418"/>
      <c r="AY1349" s="418"/>
      <c r="AZ1349" s="418"/>
      <c r="BA1349" s="418"/>
    </row>
    <row r="1350" spans="40:53" ht="15.75" customHeight="1">
      <c r="AN1350" s="418"/>
      <c r="AO1350" s="418"/>
      <c r="AP1350" s="418"/>
      <c r="AQ1350" s="418"/>
      <c r="AR1350" s="418"/>
      <c r="AS1350" s="418"/>
      <c r="AT1350" s="418"/>
      <c r="AU1350" s="418"/>
      <c r="AV1350" s="418"/>
      <c r="AW1350" s="418"/>
      <c r="AX1350" s="418"/>
      <c r="AY1350" s="418"/>
      <c r="AZ1350" s="418"/>
      <c r="BA1350" s="418"/>
    </row>
    <row r="1351" spans="40:53" ht="15.75" customHeight="1">
      <c r="AN1351" s="418"/>
      <c r="AO1351" s="418"/>
      <c r="AP1351" s="418"/>
      <c r="AQ1351" s="418"/>
      <c r="AR1351" s="418"/>
      <c r="AS1351" s="418"/>
      <c r="AT1351" s="418"/>
      <c r="AU1351" s="418"/>
      <c r="AV1351" s="418"/>
      <c r="AW1351" s="418"/>
      <c r="AX1351" s="418"/>
      <c r="AY1351" s="418"/>
      <c r="AZ1351" s="418"/>
      <c r="BA1351" s="418"/>
    </row>
    <row r="1352" spans="40:53" ht="15.75" customHeight="1">
      <c r="AN1352" s="418"/>
      <c r="AO1352" s="418"/>
      <c r="AP1352" s="418"/>
      <c r="AQ1352" s="418"/>
      <c r="AR1352" s="418"/>
      <c r="AS1352" s="418"/>
      <c r="AT1352" s="418"/>
      <c r="AU1352" s="418"/>
      <c r="AV1352" s="418"/>
      <c r="AW1352" s="418"/>
      <c r="AX1352" s="418"/>
      <c r="AY1352" s="418"/>
      <c r="AZ1352" s="418"/>
      <c r="BA1352" s="418"/>
    </row>
    <row r="1353" spans="40:53" ht="15.75" customHeight="1">
      <c r="AN1353" s="418"/>
      <c r="AO1353" s="418"/>
      <c r="AP1353" s="418"/>
      <c r="AQ1353" s="418"/>
      <c r="AR1353" s="418"/>
      <c r="AS1353" s="418"/>
      <c r="AT1353" s="418"/>
      <c r="AU1353" s="418"/>
      <c r="AV1353" s="418"/>
      <c r="AW1353" s="418"/>
      <c r="AX1353" s="418"/>
      <c r="AY1353" s="418"/>
      <c r="AZ1353" s="418"/>
      <c r="BA1353" s="418"/>
    </row>
    <row r="1354" spans="40:53" ht="15.75" customHeight="1">
      <c r="AN1354" s="418"/>
      <c r="AO1354" s="418"/>
      <c r="AP1354" s="418"/>
      <c r="AQ1354" s="418"/>
      <c r="AR1354" s="418"/>
      <c r="AS1354" s="418"/>
      <c r="AT1354" s="418"/>
      <c r="AU1354" s="418"/>
      <c r="AV1354" s="418"/>
      <c r="AW1354" s="418"/>
      <c r="AX1354" s="418"/>
      <c r="AY1354" s="418"/>
      <c r="AZ1354" s="418"/>
      <c r="BA1354" s="418"/>
    </row>
    <row r="1355" spans="40:53" ht="15.75" customHeight="1">
      <c r="AN1355" s="418"/>
      <c r="AO1355" s="418"/>
      <c r="AP1355" s="418"/>
      <c r="AQ1355" s="418"/>
      <c r="AR1355" s="418"/>
      <c r="AS1355" s="418"/>
      <c r="AT1355" s="418"/>
      <c r="AU1355" s="418"/>
      <c r="AV1355" s="418"/>
      <c r="AW1355" s="418"/>
      <c r="AX1355" s="418"/>
      <c r="AY1355" s="418"/>
      <c r="AZ1355" s="418"/>
      <c r="BA1355" s="418"/>
    </row>
    <row r="1356" spans="40:53" ht="15.75" customHeight="1">
      <c r="AN1356" s="418"/>
      <c r="AO1356" s="418"/>
      <c r="AP1356" s="418"/>
      <c r="AQ1356" s="418"/>
      <c r="AR1356" s="418"/>
      <c r="AS1356" s="418"/>
      <c r="AT1356" s="418"/>
      <c r="AU1356" s="418"/>
      <c r="AV1356" s="418"/>
      <c r="AW1356" s="418"/>
      <c r="AX1356" s="418"/>
      <c r="AY1356" s="418"/>
      <c r="AZ1356" s="418"/>
      <c r="BA1356" s="418"/>
    </row>
    <row r="1357" spans="40:53" ht="15.75" customHeight="1">
      <c r="AN1357" s="418"/>
      <c r="AO1357" s="418"/>
      <c r="AP1357" s="418"/>
      <c r="AQ1357" s="418"/>
      <c r="AR1357" s="418"/>
      <c r="AS1357" s="418"/>
      <c r="AT1357" s="418"/>
      <c r="AU1357" s="418"/>
      <c r="AV1357" s="418"/>
      <c r="AW1357" s="418"/>
      <c r="AX1357" s="418"/>
      <c r="AY1357" s="418"/>
      <c r="AZ1357" s="418"/>
      <c r="BA1357" s="418"/>
    </row>
    <row r="1358" spans="40:53" ht="15.75" customHeight="1">
      <c r="AN1358" s="418"/>
      <c r="AO1358" s="418"/>
      <c r="AP1358" s="418"/>
      <c r="AQ1358" s="418"/>
      <c r="AR1358" s="418"/>
      <c r="AS1358" s="418"/>
      <c r="AT1358" s="418"/>
      <c r="AU1358" s="418"/>
      <c r="AV1358" s="418"/>
      <c r="AW1358" s="418"/>
      <c r="AX1358" s="418"/>
      <c r="AY1358" s="418"/>
      <c r="AZ1358" s="418"/>
      <c r="BA1358" s="418"/>
    </row>
    <row r="1359" spans="40:53" ht="15.75" customHeight="1">
      <c r="AN1359" s="418"/>
      <c r="AO1359" s="418"/>
      <c r="AP1359" s="418"/>
      <c r="AQ1359" s="418"/>
      <c r="AR1359" s="418"/>
      <c r="AS1359" s="418"/>
      <c r="AT1359" s="418"/>
      <c r="AU1359" s="418"/>
      <c r="AV1359" s="418"/>
      <c r="AW1359" s="418"/>
      <c r="AX1359" s="418"/>
      <c r="AY1359" s="418"/>
      <c r="AZ1359" s="418"/>
      <c r="BA1359" s="418"/>
    </row>
    <row r="1360" spans="40:53" ht="15.75" customHeight="1">
      <c r="AN1360" s="418"/>
      <c r="AO1360" s="418"/>
      <c r="AP1360" s="418"/>
      <c r="AQ1360" s="418"/>
      <c r="AR1360" s="418"/>
      <c r="AS1360" s="418"/>
      <c r="AT1360" s="418"/>
      <c r="AU1360" s="418"/>
      <c r="AV1360" s="418"/>
      <c r="AW1360" s="418"/>
      <c r="AX1360" s="418"/>
      <c r="AY1360" s="418"/>
      <c r="AZ1360" s="418"/>
      <c r="BA1360" s="418"/>
    </row>
    <row r="1361" spans="40:53" ht="15.75" customHeight="1">
      <c r="AN1361" s="418"/>
      <c r="AO1361" s="418"/>
      <c r="AP1361" s="418"/>
      <c r="AQ1361" s="418"/>
      <c r="AR1361" s="418"/>
      <c r="AS1361" s="418"/>
      <c r="AT1361" s="418"/>
      <c r="AU1361" s="418"/>
      <c r="AV1361" s="418"/>
      <c r="AW1361" s="418"/>
      <c r="AX1361" s="418"/>
      <c r="AY1361" s="418"/>
      <c r="AZ1361" s="418"/>
      <c r="BA1361" s="418"/>
    </row>
    <row r="1362" spans="40:53" ht="15.75" customHeight="1">
      <c r="AN1362" s="418"/>
      <c r="AO1362" s="418"/>
      <c r="AP1362" s="418"/>
      <c r="AQ1362" s="418"/>
      <c r="AR1362" s="418"/>
      <c r="AS1362" s="418"/>
      <c r="AT1362" s="418"/>
      <c r="AU1362" s="418"/>
      <c r="AV1362" s="418"/>
      <c r="AW1362" s="418"/>
      <c r="AX1362" s="418"/>
      <c r="AY1362" s="418"/>
      <c r="AZ1362" s="418"/>
      <c r="BA1362" s="418"/>
    </row>
    <row r="1363" spans="40:53" ht="15.75" customHeight="1">
      <c r="AN1363" s="418"/>
      <c r="AO1363" s="418"/>
      <c r="AP1363" s="418"/>
      <c r="AQ1363" s="418"/>
      <c r="AR1363" s="418"/>
      <c r="AS1363" s="418"/>
      <c r="AT1363" s="418"/>
      <c r="AU1363" s="418"/>
      <c r="AV1363" s="418"/>
      <c r="AW1363" s="418"/>
      <c r="AX1363" s="418"/>
      <c r="AY1363" s="418"/>
      <c r="AZ1363" s="418"/>
      <c r="BA1363" s="418"/>
    </row>
    <row r="1364" spans="40:53" ht="15.75" customHeight="1">
      <c r="AN1364" s="418"/>
      <c r="AO1364" s="418"/>
      <c r="AP1364" s="418"/>
      <c r="AQ1364" s="418"/>
      <c r="AR1364" s="418"/>
      <c r="AS1364" s="418"/>
      <c r="AT1364" s="418"/>
      <c r="AU1364" s="418"/>
      <c r="AV1364" s="418"/>
      <c r="AW1364" s="418"/>
      <c r="AX1364" s="418"/>
      <c r="AY1364" s="418"/>
      <c r="AZ1364" s="418"/>
      <c r="BA1364" s="418"/>
    </row>
    <row r="1365" spans="40:53" ht="15.75" customHeight="1">
      <c r="AN1365" s="418"/>
      <c r="AO1365" s="418"/>
      <c r="AP1365" s="418"/>
      <c r="AQ1365" s="418"/>
      <c r="AR1365" s="418"/>
      <c r="AS1365" s="418"/>
      <c r="AT1365" s="418"/>
      <c r="AU1365" s="418"/>
      <c r="AV1365" s="418"/>
      <c r="AW1365" s="418"/>
      <c r="AX1365" s="418"/>
      <c r="AY1365" s="418"/>
      <c r="AZ1365" s="418"/>
      <c r="BA1365" s="418"/>
    </row>
    <row r="1366" spans="40:53" ht="15.75" customHeight="1">
      <c r="AN1366" s="418"/>
      <c r="AO1366" s="418"/>
      <c r="AP1366" s="418"/>
      <c r="AQ1366" s="418"/>
      <c r="AR1366" s="418"/>
      <c r="AS1366" s="418"/>
      <c r="AT1366" s="418"/>
      <c r="AU1366" s="418"/>
      <c r="AV1366" s="418"/>
      <c r="AW1366" s="418"/>
      <c r="AX1366" s="418"/>
      <c r="AY1366" s="418"/>
      <c r="AZ1366" s="418"/>
      <c r="BA1366" s="418"/>
    </row>
    <row r="1367" spans="40:53" ht="15.75" customHeight="1">
      <c r="AN1367" s="418"/>
      <c r="AO1367" s="418"/>
      <c r="AP1367" s="418"/>
      <c r="AQ1367" s="418"/>
      <c r="AR1367" s="418"/>
      <c r="AS1367" s="418"/>
      <c r="AT1367" s="418"/>
      <c r="AU1367" s="418"/>
      <c r="AV1367" s="418"/>
      <c r="AW1367" s="418"/>
      <c r="AX1367" s="418"/>
      <c r="AY1367" s="418"/>
      <c r="AZ1367" s="418"/>
      <c r="BA1367" s="418"/>
    </row>
    <row r="1368" spans="40:53" ht="15.75" customHeight="1">
      <c r="AN1368" s="418"/>
      <c r="AO1368" s="418"/>
      <c r="AP1368" s="418"/>
      <c r="AQ1368" s="418"/>
      <c r="AR1368" s="418"/>
      <c r="AS1368" s="418"/>
      <c r="AT1368" s="418"/>
      <c r="AU1368" s="418"/>
      <c r="AV1368" s="418"/>
      <c r="AW1368" s="418"/>
      <c r="AX1368" s="418"/>
      <c r="AY1368" s="418"/>
      <c r="AZ1368" s="418"/>
      <c r="BA1368" s="418"/>
    </row>
    <row r="1369" spans="40:53" ht="15.75" customHeight="1">
      <c r="AN1369" s="418"/>
      <c r="AO1369" s="418"/>
      <c r="AP1369" s="418"/>
      <c r="AQ1369" s="418"/>
      <c r="AR1369" s="418"/>
      <c r="AS1369" s="418"/>
      <c r="AT1369" s="418"/>
      <c r="AU1369" s="418"/>
      <c r="AV1369" s="418"/>
      <c r="AW1369" s="418"/>
      <c r="AX1369" s="418"/>
      <c r="AY1369" s="418"/>
      <c r="AZ1369" s="418"/>
      <c r="BA1369" s="418"/>
    </row>
    <row r="1370" spans="40:53" ht="15.75" customHeight="1">
      <c r="AN1370" s="418"/>
      <c r="AO1370" s="418"/>
      <c r="AP1370" s="418"/>
      <c r="AQ1370" s="418"/>
      <c r="AR1370" s="418"/>
      <c r="AS1370" s="418"/>
      <c r="AT1370" s="418"/>
      <c r="AU1370" s="418"/>
      <c r="AV1370" s="418"/>
      <c r="AW1370" s="418"/>
      <c r="AX1370" s="418"/>
      <c r="AY1370" s="418"/>
      <c r="AZ1370" s="418"/>
      <c r="BA1370" s="418"/>
    </row>
    <row r="1371" spans="40:53" ht="15.75" customHeight="1">
      <c r="AN1371" s="418"/>
      <c r="AO1371" s="418"/>
      <c r="AP1371" s="418"/>
      <c r="AQ1371" s="418"/>
      <c r="AR1371" s="418"/>
      <c r="AS1371" s="418"/>
      <c r="AT1371" s="418"/>
      <c r="AU1371" s="418"/>
      <c r="AV1371" s="418"/>
      <c r="AW1371" s="418"/>
      <c r="AX1371" s="418"/>
      <c r="AY1371" s="418"/>
      <c r="AZ1371" s="418"/>
      <c r="BA1371" s="418"/>
    </row>
    <row r="1372" spans="40:53" ht="15.75" customHeight="1">
      <c r="AN1372" s="418"/>
      <c r="AO1372" s="418"/>
      <c r="AP1372" s="418"/>
      <c r="AQ1372" s="418"/>
      <c r="AR1372" s="418"/>
      <c r="AS1372" s="418"/>
      <c r="AT1372" s="418"/>
      <c r="AU1372" s="418"/>
      <c r="AV1372" s="418"/>
      <c r="AW1372" s="418"/>
      <c r="AX1372" s="418"/>
      <c r="AY1372" s="418"/>
      <c r="AZ1372" s="418"/>
      <c r="BA1372" s="418"/>
    </row>
    <row r="1373" spans="40:53" ht="15.75" customHeight="1">
      <c r="AN1373" s="418"/>
      <c r="AO1373" s="418"/>
      <c r="AP1373" s="418"/>
      <c r="AQ1373" s="418"/>
      <c r="AR1373" s="418"/>
      <c r="AS1373" s="418"/>
      <c r="AT1373" s="418"/>
      <c r="AU1373" s="418"/>
      <c r="AV1373" s="418"/>
      <c r="AW1373" s="418"/>
      <c r="AX1373" s="418"/>
      <c r="AY1373" s="418"/>
      <c r="AZ1373" s="418"/>
      <c r="BA1373" s="418"/>
    </row>
    <row r="1374" spans="40:53" ht="15.75" customHeight="1">
      <c r="AN1374" s="418"/>
      <c r="AO1374" s="418"/>
      <c r="AP1374" s="418"/>
      <c r="AQ1374" s="418"/>
      <c r="AR1374" s="418"/>
      <c r="AS1374" s="418"/>
      <c r="AT1374" s="418"/>
      <c r="AU1374" s="418"/>
      <c r="AV1374" s="418"/>
      <c r="AW1374" s="418"/>
      <c r="AX1374" s="418"/>
      <c r="AY1374" s="418"/>
      <c r="AZ1374" s="418"/>
      <c r="BA1374" s="418"/>
    </row>
    <row r="1375" spans="40:53" ht="15.75" customHeight="1">
      <c r="AN1375" s="418"/>
      <c r="AO1375" s="418"/>
      <c r="AP1375" s="418"/>
      <c r="AQ1375" s="418"/>
      <c r="AR1375" s="418"/>
      <c r="AS1375" s="418"/>
      <c r="AT1375" s="418"/>
      <c r="AU1375" s="418"/>
      <c r="AV1375" s="418"/>
      <c r="AW1375" s="418"/>
      <c r="AX1375" s="418"/>
      <c r="AY1375" s="418"/>
      <c r="AZ1375" s="418"/>
      <c r="BA1375" s="418"/>
    </row>
    <row r="1376" spans="40:53" ht="15.75" customHeight="1">
      <c r="AN1376" s="418"/>
      <c r="AO1376" s="418"/>
      <c r="AP1376" s="418"/>
      <c r="AQ1376" s="418"/>
      <c r="AR1376" s="418"/>
      <c r="AS1376" s="418"/>
      <c r="AT1376" s="418"/>
      <c r="AU1376" s="418"/>
      <c r="AV1376" s="418"/>
      <c r="AW1376" s="418"/>
      <c r="AX1376" s="418"/>
      <c r="AY1376" s="418"/>
      <c r="AZ1376" s="418"/>
      <c r="BA1376" s="418"/>
    </row>
    <row r="1377" spans="40:53" ht="15.75" customHeight="1">
      <c r="AN1377" s="418"/>
      <c r="AO1377" s="418"/>
      <c r="AP1377" s="418"/>
      <c r="AQ1377" s="418"/>
      <c r="AR1377" s="418"/>
      <c r="AS1377" s="418"/>
      <c r="AT1377" s="418"/>
      <c r="AU1377" s="418"/>
      <c r="AV1377" s="418"/>
      <c r="AW1377" s="418"/>
      <c r="AX1377" s="418"/>
      <c r="AY1377" s="418"/>
      <c r="AZ1377" s="418"/>
      <c r="BA1377" s="418"/>
    </row>
    <row r="1378" spans="40:53" ht="15.75" customHeight="1">
      <c r="AN1378" s="418"/>
      <c r="AO1378" s="418"/>
      <c r="AP1378" s="418"/>
      <c r="AQ1378" s="418"/>
      <c r="AR1378" s="418"/>
      <c r="AS1378" s="418"/>
      <c r="AT1378" s="418"/>
      <c r="AU1378" s="418"/>
      <c r="AV1378" s="418"/>
      <c r="AW1378" s="418"/>
      <c r="AX1378" s="418"/>
      <c r="AY1378" s="418"/>
      <c r="AZ1378" s="418"/>
      <c r="BA1378" s="418"/>
    </row>
    <row r="1379" spans="40:53" ht="15.75" customHeight="1">
      <c r="AN1379" s="418"/>
      <c r="AO1379" s="418"/>
      <c r="AP1379" s="418"/>
      <c r="AQ1379" s="418"/>
      <c r="AR1379" s="418"/>
      <c r="AS1379" s="418"/>
      <c r="AT1379" s="418"/>
      <c r="AU1379" s="418"/>
      <c r="AV1379" s="418"/>
      <c r="AW1379" s="418"/>
      <c r="AX1379" s="418"/>
      <c r="AY1379" s="418"/>
      <c r="AZ1379" s="418"/>
      <c r="BA1379" s="418"/>
    </row>
    <row r="1380" spans="40:53" ht="15.75" customHeight="1">
      <c r="AN1380" s="418"/>
      <c r="AO1380" s="418"/>
      <c r="AP1380" s="418"/>
      <c r="AQ1380" s="418"/>
      <c r="AR1380" s="418"/>
      <c r="AS1380" s="418"/>
      <c r="AT1380" s="418"/>
      <c r="AU1380" s="418"/>
      <c r="AV1380" s="418"/>
      <c r="AW1380" s="418"/>
      <c r="AX1380" s="418"/>
      <c r="AY1380" s="418"/>
      <c r="AZ1380" s="418"/>
      <c r="BA1380" s="418"/>
    </row>
    <row r="1381" spans="40:53" ht="15.75" customHeight="1">
      <c r="AN1381" s="418"/>
      <c r="AO1381" s="418"/>
      <c r="AP1381" s="418"/>
      <c r="AQ1381" s="418"/>
      <c r="AR1381" s="418"/>
      <c r="AS1381" s="418"/>
      <c r="AT1381" s="418"/>
      <c r="AU1381" s="418"/>
      <c r="AV1381" s="418"/>
      <c r="AW1381" s="418"/>
      <c r="AX1381" s="418"/>
      <c r="AY1381" s="418"/>
      <c r="AZ1381" s="418"/>
      <c r="BA1381" s="418"/>
    </row>
    <row r="1382" spans="40:53" ht="15.75" customHeight="1">
      <c r="AN1382" s="418"/>
      <c r="AO1382" s="418"/>
      <c r="AP1382" s="418"/>
      <c r="AQ1382" s="418"/>
      <c r="AR1382" s="418"/>
      <c r="AS1382" s="418"/>
      <c r="AT1382" s="418"/>
      <c r="AU1382" s="418"/>
      <c r="AV1382" s="418"/>
      <c r="AW1382" s="418"/>
      <c r="AX1382" s="418"/>
      <c r="AY1382" s="418"/>
      <c r="AZ1382" s="418"/>
      <c r="BA1382" s="418"/>
    </row>
    <row r="1383" spans="40:53" ht="15.75" customHeight="1">
      <c r="AN1383" s="418"/>
      <c r="AO1383" s="418"/>
      <c r="AP1383" s="418"/>
      <c r="AQ1383" s="418"/>
      <c r="AR1383" s="418"/>
      <c r="AS1383" s="418"/>
      <c r="AT1383" s="418"/>
      <c r="AU1383" s="418"/>
      <c r="AV1383" s="418"/>
      <c r="AW1383" s="418"/>
      <c r="AX1383" s="418"/>
      <c r="AY1383" s="418"/>
      <c r="AZ1383" s="418"/>
      <c r="BA1383" s="418"/>
    </row>
    <row r="1384" spans="40:53" ht="15.75" customHeight="1">
      <c r="AN1384" s="418"/>
      <c r="AO1384" s="418"/>
      <c r="AP1384" s="418"/>
      <c r="AQ1384" s="418"/>
      <c r="AR1384" s="418"/>
      <c r="AS1384" s="418"/>
      <c r="AT1384" s="418"/>
      <c r="AU1384" s="418"/>
      <c r="AV1384" s="418"/>
      <c r="AW1384" s="418"/>
      <c r="AX1384" s="418"/>
      <c r="AY1384" s="418"/>
      <c r="AZ1384" s="418"/>
      <c r="BA1384" s="418"/>
    </row>
    <row r="1385" spans="40:53" ht="15.75" customHeight="1">
      <c r="AN1385" s="418"/>
      <c r="AO1385" s="418"/>
      <c r="AP1385" s="418"/>
      <c r="AQ1385" s="418"/>
      <c r="AR1385" s="418"/>
      <c r="AS1385" s="418"/>
      <c r="AT1385" s="418"/>
      <c r="AU1385" s="418"/>
      <c r="AV1385" s="418"/>
      <c r="AW1385" s="418"/>
      <c r="AX1385" s="418"/>
      <c r="AY1385" s="418"/>
      <c r="AZ1385" s="418"/>
      <c r="BA1385" s="418"/>
    </row>
    <row r="1386" spans="40:53" ht="15.75" customHeight="1">
      <c r="AN1386" s="418"/>
      <c r="AO1386" s="418"/>
      <c r="AP1386" s="418"/>
      <c r="AQ1386" s="418"/>
      <c r="AR1386" s="418"/>
      <c r="AS1386" s="418"/>
      <c r="AT1386" s="418"/>
      <c r="AU1386" s="418"/>
      <c r="AV1386" s="418"/>
      <c r="AW1386" s="418"/>
      <c r="AX1386" s="418"/>
      <c r="AY1386" s="418"/>
      <c r="AZ1386" s="418"/>
      <c r="BA1386" s="418"/>
    </row>
    <row r="1387" spans="40:53" ht="15.75" customHeight="1">
      <c r="AN1387" s="418"/>
      <c r="AO1387" s="418"/>
      <c r="AP1387" s="418"/>
      <c r="AQ1387" s="418"/>
      <c r="AR1387" s="418"/>
      <c r="AS1387" s="418"/>
      <c r="AT1387" s="418"/>
      <c r="AU1387" s="418"/>
      <c r="AV1387" s="418"/>
      <c r="AW1387" s="418"/>
      <c r="AX1387" s="418"/>
      <c r="AY1387" s="418"/>
      <c r="AZ1387" s="418"/>
      <c r="BA1387" s="418"/>
    </row>
    <row r="1388" spans="40:53" ht="15.75" customHeight="1">
      <c r="AN1388" s="418"/>
      <c r="AO1388" s="418"/>
      <c r="AP1388" s="418"/>
      <c r="AQ1388" s="418"/>
      <c r="AR1388" s="418"/>
      <c r="AS1388" s="418"/>
      <c r="AT1388" s="418"/>
      <c r="AU1388" s="418"/>
      <c r="AV1388" s="418"/>
      <c r="AW1388" s="418"/>
      <c r="AX1388" s="418"/>
      <c r="AY1388" s="418"/>
      <c r="AZ1388" s="418"/>
      <c r="BA1388" s="418"/>
    </row>
    <row r="1389" spans="40:53" ht="15.75" customHeight="1">
      <c r="AN1389" s="418"/>
      <c r="AO1389" s="418"/>
      <c r="AP1389" s="418"/>
      <c r="AQ1389" s="418"/>
      <c r="AR1389" s="418"/>
      <c r="AS1389" s="418"/>
      <c r="AT1389" s="418"/>
      <c r="AU1389" s="418"/>
      <c r="AV1389" s="418"/>
      <c r="AW1389" s="418"/>
      <c r="AX1389" s="418"/>
      <c r="AY1389" s="418"/>
      <c r="AZ1389" s="418"/>
      <c r="BA1389" s="418"/>
    </row>
    <row r="1390" spans="40:53" ht="15.75" customHeight="1">
      <c r="AN1390" s="418"/>
      <c r="AO1390" s="418"/>
      <c r="AP1390" s="418"/>
      <c r="AQ1390" s="418"/>
      <c r="AR1390" s="418"/>
      <c r="AS1390" s="418"/>
      <c r="AT1390" s="418"/>
      <c r="AU1390" s="418"/>
      <c r="AV1390" s="418"/>
      <c r="AW1390" s="418"/>
      <c r="AX1390" s="418"/>
      <c r="AY1390" s="418"/>
      <c r="AZ1390" s="418"/>
      <c r="BA1390" s="418"/>
    </row>
    <row r="1391" spans="40:53" ht="15.75" customHeight="1">
      <c r="AN1391" s="418"/>
      <c r="AO1391" s="418"/>
      <c r="AP1391" s="418"/>
      <c r="AQ1391" s="418"/>
      <c r="AR1391" s="418"/>
      <c r="AS1391" s="418"/>
      <c r="AT1391" s="418"/>
      <c r="AU1391" s="418"/>
      <c r="AV1391" s="418"/>
      <c r="AW1391" s="418"/>
      <c r="AX1391" s="418"/>
      <c r="AY1391" s="418"/>
      <c r="AZ1391" s="418"/>
      <c r="BA1391" s="418"/>
    </row>
    <row r="1392" spans="40:53" ht="15.75" customHeight="1">
      <c r="AN1392" s="418"/>
      <c r="AO1392" s="418"/>
      <c r="AP1392" s="418"/>
      <c r="AQ1392" s="418"/>
      <c r="AR1392" s="418"/>
      <c r="AS1392" s="418"/>
      <c r="AT1392" s="418"/>
      <c r="AU1392" s="418"/>
      <c r="AV1392" s="418"/>
      <c r="AW1392" s="418"/>
      <c r="AX1392" s="418"/>
      <c r="AY1392" s="418"/>
      <c r="AZ1392" s="418"/>
      <c r="BA1392" s="418"/>
    </row>
    <row r="1393" spans="40:53" ht="15.75" customHeight="1">
      <c r="AN1393" s="418"/>
      <c r="AO1393" s="418"/>
      <c r="AP1393" s="418"/>
      <c r="AQ1393" s="418"/>
      <c r="AR1393" s="418"/>
      <c r="AS1393" s="418"/>
      <c r="AT1393" s="418"/>
      <c r="AU1393" s="418"/>
      <c r="AV1393" s="418"/>
      <c r="AW1393" s="418"/>
      <c r="AX1393" s="418"/>
      <c r="AY1393" s="418"/>
      <c r="AZ1393" s="418"/>
      <c r="BA1393" s="418"/>
    </row>
    <row r="1394" spans="40:53" ht="15.75" customHeight="1">
      <c r="AN1394" s="418"/>
      <c r="AO1394" s="418"/>
      <c r="AP1394" s="418"/>
      <c r="AQ1394" s="418"/>
      <c r="AR1394" s="418"/>
      <c r="AS1394" s="418"/>
      <c r="AT1394" s="418"/>
      <c r="AU1394" s="418"/>
      <c r="AV1394" s="418"/>
      <c r="AW1394" s="418"/>
      <c r="AX1394" s="418"/>
      <c r="AY1394" s="418"/>
      <c r="AZ1394" s="418"/>
      <c r="BA1394" s="418"/>
    </row>
    <row r="1395" spans="40:53" ht="15.75" customHeight="1">
      <c r="AN1395" s="418"/>
      <c r="AO1395" s="418"/>
      <c r="AP1395" s="418"/>
      <c r="AQ1395" s="418"/>
      <c r="AR1395" s="418"/>
      <c r="AS1395" s="418"/>
      <c r="AT1395" s="418"/>
      <c r="AU1395" s="418"/>
      <c r="AV1395" s="418"/>
      <c r="AW1395" s="418"/>
      <c r="AX1395" s="418"/>
      <c r="AY1395" s="418"/>
      <c r="AZ1395" s="418"/>
      <c r="BA1395" s="418"/>
    </row>
    <row r="1396" spans="40:53" ht="15.75" customHeight="1">
      <c r="AN1396" s="418"/>
      <c r="AO1396" s="418"/>
      <c r="AP1396" s="418"/>
      <c r="AQ1396" s="418"/>
      <c r="AR1396" s="418"/>
      <c r="AS1396" s="418"/>
      <c r="AT1396" s="418"/>
      <c r="AU1396" s="418"/>
      <c r="AV1396" s="418"/>
      <c r="AW1396" s="418"/>
      <c r="AX1396" s="418"/>
      <c r="AY1396" s="418"/>
      <c r="AZ1396" s="418"/>
      <c r="BA1396" s="418"/>
    </row>
    <row r="1397" spans="40:53" ht="15.75" customHeight="1">
      <c r="AN1397" s="418"/>
      <c r="AO1397" s="418"/>
      <c r="AP1397" s="418"/>
      <c r="AQ1397" s="418"/>
      <c r="AR1397" s="418"/>
      <c r="AS1397" s="418"/>
      <c r="AT1397" s="418"/>
      <c r="AU1397" s="418"/>
      <c r="AV1397" s="418"/>
      <c r="AW1397" s="418"/>
      <c r="AX1397" s="418"/>
      <c r="AY1397" s="418"/>
      <c r="AZ1397" s="418"/>
      <c r="BA1397" s="418"/>
    </row>
    <row r="1398" spans="40:53" ht="15.75" customHeight="1">
      <c r="AN1398" s="418"/>
      <c r="AO1398" s="418"/>
      <c r="AP1398" s="418"/>
      <c r="AQ1398" s="418"/>
      <c r="AR1398" s="418"/>
      <c r="AS1398" s="418"/>
      <c r="AT1398" s="418"/>
      <c r="AU1398" s="418"/>
      <c r="AV1398" s="418"/>
      <c r="AW1398" s="418"/>
      <c r="AX1398" s="418"/>
      <c r="AY1398" s="418"/>
      <c r="AZ1398" s="418"/>
      <c r="BA1398" s="418"/>
    </row>
    <row r="1399" spans="40:53" ht="15.75" customHeight="1">
      <c r="AN1399" s="418"/>
      <c r="AO1399" s="418"/>
      <c r="AP1399" s="418"/>
      <c r="AQ1399" s="418"/>
      <c r="AR1399" s="418"/>
      <c r="AS1399" s="418"/>
      <c r="AT1399" s="418"/>
      <c r="AU1399" s="418"/>
      <c r="AV1399" s="418"/>
      <c r="AW1399" s="418"/>
      <c r="AX1399" s="418"/>
      <c r="AY1399" s="418"/>
      <c r="AZ1399" s="418"/>
      <c r="BA1399" s="418"/>
    </row>
    <row r="1400" spans="40:53" ht="15.75" customHeight="1">
      <c r="AN1400" s="418"/>
      <c r="AO1400" s="418"/>
      <c r="AP1400" s="418"/>
      <c r="AQ1400" s="418"/>
      <c r="AR1400" s="418"/>
      <c r="AS1400" s="418"/>
      <c r="AT1400" s="418"/>
      <c r="AU1400" s="418"/>
      <c r="AV1400" s="418"/>
      <c r="AW1400" s="418"/>
      <c r="AX1400" s="418"/>
      <c r="AY1400" s="418"/>
      <c r="AZ1400" s="418"/>
      <c r="BA1400" s="418"/>
    </row>
    <row r="1401" spans="40:53" ht="15.75" customHeight="1">
      <c r="AN1401" s="418"/>
      <c r="AO1401" s="418"/>
      <c r="AP1401" s="418"/>
      <c r="AQ1401" s="418"/>
      <c r="AR1401" s="418"/>
      <c r="AS1401" s="418"/>
      <c r="AT1401" s="418"/>
      <c r="AU1401" s="418"/>
      <c r="AV1401" s="418"/>
      <c r="AW1401" s="418"/>
      <c r="AX1401" s="418"/>
      <c r="AY1401" s="418"/>
      <c r="AZ1401" s="418"/>
      <c r="BA1401" s="418"/>
    </row>
    <row r="1402" spans="40:53" ht="15.75" customHeight="1">
      <c r="AN1402" s="418"/>
      <c r="AO1402" s="418"/>
      <c r="AP1402" s="418"/>
      <c r="AQ1402" s="418"/>
      <c r="AR1402" s="418"/>
      <c r="AS1402" s="418"/>
      <c r="AT1402" s="418"/>
      <c r="AU1402" s="418"/>
      <c r="AV1402" s="418"/>
      <c r="AW1402" s="418"/>
      <c r="AX1402" s="418"/>
      <c r="AY1402" s="418"/>
      <c r="AZ1402" s="418"/>
      <c r="BA1402" s="418"/>
    </row>
    <row r="1403" spans="40:53" ht="15.75" customHeight="1">
      <c r="AN1403" s="418"/>
      <c r="AO1403" s="418"/>
      <c r="AP1403" s="418"/>
      <c r="AQ1403" s="418"/>
      <c r="AR1403" s="418"/>
      <c r="AS1403" s="418"/>
      <c r="AT1403" s="418"/>
      <c r="AU1403" s="418"/>
      <c r="AV1403" s="418"/>
      <c r="AW1403" s="418"/>
      <c r="AX1403" s="418"/>
      <c r="AY1403" s="418"/>
      <c r="AZ1403" s="418"/>
      <c r="BA1403" s="418"/>
    </row>
    <row r="1404" spans="40:53" ht="15.75" customHeight="1">
      <c r="AN1404" s="418"/>
      <c r="AO1404" s="418"/>
      <c r="AP1404" s="418"/>
      <c r="AQ1404" s="418"/>
      <c r="AR1404" s="418"/>
      <c r="AS1404" s="418"/>
      <c r="AT1404" s="418"/>
      <c r="AU1404" s="418"/>
      <c r="AV1404" s="418"/>
      <c r="AW1404" s="418"/>
      <c r="AX1404" s="418"/>
      <c r="AY1404" s="418"/>
      <c r="AZ1404" s="418"/>
      <c r="BA1404" s="418"/>
    </row>
    <row r="1405" spans="40:53" ht="15.75" customHeight="1">
      <c r="AN1405" s="418"/>
      <c r="AO1405" s="418"/>
      <c r="AP1405" s="418"/>
      <c r="AQ1405" s="418"/>
      <c r="AR1405" s="418"/>
      <c r="AS1405" s="418"/>
      <c r="AT1405" s="418"/>
      <c r="AU1405" s="418"/>
      <c r="AV1405" s="418"/>
      <c r="AW1405" s="418"/>
      <c r="AX1405" s="418"/>
      <c r="AY1405" s="418"/>
      <c r="AZ1405" s="418"/>
      <c r="BA1405" s="418"/>
    </row>
    <row r="1406" spans="40:53" ht="15.75" customHeight="1">
      <c r="AN1406" s="418"/>
      <c r="AO1406" s="418"/>
      <c r="AP1406" s="418"/>
      <c r="AQ1406" s="418"/>
      <c r="AR1406" s="418"/>
      <c r="AS1406" s="418"/>
      <c r="AT1406" s="418"/>
      <c r="AU1406" s="418"/>
      <c r="AV1406" s="418"/>
      <c r="AW1406" s="418"/>
      <c r="AX1406" s="418"/>
      <c r="AY1406" s="418"/>
      <c r="AZ1406" s="418"/>
      <c r="BA1406" s="418"/>
    </row>
    <row r="1407" spans="40:53" ht="15.75" customHeight="1">
      <c r="AN1407" s="418"/>
      <c r="AO1407" s="418"/>
      <c r="AP1407" s="418"/>
      <c r="AQ1407" s="418"/>
      <c r="AR1407" s="418"/>
      <c r="AS1407" s="418"/>
      <c r="AT1407" s="418"/>
      <c r="AU1407" s="418"/>
      <c r="AV1407" s="418"/>
      <c r="AW1407" s="418"/>
      <c r="AX1407" s="418"/>
      <c r="AY1407" s="418"/>
      <c r="AZ1407" s="418"/>
      <c r="BA1407" s="418"/>
    </row>
    <row r="1408" spans="40:53" ht="15.75" customHeight="1">
      <c r="AN1408" s="418"/>
      <c r="AO1408" s="418"/>
      <c r="AP1408" s="418"/>
      <c r="AQ1408" s="418"/>
      <c r="AR1408" s="418"/>
      <c r="AS1408" s="418"/>
      <c r="AT1408" s="418"/>
      <c r="AU1408" s="418"/>
      <c r="AV1408" s="418"/>
      <c r="AW1408" s="418"/>
      <c r="AX1408" s="418"/>
      <c r="AY1408" s="418"/>
      <c r="AZ1408" s="418"/>
      <c r="BA1408" s="418"/>
    </row>
    <row r="1409" spans="40:53" ht="15.75" customHeight="1">
      <c r="AN1409" s="418"/>
      <c r="AO1409" s="418"/>
      <c r="AP1409" s="418"/>
      <c r="AQ1409" s="418"/>
      <c r="AR1409" s="418"/>
      <c r="AS1409" s="418"/>
      <c r="AT1409" s="418"/>
      <c r="AU1409" s="418"/>
      <c r="AV1409" s="418"/>
      <c r="AW1409" s="418"/>
      <c r="AX1409" s="418"/>
      <c r="AY1409" s="418"/>
      <c r="AZ1409" s="418"/>
      <c r="BA1409" s="418"/>
    </row>
    <row r="1410" spans="40:53" ht="15.75" customHeight="1">
      <c r="AN1410" s="418"/>
      <c r="AO1410" s="418"/>
      <c r="AP1410" s="418"/>
      <c r="AQ1410" s="418"/>
      <c r="AR1410" s="418"/>
      <c r="AS1410" s="418"/>
      <c r="AT1410" s="418"/>
      <c r="AU1410" s="418"/>
      <c r="AV1410" s="418"/>
      <c r="AW1410" s="418"/>
      <c r="AX1410" s="418"/>
      <c r="AY1410" s="418"/>
      <c r="AZ1410" s="418"/>
      <c r="BA1410" s="418"/>
    </row>
    <row r="1411" spans="40:53" ht="15.75" customHeight="1">
      <c r="AN1411" s="418"/>
      <c r="AO1411" s="418"/>
      <c r="AP1411" s="418"/>
      <c r="AQ1411" s="418"/>
      <c r="AR1411" s="418"/>
      <c r="AS1411" s="418"/>
      <c r="AT1411" s="418"/>
      <c r="AU1411" s="418"/>
      <c r="AV1411" s="418"/>
      <c r="AW1411" s="418"/>
      <c r="AX1411" s="418"/>
      <c r="AY1411" s="418"/>
      <c r="AZ1411" s="418"/>
      <c r="BA1411" s="418"/>
    </row>
    <row r="1412" spans="40:53" ht="15.75" customHeight="1">
      <c r="AN1412" s="418"/>
      <c r="AO1412" s="418"/>
      <c r="AP1412" s="418"/>
      <c r="AQ1412" s="418"/>
      <c r="AR1412" s="418"/>
      <c r="AS1412" s="418"/>
      <c r="AT1412" s="418"/>
      <c r="AU1412" s="418"/>
      <c r="AV1412" s="418"/>
      <c r="AW1412" s="418"/>
      <c r="AX1412" s="418"/>
      <c r="AY1412" s="418"/>
      <c r="AZ1412" s="418"/>
      <c r="BA1412" s="418"/>
    </row>
    <row r="1413" spans="40:53" ht="15.75" customHeight="1">
      <c r="AN1413" s="418"/>
      <c r="AO1413" s="418"/>
      <c r="AP1413" s="418"/>
      <c r="AQ1413" s="418"/>
      <c r="AR1413" s="418"/>
      <c r="AS1413" s="418"/>
      <c r="AT1413" s="418"/>
      <c r="AU1413" s="418"/>
      <c r="AV1413" s="418"/>
      <c r="AW1413" s="418"/>
      <c r="AX1413" s="418"/>
      <c r="AY1413" s="418"/>
      <c r="AZ1413" s="418"/>
      <c r="BA1413" s="418"/>
    </row>
    <row r="1414" spans="40:53" ht="15.75" customHeight="1">
      <c r="AN1414" s="418"/>
      <c r="AO1414" s="418"/>
      <c r="AP1414" s="418"/>
      <c r="AQ1414" s="418"/>
      <c r="AR1414" s="418"/>
      <c r="AS1414" s="418"/>
      <c r="AT1414" s="418"/>
      <c r="AU1414" s="418"/>
      <c r="AV1414" s="418"/>
      <c r="AW1414" s="418"/>
      <c r="AX1414" s="418"/>
      <c r="AY1414" s="418"/>
      <c r="AZ1414" s="418"/>
      <c r="BA1414" s="418"/>
    </row>
    <row r="1415" spans="40:53" ht="15.75" customHeight="1">
      <c r="AN1415" s="418"/>
      <c r="AO1415" s="418"/>
      <c r="AP1415" s="418"/>
      <c r="AQ1415" s="418"/>
      <c r="AR1415" s="418"/>
      <c r="AS1415" s="418"/>
      <c r="AT1415" s="418"/>
      <c r="AU1415" s="418"/>
      <c r="AV1415" s="418"/>
      <c r="AW1415" s="418"/>
      <c r="AX1415" s="418"/>
      <c r="AY1415" s="418"/>
      <c r="AZ1415" s="418"/>
      <c r="BA1415" s="418"/>
    </row>
    <row r="1416" spans="40:53" ht="15.75" customHeight="1">
      <c r="AN1416" s="418"/>
      <c r="AO1416" s="418"/>
      <c r="AP1416" s="418"/>
      <c r="AQ1416" s="418"/>
      <c r="AR1416" s="418"/>
      <c r="AS1416" s="418"/>
      <c r="AT1416" s="418"/>
      <c r="AU1416" s="418"/>
      <c r="AV1416" s="418"/>
      <c r="AW1416" s="418"/>
      <c r="AX1416" s="418"/>
      <c r="AY1416" s="418"/>
      <c r="AZ1416" s="418"/>
      <c r="BA1416" s="418"/>
    </row>
    <row r="1417" spans="40:53" ht="15.75" customHeight="1">
      <c r="AN1417" s="418"/>
      <c r="AO1417" s="418"/>
      <c r="AP1417" s="418"/>
      <c r="AQ1417" s="418"/>
      <c r="AR1417" s="418"/>
      <c r="AS1417" s="418"/>
      <c r="AT1417" s="418"/>
      <c r="AU1417" s="418"/>
      <c r="AV1417" s="418"/>
      <c r="AW1417" s="418"/>
      <c r="AX1417" s="418"/>
      <c r="AY1417" s="418"/>
      <c r="AZ1417" s="418"/>
      <c r="BA1417" s="418"/>
    </row>
    <row r="1418" spans="40:53" ht="15.75" customHeight="1">
      <c r="AN1418" s="418"/>
      <c r="AO1418" s="418"/>
      <c r="AP1418" s="418"/>
      <c r="AQ1418" s="418"/>
      <c r="AR1418" s="418"/>
      <c r="AS1418" s="418"/>
      <c r="AT1418" s="418"/>
      <c r="AU1418" s="418"/>
      <c r="AV1418" s="418"/>
      <c r="AW1418" s="418"/>
      <c r="AX1418" s="418"/>
      <c r="AY1418" s="418"/>
      <c r="AZ1418" s="418"/>
      <c r="BA1418" s="418"/>
    </row>
    <row r="1419" spans="40:53" ht="15.75" customHeight="1">
      <c r="AN1419" s="418"/>
      <c r="AO1419" s="418"/>
      <c r="AP1419" s="418"/>
      <c r="AQ1419" s="418"/>
      <c r="AR1419" s="418"/>
      <c r="AS1419" s="418"/>
      <c r="AT1419" s="418"/>
      <c r="AU1419" s="418"/>
      <c r="AV1419" s="418"/>
      <c r="AW1419" s="418"/>
      <c r="AX1419" s="418"/>
      <c r="AY1419" s="418"/>
      <c r="AZ1419" s="418"/>
      <c r="BA1419" s="418"/>
    </row>
    <row r="1420" spans="40:53" ht="15.75" customHeight="1">
      <c r="AN1420" s="418"/>
      <c r="AO1420" s="418"/>
      <c r="AP1420" s="418"/>
      <c r="AQ1420" s="418"/>
      <c r="AR1420" s="418"/>
      <c r="AS1420" s="418"/>
      <c r="AT1420" s="418"/>
      <c r="AU1420" s="418"/>
      <c r="AV1420" s="418"/>
      <c r="AW1420" s="418"/>
      <c r="AX1420" s="418"/>
      <c r="AY1420" s="418"/>
      <c r="AZ1420" s="418"/>
      <c r="BA1420" s="418"/>
    </row>
    <row r="1421" spans="40:53" ht="15.75" customHeight="1">
      <c r="AN1421" s="418"/>
      <c r="AO1421" s="418"/>
      <c r="AP1421" s="418"/>
      <c r="AQ1421" s="418"/>
      <c r="AR1421" s="418"/>
      <c r="AS1421" s="418"/>
      <c r="AT1421" s="418"/>
      <c r="AU1421" s="418"/>
      <c r="AV1421" s="418"/>
      <c r="AW1421" s="418"/>
      <c r="AX1421" s="418"/>
      <c r="AY1421" s="418"/>
      <c r="AZ1421" s="418"/>
      <c r="BA1421" s="418"/>
    </row>
    <row r="1422" spans="40:53" ht="15.75" customHeight="1">
      <c r="AN1422" s="418"/>
      <c r="AO1422" s="418"/>
      <c r="AP1422" s="418"/>
      <c r="AQ1422" s="418"/>
      <c r="AR1422" s="418"/>
      <c r="AS1422" s="418"/>
      <c r="AT1422" s="418"/>
      <c r="AU1422" s="418"/>
      <c r="AV1422" s="418"/>
      <c r="AW1422" s="418"/>
      <c r="AX1422" s="418"/>
      <c r="AY1422" s="418"/>
      <c r="AZ1422" s="418"/>
      <c r="BA1422" s="418"/>
    </row>
    <row r="1423" spans="40:53" ht="15.75" customHeight="1">
      <c r="AN1423" s="418"/>
      <c r="AO1423" s="418"/>
      <c r="AP1423" s="418"/>
      <c r="AQ1423" s="418"/>
      <c r="AR1423" s="418"/>
      <c r="AS1423" s="418"/>
      <c r="AT1423" s="418"/>
      <c r="AU1423" s="418"/>
      <c r="AV1423" s="418"/>
      <c r="AW1423" s="418"/>
      <c r="AX1423" s="418"/>
      <c r="AY1423" s="418"/>
      <c r="AZ1423" s="418"/>
      <c r="BA1423" s="418"/>
    </row>
    <row r="1424" spans="40:53" ht="15.75" customHeight="1">
      <c r="AN1424" s="418"/>
      <c r="AO1424" s="418"/>
      <c r="AP1424" s="418"/>
      <c r="AQ1424" s="418"/>
      <c r="AR1424" s="418"/>
      <c r="AS1424" s="418"/>
      <c r="AT1424" s="418"/>
      <c r="AU1424" s="418"/>
      <c r="AV1424" s="418"/>
      <c r="AW1424" s="418"/>
      <c r="AX1424" s="418"/>
      <c r="AY1424" s="418"/>
      <c r="AZ1424" s="418"/>
      <c r="BA1424" s="418"/>
    </row>
    <row r="1425" spans="40:53" ht="15.75" customHeight="1">
      <c r="AN1425" s="418"/>
      <c r="AO1425" s="418"/>
      <c r="AP1425" s="418"/>
      <c r="AQ1425" s="418"/>
      <c r="AR1425" s="418"/>
      <c r="AS1425" s="418"/>
      <c r="AT1425" s="418"/>
      <c r="AU1425" s="418"/>
      <c r="AV1425" s="418"/>
      <c r="AW1425" s="418"/>
      <c r="AX1425" s="418"/>
      <c r="AY1425" s="418"/>
      <c r="AZ1425" s="418"/>
      <c r="BA1425" s="418"/>
    </row>
    <row r="1426" spans="40:53" ht="15.75" customHeight="1">
      <c r="AN1426" s="418"/>
      <c r="AO1426" s="418"/>
      <c r="AP1426" s="418"/>
      <c r="AQ1426" s="418"/>
      <c r="AR1426" s="418"/>
      <c r="AS1426" s="418"/>
      <c r="AT1426" s="418"/>
      <c r="AU1426" s="418"/>
      <c r="AV1426" s="418"/>
      <c r="AW1426" s="418"/>
      <c r="AX1426" s="418"/>
      <c r="AY1426" s="418"/>
      <c r="AZ1426" s="418"/>
      <c r="BA1426" s="418"/>
    </row>
    <row r="1427" spans="40:53" ht="15.75" customHeight="1">
      <c r="AN1427" s="418"/>
      <c r="AO1427" s="418"/>
      <c r="AP1427" s="418"/>
      <c r="AQ1427" s="418"/>
      <c r="AR1427" s="418"/>
      <c r="AS1427" s="418"/>
      <c r="AT1427" s="418"/>
      <c r="AU1427" s="418"/>
      <c r="AV1427" s="418"/>
      <c r="AW1427" s="418"/>
      <c r="AX1427" s="418"/>
      <c r="AY1427" s="418"/>
      <c r="AZ1427" s="418"/>
      <c r="BA1427" s="418"/>
    </row>
    <row r="1428" spans="40:53" ht="15.75" customHeight="1">
      <c r="AN1428" s="418"/>
      <c r="AO1428" s="418"/>
      <c r="AP1428" s="418"/>
      <c r="AQ1428" s="418"/>
      <c r="AR1428" s="418"/>
      <c r="AS1428" s="418"/>
      <c r="AT1428" s="418"/>
      <c r="AU1428" s="418"/>
      <c r="AV1428" s="418"/>
      <c r="AW1428" s="418"/>
      <c r="AX1428" s="418"/>
      <c r="AY1428" s="418"/>
      <c r="AZ1428" s="418"/>
      <c r="BA1428" s="418"/>
    </row>
    <row r="1429" spans="40:53" ht="15.75" customHeight="1">
      <c r="AN1429" s="418"/>
      <c r="AO1429" s="418"/>
      <c r="AP1429" s="418"/>
      <c r="AQ1429" s="418"/>
      <c r="AR1429" s="418"/>
      <c r="AS1429" s="418"/>
      <c r="AT1429" s="418"/>
      <c r="AU1429" s="418"/>
      <c r="AV1429" s="418"/>
      <c r="AW1429" s="418"/>
      <c r="AX1429" s="418"/>
      <c r="AY1429" s="418"/>
      <c r="AZ1429" s="418"/>
      <c r="BA1429" s="418"/>
    </row>
    <row r="1430" spans="40:53" ht="15.75" customHeight="1">
      <c r="AN1430" s="418"/>
      <c r="AO1430" s="418"/>
      <c r="AP1430" s="418"/>
      <c r="AQ1430" s="418"/>
      <c r="AR1430" s="418"/>
      <c r="AS1430" s="418"/>
      <c r="AT1430" s="418"/>
      <c r="AU1430" s="418"/>
      <c r="AV1430" s="418"/>
      <c r="AW1430" s="418"/>
      <c r="AX1430" s="418"/>
      <c r="AY1430" s="418"/>
      <c r="AZ1430" s="418"/>
      <c r="BA1430" s="418"/>
    </row>
    <row r="1431" spans="40:53" ht="15.75" customHeight="1">
      <c r="AN1431" s="418"/>
      <c r="AO1431" s="418"/>
      <c r="AP1431" s="418"/>
      <c r="AQ1431" s="418"/>
      <c r="AR1431" s="418"/>
      <c r="AS1431" s="418"/>
      <c r="AT1431" s="418"/>
      <c r="AU1431" s="418"/>
      <c r="AV1431" s="418"/>
      <c r="AW1431" s="418"/>
      <c r="AX1431" s="418"/>
      <c r="AY1431" s="418"/>
      <c r="AZ1431" s="418"/>
      <c r="BA1431" s="418"/>
    </row>
    <row r="1432" spans="40:53" ht="15.75" customHeight="1">
      <c r="AN1432" s="418"/>
      <c r="AO1432" s="418"/>
      <c r="AP1432" s="418"/>
      <c r="AQ1432" s="418"/>
      <c r="AR1432" s="418"/>
      <c r="AS1432" s="418"/>
      <c r="AT1432" s="418"/>
      <c r="AU1432" s="418"/>
      <c r="AV1432" s="418"/>
      <c r="AW1432" s="418"/>
      <c r="AX1432" s="418"/>
      <c r="AY1432" s="418"/>
      <c r="AZ1432" s="418"/>
      <c r="BA1432" s="418"/>
    </row>
    <row r="1433" spans="40:53" ht="15.75" customHeight="1">
      <c r="AN1433" s="418"/>
      <c r="AO1433" s="418"/>
      <c r="AP1433" s="418"/>
      <c r="AQ1433" s="418"/>
      <c r="AR1433" s="418"/>
      <c r="AS1433" s="418"/>
      <c r="AT1433" s="418"/>
      <c r="AU1433" s="418"/>
      <c r="AV1433" s="418"/>
      <c r="AW1433" s="418"/>
      <c r="AX1433" s="418"/>
      <c r="AY1433" s="418"/>
      <c r="AZ1433" s="418"/>
      <c r="BA1433" s="418"/>
    </row>
    <row r="1434" spans="40:53" ht="15.75" customHeight="1">
      <c r="AN1434" s="418"/>
      <c r="AO1434" s="418"/>
      <c r="AP1434" s="418"/>
      <c r="AQ1434" s="418"/>
      <c r="AR1434" s="418"/>
      <c r="AS1434" s="418"/>
      <c r="AT1434" s="418"/>
      <c r="AU1434" s="418"/>
      <c r="AV1434" s="418"/>
      <c r="AW1434" s="418"/>
      <c r="AX1434" s="418"/>
      <c r="AY1434" s="418"/>
      <c r="AZ1434" s="418"/>
      <c r="BA1434" s="418"/>
    </row>
    <row r="1435" spans="40:53" ht="15.75" customHeight="1">
      <c r="AN1435" s="418"/>
      <c r="AO1435" s="418"/>
      <c r="AP1435" s="418"/>
      <c r="AQ1435" s="418"/>
      <c r="AR1435" s="418"/>
      <c r="AS1435" s="418"/>
      <c r="AT1435" s="418"/>
      <c r="AU1435" s="418"/>
      <c r="AV1435" s="418"/>
      <c r="AW1435" s="418"/>
      <c r="AX1435" s="418"/>
      <c r="AY1435" s="418"/>
      <c r="AZ1435" s="418"/>
      <c r="BA1435" s="418"/>
    </row>
    <row r="1436" spans="40:53" ht="15.75" customHeight="1">
      <c r="AN1436" s="418"/>
      <c r="AO1436" s="418"/>
      <c r="AP1436" s="418"/>
      <c r="AQ1436" s="418"/>
      <c r="AR1436" s="418"/>
      <c r="AS1436" s="418"/>
      <c r="AT1436" s="418"/>
      <c r="AU1436" s="418"/>
      <c r="AV1436" s="418"/>
      <c r="AW1436" s="418"/>
      <c r="AX1436" s="418"/>
      <c r="AY1436" s="418"/>
      <c r="AZ1436" s="418"/>
      <c r="BA1436" s="418"/>
    </row>
    <row r="1437" spans="40:53" ht="15.75" customHeight="1">
      <c r="AN1437" s="418"/>
      <c r="AO1437" s="418"/>
      <c r="AP1437" s="418"/>
      <c r="AQ1437" s="418"/>
      <c r="AR1437" s="418"/>
      <c r="AS1437" s="418"/>
      <c r="AT1437" s="418"/>
      <c r="AU1437" s="418"/>
      <c r="AV1437" s="418"/>
      <c r="AW1437" s="418"/>
      <c r="AX1437" s="418"/>
      <c r="AY1437" s="418"/>
      <c r="AZ1437" s="418"/>
      <c r="BA1437" s="418"/>
    </row>
    <row r="1438" spans="40:53" ht="15.75" customHeight="1">
      <c r="AN1438" s="418"/>
      <c r="AO1438" s="418"/>
      <c r="AP1438" s="418"/>
      <c r="AQ1438" s="418"/>
      <c r="AR1438" s="418"/>
      <c r="AS1438" s="418"/>
      <c r="AT1438" s="418"/>
      <c r="AU1438" s="418"/>
      <c r="AV1438" s="418"/>
      <c r="AW1438" s="418"/>
      <c r="AX1438" s="418"/>
      <c r="AY1438" s="418"/>
      <c r="AZ1438" s="418"/>
      <c r="BA1438" s="418"/>
    </row>
    <row r="1439" spans="40:53" ht="15.75" customHeight="1">
      <c r="AN1439" s="418"/>
      <c r="AO1439" s="418"/>
      <c r="AP1439" s="418"/>
      <c r="AQ1439" s="418"/>
      <c r="AR1439" s="418"/>
      <c r="AS1439" s="418"/>
      <c r="AT1439" s="418"/>
      <c r="AU1439" s="418"/>
      <c r="AV1439" s="418"/>
      <c r="AW1439" s="418"/>
      <c r="AX1439" s="418"/>
      <c r="AY1439" s="418"/>
      <c r="AZ1439" s="418"/>
      <c r="BA1439" s="418"/>
    </row>
    <row r="1440" spans="40:53" ht="15.75" customHeight="1">
      <c r="AN1440" s="418"/>
      <c r="AO1440" s="418"/>
      <c r="AP1440" s="418"/>
      <c r="AQ1440" s="418"/>
      <c r="AR1440" s="418"/>
      <c r="AS1440" s="418"/>
      <c r="AT1440" s="418"/>
      <c r="AU1440" s="418"/>
      <c r="AV1440" s="418"/>
      <c r="AW1440" s="418"/>
      <c r="AX1440" s="418"/>
      <c r="AY1440" s="418"/>
      <c r="AZ1440" s="418"/>
      <c r="BA1440" s="418"/>
    </row>
    <row r="1441" spans="40:53" ht="15.75" customHeight="1">
      <c r="AN1441" s="418"/>
      <c r="AO1441" s="418"/>
      <c r="AP1441" s="418"/>
      <c r="AQ1441" s="418"/>
      <c r="AR1441" s="418"/>
      <c r="AS1441" s="418"/>
      <c r="AT1441" s="418"/>
      <c r="AU1441" s="418"/>
      <c r="AV1441" s="418"/>
      <c r="AW1441" s="418"/>
      <c r="AX1441" s="418"/>
      <c r="AY1441" s="418"/>
      <c r="AZ1441" s="418"/>
      <c r="BA1441" s="418"/>
    </row>
    <row r="1442" spans="40:53" ht="15.75" customHeight="1">
      <c r="AN1442" s="418"/>
      <c r="AO1442" s="418"/>
      <c r="AP1442" s="418"/>
      <c r="AQ1442" s="418"/>
      <c r="AR1442" s="418"/>
      <c r="AS1442" s="418"/>
      <c r="AT1442" s="418"/>
      <c r="AU1442" s="418"/>
      <c r="AV1442" s="418"/>
      <c r="AW1442" s="418"/>
      <c r="AX1442" s="418"/>
      <c r="AY1442" s="418"/>
      <c r="AZ1442" s="418"/>
      <c r="BA1442" s="418"/>
    </row>
    <row r="1443" spans="40:53" ht="15.75" customHeight="1">
      <c r="AN1443" s="418"/>
      <c r="AO1443" s="418"/>
      <c r="AP1443" s="418"/>
      <c r="AQ1443" s="418"/>
      <c r="AR1443" s="418"/>
      <c r="AS1443" s="418"/>
      <c r="AT1443" s="418"/>
      <c r="AU1443" s="418"/>
      <c r="AV1443" s="418"/>
      <c r="AW1443" s="418"/>
      <c r="AX1443" s="418"/>
      <c r="AY1443" s="418"/>
      <c r="AZ1443" s="418"/>
      <c r="BA1443" s="418"/>
    </row>
    <row r="1444" spans="40:53" ht="15.75" customHeight="1">
      <c r="AN1444" s="418"/>
      <c r="AO1444" s="418"/>
      <c r="AP1444" s="418"/>
      <c r="AQ1444" s="418"/>
      <c r="AR1444" s="418"/>
      <c r="AS1444" s="418"/>
      <c r="AT1444" s="418"/>
      <c r="AU1444" s="418"/>
      <c r="AV1444" s="418"/>
      <c r="AW1444" s="418"/>
      <c r="AX1444" s="418"/>
      <c r="AY1444" s="418"/>
      <c r="AZ1444" s="418"/>
      <c r="BA1444" s="418"/>
    </row>
    <row r="1445" spans="40:53" ht="15.75" customHeight="1">
      <c r="AN1445" s="418"/>
      <c r="AO1445" s="418"/>
      <c r="AP1445" s="418"/>
      <c r="AQ1445" s="418"/>
      <c r="AR1445" s="418"/>
      <c r="AS1445" s="418"/>
      <c r="AT1445" s="418"/>
      <c r="AU1445" s="418"/>
      <c r="AV1445" s="418"/>
      <c r="AW1445" s="418"/>
      <c r="AX1445" s="418"/>
      <c r="AY1445" s="418"/>
      <c r="AZ1445" s="418"/>
      <c r="BA1445" s="418"/>
    </row>
    <row r="1446" spans="40:53" ht="15.75" customHeight="1">
      <c r="AN1446" s="418"/>
      <c r="AO1446" s="418"/>
      <c r="AP1446" s="418"/>
      <c r="AQ1446" s="418"/>
      <c r="AR1446" s="418"/>
      <c r="AS1446" s="418"/>
      <c r="AT1446" s="418"/>
      <c r="AU1446" s="418"/>
      <c r="AV1446" s="418"/>
      <c r="AW1446" s="418"/>
      <c r="AX1446" s="418"/>
      <c r="AY1446" s="418"/>
      <c r="AZ1446" s="418"/>
      <c r="BA1446" s="418"/>
    </row>
    <row r="1447" spans="40:53" ht="15.75" customHeight="1">
      <c r="AN1447" s="418"/>
      <c r="AO1447" s="418"/>
      <c r="AP1447" s="418"/>
      <c r="AQ1447" s="418"/>
      <c r="AR1447" s="418"/>
      <c r="AS1447" s="418"/>
      <c r="AT1447" s="418"/>
      <c r="AU1447" s="418"/>
      <c r="AV1447" s="418"/>
      <c r="AW1447" s="418"/>
      <c r="AX1447" s="418"/>
      <c r="AY1447" s="418"/>
      <c r="AZ1447" s="418"/>
      <c r="BA1447" s="418"/>
    </row>
    <row r="1448" spans="40:53" ht="15.75" customHeight="1">
      <c r="AN1448" s="418"/>
      <c r="AO1448" s="418"/>
      <c r="AP1448" s="418"/>
      <c r="AQ1448" s="418"/>
      <c r="AR1448" s="418"/>
      <c r="AS1448" s="418"/>
      <c r="AT1448" s="418"/>
      <c r="AU1448" s="418"/>
      <c r="AV1448" s="418"/>
      <c r="AW1448" s="418"/>
      <c r="AX1448" s="418"/>
      <c r="AY1448" s="418"/>
      <c r="AZ1448" s="418"/>
      <c r="BA1448" s="418"/>
    </row>
    <row r="1449" spans="40:53" ht="15.75" customHeight="1">
      <c r="AN1449" s="418"/>
      <c r="AO1449" s="418"/>
      <c r="AP1449" s="418"/>
      <c r="AQ1449" s="418"/>
      <c r="AR1449" s="418"/>
      <c r="AS1449" s="418"/>
      <c r="AT1449" s="418"/>
      <c r="AU1449" s="418"/>
      <c r="AV1449" s="418"/>
      <c r="AW1449" s="418"/>
      <c r="AX1449" s="418"/>
      <c r="AY1449" s="418"/>
      <c r="AZ1449" s="418"/>
      <c r="BA1449" s="418"/>
    </row>
    <row r="1450" spans="40:53" ht="15.75" customHeight="1">
      <c r="AN1450" s="418"/>
      <c r="AO1450" s="418"/>
      <c r="AP1450" s="418"/>
      <c r="AQ1450" s="418"/>
      <c r="AR1450" s="418"/>
      <c r="AS1450" s="418"/>
      <c r="AT1450" s="418"/>
      <c r="AU1450" s="418"/>
      <c r="AV1450" s="418"/>
      <c r="AW1450" s="418"/>
      <c r="AX1450" s="418"/>
      <c r="AY1450" s="418"/>
      <c r="AZ1450" s="418"/>
      <c r="BA1450" s="418"/>
    </row>
    <row r="1451" spans="40:53" ht="15.75" customHeight="1">
      <c r="AN1451" s="418"/>
      <c r="AO1451" s="418"/>
      <c r="AP1451" s="418"/>
      <c r="AQ1451" s="418"/>
      <c r="AR1451" s="418"/>
      <c r="AS1451" s="418"/>
      <c r="AT1451" s="418"/>
      <c r="AU1451" s="418"/>
      <c r="AV1451" s="418"/>
      <c r="AW1451" s="418"/>
      <c r="AX1451" s="418"/>
      <c r="AY1451" s="418"/>
      <c r="AZ1451" s="418"/>
      <c r="BA1451" s="418"/>
    </row>
    <row r="1452" spans="40:53" ht="15.75" customHeight="1">
      <c r="AN1452" s="418"/>
      <c r="AO1452" s="418"/>
      <c r="AP1452" s="418"/>
      <c r="AQ1452" s="418"/>
      <c r="AR1452" s="418"/>
      <c r="AS1452" s="418"/>
      <c r="AT1452" s="418"/>
      <c r="AU1452" s="418"/>
      <c r="AV1452" s="418"/>
      <c r="AW1452" s="418"/>
      <c r="AX1452" s="418"/>
      <c r="AY1452" s="418"/>
      <c r="AZ1452" s="418"/>
      <c r="BA1452" s="418"/>
    </row>
    <row r="1453" spans="40:53" ht="15.75" customHeight="1">
      <c r="AN1453" s="418"/>
      <c r="AO1453" s="418"/>
      <c r="AP1453" s="418"/>
      <c r="AQ1453" s="418"/>
      <c r="AR1453" s="418"/>
      <c r="AS1453" s="418"/>
      <c r="AT1453" s="418"/>
      <c r="AU1453" s="418"/>
      <c r="AV1453" s="418"/>
      <c r="AW1453" s="418"/>
      <c r="AX1453" s="418"/>
      <c r="AY1453" s="418"/>
      <c r="AZ1453" s="418"/>
      <c r="BA1453" s="418"/>
    </row>
    <row r="1454" spans="40:53" ht="15.75" customHeight="1">
      <c r="AN1454" s="418"/>
      <c r="AO1454" s="418"/>
      <c r="AP1454" s="418"/>
      <c r="AQ1454" s="418"/>
      <c r="AR1454" s="418"/>
      <c r="AS1454" s="418"/>
      <c r="AT1454" s="418"/>
      <c r="AU1454" s="418"/>
      <c r="AV1454" s="418"/>
      <c r="AW1454" s="418"/>
      <c r="AX1454" s="418"/>
      <c r="AY1454" s="418"/>
      <c r="AZ1454" s="418"/>
      <c r="BA1454" s="418"/>
    </row>
    <row r="1455" spans="40:53" ht="15.75" customHeight="1">
      <c r="AN1455" s="418"/>
      <c r="AO1455" s="418"/>
      <c r="AP1455" s="418"/>
      <c r="AQ1455" s="418"/>
      <c r="AR1455" s="418"/>
      <c r="AS1455" s="418"/>
      <c r="AT1455" s="418"/>
      <c r="AU1455" s="418"/>
      <c r="AV1455" s="418"/>
      <c r="AW1455" s="418"/>
      <c r="AX1455" s="418"/>
      <c r="AY1455" s="418"/>
      <c r="AZ1455" s="418"/>
      <c r="BA1455" s="418"/>
    </row>
    <row r="1456" spans="40:53" ht="15.75" customHeight="1">
      <c r="AN1456" s="418"/>
      <c r="AO1456" s="418"/>
      <c r="AP1456" s="418"/>
      <c r="AQ1456" s="418"/>
      <c r="AR1456" s="418"/>
      <c r="AS1456" s="418"/>
      <c r="AT1456" s="418"/>
      <c r="AU1456" s="418"/>
      <c r="AV1456" s="418"/>
      <c r="AW1456" s="418"/>
      <c r="AX1456" s="418"/>
      <c r="AY1456" s="418"/>
      <c r="AZ1456" s="418"/>
      <c r="BA1456" s="418"/>
    </row>
    <row r="1457" spans="40:53" ht="15.75" customHeight="1">
      <c r="AN1457" s="418"/>
      <c r="AO1457" s="418"/>
      <c r="AP1457" s="418"/>
      <c r="AQ1457" s="418"/>
      <c r="AR1457" s="418"/>
      <c r="AS1457" s="418"/>
      <c r="AT1457" s="418"/>
      <c r="AU1457" s="418"/>
      <c r="AV1457" s="418"/>
      <c r="AW1457" s="418"/>
      <c r="AX1457" s="418"/>
      <c r="AY1457" s="418"/>
      <c r="AZ1457" s="418"/>
      <c r="BA1457" s="418"/>
    </row>
    <row r="1458" spans="40:53" ht="15.75" customHeight="1">
      <c r="AN1458" s="418"/>
      <c r="AO1458" s="418"/>
      <c r="AP1458" s="418"/>
      <c r="AQ1458" s="418"/>
      <c r="AR1458" s="418"/>
      <c r="AS1458" s="418"/>
      <c r="AT1458" s="418"/>
      <c r="AU1458" s="418"/>
      <c r="AV1458" s="418"/>
      <c r="AW1458" s="418"/>
      <c r="AX1458" s="418"/>
      <c r="AY1458" s="418"/>
      <c r="AZ1458" s="418"/>
      <c r="BA1458" s="418"/>
    </row>
    <row r="1459" spans="40:53" ht="15.75" customHeight="1">
      <c r="AN1459" s="418"/>
      <c r="AO1459" s="418"/>
      <c r="AP1459" s="418"/>
      <c r="AQ1459" s="418"/>
      <c r="AR1459" s="418"/>
      <c r="AS1459" s="418"/>
      <c r="AT1459" s="418"/>
      <c r="AU1459" s="418"/>
      <c r="AV1459" s="418"/>
      <c r="AW1459" s="418"/>
      <c r="AX1459" s="418"/>
      <c r="AY1459" s="418"/>
      <c r="AZ1459" s="418"/>
      <c r="BA1459" s="418"/>
    </row>
    <row r="1460" spans="40:53" ht="15.75" customHeight="1">
      <c r="AN1460" s="418"/>
      <c r="AO1460" s="418"/>
      <c r="AP1460" s="418"/>
      <c r="AQ1460" s="418"/>
      <c r="AR1460" s="418"/>
      <c r="AS1460" s="418"/>
      <c r="AT1460" s="418"/>
      <c r="AU1460" s="418"/>
      <c r="AV1460" s="418"/>
      <c r="AW1460" s="418"/>
      <c r="AX1460" s="418"/>
      <c r="AY1460" s="418"/>
      <c r="AZ1460" s="418"/>
      <c r="BA1460" s="418"/>
    </row>
    <row r="1461" spans="40:53" ht="15.75" customHeight="1">
      <c r="AN1461" s="418"/>
      <c r="AO1461" s="418"/>
      <c r="AP1461" s="418"/>
      <c r="AQ1461" s="418"/>
      <c r="AR1461" s="418"/>
      <c r="AS1461" s="418"/>
      <c r="AT1461" s="418"/>
      <c r="AU1461" s="418"/>
      <c r="AV1461" s="418"/>
      <c r="AW1461" s="418"/>
      <c r="AX1461" s="418"/>
      <c r="AY1461" s="418"/>
      <c r="AZ1461" s="418"/>
      <c r="BA1461" s="418"/>
    </row>
    <row r="1462" spans="40:53" ht="15.75" customHeight="1">
      <c r="AN1462" s="418"/>
      <c r="AO1462" s="418"/>
      <c r="AP1462" s="418"/>
      <c r="AQ1462" s="418"/>
      <c r="AR1462" s="418"/>
      <c r="AS1462" s="418"/>
      <c r="AT1462" s="418"/>
      <c r="AU1462" s="418"/>
      <c r="AV1462" s="418"/>
      <c r="AW1462" s="418"/>
      <c r="AX1462" s="418"/>
      <c r="AY1462" s="418"/>
      <c r="AZ1462" s="418"/>
      <c r="BA1462" s="418"/>
    </row>
    <row r="1463" spans="40:53" ht="15.75" customHeight="1">
      <c r="AN1463" s="418"/>
      <c r="AO1463" s="418"/>
      <c r="AP1463" s="418"/>
      <c r="AQ1463" s="418"/>
      <c r="AR1463" s="418"/>
      <c r="AS1463" s="418"/>
      <c r="AT1463" s="418"/>
      <c r="AU1463" s="418"/>
      <c r="AV1463" s="418"/>
      <c r="AW1463" s="418"/>
      <c r="AX1463" s="418"/>
      <c r="AY1463" s="418"/>
      <c r="AZ1463" s="418"/>
      <c r="BA1463" s="418"/>
    </row>
    <row r="1464" spans="40:53" ht="15.75" customHeight="1">
      <c r="AN1464" s="418"/>
      <c r="AO1464" s="418"/>
      <c r="AP1464" s="418"/>
      <c r="AQ1464" s="418"/>
      <c r="AR1464" s="418"/>
      <c r="AS1464" s="418"/>
      <c r="AT1464" s="418"/>
      <c r="AU1464" s="418"/>
      <c r="AV1464" s="418"/>
      <c r="AW1464" s="418"/>
      <c r="AX1464" s="418"/>
      <c r="AY1464" s="418"/>
      <c r="AZ1464" s="418"/>
      <c r="BA1464" s="418"/>
    </row>
    <row r="1465" spans="40:53" ht="15.75" customHeight="1">
      <c r="AN1465" s="418"/>
      <c r="AO1465" s="418"/>
      <c r="AP1465" s="418"/>
      <c r="AQ1465" s="418"/>
      <c r="AR1465" s="418"/>
      <c r="AS1465" s="418"/>
      <c r="AT1465" s="418"/>
      <c r="AU1465" s="418"/>
      <c r="AV1465" s="418"/>
      <c r="AW1465" s="418"/>
      <c r="AX1465" s="418"/>
      <c r="AY1465" s="418"/>
      <c r="AZ1465" s="418"/>
      <c r="BA1465" s="418"/>
    </row>
    <row r="1466" spans="40:53" ht="15.75" customHeight="1">
      <c r="AN1466" s="418"/>
      <c r="AO1466" s="418"/>
      <c r="AP1466" s="418"/>
      <c r="AQ1466" s="418"/>
      <c r="AR1466" s="418"/>
      <c r="AS1466" s="418"/>
      <c r="AT1466" s="418"/>
      <c r="AU1466" s="418"/>
      <c r="AV1466" s="418"/>
      <c r="AW1466" s="418"/>
      <c r="AX1466" s="418"/>
      <c r="AY1466" s="418"/>
      <c r="AZ1466" s="418"/>
      <c r="BA1466" s="418"/>
    </row>
    <row r="1467" spans="40:53" ht="15.75" customHeight="1">
      <c r="AN1467" s="418"/>
      <c r="AO1467" s="418"/>
      <c r="AP1467" s="418"/>
      <c r="AQ1467" s="418"/>
      <c r="AR1467" s="418"/>
      <c r="AS1467" s="418"/>
      <c r="AT1467" s="418"/>
      <c r="AU1467" s="418"/>
      <c r="AV1467" s="418"/>
      <c r="AW1467" s="418"/>
      <c r="AX1467" s="418"/>
      <c r="AY1467" s="418"/>
      <c r="AZ1467" s="418"/>
      <c r="BA1467" s="418"/>
    </row>
    <row r="1468" spans="40:53" ht="15.75" customHeight="1">
      <c r="AN1468" s="418"/>
      <c r="AO1468" s="418"/>
      <c r="AP1468" s="418"/>
      <c r="AQ1468" s="418"/>
      <c r="AR1468" s="418"/>
      <c r="AS1468" s="418"/>
      <c r="AT1468" s="418"/>
      <c r="AU1468" s="418"/>
      <c r="AV1468" s="418"/>
      <c r="AW1468" s="418"/>
      <c r="AX1468" s="418"/>
      <c r="AY1468" s="418"/>
      <c r="AZ1468" s="418"/>
      <c r="BA1468" s="418"/>
    </row>
    <row r="1469" spans="40:53" ht="15.75" customHeight="1">
      <c r="AN1469" s="418"/>
      <c r="AO1469" s="418"/>
      <c r="AP1469" s="418"/>
      <c r="AQ1469" s="418"/>
      <c r="AR1469" s="418"/>
      <c r="AS1469" s="418"/>
      <c r="AT1469" s="418"/>
      <c r="AU1469" s="418"/>
      <c r="AV1469" s="418"/>
      <c r="AW1469" s="418"/>
      <c r="AX1469" s="418"/>
      <c r="AY1469" s="418"/>
      <c r="AZ1469" s="418"/>
      <c r="BA1469" s="418"/>
    </row>
    <row r="1470" spans="40:53" ht="15.75" customHeight="1">
      <c r="AN1470" s="418"/>
      <c r="AO1470" s="418"/>
      <c r="AP1470" s="418"/>
      <c r="AQ1470" s="418"/>
      <c r="AR1470" s="418"/>
      <c r="AS1470" s="418"/>
      <c r="AT1470" s="418"/>
      <c r="AU1470" s="418"/>
      <c r="AV1470" s="418"/>
      <c r="AW1470" s="418"/>
      <c r="AX1470" s="418"/>
      <c r="AY1470" s="418"/>
      <c r="AZ1470" s="418"/>
      <c r="BA1470" s="418"/>
    </row>
    <row r="1471" spans="40:53" ht="15.75" customHeight="1">
      <c r="AN1471" s="418"/>
      <c r="AO1471" s="418"/>
      <c r="AP1471" s="418"/>
      <c r="AQ1471" s="418"/>
      <c r="AR1471" s="418"/>
      <c r="AS1471" s="418"/>
      <c r="AT1471" s="418"/>
      <c r="AU1471" s="418"/>
      <c r="AV1471" s="418"/>
      <c r="AW1471" s="418"/>
      <c r="AX1471" s="418"/>
      <c r="AY1471" s="418"/>
      <c r="AZ1471" s="418"/>
      <c r="BA1471" s="418"/>
    </row>
    <row r="1472" spans="40:53" ht="15.75" customHeight="1">
      <c r="AN1472" s="418"/>
      <c r="AO1472" s="418"/>
      <c r="AP1472" s="418"/>
      <c r="AQ1472" s="418"/>
      <c r="AR1472" s="418"/>
      <c r="AS1472" s="418"/>
      <c r="AT1472" s="418"/>
      <c r="AU1472" s="418"/>
      <c r="AV1472" s="418"/>
      <c r="AW1472" s="418"/>
      <c r="AX1472" s="418"/>
      <c r="AY1472" s="418"/>
      <c r="AZ1472" s="418"/>
      <c r="BA1472" s="418"/>
    </row>
    <row r="1473" spans="40:53" ht="15.75" customHeight="1">
      <c r="AN1473" s="418"/>
      <c r="AO1473" s="418"/>
      <c r="AP1473" s="418"/>
      <c r="AQ1473" s="418"/>
      <c r="AR1473" s="418"/>
      <c r="AS1473" s="418"/>
      <c r="AT1473" s="418"/>
      <c r="AU1473" s="418"/>
      <c r="AV1473" s="418"/>
      <c r="AW1473" s="418"/>
      <c r="AX1473" s="418"/>
      <c r="AY1473" s="418"/>
      <c r="AZ1473" s="418"/>
      <c r="BA1473" s="418"/>
    </row>
    <row r="1474" spans="40:53" ht="15.75" customHeight="1">
      <c r="AN1474" s="418"/>
      <c r="AO1474" s="418"/>
      <c r="AP1474" s="418"/>
      <c r="AQ1474" s="418"/>
      <c r="AR1474" s="418"/>
      <c r="AS1474" s="418"/>
      <c r="AT1474" s="418"/>
      <c r="AU1474" s="418"/>
      <c r="AV1474" s="418"/>
      <c r="AW1474" s="418"/>
      <c r="AX1474" s="418"/>
      <c r="AY1474" s="418"/>
      <c r="AZ1474" s="418"/>
      <c r="BA1474" s="418"/>
    </row>
    <row r="1475" spans="40:53" ht="15.75" customHeight="1">
      <c r="AN1475" s="418"/>
      <c r="AO1475" s="418"/>
      <c r="AP1475" s="418"/>
      <c r="AQ1475" s="418"/>
      <c r="AR1475" s="418"/>
      <c r="AS1475" s="418"/>
      <c r="AT1475" s="418"/>
      <c r="AU1475" s="418"/>
      <c r="AV1475" s="418"/>
      <c r="AW1475" s="418"/>
      <c r="AX1475" s="418"/>
      <c r="AY1475" s="418"/>
      <c r="AZ1475" s="418"/>
      <c r="BA1475" s="418"/>
    </row>
    <row r="1476" spans="40:53" ht="15.75" customHeight="1">
      <c r="AN1476" s="418"/>
      <c r="AO1476" s="418"/>
      <c r="AP1476" s="418"/>
      <c r="AQ1476" s="418"/>
      <c r="AR1476" s="418"/>
      <c r="AS1476" s="418"/>
      <c r="AT1476" s="418"/>
      <c r="AU1476" s="418"/>
      <c r="AV1476" s="418"/>
      <c r="AW1476" s="418"/>
      <c r="AX1476" s="418"/>
      <c r="AY1476" s="418"/>
      <c r="AZ1476" s="418"/>
      <c r="BA1476" s="418"/>
    </row>
    <row r="1477" spans="40:53" ht="15.75" customHeight="1">
      <c r="AN1477" s="418"/>
      <c r="AO1477" s="418"/>
      <c r="AP1477" s="418"/>
      <c r="AQ1477" s="418"/>
      <c r="AR1477" s="418"/>
      <c r="AS1477" s="418"/>
      <c r="AT1477" s="418"/>
      <c r="AU1477" s="418"/>
      <c r="AV1477" s="418"/>
      <c r="AW1477" s="418"/>
      <c r="AX1477" s="418"/>
      <c r="AY1477" s="418"/>
      <c r="AZ1477" s="418"/>
      <c r="BA1477" s="418"/>
    </row>
    <row r="1478" spans="40:53" ht="15.75" customHeight="1">
      <c r="AN1478" s="418"/>
      <c r="AO1478" s="418"/>
      <c r="AP1478" s="418"/>
      <c r="AQ1478" s="418"/>
      <c r="AR1478" s="418"/>
      <c r="AS1478" s="418"/>
      <c r="AT1478" s="418"/>
      <c r="AU1478" s="418"/>
      <c r="AV1478" s="418"/>
      <c r="AW1478" s="418"/>
      <c r="AX1478" s="418"/>
      <c r="AY1478" s="418"/>
      <c r="AZ1478" s="418"/>
      <c r="BA1478" s="418"/>
    </row>
    <row r="1479" spans="40:53" ht="15.75" customHeight="1">
      <c r="AN1479" s="418"/>
      <c r="AO1479" s="418"/>
      <c r="AP1479" s="418"/>
      <c r="AQ1479" s="418"/>
      <c r="AR1479" s="418"/>
      <c r="AS1479" s="418"/>
      <c r="AT1479" s="418"/>
      <c r="AU1479" s="418"/>
      <c r="AV1479" s="418"/>
      <c r="AW1479" s="418"/>
      <c r="AX1479" s="418"/>
      <c r="AY1479" s="418"/>
      <c r="AZ1479" s="418"/>
      <c r="BA1479" s="418"/>
    </row>
    <row r="1480" spans="40:53" ht="15.75" customHeight="1">
      <c r="AN1480" s="418"/>
      <c r="AO1480" s="418"/>
      <c r="AP1480" s="418"/>
      <c r="AQ1480" s="418"/>
      <c r="AR1480" s="418"/>
      <c r="AS1480" s="418"/>
      <c r="AT1480" s="418"/>
      <c r="AU1480" s="418"/>
      <c r="AV1480" s="418"/>
      <c r="AW1480" s="418"/>
      <c r="AX1480" s="418"/>
      <c r="AY1480" s="418"/>
      <c r="AZ1480" s="418"/>
      <c r="BA1480" s="418"/>
    </row>
    <row r="1481" spans="40:53" ht="15.75" customHeight="1">
      <c r="AN1481" s="418"/>
      <c r="AO1481" s="418"/>
      <c r="AP1481" s="418"/>
      <c r="AQ1481" s="418"/>
      <c r="AR1481" s="418"/>
      <c r="AS1481" s="418"/>
      <c r="AT1481" s="418"/>
      <c r="AU1481" s="418"/>
      <c r="AV1481" s="418"/>
      <c r="AW1481" s="418"/>
      <c r="AX1481" s="418"/>
      <c r="AY1481" s="418"/>
      <c r="AZ1481" s="418"/>
      <c r="BA1481" s="418"/>
    </row>
    <row r="1482" spans="40:53" ht="15.75" customHeight="1">
      <c r="AN1482" s="418"/>
      <c r="AO1482" s="418"/>
      <c r="AP1482" s="418"/>
      <c r="AQ1482" s="418"/>
      <c r="AR1482" s="418"/>
      <c r="AS1482" s="418"/>
      <c r="AT1482" s="418"/>
      <c r="AU1482" s="418"/>
      <c r="AV1482" s="418"/>
      <c r="AW1482" s="418"/>
      <c r="AX1482" s="418"/>
      <c r="AY1482" s="418"/>
      <c r="AZ1482" s="418"/>
      <c r="BA1482" s="418"/>
    </row>
    <row r="1483" spans="40:53" ht="15.75" customHeight="1">
      <c r="AN1483" s="418"/>
      <c r="AO1483" s="418"/>
      <c r="AP1483" s="418"/>
      <c r="AQ1483" s="418"/>
      <c r="AR1483" s="418"/>
      <c r="AS1483" s="418"/>
      <c r="AT1483" s="418"/>
      <c r="AU1483" s="418"/>
      <c r="AV1483" s="418"/>
      <c r="AW1483" s="418"/>
      <c r="AX1483" s="418"/>
      <c r="AY1483" s="418"/>
      <c r="AZ1483" s="418"/>
      <c r="BA1483" s="418"/>
    </row>
    <row r="1484" spans="40:53" ht="15.75" customHeight="1">
      <c r="AN1484" s="418"/>
      <c r="AO1484" s="418"/>
      <c r="AP1484" s="418"/>
      <c r="AQ1484" s="418"/>
      <c r="AR1484" s="418"/>
      <c r="AS1484" s="418"/>
      <c r="AT1484" s="418"/>
      <c r="AU1484" s="418"/>
      <c r="AV1484" s="418"/>
      <c r="AW1484" s="418"/>
      <c r="AX1484" s="418"/>
      <c r="AY1484" s="418"/>
      <c r="AZ1484" s="418"/>
      <c r="BA1484" s="418"/>
    </row>
    <row r="1485" spans="40:53" ht="15.75" customHeight="1">
      <c r="AN1485" s="418"/>
      <c r="AO1485" s="418"/>
      <c r="AP1485" s="418"/>
      <c r="AQ1485" s="418"/>
      <c r="AR1485" s="418"/>
      <c r="AS1485" s="418"/>
      <c r="AT1485" s="418"/>
      <c r="AU1485" s="418"/>
      <c r="AV1485" s="418"/>
      <c r="AW1485" s="418"/>
      <c r="AX1485" s="418"/>
      <c r="AY1485" s="418"/>
      <c r="AZ1485" s="418"/>
      <c r="BA1485" s="418"/>
    </row>
    <row r="1486" spans="40:53" ht="15.75" customHeight="1">
      <c r="AN1486" s="418"/>
      <c r="AO1486" s="418"/>
      <c r="AP1486" s="418"/>
      <c r="AQ1486" s="418"/>
      <c r="AR1486" s="418"/>
      <c r="AS1486" s="418"/>
      <c r="AT1486" s="418"/>
      <c r="AU1486" s="418"/>
      <c r="AV1486" s="418"/>
      <c r="AW1486" s="418"/>
      <c r="AX1486" s="418"/>
      <c r="AY1486" s="418"/>
      <c r="AZ1486" s="418"/>
      <c r="BA1486" s="418"/>
    </row>
    <row r="1487" spans="40:53" ht="15.75" customHeight="1">
      <c r="AN1487" s="418"/>
      <c r="AO1487" s="418"/>
      <c r="AP1487" s="418"/>
      <c r="AQ1487" s="418"/>
      <c r="AR1487" s="418"/>
      <c r="AS1487" s="418"/>
      <c r="AT1487" s="418"/>
      <c r="AU1487" s="418"/>
      <c r="AV1487" s="418"/>
      <c r="AW1487" s="418"/>
      <c r="AX1487" s="418"/>
      <c r="AY1487" s="418"/>
      <c r="AZ1487" s="418"/>
      <c r="BA1487" s="418"/>
    </row>
    <row r="1488" spans="40:53" ht="15.75" customHeight="1">
      <c r="AN1488" s="418"/>
      <c r="AO1488" s="418"/>
      <c r="AP1488" s="418"/>
      <c r="AQ1488" s="418"/>
      <c r="AR1488" s="418"/>
      <c r="AS1488" s="418"/>
      <c r="AT1488" s="418"/>
      <c r="AU1488" s="418"/>
      <c r="AV1488" s="418"/>
      <c r="AW1488" s="418"/>
      <c r="AX1488" s="418"/>
      <c r="AY1488" s="418"/>
      <c r="AZ1488" s="418"/>
      <c r="BA1488" s="418"/>
    </row>
    <row r="1489" spans="40:53" ht="15.75" customHeight="1">
      <c r="AN1489" s="418"/>
      <c r="AO1489" s="418"/>
      <c r="AP1489" s="418"/>
      <c r="AQ1489" s="418"/>
      <c r="AR1489" s="418"/>
      <c r="AS1489" s="418"/>
      <c r="AT1489" s="418"/>
      <c r="AU1489" s="418"/>
      <c r="AV1489" s="418"/>
      <c r="AW1489" s="418"/>
      <c r="AX1489" s="418"/>
      <c r="AY1489" s="418"/>
      <c r="AZ1489" s="418"/>
      <c r="BA1489" s="418"/>
    </row>
    <row r="1490" spans="40:53" ht="15.75" customHeight="1">
      <c r="AN1490" s="418"/>
      <c r="AO1490" s="418"/>
      <c r="AP1490" s="418"/>
      <c r="AQ1490" s="418"/>
      <c r="AR1490" s="418"/>
      <c r="AS1490" s="418"/>
      <c r="AT1490" s="418"/>
      <c r="AU1490" s="418"/>
      <c r="AV1490" s="418"/>
      <c r="AW1490" s="418"/>
      <c r="AX1490" s="418"/>
      <c r="AY1490" s="418"/>
      <c r="AZ1490" s="418"/>
      <c r="BA1490" s="418"/>
    </row>
    <row r="1491" spans="40:53" ht="15.75" customHeight="1">
      <c r="AN1491" s="418"/>
      <c r="AO1491" s="418"/>
      <c r="AP1491" s="418"/>
      <c r="AQ1491" s="418"/>
      <c r="AR1491" s="418"/>
      <c r="AS1491" s="418"/>
      <c r="AT1491" s="418"/>
      <c r="AU1491" s="418"/>
      <c r="AV1491" s="418"/>
      <c r="AW1491" s="418"/>
      <c r="AX1491" s="418"/>
      <c r="AY1491" s="418"/>
      <c r="AZ1491" s="418"/>
      <c r="BA1491" s="418"/>
    </row>
    <row r="1492" spans="40:53" ht="15.75" customHeight="1">
      <c r="AN1492" s="418"/>
      <c r="AO1492" s="418"/>
      <c r="AP1492" s="418"/>
      <c r="AQ1492" s="418"/>
      <c r="AR1492" s="418"/>
      <c r="AS1492" s="418"/>
      <c r="AT1492" s="418"/>
      <c r="AU1492" s="418"/>
      <c r="AV1492" s="418"/>
      <c r="AW1492" s="418"/>
      <c r="AX1492" s="418"/>
      <c r="AY1492" s="418"/>
      <c r="AZ1492" s="418"/>
      <c r="BA1492" s="418"/>
    </row>
    <row r="1493" spans="40:53" ht="15.75" customHeight="1">
      <c r="AN1493" s="418"/>
      <c r="AO1493" s="418"/>
      <c r="AP1493" s="418"/>
      <c r="AQ1493" s="418"/>
      <c r="AR1493" s="418"/>
      <c r="AS1493" s="418"/>
      <c r="AT1493" s="418"/>
      <c r="AU1493" s="418"/>
      <c r="AV1493" s="418"/>
      <c r="AW1493" s="418"/>
      <c r="AX1493" s="418"/>
      <c r="AY1493" s="418"/>
      <c r="AZ1493" s="418"/>
      <c r="BA1493" s="418"/>
    </row>
    <row r="1494" spans="40:53" ht="15.75" customHeight="1">
      <c r="AN1494" s="418"/>
      <c r="AO1494" s="418"/>
      <c r="AP1494" s="418"/>
      <c r="AQ1494" s="418"/>
      <c r="AR1494" s="418"/>
      <c r="AS1494" s="418"/>
      <c r="AT1494" s="418"/>
      <c r="AU1494" s="418"/>
      <c r="AV1494" s="418"/>
      <c r="AW1494" s="418"/>
      <c r="AX1494" s="418"/>
      <c r="AY1494" s="418"/>
      <c r="AZ1494" s="418"/>
      <c r="BA1494" s="418"/>
    </row>
    <row r="1495" spans="40:53" ht="15.75" customHeight="1">
      <c r="AN1495" s="418"/>
      <c r="AO1495" s="418"/>
      <c r="AP1495" s="418"/>
      <c r="AQ1495" s="418"/>
      <c r="AR1495" s="418"/>
      <c r="AS1495" s="418"/>
      <c r="AT1495" s="418"/>
      <c r="AU1495" s="418"/>
      <c r="AV1495" s="418"/>
      <c r="AW1495" s="418"/>
      <c r="AX1495" s="418"/>
      <c r="AY1495" s="418"/>
      <c r="AZ1495" s="418"/>
      <c r="BA1495" s="418"/>
    </row>
    <row r="1496" spans="40:53" ht="15.75" customHeight="1">
      <c r="AN1496" s="418"/>
      <c r="AO1496" s="418"/>
      <c r="AP1496" s="418"/>
      <c r="AQ1496" s="418"/>
      <c r="AR1496" s="418"/>
      <c r="AS1496" s="418"/>
      <c r="AT1496" s="418"/>
      <c r="AU1496" s="418"/>
      <c r="AV1496" s="418"/>
      <c r="AW1496" s="418"/>
      <c r="AX1496" s="418"/>
      <c r="AY1496" s="418"/>
      <c r="AZ1496" s="418"/>
      <c r="BA1496" s="418"/>
    </row>
    <row r="1497" spans="40:53" ht="15.75" customHeight="1">
      <c r="AN1497" s="418"/>
      <c r="AO1497" s="418"/>
      <c r="AP1497" s="418"/>
      <c r="AQ1497" s="418"/>
      <c r="AR1497" s="418"/>
      <c r="AS1497" s="418"/>
      <c r="AT1497" s="418"/>
      <c r="AU1497" s="418"/>
      <c r="AV1497" s="418"/>
      <c r="AW1497" s="418"/>
      <c r="AX1497" s="418"/>
      <c r="AY1497" s="418"/>
      <c r="AZ1497" s="418"/>
      <c r="BA1497" s="418"/>
    </row>
    <row r="1498" spans="40:53" ht="15.75" customHeight="1">
      <c r="AN1498" s="418"/>
      <c r="AO1498" s="418"/>
      <c r="AP1498" s="418"/>
      <c r="AQ1498" s="418"/>
      <c r="AR1498" s="418"/>
      <c r="AS1498" s="418"/>
      <c r="AT1498" s="418"/>
      <c r="AU1498" s="418"/>
      <c r="AV1498" s="418"/>
      <c r="AW1498" s="418"/>
      <c r="AX1498" s="418"/>
      <c r="AY1498" s="418"/>
      <c r="AZ1498" s="418"/>
      <c r="BA1498" s="418"/>
    </row>
    <row r="1499" spans="40:53" ht="15.75" customHeight="1">
      <c r="AN1499" s="418"/>
      <c r="AO1499" s="418"/>
      <c r="AP1499" s="418"/>
      <c r="AQ1499" s="418"/>
      <c r="AR1499" s="418"/>
      <c r="AS1499" s="418"/>
      <c r="AT1499" s="418"/>
      <c r="AU1499" s="418"/>
      <c r="AV1499" s="418"/>
      <c r="AW1499" s="418"/>
      <c r="AX1499" s="418"/>
      <c r="AY1499" s="418"/>
      <c r="AZ1499" s="418"/>
      <c r="BA1499" s="418"/>
    </row>
    <row r="1500" spans="40:53" ht="15.75" customHeight="1">
      <c r="AN1500" s="418"/>
      <c r="AO1500" s="418"/>
      <c r="AP1500" s="418"/>
      <c r="AQ1500" s="418"/>
      <c r="AR1500" s="418"/>
      <c r="AS1500" s="418"/>
      <c r="AT1500" s="418"/>
      <c r="AU1500" s="418"/>
      <c r="AV1500" s="418"/>
      <c r="AW1500" s="418"/>
      <c r="AX1500" s="418"/>
      <c r="AY1500" s="418"/>
      <c r="AZ1500" s="418"/>
      <c r="BA1500" s="418"/>
    </row>
    <row r="1501" spans="40:53" ht="15.75" customHeight="1">
      <c r="AN1501" s="418"/>
      <c r="AO1501" s="418"/>
      <c r="AP1501" s="418"/>
      <c r="AQ1501" s="418"/>
      <c r="AR1501" s="418"/>
      <c r="AS1501" s="418"/>
      <c r="AT1501" s="418"/>
      <c r="AU1501" s="418"/>
      <c r="AV1501" s="418"/>
      <c r="AW1501" s="418"/>
      <c r="AX1501" s="418"/>
      <c r="AY1501" s="418"/>
      <c r="AZ1501" s="418"/>
      <c r="BA1501" s="418"/>
    </row>
    <row r="1502" spans="40:53" ht="15.75" customHeight="1">
      <c r="AN1502" s="418"/>
      <c r="AO1502" s="418"/>
      <c r="AP1502" s="418"/>
      <c r="AQ1502" s="418"/>
      <c r="AR1502" s="418"/>
      <c r="AS1502" s="418"/>
      <c r="AT1502" s="418"/>
      <c r="AU1502" s="418"/>
      <c r="AV1502" s="418"/>
      <c r="AW1502" s="418"/>
      <c r="AX1502" s="418"/>
      <c r="AY1502" s="418"/>
      <c r="AZ1502" s="418"/>
      <c r="BA1502" s="418"/>
    </row>
    <row r="1503" spans="40:53" ht="15.75" customHeight="1">
      <c r="AN1503" s="418"/>
      <c r="AO1503" s="418"/>
      <c r="AP1503" s="418"/>
      <c r="AQ1503" s="418"/>
      <c r="AR1503" s="418"/>
      <c r="AS1503" s="418"/>
      <c r="AT1503" s="418"/>
      <c r="AU1503" s="418"/>
      <c r="AV1503" s="418"/>
      <c r="AW1503" s="418"/>
      <c r="AX1503" s="418"/>
      <c r="AY1503" s="418"/>
      <c r="AZ1503" s="418"/>
      <c r="BA1503" s="418"/>
    </row>
    <row r="1504" spans="40:53" ht="15.75" customHeight="1">
      <c r="AN1504" s="418"/>
      <c r="AO1504" s="418"/>
      <c r="AP1504" s="418"/>
      <c r="AQ1504" s="418"/>
      <c r="AR1504" s="418"/>
      <c r="AS1504" s="418"/>
      <c r="AT1504" s="418"/>
      <c r="AU1504" s="418"/>
      <c r="AV1504" s="418"/>
      <c r="AW1504" s="418"/>
      <c r="AX1504" s="418"/>
      <c r="AY1504" s="418"/>
      <c r="AZ1504" s="418"/>
      <c r="BA1504" s="418"/>
    </row>
    <row r="1505" spans="40:53" ht="15.75" customHeight="1">
      <c r="AN1505" s="418"/>
      <c r="AO1505" s="418"/>
      <c r="AP1505" s="418"/>
      <c r="AQ1505" s="418"/>
      <c r="AR1505" s="418"/>
      <c r="AS1505" s="418"/>
      <c r="AT1505" s="418"/>
      <c r="AU1505" s="418"/>
      <c r="AV1505" s="418"/>
      <c r="AW1505" s="418"/>
      <c r="AX1505" s="418"/>
      <c r="AY1505" s="418"/>
      <c r="AZ1505" s="418"/>
      <c r="BA1505" s="418"/>
    </row>
    <row r="1506" spans="40:53" ht="15.75" customHeight="1">
      <c r="AN1506" s="418"/>
      <c r="AO1506" s="418"/>
      <c r="AP1506" s="418"/>
      <c r="AQ1506" s="418"/>
      <c r="AR1506" s="418"/>
      <c r="AS1506" s="418"/>
      <c r="AT1506" s="418"/>
      <c r="AU1506" s="418"/>
      <c r="AV1506" s="418"/>
      <c r="AW1506" s="418"/>
      <c r="AX1506" s="418"/>
      <c r="AY1506" s="418"/>
      <c r="AZ1506" s="418"/>
      <c r="BA1506" s="418"/>
    </row>
    <row r="1507" spans="40:53" ht="15.75" customHeight="1">
      <c r="AN1507" s="418"/>
      <c r="AO1507" s="418"/>
      <c r="AP1507" s="418"/>
      <c r="AQ1507" s="418"/>
      <c r="AR1507" s="418"/>
      <c r="AS1507" s="418"/>
      <c r="AT1507" s="418"/>
      <c r="AU1507" s="418"/>
      <c r="AV1507" s="418"/>
      <c r="AW1507" s="418"/>
      <c r="AX1507" s="418"/>
      <c r="AY1507" s="418"/>
      <c r="AZ1507" s="418"/>
      <c r="BA1507" s="418"/>
    </row>
    <row r="1508" spans="40:53" ht="15.75" customHeight="1">
      <c r="AN1508" s="418"/>
      <c r="AO1508" s="418"/>
      <c r="AP1508" s="418"/>
      <c r="AQ1508" s="418"/>
      <c r="AR1508" s="418"/>
      <c r="AS1508" s="418"/>
      <c r="AT1508" s="418"/>
      <c r="AU1508" s="418"/>
      <c r="AV1508" s="418"/>
      <c r="AW1508" s="418"/>
      <c r="AX1508" s="418"/>
      <c r="AY1508" s="418"/>
      <c r="AZ1508" s="418"/>
      <c r="BA1508" s="418"/>
    </row>
    <row r="1509" spans="40:53" ht="15.75" customHeight="1">
      <c r="AN1509" s="418"/>
      <c r="AO1509" s="418"/>
      <c r="AP1509" s="418"/>
      <c r="AQ1509" s="418"/>
      <c r="AR1509" s="418"/>
      <c r="AS1509" s="418"/>
      <c r="AT1509" s="418"/>
      <c r="AU1509" s="418"/>
      <c r="AV1509" s="418"/>
      <c r="AW1509" s="418"/>
      <c r="AX1509" s="418"/>
      <c r="AY1509" s="418"/>
      <c r="AZ1509" s="418"/>
      <c r="BA1509" s="418"/>
    </row>
    <row r="1510" spans="40:53" ht="15.75" customHeight="1">
      <c r="AN1510" s="418"/>
      <c r="AO1510" s="418"/>
      <c r="AP1510" s="418"/>
      <c r="AQ1510" s="418"/>
      <c r="AR1510" s="418"/>
      <c r="AS1510" s="418"/>
      <c r="AT1510" s="418"/>
      <c r="AU1510" s="418"/>
      <c r="AV1510" s="418"/>
      <c r="AW1510" s="418"/>
      <c r="AX1510" s="418"/>
      <c r="AY1510" s="418"/>
      <c r="AZ1510" s="418"/>
      <c r="BA1510" s="418"/>
    </row>
    <row r="1511" spans="40:53" ht="15.75" customHeight="1">
      <c r="AN1511" s="418"/>
      <c r="AO1511" s="418"/>
      <c r="AP1511" s="418"/>
      <c r="AQ1511" s="418"/>
      <c r="AR1511" s="418"/>
      <c r="AS1511" s="418"/>
      <c r="AT1511" s="418"/>
      <c r="AU1511" s="418"/>
      <c r="AV1511" s="418"/>
      <c r="AW1511" s="418"/>
      <c r="AX1511" s="418"/>
      <c r="AY1511" s="418"/>
      <c r="AZ1511" s="418"/>
      <c r="BA1511" s="418"/>
    </row>
    <row r="1512" spans="40:53" ht="15.75" customHeight="1">
      <c r="AN1512" s="418"/>
      <c r="AO1512" s="418"/>
      <c r="AP1512" s="418"/>
      <c r="AQ1512" s="418"/>
      <c r="AR1512" s="418"/>
      <c r="AS1512" s="418"/>
      <c r="AT1512" s="418"/>
      <c r="AU1512" s="418"/>
      <c r="AV1512" s="418"/>
      <c r="AW1512" s="418"/>
      <c r="AX1512" s="418"/>
      <c r="AY1512" s="418"/>
      <c r="AZ1512" s="418"/>
      <c r="BA1512" s="418"/>
    </row>
    <row r="1513" spans="40:53" ht="15.75" customHeight="1">
      <c r="AN1513" s="418"/>
      <c r="AO1513" s="418"/>
      <c r="AP1513" s="418"/>
      <c r="AQ1513" s="418"/>
      <c r="AR1513" s="418"/>
      <c r="AS1513" s="418"/>
      <c r="AT1513" s="418"/>
      <c r="AU1513" s="418"/>
      <c r="AV1513" s="418"/>
      <c r="AW1513" s="418"/>
      <c r="AX1513" s="418"/>
      <c r="AY1513" s="418"/>
      <c r="AZ1513" s="418"/>
      <c r="BA1513" s="418"/>
    </row>
    <row r="1514" spans="40:53" ht="15.75" customHeight="1">
      <c r="AN1514" s="418"/>
      <c r="AO1514" s="418"/>
      <c r="AP1514" s="418"/>
      <c r="AQ1514" s="418"/>
      <c r="AR1514" s="418"/>
      <c r="AS1514" s="418"/>
      <c r="AT1514" s="418"/>
      <c r="AU1514" s="418"/>
      <c r="AV1514" s="418"/>
      <c r="AW1514" s="418"/>
      <c r="AX1514" s="418"/>
      <c r="AY1514" s="418"/>
      <c r="AZ1514" s="418"/>
      <c r="BA1514" s="418"/>
    </row>
    <row r="1515" spans="40:53" ht="15.75" customHeight="1">
      <c r="AN1515" s="418"/>
      <c r="AO1515" s="418"/>
      <c r="AP1515" s="418"/>
      <c r="AQ1515" s="418"/>
      <c r="AR1515" s="418"/>
      <c r="AS1515" s="418"/>
      <c r="AT1515" s="418"/>
      <c r="AU1515" s="418"/>
      <c r="AV1515" s="418"/>
      <c r="AW1515" s="418"/>
      <c r="AX1515" s="418"/>
      <c r="AY1515" s="418"/>
      <c r="AZ1515" s="418"/>
      <c r="BA1515" s="418"/>
    </row>
    <row r="1516" spans="40:53" ht="15.75" customHeight="1">
      <c r="AN1516" s="418"/>
      <c r="AO1516" s="418"/>
      <c r="AP1516" s="418"/>
      <c r="AQ1516" s="418"/>
      <c r="AR1516" s="418"/>
      <c r="AS1516" s="418"/>
      <c r="AT1516" s="418"/>
      <c r="AU1516" s="418"/>
      <c r="AV1516" s="418"/>
      <c r="AW1516" s="418"/>
      <c r="AX1516" s="418"/>
      <c r="AY1516" s="418"/>
      <c r="AZ1516" s="418"/>
      <c r="BA1516" s="418"/>
    </row>
    <row r="1517" spans="40:53" ht="15.75" customHeight="1">
      <c r="AN1517" s="418"/>
      <c r="AO1517" s="418"/>
      <c r="AP1517" s="418"/>
      <c r="AQ1517" s="418"/>
      <c r="AR1517" s="418"/>
      <c r="AS1517" s="418"/>
      <c r="AT1517" s="418"/>
      <c r="AU1517" s="418"/>
      <c r="AV1517" s="418"/>
      <c r="AW1517" s="418"/>
      <c r="AX1517" s="418"/>
      <c r="AY1517" s="418"/>
      <c r="AZ1517" s="418"/>
      <c r="BA1517" s="418"/>
    </row>
    <row r="1518" spans="40:53" ht="15.75" customHeight="1">
      <c r="AN1518" s="418"/>
      <c r="AO1518" s="418"/>
      <c r="AP1518" s="418"/>
      <c r="AQ1518" s="418"/>
      <c r="AR1518" s="418"/>
      <c r="AS1518" s="418"/>
      <c r="AT1518" s="418"/>
      <c r="AU1518" s="418"/>
      <c r="AV1518" s="418"/>
      <c r="AW1518" s="418"/>
      <c r="AX1518" s="418"/>
      <c r="AY1518" s="418"/>
      <c r="AZ1518" s="418"/>
      <c r="BA1518" s="418"/>
    </row>
    <row r="1519" spans="40:53" ht="15.75" customHeight="1">
      <c r="AN1519" s="418"/>
      <c r="AO1519" s="418"/>
      <c r="AP1519" s="418"/>
      <c r="AQ1519" s="418"/>
      <c r="AR1519" s="418"/>
      <c r="AS1519" s="418"/>
      <c r="AT1519" s="418"/>
      <c r="AU1519" s="418"/>
      <c r="AV1519" s="418"/>
      <c r="AW1519" s="418"/>
      <c r="AX1519" s="418"/>
      <c r="AY1519" s="418"/>
      <c r="AZ1519" s="418"/>
      <c r="BA1519" s="418"/>
    </row>
    <row r="1520" spans="40:53" ht="15.75" customHeight="1">
      <c r="AN1520" s="418"/>
      <c r="AO1520" s="418"/>
      <c r="AP1520" s="418"/>
      <c r="AQ1520" s="418"/>
      <c r="AR1520" s="418"/>
      <c r="AS1520" s="418"/>
      <c r="AT1520" s="418"/>
      <c r="AU1520" s="418"/>
      <c r="AV1520" s="418"/>
      <c r="AW1520" s="418"/>
      <c r="AX1520" s="418"/>
      <c r="AY1520" s="418"/>
      <c r="AZ1520" s="418"/>
      <c r="BA1520" s="418"/>
    </row>
    <row r="1521" spans="40:53" ht="15.75" customHeight="1">
      <c r="AN1521" s="418"/>
      <c r="AO1521" s="418"/>
      <c r="AP1521" s="418"/>
      <c r="AQ1521" s="418"/>
      <c r="AR1521" s="418"/>
      <c r="AS1521" s="418"/>
      <c r="AT1521" s="418"/>
      <c r="AU1521" s="418"/>
      <c r="AV1521" s="418"/>
      <c r="AW1521" s="418"/>
      <c r="AX1521" s="418"/>
      <c r="AY1521" s="418"/>
      <c r="AZ1521" s="418"/>
      <c r="BA1521" s="418"/>
    </row>
    <row r="1522" spans="40:53" ht="15.75" customHeight="1">
      <c r="AN1522" s="418"/>
      <c r="AO1522" s="418"/>
      <c r="AP1522" s="418"/>
      <c r="AQ1522" s="418"/>
      <c r="AR1522" s="418"/>
      <c r="AS1522" s="418"/>
      <c r="AT1522" s="418"/>
      <c r="AU1522" s="418"/>
      <c r="AV1522" s="418"/>
      <c r="AW1522" s="418"/>
      <c r="AX1522" s="418"/>
      <c r="AY1522" s="418"/>
      <c r="AZ1522" s="418"/>
      <c r="BA1522" s="418"/>
    </row>
    <row r="1523" spans="40:53" ht="15.75" customHeight="1">
      <c r="AN1523" s="418"/>
      <c r="AO1523" s="418"/>
      <c r="AP1523" s="418"/>
      <c r="AQ1523" s="418"/>
      <c r="AR1523" s="418"/>
      <c r="AS1523" s="418"/>
      <c r="AT1523" s="418"/>
      <c r="AU1523" s="418"/>
      <c r="AV1523" s="418"/>
      <c r="AW1523" s="418"/>
      <c r="AX1523" s="418"/>
      <c r="AY1523" s="418"/>
      <c r="AZ1523" s="418"/>
      <c r="BA1523" s="418"/>
    </row>
    <row r="1524" spans="40:53" ht="15.75" customHeight="1">
      <c r="AN1524" s="418"/>
      <c r="AO1524" s="418"/>
      <c r="AP1524" s="418"/>
      <c r="AQ1524" s="418"/>
      <c r="AR1524" s="418"/>
      <c r="AS1524" s="418"/>
      <c r="AT1524" s="418"/>
      <c r="AU1524" s="418"/>
      <c r="AV1524" s="418"/>
      <c r="AW1524" s="418"/>
      <c r="AX1524" s="418"/>
      <c r="AY1524" s="418"/>
      <c r="AZ1524" s="418"/>
      <c r="BA1524" s="418"/>
    </row>
    <row r="1525" spans="40:53" ht="15.75" customHeight="1">
      <c r="AN1525" s="418"/>
      <c r="AO1525" s="418"/>
      <c r="AP1525" s="418"/>
      <c r="AQ1525" s="418"/>
      <c r="AR1525" s="418"/>
      <c r="AS1525" s="418"/>
      <c r="AT1525" s="418"/>
      <c r="AU1525" s="418"/>
      <c r="AV1525" s="418"/>
      <c r="AW1525" s="418"/>
      <c r="AX1525" s="418"/>
      <c r="AY1525" s="418"/>
      <c r="AZ1525" s="418"/>
      <c r="BA1525" s="418"/>
    </row>
    <row r="1526" spans="40:53" ht="15.75" customHeight="1">
      <c r="AN1526" s="418"/>
      <c r="AO1526" s="418"/>
      <c r="AP1526" s="418"/>
      <c r="AQ1526" s="418"/>
      <c r="AR1526" s="418"/>
      <c r="AS1526" s="418"/>
      <c r="AT1526" s="418"/>
      <c r="AU1526" s="418"/>
      <c r="AV1526" s="418"/>
      <c r="AW1526" s="418"/>
      <c r="AX1526" s="418"/>
      <c r="AY1526" s="418"/>
      <c r="AZ1526" s="418"/>
      <c r="BA1526" s="418"/>
    </row>
    <row r="1527" spans="40:53" ht="15.75" customHeight="1">
      <c r="AN1527" s="418"/>
      <c r="AO1527" s="418"/>
      <c r="AP1527" s="418"/>
      <c r="AQ1527" s="418"/>
      <c r="AR1527" s="418"/>
      <c r="AS1527" s="418"/>
      <c r="AT1527" s="418"/>
      <c r="AU1527" s="418"/>
      <c r="AV1527" s="418"/>
      <c r="AW1527" s="418"/>
      <c r="AX1527" s="418"/>
      <c r="AY1527" s="418"/>
      <c r="AZ1527" s="418"/>
      <c r="BA1527" s="418"/>
    </row>
    <row r="1528" spans="40:53" ht="15.75" customHeight="1">
      <c r="AN1528" s="418"/>
      <c r="AO1528" s="418"/>
      <c r="AP1528" s="418"/>
      <c r="AQ1528" s="418"/>
      <c r="AR1528" s="418"/>
      <c r="AS1528" s="418"/>
      <c r="AT1528" s="418"/>
      <c r="AU1528" s="418"/>
      <c r="AV1528" s="418"/>
      <c r="AW1528" s="418"/>
      <c r="AX1528" s="418"/>
      <c r="AY1528" s="418"/>
      <c r="AZ1528" s="418"/>
      <c r="BA1528" s="418"/>
    </row>
    <row r="1529" spans="40:53" ht="15.75" customHeight="1">
      <c r="AN1529" s="418"/>
      <c r="AO1529" s="418"/>
      <c r="AP1529" s="418"/>
      <c r="AQ1529" s="418"/>
      <c r="AR1529" s="418"/>
      <c r="AS1529" s="418"/>
      <c r="AT1529" s="418"/>
      <c r="AU1529" s="418"/>
      <c r="AV1529" s="418"/>
      <c r="AW1529" s="418"/>
      <c r="AX1529" s="418"/>
      <c r="AY1529" s="418"/>
      <c r="AZ1529" s="418"/>
      <c r="BA1529" s="418"/>
    </row>
    <row r="1530" spans="40:53" ht="15.75" customHeight="1">
      <c r="AN1530" s="418"/>
      <c r="AO1530" s="418"/>
      <c r="AP1530" s="418"/>
      <c r="AQ1530" s="418"/>
      <c r="AR1530" s="418"/>
      <c r="AS1530" s="418"/>
      <c r="AT1530" s="418"/>
      <c r="AU1530" s="418"/>
      <c r="AV1530" s="418"/>
      <c r="AW1530" s="418"/>
      <c r="AX1530" s="418"/>
      <c r="AY1530" s="418"/>
      <c r="AZ1530" s="418"/>
      <c r="BA1530" s="418"/>
    </row>
    <row r="1531" spans="40:53" ht="15.75" customHeight="1">
      <c r="AN1531" s="418"/>
      <c r="AO1531" s="418"/>
      <c r="AP1531" s="418"/>
      <c r="AQ1531" s="418"/>
      <c r="AR1531" s="418"/>
      <c r="AS1531" s="418"/>
      <c r="AT1531" s="418"/>
      <c r="AU1531" s="418"/>
      <c r="AV1531" s="418"/>
      <c r="AW1531" s="418"/>
      <c r="AX1531" s="418"/>
      <c r="AY1531" s="418"/>
      <c r="AZ1531" s="418"/>
      <c r="BA1531" s="418"/>
    </row>
    <row r="1532" spans="40:53" ht="15.75" customHeight="1">
      <c r="AN1532" s="418"/>
      <c r="AO1532" s="418"/>
      <c r="AP1532" s="418"/>
      <c r="AQ1532" s="418"/>
      <c r="AR1532" s="418"/>
      <c r="AS1532" s="418"/>
      <c r="AT1532" s="418"/>
      <c r="AU1532" s="418"/>
      <c r="AV1532" s="418"/>
      <c r="AW1532" s="418"/>
      <c r="AX1532" s="418"/>
      <c r="AY1532" s="418"/>
      <c r="AZ1532" s="418"/>
      <c r="BA1532" s="418"/>
    </row>
    <row r="1533" spans="40:53" ht="15.75" customHeight="1">
      <c r="AN1533" s="418"/>
      <c r="AO1533" s="418"/>
      <c r="AP1533" s="418"/>
      <c r="AQ1533" s="418"/>
      <c r="AR1533" s="418"/>
      <c r="AS1533" s="418"/>
      <c r="AT1533" s="418"/>
      <c r="AU1533" s="418"/>
      <c r="AV1533" s="418"/>
      <c r="AW1533" s="418"/>
      <c r="AX1533" s="418"/>
      <c r="AY1533" s="418"/>
      <c r="AZ1533" s="418"/>
      <c r="BA1533" s="418"/>
    </row>
    <row r="1534" spans="40:53" ht="15.75" customHeight="1">
      <c r="AN1534" s="418"/>
      <c r="AO1534" s="418"/>
      <c r="AP1534" s="418"/>
      <c r="AQ1534" s="418"/>
      <c r="AR1534" s="418"/>
      <c r="AS1534" s="418"/>
      <c r="AT1534" s="418"/>
      <c r="AU1534" s="418"/>
      <c r="AV1534" s="418"/>
      <c r="AW1534" s="418"/>
      <c r="AX1534" s="418"/>
      <c r="AY1534" s="418"/>
      <c r="AZ1534" s="418"/>
      <c r="BA1534" s="418"/>
    </row>
    <row r="1535" spans="40:53" ht="15.75" customHeight="1">
      <c r="AN1535" s="418"/>
      <c r="AO1535" s="418"/>
      <c r="AP1535" s="418"/>
      <c r="AQ1535" s="418"/>
      <c r="AR1535" s="418"/>
      <c r="AS1535" s="418"/>
      <c r="AT1535" s="418"/>
      <c r="AU1535" s="418"/>
      <c r="AV1535" s="418"/>
      <c r="AW1535" s="418"/>
      <c r="AX1535" s="418"/>
      <c r="AY1535" s="418"/>
      <c r="AZ1535" s="418"/>
      <c r="BA1535" s="418"/>
    </row>
    <row r="1536" spans="40:53" ht="15.75" customHeight="1">
      <c r="AN1536" s="418"/>
      <c r="AO1536" s="418"/>
      <c r="AP1536" s="418"/>
      <c r="AQ1536" s="418"/>
      <c r="AR1536" s="418"/>
      <c r="AS1536" s="418"/>
      <c r="AT1536" s="418"/>
      <c r="AU1536" s="418"/>
      <c r="AV1536" s="418"/>
      <c r="AW1536" s="418"/>
      <c r="AX1536" s="418"/>
      <c r="AY1536" s="418"/>
      <c r="AZ1536" s="418"/>
      <c r="BA1536" s="418"/>
    </row>
    <row r="1537" spans="40:53" ht="15.75" customHeight="1">
      <c r="AN1537" s="418"/>
      <c r="AO1537" s="418"/>
      <c r="AP1537" s="418"/>
      <c r="AQ1537" s="418"/>
      <c r="AR1537" s="418"/>
      <c r="AS1537" s="418"/>
      <c r="AT1537" s="418"/>
      <c r="AU1537" s="418"/>
      <c r="AV1537" s="418"/>
      <c r="AW1537" s="418"/>
      <c r="AX1537" s="418"/>
      <c r="AY1537" s="418"/>
      <c r="AZ1537" s="418"/>
      <c r="BA1537" s="418"/>
    </row>
    <row r="1538" spans="40:53" ht="15.75" customHeight="1">
      <c r="AN1538" s="418"/>
      <c r="AO1538" s="418"/>
      <c r="AP1538" s="418"/>
      <c r="AQ1538" s="418"/>
      <c r="AR1538" s="418"/>
      <c r="AS1538" s="418"/>
      <c r="AT1538" s="418"/>
      <c r="AU1538" s="418"/>
      <c r="AV1538" s="418"/>
      <c r="AW1538" s="418"/>
      <c r="AX1538" s="418"/>
      <c r="AY1538" s="418"/>
      <c r="AZ1538" s="418"/>
      <c r="BA1538" s="418"/>
    </row>
    <row r="1539" spans="40:53" ht="15.75" customHeight="1">
      <c r="AN1539" s="418"/>
      <c r="AO1539" s="418"/>
      <c r="AP1539" s="418"/>
      <c r="AQ1539" s="418"/>
      <c r="AR1539" s="418"/>
      <c r="AS1539" s="418"/>
      <c r="AT1539" s="418"/>
      <c r="AU1539" s="418"/>
      <c r="AV1539" s="418"/>
      <c r="AW1539" s="418"/>
      <c r="AX1539" s="418"/>
      <c r="AY1539" s="418"/>
      <c r="AZ1539" s="418"/>
      <c r="BA1539" s="418"/>
    </row>
    <row r="1540" spans="40:53" ht="15.75" customHeight="1">
      <c r="AN1540" s="418"/>
      <c r="AO1540" s="418"/>
      <c r="AP1540" s="418"/>
      <c r="AQ1540" s="418"/>
      <c r="AR1540" s="418"/>
      <c r="AS1540" s="418"/>
      <c r="AT1540" s="418"/>
      <c r="AU1540" s="418"/>
      <c r="AV1540" s="418"/>
      <c r="AW1540" s="418"/>
      <c r="AX1540" s="418"/>
      <c r="AY1540" s="418"/>
      <c r="AZ1540" s="418"/>
      <c r="BA1540" s="418"/>
    </row>
    <row r="1541" spans="40:53" ht="15.75" customHeight="1">
      <c r="AN1541" s="418"/>
      <c r="AO1541" s="418"/>
      <c r="AP1541" s="418"/>
      <c r="AQ1541" s="418"/>
      <c r="AR1541" s="418"/>
      <c r="AS1541" s="418"/>
      <c r="AT1541" s="418"/>
      <c r="AU1541" s="418"/>
      <c r="AV1541" s="418"/>
      <c r="AW1541" s="418"/>
      <c r="AX1541" s="418"/>
      <c r="AY1541" s="418"/>
      <c r="AZ1541" s="418"/>
      <c r="BA1541" s="418"/>
    </row>
    <row r="1542" spans="40:53" ht="15.75" customHeight="1">
      <c r="AN1542" s="418"/>
      <c r="AO1542" s="418"/>
      <c r="AP1542" s="418"/>
      <c r="AQ1542" s="418"/>
      <c r="AR1542" s="418"/>
      <c r="AS1542" s="418"/>
      <c r="AT1542" s="418"/>
      <c r="AU1542" s="418"/>
      <c r="AV1542" s="418"/>
      <c r="AW1542" s="418"/>
      <c r="AX1542" s="418"/>
      <c r="AY1542" s="418"/>
      <c r="AZ1542" s="418"/>
      <c r="BA1542" s="418"/>
    </row>
    <row r="1543" spans="40:53" ht="15.75" customHeight="1">
      <c r="AN1543" s="418"/>
      <c r="AO1543" s="418"/>
      <c r="AP1543" s="418"/>
      <c r="AQ1543" s="418"/>
      <c r="AR1543" s="418"/>
      <c r="AS1543" s="418"/>
      <c r="AT1543" s="418"/>
      <c r="AU1543" s="418"/>
      <c r="AV1543" s="418"/>
      <c r="AW1543" s="418"/>
      <c r="AX1543" s="418"/>
      <c r="AY1543" s="418"/>
      <c r="AZ1543" s="418"/>
      <c r="BA1543" s="418"/>
    </row>
    <row r="1544" spans="40:53" ht="15.75" customHeight="1">
      <c r="AN1544" s="418"/>
      <c r="AO1544" s="418"/>
      <c r="AP1544" s="418"/>
      <c r="AQ1544" s="418"/>
      <c r="AR1544" s="418"/>
      <c r="AS1544" s="418"/>
      <c r="AT1544" s="418"/>
      <c r="AU1544" s="418"/>
      <c r="AV1544" s="418"/>
      <c r="AW1544" s="418"/>
      <c r="AX1544" s="418"/>
      <c r="AY1544" s="418"/>
      <c r="AZ1544" s="418"/>
      <c r="BA1544" s="418"/>
    </row>
    <row r="1545" spans="40:53" ht="15.75" customHeight="1">
      <c r="AN1545" s="418"/>
      <c r="AO1545" s="418"/>
      <c r="AP1545" s="418"/>
      <c r="AQ1545" s="418"/>
      <c r="AR1545" s="418"/>
      <c r="AS1545" s="418"/>
      <c r="AT1545" s="418"/>
      <c r="AU1545" s="418"/>
      <c r="AV1545" s="418"/>
      <c r="AW1545" s="418"/>
      <c r="AX1545" s="418"/>
      <c r="AY1545" s="418"/>
      <c r="AZ1545" s="418"/>
      <c r="BA1545" s="418"/>
    </row>
    <row r="1546" spans="40:53" ht="15.75" customHeight="1">
      <c r="AN1546" s="418"/>
      <c r="AO1546" s="418"/>
      <c r="AP1546" s="418"/>
      <c r="AQ1546" s="418"/>
      <c r="AR1546" s="418"/>
      <c r="AS1546" s="418"/>
      <c r="AT1546" s="418"/>
      <c r="AU1546" s="418"/>
      <c r="AV1546" s="418"/>
      <c r="AW1546" s="418"/>
      <c r="AX1546" s="418"/>
      <c r="AY1546" s="418"/>
      <c r="AZ1546" s="418"/>
      <c r="BA1546" s="418"/>
    </row>
    <row r="1547" spans="40:53" ht="15.75" customHeight="1">
      <c r="AN1547" s="418"/>
      <c r="AO1547" s="418"/>
      <c r="AP1547" s="418"/>
      <c r="AQ1547" s="418"/>
      <c r="AR1547" s="418"/>
      <c r="AS1547" s="418"/>
      <c r="AT1547" s="418"/>
      <c r="AU1547" s="418"/>
      <c r="AV1547" s="418"/>
      <c r="AW1547" s="418"/>
      <c r="AX1547" s="418"/>
      <c r="AY1547" s="418"/>
      <c r="AZ1547" s="418"/>
      <c r="BA1547" s="418"/>
    </row>
    <row r="1548" spans="40:53" ht="15.75" customHeight="1">
      <c r="AN1548" s="418"/>
      <c r="AO1548" s="418"/>
      <c r="AP1548" s="418"/>
      <c r="AQ1548" s="418"/>
      <c r="AR1548" s="418"/>
      <c r="AS1548" s="418"/>
      <c r="AT1548" s="418"/>
      <c r="AU1548" s="418"/>
      <c r="AV1548" s="418"/>
      <c r="AW1548" s="418"/>
      <c r="AX1548" s="418"/>
      <c r="AY1548" s="418"/>
      <c r="AZ1548" s="418"/>
      <c r="BA1548" s="418"/>
    </row>
    <row r="1549" spans="40:53" ht="15.75" customHeight="1">
      <c r="AN1549" s="418"/>
      <c r="AO1549" s="418"/>
      <c r="AP1549" s="418"/>
      <c r="AQ1549" s="418"/>
      <c r="AR1549" s="418"/>
      <c r="AS1549" s="418"/>
      <c r="AT1549" s="418"/>
      <c r="AU1549" s="418"/>
      <c r="AV1549" s="418"/>
      <c r="AW1549" s="418"/>
      <c r="AX1549" s="418"/>
      <c r="AY1549" s="418"/>
      <c r="AZ1549" s="418"/>
      <c r="BA1549" s="418"/>
    </row>
    <row r="1550" spans="40:53" ht="15.75" customHeight="1">
      <c r="AN1550" s="418"/>
      <c r="AO1550" s="418"/>
      <c r="AP1550" s="418"/>
      <c r="AQ1550" s="418"/>
      <c r="AR1550" s="418"/>
      <c r="AS1550" s="418"/>
      <c r="AT1550" s="418"/>
      <c r="AU1550" s="418"/>
      <c r="AV1550" s="418"/>
      <c r="AW1550" s="418"/>
      <c r="AX1550" s="418"/>
      <c r="AY1550" s="418"/>
      <c r="AZ1550" s="418"/>
      <c r="BA1550" s="418"/>
    </row>
    <row r="1551" spans="40:53" ht="15.75" customHeight="1">
      <c r="AN1551" s="418"/>
      <c r="AO1551" s="418"/>
      <c r="AP1551" s="418"/>
      <c r="AQ1551" s="418"/>
      <c r="AR1551" s="418"/>
      <c r="AS1551" s="418"/>
      <c r="AT1551" s="418"/>
      <c r="AU1551" s="418"/>
      <c r="AV1551" s="418"/>
      <c r="AW1551" s="418"/>
      <c r="AX1551" s="418"/>
      <c r="AY1551" s="418"/>
      <c r="AZ1551" s="418"/>
      <c r="BA1551" s="418"/>
    </row>
    <row r="1552" spans="40:53" ht="15.75" customHeight="1">
      <c r="AN1552" s="418"/>
      <c r="AO1552" s="418"/>
      <c r="AP1552" s="418"/>
      <c r="AQ1552" s="418"/>
      <c r="AR1552" s="418"/>
      <c r="AS1552" s="418"/>
      <c r="AT1552" s="418"/>
      <c r="AU1552" s="418"/>
      <c r="AV1552" s="418"/>
      <c r="AW1552" s="418"/>
      <c r="AX1552" s="418"/>
      <c r="AY1552" s="418"/>
      <c r="AZ1552" s="418"/>
      <c r="BA1552" s="418"/>
    </row>
    <row r="1553" spans="40:53" ht="15.75" customHeight="1">
      <c r="AN1553" s="418"/>
      <c r="AO1553" s="418"/>
      <c r="AP1553" s="418"/>
      <c r="AQ1553" s="418"/>
      <c r="AR1553" s="418"/>
      <c r="AS1553" s="418"/>
      <c r="AT1553" s="418"/>
      <c r="AU1553" s="418"/>
      <c r="AV1553" s="418"/>
      <c r="AW1553" s="418"/>
      <c r="AX1553" s="418"/>
      <c r="AY1553" s="418"/>
      <c r="AZ1553" s="418"/>
      <c r="BA1553" s="418"/>
    </row>
    <row r="1554" spans="40:53" ht="15.75" customHeight="1">
      <c r="AN1554" s="418"/>
      <c r="AO1554" s="418"/>
      <c r="AP1554" s="418"/>
      <c r="AQ1554" s="418"/>
      <c r="AR1554" s="418"/>
      <c r="AS1554" s="418"/>
      <c r="AT1554" s="418"/>
      <c r="AU1554" s="418"/>
      <c r="AV1554" s="418"/>
      <c r="AW1554" s="418"/>
      <c r="AX1554" s="418"/>
      <c r="AY1554" s="418"/>
      <c r="AZ1554" s="418"/>
      <c r="BA1554" s="418"/>
    </row>
    <row r="1555" spans="40:53" ht="15.75" customHeight="1">
      <c r="AN1555" s="418"/>
      <c r="AO1555" s="418"/>
      <c r="AP1555" s="418"/>
      <c r="AQ1555" s="418"/>
      <c r="AR1555" s="418"/>
      <c r="AS1555" s="418"/>
      <c r="AT1555" s="418"/>
      <c r="AU1555" s="418"/>
      <c r="AV1555" s="418"/>
      <c r="AW1555" s="418"/>
      <c r="AX1555" s="418"/>
      <c r="AY1555" s="418"/>
      <c r="AZ1555" s="418"/>
      <c r="BA1555" s="418"/>
    </row>
    <row r="1556" spans="40:53" ht="15.75" customHeight="1">
      <c r="AN1556" s="418"/>
      <c r="AO1556" s="418"/>
      <c r="AP1556" s="418"/>
      <c r="AQ1556" s="418"/>
      <c r="AR1556" s="418"/>
      <c r="AS1556" s="418"/>
      <c r="AT1556" s="418"/>
      <c r="AU1556" s="418"/>
      <c r="AV1556" s="418"/>
      <c r="AW1556" s="418"/>
      <c r="AX1556" s="418"/>
      <c r="AY1556" s="418"/>
      <c r="AZ1556" s="418"/>
      <c r="BA1556" s="418"/>
    </row>
    <row r="1557" spans="40:53" ht="15.75" customHeight="1">
      <c r="AN1557" s="418"/>
      <c r="AO1557" s="418"/>
      <c r="AP1557" s="418"/>
      <c r="AQ1557" s="418"/>
      <c r="AR1557" s="418"/>
      <c r="AS1557" s="418"/>
      <c r="AT1557" s="418"/>
      <c r="AU1557" s="418"/>
      <c r="AV1557" s="418"/>
      <c r="AW1557" s="418"/>
      <c r="AX1557" s="418"/>
      <c r="AY1557" s="418"/>
      <c r="AZ1557" s="418"/>
      <c r="BA1557" s="418"/>
    </row>
    <row r="1558" spans="40:53" ht="15.75" customHeight="1">
      <c r="AN1558" s="418"/>
      <c r="AO1558" s="418"/>
      <c r="AP1558" s="418"/>
      <c r="AQ1558" s="418"/>
      <c r="AR1558" s="418"/>
      <c r="AS1558" s="418"/>
      <c r="AT1558" s="418"/>
      <c r="AU1558" s="418"/>
      <c r="AV1558" s="418"/>
      <c r="AW1558" s="418"/>
      <c r="AX1558" s="418"/>
      <c r="AY1558" s="418"/>
      <c r="AZ1558" s="418"/>
      <c r="BA1558" s="418"/>
    </row>
    <row r="1559" spans="40:53" ht="15.75" customHeight="1">
      <c r="AN1559" s="418"/>
      <c r="AO1559" s="418"/>
      <c r="AP1559" s="418"/>
      <c r="AQ1559" s="418"/>
      <c r="AR1559" s="418"/>
      <c r="AS1559" s="418"/>
      <c r="AT1559" s="418"/>
      <c r="AU1559" s="418"/>
      <c r="AV1559" s="418"/>
      <c r="AW1559" s="418"/>
      <c r="AX1559" s="418"/>
      <c r="AY1559" s="418"/>
      <c r="AZ1559" s="418"/>
      <c r="BA1559" s="418"/>
    </row>
    <row r="1560" spans="40:53" ht="15.75" customHeight="1">
      <c r="AN1560" s="418"/>
      <c r="AO1560" s="418"/>
      <c r="AP1560" s="418"/>
      <c r="AQ1560" s="418"/>
      <c r="AR1560" s="418"/>
      <c r="AS1560" s="418"/>
      <c r="AT1560" s="418"/>
      <c r="AU1560" s="418"/>
      <c r="AV1560" s="418"/>
      <c r="AW1560" s="418"/>
      <c r="AX1560" s="418"/>
      <c r="AY1560" s="418"/>
      <c r="AZ1560" s="418"/>
      <c r="BA1560" s="418"/>
    </row>
    <row r="1561" spans="40:53" ht="15.75" customHeight="1">
      <c r="AN1561" s="418"/>
      <c r="AO1561" s="418"/>
      <c r="AP1561" s="418"/>
      <c r="AQ1561" s="418"/>
      <c r="AR1561" s="418"/>
      <c r="AS1561" s="418"/>
      <c r="AT1561" s="418"/>
      <c r="AU1561" s="418"/>
      <c r="AV1561" s="418"/>
      <c r="AW1561" s="418"/>
      <c r="AX1561" s="418"/>
      <c r="AY1561" s="418"/>
      <c r="AZ1561" s="418"/>
      <c r="BA1561" s="418"/>
    </row>
    <row r="1562" spans="40:53" ht="15.75" customHeight="1">
      <c r="AN1562" s="418"/>
      <c r="AO1562" s="418"/>
      <c r="AP1562" s="418"/>
      <c r="AQ1562" s="418"/>
      <c r="AR1562" s="418"/>
      <c r="AS1562" s="418"/>
      <c r="AT1562" s="418"/>
      <c r="AU1562" s="418"/>
      <c r="AV1562" s="418"/>
      <c r="AW1562" s="418"/>
      <c r="AX1562" s="418"/>
      <c r="AY1562" s="418"/>
      <c r="AZ1562" s="418"/>
      <c r="BA1562" s="418"/>
    </row>
    <row r="1563" spans="40:53" ht="15.75" customHeight="1">
      <c r="AN1563" s="418"/>
      <c r="AO1563" s="418"/>
      <c r="AP1563" s="418"/>
      <c r="AQ1563" s="418"/>
      <c r="AR1563" s="418"/>
      <c r="AS1563" s="418"/>
      <c r="AT1563" s="418"/>
      <c r="AU1563" s="418"/>
      <c r="AV1563" s="418"/>
      <c r="AW1563" s="418"/>
      <c r="AX1563" s="418"/>
      <c r="AY1563" s="418"/>
      <c r="AZ1563" s="418"/>
      <c r="BA1563" s="418"/>
    </row>
    <row r="1564" spans="40:53" ht="15.75" customHeight="1">
      <c r="AN1564" s="418"/>
      <c r="AO1564" s="418"/>
      <c r="AP1564" s="418"/>
      <c r="AQ1564" s="418"/>
      <c r="AR1564" s="418"/>
      <c r="AS1564" s="418"/>
      <c r="AT1564" s="418"/>
      <c r="AU1564" s="418"/>
      <c r="AV1564" s="418"/>
      <c r="AW1564" s="418"/>
      <c r="AX1564" s="418"/>
      <c r="AY1564" s="418"/>
      <c r="AZ1564" s="418"/>
      <c r="BA1564" s="418"/>
    </row>
    <row r="1565" spans="40:53" ht="15.75" customHeight="1">
      <c r="AN1565" s="418"/>
      <c r="AO1565" s="418"/>
      <c r="AP1565" s="418"/>
      <c r="AQ1565" s="418"/>
      <c r="AR1565" s="418"/>
      <c r="AS1565" s="418"/>
      <c r="AT1565" s="418"/>
      <c r="AU1565" s="418"/>
      <c r="AV1565" s="418"/>
      <c r="AW1565" s="418"/>
      <c r="AX1565" s="418"/>
      <c r="AY1565" s="418"/>
      <c r="AZ1565" s="418"/>
      <c r="BA1565" s="418"/>
    </row>
    <row r="1566" spans="40:53" ht="15.75" customHeight="1">
      <c r="AN1566" s="418"/>
      <c r="AO1566" s="418"/>
      <c r="AP1566" s="418"/>
      <c r="AQ1566" s="418"/>
      <c r="AR1566" s="418"/>
      <c r="AS1566" s="418"/>
      <c r="AT1566" s="418"/>
      <c r="AU1566" s="418"/>
      <c r="AV1566" s="418"/>
      <c r="AW1566" s="418"/>
      <c r="AX1566" s="418"/>
      <c r="AY1566" s="418"/>
      <c r="AZ1566" s="418"/>
      <c r="BA1566" s="418"/>
    </row>
    <row r="1567" spans="40:53" ht="15.75" customHeight="1">
      <c r="AN1567" s="418"/>
      <c r="AO1567" s="418"/>
      <c r="AP1567" s="418"/>
      <c r="AQ1567" s="418"/>
      <c r="AR1567" s="418"/>
      <c r="AS1567" s="418"/>
      <c r="AT1567" s="418"/>
      <c r="AU1567" s="418"/>
      <c r="AV1567" s="418"/>
      <c r="AW1567" s="418"/>
      <c r="AX1567" s="418"/>
      <c r="AY1567" s="418"/>
      <c r="AZ1567" s="418"/>
      <c r="BA1567" s="418"/>
    </row>
    <row r="1568" spans="40:53" ht="15.75" customHeight="1">
      <c r="AN1568" s="418"/>
      <c r="AO1568" s="418"/>
      <c r="AP1568" s="418"/>
      <c r="AQ1568" s="418"/>
      <c r="AR1568" s="418"/>
      <c r="AS1568" s="418"/>
      <c r="AT1568" s="418"/>
      <c r="AU1568" s="418"/>
      <c r="AV1568" s="418"/>
      <c r="AW1568" s="418"/>
      <c r="AX1568" s="418"/>
      <c r="AY1568" s="418"/>
      <c r="AZ1568" s="418"/>
      <c r="BA1568" s="418"/>
    </row>
    <row r="1569" spans="40:53" ht="15.75" customHeight="1">
      <c r="AN1569" s="418"/>
      <c r="AO1569" s="418"/>
      <c r="AP1569" s="418"/>
      <c r="AQ1569" s="418"/>
      <c r="AR1569" s="418"/>
      <c r="AS1569" s="418"/>
      <c r="AT1569" s="418"/>
      <c r="AU1569" s="418"/>
      <c r="AV1569" s="418"/>
      <c r="AW1569" s="418"/>
      <c r="AX1569" s="418"/>
      <c r="AY1569" s="418"/>
      <c r="AZ1569" s="418"/>
      <c r="BA1569" s="418"/>
    </row>
    <row r="1570" spans="40:53" ht="15.75" customHeight="1">
      <c r="AN1570" s="418"/>
      <c r="AO1570" s="418"/>
      <c r="AP1570" s="418"/>
      <c r="AQ1570" s="418"/>
      <c r="AR1570" s="418"/>
      <c r="AS1570" s="418"/>
      <c r="AT1570" s="418"/>
      <c r="AU1570" s="418"/>
      <c r="AV1570" s="418"/>
      <c r="AW1570" s="418"/>
      <c r="AX1570" s="418"/>
      <c r="AY1570" s="418"/>
      <c r="AZ1570" s="418"/>
      <c r="BA1570" s="418"/>
    </row>
    <row r="1571" spans="40:53" ht="15.75" customHeight="1">
      <c r="AN1571" s="418"/>
      <c r="AO1571" s="418"/>
      <c r="AP1571" s="418"/>
      <c r="AQ1571" s="418"/>
      <c r="AR1571" s="418"/>
      <c r="AS1571" s="418"/>
      <c r="AT1571" s="418"/>
      <c r="AU1571" s="418"/>
      <c r="AV1571" s="418"/>
      <c r="AW1571" s="418"/>
      <c r="AX1571" s="418"/>
      <c r="AY1571" s="418"/>
      <c r="AZ1571" s="418"/>
      <c r="BA1571" s="418"/>
    </row>
    <row r="1572" spans="40:53" ht="15.75" customHeight="1">
      <c r="AN1572" s="418"/>
      <c r="AO1572" s="418"/>
      <c r="AP1572" s="418"/>
      <c r="AQ1572" s="418"/>
      <c r="AR1572" s="418"/>
      <c r="AS1572" s="418"/>
      <c r="AT1572" s="418"/>
      <c r="AU1572" s="418"/>
      <c r="AV1572" s="418"/>
      <c r="AW1572" s="418"/>
      <c r="AX1572" s="418"/>
      <c r="AY1572" s="418"/>
      <c r="AZ1572" s="418"/>
      <c r="BA1572" s="418"/>
    </row>
    <row r="1573" spans="40:53" ht="15.75" customHeight="1">
      <c r="AN1573" s="418"/>
      <c r="AO1573" s="418"/>
      <c r="AP1573" s="418"/>
      <c r="AQ1573" s="418"/>
      <c r="AR1573" s="418"/>
      <c r="AS1573" s="418"/>
      <c r="AT1573" s="418"/>
      <c r="AU1573" s="418"/>
      <c r="AV1573" s="418"/>
      <c r="AW1573" s="418"/>
      <c r="AX1573" s="418"/>
      <c r="AY1573" s="418"/>
      <c r="AZ1573" s="418"/>
      <c r="BA1573" s="418"/>
    </row>
    <row r="1574" spans="40:53" ht="15.75" customHeight="1">
      <c r="AN1574" s="418"/>
      <c r="AO1574" s="418"/>
      <c r="AP1574" s="418"/>
      <c r="AQ1574" s="418"/>
      <c r="AR1574" s="418"/>
      <c r="AS1574" s="418"/>
      <c r="AT1574" s="418"/>
      <c r="AU1574" s="418"/>
      <c r="AV1574" s="418"/>
      <c r="AW1574" s="418"/>
      <c r="AX1574" s="418"/>
      <c r="AY1574" s="418"/>
      <c r="AZ1574" s="418"/>
      <c r="BA1574" s="418"/>
    </row>
    <row r="1575" spans="40:53" ht="15.75" customHeight="1">
      <c r="AN1575" s="418"/>
      <c r="AO1575" s="418"/>
      <c r="AP1575" s="418"/>
      <c r="AQ1575" s="418"/>
      <c r="AR1575" s="418"/>
      <c r="AS1575" s="418"/>
      <c r="AT1575" s="418"/>
      <c r="AU1575" s="418"/>
      <c r="AV1575" s="418"/>
      <c r="AW1575" s="418"/>
      <c r="AX1575" s="418"/>
      <c r="AY1575" s="418"/>
      <c r="AZ1575" s="418"/>
      <c r="BA1575" s="418"/>
    </row>
    <row r="1576" spans="40:53" ht="15.75" customHeight="1">
      <c r="AN1576" s="418"/>
      <c r="AO1576" s="418"/>
      <c r="AP1576" s="418"/>
      <c r="AQ1576" s="418"/>
      <c r="AR1576" s="418"/>
      <c r="AS1576" s="418"/>
      <c r="AT1576" s="418"/>
      <c r="AU1576" s="418"/>
      <c r="AV1576" s="418"/>
      <c r="AW1576" s="418"/>
      <c r="AX1576" s="418"/>
      <c r="AY1576" s="418"/>
      <c r="AZ1576" s="418"/>
      <c r="BA1576" s="418"/>
    </row>
    <row r="1577" spans="40:53" ht="15.75" customHeight="1">
      <c r="AN1577" s="418"/>
      <c r="AO1577" s="418"/>
      <c r="AP1577" s="418"/>
      <c r="AQ1577" s="418"/>
      <c r="AR1577" s="418"/>
      <c r="AS1577" s="418"/>
      <c r="AT1577" s="418"/>
      <c r="AU1577" s="418"/>
      <c r="AV1577" s="418"/>
      <c r="AW1577" s="418"/>
      <c r="AX1577" s="418"/>
      <c r="AY1577" s="418"/>
      <c r="AZ1577" s="418"/>
      <c r="BA1577" s="418"/>
    </row>
    <row r="1578" spans="40:53" ht="15.75" customHeight="1">
      <c r="AN1578" s="418"/>
      <c r="AO1578" s="418"/>
      <c r="AP1578" s="418"/>
      <c r="AQ1578" s="418"/>
      <c r="AR1578" s="418"/>
      <c r="AS1578" s="418"/>
      <c r="AT1578" s="418"/>
      <c r="AU1578" s="418"/>
      <c r="AV1578" s="418"/>
      <c r="AW1578" s="418"/>
      <c r="AX1578" s="418"/>
      <c r="AY1578" s="418"/>
      <c r="AZ1578" s="418"/>
      <c r="BA1578" s="418"/>
    </row>
    <row r="1579" spans="40:53" ht="15.75" customHeight="1">
      <c r="AN1579" s="418"/>
      <c r="AO1579" s="418"/>
      <c r="AP1579" s="418"/>
      <c r="AQ1579" s="418"/>
      <c r="AR1579" s="418"/>
      <c r="AS1579" s="418"/>
      <c r="AT1579" s="418"/>
      <c r="AU1579" s="418"/>
      <c r="AV1579" s="418"/>
      <c r="AW1579" s="418"/>
      <c r="AX1579" s="418"/>
      <c r="AY1579" s="418"/>
      <c r="AZ1579" s="418"/>
      <c r="BA1579" s="418"/>
    </row>
    <row r="1580" spans="40:53" ht="15.75" customHeight="1">
      <c r="AN1580" s="418"/>
      <c r="AO1580" s="418"/>
      <c r="AP1580" s="418"/>
      <c r="AQ1580" s="418"/>
      <c r="AR1580" s="418"/>
      <c r="AS1580" s="418"/>
      <c r="AT1580" s="418"/>
      <c r="AU1580" s="418"/>
      <c r="AV1580" s="418"/>
      <c r="AW1580" s="418"/>
      <c r="AX1580" s="418"/>
      <c r="AY1580" s="418"/>
      <c r="AZ1580" s="418"/>
      <c r="BA1580" s="418"/>
    </row>
    <row r="1581" spans="40:53" ht="15.75" customHeight="1">
      <c r="AN1581" s="418"/>
      <c r="AO1581" s="418"/>
      <c r="AP1581" s="418"/>
      <c r="AQ1581" s="418"/>
      <c r="AR1581" s="418"/>
      <c r="AS1581" s="418"/>
      <c r="AT1581" s="418"/>
      <c r="AU1581" s="418"/>
      <c r="AV1581" s="418"/>
      <c r="AW1581" s="418"/>
      <c r="AX1581" s="418"/>
      <c r="AY1581" s="418"/>
      <c r="AZ1581" s="418"/>
      <c r="BA1581" s="418"/>
    </row>
    <row r="1582" spans="40:53" ht="15.75" customHeight="1">
      <c r="AN1582" s="418"/>
      <c r="AO1582" s="418"/>
      <c r="AP1582" s="418"/>
      <c r="AQ1582" s="418"/>
      <c r="AR1582" s="418"/>
      <c r="AS1582" s="418"/>
      <c r="AT1582" s="418"/>
      <c r="AU1582" s="418"/>
      <c r="AV1582" s="418"/>
      <c r="AW1582" s="418"/>
      <c r="AX1582" s="418"/>
      <c r="AY1582" s="418"/>
      <c r="AZ1582" s="418"/>
      <c r="BA1582" s="418"/>
    </row>
    <row r="1583" spans="40:53" ht="15.75" customHeight="1">
      <c r="AN1583" s="418"/>
      <c r="AO1583" s="418"/>
      <c r="AP1583" s="418"/>
      <c r="AQ1583" s="418"/>
      <c r="AR1583" s="418"/>
      <c r="AS1583" s="418"/>
      <c r="AT1583" s="418"/>
      <c r="AU1583" s="418"/>
      <c r="AV1583" s="418"/>
      <c r="AW1583" s="418"/>
      <c r="AX1583" s="418"/>
      <c r="AY1583" s="418"/>
      <c r="AZ1583" s="418"/>
      <c r="BA1583" s="418"/>
    </row>
    <row r="1584" spans="40:53" ht="15.75" customHeight="1">
      <c r="AN1584" s="418"/>
      <c r="AO1584" s="418"/>
      <c r="AP1584" s="418"/>
      <c r="AQ1584" s="418"/>
      <c r="AR1584" s="418"/>
      <c r="AS1584" s="418"/>
      <c r="AT1584" s="418"/>
      <c r="AU1584" s="418"/>
      <c r="AV1584" s="418"/>
      <c r="AW1584" s="418"/>
      <c r="AX1584" s="418"/>
      <c r="AY1584" s="418"/>
      <c r="AZ1584" s="418"/>
      <c r="BA1584" s="418"/>
    </row>
    <row r="1585" spans="40:53" ht="15.75" customHeight="1">
      <c r="AN1585" s="418"/>
      <c r="AO1585" s="418"/>
      <c r="AP1585" s="418"/>
      <c r="AQ1585" s="418"/>
      <c r="AR1585" s="418"/>
      <c r="AS1585" s="418"/>
      <c r="AT1585" s="418"/>
      <c r="AU1585" s="418"/>
      <c r="AV1585" s="418"/>
      <c r="AW1585" s="418"/>
      <c r="AX1585" s="418"/>
      <c r="AY1585" s="418"/>
      <c r="AZ1585" s="418"/>
      <c r="BA1585" s="418"/>
    </row>
    <row r="1586" spans="40:53" ht="15.75" customHeight="1">
      <c r="AN1586" s="418"/>
      <c r="AO1586" s="418"/>
      <c r="AP1586" s="418"/>
      <c r="AQ1586" s="418"/>
      <c r="AR1586" s="418"/>
      <c r="AS1586" s="418"/>
      <c r="AT1586" s="418"/>
      <c r="AU1586" s="418"/>
      <c r="AV1586" s="418"/>
      <c r="AW1586" s="418"/>
      <c r="AX1586" s="418"/>
      <c r="AY1586" s="418"/>
      <c r="AZ1586" s="418"/>
      <c r="BA1586" s="418"/>
    </row>
    <row r="1587" spans="40:53" ht="15.75" customHeight="1">
      <c r="AN1587" s="418"/>
      <c r="AO1587" s="418"/>
      <c r="AP1587" s="418"/>
      <c r="AQ1587" s="418"/>
      <c r="AR1587" s="418"/>
      <c r="AS1587" s="418"/>
      <c r="AT1587" s="418"/>
      <c r="AU1587" s="418"/>
      <c r="AV1587" s="418"/>
      <c r="AW1587" s="418"/>
      <c r="AX1587" s="418"/>
      <c r="AY1587" s="418"/>
      <c r="AZ1587" s="418"/>
      <c r="BA1587" s="418"/>
    </row>
    <row r="1588" spans="40:53" ht="15.75" customHeight="1">
      <c r="AN1588" s="418"/>
      <c r="AO1588" s="418"/>
      <c r="AP1588" s="418"/>
      <c r="AQ1588" s="418"/>
      <c r="AR1588" s="418"/>
      <c r="AS1588" s="418"/>
      <c r="AT1588" s="418"/>
      <c r="AU1588" s="418"/>
      <c r="AV1588" s="418"/>
      <c r="AW1588" s="418"/>
      <c r="AX1588" s="418"/>
      <c r="AY1588" s="418"/>
      <c r="AZ1588" s="418"/>
      <c r="BA1588" s="418"/>
    </row>
    <row r="1589" spans="40:53" ht="15.75" customHeight="1">
      <c r="AN1589" s="418"/>
      <c r="AO1589" s="418"/>
      <c r="AP1589" s="418"/>
      <c r="AQ1589" s="418"/>
      <c r="AR1589" s="418"/>
      <c r="AS1589" s="418"/>
      <c r="AT1589" s="418"/>
      <c r="AU1589" s="418"/>
      <c r="AV1589" s="418"/>
      <c r="AW1589" s="418"/>
      <c r="AX1589" s="418"/>
      <c r="AY1589" s="418"/>
      <c r="AZ1589" s="418"/>
      <c r="BA1589" s="418"/>
    </row>
    <row r="1590" spans="40:53" ht="15.75" customHeight="1">
      <c r="AN1590" s="418"/>
      <c r="AO1590" s="418"/>
      <c r="AP1590" s="418"/>
      <c r="AQ1590" s="418"/>
      <c r="AR1590" s="418"/>
      <c r="AS1590" s="418"/>
      <c r="AT1590" s="418"/>
      <c r="AU1590" s="418"/>
      <c r="AV1590" s="418"/>
      <c r="AW1590" s="418"/>
      <c r="AX1590" s="418"/>
      <c r="AY1590" s="418"/>
      <c r="AZ1590" s="418"/>
      <c r="BA1590" s="418"/>
    </row>
    <row r="1591" spans="40:53" ht="15.75" customHeight="1">
      <c r="AN1591" s="418"/>
      <c r="AO1591" s="418"/>
      <c r="AP1591" s="418"/>
      <c r="AQ1591" s="418"/>
      <c r="AR1591" s="418"/>
      <c r="AS1591" s="418"/>
      <c r="AT1591" s="418"/>
      <c r="AU1591" s="418"/>
      <c r="AV1591" s="418"/>
      <c r="AW1591" s="418"/>
      <c r="AX1591" s="418"/>
      <c r="AY1591" s="418"/>
      <c r="AZ1591" s="418"/>
      <c r="BA1591" s="418"/>
    </row>
    <row r="1592" spans="40:53" ht="15.75" customHeight="1">
      <c r="AN1592" s="418"/>
      <c r="AO1592" s="418"/>
      <c r="AP1592" s="418"/>
      <c r="AQ1592" s="418"/>
      <c r="AR1592" s="418"/>
      <c r="AS1592" s="418"/>
      <c r="AT1592" s="418"/>
      <c r="AU1592" s="418"/>
      <c r="AV1592" s="418"/>
      <c r="AW1592" s="418"/>
      <c r="AX1592" s="418"/>
      <c r="AY1592" s="418"/>
      <c r="AZ1592" s="418"/>
      <c r="BA1592" s="418"/>
    </row>
    <row r="1593" spans="40:53" ht="15.75" customHeight="1">
      <c r="AN1593" s="418"/>
      <c r="AO1593" s="418"/>
      <c r="AP1593" s="418"/>
      <c r="AQ1593" s="418"/>
      <c r="AR1593" s="418"/>
      <c r="AS1593" s="418"/>
      <c r="AT1593" s="418"/>
      <c r="AU1593" s="418"/>
      <c r="AV1593" s="418"/>
      <c r="AW1593" s="418"/>
      <c r="AX1593" s="418"/>
      <c r="AY1593" s="418"/>
      <c r="AZ1593" s="418"/>
      <c r="BA1593" s="418"/>
    </row>
    <row r="1594" spans="40:53" ht="15.75" customHeight="1">
      <c r="AN1594" s="418"/>
      <c r="AO1594" s="418"/>
      <c r="AP1594" s="418"/>
      <c r="AQ1594" s="418"/>
      <c r="AR1594" s="418"/>
      <c r="AS1594" s="418"/>
      <c r="AT1594" s="418"/>
      <c r="AU1594" s="418"/>
      <c r="AV1594" s="418"/>
      <c r="AW1594" s="418"/>
      <c r="AX1594" s="418"/>
      <c r="AY1594" s="418"/>
      <c r="AZ1594" s="418"/>
      <c r="BA1594" s="418"/>
    </row>
    <row r="1595" spans="40:53" ht="15.75" customHeight="1">
      <c r="AN1595" s="418"/>
      <c r="AO1595" s="418"/>
      <c r="AP1595" s="418"/>
      <c r="AQ1595" s="418"/>
      <c r="AR1595" s="418"/>
      <c r="AS1595" s="418"/>
      <c r="AT1595" s="418"/>
      <c r="AU1595" s="418"/>
      <c r="AV1595" s="418"/>
      <c r="AW1595" s="418"/>
      <c r="AX1595" s="418"/>
      <c r="AY1595" s="418"/>
      <c r="AZ1595" s="418"/>
      <c r="BA1595" s="418"/>
    </row>
    <row r="1596" spans="40:53" ht="15.75" customHeight="1">
      <c r="AN1596" s="418"/>
      <c r="AO1596" s="418"/>
      <c r="AP1596" s="418"/>
      <c r="AQ1596" s="418"/>
      <c r="AR1596" s="418"/>
      <c r="AS1596" s="418"/>
      <c r="AT1596" s="418"/>
      <c r="AU1596" s="418"/>
      <c r="AV1596" s="418"/>
      <c r="AW1596" s="418"/>
      <c r="AX1596" s="418"/>
      <c r="AY1596" s="418"/>
      <c r="AZ1596" s="418"/>
      <c r="BA1596" s="418"/>
    </row>
    <row r="1597" spans="40:53" ht="15.75" customHeight="1">
      <c r="AN1597" s="418"/>
      <c r="AO1597" s="418"/>
      <c r="AP1597" s="418"/>
      <c r="AQ1597" s="418"/>
      <c r="AR1597" s="418"/>
      <c r="AS1597" s="418"/>
      <c r="AT1597" s="418"/>
      <c r="AU1597" s="418"/>
      <c r="AV1597" s="418"/>
      <c r="AW1597" s="418"/>
      <c r="AX1597" s="418"/>
      <c r="AY1597" s="418"/>
      <c r="AZ1597" s="418"/>
      <c r="BA1597" s="418"/>
    </row>
    <row r="1598" spans="40:53" ht="15.75" customHeight="1">
      <c r="AN1598" s="418"/>
      <c r="AO1598" s="418"/>
      <c r="AP1598" s="418"/>
      <c r="AQ1598" s="418"/>
      <c r="AR1598" s="418"/>
      <c r="AS1598" s="418"/>
      <c r="AT1598" s="418"/>
      <c r="AU1598" s="418"/>
      <c r="AV1598" s="418"/>
      <c r="AW1598" s="418"/>
      <c r="AX1598" s="418"/>
      <c r="AY1598" s="418"/>
      <c r="AZ1598" s="418"/>
      <c r="BA1598" s="418"/>
    </row>
    <row r="1599" spans="40:53" ht="15.75" customHeight="1">
      <c r="AN1599" s="418"/>
      <c r="AO1599" s="418"/>
      <c r="AP1599" s="418"/>
      <c r="AQ1599" s="418"/>
      <c r="AR1599" s="418"/>
      <c r="AS1599" s="418"/>
      <c r="AT1599" s="418"/>
      <c r="AU1599" s="418"/>
      <c r="AV1599" s="418"/>
      <c r="AW1599" s="418"/>
      <c r="AX1599" s="418"/>
      <c r="AY1599" s="418"/>
      <c r="AZ1599" s="418"/>
      <c r="BA1599" s="418"/>
    </row>
    <row r="1600" spans="40:53" ht="15.75" customHeight="1">
      <c r="AN1600" s="418"/>
      <c r="AO1600" s="418"/>
      <c r="AP1600" s="418"/>
      <c r="AQ1600" s="418"/>
      <c r="AR1600" s="418"/>
      <c r="AS1600" s="418"/>
      <c r="AT1600" s="418"/>
      <c r="AU1600" s="418"/>
      <c r="AV1600" s="418"/>
      <c r="AW1600" s="418"/>
      <c r="AX1600" s="418"/>
      <c r="AY1600" s="418"/>
      <c r="AZ1600" s="418"/>
      <c r="BA1600" s="418"/>
    </row>
    <row r="1601" spans="40:53" ht="15.75" customHeight="1">
      <c r="AN1601" s="418"/>
      <c r="AO1601" s="418"/>
      <c r="AP1601" s="418"/>
      <c r="AQ1601" s="418"/>
      <c r="AR1601" s="418"/>
      <c r="AS1601" s="418"/>
      <c r="AT1601" s="418"/>
      <c r="AU1601" s="418"/>
      <c r="AV1601" s="418"/>
      <c r="AW1601" s="418"/>
      <c r="AX1601" s="418"/>
      <c r="AY1601" s="418"/>
      <c r="AZ1601" s="418"/>
      <c r="BA1601" s="418"/>
    </row>
    <row r="1602" spans="40:53" ht="15.75" customHeight="1">
      <c r="AN1602" s="418"/>
      <c r="AO1602" s="418"/>
      <c r="AP1602" s="418"/>
      <c r="AQ1602" s="418"/>
      <c r="AR1602" s="418"/>
      <c r="AS1602" s="418"/>
      <c r="AT1602" s="418"/>
      <c r="AU1602" s="418"/>
      <c r="AV1602" s="418"/>
      <c r="AW1602" s="418"/>
      <c r="AX1602" s="418"/>
      <c r="AY1602" s="418"/>
      <c r="AZ1602" s="418"/>
      <c r="BA1602" s="418"/>
    </row>
    <row r="1603" spans="40:53" ht="15.75" customHeight="1">
      <c r="AN1603" s="418"/>
      <c r="AO1603" s="418"/>
      <c r="AP1603" s="418"/>
      <c r="AQ1603" s="418"/>
      <c r="AR1603" s="418"/>
      <c r="AS1603" s="418"/>
      <c r="AT1603" s="418"/>
      <c r="AU1603" s="418"/>
      <c r="AV1603" s="418"/>
      <c r="AW1603" s="418"/>
      <c r="AX1603" s="418"/>
      <c r="AY1603" s="418"/>
      <c r="AZ1603" s="418"/>
      <c r="BA1603" s="418"/>
    </row>
    <row r="1604" spans="40:53" ht="15.75" customHeight="1">
      <c r="AN1604" s="418"/>
      <c r="AO1604" s="418"/>
      <c r="AP1604" s="418"/>
      <c r="AQ1604" s="418"/>
      <c r="AR1604" s="418"/>
      <c r="AS1604" s="418"/>
      <c r="AT1604" s="418"/>
      <c r="AU1604" s="418"/>
      <c r="AV1604" s="418"/>
      <c r="AW1604" s="418"/>
      <c r="AX1604" s="418"/>
      <c r="AY1604" s="418"/>
      <c r="AZ1604" s="418"/>
      <c r="BA1604" s="418"/>
    </row>
    <row r="1605" spans="40:53" ht="15.75" customHeight="1">
      <c r="AN1605" s="418"/>
      <c r="AO1605" s="418"/>
      <c r="AP1605" s="418"/>
      <c r="AQ1605" s="418"/>
      <c r="AR1605" s="418"/>
      <c r="AS1605" s="418"/>
      <c r="AT1605" s="418"/>
      <c r="AU1605" s="418"/>
      <c r="AV1605" s="418"/>
      <c r="AW1605" s="418"/>
      <c r="AX1605" s="418"/>
      <c r="AY1605" s="418"/>
      <c r="AZ1605" s="418"/>
      <c r="BA1605" s="418"/>
    </row>
    <row r="1606" spans="40:53" ht="15.75" customHeight="1">
      <c r="AN1606" s="418"/>
      <c r="AO1606" s="418"/>
      <c r="AP1606" s="418"/>
      <c r="AQ1606" s="418"/>
      <c r="AR1606" s="418"/>
      <c r="AS1606" s="418"/>
      <c r="AT1606" s="418"/>
      <c r="AU1606" s="418"/>
      <c r="AV1606" s="418"/>
      <c r="AW1606" s="418"/>
      <c r="AX1606" s="418"/>
      <c r="AY1606" s="418"/>
      <c r="AZ1606" s="418"/>
      <c r="BA1606" s="418"/>
    </row>
    <row r="1607" spans="40:53" ht="15.75" customHeight="1">
      <c r="AN1607" s="418"/>
      <c r="AO1607" s="418"/>
      <c r="AP1607" s="418"/>
      <c r="AQ1607" s="418"/>
      <c r="AR1607" s="418"/>
      <c r="AS1607" s="418"/>
      <c r="AT1607" s="418"/>
      <c r="AU1607" s="418"/>
      <c r="AV1607" s="418"/>
      <c r="AW1607" s="418"/>
      <c r="AX1607" s="418"/>
      <c r="AY1607" s="418"/>
      <c r="AZ1607" s="418"/>
      <c r="BA1607" s="418"/>
    </row>
    <row r="1608" spans="40:53" ht="15.75" customHeight="1">
      <c r="AN1608" s="418"/>
      <c r="AO1608" s="418"/>
      <c r="AP1608" s="418"/>
      <c r="AQ1608" s="418"/>
      <c r="AR1608" s="418"/>
      <c r="AS1608" s="418"/>
      <c r="AT1608" s="418"/>
      <c r="AU1608" s="418"/>
      <c r="AV1608" s="418"/>
      <c r="AW1608" s="418"/>
      <c r="AX1608" s="418"/>
      <c r="AY1608" s="418"/>
      <c r="AZ1608" s="418"/>
      <c r="BA1608" s="418"/>
    </row>
    <row r="1609" spans="40:53" ht="15.75" customHeight="1">
      <c r="AN1609" s="418"/>
      <c r="AO1609" s="418"/>
      <c r="AP1609" s="418"/>
      <c r="AQ1609" s="418"/>
      <c r="AR1609" s="418"/>
      <c r="AS1609" s="418"/>
      <c r="AT1609" s="418"/>
      <c r="AU1609" s="418"/>
      <c r="AV1609" s="418"/>
      <c r="AW1609" s="418"/>
      <c r="AX1609" s="418"/>
      <c r="AY1609" s="418"/>
      <c r="AZ1609" s="418"/>
      <c r="BA1609" s="418"/>
    </row>
    <row r="1610" spans="40:53" ht="15.75" customHeight="1">
      <c r="AN1610" s="418"/>
      <c r="AO1610" s="418"/>
      <c r="AP1610" s="418"/>
      <c r="AQ1610" s="418"/>
      <c r="AR1610" s="418"/>
      <c r="AS1610" s="418"/>
      <c r="AT1610" s="418"/>
      <c r="AU1610" s="418"/>
      <c r="AV1610" s="418"/>
      <c r="AW1610" s="418"/>
      <c r="AX1610" s="418"/>
      <c r="AY1610" s="418"/>
      <c r="AZ1610" s="418"/>
      <c r="BA1610" s="418"/>
    </row>
    <row r="1611" spans="40:53" ht="15.75" customHeight="1">
      <c r="AN1611" s="418"/>
      <c r="AO1611" s="418"/>
      <c r="AP1611" s="418"/>
      <c r="AQ1611" s="418"/>
      <c r="AR1611" s="418"/>
      <c r="AS1611" s="418"/>
      <c r="AT1611" s="418"/>
      <c r="AU1611" s="418"/>
      <c r="AV1611" s="418"/>
      <c r="AW1611" s="418"/>
      <c r="AX1611" s="418"/>
      <c r="AY1611" s="418"/>
      <c r="AZ1611" s="418"/>
      <c r="BA1611" s="418"/>
    </row>
    <row r="1612" spans="40:53" ht="15.75" customHeight="1">
      <c r="AN1612" s="418"/>
      <c r="AO1612" s="418"/>
      <c r="AP1612" s="418"/>
      <c r="AQ1612" s="418"/>
      <c r="AR1612" s="418"/>
      <c r="AS1612" s="418"/>
      <c r="AT1612" s="418"/>
      <c r="AU1612" s="418"/>
      <c r="AV1612" s="418"/>
      <c r="AW1612" s="418"/>
      <c r="AX1612" s="418"/>
      <c r="AY1612" s="418"/>
      <c r="AZ1612" s="418"/>
      <c r="BA1612" s="418"/>
    </row>
    <row r="1613" spans="40:53" ht="15.75" customHeight="1">
      <c r="AN1613" s="418"/>
      <c r="AO1613" s="418"/>
      <c r="AP1613" s="418"/>
      <c r="AQ1613" s="418"/>
      <c r="AR1613" s="418"/>
      <c r="AS1613" s="418"/>
      <c r="AT1613" s="418"/>
      <c r="AU1613" s="418"/>
      <c r="AV1613" s="418"/>
      <c r="AW1613" s="418"/>
      <c r="AX1613" s="418"/>
      <c r="AY1613" s="418"/>
      <c r="AZ1613" s="418"/>
      <c r="BA1613" s="418"/>
    </row>
    <row r="1614" spans="40:53" ht="15.75" customHeight="1">
      <c r="AN1614" s="418"/>
      <c r="AO1614" s="418"/>
      <c r="AP1614" s="418"/>
      <c r="AQ1614" s="418"/>
      <c r="AR1614" s="418"/>
      <c r="AS1614" s="418"/>
      <c r="AT1614" s="418"/>
      <c r="AU1614" s="418"/>
      <c r="AV1614" s="418"/>
      <c r="AW1614" s="418"/>
      <c r="AX1614" s="418"/>
      <c r="AY1614" s="418"/>
      <c r="AZ1614" s="418"/>
      <c r="BA1614" s="418"/>
    </row>
    <row r="1615" spans="40:53" ht="15.75" customHeight="1">
      <c r="AN1615" s="418"/>
      <c r="AO1615" s="418"/>
      <c r="AP1615" s="418"/>
      <c r="AQ1615" s="418"/>
      <c r="AR1615" s="418"/>
      <c r="AS1615" s="418"/>
      <c r="AT1615" s="418"/>
      <c r="AU1615" s="418"/>
      <c r="AV1615" s="418"/>
      <c r="AW1615" s="418"/>
      <c r="AX1615" s="418"/>
      <c r="AY1615" s="418"/>
      <c r="AZ1615" s="418"/>
      <c r="BA1615" s="418"/>
    </row>
    <row r="1616" spans="40:53" ht="15.75" customHeight="1">
      <c r="AN1616" s="418"/>
      <c r="AO1616" s="418"/>
      <c r="AP1616" s="418"/>
      <c r="AQ1616" s="418"/>
      <c r="AR1616" s="418"/>
      <c r="AS1616" s="418"/>
      <c r="AT1616" s="418"/>
      <c r="AU1616" s="418"/>
      <c r="AV1616" s="418"/>
      <c r="AW1616" s="418"/>
      <c r="AX1616" s="418"/>
      <c r="AY1616" s="418"/>
      <c r="AZ1616" s="418"/>
      <c r="BA1616" s="418"/>
    </row>
    <row r="1617" spans="40:53" ht="15.75" customHeight="1">
      <c r="AN1617" s="418"/>
      <c r="AO1617" s="418"/>
      <c r="AP1617" s="418"/>
      <c r="AQ1617" s="418"/>
      <c r="AR1617" s="418"/>
      <c r="AS1617" s="418"/>
      <c r="AT1617" s="418"/>
      <c r="AU1617" s="418"/>
      <c r="AV1617" s="418"/>
      <c r="AW1617" s="418"/>
      <c r="AX1617" s="418"/>
      <c r="AY1617" s="418"/>
      <c r="AZ1617" s="418"/>
      <c r="BA1617" s="418"/>
    </row>
    <row r="1618" spans="40:53" ht="15.75" customHeight="1">
      <c r="AN1618" s="418"/>
      <c r="AO1618" s="418"/>
      <c r="AP1618" s="418"/>
      <c r="AQ1618" s="418"/>
      <c r="AR1618" s="418"/>
      <c r="AS1618" s="418"/>
      <c r="AT1618" s="418"/>
      <c r="AU1618" s="418"/>
      <c r="AV1618" s="418"/>
      <c r="AW1618" s="418"/>
      <c r="AX1618" s="418"/>
      <c r="AY1618" s="418"/>
      <c r="AZ1618" s="418"/>
      <c r="BA1618" s="418"/>
    </row>
    <row r="1619" spans="40:53" ht="15.75" customHeight="1">
      <c r="AN1619" s="418"/>
      <c r="AO1619" s="418"/>
      <c r="AP1619" s="418"/>
      <c r="AQ1619" s="418"/>
      <c r="AR1619" s="418"/>
      <c r="AS1619" s="418"/>
      <c r="AT1619" s="418"/>
      <c r="AU1619" s="418"/>
      <c r="AV1619" s="418"/>
      <c r="AW1619" s="418"/>
      <c r="AX1619" s="418"/>
      <c r="AY1619" s="418"/>
      <c r="AZ1619" s="418"/>
      <c r="BA1619" s="418"/>
    </row>
    <row r="1620" spans="40:53" ht="15.75" customHeight="1">
      <c r="AN1620" s="418"/>
      <c r="AO1620" s="418"/>
      <c r="AP1620" s="418"/>
      <c r="AQ1620" s="418"/>
      <c r="AR1620" s="418"/>
      <c r="AS1620" s="418"/>
      <c r="AT1620" s="418"/>
      <c r="AU1620" s="418"/>
      <c r="AV1620" s="418"/>
      <c r="AW1620" s="418"/>
      <c r="AX1620" s="418"/>
      <c r="AY1620" s="418"/>
      <c r="AZ1620" s="418"/>
      <c r="BA1620" s="418"/>
    </row>
    <row r="1621" spans="40:53" ht="15.75" customHeight="1">
      <c r="AN1621" s="418"/>
      <c r="AO1621" s="418"/>
      <c r="AP1621" s="418"/>
      <c r="AQ1621" s="418"/>
      <c r="AR1621" s="418"/>
      <c r="AS1621" s="418"/>
      <c r="AT1621" s="418"/>
      <c r="AU1621" s="418"/>
      <c r="AV1621" s="418"/>
      <c r="AW1621" s="418"/>
      <c r="AX1621" s="418"/>
      <c r="AY1621" s="418"/>
      <c r="AZ1621" s="418"/>
      <c r="BA1621" s="418"/>
    </row>
    <row r="1622" spans="40:53" ht="15.75" customHeight="1">
      <c r="AN1622" s="418"/>
      <c r="AO1622" s="418"/>
      <c r="AP1622" s="418"/>
      <c r="AQ1622" s="418"/>
      <c r="AR1622" s="418"/>
      <c r="AS1622" s="418"/>
      <c r="AT1622" s="418"/>
      <c r="AU1622" s="418"/>
      <c r="AV1622" s="418"/>
      <c r="AW1622" s="418"/>
      <c r="AX1622" s="418"/>
      <c r="AY1622" s="418"/>
      <c r="AZ1622" s="418"/>
      <c r="BA1622" s="418"/>
    </row>
    <row r="1623" spans="40:53" ht="15.75" customHeight="1">
      <c r="AN1623" s="418"/>
      <c r="AO1623" s="418"/>
      <c r="AP1623" s="418"/>
      <c r="AQ1623" s="418"/>
      <c r="AR1623" s="418"/>
      <c r="AS1623" s="418"/>
      <c r="AT1623" s="418"/>
      <c r="AU1623" s="418"/>
      <c r="AV1623" s="418"/>
      <c r="AW1623" s="418"/>
      <c r="AX1623" s="418"/>
      <c r="AY1623" s="418"/>
      <c r="AZ1623" s="418"/>
      <c r="BA1623" s="418"/>
    </row>
    <row r="1624" spans="40:53" ht="15.75" customHeight="1">
      <c r="AN1624" s="418"/>
      <c r="AO1624" s="418"/>
      <c r="AP1624" s="418"/>
      <c r="AQ1624" s="418"/>
      <c r="AR1624" s="418"/>
      <c r="AS1624" s="418"/>
      <c r="AT1624" s="418"/>
      <c r="AU1624" s="418"/>
      <c r="AV1624" s="418"/>
      <c r="AW1624" s="418"/>
      <c r="AX1624" s="418"/>
      <c r="AY1624" s="418"/>
      <c r="AZ1624" s="418"/>
      <c r="BA1624" s="418"/>
    </row>
    <row r="1625" spans="40:53" ht="15.75" customHeight="1">
      <c r="AN1625" s="418"/>
      <c r="AO1625" s="418"/>
      <c r="AP1625" s="418"/>
      <c r="AQ1625" s="418"/>
      <c r="AR1625" s="418"/>
      <c r="AS1625" s="418"/>
      <c r="AT1625" s="418"/>
      <c r="AU1625" s="418"/>
      <c r="AV1625" s="418"/>
      <c r="AW1625" s="418"/>
      <c r="AX1625" s="418"/>
      <c r="AY1625" s="418"/>
      <c r="AZ1625" s="418"/>
      <c r="BA1625" s="418"/>
    </row>
    <row r="1626" spans="40:53" ht="15.75" customHeight="1">
      <c r="AN1626" s="418"/>
      <c r="AO1626" s="418"/>
      <c r="AP1626" s="418"/>
      <c r="AQ1626" s="418"/>
      <c r="AR1626" s="418"/>
      <c r="AS1626" s="418"/>
      <c r="AT1626" s="418"/>
      <c r="AU1626" s="418"/>
      <c r="AV1626" s="418"/>
      <c r="AW1626" s="418"/>
      <c r="AX1626" s="418"/>
      <c r="AY1626" s="418"/>
      <c r="AZ1626" s="418"/>
      <c r="BA1626" s="418"/>
    </row>
    <row r="1627" spans="40:53" ht="15.75" customHeight="1">
      <c r="AN1627" s="418"/>
      <c r="AO1627" s="418"/>
      <c r="AP1627" s="418"/>
      <c r="AQ1627" s="418"/>
      <c r="AR1627" s="418"/>
      <c r="AS1627" s="418"/>
      <c r="AT1627" s="418"/>
      <c r="AU1627" s="418"/>
      <c r="AV1627" s="418"/>
      <c r="AW1627" s="418"/>
      <c r="AX1627" s="418"/>
      <c r="AY1627" s="418"/>
      <c r="AZ1627" s="418"/>
      <c r="BA1627" s="418"/>
    </row>
    <row r="1628" spans="40:53" ht="15.75" customHeight="1">
      <c r="AN1628" s="418"/>
      <c r="AO1628" s="418"/>
      <c r="AP1628" s="418"/>
      <c r="AQ1628" s="418"/>
      <c r="AR1628" s="418"/>
      <c r="AS1628" s="418"/>
      <c r="AT1628" s="418"/>
      <c r="AU1628" s="418"/>
      <c r="AV1628" s="418"/>
      <c r="AW1628" s="418"/>
      <c r="AX1628" s="418"/>
      <c r="AY1628" s="418"/>
      <c r="AZ1628" s="418"/>
      <c r="BA1628" s="418"/>
    </row>
    <row r="1629" spans="40:53" ht="15.75" customHeight="1">
      <c r="AN1629" s="418"/>
      <c r="AO1629" s="418"/>
      <c r="AP1629" s="418"/>
      <c r="AQ1629" s="418"/>
      <c r="AR1629" s="418"/>
      <c r="AS1629" s="418"/>
      <c r="AT1629" s="418"/>
      <c r="AU1629" s="418"/>
      <c r="AV1629" s="418"/>
      <c r="AW1629" s="418"/>
      <c r="AX1629" s="418"/>
      <c r="AY1629" s="418"/>
      <c r="AZ1629" s="418"/>
      <c r="BA1629" s="418"/>
    </row>
    <row r="1630" spans="40:53" ht="15.75" customHeight="1">
      <c r="AN1630" s="418"/>
      <c r="AO1630" s="418"/>
      <c r="AP1630" s="418"/>
      <c r="AQ1630" s="418"/>
      <c r="AR1630" s="418"/>
      <c r="AS1630" s="418"/>
      <c r="AT1630" s="418"/>
      <c r="AU1630" s="418"/>
      <c r="AV1630" s="418"/>
      <c r="AW1630" s="418"/>
      <c r="AX1630" s="418"/>
      <c r="AY1630" s="418"/>
      <c r="AZ1630" s="418"/>
      <c r="BA1630" s="418"/>
    </row>
    <row r="1631" spans="40:53" ht="15.75" customHeight="1">
      <c r="AN1631" s="418"/>
      <c r="AO1631" s="418"/>
      <c r="AP1631" s="418"/>
      <c r="AQ1631" s="418"/>
      <c r="AR1631" s="418"/>
      <c r="AS1631" s="418"/>
      <c r="AT1631" s="418"/>
      <c r="AU1631" s="418"/>
      <c r="AV1631" s="418"/>
      <c r="AW1631" s="418"/>
      <c r="AX1631" s="418"/>
      <c r="AY1631" s="418"/>
      <c r="AZ1631" s="418"/>
      <c r="BA1631" s="418"/>
    </row>
    <row r="1632" spans="40:53" ht="15.75" customHeight="1">
      <c r="AN1632" s="418"/>
      <c r="AO1632" s="418"/>
      <c r="AP1632" s="418"/>
      <c r="AQ1632" s="418"/>
      <c r="AR1632" s="418"/>
      <c r="AS1632" s="418"/>
      <c r="AT1632" s="418"/>
      <c r="AU1632" s="418"/>
      <c r="AV1632" s="418"/>
      <c r="AW1632" s="418"/>
      <c r="AX1632" s="418"/>
      <c r="AY1632" s="418"/>
      <c r="AZ1632" s="418"/>
      <c r="BA1632" s="418"/>
    </row>
    <row r="1633" spans="40:53" ht="15.75" customHeight="1">
      <c r="AN1633" s="418"/>
      <c r="AO1633" s="418"/>
      <c r="AP1633" s="418"/>
      <c r="AQ1633" s="418"/>
      <c r="AR1633" s="418"/>
      <c r="AS1633" s="418"/>
      <c r="AT1633" s="418"/>
      <c r="AU1633" s="418"/>
      <c r="AV1633" s="418"/>
      <c r="AW1633" s="418"/>
      <c r="AX1633" s="418"/>
      <c r="AY1633" s="418"/>
      <c r="AZ1633" s="418"/>
      <c r="BA1633" s="418"/>
    </row>
    <row r="1634" spans="40:53" ht="15.75" customHeight="1">
      <c r="AN1634" s="418"/>
      <c r="AO1634" s="418"/>
      <c r="AP1634" s="418"/>
      <c r="AQ1634" s="418"/>
      <c r="AR1634" s="418"/>
      <c r="AS1634" s="418"/>
      <c r="AT1634" s="418"/>
      <c r="AU1634" s="418"/>
      <c r="AV1634" s="418"/>
      <c r="AW1634" s="418"/>
      <c r="AX1634" s="418"/>
      <c r="AY1634" s="418"/>
      <c r="AZ1634" s="418"/>
      <c r="BA1634" s="418"/>
    </row>
    <row r="1635" spans="40:53" ht="15.75" customHeight="1">
      <c r="AN1635" s="418"/>
      <c r="AO1635" s="418"/>
      <c r="AP1635" s="418"/>
      <c r="AQ1635" s="418"/>
      <c r="AR1635" s="418"/>
      <c r="AS1635" s="418"/>
      <c r="AT1635" s="418"/>
      <c r="AU1635" s="418"/>
      <c r="AV1635" s="418"/>
      <c r="AW1635" s="418"/>
      <c r="AX1635" s="418"/>
      <c r="AY1635" s="418"/>
      <c r="AZ1635" s="418"/>
      <c r="BA1635" s="418"/>
    </row>
    <row r="1636" spans="40:53" ht="15.75" customHeight="1">
      <c r="AN1636" s="418"/>
      <c r="AO1636" s="418"/>
      <c r="AP1636" s="418"/>
      <c r="AQ1636" s="418"/>
      <c r="AR1636" s="418"/>
      <c r="AS1636" s="418"/>
      <c r="AT1636" s="418"/>
      <c r="AU1636" s="418"/>
      <c r="AV1636" s="418"/>
      <c r="AW1636" s="418"/>
      <c r="AX1636" s="418"/>
      <c r="AY1636" s="418"/>
      <c r="AZ1636" s="418"/>
      <c r="BA1636" s="418"/>
    </row>
    <row r="1637" spans="40:53" ht="15.75" customHeight="1">
      <c r="AN1637" s="418"/>
      <c r="AO1637" s="418"/>
      <c r="AP1637" s="418"/>
      <c r="AQ1637" s="418"/>
      <c r="AR1637" s="418"/>
      <c r="AS1637" s="418"/>
      <c r="AT1637" s="418"/>
      <c r="AU1637" s="418"/>
      <c r="AV1637" s="418"/>
      <c r="AW1637" s="418"/>
      <c r="AX1637" s="418"/>
      <c r="AY1637" s="418"/>
      <c r="AZ1637" s="418"/>
      <c r="BA1637" s="418"/>
    </row>
    <row r="1638" spans="40:53" ht="15.75" customHeight="1">
      <c r="AN1638" s="418"/>
      <c r="AO1638" s="418"/>
      <c r="AP1638" s="418"/>
      <c r="AQ1638" s="418"/>
      <c r="AR1638" s="418"/>
      <c r="AS1638" s="418"/>
      <c r="AT1638" s="418"/>
      <c r="AU1638" s="418"/>
      <c r="AV1638" s="418"/>
      <c r="AW1638" s="418"/>
      <c r="AX1638" s="418"/>
      <c r="AY1638" s="418"/>
      <c r="AZ1638" s="418"/>
      <c r="BA1638" s="418"/>
    </row>
    <row r="1639" spans="40:53" ht="15.75" customHeight="1">
      <c r="AN1639" s="418"/>
      <c r="AO1639" s="418"/>
      <c r="AP1639" s="418"/>
      <c r="AQ1639" s="418"/>
      <c r="AR1639" s="418"/>
      <c r="AS1639" s="418"/>
      <c r="AT1639" s="418"/>
      <c r="AU1639" s="418"/>
      <c r="AV1639" s="418"/>
      <c r="AW1639" s="418"/>
      <c r="AX1639" s="418"/>
      <c r="AY1639" s="418"/>
      <c r="AZ1639" s="418"/>
      <c r="BA1639" s="418"/>
    </row>
    <row r="1640" spans="40:53" ht="15.75" customHeight="1">
      <c r="AN1640" s="418"/>
      <c r="AO1640" s="418"/>
      <c r="AP1640" s="418"/>
      <c r="AQ1640" s="418"/>
      <c r="AR1640" s="418"/>
      <c r="AS1640" s="418"/>
      <c r="AT1640" s="418"/>
      <c r="AU1640" s="418"/>
      <c r="AV1640" s="418"/>
      <c r="AW1640" s="418"/>
      <c r="AX1640" s="418"/>
      <c r="AY1640" s="418"/>
      <c r="AZ1640" s="418"/>
      <c r="BA1640" s="418"/>
    </row>
    <row r="1641" spans="40:53" ht="15.75" customHeight="1">
      <c r="AN1641" s="418"/>
      <c r="AO1641" s="418"/>
      <c r="AP1641" s="418"/>
      <c r="AQ1641" s="418"/>
      <c r="AR1641" s="418"/>
      <c r="AS1641" s="418"/>
      <c r="AT1641" s="418"/>
      <c r="AU1641" s="418"/>
      <c r="AV1641" s="418"/>
      <c r="AW1641" s="418"/>
      <c r="AX1641" s="418"/>
      <c r="AY1641" s="418"/>
      <c r="AZ1641" s="418"/>
      <c r="BA1641" s="418"/>
    </row>
    <row r="1642" spans="40:53" ht="15.75" customHeight="1">
      <c r="AN1642" s="418"/>
      <c r="AO1642" s="418"/>
      <c r="AP1642" s="418"/>
      <c r="AQ1642" s="418"/>
      <c r="AR1642" s="418"/>
      <c r="AS1642" s="418"/>
      <c r="AT1642" s="418"/>
      <c r="AU1642" s="418"/>
      <c r="AV1642" s="418"/>
      <c r="AW1642" s="418"/>
      <c r="AX1642" s="418"/>
      <c r="AY1642" s="418"/>
      <c r="AZ1642" s="418"/>
      <c r="BA1642" s="418"/>
    </row>
    <row r="1643" spans="40:53" ht="15.75" customHeight="1">
      <c r="AN1643" s="418"/>
      <c r="AO1643" s="418"/>
      <c r="AP1643" s="418"/>
      <c r="AQ1643" s="418"/>
      <c r="AR1643" s="418"/>
      <c r="AS1643" s="418"/>
      <c r="AT1643" s="418"/>
      <c r="AU1643" s="418"/>
      <c r="AV1643" s="418"/>
      <c r="AW1643" s="418"/>
      <c r="AX1643" s="418"/>
      <c r="AY1643" s="418"/>
      <c r="AZ1643" s="418"/>
      <c r="BA1643" s="418"/>
    </row>
    <row r="1644" spans="40:53" ht="15.75" customHeight="1">
      <c r="AN1644" s="418"/>
      <c r="AO1644" s="418"/>
      <c r="AP1644" s="418"/>
      <c r="AQ1644" s="418"/>
      <c r="AR1644" s="418"/>
      <c r="AS1644" s="418"/>
      <c r="AT1644" s="418"/>
      <c r="AU1644" s="418"/>
      <c r="AV1644" s="418"/>
      <c r="AW1644" s="418"/>
      <c r="AX1644" s="418"/>
      <c r="AY1644" s="418"/>
      <c r="AZ1644" s="418"/>
      <c r="BA1644" s="418"/>
    </row>
    <row r="1645" spans="40:53" ht="15.75" customHeight="1">
      <c r="AN1645" s="418"/>
      <c r="AO1645" s="418"/>
      <c r="AP1645" s="418"/>
      <c r="AQ1645" s="418"/>
      <c r="AR1645" s="418"/>
      <c r="AS1645" s="418"/>
      <c r="AT1645" s="418"/>
      <c r="AU1645" s="418"/>
      <c r="AV1645" s="418"/>
      <c r="AW1645" s="418"/>
      <c r="AX1645" s="418"/>
      <c r="AY1645" s="418"/>
      <c r="AZ1645" s="418"/>
      <c r="BA1645" s="418"/>
    </row>
    <row r="1646" spans="40:53" ht="15.75" customHeight="1">
      <c r="AN1646" s="418"/>
      <c r="AO1646" s="418"/>
      <c r="AP1646" s="418"/>
      <c r="AQ1646" s="418"/>
      <c r="AR1646" s="418"/>
      <c r="AS1646" s="418"/>
      <c r="AT1646" s="418"/>
      <c r="AU1646" s="418"/>
      <c r="AV1646" s="418"/>
      <c r="AW1646" s="418"/>
      <c r="AX1646" s="418"/>
      <c r="AY1646" s="418"/>
      <c r="AZ1646" s="418"/>
      <c r="BA1646" s="418"/>
    </row>
    <row r="1647" spans="40:53" ht="15.75" customHeight="1">
      <c r="AN1647" s="418"/>
      <c r="AO1647" s="418"/>
      <c r="AP1647" s="418"/>
      <c r="AQ1647" s="418"/>
      <c r="AR1647" s="418"/>
      <c r="AS1647" s="418"/>
      <c r="AT1647" s="418"/>
      <c r="AU1647" s="418"/>
      <c r="AV1647" s="418"/>
      <c r="AW1647" s="418"/>
      <c r="AX1647" s="418"/>
      <c r="AY1647" s="418"/>
      <c r="AZ1647" s="418"/>
      <c r="BA1647" s="418"/>
    </row>
    <row r="1648" spans="40:53" ht="15.75" customHeight="1">
      <c r="AN1648" s="418"/>
      <c r="AO1648" s="418"/>
      <c r="AP1648" s="418"/>
      <c r="AQ1648" s="418"/>
      <c r="AR1648" s="418"/>
      <c r="AS1648" s="418"/>
      <c r="AT1648" s="418"/>
      <c r="AU1648" s="418"/>
      <c r="AV1648" s="418"/>
      <c r="AW1648" s="418"/>
      <c r="AX1648" s="418"/>
      <c r="AY1648" s="418"/>
      <c r="AZ1648" s="418"/>
      <c r="BA1648" s="418"/>
    </row>
    <row r="1649" spans="40:53" ht="15.75" customHeight="1">
      <c r="AN1649" s="418"/>
      <c r="AO1649" s="418"/>
      <c r="AP1649" s="418"/>
      <c r="AQ1649" s="418"/>
      <c r="AR1649" s="418"/>
      <c r="AS1649" s="418"/>
      <c r="AT1649" s="418"/>
      <c r="AU1649" s="418"/>
      <c r="AV1649" s="418"/>
      <c r="AW1649" s="418"/>
      <c r="AX1649" s="418"/>
      <c r="AY1649" s="418"/>
      <c r="AZ1649" s="418"/>
      <c r="BA1649" s="418"/>
    </row>
    <row r="1650" spans="40:53" ht="15.75" customHeight="1">
      <c r="AN1650" s="418"/>
      <c r="AO1650" s="418"/>
      <c r="AP1650" s="418"/>
      <c r="AQ1650" s="418"/>
      <c r="AR1650" s="418"/>
      <c r="AS1650" s="418"/>
      <c r="AT1650" s="418"/>
      <c r="AU1650" s="418"/>
      <c r="AV1650" s="418"/>
      <c r="AW1650" s="418"/>
      <c r="AX1650" s="418"/>
      <c r="AY1650" s="418"/>
      <c r="AZ1650" s="418"/>
      <c r="BA1650" s="418"/>
    </row>
    <row r="1651" spans="40:53" ht="15.75" customHeight="1">
      <c r="AN1651" s="418"/>
      <c r="AO1651" s="418"/>
      <c r="AP1651" s="418"/>
      <c r="AQ1651" s="418"/>
      <c r="AR1651" s="418"/>
      <c r="AS1651" s="418"/>
      <c r="AT1651" s="418"/>
      <c r="AU1651" s="418"/>
      <c r="AV1651" s="418"/>
      <c r="AW1651" s="418"/>
      <c r="AX1651" s="418"/>
      <c r="AY1651" s="418"/>
      <c r="AZ1651" s="418"/>
      <c r="BA1651" s="418"/>
    </row>
    <row r="1652" spans="40:53" ht="15.75" customHeight="1">
      <c r="AN1652" s="418"/>
      <c r="AO1652" s="418"/>
      <c r="AP1652" s="418"/>
      <c r="AQ1652" s="418"/>
      <c r="AR1652" s="418"/>
      <c r="AS1652" s="418"/>
      <c r="AT1652" s="418"/>
      <c r="AU1652" s="418"/>
      <c r="AV1652" s="418"/>
      <c r="AW1652" s="418"/>
      <c r="AX1652" s="418"/>
      <c r="AY1652" s="418"/>
      <c r="AZ1652" s="418"/>
      <c r="BA1652" s="418"/>
    </row>
    <row r="1653" spans="40:53" ht="15.75" customHeight="1">
      <c r="AN1653" s="418"/>
      <c r="AO1653" s="418"/>
      <c r="AP1653" s="418"/>
      <c r="AQ1653" s="418"/>
      <c r="AR1653" s="418"/>
      <c r="AS1653" s="418"/>
      <c r="AT1653" s="418"/>
      <c r="AU1653" s="418"/>
      <c r="AV1653" s="418"/>
      <c r="AW1653" s="418"/>
      <c r="AX1653" s="418"/>
      <c r="AY1653" s="418"/>
      <c r="AZ1653" s="418"/>
      <c r="BA1653" s="418"/>
    </row>
    <row r="1654" spans="40:53" ht="15.75" customHeight="1">
      <c r="AN1654" s="418"/>
      <c r="AO1654" s="418"/>
      <c r="AP1654" s="418"/>
      <c r="AQ1654" s="418"/>
      <c r="AR1654" s="418"/>
      <c r="AS1654" s="418"/>
      <c r="AT1654" s="418"/>
      <c r="AU1654" s="418"/>
      <c r="AV1654" s="418"/>
      <c r="AW1654" s="418"/>
      <c r="AX1654" s="418"/>
      <c r="AY1654" s="418"/>
      <c r="AZ1654" s="418"/>
      <c r="BA1654" s="418"/>
    </row>
    <row r="1655" spans="40:53" ht="15.75" customHeight="1">
      <c r="AN1655" s="418"/>
      <c r="AO1655" s="418"/>
      <c r="AP1655" s="418"/>
      <c r="AQ1655" s="418"/>
      <c r="AR1655" s="418"/>
      <c r="AS1655" s="418"/>
      <c r="AT1655" s="418"/>
      <c r="AU1655" s="418"/>
      <c r="AV1655" s="418"/>
      <c r="AW1655" s="418"/>
      <c r="AX1655" s="418"/>
      <c r="AY1655" s="418"/>
      <c r="AZ1655" s="418"/>
      <c r="BA1655" s="418"/>
    </row>
    <row r="1656" spans="40:53" ht="15.75" customHeight="1">
      <c r="AN1656" s="418"/>
      <c r="AO1656" s="418"/>
      <c r="AP1656" s="418"/>
      <c r="AQ1656" s="418"/>
      <c r="AR1656" s="418"/>
      <c r="AS1656" s="418"/>
      <c r="AT1656" s="418"/>
      <c r="AU1656" s="418"/>
      <c r="AV1656" s="418"/>
      <c r="AW1656" s="418"/>
      <c r="AX1656" s="418"/>
      <c r="AY1656" s="418"/>
      <c r="AZ1656" s="418"/>
      <c r="BA1656" s="418"/>
    </row>
    <row r="1657" spans="40:53" ht="15.75" customHeight="1">
      <c r="AN1657" s="418"/>
      <c r="AO1657" s="418"/>
      <c r="AP1657" s="418"/>
      <c r="AQ1657" s="418"/>
      <c r="AR1657" s="418"/>
      <c r="AS1657" s="418"/>
      <c r="AT1657" s="418"/>
      <c r="AU1657" s="418"/>
      <c r="AV1657" s="418"/>
      <c r="AW1657" s="418"/>
      <c r="AX1657" s="418"/>
      <c r="AY1657" s="418"/>
      <c r="AZ1657" s="418"/>
      <c r="BA1657" s="418"/>
    </row>
    <row r="1658" spans="40:53" ht="15.75" customHeight="1">
      <c r="AN1658" s="418"/>
      <c r="AO1658" s="418"/>
      <c r="AP1658" s="418"/>
      <c r="AQ1658" s="418"/>
      <c r="AR1658" s="418"/>
      <c r="AS1658" s="418"/>
      <c r="AT1658" s="418"/>
      <c r="AU1658" s="418"/>
      <c r="AV1658" s="418"/>
      <c r="AW1658" s="418"/>
      <c r="AX1658" s="418"/>
      <c r="AY1658" s="418"/>
      <c r="AZ1658" s="418"/>
      <c r="BA1658" s="418"/>
    </row>
    <row r="1659" spans="40:53" ht="15.75" customHeight="1">
      <c r="AN1659" s="418"/>
      <c r="AO1659" s="418"/>
      <c r="AP1659" s="418"/>
      <c r="AQ1659" s="418"/>
      <c r="AR1659" s="418"/>
      <c r="AS1659" s="418"/>
      <c r="AT1659" s="418"/>
      <c r="AU1659" s="418"/>
      <c r="AV1659" s="418"/>
      <c r="AW1659" s="418"/>
      <c r="AX1659" s="418"/>
      <c r="AY1659" s="418"/>
      <c r="AZ1659" s="418"/>
      <c r="BA1659" s="418"/>
    </row>
    <row r="1660" spans="40:53" ht="15.75" customHeight="1">
      <c r="AN1660" s="418"/>
      <c r="AO1660" s="418"/>
      <c r="AP1660" s="418"/>
      <c r="AQ1660" s="418"/>
      <c r="AR1660" s="418"/>
      <c r="AS1660" s="418"/>
      <c r="AT1660" s="418"/>
      <c r="AU1660" s="418"/>
      <c r="AV1660" s="418"/>
      <c r="AW1660" s="418"/>
      <c r="AX1660" s="418"/>
      <c r="AY1660" s="418"/>
      <c r="AZ1660" s="418"/>
      <c r="BA1660" s="418"/>
    </row>
    <row r="1661" spans="40:53" ht="15.75" customHeight="1">
      <c r="AN1661" s="418"/>
      <c r="AO1661" s="418"/>
      <c r="AP1661" s="418"/>
      <c r="AQ1661" s="418"/>
      <c r="AR1661" s="418"/>
      <c r="AS1661" s="418"/>
      <c r="AT1661" s="418"/>
      <c r="AU1661" s="418"/>
      <c r="AV1661" s="418"/>
      <c r="AW1661" s="418"/>
      <c r="AX1661" s="418"/>
      <c r="AY1661" s="418"/>
      <c r="AZ1661" s="418"/>
      <c r="BA1661" s="418"/>
    </row>
    <row r="1662" spans="40:53" ht="15.75" customHeight="1">
      <c r="AN1662" s="418"/>
      <c r="AO1662" s="418"/>
      <c r="AP1662" s="418"/>
      <c r="AQ1662" s="418"/>
      <c r="AR1662" s="418"/>
      <c r="AS1662" s="418"/>
      <c r="AT1662" s="418"/>
      <c r="AU1662" s="418"/>
      <c r="AV1662" s="418"/>
      <c r="AW1662" s="418"/>
      <c r="AX1662" s="418"/>
      <c r="AY1662" s="418"/>
      <c r="AZ1662" s="418"/>
      <c r="BA1662" s="418"/>
    </row>
    <row r="1663" spans="40:53" ht="15.75" customHeight="1">
      <c r="AN1663" s="418"/>
      <c r="AO1663" s="418"/>
      <c r="AP1663" s="418"/>
      <c r="AQ1663" s="418"/>
      <c r="AR1663" s="418"/>
      <c r="AS1663" s="418"/>
      <c r="AT1663" s="418"/>
      <c r="AU1663" s="418"/>
      <c r="AV1663" s="418"/>
      <c r="AW1663" s="418"/>
      <c r="AX1663" s="418"/>
      <c r="AY1663" s="418"/>
      <c r="AZ1663" s="418"/>
      <c r="BA1663" s="418"/>
    </row>
    <row r="1664" spans="40:53" ht="15.75" customHeight="1">
      <c r="AN1664" s="418"/>
      <c r="AO1664" s="418"/>
      <c r="AP1664" s="418"/>
      <c r="AQ1664" s="418"/>
      <c r="AR1664" s="418"/>
      <c r="AS1664" s="418"/>
      <c r="AT1664" s="418"/>
      <c r="AU1664" s="418"/>
      <c r="AV1664" s="418"/>
      <c r="AW1664" s="418"/>
      <c r="AX1664" s="418"/>
      <c r="AY1664" s="418"/>
      <c r="AZ1664" s="418"/>
      <c r="BA1664" s="418"/>
    </row>
    <row r="1665" spans="40:53" ht="15.75" customHeight="1">
      <c r="AN1665" s="418"/>
      <c r="AO1665" s="418"/>
      <c r="AP1665" s="418"/>
      <c r="AQ1665" s="418"/>
      <c r="AR1665" s="418"/>
      <c r="AS1665" s="418"/>
      <c r="AT1665" s="418"/>
      <c r="AU1665" s="418"/>
      <c r="AV1665" s="418"/>
      <c r="AW1665" s="418"/>
      <c r="AX1665" s="418"/>
      <c r="AY1665" s="418"/>
      <c r="AZ1665" s="418"/>
      <c r="BA1665" s="418"/>
    </row>
    <row r="1666" spans="40:53" ht="15.75" customHeight="1">
      <c r="AN1666" s="418"/>
      <c r="AO1666" s="418"/>
      <c r="AP1666" s="418"/>
      <c r="AQ1666" s="418"/>
      <c r="AR1666" s="418"/>
      <c r="AS1666" s="418"/>
      <c r="AT1666" s="418"/>
      <c r="AU1666" s="418"/>
      <c r="AV1666" s="418"/>
      <c r="AW1666" s="418"/>
      <c r="AX1666" s="418"/>
      <c r="AY1666" s="418"/>
      <c r="AZ1666" s="418"/>
      <c r="BA1666" s="418"/>
    </row>
    <row r="1667" spans="40:53" ht="15.75" customHeight="1">
      <c r="AN1667" s="418"/>
      <c r="AO1667" s="418"/>
      <c r="AP1667" s="418"/>
      <c r="AQ1667" s="418"/>
      <c r="AR1667" s="418"/>
      <c r="AS1667" s="418"/>
      <c r="AT1667" s="418"/>
      <c r="AU1667" s="418"/>
      <c r="AV1667" s="418"/>
      <c r="AW1667" s="418"/>
      <c r="AX1667" s="418"/>
      <c r="AY1667" s="418"/>
      <c r="AZ1667" s="418"/>
      <c r="BA1667" s="418"/>
    </row>
    <row r="1668" spans="40:53" ht="15.75" customHeight="1">
      <c r="AN1668" s="418"/>
      <c r="AO1668" s="418"/>
      <c r="AP1668" s="418"/>
      <c r="AQ1668" s="418"/>
      <c r="AR1668" s="418"/>
      <c r="AS1668" s="418"/>
      <c r="AT1668" s="418"/>
      <c r="AU1668" s="418"/>
      <c r="AV1668" s="418"/>
      <c r="AW1668" s="418"/>
      <c r="AX1668" s="418"/>
      <c r="AY1668" s="418"/>
      <c r="AZ1668" s="418"/>
      <c r="BA1668" s="418"/>
    </row>
    <row r="1669" spans="40:53" ht="15.75" customHeight="1">
      <c r="AN1669" s="418"/>
      <c r="AO1669" s="418"/>
      <c r="AP1669" s="418"/>
      <c r="AQ1669" s="418"/>
      <c r="AR1669" s="418"/>
      <c r="AS1669" s="418"/>
      <c r="AT1669" s="418"/>
      <c r="AU1669" s="418"/>
      <c r="AV1669" s="418"/>
      <c r="AW1669" s="418"/>
      <c r="AX1669" s="418"/>
      <c r="AY1669" s="418"/>
      <c r="AZ1669" s="418"/>
      <c r="BA1669" s="418"/>
    </row>
    <row r="1670" spans="40:53" ht="15.75" customHeight="1">
      <c r="AN1670" s="418"/>
      <c r="AO1670" s="418"/>
      <c r="AP1670" s="418"/>
      <c r="AQ1670" s="418"/>
      <c r="AR1670" s="418"/>
      <c r="AS1670" s="418"/>
      <c r="AT1670" s="418"/>
      <c r="AU1670" s="418"/>
      <c r="AV1670" s="418"/>
      <c r="AW1670" s="418"/>
      <c r="AX1670" s="418"/>
      <c r="AY1670" s="418"/>
      <c r="AZ1670" s="418"/>
      <c r="BA1670" s="418"/>
    </row>
    <row r="1671" spans="40:53" ht="15.75" customHeight="1">
      <c r="AN1671" s="418"/>
      <c r="AO1671" s="418"/>
      <c r="AP1671" s="418"/>
      <c r="AQ1671" s="418"/>
      <c r="AR1671" s="418"/>
      <c r="AS1671" s="418"/>
      <c r="AT1671" s="418"/>
      <c r="AU1671" s="418"/>
      <c r="AV1671" s="418"/>
      <c r="AW1671" s="418"/>
      <c r="AX1671" s="418"/>
      <c r="AY1671" s="418"/>
      <c r="AZ1671" s="418"/>
      <c r="BA1671" s="418"/>
    </row>
    <row r="1672" spans="40:53" ht="15.75" customHeight="1">
      <c r="AN1672" s="418"/>
      <c r="AO1672" s="418"/>
      <c r="AP1672" s="418"/>
      <c r="AQ1672" s="418"/>
      <c r="AR1672" s="418"/>
      <c r="AS1672" s="418"/>
      <c r="AT1672" s="418"/>
      <c r="AU1672" s="418"/>
      <c r="AV1672" s="418"/>
      <c r="AW1672" s="418"/>
      <c r="AX1672" s="418"/>
      <c r="AY1672" s="418"/>
      <c r="AZ1672" s="418"/>
      <c r="BA1672" s="418"/>
    </row>
    <row r="1673" spans="40:53" ht="15.75" customHeight="1">
      <c r="AN1673" s="418"/>
      <c r="AO1673" s="418"/>
      <c r="AP1673" s="418"/>
      <c r="AQ1673" s="418"/>
      <c r="AR1673" s="418"/>
      <c r="AS1673" s="418"/>
      <c r="AT1673" s="418"/>
      <c r="AU1673" s="418"/>
      <c r="AV1673" s="418"/>
      <c r="AW1673" s="418"/>
      <c r="AX1673" s="418"/>
      <c r="AY1673" s="418"/>
      <c r="AZ1673" s="418"/>
      <c r="BA1673" s="418"/>
    </row>
    <row r="1674" spans="40:53" ht="15.75" customHeight="1">
      <c r="AN1674" s="418"/>
      <c r="AO1674" s="418"/>
      <c r="AP1674" s="418"/>
      <c r="AQ1674" s="418"/>
      <c r="AR1674" s="418"/>
      <c r="AS1674" s="418"/>
      <c r="AT1674" s="418"/>
      <c r="AU1674" s="418"/>
      <c r="AV1674" s="418"/>
      <c r="AW1674" s="418"/>
      <c r="AX1674" s="418"/>
      <c r="AY1674" s="418"/>
      <c r="AZ1674" s="418"/>
      <c r="BA1674" s="418"/>
    </row>
    <row r="1675" spans="40:53" ht="15.75" customHeight="1">
      <c r="AN1675" s="418"/>
      <c r="AO1675" s="418"/>
      <c r="AP1675" s="418"/>
      <c r="AQ1675" s="418"/>
      <c r="AR1675" s="418"/>
      <c r="AS1675" s="418"/>
      <c r="AT1675" s="418"/>
      <c r="AU1675" s="418"/>
      <c r="AV1675" s="418"/>
      <c r="AW1675" s="418"/>
      <c r="AX1675" s="418"/>
      <c r="AY1675" s="418"/>
      <c r="AZ1675" s="418"/>
      <c r="BA1675" s="418"/>
    </row>
    <row r="1676" spans="40:53" ht="15.75" customHeight="1">
      <c r="AN1676" s="418"/>
      <c r="AO1676" s="418"/>
      <c r="AP1676" s="418"/>
      <c r="AQ1676" s="418"/>
      <c r="AR1676" s="418"/>
      <c r="AS1676" s="418"/>
      <c r="AT1676" s="418"/>
      <c r="AU1676" s="418"/>
      <c r="AV1676" s="418"/>
      <c r="AW1676" s="418"/>
      <c r="AX1676" s="418"/>
      <c r="AY1676" s="418"/>
      <c r="AZ1676" s="418"/>
      <c r="BA1676" s="418"/>
    </row>
    <row r="1677" spans="40:53" ht="15.75" customHeight="1">
      <c r="AN1677" s="418"/>
      <c r="AO1677" s="418"/>
      <c r="AP1677" s="418"/>
      <c r="AQ1677" s="418"/>
      <c r="AR1677" s="418"/>
      <c r="AS1677" s="418"/>
      <c r="AT1677" s="418"/>
      <c r="AU1677" s="418"/>
      <c r="AV1677" s="418"/>
      <c r="AW1677" s="418"/>
      <c r="AX1677" s="418"/>
      <c r="AY1677" s="418"/>
      <c r="AZ1677" s="418"/>
      <c r="BA1677" s="418"/>
    </row>
    <row r="1678" spans="40:53" ht="15.75" customHeight="1">
      <c r="AN1678" s="418"/>
      <c r="AO1678" s="418"/>
      <c r="AP1678" s="418"/>
      <c r="AQ1678" s="418"/>
      <c r="AR1678" s="418"/>
      <c r="AS1678" s="418"/>
      <c r="AT1678" s="418"/>
      <c r="AU1678" s="418"/>
      <c r="AV1678" s="418"/>
      <c r="AW1678" s="418"/>
      <c r="AX1678" s="418"/>
      <c r="AY1678" s="418"/>
      <c r="AZ1678" s="418"/>
      <c r="BA1678" s="418"/>
    </row>
    <row r="1679" spans="40:53" ht="15.75" customHeight="1">
      <c r="AN1679" s="418"/>
      <c r="AO1679" s="418"/>
      <c r="AP1679" s="418"/>
      <c r="AQ1679" s="418"/>
      <c r="AR1679" s="418"/>
      <c r="AS1679" s="418"/>
      <c r="AT1679" s="418"/>
      <c r="AU1679" s="418"/>
      <c r="AV1679" s="418"/>
      <c r="AW1679" s="418"/>
      <c r="AX1679" s="418"/>
      <c r="AY1679" s="418"/>
      <c r="AZ1679" s="418"/>
      <c r="BA1679" s="418"/>
    </row>
    <row r="1680" spans="40:53" ht="15.75" customHeight="1">
      <c r="AN1680" s="418"/>
      <c r="AO1680" s="418"/>
      <c r="AP1680" s="418"/>
      <c r="AQ1680" s="418"/>
      <c r="AR1680" s="418"/>
      <c r="AS1680" s="418"/>
      <c r="AT1680" s="418"/>
      <c r="AU1680" s="418"/>
      <c r="AV1680" s="418"/>
      <c r="AW1680" s="418"/>
      <c r="AX1680" s="418"/>
      <c r="AY1680" s="418"/>
      <c r="AZ1680" s="418"/>
      <c r="BA1680" s="418"/>
    </row>
    <row r="1681" spans="40:53" ht="15.75" customHeight="1">
      <c r="AN1681" s="418"/>
      <c r="AO1681" s="418"/>
      <c r="AP1681" s="418"/>
      <c r="AQ1681" s="418"/>
      <c r="AR1681" s="418"/>
      <c r="AS1681" s="418"/>
      <c r="AT1681" s="418"/>
      <c r="AU1681" s="418"/>
      <c r="AV1681" s="418"/>
      <c r="AW1681" s="418"/>
      <c r="AX1681" s="418"/>
      <c r="AY1681" s="418"/>
      <c r="AZ1681" s="418"/>
      <c r="BA1681" s="418"/>
    </row>
    <row r="1682" spans="40:53" ht="15.75" customHeight="1">
      <c r="AN1682" s="418"/>
      <c r="AO1682" s="418"/>
      <c r="AP1682" s="418"/>
      <c r="AQ1682" s="418"/>
      <c r="AR1682" s="418"/>
      <c r="AS1682" s="418"/>
      <c r="AT1682" s="418"/>
      <c r="AU1682" s="418"/>
      <c r="AV1682" s="418"/>
      <c r="AW1682" s="418"/>
      <c r="AX1682" s="418"/>
      <c r="AY1682" s="418"/>
      <c r="AZ1682" s="418"/>
      <c r="BA1682" s="418"/>
    </row>
    <row r="1683" spans="40:53" ht="15.75" customHeight="1">
      <c r="AN1683" s="418"/>
      <c r="AO1683" s="418"/>
      <c r="AP1683" s="418"/>
      <c r="AQ1683" s="418"/>
      <c r="AR1683" s="418"/>
      <c r="AS1683" s="418"/>
      <c r="AT1683" s="418"/>
      <c r="AU1683" s="418"/>
      <c r="AV1683" s="418"/>
      <c r="AW1683" s="418"/>
      <c r="AX1683" s="418"/>
      <c r="AY1683" s="418"/>
      <c r="AZ1683" s="418"/>
      <c r="BA1683" s="418"/>
    </row>
    <row r="1684" spans="40:53" ht="15.75" customHeight="1">
      <c r="AN1684" s="418"/>
      <c r="AO1684" s="418"/>
      <c r="AP1684" s="418"/>
      <c r="AQ1684" s="418"/>
      <c r="AR1684" s="418"/>
      <c r="AS1684" s="418"/>
      <c r="AT1684" s="418"/>
      <c r="AU1684" s="418"/>
      <c r="AV1684" s="418"/>
      <c r="AW1684" s="418"/>
      <c r="AX1684" s="418"/>
      <c r="AY1684" s="418"/>
      <c r="AZ1684" s="418"/>
      <c r="BA1684" s="418"/>
    </row>
    <row r="1685" spans="40:53" ht="15.75" customHeight="1">
      <c r="AN1685" s="418"/>
      <c r="AO1685" s="418"/>
      <c r="AP1685" s="418"/>
      <c r="AQ1685" s="418"/>
      <c r="AR1685" s="418"/>
      <c r="AS1685" s="418"/>
      <c r="AT1685" s="418"/>
      <c r="AU1685" s="418"/>
      <c r="AV1685" s="418"/>
      <c r="AW1685" s="418"/>
      <c r="AX1685" s="418"/>
      <c r="AY1685" s="418"/>
      <c r="AZ1685" s="418"/>
      <c r="BA1685" s="418"/>
    </row>
    <row r="1686" spans="40:53" ht="15.75" customHeight="1">
      <c r="AN1686" s="418"/>
      <c r="AO1686" s="418"/>
      <c r="AP1686" s="418"/>
      <c r="AQ1686" s="418"/>
      <c r="AR1686" s="418"/>
      <c r="AS1686" s="418"/>
      <c r="AT1686" s="418"/>
      <c r="AU1686" s="418"/>
      <c r="AV1686" s="418"/>
      <c r="AW1686" s="418"/>
      <c r="AX1686" s="418"/>
      <c r="AY1686" s="418"/>
      <c r="AZ1686" s="418"/>
      <c r="BA1686" s="418"/>
    </row>
    <row r="1687" spans="40:53" ht="15.75" customHeight="1">
      <c r="AN1687" s="418"/>
      <c r="AO1687" s="418"/>
      <c r="AP1687" s="418"/>
      <c r="AQ1687" s="418"/>
      <c r="AR1687" s="418"/>
      <c r="AS1687" s="418"/>
      <c r="AT1687" s="418"/>
      <c r="AU1687" s="418"/>
      <c r="AV1687" s="418"/>
      <c r="AW1687" s="418"/>
      <c r="AX1687" s="418"/>
      <c r="AY1687" s="418"/>
      <c r="AZ1687" s="418"/>
      <c r="BA1687" s="418"/>
    </row>
    <row r="1688" spans="40:53" ht="15.75" customHeight="1">
      <c r="AN1688" s="418"/>
      <c r="AO1688" s="418"/>
      <c r="AP1688" s="418"/>
      <c r="AQ1688" s="418"/>
      <c r="AR1688" s="418"/>
      <c r="AS1688" s="418"/>
      <c r="AT1688" s="418"/>
      <c r="AU1688" s="418"/>
      <c r="AV1688" s="418"/>
      <c r="AW1688" s="418"/>
      <c r="AX1688" s="418"/>
      <c r="AY1688" s="418"/>
      <c r="AZ1688" s="418"/>
      <c r="BA1688" s="418"/>
    </row>
    <row r="1689" spans="40:53" ht="15.75" customHeight="1">
      <c r="AN1689" s="418"/>
      <c r="AO1689" s="418"/>
      <c r="AP1689" s="418"/>
      <c r="AQ1689" s="418"/>
      <c r="AR1689" s="418"/>
      <c r="AS1689" s="418"/>
      <c r="AT1689" s="418"/>
      <c r="AU1689" s="418"/>
      <c r="AV1689" s="418"/>
      <c r="AW1689" s="418"/>
      <c r="AX1689" s="418"/>
      <c r="AY1689" s="418"/>
      <c r="AZ1689" s="418"/>
      <c r="BA1689" s="418"/>
    </row>
    <row r="1690" spans="40:53" ht="15.75" customHeight="1">
      <c r="AN1690" s="418"/>
      <c r="AO1690" s="418"/>
      <c r="AP1690" s="418"/>
      <c r="AQ1690" s="418"/>
      <c r="AR1690" s="418"/>
      <c r="AS1690" s="418"/>
      <c r="AT1690" s="418"/>
      <c r="AU1690" s="418"/>
      <c r="AV1690" s="418"/>
      <c r="AW1690" s="418"/>
      <c r="AX1690" s="418"/>
      <c r="AY1690" s="418"/>
      <c r="AZ1690" s="418"/>
      <c r="BA1690" s="418"/>
    </row>
    <row r="1691" spans="40:53" ht="15.75" customHeight="1">
      <c r="AN1691" s="418"/>
      <c r="AO1691" s="418"/>
      <c r="AP1691" s="418"/>
      <c r="AQ1691" s="418"/>
      <c r="AR1691" s="418"/>
      <c r="AS1691" s="418"/>
      <c r="AT1691" s="418"/>
      <c r="AU1691" s="418"/>
      <c r="AV1691" s="418"/>
      <c r="AW1691" s="418"/>
      <c r="AX1691" s="418"/>
      <c r="AY1691" s="418"/>
      <c r="AZ1691" s="418"/>
      <c r="BA1691" s="418"/>
    </row>
    <row r="1692" spans="40:53" ht="15.75" customHeight="1">
      <c r="AN1692" s="418"/>
      <c r="AO1692" s="418"/>
      <c r="AP1692" s="418"/>
      <c r="AQ1692" s="418"/>
      <c r="AR1692" s="418"/>
      <c r="AS1692" s="418"/>
      <c r="AT1692" s="418"/>
      <c r="AU1692" s="418"/>
      <c r="AV1692" s="418"/>
      <c r="AW1692" s="418"/>
      <c r="AX1692" s="418"/>
      <c r="AY1692" s="418"/>
      <c r="AZ1692" s="418"/>
      <c r="BA1692" s="418"/>
    </row>
    <row r="1693" spans="40:53" ht="15.75" customHeight="1">
      <c r="AN1693" s="418"/>
      <c r="AO1693" s="418"/>
      <c r="AP1693" s="418"/>
      <c r="AQ1693" s="418"/>
      <c r="AR1693" s="418"/>
      <c r="AS1693" s="418"/>
      <c r="AT1693" s="418"/>
      <c r="AU1693" s="418"/>
      <c r="AV1693" s="418"/>
      <c r="AW1693" s="418"/>
      <c r="AX1693" s="418"/>
      <c r="AY1693" s="418"/>
      <c r="AZ1693" s="418"/>
      <c r="BA1693" s="418"/>
    </row>
    <row r="1694" spans="40:53" ht="15.75" customHeight="1">
      <c r="AN1694" s="418"/>
      <c r="AO1694" s="418"/>
      <c r="AP1694" s="418"/>
      <c r="AQ1694" s="418"/>
      <c r="AR1694" s="418"/>
      <c r="AS1694" s="418"/>
      <c r="AT1694" s="418"/>
      <c r="AU1694" s="418"/>
      <c r="AV1694" s="418"/>
      <c r="AW1694" s="418"/>
      <c r="AX1694" s="418"/>
      <c r="AY1694" s="418"/>
      <c r="AZ1694" s="418"/>
      <c r="BA1694" s="418"/>
    </row>
    <row r="1695" spans="40:53" ht="15.75" customHeight="1">
      <c r="AN1695" s="418"/>
      <c r="AO1695" s="418"/>
      <c r="AP1695" s="418"/>
      <c r="AQ1695" s="418"/>
      <c r="AR1695" s="418"/>
      <c r="AS1695" s="418"/>
      <c r="AT1695" s="418"/>
      <c r="AU1695" s="418"/>
      <c r="AV1695" s="418"/>
      <c r="AW1695" s="418"/>
      <c r="AX1695" s="418"/>
      <c r="AY1695" s="418"/>
      <c r="AZ1695" s="418"/>
      <c r="BA1695" s="418"/>
    </row>
    <row r="1696" spans="40:53" ht="15.75" customHeight="1">
      <c r="AN1696" s="418"/>
      <c r="AO1696" s="418"/>
      <c r="AP1696" s="418"/>
      <c r="AQ1696" s="418"/>
      <c r="AR1696" s="418"/>
      <c r="AS1696" s="418"/>
      <c r="AT1696" s="418"/>
      <c r="AU1696" s="418"/>
      <c r="AV1696" s="418"/>
      <c r="AW1696" s="418"/>
      <c r="AX1696" s="418"/>
      <c r="AY1696" s="418"/>
      <c r="AZ1696" s="418"/>
      <c r="BA1696" s="418"/>
    </row>
    <row r="1697" spans="40:53" ht="15.75" customHeight="1">
      <c r="AN1697" s="418"/>
      <c r="AO1697" s="418"/>
      <c r="AP1697" s="418"/>
      <c r="AQ1697" s="418"/>
      <c r="AR1697" s="418"/>
      <c r="AS1697" s="418"/>
      <c r="AT1697" s="418"/>
      <c r="AU1697" s="418"/>
      <c r="AV1697" s="418"/>
      <c r="AW1697" s="418"/>
      <c r="AX1697" s="418"/>
      <c r="AY1697" s="418"/>
      <c r="AZ1697" s="418"/>
      <c r="BA1697" s="418"/>
    </row>
    <row r="1698" spans="40:53" ht="15.75" customHeight="1">
      <c r="AN1698" s="418"/>
      <c r="AO1698" s="418"/>
      <c r="AP1698" s="418"/>
      <c r="AQ1698" s="418"/>
      <c r="AR1698" s="418"/>
      <c r="AS1698" s="418"/>
      <c r="AT1698" s="418"/>
      <c r="AU1698" s="418"/>
      <c r="AV1698" s="418"/>
      <c r="AW1698" s="418"/>
      <c r="AX1698" s="418"/>
      <c r="AY1698" s="418"/>
      <c r="AZ1698" s="418"/>
      <c r="BA1698" s="418"/>
    </row>
    <row r="1699" spans="40:53" ht="15.75" customHeight="1">
      <c r="AN1699" s="418"/>
      <c r="AO1699" s="418"/>
      <c r="AP1699" s="418"/>
      <c r="AQ1699" s="418"/>
      <c r="AR1699" s="418"/>
      <c r="AS1699" s="418"/>
      <c r="AT1699" s="418"/>
      <c r="AU1699" s="418"/>
      <c r="AV1699" s="418"/>
      <c r="AW1699" s="418"/>
      <c r="AX1699" s="418"/>
      <c r="AY1699" s="418"/>
      <c r="AZ1699" s="418"/>
      <c r="BA1699" s="418"/>
    </row>
    <row r="1700" spans="40:53" ht="15.75" customHeight="1">
      <c r="AN1700" s="418"/>
      <c r="AO1700" s="418"/>
      <c r="AP1700" s="418"/>
      <c r="AQ1700" s="418"/>
      <c r="AR1700" s="418"/>
      <c r="AS1700" s="418"/>
      <c r="AT1700" s="418"/>
      <c r="AU1700" s="418"/>
      <c r="AV1700" s="418"/>
      <c r="AW1700" s="418"/>
      <c r="AX1700" s="418"/>
      <c r="AY1700" s="418"/>
      <c r="AZ1700" s="418"/>
      <c r="BA1700" s="418"/>
    </row>
    <row r="1701" spans="40:53" ht="15.75" customHeight="1">
      <c r="AN1701" s="418"/>
      <c r="AO1701" s="418"/>
      <c r="AP1701" s="418"/>
      <c r="AQ1701" s="418"/>
      <c r="AR1701" s="418"/>
      <c r="AS1701" s="418"/>
      <c r="AT1701" s="418"/>
      <c r="AU1701" s="418"/>
      <c r="AV1701" s="418"/>
      <c r="AW1701" s="418"/>
      <c r="AX1701" s="418"/>
      <c r="AY1701" s="418"/>
      <c r="AZ1701" s="418"/>
      <c r="BA1701" s="418"/>
    </row>
    <row r="1702" spans="40:53" ht="15.75" customHeight="1">
      <c r="AN1702" s="418"/>
      <c r="AO1702" s="418"/>
      <c r="AP1702" s="418"/>
      <c r="AQ1702" s="418"/>
      <c r="AR1702" s="418"/>
      <c r="AS1702" s="418"/>
      <c r="AT1702" s="418"/>
      <c r="AU1702" s="418"/>
      <c r="AV1702" s="418"/>
      <c r="AW1702" s="418"/>
      <c r="AX1702" s="418"/>
      <c r="AY1702" s="418"/>
      <c r="AZ1702" s="418"/>
      <c r="BA1702" s="418"/>
    </row>
    <row r="1703" spans="40:53" ht="15.75" customHeight="1">
      <c r="AN1703" s="418"/>
      <c r="AO1703" s="418"/>
      <c r="AP1703" s="418"/>
      <c r="AQ1703" s="418"/>
      <c r="AR1703" s="418"/>
      <c r="AS1703" s="418"/>
      <c r="AT1703" s="418"/>
      <c r="AU1703" s="418"/>
      <c r="AV1703" s="418"/>
      <c r="AW1703" s="418"/>
      <c r="AX1703" s="418"/>
      <c r="AY1703" s="418"/>
      <c r="AZ1703" s="418"/>
      <c r="BA1703" s="418"/>
    </row>
    <row r="1704" spans="40:53" ht="15.75" customHeight="1">
      <c r="AN1704" s="418"/>
      <c r="AO1704" s="418"/>
      <c r="AP1704" s="418"/>
      <c r="AQ1704" s="418"/>
      <c r="AR1704" s="418"/>
      <c r="AS1704" s="418"/>
      <c r="AT1704" s="418"/>
      <c r="AU1704" s="418"/>
      <c r="AV1704" s="418"/>
      <c r="AW1704" s="418"/>
      <c r="AX1704" s="418"/>
      <c r="AY1704" s="418"/>
      <c r="AZ1704" s="418"/>
      <c r="BA1704" s="418"/>
    </row>
    <row r="1705" spans="40:53" ht="15.75" customHeight="1">
      <c r="AN1705" s="418"/>
      <c r="AO1705" s="418"/>
      <c r="AP1705" s="418"/>
      <c r="AQ1705" s="418"/>
      <c r="AR1705" s="418"/>
      <c r="AS1705" s="418"/>
      <c r="AT1705" s="418"/>
      <c r="AU1705" s="418"/>
      <c r="AV1705" s="418"/>
      <c r="AW1705" s="418"/>
      <c r="AX1705" s="418"/>
      <c r="AY1705" s="418"/>
      <c r="AZ1705" s="418"/>
      <c r="BA1705" s="418"/>
    </row>
    <row r="1706" spans="40:53" ht="15.75" customHeight="1">
      <c r="AN1706" s="418"/>
      <c r="AO1706" s="418"/>
      <c r="AP1706" s="418"/>
      <c r="AQ1706" s="418"/>
      <c r="AR1706" s="418"/>
      <c r="AS1706" s="418"/>
      <c r="AT1706" s="418"/>
      <c r="AU1706" s="418"/>
      <c r="AV1706" s="418"/>
      <c r="AW1706" s="418"/>
      <c r="AX1706" s="418"/>
      <c r="AY1706" s="418"/>
      <c r="AZ1706" s="418"/>
      <c r="BA1706" s="418"/>
    </row>
    <row r="1707" spans="40:53" ht="15.75" customHeight="1">
      <c r="AN1707" s="418"/>
      <c r="AO1707" s="418"/>
      <c r="AP1707" s="418"/>
      <c r="AQ1707" s="418"/>
      <c r="AR1707" s="418"/>
      <c r="AS1707" s="418"/>
      <c r="AT1707" s="418"/>
      <c r="AU1707" s="418"/>
      <c r="AV1707" s="418"/>
      <c r="AW1707" s="418"/>
      <c r="AX1707" s="418"/>
      <c r="AY1707" s="418"/>
      <c r="AZ1707" s="418"/>
      <c r="BA1707" s="418"/>
    </row>
    <row r="1708" spans="40:53" ht="15.75" customHeight="1">
      <c r="AN1708" s="418"/>
      <c r="AO1708" s="418"/>
      <c r="AP1708" s="418"/>
      <c r="AQ1708" s="418"/>
      <c r="AR1708" s="418"/>
      <c r="AS1708" s="418"/>
      <c r="AT1708" s="418"/>
      <c r="AU1708" s="418"/>
      <c r="AV1708" s="418"/>
      <c r="AW1708" s="418"/>
      <c r="AX1708" s="418"/>
      <c r="AY1708" s="418"/>
      <c r="AZ1708" s="418"/>
      <c r="BA1708" s="418"/>
    </row>
    <row r="1709" spans="40:53" ht="15.75" customHeight="1">
      <c r="AN1709" s="418"/>
      <c r="AO1709" s="418"/>
      <c r="AP1709" s="418"/>
      <c r="AQ1709" s="418"/>
      <c r="AR1709" s="418"/>
      <c r="AS1709" s="418"/>
      <c r="AT1709" s="418"/>
      <c r="AU1709" s="418"/>
      <c r="AV1709" s="418"/>
      <c r="AW1709" s="418"/>
      <c r="AX1709" s="418"/>
      <c r="AY1709" s="418"/>
      <c r="AZ1709" s="418"/>
      <c r="BA1709" s="418"/>
    </row>
    <row r="1710" spans="40:53" ht="15.75" customHeight="1">
      <c r="AN1710" s="418"/>
      <c r="AO1710" s="418"/>
      <c r="AP1710" s="418"/>
      <c r="AQ1710" s="418"/>
      <c r="AR1710" s="418"/>
      <c r="AS1710" s="418"/>
      <c r="AT1710" s="418"/>
      <c r="AU1710" s="418"/>
      <c r="AV1710" s="418"/>
      <c r="AW1710" s="418"/>
      <c r="AX1710" s="418"/>
      <c r="AY1710" s="418"/>
      <c r="AZ1710" s="418"/>
      <c r="BA1710" s="418"/>
    </row>
    <row r="1711" spans="40:53" ht="15.75" customHeight="1">
      <c r="AN1711" s="418"/>
      <c r="AO1711" s="418"/>
      <c r="AP1711" s="418"/>
      <c r="AQ1711" s="418"/>
      <c r="AR1711" s="418"/>
      <c r="AS1711" s="418"/>
      <c r="AT1711" s="418"/>
      <c r="AU1711" s="418"/>
      <c r="AV1711" s="418"/>
      <c r="AW1711" s="418"/>
      <c r="AX1711" s="418"/>
      <c r="AY1711" s="418"/>
      <c r="AZ1711" s="418"/>
      <c r="BA1711" s="418"/>
    </row>
    <row r="1712" spans="40:53" ht="15.75" customHeight="1">
      <c r="AN1712" s="418"/>
      <c r="AO1712" s="418"/>
      <c r="AP1712" s="418"/>
      <c r="AQ1712" s="418"/>
      <c r="AR1712" s="418"/>
      <c r="AS1712" s="418"/>
      <c r="AT1712" s="418"/>
      <c r="AU1712" s="418"/>
      <c r="AV1712" s="418"/>
      <c r="AW1712" s="418"/>
      <c r="AX1712" s="418"/>
      <c r="AY1712" s="418"/>
      <c r="AZ1712" s="418"/>
      <c r="BA1712" s="418"/>
    </row>
    <row r="1713" spans="40:53" ht="15.75" customHeight="1">
      <c r="AN1713" s="418"/>
      <c r="AO1713" s="418"/>
      <c r="AP1713" s="418"/>
      <c r="AQ1713" s="418"/>
      <c r="AR1713" s="418"/>
      <c r="AS1713" s="418"/>
      <c r="AT1713" s="418"/>
      <c r="AU1713" s="418"/>
      <c r="AV1713" s="418"/>
      <c r="AW1713" s="418"/>
      <c r="AX1713" s="418"/>
      <c r="AY1713" s="418"/>
      <c r="AZ1713" s="418"/>
      <c r="BA1713" s="418"/>
    </row>
    <row r="1714" spans="40:53" ht="15.75" customHeight="1">
      <c r="AN1714" s="418"/>
      <c r="AO1714" s="418"/>
      <c r="AP1714" s="418"/>
      <c r="AQ1714" s="418"/>
      <c r="AR1714" s="418"/>
      <c r="AS1714" s="418"/>
      <c r="AT1714" s="418"/>
      <c r="AU1714" s="418"/>
      <c r="AV1714" s="418"/>
      <c r="AW1714" s="418"/>
      <c r="AX1714" s="418"/>
      <c r="AY1714" s="418"/>
      <c r="AZ1714" s="418"/>
      <c r="BA1714" s="418"/>
    </row>
    <row r="1715" spans="40:53" ht="15.75" customHeight="1">
      <c r="AN1715" s="418"/>
      <c r="AO1715" s="418"/>
      <c r="AP1715" s="418"/>
      <c r="AQ1715" s="418"/>
      <c r="AR1715" s="418"/>
      <c r="AS1715" s="418"/>
      <c r="AT1715" s="418"/>
      <c r="AU1715" s="418"/>
      <c r="AV1715" s="418"/>
      <c r="AW1715" s="418"/>
      <c r="AX1715" s="418"/>
      <c r="AY1715" s="418"/>
      <c r="AZ1715" s="418"/>
      <c r="BA1715" s="418"/>
    </row>
    <row r="1716" spans="40:53" ht="15.75" customHeight="1">
      <c r="AN1716" s="418"/>
      <c r="AO1716" s="418"/>
      <c r="AP1716" s="418"/>
      <c r="AQ1716" s="418"/>
      <c r="AR1716" s="418"/>
      <c r="AS1716" s="418"/>
      <c r="AT1716" s="418"/>
      <c r="AU1716" s="418"/>
      <c r="AV1716" s="418"/>
      <c r="AW1716" s="418"/>
      <c r="AX1716" s="418"/>
      <c r="AY1716" s="418"/>
      <c r="AZ1716" s="418"/>
      <c r="BA1716" s="418"/>
    </row>
    <row r="1717" spans="40:53" ht="15.75" customHeight="1">
      <c r="AN1717" s="418"/>
      <c r="AO1717" s="418"/>
      <c r="AP1717" s="418"/>
      <c r="AQ1717" s="418"/>
      <c r="AR1717" s="418"/>
      <c r="AS1717" s="418"/>
      <c r="AT1717" s="418"/>
      <c r="AU1717" s="418"/>
      <c r="AV1717" s="418"/>
      <c r="AW1717" s="418"/>
      <c r="AX1717" s="418"/>
      <c r="AY1717" s="418"/>
      <c r="AZ1717" s="418"/>
      <c r="BA1717" s="418"/>
    </row>
    <row r="1718" spans="40:53" ht="15.75" customHeight="1">
      <c r="AN1718" s="418"/>
      <c r="AO1718" s="418"/>
      <c r="AP1718" s="418"/>
      <c r="AQ1718" s="418"/>
      <c r="AR1718" s="418"/>
      <c r="AS1718" s="418"/>
      <c r="AT1718" s="418"/>
      <c r="AU1718" s="418"/>
      <c r="AV1718" s="418"/>
      <c r="AW1718" s="418"/>
      <c r="AX1718" s="418"/>
      <c r="AY1718" s="418"/>
      <c r="AZ1718" s="418"/>
      <c r="BA1718" s="418"/>
    </row>
    <row r="1719" spans="40:53" ht="15.75" customHeight="1">
      <c r="AN1719" s="418"/>
      <c r="AO1719" s="418"/>
      <c r="AP1719" s="418"/>
      <c r="AQ1719" s="418"/>
      <c r="AR1719" s="418"/>
      <c r="AS1719" s="418"/>
      <c r="AT1719" s="418"/>
      <c r="AU1719" s="418"/>
      <c r="AV1719" s="418"/>
      <c r="AW1719" s="418"/>
      <c r="AX1719" s="418"/>
      <c r="AY1719" s="418"/>
      <c r="AZ1719" s="418"/>
      <c r="BA1719" s="418"/>
    </row>
    <row r="1720" spans="40:53" ht="15.75" customHeight="1">
      <c r="AN1720" s="418"/>
      <c r="AO1720" s="418"/>
      <c r="AP1720" s="418"/>
      <c r="AQ1720" s="418"/>
      <c r="AR1720" s="418"/>
      <c r="AS1720" s="418"/>
      <c r="AT1720" s="418"/>
      <c r="AU1720" s="418"/>
      <c r="AV1720" s="418"/>
      <c r="AW1720" s="418"/>
      <c r="AX1720" s="418"/>
      <c r="AY1720" s="418"/>
      <c r="AZ1720" s="418"/>
      <c r="BA1720" s="418"/>
    </row>
    <row r="1721" spans="40:53" ht="15.75" customHeight="1">
      <c r="AN1721" s="418"/>
      <c r="AO1721" s="418"/>
      <c r="AP1721" s="418"/>
      <c r="AQ1721" s="418"/>
      <c r="AR1721" s="418"/>
      <c r="AS1721" s="418"/>
      <c r="AT1721" s="418"/>
      <c r="AU1721" s="418"/>
      <c r="AV1721" s="418"/>
      <c r="AW1721" s="418"/>
      <c r="AX1721" s="418"/>
      <c r="AY1721" s="418"/>
      <c r="AZ1721" s="418"/>
      <c r="BA1721" s="418"/>
    </row>
    <row r="1722" spans="40:53" ht="15.75" customHeight="1">
      <c r="AN1722" s="418"/>
      <c r="AO1722" s="418"/>
      <c r="AP1722" s="418"/>
      <c r="AQ1722" s="418"/>
      <c r="AR1722" s="418"/>
      <c r="AS1722" s="418"/>
      <c r="AT1722" s="418"/>
      <c r="AU1722" s="418"/>
      <c r="AV1722" s="418"/>
      <c r="AW1722" s="418"/>
      <c r="AX1722" s="418"/>
      <c r="AY1722" s="418"/>
      <c r="AZ1722" s="418"/>
      <c r="BA1722" s="418"/>
    </row>
    <row r="1723" spans="40:53" ht="15.75" customHeight="1">
      <c r="AN1723" s="418"/>
      <c r="AO1723" s="418"/>
      <c r="AP1723" s="418"/>
      <c r="AQ1723" s="418"/>
      <c r="AR1723" s="418"/>
      <c r="AS1723" s="418"/>
      <c r="AT1723" s="418"/>
      <c r="AU1723" s="418"/>
      <c r="AV1723" s="418"/>
      <c r="AW1723" s="418"/>
      <c r="AX1723" s="418"/>
      <c r="AY1723" s="418"/>
      <c r="AZ1723" s="418"/>
      <c r="BA1723" s="418"/>
    </row>
    <row r="1724" spans="40:53" ht="15.75" customHeight="1">
      <c r="AN1724" s="418"/>
      <c r="AO1724" s="418"/>
      <c r="AP1724" s="418"/>
      <c r="AQ1724" s="418"/>
      <c r="AR1724" s="418"/>
      <c r="AS1724" s="418"/>
      <c r="AT1724" s="418"/>
      <c r="AU1724" s="418"/>
      <c r="AV1724" s="418"/>
      <c r="AW1724" s="418"/>
      <c r="AX1724" s="418"/>
      <c r="AY1724" s="418"/>
      <c r="AZ1724" s="418"/>
      <c r="BA1724" s="418"/>
    </row>
    <row r="1725" spans="40:53" ht="15.75" customHeight="1">
      <c r="AN1725" s="418"/>
      <c r="AO1725" s="418"/>
      <c r="AP1725" s="418"/>
      <c r="AQ1725" s="418"/>
      <c r="AR1725" s="418"/>
      <c r="AS1725" s="418"/>
      <c r="AT1725" s="418"/>
      <c r="AU1725" s="418"/>
      <c r="AV1725" s="418"/>
      <c r="AW1725" s="418"/>
      <c r="AX1725" s="418"/>
      <c r="AY1725" s="418"/>
      <c r="AZ1725" s="418"/>
      <c r="BA1725" s="418"/>
    </row>
    <row r="1726" spans="40:53" ht="15.75" customHeight="1">
      <c r="AN1726" s="418"/>
      <c r="AO1726" s="418"/>
      <c r="AP1726" s="418"/>
      <c r="AQ1726" s="418"/>
      <c r="AR1726" s="418"/>
      <c r="AS1726" s="418"/>
      <c r="AT1726" s="418"/>
      <c r="AU1726" s="418"/>
      <c r="AV1726" s="418"/>
      <c r="AW1726" s="418"/>
      <c r="AX1726" s="418"/>
      <c r="AY1726" s="418"/>
      <c r="AZ1726" s="418"/>
      <c r="BA1726" s="418"/>
    </row>
    <row r="1727" spans="40:53" ht="15.75" customHeight="1">
      <c r="AN1727" s="418"/>
      <c r="AO1727" s="418"/>
      <c r="AP1727" s="418"/>
      <c r="AQ1727" s="418"/>
      <c r="AR1727" s="418"/>
      <c r="AS1727" s="418"/>
      <c r="AT1727" s="418"/>
      <c r="AU1727" s="418"/>
      <c r="AV1727" s="418"/>
      <c r="AW1727" s="418"/>
      <c r="AX1727" s="418"/>
      <c r="AY1727" s="418"/>
      <c r="AZ1727" s="418"/>
      <c r="BA1727" s="418"/>
    </row>
    <row r="1728" spans="40:53" ht="15.75" customHeight="1">
      <c r="AN1728" s="418"/>
      <c r="AO1728" s="418"/>
      <c r="AP1728" s="418"/>
      <c r="AQ1728" s="418"/>
      <c r="AR1728" s="418"/>
      <c r="AS1728" s="418"/>
      <c r="AT1728" s="418"/>
      <c r="AU1728" s="418"/>
      <c r="AV1728" s="418"/>
      <c r="AW1728" s="418"/>
      <c r="AX1728" s="418"/>
      <c r="AY1728" s="418"/>
      <c r="AZ1728" s="418"/>
      <c r="BA1728" s="418"/>
    </row>
    <row r="1729" spans="40:53" ht="15.75" customHeight="1">
      <c r="AN1729" s="418"/>
      <c r="AO1729" s="418"/>
      <c r="AP1729" s="418"/>
      <c r="AQ1729" s="418"/>
      <c r="AR1729" s="418"/>
      <c r="AS1729" s="418"/>
      <c r="AT1729" s="418"/>
      <c r="AU1729" s="418"/>
      <c r="AV1729" s="418"/>
      <c r="AW1729" s="418"/>
      <c r="AX1729" s="418"/>
      <c r="AY1729" s="418"/>
      <c r="AZ1729" s="418"/>
      <c r="BA1729" s="418"/>
    </row>
    <row r="1730" spans="40:53" ht="15.75" customHeight="1">
      <c r="AN1730" s="418"/>
      <c r="AO1730" s="418"/>
      <c r="AP1730" s="418"/>
      <c r="AQ1730" s="418"/>
      <c r="AR1730" s="418"/>
      <c r="AS1730" s="418"/>
      <c r="AT1730" s="418"/>
      <c r="AU1730" s="418"/>
      <c r="AV1730" s="418"/>
      <c r="AW1730" s="418"/>
      <c r="AX1730" s="418"/>
      <c r="AY1730" s="418"/>
      <c r="AZ1730" s="418"/>
      <c r="BA1730" s="418"/>
    </row>
    <row r="1731" spans="40:53" ht="15.75" customHeight="1">
      <c r="AN1731" s="418"/>
      <c r="AO1731" s="418"/>
      <c r="AP1731" s="418"/>
      <c r="AQ1731" s="418"/>
      <c r="AR1731" s="418"/>
      <c r="AS1731" s="418"/>
      <c r="AT1731" s="418"/>
      <c r="AU1731" s="418"/>
      <c r="AV1731" s="418"/>
      <c r="AW1731" s="418"/>
      <c r="AX1731" s="418"/>
      <c r="AY1731" s="418"/>
      <c r="AZ1731" s="418"/>
      <c r="BA1731" s="418"/>
    </row>
    <row r="1732" spans="40:53" ht="15.75" customHeight="1">
      <c r="AN1732" s="418"/>
      <c r="AO1732" s="418"/>
      <c r="AP1732" s="418"/>
      <c r="AQ1732" s="418"/>
      <c r="AR1732" s="418"/>
      <c r="AS1732" s="418"/>
      <c r="AT1732" s="418"/>
      <c r="AU1732" s="418"/>
      <c r="AV1732" s="418"/>
      <c r="AW1732" s="418"/>
      <c r="AX1732" s="418"/>
      <c r="AY1732" s="418"/>
      <c r="AZ1732" s="418"/>
      <c r="BA1732" s="418"/>
    </row>
    <row r="1733" spans="40:53" ht="15.75" customHeight="1">
      <c r="AN1733" s="418"/>
      <c r="AO1733" s="418"/>
      <c r="AP1733" s="418"/>
      <c r="AQ1733" s="418"/>
      <c r="AR1733" s="418"/>
      <c r="AS1733" s="418"/>
      <c r="AT1733" s="418"/>
      <c r="AU1733" s="418"/>
      <c r="AV1733" s="418"/>
      <c r="AW1733" s="418"/>
      <c r="AX1733" s="418"/>
      <c r="AY1733" s="418"/>
      <c r="AZ1733" s="418"/>
      <c r="BA1733" s="418"/>
    </row>
    <row r="1734" spans="40:53" ht="15.75" customHeight="1">
      <c r="AN1734" s="418"/>
      <c r="AO1734" s="418"/>
      <c r="AP1734" s="418"/>
      <c r="AQ1734" s="418"/>
      <c r="AR1734" s="418"/>
      <c r="AS1734" s="418"/>
      <c r="AT1734" s="418"/>
      <c r="AU1734" s="418"/>
      <c r="AV1734" s="418"/>
      <c r="AW1734" s="418"/>
      <c r="AX1734" s="418"/>
      <c r="AY1734" s="418"/>
      <c r="AZ1734" s="418"/>
      <c r="BA1734" s="418"/>
    </row>
    <row r="1735" spans="40:53" ht="15.75" customHeight="1">
      <c r="AN1735" s="418"/>
      <c r="AO1735" s="418"/>
      <c r="AP1735" s="418"/>
      <c r="AQ1735" s="418"/>
      <c r="AR1735" s="418"/>
      <c r="AS1735" s="418"/>
      <c r="AT1735" s="418"/>
      <c r="AU1735" s="418"/>
      <c r="AV1735" s="418"/>
      <c r="AW1735" s="418"/>
      <c r="AX1735" s="418"/>
      <c r="AY1735" s="418"/>
      <c r="AZ1735" s="418"/>
      <c r="BA1735" s="418"/>
    </row>
    <row r="1736" spans="40:53" ht="15.75" customHeight="1">
      <c r="AN1736" s="418"/>
      <c r="AO1736" s="418"/>
      <c r="AP1736" s="418"/>
      <c r="AQ1736" s="418"/>
      <c r="AR1736" s="418"/>
      <c r="AS1736" s="418"/>
      <c r="AT1736" s="418"/>
      <c r="AU1736" s="418"/>
      <c r="AV1736" s="418"/>
      <c r="AW1736" s="418"/>
      <c r="AX1736" s="418"/>
      <c r="AY1736" s="418"/>
      <c r="AZ1736" s="418"/>
      <c r="BA1736" s="418"/>
    </row>
    <row r="1737" spans="40:53" ht="15.75" customHeight="1">
      <c r="AN1737" s="418"/>
      <c r="AO1737" s="418"/>
      <c r="AP1737" s="418"/>
      <c r="AQ1737" s="418"/>
      <c r="AR1737" s="418"/>
      <c r="AS1737" s="418"/>
      <c r="AT1737" s="418"/>
      <c r="AU1737" s="418"/>
      <c r="AV1737" s="418"/>
      <c r="AW1737" s="418"/>
      <c r="AX1737" s="418"/>
      <c r="AY1737" s="418"/>
      <c r="AZ1737" s="418"/>
      <c r="BA1737" s="418"/>
    </row>
    <row r="1738" spans="40:53" ht="15.75" customHeight="1">
      <c r="AN1738" s="418"/>
      <c r="AO1738" s="418"/>
      <c r="AP1738" s="418"/>
      <c r="AQ1738" s="418"/>
      <c r="AR1738" s="418"/>
      <c r="AS1738" s="418"/>
      <c r="AT1738" s="418"/>
      <c r="AU1738" s="418"/>
      <c r="AV1738" s="418"/>
      <c r="AW1738" s="418"/>
      <c r="AX1738" s="418"/>
      <c r="AY1738" s="418"/>
      <c r="AZ1738" s="418"/>
      <c r="BA1738" s="418"/>
    </row>
    <row r="1739" spans="40:53" ht="15.75" customHeight="1">
      <c r="AN1739" s="418"/>
      <c r="AO1739" s="418"/>
      <c r="AP1739" s="418"/>
      <c r="AQ1739" s="418"/>
      <c r="AR1739" s="418"/>
      <c r="AS1739" s="418"/>
      <c r="AT1739" s="418"/>
      <c r="AU1739" s="418"/>
      <c r="AV1739" s="418"/>
      <c r="AW1739" s="418"/>
      <c r="AX1739" s="418"/>
      <c r="AY1739" s="418"/>
      <c r="AZ1739" s="418"/>
      <c r="BA1739" s="418"/>
    </row>
    <row r="1740" spans="40:53" ht="15.75" customHeight="1">
      <c r="AN1740" s="418"/>
      <c r="AO1740" s="418"/>
      <c r="AP1740" s="418"/>
      <c r="AQ1740" s="418"/>
      <c r="AR1740" s="418"/>
      <c r="AS1740" s="418"/>
      <c r="AT1740" s="418"/>
      <c r="AU1740" s="418"/>
      <c r="AV1740" s="418"/>
      <c r="AW1740" s="418"/>
      <c r="AX1740" s="418"/>
      <c r="AY1740" s="418"/>
      <c r="AZ1740" s="418"/>
      <c r="BA1740" s="418"/>
    </row>
    <row r="1741" spans="40:53" ht="15.75" customHeight="1">
      <c r="AN1741" s="418"/>
      <c r="AO1741" s="418"/>
      <c r="AP1741" s="418"/>
      <c r="AQ1741" s="418"/>
      <c r="AR1741" s="418"/>
      <c r="AS1741" s="418"/>
      <c r="AT1741" s="418"/>
      <c r="AU1741" s="418"/>
      <c r="AV1741" s="418"/>
      <c r="AW1741" s="418"/>
      <c r="AX1741" s="418"/>
      <c r="AY1741" s="418"/>
      <c r="AZ1741" s="418"/>
      <c r="BA1741" s="418"/>
    </row>
    <row r="1742" spans="40:53" ht="15.75" customHeight="1">
      <c r="AN1742" s="418"/>
      <c r="AO1742" s="418"/>
      <c r="AP1742" s="418"/>
      <c r="AQ1742" s="418"/>
      <c r="AR1742" s="418"/>
      <c r="AS1742" s="418"/>
      <c r="AT1742" s="418"/>
      <c r="AU1742" s="418"/>
      <c r="AV1742" s="418"/>
      <c r="AW1742" s="418"/>
      <c r="AX1742" s="418"/>
      <c r="AY1742" s="418"/>
      <c r="AZ1742" s="418"/>
      <c r="BA1742" s="418"/>
    </row>
    <row r="1743" spans="40:53" ht="15.75" customHeight="1">
      <c r="AN1743" s="418"/>
      <c r="AO1743" s="418"/>
      <c r="AP1743" s="418"/>
      <c r="AQ1743" s="418"/>
      <c r="AR1743" s="418"/>
      <c r="AS1743" s="418"/>
      <c r="AT1743" s="418"/>
      <c r="AU1743" s="418"/>
      <c r="AV1743" s="418"/>
      <c r="AW1743" s="418"/>
      <c r="AX1743" s="418"/>
      <c r="AY1743" s="418"/>
      <c r="AZ1743" s="418"/>
      <c r="BA1743" s="418"/>
    </row>
    <row r="1744" spans="40:53" ht="15.75" customHeight="1">
      <c r="AN1744" s="418"/>
      <c r="AO1744" s="418"/>
      <c r="AP1744" s="418"/>
      <c r="AQ1744" s="418"/>
      <c r="AR1744" s="418"/>
      <c r="AS1744" s="418"/>
      <c r="AT1744" s="418"/>
      <c r="AU1744" s="418"/>
      <c r="AV1744" s="418"/>
      <c r="AW1744" s="418"/>
      <c r="AX1744" s="418"/>
      <c r="AY1744" s="418"/>
      <c r="AZ1744" s="418"/>
      <c r="BA1744" s="418"/>
    </row>
    <row r="1745" spans="40:53" ht="15.75" customHeight="1">
      <c r="AN1745" s="418"/>
      <c r="AO1745" s="418"/>
      <c r="AP1745" s="418"/>
      <c r="AQ1745" s="418"/>
      <c r="AR1745" s="418"/>
      <c r="AS1745" s="418"/>
      <c r="AT1745" s="418"/>
      <c r="AU1745" s="418"/>
      <c r="AV1745" s="418"/>
      <c r="AW1745" s="418"/>
      <c r="AX1745" s="418"/>
      <c r="AY1745" s="418"/>
      <c r="AZ1745" s="418"/>
      <c r="BA1745" s="418"/>
    </row>
    <row r="1746" spans="40:53" ht="15.75" customHeight="1">
      <c r="AN1746" s="418"/>
      <c r="AO1746" s="418"/>
      <c r="AP1746" s="418"/>
      <c r="AQ1746" s="418"/>
      <c r="AR1746" s="418"/>
      <c r="AS1746" s="418"/>
      <c r="AT1746" s="418"/>
      <c r="AU1746" s="418"/>
      <c r="AV1746" s="418"/>
      <c r="AW1746" s="418"/>
      <c r="AX1746" s="418"/>
      <c r="AY1746" s="418"/>
      <c r="AZ1746" s="418"/>
      <c r="BA1746" s="418"/>
    </row>
    <row r="1747" spans="40:53" ht="15.75" customHeight="1">
      <c r="AN1747" s="418"/>
      <c r="AO1747" s="418"/>
      <c r="AP1747" s="418"/>
      <c r="AQ1747" s="418"/>
      <c r="AR1747" s="418"/>
      <c r="AS1747" s="418"/>
      <c r="AT1747" s="418"/>
      <c r="AU1747" s="418"/>
      <c r="AV1747" s="418"/>
      <c r="AW1747" s="418"/>
      <c r="AX1747" s="418"/>
      <c r="AY1747" s="418"/>
      <c r="AZ1747" s="418"/>
      <c r="BA1747" s="418"/>
    </row>
    <row r="1748" spans="40:53" ht="15.75" customHeight="1">
      <c r="AN1748" s="418"/>
      <c r="AO1748" s="418"/>
      <c r="AP1748" s="418"/>
      <c r="AQ1748" s="418"/>
      <c r="AR1748" s="418"/>
      <c r="AS1748" s="418"/>
      <c r="AT1748" s="418"/>
      <c r="AU1748" s="418"/>
      <c r="AV1748" s="418"/>
      <c r="AW1748" s="418"/>
      <c r="AX1748" s="418"/>
      <c r="AY1748" s="418"/>
      <c r="AZ1748" s="418"/>
      <c r="BA1748" s="418"/>
    </row>
    <row r="1749" spans="40:53" ht="15.75" customHeight="1">
      <c r="AN1749" s="418"/>
      <c r="AO1749" s="418"/>
      <c r="AP1749" s="418"/>
      <c r="AQ1749" s="418"/>
      <c r="AR1749" s="418"/>
      <c r="AS1749" s="418"/>
      <c r="AT1749" s="418"/>
      <c r="AU1749" s="418"/>
      <c r="AV1749" s="418"/>
      <c r="AW1749" s="418"/>
      <c r="AX1749" s="418"/>
      <c r="AY1749" s="418"/>
      <c r="AZ1749" s="418"/>
      <c r="BA1749" s="418"/>
    </row>
    <row r="1750" spans="40:53" ht="15.75" customHeight="1">
      <c r="AN1750" s="418"/>
      <c r="AO1750" s="418"/>
      <c r="AP1750" s="418"/>
      <c r="AQ1750" s="418"/>
      <c r="AR1750" s="418"/>
      <c r="AS1750" s="418"/>
      <c r="AT1750" s="418"/>
      <c r="AU1750" s="418"/>
      <c r="AV1750" s="418"/>
      <c r="AW1750" s="418"/>
      <c r="AX1750" s="418"/>
      <c r="AY1750" s="418"/>
      <c r="AZ1750" s="418"/>
      <c r="BA1750" s="418"/>
    </row>
    <row r="1751" spans="40:53" ht="15.75" customHeight="1">
      <c r="AN1751" s="418"/>
      <c r="AO1751" s="418"/>
      <c r="AP1751" s="418"/>
      <c r="AQ1751" s="418"/>
      <c r="AR1751" s="418"/>
      <c r="AS1751" s="418"/>
      <c r="AT1751" s="418"/>
      <c r="AU1751" s="418"/>
      <c r="AV1751" s="418"/>
      <c r="AW1751" s="418"/>
      <c r="AX1751" s="418"/>
      <c r="AY1751" s="418"/>
      <c r="AZ1751" s="418"/>
      <c r="BA1751" s="418"/>
    </row>
    <row r="1752" spans="40:53" ht="15.75" customHeight="1">
      <c r="AN1752" s="418"/>
      <c r="AO1752" s="418"/>
      <c r="AP1752" s="418"/>
      <c r="AQ1752" s="418"/>
      <c r="AR1752" s="418"/>
      <c r="AS1752" s="418"/>
      <c r="AT1752" s="418"/>
      <c r="AU1752" s="418"/>
      <c r="AV1752" s="418"/>
      <c r="AW1752" s="418"/>
      <c r="AX1752" s="418"/>
      <c r="AY1752" s="418"/>
      <c r="AZ1752" s="418"/>
      <c r="BA1752" s="418"/>
    </row>
    <row r="1753" spans="40:53" ht="15.75" customHeight="1">
      <c r="AN1753" s="418"/>
      <c r="AO1753" s="418"/>
      <c r="AP1753" s="418"/>
      <c r="AQ1753" s="418"/>
      <c r="AR1753" s="418"/>
      <c r="AS1753" s="418"/>
      <c r="AT1753" s="418"/>
      <c r="AU1753" s="418"/>
      <c r="AV1753" s="418"/>
      <c r="AW1753" s="418"/>
      <c r="AX1753" s="418"/>
      <c r="AY1753" s="418"/>
      <c r="AZ1753" s="418"/>
      <c r="BA1753" s="418"/>
    </row>
    <row r="1754" spans="40:53" ht="15.75" customHeight="1">
      <c r="AN1754" s="418"/>
      <c r="AO1754" s="418"/>
      <c r="AP1754" s="418"/>
      <c r="AQ1754" s="418"/>
      <c r="AR1754" s="418"/>
      <c r="AS1754" s="418"/>
      <c r="AT1754" s="418"/>
      <c r="AU1754" s="418"/>
      <c r="AV1754" s="418"/>
      <c r="AW1754" s="418"/>
      <c r="AX1754" s="418"/>
      <c r="AY1754" s="418"/>
      <c r="AZ1754" s="418"/>
      <c r="BA1754" s="418"/>
    </row>
    <row r="1755" spans="40:53" ht="15.75" customHeight="1">
      <c r="AN1755" s="418"/>
      <c r="AO1755" s="418"/>
      <c r="AP1755" s="418"/>
      <c r="AQ1755" s="418"/>
      <c r="AR1755" s="418"/>
      <c r="AS1755" s="418"/>
      <c r="AT1755" s="418"/>
      <c r="AU1755" s="418"/>
      <c r="AV1755" s="418"/>
      <c r="AW1755" s="418"/>
      <c r="AX1755" s="418"/>
      <c r="AY1755" s="418"/>
      <c r="AZ1755" s="418"/>
      <c r="BA1755" s="418"/>
    </row>
    <row r="1756" spans="40:53" ht="15.75" customHeight="1">
      <c r="AN1756" s="418"/>
      <c r="AO1756" s="418"/>
      <c r="AP1756" s="418"/>
      <c r="AQ1756" s="418"/>
      <c r="AR1756" s="418"/>
      <c r="AS1756" s="418"/>
      <c r="AT1756" s="418"/>
      <c r="AU1756" s="418"/>
      <c r="AV1756" s="418"/>
      <c r="AW1756" s="418"/>
      <c r="AX1756" s="418"/>
      <c r="AY1756" s="418"/>
      <c r="AZ1756" s="418"/>
      <c r="BA1756" s="418"/>
    </row>
    <row r="1757" spans="40:53" ht="15.75" customHeight="1">
      <c r="AN1757" s="418"/>
      <c r="AO1757" s="418"/>
      <c r="AP1757" s="418"/>
      <c r="AQ1757" s="418"/>
      <c r="AR1757" s="418"/>
      <c r="AS1757" s="418"/>
      <c r="AT1757" s="418"/>
      <c r="AU1757" s="418"/>
      <c r="AV1757" s="418"/>
      <c r="AW1757" s="418"/>
      <c r="AX1757" s="418"/>
      <c r="AY1757" s="418"/>
      <c r="AZ1757" s="418"/>
      <c r="BA1757" s="418"/>
    </row>
    <row r="1758" spans="40:53" ht="15.75" customHeight="1">
      <c r="AN1758" s="418"/>
      <c r="AO1758" s="418"/>
      <c r="AP1758" s="418"/>
      <c r="AQ1758" s="418"/>
      <c r="AR1758" s="418"/>
      <c r="AS1758" s="418"/>
      <c r="AT1758" s="418"/>
      <c r="AU1758" s="418"/>
      <c r="AV1758" s="418"/>
      <c r="AW1758" s="418"/>
      <c r="AX1758" s="418"/>
      <c r="AY1758" s="418"/>
      <c r="AZ1758" s="418"/>
      <c r="BA1758" s="418"/>
    </row>
    <row r="1759" spans="40:53" ht="15.75" customHeight="1">
      <c r="AN1759" s="418"/>
      <c r="AO1759" s="418"/>
      <c r="AP1759" s="418"/>
      <c r="AQ1759" s="418"/>
      <c r="AR1759" s="418"/>
      <c r="AS1759" s="418"/>
      <c r="AT1759" s="418"/>
      <c r="AU1759" s="418"/>
      <c r="AV1759" s="418"/>
      <c r="AW1759" s="418"/>
      <c r="AX1759" s="418"/>
      <c r="AY1759" s="418"/>
      <c r="AZ1759" s="418"/>
      <c r="BA1759" s="418"/>
    </row>
    <row r="1760" spans="40:53" ht="15.75" customHeight="1">
      <c r="AN1760" s="418"/>
      <c r="AO1760" s="418"/>
      <c r="AP1760" s="418"/>
      <c r="AQ1760" s="418"/>
      <c r="AR1760" s="418"/>
      <c r="AS1760" s="418"/>
      <c r="AT1760" s="418"/>
      <c r="AU1760" s="418"/>
      <c r="AV1760" s="418"/>
      <c r="AW1760" s="418"/>
      <c r="AX1760" s="418"/>
      <c r="AY1760" s="418"/>
      <c r="AZ1760" s="418"/>
      <c r="BA1760" s="418"/>
    </row>
    <row r="1761" spans="40:53" ht="15.75" customHeight="1">
      <c r="AN1761" s="418"/>
      <c r="AO1761" s="418"/>
      <c r="AP1761" s="418"/>
      <c r="AQ1761" s="418"/>
      <c r="AR1761" s="418"/>
      <c r="AS1761" s="418"/>
      <c r="AT1761" s="418"/>
      <c r="AU1761" s="418"/>
      <c r="AV1761" s="418"/>
      <c r="AW1761" s="418"/>
      <c r="AX1761" s="418"/>
      <c r="AY1761" s="418"/>
      <c r="AZ1761" s="418"/>
      <c r="BA1761" s="418"/>
    </row>
    <row r="1762" spans="40:53" ht="15.75" customHeight="1">
      <c r="AN1762" s="418"/>
      <c r="AO1762" s="418"/>
      <c r="AP1762" s="418"/>
      <c r="AQ1762" s="418"/>
      <c r="AR1762" s="418"/>
      <c r="AS1762" s="418"/>
      <c r="AT1762" s="418"/>
      <c r="AU1762" s="418"/>
      <c r="AV1762" s="418"/>
      <c r="AW1762" s="418"/>
      <c r="AX1762" s="418"/>
      <c r="AY1762" s="418"/>
      <c r="AZ1762" s="418"/>
      <c r="BA1762" s="418"/>
    </row>
    <row r="1763" spans="40:53" ht="15.75" customHeight="1">
      <c r="AN1763" s="418"/>
      <c r="AO1763" s="418"/>
      <c r="AP1763" s="418"/>
      <c r="AQ1763" s="418"/>
      <c r="AR1763" s="418"/>
      <c r="AS1763" s="418"/>
      <c r="AT1763" s="418"/>
      <c r="AU1763" s="418"/>
      <c r="AV1763" s="418"/>
      <c r="AW1763" s="418"/>
      <c r="AX1763" s="418"/>
      <c r="AY1763" s="418"/>
      <c r="AZ1763" s="418"/>
      <c r="BA1763" s="418"/>
    </row>
    <row r="1764" spans="40:53" ht="15.75" customHeight="1">
      <c r="AN1764" s="418"/>
      <c r="AO1764" s="418"/>
      <c r="AP1764" s="418"/>
      <c r="AQ1764" s="418"/>
      <c r="AR1764" s="418"/>
      <c r="AS1764" s="418"/>
      <c r="AT1764" s="418"/>
      <c r="AU1764" s="418"/>
      <c r="AV1764" s="418"/>
      <c r="AW1764" s="418"/>
      <c r="AX1764" s="418"/>
      <c r="AY1764" s="418"/>
      <c r="AZ1764" s="418"/>
      <c r="BA1764" s="418"/>
    </row>
    <row r="1765" spans="40:53" ht="15.75" customHeight="1">
      <c r="AN1765" s="418"/>
      <c r="AO1765" s="418"/>
      <c r="AP1765" s="418"/>
      <c r="AQ1765" s="418"/>
      <c r="AR1765" s="418"/>
      <c r="AS1765" s="418"/>
      <c r="AT1765" s="418"/>
      <c r="AU1765" s="418"/>
      <c r="AV1765" s="418"/>
      <c r="AW1765" s="418"/>
      <c r="AX1765" s="418"/>
      <c r="AY1765" s="418"/>
      <c r="AZ1765" s="418"/>
      <c r="BA1765" s="418"/>
    </row>
    <row r="1766" spans="40:53" ht="15.75" customHeight="1">
      <c r="AN1766" s="418"/>
      <c r="AO1766" s="418"/>
      <c r="AP1766" s="418"/>
      <c r="AQ1766" s="418"/>
      <c r="AR1766" s="418"/>
      <c r="AS1766" s="418"/>
      <c r="AT1766" s="418"/>
      <c r="AU1766" s="418"/>
      <c r="AV1766" s="418"/>
      <c r="AW1766" s="418"/>
      <c r="AX1766" s="418"/>
      <c r="AY1766" s="418"/>
      <c r="AZ1766" s="418"/>
      <c r="BA1766" s="418"/>
    </row>
    <row r="1767" spans="40:53" ht="15.75" customHeight="1">
      <c r="AN1767" s="418"/>
      <c r="AO1767" s="418"/>
      <c r="AP1767" s="418"/>
      <c r="AQ1767" s="418"/>
      <c r="AR1767" s="418"/>
      <c r="AS1767" s="418"/>
      <c r="AT1767" s="418"/>
      <c r="AU1767" s="418"/>
      <c r="AV1767" s="418"/>
      <c r="AW1767" s="418"/>
      <c r="AX1767" s="418"/>
      <c r="AY1767" s="418"/>
      <c r="AZ1767" s="418"/>
      <c r="BA1767" s="418"/>
    </row>
    <row r="1768" spans="40:53" ht="15.75" customHeight="1">
      <c r="AN1768" s="418"/>
      <c r="AO1768" s="418"/>
      <c r="AP1768" s="418"/>
      <c r="AQ1768" s="418"/>
      <c r="AR1768" s="418"/>
      <c r="AS1768" s="418"/>
      <c r="AT1768" s="418"/>
      <c r="AU1768" s="418"/>
      <c r="AV1768" s="418"/>
      <c r="AW1768" s="418"/>
      <c r="AX1768" s="418"/>
      <c r="AY1768" s="418"/>
      <c r="AZ1768" s="418"/>
      <c r="BA1768" s="418"/>
    </row>
    <row r="1769" spans="40:53" ht="15.75" customHeight="1">
      <c r="AN1769" s="418"/>
      <c r="AO1769" s="418"/>
      <c r="AP1769" s="418"/>
      <c r="AQ1769" s="418"/>
      <c r="AR1769" s="418"/>
      <c r="AS1769" s="418"/>
      <c r="AT1769" s="418"/>
      <c r="AU1769" s="418"/>
      <c r="AV1769" s="418"/>
      <c r="AW1769" s="418"/>
      <c r="AX1769" s="418"/>
      <c r="AY1769" s="418"/>
      <c r="AZ1769" s="418"/>
      <c r="BA1769" s="418"/>
    </row>
    <row r="1770" spans="40:53" ht="15.75" customHeight="1">
      <c r="AN1770" s="418"/>
      <c r="AO1770" s="418"/>
      <c r="AP1770" s="418"/>
      <c r="AQ1770" s="418"/>
      <c r="AR1770" s="418"/>
      <c r="AS1770" s="418"/>
      <c r="AT1770" s="418"/>
      <c r="AU1770" s="418"/>
      <c r="AV1770" s="418"/>
      <c r="AW1770" s="418"/>
      <c r="AX1770" s="418"/>
      <c r="AY1770" s="418"/>
      <c r="AZ1770" s="418"/>
      <c r="BA1770" s="418"/>
    </row>
    <row r="1771" spans="40:53" ht="15.75" customHeight="1">
      <c r="AN1771" s="418"/>
      <c r="AO1771" s="418"/>
      <c r="AP1771" s="418"/>
      <c r="AQ1771" s="418"/>
      <c r="AR1771" s="418"/>
      <c r="AS1771" s="418"/>
      <c r="AT1771" s="418"/>
      <c r="AU1771" s="418"/>
      <c r="AV1771" s="418"/>
      <c r="AW1771" s="418"/>
      <c r="AX1771" s="418"/>
      <c r="AY1771" s="418"/>
      <c r="AZ1771" s="418"/>
      <c r="BA1771" s="418"/>
    </row>
    <row r="1772" spans="40:53" ht="15.75" customHeight="1">
      <c r="AN1772" s="418"/>
      <c r="AO1772" s="418"/>
      <c r="AP1772" s="418"/>
      <c r="AQ1772" s="418"/>
      <c r="AR1772" s="418"/>
      <c r="AS1772" s="418"/>
      <c r="AT1772" s="418"/>
      <c r="AU1772" s="418"/>
      <c r="AV1772" s="418"/>
      <c r="AW1772" s="418"/>
      <c r="AX1772" s="418"/>
      <c r="AY1772" s="418"/>
      <c r="AZ1772" s="418"/>
      <c r="BA1772" s="418"/>
    </row>
    <row r="1773" spans="40:53" ht="15.75" customHeight="1">
      <c r="AN1773" s="418"/>
      <c r="AO1773" s="418"/>
      <c r="AP1773" s="418"/>
      <c r="AQ1773" s="418"/>
      <c r="AR1773" s="418"/>
      <c r="AS1773" s="418"/>
      <c r="AT1773" s="418"/>
      <c r="AU1773" s="418"/>
      <c r="AV1773" s="418"/>
      <c r="AW1773" s="418"/>
      <c r="AX1773" s="418"/>
      <c r="AY1773" s="418"/>
      <c r="AZ1773" s="418"/>
      <c r="BA1773" s="418"/>
    </row>
    <row r="1774" spans="40:53" ht="15.75" customHeight="1">
      <c r="AN1774" s="418"/>
      <c r="AO1774" s="418"/>
      <c r="AP1774" s="418"/>
      <c r="AQ1774" s="418"/>
      <c r="AR1774" s="418"/>
      <c r="AS1774" s="418"/>
      <c r="AT1774" s="418"/>
      <c r="AU1774" s="418"/>
      <c r="AV1774" s="418"/>
      <c r="AW1774" s="418"/>
      <c r="AX1774" s="418"/>
      <c r="AY1774" s="418"/>
      <c r="AZ1774" s="418"/>
      <c r="BA1774" s="418"/>
    </row>
    <row r="1775" spans="40:53" ht="15.75" customHeight="1">
      <c r="AN1775" s="418"/>
      <c r="AO1775" s="418"/>
      <c r="AP1775" s="418"/>
      <c r="AQ1775" s="418"/>
      <c r="AR1775" s="418"/>
      <c r="AS1775" s="418"/>
      <c r="AT1775" s="418"/>
      <c r="AU1775" s="418"/>
      <c r="AV1775" s="418"/>
      <c r="AW1775" s="418"/>
      <c r="AX1775" s="418"/>
      <c r="AY1775" s="418"/>
      <c r="AZ1775" s="418"/>
      <c r="BA1775" s="418"/>
    </row>
    <row r="1776" spans="40:53" ht="15.75" customHeight="1">
      <c r="AN1776" s="418"/>
      <c r="AO1776" s="418"/>
      <c r="AP1776" s="418"/>
      <c r="AQ1776" s="418"/>
      <c r="AR1776" s="418"/>
      <c r="AS1776" s="418"/>
      <c r="AT1776" s="418"/>
      <c r="AU1776" s="418"/>
      <c r="AV1776" s="418"/>
      <c r="AW1776" s="418"/>
      <c r="AX1776" s="418"/>
      <c r="AY1776" s="418"/>
      <c r="AZ1776" s="418"/>
      <c r="BA1776" s="418"/>
    </row>
    <row r="1777" spans="40:53" ht="15.75" customHeight="1">
      <c r="AN1777" s="418"/>
      <c r="AO1777" s="418"/>
      <c r="AP1777" s="418"/>
      <c r="AQ1777" s="418"/>
      <c r="AR1777" s="418"/>
      <c r="AS1777" s="418"/>
      <c r="AT1777" s="418"/>
      <c r="AU1777" s="418"/>
      <c r="AV1777" s="418"/>
      <c r="AW1777" s="418"/>
      <c r="AX1777" s="418"/>
      <c r="AY1777" s="418"/>
      <c r="AZ1777" s="418"/>
      <c r="BA1777" s="418"/>
    </row>
    <row r="1778" spans="40:53" ht="15.75" customHeight="1">
      <c r="AN1778" s="418"/>
      <c r="AO1778" s="418"/>
      <c r="AP1778" s="418"/>
      <c r="AQ1778" s="418"/>
      <c r="AR1778" s="418"/>
      <c r="AS1778" s="418"/>
      <c r="AT1778" s="418"/>
      <c r="AU1778" s="418"/>
      <c r="AV1778" s="418"/>
      <c r="AW1778" s="418"/>
      <c r="AX1778" s="418"/>
      <c r="AY1778" s="418"/>
      <c r="AZ1778" s="418"/>
      <c r="BA1778" s="418"/>
    </row>
    <row r="1779" spans="40:53" ht="15.75" customHeight="1">
      <c r="AN1779" s="418"/>
      <c r="AO1779" s="418"/>
      <c r="AP1779" s="418"/>
      <c r="AQ1779" s="418"/>
      <c r="AR1779" s="418"/>
      <c r="AS1779" s="418"/>
      <c r="AT1779" s="418"/>
      <c r="AU1779" s="418"/>
      <c r="AV1779" s="418"/>
      <c r="AW1779" s="418"/>
      <c r="AX1779" s="418"/>
      <c r="AY1779" s="418"/>
      <c r="AZ1779" s="418"/>
      <c r="BA1779" s="418"/>
    </row>
    <row r="1780" spans="40:53" ht="15.75" customHeight="1">
      <c r="AN1780" s="418"/>
      <c r="AO1780" s="418"/>
      <c r="AP1780" s="418"/>
      <c r="AQ1780" s="418"/>
      <c r="AR1780" s="418"/>
      <c r="AS1780" s="418"/>
      <c r="AT1780" s="418"/>
      <c r="AU1780" s="418"/>
      <c r="AV1780" s="418"/>
      <c r="AW1780" s="418"/>
      <c r="AX1780" s="418"/>
      <c r="AY1780" s="418"/>
      <c r="AZ1780" s="418"/>
      <c r="BA1780" s="418"/>
    </row>
    <row r="1781" spans="40:53" ht="15.75" customHeight="1">
      <c r="AN1781" s="418"/>
      <c r="AO1781" s="418"/>
      <c r="AP1781" s="418"/>
      <c r="AQ1781" s="418"/>
      <c r="AR1781" s="418"/>
      <c r="AS1781" s="418"/>
      <c r="AT1781" s="418"/>
      <c r="AU1781" s="418"/>
      <c r="AV1781" s="418"/>
      <c r="AW1781" s="418"/>
      <c r="AX1781" s="418"/>
      <c r="AY1781" s="418"/>
      <c r="AZ1781" s="418"/>
      <c r="BA1781" s="418"/>
    </row>
    <row r="1782" spans="40:53" ht="15.75" customHeight="1">
      <c r="AN1782" s="418"/>
      <c r="AO1782" s="418"/>
      <c r="AP1782" s="418"/>
      <c r="AQ1782" s="418"/>
      <c r="AR1782" s="418"/>
      <c r="AS1782" s="418"/>
      <c r="AT1782" s="418"/>
      <c r="AU1782" s="418"/>
      <c r="AV1782" s="418"/>
      <c r="AW1782" s="418"/>
      <c r="AX1782" s="418"/>
      <c r="AY1782" s="418"/>
      <c r="AZ1782" s="418"/>
      <c r="BA1782" s="418"/>
    </row>
    <row r="1783" spans="40:53" ht="15.75" customHeight="1">
      <c r="AN1783" s="418"/>
      <c r="AO1783" s="418"/>
      <c r="AP1783" s="418"/>
      <c r="AQ1783" s="418"/>
      <c r="AR1783" s="418"/>
      <c r="AS1783" s="418"/>
      <c r="AT1783" s="418"/>
      <c r="AU1783" s="418"/>
      <c r="AV1783" s="418"/>
      <c r="AW1783" s="418"/>
      <c r="AX1783" s="418"/>
      <c r="AY1783" s="418"/>
      <c r="AZ1783" s="418"/>
      <c r="BA1783" s="418"/>
    </row>
    <row r="1784" spans="40:53" ht="15.75" customHeight="1">
      <c r="AN1784" s="418"/>
      <c r="AO1784" s="418"/>
      <c r="AP1784" s="418"/>
      <c r="AQ1784" s="418"/>
      <c r="AR1784" s="418"/>
      <c r="AS1784" s="418"/>
      <c r="AT1784" s="418"/>
      <c r="AU1784" s="418"/>
      <c r="AV1784" s="418"/>
      <c r="AW1784" s="418"/>
      <c r="AX1784" s="418"/>
      <c r="AY1784" s="418"/>
      <c r="AZ1784" s="418"/>
      <c r="BA1784" s="418"/>
    </row>
    <row r="1785" spans="40:53" ht="15.75" customHeight="1">
      <c r="AN1785" s="418"/>
      <c r="AO1785" s="418"/>
      <c r="AP1785" s="418"/>
      <c r="AQ1785" s="418"/>
      <c r="AR1785" s="418"/>
      <c r="AS1785" s="418"/>
      <c r="AT1785" s="418"/>
      <c r="AU1785" s="418"/>
      <c r="AV1785" s="418"/>
      <c r="AW1785" s="418"/>
      <c r="AX1785" s="418"/>
      <c r="AY1785" s="418"/>
      <c r="AZ1785" s="418"/>
      <c r="BA1785" s="418"/>
    </row>
    <row r="1786" spans="40:53" ht="15.75" customHeight="1">
      <c r="AN1786" s="418"/>
      <c r="AO1786" s="418"/>
      <c r="AP1786" s="418"/>
      <c r="AQ1786" s="418"/>
      <c r="AR1786" s="418"/>
      <c r="AS1786" s="418"/>
      <c r="AT1786" s="418"/>
      <c r="AU1786" s="418"/>
      <c r="AV1786" s="418"/>
      <c r="AW1786" s="418"/>
      <c r="AX1786" s="418"/>
      <c r="AY1786" s="418"/>
      <c r="AZ1786" s="418"/>
      <c r="BA1786" s="418"/>
    </row>
    <row r="1787" spans="40:53" ht="15.75" customHeight="1">
      <c r="AN1787" s="418"/>
      <c r="AO1787" s="418"/>
      <c r="AP1787" s="418"/>
      <c r="AQ1787" s="418"/>
      <c r="AR1787" s="418"/>
      <c r="AS1787" s="418"/>
      <c r="AT1787" s="418"/>
      <c r="AU1787" s="418"/>
      <c r="AV1787" s="418"/>
      <c r="AW1787" s="418"/>
      <c r="AX1787" s="418"/>
      <c r="AY1787" s="418"/>
      <c r="AZ1787" s="418"/>
      <c r="BA1787" s="418"/>
    </row>
    <row r="1788" spans="40:53" ht="15.75" customHeight="1">
      <c r="AN1788" s="418"/>
      <c r="AO1788" s="418"/>
      <c r="AP1788" s="418"/>
      <c r="AQ1788" s="418"/>
      <c r="AR1788" s="418"/>
      <c r="AS1788" s="418"/>
      <c r="AT1788" s="418"/>
      <c r="AU1788" s="418"/>
      <c r="AV1788" s="418"/>
      <c r="AW1788" s="418"/>
      <c r="AX1788" s="418"/>
      <c r="AY1788" s="418"/>
      <c r="AZ1788" s="418"/>
      <c r="BA1788" s="418"/>
    </row>
    <row r="1789" spans="40:53" ht="15.75" customHeight="1">
      <c r="AN1789" s="418"/>
      <c r="AO1789" s="418"/>
      <c r="AP1789" s="418"/>
      <c r="AQ1789" s="418"/>
      <c r="AR1789" s="418"/>
      <c r="AS1789" s="418"/>
      <c r="AT1789" s="418"/>
      <c r="AU1789" s="418"/>
      <c r="AV1789" s="418"/>
      <c r="AW1789" s="418"/>
      <c r="AX1789" s="418"/>
      <c r="AY1789" s="418"/>
      <c r="AZ1789" s="418"/>
      <c r="BA1789" s="418"/>
    </row>
    <row r="1790" spans="40:53" ht="15.75" customHeight="1">
      <c r="AN1790" s="418"/>
      <c r="AO1790" s="418"/>
      <c r="AP1790" s="418"/>
      <c r="AQ1790" s="418"/>
      <c r="AR1790" s="418"/>
      <c r="AS1790" s="418"/>
      <c r="AT1790" s="418"/>
      <c r="AU1790" s="418"/>
      <c r="AV1790" s="418"/>
      <c r="AW1790" s="418"/>
      <c r="AX1790" s="418"/>
      <c r="AY1790" s="418"/>
      <c r="AZ1790" s="418"/>
      <c r="BA1790" s="418"/>
    </row>
    <row r="1791" spans="40:53" ht="15.75" customHeight="1">
      <c r="AN1791" s="418"/>
      <c r="AO1791" s="418"/>
      <c r="AP1791" s="418"/>
      <c r="AQ1791" s="418"/>
      <c r="AR1791" s="418"/>
      <c r="AS1791" s="418"/>
      <c r="AT1791" s="418"/>
      <c r="AU1791" s="418"/>
      <c r="AV1791" s="418"/>
      <c r="AW1791" s="418"/>
      <c r="AX1791" s="418"/>
      <c r="AY1791" s="418"/>
      <c r="AZ1791" s="418"/>
      <c r="BA1791" s="418"/>
    </row>
    <row r="1792" spans="40:53" ht="15.75" customHeight="1">
      <c r="AN1792" s="418"/>
      <c r="AO1792" s="418"/>
      <c r="AP1792" s="418"/>
      <c r="AQ1792" s="418"/>
      <c r="AR1792" s="418"/>
      <c r="AS1792" s="418"/>
      <c r="AT1792" s="418"/>
      <c r="AU1792" s="418"/>
      <c r="AV1792" s="418"/>
      <c r="AW1792" s="418"/>
      <c r="AX1792" s="418"/>
      <c r="AY1792" s="418"/>
      <c r="AZ1792" s="418"/>
      <c r="BA1792" s="418"/>
    </row>
    <row r="1793" spans="40:53" ht="15.75" customHeight="1">
      <c r="AN1793" s="418"/>
      <c r="AO1793" s="418"/>
      <c r="AP1793" s="418"/>
      <c r="AQ1793" s="418"/>
      <c r="AR1793" s="418"/>
      <c r="AS1793" s="418"/>
      <c r="AT1793" s="418"/>
      <c r="AU1793" s="418"/>
      <c r="AV1793" s="418"/>
      <c r="AW1793" s="418"/>
      <c r="AX1793" s="418"/>
      <c r="AY1793" s="418"/>
      <c r="AZ1793" s="418"/>
      <c r="BA1793" s="418"/>
    </row>
    <row r="1794" spans="40:53" ht="15.75" customHeight="1">
      <c r="AN1794" s="418"/>
      <c r="AO1794" s="418"/>
      <c r="AP1794" s="418"/>
      <c r="AQ1794" s="418"/>
      <c r="AR1794" s="418"/>
      <c r="AS1794" s="418"/>
      <c r="AT1794" s="418"/>
      <c r="AU1794" s="418"/>
      <c r="AV1794" s="418"/>
      <c r="AW1794" s="418"/>
      <c r="AX1794" s="418"/>
      <c r="AY1794" s="418"/>
      <c r="AZ1794" s="418"/>
      <c r="BA1794" s="418"/>
    </row>
    <row r="1795" spans="40:53" ht="15.75" customHeight="1">
      <c r="AN1795" s="418"/>
      <c r="AO1795" s="418"/>
      <c r="AP1795" s="418"/>
      <c r="AQ1795" s="418"/>
      <c r="AR1795" s="418"/>
      <c r="AS1795" s="418"/>
      <c r="AT1795" s="418"/>
      <c r="AU1795" s="418"/>
      <c r="AV1795" s="418"/>
      <c r="AW1795" s="418"/>
      <c r="AX1795" s="418"/>
      <c r="AY1795" s="418"/>
      <c r="AZ1795" s="418"/>
      <c r="BA1795" s="418"/>
    </row>
    <row r="1796" spans="40:53" ht="15.75" customHeight="1">
      <c r="AN1796" s="418"/>
      <c r="AO1796" s="418"/>
      <c r="AP1796" s="418"/>
      <c r="AQ1796" s="418"/>
      <c r="AR1796" s="418"/>
      <c r="AS1796" s="418"/>
      <c r="AT1796" s="418"/>
      <c r="AU1796" s="418"/>
      <c r="AV1796" s="418"/>
      <c r="AW1796" s="418"/>
      <c r="AX1796" s="418"/>
      <c r="AY1796" s="418"/>
      <c r="AZ1796" s="418"/>
      <c r="BA1796" s="418"/>
    </row>
    <row r="1797" spans="40:53" ht="15.75" customHeight="1">
      <c r="AN1797" s="418"/>
      <c r="AO1797" s="418"/>
      <c r="AP1797" s="418"/>
      <c r="AQ1797" s="418"/>
      <c r="AR1797" s="418"/>
      <c r="AS1797" s="418"/>
      <c r="AT1797" s="418"/>
      <c r="AU1797" s="418"/>
      <c r="AV1797" s="418"/>
      <c r="AW1797" s="418"/>
      <c r="AX1797" s="418"/>
      <c r="AY1797" s="418"/>
      <c r="AZ1797" s="418"/>
      <c r="BA1797" s="418"/>
    </row>
    <row r="1798" spans="40:53" ht="15.75" customHeight="1">
      <c r="AN1798" s="418"/>
      <c r="AO1798" s="418"/>
      <c r="AP1798" s="418"/>
      <c r="AQ1798" s="418"/>
      <c r="AR1798" s="418"/>
      <c r="AS1798" s="418"/>
      <c r="AT1798" s="418"/>
      <c r="AU1798" s="418"/>
      <c r="AV1798" s="418"/>
      <c r="AW1798" s="418"/>
      <c r="AX1798" s="418"/>
      <c r="AY1798" s="418"/>
      <c r="AZ1798" s="418"/>
      <c r="BA1798" s="418"/>
    </row>
    <row r="1799" spans="40:53" ht="15.75" customHeight="1">
      <c r="AN1799" s="418"/>
      <c r="AO1799" s="418"/>
      <c r="AP1799" s="418"/>
      <c r="AQ1799" s="418"/>
      <c r="AR1799" s="418"/>
      <c r="AS1799" s="418"/>
      <c r="AT1799" s="418"/>
      <c r="AU1799" s="418"/>
      <c r="AV1799" s="418"/>
      <c r="AW1799" s="418"/>
      <c r="AX1799" s="418"/>
      <c r="AY1799" s="418"/>
      <c r="AZ1799" s="418"/>
      <c r="BA1799" s="418"/>
    </row>
    <row r="1800" spans="40:53" ht="15.75" customHeight="1">
      <c r="AN1800" s="418"/>
      <c r="AO1800" s="418"/>
      <c r="AP1800" s="418"/>
      <c r="AQ1800" s="418"/>
      <c r="AR1800" s="418"/>
      <c r="AS1800" s="418"/>
      <c r="AT1800" s="418"/>
      <c r="AU1800" s="418"/>
      <c r="AV1800" s="418"/>
      <c r="AW1800" s="418"/>
      <c r="AX1800" s="418"/>
      <c r="AY1800" s="418"/>
      <c r="AZ1800" s="418"/>
      <c r="BA1800" s="418"/>
    </row>
    <row r="1801" spans="40:53" ht="15.75" customHeight="1">
      <c r="AN1801" s="418"/>
      <c r="AO1801" s="418"/>
      <c r="AP1801" s="418"/>
      <c r="AQ1801" s="418"/>
      <c r="AR1801" s="418"/>
      <c r="AS1801" s="418"/>
      <c r="AT1801" s="418"/>
      <c r="AU1801" s="418"/>
      <c r="AV1801" s="418"/>
      <c r="AW1801" s="418"/>
      <c r="AX1801" s="418"/>
      <c r="AY1801" s="418"/>
      <c r="AZ1801" s="418"/>
      <c r="BA1801" s="418"/>
    </row>
    <row r="1802" spans="40:53" ht="15.75" customHeight="1">
      <c r="AN1802" s="418"/>
      <c r="AO1802" s="418"/>
      <c r="AP1802" s="418"/>
      <c r="AQ1802" s="418"/>
      <c r="AR1802" s="418"/>
      <c r="AS1802" s="418"/>
      <c r="AT1802" s="418"/>
      <c r="AU1802" s="418"/>
      <c r="AV1802" s="418"/>
      <c r="AW1802" s="418"/>
      <c r="AX1802" s="418"/>
      <c r="AY1802" s="418"/>
      <c r="AZ1802" s="418"/>
      <c r="BA1802" s="418"/>
    </row>
    <row r="1803" spans="40:53" ht="15.75" customHeight="1">
      <c r="AN1803" s="418"/>
      <c r="AO1803" s="418"/>
      <c r="AP1803" s="418"/>
      <c r="AQ1803" s="418"/>
      <c r="AR1803" s="418"/>
      <c r="AS1803" s="418"/>
      <c r="AT1803" s="418"/>
      <c r="AU1803" s="418"/>
      <c r="AV1803" s="418"/>
      <c r="AW1803" s="418"/>
      <c r="AX1803" s="418"/>
      <c r="AY1803" s="418"/>
      <c r="AZ1803" s="418"/>
      <c r="BA1803" s="418"/>
    </row>
    <row r="1804" spans="40:53" ht="15.75" customHeight="1">
      <c r="AN1804" s="418"/>
      <c r="AO1804" s="418"/>
      <c r="AP1804" s="418"/>
      <c r="AQ1804" s="418"/>
      <c r="AR1804" s="418"/>
      <c r="AS1804" s="418"/>
      <c r="AT1804" s="418"/>
      <c r="AU1804" s="418"/>
      <c r="AV1804" s="418"/>
      <c r="AW1804" s="418"/>
      <c r="AX1804" s="418"/>
      <c r="AY1804" s="418"/>
      <c r="AZ1804" s="418"/>
      <c r="BA1804" s="418"/>
    </row>
    <row r="1805" spans="40:53" ht="15.75" customHeight="1">
      <c r="AN1805" s="418"/>
      <c r="AO1805" s="418"/>
      <c r="AP1805" s="418"/>
      <c r="AQ1805" s="418"/>
      <c r="AR1805" s="418"/>
      <c r="AS1805" s="418"/>
      <c r="AT1805" s="418"/>
      <c r="AU1805" s="418"/>
      <c r="AV1805" s="418"/>
      <c r="AW1805" s="418"/>
      <c r="AX1805" s="418"/>
      <c r="AY1805" s="418"/>
      <c r="AZ1805" s="418"/>
      <c r="BA1805" s="418"/>
    </row>
    <row r="1806" spans="40:53" ht="15.75" customHeight="1">
      <c r="AN1806" s="418"/>
      <c r="AO1806" s="418"/>
      <c r="AP1806" s="418"/>
      <c r="AQ1806" s="418"/>
      <c r="AR1806" s="418"/>
      <c r="AS1806" s="418"/>
      <c r="AT1806" s="418"/>
      <c r="AU1806" s="418"/>
      <c r="AV1806" s="418"/>
      <c r="AW1806" s="418"/>
      <c r="AX1806" s="418"/>
      <c r="AY1806" s="418"/>
      <c r="AZ1806" s="418"/>
      <c r="BA1806" s="418"/>
    </row>
    <row r="1807" spans="40:53" ht="15.75" customHeight="1">
      <c r="AN1807" s="418"/>
      <c r="AO1807" s="418"/>
      <c r="AP1807" s="418"/>
      <c r="AQ1807" s="418"/>
      <c r="AR1807" s="418"/>
      <c r="AS1807" s="418"/>
      <c r="AT1807" s="418"/>
      <c r="AU1807" s="418"/>
      <c r="AV1807" s="418"/>
      <c r="AW1807" s="418"/>
      <c r="AX1807" s="418"/>
      <c r="AY1807" s="418"/>
      <c r="AZ1807" s="418"/>
      <c r="BA1807" s="418"/>
    </row>
    <row r="1808" spans="40:53" ht="15.75" customHeight="1">
      <c r="AN1808" s="418"/>
      <c r="AO1808" s="418"/>
      <c r="AP1808" s="418"/>
      <c r="AQ1808" s="418"/>
      <c r="AR1808" s="418"/>
      <c r="AS1808" s="418"/>
      <c r="AT1808" s="418"/>
      <c r="AU1808" s="418"/>
      <c r="AV1808" s="418"/>
      <c r="AW1808" s="418"/>
      <c r="AX1808" s="418"/>
      <c r="AY1808" s="418"/>
      <c r="AZ1808" s="418"/>
      <c r="BA1808" s="418"/>
    </row>
    <row r="1809" spans="40:53" ht="15.75" customHeight="1">
      <c r="AN1809" s="418"/>
      <c r="AO1809" s="418"/>
      <c r="AP1809" s="418"/>
      <c r="AQ1809" s="418"/>
      <c r="AR1809" s="418"/>
      <c r="AS1809" s="418"/>
      <c r="AT1809" s="418"/>
      <c r="AU1809" s="418"/>
      <c r="AV1809" s="418"/>
      <c r="AW1809" s="418"/>
      <c r="AX1809" s="418"/>
      <c r="AY1809" s="418"/>
      <c r="AZ1809" s="418"/>
      <c r="BA1809" s="418"/>
    </row>
    <row r="1810" spans="40:53" ht="15.75" customHeight="1">
      <c r="AN1810" s="418"/>
      <c r="AO1810" s="418"/>
      <c r="AP1810" s="418"/>
      <c r="AQ1810" s="418"/>
      <c r="AR1810" s="418"/>
      <c r="AS1810" s="418"/>
      <c r="AT1810" s="418"/>
      <c r="AU1810" s="418"/>
      <c r="AV1810" s="418"/>
      <c r="AW1810" s="418"/>
      <c r="AX1810" s="418"/>
      <c r="AY1810" s="418"/>
      <c r="AZ1810" s="418"/>
      <c r="BA1810" s="418"/>
    </row>
    <row r="1811" spans="40:53" ht="15.75" customHeight="1">
      <c r="AN1811" s="418"/>
      <c r="AO1811" s="418"/>
      <c r="AP1811" s="418"/>
      <c r="AQ1811" s="418"/>
      <c r="AR1811" s="418"/>
      <c r="AS1811" s="418"/>
      <c r="AT1811" s="418"/>
      <c r="AU1811" s="418"/>
      <c r="AV1811" s="418"/>
      <c r="AW1811" s="418"/>
      <c r="AX1811" s="418"/>
      <c r="AY1811" s="418"/>
      <c r="AZ1811" s="418"/>
      <c r="BA1811" s="418"/>
    </row>
    <row r="1812" spans="40:53" ht="15.75" customHeight="1">
      <c r="AN1812" s="418"/>
      <c r="AO1812" s="418"/>
      <c r="AP1812" s="418"/>
      <c r="AQ1812" s="418"/>
      <c r="AR1812" s="418"/>
      <c r="AS1812" s="418"/>
      <c r="AT1812" s="418"/>
      <c r="AU1812" s="418"/>
      <c r="AV1812" s="418"/>
      <c r="AW1812" s="418"/>
      <c r="AX1812" s="418"/>
      <c r="AY1812" s="418"/>
      <c r="AZ1812" s="418"/>
      <c r="BA1812" s="418"/>
    </row>
    <row r="1813" spans="40:53" ht="15.75" customHeight="1">
      <c r="AN1813" s="418"/>
      <c r="AO1813" s="418"/>
      <c r="AP1813" s="418"/>
      <c r="AQ1813" s="418"/>
      <c r="AR1813" s="418"/>
      <c r="AS1813" s="418"/>
      <c r="AT1813" s="418"/>
      <c r="AU1813" s="418"/>
      <c r="AV1813" s="418"/>
      <c r="AW1813" s="418"/>
      <c r="AX1813" s="418"/>
      <c r="AY1813" s="418"/>
      <c r="AZ1813" s="418"/>
      <c r="BA1813" s="418"/>
    </row>
    <row r="1814" spans="40:53" ht="15.75" customHeight="1">
      <c r="AN1814" s="418"/>
      <c r="AO1814" s="418"/>
      <c r="AP1814" s="418"/>
      <c r="AQ1814" s="418"/>
      <c r="AR1814" s="418"/>
      <c r="AS1814" s="418"/>
      <c r="AT1814" s="418"/>
      <c r="AU1814" s="418"/>
      <c r="AV1814" s="418"/>
      <c r="AW1814" s="418"/>
      <c r="AX1814" s="418"/>
      <c r="AY1814" s="418"/>
      <c r="AZ1814" s="418"/>
      <c r="BA1814" s="418"/>
    </row>
    <row r="1815" spans="40:53" ht="15.75" customHeight="1">
      <c r="AN1815" s="418"/>
      <c r="AO1815" s="418"/>
      <c r="AP1815" s="418"/>
      <c r="AQ1815" s="418"/>
      <c r="AR1815" s="418"/>
      <c r="AS1815" s="418"/>
      <c r="AT1815" s="418"/>
      <c r="AU1815" s="418"/>
      <c r="AV1815" s="418"/>
      <c r="AW1815" s="418"/>
      <c r="AX1815" s="418"/>
      <c r="AY1815" s="418"/>
      <c r="AZ1815" s="418"/>
      <c r="BA1815" s="418"/>
    </row>
    <row r="1816" spans="40:53" ht="15.75" customHeight="1">
      <c r="AN1816" s="418"/>
      <c r="AO1816" s="418"/>
      <c r="AP1816" s="418"/>
      <c r="AQ1816" s="418"/>
      <c r="AR1816" s="418"/>
      <c r="AS1816" s="418"/>
      <c r="AT1816" s="418"/>
      <c r="AU1816" s="418"/>
      <c r="AV1816" s="418"/>
      <c r="AW1816" s="418"/>
      <c r="AX1816" s="418"/>
      <c r="AY1816" s="418"/>
      <c r="AZ1816" s="418"/>
      <c r="BA1816" s="418"/>
    </row>
    <row r="1817" spans="40:53" ht="15.75" customHeight="1">
      <c r="AN1817" s="418"/>
      <c r="AO1817" s="418"/>
      <c r="AP1817" s="418"/>
      <c r="AQ1817" s="418"/>
      <c r="AR1817" s="418"/>
      <c r="AS1817" s="418"/>
      <c r="AT1817" s="418"/>
      <c r="AU1817" s="418"/>
      <c r="AV1817" s="418"/>
      <c r="AW1817" s="418"/>
      <c r="AX1817" s="418"/>
      <c r="AY1817" s="418"/>
      <c r="AZ1817" s="418"/>
      <c r="BA1817" s="418"/>
    </row>
    <row r="1818" spans="40:53" ht="15.75" customHeight="1">
      <c r="AN1818" s="418"/>
      <c r="AO1818" s="418"/>
      <c r="AP1818" s="418"/>
      <c r="AQ1818" s="418"/>
      <c r="AR1818" s="418"/>
      <c r="AS1818" s="418"/>
      <c r="AT1818" s="418"/>
      <c r="AU1818" s="418"/>
      <c r="AV1818" s="418"/>
      <c r="AW1818" s="418"/>
      <c r="AX1818" s="418"/>
      <c r="AY1818" s="418"/>
      <c r="AZ1818" s="418"/>
      <c r="BA1818" s="418"/>
    </row>
    <row r="1819" spans="40:53" ht="15.75" customHeight="1">
      <c r="AN1819" s="418"/>
      <c r="AO1819" s="418"/>
      <c r="AP1819" s="418"/>
      <c r="AQ1819" s="418"/>
      <c r="AR1819" s="418"/>
      <c r="AS1819" s="418"/>
      <c r="AT1819" s="418"/>
      <c r="AU1819" s="418"/>
      <c r="AV1819" s="418"/>
      <c r="AW1819" s="418"/>
      <c r="AX1819" s="418"/>
      <c r="AY1819" s="418"/>
      <c r="AZ1819" s="418"/>
      <c r="BA1819" s="418"/>
    </row>
    <row r="1820" spans="40:53" ht="15.75" customHeight="1">
      <c r="AN1820" s="418"/>
      <c r="AO1820" s="418"/>
      <c r="AP1820" s="418"/>
      <c r="AQ1820" s="418"/>
      <c r="AR1820" s="418"/>
      <c r="AS1820" s="418"/>
      <c r="AT1820" s="418"/>
      <c r="AU1820" s="418"/>
      <c r="AV1820" s="418"/>
      <c r="AW1820" s="418"/>
      <c r="AX1820" s="418"/>
      <c r="AY1820" s="418"/>
      <c r="AZ1820" s="418"/>
      <c r="BA1820" s="418"/>
    </row>
    <row r="1821" spans="40:53" ht="15.75" customHeight="1">
      <c r="AN1821" s="418"/>
      <c r="AO1821" s="418"/>
      <c r="AP1821" s="418"/>
      <c r="AQ1821" s="418"/>
      <c r="AR1821" s="418"/>
      <c r="AS1821" s="418"/>
      <c r="AT1821" s="418"/>
      <c r="AU1821" s="418"/>
      <c r="AV1821" s="418"/>
      <c r="AW1821" s="418"/>
      <c r="AX1821" s="418"/>
      <c r="AY1821" s="418"/>
      <c r="AZ1821" s="418"/>
      <c r="BA1821" s="418"/>
    </row>
    <row r="1822" spans="40:53" ht="15.75" customHeight="1">
      <c r="AN1822" s="418"/>
      <c r="AO1822" s="418"/>
      <c r="AP1822" s="418"/>
      <c r="AQ1822" s="418"/>
      <c r="AR1822" s="418"/>
      <c r="AS1822" s="418"/>
      <c r="AT1822" s="418"/>
      <c r="AU1822" s="418"/>
      <c r="AV1822" s="418"/>
      <c r="AW1822" s="418"/>
      <c r="AX1822" s="418"/>
      <c r="AY1822" s="418"/>
      <c r="AZ1822" s="418"/>
      <c r="BA1822" s="418"/>
    </row>
    <row r="1823" spans="40:53" ht="15.75" customHeight="1">
      <c r="AN1823" s="418"/>
      <c r="AO1823" s="418"/>
      <c r="AP1823" s="418"/>
      <c r="AQ1823" s="418"/>
      <c r="AR1823" s="418"/>
      <c r="AS1823" s="418"/>
      <c r="AT1823" s="418"/>
      <c r="AU1823" s="418"/>
      <c r="AV1823" s="418"/>
      <c r="AW1823" s="418"/>
      <c r="AX1823" s="418"/>
      <c r="AY1823" s="418"/>
      <c r="AZ1823" s="418"/>
      <c r="BA1823" s="418"/>
    </row>
    <row r="1824" spans="40:53" ht="15.75" customHeight="1">
      <c r="AN1824" s="418"/>
      <c r="AO1824" s="418"/>
      <c r="AP1824" s="418"/>
      <c r="AQ1824" s="418"/>
      <c r="AR1824" s="418"/>
      <c r="AS1824" s="418"/>
      <c r="AT1824" s="418"/>
      <c r="AU1824" s="418"/>
      <c r="AV1824" s="418"/>
      <c r="AW1824" s="418"/>
      <c r="AX1824" s="418"/>
      <c r="AY1824" s="418"/>
      <c r="AZ1824" s="418"/>
      <c r="BA1824" s="418"/>
    </row>
    <row r="1825" spans="40:53" ht="15.75" customHeight="1">
      <c r="AN1825" s="418"/>
      <c r="AO1825" s="418"/>
      <c r="AP1825" s="418"/>
      <c r="AQ1825" s="418"/>
      <c r="AR1825" s="418"/>
      <c r="AS1825" s="418"/>
      <c r="AT1825" s="418"/>
      <c r="AU1825" s="418"/>
      <c r="AV1825" s="418"/>
      <c r="AW1825" s="418"/>
      <c r="AX1825" s="418"/>
      <c r="AY1825" s="418"/>
      <c r="AZ1825" s="418"/>
      <c r="BA1825" s="418"/>
    </row>
    <row r="1826" spans="40:53" ht="15.75" customHeight="1">
      <c r="AN1826" s="418"/>
      <c r="AO1826" s="418"/>
      <c r="AP1826" s="418"/>
      <c r="AQ1826" s="418"/>
      <c r="AR1826" s="418"/>
      <c r="AS1826" s="418"/>
      <c r="AT1826" s="418"/>
      <c r="AU1826" s="418"/>
      <c r="AV1826" s="418"/>
      <c r="AW1826" s="418"/>
      <c r="AX1826" s="418"/>
      <c r="AY1826" s="418"/>
      <c r="AZ1826" s="418"/>
      <c r="BA1826" s="418"/>
    </row>
    <row r="1827" spans="40:53" ht="15.75" customHeight="1">
      <c r="AN1827" s="418"/>
      <c r="AO1827" s="418"/>
      <c r="AP1827" s="418"/>
      <c r="AQ1827" s="418"/>
      <c r="AR1827" s="418"/>
      <c r="AS1827" s="418"/>
      <c r="AT1827" s="418"/>
      <c r="AU1827" s="418"/>
      <c r="AV1827" s="418"/>
      <c r="AW1827" s="418"/>
      <c r="AX1827" s="418"/>
      <c r="AY1827" s="418"/>
      <c r="AZ1827" s="418"/>
      <c r="BA1827" s="418"/>
    </row>
    <row r="1828" spans="40:53" ht="15.75" customHeight="1">
      <c r="AN1828" s="418"/>
      <c r="AO1828" s="418"/>
      <c r="AP1828" s="418"/>
      <c r="AQ1828" s="418"/>
      <c r="AR1828" s="418"/>
      <c r="AS1828" s="418"/>
      <c r="AT1828" s="418"/>
      <c r="AU1828" s="418"/>
      <c r="AV1828" s="418"/>
      <c r="AW1828" s="418"/>
      <c r="AX1828" s="418"/>
      <c r="AY1828" s="418"/>
      <c r="AZ1828" s="418"/>
      <c r="BA1828" s="418"/>
    </row>
    <row r="1829" spans="40:53" ht="15.75" customHeight="1">
      <c r="AN1829" s="418"/>
      <c r="AO1829" s="418"/>
      <c r="AP1829" s="418"/>
      <c r="AQ1829" s="418"/>
      <c r="AR1829" s="418"/>
      <c r="AS1829" s="418"/>
      <c r="AT1829" s="418"/>
      <c r="AU1829" s="418"/>
      <c r="AV1829" s="418"/>
      <c r="AW1829" s="418"/>
      <c r="AX1829" s="418"/>
      <c r="AY1829" s="418"/>
      <c r="AZ1829" s="418"/>
      <c r="BA1829" s="418"/>
    </row>
    <row r="1830" spans="40:53" ht="15.75" customHeight="1">
      <c r="AN1830" s="418"/>
      <c r="AO1830" s="418"/>
      <c r="AP1830" s="418"/>
      <c r="AQ1830" s="418"/>
      <c r="AR1830" s="418"/>
      <c r="AS1830" s="418"/>
      <c r="AT1830" s="418"/>
      <c r="AU1830" s="418"/>
      <c r="AV1830" s="418"/>
      <c r="AW1830" s="418"/>
      <c r="AX1830" s="418"/>
      <c r="AY1830" s="418"/>
      <c r="AZ1830" s="418"/>
      <c r="BA1830" s="418"/>
    </row>
    <row r="1831" spans="40:53" ht="15.75" customHeight="1">
      <c r="AN1831" s="418"/>
      <c r="AO1831" s="418"/>
      <c r="AP1831" s="418"/>
      <c r="AQ1831" s="418"/>
      <c r="AR1831" s="418"/>
      <c r="AS1831" s="418"/>
      <c r="AT1831" s="418"/>
      <c r="AU1831" s="418"/>
      <c r="AV1831" s="418"/>
      <c r="AW1831" s="418"/>
      <c r="AX1831" s="418"/>
      <c r="AY1831" s="418"/>
      <c r="AZ1831" s="418"/>
      <c r="BA1831" s="418"/>
    </row>
    <row r="1832" spans="40:53" ht="15.75" customHeight="1">
      <c r="AN1832" s="418"/>
      <c r="AO1832" s="418"/>
      <c r="AP1832" s="418"/>
      <c r="AQ1832" s="418"/>
      <c r="AR1832" s="418"/>
      <c r="AS1832" s="418"/>
      <c r="AT1832" s="418"/>
      <c r="AU1832" s="418"/>
      <c r="AV1832" s="418"/>
      <c r="AW1832" s="418"/>
      <c r="AX1832" s="418"/>
      <c r="AY1832" s="418"/>
      <c r="AZ1832" s="418"/>
      <c r="BA1832" s="418"/>
    </row>
    <row r="1833" spans="40:53" ht="15.75" customHeight="1">
      <c r="AN1833" s="418"/>
      <c r="AO1833" s="418"/>
      <c r="AP1833" s="418"/>
      <c r="AQ1833" s="418"/>
      <c r="AR1833" s="418"/>
      <c r="AS1833" s="418"/>
      <c r="AT1833" s="418"/>
      <c r="AU1833" s="418"/>
      <c r="AV1833" s="418"/>
      <c r="AW1833" s="418"/>
      <c r="AX1833" s="418"/>
      <c r="AY1833" s="418"/>
      <c r="AZ1833" s="418"/>
      <c r="BA1833" s="418"/>
    </row>
    <row r="1834" spans="40:53" ht="15.75" customHeight="1">
      <c r="AN1834" s="418"/>
      <c r="AO1834" s="418"/>
      <c r="AP1834" s="418"/>
      <c r="AQ1834" s="418"/>
      <c r="AR1834" s="418"/>
      <c r="AS1834" s="418"/>
      <c r="AT1834" s="418"/>
      <c r="AU1834" s="418"/>
      <c r="AV1834" s="418"/>
      <c r="AW1834" s="418"/>
      <c r="AX1834" s="418"/>
      <c r="AY1834" s="418"/>
      <c r="AZ1834" s="418"/>
      <c r="BA1834" s="418"/>
    </row>
    <row r="1835" spans="40:53" ht="15.75" customHeight="1">
      <c r="AN1835" s="418"/>
      <c r="AO1835" s="418"/>
      <c r="AP1835" s="418"/>
      <c r="AQ1835" s="418"/>
      <c r="AR1835" s="418"/>
      <c r="AS1835" s="418"/>
      <c r="AT1835" s="418"/>
      <c r="AU1835" s="418"/>
      <c r="AV1835" s="418"/>
      <c r="AW1835" s="418"/>
      <c r="AX1835" s="418"/>
      <c r="AY1835" s="418"/>
      <c r="AZ1835" s="418"/>
      <c r="BA1835" s="418"/>
    </row>
    <row r="1836" spans="40:53" ht="15.75" customHeight="1">
      <c r="AN1836" s="418"/>
      <c r="AO1836" s="418"/>
      <c r="AP1836" s="418"/>
      <c r="AQ1836" s="418"/>
      <c r="AR1836" s="418"/>
      <c r="AS1836" s="418"/>
      <c r="AT1836" s="418"/>
      <c r="AU1836" s="418"/>
      <c r="AV1836" s="418"/>
      <c r="AW1836" s="418"/>
      <c r="AX1836" s="418"/>
      <c r="AY1836" s="418"/>
      <c r="AZ1836" s="418"/>
      <c r="BA1836" s="418"/>
    </row>
    <row r="1837" spans="40:53" ht="15.75" customHeight="1">
      <c r="AN1837" s="418"/>
      <c r="AO1837" s="418"/>
      <c r="AP1837" s="418"/>
      <c r="AQ1837" s="418"/>
      <c r="AR1837" s="418"/>
      <c r="AS1837" s="418"/>
      <c r="AT1837" s="418"/>
      <c r="AU1837" s="418"/>
      <c r="AV1837" s="418"/>
      <c r="AW1837" s="418"/>
      <c r="AX1837" s="418"/>
      <c r="AY1837" s="418"/>
      <c r="AZ1837" s="418"/>
      <c r="BA1837" s="418"/>
    </row>
    <row r="1838" spans="40:53" ht="15.75" customHeight="1">
      <c r="AN1838" s="418"/>
      <c r="AO1838" s="418"/>
      <c r="AP1838" s="418"/>
      <c r="AQ1838" s="418"/>
      <c r="AR1838" s="418"/>
      <c r="AS1838" s="418"/>
      <c r="AT1838" s="418"/>
      <c r="AU1838" s="418"/>
      <c r="AV1838" s="418"/>
      <c r="AW1838" s="418"/>
      <c r="AX1838" s="418"/>
      <c r="AY1838" s="418"/>
      <c r="AZ1838" s="418"/>
      <c r="BA1838" s="418"/>
    </row>
    <row r="1839" spans="40:53" ht="15.75" customHeight="1">
      <c r="AN1839" s="418"/>
      <c r="AO1839" s="418"/>
      <c r="AP1839" s="418"/>
      <c r="AQ1839" s="418"/>
      <c r="AR1839" s="418"/>
      <c r="AS1839" s="418"/>
      <c r="AT1839" s="418"/>
      <c r="AU1839" s="418"/>
      <c r="AV1839" s="418"/>
      <c r="AW1839" s="418"/>
      <c r="AX1839" s="418"/>
      <c r="AY1839" s="418"/>
      <c r="AZ1839" s="418"/>
      <c r="BA1839" s="418"/>
    </row>
    <row r="1840" spans="40:53" ht="15.75" customHeight="1">
      <c r="AN1840" s="418"/>
      <c r="AO1840" s="418"/>
      <c r="AP1840" s="418"/>
      <c r="AQ1840" s="418"/>
      <c r="AR1840" s="418"/>
      <c r="AS1840" s="418"/>
      <c r="AT1840" s="418"/>
      <c r="AU1840" s="418"/>
      <c r="AV1840" s="418"/>
      <c r="AW1840" s="418"/>
      <c r="AX1840" s="418"/>
      <c r="AY1840" s="418"/>
      <c r="AZ1840" s="418"/>
      <c r="BA1840" s="418"/>
    </row>
    <row r="1841" spans="40:53" ht="15.75" customHeight="1">
      <c r="AN1841" s="418"/>
      <c r="AO1841" s="418"/>
      <c r="AP1841" s="418"/>
      <c r="AQ1841" s="418"/>
      <c r="AR1841" s="418"/>
      <c r="AS1841" s="418"/>
      <c r="AT1841" s="418"/>
      <c r="AU1841" s="418"/>
      <c r="AV1841" s="418"/>
      <c r="AW1841" s="418"/>
      <c r="AX1841" s="418"/>
      <c r="AY1841" s="418"/>
      <c r="AZ1841" s="418"/>
      <c r="BA1841" s="418"/>
    </row>
    <row r="1842" spans="40:53" ht="15.75" customHeight="1">
      <c r="AN1842" s="418"/>
      <c r="AO1842" s="418"/>
      <c r="AP1842" s="418"/>
      <c r="AQ1842" s="418"/>
      <c r="AR1842" s="418"/>
      <c r="AS1842" s="418"/>
      <c r="AT1842" s="418"/>
      <c r="AU1842" s="418"/>
      <c r="AV1842" s="418"/>
      <c r="AW1842" s="418"/>
      <c r="AX1842" s="418"/>
      <c r="AY1842" s="418"/>
      <c r="AZ1842" s="418"/>
      <c r="BA1842" s="418"/>
    </row>
    <row r="1843" spans="40:53" ht="15.75" customHeight="1">
      <c r="AN1843" s="418"/>
      <c r="AO1843" s="418"/>
      <c r="AP1843" s="418"/>
      <c r="AQ1843" s="418"/>
      <c r="AR1843" s="418"/>
      <c r="AS1843" s="418"/>
      <c r="AT1843" s="418"/>
      <c r="AU1843" s="418"/>
      <c r="AV1843" s="418"/>
      <c r="AW1843" s="418"/>
      <c r="AX1843" s="418"/>
      <c r="AY1843" s="418"/>
      <c r="AZ1843" s="418"/>
      <c r="BA1843" s="418"/>
    </row>
    <row r="1844" spans="40:53" ht="15.75" customHeight="1">
      <c r="AN1844" s="418"/>
      <c r="AO1844" s="418"/>
      <c r="AP1844" s="418"/>
      <c r="AQ1844" s="418"/>
      <c r="AR1844" s="418"/>
      <c r="AS1844" s="418"/>
      <c r="AT1844" s="418"/>
      <c r="AU1844" s="418"/>
      <c r="AV1844" s="418"/>
      <c r="AW1844" s="418"/>
      <c r="AX1844" s="418"/>
      <c r="AY1844" s="418"/>
      <c r="AZ1844" s="418"/>
      <c r="BA1844" s="418"/>
    </row>
    <row r="1845" spans="40:53" ht="15.75" customHeight="1">
      <c r="AN1845" s="418"/>
      <c r="AO1845" s="418"/>
      <c r="AP1845" s="418"/>
      <c r="AQ1845" s="418"/>
      <c r="AR1845" s="418"/>
      <c r="AS1845" s="418"/>
      <c r="AT1845" s="418"/>
      <c r="AU1845" s="418"/>
      <c r="AV1845" s="418"/>
      <c r="AW1845" s="418"/>
      <c r="AX1845" s="418"/>
      <c r="AY1845" s="418"/>
      <c r="AZ1845" s="418"/>
      <c r="BA1845" s="418"/>
    </row>
    <row r="1846" spans="40:53" ht="15.75" customHeight="1">
      <c r="AN1846" s="418"/>
      <c r="AO1846" s="418"/>
      <c r="AP1846" s="418"/>
      <c r="AQ1846" s="418"/>
      <c r="AR1846" s="418"/>
      <c r="AS1846" s="418"/>
      <c r="AT1846" s="418"/>
      <c r="AU1846" s="418"/>
      <c r="AV1846" s="418"/>
      <c r="AW1846" s="418"/>
      <c r="AX1846" s="418"/>
      <c r="AY1846" s="418"/>
      <c r="AZ1846" s="418"/>
      <c r="BA1846" s="418"/>
    </row>
    <row r="1847" spans="40:53" ht="15.75" customHeight="1">
      <c r="AN1847" s="418"/>
      <c r="AO1847" s="418"/>
      <c r="AP1847" s="418"/>
      <c r="AQ1847" s="418"/>
      <c r="AR1847" s="418"/>
      <c r="AS1847" s="418"/>
      <c r="AT1847" s="418"/>
      <c r="AU1847" s="418"/>
      <c r="AV1847" s="418"/>
      <c r="AW1847" s="418"/>
      <c r="AX1847" s="418"/>
      <c r="AY1847" s="418"/>
      <c r="AZ1847" s="418"/>
      <c r="BA1847" s="418"/>
    </row>
    <row r="1848" spans="40:53" ht="15.75" customHeight="1">
      <c r="AN1848" s="418"/>
      <c r="AO1848" s="418"/>
      <c r="AP1848" s="418"/>
      <c r="AQ1848" s="418"/>
      <c r="AR1848" s="418"/>
      <c r="AS1848" s="418"/>
      <c r="AT1848" s="418"/>
      <c r="AU1848" s="418"/>
      <c r="AV1848" s="418"/>
      <c r="AW1848" s="418"/>
      <c r="AX1848" s="418"/>
      <c r="AY1848" s="418"/>
      <c r="AZ1848" s="418"/>
      <c r="BA1848" s="418"/>
    </row>
    <row r="1849" spans="40:53" ht="15.75" customHeight="1">
      <c r="AN1849" s="418"/>
      <c r="AO1849" s="418"/>
      <c r="AP1849" s="418"/>
      <c r="AQ1849" s="418"/>
      <c r="AR1849" s="418"/>
      <c r="AS1849" s="418"/>
      <c r="AT1849" s="418"/>
      <c r="AU1849" s="418"/>
      <c r="AV1849" s="418"/>
      <c r="AW1849" s="418"/>
      <c r="AX1849" s="418"/>
      <c r="AY1849" s="418"/>
      <c r="AZ1849" s="418"/>
      <c r="BA1849" s="418"/>
    </row>
    <row r="1850" spans="40:53" ht="15.75" customHeight="1">
      <c r="AN1850" s="418"/>
      <c r="AO1850" s="418"/>
      <c r="AP1850" s="418"/>
      <c r="AQ1850" s="418"/>
      <c r="AR1850" s="418"/>
      <c r="AS1850" s="418"/>
      <c r="AT1850" s="418"/>
      <c r="AU1850" s="418"/>
      <c r="AV1850" s="418"/>
      <c r="AW1850" s="418"/>
      <c r="AX1850" s="418"/>
      <c r="AY1850" s="418"/>
      <c r="AZ1850" s="418"/>
      <c r="BA1850" s="418"/>
    </row>
    <row r="1851" spans="40:53" ht="15.75" customHeight="1">
      <c r="AN1851" s="418"/>
      <c r="AO1851" s="418"/>
      <c r="AP1851" s="418"/>
      <c r="AQ1851" s="418"/>
      <c r="AR1851" s="418"/>
      <c r="AS1851" s="418"/>
      <c r="AT1851" s="418"/>
      <c r="AU1851" s="418"/>
      <c r="AV1851" s="418"/>
      <c r="AW1851" s="418"/>
      <c r="AX1851" s="418"/>
      <c r="AY1851" s="418"/>
      <c r="AZ1851" s="418"/>
      <c r="BA1851" s="418"/>
    </row>
    <row r="1852" spans="40:53" ht="15.75" customHeight="1">
      <c r="AN1852" s="418"/>
      <c r="AO1852" s="418"/>
      <c r="AP1852" s="418"/>
      <c r="AQ1852" s="418"/>
      <c r="AR1852" s="418"/>
      <c r="AS1852" s="418"/>
      <c r="AT1852" s="418"/>
      <c r="AU1852" s="418"/>
      <c r="AV1852" s="418"/>
      <c r="AW1852" s="418"/>
      <c r="AX1852" s="418"/>
      <c r="AY1852" s="418"/>
      <c r="AZ1852" s="418"/>
      <c r="BA1852" s="418"/>
    </row>
    <row r="1853" spans="40:53" ht="15.75" customHeight="1">
      <c r="AN1853" s="418"/>
      <c r="AO1853" s="418"/>
      <c r="AP1853" s="418"/>
      <c r="AQ1853" s="418"/>
      <c r="AR1853" s="418"/>
      <c r="AS1853" s="418"/>
      <c r="AT1853" s="418"/>
      <c r="AU1853" s="418"/>
      <c r="AV1853" s="418"/>
      <c r="AW1853" s="418"/>
      <c r="AX1853" s="418"/>
      <c r="AY1853" s="418"/>
      <c r="AZ1853" s="418"/>
      <c r="BA1853" s="418"/>
    </row>
    <row r="1854" spans="40:53" ht="15.75" customHeight="1">
      <c r="AN1854" s="418"/>
      <c r="AO1854" s="418"/>
      <c r="AP1854" s="418"/>
      <c r="AQ1854" s="418"/>
      <c r="AR1854" s="418"/>
      <c r="AS1854" s="418"/>
      <c r="AT1854" s="418"/>
      <c r="AU1854" s="418"/>
      <c r="AV1854" s="418"/>
      <c r="AW1854" s="418"/>
      <c r="AX1854" s="418"/>
      <c r="AY1854" s="418"/>
      <c r="AZ1854" s="418"/>
      <c r="BA1854" s="418"/>
    </row>
    <row r="1855" spans="40:53" ht="15.75" customHeight="1">
      <c r="AN1855" s="418"/>
      <c r="AO1855" s="418"/>
      <c r="AP1855" s="418"/>
      <c r="AQ1855" s="418"/>
      <c r="AR1855" s="418"/>
      <c r="AS1855" s="418"/>
      <c r="AT1855" s="418"/>
      <c r="AU1855" s="418"/>
      <c r="AV1855" s="418"/>
      <c r="AW1855" s="418"/>
      <c r="AX1855" s="418"/>
      <c r="AY1855" s="418"/>
      <c r="AZ1855" s="418"/>
      <c r="BA1855" s="418"/>
    </row>
    <row r="1856" spans="40:53" ht="15.75" customHeight="1">
      <c r="AN1856" s="418"/>
      <c r="AO1856" s="418"/>
      <c r="AP1856" s="418"/>
      <c r="AQ1856" s="418"/>
      <c r="AR1856" s="418"/>
      <c r="AS1856" s="418"/>
      <c r="AT1856" s="418"/>
      <c r="AU1856" s="418"/>
      <c r="AV1856" s="418"/>
      <c r="AW1856" s="418"/>
      <c r="AX1856" s="418"/>
      <c r="AY1856" s="418"/>
      <c r="AZ1856" s="418"/>
      <c r="BA1856" s="418"/>
    </row>
    <row r="1857" spans="40:53" ht="15.75" customHeight="1">
      <c r="AN1857" s="418"/>
      <c r="AO1857" s="418"/>
      <c r="AP1857" s="418"/>
      <c r="AQ1857" s="418"/>
      <c r="AR1857" s="418"/>
      <c r="AS1857" s="418"/>
      <c r="AT1857" s="418"/>
      <c r="AU1857" s="418"/>
      <c r="AV1857" s="418"/>
      <c r="AW1857" s="418"/>
      <c r="AX1857" s="418"/>
      <c r="AY1857" s="418"/>
      <c r="AZ1857" s="418"/>
      <c r="BA1857" s="418"/>
    </row>
    <row r="1858" spans="40:53" ht="15.75" customHeight="1">
      <c r="AN1858" s="418"/>
      <c r="AO1858" s="418"/>
      <c r="AP1858" s="418"/>
      <c r="AQ1858" s="418"/>
      <c r="AR1858" s="418"/>
      <c r="AS1858" s="418"/>
      <c r="AT1858" s="418"/>
      <c r="AU1858" s="418"/>
      <c r="AV1858" s="418"/>
      <c r="AW1858" s="418"/>
      <c r="AX1858" s="418"/>
      <c r="AY1858" s="418"/>
      <c r="AZ1858" s="418"/>
      <c r="BA1858" s="418"/>
    </row>
    <row r="1859" spans="40:53" ht="15.75" customHeight="1">
      <c r="AN1859" s="418"/>
      <c r="AO1859" s="418"/>
      <c r="AP1859" s="418"/>
      <c r="AQ1859" s="418"/>
      <c r="AR1859" s="418"/>
      <c r="AS1859" s="418"/>
      <c r="AT1859" s="418"/>
      <c r="AU1859" s="418"/>
      <c r="AV1859" s="418"/>
      <c r="AW1859" s="418"/>
      <c r="AX1859" s="418"/>
      <c r="AY1859" s="418"/>
      <c r="AZ1859" s="418"/>
      <c r="BA1859" s="418"/>
    </row>
    <row r="1860" spans="40:53" ht="15.75" customHeight="1">
      <c r="AN1860" s="418"/>
      <c r="AO1860" s="418"/>
      <c r="AP1860" s="418"/>
      <c r="AQ1860" s="418"/>
      <c r="AR1860" s="418"/>
      <c r="AS1860" s="418"/>
      <c r="AT1860" s="418"/>
      <c r="AU1860" s="418"/>
      <c r="AV1860" s="418"/>
      <c r="AW1860" s="418"/>
      <c r="AX1860" s="418"/>
      <c r="AY1860" s="418"/>
      <c r="AZ1860" s="418"/>
      <c r="BA1860" s="418"/>
    </row>
    <row r="1861" spans="40:53" ht="15.75" customHeight="1">
      <c r="AN1861" s="418"/>
      <c r="AO1861" s="418"/>
      <c r="AP1861" s="418"/>
      <c r="AQ1861" s="418"/>
      <c r="AR1861" s="418"/>
      <c r="AS1861" s="418"/>
      <c r="AT1861" s="418"/>
      <c r="AU1861" s="418"/>
      <c r="AV1861" s="418"/>
      <c r="AW1861" s="418"/>
      <c r="AX1861" s="418"/>
      <c r="AY1861" s="418"/>
      <c r="AZ1861" s="418"/>
      <c r="BA1861" s="418"/>
    </row>
    <row r="1862" spans="40:53" ht="15.75" customHeight="1">
      <c r="AN1862" s="418"/>
      <c r="AO1862" s="418"/>
      <c r="AP1862" s="418"/>
      <c r="AQ1862" s="418"/>
      <c r="AR1862" s="418"/>
      <c r="AS1862" s="418"/>
      <c r="AT1862" s="418"/>
      <c r="AU1862" s="418"/>
      <c r="AV1862" s="418"/>
      <c r="AW1862" s="418"/>
      <c r="AX1862" s="418"/>
      <c r="AY1862" s="418"/>
      <c r="AZ1862" s="418"/>
      <c r="BA1862" s="418"/>
    </row>
    <row r="1863" spans="40:53" ht="15.75" customHeight="1">
      <c r="AN1863" s="418"/>
      <c r="AO1863" s="418"/>
      <c r="AP1863" s="418"/>
      <c r="AQ1863" s="418"/>
      <c r="AR1863" s="418"/>
      <c r="AS1863" s="418"/>
      <c r="AT1863" s="418"/>
      <c r="AU1863" s="418"/>
      <c r="AV1863" s="418"/>
      <c r="AW1863" s="418"/>
      <c r="AX1863" s="418"/>
      <c r="AY1863" s="418"/>
      <c r="AZ1863" s="418"/>
      <c r="BA1863" s="418"/>
    </row>
    <row r="1864" spans="40:53" ht="15.75" customHeight="1">
      <c r="AN1864" s="418"/>
      <c r="AO1864" s="418"/>
      <c r="AP1864" s="418"/>
      <c r="AQ1864" s="418"/>
      <c r="AR1864" s="418"/>
      <c r="AS1864" s="418"/>
      <c r="AT1864" s="418"/>
      <c r="AU1864" s="418"/>
      <c r="AV1864" s="418"/>
      <c r="AW1864" s="418"/>
      <c r="AX1864" s="418"/>
      <c r="AY1864" s="418"/>
      <c r="AZ1864" s="418"/>
      <c r="BA1864" s="418"/>
    </row>
    <row r="1865" spans="40:53" ht="15.75" customHeight="1">
      <c r="AN1865" s="418"/>
      <c r="AO1865" s="418"/>
      <c r="AP1865" s="418"/>
      <c r="AQ1865" s="418"/>
      <c r="AR1865" s="418"/>
      <c r="AS1865" s="418"/>
      <c r="AT1865" s="418"/>
      <c r="AU1865" s="418"/>
      <c r="AV1865" s="418"/>
      <c r="AW1865" s="418"/>
      <c r="AX1865" s="418"/>
      <c r="AY1865" s="418"/>
      <c r="AZ1865" s="418"/>
      <c r="BA1865" s="418"/>
    </row>
    <row r="1866" spans="40:53" ht="15.75" customHeight="1">
      <c r="AN1866" s="418"/>
      <c r="AO1866" s="418"/>
      <c r="AP1866" s="418"/>
      <c r="AQ1866" s="418"/>
      <c r="AR1866" s="418"/>
      <c r="AS1866" s="418"/>
      <c r="AT1866" s="418"/>
      <c r="AU1866" s="418"/>
      <c r="AV1866" s="418"/>
      <c r="AW1866" s="418"/>
      <c r="AX1866" s="418"/>
      <c r="AY1866" s="418"/>
      <c r="AZ1866" s="418"/>
      <c r="BA1866" s="418"/>
    </row>
    <row r="1867" spans="40:53" ht="15.75" customHeight="1">
      <c r="AN1867" s="418"/>
      <c r="AO1867" s="418"/>
      <c r="AP1867" s="418"/>
      <c r="AQ1867" s="418"/>
      <c r="AR1867" s="418"/>
      <c r="AS1867" s="418"/>
      <c r="AT1867" s="418"/>
      <c r="AU1867" s="418"/>
      <c r="AV1867" s="418"/>
      <c r="AW1867" s="418"/>
      <c r="AX1867" s="418"/>
      <c r="AY1867" s="418"/>
      <c r="AZ1867" s="418"/>
      <c r="BA1867" s="418"/>
    </row>
    <row r="1868" spans="40:53" ht="15.75" customHeight="1">
      <c r="AN1868" s="418"/>
      <c r="AO1868" s="418"/>
      <c r="AP1868" s="418"/>
      <c r="AQ1868" s="418"/>
      <c r="AR1868" s="418"/>
      <c r="AS1868" s="418"/>
      <c r="AT1868" s="418"/>
      <c r="AU1868" s="418"/>
      <c r="AV1868" s="418"/>
      <c r="AW1868" s="418"/>
      <c r="AX1868" s="418"/>
      <c r="AY1868" s="418"/>
      <c r="AZ1868" s="418"/>
      <c r="BA1868" s="418"/>
    </row>
    <row r="1869" spans="40:53" ht="15.75" customHeight="1">
      <c r="AN1869" s="418"/>
      <c r="AO1869" s="418"/>
      <c r="AP1869" s="418"/>
      <c r="AQ1869" s="418"/>
      <c r="AR1869" s="418"/>
      <c r="AS1869" s="418"/>
      <c r="AT1869" s="418"/>
      <c r="AU1869" s="418"/>
      <c r="AV1869" s="418"/>
      <c r="AW1869" s="418"/>
      <c r="AX1869" s="418"/>
      <c r="AY1869" s="418"/>
      <c r="AZ1869" s="418"/>
      <c r="BA1869" s="418"/>
    </row>
    <row r="1870" spans="40:53" ht="15.75" customHeight="1">
      <c r="AN1870" s="418"/>
      <c r="AO1870" s="418"/>
      <c r="AP1870" s="418"/>
      <c r="AQ1870" s="418"/>
      <c r="AR1870" s="418"/>
      <c r="AS1870" s="418"/>
      <c r="AT1870" s="418"/>
      <c r="AU1870" s="418"/>
      <c r="AV1870" s="418"/>
      <c r="AW1870" s="418"/>
      <c r="AX1870" s="418"/>
      <c r="AY1870" s="418"/>
      <c r="AZ1870" s="418"/>
      <c r="BA1870" s="418"/>
    </row>
    <row r="1871" spans="40:53" ht="15.75" customHeight="1">
      <c r="AN1871" s="418"/>
      <c r="AO1871" s="418"/>
      <c r="AP1871" s="418"/>
      <c r="AQ1871" s="418"/>
      <c r="AR1871" s="418"/>
      <c r="AS1871" s="418"/>
      <c r="AT1871" s="418"/>
      <c r="AU1871" s="418"/>
      <c r="AV1871" s="418"/>
      <c r="AW1871" s="418"/>
      <c r="AX1871" s="418"/>
      <c r="AY1871" s="418"/>
      <c r="AZ1871" s="418"/>
      <c r="BA1871" s="418"/>
    </row>
    <row r="1872" spans="40:53" ht="15.75" customHeight="1">
      <c r="AN1872" s="418"/>
      <c r="AO1872" s="418"/>
      <c r="AP1872" s="418"/>
      <c r="AQ1872" s="418"/>
      <c r="AR1872" s="418"/>
      <c r="AS1872" s="418"/>
      <c r="AT1872" s="418"/>
      <c r="AU1872" s="418"/>
      <c r="AV1872" s="418"/>
      <c r="AW1872" s="418"/>
      <c r="AX1872" s="418"/>
      <c r="AY1872" s="418"/>
      <c r="AZ1872" s="418"/>
      <c r="BA1872" s="418"/>
    </row>
    <row r="1873" spans="40:53" ht="15.75" customHeight="1">
      <c r="AN1873" s="418"/>
      <c r="AO1873" s="418"/>
      <c r="AP1873" s="418"/>
      <c r="AQ1873" s="418"/>
      <c r="AR1873" s="418"/>
      <c r="AS1873" s="418"/>
      <c r="AT1873" s="418"/>
      <c r="AU1873" s="418"/>
      <c r="AV1873" s="418"/>
      <c r="AW1873" s="418"/>
      <c r="AX1873" s="418"/>
      <c r="AY1873" s="418"/>
      <c r="AZ1873" s="418"/>
      <c r="BA1873" s="418"/>
    </row>
    <row r="1874" spans="40:53" ht="15.75" customHeight="1">
      <c r="AN1874" s="418"/>
      <c r="AO1874" s="418"/>
      <c r="AP1874" s="418"/>
      <c r="AQ1874" s="418"/>
      <c r="AR1874" s="418"/>
      <c r="AS1874" s="418"/>
      <c r="AT1874" s="418"/>
      <c r="AU1874" s="418"/>
      <c r="AV1874" s="418"/>
      <c r="AW1874" s="418"/>
      <c r="AX1874" s="418"/>
      <c r="AY1874" s="418"/>
      <c r="AZ1874" s="418"/>
      <c r="BA1874" s="418"/>
    </row>
    <row r="1875" spans="40:53" ht="15.75" customHeight="1">
      <c r="AN1875" s="418"/>
      <c r="AO1875" s="418"/>
      <c r="AP1875" s="418"/>
      <c r="AQ1875" s="418"/>
      <c r="AR1875" s="418"/>
      <c r="AS1875" s="418"/>
      <c r="AT1875" s="418"/>
      <c r="AU1875" s="418"/>
      <c r="AV1875" s="418"/>
      <c r="AW1875" s="418"/>
      <c r="AX1875" s="418"/>
      <c r="AY1875" s="418"/>
      <c r="AZ1875" s="418"/>
      <c r="BA1875" s="418"/>
    </row>
    <row r="1876" spans="40:53" ht="15.75" customHeight="1">
      <c r="AN1876" s="418"/>
      <c r="AO1876" s="418"/>
      <c r="AP1876" s="418"/>
      <c r="AQ1876" s="418"/>
      <c r="AR1876" s="418"/>
      <c r="AS1876" s="418"/>
      <c r="AT1876" s="418"/>
      <c r="AU1876" s="418"/>
      <c r="AV1876" s="418"/>
      <c r="AW1876" s="418"/>
      <c r="AX1876" s="418"/>
      <c r="AY1876" s="418"/>
      <c r="AZ1876" s="418"/>
      <c r="BA1876" s="418"/>
    </row>
    <row r="1877" spans="40:53" ht="15.75" customHeight="1">
      <c r="AN1877" s="418"/>
      <c r="AO1877" s="418"/>
      <c r="AP1877" s="418"/>
      <c r="AQ1877" s="418"/>
      <c r="AR1877" s="418"/>
      <c r="AS1877" s="418"/>
      <c r="AT1877" s="418"/>
      <c r="AU1877" s="418"/>
      <c r="AV1877" s="418"/>
      <c r="AW1877" s="418"/>
      <c r="AX1877" s="418"/>
      <c r="AY1877" s="418"/>
      <c r="AZ1877" s="418"/>
      <c r="BA1877" s="418"/>
    </row>
    <row r="1878" spans="40:53" ht="15.75" customHeight="1">
      <c r="AN1878" s="418"/>
      <c r="AO1878" s="418"/>
      <c r="AP1878" s="418"/>
      <c r="AQ1878" s="418"/>
      <c r="AR1878" s="418"/>
      <c r="AS1878" s="418"/>
      <c r="AT1878" s="418"/>
      <c r="AU1878" s="418"/>
      <c r="AV1878" s="418"/>
      <c r="AW1878" s="418"/>
      <c r="AX1878" s="418"/>
      <c r="AY1878" s="418"/>
      <c r="AZ1878" s="418"/>
      <c r="BA1878" s="418"/>
    </row>
    <row r="1879" spans="40:53" ht="15.75" customHeight="1">
      <c r="AN1879" s="418"/>
      <c r="AO1879" s="418"/>
      <c r="AP1879" s="418"/>
      <c r="AQ1879" s="418"/>
      <c r="AR1879" s="418"/>
      <c r="AS1879" s="418"/>
      <c r="AT1879" s="418"/>
      <c r="AU1879" s="418"/>
      <c r="AV1879" s="418"/>
      <c r="AW1879" s="418"/>
      <c r="AX1879" s="418"/>
      <c r="AY1879" s="418"/>
      <c r="AZ1879" s="418"/>
      <c r="BA1879" s="418"/>
    </row>
    <row r="1880" spans="40:53" ht="15.75" customHeight="1">
      <c r="AN1880" s="418"/>
      <c r="AO1880" s="418"/>
      <c r="AP1880" s="418"/>
      <c r="AQ1880" s="418"/>
      <c r="AR1880" s="418"/>
      <c r="AS1880" s="418"/>
      <c r="AT1880" s="418"/>
      <c r="AU1880" s="418"/>
      <c r="AV1880" s="418"/>
      <c r="AW1880" s="418"/>
      <c r="AX1880" s="418"/>
      <c r="AY1880" s="418"/>
      <c r="AZ1880" s="418"/>
      <c r="BA1880" s="418"/>
    </row>
    <row r="1881" spans="40:53" ht="15.75" customHeight="1">
      <c r="AN1881" s="418"/>
      <c r="AO1881" s="418"/>
      <c r="AP1881" s="418"/>
      <c r="AQ1881" s="418"/>
      <c r="AR1881" s="418"/>
      <c r="AS1881" s="418"/>
      <c r="AT1881" s="418"/>
      <c r="AU1881" s="418"/>
      <c r="AV1881" s="418"/>
      <c r="AW1881" s="418"/>
      <c r="AX1881" s="418"/>
      <c r="AY1881" s="418"/>
      <c r="AZ1881" s="418"/>
      <c r="BA1881" s="418"/>
    </row>
    <row r="1882" spans="40:53" ht="15.75" customHeight="1">
      <c r="AN1882" s="418"/>
      <c r="AO1882" s="418"/>
      <c r="AP1882" s="418"/>
      <c r="AQ1882" s="418"/>
      <c r="AR1882" s="418"/>
      <c r="AS1882" s="418"/>
      <c r="AT1882" s="418"/>
      <c r="AU1882" s="418"/>
      <c r="AV1882" s="418"/>
      <c r="AW1882" s="418"/>
      <c r="AX1882" s="418"/>
      <c r="AY1882" s="418"/>
      <c r="AZ1882" s="418"/>
      <c r="BA1882" s="418"/>
    </row>
    <row r="1883" spans="40:53" ht="15.75" customHeight="1">
      <c r="AN1883" s="418"/>
      <c r="AO1883" s="418"/>
      <c r="AP1883" s="418"/>
      <c r="AQ1883" s="418"/>
      <c r="AR1883" s="418"/>
      <c r="AS1883" s="418"/>
      <c r="AT1883" s="418"/>
      <c r="AU1883" s="418"/>
      <c r="AV1883" s="418"/>
      <c r="AW1883" s="418"/>
      <c r="AX1883" s="418"/>
      <c r="AY1883" s="418"/>
      <c r="AZ1883" s="418"/>
      <c r="BA1883" s="418"/>
    </row>
    <row r="1884" spans="40:53" ht="15.75" customHeight="1">
      <c r="AN1884" s="418"/>
      <c r="AO1884" s="418"/>
      <c r="AP1884" s="418"/>
      <c r="AQ1884" s="418"/>
      <c r="AR1884" s="418"/>
      <c r="AS1884" s="418"/>
      <c r="AT1884" s="418"/>
      <c r="AU1884" s="418"/>
      <c r="AV1884" s="418"/>
      <c r="AW1884" s="418"/>
      <c r="AX1884" s="418"/>
      <c r="AY1884" s="418"/>
      <c r="AZ1884" s="418"/>
      <c r="BA1884" s="418"/>
    </row>
    <row r="1885" spans="40:53" ht="15.75" customHeight="1">
      <c r="AN1885" s="418"/>
      <c r="AO1885" s="418"/>
      <c r="AP1885" s="418"/>
      <c r="AQ1885" s="418"/>
      <c r="AR1885" s="418"/>
      <c r="AS1885" s="418"/>
      <c r="AT1885" s="418"/>
      <c r="AU1885" s="418"/>
      <c r="AV1885" s="418"/>
      <c r="AW1885" s="418"/>
      <c r="AX1885" s="418"/>
      <c r="AY1885" s="418"/>
      <c r="AZ1885" s="418"/>
      <c r="BA1885" s="418"/>
    </row>
    <row r="1886" spans="40:53" ht="15.75" customHeight="1">
      <c r="AN1886" s="418"/>
      <c r="AO1886" s="418"/>
      <c r="AP1886" s="418"/>
      <c r="AQ1886" s="418"/>
      <c r="AR1886" s="418"/>
      <c r="AS1886" s="418"/>
      <c r="AT1886" s="418"/>
      <c r="AU1886" s="418"/>
      <c r="AV1886" s="418"/>
      <c r="AW1886" s="418"/>
      <c r="AX1886" s="418"/>
      <c r="AY1886" s="418"/>
      <c r="AZ1886" s="418"/>
      <c r="BA1886" s="418"/>
    </row>
    <row r="1887" spans="40:53" ht="15.75" customHeight="1">
      <c r="AN1887" s="418"/>
      <c r="AO1887" s="418"/>
      <c r="AP1887" s="418"/>
      <c r="AQ1887" s="418"/>
      <c r="AR1887" s="418"/>
      <c r="AS1887" s="418"/>
      <c r="AT1887" s="418"/>
      <c r="AU1887" s="418"/>
      <c r="AV1887" s="418"/>
      <c r="AW1887" s="418"/>
      <c r="AX1887" s="418"/>
      <c r="AY1887" s="418"/>
      <c r="AZ1887" s="418"/>
      <c r="BA1887" s="418"/>
    </row>
    <row r="1888" spans="40:53" ht="15.75" customHeight="1">
      <c r="AN1888" s="418"/>
      <c r="AO1888" s="418"/>
      <c r="AP1888" s="418"/>
      <c r="AQ1888" s="418"/>
      <c r="AR1888" s="418"/>
      <c r="AS1888" s="418"/>
      <c r="AT1888" s="418"/>
      <c r="AU1888" s="418"/>
      <c r="AV1888" s="418"/>
      <c r="AW1888" s="418"/>
      <c r="AX1888" s="418"/>
      <c r="AY1888" s="418"/>
      <c r="AZ1888" s="418"/>
      <c r="BA1888" s="418"/>
    </row>
    <row r="1889" spans="40:53" ht="15.75" customHeight="1">
      <c r="AN1889" s="418"/>
      <c r="AO1889" s="418"/>
      <c r="AP1889" s="418"/>
      <c r="AQ1889" s="418"/>
      <c r="AR1889" s="418"/>
      <c r="AS1889" s="418"/>
      <c r="AT1889" s="418"/>
      <c r="AU1889" s="418"/>
      <c r="AV1889" s="418"/>
      <c r="AW1889" s="418"/>
      <c r="AX1889" s="418"/>
      <c r="AY1889" s="418"/>
      <c r="AZ1889" s="418"/>
      <c r="BA1889" s="418"/>
    </row>
    <row r="1890" spans="40:53" ht="15.75" customHeight="1">
      <c r="AN1890" s="418"/>
      <c r="AO1890" s="418"/>
      <c r="AP1890" s="418"/>
      <c r="AQ1890" s="418"/>
      <c r="AR1890" s="418"/>
      <c r="AS1890" s="418"/>
      <c r="AT1890" s="418"/>
      <c r="AU1890" s="418"/>
      <c r="AV1890" s="418"/>
      <c r="AW1890" s="418"/>
      <c r="AX1890" s="418"/>
      <c r="AY1890" s="418"/>
      <c r="AZ1890" s="418"/>
      <c r="BA1890" s="418"/>
    </row>
    <row r="1891" spans="40:53" ht="15.75" customHeight="1">
      <c r="AN1891" s="418"/>
      <c r="AO1891" s="418"/>
      <c r="AP1891" s="418"/>
      <c r="AQ1891" s="418"/>
      <c r="AR1891" s="418"/>
      <c r="AS1891" s="418"/>
      <c r="AT1891" s="418"/>
      <c r="AU1891" s="418"/>
      <c r="AV1891" s="418"/>
      <c r="AW1891" s="418"/>
      <c r="AX1891" s="418"/>
      <c r="AY1891" s="418"/>
      <c r="AZ1891" s="418"/>
      <c r="BA1891" s="418"/>
    </row>
    <row r="1892" spans="40:53" ht="15.75" customHeight="1">
      <c r="AN1892" s="418"/>
      <c r="AO1892" s="418"/>
      <c r="AP1892" s="418"/>
      <c r="AQ1892" s="418"/>
      <c r="AR1892" s="418"/>
      <c r="AS1892" s="418"/>
      <c r="AT1892" s="418"/>
      <c r="AU1892" s="418"/>
      <c r="AV1892" s="418"/>
      <c r="AW1892" s="418"/>
      <c r="AX1892" s="418"/>
      <c r="AY1892" s="418"/>
      <c r="AZ1892" s="418"/>
      <c r="BA1892" s="418"/>
    </row>
    <row r="1893" spans="40:53" ht="15.75" customHeight="1">
      <c r="AN1893" s="418"/>
      <c r="AO1893" s="418"/>
      <c r="AP1893" s="418"/>
      <c r="AQ1893" s="418"/>
      <c r="AR1893" s="418"/>
      <c r="AS1893" s="418"/>
      <c r="AT1893" s="418"/>
      <c r="AU1893" s="418"/>
      <c r="AV1893" s="418"/>
      <c r="AW1893" s="418"/>
      <c r="AX1893" s="418"/>
      <c r="AY1893" s="418"/>
      <c r="AZ1893" s="418"/>
      <c r="BA1893" s="418"/>
    </row>
    <row r="1894" spans="40:53" ht="15.75" customHeight="1">
      <c r="AN1894" s="418"/>
      <c r="AO1894" s="418"/>
      <c r="AP1894" s="418"/>
      <c r="AQ1894" s="418"/>
      <c r="AR1894" s="418"/>
      <c r="AS1894" s="418"/>
      <c r="AT1894" s="418"/>
      <c r="AU1894" s="418"/>
      <c r="AV1894" s="418"/>
      <c r="AW1894" s="418"/>
      <c r="AX1894" s="418"/>
      <c r="AY1894" s="418"/>
      <c r="AZ1894" s="418"/>
      <c r="BA1894" s="418"/>
    </row>
    <row r="1895" spans="40:53" ht="15.75" customHeight="1">
      <c r="AN1895" s="418"/>
      <c r="AO1895" s="418"/>
      <c r="AP1895" s="418"/>
      <c r="AQ1895" s="418"/>
      <c r="AR1895" s="418"/>
      <c r="AS1895" s="418"/>
      <c r="AT1895" s="418"/>
      <c r="AU1895" s="418"/>
      <c r="AV1895" s="418"/>
      <c r="AW1895" s="418"/>
      <c r="AX1895" s="418"/>
      <c r="AY1895" s="418"/>
      <c r="AZ1895" s="418"/>
      <c r="BA1895" s="418"/>
    </row>
    <row r="1896" spans="40:53" ht="15.75" customHeight="1">
      <c r="AN1896" s="418"/>
      <c r="AO1896" s="418"/>
      <c r="AP1896" s="418"/>
      <c r="AQ1896" s="418"/>
      <c r="AR1896" s="418"/>
      <c r="AS1896" s="418"/>
      <c r="AT1896" s="418"/>
      <c r="AU1896" s="418"/>
      <c r="AV1896" s="418"/>
      <c r="AW1896" s="418"/>
      <c r="AX1896" s="418"/>
      <c r="AY1896" s="418"/>
      <c r="AZ1896" s="418"/>
      <c r="BA1896" s="418"/>
    </row>
    <row r="1897" spans="40:53" ht="15.75" customHeight="1">
      <c r="AN1897" s="418"/>
      <c r="AO1897" s="418"/>
      <c r="AP1897" s="418"/>
      <c r="AQ1897" s="418"/>
      <c r="AR1897" s="418"/>
      <c r="AS1897" s="418"/>
      <c r="AT1897" s="418"/>
      <c r="AU1897" s="418"/>
      <c r="AV1897" s="418"/>
      <c r="AW1897" s="418"/>
      <c r="AX1897" s="418"/>
      <c r="AY1897" s="418"/>
      <c r="AZ1897" s="418"/>
      <c r="BA1897" s="418"/>
    </row>
    <row r="1898" spans="40:53" ht="15.75" customHeight="1">
      <c r="AN1898" s="418"/>
      <c r="AO1898" s="418"/>
      <c r="AP1898" s="418"/>
      <c r="AQ1898" s="418"/>
      <c r="AR1898" s="418"/>
      <c r="AS1898" s="418"/>
      <c r="AT1898" s="418"/>
      <c r="AU1898" s="418"/>
      <c r="AV1898" s="418"/>
      <c r="AW1898" s="418"/>
      <c r="AX1898" s="418"/>
      <c r="AY1898" s="418"/>
      <c r="AZ1898" s="418"/>
      <c r="BA1898" s="418"/>
    </row>
    <row r="1899" spans="40:53" ht="15.75" customHeight="1">
      <c r="AN1899" s="418"/>
      <c r="AO1899" s="418"/>
      <c r="AP1899" s="418"/>
      <c r="AQ1899" s="418"/>
      <c r="AR1899" s="418"/>
      <c r="AS1899" s="418"/>
      <c r="AT1899" s="418"/>
      <c r="AU1899" s="418"/>
      <c r="AV1899" s="418"/>
      <c r="AW1899" s="418"/>
      <c r="AX1899" s="418"/>
      <c r="AY1899" s="418"/>
      <c r="AZ1899" s="418"/>
      <c r="BA1899" s="418"/>
    </row>
    <row r="1900" spans="40:53" ht="15.75" customHeight="1">
      <c r="AN1900" s="418"/>
      <c r="AO1900" s="418"/>
      <c r="AP1900" s="418"/>
      <c r="AQ1900" s="418"/>
      <c r="AR1900" s="418"/>
      <c r="AS1900" s="418"/>
      <c r="AT1900" s="418"/>
      <c r="AU1900" s="418"/>
      <c r="AV1900" s="418"/>
      <c r="AW1900" s="418"/>
      <c r="AX1900" s="418"/>
      <c r="AY1900" s="418"/>
      <c r="AZ1900" s="418"/>
      <c r="BA1900" s="418"/>
    </row>
    <row r="1901" spans="40:53" ht="15.75" customHeight="1">
      <c r="AN1901" s="418"/>
      <c r="AO1901" s="418"/>
      <c r="AP1901" s="418"/>
      <c r="AQ1901" s="418"/>
      <c r="AR1901" s="418"/>
      <c r="AS1901" s="418"/>
      <c r="AT1901" s="418"/>
      <c r="AU1901" s="418"/>
      <c r="AV1901" s="418"/>
      <c r="AW1901" s="418"/>
      <c r="AX1901" s="418"/>
      <c r="AY1901" s="418"/>
      <c r="AZ1901" s="418"/>
      <c r="BA1901" s="418"/>
    </row>
    <row r="1902" spans="40:53" ht="15.75" customHeight="1">
      <c r="AN1902" s="418"/>
      <c r="AO1902" s="418"/>
      <c r="AP1902" s="418"/>
      <c r="AQ1902" s="418"/>
      <c r="AR1902" s="418"/>
      <c r="AS1902" s="418"/>
      <c r="AT1902" s="418"/>
      <c r="AU1902" s="418"/>
      <c r="AV1902" s="418"/>
      <c r="AW1902" s="418"/>
      <c r="AX1902" s="418"/>
      <c r="AY1902" s="418"/>
      <c r="AZ1902" s="418"/>
      <c r="BA1902" s="418"/>
    </row>
    <row r="1903" spans="40:53" ht="15.75" customHeight="1">
      <c r="AN1903" s="418"/>
      <c r="AO1903" s="418"/>
      <c r="AP1903" s="418"/>
      <c r="AQ1903" s="418"/>
      <c r="AR1903" s="418"/>
      <c r="AS1903" s="418"/>
      <c r="AT1903" s="418"/>
      <c r="AU1903" s="418"/>
      <c r="AV1903" s="418"/>
      <c r="AW1903" s="418"/>
      <c r="AX1903" s="418"/>
      <c r="AY1903" s="418"/>
      <c r="AZ1903" s="418"/>
      <c r="BA1903" s="418"/>
    </row>
    <row r="1904" spans="40:53" ht="15.75" customHeight="1">
      <c r="AN1904" s="418"/>
      <c r="AO1904" s="418"/>
      <c r="AP1904" s="418"/>
      <c r="AQ1904" s="418"/>
      <c r="AR1904" s="418"/>
      <c r="AS1904" s="418"/>
      <c r="AT1904" s="418"/>
      <c r="AU1904" s="418"/>
      <c r="AV1904" s="418"/>
      <c r="AW1904" s="418"/>
      <c r="AX1904" s="418"/>
      <c r="AY1904" s="418"/>
      <c r="AZ1904" s="418"/>
      <c r="BA1904" s="418"/>
    </row>
    <row r="1905" spans="40:53" ht="15.75" customHeight="1">
      <c r="AN1905" s="418"/>
      <c r="AO1905" s="418"/>
      <c r="AP1905" s="418"/>
      <c r="AQ1905" s="418"/>
      <c r="AR1905" s="418"/>
      <c r="AS1905" s="418"/>
      <c r="AT1905" s="418"/>
      <c r="AU1905" s="418"/>
      <c r="AV1905" s="418"/>
      <c r="AW1905" s="418"/>
      <c r="AX1905" s="418"/>
      <c r="AY1905" s="418"/>
      <c r="AZ1905" s="418"/>
      <c r="BA1905" s="418"/>
    </row>
    <row r="1906" spans="40:53" ht="15.75" customHeight="1">
      <c r="AN1906" s="418"/>
      <c r="AO1906" s="418"/>
      <c r="AP1906" s="418"/>
      <c r="AQ1906" s="418"/>
      <c r="AR1906" s="418"/>
      <c r="AS1906" s="418"/>
      <c r="AT1906" s="418"/>
      <c r="AU1906" s="418"/>
      <c r="AV1906" s="418"/>
      <c r="AW1906" s="418"/>
      <c r="AX1906" s="418"/>
      <c r="AY1906" s="418"/>
      <c r="AZ1906" s="418"/>
      <c r="BA1906" s="418"/>
    </row>
    <row r="1907" spans="40:53" ht="15.75" customHeight="1">
      <c r="AN1907" s="418"/>
      <c r="AO1907" s="418"/>
      <c r="AP1907" s="418"/>
      <c r="AQ1907" s="418"/>
      <c r="AR1907" s="418"/>
      <c r="AS1907" s="418"/>
      <c r="AT1907" s="418"/>
      <c r="AU1907" s="418"/>
      <c r="AV1907" s="418"/>
      <c r="AW1907" s="418"/>
      <c r="AX1907" s="418"/>
      <c r="AY1907" s="418"/>
      <c r="AZ1907" s="418"/>
      <c r="BA1907" s="418"/>
    </row>
    <row r="1908" spans="40:53" ht="15.75" customHeight="1">
      <c r="AN1908" s="418"/>
      <c r="AO1908" s="418"/>
      <c r="AP1908" s="418"/>
      <c r="AQ1908" s="418"/>
      <c r="AR1908" s="418"/>
      <c r="AS1908" s="418"/>
      <c r="AT1908" s="418"/>
      <c r="AU1908" s="418"/>
      <c r="AV1908" s="418"/>
      <c r="AW1908" s="418"/>
      <c r="AX1908" s="418"/>
      <c r="AY1908" s="418"/>
      <c r="AZ1908" s="418"/>
      <c r="BA1908" s="418"/>
    </row>
    <row r="1909" spans="40:53" ht="15.75" customHeight="1">
      <c r="AN1909" s="418"/>
      <c r="AO1909" s="418"/>
      <c r="AP1909" s="418"/>
      <c r="AQ1909" s="418"/>
      <c r="AR1909" s="418"/>
      <c r="AS1909" s="418"/>
      <c r="AT1909" s="418"/>
      <c r="AU1909" s="418"/>
      <c r="AV1909" s="418"/>
      <c r="AW1909" s="418"/>
      <c r="AX1909" s="418"/>
      <c r="AY1909" s="418"/>
      <c r="AZ1909" s="418"/>
      <c r="BA1909" s="418"/>
    </row>
    <row r="1910" spans="40:53" ht="15.75" customHeight="1">
      <c r="AN1910" s="418"/>
      <c r="AO1910" s="418"/>
      <c r="AP1910" s="418"/>
      <c r="AQ1910" s="418"/>
      <c r="AR1910" s="418"/>
      <c r="AS1910" s="418"/>
      <c r="AT1910" s="418"/>
      <c r="AU1910" s="418"/>
      <c r="AV1910" s="418"/>
      <c r="AW1910" s="418"/>
      <c r="AX1910" s="418"/>
      <c r="AY1910" s="418"/>
      <c r="AZ1910" s="418"/>
      <c r="BA1910" s="418"/>
    </row>
    <row r="1911" spans="40:53" ht="15.75" customHeight="1">
      <c r="AN1911" s="418"/>
      <c r="AO1911" s="418"/>
      <c r="AP1911" s="418"/>
      <c r="AQ1911" s="418"/>
      <c r="AR1911" s="418"/>
      <c r="AS1911" s="418"/>
      <c r="AT1911" s="418"/>
      <c r="AU1911" s="418"/>
      <c r="AV1911" s="418"/>
      <c r="AW1911" s="418"/>
      <c r="AX1911" s="418"/>
      <c r="AY1911" s="418"/>
      <c r="AZ1911" s="418"/>
      <c r="BA1911" s="418"/>
    </row>
    <row r="1912" spans="40:53" ht="15.75" customHeight="1">
      <c r="AN1912" s="418"/>
      <c r="AO1912" s="418"/>
      <c r="AP1912" s="418"/>
      <c r="AQ1912" s="418"/>
      <c r="AR1912" s="418"/>
      <c r="AS1912" s="418"/>
      <c r="AT1912" s="418"/>
      <c r="AU1912" s="418"/>
      <c r="AV1912" s="418"/>
      <c r="AW1912" s="418"/>
      <c r="AX1912" s="418"/>
      <c r="AY1912" s="418"/>
      <c r="AZ1912" s="418"/>
      <c r="BA1912" s="418"/>
    </row>
    <row r="1913" spans="40:53" ht="15.75" customHeight="1">
      <c r="AN1913" s="418"/>
      <c r="AO1913" s="418"/>
      <c r="AP1913" s="418"/>
      <c r="AQ1913" s="418"/>
      <c r="AR1913" s="418"/>
      <c r="AS1913" s="418"/>
      <c r="AT1913" s="418"/>
      <c r="AU1913" s="418"/>
      <c r="AV1913" s="418"/>
      <c r="AW1913" s="418"/>
      <c r="AX1913" s="418"/>
      <c r="AY1913" s="418"/>
      <c r="AZ1913" s="418"/>
      <c r="BA1913" s="418"/>
    </row>
    <row r="1914" spans="40:53" ht="15.75" customHeight="1">
      <c r="AN1914" s="418"/>
      <c r="AO1914" s="418"/>
      <c r="AP1914" s="418"/>
      <c r="AQ1914" s="418"/>
      <c r="AR1914" s="418"/>
      <c r="AS1914" s="418"/>
      <c r="AT1914" s="418"/>
      <c r="AU1914" s="418"/>
      <c r="AV1914" s="418"/>
      <c r="AW1914" s="418"/>
      <c r="AX1914" s="418"/>
      <c r="AY1914" s="418"/>
      <c r="AZ1914" s="418"/>
      <c r="BA1914" s="418"/>
    </row>
    <row r="1915" spans="40:53" ht="15.75" customHeight="1">
      <c r="AN1915" s="418"/>
      <c r="AO1915" s="418"/>
      <c r="AP1915" s="418"/>
      <c r="AQ1915" s="418"/>
      <c r="AR1915" s="418"/>
      <c r="AS1915" s="418"/>
      <c r="AT1915" s="418"/>
      <c r="AU1915" s="418"/>
      <c r="AV1915" s="418"/>
      <c r="AW1915" s="418"/>
      <c r="AX1915" s="418"/>
      <c r="AY1915" s="418"/>
      <c r="AZ1915" s="418"/>
      <c r="BA1915" s="418"/>
    </row>
    <row r="1916" spans="40:53" ht="15.75" customHeight="1">
      <c r="AN1916" s="418"/>
      <c r="AO1916" s="418"/>
      <c r="AP1916" s="418"/>
      <c r="AQ1916" s="418"/>
      <c r="AR1916" s="418"/>
      <c r="AS1916" s="418"/>
      <c r="AT1916" s="418"/>
      <c r="AU1916" s="418"/>
      <c r="AV1916" s="418"/>
      <c r="AW1916" s="418"/>
      <c r="AX1916" s="418"/>
      <c r="AY1916" s="418"/>
      <c r="AZ1916" s="418"/>
      <c r="BA1916" s="418"/>
    </row>
    <row r="1917" spans="40:53" ht="15.75" customHeight="1">
      <c r="AN1917" s="418"/>
      <c r="AO1917" s="418"/>
      <c r="AP1917" s="418"/>
      <c r="AQ1917" s="418"/>
      <c r="AR1917" s="418"/>
      <c r="AS1917" s="418"/>
      <c r="AT1917" s="418"/>
      <c r="AU1917" s="418"/>
      <c r="AV1917" s="418"/>
      <c r="AW1917" s="418"/>
      <c r="AX1917" s="418"/>
      <c r="AY1917" s="418"/>
      <c r="AZ1917" s="418"/>
      <c r="BA1917" s="418"/>
    </row>
    <row r="1918" spans="40:53" ht="15.75" customHeight="1">
      <c r="AN1918" s="418"/>
      <c r="AO1918" s="418"/>
      <c r="AP1918" s="418"/>
      <c r="AQ1918" s="418"/>
      <c r="AR1918" s="418"/>
      <c r="AS1918" s="418"/>
      <c r="AT1918" s="418"/>
      <c r="AU1918" s="418"/>
      <c r="AV1918" s="418"/>
      <c r="AW1918" s="418"/>
      <c r="AX1918" s="418"/>
      <c r="AY1918" s="418"/>
      <c r="AZ1918" s="418"/>
      <c r="BA1918" s="418"/>
    </row>
    <row r="1919" spans="40:53" ht="15.75" customHeight="1">
      <c r="AN1919" s="418"/>
      <c r="AO1919" s="418"/>
      <c r="AP1919" s="418"/>
      <c r="AQ1919" s="418"/>
      <c r="AR1919" s="418"/>
      <c r="AS1919" s="418"/>
      <c r="AT1919" s="418"/>
      <c r="AU1919" s="418"/>
      <c r="AV1919" s="418"/>
      <c r="AW1919" s="418"/>
      <c r="AX1919" s="418"/>
      <c r="AY1919" s="418"/>
      <c r="AZ1919" s="418"/>
      <c r="BA1919" s="418"/>
    </row>
    <row r="1920" spans="40:53" ht="15.75" customHeight="1">
      <c r="AN1920" s="418"/>
      <c r="AO1920" s="418"/>
      <c r="AP1920" s="418"/>
      <c r="AQ1920" s="418"/>
      <c r="AR1920" s="418"/>
      <c r="AS1920" s="418"/>
      <c r="AT1920" s="418"/>
      <c r="AU1920" s="418"/>
      <c r="AV1920" s="418"/>
      <c r="AW1920" s="418"/>
      <c r="AX1920" s="418"/>
      <c r="AY1920" s="418"/>
      <c r="AZ1920" s="418"/>
      <c r="BA1920" s="418"/>
    </row>
    <row r="1921" spans="40:53" ht="15.75" customHeight="1">
      <c r="AN1921" s="418"/>
      <c r="AO1921" s="418"/>
      <c r="AP1921" s="418"/>
      <c r="AQ1921" s="418"/>
      <c r="AR1921" s="418"/>
      <c r="AS1921" s="418"/>
      <c r="AT1921" s="418"/>
      <c r="AU1921" s="418"/>
      <c r="AV1921" s="418"/>
      <c r="AW1921" s="418"/>
      <c r="AX1921" s="418"/>
      <c r="AY1921" s="418"/>
      <c r="AZ1921" s="418"/>
      <c r="BA1921" s="418"/>
    </row>
    <row r="1922" spans="40:53" ht="15.75" customHeight="1">
      <c r="AN1922" s="418"/>
      <c r="AO1922" s="418"/>
      <c r="AP1922" s="418"/>
      <c r="AQ1922" s="418"/>
      <c r="AR1922" s="418"/>
      <c r="AS1922" s="418"/>
      <c r="AT1922" s="418"/>
      <c r="AU1922" s="418"/>
      <c r="AV1922" s="418"/>
      <c r="AW1922" s="418"/>
      <c r="AX1922" s="418"/>
      <c r="AY1922" s="418"/>
      <c r="AZ1922" s="418"/>
      <c r="BA1922" s="418"/>
    </row>
    <row r="1923" spans="40:53" ht="15.75" customHeight="1">
      <c r="AN1923" s="418"/>
      <c r="AO1923" s="418"/>
      <c r="AP1923" s="418"/>
      <c r="AQ1923" s="418"/>
      <c r="AR1923" s="418"/>
      <c r="AS1923" s="418"/>
      <c r="AT1923" s="418"/>
      <c r="AU1923" s="418"/>
      <c r="AV1923" s="418"/>
      <c r="AW1923" s="418"/>
      <c r="AX1923" s="418"/>
      <c r="AY1923" s="418"/>
      <c r="AZ1923" s="418"/>
      <c r="BA1923" s="418"/>
    </row>
    <row r="1924" spans="40:53" ht="15.75" customHeight="1">
      <c r="AN1924" s="418"/>
      <c r="AO1924" s="418"/>
      <c r="AP1924" s="418"/>
      <c r="AQ1924" s="418"/>
      <c r="AR1924" s="418"/>
      <c r="AS1924" s="418"/>
      <c r="AT1924" s="418"/>
      <c r="AU1924" s="418"/>
      <c r="AV1924" s="418"/>
      <c r="AW1924" s="418"/>
      <c r="AX1924" s="418"/>
      <c r="AY1924" s="418"/>
      <c r="AZ1924" s="418"/>
      <c r="BA1924" s="418"/>
    </row>
    <row r="1925" spans="40:53" ht="15.75" customHeight="1">
      <c r="AN1925" s="418"/>
      <c r="AO1925" s="418"/>
      <c r="AP1925" s="418"/>
      <c r="AQ1925" s="418"/>
      <c r="AR1925" s="418"/>
      <c r="AS1925" s="418"/>
      <c r="AT1925" s="418"/>
      <c r="AU1925" s="418"/>
      <c r="AV1925" s="418"/>
      <c r="AW1925" s="418"/>
      <c r="AX1925" s="418"/>
      <c r="AY1925" s="418"/>
      <c r="AZ1925" s="418"/>
      <c r="BA1925" s="418"/>
    </row>
    <row r="1926" spans="40:53" ht="15.75" customHeight="1">
      <c r="AN1926" s="418"/>
      <c r="AO1926" s="418"/>
      <c r="AP1926" s="418"/>
      <c r="AQ1926" s="418"/>
      <c r="AR1926" s="418"/>
      <c r="AS1926" s="418"/>
      <c r="AT1926" s="418"/>
      <c r="AU1926" s="418"/>
      <c r="AV1926" s="418"/>
      <c r="AW1926" s="418"/>
      <c r="AX1926" s="418"/>
      <c r="AY1926" s="418"/>
      <c r="AZ1926" s="418"/>
      <c r="BA1926" s="418"/>
    </row>
    <row r="1927" spans="40:53" ht="15.75" customHeight="1">
      <c r="AN1927" s="418"/>
      <c r="AO1927" s="418"/>
      <c r="AP1927" s="418"/>
      <c r="AQ1927" s="418"/>
      <c r="AR1927" s="418"/>
      <c r="AS1927" s="418"/>
      <c r="AT1927" s="418"/>
      <c r="AU1927" s="418"/>
      <c r="AV1927" s="418"/>
      <c r="AW1927" s="418"/>
      <c r="AX1927" s="418"/>
      <c r="AY1927" s="418"/>
      <c r="AZ1927" s="418"/>
      <c r="BA1927" s="418"/>
    </row>
    <row r="1928" spans="40:53" ht="15.75" customHeight="1">
      <c r="AN1928" s="418"/>
      <c r="AO1928" s="418"/>
      <c r="AP1928" s="418"/>
      <c r="AQ1928" s="418"/>
      <c r="AR1928" s="418"/>
      <c r="AS1928" s="418"/>
      <c r="AT1928" s="418"/>
      <c r="AU1928" s="418"/>
      <c r="AV1928" s="418"/>
      <c r="AW1928" s="418"/>
      <c r="AX1928" s="418"/>
      <c r="AY1928" s="418"/>
      <c r="AZ1928" s="418"/>
      <c r="BA1928" s="418"/>
    </row>
    <row r="1929" spans="40:53" ht="15.75" customHeight="1">
      <c r="AN1929" s="418"/>
      <c r="AO1929" s="418"/>
      <c r="AP1929" s="418"/>
      <c r="AQ1929" s="418"/>
      <c r="AR1929" s="418"/>
      <c r="AS1929" s="418"/>
      <c r="AT1929" s="418"/>
      <c r="AU1929" s="418"/>
      <c r="AV1929" s="418"/>
      <c r="AW1929" s="418"/>
      <c r="AX1929" s="418"/>
      <c r="AY1929" s="418"/>
      <c r="AZ1929" s="418"/>
      <c r="BA1929" s="418"/>
    </row>
    <row r="1930" spans="40:53" ht="15.75" customHeight="1">
      <c r="AN1930" s="418"/>
      <c r="AO1930" s="418"/>
      <c r="AP1930" s="418"/>
      <c r="AQ1930" s="418"/>
      <c r="AR1930" s="418"/>
      <c r="AS1930" s="418"/>
      <c r="AT1930" s="418"/>
      <c r="AU1930" s="418"/>
      <c r="AV1930" s="418"/>
      <c r="AW1930" s="418"/>
      <c r="AX1930" s="418"/>
      <c r="AY1930" s="418"/>
      <c r="AZ1930" s="418"/>
      <c r="BA1930" s="418"/>
    </row>
    <row r="1931" spans="40:53" ht="15.75" customHeight="1">
      <c r="AN1931" s="418"/>
      <c r="AO1931" s="418"/>
      <c r="AP1931" s="418"/>
      <c r="AQ1931" s="418"/>
      <c r="AR1931" s="418"/>
      <c r="AS1931" s="418"/>
      <c r="AT1931" s="418"/>
      <c r="AU1931" s="418"/>
      <c r="AV1931" s="418"/>
      <c r="AW1931" s="418"/>
      <c r="AX1931" s="418"/>
      <c r="AY1931" s="418"/>
      <c r="AZ1931" s="418"/>
      <c r="BA1931" s="418"/>
    </row>
    <row r="1932" spans="40:53" ht="15.75" customHeight="1">
      <c r="AN1932" s="418"/>
      <c r="AO1932" s="418"/>
      <c r="AP1932" s="418"/>
      <c r="AQ1932" s="418"/>
      <c r="AR1932" s="418"/>
      <c r="AS1932" s="418"/>
      <c r="AT1932" s="418"/>
      <c r="AU1932" s="418"/>
      <c r="AV1932" s="418"/>
      <c r="AW1932" s="418"/>
      <c r="AX1932" s="418"/>
      <c r="AY1932" s="418"/>
      <c r="AZ1932" s="418"/>
      <c r="BA1932" s="418"/>
    </row>
    <row r="1933" spans="40:53" ht="15.75" customHeight="1">
      <c r="AN1933" s="418"/>
      <c r="AO1933" s="418"/>
      <c r="AP1933" s="418"/>
      <c r="AQ1933" s="418"/>
      <c r="AR1933" s="418"/>
      <c r="AS1933" s="418"/>
      <c r="AT1933" s="418"/>
      <c r="AU1933" s="418"/>
      <c r="AV1933" s="418"/>
      <c r="AW1933" s="418"/>
      <c r="AX1933" s="418"/>
      <c r="AY1933" s="418"/>
      <c r="AZ1933" s="418"/>
      <c r="BA1933" s="418"/>
    </row>
    <row r="1934" spans="40:53" ht="15.75" customHeight="1">
      <c r="AN1934" s="418"/>
      <c r="AO1934" s="418"/>
      <c r="AP1934" s="418"/>
      <c r="AQ1934" s="418"/>
      <c r="AR1934" s="418"/>
      <c r="AS1934" s="418"/>
      <c r="AT1934" s="418"/>
      <c r="AU1934" s="418"/>
      <c r="AV1934" s="418"/>
      <c r="AW1934" s="418"/>
      <c r="AX1934" s="418"/>
      <c r="AY1934" s="418"/>
      <c r="AZ1934" s="418"/>
      <c r="BA1934" s="418"/>
    </row>
    <row r="1935" spans="40:53" ht="15.75" customHeight="1">
      <c r="AN1935" s="418"/>
      <c r="AO1935" s="418"/>
      <c r="AP1935" s="418"/>
      <c r="AQ1935" s="418"/>
      <c r="AR1935" s="418"/>
      <c r="AS1935" s="418"/>
      <c r="AT1935" s="418"/>
      <c r="AU1935" s="418"/>
      <c r="AV1935" s="418"/>
      <c r="AW1935" s="418"/>
      <c r="AX1935" s="418"/>
      <c r="AY1935" s="418"/>
      <c r="AZ1935" s="418"/>
      <c r="BA1935" s="418"/>
    </row>
    <row r="1936" spans="40:53" ht="15.75" customHeight="1">
      <c r="AN1936" s="418"/>
      <c r="AO1936" s="418"/>
      <c r="AP1936" s="418"/>
      <c r="AQ1936" s="418"/>
      <c r="AR1936" s="418"/>
      <c r="AS1936" s="418"/>
      <c r="AT1936" s="418"/>
      <c r="AU1936" s="418"/>
      <c r="AV1936" s="418"/>
      <c r="AW1936" s="418"/>
      <c r="AX1936" s="418"/>
      <c r="AY1936" s="418"/>
      <c r="AZ1936" s="418"/>
      <c r="BA1936" s="418"/>
    </row>
    <row r="1937" spans="40:53" ht="15.75" customHeight="1">
      <c r="AN1937" s="418"/>
      <c r="AO1937" s="418"/>
      <c r="AP1937" s="418"/>
      <c r="AQ1937" s="418"/>
      <c r="AR1937" s="418"/>
      <c r="AS1937" s="418"/>
      <c r="AT1937" s="418"/>
      <c r="AU1937" s="418"/>
      <c r="AV1937" s="418"/>
      <c r="AW1937" s="418"/>
      <c r="AX1937" s="418"/>
      <c r="AY1937" s="418"/>
      <c r="AZ1937" s="418"/>
      <c r="BA1937" s="418"/>
    </row>
    <row r="1938" spans="40:53" ht="15.75" customHeight="1">
      <c r="AN1938" s="418"/>
      <c r="AO1938" s="418"/>
      <c r="AP1938" s="418"/>
      <c r="AQ1938" s="418"/>
      <c r="AR1938" s="418"/>
      <c r="AS1938" s="418"/>
      <c r="AT1938" s="418"/>
      <c r="AU1938" s="418"/>
      <c r="AV1938" s="418"/>
      <c r="AW1938" s="418"/>
      <c r="AX1938" s="418"/>
      <c r="AY1938" s="418"/>
      <c r="AZ1938" s="418"/>
      <c r="BA1938" s="418"/>
    </row>
    <row r="1939" spans="40:53" ht="15.75" customHeight="1">
      <c r="AN1939" s="418"/>
      <c r="AO1939" s="418"/>
      <c r="AP1939" s="418"/>
      <c r="AQ1939" s="418"/>
      <c r="AR1939" s="418"/>
      <c r="AS1939" s="418"/>
      <c r="AT1939" s="418"/>
      <c r="AU1939" s="418"/>
      <c r="AV1939" s="418"/>
      <c r="AW1939" s="418"/>
      <c r="AX1939" s="418"/>
      <c r="AY1939" s="418"/>
      <c r="AZ1939" s="418"/>
      <c r="BA1939" s="418"/>
    </row>
    <row r="1940" spans="40:53" ht="15.75" customHeight="1">
      <c r="AN1940" s="418"/>
      <c r="AO1940" s="418"/>
      <c r="AP1940" s="418"/>
      <c r="AQ1940" s="418"/>
      <c r="AR1940" s="418"/>
      <c r="AS1940" s="418"/>
      <c r="AT1940" s="418"/>
      <c r="AU1940" s="418"/>
      <c r="AV1940" s="418"/>
      <c r="AW1940" s="418"/>
      <c r="AX1940" s="418"/>
      <c r="AY1940" s="418"/>
      <c r="AZ1940" s="418"/>
      <c r="BA1940" s="418"/>
    </row>
    <row r="1941" spans="40:53" ht="15.75" customHeight="1">
      <c r="AN1941" s="418"/>
      <c r="AO1941" s="418"/>
      <c r="AP1941" s="418"/>
      <c r="AQ1941" s="418"/>
      <c r="AR1941" s="418"/>
      <c r="AS1941" s="418"/>
      <c r="AT1941" s="418"/>
      <c r="AU1941" s="418"/>
      <c r="AV1941" s="418"/>
      <c r="AW1941" s="418"/>
      <c r="AX1941" s="418"/>
      <c r="AY1941" s="418"/>
      <c r="AZ1941" s="418"/>
      <c r="BA1941" s="418"/>
    </row>
    <row r="1942" spans="40:53" ht="15.75" customHeight="1">
      <c r="AN1942" s="418"/>
      <c r="AO1942" s="418"/>
      <c r="AP1942" s="418"/>
      <c r="AQ1942" s="418"/>
      <c r="AR1942" s="418"/>
      <c r="AS1942" s="418"/>
      <c r="AT1942" s="418"/>
      <c r="AU1942" s="418"/>
      <c r="AV1942" s="418"/>
      <c r="AW1942" s="418"/>
      <c r="AX1942" s="418"/>
      <c r="AY1942" s="418"/>
      <c r="AZ1942" s="418"/>
      <c r="BA1942" s="418"/>
    </row>
    <row r="1943" spans="40:53" ht="15.75" customHeight="1">
      <c r="AN1943" s="418"/>
      <c r="AO1943" s="418"/>
      <c r="AP1943" s="418"/>
      <c r="AQ1943" s="418"/>
      <c r="AR1943" s="418"/>
      <c r="AS1943" s="418"/>
      <c r="AT1943" s="418"/>
      <c r="AU1943" s="418"/>
      <c r="AV1943" s="418"/>
      <c r="AW1943" s="418"/>
      <c r="AX1943" s="418"/>
      <c r="AY1943" s="418"/>
      <c r="AZ1943" s="418"/>
      <c r="BA1943" s="418"/>
    </row>
    <row r="1944" spans="40:53" ht="15.75" customHeight="1">
      <c r="AN1944" s="418"/>
      <c r="AO1944" s="418"/>
      <c r="AP1944" s="418"/>
      <c r="AQ1944" s="418"/>
      <c r="AR1944" s="418"/>
      <c r="AS1944" s="418"/>
      <c r="AT1944" s="418"/>
      <c r="AU1944" s="418"/>
      <c r="AV1944" s="418"/>
      <c r="AW1944" s="418"/>
      <c r="AX1944" s="418"/>
      <c r="AY1944" s="418"/>
      <c r="AZ1944" s="418"/>
      <c r="BA1944" s="418"/>
    </row>
    <row r="1945" spans="40:53" ht="15.75" customHeight="1">
      <c r="AN1945" s="418"/>
      <c r="AO1945" s="418"/>
      <c r="AP1945" s="418"/>
      <c r="AQ1945" s="418"/>
      <c r="AR1945" s="418"/>
      <c r="AS1945" s="418"/>
      <c r="AT1945" s="418"/>
      <c r="AU1945" s="418"/>
      <c r="AV1945" s="418"/>
      <c r="AW1945" s="418"/>
      <c r="AX1945" s="418"/>
      <c r="AY1945" s="418"/>
      <c r="AZ1945" s="418"/>
      <c r="BA1945" s="418"/>
    </row>
    <row r="1946" spans="40:53" ht="15.75" customHeight="1">
      <c r="AN1946" s="418"/>
      <c r="AO1946" s="418"/>
      <c r="AP1946" s="418"/>
      <c r="AQ1946" s="418"/>
      <c r="AR1946" s="418"/>
      <c r="AS1946" s="418"/>
      <c r="AT1946" s="418"/>
      <c r="AU1946" s="418"/>
      <c r="AV1946" s="418"/>
      <c r="AW1946" s="418"/>
      <c r="AX1946" s="418"/>
      <c r="AY1946" s="418"/>
      <c r="AZ1946" s="418"/>
      <c r="BA1946" s="418"/>
    </row>
    <row r="1947" spans="40:53" ht="15.75" customHeight="1">
      <c r="AN1947" s="418"/>
      <c r="AO1947" s="418"/>
      <c r="AP1947" s="418"/>
      <c r="AQ1947" s="418"/>
      <c r="AR1947" s="418"/>
      <c r="AS1947" s="418"/>
      <c r="AT1947" s="418"/>
      <c r="AU1947" s="418"/>
      <c r="AV1947" s="418"/>
      <c r="AW1947" s="418"/>
      <c r="AX1947" s="418"/>
      <c r="AY1947" s="418"/>
      <c r="AZ1947" s="418"/>
      <c r="BA1947" s="418"/>
    </row>
    <row r="1948" spans="40:53" ht="15.75" customHeight="1">
      <c r="AN1948" s="418"/>
      <c r="AO1948" s="418"/>
      <c r="AP1948" s="418"/>
      <c r="AQ1948" s="418"/>
      <c r="AR1948" s="418"/>
      <c r="AS1948" s="418"/>
      <c r="AT1948" s="418"/>
      <c r="AU1948" s="418"/>
      <c r="AV1948" s="418"/>
      <c r="AW1948" s="418"/>
      <c r="AX1948" s="418"/>
      <c r="AY1948" s="418"/>
      <c r="AZ1948" s="418"/>
      <c r="BA1948" s="418"/>
    </row>
    <row r="1949" spans="40:53" ht="15.75" customHeight="1">
      <c r="AN1949" s="418"/>
      <c r="AO1949" s="418"/>
      <c r="AP1949" s="418"/>
      <c r="AQ1949" s="418"/>
      <c r="AR1949" s="418"/>
      <c r="AS1949" s="418"/>
      <c r="AT1949" s="418"/>
      <c r="AU1949" s="418"/>
      <c r="AV1949" s="418"/>
      <c r="AW1949" s="418"/>
      <c r="AX1949" s="418"/>
      <c r="AY1949" s="418"/>
      <c r="AZ1949" s="418"/>
      <c r="BA1949" s="418"/>
    </row>
    <row r="1950" spans="40:53" ht="15.75" customHeight="1">
      <c r="AN1950" s="418"/>
      <c r="AO1950" s="418"/>
      <c r="AP1950" s="418"/>
      <c r="AQ1950" s="418"/>
      <c r="AR1950" s="418"/>
      <c r="AS1950" s="418"/>
      <c r="AT1950" s="418"/>
      <c r="AU1950" s="418"/>
      <c r="AV1950" s="418"/>
      <c r="AW1950" s="418"/>
      <c r="AX1950" s="418"/>
      <c r="AY1950" s="418"/>
      <c r="AZ1950" s="418"/>
      <c r="BA1950" s="418"/>
    </row>
    <row r="1951" spans="40:53" ht="15.75" customHeight="1">
      <c r="AN1951" s="418"/>
      <c r="AO1951" s="418"/>
      <c r="AP1951" s="418"/>
      <c r="AQ1951" s="418"/>
      <c r="AR1951" s="418"/>
      <c r="AS1951" s="418"/>
      <c r="AT1951" s="418"/>
      <c r="AU1951" s="418"/>
      <c r="AV1951" s="418"/>
      <c r="AW1951" s="418"/>
      <c r="AX1951" s="418"/>
      <c r="AY1951" s="418"/>
      <c r="AZ1951" s="418"/>
      <c r="BA1951" s="418"/>
    </row>
    <row r="1952" spans="40:53" ht="15.75" customHeight="1">
      <c r="AN1952" s="418"/>
      <c r="AO1952" s="418"/>
      <c r="AP1952" s="418"/>
      <c r="AQ1952" s="418"/>
      <c r="AR1952" s="418"/>
      <c r="AS1952" s="418"/>
      <c r="AT1952" s="418"/>
      <c r="AU1952" s="418"/>
      <c r="AV1952" s="418"/>
      <c r="AW1952" s="418"/>
      <c r="AX1952" s="418"/>
      <c r="AY1952" s="418"/>
      <c r="AZ1952" s="418"/>
      <c r="BA1952" s="418"/>
    </row>
    <row r="1953" spans="40:53" ht="15.75" customHeight="1">
      <c r="AN1953" s="418"/>
      <c r="AO1953" s="418"/>
      <c r="AP1953" s="418"/>
      <c r="AQ1953" s="418"/>
      <c r="AR1953" s="418"/>
      <c r="AS1953" s="418"/>
      <c r="AT1953" s="418"/>
      <c r="AU1953" s="418"/>
      <c r="AV1953" s="418"/>
      <c r="AW1953" s="418"/>
      <c r="AX1953" s="418"/>
      <c r="AY1953" s="418"/>
      <c r="AZ1953" s="418"/>
      <c r="BA1953" s="418"/>
    </row>
    <row r="1954" spans="40:53" ht="15.75" customHeight="1">
      <c r="AN1954" s="418"/>
      <c r="AO1954" s="418"/>
      <c r="AP1954" s="418"/>
      <c r="AQ1954" s="418"/>
      <c r="AR1954" s="418"/>
      <c r="AS1954" s="418"/>
      <c r="AT1954" s="418"/>
      <c r="AU1954" s="418"/>
      <c r="AV1954" s="418"/>
      <c r="AW1954" s="418"/>
      <c r="AX1954" s="418"/>
      <c r="AY1954" s="418"/>
      <c r="AZ1954" s="418"/>
      <c r="BA1954" s="418"/>
    </row>
    <row r="1955" spans="40:53" ht="15.75" customHeight="1">
      <c r="AN1955" s="418"/>
      <c r="AO1955" s="418"/>
      <c r="AP1955" s="418"/>
      <c r="AQ1955" s="418"/>
      <c r="AR1955" s="418"/>
      <c r="AS1955" s="418"/>
      <c r="AT1955" s="418"/>
      <c r="AU1955" s="418"/>
      <c r="AV1955" s="418"/>
      <c r="AW1955" s="418"/>
      <c r="AX1955" s="418"/>
      <c r="AY1955" s="418"/>
      <c r="AZ1955" s="418"/>
      <c r="BA1955" s="418"/>
    </row>
    <row r="1956" spans="40:53" ht="15.75" customHeight="1">
      <c r="AN1956" s="418"/>
      <c r="AO1956" s="418"/>
      <c r="AP1956" s="418"/>
      <c r="AQ1956" s="418"/>
      <c r="AR1956" s="418"/>
      <c r="AS1956" s="418"/>
      <c r="AT1956" s="418"/>
      <c r="AU1956" s="418"/>
      <c r="AV1956" s="418"/>
      <c r="AW1956" s="418"/>
      <c r="AX1956" s="418"/>
      <c r="AY1956" s="418"/>
      <c r="AZ1956" s="418"/>
      <c r="BA1956" s="418"/>
    </row>
    <row r="1957" spans="40:53" ht="15.75" customHeight="1">
      <c r="AN1957" s="418"/>
      <c r="AO1957" s="418"/>
      <c r="AP1957" s="418"/>
      <c r="AQ1957" s="418"/>
      <c r="AR1957" s="418"/>
      <c r="AS1957" s="418"/>
      <c r="AT1957" s="418"/>
      <c r="AU1957" s="418"/>
      <c r="AV1957" s="418"/>
      <c r="AW1957" s="418"/>
      <c r="AX1957" s="418"/>
      <c r="AY1957" s="418"/>
      <c r="AZ1957" s="418"/>
      <c r="BA1957" s="418"/>
    </row>
    <row r="1958" spans="40:53" ht="15.75" customHeight="1">
      <c r="AN1958" s="418"/>
      <c r="AO1958" s="418"/>
      <c r="AP1958" s="418"/>
      <c r="AQ1958" s="418"/>
      <c r="AR1958" s="418"/>
      <c r="AS1958" s="418"/>
      <c r="AT1958" s="418"/>
      <c r="AU1958" s="418"/>
      <c r="AV1958" s="418"/>
      <c r="AW1958" s="418"/>
      <c r="AX1958" s="418"/>
      <c r="AY1958" s="418"/>
      <c r="AZ1958" s="418"/>
      <c r="BA1958" s="418"/>
    </row>
    <row r="1959" spans="40:53" ht="15.75" customHeight="1">
      <c r="AN1959" s="418"/>
      <c r="AO1959" s="418"/>
      <c r="AP1959" s="418"/>
      <c r="AQ1959" s="418"/>
      <c r="AR1959" s="418"/>
      <c r="AS1959" s="418"/>
      <c r="AT1959" s="418"/>
      <c r="AU1959" s="418"/>
      <c r="AV1959" s="418"/>
      <c r="AW1959" s="418"/>
      <c r="AX1959" s="418"/>
      <c r="AY1959" s="418"/>
      <c r="AZ1959" s="418"/>
      <c r="BA1959" s="418"/>
    </row>
    <row r="1960" spans="40:53" ht="15.75" customHeight="1">
      <c r="AN1960" s="418"/>
      <c r="AO1960" s="418"/>
      <c r="AP1960" s="418"/>
      <c r="AQ1960" s="418"/>
      <c r="AR1960" s="418"/>
      <c r="AS1960" s="418"/>
      <c r="AT1960" s="418"/>
      <c r="AU1960" s="418"/>
      <c r="AV1960" s="418"/>
      <c r="AW1960" s="418"/>
      <c r="AX1960" s="418"/>
      <c r="AY1960" s="418"/>
      <c r="AZ1960" s="418"/>
      <c r="BA1960" s="418"/>
    </row>
    <row r="1961" spans="40:53" ht="15.75" customHeight="1">
      <c r="AN1961" s="418"/>
      <c r="AO1961" s="418"/>
      <c r="AP1961" s="418"/>
      <c r="AQ1961" s="418"/>
      <c r="AR1961" s="418"/>
      <c r="AS1961" s="418"/>
      <c r="AT1961" s="418"/>
      <c r="AU1961" s="418"/>
      <c r="AV1961" s="418"/>
      <c r="AW1961" s="418"/>
      <c r="AX1961" s="418"/>
      <c r="AY1961" s="418"/>
      <c r="AZ1961" s="418"/>
      <c r="BA1961" s="418"/>
    </row>
    <row r="1962" spans="40:53" ht="15.75" customHeight="1">
      <c r="AN1962" s="418"/>
      <c r="AO1962" s="418"/>
      <c r="AP1962" s="418"/>
      <c r="AQ1962" s="418"/>
      <c r="AR1962" s="418"/>
      <c r="AS1962" s="418"/>
      <c r="AT1962" s="418"/>
      <c r="AU1962" s="418"/>
      <c r="AV1962" s="418"/>
      <c r="AW1962" s="418"/>
      <c r="AX1962" s="418"/>
      <c r="AY1962" s="418"/>
      <c r="AZ1962" s="418"/>
      <c r="BA1962" s="418"/>
    </row>
    <row r="1963" spans="40:53" ht="15.75" customHeight="1">
      <c r="AN1963" s="418"/>
      <c r="AO1963" s="418"/>
      <c r="AP1963" s="418"/>
      <c r="AQ1963" s="418"/>
      <c r="AR1963" s="418"/>
      <c r="AS1963" s="418"/>
      <c r="AT1963" s="418"/>
      <c r="AU1963" s="418"/>
      <c r="AV1963" s="418"/>
      <c r="AW1963" s="418"/>
      <c r="AX1963" s="418"/>
      <c r="AY1963" s="418"/>
      <c r="AZ1963" s="418"/>
      <c r="BA1963" s="418"/>
    </row>
    <row r="1964" spans="40:53" ht="15.75" customHeight="1">
      <c r="AN1964" s="418"/>
      <c r="AO1964" s="418"/>
      <c r="AP1964" s="418"/>
      <c r="AQ1964" s="418"/>
      <c r="AR1964" s="418"/>
      <c r="AS1964" s="418"/>
      <c r="AT1964" s="418"/>
      <c r="AU1964" s="418"/>
      <c r="AV1964" s="418"/>
      <c r="AW1964" s="418"/>
      <c r="AX1964" s="418"/>
      <c r="AY1964" s="418"/>
      <c r="AZ1964" s="418"/>
      <c r="BA1964" s="418"/>
    </row>
    <row r="1965" spans="40:53" ht="15.75" customHeight="1">
      <c r="AN1965" s="418"/>
      <c r="AO1965" s="418"/>
      <c r="AP1965" s="418"/>
      <c r="AQ1965" s="418"/>
      <c r="AR1965" s="418"/>
      <c r="AS1965" s="418"/>
      <c r="AT1965" s="418"/>
      <c r="AU1965" s="418"/>
      <c r="AV1965" s="418"/>
      <c r="AW1965" s="418"/>
      <c r="AX1965" s="418"/>
      <c r="AY1965" s="418"/>
      <c r="AZ1965" s="418"/>
      <c r="BA1965" s="418"/>
    </row>
    <row r="1966" spans="40:53" ht="15.75" customHeight="1">
      <c r="AN1966" s="418"/>
      <c r="AO1966" s="418"/>
      <c r="AP1966" s="418"/>
      <c r="AQ1966" s="418"/>
      <c r="AR1966" s="418"/>
      <c r="AS1966" s="418"/>
      <c r="AT1966" s="418"/>
      <c r="AU1966" s="418"/>
      <c r="AV1966" s="418"/>
      <c r="AW1966" s="418"/>
      <c r="AX1966" s="418"/>
      <c r="AY1966" s="418"/>
      <c r="AZ1966" s="418"/>
      <c r="BA1966" s="418"/>
    </row>
    <row r="1967" spans="40:53" ht="15.75" customHeight="1">
      <c r="AN1967" s="418"/>
      <c r="AO1967" s="418"/>
      <c r="AP1967" s="418"/>
      <c r="AQ1967" s="418"/>
      <c r="AR1967" s="418"/>
      <c r="AS1967" s="418"/>
      <c r="AT1967" s="418"/>
      <c r="AU1967" s="418"/>
      <c r="AV1967" s="418"/>
      <c r="AW1967" s="418"/>
      <c r="AX1967" s="418"/>
      <c r="AY1967" s="418"/>
      <c r="AZ1967" s="418"/>
      <c r="BA1967" s="418"/>
    </row>
    <row r="1968" spans="40:53" ht="15.75" customHeight="1">
      <c r="AN1968" s="418"/>
      <c r="AO1968" s="418"/>
      <c r="AP1968" s="418"/>
      <c r="AQ1968" s="418"/>
      <c r="AR1968" s="418"/>
      <c r="AS1968" s="418"/>
      <c r="AT1968" s="418"/>
      <c r="AU1968" s="418"/>
      <c r="AV1968" s="418"/>
      <c r="AW1968" s="418"/>
      <c r="AX1968" s="418"/>
      <c r="AY1968" s="418"/>
      <c r="AZ1968" s="418"/>
      <c r="BA1968" s="418"/>
    </row>
    <row r="1969" spans="40:53" ht="15.75" customHeight="1">
      <c r="AN1969" s="418"/>
      <c r="AO1969" s="418"/>
      <c r="AP1969" s="418"/>
      <c r="AQ1969" s="418"/>
      <c r="AR1969" s="418"/>
      <c r="AS1969" s="418"/>
      <c r="AT1969" s="418"/>
      <c r="AU1969" s="418"/>
      <c r="AV1969" s="418"/>
      <c r="AW1969" s="418"/>
      <c r="AX1969" s="418"/>
      <c r="AY1969" s="418"/>
      <c r="AZ1969" s="418"/>
      <c r="BA1969" s="418"/>
    </row>
    <row r="1970" spans="40:53" ht="15.75" customHeight="1">
      <c r="AN1970" s="418"/>
      <c r="AO1970" s="418"/>
      <c r="AP1970" s="418"/>
      <c r="AQ1970" s="418"/>
      <c r="AR1970" s="418"/>
      <c r="AS1970" s="418"/>
      <c r="AT1970" s="418"/>
      <c r="AU1970" s="418"/>
      <c r="AV1970" s="418"/>
      <c r="AW1970" s="418"/>
      <c r="AX1970" s="418"/>
      <c r="AY1970" s="418"/>
      <c r="AZ1970" s="418"/>
      <c r="BA1970" s="418"/>
    </row>
    <row r="1971" spans="40:53" ht="15.75" customHeight="1">
      <c r="AN1971" s="418"/>
      <c r="AO1971" s="418"/>
      <c r="AP1971" s="418"/>
      <c r="AQ1971" s="418"/>
      <c r="AR1971" s="418"/>
      <c r="AS1971" s="418"/>
      <c r="AT1971" s="418"/>
      <c r="AU1971" s="418"/>
      <c r="AV1971" s="418"/>
      <c r="AW1971" s="418"/>
      <c r="AX1971" s="418"/>
      <c r="AY1971" s="418"/>
      <c r="AZ1971" s="418"/>
      <c r="BA1971" s="418"/>
    </row>
    <row r="1972" spans="40:53" ht="15.75" customHeight="1">
      <c r="AN1972" s="418"/>
      <c r="AO1972" s="418"/>
      <c r="AP1972" s="418"/>
      <c r="AQ1972" s="418"/>
      <c r="AR1972" s="418"/>
      <c r="AS1972" s="418"/>
      <c r="AT1972" s="418"/>
      <c r="AU1972" s="418"/>
      <c r="AV1972" s="418"/>
      <c r="AW1972" s="418"/>
      <c r="AX1972" s="418"/>
      <c r="AY1972" s="418"/>
      <c r="AZ1972" s="418"/>
      <c r="BA1972" s="418"/>
    </row>
    <row r="1973" spans="40:53" ht="15.75" customHeight="1">
      <c r="AN1973" s="418"/>
      <c r="AO1973" s="418"/>
      <c r="AP1973" s="418"/>
      <c r="AQ1973" s="418"/>
      <c r="AR1973" s="418"/>
      <c r="AS1973" s="418"/>
      <c r="AT1973" s="418"/>
      <c r="AU1973" s="418"/>
      <c r="AV1973" s="418"/>
      <c r="AW1973" s="418"/>
      <c r="AX1973" s="418"/>
      <c r="AY1973" s="418"/>
      <c r="AZ1973" s="418"/>
      <c r="BA1973" s="418"/>
    </row>
    <row r="1974" spans="40:53" ht="15.75" customHeight="1">
      <c r="AN1974" s="418"/>
      <c r="AO1974" s="418"/>
      <c r="AP1974" s="418"/>
      <c r="AQ1974" s="418"/>
      <c r="AR1974" s="418"/>
      <c r="AS1974" s="418"/>
      <c r="AT1974" s="418"/>
      <c r="AU1974" s="418"/>
      <c r="AV1974" s="418"/>
      <c r="AW1974" s="418"/>
      <c r="AX1974" s="418"/>
      <c r="AY1974" s="418"/>
      <c r="AZ1974" s="418"/>
      <c r="BA1974" s="418"/>
    </row>
    <row r="1975" spans="40:53" ht="15.75" customHeight="1">
      <c r="AN1975" s="418"/>
      <c r="AO1975" s="418"/>
      <c r="AP1975" s="418"/>
      <c r="AQ1975" s="418"/>
      <c r="AR1975" s="418"/>
      <c r="AS1975" s="418"/>
      <c r="AT1975" s="418"/>
      <c r="AU1975" s="418"/>
      <c r="AV1975" s="418"/>
      <c r="AW1975" s="418"/>
      <c r="AX1975" s="418"/>
      <c r="AY1975" s="418"/>
      <c r="AZ1975" s="418"/>
      <c r="BA1975" s="418"/>
    </row>
    <row r="1976" spans="40:53" ht="15.75" customHeight="1">
      <c r="AN1976" s="418"/>
      <c r="AO1976" s="418"/>
      <c r="AP1976" s="418"/>
      <c r="AQ1976" s="418"/>
      <c r="AR1976" s="418"/>
      <c r="AS1976" s="418"/>
      <c r="AT1976" s="418"/>
      <c r="AU1976" s="418"/>
      <c r="AV1976" s="418"/>
      <c r="AW1976" s="418"/>
      <c r="AX1976" s="418"/>
      <c r="AY1976" s="418"/>
      <c r="AZ1976" s="418"/>
      <c r="BA1976" s="418"/>
    </row>
    <row r="1977" spans="40:53" ht="15.75" customHeight="1">
      <c r="AN1977" s="418"/>
      <c r="AO1977" s="418"/>
      <c r="AP1977" s="418"/>
      <c r="AQ1977" s="418"/>
      <c r="AR1977" s="418"/>
      <c r="AS1977" s="418"/>
      <c r="AT1977" s="418"/>
      <c r="AU1977" s="418"/>
      <c r="AV1977" s="418"/>
      <c r="AW1977" s="418"/>
      <c r="AX1977" s="418"/>
      <c r="AY1977" s="418"/>
      <c r="AZ1977" s="418"/>
      <c r="BA1977" s="418"/>
    </row>
    <row r="1978" spans="40:53" ht="15.75" customHeight="1">
      <c r="AN1978" s="418"/>
      <c r="AO1978" s="418"/>
      <c r="AP1978" s="418"/>
      <c r="AQ1978" s="418"/>
      <c r="AR1978" s="418"/>
      <c r="AS1978" s="418"/>
      <c r="AT1978" s="418"/>
      <c r="AU1978" s="418"/>
      <c r="AV1978" s="418"/>
      <c r="AW1978" s="418"/>
      <c r="AX1978" s="418"/>
      <c r="AY1978" s="418"/>
      <c r="AZ1978" s="418"/>
      <c r="BA1978" s="418"/>
    </row>
    <row r="1979" spans="40:53" ht="15.75" customHeight="1">
      <c r="AN1979" s="418"/>
      <c r="AO1979" s="418"/>
      <c r="AP1979" s="418"/>
      <c r="AQ1979" s="418"/>
      <c r="AR1979" s="418"/>
      <c r="AS1979" s="418"/>
      <c r="AT1979" s="418"/>
      <c r="AU1979" s="418"/>
      <c r="AV1979" s="418"/>
      <c r="AW1979" s="418"/>
      <c r="AX1979" s="418"/>
      <c r="AY1979" s="418"/>
      <c r="AZ1979" s="418"/>
      <c r="BA1979" s="418"/>
    </row>
    <row r="1980" spans="40:53" ht="15.75" customHeight="1">
      <c r="AN1980" s="418"/>
      <c r="AO1980" s="418"/>
      <c r="AP1980" s="418"/>
      <c r="AQ1980" s="418"/>
      <c r="AR1980" s="418"/>
      <c r="AS1980" s="418"/>
      <c r="AT1980" s="418"/>
      <c r="AU1980" s="418"/>
      <c r="AV1980" s="418"/>
      <c r="AW1980" s="418"/>
      <c r="AX1980" s="418"/>
      <c r="AY1980" s="418"/>
      <c r="AZ1980" s="418"/>
      <c r="BA1980" s="418"/>
    </row>
    <row r="1981" spans="40:53" ht="15.75" customHeight="1">
      <c r="AN1981" s="418"/>
      <c r="AO1981" s="418"/>
      <c r="AP1981" s="418"/>
      <c r="AQ1981" s="418"/>
      <c r="AR1981" s="418"/>
      <c r="AS1981" s="418"/>
      <c r="AT1981" s="418"/>
      <c r="AU1981" s="418"/>
      <c r="AV1981" s="418"/>
      <c r="AW1981" s="418"/>
      <c r="AX1981" s="418"/>
      <c r="AY1981" s="418"/>
      <c r="AZ1981" s="418"/>
      <c r="BA1981" s="418"/>
    </row>
    <row r="1982" spans="40:53" ht="15.75" customHeight="1">
      <c r="AN1982" s="418"/>
      <c r="AO1982" s="418"/>
      <c r="AP1982" s="418"/>
      <c r="AQ1982" s="418"/>
      <c r="AR1982" s="418"/>
      <c r="AS1982" s="418"/>
      <c r="AT1982" s="418"/>
      <c r="AU1982" s="418"/>
      <c r="AV1982" s="418"/>
      <c r="AW1982" s="418"/>
      <c r="AX1982" s="418"/>
      <c r="AY1982" s="418"/>
      <c r="AZ1982" s="418"/>
      <c r="BA1982" s="418"/>
    </row>
    <row r="1983" spans="40:53" ht="15.75" customHeight="1">
      <c r="AN1983" s="418"/>
      <c r="AO1983" s="418"/>
      <c r="AP1983" s="418"/>
      <c r="AQ1983" s="418"/>
      <c r="AR1983" s="418"/>
      <c r="AS1983" s="418"/>
      <c r="AT1983" s="418"/>
      <c r="AU1983" s="418"/>
      <c r="AV1983" s="418"/>
      <c r="AW1983" s="418"/>
      <c r="AX1983" s="418"/>
      <c r="AY1983" s="418"/>
      <c r="AZ1983" s="418"/>
      <c r="BA1983" s="418"/>
    </row>
    <row r="1984" spans="40:53" ht="15.75" customHeight="1">
      <c r="AN1984" s="418"/>
      <c r="AO1984" s="418"/>
      <c r="AP1984" s="418"/>
      <c r="AQ1984" s="418"/>
      <c r="AR1984" s="418"/>
      <c r="AS1984" s="418"/>
      <c r="AT1984" s="418"/>
      <c r="AU1984" s="418"/>
      <c r="AV1984" s="418"/>
      <c r="AW1984" s="418"/>
      <c r="AX1984" s="418"/>
      <c r="AY1984" s="418"/>
      <c r="AZ1984" s="418"/>
      <c r="BA1984" s="418"/>
    </row>
    <row r="1985" spans="40:53" ht="15.75" customHeight="1">
      <c r="AN1985" s="418"/>
      <c r="AO1985" s="418"/>
      <c r="AP1985" s="418"/>
      <c r="AQ1985" s="418"/>
      <c r="AR1985" s="418"/>
      <c r="AS1985" s="418"/>
      <c r="AT1985" s="418"/>
      <c r="AU1985" s="418"/>
      <c r="AV1985" s="418"/>
      <c r="AW1985" s="418"/>
      <c r="AX1985" s="418"/>
      <c r="AY1985" s="418"/>
      <c r="AZ1985" s="418"/>
      <c r="BA1985" s="418"/>
    </row>
    <row r="1986" spans="40:53" ht="15.75" customHeight="1">
      <c r="AN1986" s="418"/>
      <c r="AO1986" s="418"/>
      <c r="AP1986" s="418"/>
      <c r="AQ1986" s="418"/>
      <c r="AR1986" s="418"/>
      <c r="AS1986" s="418"/>
      <c r="AT1986" s="418"/>
      <c r="AU1986" s="418"/>
      <c r="AV1986" s="418"/>
      <c r="AW1986" s="418"/>
      <c r="AX1986" s="418"/>
      <c r="AY1986" s="418"/>
      <c r="AZ1986" s="418"/>
      <c r="BA1986" s="418"/>
    </row>
    <row r="1987" spans="40:53" ht="15.75" customHeight="1">
      <c r="AN1987" s="418"/>
      <c r="AO1987" s="418"/>
      <c r="AP1987" s="418"/>
      <c r="AQ1987" s="418"/>
      <c r="AR1987" s="418"/>
      <c r="AS1987" s="418"/>
      <c r="AT1987" s="418"/>
      <c r="AU1987" s="418"/>
      <c r="AV1987" s="418"/>
      <c r="AW1987" s="418"/>
      <c r="AX1987" s="418"/>
      <c r="AY1987" s="418"/>
      <c r="AZ1987" s="418"/>
      <c r="BA1987" s="418"/>
    </row>
    <row r="1988" spans="40:53" ht="15.75" customHeight="1">
      <c r="AN1988" s="418"/>
      <c r="AO1988" s="418"/>
      <c r="AP1988" s="418"/>
      <c r="AQ1988" s="418"/>
      <c r="AR1988" s="418"/>
      <c r="AS1988" s="418"/>
      <c r="AT1988" s="418"/>
      <c r="AU1988" s="418"/>
      <c r="AV1988" s="418"/>
      <c r="AW1988" s="418"/>
      <c r="AX1988" s="418"/>
      <c r="AY1988" s="418"/>
      <c r="AZ1988" s="418"/>
      <c r="BA1988" s="418"/>
    </row>
    <row r="1989" spans="40:53" ht="15.75" customHeight="1">
      <c r="AN1989" s="418"/>
      <c r="AO1989" s="418"/>
      <c r="AP1989" s="418"/>
      <c r="AQ1989" s="418"/>
      <c r="AR1989" s="418"/>
      <c r="AS1989" s="418"/>
      <c r="AT1989" s="418"/>
      <c r="AU1989" s="418"/>
      <c r="AV1989" s="418"/>
      <c r="AW1989" s="418"/>
      <c r="AX1989" s="418"/>
      <c r="AY1989" s="418"/>
      <c r="AZ1989" s="418"/>
      <c r="BA1989" s="418"/>
    </row>
    <row r="1990" spans="40:53" ht="15.75" customHeight="1">
      <c r="AN1990" s="418"/>
      <c r="AO1990" s="418"/>
      <c r="AP1990" s="418"/>
      <c r="AQ1990" s="418"/>
      <c r="AR1990" s="418"/>
      <c r="AS1990" s="418"/>
      <c r="AT1990" s="418"/>
      <c r="AU1990" s="418"/>
      <c r="AV1990" s="418"/>
      <c r="AW1990" s="418"/>
      <c r="AX1990" s="418"/>
      <c r="AY1990" s="418"/>
      <c r="AZ1990" s="418"/>
      <c r="BA1990" s="418"/>
    </row>
    <row r="1991" spans="40:53" ht="15.75" customHeight="1">
      <c r="AN1991" s="418"/>
      <c r="AO1991" s="418"/>
      <c r="AP1991" s="418"/>
      <c r="AQ1991" s="418"/>
      <c r="AR1991" s="418"/>
      <c r="AS1991" s="418"/>
      <c r="AT1991" s="418"/>
      <c r="AU1991" s="418"/>
      <c r="AV1991" s="418"/>
      <c r="AW1991" s="418"/>
      <c r="AX1991" s="418"/>
      <c r="AY1991" s="418"/>
      <c r="AZ1991" s="418"/>
      <c r="BA1991" s="418"/>
    </row>
    <row r="1992" spans="40:53" ht="15.75" customHeight="1">
      <c r="AN1992" s="418"/>
      <c r="AO1992" s="418"/>
      <c r="AP1992" s="418"/>
      <c r="AQ1992" s="418"/>
      <c r="AR1992" s="418"/>
      <c r="AS1992" s="418"/>
      <c r="AT1992" s="418"/>
      <c r="AU1992" s="418"/>
      <c r="AV1992" s="418"/>
      <c r="AW1992" s="418"/>
      <c r="AX1992" s="418"/>
      <c r="AY1992" s="418"/>
      <c r="AZ1992" s="418"/>
      <c r="BA1992" s="418"/>
    </row>
    <row r="1993" spans="40:53" ht="15.75" customHeight="1">
      <c r="AN1993" s="418"/>
      <c r="AO1993" s="418"/>
      <c r="AP1993" s="418"/>
      <c r="AQ1993" s="418"/>
      <c r="AR1993" s="418"/>
      <c r="AS1993" s="418"/>
      <c r="AT1993" s="418"/>
      <c r="AU1993" s="418"/>
      <c r="AV1993" s="418"/>
      <c r="AW1993" s="418"/>
      <c r="AX1993" s="418"/>
      <c r="AY1993" s="418"/>
      <c r="AZ1993" s="418"/>
      <c r="BA1993" s="418"/>
    </row>
    <row r="1994" spans="40:53" ht="15.75" customHeight="1">
      <c r="AN1994" s="418"/>
      <c r="AO1994" s="418"/>
      <c r="AP1994" s="418"/>
      <c r="AQ1994" s="418"/>
      <c r="AR1994" s="418"/>
      <c r="AS1994" s="418"/>
      <c r="AT1994" s="418"/>
      <c r="AU1994" s="418"/>
      <c r="AV1994" s="418"/>
      <c r="AW1994" s="418"/>
      <c r="AX1994" s="418"/>
      <c r="AY1994" s="418"/>
      <c r="AZ1994" s="418"/>
      <c r="BA1994" s="418"/>
    </row>
    <row r="1995" spans="40:53" ht="15.75" customHeight="1">
      <c r="AN1995" s="418"/>
      <c r="AO1995" s="418"/>
      <c r="AP1995" s="418"/>
      <c r="AQ1995" s="418"/>
      <c r="AR1995" s="418"/>
      <c r="AS1995" s="418"/>
      <c r="AT1995" s="418"/>
      <c r="AU1995" s="418"/>
      <c r="AV1995" s="418"/>
      <c r="AW1995" s="418"/>
      <c r="AX1995" s="418"/>
      <c r="AY1995" s="418"/>
      <c r="AZ1995" s="418"/>
      <c r="BA1995" s="418"/>
    </row>
    <row r="1996" spans="40:53" ht="15.75" customHeight="1">
      <c r="AN1996" s="418"/>
      <c r="AO1996" s="418"/>
      <c r="AP1996" s="418"/>
      <c r="AQ1996" s="418"/>
      <c r="AR1996" s="418"/>
      <c r="AS1996" s="418"/>
      <c r="AT1996" s="418"/>
      <c r="AU1996" s="418"/>
      <c r="AV1996" s="418"/>
      <c r="AW1996" s="418"/>
      <c r="AX1996" s="418"/>
      <c r="AY1996" s="418"/>
      <c r="AZ1996" s="418"/>
      <c r="BA1996" s="418"/>
    </row>
    <row r="1997" spans="40:53" ht="15.75" customHeight="1">
      <c r="AN1997" s="418"/>
      <c r="AO1997" s="418"/>
      <c r="AP1997" s="418"/>
      <c r="AQ1997" s="418"/>
      <c r="AR1997" s="418"/>
      <c r="AS1997" s="418"/>
      <c r="AT1997" s="418"/>
      <c r="AU1997" s="418"/>
      <c r="AV1997" s="418"/>
      <c r="AW1997" s="418"/>
      <c r="AX1997" s="418"/>
      <c r="AY1997" s="418"/>
      <c r="AZ1997" s="418"/>
      <c r="BA1997" s="418"/>
    </row>
    <row r="1998" spans="40:53" ht="15.75" customHeight="1">
      <c r="AN1998" s="418"/>
      <c r="AO1998" s="418"/>
      <c r="AP1998" s="418"/>
      <c r="AQ1998" s="418"/>
      <c r="AR1998" s="418"/>
      <c r="AS1998" s="418"/>
      <c r="AT1998" s="418"/>
      <c r="AU1998" s="418"/>
      <c r="AV1998" s="418"/>
      <c r="AW1998" s="418"/>
      <c r="AX1998" s="418"/>
      <c r="AY1998" s="418"/>
      <c r="AZ1998" s="418"/>
      <c r="BA1998" s="418"/>
    </row>
    <row r="1999" spans="40:53" ht="15.75" customHeight="1">
      <c r="AN1999" s="418"/>
      <c r="AO1999" s="418"/>
      <c r="AP1999" s="418"/>
      <c r="AQ1999" s="418"/>
      <c r="AR1999" s="418"/>
      <c r="AS1999" s="418"/>
      <c r="AT1999" s="418"/>
      <c r="AU1999" s="418"/>
      <c r="AV1999" s="418"/>
      <c r="AW1999" s="418"/>
      <c r="AX1999" s="418"/>
      <c r="AY1999" s="418"/>
      <c r="AZ1999" s="418"/>
      <c r="BA1999" s="418"/>
    </row>
    <row r="2000" spans="40:53" ht="15.75" customHeight="1">
      <c r="AN2000" s="418"/>
      <c r="AO2000" s="418"/>
      <c r="AP2000" s="418"/>
      <c r="AQ2000" s="418"/>
      <c r="AR2000" s="418"/>
      <c r="AS2000" s="418"/>
      <c r="AT2000" s="418"/>
      <c r="AU2000" s="418"/>
      <c r="AV2000" s="418"/>
      <c r="AW2000" s="418"/>
      <c r="AX2000" s="418"/>
      <c r="AY2000" s="418"/>
      <c r="AZ2000" s="418"/>
      <c r="BA2000" s="418"/>
    </row>
    <row r="2001" spans="40:53" ht="15.75" customHeight="1">
      <c r="AN2001" s="418"/>
      <c r="AO2001" s="418"/>
      <c r="AP2001" s="418"/>
      <c r="AQ2001" s="418"/>
      <c r="AR2001" s="418"/>
      <c r="AS2001" s="418"/>
      <c r="AT2001" s="418"/>
      <c r="AU2001" s="418"/>
      <c r="AV2001" s="418"/>
      <c r="AW2001" s="418"/>
      <c r="AX2001" s="418"/>
      <c r="AY2001" s="418"/>
      <c r="AZ2001" s="418"/>
      <c r="BA2001" s="418"/>
    </row>
    <row r="2002" spans="40:53" ht="15.75" customHeight="1">
      <c r="AN2002" s="418"/>
      <c r="AO2002" s="418"/>
      <c r="AP2002" s="418"/>
      <c r="AQ2002" s="418"/>
      <c r="AR2002" s="418"/>
      <c r="AS2002" s="418"/>
      <c r="AT2002" s="418"/>
      <c r="AU2002" s="418"/>
      <c r="AV2002" s="418"/>
      <c r="AW2002" s="418"/>
      <c r="AX2002" s="418"/>
      <c r="AY2002" s="418"/>
      <c r="AZ2002" s="418"/>
      <c r="BA2002" s="418"/>
    </row>
    <row r="2003" spans="40:53" ht="15.75" customHeight="1">
      <c r="AN2003" s="418"/>
      <c r="AO2003" s="418"/>
      <c r="AP2003" s="418"/>
      <c r="AQ2003" s="418"/>
      <c r="AR2003" s="418"/>
      <c r="AS2003" s="418"/>
      <c r="AT2003" s="418"/>
      <c r="AU2003" s="418"/>
      <c r="AV2003" s="418"/>
      <c r="AW2003" s="418"/>
      <c r="AX2003" s="418"/>
      <c r="AY2003" s="418"/>
      <c r="AZ2003" s="418"/>
      <c r="BA2003" s="418"/>
    </row>
    <row r="2004" spans="40:53" ht="15.75" customHeight="1">
      <c r="AN2004" s="418"/>
      <c r="AO2004" s="418"/>
      <c r="AP2004" s="418"/>
      <c r="AQ2004" s="418"/>
      <c r="AR2004" s="418"/>
      <c r="AS2004" s="418"/>
      <c r="AT2004" s="418"/>
      <c r="AU2004" s="418"/>
      <c r="AV2004" s="418"/>
      <c r="AW2004" s="418"/>
      <c r="AX2004" s="418"/>
      <c r="AY2004" s="418"/>
      <c r="AZ2004" s="418"/>
      <c r="BA2004" s="418"/>
    </row>
    <row r="2005" spans="40:53" ht="15.75" customHeight="1">
      <c r="AN2005" s="418"/>
      <c r="AO2005" s="418"/>
      <c r="AP2005" s="418"/>
      <c r="AQ2005" s="418"/>
      <c r="AR2005" s="418"/>
      <c r="AS2005" s="418"/>
      <c r="AT2005" s="418"/>
      <c r="AU2005" s="418"/>
      <c r="AV2005" s="418"/>
      <c r="AW2005" s="418"/>
      <c r="AX2005" s="418"/>
      <c r="AY2005" s="418"/>
      <c r="AZ2005" s="418"/>
      <c r="BA2005" s="418"/>
    </row>
    <row r="2006" spans="40:53" ht="15.75" customHeight="1">
      <c r="AN2006" s="418"/>
      <c r="AO2006" s="418"/>
      <c r="AP2006" s="418"/>
      <c r="AQ2006" s="418"/>
      <c r="AR2006" s="418"/>
      <c r="AS2006" s="418"/>
      <c r="AT2006" s="418"/>
      <c r="AU2006" s="418"/>
      <c r="AV2006" s="418"/>
      <c r="AW2006" s="418"/>
      <c r="AX2006" s="418"/>
      <c r="AY2006" s="418"/>
      <c r="AZ2006" s="418"/>
      <c r="BA2006" s="418"/>
    </row>
    <row r="2007" spans="40:53" ht="15.75" customHeight="1">
      <c r="AN2007" s="418"/>
      <c r="AO2007" s="418"/>
      <c r="AP2007" s="418"/>
      <c r="AQ2007" s="418"/>
      <c r="AR2007" s="418"/>
      <c r="AS2007" s="418"/>
      <c r="AT2007" s="418"/>
      <c r="AU2007" s="418"/>
      <c r="AV2007" s="418"/>
      <c r="AW2007" s="418"/>
      <c r="AX2007" s="418"/>
      <c r="AY2007" s="418"/>
      <c r="AZ2007" s="418"/>
      <c r="BA2007" s="418"/>
    </row>
    <row r="2008" spans="40:53" ht="15.75" customHeight="1">
      <c r="AN2008" s="418"/>
      <c r="AO2008" s="418"/>
      <c r="AP2008" s="418"/>
      <c r="AQ2008" s="418"/>
      <c r="AR2008" s="418"/>
      <c r="AS2008" s="418"/>
      <c r="AT2008" s="418"/>
      <c r="AU2008" s="418"/>
      <c r="AV2008" s="418"/>
      <c r="AW2008" s="418"/>
      <c r="AX2008" s="418"/>
      <c r="AY2008" s="418"/>
      <c r="AZ2008" s="418"/>
      <c r="BA2008" s="418"/>
    </row>
    <row r="2009" spans="40:53" ht="15.75" customHeight="1">
      <c r="AN2009" s="418"/>
      <c r="AO2009" s="418"/>
      <c r="AP2009" s="418"/>
      <c r="AQ2009" s="418"/>
      <c r="AR2009" s="418"/>
      <c r="AS2009" s="418"/>
      <c r="AT2009" s="418"/>
      <c r="AU2009" s="418"/>
      <c r="AV2009" s="418"/>
      <c r="AW2009" s="418"/>
      <c r="AX2009" s="418"/>
      <c r="AY2009" s="418"/>
      <c r="AZ2009" s="418"/>
      <c r="BA2009" s="418"/>
    </row>
    <row r="2010" spans="40:53" ht="15.75" customHeight="1">
      <c r="AN2010" s="418"/>
      <c r="AO2010" s="418"/>
      <c r="AP2010" s="418"/>
      <c r="AQ2010" s="418"/>
      <c r="AR2010" s="418"/>
      <c r="AS2010" s="418"/>
      <c r="AT2010" s="418"/>
      <c r="AU2010" s="418"/>
      <c r="AV2010" s="418"/>
      <c r="AW2010" s="418"/>
      <c r="AX2010" s="418"/>
      <c r="AY2010" s="418"/>
      <c r="AZ2010" s="418"/>
      <c r="BA2010" s="418"/>
    </row>
    <row r="2011" spans="40:53" ht="15.75" customHeight="1">
      <c r="AN2011" s="418"/>
      <c r="AO2011" s="418"/>
      <c r="AP2011" s="418"/>
      <c r="AQ2011" s="418"/>
      <c r="AR2011" s="418"/>
      <c r="AS2011" s="418"/>
      <c r="AT2011" s="418"/>
      <c r="AU2011" s="418"/>
      <c r="AV2011" s="418"/>
      <c r="AW2011" s="418"/>
      <c r="AX2011" s="418"/>
      <c r="AY2011" s="418"/>
      <c r="AZ2011" s="418"/>
      <c r="BA2011" s="418"/>
    </row>
    <row r="2012" spans="40:53" ht="15.75" customHeight="1">
      <c r="AN2012" s="418"/>
      <c r="AO2012" s="418"/>
      <c r="AP2012" s="418"/>
      <c r="AQ2012" s="418"/>
      <c r="AR2012" s="418"/>
      <c r="AS2012" s="418"/>
      <c r="AT2012" s="418"/>
      <c r="AU2012" s="418"/>
      <c r="AV2012" s="418"/>
      <c r="AW2012" s="418"/>
      <c r="AX2012" s="418"/>
      <c r="AY2012" s="418"/>
      <c r="AZ2012" s="418"/>
      <c r="BA2012" s="418"/>
    </row>
    <row r="2013" spans="40:53" ht="15.75" customHeight="1">
      <c r="AN2013" s="418"/>
      <c r="AO2013" s="418"/>
      <c r="AP2013" s="418"/>
      <c r="AQ2013" s="418"/>
      <c r="AR2013" s="418"/>
      <c r="AS2013" s="418"/>
      <c r="AT2013" s="418"/>
      <c r="AU2013" s="418"/>
      <c r="AV2013" s="418"/>
      <c r="AW2013" s="418"/>
      <c r="AX2013" s="418"/>
      <c r="AY2013" s="418"/>
      <c r="AZ2013" s="418"/>
      <c r="BA2013" s="418"/>
    </row>
    <row r="2014" spans="40:53" ht="15.75" customHeight="1">
      <c r="AN2014" s="418"/>
      <c r="AO2014" s="418"/>
      <c r="AP2014" s="418"/>
      <c r="AQ2014" s="418"/>
      <c r="AR2014" s="418"/>
      <c r="AS2014" s="418"/>
      <c r="AT2014" s="418"/>
      <c r="AU2014" s="418"/>
      <c r="AV2014" s="418"/>
      <c r="AW2014" s="418"/>
      <c r="AX2014" s="418"/>
      <c r="AY2014" s="418"/>
      <c r="AZ2014" s="418"/>
      <c r="BA2014" s="418"/>
    </row>
    <row r="2015" spans="40:53" ht="15.75" customHeight="1">
      <c r="AN2015" s="418"/>
      <c r="AO2015" s="418"/>
      <c r="AP2015" s="418"/>
      <c r="AQ2015" s="418"/>
      <c r="AR2015" s="418"/>
      <c r="AS2015" s="418"/>
      <c r="AT2015" s="418"/>
      <c r="AU2015" s="418"/>
      <c r="AV2015" s="418"/>
      <c r="AW2015" s="418"/>
      <c r="AX2015" s="418"/>
      <c r="AY2015" s="418"/>
      <c r="AZ2015" s="418"/>
      <c r="BA2015" s="418"/>
    </row>
    <row r="2016" spans="40:53" ht="15.75" customHeight="1">
      <c r="AN2016" s="418"/>
      <c r="AO2016" s="418"/>
      <c r="AP2016" s="418"/>
      <c r="AQ2016" s="418"/>
      <c r="AR2016" s="418"/>
      <c r="AS2016" s="418"/>
      <c r="AT2016" s="418"/>
      <c r="AU2016" s="418"/>
      <c r="AV2016" s="418"/>
      <c r="AW2016" s="418"/>
      <c r="AX2016" s="418"/>
      <c r="AY2016" s="418"/>
      <c r="AZ2016" s="418"/>
      <c r="BA2016" s="418"/>
    </row>
    <row r="2017" spans="40:53" ht="15.75" customHeight="1">
      <c r="AN2017" s="418"/>
      <c r="AO2017" s="418"/>
      <c r="AP2017" s="418"/>
      <c r="AQ2017" s="418"/>
      <c r="AR2017" s="418"/>
      <c r="AS2017" s="418"/>
      <c r="AT2017" s="418"/>
      <c r="AU2017" s="418"/>
      <c r="AV2017" s="418"/>
      <c r="AW2017" s="418"/>
      <c r="AX2017" s="418"/>
      <c r="AY2017" s="418"/>
      <c r="AZ2017" s="418"/>
      <c r="BA2017" s="418"/>
    </row>
    <row r="2018" spans="40:53" ht="15.75" customHeight="1">
      <c r="AN2018" s="418"/>
      <c r="AO2018" s="418"/>
      <c r="AP2018" s="418"/>
      <c r="AQ2018" s="418"/>
      <c r="AR2018" s="418"/>
      <c r="AS2018" s="418"/>
      <c r="AT2018" s="418"/>
      <c r="AU2018" s="418"/>
      <c r="AV2018" s="418"/>
      <c r="AW2018" s="418"/>
      <c r="AX2018" s="418"/>
      <c r="AY2018" s="418"/>
      <c r="AZ2018" s="418"/>
      <c r="BA2018" s="418"/>
    </row>
    <row r="2019" spans="40:53" ht="15.75" customHeight="1">
      <c r="AN2019" s="418"/>
      <c r="AO2019" s="418"/>
      <c r="AP2019" s="418"/>
      <c r="AQ2019" s="418"/>
      <c r="AR2019" s="418"/>
      <c r="AS2019" s="418"/>
      <c r="AT2019" s="418"/>
      <c r="AU2019" s="418"/>
      <c r="AV2019" s="418"/>
      <c r="AW2019" s="418"/>
      <c r="AX2019" s="418"/>
      <c r="AY2019" s="418"/>
      <c r="AZ2019" s="418"/>
      <c r="BA2019" s="418"/>
    </row>
    <row r="2020" spans="40:53" ht="15.75" customHeight="1">
      <c r="AN2020" s="418"/>
      <c r="AO2020" s="418"/>
      <c r="AP2020" s="418"/>
      <c r="AQ2020" s="418"/>
      <c r="AR2020" s="418"/>
      <c r="AS2020" s="418"/>
      <c r="AT2020" s="418"/>
      <c r="AU2020" s="418"/>
      <c r="AV2020" s="418"/>
      <c r="AW2020" s="418"/>
      <c r="AX2020" s="418"/>
      <c r="AY2020" s="418"/>
      <c r="AZ2020" s="418"/>
      <c r="BA2020" s="418"/>
    </row>
    <row r="2021" spans="40:53" ht="15.75" customHeight="1">
      <c r="AN2021" s="418"/>
      <c r="AO2021" s="418"/>
      <c r="AP2021" s="418"/>
      <c r="AQ2021" s="418"/>
      <c r="AR2021" s="418"/>
      <c r="AS2021" s="418"/>
      <c r="AT2021" s="418"/>
      <c r="AU2021" s="418"/>
      <c r="AV2021" s="418"/>
      <c r="AW2021" s="418"/>
      <c r="AX2021" s="418"/>
      <c r="AY2021" s="418"/>
      <c r="AZ2021" s="418"/>
      <c r="BA2021" s="418"/>
    </row>
    <row r="2022" spans="40:53" ht="15.75" customHeight="1">
      <c r="AN2022" s="418"/>
      <c r="AO2022" s="418"/>
      <c r="AP2022" s="418"/>
      <c r="AQ2022" s="418"/>
      <c r="AR2022" s="418"/>
      <c r="AS2022" s="418"/>
      <c r="AT2022" s="418"/>
      <c r="AU2022" s="418"/>
      <c r="AV2022" s="418"/>
      <c r="AW2022" s="418"/>
      <c r="AX2022" s="418"/>
      <c r="AY2022" s="418"/>
      <c r="AZ2022" s="418"/>
      <c r="BA2022" s="418"/>
    </row>
    <row r="2023" spans="40:53" ht="15.75" customHeight="1">
      <c r="AN2023" s="418"/>
      <c r="AO2023" s="418"/>
      <c r="AP2023" s="418"/>
      <c r="AQ2023" s="418"/>
      <c r="AR2023" s="418"/>
      <c r="AS2023" s="418"/>
      <c r="AT2023" s="418"/>
      <c r="AU2023" s="418"/>
      <c r="AV2023" s="418"/>
      <c r="AW2023" s="418"/>
      <c r="AX2023" s="418"/>
      <c r="AY2023" s="418"/>
      <c r="AZ2023" s="418"/>
      <c r="BA2023" s="418"/>
    </row>
    <row r="2024" spans="40:53" ht="15.75" customHeight="1">
      <c r="AN2024" s="418"/>
      <c r="AO2024" s="418"/>
      <c r="AP2024" s="418"/>
      <c r="AQ2024" s="418"/>
      <c r="AR2024" s="418"/>
      <c r="AS2024" s="418"/>
      <c r="AT2024" s="418"/>
      <c r="AU2024" s="418"/>
      <c r="AV2024" s="418"/>
      <c r="AW2024" s="418"/>
      <c r="AX2024" s="418"/>
      <c r="AY2024" s="418"/>
      <c r="AZ2024" s="418"/>
      <c r="BA2024" s="418"/>
    </row>
    <row r="2025" spans="40:53" ht="15.75" customHeight="1">
      <c r="AN2025" s="418"/>
      <c r="AO2025" s="418"/>
      <c r="AP2025" s="418"/>
      <c r="AQ2025" s="418"/>
      <c r="AR2025" s="418"/>
      <c r="AS2025" s="418"/>
      <c r="AT2025" s="418"/>
      <c r="AU2025" s="418"/>
      <c r="AV2025" s="418"/>
      <c r="AW2025" s="418"/>
      <c r="AX2025" s="418"/>
      <c r="AY2025" s="418"/>
      <c r="AZ2025" s="418"/>
      <c r="BA2025" s="418"/>
    </row>
    <row r="2026" spans="40:53" ht="15.75" customHeight="1">
      <c r="AN2026" s="418"/>
      <c r="AO2026" s="418"/>
      <c r="AP2026" s="418"/>
      <c r="AQ2026" s="418"/>
      <c r="AR2026" s="418"/>
      <c r="AS2026" s="418"/>
      <c r="AT2026" s="418"/>
      <c r="AU2026" s="418"/>
      <c r="AV2026" s="418"/>
      <c r="AW2026" s="418"/>
      <c r="AX2026" s="418"/>
      <c r="AY2026" s="418"/>
      <c r="AZ2026" s="418"/>
      <c r="BA2026" s="418"/>
    </row>
    <row r="2027" spans="40:53" ht="15.75" customHeight="1">
      <c r="AN2027" s="418"/>
      <c r="AO2027" s="418"/>
      <c r="AP2027" s="418"/>
      <c r="AQ2027" s="418"/>
      <c r="AR2027" s="418"/>
      <c r="AS2027" s="418"/>
      <c r="AT2027" s="418"/>
      <c r="AU2027" s="418"/>
      <c r="AV2027" s="418"/>
      <c r="AW2027" s="418"/>
      <c r="AX2027" s="418"/>
      <c r="AY2027" s="418"/>
      <c r="AZ2027" s="418"/>
      <c r="BA2027" s="418"/>
    </row>
    <row r="2028" spans="40:53" ht="15.75" customHeight="1">
      <c r="AN2028" s="418"/>
      <c r="AO2028" s="418"/>
      <c r="AP2028" s="418"/>
      <c r="AQ2028" s="418"/>
      <c r="AR2028" s="418"/>
      <c r="AS2028" s="418"/>
      <c r="AT2028" s="418"/>
      <c r="AU2028" s="418"/>
      <c r="AV2028" s="418"/>
      <c r="AW2028" s="418"/>
      <c r="AX2028" s="418"/>
      <c r="AY2028" s="418"/>
      <c r="AZ2028" s="418"/>
      <c r="BA2028" s="418"/>
    </row>
    <row r="2029" spans="40:53" ht="15.75" customHeight="1">
      <c r="AN2029" s="418"/>
      <c r="AO2029" s="418"/>
      <c r="AP2029" s="418"/>
      <c r="AQ2029" s="418"/>
      <c r="AR2029" s="418"/>
      <c r="AS2029" s="418"/>
      <c r="AT2029" s="418"/>
      <c r="AU2029" s="418"/>
      <c r="AV2029" s="418"/>
      <c r="AW2029" s="418"/>
      <c r="AX2029" s="418"/>
      <c r="AY2029" s="418"/>
      <c r="AZ2029" s="418"/>
      <c r="BA2029" s="418"/>
    </row>
    <row r="2030" spans="40:53" ht="15.75" customHeight="1">
      <c r="AN2030" s="418"/>
      <c r="AO2030" s="418"/>
      <c r="AP2030" s="418"/>
      <c r="AQ2030" s="418"/>
      <c r="AR2030" s="418"/>
      <c r="AS2030" s="418"/>
      <c r="AT2030" s="418"/>
      <c r="AU2030" s="418"/>
      <c r="AV2030" s="418"/>
      <c r="AW2030" s="418"/>
      <c r="AX2030" s="418"/>
      <c r="AY2030" s="418"/>
      <c r="AZ2030" s="418"/>
      <c r="BA2030" s="418"/>
    </row>
    <row r="2031" spans="40:53" ht="15.75" customHeight="1">
      <c r="AN2031" s="418"/>
      <c r="AO2031" s="418"/>
      <c r="AP2031" s="418"/>
      <c r="AQ2031" s="418"/>
      <c r="AR2031" s="418"/>
      <c r="AS2031" s="418"/>
      <c r="AT2031" s="418"/>
      <c r="AU2031" s="418"/>
      <c r="AV2031" s="418"/>
      <c r="AW2031" s="418"/>
      <c r="AX2031" s="418"/>
      <c r="AY2031" s="418"/>
      <c r="AZ2031" s="418"/>
      <c r="BA2031" s="418"/>
    </row>
    <row r="2032" spans="40:53" ht="15.75" customHeight="1">
      <c r="AN2032" s="418"/>
      <c r="AO2032" s="418"/>
      <c r="AP2032" s="418"/>
      <c r="AQ2032" s="418"/>
      <c r="AR2032" s="418"/>
      <c r="AS2032" s="418"/>
      <c r="AT2032" s="418"/>
      <c r="AU2032" s="418"/>
      <c r="AV2032" s="418"/>
      <c r="AW2032" s="418"/>
      <c r="AX2032" s="418"/>
      <c r="AY2032" s="418"/>
      <c r="AZ2032" s="418"/>
      <c r="BA2032" s="418"/>
    </row>
    <row r="2033" spans="40:53" ht="15.75" customHeight="1">
      <c r="AN2033" s="418"/>
      <c r="AO2033" s="418"/>
      <c r="AP2033" s="418"/>
      <c r="AQ2033" s="418"/>
      <c r="AR2033" s="418"/>
      <c r="AS2033" s="418"/>
      <c r="AT2033" s="418"/>
      <c r="AU2033" s="418"/>
      <c r="AV2033" s="418"/>
      <c r="AW2033" s="418"/>
      <c r="AX2033" s="418"/>
      <c r="AY2033" s="418"/>
      <c r="AZ2033" s="418"/>
      <c r="BA2033" s="418"/>
    </row>
    <row r="2034" spans="40:53" ht="15.75" customHeight="1">
      <c r="AN2034" s="418"/>
      <c r="AO2034" s="418"/>
      <c r="AP2034" s="418"/>
      <c r="AQ2034" s="418"/>
      <c r="AR2034" s="418"/>
      <c r="AS2034" s="418"/>
      <c r="AT2034" s="418"/>
      <c r="AU2034" s="418"/>
      <c r="AV2034" s="418"/>
      <c r="AW2034" s="418"/>
      <c r="AX2034" s="418"/>
      <c r="AY2034" s="418"/>
      <c r="AZ2034" s="418"/>
      <c r="BA2034" s="418"/>
    </row>
    <row r="2035" spans="40:53" ht="15.75" customHeight="1">
      <c r="AN2035" s="418"/>
      <c r="AO2035" s="418"/>
      <c r="AP2035" s="418"/>
      <c r="AQ2035" s="418"/>
      <c r="AR2035" s="418"/>
      <c r="AS2035" s="418"/>
      <c r="AT2035" s="418"/>
      <c r="AU2035" s="418"/>
      <c r="AV2035" s="418"/>
      <c r="AW2035" s="418"/>
      <c r="AX2035" s="418"/>
      <c r="AY2035" s="418"/>
      <c r="AZ2035" s="418"/>
      <c r="BA2035" s="418"/>
    </row>
    <row r="2036" spans="40:53" ht="15.75" customHeight="1">
      <c r="AN2036" s="418"/>
      <c r="AO2036" s="418"/>
      <c r="AP2036" s="418"/>
      <c r="AQ2036" s="418"/>
      <c r="AR2036" s="418"/>
      <c r="AS2036" s="418"/>
      <c r="AT2036" s="418"/>
      <c r="AU2036" s="418"/>
      <c r="AV2036" s="418"/>
      <c r="AW2036" s="418"/>
      <c r="AX2036" s="418"/>
      <c r="AY2036" s="418"/>
      <c r="AZ2036" s="418"/>
      <c r="BA2036" s="418"/>
    </row>
    <row r="2037" spans="40:53" ht="15.75" customHeight="1">
      <c r="AN2037" s="418"/>
      <c r="AO2037" s="418"/>
      <c r="AP2037" s="418"/>
      <c r="AQ2037" s="418"/>
      <c r="AR2037" s="418"/>
      <c r="AS2037" s="418"/>
      <c r="AT2037" s="418"/>
      <c r="AU2037" s="418"/>
      <c r="AV2037" s="418"/>
      <c r="AW2037" s="418"/>
      <c r="AX2037" s="418"/>
      <c r="AY2037" s="418"/>
      <c r="AZ2037" s="418"/>
      <c r="BA2037" s="418"/>
    </row>
    <row r="2038" spans="40:53" ht="15.75" customHeight="1">
      <c r="AN2038" s="418"/>
      <c r="AO2038" s="418"/>
      <c r="AP2038" s="418"/>
      <c r="AQ2038" s="418"/>
      <c r="AR2038" s="418"/>
      <c r="AS2038" s="418"/>
      <c r="AT2038" s="418"/>
      <c r="AU2038" s="418"/>
      <c r="AV2038" s="418"/>
      <c r="AW2038" s="418"/>
      <c r="AX2038" s="418"/>
      <c r="AY2038" s="418"/>
      <c r="AZ2038" s="418"/>
      <c r="BA2038" s="418"/>
    </row>
    <row r="2039" spans="40:53" ht="15.75" customHeight="1">
      <c r="AN2039" s="418"/>
      <c r="AO2039" s="418"/>
      <c r="AP2039" s="418"/>
      <c r="AQ2039" s="418"/>
      <c r="AR2039" s="418"/>
      <c r="AS2039" s="418"/>
      <c r="AT2039" s="418"/>
      <c r="AU2039" s="418"/>
      <c r="AV2039" s="418"/>
      <c r="AW2039" s="418"/>
      <c r="AX2039" s="418"/>
      <c r="AY2039" s="418"/>
      <c r="AZ2039" s="418"/>
      <c r="BA2039" s="418"/>
    </row>
    <row r="2040" spans="40:53" ht="15.75" customHeight="1">
      <c r="AN2040" s="418"/>
      <c r="AO2040" s="418"/>
      <c r="AP2040" s="418"/>
      <c r="AQ2040" s="418"/>
      <c r="AR2040" s="418"/>
      <c r="AS2040" s="418"/>
      <c r="AT2040" s="418"/>
      <c r="AU2040" s="418"/>
      <c r="AV2040" s="418"/>
      <c r="AW2040" s="418"/>
      <c r="AX2040" s="418"/>
      <c r="AY2040" s="418"/>
      <c r="AZ2040" s="418"/>
      <c r="BA2040" s="418"/>
    </row>
    <row r="2041" spans="40:53" ht="15.75" customHeight="1">
      <c r="AN2041" s="418"/>
      <c r="AO2041" s="418"/>
      <c r="AP2041" s="418"/>
      <c r="AQ2041" s="418"/>
      <c r="AR2041" s="418"/>
      <c r="AS2041" s="418"/>
      <c r="AT2041" s="418"/>
      <c r="AU2041" s="418"/>
      <c r="AV2041" s="418"/>
      <c r="AW2041" s="418"/>
      <c r="AX2041" s="418"/>
      <c r="AY2041" s="418"/>
      <c r="AZ2041" s="418"/>
      <c r="BA2041" s="418"/>
    </row>
    <row r="2042" spans="40:53" ht="15.75" customHeight="1">
      <c r="AN2042" s="418"/>
      <c r="AO2042" s="418"/>
      <c r="AP2042" s="418"/>
      <c r="AQ2042" s="418"/>
      <c r="AR2042" s="418"/>
      <c r="AS2042" s="418"/>
      <c r="AT2042" s="418"/>
      <c r="AU2042" s="418"/>
      <c r="AV2042" s="418"/>
      <c r="AW2042" s="418"/>
      <c r="AX2042" s="418"/>
      <c r="AY2042" s="418"/>
      <c r="AZ2042" s="418"/>
      <c r="BA2042" s="418"/>
    </row>
    <row r="2043" spans="40:53" ht="15.75" customHeight="1">
      <c r="AN2043" s="418"/>
      <c r="AO2043" s="418"/>
      <c r="AP2043" s="418"/>
      <c r="AQ2043" s="418"/>
      <c r="AR2043" s="418"/>
      <c r="AS2043" s="418"/>
      <c r="AT2043" s="418"/>
      <c r="AU2043" s="418"/>
      <c r="AV2043" s="418"/>
      <c r="AW2043" s="418"/>
      <c r="AX2043" s="418"/>
      <c r="AY2043" s="418"/>
      <c r="AZ2043" s="418"/>
      <c r="BA2043" s="418"/>
    </row>
    <row r="2044" spans="40:53" ht="15.75" customHeight="1">
      <c r="AN2044" s="418"/>
      <c r="AO2044" s="418"/>
      <c r="AP2044" s="418"/>
      <c r="AQ2044" s="418"/>
      <c r="AR2044" s="418"/>
      <c r="AS2044" s="418"/>
      <c r="AT2044" s="418"/>
      <c r="AU2044" s="418"/>
      <c r="AV2044" s="418"/>
      <c r="AW2044" s="418"/>
      <c r="AX2044" s="418"/>
      <c r="AY2044" s="418"/>
      <c r="AZ2044" s="418"/>
      <c r="BA2044" s="418"/>
    </row>
    <row r="2045" spans="40:53" ht="15.75" customHeight="1">
      <c r="AN2045" s="418"/>
      <c r="AO2045" s="418"/>
      <c r="AP2045" s="418"/>
      <c r="AQ2045" s="418"/>
      <c r="AR2045" s="418"/>
      <c r="AS2045" s="418"/>
      <c r="AT2045" s="418"/>
      <c r="AU2045" s="418"/>
      <c r="AV2045" s="418"/>
      <c r="AW2045" s="418"/>
      <c r="AX2045" s="418"/>
      <c r="AY2045" s="418"/>
      <c r="AZ2045" s="418"/>
      <c r="BA2045" s="418"/>
    </row>
    <row r="2046" spans="40:53" ht="15.75" customHeight="1">
      <c r="AN2046" s="418"/>
      <c r="AO2046" s="418"/>
      <c r="AP2046" s="418"/>
      <c r="AQ2046" s="418"/>
      <c r="AR2046" s="418"/>
      <c r="AS2046" s="418"/>
      <c r="AT2046" s="418"/>
      <c r="AU2046" s="418"/>
      <c r="AV2046" s="418"/>
      <c r="AW2046" s="418"/>
      <c r="AX2046" s="418"/>
      <c r="AY2046" s="418"/>
      <c r="AZ2046" s="418"/>
      <c r="BA2046" s="418"/>
    </row>
    <row r="2047" spans="40:53" ht="15.75" customHeight="1">
      <c r="AN2047" s="418"/>
      <c r="AO2047" s="418"/>
      <c r="AP2047" s="418"/>
      <c r="AQ2047" s="418"/>
      <c r="AR2047" s="418"/>
      <c r="AS2047" s="418"/>
      <c r="AT2047" s="418"/>
      <c r="AU2047" s="418"/>
      <c r="AV2047" s="418"/>
      <c r="AW2047" s="418"/>
      <c r="AX2047" s="418"/>
      <c r="AY2047" s="418"/>
      <c r="AZ2047" s="418"/>
      <c r="BA2047" s="418"/>
    </row>
    <row r="2048" spans="40:53" ht="15.75" customHeight="1">
      <c r="AN2048" s="418"/>
      <c r="AO2048" s="418"/>
      <c r="AP2048" s="418"/>
      <c r="AQ2048" s="418"/>
      <c r="AR2048" s="418"/>
      <c r="AS2048" s="418"/>
      <c r="AT2048" s="418"/>
      <c r="AU2048" s="418"/>
      <c r="AV2048" s="418"/>
      <c r="AW2048" s="418"/>
      <c r="AX2048" s="418"/>
      <c r="AY2048" s="418"/>
      <c r="AZ2048" s="418"/>
      <c r="BA2048" s="418"/>
    </row>
    <row r="2049" spans="40:53" ht="15.75" customHeight="1">
      <c r="AN2049" s="418"/>
      <c r="AO2049" s="418"/>
      <c r="AP2049" s="418"/>
      <c r="AQ2049" s="418"/>
      <c r="AR2049" s="418"/>
      <c r="AS2049" s="418"/>
      <c r="AT2049" s="418"/>
      <c r="AU2049" s="418"/>
      <c r="AV2049" s="418"/>
      <c r="AW2049" s="418"/>
      <c r="AX2049" s="418"/>
      <c r="AY2049" s="418"/>
      <c r="AZ2049" s="418"/>
      <c r="BA2049" s="418"/>
    </row>
    <row r="2050" spans="40:53" ht="15.75" customHeight="1">
      <c r="AN2050" s="418"/>
      <c r="AO2050" s="418"/>
      <c r="AP2050" s="418"/>
      <c r="AQ2050" s="418"/>
      <c r="AR2050" s="418"/>
      <c r="AS2050" s="418"/>
      <c r="AT2050" s="418"/>
      <c r="AU2050" s="418"/>
      <c r="AV2050" s="418"/>
      <c r="AW2050" s="418"/>
      <c r="AX2050" s="418"/>
      <c r="AY2050" s="418"/>
      <c r="AZ2050" s="418"/>
      <c r="BA2050" s="418"/>
    </row>
    <row r="2051" spans="40:53" ht="15.75" customHeight="1">
      <c r="AN2051" s="418"/>
      <c r="AO2051" s="418"/>
      <c r="AP2051" s="418"/>
      <c r="AQ2051" s="418"/>
      <c r="AR2051" s="418"/>
      <c r="AS2051" s="418"/>
      <c r="AT2051" s="418"/>
      <c r="AU2051" s="418"/>
      <c r="AV2051" s="418"/>
      <c r="AW2051" s="418"/>
      <c r="AX2051" s="418"/>
      <c r="AY2051" s="418"/>
      <c r="AZ2051" s="418"/>
      <c r="BA2051" s="418"/>
    </row>
    <row r="2052" spans="40:53" ht="15.75" customHeight="1">
      <c r="AN2052" s="418"/>
      <c r="AO2052" s="418"/>
      <c r="AP2052" s="418"/>
      <c r="AQ2052" s="418"/>
      <c r="AR2052" s="418"/>
      <c r="AS2052" s="418"/>
      <c r="AT2052" s="418"/>
      <c r="AU2052" s="418"/>
      <c r="AV2052" s="418"/>
      <c r="AW2052" s="418"/>
      <c r="AX2052" s="418"/>
      <c r="AY2052" s="418"/>
      <c r="AZ2052" s="418"/>
      <c r="BA2052" s="418"/>
    </row>
    <row r="2053" spans="40:53" ht="15.75" customHeight="1">
      <c r="AN2053" s="418"/>
      <c r="AO2053" s="418"/>
      <c r="AP2053" s="418"/>
      <c r="AQ2053" s="418"/>
      <c r="AR2053" s="418"/>
      <c r="AS2053" s="418"/>
      <c r="AT2053" s="418"/>
      <c r="AU2053" s="418"/>
      <c r="AV2053" s="418"/>
      <c r="AW2053" s="418"/>
      <c r="AX2053" s="418"/>
      <c r="AY2053" s="418"/>
      <c r="AZ2053" s="418"/>
      <c r="BA2053" s="418"/>
    </row>
    <row r="2054" spans="40:53" ht="15.75" customHeight="1">
      <c r="AN2054" s="418"/>
      <c r="AO2054" s="418"/>
      <c r="AP2054" s="418"/>
      <c r="AQ2054" s="418"/>
      <c r="AR2054" s="418"/>
      <c r="AS2054" s="418"/>
      <c r="AT2054" s="418"/>
      <c r="AU2054" s="418"/>
      <c r="AV2054" s="418"/>
      <c r="AW2054" s="418"/>
      <c r="AX2054" s="418"/>
      <c r="AY2054" s="418"/>
      <c r="AZ2054" s="418"/>
      <c r="BA2054" s="418"/>
    </row>
    <row r="2055" spans="40:53" ht="15.75" customHeight="1">
      <c r="AN2055" s="418"/>
      <c r="AO2055" s="418"/>
      <c r="AP2055" s="418"/>
      <c r="AQ2055" s="418"/>
      <c r="AR2055" s="418"/>
      <c r="AS2055" s="418"/>
      <c r="AT2055" s="418"/>
      <c r="AU2055" s="418"/>
      <c r="AV2055" s="418"/>
      <c r="AW2055" s="418"/>
      <c r="AX2055" s="418"/>
      <c r="AY2055" s="418"/>
      <c r="AZ2055" s="418"/>
      <c r="BA2055" s="418"/>
    </row>
    <row r="2056" spans="40:53" ht="15.75" customHeight="1">
      <c r="AN2056" s="418"/>
      <c r="AO2056" s="418"/>
      <c r="AP2056" s="418"/>
      <c r="AQ2056" s="418"/>
      <c r="AR2056" s="418"/>
      <c r="AS2056" s="418"/>
      <c r="AT2056" s="418"/>
      <c r="AU2056" s="418"/>
      <c r="AV2056" s="418"/>
      <c r="AW2056" s="418"/>
      <c r="AX2056" s="418"/>
      <c r="AY2056" s="418"/>
      <c r="AZ2056" s="418"/>
      <c r="BA2056" s="418"/>
    </row>
    <row r="2057" spans="40:53" ht="15.75" customHeight="1">
      <c r="AN2057" s="418"/>
      <c r="AO2057" s="418"/>
      <c r="AP2057" s="418"/>
      <c r="AQ2057" s="418"/>
      <c r="AR2057" s="418"/>
      <c r="AS2057" s="418"/>
      <c r="AT2057" s="418"/>
      <c r="AU2057" s="418"/>
      <c r="AV2057" s="418"/>
      <c r="AW2057" s="418"/>
      <c r="AX2057" s="418"/>
      <c r="AY2057" s="418"/>
      <c r="AZ2057" s="418"/>
      <c r="BA2057" s="418"/>
    </row>
    <row r="2058" spans="40:53" ht="15.75" customHeight="1">
      <c r="AN2058" s="418"/>
      <c r="AO2058" s="418"/>
      <c r="AP2058" s="418"/>
      <c r="AQ2058" s="418"/>
      <c r="AR2058" s="418"/>
      <c r="AS2058" s="418"/>
      <c r="AT2058" s="418"/>
      <c r="AU2058" s="418"/>
      <c r="AV2058" s="418"/>
      <c r="AW2058" s="418"/>
      <c r="AX2058" s="418"/>
      <c r="AY2058" s="418"/>
      <c r="AZ2058" s="418"/>
      <c r="BA2058" s="418"/>
    </row>
    <row r="2059" spans="40:53" ht="15.75" customHeight="1">
      <c r="AN2059" s="418"/>
      <c r="AO2059" s="418"/>
      <c r="AP2059" s="418"/>
      <c r="AQ2059" s="418"/>
      <c r="AR2059" s="418"/>
      <c r="AS2059" s="418"/>
      <c r="AT2059" s="418"/>
      <c r="AU2059" s="418"/>
      <c r="AV2059" s="418"/>
      <c r="AW2059" s="418"/>
      <c r="AX2059" s="418"/>
      <c r="AY2059" s="418"/>
      <c r="AZ2059" s="418"/>
      <c r="BA2059" s="418"/>
    </row>
    <row r="2060" spans="40:53" ht="15.75" customHeight="1">
      <c r="AN2060" s="418"/>
      <c r="AO2060" s="418"/>
      <c r="AP2060" s="418"/>
      <c r="AQ2060" s="418"/>
      <c r="AR2060" s="418"/>
      <c r="AS2060" s="418"/>
      <c r="AT2060" s="418"/>
      <c r="AU2060" s="418"/>
      <c r="AV2060" s="418"/>
      <c r="AW2060" s="418"/>
      <c r="AX2060" s="418"/>
      <c r="AY2060" s="418"/>
      <c r="AZ2060" s="418"/>
      <c r="BA2060" s="418"/>
    </row>
    <row r="2061" spans="40:53" ht="15.75" customHeight="1">
      <c r="AN2061" s="418"/>
      <c r="AO2061" s="418"/>
      <c r="AP2061" s="418"/>
      <c r="AQ2061" s="418"/>
      <c r="AR2061" s="418"/>
      <c r="AS2061" s="418"/>
      <c r="AT2061" s="418"/>
      <c r="AU2061" s="418"/>
      <c r="AV2061" s="418"/>
      <c r="AW2061" s="418"/>
      <c r="AX2061" s="418"/>
      <c r="AY2061" s="418"/>
      <c r="AZ2061" s="418"/>
      <c r="BA2061" s="418"/>
    </row>
    <row r="2062" spans="40:53" ht="15.75" customHeight="1">
      <c r="AN2062" s="418"/>
      <c r="AO2062" s="418"/>
      <c r="AP2062" s="418"/>
      <c r="AQ2062" s="418"/>
      <c r="AR2062" s="418"/>
      <c r="AS2062" s="418"/>
      <c r="AT2062" s="418"/>
      <c r="AU2062" s="418"/>
      <c r="AV2062" s="418"/>
      <c r="AW2062" s="418"/>
      <c r="AX2062" s="418"/>
      <c r="AY2062" s="418"/>
      <c r="AZ2062" s="418"/>
      <c r="BA2062" s="418"/>
    </row>
    <row r="2063" spans="40:53" ht="15.75" customHeight="1">
      <c r="AN2063" s="418"/>
      <c r="AO2063" s="418"/>
      <c r="AP2063" s="418"/>
      <c r="AQ2063" s="418"/>
      <c r="AR2063" s="418"/>
      <c r="AS2063" s="418"/>
      <c r="AT2063" s="418"/>
      <c r="AU2063" s="418"/>
      <c r="AV2063" s="418"/>
      <c r="AW2063" s="418"/>
      <c r="AX2063" s="418"/>
      <c r="AY2063" s="418"/>
      <c r="AZ2063" s="418"/>
      <c r="BA2063" s="418"/>
    </row>
    <row r="2064" spans="40:53" ht="15.75" customHeight="1">
      <c r="AN2064" s="418"/>
      <c r="AO2064" s="418"/>
      <c r="AP2064" s="418"/>
      <c r="AQ2064" s="418"/>
      <c r="AR2064" s="418"/>
      <c r="AS2064" s="418"/>
      <c r="AT2064" s="418"/>
      <c r="AU2064" s="418"/>
      <c r="AV2064" s="418"/>
      <c r="AW2064" s="418"/>
      <c r="AX2064" s="418"/>
      <c r="AY2064" s="418"/>
      <c r="AZ2064" s="418"/>
      <c r="BA2064" s="418"/>
    </row>
    <row r="2065" spans="40:53" ht="15.75" customHeight="1">
      <c r="AN2065" s="418"/>
      <c r="AO2065" s="418"/>
      <c r="AP2065" s="418"/>
      <c r="AQ2065" s="418"/>
      <c r="AR2065" s="418"/>
      <c r="AS2065" s="418"/>
      <c r="AT2065" s="418"/>
      <c r="AU2065" s="418"/>
      <c r="AV2065" s="418"/>
      <c r="AW2065" s="418"/>
      <c r="AX2065" s="418"/>
      <c r="AY2065" s="418"/>
      <c r="AZ2065" s="418"/>
      <c r="BA2065" s="418"/>
    </row>
    <row r="2066" spans="40:53" ht="15.75" customHeight="1">
      <c r="AN2066" s="418"/>
      <c r="AO2066" s="418"/>
      <c r="AP2066" s="418"/>
      <c r="AQ2066" s="418"/>
      <c r="AR2066" s="418"/>
      <c r="AS2066" s="418"/>
      <c r="AT2066" s="418"/>
      <c r="AU2066" s="418"/>
      <c r="AV2066" s="418"/>
      <c r="AW2066" s="418"/>
      <c r="AX2066" s="418"/>
      <c r="AY2066" s="418"/>
      <c r="AZ2066" s="418"/>
      <c r="BA2066" s="418"/>
    </row>
    <row r="2067" spans="40:53" ht="15.75" customHeight="1">
      <c r="AN2067" s="418"/>
      <c r="AO2067" s="418"/>
      <c r="AP2067" s="418"/>
      <c r="AQ2067" s="418"/>
      <c r="AR2067" s="418"/>
      <c r="AS2067" s="418"/>
      <c r="AT2067" s="418"/>
      <c r="AU2067" s="418"/>
      <c r="AV2067" s="418"/>
      <c r="AW2067" s="418"/>
      <c r="AX2067" s="418"/>
      <c r="AY2067" s="418"/>
      <c r="AZ2067" s="418"/>
      <c r="BA2067" s="418"/>
    </row>
    <row r="2068" spans="40:53" ht="15.75" customHeight="1">
      <c r="AN2068" s="418"/>
      <c r="AO2068" s="418"/>
      <c r="AP2068" s="418"/>
      <c r="AQ2068" s="418"/>
      <c r="AR2068" s="418"/>
      <c r="AS2068" s="418"/>
      <c r="AT2068" s="418"/>
      <c r="AU2068" s="418"/>
      <c r="AV2068" s="418"/>
      <c r="AW2068" s="418"/>
      <c r="AX2068" s="418"/>
      <c r="AY2068" s="418"/>
      <c r="AZ2068" s="418"/>
      <c r="BA2068" s="418"/>
    </row>
    <row r="2069" spans="40:53" ht="15.75" customHeight="1">
      <c r="AN2069" s="418"/>
      <c r="AO2069" s="418"/>
      <c r="AP2069" s="418"/>
      <c r="AQ2069" s="418"/>
      <c r="AR2069" s="418"/>
      <c r="AS2069" s="418"/>
      <c r="AT2069" s="418"/>
      <c r="AU2069" s="418"/>
      <c r="AV2069" s="418"/>
      <c r="AW2069" s="418"/>
      <c r="AX2069" s="418"/>
      <c r="AY2069" s="418"/>
      <c r="AZ2069" s="418"/>
      <c r="BA2069" s="418"/>
    </row>
    <row r="2070" spans="40:53" ht="15.75" customHeight="1">
      <c r="AN2070" s="418"/>
      <c r="AO2070" s="418"/>
      <c r="AP2070" s="418"/>
      <c r="AQ2070" s="418"/>
      <c r="AR2070" s="418"/>
      <c r="AS2070" s="418"/>
      <c r="AT2070" s="418"/>
      <c r="AU2070" s="418"/>
      <c r="AV2070" s="418"/>
      <c r="AW2070" s="418"/>
      <c r="AX2070" s="418"/>
      <c r="AY2070" s="418"/>
      <c r="AZ2070" s="418"/>
      <c r="BA2070" s="418"/>
    </row>
    <row r="2071" spans="40:53" ht="15.75" customHeight="1">
      <c r="AN2071" s="418"/>
      <c r="AO2071" s="418"/>
      <c r="AP2071" s="418"/>
      <c r="AQ2071" s="418"/>
      <c r="AR2071" s="418"/>
      <c r="AS2071" s="418"/>
      <c r="AT2071" s="418"/>
      <c r="AU2071" s="418"/>
      <c r="AV2071" s="418"/>
      <c r="AW2071" s="418"/>
      <c r="AX2071" s="418"/>
      <c r="AY2071" s="418"/>
      <c r="AZ2071" s="418"/>
      <c r="BA2071" s="418"/>
    </row>
    <row r="2072" spans="40:53" ht="15.75" customHeight="1">
      <c r="AN2072" s="418"/>
      <c r="AO2072" s="418"/>
      <c r="AP2072" s="418"/>
      <c r="AQ2072" s="418"/>
      <c r="AR2072" s="418"/>
      <c r="AS2072" s="418"/>
      <c r="AT2072" s="418"/>
      <c r="AU2072" s="418"/>
      <c r="AV2072" s="418"/>
      <c r="AW2072" s="418"/>
      <c r="AX2072" s="418"/>
      <c r="AY2072" s="418"/>
      <c r="AZ2072" s="418"/>
      <c r="BA2072" s="418"/>
    </row>
    <row r="2073" spans="40:53" ht="15.75" customHeight="1">
      <c r="AN2073" s="418"/>
      <c r="AO2073" s="418"/>
      <c r="AP2073" s="418"/>
      <c r="AQ2073" s="418"/>
      <c r="AR2073" s="418"/>
      <c r="AS2073" s="418"/>
      <c r="AT2073" s="418"/>
      <c r="AU2073" s="418"/>
      <c r="AV2073" s="418"/>
      <c r="AW2073" s="418"/>
      <c r="AX2073" s="418"/>
      <c r="AY2073" s="418"/>
      <c r="AZ2073" s="418"/>
      <c r="BA2073" s="418"/>
    </row>
    <row r="2074" spans="40:53" ht="15.75" customHeight="1">
      <c r="AN2074" s="418"/>
      <c r="AO2074" s="418"/>
      <c r="AP2074" s="418"/>
      <c r="AQ2074" s="418"/>
      <c r="AR2074" s="418"/>
      <c r="AS2074" s="418"/>
      <c r="AT2074" s="418"/>
      <c r="AU2074" s="418"/>
      <c r="AV2074" s="418"/>
      <c r="AW2074" s="418"/>
      <c r="AX2074" s="418"/>
      <c r="AY2074" s="418"/>
      <c r="AZ2074" s="418"/>
      <c r="BA2074" s="418"/>
    </row>
    <row r="2075" spans="40:53" ht="15.75" customHeight="1">
      <c r="AN2075" s="418"/>
      <c r="AO2075" s="418"/>
      <c r="AP2075" s="418"/>
      <c r="AQ2075" s="418"/>
      <c r="AR2075" s="418"/>
      <c r="AS2075" s="418"/>
      <c r="AT2075" s="418"/>
      <c r="AU2075" s="418"/>
      <c r="AV2075" s="418"/>
      <c r="AW2075" s="418"/>
      <c r="AX2075" s="418"/>
      <c r="AY2075" s="418"/>
      <c r="AZ2075" s="418"/>
      <c r="BA2075" s="418"/>
    </row>
    <row r="2076" spans="40:53" ht="15.75" customHeight="1">
      <c r="AN2076" s="418"/>
      <c r="AO2076" s="418"/>
      <c r="AP2076" s="418"/>
      <c r="AQ2076" s="418"/>
      <c r="AR2076" s="418"/>
      <c r="AS2076" s="418"/>
      <c r="AT2076" s="418"/>
      <c r="AU2076" s="418"/>
      <c r="AV2076" s="418"/>
      <c r="AW2076" s="418"/>
      <c r="AX2076" s="418"/>
      <c r="AY2076" s="418"/>
      <c r="AZ2076" s="418"/>
      <c r="BA2076" s="418"/>
    </row>
    <row r="2077" spans="40:53" ht="15.75" customHeight="1">
      <c r="AN2077" s="418"/>
      <c r="AO2077" s="418"/>
      <c r="AP2077" s="418"/>
      <c r="AQ2077" s="418"/>
      <c r="AR2077" s="418"/>
      <c r="AS2077" s="418"/>
      <c r="AT2077" s="418"/>
      <c r="AU2077" s="418"/>
      <c r="AV2077" s="418"/>
      <c r="AW2077" s="418"/>
      <c r="AX2077" s="418"/>
      <c r="AY2077" s="418"/>
      <c r="AZ2077" s="418"/>
      <c r="BA2077" s="418"/>
    </row>
    <row r="2078" spans="40:53" ht="15.75" customHeight="1">
      <c r="AN2078" s="418"/>
      <c r="AO2078" s="418"/>
      <c r="AP2078" s="418"/>
      <c r="AQ2078" s="418"/>
      <c r="AR2078" s="418"/>
      <c r="AS2078" s="418"/>
      <c r="AT2078" s="418"/>
      <c r="AU2078" s="418"/>
      <c r="AV2078" s="418"/>
      <c r="AW2078" s="418"/>
      <c r="AX2078" s="418"/>
      <c r="AY2078" s="418"/>
      <c r="AZ2078" s="418"/>
      <c r="BA2078" s="418"/>
    </row>
    <row r="2079" spans="40:53" ht="15.75" customHeight="1">
      <c r="AN2079" s="418"/>
      <c r="AO2079" s="418"/>
      <c r="AP2079" s="418"/>
      <c r="AQ2079" s="418"/>
      <c r="AR2079" s="418"/>
      <c r="AS2079" s="418"/>
      <c r="AT2079" s="418"/>
      <c r="AU2079" s="418"/>
      <c r="AV2079" s="418"/>
      <c r="AW2079" s="418"/>
      <c r="AX2079" s="418"/>
      <c r="AY2079" s="418"/>
      <c r="AZ2079" s="418"/>
      <c r="BA2079" s="418"/>
    </row>
    <row r="2080" spans="40:53" ht="15.75" customHeight="1">
      <c r="AN2080" s="418"/>
      <c r="AO2080" s="418"/>
      <c r="AP2080" s="418"/>
      <c r="AQ2080" s="418"/>
      <c r="AR2080" s="418"/>
      <c r="AS2080" s="418"/>
      <c r="AT2080" s="418"/>
      <c r="AU2080" s="418"/>
      <c r="AV2080" s="418"/>
      <c r="AW2080" s="418"/>
      <c r="AX2080" s="418"/>
      <c r="AY2080" s="418"/>
      <c r="AZ2080" s="418"/>
      <c r="BA2080" s="418"/>
    </row>
    <row r="2081" spans="40:53" ht="15.75" customHeight="1">
      <c r="AN2081" s="418"/>
      <c r="AO2081" s="418"/>
      <c r="AP2081" s="418"/>
      <c r="AQ2081" s="418"/>
      <c r="AR2081" s="418"/>
      <c r="AS2081" s="418"/>
      <c r="AT2081" s="418"/>
      <c r="AU2081" s="418"/>
      <c r="AV2081" s="418"/>
      <c r="AW2081" s="418"/>
      <c r="AX2081" s="418"/>
      <c r="AY2081" s="418"/>
      <c r="AZ2081" s="418"/>
      <c r="BA2081" s="418"/>
    </row>
    <row r="2082" spans="40:53" ht="15.75" customHeight="1">
      <c r="AN2082" s="418"/>
      <c r="AO2082" s="418"/>
      <c r="AP2082" s="418"/>
      <c r="AQ2082" s="418"/>
      <c r="AR2082" s="418"/>
      <c r="AS2082" s="418"/>
      <c r="AT2082" s="418"/>
      <c r="AU2082" s="418"/>
      <c r="AV2082" s="418"/>
      <c r="AW2082" s="418"/>
      <c r="AX2082" s="418"/>
      <c r="AY2082" s="418"/>
      <c r="AZ2082" s="418"/>
      <c r="BA2082" s="418"/>
    </row>
    <row r="2083" spans="40:53" ht="15.75" customHeight="1">
      <c r="AN2083" s="418"/>
      <c r="AO2083" s="418"/>
      <c r="AP2083" s="418"/>
      <c r="AQ2083" s="418"/>
      <c r="AR2083" s="418"/>
      <c r="AS2083" s="418"/>
      <c r="AT2083" s="418"/>
      <c r="AU2083" s="418"/>
      <c r="AV2083" s="418"/>
      <c r="AW2083" s="418"/>
      <c r="AX2083" s="418"/>
      <c r="AY2083" s="418"/>
      <c r="AZ2083" s="418"/>
      <c r="BA2083" s="418"/>
    </row>
    <row r="2084" spans="40:53" ht="15.75" customHeight="1">
      <c r="AN2084" s="418"/>
      <c r="AO2084" s="418"/>
      <c r="AP2084" s="418"/>
      <c r="AQ2084" s="418"/>
      <c r="AR2084" s="418"/>
      <c r="AS2084" s="418"/>
      <c r="AT2084" s="418"/>
      <c r="AU2084" s="418"/>
      <c r="AV2084" s="418"/>
      <c r="AW2084" s="418"/>
      <c r="AX2084" s="418"/>
      <c r="AY2084" s="418"/>
      <c r="AZ2084" s="418"/>
      <c r="BA2084" s="418"/>
    </row>
    <row r="2085" spans="40:53" ht="15.75" customHeight="1">
      <c r="AN2085" s="418"/>
      <c r="AO2085" s="418"/>
      <c r="AP2085" s="418"/>
      <c r="AQ2085" s="418"/>
      <c r="AR2085" s="418"/>
      <c r="AS2085" s="418"/>
      <c r="AT2085" s="418"/>
      <c r="AU2085" s="418"/>
      <c r="AV2085" s="418"/>
      <c r="AW2085" s="418"/>
      <c r="AX2085" s="418"/>
      <c r="AY2085" s="418"/>
      <c r="AZ2085" s="418"/>
      <c r="BA2085" s="418"/>
    </row>
    <row r="2086" spans="40:53" ht="15.75" customHeight="1">
      <c r="AN2086" s="418"/>
      <c r="AO2086" s="418"/>
      <c r="AP2086" s="418"/>
      <c r="AQ2086" s="418"/>
      <c r="AR2086" s="418"/>
      <c r="AS2086" s="418"/>
      <c r="AT2086" s="418"/>
      <c r="AU2086" s="418"/>
      <c r="AV2086" s="418"/>
      <c r="AW2086" s="418"/>
      <c r="AX2086" s="418"/>
      <c r="AY2086" s="418"/>
      <c r="AZ2086" s="418"/>
      <c r="BA2086" s="418"/>
    </row>
    <row r="2087" spans="40:53" ht="15.75" customHeight="1">
      <c r="AN2087" s="418"/>
      <c r="AO2087" s="418"/>
      <c r="AP2087" s="418"/>
      <c r="AQ2087" s="418"/>
      <c r="AR2087" s="418"/>
      <c r="AS2087" s="418"/>
      <c r="AT2087" s="418"/>
      <c r="AU2087" s="418"/>
      <c r="AV2087" s="418"/>
      <c r="AW2087" s="418"/>
      <c r="AX2087" s="418"/>
      <c r="AY2087" s="418"/>
      <c r="AZ2087" s="418"/>
      <c r="BA2087" s="418"/>
    </row>
    <row r="2088" spans="40:53" ht="15.75" customHeight="1">
      <c r="AN2088" s="418"/>
      <c r="AO2088" s="418"/>
      <c r="AP2088" s="418"/>
      <c r="AQ2088" s="418"/>
      <c r="AR2088" s="418"/>
      <c r="AS2088" s="418"/>
      <c r="AT2088" s="418"/>
      <c r="AU2088" s="418"/>
      <c r="AV2088" s="418"/>
      <c r="AW2088" s="418"/>
      <c r="AX2088" s="418"/>
      <c r="AY2088" s="418"/>
      <c r="AZ2088" s="418"/>
      <c r="BA2088" s="418"/>
    </row>
    <row r="2089" spans="40:53" ht="15.75" customHeight="1">
      <c r="AN2089" s="418"/>
      <c r="AO2089" s="418"/>
      <c r="AP2089" s="418"/>
      <c r="AQ2089" s="418"/>
      <c r="AR2089" s="418"/>
      <c r="AS2089" s="418"/>
      <c r="AT2089" s="418"/>
      <c r="AU2089" s="418"/>
      <c r="AV2089" s="418"/>
      <c r="AW2089" s="418"/>
      <c r="AX2089" s="418"/>
      <c r="AY2089" s="418"/>
      <c r="AZ2089" s="418"/>
      <c r="BA2089" s="418"/>
    </row>
    <row r="2090" spans="40:53" ht="15.75" customHeight="1">
      <c r="AN2090" s="418"/>
      <c r="AO2090" s="418"/>
      <c r="AP2090" s="418"/>
      <c r="AQ2090" s="418"/>
      <c r="AR2090" s="418"/>
      <c r="AS2090" s="418"/>
      <c r="AT2090" s="418"/>
      <c r="AU2090" s="418"/>
      <c r="AV2090" s="418"/>
      <c r="AW2090" s="418"/>
      <c r="AX2090" s="418"/>
      <c r="AY2090" s="418"/>
      <c r="AZ2090" s="418"/>
      <c r="BA2090" s="418"/>
    </row>
    <row r="2091" spans="40:53" ht="15.75" customHeight="1">
      <c r="AN2091" s="418"/>
      <c r="AO2091" s="418"/>
      <c r="AP2091" s="418"/>
      <c r="AQ2091" s="418"/>
      <c r="AR2091" s="418"/>
      <c r="AS2091" s="418"/>
      <c r="AT2091" s="418"/>
      <c r="AU2091" s="418"/>
      <c r="AV2091" s="418"/>
      <c r="AW2091" s="418"/>
      <c r="AX2091" s="418"/>
      <c r="AY2091" s="418"/>
      <c r="AZ2091" s="418"/>
      <c r="BA2091" s="418"/>
    </row>
    <row r="2092" spans="40:53" ht="15.75" customHeight="1">
      <c r="AN2092" s="418"/>
      <c r="AO2092" s="418"/>
      <c r="AP2092" s="418"/>
      <c r="AQ2092" s="418"/>
      <c r="AR2092" s="418"/>
      <c r="AS2092" s="418"/>
      <c r="AT2092" s="418"/>
      <c r="AU2092" s="418"/>
      <c r="AV2092" s="418"/>
      <c r="AW2092" s="418"/>
      <c r="AX2092" s="418"/>
      <c r="AY2092" s="418"/>
      <c r="AZ2092" s="418"/>
      <c r="BA2092" s="418"/>
    </row>
    <row r="2093" spans="40:53" ht="15.75" customHeight="1">
      <c r="AN2093" s="418"/>
      <c r="AO2093" s="418"/>
      <c r="AP2093" s="418"/>
      <c r="AQ2093" s="418"/>
      <c r="AR2093" s="418"/>
      <c r="AS2093" s="418"/>
      <c r="AT2093" s="418"/>
      <c r="AU2093" s="418"/>
      <c r="AV2093" s="418"/>
      <c r="AW2093" s="418"/>
      <c r="AX2093" s="418"/>
      <c r="AY2093" s="418"/>
      <c r="AZ2093" s="418"/>
      <c r="BA2093" s="418"/>
    </row>
    <row r="2094" spans="40:53" ht="15.75" customHeight="1">
      <c r="AN2094" s="418"/>
      <c r="AO2094" s="418"/>
      <c r="AP2094" s="418"/>
      <c r="AQ2094" s="418"/>
      <c r="AR2094" s="418"/>
      <c r="AS2094" s="418"/>
      <c r="AT2094" s="418"/>
      <c r="AU2094" s="418"/>
      <c r="AV2094" s="418"/>
      <c r="AW2094" s="418"/>
      <c r="AX2094" s="418"/>
      <c r="AY2094" s="418"/>
      <c r="AZ2094" s="418"/>
      <c r="BA2094" s="418"/>
    </row>
    <row r="2095" spans="40:53" ht="15.75" customHeight="1">
      <c r="AN2095" s="418"/>
      <c r="AO2095" s="418"/>
      <c r="AP2095" s="418"/>
      <c r="AQ2095" s="418"/>
      <c r="AR2095" s="418"/>
      <c r="AS2095" s="418"/>
      <c r="AT2095" s="418"/>
      <c r="AU2095" s="418"/>
      <c r="AV2095" s="418"/>
      <c r="AW2095" s="418"/>
      <c r="AX2095" s="418"/>
      <c r="AY2095" s="418"/>
      <c r="AZ2095" s="418"/>
      <c r="BA2095" s="418"/>
    </row>
    <row r="2096" spans="40:53" ht="15.75" customHeight="1">
      <c r="AN2096" s="418"/>
      <c r="AO2096" s="418"/>
      <c r="AP2096" s="418"/>
      <c r="AQ2096" s="418"/>
      <c r="AR2096" s="418"/>
      <c r="AS2096" s="418"/>
      <c r="AT2096" s="418"/>
      <c r="AU2096" s="418"/>
      <c r="AV2096" s="418"/>
      <c r="AW2096" s="418"/>
      <c r="AX2096" s="418"/>
      <c r="AY2096" s="418"/>
      <c r="AZ2096" s="418"/>
      <c r="BA2096" s="418"/>
    </row>
    <row r="2097" spans="40:53" ht="15.75" customHeight="1">
      <c r="AN2097" s="418"/>
      <c r="AO2097" s="418"/>
      <c r="AP2097" s="418"/>
      <c r="AQ2097" s="418"/>
      <c r="AR2097" s="418"/>
      <c r="AS2097" s="418"/>
      <c r="AT2097" s="418"/>
      <c r="AU2097" s="418"/>
      <c r="AV2097" s="418"/>
      <c r="AW2097" s="418"/>
      <c r="AX2097" s="418"/>
      <c r="AY2097" s="418"/>
      <c r="AZ2097" s="418"/>
      <c r="BA2097" s="418"/>
    </row>
    <row r="2098" spans="40:53" ht="15.75" customHeight="1">
      <c r="AN2098" s="418"/>
      <c r="AO2098" s="418"/>
      <c r="AP2098" s="418"/>
      <c r="AQ2098" s="418"/>
      <c r="AR2098" s="418"/>
      <c r="AS2098" s="418"/>
      <c r="AT2098" s="418"/>
      <c r="AU2098" s="418"/>
      <c r="AV2098" s="418"/>
      <c r="AW2098" s="418"/>
      <c r="AX2098" s="418"/>
      <c r="AY2098" s="418"/>
      <c r="AZ2098" s="418"/>
      <c r="BA2098" s="418"/>
    </row>
    <row r="2099" spans="40:53" ht="15.75" customHeight="1">
      <c r="AN2099" s="418"/>
      <c r="AO2099" s="418"/>
      <c r="AP2099" s="418"/>
      <c r="AQ2099" s="418"/>
      <c r="AR2099" s="418"/>
      <c r="AS2099" s="418"/>
      <c r="AT2099" s="418"/>
      <c r="AU2099" s="418"/>
      <c r="AV2099" s="418"/>
      <c r="AW2099" s="418"/>
      <c r="AX2099" s="418"/>
      <c r="AY2099" s="418"/>
      <c r="AZ2099" s="418"/>
      <c r="BA2099" s="418"/>
    </row>
    <row r="2100" spans="40:53" ht="15.75" customHeight="1">
      <c r="AN2100" s="418"/>
      <c r="AO2100" s="418"/>
      <c r="AP2100" s="418"/>
      <c r="AQ2100" s="418"/>
      <c r="AR2100" s="418"/>
      <c r="AS2100" s="418"/>
      <c r="AT2100" s="418"/>
      <c r="AU2100" s="418"/>
      <c r="AV2100" s="418"/>
      <c r="AW2100" s="418"/>
      <c r="AX2100" s="418"/>
      <c r="AY2100" s="418"/>
      <c r="AZ2100" s="418"/>
      <c r="BA2100" s="418"/>
    </row>
    <row r="2101" spans="40:53" ht="15.75" customHeight="1">
      <c r="AN2101" s="418"/>
      <c r="AO2101" s="418"/>
      <c r="AP2101" s="418"/>
      <c r="AQ2101" s="418"/>
      <c r="AR2101" s="418"/>
      <c r="AS2101" s="418"/>
      <c r="AT2101" s="418"/>
      <c r="AU2101" s="418"/>
      <c r="AV2101" s="418"/>
      <c r="AW2101" s="418"/>
      <c r="AX2101" s="418"/>
      <c r="AY2101" s="418"/>
      <c r="AZ2101" s="418"/>
      <c r="BA2101" s="418"/>
    </row>
    <row r="2102" spans="40:53" ht="15.75" customHeight="1">
      <c r="AN2102" s="418"/>
      <c r="AO2102" s="418"/>
      <c r="AP2102" s="418"/>
      <c r="AQ2102" s="418"/>
      <c r="AR2102" s="418"/>
      <c r="AS2102" s="418"/>
      <c r="AT2102" s="418"/>
      <c r="AU2102" s="418"/>
      <c r="AV2102" s="418"/>
      <c r="AW2102" s="418"/>
      <c r="AX2102" s="418"/>
      <c r="AY2102" s="418"/>
      <c r="AZ2102" s="418"/>
      <c r="BA2102" s="418"/>
    </row>
    <row r="2103" spans="40:53" ht="15.75" customHeight="1">
      <c r="AN2103" s="418"/>
      <c r="AO2103" s="418"/>
      <c r="AP2103" s="418"/>
      <c r="AQ2103" s="418"/>
      <c r="AR2103" s="418"/>
      <c r="AS2103" s="418"/>
      <c r="AT2103" s="418"/>
      <c r="AU2103" s="418"/>
      <c r="AV2103" s="418"/>
      <c r="AW2103" s="418"/>
      <c r="AX2103" s="418"/>
      <c r="AY2103" s="418"/>
      <c r="AZ2103" s="418"/>
      <c r="BA2103" s="418"/>
    </row>
    <row r="2104" spans="40:53" ht="15.75" customHeight="1">
      <c r="AN2104" s="418"/>
      <c r="AO2104" s="418"/>
      <c r="AP2104" s="418"/>
      <c r="AQ2104" s="418"/>
      <c r="AR2104" s="418"/>
      <c r="AS2104" s="418"/>
      <c r="AT2104" s="418"/>
      <c r="AU2104" s="418"/>
      <c r="AV2104" s="418"/>
      <c r="AW2104" s="418"/>
      <c r="AX2104" s="418"/>
      <c r="AY2104" s="418"/>
      <c r="AZ2104" s="418"/>
      <c r="BA2104" s="418"/>
    </row>
    <row r="2105" spans="40:53" ht="15.75" customHeight="1">
      <c r="AN2105" s="418"/>
      <c r="AO2105" s="418"/>
      <c r="AP2105" s="418"/>
      <c r="AQ2105" s="418"/>
      <c r="AR2105" s="418"/>
      <c r="AS2105" s="418"/>
      <c r="AT2105" s="418"/>
      <c r="AU2105" s="418"/>
      <c r="AV2105" s="418"/>
      <c r="AW2105" s="418"/>
      <c r="AX2105" s="418"/>
      <c r="AY2105" s="418"/>
      <c r="AZ2105" s="418"/>
      <c r="BA2105" s="418"/>
    </row>
    <row r="2106" spans="40:53" ht="15.75" customHeight="1">
      <c r="AN2106" s="418"/>
      <c r="AO2106" s="418"/>
      <c r="AP2106" s="418"/>
      <c r="AQ2106" s="418"/>
      <c r="AR2106" s="418"/>
      <c r="AS2106" s="418"/>
      <c r="AT2106" s="418"/>
      <c r="AU2106" s="418"/>
      <c r="AV2106" s="418"/>
      <c r="AW2106" s="418"/>
      <c r="AX2106" s="418"/>
      <c r="AY2106" s="418"/>
      <c r="AZ2106" s="418"/>
      <c r="BA2106" s="418"/>
    </row>
    <row r="2107" spans="40:53" ht="15.75" customHeight="1">
      <c r="AN2107" s="418"/>
      <c r="AO2107" s="418"/>
      <c r="AP2107" s="418"/>
      <c r="AQ2107" s="418"/>
      <c r="AR2107" s="418"/>
      <c r="AS2107" s="418"/>
      <c r="AT2107" s="418"/>
      <c r="AU2107" s="418"/>
      <c r="AV2107" s="418"/>
      <c r="AW2107" s="418"/>
      <c r="AX2107" s="418"/>
      <c r="AY2107" s="418"/>
      <c r="AZ2107" s="418"/>
      <c r="BA2107" s="418"/>
    </row>
    <row r="2108" spans="40:53" ht="15.75" customHeight="1">
      <c r="AN2108" s="418"/>
      <c r="AO2108" s="418"/>
      <c r="AP2108" s="418"/>
      <c r="AQ2108" s="418"/>
      <c r="AR2108" s="418"/>
      <c r="AS2108" s="418"/>
      <c r="AT2108" s="418"/>
      <c r="AU2108" s="418"/>
      <c r="AV2108" s="418"/>
      <c r="AW2108" s="418"/>
      <c r="AX2108" s="418"/>
      <c r="AY2108" s="418"/>
      <c r="AZ2108" s="418"/>
      <c r="BA2108" s="418"/>
    </row>
    <row r="2109" spans="40:53" ht="15.75" customHeight="1">
      <c r="AN2109" s="418"/>
      <c r="AO2109" s="418"/>
      <c r="AP2109" s="418"/>
      <c r="AQ2109" s="418"/>
      <c r="AR2109" s="418"/>
      <c r="AS2109" s="418"/>
      <c r="AT2109" s="418"/>
      <c r="AU2109" s="418"/>
      <c r="AV2109" s="418"/>
      <c r="AW2109" s="418"/>
      <c r="AX2109" s="418"/>
      <c r="AY2109" s="418"/>
      <c r="AZ2109" s="418"/>
      <c r="BA2109" s="418"/>
    </row>
    <row r="2110" spans="40:53" ht="15.75" customHeight="1">
      <c r="AN2110" s="418"/>
      <c r="AO2110" s="418"/>
      <c r="AP2110" s="418"/>
      <c r="AQ2110" s="418"/>
      <c r="AR2110" s="418"/>
      <c r="AS2110" s="418"/>
      <c r="AT2110" s="418"/>
      <c r="AU2110" s="418"/>
      <c r="AV2110" s="418"/>
      <c r="AW2110" s="418"/>
      <c r="AX2110" s="418"/>
      <c r="AY2110" s="418"/>
      <c r="AZ2110" s="418"/>
      <c r="BA2110" s="418"/>
    </row>
    <row r="2111" spans="40:53" ht="15.75" customHeight="1">
      <c r="AN2111" s="418"/>
      <c r="AO2111" s="418"/>
      <c r="AP2111" s="418"/>
      <c r="AQ2111" s="418"/>
      <c r="AR2111" s="418"/>
      <c r="AS2111" s="418"/>
      <c r="AT2111" s="418"/>
      <c r="AU2111" s="418"/>
      <c r="AV2111" s="418"/>
      <c r="AW2111" s="418"/>
      <c r="AX2111" s="418"/>
      <c r="AY2111" s="418"/>
      <c r="AZ2111" s="418"/>
      <c r="BA2111" s="418"/>
    </row>
    <row r="2112" spans="40:53" ht="15.75" customHeight="1">
      <c r="AN2112" s="418"/>
      <c r="AO2112" s="418"/>
      <c r="AP2112" s="418"/>
      <c r="AQ2112" s="418"/>
      <c r="AR2112" s="418"/>
      <c r="AS2112" s="418"/>
      <c r="AT2112" s="418"/>
      <c r="AU2112" s="418"/>
      <c r="AV2112" s="418"/>
      <c r="AW2112" s="418"/>
      <c r="AX2112" s="418"/>
      <c r="AY2112" s="418"/>
      <c r="AZ2112" s="418"/>
      <c r="BA2112" s="418"/>
    </row>
    <row r="2113" spans="40:53" ht="15.75" customHeight="1">
      <c r="AN2113" s="418"/>
      <c r="AO2113" s="418"/>
      <c r="AP2113" s="418"/>
      <c r="AQ2113" s="418"/>
      <c r="AR2113" s="418"/>
      <c r="AS2113" s="418"/>
      <c r="AT2113" s="418"/>
      <c r="AU2113" s="418"/>
      <c r="AV2113" s="418"/>
      <c r="AW2113" s="418"/>
      <c r="AX2113" s="418"/>
      <c r="AY2113" s="418"/>
      <c r="AZ2113" s="418"/>
      <c r="BA2113" s="418"/>
    </row>
    <row r="2114" spans="40:53" ht="15.75" customHeight="1">
      <c r="AN2114" s="418"/>
      <c r="AO2114" s="418"/>
      <c r="AP2114" s="418"/>
      <c r="AQ2114" s="418"/>
      <c r="AR2114" s="418"/>
      <c r="AS2114" s="418"/>
      <c r="AT2114" s="418"/>
      <c r="AU2114" s="418"/>
      <c r="AV2114" s="418"/>
      <c r="AW2114" s="418"/>
      <c r="AX2114" s="418"/>
      <c r="AY2114" s="418"/>
      <c r="AZ2114" s="418"/>
      <c r="BA2114" s="418"/>
    </row>
    <row r="2115" spans="40:53" ht="15.75" customHeight="1">
      <c r="AN2115" s="418"/>
      <c r="AO2115" s="418"/>
      <c r="AP2115" s="418"/>
      <c r="AQ2115" s="418"/>
      <c r="AR2115" s="418"/>
      <c r="AS2115" s="418"/>
      <c r="AT2115" s="418"/>
      <c r="AU2115" s="418"/>
      <c r="AV2115" s="418"/>
      <c r="AW2115" s="418"/>
      <c r="AX2115" s="418"/>
      <c r="AY2115" s="418"/>
      <c r="AZ2115" s="418"/>
      <c r="BA2115" s="418"/>
    </row>
    <row r="2116" spans="40:53" ht="15.75" customHeight="1">
      <c r="AN2116" s="418"/>
      <c r="AO2116" s="418"/>
      <c r="AP2116" s="418"/>
      <c r="AQ2116" s="418"/>
      <c r="AR2116" s="418"/>
      <c r="AS2116" s="418"/>
      <c r="AT2116" s="418"/>
      <c r="AU2116" s="418"/>
      <c r="AV2116" s="418"/>
      <c r="AW2116" s="418"/>
      <c r="AX2116" s="418"/>
      <c r="AY2116" s="418"/>
      <c r="AZ2116" s="418"/>
      <c r="BA2116" s="418"/>
    </row>
    <row r="2117" spans="40:53" ht="15.75" customHeight="1">
      <c r="AN2117" s="418"/>
      <c r="AO2117" s="418"/>
      <c r="AP2117" s="418"/>
      <c r="AQ2117" s="418"/>
      <c r="AR2117" s="418"/>
      <c r="AS2117" s="418"/>
      <c r="AT2117" s="418"/>
      <c r="AU2117" s="418"/>
      <c r="AV2117" s="418"/>
      <c r="AW2117" s="418"/>
      <c r="AX2117" s="418"/>
      <c r="AY2117" s="418"/>
      <c r="AZ2117" s="418"/>
      <c r="BA2117" s="418"/>
    </row>
    <row r="2118" spans="40:53" ht="15.75" customHeight="1">
      <c r="AN2118" s="418"/>
      <c r="AO2118" s="418"/>
      <c r="AP2118" s="418"/>
      <c r="AQ2118" s="418"/>
      <c r="AR2118" s="418"/>
      <c r="AS2118" s="418"/>
      <c r="AT2118" s="418"/>
      <c r="AU2118" s="418"/>
      <c r="AV2118" s="418"/>
      <c r="AW2118" s="418"/>
      <c r="AX2118" s="418"/>
      <c r="AY2118" s="418"/>
      <c r="AZ2118" s="418"/>
      <c r="BA2118" s="418"/>
    </row>
    <row r="2119" spans="40:53" ht="15.75" customHeight="1">
      <c r="AN2119" s="418"/>
      <c r="AO2119" s="418"/>
      <c r="AP2119" s="418"/>
      <c r="AQ2119" s="418"/>
      <c r="AR2119" s="418"/>
      <c r="AS2119" s="418"/>
      <c r="AT2119" s="418"/>
      <c r="AU2119" s="418"/>
      <c r="AV2119" s="418"/>
      <c r="AW2119" s="418"/>
      <c r="AX2119" s="418"/>
      <c r="AY2119" s="418"/>
      <c r="AZ2119" s="418"/>
      <c r="BA2119" s="418"/>
    </row>
    <row r="2120" spans="40:53" ht="15.75" customHeight="1">
      <c r="AN2120" s="418"/>
      <c r="AO2120" s="418"/>
      <c r="AP2120" s="418"/>
      <c r="AQ2120" s="418"/>
      <c r="AR2120" s="418"/>
      <c r="AS2120" s="418"/>
      <c r="AT2120" s="418"/>
      <c r="AU2120" s="418"/>
      <c r="AV2120" s="418"/>
      <c r="AW2120" s="418"/>
      <c r="AX2120" s="418"/>
      <c r="AY2120" s="418"/>
      <c r="AZ2120" s="418"/>
      <c r="BA2120" s="418"/>
    </row>
    <row r="2121" spans="40:53" ht="15.75" customHeight="1">
      <c r="AN2121" s="418"/>
      <c r="AO2121" s="418"/>
      <c r="AP2121" s="418"/>
      <c r="AQ2121" s="418"/>
      <c r="AR2121" s="418"/>
      <c r="AS2121" s="418"/>
      <c r="AT2121" s="418"/>
      <c r="AU2121" s="418"/>
      <c r="AV2121" s="418"/>
      <c r="AW2121" s="418"/>
      <c r="AX2121" s="418"/>
      <c r="AY2121" s="418"/>
      <c r="AZ2121" s="418"/>
      <c r="BA2121" s="418"/>
    </row>
    <row r="2122" spans="40:53" ht="15.75" customHeight="1">
      <c r="AN2122" s="418"/>
      <c r="AO2122" s="418"/>
      <c r="AP2122" s="418"/>
      <c r="AQ2122" s="418"/>
      <c r="AR2122" s="418"/>
      <c r="AS2122" s="418"/>
      <c r="AT2122" s="418"/>
      <c r="AU2122" s="418"/>
      <c r="AV2122" s="418"/>
      <c r="AW2122" s="418"/>
      <c r="AX2122" s="418"/>
      <c r="AY2122" s="418"/>
      <c r="AZ2122" s="418"/>
      <c r="BA2122" s="418"/>
    </row>
    <row r="2123" spans="40:53" ht="15.75" customHeight="1">
      <c r="AN2123" s="418"/>
      <c r="AO2123" s="418"/>
      <c r="AP2123" s="418"/>
      <c r="AQ2123" s="418"/>
      <c r="AR2123" s="418"/>
      <c r="AS2123" s="418"/>
      <c r="AT2123" s="418"/>
      <c r="AU2123" s="418"/>
      <c r="AV2123" s="418"/>
      <c r="AW2123" s="418"/>
      <c r="AX2123" s="418"/>
      <c r="AY2123" s="418"/>
      <c r="AZ2123" s="418"/>
      <c r="BA2123" s="418"/>
    </row>
    <row r="2124" spans="40:53" ht="15.75" customHeight="1">
      <c r="AN2124" s="418"/>
      <c r="AO2124" s="418"/>
      <c r="AP2124" s="418"/>
      <c r="AQ2124" s="418"/>
      <c r="AR2124" s="418"/>
      <c r="AS2124" s="418"/>
      <c r="AT2124" s="418"/>
      <c r="AU2124" s="418"/>
      <c r="AV2124" s="418"/>
      <c r="AW2124" s="418"/>
      <c r="AX2124" s="418"/>
      <c r="AY2124" s="418"/>
      <c r="AZ2124" s="418"/>
      <c r="BA2124" s="418"/>
    </row>
    <row r="2125" spans="40:53" ht="15.75" customHeight="1">
      <c r="AN2125" s="418"/>
      <c r="AO2125" s="418"/>
      <c r="AP2125" s="418"/>
      <c r="AQ2125" s="418"/>
      <c r="AR2125" s="418"/>
      <c r="AS2125" s="418"/>
      <c r="AT2125" s="418"/>
      <c r="AU2125" s="418"/>
      <c r="AV2125" s="418"/>
      <c r="AW2125" s="418"/>
      <c r="AX2125" s="418"/>
      <c r="AY2125" s="418"/>
      <c r="AZ2125" s="418"/>
      <c r="BA2125" s="418"/>
    </row>
    <row r="2126" spans="40:53" ht="15.75" customHeight="1">
      <c r="AN2126" s="418"/>
      <c r="AO2126" s="418"/>
      <c r="AP2126" s="418"/>
      <c r="AQ2126" s="418"/>
      <c r="AR2126" s="418"/>
      <c r="AS2126" s="418"/>
      <c r="AT2126" s="418"/>
      <c r="AU2126" s="418"/>
      <c r="AV2126" s="418"/>
      <c r="AW2126" s="418"/>
      <c r="AX2126" s="418"/>
      <c r="AY2126" s="418"/>
      <c r="AZ2126" s="418"/>
      <c r="BA2126" s="418"/>
    </row>
    <row r="2127" spans="40:53" ht="15.75" customHeight="1">
      <c r="AN2127" s="418"/>
      <c r="AO2127" s="418"/>
      <c r="AP2127" s="418"/>
      <c r="AQ2127" s="418"/>
      <c r="AR2127" s="418"/>
      <c r="AS2127" s="418"/>
      <c r="AT2127" s="418"/>
      <c r="AU2127" s="418"/>
      <c r="AV2127" s="418"/>
      <c r="AW2127" s="418"/>
      <c r="AX2127" s="418"/>
      <c r="AY2127" s="418"/>
      <c r="AZ2127" s="418"/>
      <c r="BA2127" s="418"/>
    </row>
    <row r="2128" spans="40:53" ht="15.75" customHeight="1">
      <c r="AN2128" s="418"/>
      <c r="AO2128" s="418"/>
      <c r="AP2128" s="418"/>
      <c r="AQ2128" s="418"/>
      <c r="AR2128" s="418"/>
      <c r="AS2128" s="418"/>
      <c r="AT2128" s="418"/>
      <c r="AU2128" s="418"/>
      <c r="AV2128" s="418"/>
      <c r="AW2128" s="418"/>
      <c r="AX2128" s="418"/>
      <c r="AY2128" s="418"/>
      <c r="AZ2128" s="418"/>
      <c r="BA2128" s="418"/>
    </row>
    <row r="2129" spans="40:53" ht="15.75" customHeight="1">
      <c r="AN2129" s="418"/>
      <c r="AO2129" s="418"/>
      <c r="AP2129" s="418"/>
      <c r="AQ2129" s="418"/>
      <c r="AR2129" s="418"/>
      <c r="AS2129" s="418"/>
      <c r="AT2129" s="418"/>
      <c r="AU2129" s="418"/>
      <c r="AV2129" s="418"/>
      <c r="AW2129" s="418"/>
      <c r="AX2129" s="418"/>
      <c r="AY2129" s="418"/>
      <c r="AZ2129" s="418"/>
      <c r="BA2129" s="418"/>
    </row>
    <row r="2130" spans="40:53" ht="15.75" customHeight="1">
      <c r="AN2130" s="418"/>
      <c r="AO2130" s="418"/>
      <c r="AP2130" s="418"/>
      <c r="AQ2130" s="418"/>
      <c r="AR2130" s="418"/>
      <c r="AS2130" s="418"/>
      <c r="AT2130" s="418"/>
      <c r="AU2130" s="418"/>
      <c r="AV2130" s="418"/>
      <c r="AW2130" s="418"/>
      <c r="AX2130" s="418"/>
      <c r="AY2130" s="418"/>
      <c r="AZ2130" s="418"/>
      <c r="BA2130" s="418"/>
    </row>
    <row r="2131" spans="40:53" ht="15.75" customHeight="1">
      <c r="AN2131" s="418"/>
      <c r="AO2131" s="418"/>
      <c r="AP2131" s="418"/>
      <c r="AQ2131" s="418"/>
      <c r="AR2131" s="418"/>
      <c r="AS2131" s="418"/>
      <c r="AT2131" s="418"/>
      <c r="AU2131" s="418"/>
      <c r="AV2131" s="418"/>
      <c r="AW2131" s="418"/>
      <c r="AX2131" s="418"/>
      <c r="AY2131" s="418"/>
      <c r="AZ2131" s="418"/>
      <c r="BA2131" s="418"/>
    </row>
    <row r="2132" spans="40:53" ht="15.75" customHeight="1">
      <c r="AN2132" s="418"/>
      <c r="AO2132" s="418"/>
      <c r="AP2132" s="418"/>
      <c r="AQ2132" s="418"/>
      <c r="AR2132" s="418"/>
      <c r="AS2132" s="418"/>
      <c r="AT2132" s="418"/>
      <c r="AU2132" s="418"/>
      <c r="AV2132" s="418"/>
      <c r="AW2132" s="418"/>
      <c r="AX2132" s="418"/>
      <c r="AY2132" s="418"/>
      <c r="AZ2132" s="418"/>
      <c r="BA2132" s="418"/>
    </row>
    <row r="2133" spans="40:53" ht="15.75" customHeight="1">
      <c r="AN2133" s="418"/>
      <c r="AO2133" s="418"/>
      <c r="AP2133" s="418"/>
      <c r="AQ2133" s="418"/>
      <c r="AR2133" s="418"/>
      <c r="AS2133" s="418"/>
      <c r="AT2133" s="418"/>
      <c r="AU2133" s="418"/>
      <c r="AV2133" s="418"/>
      <c r="AW2133" s="418"/>
      <c r="AX2133" s="418"/>
      <c r="AY2133" s="418"/>
      <c r="AZ2133" s="418"/>
      <c r="BA2133" s="418"/>
    </row>
    <row r="2134" spans="40:53" ht="15.75" customHeight="1">
      <c r="AN2134" s="418"/>
      <c r="AO2134" s="418"/>
      <c r="AP2134" s="418"/>
      <c r="AQ2134" s="418"/>
      <c r="AR2134" s="418"/>
      <c r="AS2134" s="418"/>
      <c r="AT2134" s="418"/>
      <c r="AU2134" s="418"/>
      <c r="AV2134" s="418"/>
      <c r="AW2134" s="418"/>
      <c r="AX2134" s="418"/>
      <c r="AY2134" s="418"/>
      <c r="AZ2134" s="418"/>
      <c r="BA2134" s="418"/>
    </row>
    <row r="2135" spans="40:53" ht="15.75" customHeight="1">
      <c r="AN2135" s="418"/>
      <c r="AO2135" s="418"/>
      <c r="AP2135" s="418"/>
      <c r="AQ2135" s="418"/>
      <c r="AR2135" s="418"/>
      <c r="AS2135" s="418"/>
      <c r="AT2135" s="418"/>
      <c r="AU2135" s="418"/>
      <c r="AV2135" s="418"/>
      <c r="AW2135" s="418"/>
      <c r="AX2135" s="418"/>
      <c r="AY2135" s="418"/>
      <c r="AZ2135" s="418"/>
      <c r="BA2135" s="418"/>
    </row>
    <row r="2136" spans="40:53" ht="15.75" customHeight="1">
      <c r="AN2136" s="418"/>
      <c r="AO2136" s="418"/>
      <c r="AP2136" s="418"/>
      <c r="AQ2136" s="418"/>
      <c r="AR2136" s="418"/>
      <c r="AS2136" s="418"/>
      <c r="AT2136" s="418"/>
      <c r="AU2136" s="418"/>
      <c r="AV2136" s="418"/>
      <c r="AW2136" s="418"/>
      <c r="AX2136" s="418"/>
      <c r="AY2136" s="418"/>
      <c r="AZ2136" s="418"/>
      <c r="BA2136" s="418"/>
    </row>
    <row r="2137" spans="40:53" ht="15.75" customHeight="1">
      <c r="AN2137" s="418"/>
      <c r="AO2137" s="418"/>
      <c r="AP2137" s="418"/>
      <c r="AQ2137" s="418"/>
      <c r="AR2137" s="418"/>
      <c r="AS2137" s="418"/>
      <c r="AT2137" s="418"/>
      <c r="AU2137" s="418"/>
      <c r="AV2137" s="418"/>
      <c r="AW2137" s="418"/>
      <c r="AX2137" s="418"/>
      <c r="AY2137" s="418"/>
      <c r="AZ2137" s="418"/>
      <c r="BA2137" s="418"/>
    </row>
    <row r="2138" spans="40:53" ht="15.75" customHeight="1">
      <c r="AN2138" s="418"/>
      <c r="AO2138" s="418"/>
      <c r="AP2138" s="418"/>
      <c r="AQ2138" s="418"/>
      <c r="AR2138" s="418"/>
      <c r="AS2138" s="418"/>
      <c r="AT2138" s="418"/>
      <c r="AU2138" s="418"/>
      <c r="AV2138" s="418"/>
      <c r="AW2138" s="418"/>
      <c r="AX2138" s="418"/>
      <c r="AY2138" s="418"/>
      <c r="AZ2138" s="418"/>
      <c r="BA2138" s="418"/>
    </row>
    <row r="2139" spans="40:53" ht="15.75" customHeight="1">
      <c r="AN2139" s="418"/>
      <c r="AO2139" s="418"/>
      <c r="AP2139" s="418"/>
      <c r="AQ2139" s="418"/>
      <c r="AR2139" s="418"/>
      <c r="AS2139" s="418"/>
      <c r="AT2139" s="418"/>
      <c r="AU2139" s="418"/>
      <c r="AV2139" s="418"/>
      <c r="AW2139" s="418"/>
      <c r="AX2139" s="418"/>
      <c r="AY2139" s="418"/>
      <c r="AZ2139" s="418"/>
      <c r="BA2139" s="418"/>
    </row>
    <row r="2140" spans="40:53" ht="15.75" customHeight="1">
      <c r="AN2140" s="418"/>
      <c r="AO2140" s="418"/>
      <c r="AP2140" s="418"/>
      <c r="AQ2140" s="418"/>
      <c r="AR2140" s="418"/>
      <c r="AS2140" s="418"/>
      <c r="AT2140" s="418"/>
      <c r="AU2140" s="418"/>
      <c r="AV2140" s="418"/>
      <c r="AW2140" s="418"/>
      <c r="AX2140" s="418"/>
      <c r="AY2140" s="418"/>
      <c r="AZ2140" s="418"/>
      <c r="BA2140" s="418"/>
    </row>
    <row r="2141" spans="40:53" ht="15.75" customHeight="1">
      <c r="AN2141" s="418"/>
      <c r="AO2141" s="418"/>
      <c r="AP2141" s="418"/>
      <c r="AQ2141" s="418"/>
      <c r="AR2141" s="418"/>
      <c r="AS2141" s="418"/>
      <c r="AT2141" s="418"/>
      <c r="AU2141" s="418"/>
      <c r="AV2141" s="418"/>
      <c r="AW2141" s="418"/>
      <c r="AX2141" s="418"/>
      <c r="AY2141" s="418"/>
      <c r="AZ2141" s="418"/>
      <c r="BA2141" s="418"/>
    </row>
    <row r="2142" spans="40:53" ht="15.75" customHeight="1">
      <c r="AN2142" s="418"/>
      <c r="AO2142" s="418"/>
      <c r="AP2142" s="418"/>
      <c r="AQ2142" s="418"/>
      <c r="AR2142" s="418"/>
      <c r="AS2142" s="418"/>
      <c r="AT2142" s="418"/>
      <c r="AU2142" s="418"/>
      <c r="AV2142" s="418"/>
      <c r="AW2142" s="418"/>
      <c r="AX2142" s="418"/>
      <c r="AY2142" s="418"/>
      <c r="AZ2142" s="418"/>
      <c r="BA2142" s="418"/>
    </row>
    <row r="2143" spans="40:53" ht="15.75" customHeight="1">
      <c r="AN2143" s="418"/>
      <c r="AO2143" s="418"/>
      <c r="AP2143" s="418"/>
      <c r="AQ2143" s="418"/>
      <c r="AR2143" s="418"/>
      <c r="AS2143" s="418"/>
      <c r="AT2143" s="418"/>
      <c r="AU2143" s="418"/>
      <c r="AV2143" s="418"/>
      <c r="AW2143" s="418"/>
      <c r="AX2143" s="418"/>
      <c r="AY2143" s="418"/>
      <c r="AZ2143" s="418"/>
      <c r="BA2143" s="418"/>
    </row>
    <row r="2144" spans="40:53" ht="15.75" customHeight="1">
      <c r="AN2144" s="418"/>
      <c r="AO2144" s="418"/>
      <c r="AP2144" s="418"/>
      <c r="AQ2144" s="418"/>
      <c r="AR2144" s="418"/>
      <c r="AS2144" s="418"/>
      <c r="AT2144" s="418"/>
      <c r="AU2144" s="418"/>
      <c r="AV2144" s="418"/>
      <c r="AW2144" s="418"/>
      <c r="AX2144" s="418"/>
      <c r="AY2144" s="418"/>
      <c r="AZ2144" s="418"/>
      <c r="BA2144" s="418"/>
    </row>
    <row r="2145" spans="40:53" ht="15.75" customHeight="1">
      <c r="AN2145" s="418"/>
      <c r="AO2145" s="418"/>
      <c r="AP2145" s="418"/>
      <c r="AQ2145" s="418"/>
      <c r="AR2145" s="418"/>
      <c r="AS2145" s="418"/>
      <c r="AT2145" s="418"/>
      <c r="AU2145" s="418"/>
      <c r="AV2145" s="418"/>
      <c r="AW2145" s="418"/>
      <c r="AX2145" s="418"/>
      <c r="AY2145" s="418"/>
      <c r="AZ2145" s="418"/>
      <c r="BA2145" s="418"/>
    </row>
    <row r="2146" spans="40:53" ht="15.75" customHeight="1">
      <c r="AN2146" s="418"/>
      <c r="AO2146" s="418"/>
      <c r="AP2146" s="418"/>
      <c r="AQ2146" s="418"/>
      <c r="AR2146" s="418"/>
      <c r="AS2146" s="418"/>
      <c r="AT2146" s="418"/>
      <c r="AU2146" s="418"/>
      <c r="AV2146" s="418"/>
      <c r="AW2146" s="418"/>
      <c r="AX2146" s="418"/>
      <c r="AY2146" s="418"/>
      <c r="AZ2146" s="418"/>
      <c r="BA2146" s="418"/>
    </row>
    <row r="2147" spans="40:53" ht="15.75" customHeight="1">
      <c r="AN2147" s="418"/>
      <c r="AO2147" s="418"/>
      <c r="AP2147" s="418"/>
      <c r="AQ2147" s="418"/>
      <c r="AR2147" s="418"/>
      <c r="AS2147" s="418"/>
      <c r="AT2147" s="418"/>
      <c r="AU2147" s="418"/>
      <c r="AV2147" s="418"/>
      <c r="AW2147" s="418"/>
      <c r="AX2147" s="418"/>
      <c r="AY2147" s="418"/>
      <c r="AZ2147" s="418"/>
      <c r="BA2147" s="418"/>
    </row>
    <row r="2148" spans="40:53" ht="15.75" customHeight="1">
      <c r="AN2148" s="418"/>
      <c r="AO2148" s="418"/>
      <c r="AP2148" s="418"/>
      <c r="AQ2148" s="418"/>
      <c r="AR2148" s="418"/>
      <c r="AS2148" s="418"/>
      <c r="AT2148" s="418"/>
      <c r="AU2148" s="418"/>
      <c r="AV2148" s="418"/>
      <c r="AW2148" s="418"/>
      <c r="AX2148" s="418"/>
      <c r="AY2148" s="418"/>
      <c r="AZ2148" s="418"/>
      <c r="BA2148" s="418"/>
    </row>
    <row r="2149" spans="40:53" ht="15.75" customHeight="1">
      <c r="AN2149" s="418"/>
      <c r="AO2149" s="418"/>
      <c r="AP2149" s="418"/>
      <c r="AQ2149" s="418"/>
      <c r="AR2149" s="418"/>
      <c r="AS2149" s="418"/>
      <c r="AT2149" s="418"/>
      <c r="AU2149" s="418"/>
      <c r="AV2149" s="418"/>
      <c r="AW2149" s="418"/>
      <c r="AX2149" s="418"/>
      <c r="AY2149" s="418"/>
      <c r="AZ2149" s="418"/>
      <c r="BA2149" s="418"/>
    </row>
    <row r="2150" spans="40:53" ht="15.75" customHeight="1">
      <c r="AN2150" s="418"/>
      <c r="AO2150" s="418"/>
      <c r="AP2150" s="418"/>
      <c r="AQ2150" s="418"/>
      <c r="AR2150" s="418"/>
      <c r="AS2150" s="418"/>
      <c r="AT2150" s="418"/>
      <c r="AU2150" s="418"/>
      <c r="AV2150" s="418"/>
      <c r="AW2150" s="418"/>
      <c r="AX2150" s="418"/>
      <c r="AY2150" s="418"/>
      <c r="AZ2150" s="418"/>
      <c r="BA2150" s="418"/>
    </row>
    <row r="2151" spans="40:53" ht="15.75" customHeight="1">
      <c r="AN2151" s="418"/>
      <c r="AO2151" s="418"/>
      <c r="AP2151" s="418"/>
      <c r="AQ2151" s="418"/>
      <c r="AR2151" s="418"/>
      <c r="AS2151" s="418"/>
      <c r="AT2151" s="418"/>
      <c r="AU2151" s="418"/>
      <c r="AV2151" s="418"/>
      <c r="AW2151" s="418"/>
      <c r="AX2151" s="418"/>
      <c r="AY2151" s="418"/>
      <c r="AZ2151" s="418"/>
      <c r="BA2151" s="418"/>
    </row>
    <row r="2152" spans="40:53" ht="15.75" customHeight="1">
      <c r="AN2152" s="418"/>
      <c r="AO2152" s="418"/>
      <c r="AP2152" s="418"/>
      <c r="AQ2152" s="418"/>
      <c r="AR2152" s="418"/>
      <c r="AS2152" s="418"/>
      <c r="AT2152" s="418"/>
      <c r="AU2152" s="418"/>
      <c r="AV2152" s="418"/>
      <c r="AW2152" s="418"/>
      <c r="AX2152" s="418"/>
      <c r="AY2152" s="418"/>
      <c r="AZ2152" s="418"/>
      <c r="BA2152" s="418"/>
    </row>
    <row r="2153" spans="40:53" ht="15.75" customHeight="1">
      <c r="AN2153" s="418"/>
      <c r="AO2153" s="418"/>
      <c r="AP2153" s="418"/>
      <c r="AQ2153" s="418"/>
      <c r="AR2153" s="418"/>
      <c r="AS2153" s="418"/>
      <c r="AT2153" s="418"/>
      <c r="AU2153" s="418"/>
      <c r="AV2153" s="418"/>
      <c r="AW2153" s="418"/>
      <c r="AX2153" s="418"/>
      <c r="AY2153" s="418"/>
      <c r="AZ2153" s="418"/>
      <c r="BA2153" s="418"/>
    </row>
    <row r="2154" spans="40:53" ht="15.75" customHeight="1">
      <c r="AN2154" s="418"/>
      <c r="AO2154" s="418"/>
      <c r="AP2154" s="418"/>
      <c r="AQ2154" s="418"/>
      <c r="AR2154" s="418"/>
      <c r="AS2154" s="418"/>
      <c r="AT2154" s="418"/>
      <c r="AU2154" s="418"/>
      <c r="AV2154" s="418"/>
      <c r="AW2154" s="418"/>
      <c r="AX2154" s="418"/>
      <c r="AY2154" s="418"/>
      <c r="AZ2154" s="418"/>
      <c r="BA2154" s="418"/>
    </row>
    <row r="2155" spans="40:53" ht="15.75" customHeight="1">
      <c r="AN2155" s="418"/>
      <c r="AO2155" s="418"/>
      <c r="AP2155" s="418"/>
      <c r="AQ2155" s="418"/>
      <c r="AR2155" s="418"/>
      <c r="AS2155" s="418"/>
      <c r="AT2155" s="418"/>
      <c r="AU2155" s="418"/>
      <c r="AV2155" s="418"/>
      <c r="AW2155" s="418"/>
      <c r="AX2155" s="418"/>
      <c r="AY2155" s="418"/>
      <c r="AZ2155" s="418"/>
      <c r="BA2155" s="418"/>
    </row>
    <row r="2156" spans="40:53" ht="15.75" customHeight="1">
      <c r="AN2156" s="418"/>
      <c r="AO2156" s="418"/>
      <c r="AP2156" s="418"/>
      <c r="AQ2156" s="418"/>
      <c r="AR2156" s="418"/>
      <c r="AS2156" s="418"/>
      <c r="AT2156" s="418"/>
      <c r="AU2156" s="418"/>
      <c r="AV2156" s="418"/>
      <c r="AW2156" s="418"/>
      <c r="AX2156" s="418"/>
      <c r="AY2156" s="418"/>
      <c r="AZ2156" s="418"/>
      <c r="BA2156" s="418"/>
    </row>
    <row r="2157" spans="40:53" ht="15.75" customHeight="1">
      <c r="AN2157" s="418"/>
      <c r="AO2157" s="418"/>
      <c r="AP2157" s="418"/>
      <c r="AQ2157" s="418"/>
      <c r="AR2157" s="418"/>
      <c r="AS2157" s="418"/>
      <c r="AT2157" s="418"/>
      <c r="AU2157" s="418"/>
      <c r="AV2157" s="418"/>
      <c r="AW2157" s="418"/>
      <c r="AX2157" s="418"/>
      <c r="AY2157" s="418"/>
      <c r="AZ2157" s="418"/>
      <c r="BA2157" s="418"/>
    </row>
    <row r="2158" spans="40:53" ht="15.75" customHeight="1">
      <c r="AN2158" s="418"/>
      <c r="AO2158" s="418"/>
      <c r="AP2158" s="418"/>
      <c r="AQ2158" s="418"/>
      <c r="AR2158" s="418"/>
      <c r="AS2158" s="418"/>
      <c r="AT2158" s="418"/>
      <c r="AU2158" s="418"/>
      <c r="AV2158" s="418"/>
      <c r="AW2158" s="418"/>
      <c r="AX2158" s="418"/>
      <c r="AY2158" s="418"/>
      <c r="AZ2158" s="418"/>
      <c r="BA2158" s="418"/>
    </row>
    <row r="2159" spans="40:53" ht="15.75" customHeight="1">
      <c r="AN2159" s="418"/>
      <c r="AO2159" s="418"/>
      <c r="AP2159" s="418"/>
      <c r="AQ2159" s="418"/>
      <c r="AR2159" s="418"/>
      <c r="AS2159" s="418"/>
      <c r="AT2159" s="418"/>
      <c r="AU2159" s="418"/>
      <c r="AV2159" s="418"/>
      <c r="AW2159" s="418"/>
      <c r="AX2159" s="418"/>
      <c r="AY2159" s="418"/>
      <c r="AZ2159" s="418"/>
      <c r="BA2159" s="418"/>
    </row>
    <row r="2160" spans="40:53" ht="15.75" customHeight="1">
      <c r="AN2160" s="418"/>
      <c r="AO2160" s="418"/>
      <c r="AP2160" s="418"/>
      <c r="AQ2160" s="418"/>
      <c r="AR2160" s="418"/>
      <c r="AS2160" s="418"/>
      <c r="AT2160" s="418"/>
      <c r="AU2160" s="418"/>
      <c r="AV2160" s="418"/>
      <c r="AW2160" s="418"/>
      <c r="AX2160" s="418"/>
      <c r="AY2160" s="418"/>
      <c r="AZ2160" s="418"/>
      <c r="BA2160" s="418"/>
    </row>
    <row r="2161" spans="40:53" ht="15.75" customHeight="1">
      <c r="AN2161" s="418"/>
      <c r="AO2161" s="418"/>
      <c r="AP2161" s="418"/>
      <c r="AQ2161" s="418"/>
      <c r="AR2161" s="418"/>
      <c r="AS2161" s="418"/>
      <c r="AT2161" s="418"/>
      <c r="AU2161" s="418"/>
      <c r="AV2161" s="418"/>
      <c r="AW2161" s="418"/>
      <c r="AX2161" s="418"/>
      <c r="AY2161" s="418"/>
      <c r="AZ2161" s="418"/>
      <c r="BA2161" s="418"/>
    </row>
    <row r="2162" spans="40:53" ht="15.75" customHeight="1">
      <c r="AN2162" s="418"/>
      <c r="AO2162" s="418"/>
      <c r="AP2162" s="418"/>
      <c r="AQ2162" s="418"/>
      <c r="AR2162" s="418"/>
      <c r="AS2162" s="418"/>
      <c r="AT2162" s="418"/>
      <c r="AU2162" s="418"/>
      <c r="AV2162" s="418"/>
      <c r="AW2162" s="418"/>
      <c r="AX2162" s="418"/>
      <c r="AY2162" s="418"/>
      <c r="AZ2162" s="418"/>
      <c r="BA2162" s="418"/>
    </row>
    <row r="2163" spans="40:53" ht="15.75" customHeight="1">
      <c r="AN2163" s="418"/>
      <c r="AO2163" s="418"/>
      <c r="AP2163" s="418"/>
      <c r="AQ2163" s="418"/>
      <c r="AR2163" s="418"/>
      <c r="AS2163" s="418"/>
      <c r="AT2163" s="418"/>
      <c r="AU2163" s="418"/>
    </row>
    <row r="2164" spans="40:53" ht="15.75" customHeight="1">
      <c r="AN2164" s="418"/>
      <c r="AO2164" s="418"/>
      <c r="AP2164" s="418"/>
      <c r="AQ2164" s="418"/>
      <c r="AR2164" s="418"/>
      <c r="AS2164" s="418"/>
      <c r="AT2164" s="418"/>
      <c r="AU2164" s="418"/>
    </row>
  </sheetData>
  <autoFilter ref="A2:BA32">
    <filterColumn colId="13" showButton="0"/>
    <filterColumn colId="14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8" showButton="0"/>
    <filterColumn colId="29" showButton="0"/>
    <filterColumn colId="39" showButton="0"/>
    <filterColumn colId="40" showButton="0"/>
    <filterColumn colId="42" showButton="0"/>
    <filterColumn colId="43" showButton="0"/>
    <filterColumn colId="45" showButton="0"/>
    <filterColumn colId="46" showButton="0"/>
  </autoFilter>
  <mergeCells count="9">
    <mergeCell ref="A1:BA1"/>
    <mergeCell ref="N2:P2"/>
    <mergeCell ref="AN2:AP2"/>
    <mergeCell ref="AQ2:AS2"/>
    <mergeCell ref="AT2:AV2"/>
    <mergeCell ref="T2:V2"/>
    <mergeCell ref="W2:Y2"/>
    <mergeCell ref="Z2:AB2"/>
    <mergeCell ref="AC2:AE2"/>
  </mergeCells>
  <printOptions horizontalCentered="1" gridLines="1"/>
  <pageMargins left="0.39370078740157483" right="0.39370078740157483" top="0.98425196850393704" bottom="1.1811023622047245" header="0.31496062992125984" footer="0.31496062992125984"/>
  <pageSetup paperSize="8" scale="54" fitToHeight="0" orientation="landscape" cellComments="asDisplayed" r:id="rId1"/>
  <headerFooter alignWithMargins="0">
    <oddHeader>&amp;L&amp;G&amp;C
LAYOUT AND EQUIPMENT
EP11 
KP11+813 - KP30+900
&amp;R&amp;G</oddHeader>
    <oddFooter>&amp;L
&amp;F&amp;C&amp;G
&amp;D&amp;R
Pag &amp;P of &amp;N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pageSetUpPr fitToPage="1"/>
  </sheetPr>
  <dimension ref="A1:AE1054"/>
  <sheetViews>
    <sheetView showZeros="0" zoomScaleNormal="100" workbookViewId="0">
      <pane ySplit="2" topLeftCell="A21" activePane="bottomLeft" state="frozen"/>
      <selection activeCell="L12" sqref="L12:L24"/>
      <selection pane="bottomLeft" activeCell="L12" sqref="L12:L24"/>
    </sheetView>
  </sheetViews>
  <sheetFormatPr baseColWidth="10" defaultColWidth="11.42578125" defaultRowHeight="13.5"/>
  <cols>
    <col min="1" max="1" width="17.5703125" style="535" customWidth="1"/>
    <col min="2" max="2" width="19.85546875" style="536" customWidth="1"/>
    <col min="3" max="3" width="29.42578125" style="764" customWidth="1"/>
    <col min="4" max="4" width="13.140625" style="760" customWidth="1"/>
    <col min="5" max="5" width="63.42578125" style="762" customWidth="1"/>
    <col min="6" max="6" width="12.85546875" style="633" customWidth="1"/>
    <col min="7" max="7" width="11.42578125" style="535" customWidth="1"/>
    <col min="8" max="9" width="11.42578125" style="536"/>
    <col min="10" max="10" width="11.42578125" style="537"/>
    <col min="11" max="11" width="11.42578125" style="536"/>
    <col min="12" max="13" width="11.42578125" style="537"/>
    <col min="14" max="14" width="11.42578125" style="538"/>
    <col min="15" max="15" width="19.140625" style="763" customWidth="1"/>
    <col min="16" max="16" width="12.5703125" style="537" customWidth="1"/>
    <col min="17" max="17" width="7.140625" style="537" bestFit="1" customWidth="1"/>
    <col min="18" max="21" width="7.140625" style="537" customWidth="1"/>
    <col min="22" max="22" width="11.42578125" style="537"/>
    <col min="23" max="23" width="12.140625" style="537" customWidth="1"/>
    <col min="24" max="24" width="7.140625" style="537" bestFit="1" customWidth="1"/>
    <col min="25" max="27" width="7.140625" style="537" customWidth="1"/>
    <col min="28" max="28" width="7.140625" style="537" bestFit="1" customWidth="1"/>
    <col min="29" max="29" width="11.42578125" style="536"/>
    <col min="30" max="30" width="63.42578125" style="764" customWidth="1"/>
    <col min="31" max="16384" width="11.42578125" style="537"/>
  </cols>
  <sheetData>
    <row r="1" spans="1:30" ht="24" customHeight="1">
      <c r="A1" s="530"/>
      <c r="B1" s="530" t="s">
        <v>483</v>
      </c>
      <c r="C1" s="533"/>
      <c r="D1" s="532"/>
      <c r="E1" s="533"/>
      <c r="F1" s="534"/>
      <c r="O1" s="539"/>
      <c r="AD1" s="531"/>
    </row>
    <row r="2" spans="1:30" s="545" customFormat="1" ht="19.899999999999999" customHeight="1">
      <c r="A2" s="540" t="s">
        <v>865</v>
      </c>
      <c r="B2" s="540" t="s">
        <v>889</v>
      </c>
      <c r="C2" s="542" t="s">
        <v>874</v>
      </c>
      <c r="D2" s="542" t="s">
        <v>485</v>
      </c>
      <c r="E2" s="542" t="s">
        <v>486</v>
      </c>
      <c r="F2" s="540" t="s">
        <v>484</v>
      </c>
      <c r="G2" s="540" t="s">
        <v>198</v>
      </c>
      <c r="H2" s="540" t="s">
        <v>487</v>
      </c>
      <c r="I2" s="540" t="s">
        <v>488</v>
      </c>
      <c r="J2" s="540" t="s">
        <v>489</v>
      </c>
      <c r="K2" s="540" t="s">
        <v>490</v>
      </c>
      <c r="L2" s="540" t="s">
        <v>1222</v>
      </c>
      <c r="M2" s="540" t="s">
        <v>1221</v>
      </c>
      <c r="N2" s="543"/>
      <c r="O2" s="544"/>
      <c r="AD2" s="541" t="s">
        <v>1416</v>
      </c>
    </row>
    <row r="3" spans="1:30" ht="24.6" customHeight="1">
      <c r="A3" s="71" t="s">
        <v>866</v>
      </c>
      <c r="B3" s="546"/>
      <c r="C3" s="865"/>
      <c r="D3" s="547" t="s">
        <v>677</v>
      </c>
      <c r="E3" s="548" t="s">
        <v>199</v>
      </c>
      <c r="F3" s="549" t="s">
        <v>676</v>
      </c>
      <c r="G3" s="550">
        <f>SUM(H3:M3)</f>
        <v>616</v>
      </c>
      <c r="H3" s="551">
        <f t="shared" ref="H3:M3" si="0">SUM(H4:H30)</f>
        <v>235</v>
      </c>
      <c r="I3" s="551">
        <f t="shared" si="0"/>
        <v>276</v>
      </c>
      <c r="J3" s="551">
        <f t="shared" si="0"/>
        <v>64</v>
      </c>
      <c r="K3" s="551">
        <f t="shared" si="0"/>
        <v>11</v>
      </c>
      <c r="L3" s="551">
        <f t="shared" si="0"/>
        <v>8</v>
      </c>
      <c r="M3" s="552">
        <f t="shared" si="0"/>
        <v>22</v>
      </c>
      <c r="N3" s="553"/>
      <c r="O3" s="539"/>
      <c r="AC3" s="537"/>
      <c r="AD3" s="554" t="s">
        <v>1237</v>
      </c>
    </row>
    <row r="4" spans="1:30" ht="34.9" customHeight="1">
      <c r="A4" s="779"/>
      <c r="B4" s="555"/>
      <c r="C4" s="556" t="s">
        <v>233</v>
      </c>
      <c r="D4" s="556" t="s">
        <v>233</v>
      </c>
      <c r="E4" s="556" t="s">
        <v>2770</v>
      </c>
      <c r="F4" s="800"/>
      <c r="G4" s="557">
        <f t="shared" ref="G4:G22" si="1">SUM(H4:M4)</f>
        <v>0</v>
      </c>
      <c r="H4" s="558">
        <f t="shared" ref="H4:H31" si="2">COUNTIF(Area_v1,$C4)</f>
        <v>0</v>
      </c>
      <c r="I4" s="559">
        <f t="shared" ref="I4:I31" si="3">COUNTIF(Area_v2,$C4)</f>
        <v>0</v>
      </c>
      <c r="J4" s="559">
        <f t="shared" ref="J4:J31" si="4">COUNTIF(Area_v3,$C4)</f>
        <v>0</v>
      </c>
      <c r="K4" s="559">
        <f t="shared" ref="K4:K31" si="5">COUNTIF(Area_v4,$C4)</f>
        <v>0</v>
      </c>
      <c r="L4" s="559">
        <f t="shared" ref="L4:L31" si="6">COUNTIF(Area_v5,$C4)</f>
        <v>0</v>
      </c>
      <c r="M4" s="560">
        <f t="shared" ref="M4:M31" si="7">COUNTIF(Area_v6,$C4)</f>
        <v>0</v>
      </c>
      <c r="N4" s="553"/>
      <c r="O4" s="561"/>
      <c r="AC4" s="537"/>
      <c r="AD4" s="562" t="s">
        <v>2770</v>
      </c>
    </row>
    <row r="5" spans="1:30" s="569" customFormat="1" ht="49.15" customHeight="1">
      <c r="A5" s="780"/>
      <c r="B5" s="563"/>
      <c r="C5" s="564" t="s">
        <v>2671</v>
      </c>
      <c r="D5" s="564" t="s">
        <v>2671</v>
      </c>
      <c r="E5" s="564" t="s">
        <v>2771</v>
      </c>
      <c r="F5" s="801"/>
      <c r="G5" s="565">
        <f t="shared" si="1"/>
        <v>51</v>
      </c>
      <c r="H5" s="566">
        <f t="shared" si="2"/>
        <v>24</v>
      </c>
      <c r="I5" s="567">
        <f t="shared" si="3"/>
        <v>26</v>
      </c>
      <c r="J5" s="567">
        <f t="shared" si="4"/>
        <v>1</v>
      </c>
      <c r="K5" s="567">
        <f t="shared" si="5"/>
        <v>0</v>
      </c>
      <c r="L5" s="567">
        <f t="shared" si="6"/>
        <v>0</v>
      </c>
      <c r="M5" s="568">
        <f t="shared" si="7"/>
        <v>0</v>
      </c>
      <c r="N5" s="553"/>
      <c r="O5" s="561"/>
      <c r="Q5" s="537"/>
      <c r="R5" s="537"/>
      <c r="S5" s="537"/>
      <c r="T5" s="537"/>
      <c r="U5" s="537"/>
      <c r="V5" s="537"/>
      <c r="X5" s="537"/>
      <c r="Y5" s="537"/>
      <c r="Z5" s="537"/>
      <c r="AA5" s="537"/>
      <c r="AB5" s="537"/>
      <c r="AC5" s="537"/>
      <c r="AD5" s="570" t="s">
        <v>2771</v>
      </c>
    </row>
    <row r="6" spans="1:30" s="576" customFormat="1" ht="49.15" customHeight="1">
      <c r="A6" s="781" t="s">
        <v>866</v>
      </c>
      <c r="B6" s="571" t="s">
        <v>873</v>
      </c>
      <c r="C6" s="564" t="s">
        <v>2757</v>
      </c>
      <c r="D6" s="564" t="s">
        <v>2757</v>
      </c>
      <c r="E6" s="572" t="s">
        <v>2772</v>
      </c>
      <c r="F6" s="802"/>
      <c r="G6" s="565">
        <f t="shared" si="1"/>
        <v>71</v>
      </c>
      <c r="H6" s="573">
        <f t="shared" si="2"/>
        <v>36</v>
      </c>
      <c r="I6" s="574">
        <f t="shared" si="3"/>
        <v>35</v>
      </c>
      <c r="J6" s="574">
        <f t="shared" si="4"/>
        <v>0</v>
      </c>
      <c r="K6" s="574">
        <f t="shared" si="5"/>
        <v>0</v>
      </c>
      <c r="L6" s="574">
        <f t="shared" si="6"/>
        <v>0</v>
      </c>
      <c r="M6" s="575">
        <f t="shared" si="7"/>
        <v>0</v>
      </c>
      <c r="N6" s="553"/>
      <c r="O6" s="561"/>
      <c r="Q6" s="537"/>
      <c r="R6" s="537"/>
      <c r="S6" s="537"/>
      <c r="T6" s="537"/>
      <c r="U6" s="537"/>
      <c r="V6" s="537"/>
      <c r="X6" s="537"/>
      <c r="Y6" s="537"/>
      <c r="Z6" s="537"/>
      <c r="AA6" s="537"/>
      <c r="AB6" s="537"/>
      <c r="AC6" s="537"/>
      <c r="AD6" s="577" t="s">
        <v>2772</v>
      </c>
    </row>
    <row r="7" spans="1:30" s="576" customFormat="1" ht="34.9" customHeight="1">
      <c r="A7" s="782"/>
      <c r="B7" s="578"/>
      <c r="C7" s="564" t="s">
        <v>232</v>
      </c>
      <c r="D7" s="564" t="s">
        <v>232</v>
      </c>
      <c r="E7" s="564" t="s">
        <v>2773</v>
      </c>
      <c r="F7" s="802"/>
      <c r="G7" s="565">
        <f t="shared" si="1"/>
        <v>0</v>
      </c>
      <c r="H7" s="566">
        <f t="shared" si="2"/>
        <v>0</v>
      </c>
      <c r="I7" s="574">
        <f t="shared" si="3"/>
        <v>0</v>
      </c>
      <c r="J7" s="574">
        <f t="shared" si="4"/>
        <v>0</v>
      </c>
      <c r="K7" s="574">
        <f t="shared" si="5"/>
        <v>0</v>
      </c>
      <c r="L7" s="574">
        <f t="shared" si="6"/>
        <v>0</v>
      </c>
      <c r="M7" s="575">
        <f t="shared" si="7"/>
        <v>0</v>
      </c>
      <c r="N7" s="553"/>
      <c r="O7" s="561"/>
      <c r="Q7" s="537"/>
      <c r="R7" s="537"/>
      <c r="S7" s="537"/>
      <c r="T7" s="537"/>
      <c r="U7" s="537"/>
      <c r="V7" s="537"/>
      <c r="X7" s="537"/>
      <c r="Y7" s="537"/>
      <c r="Z7" s="537"/>
      <c r="AA7" s="537"/>
      <c r="AB7" s="537"/>
      <c r="AC7" s="537"/>
      <c r="AD7" s="577"/>
    </row>
    <row r="8" spans="1:30" s="576" customFormat="1" ht="49.15" customHeight="1">
      <c r="A8" s="782"/>
      <c r="B8" s="578"/>
      <c r="C8" s="564" t="s">
        <v>2672</v>
      </c>
      <c r="D8" s="564" t="s">
        <v>2672</v>
      </c>
      <c r="E8" s="564" t="s">
        <v>2774</v>
      </c>
      <c r="F8" s="802"/>
      <c r="G8" s="565">
        <f t="shared" si="1"/>
        <v>129</v>
      </c>
      <c r="H8" s="573">
        <f t="shared" si="2"/>
        <v>57</v>
      </c>
      <c r="I8" s="574">
        <f t="shared" si="3"/>
        <v>64</v>
      </c>
      <c r="J8" s="574">
        <f t="shared" si="4"/>
        <v>4</v>
      </c>
      <c r="K8" s="574">
        <f t="shared" si="5"/>
        <v>0</v>
      </c>
      <c r="L8" s="574">
        <f t="shared" si="6"/>
        <v>1</v>
      </c>
      <c r="M8" s="575">
        <f t="shared" si="7"/>
        <v>3</v>
      </c>
      <c r="N8" s="553"/>
      <c r="O8" s="561"/>
      <c r="Q8" s="537"/>
      <c r="R8" s="537"/>
      <c r="S8" s="537"/>
      <c r="T8" s="537"/>
      <c r="U8" s="537"/>
      <c r="V8" s="537"/>
      <c r="X8" s="537"/>
      <c r="Y8" s="537"/>
      <c r="Z8" s="537"/>
      <c r="AA8" s="537"/>
      <c r="AB8" s="537"/>
      <c r="AC8" s="537"/>
      <c r="AD8" s="577"/>
    </row>
    <row r="9" spans="1:30" s="576" customFormat="1" ht="49.15" customHeight="1">
      <c r="A9" s="782"/>
      <c r="B9" s="578"/>
      <c r="C9" s="564" t="s">
        <v>2756</v>
      </c>
      <c r="D9" s="564" t="s">
        <v>2756</v>
      </c>
      <c r="E9" s="564" t="s">
        <v>2775</v>
      </c>
      <c r="F9" s="802"/>
      <c r="G9" s="565">
        <f t="shared" si="1"/>
        <v>93</v>
      </c>
      <c r="H9" s="573">
        <f t="shared" si="2"/>
        <v>45</v>
      </c>
      <c r="I9" s="574">
        <f t="shared" si="3"/>
        <v>48</v>
      </c>
      <c r="J9" s="574">
        <f t="shared" si="4"/>
        <v>0</v>
      </c>
      <c r="K9" s="574">
        <f t="shared" si="5"/>
        <v>0</v>
      </c>
      <c r="L9" s="574">
        <f t="shared" si="6"/>
        <v>0</v>
      </c>
      <c r="M9" s="575">
        <f t="shared" si="7"/>
        <v>0</v>
      </c>
      <c r="N9" s="553"/>
      <c r="O9" s="561"/>
      <c r="Q9" s="537"/>
      <c r="R9" s="537"/>
      <c r="S9" s="537"/>
      <c r="T9" s="537"/>
      <c r="U9" s="537"/>
      <c r="V9" s="537"/>
      <c r="X9" s="537"/>
      <c r="Y9" s="537"/>
      <c r="Z9" s="537"/>
      <c r="AA9" s="537"/>
      <c r="AB9" s="537"/>
      <c r="AC9" s="537"/>
      <c r="AD9" s="577"/>
    </row>
    <row r="10" spans="1:30" s="576" customFormat="1" ht="34.9" customHeight="1">
      <c r="A10" s="783"/>
      <c r="B10" s="571"/>
      <c r="C10" s="564" t="s">
        <v>235</v>
      </c>
      <c r="D10" s="564" t="s">
        <v>235</v>
      </c>
      <c r="E10" s="564" t="s">
        <v>2776</v>
      </c>
      <c r="F10" s="802"/>
      <c r="G10" s="565">
        <f t="shared" si="1"/>
        <v>18</v>
      </c>
      <c r="H10" s="566">
        <f t="shared" si="2"/>
        <v>10</v>
      </c>
      <c r="I10" s="574">
        <f t="shared" si="3"/>
        <v>7</v>
      </c>
      <c r="J10" s="574">
        <f t="shared" si="4"/>
        <v>0</v>
      </c>
      <c r="K10" s="574">
        <f t="shared" si="5"/>
        <v>0</v>
      </c>
      <c r="L10" s="574">
        <f t="shared" si="6"/>
        <v>0</v>
      </c>
      <c r="M10" s="575">
        <f t="shared" si="7"/>
        <v>1</v>
      </c>
      <c r="N10" s="553"/>
      <c r="O10" s="561"/>
      <c r="Q10" s="537"/>
      <c r="R10" s="537"/>
      <c r="S10" s="537"/>
      <c r="T10" s="537"/>
      <c r="U10" s="537"/>
      <c r="V10" s="537"/>
      <c r="X10" s="537"/>
      <c r="Y10" s="537"/>
      <c r="Z10" s="537"/>
      <c r="AA10" s="537"/>
      <c r="AB10" s="537"/>
      <c r="AC10" s="537"/>
      <c r="AD10" s="577"/>
    </row>
    <row r="11" spans="1:30" s="576" customFormat="1" ht="49.15" customHeight="1">
      <c r="A11" s="783"/>
      <c r="B11" s="571"/>
      <c r="C11" s="564" t="s">
        <v>2676</v>
      </c>
      <c r="D11" s="564" t="s">
        <v>2676</v>
      </c>
      <c r="E11" s="564" t="s">
        <v>2777</v>
      </c>
      <c r="F11" s="802"/>
      <c r="G11" s="565">
        <f t="shared" si="1"/>
        <v>28</v>
      </c>
      <c r="H11" s="573">
        <f t="shared" si="2"/>
        <v>1</v>
      </c>
      <c r="I11" s="574">
        <f t="shared" si="3"/>
        <v>15</v>
      </c>
      <c r="J11" s="574">
        <f t="shared" si="4"/>
        <v>11</v>
      </c>
      <c r="K11" s="574">
        <f t="shared" si="5"/>
        <v>0</v>
      </c>
      <c r="L11" s="574">
        <f t="shared" si="6"/>
        <v>0</v>
      </c>
      <c r="M11" s="575">
        <f t="shared" si="7"/>
        <v>1</v>
      </c>
      <c r="N11" s="553"/>
      <c r="O11" s="561"/>
      <c r="Q11" s="537"/>
      <c r="R11" s="537"/>
      <c r="S11" s="537"/>
      <c r="T11" s="537"/>
      <c r="U11" s="537"/>
      <c r="V11" s="537"/>
      <c r="X11" s="537"/>
      <c r="Y11" s="537"/>
      <c r="Z11" s="537"/>
      <c r="AA11" s="537"/>
      <c r="AB11" s="537"/>
      <c r="AC11" s="537"/>
      <c r="AD11" s="577"/>
    </row>
    <row r="12" spans="1:30" s="576" customFormat="1" ht="49.15" customHeight="1">
      <c r="A12" s="783"/>
      <c r="B12" s="571"/>
      <c r="C12" s="564" t="s">
        <v>2758</v>
      </c>
      <c r="D12" s="564" t="s">
        <v>2758</v>
      </c>
      <c r="E12" s="564" t="s">
        <v>2778</v>
      </c>
      <c r="F12" s="802"/>
      <c r="G12" s="565">
        <f t="shared" si="1"/>
        <v>6</v>
      </c>
      <c r="H12" s="573">
        <f t="shared" si="2"/>
        <v>3</v>
      </c>
      <c r="I12" s="574">
        <f t="shared" si="3"/>
        <v>3</v>
      </c>
      <c r="J12" s="574">
        <f t="shared" si="4"/>
        <v>0</v>
      </c>
      <c r="K12" s="574">
        <f t="shared" si="5"/>
        <v>0</v>
      </c>
      <c r="L12" s="574">
        <f t="shared" si="6"/>
        <v>0</v>
      </c>
      <c r="M12" s="575">
        <f t="shared" si="7"/>
        <v>0</v>
      </c>
      <c r="N12" s="553"/>
      <c r="O12" s="561"/>
      <c r="Q12" s="537"/>
      <c r="R12" s="537"/>
      <c r="S12" s="537"/>
      <c r="T12" s="537"/>
      <c r="U12" s="537"/>
      <c r="V12" s="537"/>
      <c r="X12" s="537"/>
      <c r="Y12" s="537"/>
      <c r="Z12" s="537"/>
      <c r="AA12" s="537"/>
      <c r="AB12" s="537"/>
      <c r="AC12" s="537"/>
      <c r="AD12" s="577"/>
    </row>
    <row r="13" spans="1:30" s="576" customFormat="1" ht="34.9" customHeight="1">
      <c r="A13" s="782"/>
      <c r="B13" s="578"/>
      <c r="C13" s="564" t="s">
        <v>1057</v>
      </c>
      <c r="D13" s="564" t="s">
        <v>1057</v>
      </c>
      <c r="E13" s="564" t="s">
        <v>2779</v>
      </c>
      <c r="F13" s="802"/>
      <c r="G13" s="565">
        <f t="shared" si="1"/>
        <v>5</v>
      </c>
      <c r="H13" s="566">
        <f t="shared" si="2"/>
        <v>3</v>
      </c>
      <c r="I13" s="574">
        <f t="shared" si="3"/>
        <v>2</v>
      </c>
      <c r="J13" s="574">
        <f t="shared" si="4"/>
        <v>0</v>
      </c>
      <c r="K13" s="574">
        <f t="shared" si="5"/>
        <v>0</v>
      </c>
      <c r="L13" s="574">
        <f t="shared" si="6"/>
        <v>0</v>
      </c>
      <c r="M13" s="575">
        <f t="shared" si="7"/>
        <v>0</v>
      </c>
      <c r="N13" s="553"/>
      <c r="O13" s="561"/>
      <c r="Q13" s="537"/>
      <c r="R13" s="537"/>
      <c r="S13" s="537"/>
      <c r="T13" s="537"/>
      <c r="U13" s="537"/>
      <c r="V13" s="537"/>
      <c r="X13" s="537"/>
      <c r="Y13" s="537"/>
      <c r="Z13" s="537"/>
      <c r="AA13" s="537"/>
      <c r="AB13" s="537"/>
      <c r="AC13" s="537"/>
      <c r="AD13" s="577"/>
    </row>
    <row r="14" spans="1:30" s="576" customFormat="1" ht="49.15" customHeight="1">
      <c r="A14" s="782"/>
      <c r="B14" s="578"/>
      <c r="C14" s="564" t="s">
        <v>2780</v>
      </c>
      <c r="D14" s="564" t="s">
        <v>2780</v>
      </c>
      <c r="E14" s="564" t="s">
        <v>2781</v>
      </c>
      <c r="F14" s="802"/>
      <c r="G14" s="565">
        <f t="shared" si="1"/>
        <v>1</v>
      </c>
      <c r="H14" s="573">
        <f t="shared" si="2"/>
        <v>0</v>
      </c>
      <c r="I14" s="574">
        <f t="shared" si="3"/>
        <v>1</v>
      </c>
      <c r="J14" s="574">
        <f t="shared" si="4"/>
        <v>0</v>
      </c>
      <c r="K14" s="574">
        <f t="shared" si="5"/>
        <v>0</v>
      </c>
      <c r="L14" s="574">
        <f t="shared" si="6"/>
        <v>0</v>
      </c>
      <c r="M14" s="575">
        <f t="shared" si="7"/>
        <v>0</v>
      </c>
      <c r="N14" s="553"/>
      <c r="O14" s="561"/>
      <c r="Q14" s="537"/>
      <c r="R14" s="537"/>
      <c r="S14" s="537"/>
      <c r="T14" s="537"/>
      <c r="U14" s="537"/>
      <c r="V14" s="537"/>
      <c r="X14" s="537"/>
      <c r="Y14" s="537"/>
      <c r="Z14" s="537"/>
      <c r="AA14" s="537"/>
      <c r="AB14" s="537"/>
      <c r="AC14" s="537"/>
      <c r="AD14" s="577"/>
    </row>
    <row r="15" spans="1:30" s="576" customFormat="1" ht="49.15" customHeight="1">
      <c r="A15" s="782"/>
      <c r="B15" s="578"/>
      <c r="C15" s="564" t="s">
        <v>2782</v>
      </c>
      <c r="D15" s="564" t="s">
        <v>2782</v>
      </c>
      <c r="E15" s="564" t="s">
        <v>2783</v>
      </c>
      <c r="F15" s="802"/>
      <c r="G15" s="565">
        <f t="shared" si="1"/>
        <v>0</v>
      </c>
      <c r="H15" s="573">
        <f t="shared" si="2"/>
        <v>0</v>
      </c>
      <c r="I15" s="574">
        <f t="shared" si="3"/>
        <v>0</v>
      </c>
      <c r="J15" s="574">
        <f t="shared" si="4"/>
        <v>0</v>
      </c>
      <c r="K15" s="574">
        <f t="shared" si="5"/>
        <v>0</v>
      </c>
      <c r="L15" s="574">
        <f t="shared" si="6"/>
        <v>0</v>
      </c>
      <c r="M15" s="575">
        <f t="shared" si="7"/>
        <v>0</v>
      </c>
      <c r="N15" s="553"/>
      <c r="O15" s="561"/>
      <c r="Q15" s="537"/>
      <c r="R15" s="537"/>
      <c r="S15" s="537"/>
      <c r="T15" s="537"/>
      <c r="U15" s="537"/>
      <c r="V15" s="537"/>
      <c r="X15" s="537"/>
      <c r="Y15" s="537"/>
      <c r="Z15" s="537"/>
      <c r="AA15" s="537"/>
      <c r="AB15" s="537"/>
      <c r="AC15" s="537"/>
      <c r="AD15" s="577"/>
    </row>
    <row r="16" spans="1:30" s="576" customFormat="1" ht="34.9" customHeight="1">
      <c r="A16" s="783"/>
      <c r="B16" s="571"/>
      <c r="C16" s="564" t="s">
        <v>1614</v>
      </c>
      <c r="D16" s="564" t="s">
        <v>1614</v>
      </c>
      <c r="E16" s="564" t="s">
        <v>2784</v>
      </c>
      <c r="F16" s="802"/>
      <c r="G16" s="565">
        <f t="shared" si="1"/>
        <v>6</v>
      </c>
      <c r="H16" s="573">
        <f t="shared" si="2"/>
        <v>0</v>
      </c>
      <c r="I16" s="574">
        <f t="shared" si="3"/>
        <v>0</v>
      </c>
      <c r="J16" s="574">
        <f t="shared" si="4"/>
        <v>1</v>
      </c>
      <c r="K16" s="574">
        <f t="shared" si="5"/>
        <v>2</v>
      </c>
      <c r="L16" s="574">
        <f t="shared" si="6"/>
        <v>0</v>
      </c>
      <c r="M16" s="575">
        <f t="shared" si="7"/>
        <v>3</v>
      </c>
      <c r="N16" s="553"/>
      <c r="O16" s="561"/>
      <c r="Q16" s="537"/>
      <c r="R16" s="537"/>
      <c r="S16" s="537"/>
      <c r="T16" s="537"/>
      <c r="U16" s="537"/>
      <c r="V16" s="537"/>
      <c r="X16" s="537"/>
      <c r="Y16" s="537"/>
      <c r="Z16" s="537"/>
      <c r="AA16" s="537"/>
      <c r="AB16" s="537"/>
      <c r="AC16" s="537"/>
      <c r="AD16" s="577"/>
    </row>
    <row r="17" spans="1:30" s="576" customFormat="1" ht="49.15" customHeight="1">
      <c r="A17" s="783"/>
      <c r="B17" s="571"/>
      <c r="C17" s="564" t="s">
        <v>2785</v>
      </c>
      <c r="D17" s="564" t="s">
        <v>2785</v>
      </c>
      <c r="E17" s="564" t="s">
        <v>2786</v>
      </c>
      <c r="F17" s="802"/>
      <c r="G17" s="565">
        <f t="shared" ref="G17:G18" si="8">SUM(H17:M17)</f>
        <v>0</v>
      </c>
      <c r="H17" s="573">
        <f t="shared" si="2"/>
        <v>0</v>
      </c>
      <c r="I17" s="574">
        <f t="shared" si="3"/>
        <v>0</v>
      </c>
      <c r="J17" s="574">
        <f t="shared" si="4"/>
        <v>0</v>
      </c>
      <c r="K17" s="574">
        <f t="shared" si="5"/>
        <v>0</v>
      </c>
      <c r="L17" s="574">
        <f t="shared" si="6"/>
        <v>0</v>
      </c>
      <c r="M17" s="575">
        <f t="shared" si="7"/>
        <v>0</v>
      </c>
      <c r="N17" s="553"/>
      <c r="O17" s="561"/>
      <c r="Q17" s="537"/>
      <c r="R17" s="537"/>
      <c r="S17" s="537"/>
      <c r="T17" s="537"/>
      <c r="U17" s="537"/>
      <c r="V17" s="537"/>
      <c r="X17" s="537"/>
      <c r="Y17" s="537"/>
      <c r="Z17" s="537"/>
      <c r="AA17" s="537"/>
      <c r="AB17" s="537"/>
      <c r="AC17" s="537"/>
      <c r="AD17" s="577"/>
    </row>
    <row r="18" spans="1:30" s="576" customFormat="1" ht="49.15" customHeight="1">
      <c r="A18" s="985"/>
      <c r="B18" s="571"/>
      <c r="C18" s="564" t="s">
        <v>3075</v>
      </c>
      <c r="D18" s="564" t="s">
        <v>3075</v>
      </c>
      <c r="E18" s="564" t="s">
        <v>3076</v>
      </c>
      <c r="F18" s="802"/>
      <c r="G18" s="565">
        <f t="shared" si="8"/>
        <v>0</v>
      </c>
      <c r="H18" s="573">
        <f t="shared" si="2"/>
        <v>0</v>
      </c>
      <c r="I18" s="574">
        <f t="shared" si="3"/>
        <v>0</v>
      </c>
      <c r="J18" s="574">
        <f t="shared" si="4"/>
        <v>0</v>
      </c>
      <c r="K18" s="574">
        <f t="shared" si="5"/>
        <v>0</v>
      </c>
      <c r="L18" s="574">
        <f t="shared" si="6"/>
        <v>0</v>
      </c>
      <c r="M18" s="575">
        <f t="shared" si="7"/>
        <v>0</v>
      </c>
      <c r="N18" s="553"/>
      <c r="O18" s="561"/>
      <c r="Q18" s="537"/>
      <c r="R18" s="537"/>
      <c r="S18" s="537"/>
      <c r="T18" s="537"/>
      <c r="U18" s="537"/>
      <c r="V18" s="537"/>
      <c r="X18" s="537"/>
      <c r="Y18" s="537"/>
      <c r="Z18" s="537"/>
      <c r="AA18" s="537"/>
      <c r="AB18" s="537"/>
      <c r="AC18" s="537"/>
      <c r="AD18" s="577"/>
    </row>
    <row r="19" spans="1:30" s="576" customFormat="1" ht="34.9" customHeight="1">
      <c r="A19" s="782"/>
      <c r="B19" s="578"/>
      <c r="C19" s="564" t="s">
        <v>234</v>
      </c>
      <c r="D19" s="564" t="s">
        <v>234</v>
      </c>
      <c r="E19" s="564" t="s">
        <v>3139</v>
      </c>
      <c r="F19" s="802"/>
      <c r="G19" s="565">
        <f t="shared" si="1"/>
        <v>0</v>
      </c>
      <c r="H19" s="566">
        <f t="shared" si="2"/>
        <v>0</v>
      </c>
      <c r="I19" s="574">
        <f t="shared" si="3"/>
        <v>0</v>
      </c>
      <c r="J19" s="574">
        <f t="shared" si="4"/>
        <v>0</v>
      </c>
      <c r="K19" s="574">
        <f t="shared" si="5"/>
        <v>0</v>
      </c>
      <c r="L19" s="574">
        <f t="shared" si="6"/>
        <v>0</v>
      </c>
      <c r="M19" s="575">
        <f t="shared" si="7"/>
        <v>0</v>
      </c>
      <c r="N19" s="553"/>
      <c r="O19" s="561"/>
      <c r="Q19" s="537"/>
      <c r="R19" s="537"/>
      <c r="S19" s="537"/>
      <c r="T19" s="537"/>
      <c r="U19" s="537"/>
      <c r="V19" s="537"/>
      <c r="X19" s="537"/>
      <c r="Y19" s="537"/>
      <c r="Z19" s="537"/>
      <c r="AA19" s="537"/>
      <c r="AB19" s="537"/>
      <c r="AC19" s="537"/>
      <c r="AD19" s="577"/>
    </row>
    <row r="20" spans="1:30" s="576" customFormat="1" ht="49.15" customHeight="1">
      <c r="A20" s="782"/>
      <c r="B20" s="578"/>
      <c r="C20" s="564" t="s">
        <v>2675</v>
      </c>
      <c r="D20" s="564" t="s">
        <v>2675</v>
      </c>
      <c r="E20" s="564" t="s">
        <v>3140</v>
      </c>
      <c r="F20" s="802"/>
      <c r="G20" s="565">
        <f t="shared" si="1"/>
        <v>42</v>
      </c>
      <c r="H20" s="573">
        <f t="shared" si="2"/>
        <v>0</v>
      </c>
      <c r="I20" s="574">
        <f t="shared" si="3"/>
        <v>13</v>
      </c>
      <c r="J20" s="574">
        <f t="shared" si="4"/>
        <v>20</v>
      </c>
      <c r="K20" s="574">
        <f t="shared" si="5"/>
        <v>7</v>
      </c>
      <c r="L20" s="574">
        <f t="shared" si="6"/>
        <v>1</v>
      </c>
      <c r="M20" s="575">
        <f t="shared" si="7"/>
        <v>1</v>
      </c>
      <c r="N20" s="553"/>
      <c r="O20" s="561"/>
      <c r="Q20" s="537"/>
      <c r="R20" s="537"/>
      <c r="S20" s="537"/>
      <c r="T20" s="537"/>
      <c r="U20" s="537"/>
      <c r="V20" s="537"/>
      <c r="X20" s="537"/>
      <c r="Y20" s="537"/>
      <c r="Z20" s="537"/>
      <c r="AA20" s="537"/>
      <c r="AB20" s="537"/>
      <c r="AC20" s="537"/>
      <c r="AD20" s="577"/>
    </row>
    <row r="21" spans="1:30" s="576" customFormat="1" ht="49.15" customHeight="1">
      <c r="A21" s="782"/>
      <c r="B21" s="578"/>
      <c r="C21" s="564" t="s">
        <v>2787</v>
      </c>
      <c r="D21" s="564" t="s">
        <v>2787</v>
      </c>
      <c r="E21" s="564" t="s">
        <v>3141</v>
      </c>
      <c r="F21" s="802"/>
      <c r="G21" s="565">
        <f t="shared" si="1"/>
        <v>1</v>
      </c>
      <c r="H21" s="573">
        <f t="shared" si="2"/>
        <v>1</v>
      </c>
      <c r="I21" s="574">
        <f t="shared" si="3"/>
        <v>0</v>
      </c>
      <c r="J21" s="574">
        <f t="shared" si="4"/>
        <v>0</v>
      </c>
      <c r="K21" s="574">
        <f t="shared" si="5"/>
        <v>0</v>
      </c>
      <c r="L21" s="574">
        <f t="shared" si="6"/>
        <v>0</v>
      </c>
      <c r="M21" s="575">
        <f t="shared" si="7"/>
        <v>0</v>
      </c>
      <c r="N21" s="553"/>
      <c r="O21" s="561"/>
      <c r="Q21" s="537"/>
      <c r="R21" s="537"/>
      <c r="S21" s="537"/>
      <c r="T21" s="537"/>
      <c r="U21" s="537"/>
      <c r="V21" s="537"/>
      <c r="X21" s="537"/>
      <c r="Y21" s="537"/>
      <c r="Z21" s="537"/>
      <c r="AA21" s="537"/>
      <c r="AB21" s="537"/>
      <c r="AC21" s="537"/>
      <c r="AD21" s="577"/>
    </row>
    <row r="22" spans="1:30" s="576" customFormat="1" ht="34.9" customHeight="1">
      <c r="A22" s="783"/>
      <c r="B22" s="571"/>
      <c r="C22" s="564" t="s">
        <v>2788</v>
      </c>
      <c r="D22" s="564" t="s">
        <v>2788</v>
      </c>
      <c r="E22" s="564" t="s">
        <v>2789</v>
      </c>
      <c r="F22" s="802"/>
      <c r="G22" s="565">
        <f t="shared" si="1"/>
        <v>9</v>
      </c>
      <c r="H22" s="573">
        <f t="shared" si="2"/>
        <v>0</v>
      </c>
      <c r="I22" s="574">
        <f t="shared" si="3"/>
        <v>0</v>
      </c>
      <c r="J22" s="574">
        <f t="shared" si="4"/>
        <v>1</v>
      </c>
      <c r="K22" s="574">
        <f t="shared" si="5"/>
        <v>1</v>
      </c>
      <c r="L22" s="574">
        <f t="shared" si="6"/>
        <v>3</v>
      </c>
      <c r="M22" s="575">
        <f t="shared" si="7"/>
        <v>4</v>
      </c>
      <c r="N22" s="553"/>
      <c r="O22" s="561"/>
      <c r="Q22" s="537"/>
      <c r="R22" s="537"/>
      <c r="S22" s="537"/>
      <c r="T22" s="537"/>
      <c r="U22" s="537"/>
      <c r="V22" s="537"/>
      <c r="X22" s="537"/>
      <c r="Y22" s="537"/>
      <c r="Z22" s="537"/>
      <c r="AA22" s="537"/>
      <c r="AB22" s="537"/>
      <c r="AC22" s="537"/>
      <c r="AD22" s="577"/>
    </row>
    <row r="23" spans="1:30" s="576" customFormat="1" ht="34.9" customHeight="1">
      <c r="A23" s="985"/>
      <c r="B23" s="571"/>
      <c r="C23" s="564" t="s">
        <v>3077</v>
      </c>
      <c r="D23" s="564" t="s">
        <v>3077</v>
      </c>
      <c r="E23" s="564" t="s">
        <v>3078</v>
      </c>
      <c r="F23" s="802"/>
      <c r="G23" s="565">
        <f t="shared" ref="G23:G25" si="9">SUM(H23:M23)</f>
        <v>0</v>
      </c>
      <c r="H23" s="573">
        <f t="shared" si="2"/>
        <v>0</v>
      </c>
      <c r="I23" s="574">
        <f t="shared" si="3"/>
        <v>0</v>
      </c>
      <c r="J23" s="574">
        <f t="shared" si="4"/>
        <v>0</v>
      </c>
      <c r="K23" s="574">
        <f t="shared" si="5"/>
        <v>0</v>
      </c>
      <c r="L23" s="574">
        <f t="shared" si="6"/>
        <v>0</v>
      </c>
      <c r="M23" s="575">
        <f t="shared" si="7"/>
        <v>0</v>
      </c>
      <c r="N23" s="553"/>
      <c r="O23" s="561"/>
      <c r="Q23" s="537"/>
      <c r="R23" s="537"/>
      <c r="S23" s="537"/>
      <c r="T23" s="537"/>
      <c r="U23" s="537"/>
      <c r="V23" s="537"/>
      <c r="X23" s="537"/>
      <c r="Y23" s="537"/>
      <c r="Z23" s="537"/>
      <c r="AA23" s="537"/>
      <c r="AB23" s="537"/>
      <c r="AC23" s="537"/>
      <c r="AD23" s="577"/>
    </row>
    <row r="24" spans="1:30" ht="34.9" customHeight="1">
      <c r="A24" s="784"/>
      <c r="B24" s="579"/>
      <c r="C24" s="564" t="s">
        <v>2790</v>
      </c>
      <c r="D24" s="564" t="s">
        <v>2790</v>
      </c>
      <c r="E24" s="564" t="s">
        <v>2791</v>
      </c>
      <c r="F24" s="803"/>
      <c r="G24" s="565">
        <f t="shared" si="9"/>
        <v>0</v>
      </c>
      <c r="H24" s="573">
        <f t="shared" si="2"/>
        <v>0</v>
      </c>
      <c r="I24" s="574">
        <f t="shared" si="3"/>
        <v>0</v>
      </c>
      <c r="J24" s="574">
        <f t="shared" si="4"/>
        <v>0</v>
      </c>
      <c r="K24" s="574">
        <f t="shared" si="5"/>
        <v>0</v>
      </c>
      <c r="L24" s="574">
        <f t="shared" si="6"/>
        <v>0</v>
      </c>
      <c r="M24" s="575">
        <f t="shared" si="7"/>
        <v>0</v>
      </c>
      <c r="N24" s="553"/>
      <c r="O24" s="561"/>
      <c r="AC24" s="537"/>
      <c r="AD24" s="577" t="s">
        <v>1417</v>
      </c>
    </row>
    <row r="25" spans="1:30" ht="34.9" customHeight="1">
      <c r="A25" s="782"/>
      <c r="B25" s="579"/>
      <c r="C25" s="564" t="s">
        <v>3079</v>
      </c>
      <c r="D25" s="564" t="s">
        <v>3079</v>
      </c>
      <c r="E25" s="564" t="s">
        <v>2791</v>
      </c>
      <c r="F25" s="803"/>
      <c r="G25" s="565">
        <f t="shared" si="9"/>
        <v>0</v>
      </c>
      <c r="H25" s="574">
        <f t="shared" si="2"/>
        <v>0</v>
      </c>
      <c r="I25" s="574">
        <f t="shared" si="3"/>
        <v>0</v>
      </c>
      <c r="J25" s="574">
        <f t="shared" si="4"/>
        <v>0</v>
      </c>
      <c r="K25" s="574">
        <f t="shared" si="5"/>
        <v>0</v>
      </c>
      <c r="L25" s="574">
        <f t="shared" si="6"/>
        <v>0</v>
      </c>
      <c r="M25" s="575">
        <f t="shared" si="7"/>
        <v>0</v>
      </c>
      <c r="N25" s="553"/>
      <c r="O25" s="561"/>
      <c r="AC25" s="537"/>
      <c r="AD25" s="585"/>
    </row>
    <row r="26" spans="1:30" ht="34.9" customHeight="1">
      <c r="A26" s="988" t="s">
        <v>875</v>
      </c>
      <c r="B26" s="555"/>
      <c r="C26" s="564" t="s">
        <v>653</v>
      </c>
      <c r="D26" s="564" t="s">
        <v>491</v>
      </c>
      <c r="E26" s="564" t="s">
        <v>2792</v>
      </c>
      <c r="F26" s="803">
        <v>6405</v>
      </c>
      <c r="G26" s="580">
        <f t="shared" ref="G26:G112" si="10">SUM(H26:M26)</f>
        <v>69</v>
      </c>
      <c r="H26" s="574">
        <f t="shared" si="2"/>
        <v>24</v>
      </c>
      <c r="I26" s="574">
        <f t="shared" si="3"/>
        <v>27</v>
      </c>
      <c r="J26" s="574">
        <f t="shared" si="4"/>
        <v>11</v>
      </c>
      <c r="K26" s="574">
        <f t="shared" si="5"/>
        <v>1</v>
      </c>
      <c r="L26" s="574">
        <f t="shared" si="6"/>
        <v>1</v>
      </c>
      <c r="M26" s="575">
        <f t="shared" si="7"/>
        <v>5</v>
      </c>
      <c r="N26" s="553"/>
      <c r="O26" s="561"/>
      <c r="P26" s="581"/>
      <c r="Q26" s="582"/>
      <c r="AD26" s="583" t="s">
        <v>1235</v>
      </c>
    </row>
    <row r="27" spans="1:30" ht="49.15" customHeight="1">
      <c r="A27" s="989"/>
      <c r="B27" s="584"/>
      <c r="C27" s="564" t="s">
        <v>2762</v>
      </c>
      <c r="D27" s="564" t="s">
        <v>491</v>
      </c>
      <c r="E27" s="564" t="s">
        <v>3149</v>
      </c>
      <c r="F27" s="803">
        <v>6405</v>
      </c>
      <c r="G27" s="580">
        <f t="shared" si="10"/>
        <v>1</v>
      </c>
      <c r="H27" s="574">
        <f t="shared" si="2"/>
        <v>1</v>
      </c>
      <c r="I27" s="574">
        <f t="shared" si="3"/>
        <v>0</v>
      </c>
      <c r="J27" s="574">
        <f t="shared" si="4"/>
        <v>0</v>
      </c>
      <c r="K27" s="574">
        <f t="shared" si="5"/>
        <v>0</v>
      </c>
      <c r="L27" s="574">
        <f t="shared" si="6"/>
        <v>0</v>
      </c>
      <c r="M27" s="575">
        <f t="shared" si="7"/>
        <v>0</v>
      </c>
      <c r="N27" s="553"/>
      <c r="O27" s="561"/>
      <c r="AD27" s="585"/>
    </row>
    <row r="28" spans="1:30" ht="49.15" customHeight="1">
      <c r="A28" s="989"/>
      <c r="B28" s="584"/>
      <c r="C28" s="564" t="s">
        <v>3017</v>
      </c>
      <c r="D28" s="564" t="s">
        <v>491</v>
      </c>
      <c r="E28" s="564" t="s">
        <v>3150</v>
      </c>
      <c r="F28" s="803">
        <v>6405</v>
      </c>
      <c r="G28" s="580">
        <f t="shared" si="10"/>
        <v>19</v>
      </c>
      <c r="H28" s="574">
        <f t="shared" si="2"/>
        <v>9</v>
      </c>
      <c r="I28" s="574">
        <f t="shared" si="3"/>
        <v>10</v>
      </c>
      <c r="J28" s="574">
        <f t="shared" si="4"/>
        <v>0</v>
      </c>
      <c r="K28" s="574">
        <f t="shared" si="5"/>
        <v>0</v>
      </c>
      <c r="L28" s="574">
        <f t="shared" si="6"/>
        <v>0</v>
      </c>
      <c r="M28" s="575">
        <f t="shared" si="7"/>
        <v>0</v>
      </c>
      <c r="N28" s="553"/>
      <c r="O28" s="561"/>
      <c r="AD28" s="585"/>
    </row>
    <row r="29" spans="1:30" ht="34.9" customHeight="1">
      <c r="A29" s="989"/>
      <c r="B29" s="584"/>
      <c r="C29" s="564" t="s">
        <v>658</v>
      </c>
      <c r="D29" s="564" t="s">
        <v>492</v>
      </c>
      <c r="E29" s="564" t="s">
        <v>3019</v>
      </c>
      <c r="F29" s="803">
        <v>6405</v>
      </c>
      <c r="G29" s="580">
        <f t="shared" si="10"/>
        <v>67</v>
      </c>
      <c r="H29" s="574">
        <f t="shared" si="2"/>
        <v>21</v>
      </c>
      <c r="I29" s="574">
        <f t="shared" si="3"/>
        <v>25</v>
      </c>
      <c r="J29" s="574">
        <f t="shared" si="4"/>
        <v>15</v>
      </c>
      <c r="K29" s="574">
        <f t="shared" si="5"/>
        <v>0</v>
      </c>
      <c r="L29" s="574">
        <f t="shared" si="6"/>
        <v>2</v>
      </c>
      <c r="M29" s="575">
        <f t="shared" si="7"/>
        <v>4</v>
      </c>
      <c r="N29" s="553"/>
      <c r="O29" s="561"/>
      <c r="P29" s="581"/>
      <c r="Q29" s="582"/>
      <c r="AD29" s="585"/>
    </row>
    <row r="30" spans="1:30" ht="30">
      <c r="A30" s="989"/>
      <c r="B30" s="584"/>
      <c r="C30" s="564" t="s">
        <v>2761</v>
      </c>
      <c r="D30" s="564" t="s">
        <v>492</v>
      </c>
      <c r="E30" s="564" t="s">
        <v>3151</v>
      </c>
      <c r="F30" s="803">
        <v>6405</v>
      </c>
      <c r="G30" s="580">
        <f t="shared" si="10"/>
        <v>0</v>
      </c>
      <c r="H30" s="574">
        <f t="shared" si="2"/>
        <v>0</v>
      </c>
      <c r="I30" s="574">
        <f t="shared" si="3"/>
        <v>0</v>
      </c>
      <c r="J30" s="574">
        <f t="shared" si="4"/>
        <v>0</v>
      </c>
      <c r="K30" s="574">
        <f t="shared" si="5"/>
        <v>0</v>
      </c>
      <c r="L30" s="574">
        <f t="shared" si="6"/>
        <v>0</v>
      </c>
      <c r="M30" s="575">
        <f t="shared" si="7"/>
        <v>0</v>
      </c>
      <c r="N30" s="553"/>
      <c r="O30" s="561"/>
      <c r="P30" s="581"/>
      <c r="Q30" s="582"/>
      <c r="AD30" s="585" t="s">
        <v>1236</v>
      </c>
    </row>
    <row r="31" spans="1:30" ht="49.15" customHeight="1">
      <c r="A31" s="985"/>
      <c r="B31" s="584"/>
      <c r="C31" s="986" t="s">
        <v>3018</v>
      </c>
      <c r="D31" s="564" t="s">
        <v>492</v>
      </c>
      <c r="E31" s="986" t="s">
        <v>3020</v>
      </c>
      <c r="F31" s="987">
        <v>6405</v>
      </c>
      <c r="G31" s="580">
        <f t="shared" si="10"/>
        <v>34</v>
      </c>
      <c r="H31" s="574">
        <f t="shared" si="2"/>
        <v>17</v>
      </c>
      <c r="I31" s="574">
        <f t="shared" si="3"/>
        <v>17</v>
      </c>
      <c r="J31" s="574">
        <f t="shared" si="4"/>
        <v>0</v>
      </c>
      <c r="K31" s="574">
        <f t="shared" si="5"/>
        <v>0</v>
      </c>
      <c r="L31" s="574">
        <f t="shared" si="6"/>
        <v>0</v>
      </c>
      <c r="M31" s="575">
        <f t="shared" si="7"/>
        <v>0</v>
      </c>
      <c r="N31" s="553"/>
      <c r="O31" s="561"/>
      <c r="AD31" s="585"/>
    </row>
    <row r="32" spans="1:30" ht="36.6" customHeight="1">
      <c r="A32" s="866"/>
      <c r="B32" s="866"/>
      <c r="C32" s="866" t="s">
        <v>1615</v>
      </c>
      <c r="D32" s="589" t="s">
        <v>493</v>
      </c>
      <c r="E32" s="589" t="s">
        <v>2929</v>
      </c>
      <c r="F32" s="805"/>
      <c r="G32" s="590">
        <f t="shared" si="10"/>
        <v>0</v>
      </c>
      <c r="H32" s="591"/>
      <c r="I32" s="591"/>
      <c r="J32" s="591">
        <f>COUNTIF(Area_v3,"PL*")+COUNTIF(Area_v3,"M3*")+COUNTIF(Area_v3,"M5*")+COUNTIF(Area_v3,"M6*")-J33-J34</f>
        <v>0</v>
      </c>
      <c r="K32" s="591">
        <f>COUNTIF(Area_v4,"PL*")+COUNTIF(Area_v4,"M3")+COUNTIF(Area_v4,"M5")+COUNTIF(Area_v4,"M6")-K33-K34</f>
        <v>0</v>
      </c>
      <c r="L32" s="591">
        <f>COUNTIF(Area_v5,"PL*")+COUNTIF(Area_v5,"M3")+COUNTIF(Area_v5,"M5")+COUNTIF(Area_v5,"M6")-L33-L34</f>
        <v>0</v>
      </c>
      <c r="M32" s="592">
        <f>COUNTIF(Area_v6,"PL*")+COUNTIF(Area_v6,"M3")+COUNTIF(Area_v6,"M5")+COUNTIF(Area_v6,"M6")-M33-M34</f>
        <v>0</v>
      </c>
      <c r="N32" s="539"/>
      <c r="O32" s="539"/>
      <c r="P32" s="263" t="s">
        <v>2549</v>
      </c>
      <c r="Q32" s="263" t="s">
        <v>2550</v>
      </c>
      <c r="R32" s="263" t="s">
        <v>2551</v>
      </c>
      <c r="S32" s="263" t="s">
        <v>2552</v>
      </c>
      <c r="T32" s="263" t="s">
        <v>2553</v>
      </c>
      <c r="U32" s="593"/>
      <c r="V32" s="593"/>
      <c r="W32" s="593"/>
      <c r="X32" s="593"/>
      <c r="Y32" s="593"/>
      <c r="Z32" s="593"/>
      <c r="AA32" s="593"/>
      <c r="AD32" s="594" t="s">
        <v>1238</v>
      </c>
    </row>
    <row r="33" spans="1:30" ht="28.15" customHeight="1">
      <c r="A33" s="867" t="s">
        <v>876</v>
      </c>
      <c r="B33" s="867" t="s">
        <v>877</v>
      </c>
      <c r="C33" s="867"/>
      <c r="D33" s="595" t="s">
        <v>494</v>
      </c>
      <c r="E33" s="595" t="s">
        <v>2930</v>
      </c>
      <c r="F33" s="806"/>
      <c r="G33" s="596">
        <f t="shared" si="10"/>
        <v>0</v>
      </c>
      <c r="H33" s="597"/>
      <c r="I33" s="597"/>
      <c r="J33" s="597"/>
      <c r="K33" s="597"/>
      <c r="L33" s="597"/>
      <c r="M33" s="598"/>
      <c r="N33" s="553"/>
      <c r="O33" s="539"/>
      <c r="P33" s="263" t="s">
        <v>2548</v>
      </c>
      <c r="Q33" s="263" t="s">
        <v>2546</v>
      </c>
      <c r="R33" s="263" t="s">
        <v>2545</v>
      </c>
      <c r="S33" s="593"/>
      <c r="T33" s="593"/>
      <c r="U33" s="593"/>
      <c r="V33" s="593"/>
      <c r="W33" s="263" t="s">
        <v>2548</v>
      </c>
      <c r="X33" s="263" t="s">
        <v>2546</v>
      </c>
      <c r="Y33" s="263" t="s">
        <v>2545</v>
      </c>
      <c r="Z33" s="593"/>
      <c r="AA33" s="593"/>
      <c r="AD33" s="599" t="s">
        <v>1239</v>
      </c>
    </row>
    <row r="34" spans="1:30" ht="25.15" customHeight="1">
      <c r="A34" s="868"/>
      <c r="B34" s="868"/>
      <c r="C34" s="868"/>
      <c r="D34" s="600" t="s">
        <v>495</v>
      </c>
      <c r="E34" s="600" t="s">
        <v>2931</v>
      </c>
      <c r="F34" s="807"/>
      <c r="G34" s="601">
        <f t="shared" si="10"/>
        <v>0</v>
      </c>
      <c r="H34" s="602"/>
      <c r="I34" s="602"/>
      <c r="J34" s="602"/>
      <c r="K34" s="602"/>
      <c r="L34" s="602"/>
      <c r="M34" s="603"/>
      <c r="N34" s="553"/>
      <c r="O34" s="539"/>
      <c r="P34" s="263" t="s">
        <v>2544</v>
      </c>
      <c r="Q34" s="263" t="s">
        <v>2547</v>
      </c>
      <c r="R34" s="263" t="s">
        <v>2543</v>
      </c>
      <c r="S34" s="263" t="s">
        <v>2554</v>
      </c>
      <c r="T34" s="263" t="s">
        <v>2555</v>
      </c>
      <c r="U34" s="593"/>
      <c r="V34" s="593"/>
      <c r="W34" s="263" t="s">
        <v>2544</v>
      </c>
      <c r="X34" s="263" t="s">
        <v>2547</v>
      </c>
      <c r="Y34" s="263" t="s">
        <v>2543</v>
      </c>
      <c r="Z34" s="263" t="s">
        <v>2554</v>
      </c>
      <c r="AA34" s="263" t="s">
        <v>2555</v>
      </c>
      <c r="AD34" s="599" t="s">
        <v>1240</v>
      </c>
    </row>
    <row r="35" spans="1:30" ht="34.9" customHeight="1">
      <c r="A35" s="785"/>
      <c r="B35" s="604"/>
      <c r="C35" s="869" t="s">
        <v>2793</v>
      </c>
      <c r="D35" s="605" t="s">
        <v>2793</v>
      </c>
      <c r="E35" s="605" t="s">
        <v>2794</v>
      </c>
      <c r="F35" s="808" t="s">
        <v>2795</v>
      </c>
      <c r="G35" s="606">
        <f>SUM(H35:M35)</f>
        <v>10</v>
      </c>
      <c r="H35" s="607">
        <f>COUNTIF(Area_v1,$C35)</f>
        <v>5</v>
      </c>
      <c r="I35" s="607">
        <f>COUNTIF(Area_v2,$C35)</f>
        <v>5</v>
      </c>
      <c r="J35" s="607">
        <f t="shared" ref="J35:J83" si="11">COUNTIF(Area_v3,$C35)</f>
        <v>0</v>
      </c>
      <c r="K35" s="607">
        <f t="shared" ref="K35:K83" si="12">COUNTIF(Area_v4,$C35)</f>
        <v>0</v>
      </c>
      <c r="L35" s="607">
        <f t="shared" ref="L35:L83" si="13">COUNTIF(Area_v5,$C35)</f>
        <v>0</v>
      </c>
      <c r="M35" s="608">
        <f t="shared" ref="M35:M83" si="14">COUNTIF(Area_v6,$C35)</f>
        <v>0</v>
      </c>
      <c r="N35" s="553"/>
      <c r="O35" s="539"/>
      <c r="P35" s="263"/>
      <c r="Q35" s="263"/>
      <c r="R35" s="263"/>
      <c r="S35" s="263"/>
      <c r="T35" s="263"/>
      <c r="U35" s="593"/>
      <c r="V35" s="593"/>
      <c r="W35" s="263"/>
      <c r="X35" s="263"/>
      <c r="Y35" s="263"/>
      <c r="Z35" s="263"/>
      <c r="AA35" s="263"/>
      <c r="AD35" s="599"/>
    </row>
    <row r="36" spans="1:30" ht="34.9" customHeight="1">
      <c r="A36" s="786"/>
      <c r="B36" s="609"/>
      <c r="C36" s="870" t="s">
        <v>2796</v>
      </c>
      <c r="D36" s="595" t="s">
        <v>2796</v>
      </c>
      <c r="E36" s="595" t="s">
        <v>2797</v>
      </c>
      <c r="F36" s="809"/>
      <c r="G36" s="596">
        <f t="shared" ref="G36:G41" si="15">SUM(H36:M36)</f>
        <v>22</v>
      </c>
      <c r="H36" s="597">
        <f>COUNTIF(Area_v1,$C36)</f>
        <v>11</v>
      </c>
      <c r="I36" s="597">
        <f t="shared" ref="I36:I83" si="16">COUNTIF(Area_v2,$C36)</f>
        <v>11</v>
      </c>
      <c r="J36" s="597">
        <f t="shared" si="11"/>
        <v>0</v>
      </c>
      <c r="K36" s="597">
        <f t="shared" si="12"/>
        <v>0</v>
      </c>
      <c r="L36" s="597">
        <f t="shared" si="13"/>
        <v>0</v>
      </c>
      <c r="M36" s="598">
        <f t="shared" si="14"/>
        <v>0</v>
      </c>
      <c r="N36" s="553"/>
      <c r="O36" s="539"/>
      <c r="P36" s="263"/>
      <c r="Q36" s="263"/>
      <c r="R36" s="263"/>
      <c r="S36" s="263"/>
      <c r="T36" s="263"/>
      <c r="U36" s="593"/>
      <c r="V36" s="593"/>
      <c r="W36" s="263"/>
      <c r="X36" s="263"/>
      <c r="Y36" s="263"/>
      <c r="Z36" s="263"/>
      <c r="AA36" s="263"/>
      <c r="AD36" s="599"/>
    </row>
    <row r="37" spans="1:30" ht="34.9" customHeight="1">
      <c r="A37" s="786" t="s">
        <v>2798</v>
      </c>
      <c r="B37" s="609"/>
      <c r="C37" s="870" t="s">
        <v>2799</v>
      </c>
      <c r="D37" s="595" t="s">
        <v>2799</v>
      </c>
      <c r="E37" s="595" t="s">
        <v>2800</v>
      </c>
      <c r="F37" s="809"/>
      <c r="G37" s="596">
        <f t="shared" si="15"/>
        <v>0</v>
      </c>
      <c r="H37" s="597">
        <f t="shared" ref="H37:H83" si="17">COUNTIF(Area_v1,$C37)</f>
        <v>0</v>
      </c>
      <c r="I37" s="597">
        <f t="shared" si="16"/>
        <v>0</v>
      </c>
      <c r="J37" s="597">
        <f t="shared" si="11"/>
        <v>0</v>
      </c>
      <c r="K37" s="597">
        <f t="shared" si="12"/>
        <v>0</v>
      </c>
      <c r="L37" s="597">
        <f t="shared" si="13"/>
        <v>0</v>
      </c>
      <c r="M37" s="598">
        <f t="shared" si="14"/>
        <v>0</v>
      </c>
      <c r="N37" s="553"/>
      <c r="O37" s="539"/>
      <c r="P37" s="263"/>
      <c r="Q37" s="263"/>
      <c r="R37" s="263"/>
      <c r="S37" s="263"/>
      <c r="T37" s="263"/>
      <c r="U37" s="593"/>
      <c r="V37" s="593"/>
      <c r="W37" s="263"/>
      <c r="X37" s="263"/>
      <c r="Y37" s="263"/>
      <c r="Z37" s="263"/>
      <c r="AA37" s="263"/>
      <c r="AD37" s="599"/>
    </row>
    <row r="38" spans="1:30" ht="34.9" customHeight="1">
      <c r="A38" s="786"/>
      <c r="B38" s="609"/>
      <c r="C38" s="870" t="s">
        <v>2801</v>
      </c>
      <c r="D38" s="595" t="s">
        <v>2801</v>
      </c>
      <c r="E38" s="595" t="s">
        <v>2802</v>
      </c>
      <c r="F38" s="809"/>
      <c r="G38" s="596">
        <f t="shared" si="15"/>
        <v>0</v>
      </c>
      <c r="H38" s="597">
        <f t="shared" si="17"/>
        <v>0</v>
      </c>
      <c r="I38" s="597">
        <f t="shared" si="16"/>
        <v>0</v>
      </c>
      <c r="J38" s="597">
        <f t="shared" si="11"/>
        <v>0</v>
      </c>
      <c r="K38" s="597">
        <f t="shared" si="12"/>
        <v>0</v>
      </c>
      <c r="L38" s="597">
        <f t="shared" si="13"/>
        <v>0</v>
      </c>
      <c r="M38" s="598">
        <f t="shared" si="14"/>
        <v>0</v>
      </c>
      <c r="N38" s="553"/>
      <c r="O38" s="539"/>
      <c r="P38" s="263"/>
      <c r="Q38" s="263"/>
      <c r="R38" s="263"/>
      <c r="S38" s="263"/>
      <c r="T38" s="263"/>
      <c r="U38" s="593"/>
      <c r="V38" s="593"/>
      <c r="W38" s="263"/>
      <c r="X38" s="263"/>
      <c r="Y38" s="263"/>
      <c r="Z38" s="263"/>
      <c r="AA38" s="263"/>
      <c r="AD38" s="599"/>
    </row>
    <row r="39" spans="1:30" ht="34.9" customHeight="1">
      <c r="A39" s="787"/>
      <c r="B39" s="610"/>
      <c r="C39" s="870" t="s">
        <v>2803</v>
      </c>
      <c r="D39" s="595" t="s">
        <v>2803</v>
      </c>
      <c r="E39" s="595" t="s">
        <v>2804</v>
      </c>
      <c r="F39" s="809"/>
      <c r="G39" s="596"/>
      <c r="H39" s="597">
        <f t="shared" si="17"/>
        <v>0</v>
      </c>
      <c r="I39" s="597">
        <f t="shared" si="16"/>
        <v>0</v>
      </c>
      <c r="J39" s="597">
        <f t="shared" si="11"/>
        <v>0</v>
      </c>
      <c r="K39" s="597">
        <f t="shared" si="12"/>
        <v>0</v>
      </c>
      <c r="L39" s="597">
        <f t="shared" si="13"/>
        <v>0</v>
      </c>
      <c r="M39" s="598">
        <f t="shared" si="14"/>
        <v>0</v>
      </c>
      <c r="N39" s="553"/>
      <c r="O39" s="539"/>
      <c r="P39" s="263"/>
      <c r="Q39" s="263"/>
      <c r="R39" s="263"/>
      <c r="S39" s="263"/>
      <c r="T39" s="263"/>
      <c r="U39" s="593"/>
      <c r="V39" s="593"/>
      <c r="W39" s="263"/>
      <c r="X39" s="263"/>
      <c r="Y39" s="263"/>
      <c r="Z39" s="263"/>
      <c r="AA39" s="263"/>
      <c r="AD39" s="599"/>
    </row>
    <row r="40" spans="1:30" ht="34.9" customHeight="1">
      <c r="A40" s="787"/>
      <c r="B40" s="610"/>
      <c r="C40" s="870" t="s">
        <v>2805</v>
      </c>
      <c r="D40" s="595" t="s">
        <v>2805</v>
      </c>
      <c r="E40" s="595" t="s">
        <v>2806</v>
      </c>
      <c r="F40" s="809"/>
      <c r="G40" s="596">
        <f t="shared" ref="G40" si="18">SUM(H40:M40)</f>
        <v>4</v>
      </c>
      <c r="H40" s="597">
        <f t="shared" si="17"/>
        <v>2</v>
      </c>
      <c r="I40" s="597">
        <f t="shared" si="16"/>
        <v>2</v>
      </c>
      <c r="J40" s="597">
        <f t="shared" si="11"/>
        <v>0</v>
      </c>
      <c r="K40" s="597">
        <f t="shared" si="12"/>
        <v>0</v>
      </c>
      <c r="L40" s="597">
        <f t="shared" si="13"/>
        <v>0</v>
      </c>
      <c r="M40" s="598">
        <f t="shared" si="14"/>
        <v>0</v>
      </c>
      <c r="N40" s="553"/>
      <c r="O40" s="539"/>
      <c r="P40" s="263"/>
      <c r="Q40" s="263"/>
      <c r="R40" s="263"/>
      <c r="S40" s="263"/>
      <c r="T40" s="263"/>
      <c r="U40" s="593"/>
      <c r="V40" s="593"/>
      <c r="W40" s="263"/>
      <c r="X40" s="263"/>
      <c r="Y40" s="263"/>
      <c r="Z40" s="263"/>
      <c r="AA40" s="263"/>
      <c r="AD40" s="599"/>
    </row>
    <row r="41" spans="1:30" ht="34.9" customHeight="1">
      <c r="A41" s="787"/>
      <c r="B41" s="610"/>
      <c r="C41" s="870" t="s">
        <v>2807</v>
      </c>
      <c r="D41" s="595" t="s">
        <v>2807</v>
      </c>
      <c r="E41" s="595" t="s">
        <v>2808</v>
      </c>
      <c r="F41" s="809"/>
      <c r="G41" s="596">
        <f t="shared" si="15"/>
        <v>0</v>
      </c>
      <c r="H41" s="597">
        <f t="shared" ref="H41:H118" si="19">COUNTIF(Area_v1,$C41)</f>
        <v>0</v>
      </c>
      <c r="I41" s="597">
        <f t="shared" ref="I41:I118" si="20">COUNTIF(Area_v2,$C41)</f>
        <v>0</v>
      </c>
      <c r="J41" s="597">
        <f t="shared" ref="J41:J118" si="21">COUNTIF(Area_v3,$C41)</f>
        <v>0</v>
      </c>
      <c r="K41" s="597">
        <f t="shared" ref="K41:K118" si="22">COUNTIF(Area_v4,$C41)</f>
        <v>0</v>
      </c>
      <c r="L41" s="597">
        <f t="shared" ref="L41:L118" si="23">COUNTIF(Area_v5,$C41)</f>
        <v>0</v>
      </c>
      <c r="M41" s="598">
        <f t="shared" ref="M41:M118" si="24">COUNTIF(Area_v6,$C41)</f>
        <v>0</v>
      </c>
      <c r="N41" s="553"/>
      <c r="O41" s="539"/>
      <c r="P41" s="263"/>
      <c r="Q41" s="263"/>
      <c r="R41" s="263"/>
      <c r="S41" s="263"/>
      <c r="T41" s="263"/>
      <c r="U41" s="593"/>
      <c r="V41" s="593"/>
      <c r="W41" s="263"/>
      <c r="X41" s="263"/>
      <c r="Y41" s="263"/>
      <c r="Z41" s="263"/>
      <c r="AA41" s="263"/>
      <c r="AD41" s="599"/>
    </row>
    <row r="42" spans="1:30" ht="20.45" customHeight="1">
      <c r="A42" s="788"/>
      <c r="B42" s="611"/>
      <c r="C42" s="868" t="s">
        <v>1200</v>
      </c>
      <c r="D42" s="600" t="s">
        <v>496</v>
      </c>
      <c r="E42" s="600" t="s">
        <v>678</v>
      </c>
      <c r="F42" s="807"/>
      <c r="G42" s="601">
        <f>SUM(H42:M42)</f>
        <v>0</v>
      </c>
      <c r="H42" s="602">
        <f>COUNTIF(Area_v1,"AnM/PL")+COUNTIF(Area_v1,"AnMC/PL")</f>
        <v>0</v>
      </c>
      <c r="I42" s="602">
        <f>COUNTIF(Area_v2,"AnM/PL")+COUNTIF(Area_v2,"AnMC/PL")</f>
        <v>0</v>
      </c>
      <c r="J42" s="602">
        <f>COUNTIF(Area_v3,"AnM/PL")+COUNTIF(Area_v3,"AnMC/PL")</f>
        <v>0</v>
      </c>
      <c r="K42" s="602">
        <f>COUNTIF(Area_v4,"AnM/PL")+COUNTIF(Area_v4,"AnMC/PL")</f>
        <v>0</v>
      </c>
      <c r="L42" s="602">
        <f>COUNTIF(Area_v5,"AnM/PL")+COUNTIF(Area_v5,"AnMC/PL")</f>
        <v>0</v>
      </c>
      <c r="M42" s="603">
        <f>COUNTIF(Area_v6,"AnM/PL")+COUNTIF(Area_v6,"AnMC/PL")</f>
        <v>0</v>
      </c>
      <c r="N42" s="553"/>
      <c r="O42" s="539"/>
      <c r="AD42" s="612" t="s">
        <v>1241</v>
      </c>
    </row>
    <row r="43" spans="1:30" ht="20.45" customHeight="1">
      <c r="A43" s="1264" t="s">
        <v>3021</v>
      </c>
      <c r="B43" s="579"/>
      <c r="C43" s="564" t="s">
        <v>2682</v>
      </c>
      <c r="D43" s="564" t="s">
        <v>2682</v>
      </c>
      <c r="E43" s="564" t="s">
        <v>3022</v>
      </c>
      <c r="F43" s="803"/>
      <c r="G43" s="565">
        <f>SUM(H43:M43)</f>
        <v>1</v>
      </c>
      <c r="H43" s="573">
        <f t="shared" si="17"/>
        <v>0</v>
      </c>
      <c r="I43" s="574">
        <f t="shared" si="16"/>
        <v>0</v>
      </c>
      <c r="J43" s="574">
        <f t="shared" si="11"/>
        <v>0</v>
      </c>
      <c r="K43" s="574">
        <f t="shared" si="12"/>
        <v>0</v>
      </c>
      <c r="L43" s="574">
        <f t="shared" si="13"/>
        <v>1</v>
      </c>
      <c r="M43" s="575">
        <f t="shared" si="14"/>
        <v>0</v>
      </c>
      <c r="N43" s="553"/>
      <c r="O43" s="539"/>
      <c r="P43" s="614"/>
      <c r="Q43" s="614"/>
      <c r="R43" s="614"/>
      <c r="S43" s="614"/>
      <c r="T43" s="614"/>
      <c r="U43" s="593"/>
      <c r="V43" s="593"/>
      <c r="W43" s="614"/>
      <c r="X43" s="614"/>
      <c r="Y43" s="614"/>
      <c r="Z43" s="614"/>
      <c r="AA43" s="614"/>
      <c r="AD43" s="599"/>
    </row>
    <row r="44" spans="1:30" ht="20.45" customHeight="1">
      <c r="A44" s="1265"/>
      <c r="B44" s="579"/>
      <c r="C44" s="564" t="s">
        <v>2683</v>
      </c>
      <c r="D44" s="564" t="s">
        <v>2683</v>
      </c>
      <c r="E44" s="564" t="s">
        <v>3023</v>
      </c>
      <c r="F44" s="803"/>
      <c r="G44" s="565">
        <f t="shared" ref="G44:G81" si="25">SUM(H44:M44)</f>
        <v>0</v>
      </c>
      <c r="H44" s="573">
        <f t="shared" si="17"/>
        <v>0</v>
      </c>
      <c r="I44" s="574">
        <f t="shared" si="16"/>
        <v>0</v>
      </c>
      <c r="J44" s="574">
        <f t="shared" si="11"/>
        <v>0</v>
      </c>
      <c r="K44" s="574">
        <f t="shared" si="12"/>
        <v>0</v>
      </c>
      <c r="L44" s="574">
        <f t="shared" si="13"/>
        <v>0</v>
      </c>
      <c r="M44" s="575">
        <f t="shared" si="14"/>
        <v>0</v>
      </c>
      <c r="N44" s="553"/>
      <c r="O44" s="539"/>
      <c r="P44" s="614"/>
      <c r="Q44" s="614"/>
      <c r="R44" s="614"/>
      <c r="S44" s="614"/>
      <c r="T44" s="614"/>
      <c r="U44" s="593"/>
      <c r="V44" s="593"/>
      <c r="W44" s="614"/>
      <c r="X44" s="614"/>
      <c r="Y44" s="614"/>
      <c r="Z44" s="614"/>
      <c r="AA44" s="614"/>
      <c r="AD44" s="599"/>
    </row>
    <row r="45" spans="1:30" ht="20.45" customHeight="1">
      <c r="A45" s="782"/>
      <c r="B45" s="579"/>
      <c r="C45" s="564" t="s">
        <v>2687</v>
      </c>
      <c r="D45" s="564" t="s">
        <v>2687</v>
      </c>
      <c r="E45" s="564" t="s">
        <v>3024</v>
      </c>
      <c r="F45" s="803"/>
      <c r="G45" s="565">
        <f t="shared" si="25"/>
        <v>0</v>
      </c>
      <c r="H45" s="573">
        <f t="shared" si="17"/>
        <v>0</v>
      </c>
      <c r="I45" s="574">
        <f t="shared" si="16"/>
        <v>0</v>
      </c>
      <c r="J45" s="574">
        <f t="shared" si="11"/>
        <v>0</v>
      </c>
      <c r="K45" s="574">
        <f t="shared" si="12"/>
        <v>0</v>
      </c>
      <c r="L45" s="574">
        <f t="shared" si="13"/>
        <v>0</v>
      </c>
      <c r="M45" s="575">
        <f t="shared" si="14"/>
        <v>0</v>
      </c>
      <c r="N45" s="553"/>
      <c r="O45" s="539"/>
      <c r="P45" s="614"/>
      <c r="Q45" s="614"/>
      <c r="R45" s="614"/>
      <c r="S45" s="614"/>
      <c r="T45" s="614"/>
      <c r="U45" s="593"/>
      <c r="V45" s="593"/>
      <c r="W45" s="614"/>
      <c r="X45" s="614"/>
      <c r="Y45" s="614"/>
      <c r="Z45" s="614"/>
      <c r="AA45" s="614"/>
      <c r="AD45" s="599"/>
    </row>
    <row r="46" spans="1:30" ht="20.45" customHeight="1">
      <c r="A46" s="782"/>
      <c r="B46" s="579"/>
      <c r="C46" s="564" t="s">
        <v>2688</v>
      </c>
      <c r="D46" s="564" t="s">
        <v>2688</v>
      </c>
      <c r="E46" s="564" t="s">
        <v>3025</v>
      </c>
      <c r="F46" s="803"/>
      <c r="G46" s="565">
        <f t="shared" si="25"/>
        <v>0</v>
      </c>
      <c r="H46" s="573">
        <f t="shared" si="17"/>
        <v>0</v>
      </c>
      <c r="I46" s="574">
        <f t="shared" si="16"/>
        <v>0</v>
      </c>
      <c r="J46" s="574">
        <f t="shared" si="11"/>
        <v>0</v>
      </c>
      <c r="K46" s="574">
        <f t="shared" si="12"/>
        <v>0</v>
      </c>
      <c r="L46" s="574">
        <f t="shared" si="13"/>
        <v>0</v>
      </c>
      <c r="M46" s="575">
        <f t="shared" si="14"/>
        <v>0</v>
      </c>
      <c r="N46" s="553"/>
      <c r="O46" s="539"/>
      <c r="P46" s="614"/>
      <c r="Q46" s="614"/>
      <c r="R46" s="614"/>
      <c r="S46" s="614"/>
      <c r="T46" s="614"/>
      <c r="U46" s="593"/>
      <c r="V46" s="593"/>
      <c r="W46" s="614"/>
      <c r="X46" s="614"/>
      <c r="Y46" s="614"/>
      <c r="Z46" s="614"/>
      <c r="AA46" s="614"/>
      <c r="AD46" s="599"/>
    </row>
    <row r="47" spans="1:30" ht="34.9" customHeight="1">
      <c r="A47" s="782"/>
      <c r="B47" s="579"/>
      <c r="C47" s="564" t="s">
        <v>2689</v>
      </c>
      <c r="D47" s="564" t="s">
        <v>2689</v>
      </c>
      <c r="E47" s="564" t="s">
        <v>3026</v>
      </c>
      <c r="F47" s="803"/>
      <c r="G47" s="565">
        <f t="shared" si="25"/>
        <v>0</v>
      </c>
      <c r="H47" s="573">
        <f t="shared" si="17"/>
        <v>0</v>
      </c>
      <c r="I47" s="574">
        <f t="shared" si="16"/>
        <v>0</v>
      </c>
      <c r="J47" s="574">
        <f t="shared" si="11"/>
        <v>0</v>
      </c>
      <c r="K47" s="574">
        <f t="shared" si="12"/>
        <v>0</v>
      </c>
      <c r="L47" s="574">
        <f t="shared" si="13"/>
        <v>0</v>
      </c>
      <c r="M47" s="575">
        <f t="shared" si="14"/>
        <v>0</v>
      </c>
      <c r="N47" s="553"/>
      <c r="O47" s="539"/>
      <c r="P47" s="614"/>
      <c r="Q47" s="614"/>
      <c r="R47" s="614"/>
      <c r="S47" s="614"/>
      <c r="T47" s="614"/>
      <c r="U47" s="593"/>
      <c r="V47" s="593"/>
      <c r="W47" s="614"/>
      <c r="X47" s="614"/>
      <c r="Y47" s="614"/>
      <c r="Z47" s="614"/>
      <c r="AA47" s="614"/>
      <c r="AD47" s="599"/>
    </row>
    <row r="48" spans="1:30" ht="20.45" customHeight="1">
      <c r="A48" s="782"/>
      <c r="B48" s="579"/>
      <c r="C48" s="564" t="s">
        <v>2686</v>
      </c>
      <c r="D48" s="564" t="s">
        <v>2686</v>
      </c>
      <c r="E48" s="564" t="s">
        <v>3027</v>
      </c>
      <c r="F48" s="803"/>
      <c r="G48" s="565">
        <f t="shared" si="25"/>
        <v>0</v>
      </c>
      <c r="H48" s="573">
        <f t="shared" si="17"/>
        <v>0</v>
      </c>
      <c r="I48" s="574">
        <f t="shared" si="16"/>
        <v>0</v>
      </c>
      <c r="J48" s="574">
        <f t="shared" si="11"/>
        <v>0</v>
      </c>
      <c r="K48" s="574">
        <f t="shared" si="12"/>
        <v>0</v>
      </c>
      <c r="L48" s="574">
        <f t="shared" si="13"/>
        <v>0</v>
      </c>
      <c r="M48" s="575">
        <f t="shared" si="14"/>
        <v>0</v>
      </c>
      <c r="N48" s="553"/>
      <c r="O48" s="539"/>
      <c r="P48" s="614"/>
      <c r="Q48" s="614"/>
      <c r="R48" s="614"/>
      <c r="S48" s="614"/>
      <c r="T48" s="614"/>
      <c r="U48" s="593"/>
      <c r="V48" s="593"/>
      <c r="W48" s="614"/>
      <c r="X48" s="614"/>
      <c r="Y48" s="614"/>
      <c r="Z48" s="614"/>
      <c r="AA48" s="614"/>
      <c r="AD48" s="599"/>
    </row>
    <row r="49" spans="1:30" ht="23.45" customHeight="1">
      <c r="A49" s="1266" t="s">
        <v>3028</v>
      </c>
      <c r="B49" s="613"/>
      <c r="C49" s="556" t="s">
        <v>647</v>
      </c>
      <c r="D49" s="556" t="s">
        <v>647</v>
      </c>
      <c r="E49" s="556" t="s">
        <v>3131</v>
      </c>
      <c r="F49" s="800"/>
      <c r="G49" s="557">
        <f t="shared" si="25"/>
        <v>0</v>
      </c>
      <c r="H49" s="999">
        <f t="shared" si="17"/>
        <v>0</v>
      </c>
      <c r="I49" s="559">
        <f t="shared" si="16"/>
        <v>0</v>
      </c>
      <c r="J49" s="559">
        <f t="shared" si="11"/>
        <v>0</v>
      </c>
      <c r="K49" s="559">
        <f t="shared" si="12"/>
        <v>0</v>
      </c>
      <c r="L49" s="559">
        <f t="shared" si="13"/>
        <v>0</v>
      </c>
      <c r="M49" s="560">
        <f t="shared" si="14"/>
        <v>0</v>
      </c>
      <c r="N49" s="553"/>
      <c r="O49" s="539"/>
      <c r="P49" s="614"/>
      <c r="Q49" s="614"/>
      <c r="R49" s="614"/>
      <c r="S49" s="614"/>
      <c r="T49" s="614"/>
      <c r="U49" s="593"/>
      <c r="V49" s="593"/>
      <c r="W49" s="614"/>
      <c r="X49" s="614"/>
      <c r="Y49" s="614"/>
      <c r="Z49" s="614"/>
      <c r="AA49" s="614"/>
      <c r="AD49" s="599"/>
    </row>
    <row r="50" spans="1:30" ht="31.9" customHeight="1">
      <c r="A50" s="1266"/>
      <c r="B50" s="613"/>
      <c r="C50" s="990" t="s">
        <v>2984</v>
      </c>
      <c r="D50" s="990" t="s">
        <v>2984</v>
      </c>
      <c r="E50" s="990" t="s">
        <v>3132</v>
      </c>
      <c r="F50" s="991"/>
      <c r="G50" s="992">
        <f t="shared" si="25"/>
        <v>0</v>
      </c>
      <c r="H50" s="573">
        <f t="shared" si="17"/>
        <v>0</v>
      </c>
      <c r="I50" s="574">
        <f t="shared" si="16"/>
        <v>0</v>
      </c>
      <c r="J50" s="574">
        <f t="shared" si="11"/>
        <v>0</v>
      </c>
      <c r="K50" s="574">
        <f t="shared" si="12"/>
        <v>0</v>
      </c>
      <c r="L50" s="574">
        <f t="shared" si="13"/>
        <v>0</v>
      </c>
      <c r="M50" s="575">
        <f t="shared" si="14"/>
        <v>0</v>
      </c>
      <c r="O50" s="539"/>
      <c r="AD50" s="615"/>
    </row>
    <row r="51" spans="1:30" ht="31.9" customHeight="1">
      <c r="A51" s="1267"/>
      <c r="B51" s="613"/>
      <c r="C51" s="564" t="s">
        <v>2809</v>
      </c>
      <c r="D51" s="564" t="s">
        <v>2809</v>
      </c>
      <c r="E51" s="564" t="s">
        <v>3133</v>
      </c>
      <c r="F51" s="803"/>
      <c r="G51" s="565">
        <f t="shared" si="25"/>
        <v>0</v>
      </c>
      <c r="H51" s="573">
        <f t="shared" si="17"/>
        <v>0</v>
      </c>
      <c r="I51" s="574">
        <f t="shared" si="16"/>
        <v>0</v>
      </c>
      <c r="J51" s="574">
        <f t="shared" si="11"/>
        <v>0</v>
      </c>
      <c r="K51" s="574">
        <f t="shared" si="12"/>
        <v>0</v>
      </c>
      <c r="L51" s="574">
        <f t="shared" si="13"/>
        <v>0</v>
      </c>
      <c r="M51" s="575">
        <f t="shared" si="14"/>
        <v>0</v>
      </c>
      <c r="O51" s="539"/>
      <c r="AD51" s="615"/>
    </row>
    <row r="52" spans="1:30" ht="31.9" customHeight="1">
      <c r="A52" s="789"/>
      <c r="B52" s="613"/>
      <c r="C52" s="564" t="s">
        <v>3029</v>
      </c>
      <c r="D52" s="564" t="s">
        <v>3029</v>
      </c>
      <c r="E52" s="564" t="s">
        <v>3134</v>
      </c>
      <c r="F52" s="803"/>
      <c r="G52" s="565">
        <f t="shared" si="25"/>
        <v>0</v>
      </c>
      <c r="H52" s="573">
        <f t="shared" si="17"/>
        <v>0</v>
      </c>
      <c r="I52" s="574">
        <f t="shared" si="16"/>
        <v>0</v>
      </c>
      <c r="J52" s="574">
        <f t="shared" si="11"/>
        <v>0</v>
      </c>
      <c r="K52" s="574">
        <f t="shared" si="12"/>
        <v>0</v>
      </c>
      <c r="L52" s="574">
        <f t="shared" si="13"/>
        <v>0</v>
      </c>
      <c r="M52" s="575">
        <f t="shared" si="14"/>
        <v>0</v>
      </c>
      <c r="O52" s="539"/>
      <c r="AD52" s="615"/>
    </row>
    <row r="53" spans="1:30" ht="31.9" customHeight="1">
      <c r="A53" s="789"/>
      <c r="B53" s="613"/>
      <c r="C53" s="564" t="s">
        <v>2810</v>
      </c>
      <c r="D53" s="564" t="s">
        <v>2810</v>
      </c>
      <c r="E53" s="564" t="s">
        <v>3135</v>
      </c>
      <c r="F53" s="803"/>
      <c r="G53" s="565">
        <f t="shared" si="25"/>
        <v>0</v>
      </c>
      <c r="H53" s="573">
        <f t="shared" si="17"/>
        <v>0</v>
      </c>
      <c r="I53" s="574">
        <f t="shared" si="16"/>
        <v>0</v>
      </c>
      <c r="J53" s="574">
        <f t="shared" si="11"/>
        <v>0</v>
      </c>
      <c r="K53" s="574">
        <f t="shared" si="12"/>
        <v>0</v>
      </c>
      <c r="L53" s="574">
        <f t="shared" si="13"/>
        <v>0</v>
      </c>
      <c r="M53" s="575">
        <f t="shared" si="14"/>
        <v>0</v>
      </c>
      <c r="O53" s="539"/>
      <c r="AD53" s="615"/>
    </row>
    <row r="54" spans="1:30" ht="31.9" customHeight="1">
      <c r="A54" s="789"/>
      <c r="B54" s="613"/>
      <c r="C54" s="564" t="s">
        <v>3030</v>
      </c>
      <c r="D54" s="564" t="s">
        <v>3030</v>
      </c>
      <c r="E54" s="564" t="s">
        <v>3136</v>
      </c>
      <c r="F54" s="803"/>
      <c r="G54" s="565">
        <f t="shared" si="25"/>
        <v>0</v>
      </c>
      <c r="H54" s="573">
        <f t="shared" si="17"/>
        <v>0</v>
      </c>
      <c r="I54" s="574">
        <f t="shared" si="16"/>
        <v>0</v>
      </c>
      <c r="J54" s="574">
        <f t="shared" si="11"/>
        <v>0</v>
      </c>
      <c r="K54" s="574">
        <f t="shared" si="12"/>
        <v>0</v>
      </c>
      <c r="L54" s="574">
        <f t="shared" si="13"/>
        <v>0</v>
      </c>
      <c r="M54" s="575">
        <f t="shared" si="14"/>
        <v>0</v>
      </c>
      <c r="O54" s="539"/>
      <c r="AD54" s="615"/>
    </row>
    <row r="55" spans="1:30" ht="31.9" customHeight="1">
      <c r="A55" s="789"/>
      <c r="B55" s="613"/>
      <c r="C55" s="564" t="s">
        <v>3031</v>
      </c>
      <c r="D55" s="564" t="s">
        <v>3031</v>
      </c>
      <c r="E55" s="564" t="s">
        <v>3137</v>
      </c>
      <c r="F55" s="803"/>
      <c r="G55" s="565">
        <f t="shared" si="25"/>
        <v>0</v>
      </c>
      <c r="H55" s="573">
        <f t="shared" si="17"/>
        <v>0</v>
      </c>
      <c r="I55" s="574">
        <f t="shared" si="16"/>
        <v>0</v>
      </c>
      <c r="J55" s="574">
        <f t="shared" si="11"/>
        <v>0</v>
      </c>
      <c r="K55" s="574">
        <f t="shared" si="12"/>
        <v>0</v>
      </c>
      <c r="L55" s="574">
        <f t="shared" si="13"/>
        <v>0</v>
      </c>
      <c r="M55" s="575">
        <f t="shared" si="14"/>
        <v>0</v>
      </c>
      <c r="O55" s="539"/>
      <c r="AD55" s="615"/>
    </row>
    <row r="56" spans="1:30" ht="31.9" customHeight="1">
      <c r="A56" s="789"/>
      <c r="B56" s="613"/>
      <c r="C56" s="564" t="s">
        <v>3032</v>
      </c>
      <c r="D56" s="564" t="s">
        <v>3032</v>
      </c>
      <c r="E56" s="564" t="s">
        <v>3138</v>
      </c>
      <c r="F56" s="803"/>
      <c r="G56" s="565">
        <f t="shared" si="25"/>
        <v>0</v>
      </c>
      <c r="H56" s="573">
        <f t="shared" si="17"/>
        <v>0</v>
      </c>
      <c r="I56" s="574">
        <f t="shared" si="16"/>
        <v>0</v>
      </c>
      <c r="J56" s="574">
        <f t="shared" si="11"/>
        <v>0</v>
      </c>
      <c r="K56" s="574">
        <f t="shared" si="12"/>
        <v>0</v>
      </c>
      <c r="L56" s="574">
        <f t="shared" si="13"/>
        <v>0</v>
      </c>
      <c r="M56" s="575">
        <f t="shared" si="14"/>
        <v>0</v>
      </c>
      <c r="O56" s="539"/>
      <c r="AD56" s="615"/>
    </row>
    <row r="57" spans="1:30" ht="31.9" customHeight="1">
      <c r="A57" s="1264" t="s">
        <v>3028</v>
      </c>
      <c r="B57" s="579"/>
      <c r="C57" s="556" t="s">
        <v>3033</v>
      </c>
      <c r="D57" s="556" t="s">
        <v>3033</v>
      </c>
      <c r="E57" s="556" t="s">
        <v>3034</v>
      </c>
      <c r="F57" s="800"/>
      <c r="G57" s="557">
        <f t="shared" si="25"/>
        <v>0</v>
      </c>
      <c r="H57" s="999">
        <f t="shared" si="17"/>
        <v>0</v>
      </c>
      <c r="I57" s="559">
        <f t="shared" si="16"/>
        <v>0</v>
      </c>
      <c r="J57" s="559">
        <f t="shared" si="11"/>
        <v>0</v>
      </c>
      <c r="K57" s="559">
        <f t="shared" si="12"/>
        <v>0</v>
      </c>
      <c r="L57" s="559">
        <f t="shared" si="13"/>
        <v>0</v>
      </c>
      <c r="M57" s="560">
        <f t="shared" si="14"/>
        <v>0</v>
      </c>
      <c r="O57" s="539"/>
      <c r="AD57" s="615"/>
    </row>
    <row r="58" spans="1:30" ht="31.9" customHeight="1">
      <c r="A58" s="1265"/>
      <c r="B58" s="579"/>
      <c r="C58" s="990" t="s">
        <v>3035</v>
      </c>
      <c r="D58" s="990" t="s">
        <v>3035</v>
      </c>
      <c r="E58" s="990" t="s">
        <v>3036</v>
      </c>
      <c r="F58" s="991"/>
      <c r="G58" s="992">
        <f t="shared" si="25"/>
        <v>0</v>
      </c>
      <c r="H58" s="573">
        <f t="shared" si="17"/>
        <v>0</v>
      </c>
      <c r="I58" s="574">
        <f t="shared" si="16"/>
        <v>0</v>
      </c>
      <c r="J58" s="574">
        <f t="shared" si="11"/>
        <v>0</v>
      </c>
      <c r="K58" s="574">
        <f t="shared" si="12"/>
        <v>0</v>
      </c>
      <c r="L58" s="574">
        <f t="shared" si="13"/>
        <v>0</v>
      </c>
      <c r="M58" s="575">
        <f t="shared" si="14"/>
        <v>0</v>
      </c>
      <c r="O58" s="539"/>
      <c r="AD58" s="615"/>
    </row>
    <row r="59" spans="1:30" ht="31.9" customHeight="1">
      <c r="A59" s="782"/>
      <c r="B59" s="579"/>
      <c r="C59" s="564" t="s">
        <v>3037</v>
      </c>
      <c r="D59" s="564" t="s">
        <v>3037</v>
      </c>
      <c r="E59" s="564" t="s">
        <v>3038</v>
      </c>
      <c r="F59" s="803"/>
      <c r="G59" s="565">
        <f t="shared" si="25"/>
        <v>0</v>
      </c>
      <c r="H59" s="573">
        <f t="shared" si="17"/>
        <v>0</v>
      </c>
      <c r="I59" s="574">
        <f t="shared" si="16"/>
        <v>0</v>
      </c>
      <c r="J59" s="574">
        <f t="shared" si="11"/>
        <v>0</v>
      </c>
      <c r="K59" s="574">
        <f t="shared" si="12"/>
        <v>0</v>
      </c>
      <c r="L59" s="574">
        <f t="shared" si="13"/>
        <v>0</v>
      </c>
      <c r="M59" s="575">
        <f t="shared" si="14"/>
        <v>0</v>
      </c>
      <c r="O59" s="539"/>
      <c r="AD59" s="615"/>
    </row>
    <row r="60" spans="1:30" ht="31.9" customHeight="1">
      <c r="A60" s="782"/>
      <c r="B60" s="579"/>
      <c r="C60" s="564" t="s">
        <v>3039</v>
      </c>
      <c r="D60" s="564" t="s">
        <v>3039</v>
      </c>
      <c r="E60" s="564" t="s">
        <v>3040</v>
      </c>
      <c r="F60" s="803"/>
      <c r="G60" s="565">
        <f t="shared" si="25"/>
        <v>0</v>
      </c>
      <c r="H60" s="573">
        <f t="shared" si="17"/>
        <v>0</v>
      </c>
      <c r="I60" s="574">
        <f t="shared" si="16"/>
        <v>0</v>
      </c>
      <c r="J60" s="574">
        <f t="shared" si="11"/>
        <v>0</v>
      </c>
      <c r="K60" s="574">
        <f t="shared" si="12"/>
        <v>0</v>
      </c>
      <c r="L60" s="574">
        <f t="shared" si="13"/>
        <v>0</v>
      </c>
      <c r="M60" s="575">
        <f t="shared" si="14"/>
        <v>0</v>
      </c>
      <c r="O60" s="539"/>
      <c r="AD60" s="615"/>
    </row>
    <row r="61" spans="1:30" ht="31.9" customHeight="1">
      <c r="A61" s="782"/>
      <c r="B61" s="579"/>
      <c r="C61" s="564" t="s">
        <v>3041</v>
      </c>
      <c r="D61" s="564" t="s">
        <v>3041</v>
      </c>
      <c r="E61" s="564" t="s">
        <v>3042</v>
      </c>
      <c r="F61" s="803"/>
      <c r="G61" s="565">
        <f t="shared" si="25"/>
        <v>0</v>
      </c>
      <c r="H61" s="573">
        <f t="shared" si="17"/>
        <v>0</v>
      </c>
      <c r="I61" s="574">
        <f t="shared" si="16"/>
        <v>0</v>
      </c>
      <c r="J61" s="574">
        <f t="shared" si="11"/>
        <v>0</v>
      </c>
      <c r="K61" s="574">
        <f t="shared" si="12"/>
        <v>0</v>
      </c>
      <c r="L61" s="574">
        <f t="shared" si="13"/>
        <v>0</v>
      </c>
      <c r="M61" s="575">
        <f t="shared" si="14"/>
        <v>0</v>
      </c>
      <c r="O61" s="539"/>
      <c r="AD61" s="615"/>
    </row>
    <row r="62" spans="1:30" ht="31.9" customHeight="1">
      <c r="A62" s="782"/>
      <c r="B62" s="579"/>
      <c r="C62" s="564" t="s">
        <v>3043</v>
      </c>
      <c r="D62" s="564" t="s">
        <v>3043</v>
      </c>
      <c r="E62" s="564" t="s">
        <v>3044</v>
      </c>
      <c r="F62" s="803"/>
      <c r="G62" s="565">
        <f t="shared" si="25"/>
        <v>0</v>
      </c>
      <c r="H62" s="573">
        <f t="shared" si="17"/>
        <v>0</v>
      </c>
      <c r="I62" s="574">
        <f t="shared" si="16"/>
        <v>0</v>
      </c>
      <c r="J62" s="574">
        <f t="shared" si="11"/>
        <v>0</v>
      </c>
      <c r="K62" s="574">
        <f t="shared" si="12"/>
        <v>0</v>
      </c>
      <c r="L62" s="574">
        <f t="shared" si="13"/>
        <v>0</v>
      </c>
      <c r="M62" s="575">
        <f t="shared" si="14"/>
        <v>0</v>
      </c>
      <c r="O62" s="539"/>
      <c r="AD62" s="615"/>
    </row>
    <row r="63" spans="1:30" ht="31.9" customHeight="1">
      <c r="A63" s="782"/>
      <c r="B63" s="579"/>
      <c r="C63" s="564" t="s">
        <v>3045</v>
      </c>
      <c r="D63" s="564" t="s">
        <v>3045</v>
      </c>
      <c r="E63" s="564" t="s">
        <v>3046</v>
      </c>
      <c r="F63" s="803"/>
      <c r="G63" s="565">
        <f t="shared" si="25"/>
        <v>0</v>
      </c>
      <c r="H63" s="573">
        <f t="shared" si="17"/>
        <v>0</v>
      </c>
      <c r="I63" s="574">
        <f t="shared" si="16"/>
        <v>0</v>
      </c>
      <c r="J63" s="574">
        <f t="shared" si="11"/>
        <v>0</v>
      </c>
      <c r="K63" s="574">
        <f t="shared" si="12"/>
        <v>0</v>
      </c>
      <c r="L63" s="574">
        <f t="shared" si="13"/>
        <v>0</v>
      </c>
      <c r="M63" s="575">
        <f t="shared" si="14"/>
        <v>0</v>
      </c>
      <c r="O63" s="539"/>
      <c r="AD63" s="615"/>
    </row>
    <row r="64" spans="1:30" ht="31.9" customHeight="1">
      <c r="A64" s="782"/>
      <c r="B64" s="579"/>
      <c r="C64" s="564" t="s">
        <v>3047</v>
      </c>
      <c r="D64" s="564" t="s">
        <v>3047</v>
      </c>
      <c r="E64" s="564" t="s">
        <v>3048</v>
      </c>
      <c r="F64" s="803"/>
      <c r="G64" s="565">
        <f t="shared" si="25"/>
        <v>0</v>
      </c>
      <c r="H64" s="573">
        <f t="shared" si="17"/>
        <v>0</v>
      </c>
      <c r="I64" s="574">
        <f t="shared" si="16"/>
        <v>0</v>
      </c>
      <c r="J64" s="574">
        <f t="shared" si="11"/>
        <v>0</v>
      </c>
      <c r="K64" s="574">
        <f t="shared" si="12"/>
        <v>0</v>
      </c>
      <c r="L64" s="574">
        <f t="shared" si="13"/>
        <v>0</v>
      </c>
      <c r="M64" s="575">
        <f t="shared" si="14"/>
        <v>0</v>
      </c>
      <c r="O64" s="539"/>
      <c r="AD64" s="615"/>
    </row>
    <row r="65" spans="1:30" ht="31.9" customHeight="1">
      <c r="A65" s="1266" t="s">
        <v>3028</v>
      </c>
      <c r="B65" s="613"/>
      <c r="C65" s="556" t="s">
        <v>2811</v>
      </c>
      <c r="D65" s="556" t="s">
        <v>2811</v>
      </c>
      <c r="E65" s="556" t="s">
        <v>2812</v>
      </c>
      <c r="F65" s="800"/>
      <c r="G65" s="557">
        <f t="shared" si="25"/>
        <v>0</v>
      </c>
      <c r="H65" s="999">
        <f t="shared" si="17"/>
        <v>0</v>
      </c>
      <c r="I65" s="559">
        <f t="shared" si="16"/>
        <v>0</v>
      </c>
      <c r="J65" s="559">
        <f t="shared" si="11"/>
        <v>0</v>
      </c>
      <c r="K65" s="559">
        <f t="shared" si="12"/>
        <v>0</v>
      </c>
      <c r="L65" s="559">
        <f t="shared" si="13"/>
        <v>0</v>
      </c>
      <c r="M65" s="560">
        <f t="shared" si="14"/>
        <v>0</v>
      </c>
      <c r="O65" s="539"/>
      <c r="AD65" s="615"/>
    </row>
    <row r="66" spans="1:30" ht="31.9" customHeight="1">
      <c r="A66" s="1266"/>
      <c r="B66" s="613"/>
      <c r="C66" s="990" t="s">
        <v>3049</v>
      </c>
      <c r="D66" s="990" t="s">
        <v>3049</v>
      </c>
      <c r="E66" s="990" t="s">
        <v>3050</v>
      </c>
      <c r="F66" s="991"/>
      <c r="G66" s="992">
        <f t="shared" si="25"/>
        <v>0</v>
      </c>
      <c r="H66" s="573">
        <f t="shared" si="17"/>
        <v>0</v>
      </c>
      <c r="I66" s="574">
        <f t="shared" si="16"/>
        <v>0</v>
      </c>
      <c r="J66" s="574">
        <f t="shared" si="11"/>
        <v>0</v>
      </c>
      <c r="K66" s="574">
        <f t="shared" si="12"/>
        <v>0</v>
      </c>
      <c r="L66" s="574">
        <f t="shared" si="13"/>
        <v>0</v>
      </c>
      <c r="M66" s="575">
        <f t="shared" si="14"/>
        <v>0</v>
      </c>
      <c r="O66" s="539"/>
      <c r="AD66" s="615"/>
    </row>
    <row r="67" spans="1:30" ht="31.9" customHeight="1">
      <c r="A67" s="1267"/>
      <c r="B67" s="613"/>
      <c r="C67" s="564" t="s">
        <v>2813</v>
      </c>
      <c r="D67" s="564" t="s">
        <v>2813</v>
      </c>
      <c r="E67" s="564" t="s">
        <v>2814</v>
      </c>
      <c r="F67" s="803"/>
      <c r="G67" s="565">
        <f t="shared" si="25"/>
        <v>0</v>
      </c>
      <c r="H67" s="573">
        <f t="shared" si="17"/>
        <v>0</v>
      </c>
      <c r="I67" s="574">
        <f t="shared" si="16"/>
        <v>0</v>
      </c>
      <c r="J67" s="574">
        <f t="shared" si="11"/>
        <v>0</v>
      </c>
      <c r="K67" s="574">
        <f t="shared" si="12"/>
        <v>0</v>
      </c>
      <c r="L67" s="574">
        <f t="shared" si="13"/>
        <v>0</v>
      </c>
      <c r="M67" s="575">
        <f t="shared" si="14"/>
        <v>0</v>
      </c>
      <c r="O67" s="539"/>
      <c r="AD67" s="615"/>
    </row>
    <row r="68" spans="1:30" ht="31.9" customHeight="1">
      <c r="A68" s="789"/>
      <c r="B68" s="613"/>
      <c r="C68" s="564" t="s">
        <v>3051</v>
      </c>
      <c r="D68" s="564" t="s">
        <v>3051</v>
      </c>
      <c r="E68" s="564" t="s">
        <v>3052</v>
      </c>
      <c r="F68" s="803"/>
      <c r="G68" s="565">
        <f t="shared" si="25"/>
        <v>0</v>
      </c>
      <c r="H68" s="573">
        <f t="shared" si="17"/>
        <v>0</v>
      </c>
      <c r="I68" s="574">
        <f t="shared" si="16"/>
        <v>0</v>
      </c>
      <c r="J68" s="574">
        <f t="shared" si="11"/>
        <v>0</v>
      </c>
      <c r="K68" s="574">
        <f t="shared" si="12"/>
        <v>0</v>
      </c>
      <c r="L68" s="574">
        <f t="shared" si="13"/>
        <v>0</v>
      </c>
      <c r="M68" s="575">
        <f t="shared" si="14"/>
        <v>0</v>
      </c>
      <c r="O68" s="539"/>
      <c r="AD68" s="615"/>
    </row>
    <row r="69" spans="1:30" ht="31.9" customHeight="1">
      <c r="A69" s="789"/>
      <c r="B69" s="613"/>
      <c r="C69" s="564" t="s">
        <v>2815</v>
      </c>
      <c r="D69" s="564" t="s">
        <v>2815</v>
      </c>
      <c r="E69" s="564" t="s">
        <v>2816</v>
      </c>
      <c r="F69" s="803"/>
      <c r="G69" s="565">
        <f t="shared" si="25"/>
        <v>0</v>
      </c>
      <c r="H69" s="573">
        <f t="shared" si="17"/>
        <v>0</v>
      </c>
      <c r="I69" s="574">
        <f t="shared" si="16"/>
        <v>0</v>
      </c>
      <c r="J69" s="574">
        <f t="shared" si="11"/>
        <v>0</v>
      </c>
      <c r="K69" s="574">
        <f t="shared" si="12"/>
        <v>0</v>
      </c>
      <c r="L69" s="574">
        <f t="shared" si="13"/>
        <v>0</v>
      </c>
      <c r="M69" s="575">
        <f t="shared" si="14"/>
        <v>0</v>
      </c>
      <c r="O69" s="539"/>
      <c r="AD69" s="615"/>
    </row>
    <row r="70" spans="1:30" ht="31.9" customHeight="1">
      <c r="A70" s="789"/>
      <c r="B70" s="613"/>
      <c r="C70" s="564" t="s">
        <v>3053</v>
      </c>
      <c r="D70" s="564" t="s">
        <v>3053</v>
      </c>
      <c r="E70" s="564" t="s">
        <v>3054</v>
      </c>
      <c r="F70" s="803"/>
      <c r="G70" s="565">
        <f t="shared" si="25"/>
        <v>0</v>
      </c>
      <c r="H70" s="573">
        <f t="shared" si="17"/>
        <v>0</v>
      </c>
      <c r="I70" s="574">
        <f t="shared" si="16"/>
        <v>0</v>
      </c>
      <c r="J70" s="574">
        <f t="shared" si="11"/>
        <v>0</v>
      </c>
      <c r="K70" s="574">
        <f t="shared" si="12"/>
        <v>0</v>
      </c>
      <c r="L70" s="574">
        <f t="shared" si="13"/>
        <v>0</v>
      </c>
      <c r="M70" s="575">
        <f t="shared" si="14"/>
        <v>0</v>
      </c>
      <c r="O70" s="539"/>
      <c r="AD70" s="615"/>
    </row>
    <row r="71" spans="1:30" ht="31.9" customHeight="1">
      <c r="A71" s="789"/>
      <c r="B71" s="613"/>
      <c r="C71" s="564" t="s">
        <v>3055</v>
      </c>
      <c r="D71" s="564" t="s">
        <v>3055</v>
      </c>
      <c r="E71" s="564" t="s">
        <v>3056</v>
      </c>
      <c r="F71" s="803"/>
      <c r="G71" s="565">
        <f t="shared" si="25"/>
        <v>0</v>
      </c>
      <c r="H71" s="573">
        <f t="shared" si="17"/>
        <v>0</v>
      </c>
      <c r="I71" s="574">
        <f t="shared" si="16"/>
        <v>0</v>
      </c>
      <c r="J71" s="574">
        <f t="shared" si="11"/>
        <v>0</v>
      </c>
      <c r="K71" s="574">
        <f t="shared" si="12"/>
        <v>0</v>
      </c>
      <c r="L71" s="574">
        <f t="shared" si="13"/>
        <v>0</v>
      </c>
      <c r="M71" s="575">
        <f t="shared" si="14"/>
        <v>0</v>
      </c>
      <c r="O71" s="539"/>
      <c r="AD71" s="615"/>
    </row>
    <row r="72" spans="1:30" ht="31.9" customHeight="1">
      <c r="A72" s="789"/>
      <c r="B72" s="613"/>
      <c r="C72" s="993" t="s">
        <v>3057</v>
      </c>
      <c r="D72" s="993" t="s">
        <v>3057</v>
      </c>
      <c r="E72" s="993" t="s">
        <v>3056</v>
      </c>
      <c r="F72" s="994"/>
      <c r="G72" s="995">
        <f t="shared" si="25"/>
        <v>0</v>
      </c>
      <c r="H72" s="1000">
        <f t="shared" si="17"/>
        <v>0</v>
      </c>
      <c r="I72" s="1001">
        <f t="shared" si="16"/>
        <v>0</v>
      </c>
      <c r="J72" s="1001">
        <f t="shared" si="11"/>
        <v>0</v>
      </c>
      <c r="K72" s="1001">
        <f t="shared" si="12"/>
        <v>0</v>
      </c>
      <c r="L72" s="1001">
        <f t="shared" si="13"/>
        <v>0</v>
      </c>
      <c r="M72" s="1002">
        <f t="shared" si="14"/>
        <v>0</v>
      </c>
      <c r="O72" s="539"/>
      <c r="AD72" s="615"/>
    </row>
    <row r="73" spans="1:30" ht="31.9" customHeight="1">
      <c r="A73" s="996" t="s">
        <v>875</v>
      </c>
      <c r="B73" s="579"/>
      <c r="C73" s="556" t="s">
        <v>2669</v>
      </c>
      <c r="D73" s="556" t="s">
        <v>2669</v>
      </c>
      <c r="E73" s="556" t="s">
        <v>3058</v>
      </c>
      <c r="F73" s="800"/>
      <c r="G73" s="557">
        <f>SUM(H73:M73)</f>
        <v>0</v>
      </c>
      <c r="H73" s="999">
        <f t="shared" si="17"/>
        <v>0</v>
      </c>
      <c r="I73" s="559">
        <f t="shared" si="16"/>
        <v>0</v>
      </c>
      <c r="J73" s="559">
        <f t="shared" si="11"/>
        <v>0</v>
      </c>
      <c r="K73" s="559">
        <f t="shared" si="12"/>
        <v>0</v>
      </c>
      <c r="L73" s="559">
        <f t="shared" si="13"/>
        <v>0</v>
      </c>
      <c r="M73" s="560">
        <f t="shared" si="14"/>
        <v>0</v>
      </c>
      <c r="O73" s="539"/>
      <c r="AD73" s="615"/>
    </row>
    <row r="74" spans="1:30" ht="31.9" customHeight="1">
      <c r="A74" s="782"/>
      <c r="B74" s="579"/>
      <c r="C74" s="586" t="s">
        <v>2670</v>
      </c>
      <c r="D74" s="586" t="s">
        <v>2670</v>
      </c>
      <c r="E74" s="586" t="s">
        <v>3059</v>
      </c>
      <c r="F74" s="804"/>
      <c r="G74" s="997">
        <f>SUM(H74:M74)</f>
        <v>2</v>
      </c>
      <c r="H74" s="1003">
        <f t="shared" si="17"/>
        <v>2</v>
      </c>
      <c r="I74" s="587">
        <f t="shared" si="16"/>
        <v>0</v>
      </c>
      <c r="J74" s="587">
        <f t="shared" si="11"/>
        <v>0</v>
      </c>
      <c r="K74" s="587">
        <f t="shared" si="12"/>
        <v>0</v>
      </c>
      <c r="L74" s="587">
        <f t="shared" si="13"/>
        <v>0</v>
      </c>
      <c r="M74" s="588">
        <f t="shared" si="14"/>
        <v>0</v>
      </c>
      <c r="O74" s="539"/>
      <c r="AD74" s="615"/>
    </row>
    <row r="75" spans="1:30" ht="31.9" customHeight="1">
      <c r="A75" s="789"/>
      <c r="B75" s="613"/>
      <c r="C75" s="990" t="s">
        <v>3060</v>
      </c>
      <c r="D75" s="990" t="s">
        <v>3060</v>
      </c>
      <c r="E75" s="990" t="s">
        <v>3061</v>
      </c>
      <c r="F75" s="991"/>
      <c r="G75" s="992">
        <f t="shared" ref="G75" si="26">SUM(H75:M75)</f>
        <v>0</v>
      </c>
      <c r="H75" s="1004">
        <f t="shared" si="17"/>
        <v>0</v>
      </c>
      <c r="I75" s="1005">
        <f t="shared" si="16"/>
        <v>0</v>
      </c>
      <c r="J75" s="1005">
        <f t="shared" si="11"/>
        <v>0</v>
      </c>
      <c r="K75" s="1005">
        <f t="shared" si="12"/>
        <v>0</v>
      </c>
      <c r="L75" s="1005">
        <f t="shared" si="13"/>
        <v>0</v>
      </c>
      <c r="M75" s="1006">
        <f t="shared" si="14"/>
        <v>0</v>
      </c>
      <c r="O75" s="539"/>
      <c r="AD75" s="615"/>
    </row>
    <row r="76" spans="1:30" ht="31.9" customHeight="1">
      <c r="A76" s="789"/>
      <c r="B76" s="613"/>
      <c r="C76" s="993" t="s">
        <v>3062</v>
      </c>
      <c r="D76" s="993" t="s">
        <v>3062</v>
      </c>
      <c r="E76" s="993" t="s">
        <v>3061</v>
      </c>
      <c r="F76" s="994"/>
      <c r="G76" s="995">
        <f>SUM(H76:M76)</f>
        <v>0</v>
      </c>
      <c r="H76" s="1000">
        <f t="shared" si="17"/>
        <v>0</v>
      </c>
      <c r="I76" s="1001">
        <f t="shared" si="16"/>
        <v>0</v>
      </c>
      <c r="J76" s="1001">
        <f t="shared" si="11"/>
        <v>0</v>
      </c>
      <c r="K76" s="1001">
        <f t="shared" si="12"/>
        <v>0</v>
      </c>
      <c r="L76" s="1001">
        <f t="shared" si="13"/>
        <v>0</v>
      </c>
      <c r="M76" s="1002">
        <f t="shared" si="14"/>
        <v>0</v>
      </c>
      <c r="O76" s="539"/>
      <c r="AD76" s="615"/>
    </row>
    <row r="77" spans="1:30" ht="31.9" customHeight="1">
      <c r="A77" s="782"/>
      <c r="B77" s="579"/>
      <c r="C77" s="556" t="s">
        <v>3063</v>
      </c>
      <c r="D77" s="556" t="s">
        <v>3063</v>
      </c>
      <c r="E77" s="556" t="s">
        <v>3064</v>
      </c>
      <c r="F77" s="800"/>
      <c r="G77" s="557">
        <f t="shared" ref="G77" si="27">SUM(H77:M77)</f>
        <v>0</v>
      </c>
      <c r="H77" s="999">
        <f t="shared" si="17"/>
        <v>0</v>
      </c>
      <c r="I77" s="559">
        <f t="shared" si="16"/>
        <v>0</v>
      </c>
      <c r="J77" s="559">
        <f t="shared" si="11"/>
        <v>0</v>
      </c>
      <c r="K77" s="559">
        <f t="shared" si="12"/>
        <v>0</v>
      </c>
      <c r="L77" s="559">
        <f t="shared" si="13"/>
        <v>0</v>
      </c>
      <c r="M77" s="560">
        <f t="shared" si="14"/>
        <v>0</v>
      </c>
      <c r="O77" s="539"/>
      <c r="AD77" s="615"/>
    </row>
    <row r="78" spans="1:30" ht="31.9" customHeight="1">
      <c r="A78" s="782"/>
      <c r="B78" s="579"/>
      <c r="C78" s="586" t="s">
        <v>3065</v>
      </c>
      <c r="D78" s="586" t="s">
        <v>3065</v>
      </c>
      <c r="E78" s="586" t="s">
        <v>3064</v>
      </c>
      <c r="F78" s="804"/>
      <c r="G78" s="997">
        <f>SUM(H78:M78)</f>
        <v>0</v>
      </c>
      <c r="H78" s="1003">
        <f t="shared" si="17"/>
        <v>0</v>
      </c>
      <c r="I78" s="587">
        <f t="shared" si="16"/>
        <v>0</v>
      </c>
      <c r="J78" s="587">
        <f t="shared" si="11"/>
        <v>0</v>
      </c>
      <c r="K78" s="587">
        <f t="shared" si="12"/>
        <v>0</v>
      </c>
      <c r="L78" s="587">
        <f t="shared" si="13"/>
        <v>0</v>
      </c>
      <c r="M78" s="588">
        <f t="shared" si="14"/>
        <v>0</v>
      </c>
      <c r="O78" s="539"/>
      <c r="AD78" s="615"/>
    </row>
    <row r="79" spans="1:30" ht="31.9" customHeight="1">
      <c r="A79" s="789"/>
      <c r="B79" s="613"/>
      <c r="C79" s="990" t="s">
        <v>3066</v>
      </c>
      <c r="D79" s="990" t="s">
        <v>3066</v>
      </c>
      <c r="E79" s="990" t="s">
        <v>3067</v>
      </c>
      <c r="F79" s="991"/>
      <c r="G79" s="992">
        <f t="shared" ref="G79" si="28">SUM(H79:M79)</f>
        <v>0</v>
      </c>
      <c r="H79" s="1004">
        <f t="shared" si="17"/>
        <v>0</v>
      </c>
      <c r="I79" s="1005">
        <f t="shared" si="16"/>
        <v>0</v>
      </c>
      <c r="J79" s="1005">
        <f t="shared" si="11"/>
        <v>0</v>
      </c>
      <c r="K79" s="1005">
        <f t="shared" si="12"/>
        <v>0</v>
      </c>
      <c r="L79" s="1005">
        <f t="shared" si="13"/>
        <v>0</v>
      </c>
      <c r="M79" s="1006">
        <f t="shared" si="14"/>
        <v>0</v>
      </c>
      <c r="O79" s="539"/>
      <c r="AD79" s="615"/>
    </row>
    <row r="80" spans="1:30" ht="31.9" customHeight="1">
      <c r="A80" s="789"/>
      <c r="B80" s="613"/>
      <c r="C80" s="564" t="s">
        <v>3068</v>
      </c>
      <c r="D80" s="564" t="s">
        <v>3068</v>
      </c>
      <c r="E80" s="564" t="s">
        <v>3067</v>
      </c>
      <c r="F80" s="803"/>
      <c r="G80" s="565">
        <f t="shared" si="25"/>
        <v>0</v>
      </c>
      <c r="H80" s="573">
        <f t="shared" si="17"/>
        <v>0</v>
      </c>
      <c r="I80" s="574">
        <f t="shared" si="16"/>
        <v>0</v>
      </c>
      <c r="J80" s="574">
        <f t="shared" si="11"/>
        <v>0</v>
      </c>
      <c r="K80" s="574">
        <f t="shared" si="12"/>
        <v>0</v>
      </c>
      <c r="L80" s="574">
        <f t="shared" si="13"/>
        <v>0</v>
      </c>
      <c r="M80" s="575">
        <f t="shared" si="14"/>
        <v>0</v>
      </c>
      <c r="O80" s="539"/>
      <c r="AD80" s="615"/>
    </row>
    <row r="81" spans="1:30" ht="31.9" customHeight="1">
      <c r="A81" s="1264" t="s">
        <v>3069</v>
      </c>
      <c r="B81" s="579" t="s">
        <v>3070</v>
      </c>
      <c r="C81" s="556" t="s">
        <v>1060</v>
      </c>
      <c r="D81" s="556" t="s">
        <v>1060</v>
      </c>
      <c r="E81" s="556" t="s">
        <v>3071</v>
      </c>
      <c r="F81" s="800"/>
      <c r="G81" s="557">
        <f t="shared" si="25"/>
        <v>63</v>
      </c>
      <c r="H81" s="999">
        <f t="shared" si="17"/>
        <v>33</v>
      </c>
      <c r="I81" s="559">
        <f t="shared" si="16"/>
        <v>30</v>
      </c>
      <c r="J81" s="559">
        <f t="shared" si="11"/>
        <v>0</v>
      </c>
      <c r="K81" s="559">
        <f t="shared" si="12"/>
        <v>0</v>
      </c>
      <c r="L81" s="559">
        <f t="shared" si="13"/>
        <v>0</v>
      </c>
      <c r="M81" s="560">
        <f t="shared" si="14"/>
        <v>0</v>
      </c>
      <c r="O81" s="539"/>
      <c r="AD81" s="615"/>
    </row>
    <row r="82" spans="1:30" ht="31.9" customHeight="1">
      <c r="A82" s="1265"/>
      <c r="B82" s="579" t="s">
        <v>3070</v>
      </c>
      <c r="C82" s="564" t="s">
        <v>1055</v>
      </c>
      <c r="D82" s="564" t="s">
        <v>1055</v>
      </c>
      <c r="E82" s="564" t="s">
        <v>3072</v>
      </c>
      <c r="F82" s="803"/>
      <c r="G82" s="565"/>
      <c r="H82" s="573">
        <f t="shared" si="17"/>
        <v>14</v>
      </c>
      <c r="I82" s="574">
        <f t="shared" si="16"/>
        <v>13</v>
      </c>
      <c r="J82" s="574">
        <f t="shared" si="11"/>
        <v>0</v>
      </c>
      <c r="K82" s="574">
        <f t="shared" si="12"/>
        <v>0</v>
      </c>
      <c r="L82" s="574">
        <f t="shared" si="13"/>
        <v>0</v>
      </c>
      <c r="M82" s="575">
        <f t="shared" si="14"/>
        <v>0</v>
      </c>
      <c r="O82" s="539"/>
      <c r="AD82" s="615"/>
    </row>
    <row r="83" spans="1:30" ht="31.9" customHeight="1">
      <c r="A83" s="789" t="s">
        <v>3073</v>
      </c>
      <c r="B83" s="998" t="s">
        <v>3070</v>
      </c>
      <c r="C83" s="586" t="s">
        <v>2985</v>
      </c>
      <c r="D83" s="586" t="s">
        <v>2985</v>
      </c>
      <c r="E83" s="986" t="s">
        <v>3074</v>
      </c>
      <c r="F83" s="804"/>
      <c r="G83" s="997">
        <f>SUM(H83:M83)</f>
        <v>7</v>
      </c>
      <c r="H83" s="1003">
        <f t="shared" si="17"/>
        <v>4</v>
      </c>
      <c r="I83" s="587">
        <f t="shared" si="16"/>
        <v>3</v>
      </c>
      <c r="J83" s="587">
        <f t="shared" si="11"/>
        <v>0</v>
      </c>
      <c r="K83" s="587">
        <f t="shared" si="12"/>
        <v>0</v>
      </c>
      <c r="L83" s="587">
        <f t="shared" si="13"/>
        <v>0</v>
      </c>
      <c r="M83" s="588">
        <f t="shared" si="14"/>
        <v>0</v>
      </c>
      <c r="O83" s="539"/>
      <c r="AD83" s="615"/>
    </row>
    <row r="84" spans="1:30" ht="20.45" customHeight="1">
      <c r="A84" s="750" t="s">
        <v>867</v>
      </c>
      <c r="B84" s="616"/>
      <c r="C84" s="871" t="s">
        <v>439</v>
      </c>
      <c r="D84" s="811" t="s">
        <v>497</v>
      </c>
      <c r="E84" s="811" t="s">
        <v>680</v>
      </c>
      <c r="F84" s="616" t="s">
        <v>679</v>
      </c>
      <c r="G84" s="617">
        <f t="shared" si="10"/>
        <v>0</v>
      </c>
      <c r="H84" s="618">
        <f t="shared" si="19"/>
        <v>0</v>
      </c>
      <c r="I84" s="618">
        <f t="shared" si="20"/>
        <v>0</v>
      </c>
      <c r="J84" s="618">
        <f t="shared" si="21"/>
        <v>0</v>
      </c>
      <c r="K84" s="618">
        <f t="shared" si="22"/>
        <v>0</v>
      </c>
      <c r="L84" s="618">
        <f t="shared" si="23"/>
        <v>0</v>
      </c>
      <c r="M84" s="619">
        <f t="shared" si="24"/>
        <v>0</v>
      </c>
      <c r="N84" s="553"/>
      <c r="O84" s="539"/>
      <c r="P84" s="1255" t="s">
        <v>1082</v>
      </c>
      <c r="Q84" s="1256"/>
      <c r="R84" s="1256"/>
      <c r="S84" s="1256"/>
      <c r="T84" s="1256"/>
      <c r="U84" s="1257"/>
      <c r="W84" s="1255" t="s">
        <v>1083</v>
      </c>
      <c r="X84" s="1256"/>
      <c r="Y84" s="1256"/>
      <c r="Z84" s="1256"/>
      <c r="AA84" s="1256"/>
      <c r="AB84" s="1257"/>
      <c r="AD84" s="594" t="s">
        <v>1242</v>
      </c>
    </row>
    <row r="85" spans="1:30" ht="20.45" customHeight="1">
      <c r="A85" s="69"/>
      <c r="B85" s="620"/>
      <c r="C85" s="872" t="s">
        <v>230</v>
      </c>
      <c r="D85" s="812" t="s">
        <v>498</v>
      </c>
      <c r="E85" s="812" t="s">
        <v>681</v>
      </c>
      <c r="F85" s="813" t="s">
        <v>679</v>
      </c>
      <c r="G85" s="621">
        <f t="shared" si="10"/>
        <v>137</v>
      </c>
      <c r="H85" s="622">
        <f t="shared" si="19"/>
        <v>68</v>
      </c>
      <c r="I85" s="622">
        <f t="shared" si="20"/>
        <v>67</v>
      </c>
      <c r="J85" s="622">
        <f t="shared" si="21"/>
        <v>1</v>
      </c>
      <c r="K85" s="622">
        <f t="shared" si="22"/>
        <v>0</v>
      </c>
      <c r="L85" s="622">
        <f t="shared" si="23"/>
        <v>1</v>
      </c>
      <c r="M85" s="623">
        <f t="shared" si="24"/>
        <v>0</v>
      </c>
      <c r="N85" s="553"/>
      <c r="O85" s="539"/>
      <c r="P85" s="624" t="s">
        <v>2549</v>
      </c>
      <c r="Q85" s="625" t="s">
        <v>2550</v>
      </c>
      <c r="R85" s="625" t="s">
        <v>2551</v>
      </c>
      <c r="S85" s="625" t="s">
        <v>2552</v>
      </c>
      <c r="T85" s="625" t="s">
        <v>2553</v>
      </c>
      <c r="U85" s="626" t="s">
        <v>474</v>
      </c>
      <c r="V85" s="536"/>
      <c r="W85" s="624" t="s">
        <v>2549</v>
      </c>
      <c r="X85" s="625" t="s">
        <v>2550</v>
      </c>
      <c r="Y85" s="625" t="s">
        <v>2551</v>
      </c>
      <c r="Z85" s="625" t="s">
        <v>2552</v>
      </c>
      <c r="AA85" s="625" t="s">
        <v>2553</v>
      </c>
      <c r="AB85" s="626" t="s">
        <v>474</v>
      </c>
      <c r="AD85" s="627" t="s">
        <v>1243</v>
      </c>
    </row>
    <row r="86" spans="1:30" ht="20.45" customHeight="1">
      <c r="A86" s="69"/>
      <c r="B86" s="620"/>
      <c r="C86" s="873" t="s">
        <v>1070</v>
      </c>
      <c r="D86" s="814" t="s">
        <v>1092</v>
      </c>
      <c r="E86" s="814" t="s">
        <v>1080</v>
      </c>
      <c r="F86" s="815" t="s">
        <v>679</v>
      </c>
      <c r="G86" s="628">
        <f t="shared" si="10"/>
        <v>28</v>
      </c>
      <c r="H86" s="629">
        <f t="shared" si="19"/>
        <v>15</v>
      </c>
      <c r="I86" s="629">
        <f t="shared" si="20"/>
        <v>13</v>
      </c>
      <c r="J86" s="629">
        <f t="shared" si="21"/>
        <v>0</v>
      </c>
      <c r="K86" s="629">
        <f t="shared" si="22"/>
        <v>0</v>
      </c>
      <c r="L86" s="629">
        <f t="shared" si="23"/>
        <v>0</v>
      </c>
      <c r="M86" s="630">
        <f t="shared" si="24"/>
        <v>0</v>
      </c>
      <c r="N86" s="553"/>
      <c r="O86" s="631">
        <f>SUM(P86:AB86)</f>
        <v>28</v>
      </c>
      <c r="P86" s="632">
        <f>COUNTIFS('HR Track 1'!$L$5:$L$1529,$C86,'HR Track 1'!$M$5:$M$1529,$P$85)</f>
        <v>14</v>
      </c>
      <c r="Q86" s="618">
        <f>COUNTIFS('HR Track 1'!$L$5:$L$1529,$C86,'HR Track 1'!$M$5:$M$1529,$Q$85)</f>
        <v>0</v>
      </c>
      <c r="R86" s="618">
        <f>COUNTIFS('HR Track 1'!$L$5:$L$1529,$C86,'HR Track 1'!$M$5:$M$1529,$R$85)</f>
        <v>1</v>
      </c>
      <c r="S86" s="618">
        <f>COUNTIFS('HR Track 1'!$L$5:$L$1529,$C86,'HR Track 1'!$M$5:$M$1529,$S$85)</f>
        <v>0</v>
      </c>
      <c r="T86" s="618">
        <f>COUNTIFS('HR Track 1'!$L$5:$L$1529,$C86,'HR Track 1'!$M$5:$M$1529,$T$85)</f>
        <v>0</v>
      </c>
      <c r="U86" s="619">
        <f>COUNTIFS('HR Track 1'!$L$5:$L$1529,$C86,'HR Track 1'!$M$5:$M$1529,$U$85)</f>
        <v>0</v>
      </c>
      <c r="V86" s="633"/>
      <c r="W86" s="632">
        <f>COUNTIFS('HR Track 2'!$L$4:$L$1529,$C86,'HR Track 2'!$M$4:$M$1529,$W$85)</f>
        <v>12</v>
      </c>
      <c r="X86" s="618">
        <f>COUNTIFS('HR Track 2'!$L$4:$L$1529,$C86,'HR Track 2'!$M$4:$M$1529,$X$85)</f>
        <v>0</v>
      </c>
      <c r="Y86" s="618">
        <f>COUNTIFS('HR Track 2'!$L$4:$L$1529,$C86,'HR Track 2'!$M$4:$M$1529,$Y$85)</f>
        <v>1</v>
      </c>
      <c r="Z86" s="618">
        <f>COUNTIFS('HR Track 2'!$L$4:$L$1529,$C86,'HR Track 2'!$M$4:$M$1529,$Z$85)</f>
        <v>0</v>
      </c>
      <c r="AA86" s="618">
        <f>COUNTIFS('HR Track 2'!$L$4:$L$1529,$C86,'HR Track 2'!$M$4:$M$1529,$AA$85)</f>
        <v>0</v>
      </c>
      <c r="AB86" s="619">
        <f>COUNTIFS('HR Track 2'!$L$4:$L$1529,$C86,'HR Track 2'!$M$4:$M$1529,$AB$85)</f>
        <v>0</v>
      </c>
      <c r="AD86" s="634" t="s">
        <v>1244</v>
      </c>
    </row>
    <row r="87" spans="1:30" ht="20.45" customHeight="1">
      <c r="A87" s="69"/>
      <c r="B87" s="620"/>
      <c r="C87" s="874" t="s">
        <v>2684</v>
      </c>
      <c r="D87" s="816" t="s">
        <v>2817</v>
      </c>
      <c r="E87" s="816" t="s">
        <v>2818</v>
      </c>
      <c r="F87" s="817" t="s">
        <v>679</v>
      </c>
      <c r="G87" s="635">
        <f t="shared" si="10"/>
        <v>10</v>
      </c>
      <c r="H87" s="636">
        <f t="shared" si="19"/>
        <v>5</v>
      </c>
      <c r="I87" s="636">
        <f t="shared" si="20"/>
        <v>5</v>
      </c>
      <c r="J87" s="636">
        <f t="shared" si="21"/>
        <v>0</v>
      </c>
      <c r="K87" s="636">
        <f t="shared" si="22"/>
        <v>0</v>
      </c>
      <c r="L87" s="636">
        <f t="shared" si="23"/>
        <v>0</v>
      </c>
      <c r="M87" s="637">
        <f t="shared" si="24"/>
        <v>0</v>
      </c>
      <c r="N87" s="553"/>
      <c r="O87" s="631"/>
      <c r="P87" s="638"/>
      <c r="Q87" s="553"/>
      <c r="R87" s="553"/>
      <c r="S87" s="553"/>
      <c r="T87" s="553"/>
      <c r="U87" s="639"/>
      <c r="V87" s="633"/>
      <c r="W87" s="638"/>
      <c r="X87" s="553"/>
      <c r="Y87" s="553"/>
      <c r="Z87" s="553"/>
      <c r="AA87" s="553"/>
      <c r="AB87" s="639"/>
      <c r="AD87" s="640" t="s">
        <v>2819</v>
      </c>
    </row>
    <row r="88" spans="1:30" ht="20.45" customHeight="1">
      <c r="A88" s="69"/>
      <c r="B88" s="620"/>
      <c r="C88" s="872" t="s">
        <v>231</v>
      </c>
      <c r="D88" s="812" t="s">
        <v>499</v>
      </c>
      <c r="E88" s="812" t="s">
        <v>682</v>
      </c>
      <c r="F88" s="813" t="s">
        <v>679</v>
      </c>
      <c r="G88" s="621">
        <f t="shared" si="10"/>
        <v>189</v>
      </c>
      <c r="H88" s="622">
        <f t="shared" si="19"/>
        <v>89</v>
      </c>
      <c r="I88" s="622">
        <f t="shared" si="20"/>
        <v>97</v>
      </c>
      <c r="J88" s="622">
        <f t="shared" si="21"/>
        <v>2</v>
      </c>
      <c r="K88" s="622">
        <f t="shared" si="22"/>
        <v>0</v>
      </c>
      <c r="L88" s="622">
        <f t="shared" si="23"/>
        <v>0</v>
      </c>
      <c r="M88" s="623">
        <f t="shared" si="24"/>
        <v>1</v>
      </c>
      <c r="N88" s="553"/>
      <c r="O88" s="539"/>
      <c r="P88" s="641">
        <f>COUNTIFS('HR Track 1'!$L$5:$L$1529,$C88,'HR Track 1'!$M$5:$M$1529,$P$85)</f>
        <v>0</v>
      </c>
      <c r="Q88" s="614">
        <f>COUNTIFS('HR Track 1'!$L$5:$L$1529,$C88,'HR Track 1'!$M$5:$M$1529,$Q$85)</f>
        <v>0</v>
      </c>
      <c r="R88" s="614">
        <f>COUNTIFS('HR Track 1'!$L$5:$L$1529,$C88,'HR Track 1'!$M$5:$M$1529,$R$85)</f>
        <v>0</v>
      </c>
      <c r="S88" s="614">
        <f>COUNTIFS('HR Track 1'!$L$5:$L$1529,$C88,'HR Track 1'!$M$5:$M$1529,$S$85)</f>
        <v>0</v>
      </c>
      <c r="T88" s="614">
        <f>COUNTIFS('HR Track 1'!$L$5:$L$1529,$C88,'HR Track 1'!$M$5:$M$1529,$T$85)</f>
        <v>0</v>
      </c>
      <c r="U88" s="642">
        <f>COUNTIFS('HR Track 1'!$L$5:$L$1529,$C88,'HR Track 1'!$M$5:$M$1529,$U$85)</f>
        <v>0</v>
      </c>
      <c r="V88" s="536"/>
      <c r="W88" s="641">
        <f>COUNTIFS('HR Track 2'!$L$4:$L$1529,$C88,'HR Track 2'!$M$4:$M$1529,$W$85)</f>
        <v>0</v>
      </c>
      <c r="X88" s="614">
        <f>COUNTIFS('HR Track 2'!$L$4:$L$1529,$C88,'HR Track 2'!$M$4:$M$1529,$X$85)</f>
        <v>0</v>
      </c>
      <c r="Y88" s="614">
        <f>COUNTIFS('HR Track 2'!$L$4:$L$1529,$C88,'HR Track 2'!$M$4:$M$1529,$Y$85)</f>
        <v>0</v>
      </c>
      <c r="Z88" s="614">
        <f>COUNTIFS('HR Track 2'!$L$4:$L$1529,$C88,'HR Track 2'!$M$4:$M$1529,$Z$85)</f>
        <v>0</v>
      </c>
      <c r="AA88" s="614">
        <f>COUNTIFS('HR Track 2'!$L$4:$L$1529,$C88,'HR Track 2'!$M$4:$M$1529,$AA$85)</f>
        <v>0</v>
      </c>
      <c r="AB88" s="642">
        <f>COUNTIFS('HR Track 2'!$L$4:$L$1529,$C88,'HR Track 2'!$M$4:$M$1529,$AB$85)</f>
        <v>0</v>
      </c>
      <c r="AD88" s="627" t="s">
        <v>1245</v>
      </c>
    </row>
    <row r="89" spans="1:30" ht="20.45" customHeight="1">
      <c r="A89" s="69"/>
      <c r="B89" s="620"/>
      <c r="C89" s="872" t="s">
        <v>1061</v>
      </c>
      <c r="D89" s="812" t="s">
        <v>1087</v>
      </c>
      <c r="E89" s="812" t="s">
        <v>1064</v>
      </c>
      <c r="F89" s="813" t="s">
        <v>679</v>
      </c>
      <c r="G89" s="621">
        <f t="shared" si="10"/>
        <v>44</v>
      </c>
      <c r="H89" s="622">
        <f t="shared" si="19"/>
        <v>20</v>
      </c>
      <c r="I89" s="622">
        <f t="shared" si="20"/>
        <v>19</v>
      </c>
      <c r="J89" s="622">
        <f t="shared" si="21"/>
        <v>2</v>
      </c>
      <c r="K89" s="622">
        <f t="shared" si="22"/>
        <v>0</v>
      </c>
      <c r="L89" s="622">
        <f t="shared" si="23"/>
        <v>1</v>
      </c>
      <c r="M89" s="623">
        <f t="shared" si="24"/>
        <v>2</v>
      </c>
      <c r="N89" s="553"/>
      <c r="O89" s="539"/>
      <c r="P89" s="641">
        <f>COUNTIFS('HR Track 1'!$L$5:$L$1529,$C89,'HR Track 1'!$M$5:$M$1529,$P$85)</f>
        <v>0</v>
      </c>
      <c r="Q89" s="614">
        <f>COUNTIFS('HR Track 1'!$L$5:$L$1529,$C89,'HR Track 1'!$M$5:$M$1529,$Q$85)</f>
        <v>0</v>
      </c>
      <c r="R89" s="614">
        <f>COUNTIFS('HR Track 1'!$L$5:$L$1529,$C89,'HR Track 1'!$M$5:$M$1529,$R$85)</f>
        <v>0</v>
      </c>
      <c r="S89" s="614">
        <f>COUNTIFS('HR Track 1'!$L$5:$L$1529,$C89,'HR Track 1'!$M$5:$M$1529,$S$85)</f>
        <v>0</v>
      </c>
      <c r="T89" s="614">
        <f>COUNTIFS('HR Track 1'!$L$5:$L$1529,$C89,'HR Track 1'!$M$5:$M$1529,$T$85)</f>
        <v>0</v>
      </c>
      <c r="U89" s="642">
        <f>COUNTIFS('HR Track 1'!$L$5:$L$1529,$C89,'HR Track 1'!$M$5:$M$1529,$U$85)</f>
        <v>0</v>
      </c>
      <c r="V89" s="536"/>
      <c r="W89" s="641">
        <f>COUNTIFS('HR Track 2'!$L$4:$L$1529,$C89,'HR Track 2'!$M$4:$M$1529,$W$85)</f>
        <v>0</v>
      </c>
      <c r="X89" s="614">
        <f>COUNTIFS('HR Track 2'!$L$4:$L$1529,$C89,'HR Track 2'!$M$4:$M$1529,$X$85)</f>
        <v>0</v>
      </c>
      <c r="Y89" s="614">
        <f>COUNTIFS('HR Track 2'!$L$4:$L$1529,$C89,'HR Track 2'!$M$4:$M$1529,$Y$85)</f>
        <v>0</v>
      </c>
      <c r="Z89" s="614">
        <f>COUNTIFS('HR Track 2'!$L$4:$L$1529,$C89,'HR Track 2'!$M$4:$M$1529,$Z$85)</f>
        <v>0</v>
      </c>
      <c r="AA89" s="614">
        <f>COUNTIFS('HR Track 2'!$L$4:$L$1529,$C89,'HR Track 2'!$M$4:$M$1529,$AA$85)</f>
        <v>0</v>
      </c>
      <c r="AB89" s="642">
        <f>COUNTIFS('HR Track 2'!$L$4:$L$1529,$C89,'HR Track 2'!$M$4:$M$1529,$AB$85)</f>
        <v>0</v>
      </c>
      <c r="AD89" s="627" t="s">
        <v>1246</v>
      </c>
    </row>
    <row r="90" spans="1:30" ht="20.45" customHeight="1">
      <c r="A90" s="69"/>
      <c r="B90" s="620"/>
      <c r="C90" s="873" t="s">
        <v>1066</v>
      </c>
      <c r="D90" s="814" t="s">
        <v>1113</v>
      </c>
      <c r="E90" s="814" t="s">
        <v>1075</v>
      </c>
      <c r="F90" s="815" t="s">
        <v>679</v>
      </c>
      <c r="G90" s="628">
        <f t="shared" si="10"/>
        <v>20</v>
      </c>
      <c r="H90" s="629">
        <f t="shared" si="19"/>
        <v>9</v>
      </c>
      <c r="I90" s="629">
        <f t="shared" si="20"/>
        <v>11</v>
      </c>
      <c r="J90" s="629">
        <f t="shared" si="21"/>
        <v>0</v>
      </c>
      <c r="K90" s="629">
        <f t="shared" si="22"/>
        <v>0</v>
      </c>
      <c r="L90" s="629">
        <f t="shared" si="23"/>
        <v>0</v>
      </c>
      <c r="M90" s="630">
        <f t="shared" si="24"/>
        <v>0</v>
      </c>
      <c r="N90" s="553"/>
      <c r="O90" s="631">
        <f>SUM(P90:AB90)</f>
        <v>20</v>
      </c>
      <c r="P90" s="638">
        <f>COUNTIFS('HR Track 1'!$L$5:$L$1529,$C90,'HR Track 1'!$M$5:$M$1529,$P$85)</f>
        <v>7</v>
      </c>
      <c r="Q90" s="553">
        <f>COUNTIFS('HR Track 1'!$L$5:$L$1529,$C90,'HR Track 1'!$M$5:$M$1529,$Q$85)</f>
        <v>1</v>
      </c>
      <c r="R90" s="553">
        <f>COUNTIFS('HR Track 1'!$L$5:$L$1529,$C90,'HR Track 1'!$M$5:$M$1529,$R$85)</f>
        <v>0</v>
      </c>
      <c r="S90" s="553">
        <f>COUNTIFS('HR Track 1'!$L$5:$L$1529,$C90,'HR Track 1'!$M$5:$M$1529,$S$85)</f>
        <v>0</v>
      </c>
      <c r="T90" s="553">
        <f>COUNTIFS('HR Track 1'!$L$5:$L$1529,$C90,'HR Track 1'!$M$5:$M$1529,$T$85)</f>
        <v>0</v>
      </c>
      <c r="U90" s="639">
        <f>COUNTIFS('HR Track 1'!$L$5:$L$1529,$C90,'HR Track 1'!$M$5:$M$1529,$U$85)</f>
        <v>1</v>
      </c>
      <c r="V90" s="633"/>
      <c r="W90" s="638">
        <f>COUNTIFS('HR Track 2'!$L$4:$L$1529,$C90,'HR Track 2'!$M$4:$M$1529,$W$85)</f>
        <v>10</v>
      </c>
      <c r="X90" s="553">
        <f>COUNTIFS('HR Track 2'!$L$4:$L$1529,$C90,'HR Track 2'!$M$4:$M$1529,$X$85)</f>
        <v>1</v>
      </c>
      <c r="Y90" s="553">
        <f>COUNTIFS('HR Track 2'!$L$4:$L$1529,$C90,'HR Track 2'!$M$4:$M$1529,$Y$85)</f>
        <v>0</v>
      </c>
      <c r="Z90" s="553">
        <f>COUNTIFS('HR Track 2'!$L$4:$L$1529,$C90,'HR Track 2'!$M$4:$M$1529,$Z$85)</f>
        <v>0</v>
      </c>
      <c r="AA90" s="553">
        <f>COUNTIFS('HR Track 2'!$L$4:$L$1529,$C90,'HR Track 2'!$M$4:$M$1529,$AA$85)</f>
        <v>0</v>
      </c>
      <c r="AB90" s="639">
        <f>COUNTIFS('HR Track 2'!$L$4:$L$1529,$C90,'HR Track 2'!$M$4:$M$1529,$AB$85)</f>
        <v>0</v>
      </c>
      <c r="AD90" s="634" t="s">
        <v>1247</v>
      </c>
    </row>
    <row r="91" spans="1:30" ht="20.45" customHeight="1">
      <c r="A91" s="69"/>
      <c r="B91" s="620"/>
      <c r="C91" s="875" t="s">
        <v>2685</v>
      </c>
      <c r="D91" s="818" t="s">
        <v>2820</v>
      </c>
      <c r="E91" s="818" t="s">
        <v>2821</v>
      </c>
      <c r="F91" s="819" t="s">
        <v>679</v>
      </c>
      <c r="G91" s="643">
        <f t="shared" si="10"/>
        <v>22</v>
      </c>
      <c r="H91" s="644">
        <f t="shared" si="19"/>
        <v>11</v>
      </c>
      <c r="I91" s="644">
        <f t="shared" si="20"/>
        <v>11</v>
      </c>
      <c r="J91" s="644">
        <f t="shared" si="21"/>
        <v>0</v>
      </c>
      <c r="K91" s="644">
        <f t="shared" si="22"/>
        <v>0</v>
      </c>
      <c r="L91" s="644">
        <f t="shared" si="23"/>
        <v>0</v>
      </c>
      <c r="M91" s="645">
        <f t="shared" si="24"/>
        <v>0</v>
      </c>
      <c r="N91" s="553"/>
      <c r="O91" s="561">
        <f>SUM(P91:AB91)</f>
        <v>0</v>
      </c>
      <c r="P91" s="641">
        <f>COUNTIFS('HR Track 1'!$L$5:$L$1529,$C91,'HR Track 1'!$M$5:$M$1529,$P$85)</f>
        <v>0</v>
      </c>
      <c r="Q91" s="614">
        <f>COUNTIFS('HR Track 1'!$L$5:$L$1529,$C91,'HR Track 1'!$M$5:$M$1529,$Q$85)</f>
        <v>0</v>
      </c>
      <c r="R91" s="614">
        <f>COUNTIFS('HR Track 1'!$L$5:$L$1529,$C91,'HR Track 1'!$M$5:$M$1529,$R$85)</f>
        <v>0</v>
      </c>
      <c r="S91" s="614">
        <f>COUNTIFS('HR Track 1'!$L$5:$L$1529,$C91,'HR Track 1'!$M$5:$M$1529,$S$85)</f>
        <v>0</v>
      </c>
      <c r="T91" s="614">
        <f>COUNTIFS('HR Track 1'!$L$5:$L$1529,$C91,'HR Track 1'!$M$5:$M$1529,$T$85)</f>
        <v>0</v>
      </c>
      <c r="U91" s="642">
        <f>COUNTIFS('HR Track 1'!$L$5:$L$1529,$C91,'HR Track 1'!$M$5:$M$1529,$U$85)</f>
        <v>0</v>
      </c>
      <c r="V91" s="536"/>
      <c r="W91" s="641">
        <f>COUNTIFS('HR Track 2'!$L$4:$L$1529,$C91,'HR Track 2'!$M$4:$M$1529,$W$85)</f>
        <v>0</v>
      </c>
      <c r="X91" s="614">
        <f>COUNTIFS('HR Track 2'!$L$4:$L$1529,$C91,'HR Track 2'!$M$4:$M$1529,$X$85)</f>
        <v>0</v>
      </c>
      <c r="Y91" s="614">
        <f>COUNTIFS('HR Track 2'!$L$4:$L$1529,$C91,'HR Track 2'!$M$4:$M$1529,$Y$85)</f>
        <v>0</v>
      </c>
      <c r="Z91" s="614">
        <f>COUNTIFS('HR Track 2'!$L$4:$L$1529,$C91,'HR Track 2'!$M$4:$M$1529,$Z$85)</f>
        <v>0</v>
      </c>
      <c r="AA91" s="614">
        <f>COUNTIFS('HR Track 2'!$L$4:$L$1529,$C91,'HR Track 2'!$M$4:$M$1529,$AA$85)</f>
        <v>0</v>
      </c>
      <c r="AB91" s="642">
        <f>COUNTIFS('HR Track 2'!$L$4:$L$1529,$C91,'HR Track 2'!$M$4:$M$1529,$AB$85)</f>
        <v>0</v>
      </c>
      <c r="AD91" s="640" t="s">
        <v>2822</v>
      </c>
    </row>
    <row r="92" spans="1:30" ht="20.45" customHeight="1">
      <c r="A92" s="69"/>
      <c r="B92" s="620"/>
      <c r="C92" s="876" t="s">
        <v>237</v>
      </c>
      <c r="D92" s="821" t="s">
        <v>500</v>
      </c>
      <c r="E92" s="821" t="s">
        <v>683</v>
      </c>
      <c r="F92" s="620" t="s">
        <v>679</v>
      </c>
      <c r="G92" s="646">
        <f t="shared" si="10"/>
        <v>0</v>
      </c>
      <c r="H92" s="553">
        <f>COUNTIF(Area_v1,$C92)</f>
        <v>0</v>
      </c>
      <c r="I92" s="553">
        <f t="shared" si="20"/>
        <v>0</v>
      </c>
      <c r="J92" s="553">
        <f t="shared" si="21"/>
        <v>0</v>
      </c>
      <c r="K92" s="553">
        <f t="shared" si="22"/>
        <v>0</v>
      </c>
      <c r="L92" s="553">
        <f t="shared" si="23"/>
        <v>0</v>
      </c>
      <c r="M92" s="639">
        <f t="shared" si="24"/>
        <v>0</v>
      </c>
      <c r="N92" s="553"/>
      <c r="O92" s="539"/>
      <c r="P92" s="641">
        <f>COUNTIFS('HR Track 1'!$L$5:$L$1529,$C92,'HR Track 1'!$M$5:$M$1529,$P$85)</f>
        <v>0</v>
      </c>
      <c r="Q92" s="614">
        <f>COUNTIFS('HR Track 1'!$L$5:$L$1529,$C92,'HR Track 1'!$M$5:$M$1529,$Q$85)</f>
        <v>0</v>
      </c>
      <c r="R92" s="614">
        <f>COUNTIFS('HR Track 1'!$L$5:$L$1529,$C92,'HR Track 1'!$M$5:$M$1529,$R$85)</f>
        <v>0</v>
      </c>
      <c r="S92" s="614">
        <f>COUNTIFS('HR Track 1'!$L$5:$L$1529,$C92,'HR Track 1'!$M$5:$M$1529,$S$85)</f>
        <v>0</v>
      </c>
      <c r="T92" s="614">
        <f>COUNTIFS('HR Track 1'!$L$5:$L$1529,$C92,'HR Track 1'!$M$5:$M$1529,$T$85)</f>
        <v>0</v>
      </c>
      <c r="U92" s="642">
        <f>COUNTIFS('HR Track 1'!$L$5:$L$1529,$C92,'HR Track 1'!$M$5:$M$1529,$U$85)</f>
        <v>0</v>
      </c>
      <c r="V92" s="536"/>
      <c r="W92" s="641">
        <f>COUNTIFS('HR Track 2'!$L$4:$L$1529,$C92,'HR Track 2'!$M$4:$M$1529,$W$85)</f>
        <v>0</v>
      </c>
      <c r="X92" s="614">
        <f>COUNTIFS('HR Track 2'!$L$4:$L$1529,$C92,'HR Track 2'!$M$4:$M$1529,$X$85)</f>
        <v>0</v>
      </c>
      <c r="Y92" s="614">
        <f>COUNTIFS('HR Track 2'!$L$4:$L$1529,$C92,'HR Track 2'!$M$4:$M$1529,$Y$85)</f>
        <v>0</v>
      </c>
      <c r="Z92" s="614">
        <f>COUNTIFS('HR Track 2'!$L$4:$L$1529,$C92,'HR Track 2'!$M$4:$M$1529,$Z$85)</f>
        <v>0</v>
      </c>
      <c r="AA92" s="614">
        <f>COUNTIFS('HR Track 2'!$L$4:$L$1529,$C92,'HR Track 2'!$M$4:$M$1529,$AA$85)</f>
        <v>0</v>
      </c>
      <c r="AB92" s="642">
        <f>COUNTIFS('HR Track 2'!$L$4:$L$1529,$C92,'HR Track 2'!$M$4:$M$1529,$AB$85)</f>
        <v>0</v>
      </c>
      <c r="AD92" s="612" t="s">
        <v>1248</v>
      </c>
    </row>
    <row r="93" spans="1:30" ht="20.45" customHeight="1">
      <c r="A93" s="69"/>
      <c r="B93" s="620"/>
      <c r="C93" s="872" t="s">
        <v>1062</v>
      </c>
      <c r="D93" s="812" t="s">
        <v>1094</v>
      </c>
      <c r="E93" s="812" t="s">
        <v>1078</v>
      </c>
      <c r="F93" s="813" t="s">
        <v>679</v>
      </c>
      <c r="G93" s="621">
        <f t="shared" si="10"/>
        <v>25</v>
      </c>
      <c r="H93" s="622">
        <f t="shared" si="19"/>
        <v>13</v>
      </c>
      <c r="I93" s="622">
        <f t="shared" si="20"/>
        <v>11</v>
      </c>
      <c r="J93" s="622">
        <f t="shared" si="21"/>
        <v>0</v>
      </c>
      <c r="K93" s="622">
        <f t="shared" si="22"/>
        <v>0</v>
      </c>
      <c r="L93" s="622">
        <f t="shared" si="23"/>
        <v>0</v>
      </c>
      <c r="M93" s="623">
        <f t="shared" si="24"/>
        <v>1</v>
      </c>
      <c r="N93" s="553"/>
      <c r="O93" s="539"/>
      <c r="P93" s="641">
        <f>COUNTIFS('HR Track 1'!$L$5:$L$1529,$C93,'HR Track 1'!$M$5:$M$1529,$P$85)</f>
        <v>0</v>
      </c>
      <c r="Q93" s="614">
        <f>COUNTIFS('HR Track 1'!$L$5:$L$1529,$C93,'HR Track 1'!$M$5:$M$1529,$Q$85)</f>
        <v>0</v>
      </c>
      <c r="R93" s="614">
        <f>COUNTIFS('HR Track 1'!$L$5:$L$1529,$C93,'HR Track 1'!$M$5:$M$1529,$R$85)</f>
        <v>0</v>
      </c>
      <c r="S93" s="614">
        <f>COUNTIFS('HR Track 1'!$L$5:$L$1529,$C93,'HR Track 1'!$M$5:$M$1529,$S$85)</f>
        <v>0</v>
      </c>
      <c r="T93" s="614">
        <f>COUNTIFS('HR Track 1'!$L$5:$L$1529,$C93,'HR Track 1'!$M$5:$M$1529,$T$85)</f>
        <v>0</v>
      </c>
      <c r="U93" s="642">
        <f>COUNTIFS('HR Track 1'!$L$5:$L$1529,$C93,'HR Track 1'!$M$5:$M$1529,$U$85)</f>
        <v>0</v>
      </c>
      <c r="V93" s="536"/>
      <c r="W93" s="641">
        <f>COUNTIFS('HR Track 2'!$L$4:$L$1529,$C93,'HR Track 2'!$M$4:$M$1529,$W$85)</f>
        <v>0</v>
      </c>
      <c r="X93" s="614">
        <f>COUNTIFS('HR Track 2'!$L$4:$L$1529,$C93,'HR Track 2'!$M$4:$M$1529,$X$85)</f>
        <v>0</v>
      </c>
      <c r="Y93" s="614">
        <f>COUNTIFS('HR Track 2'!$L$4:$L$1529,$C93,'HR Track 2'!$M$4:$M$1529,$Y$85)</f>
        <v>0</v>
      </c>
      <c r="Z93" s="614">
        <f>COUNTIFS('HR Track 2'!$L$4:$L$1529,$C93,'HR Track 2'!$M$4:$M$1529,$Z$85)</f>
        <v>0</v>
      </c>
      <c r="AA93" s="614">
        <f>COUNTIFS('HR Track 2'!$L$4:$L$1529,$C93,'HR Track 2'!$M$4:$M$1529,$AA$85)</f>
        <v>0</v>
      </c>
      <c r="AB93" s="642">
        <f>COUNTIFS('HR Track 2'!$L$4:$L$1529,$C93,'HR Track 2'!$M$4:$M$1529,$AB$85)</f>
        <v>0</v>
      </c>
      <c r="AD93" s="627" t="s">
        <v>1249</v>
      </c>
    </row>
    <row r="94" spans="1:30" ht="20.45" customHeight="1">
      <c r="A94" s="69"/>
      <c r="B94" s="620"/>
      <c r="C94" s="873" t="s">
        <v>1068</v>
      </c>
      <c r="D94" s="814" t="s">
        <v>1095</v>
      </c>
      <c r="E94" s="814" t="s">
        <v>1076</v>
      </c>
      <c r="F94" s="815" t="s">
        <v>679</v>
      </c>
      <c r="G94" s="628">
        <f t="shared" si="10"/>
        <v>15</v>
      </c>
      <c r="H94" s="629">
        <f t="shared" si="19"/>
        <v>8</v>
      </c>
      <c r="I94" s="629">
        <f t="shared" si="20"/>
        <v>7</v>
      </c>
      <c r="J94" s="629">
        <f t="shared" si="21"/>
        <v>0</v>
      </c>
      <c r="K94" s="629">
        <f t="shared" si="22"/>
        <v>0</v>
      </c>
      <c r="L94" s="629">
        <f t="shared" si="23"/>
        <v>0</v>
      </c>
      <c r="M94" s="630">
        <f t="shared" si="24"/>
        <v>0</v>
      </c>
      <c r="N94" s="553"/>
      <c r="O94" s="631">
        <f>SUM(P94:AB94)</f>
        <v>15</v>
      </c>
      <c r="P94" s="638">
        <f>COUNTIFS('HR Track 1'!$L$5:$L$1529,$C94,'HR Track 1'!$M$5:$M$1529,$P$85)</f>
        <v>7</v>
      </c>
      <c r="Q94" s="553">
        <f>COUNTIFS('HR Track 1'!$L$5:$L$1529,$C94,'HR Track 1'!$M$5:$M$1529,$Q$85)</f>
        <v>0</v>
      </c>
      <c r="R94" s="553">
        <f>COUNTIFS('HR Track 1'!$L$5:$L$1529,$C94,'HR Track 1'!$M$5:$M$1529,$R$85)</f>
        <v>1</v>
      </c>
      <c r="S94" s="553">
        <f>COUNTIFS('HR Track 1'!$L$5:$L$1529,$C94,'HR Track 1'!$M$5:$M$1529,$S$85)</f>
        <v>0</v>
      </c>
      <c r="T94" s="553">
        <f>COUNTIFS('HR Track 1'!$L$5:$L$1529,$C94,'HR Track 1'!$M$5:$M$1529,$T$85)</f>
        <v>0</v>
      </c>
      <c r="U94" s="639">
        <f>COUNTIFS('HR Track 1'!$L$5:$L$1529,$C94,'HR Track 1'!$M$5:$M$1529,$U$85)</f>
        <v>0</v>
      </c>
      <c r="V94" s="633"/>
      <c r="W94" s="638">
        <f>COUNTIFS('HR Track 2'!$L$4:$L$1529,$C94,'HR Track 2'!$M$4:$M$1529,$W$85)</f>
        <v>6</v>
      </c>
      <c r="X94" s="553">
        <f>COUNTIFS('HR Track 2'!$L$4:$L$1529,$C94,'HR Track 2'!$M$4:$M$1529,$X$85)</f>
        <v>0</v>
      </c>
      <c r="Y94" s="553">
        <f>COUNTIFS('HR Track 2'!$L$4:$L$1529,$C94,'HR Track 2'!$M$4:$M$1529,$Y$85)</f>
        <v>1</v>
      </c>
      <c r="Z94" s="553">
        <f>COUNTIFS('HR Track 2'!$L$4:$L$1529,$C94,'HR Track 2'!$M$4:$M$1529,$Z$85)</f>
        <v>0</v>
      </c>
      <c r="AA94" s="553">
        <f>COUNTIFS('HR Track 2'!$L$4:$L$1529,$C94,'HR Track 2'!$M$4:$M$1529,$AA$85)</f>
        <v>0</v>
      </c>
      <c r="AB94" s="639">
        <f>COUNTIFS('HR Track 2'!$L$4:$L$1529,$C94,'HR Track 2'!$M$4:$M$1529,$AB$85)</f>
        <v>0</v>
      </c>
      <c r="AD94" s="634" t="s">
        <v>1250</v>
      </c>
    </row>
    <row r="95" spans="1:30" ht="20.45" customHeight="1">
      <c r="A95" s="69"/>
      <c r="B95" s="620"/>
      <c r="C95" s="875" t="s">
        <v>2693</v>
      </c>
      <c r="D95" s="818" t="s">
        <v>2823</v>
      </c>
      <c r="E95" s="818" t="s">
        <v>2824</v>
      </c>
      <c r="F95" s="819" t="s">
        <v>679</v>
      </c>
      <c r="G95" s="643">
        <f t="shared" si="10"/>
        <v>0</v>
      </c>
      <c r="H95" s="644">
        <f t="shared" si="19"/>
        <v>0</v>
      </c>
      <c r="I95" s="644">
        <f t="shared" si="20"/>
        <v>0</v>
      </c>
      <c r="J95" s="644">
        <f t="shared" si="21"/>
        <v>0</v>
      </c>
      <c r="K95" s="644">
        <f t="shared" si="22"/>
        <v>0</v>
      </c>
      <c r="L95" s="644">
        <f t="shared" si="23"/>
        <v>0</v>
      </c>
      <c r="M95" s="645">
        <f t="shared" si="24"/>
        <v>0</v>
      </c>
      <c r="N95" s="553"/>
      <c r="O95" s="561">
        <f>SUM(P95:AB95)</f>
        <v>0</v>
      </c>
      <c r="P95" s="641">
        <f>COUNTIFS('HR Track 1'!$L$5:$L$1529,$C95,'HR Track 1'!$M$5:$M$1529,$P$85)</f>
        <v>0</v>
      </c>
      <c r="Q95" s="614">
        <f>COUNTIFS('HR Track 1'!$L$5:$L$1529,$C95,'HR Track 1'!$M$5:$M$1529,$Q$85)</f>
        <v>0</v>
      </c>
      <c r="R95" s="614">
        <f>COUNTIFS('HR Track 1'!$L$5:$L$1529,$C95,'HR Track 1'!$M$5:$M$1529,$R$85)</f>
        <v>0</v>
      </c>
      <c r="S95" s="614">
        <f>COUNTIFS('HR Track 1'!$L$5:$L$1529,$C95,'HR Track 1'!$M$5:$M$1529,$S$85)</f>
        <v>0</v>
      </c>
      <c r="T95" s="614">
        <f>COUNTIFS('HR Track 1'!$L$5:$L$1529,$C95,'HR Track 1'!$M$5:$M$1529,$T$85)</f>
        <v>0</v>
      </c>
      <c r="U95" s="642">
        <f>COUNTIFS('HR Track 1'!$L$5:$L$1529,$C95,'HR Track 1'!$M$5:$M$1529,$U$85)</f>
        <v>0</v>
      </c>
      <c r="V95" s="536"/>
      <c r="W95" s="641">
        <f>COUNTIFS('HR Track 2'!$L$4:$L$1529,$C95,'HR Track 2'!$M$4:$M$1529,$W$85)</f>
        <v>0</v>
      </c>
      <c r="X95" s="614">
        <f>COUNTIFS('HR Track 2'!$L$4:$L$1529,$C95,'HR Track 2'!$M$4:$M$1529,$X$85)</f>
        <v>0</v>
      </c>
      <c r="Y95" s="614">
        <f>COUNTIFS('HR Track 2'!$L$4:$L$1529,$C95,'HR Track 2'!$M$4:$M$1529,$Y$85)</f>
        <v>0</v>
      </c>
      <c r="Z95" s="614">
        <f>COUNTIFS('HR Track 2'!$L$4:$L$1529,$C95,'HR Track 2'!$M$4:$M$1529,$Z$85)</f>
        <v>0</v>
      </c>
      <c r="AA95" s="614">
        <f>COUNTIFS('HR Track 2'!$L$4:$L$1529,$C95,'HR Track 2'!$M$4:$M$1529,$AA$85)</f>
        <v>0</v>
      </c>
      <c r="AB95" s="642">
        <f>COUNTIFS('HR Track 2'!$L$4:$L$1529,$C95,'HR Track 2'!$M$4:$M$1529,$AB$85)</f>
        <v>0</v>
      </c>
      <c r="AD95" s="640" t="s">
        <v>2825</v>
      </c>
    </row>
    <row r="96" spans="1:30" ht="20.45" customHeight="1">
      <c r="A96" s="69"/>
      <c r="B96" s="620"/>
      <c r="C96" s="876" t="s">
        <v>236</v>
      </c>
      <c r="D96" s="821" t="s">
        <v>501</v>
      </c>
      <c r="E96" s="821" t="s">
        <v>684</v>
      </c>
      <c r="F96" s="620" t="s">
        <v>679</v>
      </c>
      <c r="G96" s="646">
        <f t="shared" si="10"/>
        <v>0</v>
      </c>
      <c r="H96" s="553">
        <f t="shared" si="19"/>
        <v>0</v>
      </c>
      <c r="I96" s="553">
        <f t="shared" si="20"/>
        <v>0</v>
      </c>
      <c r="J96" s="553">
        <f t="shared" si="21"/>
        <v>0</v>
      </c>
      <c r="K96" s="553">
        <f t="shared" si="22"/>
        <v>0</v>
      </c>
      <c r="L96" s="553">
        <f t="shared" si="23"/>
        <v>0</v>
      </c>
      <c r="M96" s="639">
        <f t="shared" si="24"/>
        <v>0</v>
      </c>
      <c r="N96" s="553"/>
      <c r="O96" s="539"/>
      <c r="P96" s="641">
        <f>COUNTIFS('HR Track 1'!$L$5:$L$1529,$C96,'HR Track 1'!$M$5:$M$1529,$P$85)</f>
        <v>0</v>
      </c>
      <c r="Q96" s="614">
        <f>COUNTIFS('HR Track 1'!$L$5:$L$1529,$C96,'HR Track 1'!$M$5:$M$1529,$Q$85)</f>
        <v>0</v>
      </c>
      <c r="R96" s="614">
        <f>COUNTIFS('HR Track 1'!$L$5:$L$1529,$C96,'HR Track 1'!$M$5:$M$1529,$R$85)</f>
        <v>0</v>
      </c>
      <c r="S96" s="614">
        <f>COUNTIFS('HR Track 1'!$L$5:$L$1529,$C96,'HR Track 1'!$M$5:$M$1529,$S$85)</f>
        <v>0</v>
      </c>
      <c r="T96" s="614">
        <f>COUNTIFS('HR Track 1'!$L$5:$L$1529,$C96,'HR Track 1'!$M$5:$M$1529,$T$85)</f>
        <v>0</v>
      </c>
      <c r="U96" s="642">
        <f>COUNTIFS('HR Track 1'!$L$5:$L$1529,$C96,'HR Track 1'!$M$5:$M$1529,$U$85)</f>
        <v>0</v>
      </c>
      <c r="V96" s="536"/>
      <c r="W96" s="641">
        <f>COUNTIFS('HR Track 2'!$L$4:$L$1529,$C96,'HR Track 2'!$M$4:$M$1529,$W$85)</f>
        <v>0</v>
      </c>
      <c r="X96" s="614">
        <f>COUNTIFS('HR Track 2'!$L$4:$L$1529,$C96,'HR Track 2'!$M$4:$M$1529,$X$85)</f>
        <v>0</v>
      </c>
      <c r="Y96" s="614">
        <f>COUNTIFS('HR Track 2'!$L$4:$L$1529,$C96,'HR Track 2'!$M$4:$M$1529,$Y$85)</f>
        <v>0</v>
      </c>
      <c r="Z96" s="614">
        <f>COUNTIFS('HR Track 2'!$L$4:$L$1529,$C96,'HR Track 2'!$M$4:$M$1529,$Z$85)</f>
        <v>0</v>
      </c>
      <c r="AA96" s="614">
        <f>COUNTIFS('HR Track 2'!$L$4:$L$1529,$C96,'HR Track 2'!$M$4:$M$1529,$AA$85)</f>
        <v>0</v>
      </c>
      <c r="AB96" s="642">
        <f>COUNTIFS('HR Track 2'!$L$4:$L$1529,$C96,'HR Track 2'!$M$4:$M$1529,$AB$85)</f>
        <v>0</v>
      </c>
      <c r="AD96" s="612" t="s">
        <v>1251</v>
      </c>
    </row>
    <row r="97" spans="1:30" ht="20.45" customHeight="1">
      <c r="A97" s="713"/>
      <c r="B97" s="647"/>
      <c r="C97" s="877" t="s">
        <v>1063</v>
      </c>
      <c r="D97" s="822" t="s">
        <v>1097</v>
      </c>
      <c r="E97" s="822" t="s">
        <v>1079</v>
      </c>
      <c r="F97" s="647" t="s">
        <v>679</v>
      </c>
      <c r="G97" s="646">
        <f t="shared" si="10"/>
        <v>0</v>
      </c>
      <c r="H97" s="553">
        <f t="shared" si="19"/>
        <v>0</v>
      </c>
      <c r="I97" s="553">
        <f t="shared" si="20"/>
        <v>0</v>
      </c>
      <c r="J97" s="553">
        <f t="shared" si="21"/>
        <v>0</v>
      </c>
      <c r="K97" s="553">
        <f t="shared" si="22"/>
        <v>0</v>
      </c>
      <c r="L97" s="553">
        <f t="shared" si="23"/>
        <v>0</v>
      </c>
      <c r="M97" s="639">
        <f t="shared" si="24"/>
        <v>0</v>
      </c>
      <c r="N97" s="553"/>
      <c r="O97" s="539"/>
      <c r="P97" s="641">
        <f>COUNTIFS('HR Track 1'!$L$5:$L$1529,$C97,'HR Track 1'!$M$5:$M$1529,$P$85)</f>
        <v>0</v>
      </c>
      <c r="Q97" s="614">
        <f>COUNTIFS('HR Track 1'!$L$5:$L$1529,$C97,'HR Track 1'!$M$5:$M$1529,$Q$85)</f>
        <v>0</v>
      </c>
      <c r="R97" s="614">
        <f>COUNTIFS('HR Track 1'!$L$5:$L$1529,$C97,'HR Track 1'!$M$5:$M$1529,$R$85)</f>
        <v>0</v>
      </c>
      <c r="S97" s="614">
        <f>COUNTIFS('HR Track 1'!$L$5:$L$1529,$C97,'HR Track 1'!$M$5:$M$1529,$S$85)</f>
        <v>0</v>
      </c>
      <c r="T97" s="614">
        <f>COUNTIFS('HR Track 1'!$L$5:$L$1529,$C97,'HR Track 1'!$M$5:$M$1529,$T$85)</f>
        <v>0</v>
      </c>
      <c r="U97" s="642">
        <f>COUNTIFS('HR Track 1'!$L$5:$L$1529,$C97,'HR Track 1'!$M$5:$M$1529,$U$85)</f>
        <v>0</v>
      </c>
      <c r="V97" s="536"/>
      <c r="W97" s="641">
        <f>COUNTIFS('HR Track 2'!$L$4:$L$1529,$C97,'HR Track 2'!$M$4:$M$1529,$W$85)</f>
        <v>0</v>
      </c>
      <c r="X97" s="614">
        <f>COUNTIFS('HR Track 2'!$L$4:$L$1529,$C97,'HR Track 2'!$M$4:$M$1529,$X$85)</f>
        <v>0</v>
      </c>
      <c r="Y97" s="614">
        <f>COUNTIFS('HR Track 2'!$L$4:$L$1529,$C97,'HR Track 2'!$M$4:$M$1529,$Y$85)</f>
        <v>0</v>
      </c>
      <c r="Z97" s="614">
        <f>COUNTIFS('HR Track 2'!$L$4:$L$1529,$C97,'HR Track 2'!$M$4:$M$1529,$Z$85)</f>
        <v>0</v>
      </c>
      <c r="AA97" s="614">
        <f>COUNTIFS('HR Track 2'!$L$4:$L$1529,$C97,'HR Track 2'!$M$4:$M$1529,$AA$85)</f>
        <v>0</v>
      </c>
      <c r="AB97" s="642">
        <f>COUNTIFS('HR Track 2'!$L$4:$L$1529,$C97,'HR Track 2'!$M$4:$M$1529,$AB$85)</f>
        <v>0</v>
      </c>
      <c r="AD97" s="648" t="s">
        <v>1252</v>
      </c>
    </row>
    <row r="98" spans="1:30" ht="20.45" customHeight="1">
      <c r="A98" s="69"/>
      <c r="B98" s="620"/>
      <c r="C98" s="876" t="s">
        <v>1071</v>
      </c>
      <c r="D98" s="821" t="s">
        <v>1098</v>
      </c>
      <c r="E98" s="821" t="s">
        <v>1077</v>
      </c>
      <c r="F98" s="620" t="s">
        <v>679</v>
      </c>
      <c r="G98" s="646">
        <f t="shared" si="10"/>
        <v>0</v>
      </c>
      <c r="H98" s="553">
        <f t="shared" si="19"/>
        <v>0</v>
      </c>
      <c r="I98" s="553">
        <f t="shared" si="20"/>
        <v>0</v>
      </c>
      <c r="J98" s="553">
        <f t="shared" si="21"/>
        <v>0</v>
      </c>
      <c r="K98" s="553">
        <f t="shared" si="22"/>
        <v>0</v>
      </c>
      <c r="L98" s="553">
        <f t="shared" si="23"/>
        <v>0</v>
      </c>
      <c r="M98" s="639">
        <f t="shared" si="24"/>
        <v>0</v>
      </c>
      <c r="N98" s="553"/>
      <c r="O98" s="561">
        <f>SUM(P98:AB98)</f>
        <v>0</v>
      </c>
      <c r="P98" s="641">
        <f>COUNTIFS('HR Track 1'!$L$5:$L$1529,$C98,'HR Track 1'!$M$5:$M$1529,$P$85)</f>
        <v>0</v>
      </c>
      <c r="Q98" s="614">
        <f>COUNTIFS('HR Track 1'!$L$5:$L$1529,$C98,'HR Track 1'!$M$5:$M$1529,$Q$85)</f>
        <v>0</v>
      </c>
      <c r="R98" s="614">
        <f>COUNTIFS('HR Track 1'!$L$5:$L$1529,$C98,'HR Track 1'!$M$5:$M$1529,$R$85)</f>
        <v>0</v>
      </c>
      <c r="S98" s="614">
        <f>COUNTIFS('HR Track 1'!$L$5:$L$1529,$C98,'HR Track 1'!$M$5:$M$1529,$S$85)</f>
        <v>0</v>
      </c>
      <c r="T98" s="614">
        <f>COUNTIFS('HR Track 1'!$L$5:$L$1529,$C98,'HR Track 1'!$M$5:$M$1529,$T$85)</f>
        <v>0</v>
      </c>
      <c r="U98" s="642">
        <f>COUNTIFS('HR Track 1'!$L$5:$L$1529,$C98,'HR Track 1'!$M$5:$M$1529,$U$85)</f>
        <v>0</v>
      </c>
      <c r="V98" s="536"/>
      <c r="W98" s="641">
        <f>COUNTIFS('HR Track 2'!$L$4:$L$1529,$C98,'HR Track 2'!$M$4:$M$1529,$W$85)</f>
        <v>0</v>
      </c>
      <c r="X98" s="614">
        <f>COUNTIFS('HR Track 2'!$L$4:$L$1529,$C98,'HR Track 2'!$M$4:$M$1529,$X$85)</f>
        <v>0</v>
      </c>
      <c r="Y98" s="614">
        <f>COUNTIFS('HR Track 2'!$L$4:$L$1529,$C98,'HR Track 2'!$M$4:$M$1529,$Y$85)</f>
        <v>0</v>
      </c>
      <c r="Z98" s="614">
        <f>COUNTIFS('HR Track 2'!$L$4:$L$1529,$C98,'HR Track 2'!$M$4:$M$1529,$Z$85)</f>
        <v>0</v>
      </c>
      <c r="AA98" s="614">
        <f>COUNTIFS('HR Track 2'!$L$4:$L$1529,$C98,'HR Track 2'!$M$4:$M$1529,$AA$85)</f>
        <v>0</v>
      </c>
      <c r="AB98" s="642">
        <f>COUNTIFS('HR Track 2'!$L$4:$L$1529,$C98,'HR Track 2'!$M$4:$M$1529,$AB$85)</f>
        <v>0</v>
      </c>
      <c r="AD98" s="612" t="s">
        <v>1253</v>
      </c>
    </row>
    <row r="99" spans="1:30" ht="20.45" customHeight="1">
      <c r="A99" s="690"/>
      <c r="B99" s="649"/>
      <c r="C99" s="878" t="s">
        <v>2694</v>
      </c>
      <c r="D99" s="823" t="s">
        <v>2826</v>
      </c>
      <c r="E99" s="823" t="s">
        <v>2827</v>
      </c>
      <c r="F99" s="649" t="s">
        <v>679</v>
      </c>
      <c r="G99" s="650">
        <f t="shared" si="10"/>
        <v>0</v>
      </c>
      <c r="H99" s="651">
        <f t="shared" si="19"/>
        <v>0</v>
      </c>
      <c r="I99" s="651">
        <f t="shared" si="20"/>
        <v>0</v>
      </c>
      <c r="J99" s="651">
        <f t="shared" si="21"/>
        <v>0</v>
      </c>
      <c r="K99" s="651">
        <f t="shared" si="22"/>
        <v>0</v>
      </c>
      <c r="L99" s="651">
        <f t="shared" si="23"/>
        <v>0</v>
      </c>
      <c r="M99" s="652">
        <f t="shared" si="24"/>
        <v>0</v>
      </c>
      <c r="N99" s="553"/>
      <c r="O99" s="561">
        <f>SUM(P99:AB99)</f>
        <v>0</v>
      </c>
      <c r="P99" s="624">
        <f>COUNTIFS('HR Track 1'!$L$5:$L$1529,$C99,'HR Track 1'!$M$5:$M$1529,$P$85)</f>
        <v>0</v>
      </c>
      <c r="Q99" s="625">
        <f>COUNTIFS('HR Track 1'!$L$5:$L$1529,$C99,'HR Track 1'!$M$5:$M$1529,$Q$85)</f>
        <v>0</v>
      </c>
      <c r="R99" s="625">
        <f>COUNTIFS('HR Track 1'!$L$5:$L$1529,$C99,'HR Track 1'!$M$5:$M$1529,$R$85)</f>
        <v>0</v>
      </c>
      <c r="S99" s="625">
        <f>COUNTIFS('HR Track 1'!$L$5:$L$1529,$C99,'HR Track 1'!$M$5:$M$1529,$S$85)</f>
        <v>0</v>
      </c>
      <c r="T99" s="625">
        <f>COUNTIFS('HR Track 1'!$L$5:$L$1529,$C99,'HR Track 1'!$M$5:$M$1529,$T$85)</f>
        <v>0</v>
      </c>
      <c r="U99" s="626">
        <f>COUNTIFS('HR Track 1'!$L$5:$L$1529,$C99,'HR Track 1'!$M$5:$M$1529,$U$85)</f>
        <v>0</v>
      </c>
      <c r="V99" s="536"/>
      <c r="W99" s="624">
        <f>COUNTIFS('HR Track 2'!$L$4:$L$1529,$C99,'HR Track 2'!$M$4:$M$1529,$W$85)</f>
        <v>0</v>
      </c>
      <c r="X99" s="625">
        <f>COUNTIFS('HR Track 2'!$L$4:$L$1529,$C99,'HR Track 2'!$M$4:$M$1529,$X$85)</f>
        <v>0</v>
      </c>
      <c r="Y99" s="625">
        <f>COUNTIFS('HR Track 2'!$L$4:$L$1529,$C99,'HR Track 2'!$M$4:$M$1529,$Y$85)</f>
        <v>0</v>
      </c>
      <c r="Z99" s="625">
        <f>COUNTIFS('HR Track 2'!$L$4:$L$1529,$C99,'HR Track 2'!$M$4:$M$1529,$Z$85)</f>
        <v>0</v>
      </c>
      <c r="AA99" s="625">
        <f>COUNTIFS('HR Track 2'!$L$4:$L$1529,$C99,'HR Track 2'!$M$4:$M$1529,$AA$85)</f>
        <v>0</v>
      </c>
      <c r="AB99" s="626">
        <f>COUNTIFS('HR Track 2'!$L$4:$L$1529,$C99,'HR Track 2'!$M$4:$M$1529,$AB$85)</f>
        <v>0</v>
      </c>
      <c r="AD99" s="653" t="s">
        <v>1364</v>
      </c>
    </row>
    <row r="100" spans="1:30" ht="20.45" customHeight="1">
      <c r="A100" s="67"/>
      <c r="B100" s="654"/>
      <c r="C100" s="879" t="s">
        <v>878</v>
      </c>
      <c r="D100" s="824" t="s">
        <v>502</v>
      </c>
      <c r="E100" s="824" t="s">
        <v>685</v>
      </c>
      <c r="F100" s="654" t="s">
        <v>679</v>
      </c>
      <c r="G100" s="646">
        <f t="shared" si="10"/>
        <v>0</v>
      </c>
      <c r="H100" s="553">
        <f t="shared" si="19"/>
        <v>0</v>
      </c>
      <c r="I100" s="553">
        <f t="shared" si="20"/>
        <v>0</v>
      </c>
      <c r="J100" s="553">
        <f t="shared" si="21"/>
        <v>0</v>
      </c>
      <c r="K100" s="553">
        <f t="shared" si="22"/>
        <v>0</v>
      </c>
      <c r="L100" s="553">
        <f t="shared" si="23"/>
        <v>0</v>
      </c>
      <c r="M100" s="639">
        <f t="shared" si="24"/>
        <v>0</v>
      </c>
      <c r="N100" s="553"/>
      <c r="O100" s="539"/>
      <c r="AD100" s="655" t="s">
        <v>1254</v>
      </c>
    </row>
    <row r="101" spans="1:30" ht="20.45" customHeight="1">
      <c r="A101" s="69"/>
      <c r="B101" s="620"/>
      <c r="C101" s="876" t="s">
        <v>879</v>
      </c>
      <c r="D101" s="821" t="s">
        <v>503</v>
      </c>
      <c r="E101" s="821" t="s">
        <v>686</v>
      </c>
      <c r="F101" s="620" t="s">
        <v>679</v>
      </c>
      <c r="G101" s="646">
        <f t="shared" si="10"/>
        <v>0</v>
      </c>
      <c r="H101" s="553">
        <f t="shared" si="19"/>
        <v>0</v>
      </c>
      <c r="I101" s="553">
        <f t="shared" si="20"/>
        <v>0</v>
      </c>
      <c r="J101" s="553">
        <f t="shared" si="21"/>
        <v>0</v>
      </c>
      <c r="K101" s="553">
        <f t="shared" si="22"/>
        <v>0</v>
      </c>
      <c r="L101" s="553">
        <f t="shared" si="23"/>
        <v>0</v>
      </c>
      <c r="M101" s="639">
        <f t="shared" si="24"/>
        <v>0</v>
      </c>
      <c r="N101" s="553"/>
      <c r="O101" s="539"/>
      <c r="AD101" s="612" t="s">
        <v>1255</v>
      </c>
    </row>
    <row r="102" spans="1:30" ht="20.45" customHeight="1">
      <c r="A102" s="69"/>
      <c r="B102" s="620"/>
      <c r="C102" s="872" t="s">
        <v>880</v>
      </c>
      <c r="D102" s="812" t="s">
        <v>504</v>
      </c>
      <c r="E102" s="812" t="s">
        <v>687</v>
      </c>
      <c r="F102" s="813" t="s">
        <v>679</v>
      </c>
      <c r="G102" s="621">
        <f t="shared" si="10"/>
        <v>28</v>
      </c>
      <c r="H102" s="622">
        <f t="shared" si="19"/>
        <v>2</v>
      </c>
      <c r="I102" s="622">
        <f t="shared" si="20"/>
        <v>14</v>
      </c>
      <c r="J102" s="622">
        <f t="shared" si="21"/>
        <v>11</v>
      </c>
      <c r="K102" s="622">
        <f t="shared" si="22"/>
        <v>0</v>
      </c>
      <c r="L102" s="622">
        <f t="shared" si="23"/>
        <v>0</v>
      </c>
      <c r="M102" s="623">
        <f t="shared" si="24"/>
        <v>1</v>
      </c>
      <c r="N102" s="553"/>
      <c r="O102" s="539"/>
      <c r="AD102" s="627" t="s">
        <v>1256</v>
      </c>
    </row>
    <row r="103" spans="1:30" ht="20.45" customHeight="1">
      <c r="A103" s="69"/>
      <c r="B103" s="620"/>
      <c r="C103" s="876" t="s">
        <v>881</v>
      </c>
      <c r="D103" s="821" t="s">
        <v>505</v>
      </c>
      <c r="E103" s="821" t="s">
        <v>688</v>
      </c>
      <c r="F103" s="620" t="s">
        <v>679</v>
      </c>
      <c r="G103" s="646">
        <f t="shared" si="10"/>
        <v>6</v>
      </c>
      <c r="H103" s="553">
        <f t="shared" si="19"/>
        <v>3</v>
      </c>
      <c r="I103" s="553">
        <f t="shared" si="20"/>
        <v>3</v>
      </c>
      <c r="J103" s="553">
        <f t="shared" si="21"/>
        <v>0</v>
      </c>
      <c r="K103" s="553">
        <f t="shared" si="22"/>
        <v>0</v>
      </c>
      <c r="L103" s="553">
        <f t="shared" si="23"/>
        <v>0</v>
      </c>
      <c r="M103" s="639">
        <f t="shared" si="24"/>
        <v>0</v>
      </c>
      <c r="N103" s="553"/>
      <c r="O103" s="539"/>
      <c r="AD103" s="612" t="s">
        <v>1257</v>
      </c>
    </row>
    <row r="104" spans="1:30" ht="20.45" customHeight="1">
      <c r="A104" s="69"/>
      <c r="B104" s="620"/>
      <c r="C104" s="872" t="s">
        <v>882</v>
      </c>
      <c r="D104" s="812" t="s">
        <v>506</v>
      </c>
      <c r="E104" s="812" t="s">
        <v>689</v>
      </c>
      <c r="F104" s="813" t="s">
        <v>679</v>
      </c>
      <c r="G104" s="621">
        <f t="shared" si="10"/>
        <v>43</v>
      </c>
      <c r="H104" s="622">
        <f t="shared" si="19"/>
        <v>1</v>
      </c>
      <c r="I104" s="622">
        <f t="shared" si="20"/>
        <v>13</v>
      </c>
      <c r="J104" s="622">
        <f t="shared" si="21"/>
        <v>20</v>
      </c>
      <c r="K104" s="622">
        <f t="shared" si="22"/>
        <v>7</v>
      </c>
      <c r="L104" s="622">
        <f t="shared" si="23"/>
        <v>1</v>
      </c>
      <c r="M104" s="623">
        <f t="shared" si="24"/>
        <v>1</v>
      </c>
      <c r="N104" s="553"/>
      <c r="O104" s="539"/>
      <c r="AD104" s="627" t="s">
        <v>1258</v>
      </c>
    </row>
    <row r="105" spans="1:30" ht="20.45" customHeight="1">
      <c r="A105" s="69"/>
      <c r="B105" s="620"/>
      <c r="C105" s="876" t="s">
        <v>672</v>
      </c>
      <c r="D105" s="821" t="s">
        <v>507</v>
      </c>
      <c r="E105" s="821" t="s">
        <v>690</v>
      </c>
      <c r="F105" s="620" t="s">
        <v>679</v>
      </c>
      <c r="G105" s="646">
        <f t="shared" si="10"/>
        <v>0</v>
      </c>
      <c r="H105" s="553">
        <f t="shared" si="19"/>
        <v>0</v>
      </c>
      <c r="I105" s="553">
        <f t="shared" si="20"/>
        <v>0</v>
      </c>
      <c r="J105" s="553">
        <f t="shared" si="21"/>
        <v>0</v>
      </c>
      <c r="K105" s="553">
        <f t="shared" si="22"/>
        <v>0</v>
      </c>
      <c r="L105" s="553">
        <f t="shared" si="23"/>
        <v>0</v>
      </c>
      <c r="M105" s="639">
        <f t="shared" si="24"/>
        <v>0</v>
      </c>
      <c r="N105" s="553"/>
      <c r="O105" s="539"/>
      <c r="AD105" s="612" t="s">
        <v>1266</v>
      </c>
    </row>
    <row r="106" spans="1:30" ht="20.45" customHeight="1">
      <c r="A106" s="69"/>
      <c r="B106" s="620"/>
      <c r="C106" s="876" t="s">
        <v>884</v>
      </c>
      <c r="D106" s="821" t="s">
        <v>1100</v>
      </c>
      <c r="E106" s="821" t="s">
        <v>694</v>
      </c>
      <c r="F106" s="620" t="s">
        <v>679</v>
      </c>
      <c r="G106" s="646">
        <f t="shared" si="10"/>
        <v>0</v>
      </c>
      <c r="H106" s="553">
        <f t="shared" si="19"/>
        <v>0</v>
      </c>
      <c r="I106" s="553">
        <f t="shared" si="20"/>
        <v>0</v>
      </c>
      <c r="J106" s="553">
        <f t="shared" si="21"/>
        <v>0</v>
      </c>
      <c r="K106" s="553">
        <f t="shared" si="22"/>
        <v>0</v>
      </c>
      <c r="L106" s="553">
        <f t="shared" si="23"/>
        <v>0</v>
      </c>
      <c r="M106" s="639">
        <f t="shared" si="24"/>
        <v>0</v>
      </c>
      <c r="N106" s="553"/>
      <c r="O106" s="539"/>
      <c r="AD106" s="612" t="s">
        <v>1259</v>
      </c>
    </row>
    <row r="107" spans="1:30" ht="20.45" customHeight="1">
      <c r="A107" s="690"/>
      <c r="B107" s="647"/>
      <c r="C107" s="877" t="s">
        <v>2598</v>
      </c>
      <c r="D107" s="822" t="s">
        <v>2615</v>
      </c>
      <c r="E107" s="822" t="s">
        <v>2597</v>
      </c>
      <c r="F107" s="649" t="s">
        <v>679</v>
      </c>
      <c r="G107" s="646">
        <f t="shared" si="10"/>
        <v>0</v>
      </c>
      <c r="H107" s="553">
        <f t="shared" si="19"/>
        <v>0</v>
      </c>
      <c r="I107" s="553">
        <f t="shared" si="20"/>
        <v>0</v>
      </c>
      <c r="J107" s="553">
        <f t="shared" si="21"/>
        <v>0</v>
      </c>
      <c r="K107" s="553">
        <f t="shared" si="22"/>
        <v>0</v>
      </c>
      <c r="L107" s="553">
        <f t="shared" si="23"/>
        <v>0</v>
      </c>
      <c r="M107" s="639">
        <f t="shared" si="24"/>
        <v>0</v>
      </c>
      <c r="N107" s="553"/>
      <c r="O107" s="539"/>
      <c r="AD107" s="648" t="s">
        <v>2618</v>
      </c>
    </row>
    <row r="108" spans="1:30" ht="20.45" customHeight="1">
      <c r="A108" s="69"/>
      <c r="B108" s="616"/>
      <c r="C108" s="880" t="s">
        <v>1056</v>
      </c>
      <c r="D108" s="825" t="s">
        <v>1101</v>
      </c>
      <c r="E108" s="825" t="s">
        <v>1065</v>
      </c>
      <c r="F108" s="826" t="s">
        <v>679</v>
      </c>
      <c r="G108" s="656">
        <f t="shared" si="10"/>
        <v>23</v>
      </c>
      <c r="H108" s="657">
        <f t="shared" si="19"/>
        <v>8</v>
      </c>
      <c r="I108" s="657">
        <f t="shared" si="20"/>
        <v>9</v>
      </c>
      <c r="J108" s="657">
        <f t="shared" si="21"/>
        <v>1</v>
      </c>
      <c r="K108" s="657">
        <f t="shared" si="22"/>
        <v>2</v>
      </c>
      <c r="L108" s="657">
        <f t="shared" si="23"/>
        <v>0</v>
      </c>
      <c r="M108" s="658">
        <f t="shared" si="24"/>
        <v>3</v>
      </c>
      <c r="N108" s="553"/>
      <c r="O108" s="539"/>
      <c r="V108" s="538"/>
      <c r="AD108" s="627" t="s">
        <v>1260</v>
      </c>
    </row>
    <row r="109" spans="1:30" ht="20.45" customHeight="1">
      <c r="A109" s="67"/>
      <c r="B109" s="654"/>
      <c r="C109" s="873" t="s">
        <v>1072</v>
      </c>
      <c r="D109" s="814" t="s">
        <v>1102</v>
      </c>
      <c r="E109" s="814" t="s">
        <v>1073</v>
      </c>
      <c r="F109" s="815" t="s">
        <v>679</v>
      </c>
      <c r="G109" s="628">
        <f t="shared" si="10"/>
        <v>4</v>
      </c>
      <c r="H109" s="629">
        <f t="shared" si="19"/>
        <v>2</v>
      </c>
      <c r="I109" s="629">
        <f t="shared" si="20"/>
        <v>2</v>
      </c>
      <c r="J109" s="629">
        <f t="shared" si="21"/>
        <v>0</v>
      </c>
      <c r="K109" s="629">
        <f t="shared" si="22"/>
        <v>0</v>
      </c>
      <c r="L109" s="629">
        <f t="shared" si="23"/>
        <v>0</v>
      </c>
      <c r="M109" s="630">
        <f t="shared" si="24"/>
        <v>0</v>
      </c>
      <c r="N109" s="553"/>
      <c r="O109" s="631">
        <f>SUM(P109:AB109)</f>
        <v>4</v>
      </c>
      <c r="P109" s="659">
        <f>COUNTIFS('HR Track 1'!$L$5:$L$1529,$C109,'HR Track 1'!$M$5:$M$1529,$P$85)</f>
        <v>0</v>
      </c>
      <c r="Q109" s="660">
        <f>COUNTIFS('HR Track 1'!$L$5:$L$1529,$C109,'HR Track 1'!$M$5:$M$1529,$Q$85)</f>
        <v>1</v>
      </c>
      <c r="R109" s="660">
        <f>COUNTIFS('HR Track 1'!$L$5:$L$1529,$C109,'HR Track 1'!$M$5:$M$1529,$R$85)</f>
        <v>1</v>
      </c>
      <c r="S109" s="660">
        <f>COUNTIFS('HR Track 1'!$L$5:$L$1529,$C109,'HR Track 1'!$M$5:$M$1529,$S$85)</f>
        <v>0</v>
      </c>
      <c r="T109" s="660">
        <f>COUNTIFS('HR Track 1'!$L$5:$L$1529,$C109,'HR Track 1'!$M$5:$M$1529,$T$85)</f>
        <v>0</v>
      </c>
      <c r="U109" s="661">
        <f>COUNTIFS('HR Track 1'!$L$5:$L$1529,$C109,'HR Track 1'!$M$5:$M$1529,$U$85)</f>
        <v>0</v>
      </c>
      <c r="V109" s="538"/>
      <c r="W109" s="659">
        <f>COUNTIFS('HR Track 2'!$L$4:$L$1529,$C109,'HR Track 2'!$M$4:$M$1529,$W$85)</f>
        <v>0</v>
      </c>
      <c r="X109" s="660">
        <f>COUNTIFS('HR Track 2'!$L$4:$L$1529,$C109,'HR Track 2'!$M$4:$M$1529,$X$85)</f>
        <v>1</v>
      </c>
      <c r="Y109" s="660">
        <f>COUNTIFS('HR Track 2'!$L$4:$L$1529,$C109,'HR Track 2'!$M$4:$M$1529,$Y$85)</f>
        <v>1</v>
      </c>
      <c r="Z109" s="660">
        <f>COUNTIFS('HR Track 2'!$L$4:$L$1529,$C109,'HR Track 2'!$M$4:$M$1529,$Z$85)</f>
        <v>0</v>
      </c>
      <c r="AA109" s="660">
        <f>COUNTIFS('HR Track 2'!$L$4:$L$1529,$C109,'HR Track 2'!$M$4:$M$1529,$AA$85)</f>
        <v>0</v>
      </c>
      <c r="AB109" s="661">
        <f>COUNTIFS('HR Track 2'!$L$4:$L$1529,$C109,'HR Track 2'!$M$4:$M$1529,$AB$85)</f>
        <v>0</v>
      </c>
      <c r="AD109" s="634" t="s">
        <v>1261</v>
      </c>
    </row>
    <row r="110" spans="1:30" ht="20.45" customHeight="1">
      <c r="A110" s="69"/>
      <c r="B110" s="620"/>
      <c r="C110" s="876" t="s">
        <v>1058</v>
      </c>
      <c r="D110" s="821" t="s">
        <v>1103</v>
      </c>
      <c r="E110" s="821" t="s">
        <v>1067</v>
      </c>
      <c r="F110" s="620" t="s">
        <v>679</v>
      </c>
      <c r="G110" s="646">
        <f t="shared" si="10"/>
        <v>0</v>
      </c>
      <c r="H110" s="553">
        <f t="shared" si="19"/>
        <v>0</v>
      </c>
      <c r="I110" s="553">
        <f t="shared" si="20"/>
        <v>0</v>
      </c>
      <c r="J110" s="553">
        <f t="shared" si="21"/>
        <v>0</v>
      </c>
      <c r="K110" s="553">
        <f t="shared" si="22"/>
        <v>0</v>
      </c>
      <c r="L110" s="553">
        <f t="shared" si="23"/>
        <v>0</v>
      </c>
      <c r="M110" s="639">
        <f t="shared" si="24"/>
        <v>0</v>
      </c>
      <c r="N110" s="553"/>
      <c r="O110" s="662"/>
      <c r="P110" s="539"/>
      <c r="Q110" s="539"/>
      <c r="R110" s="539"/>
      <c r="S110" s="539"/>
      <c r="T110" s="539"/>
      <c r="U110" s="539"/>
      <c r="V110" s="662"/>
      <c r="W110" s="539"/>
      <c r="X110" s="539"/>
      <c r="Y110" s="539"/>
      <c r="Z110" s="539"/>
      <c r="AA110" s="539"/>
      <c r="AB110" s="539"/>
      <c r="AD110" s="612" t="s">
        <v>1262</v>
      </c>
    </row>
    <row r="111" spans="1:30" ht="20.45" customHeight="1">
      <c r="A111" s="69"/>
      <c r="B111" s="620"/>
      <c r="C111" s="876" t="s">
        <v>1069</v>
      </c>
      <c r="D111" s="821" t="s">
        <v>1104</v>
      </c>
      <c r="E111" s="821" t="s">
        <v>1074</v>
      </c>
      <c r="F111" s="620" t="s">
        <v>679</v>
      </c>
      <c r="G111" s="646">
        <f t="shared" si="10"/>
        <v>0</v>
      </c>
      <c r="H111" s="553">
        <f t="shared" si="19"/>
        <v>0</v>
      </c>
      <c r="I111" s="553">
        <f t="shared" si="20"/>
        <v>0</v>
      </c>
      <c r="J111" s="553">
        <f t="shared" si="21"/>
        <v>0</v>
      </c>
      <c r="K111" s="553">
        <f t="shared" si="22"/>
        <v>0</v>
      </c>
      <c r="L111" s="553">
        <f t="shared" si="23"/>
        <v>0</v>
      </c>
      <c r="M111" s="639">
        <f t="shared" si="24"/>
        <v>0</v>
      </c>
      <c r="N111" s="553"/>
      <c r="O111" s="631">
        <f>SUM(P111:AB111)</f>
        <v>0</v>
      </c>
      <c r="P111" s="663">
        <f>COUNTIFS('HR Track 1'!$L$5:$L$1529,$C111,'HR Track 1'!$M$5:$M$1529,$P$85)</f>
        <v>0</v>
      </c>
      <c r="Q111" s="664">
        <f>COUNTIFS('HR Track 1'!$L$5:$L$1529,$C111,'HR Track 1'!$M$5:$M$1529,$Q$85)</f>
        <v>0</v>
      </c>
      <c r="R111" s="664">
        <f>COUNTIFS('HR Track 1'!$L$5:$L$1529,$C111,'HR Track 1'!$M$5:$M$1529,$R$85)</f>
        <v>0</v>
      </c>
      <c r="S111" s="664">
        <f>COUNTIFS('HR Track 1'!$L$5:$L$1529,$C111,'HR Track 1'!$M$5:$M$1529,$S$85)</f>
        <v>0</v>
      </c>
      <c r="T111" s="664">
        <f>COUNTIFS('HR Track 1'!$L$5:$L$1529,$C111,'HR Track 1'!$M$5:$M$1529,$T$85)</f>
        <v>0</v>
      </c>
      <c r="U111" s="665">
        <f>COUNTIFS('HR Track 1'!$L$5:$L$1529,$C111,'HR Track 1'!$M$5:$M$1529,$U$85)</f>
        <v>0</v>
      </c>
      <c r="V111" s="538"/>
      <c r="W111" s="663">
        <f>COUNTIFS('HR Track 2'!$L$4:$L$1529,$C111,'HR Track 2'!$M$4:$M$1529,$W$85)</f>
        <v>0</v>
      </c>
      <c r="X111" s="664">
        <f>COUNTIFS('HR Track 2'!$L$4:$L$1529,$C111,'HR Track 2'!$M$4:$M$1529,$X$85)</f>
        <v>0</v>
      </c>
      <c r="Y111" s="664">
        <f>COUNTIFS('HR Track 2'!$L$4:$L$1529,$C111,'HR Track 2'!$M$4:$M$1529,$Y$85)</f>
        <v>0</v>
      </c>
      <c r="Z111" s="664">
        <f>COUNTIFS('HR Track 2'!$L$4:$L$1529,$C111,'HR Track 2'!$M$4:$M$1529,$Z$85)</f>
        <v>0</v>
      </c>
      <c r="AA111" s="664">
        <f>COUNTIFS('HR Track 2'!$L$4:$L$1529,$C111,'HR Track 2'!$M$4:$M$1529,$AA$85)</f>
        <v>0</v>
      </c>
      <c r="AB111" s="665">
        <f>COUNTIFS('HR Track 2'!$L$4:$L$1529,$C111,'HR Track 2'!$M$4:$M$1529,$AB$85)</f>
        <v>0</v>
      </c>
      <c r="AD111" s="612" t="s">
        <v>1263</v>
      </c>
    </row>
    <row r="112" spans="1:30" ht="20.45" customHeight="1">
      <c r="A112" s="69"/>
      <c r="B112" s="620"/>
      <c r="C112" s="876" t="s">
        <v>883</v>
      </c>
      <c r="D112" s="821" t="s">
        <v>1105</v>
      </c>
      <c r="E112" s="821" t="s">
        <v>691</v>
      </c>
      <c r="F112" s="620" t="s">
        <v>679</v>
      </c>
      <c r="G112" s="646">
        <f t="shared" si="10"/>
        <v>0</v>
      </c>
      <c r="H112" s="553">
        <f t="shared" si="19"/>
        <v>0</v>
      </c>
      <c r="I112" s="553">
        <f t="shared" si="20"/>
        <v>0</v>
      </c>
      <c r="J112" s="553">
        <f t="shared" si="21"/>
        <v>0</v>
      </c>
      <c r="K112" s="553">
        <f t="shared" si="22"/>
        <v>0</v>
      </c>
      <c r="L112" s="553">
        <f t="shared" si="23"/>
        <v>0</v>
      </c>
      <c r="M112" s="639">
        <f t="shared" si="24"/>
        <v>0</v>
      </c>
      <c r="N112" s="553"/>
      <c r="O112" s="662"/>
      <c r="U112" s="537">
        <f>COUNTIFS('HR Track 1'!$L$5:$L$1529,$C112,'HR Track 1'!$M$5:$M$1529,$U$85)</f>
        <v>0</v>
      </c>
      <c r="V112" s="538"/>
      <c r="AD112" s="612" t="s">
        <v>1267</v>
      </c>
    </row>
    <row r="113" spans="1:30" ht="20.45" customHeight="1">
      <c r="A113" s="69"/>
      <c r="B113" s="620"/>
      <c r="C113" s="872" t="s">
        <v>2515</v>
      </c>
      <c r="D113" s="812" t="s">
        <v>1106</v>
      </c>
      <c r="E113" s="812" t="s">
        <v>692</v>
      </c>
      <c r="F113" s="813" t="s">
        <v>679</v>
      </c>
      <c r="G113" s="621">
        <f t="shared" ref="G113:G156" si="29">SUM(H113:M113)</f>
        <v>9</v>
      </c>
      <c r="H113" s="622">
        <f t="shared" si="19"/>
        <v>0</v>
      </c>
      <c r="I113" s="622">
        <f t="shared" si="20"/>
        <v>0</v>
      </c>
      <c r="J113" s="622">
        <f t="shared" si="21"/>
        <v>1</v>
      </c>
      <c r="K113" s="622">
        <f t="shared" si="22"/>
        <v>1</v>
      </c>
      <c r="L113" s="622">
        <f t="shared" si="23"/>
        <v>3</v>
      </c>
      <c r="M113" s="623">
        <f t="shared" si="24"/>
        <v>4</v>
      </c>
      <c r="N113" s="553"/>
      <c r="O113" s="662"/>
      <c r="V113" s="538"/>
      <c r="AD113" s="627" t="s">
        <v>1264</v>
      </c>
    </row>
    <row r="114" spans="1:30" ht="20.45" customHeight="1">
      <c r="A114" s="69"/>
      <c r="B114" s="620"/>
      <c r="C114" s="876" t="s">
        <v>2516</v>
      </c>
      <c r="D114" s="821" t="s">
        <v>1107</v>
      </c>
      <c r="E114" s="821" t="s">
        <v>693</v>
      </c>
      <c r="F114" s="620" t="s">
        <v>679</v>
      </c>
      <c r="G114" s="646">
        <f t="shared" si="29"/>
        <v>0</v>
      </c>
      <c r="H114" s="553">
        <f t="shared" si="19"/>
        <v>0</v>
      </c>
      <c r="I114" s="553">
        <f t="shared" si="20"/>
        <v>0</v>
      </c>
      <c r="J114" s="553">
        <f t="shared" si="21"/>
        <v>0</v>
      </c>
      <c r="K114" s="553">
        <f t="shared" si="22"/>
        <v>0</v>
      </c>
      <c r="L114" s="553">
        <f t="shared" si="23"/>
        <v>0</v>
      </c>
      <c r="M114" s="639">
        <f t="shared" si="24"/>
        <v>0</v>
      </c>
      <c r="N114" s="553"/>
      <c r="O114" s="662"/>
      <c r="V114" s="538"/>
      <c r="AD114" s="612" t="s">
        <v>1265</v>
      </c>
    </row>
    <row r="115" spans="1:30" ht="20.45" customHeight="1">
      <c r="A115" s="67"/>
      <c r="B115" s="654"/>
      <c r="C115" s="881" t="s">
        <v>2542</v>
      </c>
      <c r="D115" s="827" t="s">
        <v>2600</v>
      </c>
      <c r="E115" s="814" t="s">
        <v>2602</v>
      </c>
      <c r="F115" s="815" t="s">
        <v>679</v>
      </c>
      <c r="G115" s="628">
        <f t="shared" si="29"/>
        <v>12</v>
      </c>
      <c r="H115" s="629">
        <f>COUNTIF(Area_v1,$C115)</f>
        <v>6</v>
      </c>
      <c r="I115" s="629">
        <f t="shared" si="20"/>
        <v>6</v>
      </c>
      <c r="J115" s="629">
        <f t="shared" si="21"/>
        <v>0</v>
      </c>
      <c r="K115" s="629">
        <f t="shared" si="22"/>
        <v>0</v>
      </c>
      <c r="L115" s="629">
        <f t="shared" si="23"/>
        <v>0</v>
      </c>
      <c r="M115" s="630">
        <f t="shared" si="24"/>
        <v>0</v>
      </c>
      <c r="N115" s="553"/>
      <c r="O115" s="631">
        <f t="shared" ref="O115:O118" si="30">SUM(P115:AB115)</f>
        <v>12</v>
      </c>
      <c r="P115" s="666">
        <f>COUNTIFS('HR Track 1'!$L$5:$L$1529,$C115,'HR Track 1'!$M$5:$M$1529,$P$85)</f>
        <v>0</v>
      </c>
      <c r="Q115" s="667">
        <f>COUNTIFS('HR Track 1'!$L$5:$L$1529,$C115,'HR Track 1'!$M$5:$M$1529,$Q$85)</f>
        <v>0</v>
      </c>
      <c r="R115" s="667">
        <f>COUNTIFS('HR Track 1'!$L$5:$L$1529,$C115,'HR Track 1'!$M$5:$M$1529,$R$85)</f>
        <v>5</v>
      </c>
      <c r="S115" s="667">
        <f>COUNTIFS('HR Track 1'!$L$5:$L$1529,$C115,'HR Track 1'!$M$5:$M$1529,$S$85)</f>
        <v>0</v>
      </c>
      <c r="T115" s="667">
        <f>COUNTIFS('HR Track 1'!$L$5:$L$1529,$C115,'HR Track 1'!$M$5:$M$1529,$T$85)</f>
        <v>0</v>
      </c>
      <c r="U115" s="668">
        <f>COUNTIFS('HR Track 1'!$L$5:$L$1529,$C115,'HR Track 1'!$M$5:$M$1529,$U$85)</f>
        <v>1</v>
      </c>
      <c r="V115" s="538"/>
      <c r="W115" s="666">
        <f>COUNTIFS('HR Track 2'!$L$4:$L$1529,$C115,'HR Track 2'!$M$4:$M$1529,$W$85)</f>
        <v>0</v>
      </c>
      <c r="X115" s="667">
        <f>COUNTIFS('HR Track 2'!$L$4:$L$1529,$C115,'HR Track 2'!$M$4:$M$1529,$X$85)</f>
        <v>0</v>
      </c>
      <c r="Y115" s="667">
        <f>COUNTIFS('HR Track 2'!$L$4:$L$1529,$C115,'HR Track 2'!$M$4:$M$1529,$Y$85)</f>
        <v>6</v>
      </c>
      <c r="Z115" s="667">
        <f>COUNTIFS('HR Track 2'!$L$4:$L$1529,$C115,'HR Track 2'!$M$4:$M$1529,$Z$85)</f>
        <v>0</v>
      </c>
      <c r="AA115" s="667">
        <f>COUNTIFS('HR Track 2'!$L$4:$L$1529,$C115,'HR Track 2'!$M$4:$M$1529,$AA$85)</f>
        <v>0</v>
      </c>
      <c r="AB115" s="668">
        <f>COUNTIFS('HR Track 2'!$L$4:$L$1529,$C115,'HR Track 2'!$M$4:$M$1529,$AB$85)</f>
        <v>0</v>
      </c>
      <c r="AD115" s="634" t="s">
        <v>2619</v>
      </c>
    </row>
    <row r="116" spans="1:30" ht="20.45" customHeight="1">
      <c r="A116" s="67"/>
      <c r="B116" s="654"/>
      <c r="C116" s="882" t="s">
        <v>2828</v>
      </c>
      <c r="D116" s="828" t="s">
        <v>2829</v>
      </c>
      <c r="E116" s="818" t="s">
        <v>2830</v>
      </c>
      <c r="F116" s="819" t="s">
        <v>679</v>
      </c>
      <c r="G116" s="643">
        <f t="shared" si="29"/>
        <v>4</v>
      </c>
      <c r="H116" s="644">
        <f t="shared" si="19"/>
        <v>2</v>
      </c>
      <c r="I116" s="644">
        <f t="shared" si="20"/>
        <v>2</v>
      </c>
      <c r="J116" s="644">
        <f t="shared" si="21"/>
        <v>0</v>
      </c>
      <c r="K116" s="644">
        <f t="shared" si="22"/>
        <v>0</v>
      </c>
      <c r="L116" s="644">
        <f t="shared" si="23"/>
        <v>0</v>
      </c>
      <c r="M116" s="645">
        <f t="shared" si="24"/>
        <v>0</v>
      </c>
      <c r="N116" s="553"/>
      <c r="O116" s="631">
        <f t="shared" si="30"/>
        <v>0</v>
      </c>
      <c r="P116" s="669">
        <f>COUNTIFS('HR Track 1'!$L$5:$L$1529,$C116,'HR Track 1'!$M$5:$M$1529,$P$85)</f>
        <v>0</v>
      </c>
      <c r="Q116" s="670">
        <f>COUNTIFS('HR Track 1'!$L$5:$L$1529,$C116,'HR Track 1'!$M$5:$M$1529,$Q$85)</f>
        <v>0</v>
      </c>
      <c r="R116" s="670">
        <f>COUNTIFS('HR Track 1'!$L$5:$L$1529,$C116,'HR Track 1'!$M$5:$M$1529,$R$85)</f>
        <v>0</v>
      </c>
      <c r="S116" s="670">
        <f>COUNTIFS('HR Track 1'!$L$5:$L$1529,$C116,'HR Track 1'!$M$5:$M$1529,$S$85)</f>
        <v>0</v>
      </c>
      <c r="T116" s="670">
        <f>COUNTIFS('HR Track 1'!$L$5:$L$1529,$C116,'HR Track 1'!$M$5:$M$1529,$T$85)</f>
        <v>0</v>
      </c>
      <c r="U116" s="671">
        <f>COUNTIFS('HR Track 1'!$L$5:$L$1529,$C116,'HR Track 1'!$M$5:$M$1529,$U$85)</f>
        <v>0</v>
      </c>
      <c r="V116" s="538"/>
      <c r="W116" s="669">
        <f>COUNTIFS('HR Track 2'!$L$4:$L$1529,$C116,'HR Track 2'!$M$4:$M$1529,$W$85)</f>
        <v>0</v>
      </c>
      <c r="X116" s="670">
        <f>COUNTIFS('HR Track 2'!$L$4:$L$1529,$C116,'HR Track 2'!$M$4:$M$1529,$X$85)</f>
        <v>0</v>
      </c>
      <c r="Y116" s="670">
        <f>COUNTIFS('HR Track 2'!$L$4:$L$1529,$C116,'HR Track 2'!$M$4:$M$1529,$Y$85)</f>
        <v>0</v>
      </c>
      <c r="Z116" s="670">
        <f>COUNTIFS('HR Track 2'!$L$4:$L$1529,$C116,'HR Track 2'!$M$4:$M$1529,$Z$85)</f>
        <v>0</v>
      </c>
      <c r="AA116" s="670">
        <f>COUNTIFS('HR Track 2'!$L$4:$L$1529,$C116,'HR Track 2'!$M$4:$M$1529,$AA$85)</f>
        <v>0</v>
      </c>
      <c r="AB116" s="671">
        <f>COUNTIFS('HR Track 2'!$L$4:$L$1529,$C116,'HR Track 2'!$M$4:$M$1529,$AB$85)</f>
        <v>0</v>
      </c>
      <c r="AD116" s="640" t="s">
        <v>2831</v>
      </c>
    </row>
    <row r="117" spans="1:30" ht="20.45" customHeight="1">
      <c r="A117" s="67"/>
      <c r="B117" s="672"/>
      <c r="C117" s="883" t="s">
        <v>2599</v>
      </c>
      <c r="D117" s="829" t="s">
        <v>2601</v>
      </c>
      <c r="E117" s="830" t="s">
        <v>2603</v>
      </c>
      <c r="F117" s="831" t="s">
        <v>679</v>
      </c>
      <c r="G117" s="673">
        <f t="shared" si="29"/>
        <v>6</v>
      </c>
      <c r="H117" s="674">
        <f t="shared" si="19"/>
        <v>3</v>
      </c>
      <c r="I117" s="674">
        <f t="shared" si="20"/>
        <v>3</v>
      </c>
      <c r="J117" s="674">
        <f t="shared" si="21"/>
        <v>0</v>
      </c>
      <c r="K117" s="674">
        <f t="shared" si="22"/>
        <v>0</v>
      </c>
      <c r="L117" s="674">
        <f t="shared" si="23"/>
        <v>0</v>
      </c>
      <c r="M117" s="675">
        <f t="shared" si="24"/>
        <v>0</v>
      </c>
      <c r="N117" s="553"/>
      <c r="O117" s="631">
        <f t="shared" si="30"/>
        <v>6</v>
      </c>
      <c r="P117" s="676">
        <f>COUNTIFS('HR Track 1'!$L$5:$L$1529,$C117,'HR Track 1'!$M$5:$M$1529,$P$85)</f>
        <v>0</v>
      </c>
      <c r="Q117" s="674">
        <f>COUNTIFS('HR Track 1'!$L$5:$L$1529,$C117,'HR Track 1'!$M$5:$M$1529,$Q$85)</f>
        <v>0</v>
      </c>
      <c r="R117" s="674">
        <f>COUNTIFS('HR Track 1'!$L$5:$L$1529,$C117,'HR Track 1'!$M$5:$M$1529,$R$85)</f>
        <v>3</v>
      </c>
      <c r="S117" s="674">
        <f>COUNTIFS('HR Track 1'!$L$5:$L$1529,$C117,'HR Track 1'!$M$5:$M$1529,$S$85)</f>
        <v>0</v>
      </c>
      <c r="T117" s="674">
        <f>COUNTIFS('HR Track 1'!$L$5:$L$1529,$C117,'HR Track 1'!$M$5:$M$1529,$T$85)</f>
        <v>0</v>
      </c>
      <c r="U117" s="675">
        <f>COUNTIFS('HR Track 1'!$L$5:$L$1529,$C117,'HR Track 1'!$M$5:$M$1529,$U$85)</f>
        <v>0</v>
      </c>
      <c r="V117" s="538"/>
      <c r="W117" s="676">
        <f>COUNTIFS('HR Track 2'!$L$4:$L$1529,$C117,'HR Track 2'!$M$4:$M$1529,$W$85)</f>
        <v>0</v>
      </c>
      <c r="X117" s="674">
        <f>COUNTIFS('HR Track 2'!$L$4:$L$1529,$C117,'HR Track 2'!$M$4:$M$1529,$X$85)</f>
        <v>2</v>
      </c>
      <c r="Y117" s="674">
        <f>COUNTIFS('HR Track 2'!$L$4:$L$1529,$C117,'HR Track 2'!$M$4:$M$1529,$Y$85)</f>
        <v>1</v>
      </c>
      <c r="Z117" s="674">
        <f>COUNTIFS('HR Track 2'!$L$4:$L$1529,$C117,'HR Track 2'!$M$4:$M$1529,$Z$85)</f>
        <v>0</v>
      </c>
      <c r="AA117" s="674">
        <f>COUNTIFS('HR Track 2'!$L$4:$L$1529,$C117,'HR Track 2'!$M$4:$M$1529,$AA$85)</f>
        <v>0</v>
      </c>
      <c r="AB117" s="675">
        <f>COUNTIFS('HR Track 2'!$L$4:$L$1529,$C117,'HR Track 2'!$M$4:$M$1529,$AB$85)</f>
        <v>0</v>
      </c>
      <c r="AD117" s="677" t="s">
        <v>2620</v>
      </c>
    </row>
    <row r="118" spans="1:30" ht="20.45" customHeight="1">
      <c r="A118" s="67"/>
      <c r="B118" s="672"/>
      <c r="C118" s="884" t="s">
        <v>2832</v>
      </c>
      <c r="D118" s="832" t="s">
        <v>2833</v>
      </c>
      <c r="E118" s="833" t="s">
        <v>2834</v>
      </c>
      <c r="F118" s="687" t="s">
        <v>679</v>
      </c>
      <c r="G118" s="678">
        <f t="shared" si="29"/>
        <v>0</v>
      </c>
      <c r="H118" s="679">
        <f t="shared" si="19"/>
        <v>0</v>
      </c>
      <c r="I118" s="679">
        <f t="shared" si="20"/>
        <v>0</v>
      </c>
      <c r="J118" s="679">
        <f t="shared" si="21"/>
        <v>0</v>
      </c>
      <c r="K118" s="679">
        <f t="shared" si="22"/>
        <v>0</v>
      </c>
      <c r="L118" s="679">
        <f t="shared" si="23"/>
        <v>0</v>
      </c>
      <c r="M118" s="680">
        <f t="shared" si="24"/>
        <v>0</v>
      </c>
      <c r="N118" s="553"/>
      <c r="O118" s="631">
        <f t="shared" si="30"/>
        <v>0</v>
      </c>
      <c r="P118" s="681">
        <f>COUNTIFS('HR Track 1'!$L$5:$L$1529,$C118,'HR Track 1'!$M$5:$M$1529,$P$85)</f>
        <v>0</v>
      </c>
      <c r="Q118" s="679">
        <f>COUNTIFS('HR Track 1'!$L$5:$L$1529,$C118,'HR Track 1'!$M$5:$M$1529,$Q$85)</f>
        <v>0</v>
      </c>
      <c r="R118" s="679">
        <f>COUNTIFS('HR Track 1'!$L$5:$L$1529,$C118,'HR Track 1'!$M$5:$M$1529,$R$85)</f>
        <v>0</v>
      </c>
      <c r="S118" s="679">
        <f>COUNTIFS('HR Track 1'!$L$5:$L$1529,$C118,'HR Track 1'!$M$5:$M$1529,$S$85)</f>
        <v>0</v>
      </c>
      <c r="T118" s="679">
        <f>COUNTIFS('HR Track 1'!$L$5:$L$1529,$C118,'HR Track 1'!$M$5:$M$1529,$T$85)</f>
        <v>0</v>
      </c>
      <c r="U118" s="680">
        <f>COUNTIFS('HR Track 1'!$L$5:$L$1529,$C118,'HR Track 1'!$M$5:$M$1529,$U$85)</f>
        <v>0</v>
      </c>
      <c r="V118" s="538"/>
      <c r="W118" s="681">
        <f>COUNTIFS('HR Track 2'!$L$4:$L$1529,$C118,'HR Track 2'!$M$4:$M$1529,$W$85)</f>
        <v>0</v>
      </c>
      <c r="X118" s="679">
        <f>COUNTIFS('HR Track 2'!$L$4:$L$1529,$C118,'HR Track 2'!$M$4:$M$1529,$X$85)</f>
        <v>0</v>
      </c>
      <c r="Y118" s="679">
        <f>COUNTIFS('HR Track 2'!$L$4:$L$1529,$C118,'HR Track 2'!$M$4:$M$1529,$Y$85)</f>
        <v>0</v>
      </c>
      <c r="Z118" s="679">
        <f>COUNTIFS('HR Track 2'!$L$4:$L$1529,$C118,'HR Track 2'!$M$4:$M$1529,$Z$85)</f>
        <v>0</v>
      </c>
      <c r="AA118" s="679">
        <f>COUNTIFS('HR Track 2'!$L$4:$L$1529,$C118,'HR Track 2'!$M$4:$M$1529,$AA$85)</f>
        <v>0</v>
      </c>
      <c r="AB118" s="680">
        <f>COUNTIFS('HR Track 2'!$L$4:$L$1529,$C118,'HR Track 2'!$M$4:$M$1529,$AB$85)</f>
        <v>0</v>
      </c>
      <c r="AD118" s="682" t="s">
        <v>2835</v>
      </c>
    </row>
    <row r="119" spans="1:30" ht="20.45" customHeight="1">
      <c r="A119" s="683" t="s">
        <v>885</v>
      </c>
      <c r="B119" s="684" t="s">
        <v>887</v>
      </c>
      <c r="C119" s="871"/>
      <c r="D119" s="811" t="s">
        <v>508</v>
      </c>
      <c r="E119" s="811" t="s">
        <v>510</v>
      </c>
      <c r="F119" s="616"/>
      <c r="G119" s="617">
        <f t="shared" si="29"/>
        <v>625</v>
      </c>
      <c r="H119" s="618">
        <f>SUM(H84:H118)</f>
        <v>265</v>
      </c>
      <c r="I119" s="618">
        <f t="shared" ref="I119:M119" si="31">SUM(I84:I118)</f>
        <v>293</v>
      </c>
      <c r="J119" s="618">
        <f t="shared" si="31"/>
        <v>38</v>
      </c>
      <c r="K119" s="618">
        <f t="shared" si="31"/>
        <v>10</v>
      </c>
      <c r="L119" s="618">
        <f t="shared" si="31"/>
        <v>6</v>
      </c>
      <c r="M119" s="618">
        <f t="shared" si="31"/>
        <v>13</v>
      </c>
      <c r="N119" s="553"/>
      <c r="O119" s="539"/>
      <c r="V119" s="538"/>
      <c r="AD119" s="685" t="s">
        <v>1268</v>
      </c>
    </row>
    <row r="120" spans="1:30" ht="20.45" customHeight="1">
      <c r="A120" s="686" t="s">
        <v>886</v>
      </c>
      <c r="B120" s="687" t="s">
        <v>695</v>
      </c>
      <c r="C120" s="878"/>
      <c r="D120" s="823" t="s">
        <v>509</v>
      </c>
      <c r="E120" s="823" t="s">
        <v>511</v>
      </c>
      <c r="F120" s="649" t="s">
        <v>695</v>
      </c>
      <c r="G120" s="650">
        <f t="shared" si="29"/>
        <v>625</v>
      </c>
      <c r="H120" s="651">
        <f t="shared" ref="H120:M120" si="32">+H119</f>
        <v>265</v>
      </c>
      <c r="I120" s="651">
        <f t="shared" si="32"/>
        <v>293</v>
      </c>
      <c r="J120" s="651">
        <f t="shared" si="32"/>
        <v>38</v>
      </c>
      <c r="K120" s="651">
        <f t="shared" si="32"/>
        <v>10</v>
      </c>
      <c r="L120" s="651">
        <f t="shared" si="32"/>
        <v>6</v>
      </c>
      <c r="M120" s="652">
        <f t="shared" si="32"/>
        <v>13</v>
      </c>
      <c r="N120" s="553"/>
      <c r="O120" s="539"/>
      <c r="AD120" s="688" t="s">
        <v>1269</v>
      </c>
    </row>
    <row r="121" spans="1:30" ht="20.45" customHeight="1">
      <c r="A121" s="689" t="s">
        <v>888</v>
      </c>
      <c r="B121" s="834" t="s">
        <v>901</v>
      </c>
      <c r="C121" s="871" t="s">
        <v>890</v>
      </c>
      <c r="D121" s="811" t="s">
        <v>512</v>
      </c>
      <c r="E121" s="811" t="s">
        <v>899</v>
      </c>
      <c r="F121" s="616" t="s">
        <v>696</v>
      </c>
      <c r="G121" s="617">
        <f t="shared" si="29"/>
        <v>0</v>
      </c>
      <c r="H121" s="618">
        <f t="shared" ref="H121:H133" si="33">COUNTIF(Area_v1,$C121)/2</f>
        <v>0</v>
      </c>
      <c r="I121" s="618">
        <f t="shared" ref="I121:I132" si="34">COUNTIF(Area_v2,$C121)/2</f>
        <v>0</v>
      </c>
      <c r="J121" s="618">
        <f t="shared" ref="J121:J132" si="35">COUNTIF(Area_v3,$C121)/2</f>
        <v>0</v>
      </c>
      <c r="K121" s="618">
        <f t="shared" ref="K121:K132" si="36">COUNTIF(Area_v4,$C121)/2</f>
        <v>0</v>
      </c>
      <c r="L121" s="618">
        <f t="shared" ref="L121:L132" si="37">COUNTIF(Area_v5,$C121)/2</f>
        <v>0</v>
      </c>
      <c r="M121" s="619">
        <f t="shared" ref="M121:M132" si="38">COUNTIF(Area_v6,$C121)/2</f>
        <v>0</v>
      </c>
      <c r="N121" s="553"/>
      <c r="O121" s="561"/>
      <c r="AD121" s="594" t="s">
        <v>1270</v>
      </c>
    </row>
    <row r="122" spans="1:30" ht="20.45" customHeight="1">
      <c r="A122" s="67"/>
      <c r="B122" s="835" t="s">
        <v>901</v>
      </c>
      <c r="C122" s="876" t="s">
        <v>891</v>
      </c>
      <c r="D122" s="821" t="s">
        <v>513</v>
      </c>
      <c r="E122" s="821" t="s">
        <v>514</v>
      </c>
      <c r="F122" s="620" t="s">
        <v>696</v>
      </c>
      <c r="G122" s="646">
        <f t="shared" si="29"/>
        <v>0</v>
      </c>
      <c r="H122" s="553">
        <f t="shared" si="33"/>
        <v>0</v>
      </c>
      <c r="I122" s="553">
        <f t="shared" si="34"/>
        <v>0</v>
      </c>
      <c r="J122" s="553">
        <f t="shared" si="35"/>
        <v>0</v>
      </c>
      <c r="K122" s="553">
        <f t="shared" si="36"/>
        <v>0</v>
      </c>
      <c r="L122" s="553">
        <f t="shared" si="37"/>
        <v>0</v>
      </c>
      <c r="M122" s="639">
        <f t="shared" si="38"/>
        <v>0</v>
      </c>
      <c r="N122" s="553"/>
      <c r="O122" s="561"/>
      <c r="AD122" s="612" t="s">
        <v>1271</v>
      </c>
    </row>
    <row r="123" spans="1:30" ht="20.45" customHeight="1">
      <c r="A123" s="69"/>
      <c r="B123" s="835" t="s">
        <v>901</v>
      </c>
      <c r="C123" s="876" t="s">
        <v>895</v>
      </c>
      <c r="D123" s="821" t="s">
        <v>515</v>
      </c>
      <c r="E123" s="821" t="s">
        <v>516</v>
      </c>
      <c r="F123" s="620" t="s">
        <v>696</v>
      </c>
      <c r="G123" s="646">
        <f t="shared" si="29"/>
        <v>1</v>
      </c>
      <c r="H123" s="553">
        <f t="shared" si="33"/>
        <v>0</v>
      </c>
      <c r="I123" s="553">
        <f t="shared" si="34"/>
        <v>0.5</v>
      </c>
      <c r="J123" s="553">
        <f t="shared" si="35"/>
        <v>0</v>
      </c>
      <c r="K123" s="553">
        <f t="shared" si="36"/>
        <v>0</v>
      </c>
      <c r="L123" s="553">
        <f t="shared" si="37"/>
        <v>0</v>
      </c>
      <c r="M123" s="639">
        <f>COUNTIF(Area_v6,$C123)/2</f>
        <v>0.5</v>
      </c>
      <c r="N123" s="553"/>
      <c r="O123" s="561"/>
      <c r="AD123" s="612" t="s">
        <v>1272</v>
      </c>
    </row>
    <row r="124" spans="1:30" ht="20.45" customHeight="1">
      <c r="A124" s="69"/>
      <c r="B124" s="835" t="s">
        <v>901</v>
      </c>
      <c r="C124" s="876" t="s">
        <v>896</v>
      </c>
      <c r="D124" s="821" t="s">
        <v>517</v>
      </c>
      <c r="E124" s="821" t="s">
        <v>518</v>
      </c>
      <c r="F124" s="620" t="s">
        <v>696</v>
      </c>
      <c r="G124" s="646">
        <f t="shared" si="29"/>
        <v>1</v>
      </c>
      <c r="H124" s="553">
        <f t="shared" si="33"/>
        <v>0</v>
      </c>
      <c r="I124" s="553">
        <f>COUNTIF(Area_v2,$C124)/2</f>
        <v>0.5</v>
      </c>
      <c r="J124" s="553">
        <f t="shared" si="35"/>
        <v>0.5</v>
      </c>
      <c r="K124" s="553">
        <f t="shared" si="36"/>
        <v>0</v>
      </c>
      <c r="L124" s="553">
        <f t="shared" si="37"/>
        <v>0</v>
      </c>
      <c r="M124" s="639">
        <f t="shared" si="38"/>
        <v>0</v>
      </c>
      <c r="N124" s="553"/>
      <c r="O124" s="561"/>
      <c r="AD124" s="612" t="s">
        <v>1273</v>
      </c>
    </row>
    <row r="125" spans="1:30" ht="20.45" customHeight="1">
      <c r="A125" s="69"/>
      <c r="B125" s="835" t="s">
        <v>901</v>
      </c>
      <c r="C125" s="876" t="s">
        <v>897</v>
      </c>
      <c r="D125" s="821" t="s">
        <v>519</v>
      </c>
      <c r="E125" s="821" t="s">
        <v>520</v>
      </c>
      <c r="F125" s="620" t="s">
        <v>696</v>
      </c>
      <c r="G125" s="646">
        <f t="shared" si="29"/>
        <v>10</v>
      </c>
      <c r="H125" s="553">
        <f t="shared" si="33"/>
        <v>0</v>
      </c>
      <c r="I125" s="553">
        <f t="shared" si="34"/>
        <v>5</v>
      </c>
      <c r="J125" s="553">
        <f t="shared" si="35"/>
        <v>5</v>
      </c>
      <c r="K125" s="553">
        <f t="shared" si="36"/>
        <v>0</v>
      </c>
      <c r="L125" s="553">
        <f t="shared" si="37"/>
        <v>0</v>
      </c>
      <c r="M125" s="639">
        <f t="shared" si="38"/>
        <v>0</v>
      </c>
      <c r="N125" s="553"/>
      <c r="O125" s="539"/>
      <c r="AD125" s="612" t="s">
        <v>1274</v>
      </c>
    </row>
    <row r="126" spans="1:30" ht="20.45" customHeight="1">
      <c r="A126" s="69"/>
      <c r="B126" s="835" t="s">
        <v>901</v>
      </c>
      <c r="C126" s="876" t="s">
        <v>898</v>
      </c>
      <c r="D126" s="821" t="s">
        <v>521</v>
      </c>
      <c r="E126" s="821" t="s">
        <v>522</v>
      </c>
      <c r="F126" s="620" t="s">
        <v>696</v>
      </c>
      <c r="G126" s="646">
        <f t="shared" si="29"/>
        <v>14</v>
      </c>
      <c r="H126" s="553">
        <f t="shared" si="33"/>
        <v>0</v>
      </c>
      <c r="I126" s="553">
        <f t="shared" si="34"/>
        <v>6.5</v>
      </c>
      <c r="J126" s="553">
        <f t="shared" si="35"/>
        <v>7</v>
      </c>
      <c r="K126" s="553">
        <f t="shared" si="36"/>
        <v>0.5</v>
      </c>
      <c r="L126" s="553">
        <f t="shared" si="37"/>
        <v>0</v>
      </c>
      <c r="M126" s="639">
        <f t="shared" si="38"/>
        <v>0</v>
      </c>
      <c r="N126" s="553"/>
      <c r="O126" s="539"/>
      <c r="AD126" s="612" t="s">
        <v>1275</v>
      </c>
    </row>
    <row r="127" spans="1:30" ht="20.45" customHeight="1">
      <c r="A127" s="69"/>
      <c r="B127" s="835" t="s">
        <v>901</v>
      </c>
      <c r="C127" s="876" t="s">
        <v>2517</v>
      </c>
      <c r="D127" s="821" t="s">
        <v>523</v>
      </c>
      <c r="E127" s="821" t="s">
        <v>524</v>
      </c>
      <c r="F127" s="620" t="s">
        <v>696</v>
      </c>
      <c r="G127" s="646">
        <f t="shared" si="29"/>
        <v>2</v>
      </c>
      <c r="H127" s="553">
        <f t="shared" si="33"/>
        <v>0</v>
      </c>
      <c r="I127" s="553">
        <f t="shared" si="34"/>
        <v>0</v>
      </c>
      <c r="J127" s="553">
        <f t="shared" si="35"/>
        <v>1</v>
      </c>
      <c r="K127" s="553">
        <f t="shared" si="36"/>
        <v>1</v>
      </c>
      <c r="L127" s="553">
        <f t="shared" si="37"/>
        <v>0</v>
      </c>
      <c r="M127" s="639">
        <f t="shared" si="38"/>
        <v>0</v>
      </c>
      <c r="N127" s="553"/>
      <c r="O127" s="539"/>
      <c r="AD127" s="612" t="s">
        <v>1276</v>
      </c>
    </row>
    <row r="128" spans="1:30" ht="20.45" customHeight="1">
      <c r="A128" s="69"/>
      <c r="B128" s="835" t="s">
        <v>901</v>
      </c>
      <c r="C128" s="876" t="s">
        <v>2518</v>
      </c>
      <c r="D128" s="821" t="s">
        <v>525</v>
      </c>
      <c r="E128" s="821" t="s">
        <v>526</v>
      </c>
      <c r="F128" s="620" t="s">
        <v>696</v>
      </c>
      <c r="G128" s="646">
        <f t="shared" si="29"/>
        <v>5</v>
      </c>
      <c r="H128" s="553">
        <f t="shared" si="33"/>
        <v>0</v>
      </c>
      <c r="I128" s="553">
        <f t="shared" si="34"/>
        <v>0</v>
      </c>
      <c r="J128" s="553">
        <f t="shared" si="35"/>
        <v>2</v>
      </c>
      <c r="K128" s="553">
        <f t="shared" si="36"/>
        <v>2</v>
      </c>
      <c r="L128" s="553">
        <f t="shared" si="37"/>
        <v>0.5</v>
      </c>
      <c r="M128" s="639">
        <f t="shared" si="38"/>
        <v>0.5</v>
      </c>
      <c r="N128" s="553"/>
      <c r="O128" s="539"/>
      <c r="AD128" s="612" t="s">
        <v>1277</v>
      </c>
    </row>
    <row r="129" spans="1:30" ht="20.45" customHeight="1">
      <c r="A129" s="69"/>
      <c r="B129" s="835" t="s">
        <v>901</v>
      </c>
      <c r="C129" s="876" t="s">
        <v>894</v>
      </c>
      <c r="D129" s="821" t="s">
        <v>527</v>
      </c>
      <c r="E129" s="821" t="s">
        <v>528</v>
      </c>
      <c r="F129" s="620" t="s">
        <v>695</v>
      </c>
      <c r="G129" s="646">
        <f t="shared" si="29"/>
        <v>5</v>
      </c>
      <c r="H129" s="553">
        <f t="shared" si="33"/>
        <v>0.5</v>
      </c>
      <c r="I129" s="553">
        <f t="shared" si="34"/>
        <v>0</v>
      </c>
      <c r="J129" s="553">
        <f t="shared" si="35"/>
        <v>0.5</v>
      </c>
      <c r="K129" s="553">
        <f t="shared" si="36"/>
        <v>0.5</v>
      </c>
      <c r="L129" s="553">
        <f t="shared" si="37"/>
        <v>1.5</v>
      </c>
      <c r="M129" s="639">
        <f t="shared" si="38"/>
        <v>2</v>
      </c>
      <c r="N129" s="553"/>
      <c r="O129" s="539"/>
      <c r="AD129" s="612" t="s">
        <v>1278</v>
      </c>
    </row>
    <row r="130" spans="1:30" ht="20.45" customHeight="1">
      <c r="A130" s="69"/>
      <c r="B130" s="835" t="s">
        <v>901</v>
      </c>
      <c r="C130" s="876" t="s">
        <v>2699</v>
      </c>
      <c r="D130" s="821" t="s">
        <v>529</v>
      </c>
      <c r="E130" s="821" t="s">
        <v>530</v>
      </c>
      <c r="F130" s="620" t="s">
        <v>695</v>
      </c>
      <c r="G130" s="646">
        <f t="shared" si="29"/>
        <v>0</v>
      </c>
      <c r="H130" s="553">
        <f t="shared" si="33"/>
        <v>0</v>
      </c>
      <c r="I130" s="553">
        <f t="shared" si="34"/>
        <v>0</v>
      </c>
      <c r="J130" s="553">
        <f t="shared" si="35"/>
        <v>0</v>
      </c>
      <c r="K130" s="553">
        <f t="shared" si="36"/>
        <v>0</v>
      </c>
      <c r="L130" s="553">
        <f t="shared" si="37"/>
        <v>0</v>
      </c>
      <c r="M130" s="639">
        <f t="shared" si="38"/>
        <v>0</v>
      </c>
      <c r="N130" s="553"/>
      <c r="O130" s="539"/>
      <c r="AD130" s="612" t="s">
        <v>1279</v>
      </c>
    </row>
    <row r="131" spans="1:30" ht="20.45" customHeight="1">
      <c r="A131" s="69"/>
      <c r="B131" s="835" t="s">
        <v>901</v>
      </c>
      <c r="C131" s="876" t="s">
        <v>2700</v>
      </c>
      <c r="D131" s="821" t="s">
        <v>531</v>
      </c>
      <c r="E131" s="821" t="s">
        <v>532</v>
      </c>
      <c r="F131" s="620" t="s">
        <v>695</v>
      </c>
      <c r="G131" s="646">
        <f t="shared" si="29"/>
        <v>0</v>
      </c>
      <c r="H131" s="553">
        <f t="shared" si="33"/>
        <v>0</v>
      </c>
      <c r="I131" s="553">
        <f t="shared" si="34"/>
        <v>0</v>
      </c>
      <c r="J131" s="553">
        <f t="shared" si="35"/>
        <v>0</v>
      </c>
      <c r="K131" s="553">
        <f t="shared" si="36"/>
        <v>0</v>
      </c>
      <c r="L131" s="553">
        <f t="shared" si="37"/>
        <v>0</v>
      </c>
      <c r="M131" s="639">
        <f t="shared" si="38"/>
        <v>0</v>
      </c>
      <c r="N131" s="553"/>
      <c r="O131" s="539"/>
      <c r="AD131" s="612" t="s">
        <v>1280</v>
      </c>
    </row>
    <row r="132" spans="1:30" ht="20.45" customHeight="1">
      <c r="A132" s="69"/>
      <c r="B132" s="835" t="s">
        <v>901</v>
      </c>
      <c r="C132" s="876" t="s">
        <v>2587</v>
      </c>
      <c r="D132" s="821" t="s">
        <v>533</v>
      </c>
      <c r="E132" s="821" t="s">
        <v>534</v>
      </c>
      <c r="F132" s="620" t="s">
        <v>695</v>
      </c>
      <c r="G132" s="646">
        <f t="shared" si="29"/>
        <v>0</v>
      </c>
      <c r="H132" s="553">
        <f t="shared" si="33"/>
        <v>0</v>
      </c>
      <c r="I132" s="553">
        <f t="shared" si="34"/>
        <v>0</v>
      </c>
      <c r="J132" s="553">
        <f t="shared" si="35"/>
        <v>0</v>
      </c>
      <c r="K132" s="553">
        <f t="shared" si="36"/>
        <v>0</v>
      </c>
      <c r="L132" s="553">
        <f t="shared" si="37"/>
        <v>0</v>
      </c>
      <c r="M132" s="639">
        <f t="shared" si="38"/>
        <v>0</v>
      </c>
      <c r="N132" s="553"/>
      <c r="O132" s="539"/>
      <c r="AD132" s="612" t="s">
        <v>1281</v>
      </c>
    </row>
    <row r="133" spans="1:30" ht="20.45" customHeight="1">
      <c r="A133" s="69"/>
      <c r="B133" s="620"/>
      <c r="C133" s="876" t="s">
        <v>892</v>
      </c>
      <c r="D133" s="821" t="s">
        <v>698</v>
      </c>
      <c r="E133" s="821" t="s">
        <v>535</v>
      </c>
      <c r="F133" s="620" t="s">
        <v>697</v>
      </c>
      <c r="G133" s="646">
        <f t="shared" si="29"/>
        <v>0</v>
      </c>
      <c r="H133" s="553">
        <f t="shared" si="33"/>
        <v>0</v>
      </c>
      <c r="I133" s="553">
        <f>COUNTIF(Area_v2,$C133)</f>
        <v>0</v>
      </c>
      <c r="J133" s="553">
        <f>COUNTIF(Area_v3,$C133)</f>
        <v>0</v>
      </c>
      <c r="K133" s="553">
        <f>COUNTIF(Area_v4,$C133)</f>
        <v>0</v>
      </c>
      <c r="L133" s="553">
        <f>COUNTIF(Area_v5,$C133)</f>
        <v>0</v>
      </c>
      <c r="M133" s="639">
        <f>COUNTIF(Area_v6,$C133)</f>
        <v>0</v>
      </c>
      <c r="N133" s="553"/>
      <c r="O133" s="539"/>
      <c r="AD133" s="612" t="s">
        <v>1282</v>
      </c>
    </row>
    <row r="134" spans="1:30" ht="20.45" customHeight="1">
      <c r="A134" s="690"/>
      <c r="B134" s="649"/>
      <c r="C134" s="878" t="s">
        <v>893</v>
      </c>
      <c r="D134" s="823" t="s">
        <v>700</v>
      </c>
      <c r="E134" s="823" t="s">
        <v>701</v>
      </c>
      <c r="F134" s="649" t="s">
        <v>699</v>
      </c>
      <c r="G134" s="650">
        <f t="shared" si="29"/>
        <v>0</v>
      </c>
      <c r="H134" s="651">
        <f>COUNTIF(Area_v1,$C134)</f>
        <v>0</v>
      </c>
      <c r="I134" s="651">
        <f>COUNTIF(Area_v2,$C134)</f>
        <v>0</v>
      </c>
      <c r="J134" s="651">
        <f>COUNTIF(Area_v3,$C134)</f>
        <v>0</v>
      </c>
      <c r="K134" s="651">
        <f>COUNTIF(Area_v4,$C134)</f>
        <v>0</v>
      </c>
      <c r="L134" s="651">
        <f>COUNTIF(Area_v5,$C134)</f>
        <v>0</v>
      </c>
      <c r="M134" s="652">
        <f>COUNTIF(Area_v6,$C134)</f>
        <v>0</v>
      </c>
      <c r="N134" s="553"/>
      <c r="O134" s="539"/>
      <c r="AD134" s="653" t="s">
        <v>1283</v>
      </c>
    </row>
    <row r="135" spans="1:30" ht="20.45" customHeight="1">
      <c r="A135" s="683" t="s">
        <v>906</v>
      </c>
      <c r="B135" s="616"/>
      <c r="C135" s="871" t="s">
        <v>902</v>
      </c>
      <c r="D135" s="811" t="s">
        <v>536</v>
      </c>
      <c r="E135" s="811" t="s">
        <v>703</v>
      </c>
      <c r="F135" s="616" t="s">
        <v>702</v>
      </c>
      <c r="G135" s="617">
        <f t="shared" si="29"/>
        <v>0</v>
      </c>
      <c r="H135" s="632">
        <f>COUNTIF(Area_v1,$C135)</f>
        <v>0</v>
      </c>
      <c r="I135" s="618">
        <f>COUNTIF(Area_v2,$C135)</f>
        <v>0</v>
      </c>
      <c r="J135" s="618">
        <f>COUNTIF(Area_v3,$C135)</f>
        <v>0</v>
      </c>
      <c r="K135" s="618">
        <f>COUNTIF(Area_v4,$C135)</f>
        <v>0</v>
      </c>
      <c r="L135" s="618">
        <f>COUNTIF(Area_v5,$C135)</f>
        <v>0</v>
      </c>
      <c r="M135" s="619">
        <f>COUNTIF(Area_v6,$C135)</f>
        <v>0</v>
      </c>
      <c r="N135" s="553"/>
      <c r="O135" s="539"/>
      <c r="AD135" s="691" t="s">
        <v>2024</v>
      </c>
    </row>
    <row r="136" spans="1:30" ht="20.45" customHeight="1">
      <c r="A136" s="69"/>
      <c r="B136" s="819" t="s">
        <v>887</v>
      </c>
      <c r="C136" s="876"/>
      <c r="D136" s="821" t="s">
        <v>537</v>
      </c>
      <c r="E136" s="821" t="s">
        <v>704</v>
      </c>
      <c r="F136" s="620" t="s">
        <v>702</v>
      </c>
      <c r="G136" s="646">
        <f t="shared" si="29"/>
        <v>0</v>
      </c>
      <c r="H136" s="638">
        <f t="shared" ref="H136:M136" si="39">+H135</f>
        <v>0</v>
      </c>
      <c r="I136" s="553">
        <f t="shared" si="39"/>
        <v>0</v>
      </c>
      <c r="J136" s="553">
        <f t="shared" si="39"/>
        <v>0</v>
      </c>
      <c r="K136" s="553">
        <f t="shared" si="39"/>
        <v>0</v>
      </c>
      <c r="L136" s="553">
        <f t="shared" si="39"/>
        <v>0</v>
      </c>
      <c r="M136" s="639">
        <f t="shared" si="39"/>
        <v>0</v>
      </c>
      <c r="N136" s="553"/>
      <c r="O136" s="539"/>
      <c r="AD136" s="692" t="s">
        <v>2025</v>
      </c>
    </row>
    <row r="137" spans="1:30" ht="20.45" customHeight="1">
      <c r="A137" s="69"/>
      <c r="B137" s="620"/>
      <c r="C137" s="876" t="s">
        <v>903</v>
      </c>
      <c r="D137" s="821" t="s">
        <v>538</v>
      </c>
      <c r="E137" s="821" t="s">
        <v>706</v>
      </c>
      <c r="F137" s="620" t="s">
        <v>705</v>
      </c>
      <c r="G137" s="646">
        <f t="shared" si="29"/>
        <v>0</v>
      </c>
      <c r="H137" s="638">
        <f>COUNTIF(Area_v1,$C137)</f>
        <v>0</v>
      </c>
      <c r="I137" s="553">
        <f>COUNTIF(Area_v2,$C137)</f>
        <v>0</v>
      </c>
      <c r="J137" s="553">
        <f>COUNTIF(Area_v3,$C137)</f>
        <v>0</v>
      </c>
      <c r="K137" s="553">
        <f>COUNTIF(Area_v4,$C137)</f>
        <v>0</v>
      </c>
      <c r="L137" s="553">
        <f>COUNTIF(Area_v5,$C137)</f>
        <v>0</v>
      </c>
      <c r="M137" s="639">
        <f>COUNTIF(Area_v6,$C137)</f>
        <v>0</v>
      </c>
      <c r="N137" s="553"/>
      <c r="O137" s="539"/>
      <c r="AD137" s="692" t="s">
        <v>2026</v>
      </c>
    </row>
    <row r="138" spans="1:30" ht="20.45" customHeight="1">
      <c r="A138" s="690"/>
      <c r="B138" s="687" t="s">
        <v>887</v>
      </c>
      <c r="C138" s="878"/>
      <c r="D138" s="823" t="s">
        <v>539</v>
      </c>
      <c r="E138" s="823" t="s">
        <v>707</v>
      </c>
      <c r="F138" s="649" t="s">
        <v>705</v>
      </c>
      <c r="G138" s="650">
        <f t="shared" si="29"/>
        <v>0</v>
      </c>
      <c r="H138" s="693">
        <f t="shared" ref="H138:M138" si="40">+H137</f>
        <v>0</v>
      </c>
      <c r="I138" s="651">
        <f t="shared" si="40"/>
        <v>0</v>
      </c>
      <c r="J138" s="651">
        <f t="shared" si="40"/>
        <v>0</v>
      </c>
      <c r="K138" s="651">
        <f t="shared" si="40"/>
        <v>0</v>
      </c>
      <c r="L138" s="651">
        <f t="shared" si="40"/>
        <v>0</v>
      </c>
      <c r="M138" s="652">
        <f t="shared" si="40"/>
        <v>0</v>
      </c>
      <c r="N138" s="553"/>
      <c r="O138" s="539"/>
      <c r="AD138" s="692" t="s">
        <v>2027</v>
      </c>
    </row>
    <row r="139" spans="1:30" ht="20.45" customHeight="1">
      <c r="A139" s="683" t="s">
        <v>904</v>
      </c>
      <c r="B139" s="616"/>
      <c r="C139" s="871" t="s">
        <v>139</v>
      </c>
      <c r="D139" s="811" t="s">
        <v>540</v>
      </c>
      <c r="E139" s="811" t="s">
        <v>2836</v>
      </c>
      <c r="F139" s="616" t="s">
        <v>708</v>
      </c>
      <c r="G139" s="617">
        <f>SUM(H139:M139)-G141-G143-G145</f>
        <v>24</v>
      </c>
      <c r="H139" s="632">
        <f>COUNTIF(Area_v1,$C139)</f>
        <v>23</v>
      </c>
      <c r="I139" s="618">
        <f>COUNTIF(Area_v2,$C139)</f>
        <v>3</v>
      </c>
      <c r="J139" s="618">
        <f>COUNTIF(Area_v3,$C139)</f>
        <v>1</v>
      </c>
      <c r="K139" s="618">
        <f>COUNTIF(Area_v4,$C139)</f>
        <v>2</v>
      </c>
      <c r="L139" s="618">
        <f>COUNTIF(Area_v5,$C139)</f>
        <v>0</v>
      </c>
      <c r="M139" s="619">
        <f>COUNTIF(Area_v6,$C139)</f>
        <v>0</v>
      </c>
      <c r="N139" s="553"/>
      <c r="O139" s="539"/>
      <c r="AD139" s="685" t="s">
        <v>1340</v>
      </c>
    </row>
    <row r="140" spans="1:30" ht="20.45" customHeight="1">
      <c r="A140" s="69"/>
      <c r="B140" s="649"/>
      <c r="C140" s="877" t="s">
        <v>229</v>
      </c>
      <c r="D140" s="822" t="s">
        <v>541</v>
      </c>
      <c r="E140" s="822" t="s">
        <v>2837</v>
      </c>
      <c r="F140" s="647" t="s">
        <v>709</v>
      </c>
      <c r="G140" s="646">
        <f>SUM(H140:M140)-G142-G144-G146</f>
        <v>2</v>
      </c>
      <c r="H140" s="693">
        <f>COUNTIF(Area_v1,$C140)</f>
        <v>10</v>
      </c>
      <c r="I140" s="651">
        <f>COUNTIF(Area_v2,$C140)</f>
        <v>6</v>
      </c>
      <c r="J140" s="651">
        <f>COUNTIF(Area_v3,$C140)</f>
        <v>0</v>
      </c>
      <c r="K140" s="651">
        <f>COUNTIF(Area_v4,$C140)</f>
        <v>1</v>
      </c>
      <c r="L140" s="651">
        <f>COUNTIF(Area_v5,$C140)</f>
        <v>0</v>
      </c>
      <c r="M140" s="652">
        <f>COUNTIF(Area_v6,$C140)</f>
        <v>0</v>
      </c>
      <c r="N140" s="553"/>
      <c r="O140" s="539"/>
      <c r="AD140" s="685" t="s">
        <v>1337</v>
      </c>
    </row>
    <row r="141" spans="1:30" ht="20.45" customHeight="1">
      <c r="A141" s="694"/>
      <c r="B141" s="695" t="s">
        <v>877</v>
      </c>
      <c r="C141" s="885"/>
      <c r="D141" s="836" t="s">
        <v>542</v>
      </c>
      <c r="E141" s="836" t="s">
        <v>2838</v>
      </c>
      <c r="F141" s="837" t="s">
        <v>708</v>
      </c>
      <c r="G141" s="696">
        <v>2</v>
      </c>
      <c r="H141" s="697"/>
      <c r="I141" s="697"/>
      <c r="J141" s="697"/>
      <c r="K141" s="697"/>
      <c r="L141" s="697"/>
      <c r="M141" s="698"/>
      <c r="N141" s="553"/>
      <c r="O141" s="539"/>
      <c r="AD141" s="699" t="s">
        <v>1338</v>
      </c>
    </row>
    <row r="142" spans="1:30" ht="20.45" customHeight="1">
      <c r="A142" s="694"/>
      <c r="B142" s="700"/>
      <c r="C142" s="886"/>
      <c r="D142" s="838" t="s">
        <v>543</v>
      </c>
      <c r="E142" s="838" t="s">
        <v>2839</v>
      </c>
      <c r="F142" s="709" t="s">
        <v>709</v>
      </c>
      <c r="G142" s="701">
        <v>12</v>
      </c>
      <c r="H142" s="702"/>
      <c r="I142" s="702"/>
      <c r="J142" s="702"/>
      <c r="K142" s="702"/>
      <c r="L142" s="702"/>
      <c r="M142" s="703"/>
      <c r="N142" s="553"/>
      <c r="O142" s="539"/>
      <c r="AD142" s="704" t="s">
        <v>1339</v>
      </c>
    </row>
    <row r="143" spans="1:30" ht="20.45" customHeight="1">
      <c r="A143" s="694"/>
      <c r="B143" s="700"/>
      <c r="C143" s="887"/>
      <c r="D143" s="836" t="s">
        <v>2840</v>
      </c>
      <c r="E143" s="836" t="s">
        <v>2841</v>
      </c>
      <c r="F143" s="837" t="s">
        <v>708</v>
      </c>
      <c r="G143" s="696">
        <v>3</v>
      </c>
      <c r="H143" s="697"/>
      <c r="I143" s="697"/>
      <c r="J143" s="697"/>
      <c r="K143" s="697"/>
      <c r="L143" s="697"/>
      <c r="M143" s="698"/>
      <c r="N143" s="553"/>
      <c r="O143" s="539"/>
      <c r="AD143" s="704"/>
    </row>
    <row r="144" spans="1:30" ht="20.45" customHeight="1">
      <c r="A144" s="694"/>
      <c r="B144" s="700"/>
      <c r="C144" s="888"/>
      <c r="D144" s="838" t="s">
        <v>2842</v>
      </c>
      <c r="E144" s="838" t="s">
        <v>2843</v>
      </c>
      <c r="F144" s="709" t="s">
        <v>709</v>
      </c>
      <c r="G144" s="701">
        <v>3</v>
      </c>
      <c r="H144" s="702"/>
      <c r="I144" s="702"/>
      <c r="J144" s="702"/>
      <c r="K144" s="702"/>
      <c r="L144" s="702"/>
      <c r="M144" s="703"/>
      <c r="N144" s="553"/>
      <c r="O144" s="539"/>
      <c r="AD144" s="704"/>
    </row>
    <row r="145" spans="1:30" ht="20.45" customHeight="1">
      <c r="A145" s="694"/>
      <c r="B145" s="705" t="s">
        <v>877</v>
      </c>
      <c r="C145" s="889"/>
      <c r="D145" s="839" t="s">
        <v>544</v>
      </c>
      <c r="E145" s="839" t="s">
        <v>545</v>
      </c>
      <c r="F145" s="840" t="s">
        <v>708</v>
      </c>
      <c r="G145" s="696">
        <f t="shared" si="29"/>
        <v>0</v>
      </c>
      <c r="H145" s="707"/>
      <c r="I145" s="707"/>
      <c r="J145" s="707"/>
      <c r="K145" s="707"/>
      <c r="L145" s="707"/>
      <c r="M145" s="708"/>
      <c r="N145" s="553"/>
      <c r="O145" s="539"/>
      <c r="AD145" s="704" t="s">
        <v>1284</v>
      </c>
    </row>
    <row r="146" spans="1:30" ht="20.45" customHeight="1">
      <c r="A146" s="694"/>
      <c r="B146" s="709"/>
      <c r="C146" s="886"/>
      <c r="D146" s="838" t="s">
        <v>546</v>
      </c>
      <c r="E146" s="838" t="s">
        <v>547</v>
      </c>
      <c r="F146" s="709" t="s">
        <v>709</v>
      </c>
      <c r="G146" s="701">
        <f t="shared" si="29"/>
        <v>0</v>
      </c>
      <c r="H146" s="702"/>
      <c r="I146" s="702"/>
      <c r="J146" s="702"/>
      <c r="K146" s="702"/>
      <c r="L146" s="702"/>
      <c r="M146" s="703"/>
      <c r="N146" s="553"/>
      <c r="O146" s="539"/>
      <c r="AD146" s="710" t="s">
        <v>1285</v>
      </c>
    </row>
    <row r="147" spans="1:30" ht="20.45" customHeight="1">
      <c r="A147" s="69"/>
      <c r="B147" s="616"/>
      <c r="C147" s="879" t="s">
        <v>239</v>
      </c>
      <c r="D147" s="824" t="s">
        <v>548</v>
      </c>
      <c r="E147" s="824" t="s">
        <v>549</v>
      </c>
      <c r="F147" s="654" t="s">
        <v>710</v>
      </c>
      <c r="G147" s="646">
        <f t="shared" si="29"/>
        <v>142</v>
      </c>
      <c r="H147" s="553">
        <f>COUNTIF(Area_v1,$C147)</f>
        <v>69</v>
      </c>
      <c r="I147" s="553">
        <f>COUNTIF(Area_v2,$C147)</f>
        <v>73</v>
      </c>
      <c r="J147" s="553">
        <f>COUNTIF(Area_v3,$C147)</f>
        <v>0</v>
      </c>
      <c r="K147" s="553">
        <f>COUNTIF(Area_v4,$C147)</f>
        <v>0</v>
      </c>
      <c r="L147" s="553">
        <f>COUNTIF(Area_v5,$C147)</f>
        <v>0</v>
      </c>
      <c r="M147" s="639">
        <f>COUNTIF(Area_v6,$C147)</f>
        <v>0</v>
      </c>
      <c r="N147" s="553"/>
      <c r="O147" s="539"/>
      <c r="AD147" s="711" t="s">
        <v>1286</v>
      </c>
    </row>
    <row r="148" spans="1:30" ht="20.45" customHeight="1">
      <c r="A148" s="69"/>
      <c r="B148" s="841" t="s">
        <v>900</v>
      </c>
      <c r="C148" s="876" t="s">
        <v>458</v>
      </c>
      <c r="D148" s="822" t="s">
        <v>548</v>
      </c>
      <c r="E148" s="821" t="s">
        <v>2844</v>
      </c>
      <c r="F148" s="620" t="s">
        <v>710</v>
      </c>
      <c r="G148" s="646">
        <f t="shared" si="29"/>
        <v>42</v>
      </c>
      <c r="H148" s="553">
        <f>COUNTIF(Area_v1,$C148)*2</f>
        <v>22</v>
      </c>
      <c r="I148" s="553">
        <f>COUNTIF(Area_v2,$C148)*2</f>
        <v>20</v>
      </c>
      <c r="J148" s="553">
        <f>COUNTIF(Area_v3,$C148)*2</f>
        <v>0</v>
      </c>
      <c r="K148" s="553">
        <f>COUNTIF(Area_v4,$C148)*2</f>
        <v>0</v>
      </c>
      <c r="L148" s="553">
        <f>COUNTIF(Area_v5,$C148)*2</f>
        <v>0</v>
      </c>
      <c r="M148" s="639">
        <f>COUNTIF(Area_v6,$C148)*2</f>
        <v>0</v>
      </c>
      <c r="N148" s="553"/>
      <c r="O148" s="539"/>
      <c r="AD148" s="712" t="s">
        <v>1287</v>
      </c>
    </row>
    <row r="149" spans="1:30" ht="20.45" customHeight="1">
      <c r="A149" s="1007"/>
      <c r="B149" s="1008"/>
      <c r="C149" s="871" t="s">
        <v>2977</v>
      </c>
      <c r="D149" s="811" t="s">
        <v>3080</v>
      </c>
      <c r="E149" s="811" t="s">
        <v>3143</v>
      </c>
      <c r="F149" s="616">
        <v>6655</v>
      </c>
      <c r="G149" s="617">
        <f t="shared" ref="G149:G154" si="41">SUM(H149:M149)</f>
        <v>13</v>
      </c>
      <c r="H149" s="714">
        <f>COUNTIF(Area_v1,$C149)</f>
        <v>6</v>
      </c>
      <c r="I149" s="714">
        <f>COUNTIF(Area_v2,$C149)</f>
        <v>7</v>
      </c>
      <c r="J149" s="714">
        <f>COUNTIF(Area_v3,$C149)</f>
        <v>0</v>
      </c>
      <c r="K149" s="714">
        <f>COUNTIF(Area_v4,$C149)</f>
        <v>0</v>
      </c>
      <c r="L149" s="714">
        <f>COUNTIF(Area_v5,$C149)</f>
        <v>0</v>
      </c>
      <c r="M149" s="715">
        <f>COUNTIF(Area_v6,$C149)</f>
        <v>0</v>
      </c>
      <c r="N149" s="553"/>
      <c r="O149" s="539"/>
      <c r="AD149" s="716"/>
    </row>
    <row r="150" spans="1:30" ht="20.45" customHeight="1">
      <c r="A150" s="713"/>
      <c r="B150" s="841" t="s">
        <v>900</v>
      </c>
      <c r="C150" s="876" t="s">
        <v>2978</v>
      </c>
      <c r="D150" s="824" t="s">
        <v>3080</v>
      </c>
      <c r="E150" s="821" t="s">
        <v>3144</v>
      </c>
      <c r="F150" s="620">
        <v>6655</v>
      </c>
      <c r="G150" s="646">
        <f t="shared" si="41"/>
        <v>14</v>
      </c>
      <c r="H150" s="714">
        <f>COUNTIF(Area_v1,$C150)*2</f>
        <v>10</v>
      </c>
      <c r="I150" s="714">
        <f>COUNTIF(Area_v2,$C150)*2</f>
        <v>4</v>
      </c>
      <c r="J150" s="714">
        <f>COUNTIF(Area_v3,$C150)*2</f>
        <v>0</v>
      </c>
      <c r="K150" s="714">
        <f>COUNTIF(Area_v4,$C150)*2</f>
        <v>0</v>
      </c>
      <c r="L150" s="714">
        <f>COUNTIF(Area_v5,$C150)*2</f>
        <v>0</v>
      </c>
      <c r="M150" s="715">
        <f>COUNTIF(Area_v6,$C150)*2</f>
        <v>0</v>
      </c>
      <c r="N150" s="553"/>
      <c r="O150" s="539"/>
      <c r="AD150" s="716"/>
    </row>
    <row r="151" spans="1:30" ht="20.45" customHeight="1">
      <c r="A151" s="713"/>
      <c r="B151" s="842"/>
      <c r="C151" s="879" t="s">
        <v>3081</v>
      </c>
      <c r="D151" s="824" t="s">
        <v>3082</v>
      </c>
      <c r="E151" s="824" t="s">
        <v>3145</v>
      </c>
      <c r="F151" s="654"/>
      <c r="G151" s="646">
        <f t="shared" si="41"/>
        <v>0</v>
      </c>
      <c r="H151" s="714">
        <f>COUNTIF(Area_v1,$C151)</f>
        <v>0</v>
      </c>
      <c r="I151" s="714">
        <f>COUNTIF(Area_v2,$C151)</f>
        <v>0</v>
      </c>
      <c r="J151" s="714">
        <f>COUNTIF(Area_v3,$C151)</f>
        <v>0</v>
      </c>
      <c r="K151" s="714">
        <f>COUNTIF(Area_v4,$C151)</f>
        <v>0</v>
      </c>
      <c r="L151" s="714">
        <f>COUNTIF(Area_v5,$C151)</f>
        <v>0</v>
      </c>
      <c r="M151" s="715">
        <f>COUNTIF(Area_v6,$C151)</f>
        <v>0</v>
      </c>
      <c r="N151" s="553"/>
      <c r="O151" s="539"/>
      <c r="AD151" s="716"/>
    </row>
    <row r="152" spans="1:30" ht="20.45" customHeight="1">
      <c r="A152" s="713"/>
      <c r="B152" s="841" t="s">
        <v>900</v>
      </c>
      <c r="C152" s="876" t="s">
        <v>3083</v>
      </c>
      <c r="D152" s="824" t="s">
        <v>3082</v>
      </c>
      <c r="E152" s="821" t="s">
        <v>3146</v>
      </c>
      <c r="F152" s="620"/>
      <c r="G152" s="646">
        <f t="shared" si="41"/>
        <v>0</v>
      </c>
      <c r="H152" s="714">
        <f>COUNTIF(Area_v1,$C152)*2</f>
        <v>0</v>
      </c>
      <c r="I152" s="714">
        <f>COUNTIF(Area_v2,$C152)*2</f>
        <v>0</v>
      </c>
      <c r="J152" s="714">
        <f>COUNTIF(Area_v3,$C152)*2</f>
        <v>0</v>
      </c>
      <c r="K152" s="714">
        <f>COUNTIF(Area_v4,$C152)*2</f>
        <v>0</v>
      </c>
      <c r="L152" s="714">
        <f>COUNTIF(Area_v5,$C152)*2</f>
        <v>0</v>
      </c>
      <c r="M152" s="715">
        <f>COUNTIF(Area_v6,$C152)*2</f>
        <v>0</v>
      </c>
      <c r="N152" s="553"/>
      <c r="O152" s="539"/>
      <c r="AD152" s="716"/>
    </row>
    <row r="153" spans="1:30" ht="20.45" customHeight="1">
      <c r="A153" s="713"/>
      <c r="B153" s="842"/>
      <c r="C153" s="879" t="s">
        <v>3084</v>
      </c>
      <c r="D153" s="824" t="s">
        <v>3085</v>
      </c>
      <c r="E153" s="824" t="s">
        <v>3147</v>
      </c>
      <c r="F153" s="654"/>
      <c r="G153" s="646">
        <f t="shared" si="41"/>
        <v>0</v>
      </c>
      <c r="H153" s="714">
        <f>COUNTIF(Area_v1,$C153)</f>
        <v>0</v>
      </c>
      <c r="I153" s="714">
        <f>COUNTIF(Area_v2,$C153)</f>
        <v>0</v>
      </c>
      <c r="J153" s="714">
        <f>COUNTIF(Area_v3,$C153)</f>
        <v>0</v>
      </c>
      <c r="K153" s="714">
        <f>COUNTIF(Area_v4,$C153)</f>
        <v>0</v>
      </c>
      <c r="L153" s="714">
        <f>COUNTIF(Area_v5,$C153)</f>
        <v>0</v>
      </c>
      <c r="M153" s="715">
        <f>COUNTIF(Area_v6,$C153)</f>
        <v>0</v>
      </c>
      <c r="N153" s="553"/>
      <c r="O153" s="539"/>
      <c r="AD153" s="716"/>
    </row>
    <row r="154" spans="1:30" ht="20.45" customHeight="1">
      <c r="A154" s="690"/>
      <c r="B154" s="1009" t="s">
        <v>900</v>
      </c>
      <c r="C154" s="878" t="s">
        <v>3086</v>
      </c>
      <c r="D154" s="1010" t="s">
        <v>3085</v>
      </c>
      <c r="E154" s="823" t="s">
        <v>3148</v>
      </c>
      <c r="F154" s="649"/>
      <c r="G154" s="650">
        <f t="shared" si="41"/>
        <v>0</v>
      </c>
      <c r="H154" s="714">
        <f>COUNTIF(Area_v1,$C154)*2</f>
        <v>0</v>
      </c>
      <c r="I154" s="714">
        <f>COUNTIF(Area_v2,$C154)*2</f>
        <v>0</v>
      </c>
      <c r="J154" s="714">
        <f>COUNTIF(Area_v3,$C154)*2</f>
        <v>0</v>
      </c>
      <c r="K154" s="714">
        <f>COUNTIF(Area_v4,$C154)*2</f>
        <v>0</v>
      </c>
      <c r="L154" s="714">
        <f>COUNTIF(Area_v5,$C154)*2</f>
        <v>0</v>
      </c>
      <c r="M154" s="715">
        <f>COUNTIF(Area_v6,$C154)*2</f>
        <v>0</v>
      </c>
      <c r="N154" s="553"/>
      <c r="O154" s="539"/>
      <c r="AD154" s="716"/>
    </row>
    <row r="155" spans="1:30" ht="20.45" customHeight="1">
      <c r="A155" s="690"/>
      <c r="B155" s="649"/>
      <c r="C155" s="878" t="s">
        <v>905</v>
      </c>
      <c r="D155" s="823" t="s">
        <v>914</v>
      </c>
      <c r="E155" s="823" t="s">
        <v>712</v>
      </c>
      <c r="F155" s="649" t="s">
        <v>711</v>
      </c>
      <c r="G155" s="650">
        <f t="shared" si="29"/>
        <v>0</v>
      </c>
      <c r="H155" s="651">
        <f>COUNTIF(Area_v1,$C155)</f>
        <v>0</v>
      </c>
      <c r="I155" s="651">
        <f>COUNTIF(Area_v2,$C155)</f>
        <v>0</v>
      </c>
      <c r="J155" s="651">
        <f>COUNTIF(Area_v3,$C155)</f>
        <v>0</v>
      </c>
      <c r="K155" s="651">
        <f>COUNTIF(Area_v4,$C155)</f>
        <v>0</v>
      </c>
      <c r="L155" s="651">
        <f>COUNTIF(Area_v5,$C155)</f>
        <v>0</v>
      </c>
      <c r="M155" s="652">
        <f>COUNTIF(Area_v6,$C155)</f>
        <v>0</v>
      </c>
      <c r="N155" s="553"/>
      <c r="O155" s="539"/>
      <c r="AD155" s="688" t="s">
        <v>1288</v>
      </c>
    </row>
    <row r="156" spans="1:30" ht="20.45" customHeight="1">
      <c r="A156" s="67"/>
      <c r="B156" s="68"/>
      <c r="C156" s="871"/>
      <c r="D156" s="824" t="s">
        <v>550</v>
      </c>
      <c r="E156" s="824" t="s">
        <v>551</v>
      </c>
      <c r="F156" s="654" t="s">
        <v>713</v>
      </c>
      <c r="G156" s="646">
        <f t="shared" si="29"/>
        <v>272</v>
      </c>
      <c r="H156" s="553">
        <f t="shared" ref="H156:M156" si="42">SUM(H157:H161)</f>
        <v>101</v>
      </c>
      <c r="I156" s="553">
        <f t="shared" si="42"/>
        <v>115</v>
      </c>
      <c r="J156" s="553">
        <f t="shared" si="42"/>
        <v>36</v>
      </c>
      <c r="K156" s="553">
        <f t="shared" si="42"/>
        <v>2</v>
      </c>
      <c r="L156" s="553">
        <f t="shared" si="42"/>
        <v>4</v>
      </c>
      <c r="M156" s="639">
        <f t="shared" si="42"/>
        <v>14</v>
      </c>
      <c r="N156" s="553"/>
      <c r="O156" s="539"/>
      <c r="P156" s="539"/>
      <c r="AD156" s="711" t="s">
        <v>1289</v>
      </c>
    </row>
    <row r="157" spans="1:30" ht="20.45" customHeight="1">
      <c r="A157" s="69"/>
      <c r="B157" s="70" t="s">
        <v>887</v>
      </c>
      <c r="C157" s="876" t="s">
        <v>913</v>
      </c>
      <c r="D157" s="821" t="s">
        <v>552</v>
      </c>
      <c r="E157" s="821" t="s">
        <v>907</v>
      </c>
      <c r="F157" s="620" t="s">
        <v>713</v>
      </c>
      <c r="G157" s="646">
        <f t="shared" ref="G157:G188" si="43">SUM(H157:M157)</f>
        <v>83</v>
      </c>
      <c r="H157" s="553">
        <f>COUNTIF(Area_v1,"CP+AnMC")+COUNTIF(Area_v1,"FP+AnMC")-3</f>
        <v>31</v>
      </c>
      <c r="I157" s="553">
        <f>COUNTIF(Area_v2,"CP+AnMC")+COUNTIF(Area_v2,"FP+AnMC")-3</f>
        <v>34</v>
      </c>
      <c r="J157" s="553">
        <f>COUNTIF(Area_v3,"CP+AnMC")+COUNTIF(Area_v3,"FP+AnMC")</f>
        <v>11</v>
      </c>
      <c r="K157" s="553">
        <f>COUNTIF(Area_v4,"CP+AnMC")+COUNTIF(Area_v4,"FP+AnMC")</f>
        <v>1</v>
      </c>
      <c r="L157" s="553">
        <f>COUNTIF(Area_v5,"CP+AnMC")+COUNTIF(Area_v5,"FP+AnMC")</f>
        <v>1</v>
      </c>
      <c r="M157" s="639">
        <f>COUNTIF(Area_v6,"CP+AnMC")+COUNTIF(Area_v6,"FP+AnMC")</f>
        <v>5</v>
      </c>
      <c r="O157" s="539"/>
      <c r="P157" s="539"/>
      <c r="AD157" s="712" t="s">
        <v>1290</v>
      </c>
    </row>
    <row r="158" spans="1:30" ht="20.45" customHeight="1">
      <c r="A158" s="69"/>
      <c r="B158" s="198" t="s">
        <v>1617</v>
      </c>
      <c r="C158" s="876" t="s">
        <v>2695</v>
      </c>
      <c r="D158" s="821" t="s">
        <v>553</v>
      </c>
      <c r="E158" s="821" t="s">
        <v>908</v>
      </c>
      <c r="F158" s="620" t="s">
        <v>713</v>
      </c>
      <c r="G158" s="646">
        <f t="shared" si="43"/>
        <v>56</v>
      </c>
      <c r="H158" s="553">
        <f>COUNTIF(Area_v1,"AnRW")+COUNTIF(Area_v1,"AnRW2")</f>
        <v>20</v>
      </c>
      <c r="I158" s="553">
        <f>COUNTIF(Area_v2,"AnRW")+COUNTIF(Area_v2,"AnRW2")</f>
        <v>24</v>
      </c>
      <c r="J158" s="553">
        <f>COUNTIF(Area_v3,"AnRW")+COUNTIF(Area_v3,"AnRW2")</f>
        <v>6</v>
      </c>
      <c r="K158" s="553">
        <f>COUNTIF(Area_v4,"AnRW")+COUNTIF(Area_v4,"AnRW2")</f>
        <v>0</v>
      </c>
      <c r="L158" s="553">
        <f>COUNTIF(Area_v5,"AnRW")+COUNTIF(Area_v5,"AnRW2")</f>
        <v>2</v>
      </c>
      <c r="M158" s="639">
        <f>COUNTIF(Area_v6,"AnRW")+COUNTIF(Area_v6,"AnRW2")</f>
        <v>4</v>
      </c>
      <c r="N158" s="553"/>
      <c r="O158" s="539"/>
      <c r="P158" s="539"/>
      <c r="AD158" s="712" t="s">
        <v>1291</v>
      </c>
    </row>
    <row r="159" spans="1:30" ht="34.9" customHeight="1">
      <c r="A159" s="69"/>
      <c r="B159" s="70"/>
      <c r="C159" s="876" t="s">
        <v>957</v>
      </c>
      <c r="D159" s="821" t="s">
        <v>554</v>
      </c>
      <c r="E159" s="821" t="s">
        <v>909</v>
      </c>
      <c r="F159" s="620" t="s">
        <v>713</v>
      </c>
      <c r="G159" s="646">
        <f t="shared" si="43"/>
        <v>133</v>
      </c>
      <c r="H159" s="553">
        <f>COUNTIF(Area_v1,"CP+AnMC")+COUNTIF(Area_v1,"FP+AnMC")+COUNTIF(Area_v1,"AnMP")-7-3</f>
        <v>50</v>
      </c>
      <c r="I159" s="553">
        <f>COUNTIF(Area_v2,"CP+AnMC")+COUNTIF(Area_v2,"FP+AnMC")+COUNTIF(Area_v2,"AnMP")-7-3</f>
        <v>57</v>
      </c>
      <c r="J159" s="553">
        <f>COUNTIF(Area_v3,"CP+AnMC")+COUNTIF(Area_v3,"FP+AnMC")+COUNTIF(Area_v3,"*AnMP*")</f>
        <v>19</v>
      </c>
      <c r="K159" s="553">
        <f>COUNTIF(Area_v4,"CP+AnMC")+COUNTIF(Area_v4,"FP+AnMC")+COUNTIF(Area_v4,"*AnMP*")</f>
        <v>1</v>
      </c>
      <c r="L159" s="553">
        <f>COUNTIF(Area_v5,"CP+AnMC")+COUNTIF(Area_v5,"FP+AnMC")+COUNTIF(Area_v5,"*AnMP*")</f>
        <v>1</v>
      </c>
      <c r="M159" s="639">
        <f>COUNTIF(Area_v6,"CP+AnMC")+COUNTIF(Area_v6,"FP+AnMC")+COUNTIF(Area_v6,"*AnMP*")</f>
        <v>5</v>
      </c>
      <c r="N159" s="553"/>
      <c r="O159" s="539"/>
      <c r="P159" s="539"/>
      <c r="AD159" s="712" t="s">
        <v>1292</v>
      </c>
    </row>
    <row r="160" spans="1:30" ht="20.45" customHeight="1">
      <c r="A160" s="69"/>
      <c r="B160" s="198" t="s">
        <v>1617</v>
      </c>
      <c r="C160" s="877" t="s">
        <v>1224</v>
      </c>
      <c r="D160" s="821" t="s">
        <v>555</v>
      </c>
      <c r="E160" s="821" t="s">
        <v>910</v>
      </c>
      <c r="F160" s="620" t="s">
        <v>713</v>
      </c>
      <c r="G160" s="646">
        <f t="shared" si="43"/>
        <v>0</v>
      </c>
      <c r="H160" s="553">
        <f>COUNTIF(Area_v1,$C160)</f>
        <v>0</v>
      </c>
      <c r="I160" s="553">
        <f>COUNTIF(Area_v2,$C160)</f>
        <v>0</v>
      </c>
      <c r="J160" s="553">
        <f>COUNTIF(Area_v3,$C160)</f>
        <v>0</v>
      </c>
      <c r="K160" s="553">
        <f>COUNTIF(Area_v4,$C160)</f>
        <v>0</v>
      </c>
      <c r="L160" s="553">
        <f>COUNTIF(Area_v5,$C160)</f>
        <v>0</v>
      </c>
      <c r="M160" s="639">
        <f>COUNTIF(Area_v6,$C160)</f>
        <v>0</v>
      </c>
      <c r="N160" s="553"/>
      <c r="O160" s="539"/>
      <c r="AD160" s="712" t="s">
        <v>1293</v>
      </c>
    </row>
    <row r="161" spans="1:30" ht="20.45" customHeight="1">
      <c r="A161" s="694"/>
      <c r="B161" s="705" t="s">
        <v>877</v>
      </c>
      <c r="C161" s="890"/>
      <c r="D161" s="844" t="s">
        <v>556</v>
      </c>
      <c r="E161" s="844" t="s">
        <v>557</v>
      </c>
      <c r="F161" s="700" t="s">
        <v>713</v>
      </c>
      <c r="G161" s="706">
        <f t="shared" si="43"/>
        <v>0</v>
      </c>
      <c r="H161" s="707"/>
      <c r="I161" s="707"/>
      <c r="J161" s="707"/>
      <c r="K161" s="707"/>
      <c r="L161" s="707"/>
      <c r="M161" s="708"/>
      <c r="N161" s="553"/>
      <c r="O161" s="539"/>
      <c r="AD161" s="704" t="s">
        <v>1294</v>
      </c>
    </row>
    <row r="162" spans="1:30" ht="20.45" customHeight="1">
      <c r="A162" s="750" t="s">
        <v>869</v>
      </c>
      <c r="B162" s="616"/>
      <c r="C162" s="871" t="s">
        <v>144</v>
      </c>
      <c r="D162" s="811" t="s">
        <v>558</v>
      </c>
      <c r="E162" s="811" t="s">
        <v>559</v>
      </c>
      <c r="F162" s="616" t="s">
        <v>714</v>
      </c>
      <c r="G162" s="617">
        <f t="shared" si="43"/>
        <v>304</v>
      </c>
      <c r="H162" s="618">
        <f t="shared" ref="H162:H170" si="44">COUNTIF(Area_v1,$C162)</f>
        <v>123</v>
      </c>
      <c r="I162" s="618">
        <f t="shared" ref="I162:I170" si="45">COUNTIF(Area_v2,$C162)</f>
        <v>153</v>
      </c>
      <c r="J162" s="618">
        <f t="shared" ref="J162:J170" si="46">COUNTIF(Area_v3,$C162)</f>
        <v>20</v>
      </c>
      <c r="K162" s="618">
        <f t="shared" ref="K162:K170" si="47">COUNTIF(Area_v4,$C162)</f>
        <v>1</v>
      </c>
      <c r="L162" s="618">
        <f t="shared" ref="L162:L170" si="48">COUNTIF(Area_v5,$C162)</f>
        <v>2</v>
      </c>
      <c r="M162" s="619">
        <f t="shared" ref="M162:M170" si="49">COUNTIF(Area_v6,$C162)</f>
        <v>5</v>
      </c>
      <c r="N162" s="553"/>
      <c r="O162" s="539"/>
      <c r="AD162" s="685" t="s">
        <v>1295</v>
      </c>
    </row>
    <row r="163" spans="1:30" ht="20.45" customHeight="1">
      <c r="A163" s="69"/>
      <c r="B163" s="620"/>
      <c r="C163" s="876" t="s">
        <v>145</v>
      </c>
      <c r="D163" s="821" t="s">
        <v>560</v>
      </c>
      <c r="E163" s="821" t="s">
        <v>562</v>
      </c>
      <c r="F163" s="620" t="s">
        <v>715</v>
      </c>
      <c r="G163" s="646">
        <f t="shared" si="43"/>
        <v>293</v>
      </c>
      <c r="H163" s="553">
        <f t="shared" si="44"/>
        <v>139</v>
      </c>
      <c r="I163" s="553">
        <f t="shared" si="45"/>
        <v>134</v>
      </c>
      <c r="J163" s="553">
        <f t="shared" si="46"/>
        <v>13</v>
      </c>
      <c r="K163" s="553">
        <f t="shared" si="47"/>
        <v>2</v>
      </c>
      <c r="L163" s="553">
        <f t="shared" si="48"/>
        <v>1</v>
      </c>
      <c r="M163" s="639">
        <f t="shared" si="49"/>
        <v>4</v>
      </c>
      <c r="N163" s="553"/>
      <c r="O163" s="539"/>
      <c r="AD163" s="712" t="s">
        <v>1296</v>
      </c>
    </row>
    <row r="164" spans="1:30" ht="20.45" customHeight="1">
      <c r="A164" s="69"/>
      <c r="B164" s="620"/>
      <c r="C164" s="876" t="s">
        <v>140</v>
      </c>
      <c r="D164" s="821" t="s">
        <v>561</v>
      </c>
      <c r="E164" s="821" t="s">
        <v>567</v>
      </c>
      <c r="F164" s="620" t="s">
        <v>716</v>
      </c>
      <c r="G164" s="646">
        <f t="shared" si="43"/>
        <v>116</v>
      </c>
      <c r="H164" s="553">
        <f t="shared" si="44"/>
        <v>50</v>
      </c>
      <c r="I164" s="553">
        <f t="shared" si="45"/>
        <v>49</v>
      </c>
      <c r="J164" s="553">
        <f t="shared" si="46"/>
        <v>10</v>
      </c>
      <c r="K164" s="553">
        <f t="shared" si="47"/>
        <v>2</v>
      </c>
      <c r="L164" s="553">
        <f t="shared" si="48"/>
        <v>0</v>
      </c>
      <c r="M164" s="639">
        <f t="shared" si="49"/>
        <v>5</v>
      </c>
      <c r="N164" s="553"/>
      <c r="O164" s="539"/>
      <c r="AD164" s="712" t="s">
        <v>1297</v>
      </c>
    </row>
    <row r="165" spans="1:30" ht="20.45" customHeight="1">
      <c r="A165" s="69"/>
      <c r="B165" s="620"/>
      <c r="C165" s="876" t="s">
        <v>673</v>
      </c>
      <c r="D165" s="821" t="s">
        <v>563</v>
      </c>
      <c r="E165" s="821" t="s">
        <v>718</v>
      </c>
      <c r="F165" s="620" t="s">
        <v>717</v>
      </c>
      <c r="G165" s="646">
        <f t="shared" si="43"/>
        <v>81</v>
      </c>
      <c r="H165" s="553">
        <f t="shared" si="44"/>
        <v>30</v>
      </c>
      <c r="I165" s="553">
        <f t="shared" si="45"/>
        <v>51</v>
      </c>
      <c r="J165" s="553">
        <f t="shared" si="46"/>
        <v>0</v>
      </c>
      <c r="K165" s="553">
        <f t="shared" si="47"/>
        <v>0</v>
      </c>
      <c r="L165" s="553">
        <f t="shared" si="48"/>
        <v>0</v>
      </c>
      <c r="M165" s="639">
        <f t="shared" si="49"/>
        <v>0</v>
      </c>
      <c r="N165" s="553"/>
      <c r="O165" s="539"/>
      <c r="AD165" s="712" t="s">
        <v>1298</v>
      </c>
    </row>
    <row r="166" spans="1:30" ht="20.45" customHeight="1">
      <c r="A166" s="69"/>
      <c r="B166" s="620"/>
      <c r="C166" s="876" t="s">
        <v>674</v>
      </c>
      <c r="D166" s="821" t="s">
        <v>564</v>
      </c>
      <c r="E166" s="821" t="s">
        <v>720</v>
      </c>
      <c r="F166" s="620" t="s">
        <v>719</v>
      </c>
      <c r="G166" s="646">
        <f t="shared" si="43"/>
        <v>93</v>
      </c>
      <c r="H166" s="553">
        <f t="shared" si="44"/>
        <v>57</v>
      </c>
      <c r="I166" s="553">
        <f t="shared" si="45"/>
        <v>36</v>
      </c>
      <c r="J166" s="553">
        <f t="shared" si="46"/>
        <v>0</v>
      </c>
      <c r="K166" s="553">
        <f t="shared" si="47"/>
        <v>0</v>
      </c>
      <c r="L166" s="553">
        <f t="shared" si="48"/>
        <v>0</v>
      </c>
      <c r="M166" s="639">
        <f t="shared" si="49"/>
        <v>0</v>
      </c>
      <c r="N166" s="553"/>
      <c r="O166" s="539"/>
      <c r="AD166" s="712" t="s">
        <v>1299</v>
      </c>
    </row>
    <row r="167" spans="1:30" ht="20.45" customHeight="1">
      <c r="A167" s="69"/>
      <c r="B167" s="620"/>
      <c r="C167" s="876" t="s">
        <v>675</v>
      </c>
      <c r="D167" s="821" t="s">
        <v>565</v>
      </c>
      <c r="E167" s="821" t="s">
        <v>722</v>
      </c>
      <c r="F167" s="620" t="s">
        <v>721</v>
      </c>
      <c r="G167" s="646">
        <f t="shared" si="43"/>
        <v>26</v>
      </c>
      <c r="H167" s="553">
        <f t="shared" si="44"/>
        <v>14</v>
      </c>
      <c r="I167" s="553">
        <f t="shared" si="45"/>
        <v>12</v>
      </c>
      <c r="J167" s="553">
        <f t="shared" si="46"/>
        <v>0</v>
      </c>
      <c r="K167" s="553">
        <f t="shared" si="47"/>
        <v>0</v>
      </c>
      <c r="L167" s="553">
        <f t="shared" si="48"/>
        <v>0</v>
      </c>
      <c r="M167" s="639">
        <f t="shared" si="49"/>
        <v>0</v>
      </c>
      <c r="N167" s="553"/>
      <c r="O167" s="539"/>
      <c r="AD167" s="712" t="s">
        <v>1300</v>
      </c>
    </row>
    <row r="168" spans="1:30" ht="20.45" customHeight="1">
      <c r="A168" s="69"/>
      <c r="B168" s="620"/>
      <c r="C168" s="876" t="s">
        <v>916</v>
      </c>
      <c r="D168" s="821" t="s">
        <v>566</v>
      </c>
      <c r="E168" s="821" t="s">
        <v>723</v>
      </c>
      <c r="F168" s="620" t="s">
        <v>695</v>
      </c>
      <c r="G168" s="646">
        <f t="shared" si="43"/>
        <v>22</v>
      </c>
      <c r="H168" s="553">
        <f t="shared" si="44"/>
        <v>17</v>
      </c>
      <c r="I168" s="553">
        <f t="shared" si="45"/>
        <v>5</v>
      </c>
      <c r="J168" s="553">
        <f t="shared" si="46"/>
        <v>0</v>
      </c>
      <c r="K168" s="553">
        <f t="shared" si="47"/>
        <v>0</v>
      </c>
      <c r="L168" s="553">
        <f t="shared" si="48"/>
        <v>0</v>
      </c>
      <c r="M168" s="639">
        <f t="shared" si="49"/>
        <v>0</v>
      </c>
      <c r="N168" s="553"/>
      <c r="O168" s="539"/>
      <c r="AD168" s="712" t="s">
        <v>1301</v>
      </c>
    </row>
    <row r="169" spans="1:30" ht="20.45" customHeight="1">
      <c r="A169" s="69"/>
      <c r="B169" s="620"/>
      <c r="C169" s="876" t="s">
        <v>917</v>
      </c>
      <c r="D169" s="821" t="s">
        <v>568</v>
      </c>
      <c r="E169" s="821" t="s">
        <v>724</v>
      </c>
      <c r="F169" s="620" t="s">
        <v>695</v>
      </c>
      <c r="G169" s="646">
        <f t="shared" si="43"/>
        <v>26</v>
      </c>
      <c r="H169" s="553">
        <f t="shared" si="44"/>
        <v>17</v>
      </c>
      <c r="I169" s="553">
        <f t="shared" si="45"/>
        <v>5</v>
      </c>
      <c r="J169" s="553">
        <f t="shared" si="46"/>
        <v>1</v>
      </c>
      <c r="K169" s="553">
        <f t="shared" si="47"/>
        <v>3</v>
      </c>
      <c r="L169" s="553">
        <f t="shared" si="48"/>
        <v>0</v>
      </c>
      <c r="M169" s="639">
        <f t="shared" si="49"/>
        <v>0</v>
      </c>
      <c r="N169" s="553"/>
      <c r="O169" s="539"/>
      <c r="AD169" s="712" t="s">
        <v>1302</v>
      </c>
    </row>
    <row r="170" spans="1:30" ht="20.45" customHeight="1">
      <c r="A170" s="690"/>
      <c r="B170" s="649"/>
      <c r="C170" s="878" t="s">
        <v>918</v>
      </c>
      <c r="D170" s="823" t="s">
        <v>569</v>
      </c>
      <c r="E170" s="823" t="s">
        <v>725</v>
      </c>
      <c r="F170" s="649" t="s">
        <v>695</v>
      </c>
      <c r="G170" s="650">
        <f t="shared" si="43"/>
        <v>13</v>
      </c>
      <c r="H170" s="651">
        <f t="shared" si="44"/>
        <v>8</v>
      </c>
      <c r="I170" s="651">
        <f t="shared" si="45"/>
        <v>5</v>
      </c>
      <c r="J170" s="651">
        <f t="shared" si="46"/>
        <v>0</v>
      </c>
      <c r="K170" s="651">
        <f t="shared" si="47"/>
        <v>0</v>
      </c>
      <c r="L170" s="651">
        <f t="shared" si="48"/>
        <v>0</v>
      </c>
      <c r="M170" s="652">
        <f t="shared" si="49"/>
        <v>0</v>
      </c>
      <c r="N170" s="553"/>
      <c r="O170" s="539"/>
      <c r="AD170" s="688" t="s">
        <v>1303</v>
      </c>
    </row>
    <row r="171" spans="1:30" ht="20.45" customHeight="1">
      <c r="A171" s="750" t="s">
        <v>915</v>
      </c>
      <c r="B171" s="728" t="s">
        <v>921</v>
      </c>
      <c r="C171" s="891"/>
      <c r="D171" s="811" t="s">
        <v>570</v>
      </c>
      <c r="E171" s="824" t="s">
        <v>727</v>
      </c>
      <c r="F171" s="654" t="s">
        <v>726</v>
      </c>
      <c r="G171" s="646">
        <f t="shared" si="43"/>
        <v>127</v>
      </c>
      <c r="H171" s="632">
        <f>COUNTIF(m2_v1,$C$162)+COUNTIF(m2_v1,$C$163)+COUNTIF(m2_v1,$C$164)</f>
        <v>52</v>
      </c>
      <c r="I171" s="618">
        <f>COUNTIF(m2_v2,$C$162)+COUNTIF(m2_v2,$C$163)+COUNTIF(m2_v2,$C$164)</f>
        <v>57</v>
      </c>
      <c r="J171" s="618">
        <f>COUNTIF(m2_v3,$C$162)+COUNTIF(m2_v3,$C$163)+COUNTIF(m2_v3,$C$164)</f>
        <v>11</v>
      </c>
      <c r="K171" s="618">
        <f>COUNTIF(m2_v4,$C$162)+COUNTIF(m2_v4,$C$163)+COUNTIF(m2_v4,$C$164)</f>
        <v>2</v>
      </c>
      <c r="L171" s="618">
        <f>COUNTIF(m2_v5,$C$162)+COUNTIF(m2_v5,$C$163)+COUNTIF(m2_v5,$C$164)</f>
        <v>0</v>
      </c>
      <c r="M171" s="619">
        <f>COUNTIF(m2_v6,$C$162)+COUNTIF(m2_v6,$C$163)+COUNTIF(m2_v6,$C$164)</f>
        <v>5</v>
      </c>
      <c r="N171" s="553"/>
      <c r="O171" s="539"/>
      <c r="AD171" s="711" t="s">
        <v>1304</v>
      </c>
    </row>
    <row r="172" spans="1:30" ht="20.45" customHeight="1">
      <c r="A172" s="69"/>
      <c r="B172" s="845"/>
      <c r="C172" s="892"/>
      <c r="D172" s="821" t="s">
        <v>571</v>
      </c>
      <c r="E172" s="821" t="s">
        <v>919</v>
      </c>
      <c r="F172" s="620" t="s">
        <v>726</v>
      </c>
      <c r="G172" s="646">
        <f t="shared" si="43"/>
        <v>0</v>
      </c>
      <c r="H172" s="707"/>
      <c r="I172" s="707"/>
      <c r="J172" s="553">
        <f>COUNTIF(m2_v3,$C$165)+COUNTIF(m2_v3,$C$166)+COUNTIF(m2_v3,$C$167)</f>
        <v>0</v>
      </c>
      <c r="K172" s="553">
        <f>COUNTIF(m2_v4,$C$165)+COUNTIF(m2_v4,$C$166)+COUNTIF(m2_v4,$C$167)</f>
        <v>0</v>
      </c>
      <c r="L172" s="553">
        <f>COUNTIF(m2_v5,$C$165)+COUNTIF(m2_v5,$C$166)+COUNTIF(m2_v5,$C$167)</f>
        <v>0</v>
      </c>
      <c r="M172" s="639">
        <f>COUNTIF(m2_v6,$C$165)+COUNTIF(m2_v6,$C$166)+COUNTIF(m2_v6,$C$167)</f>
        <v>0</v>
      </c>
      <c r="N172" s="553"/>
      <c r="O172" s="539"/>
      <c r="AD172" s="712" t="s">
        <v>1305</v>
      </c>
    </row>
    <row r="173" spans="1:30" ht="20.45" customHeight="1">
      <c r="A173" s="69"/>
      <c r="B173" s="654"/>
      <c r="C173" s="893"/>
      <c r="D173" s="822" t="s">
        <v>571</v>
      </c>
      <c r="E173" s="822" t="s">
        <v>920</v>
      </c>
      <c r="F173" s="647" t="s">
        <v>726</v>
      </c>
      <c r="G173" s="646">
        <f t="shared" si="43"/>
        <v>14</v>
      </c>
      <c r="H173" s="638">
        <f>COUNTIF(m2_v1,$C$168)+COUNTIF(m2_v1,$C$169)+COUNTIF(m2_v1,$C$170)</f>
        <v>8</v>
      </c>
      <c r="I173" s="553">
        <f>COUNTIF(m2_v2,$C$168)+COUNTIF(m2_v2,$C$169)+COUNTIF(m2_v2,$C$170)</f>
        <v>6</v>
      </c>
      <c r="J173" s="553">
        <f>COUNTIF(m2_v3,$C$168)+COUNTIF(m2_v3,$C$169)+COUNTIF(m2_v3,$C$170)</f>
        <v>0</v>
      </c>
      <c r="K173" s="553">
        <f>COUNTIF(m2_v4,$C$168)+COUNTIF(m2_v4,$C$169)+COUNTIF(m2_v4,$C$170)</f>
        <v>0</v>
      </c>
      <c r="L173" s="553">
        <f>COUNTIF(m2_v5,$C$168)+COUNTIF(m2_v5,$C$169)+COUNTIF(m2_v5,$C$170)</f>
        <v>0</v>
      </c>
      <c r="M173" s="639">
        <f>COUNTIF(m2_v6,$C$168)+COUNTIF(m2_v6,$C$169)+COUNTIF(m2_v6,$C$170)</f>
        <v>0</v>
      </c>
      <c r="N173" s="553"/>
      <c r="O173" s="539"/>
      <c r="AD173" s="716" t="s">
        <v>1306</v>
      </c>
    </row>
    <row r="174" spans="1:30" ht="20.45" customHeight="1">
      <c r="A174" s="750" t="s">
        <v>1694</v>
      </c>
      <c r="B174" s="820"/>
      <c r="C174" s="876" t="s">
        <v>1658</v>
      </c>
      <c r="D174" s="811" t="s">
        <v>728</v>
      </c>
      <c r="E174" s="811" t="s">
        <v>729</v>
      </c>
      <c r="F174" s="616" t="s">
        <v>695</v>
      </c>
      <c r="G174" s="617">
        <f t="shared" si="43"/>
        <v>1</v>
      </c>
      <c r="H174" s="632">
        <f>COUNTIF(Area_v1,$C174)</f>
        <v>0</v>
      </c>
      <c r="I174" s="618">
        <f>COUNTIF(Area_v2,$C174)</f>
        <v>0</v>
      </c>
      <c r="J174" s="618">
        <f>COUNTIF(Area_v3,$C174)</f>
        <v>0</v>
      </c>
      <c r="K174" s="618">
        <f>COUNTIF(Area_v4,$C174)</f>
        <v>0</v>
      </c>
      <c r="L174" s="618">
        <f>COUNTIF(Area_v5,$C174)</f>
        <v>0</v>
      </c>
      <c r="M174" s="619">
        <f>COUNTIF(Area_v6,$C174)</f>
        <v>1</v>
      </c>
      <c r="N174" s="553"/>
      <c r="O174" s="539"/>
      <c r="AD174" s="699" t="s">
        <v>1307</v>
      </c>
    </row>
    <row r="175" spans="1:30" ht="20.45" customHeight="1">
      <c r="A175" s="69"/>
      <c r="B175" s="845"/>
      <c r="C175" s="876" t="s">
        <v>1659</v>
      </c>
      <c r="D175" s="821" t="s">
        <v>730</v>
      </c>
      <c r="E175" s="821" t="s">
        <v>731</v>
      </c>
      <c r="F175" s="620" t="s">
        <v>695</v>
      </c>
      <c r="G175" s="646">
        <f t="shared" si="43"/>
        <v>1</v>
      </c>
      <c r="H175" s="638">
        <f>COUNTIF(Area_v1,$C175)</f>
        <v>0</v>
      </c>
      <c r="I175" s="553">
        <f>COUNTIF(Area_v2,$C175)</f>
        <v>0</v>
      </c>
      <c r="J175" s="553">
        <f>COUNTIF(Area_v3,$C175)</f>
        <v>1</v>
      </c>
      <c r="K175" s="553">
        <f>COUNTIF(Area_v4,$C175)</f>
        <v>0</v>
      </c>
      <c r="L175" s="553">
        <f>COUNTIF(Area_v5,$C175)</f>
        <v>0</v>
      </c>
      <c r="M175" s="639">
        <f>COUNTIF(Area_v6,$C175)</f>
        <v>0</v>
      </c>
      <c r="N175" s="553"/>
      <c r="O175" s="539"/>
      <c r="AD175" s="704" t="s">
        <v>1308</v>
      </c>
    </row>
    <row r="176" spans="1:30" ht="20.45" customHeight="1">
      <c r="A176" s="694"/>
      <c r="B176" s="695" t="s">
        <v>877</v>
      </c>
      <c r="C176" s="894" t="s">
        <v>1681</v>
      </c>
      <c r="D176" s="844" t="s">
        <v>732</v>
      </c>
      <c r="E176" s="844" t="s">
        <v>733</v>
      </c>
      <c r="F176" s="700" t="s">
        <v>695</v>
      </c>
      <c r="G176" s="706">
        <f t="shared" si="43"/>
        <v>2</v>
      </c>
      <c r="H176" s="717">
        <v>1</v>
      </c>
      <c r="I176" s="707">
        <v>1</v>
      </c>
      <c r="J176" s="707"/>
      <c r="K176" s="707"/>
      <c r="L176" s="707"/>
      <c r="M176" s="708"/>
      <c r="N176" s="553"/>
      <c r="O176" s="539"/>
      <c r="AD176" s="704" t="s">
        <v>1309</v>
      </c>
    </row>
    <row r="177" spans="1:30" ht="20.45" customHeight="1">
      <c r="A177" s="790"/>
      <c r="B177" s="709"/>
      <c r="C177" s="886" t="s">
        <v>1681</v>
      </c>
      <c r="D177" s="838" t="s">
        <v>734</v>
      </c>
      <c r="E177" s="838" t="s">
        <v>735</v>
      </c>
      <c r="F177" s="709" t="s">
        <v>695</v>
      </c>
      <c r="G177" s="701">
        <f t="shared" si="43"/>
        <v>23</v>
      </c>
      <c r="H177" s="718">
        <f>COUNTIF(Area_v1,"*P50*")+COUNTIF(Area_v1,"*P90*")</f>
        <v>8</v>
      </c>
      <c r="I177" s="702">
        <f>COUNTIF(Area_v2,"*P50*")+COUNTIF(Area_v2,"*P90*")</f>
        <v>8</v>
      </c>
      <c r="J177" s="702">
        <f>COUNTIF(Area_v3,"*P50*")+COUNTIF(Area_v3,"*P90*")</f>
        <v>3</v>
      </c>
      <c r="K177" s="702">
        <f>COUNTIF(Area_v4,"*P50*")+COUNTIF(Area_v4,"*P90*")</f>
        <v>3</v>
      </c>
      <c r="L177" s="702">
        <f>COUNTIF(Area_v5,"*P50*")+COUNTIF(Area_v5,"*P90*")</f>
        <v>0</v>
      </c>
      <c r="M177" s="703">
        <f>COUNTIF(Area_v6,"*P50*")+COUNTIF(Area_v6,"*P90*")</f>
        <v>1</v>
      </c>
      <c r="N177" s="553"/>
      <c r="O177" s="539"/>
      <c r="AD177" s="710" t="s">
        <v>1310</v>
      </c>
    </row>
    <row r="178" spans="1:30" ht="20.45" customHeight="1">
      <c r="A178" s="750" t="s">
        <v>870</v>
      </c>
      <c r="B178" s="845"/>
      <c r="C178" s="871"/>
      <c r="D178" s="811" t="s">
        <v>572</v>
      </c>
      <c r="E178" s="811" t="s">
        <v>736</v>
      </c>
      <c r="F178" s="616" t="s">
        <v>695</v>
      </c>
      <c r="G178" s="719">
        <f t="shared" si="43"/>
        <v>53.880230000000005</v>
      </c>
      <c r="H178" s="720">
        <f>+SUM(cantones_v1)/1000</f>
        <v>25.055</v>
      </c>
      <c r="I178" s="720">
        <f>+SUM(cantones_v2)/1000</f>
        <v>25.125300000000006</v>
      </c>
      <c r="J178" s="720">
        <f>+SUM(cantones_v3)/1000</f>
        <v>2.8499300000000032</v>
      </c>
      <c r="K178" s="720">
        <f>+SUM(cantones_v4)/1000</f>
        <v>0</v>
      </c>
      <c r="L178" s="720">
        <f>+SUM(cantones_v5)/1000</f>
        <v>0</v>
      </c>
      <c r="M178" s="721">
        <f>+SUM(cantones_v6)/1000</f>
        <v>0.85</v>
      </c>
      <c r="N178" s="722"/>
      <c r="O178" s="539"/>
      <c r="AD178" s="685" t="s">
        <v>1311</v>
      </c>
    </row>
    <row r="179" spans="1:30" ht="20.45" customHeight="1">
      <c r="A179" s="69"/>
      <c r="B179" s="1258" t="s">
        <v>887</v>
      </c>
      <c r="C179" s="879"/>
      <c r="D179" s="821" t="s">
        <v>573</v>
      </c>
      <c r="E179" s="821" t="s">
        <v>104</v>
      </c>
      <c r="F179" s="620" t="s">
        <v>737</v>
      </c>
      <c r="G179" s="646">
        <f t="shared" si="43"/>
        <v>5924</v>
      </c>
      <c r="H179" s="553">
        <f t="shared" ref="H179:M179" si="50">+ROUND(140*H178,0)-H180</f>
        <v>2742</v>
      </c>
      <c r="I179" s="553">
        <f t="shared" si="50"/>
        <v>2750</v>
      </c>
      <c r="J179" s="553">
        <f t="shared" si="50"/>
        <v>331</v>
      </c>
      <c r="K179" s="553"/>
      <c r="L179" s="553"/>
      <c r="M179" s="639">
        <f t="shared" si="50"/>
        <v>101</v>
      </c>
      <c r="N179" s="553"/>
      <c r="O179" s="539"/>
      <c r="AD179" s="712" t="s">
        <v>1312</v>
      </c>
    </row>
    <row r="180" spans="1:30" ht="30">
      <c r="A180" s="69"/>
      <c r="B180" s="1259"/>
      <c r="C180" s="876"/>
      <c r="D180" s="821" t="s">
        <v>574</v>
      </c>
      <c r="E180" s="821" t="s">
        <v>105</v>
      </c>
      <c r="F180" s="620" t="s">
        <v>737</v>
      </c>
      <c r="G180" s="646">
        <f t="shared" si="43"/>
        <v>1638</v>
      </c>
      <c r="H180" s="553">
        <f t="shared" ref="H180:M180" si="51">2*H181</f>
        <v>766</v>
      </c>
      <c r="I180" s="553">
        <f t="shared" si="51"/>
        <v>768</v>
      </c>
      <c r="J180" s="553">
        <f t="shared" si="51"/>
        <v>68</v>
      </c>
      <c r="K180" s="553">
        <f t="shared" si="51"/>
        <v>12</v>
      </c>
      <c r="L180" s="553">
        <f t="shared" si="51"/>
        <v>6</v>
      </c>
      <c r="M180" s="639">
        <f t="shared" si="51"/>
        <v>18</v>
      </c>
      <c r="N180" s="553"/>
      <c r="O180" s="539"/>
      <c r="AD180" s="712" t="s">
        <v>1313</v>
      </c>
    </row>
    <row r="181" spans="1:30" ht="20.45" customHeight="1">
      <c r="A181" s="69"/>
      <c r="B181" s="1260"/>
      <c r="C181" s="876"/>
      <c r="D181" s="821" t="s">
        <v>575</v>
      </c>
      <c r="E181" s="821" t="s">
        <v>739</v>
      </c>
      <c r="F181" s="620" t="s">
        <v>738</v>
      </c>
      <c r="G181" s="646">
        <f t="shared" si="43"/>
        <v>819</v>
      </c>
      <c r="H181" s="553">
        <f t="shared" ref="H181:M181" si="52">+H162+H163+H165+H166+H168+H169</f>
        <v>383</v>
      </c>
      <c r="I181" s="553">
        <f t="shared" si="52"/>
        <v>384</v>
      </c>
      <c r="J181" s="553">
        <f t="shared" si="52"/>
        <v>34</v>
      </c>
      <c r="K181" s="553">
        <f t="shared" si="52"/>
        <v>6</v>
      </c>
      <c r="L181" s="553">
        <f t="shared" si="52"/>
        <v>3</v>
      </c>
      <c r="M181" s="639">
        <f t="shared" si="52"/>
        <v>9</v>
      </c>
      <c r="N181" s="553"/>
      <c r="O181" s="539"/>
      <c r="AD181" s="712" t="s">
        <v>1314</v>
      </c>
    </row>
    <row r="182" spans="1:30" ht="20.45" customHeight="1">
      <c r="A182" s="69"/>
      <c r="B182" s="620"/>
      <c r="C182" s="876" t="s">
        <v>922</v>
      </c>
      <c r="D182" s="821" t="s">
        <v>576</v>
      </c>
      <c r="E182" s="821" t="s">
        <v>159</v>
      </c>
      <c r="F182" s="620" t="s">
        <v>740</v>
      </c>
      <c r="G182" s="646">
        <f t="shared" si="43"/>
        <v>73</v>
      </c>
      <c r="H182" s="553">
        <f>COUNTIF(Area_v1,$C182)</f>
        <v>32</v>
      </c>
      <c r="I182" s="553">
        <f t="shared" ref="I182:I187" si="53">COUNTIF(Area_v2,$C182)</f>
        <v>32</v>
      </c>
      <c r="J182" s="553">
        <f t="shared" ref="J182:J191" si="54">COUNTIF(Area_v3,$C182)</f>
        <v>5</v>
      </c>
      <c r="K182" s="553">
        <f t="shared" ref="K182:K191" si="55">COUNTIF(Area_v4,$C182)</f>
        <v>1</v>
      </c>
      <c r="L182" s="553">
        <f t="shared" ref="L182:L191" si="56">COUNTIF(Area_v5,$C182)</f>
        <v>1</v>
      </c>
      <c r="M182" s="639">
        <f t="shared" ref="M182:M191" si="57">COUNTIF(Area_v6,$C182)</f>
        <v>2</v>
      </c>
      <c r="N182" s="553"/>
      <c r="O182" s="539"/>
      <c r="AD182" s="712" t="s">
        <v>1315</v>
      </c>
    </row>
    <row r="183" spans="1:30" ht="20.45" customHeight="1">
      <c r="A183" s="69"/>
      <c r="B183" s="620"/>
      <c r="C183" s="876" t="s">
        <v>923</v>
      </c>
      <c r="D183" s="821" t="s">
        <v>577</v>
      </c>
      <c r="E183" s="821" t="s">
        <v>578</v>
      </c>
      <c r="F183" s="620" t="s">
        <v>741</v>
      </c>
      <c r="G183" s="646">
        <f t="shared" si="43"/>
        <v>16</v>
      </c>
      <c r="H183" s="553">
        <f t="shared" ref="H183:H187" si="58">COUNTIF(Area_v1,$C183)</f>
        <v>2</v>
      </c>
      <c r="I183" s="553">
        <f t="shared" si="53"/>
        <v>5</v>
      </c>
      <c r="J183" s="553">
        <f t="shared" si="54"/>
        <v>6</v>
      </c>
      <c r="K183" s="553">
        <f t="shared" si="55"/>
        <v>0</v>
      </c>
      <c r="L183" s="553">
        <f t="shared" si="56"/>
        <v>0</v>
      </c>
      <c r="M183" s="639">
        <f t="shared" si="57"/>
        <v>3</v>
      </c>
      <c r="N183" s="553"/>
      <c r="O183" s="539"/>
      <c r="AD183" s="712" t="s">
        <v>1316</v>
      </c>
    </row>
    <row r="184" spans="1:30" ht="20.45" customHeight="1">
      <c r="A184" s="69"/>
      <c r="B184" s="620"/>
      <c r="C184" s="876" t="s">
        <v>955</v>
      </c>
      <c r="D184" s="821" t="s">
        <v>579</v>
      </c>
      <c r="E184" s="821" t="s">
        <v>106</v>
      </c>
      <c r="F184" s="620" t="s">
        <v>742</v>
      </c>
      <c r="G184" s="646">
        <f t="shared" si="43"/>
        <v>32</v>
      </c>
      <c r="H184" s="553">
        <f t="shared" si="58"/>
        <v>15</v>
      </c>
      <c r="I184" s="553">
        <f t="shared" si="53"/>
        <v>15</v>
      </c>
      <c r="J184" s="553">
        <f>COUNTIF(Area_v3,$C184)+1</f>
        <v>2</v>
      </c>
      <c r="K184" s="553">
        <f t="shared" si="55"/>
        <v>0</v>
      </c>
      <c r="L184" s="553">
        <f t="shared" si="56"/>
        <v>0</v>
      </c>
      <c r="M184" s="639">
        <f t="shared" si="57"/>
        <v>0</v>
      </c>
      <c r="N184" s="553"/>
      <c r="O184" s="539"/>
      <c r="AD184" s="712" t="s">
        <v>992</v>
      </c>
    </row>
    <row r="185" spans="1:30" ht="20.45" customHeight="1">
      <c r="A185" s="69"/>
      <c r="B185" s="620"/>
      <c r="C185" s="876" t="s">
        <v>924</v>
      </c>
      <c r="D185" s="821" t="s">
        <v>580</v>
      </c>
      <c r="E185" s="821" t="s">
        <v>108</v>
      </c>
      <c r="F185" s="620" t="s">
        <v>743</v>
      </c>
      <c r="G185" s="646">
        <f t="shared" si="43"/>
        <v>20</v>
      </c>
      <c r="H185" s="553">
        <f t="shared" si="58"/>
        <v>10</v>
      </c>
      <c r="I185" s="553">
        <f t="shared" si="53"/>
        <v>10</v>
      </c>
      <c r="J185" s="553">
        <f t="shared" si="54"/>
        <v>0</v>
      </c>
      <c r="K185" s="553">
        <f t="shared" si="55"/>
        <v>0</v>
      </c>
      <c r="L185" s="553">
        <f t="shared" si="56"/>
        <v>0</v>
      </c>
      <c r="M185" s="639">
        <f t="shared" si="57"/>
        <v>0</v>
      </c>
      <c r="N185" s="553"/>
      <c r="O185" s="539"/>
      <c r="AD185" s="712" t="s">
        <v>1317</v>
      </c>
    </row>
    <row r="186" spans="1:30" ht="20.45" customHeight="1">
      <c r="A186" s="69"/>
      <c r="B186" s="620"/>
      <c r="C186" s="876" t="s">
        <v>925</v>
      </c>
      <c r="D186" s="821" t="s">
        <v>581</v>
      </c>
      <c r="E186" s="821" t="s">
        <v>109</v>
      </c>
      <c r="F186" s="620" t="s">
        <v>744</v>
      </c>
      <c r="G186" s="646">
        <f t="shared" si="43"/>
        <v>6</v>
      </c>
      <c r="H186" s="553">
        <f t="shared" si="58"/>
        <v>4</v>
      </c>
      <c r="I186" s="553">
        <f t="shared" si="53"/>
        <v>2</v>
      </c>
      <c r="J186" s="553">
        <f t="shared" si="54"/>
        <v>0</v>
      </c>
      <c r="K186" s="553">
        <f t="shared" si="55"/>
        <v>0</v>
      </c>
      <c r="L186" s="553">
        <f t="shared" si="56"/>
        <v>0</v>
      </c>
      <c r="M186" s="639">
        <f t="shared" si="57"/>
        <v>0</v>
      </c>
      <c r="N186" s="553"/>
      <c r="O186" s="539"/>
      <c r="AD186" s="712" t="s">
        <v>1318</v>
      </c>
    </row>
    <row r="187" spans="1:30" ht="20.45" customHeight="1">
      <c r="A187" s="69"/>
      <c r="B187" s="620"/>
      <c r="C187" s="876" t="s">
        <v>958</v>
      </c>
      <c r="D187" s="821" t="s">
        <v>582</v>
      </c>
      <c r="E187" s="821" t="s">
        <v>110</v>
      </c>
      <c r="F187" s="620" t="s">
        <v>745</v>
      </c>
      <c r="G187" s="646">
        <f t="shared" si="43"/>
        <v>12</v>
      </c>
      <c r="H187" s="553">
        <f t="shared" si="58"/>
        <v>6</v>
      </c>
      <c r="I187" s="553">
        <f t="shared" si="53"/>
        <v>6</v>
      </c>
      <c r="J187" s="553">
        <f t="shared" si="54"/>
        <v>0</v>
      </c>
      <c r="K187" s="553">
        <f t="shared" si="55"/>
        <v>0</v>
      </c>
      <c r="L187" s="553">
        <f t="shared" si="56"/>
        <v>0</v>
      </c>
      <c r="M187" s="639">
        <f t="shared" si="57"/>
        <v>0</v>
      </c>
      <c r="N187" s="553"/>
      <c r="O187" s="539"/>
      <c r="AD187" s="712" t="s">
        <v>1319</v>
      </c>
    </row>
    <row r="188" spans="1:30" ht="20.45" customHeight="1">
      <c r="A188" s="69"/>
      <c r="B188" s="620"/>
      <c r="C188" s="876" t="s">
        <v>2986</v>
      </c>
      <c r="D188" s="821" t="s">
        <v>583</v>
      </c>
      <c r="E188" s="821" t="s">
        <v>2697</v>
      </c>
      <c r="F188" s="620" t="s">
        <v>695</v>
      </c>
      <c r="G188" s="646">
        <f t="shared" si="43"/>
        <v>18</v>
      </c>
      <c r="H188" s="553">
        <f>COUNTIF(Area_v1,$C188)</f>
        <v>10</v>
      </c>
      <c r="I188" s="553">
        <f>COUNTIF(Area_v2,$C188)</f>
        <v>8</v>
      </c>
      <c r="J188" s="553">
        <f t="shared" si="54"/>
        <v>0</v>
      </c>
      <c r="K188" s="553">
        <f t="shared" si="55"/>
        <v>0</v>
      </c>
      <c r="L188" s="553">
        <f t="shared" si="56"/>
        <v>0</v>
      </c>
      <c r="M188" s="639">
        <f t="shared" si="57"/>
        <v>0</v>
      </c>
      <c r="N188" s="553"/>
      <c r="O188" s="539"/>
      <c r="P188" s="539"/>
      <c r="AD188" s="712" t="s">
        <v>1320</v>
      </c>
    </row>
    <row r="189" spans="1:30" ht="20.45" customHeight="1">
      <c r="A189" s="69"/>
      <c r="B189" s="980"/>
      <c r="C189" s="876" t="s">
        <v>2717</v>
      </c>
      <c r="D189" s="821" t="s">
        <v>584</v>
      </c>
      <c r="E189" s="821" t="s">
        <v>585</v>
      </c>
      <c r="F189" s="620" t="s">
        <v>746</v>
      </c>
      <c r="G189" s="646">
        <f t="shared" ref="G189:G203" si="59">SUM(H189:M189)</f>
        <v>6</v>
      </c>
      <c r="H189" s="638">
        <f>COUNTIF(Area_v1,$C189)</f>
        <v>4</v>
      </c>
      <c r="I189" s="553">
        <f>COUNTIF(Area_v2,$C189)</f>
        <v>2</v>
      </c>
      <c r="J189" s="553">
        <f t="shared" si="54"/>
        <v>0</v>
      </c>
      <c r="K189" s="553">
        <f t="shared" si="55"/>
        <v>0</v>
      </c>
      <c r="L189" s="553">
        <f t="shared" si="56"/>
        <v>0</v>
      </c>
      <c r="M189" s="639">
        <f t="shared" si="57"/>
        <v>0</v>
      </c>
      <c r="N189" s="553"/>
      <c r="O189" s="539" t="s">
        <v>2696</v>
      </c>
      <c r="AD189" s="704" t="s">
        <v>1321</v>
      </c>
    </row>
    <row r="190" spans="1:30" ht="20.45" customHeight="1">
      <c r="A190" s="713"/>
      <c r="B190" s="981"/>
      <c r="C190" s="876" t="s">
        <v>2846</v>
      </c>
      <c r="D190" s="821" t="s">
        <v>2847</v>
      </c>
      <c r="E190" s="821" t="s">
        <v>2848</v>
      </c>
      <c r="F190" s="620" t="s">
        <v>746</v>
      </c>
      <c r="G190" s="646">
        <f t="shared" si="59"/>
        <v>4</v>
      </c>
      <c r="H190" s="638">
        <f>COUNTIF(Area_v1,$C190)</f>
        <v>2</v>
      </c>
      <c r="I190" s="553">
        <f>COUNTIF(Area_v2,$C190)</f>
        <v>2</v>
      </c>
      <c r="J190" s="553">
        <f t="shared" si="54"/>
        <v>0</v>
      </c>
      <c r="K190" s="553">
        <f t="shared" si="55"/>
        <v>0</v>
      </c>
      <c r="L190" s="553">
        <f t="shared" si="56"/>
        <v>0</v>
      </c>
      <c r="M190" s="639">
        <f t="shared" si="57"/>
        <v>0</v>
      </c>
      <c r="N190" s="553"/>
      <c r="O190" s="539"/>
      <c r="AD190" s="723"/>
    </row>
    <row r="191" spans="1:30" ht="20.45" customHeight="1">
      <c r="A191" s="690"/>
      <c r="B191" s="649"/>
      <c r="C191" s="878" t="s">
        <v>2718</v>
      </c>
      <c r="D191" s="823" t="s">
        <v>2722</v>
      </c>
      <c r="E191" s="823" t="s">
        <v>2737</v>
      </c>
      <c r="F191" s="649"/>
      <c r="G191" s="650">
        <f t="shared" si="59"/>
        <v>8</v>
      </c>
      <c r="H191" s="638">
        <f>COUNTIF(Area_v1,$C191)</f>
        <v>4</v>
      </c>
      <c r="I191" s="553">
        <f>COUNTIF(Area_v2,$C191)</f>
        <v>4</v>
      </c>
      <c r="J191" s="553">
        <f t="shared" si="54"/>
        <v>0</v>
      </c>
      <c r="K191" s="553">
        <f t="shared" si="55"/>
        <v>0</v>
      </c>
      <c r="L191" s="553">
        <f t="shared" si="56"/>
        <v>0</v>
      </c>
      <c r="M191" s="639">
        <f t="shared" si="57"/>
        <v>0</v>
      </c>
      <c r="N191" s="553"/>
      <c r="O191" s="539"/>
      <c r="AD191" s="710"/>
    </row>
    <row r="192" spans="1:30" ht="20.45" customHeight="1">
      <c r="A192" s="791" t="s">
        <v>935</v>
      </c>
      <c r="B192" s="695" t="s">
        <v>877</v>
      </c>
      <c r="C192" s="885"/>
      <c r="D192" s="836" t="s">
        <v>747</v>
      </c>
      <c r="E192" s="836" t="s">
        <v>748</v>
      </c>
      <c r="F192" s="837" t="s">
        <v>695</v>
      </c>
      <c r="G192" s="696">
        <f t="shared" si="59"/>
        <v>0</v>
      </c>
      <c r="H192" s="697"/>
      <c r="I192" s="697"/>
      <c r="J192" s="697"/>
      <c r="K192" s="697"/>
      <c r="L192" s="697"/>
      <c r="M192" s="698"/>
      <c r="N192" s="553"/>
      <c r="O192" s="539"/>
      <c r="P192" s="539"/>
      <c r="AD192" s="699" t="s">
        <v>1325</v>
      </c>
    </row>
    <row r="193" spans="1:30" ht="20.45" customHeight="1">
      <c r="A193" s="694"/>
      <c r="B193" s="700"/>
      <c r="C193" s="894"/>
      <c r="D193" s="844" t="s">
        <v>749</v>
      </c>
      <c r="E193" s="844" t="s">
        <v>750</v>
      </c>
      <c r="F193" s="700" t="s">
        <v>737</v>
      </c>
      <c r="G193" s="706">
        <f t="shared" si="59"/>
        <v>0</v>
      </c>
      <c r="H193" s="707"/>
      <c r="I193" s="707"/>
      <c r="J193" s="707"/>
      <c r="K193" s="707"/>
      <c r="L193" s="707"/>
      <c r="M193" s="708"/>
      <c r="N193" s="553"/>
      <c r="O193" s="539"/>
      <c r="AD193" s="704" t="s">
        <v>1324</v>
      </c>
    </row>
    <row r="194" spans="1:30" ht="30">
      <c r="A194" s="694"/>
      <c r="B194" s="705"/>
      <c r="C194" s="890"/>
      <c r="D194" s="844" t="s">
        <v>751</v>
      </c>
      <c r="E194" s="844" t="s">
        <v>752</v>
      </c>
      <c r="F194" s="700" t="s">
        <v>699</v>
      </c>
      <c r="G194" s="706">
        <f t="shared" si="59"/>
        <v>0</v>
      </c>
      <c r="H194" s="707"/>
      <c r="I194" s="707"/>
      <c r="J194" s="707"/>
      <c r="K194" s="707"/>
      <c r="L194" s="707"/>
      <c r="M194" s="708"/>
      <c r="N194" s="553"/>
      <c r="O194" s="539"/>
      <c r="AD194" s="704" t="s">
        <v>1323</v>
      </c>
    </row>
    <row r="195" spans="1:30" ht="30">
      <c r="A195" s="694"/>
      <c r="B195" s="705"/>
      <c r="C195" s="890"/>
      <c r="D195" s="844" t="s">
        <v>753</v>
      </c>
      <c r="E195" s="844" t="s">
        <v>754</v>
      </c>
      <c r="F195" s="700" t="s">
        <v>699</v>
      </c>
      <c r="G195" s="706">
        <f t="shared" si="59"/>
        <v>0</v>
      </c>
      <c r="H195" s="707"/>
      <c r="I195" s="707"/>
      <c r="J195" s="707"/>
      <c r="K195" s="707"/>
      <c r="L195" s="707"/>
      <c r="M195" s="708"/>
      <c r="N195" s="553"/>
      <c r="O195" s="539"/>
      <c r="AD195" s="704" t="s">
        <v>1322</v>
      </c>
    </row>
    <row r="196" spans="1:30" ht="15">
      <c r="A196" s="790"/>
      <c r="B196" s="709"/>
      <c r="C196" s="886"/>
      <c r="D196" s="838" t="s">
        <v>755</v>
      </c>
      <c r="E196" s="838" t="s">
        <v>756</v>
      </c>
      <c r="F196" s="709" t="s">
        <v>699</v>
      </c>
      <c r="G196" s="701">
        <f t="shared" si="59"/>
        <v>0</v>
      </c>
      <c r="H196" s="702"/>
      <c r="I196" s="702"/>
      <c r="J196" s="702"/>
      <c r="K196" s="702"/>
      <c r="L196" s="702"/>
      <c r="M196" s="703"/>
      <c r="N196" s="553"/>
      <c r="O196" s="539"/>
      <c r="AD196" s="710" t="s">
        <v>1326</v>
      </c>
    </row>
    <row r="197" spans="1:30" ht="20.45" customHeight="1">
      <c r="A197" s="792" t="s">
        <v>871</v>
      </c>
      <c r="B197" s="647"/>
      <c r="C197" s="877"/>
      <c r="D197" s="846" t="s">
        <v>586</v>
      </c>
      <c r="E197" s="846" t="s">
        <v>587</v>
      </c>
      <c r="F197" s="847" t="s">
        <v>695</v>
      </c>
      <c r="G197" s="617" t="e">
        <f t="shared" si="59"/>
        <v>#REF!</v>
      </c>
      <c r="H197" s="618">
        <f>+'HR Track 1'!$BM$7</f>
        <v>40.799999999999997</v>
      </c>
      <c r="I197" s="618">
        <f>+'HR Track 2'!$BM$8</f>
        <v>40.799999999999997</v>
      </c>
      <c r="J197" s="618" t="e">
        <f>+'HR Track 3'!#REF!</f>
        <v>#REF!</v>
      </c>
      <c r="K197" s="618">
        <f>+'HR Track 4'!$BM$6</f>
        <v>0.6</v>
      </c>
      <c r="L197" s="618">
        <f>+'HR Track 5'!$BM$8</f>
        <v>0.3</v>
      </c>
      <c r="M197" s="618">
        <f>+'HR Track 6'!$BM$7</f>
        <v>0.2</v>
      </c>
      <c r="N197" s="553"/>
      <c r="O197" s="539"/>
      <c r="AD197" s="724" t="s">
        <v>1327</v>
      </c>
    </row>
    <row r="198" spans="1:30" ht="20.45" customHeight="1">
      <c r="A198" s="791"/>
      <c r="B198" s="695" t="s">
        <v>877</v>
      </c>
      <c r="C198" s="885"/>
      <c r="D198" s="836" t="s">
        <v>588</v>
      </c>
      <c r="E198" s="836" t="s">
        <v>757</v>
      </c>
      <c r="F198" s="837" t="s">
        <v>695</v>
      </c>
      <c r="G198" s="696">
        <f t="shared" si="59"/>
        <v>0</v>
      </c>
      <c r="H198" s="697"/>
      <c r="I198" s="697"/>
      <c r="J198" s="697"/>
      <c r="K198" s="697"/>
      <c r="L198" s="697"/>
      <c r="M198" s="698"/>
      <c r="N198" s="553"/>
      <c r="O198" s="539"/>
      <c r="AD198" s="699" t="s">
        <v>1328</v>
      </c>
    </row>
    <row r="199" spans="1:30" ht="20.45" customHeight="1">
      <c r="A199" s="694" t="s">
        <v>930</v>
      </c>
      <c r="B199" s="700"/>
      <c r="C199" s="894"/>
      <c r="D199" s="844" t="s">
        <v>758</v>
      </c>
      <c r="E199" s="844" t="s">
        <v>759</v>
      </c>
      <c r="F199" s="700" t="s">
        <v>695</v>
      </c>
      <c r="G199" s="706">
        <f t="shared" si="59"/>
        <v>0</v>
      </c>
      <c r="H199" s="707"/>
      <c r="I199" s="707"/>
      <c r="J199" s="707"/>
      <c r="K199" s="707"/>
      <c r="L199" s="707"/>
      <c r="M199" s="708"/>
      <c r="N199" s="553"/>
      <c r="O199" s="539"/>
      <c r="AD199" s="704" t="s">
        <v>1583</v>
      </c>
    </row>
    <row r="200" spans="1:30" ht="34.9" customHeight="1">
      <c r="A200" s="790"/>
      <c r="B200" s="848"/>
      <c r="C200" s="895"/>
      <c r="D200" s="838" t="s">
        <v>760</v>
      </c>
      <c r="E200" s="838" t="s">
        <v>761</v>
      </c>
      <c r="F200" s="709" t="s">
        <v>695</v>
      </c>
      <c r="G200" s="701">
        <f t="shared" si="59"/>
        <v>0</v>
      </c>
      <c r="H200" s="702"/>
      <c r="I200" s="702"/>
      <c r="J200" s="702"/>
      <c r="K200" s="702"/>
      <c r="L200" s="702"/>
      <c r="M200" s="703"/>
      <c r="N200" s="553"/>
      <c r="O200" s="539"/>
      <c r="AD200" s="710" t="s">
        <v>1329</v>
      </c>
    </row>
    <row r="201" spans="1:30" ht="20.45" customHeight="1">
      <c r="A201" s="793" t="s">
        <v>1693</v>
      </c>
      <c r="B201" s="616"/>
      <c r="C201" s="871"/>
      <c r="D201" s="824" t="s">
        <v>589</v>
      </c>
      <c r="E201" s="824" t="s">
        <v>590</v>
      </c>
      <c r="F201" s="654" t="s">
        <v>762</v>
      </c>
      <c r="G201" s="646">
        <f t="shared" si="59"/>
        <v>0</v>
      </c>
      <c r="H201" s="638"/>
      <c r="I201" s="553"/>
      <c r="J201" s="553"/>
      <c r="K201" s="553"/>
      <c r="L201" s="553"/>
      <c r="M201" s="639"/>
      <c r="N201" s="553"/>
      <c r="O201" s="539"/>
      <c r="AD201" s="725" t="s">
        <v>1333</v>
      </c>
    </row>
    <row r="202" spans="1:30" ht="20.45" customHeight="1">
      <c r="A202" s="794" t="s">
        <v>875</v>
      </c>
      <c r="B202" s="620"/>
      <c r="C202" s="876"/>
      <c r="D202" s="821" t="s">
        <v>591</v>
      </c>
      <c r="E202" s="821" t="s">
        <v>103</v>
      </c>
      <c r="F202" s="620" t="s">
        <v>763</v>
      </c>
      <c r="G202" s="646">
        <f t="shared" si="59"/>
        <v>0</v>
      </c>
      <c r="H202" s="638"/>
      <c r="I202" s="553"/>
      <c r="J202" s="553"/>
      <c r="K202" s="553"/>
      <c r="L202" s="553"/>
      <c r="M202" s="639"/>
      <c r="N202" s="553"/>
      <c r="O202" s="539"/>
      <c r="AD202" s="726" t="s">
        <v>1332</v>
      </c>
    </row>
    <row r="203" spans="1:30" ht="20.45" customHeight="1">
      <c r="A203" s="69"/>
      <c r="B203" s="620"/>
      <c r="C203" s="876"/>
      <c r="D203" s="821" t="s">
        <v>592</v>
      </c>
      <c r="E203" s="821" t="s">
        <v>764</v>
      </c>
      <c r="F203" s="620" t="s">
        <v>762</v>
      </c>
      <c r="G203" s="646">
        <f t="shared" si="59"/>
        <v>0</v>
      </c>
      <c r="H203" s="638"/>
      <c r="I203" s="553"/>
      <c r="J203" s="553"/>
      <c r="K203" s="553"/>
      <c r="L203" s="553"/>
      <c r="M203" s="639"/>
      <c r="N203" s="553"/>
      <c r="O203" s="539"/>
      <c r="AD203" s="726" t="s">
        <v>1330</v>
      </c>
    </row>
    <row r="204" spans="1:30" ht="20.45" customHeight="1">
      <c r="A204" s="69"/>
      <c r="B204" s="620"/>
      <c r="C204" s="876"/>
      <c r="D204" s="821" t="s">
        <v>1053</v>
      </c>
      <c r="E204" s="821" t="s">
        <v>1054</v>
      </c>
      <c r="F204" s="620" t="s">
        <v>762</v>
      </c>
      <c r="G204" s="646"/>
      <c r="H204" s="638"/>
      <c r="I204" s="553"/>
      <c r="J204" s="553"/>
      <c r="K204" s="553"/>
      <c r="L204" s="553"/>
      <c r="M204" s="639"/>
      <c r="N204" s="553"/>
      <c r="O204" s="539"/>
      <c r="AD204" s="726" t="s">
        <v>1331</v>
      </c>
    </row>
    <row r="205" spans="1:30" ht="20.45" customHeight="1">
      <c r="A205" s="69"/>
      <c r="B205" s="620"/>
      <c r="C205" s="876"/>
      <c r="D205" s="821" t="s">
        <v>593</v>
      </c>
      <c r="E205" s="821" t="s">
        <v>765</v>
      </c>
      <c r="F205" s="620" t="s">
        <v>695</v>
      </c>
      <c r="G205" s="646">
        <f t="shared" ref="G205:G250" si="60">SUM(H205:M205)</f>
        <v>0</v>
      </c>
      <c r="H205" s="638"/>
      <c r="I205" s="553"/>
      <c r="J205" s="553"/>
      <c r="K205" s="553"/>
      <c r="L205" s="553"/>
      <c r="M205" s="639"/>
      <c r="N205" s="553"/>
      <c r="O205" s="539"/>
      <c r="AD205" s="726" t="s">
        <v>1334</v>
      </c>
    </row>
    <row r="206" spans="1:30" ht="20.45" customHeight="1">
      <c r="A206" s="69"/>
      <c r="B206" s="620"/>
      <c r="C206" s="876"/>
      <c r="D206" s="821" t="s">
        <v>594</v>
      </c>
      <c r="E206" s="821" t="s">
        <v>767</v>
      </c>
      <c r="F206" s="620" t="s">
        <v>766</v>
      </c>
      <c r="G206" s="646">
        <f t="shared" si="60"/>
        <v>0</v>
      </c>
      <c r="H206" s="638"/>
      <c r="I206" s="553"/>
      <c r="J206" s="553"/>
      <c r="K206" s="553"/>
      <c r="L206" s="553"/>
      <c r="M206" s="639"/>
      <c r="N206" s="553"/>
      <c r="O206" s="539"/>
      <c r="AD206" s="726" t="s">
        <v>1349</v>
      </c>
    </row>
    <row r="207" spans="1:30" ht="20.45" customHeight="1">
      <c r="A207" s="69"/>
      <c r="B207" s="620"/>
      <c r="C207" s="876"/>
      <c r="D207" s="821" t="s">
        <v>595</v>
      </c>
      <c r="E207" s="821" t="s">
        <v>768</v>
      </c>
      <c r="F207" s="620" t="s">
        <v>766</v>
      </c>
      <c r="G207" s="646">
        <f t="shared" si="60"/>
        <v>0</v>
      </c>
      <c r="H207" s="638"/>
      <c r="I207" s="553"/>
      <c r="J207" s="553"/>
      <c r="K207" s="553"/>
      <c r="L207" s="553"/>
      <c r="M207" s="639"/>
      <c r="N207" s="553"/>
      <c r="O207" s="539"/>
      <c r="AD207" s="726" t="s">
        <v>1350</v>
      </c>
    </row>
    <row r="208" spans="1:30" ht="20.45" customHeight="1">
      <c r="A208" s="69"/>
      <c r="B208" s="620"/>
      <c r="C208" s="876"/>
      <c r="D208" s="821" t="s">
        <v>596</v>
      </c>
      <c r="E208" s="821" t="s">
        <v>597</v>
      </c>
      <c r="F208" s="620" t="s">
        <v>769</v>
      </c>
      <c r="G208" s="646">
        <f t="shared" si="60"/>
        <v>0</v>
      </c>
      <c r="H208" s="638"/>
      <c r="I208" s="553"/>
      <c r="J208" s="553"/>
      <c r="K208" s="553"/>
      <c r="L208" s="553"/>
      <c r="M208" s="639"/>
      <c r="N208" s="553"/>
      <c r="O208" s="539"/>
      <c r="AD208" s="726" t="s">
        <v>1336</v>
      </c>
    </row>
    <row r="209" spans="1:30" ht="20.45" customHeight="1">
      <c r="A209" s="69"/>
      <c r="B209" s="620"/>
      <c r="C209" s="876"/>
      <c r="D209" s="821" t="s">
        <v>598</v>
      </c>
      <c r="E209" s="821" t="s">
        <v>599</v>
      </c>
      <c r="F209" s="620" t="s">
        <v>769</v>
      </c>
      <c r="G209" s="646">
        <f t="shared" si="60"/>
        <v>0</v>
      </c>
      <c r="H209" s="638"/>
      <c r="I209" s="553"/>
      <c r="J209" s="553"/>
      <c r="K209" s="553"/>
      <c r="L209" s="553"/>
      <c r="M209" s="639"/>
      <c r="N209" s="553"/>
      <c r="O209" s="539"/>
      <c r="AD209" s="726" t="s">
        <v>1335</v>
      </c>
    </row>
    <row r="210" spans="1:30" ht="20.45" customHeight="1">
      <c r="A210" s="69"/>
      <c r="B210" s="620"/>
      <c r="C210" s="876"/>
      <c r="D210" s="821" t="s">
        <v>600</v>
      </c>
      <c r="E210" s="821" t="s">
        <v>601</v>
      </c>
      <c r="F210" s="620" t="s">
        <v>770</v>
      </c>
      <c r="G210" s="646">
        <f t="shared" si="60"/>
        <v>0</v>
      </c>
      <c r="H210" s="638"/>
      <c r="I210" s="553"/>
      <c r="J210" s="553"/>
      <c r="K210" s="553"/>
      <c r="L210" s="553"/>
      <c r="M210" s="639"/>
      <c r="N210" s="553"/>
      <c r="O210" s="539"/>
      <c r="AD210" s="726" t="s">
        <v>1342</v>
      </c>
    </row>
    <row r="211" spans="1:30" ht="20.45" customHeight="1">
      <c r="A211" s="69"/>
      <c r="B211" s="620"/>
      <c r="C211" s="876"/>
      <c r="D211" s="821" t="s">
        <v>602</v>
      </c>
      <c r="E211" s="821" t="s">
        <v>603</v>
      </c>
      <c r="F211" s="620" t="s">
        <v>770</v>
      </c>
      <c r="G211" s="646">
        <f t="shared" si="60"/>
        <v>0</v>
      </c>
      <c r="H211" s="638"/>
      <c r="I211" s="553"/>
      <c r="J211" s="553"/>
      <c r="K211" s="553"/>
      <c r="L211" s="553"/>
      <c r="M211" s="639"/>
      <c r="N211" s="553"/>
      <c r="O211" s="539"/>
      <c r="AD211" s="726" t="s">
        <v>1341</v>
      </c>
    </row>
    <row r="212" spans="1:30" ht="20.45" customHeight="1">
      <c r="A212" s="69"/>
      <c r="B212" s="620"/>
      <c r="C212" s="876"/>
      <c r="D212" s="821" t="s">
        <v>604</v>
      </c>
      <c r="E212" s="821" t="s">
        <v>605</v>
      </c>
      <c r="F212" s="620" t="s">
        <v>695</v>
      </c>
      <c r="G212" s="646">
        <f t="shared" si="60"/>
        <v>0</v>
      </c>
      <c r="H212" s="638"/>
      <c r="I212" s="553"/>
      <c r="J212" s="553"/>
      <c r="K212" s="553"/>
      <c r="L212" s="553"/>
      <c r="M212" s="639"/>
      <c r="N212" s="553"/>
      <c r="O212" s="539"/>
      <c r="AD212" s="726" t="s">
        <v>1344</v>
      </c>
    </row>
    <row r="213" spans="1:30" ht="20.45" customHeight="1">
      <c r="A213" s="69"/>
      <c r="B213" s="620"/>
      <c r="C213" s="876"/>
      <c r="D213" s="821" t="s">
        <v>606</v>
      </c>
      <c r="E213" s="821" t="s">
        <v>607</v>
      </c>
      <c r="F213" s="620" t="s">
        <v>695</v>
      </c>
      <c r="G213" s="646">
        <f t="shared" si="60"/>
        <v>0</v>
      </c>
      <c r="H213" s="638"/>
      <c r="I213" s="553"/>
      <c r="J213" s="553"/>
      <c r="K213" s="553"/>
      <c r="L213" s="553"/>
      <c r="M213" s="639"/>
      <c r="N213" s="553"/>
      <c r="O213" s="539"/>
      <c r="AD213" s="726" t="s">
        <v>1343</v>
      </c>
    </row>
    <row r="214" spans="1:30" ht="20.45" customHeight="1">
      <c r="A214" s="690"/>
      <c r="B214" s="649"/>
      <c r="C214" s="878"/>
      <c r="D214" s="823" t="s">
        <v>608</v>
      </c>
      <c r="E214" s="823" t="s">
        <v>609</v>
      </c>
      <c r="F214" s="649" t="s">
        <v>771</v>
      </c>
      <c r="G214" s="650">
        <f t="shared" si="60"/>
        <v>0</v>
      </c>
      <c r="H214" s="693"/>
      <c r="I214" s="651"/>
      <c r="J214" s="651"/>
      <c r="K214" s="651"/>
      <c r="L214" s="651"/>
      <c r="M214" s="652"/>
      <c r="N214" s="553"/>
      <c r="O214" s="539"/>
      <c r="AD214" s="727" t="s">
        <v>1351</v>
      </c>
    </row>
    <row r="215" spans="1:30" ht="20.45" customHeight="1">
      <c r="A215" s="69"/>
      <c r="B215" s="728" t="s">
        <v>931</v>
      </c>
      <c r="C215" s="896"/>
      <c r="D215" s="846" t="s">
        <v>610</v>
      </c>
      <c r="E215" s="821" t="s">
        <v>772</v>
      </c>
      <c r="F215" s="620" t="s">
        <v>695</v>
      </c>
      <c r="G215" s="646">
        <f t="shared" si="60"/>
        <v>0</v>
      </c>
      <c r="H215" s="553">
        <f>+'HR Track 1'!$BM$12</f>
        <v>0</v>
      </c>
      <c r="I215" s="553">
        <f>+'HR Track 2'!$BM$13</f>
        <v>0</v>
      </c>
      <c r="J215" s="553">
        <f>+'HR Track 3'!$BG$50</f>
        <v>0</v>
      </c>
      <c r="K215" s="553">
        <f>+'HR Track 4'!$BG$49</f>
        <v>0</v>
      </c>
      <c r="L215" s="553">
        <f>+'HR Track 5'!$BG$55</f>
        <v>0</v>
      </c>
      <c r="M215" s="619">
        <f>+'HR Track 6'!$BG$45</f>
        <v>0</v>
      </c>
      <c r="N215" s="553"/>
      <c r="O215" s="539"/>
      <c r="AD215" s="712" t="s">
        <v>1345</v>
      </c>
    </row>
    <row r="216" spans="1:30" ht="20.45" customHeight="1">
      <c r="A216" s="753"/>
      <c r="B216" s="849"/>
      <c r="C216" s="897"/>
      <c r="D216" s="850" t="s">
        <v>611</v>
      </c>
      <c r="E216" s="851" t="s">
        <v>612</v>
      </c>
      <c r="F216" s="852" t="s">
        <v>695</v>
      </c>
      <c r="G216" s="729">
        <f t="shared" si="60"/>
        <v>0</v>
      </c>
      <c r="H216" s="730"/>
      <c r="I216" s="730"/>
      <c r="J216" s="730"/>
      <c r="K216" s="730"/>
      <c r="L216" s="730"/>
      <c r="M216" s="731"/>
      <c r="N216" s="553"/>
      <c r="O216" s="539"/>
      <c r="AD216" s="732" t="s">
        <v>1346</v>
      </c>
    </row>
    <row r="217" spans="1:30" ht="20.45" customHeight="1">
      <c r="A217" s="69"/>
      <c r="B217" s="620"/>
      <c r="C217" s="898" t="s">
        <v>938</v>
      </c>
      <c r="D217" s="853" t="s">
        <v>613</v>
      </c>
      <c r="E217" s="821" t="s">
        <v>937</v>
      </c>
      <c r="F217" s="620" t="s">
        <v>695</v>
      </c>
      <c r="G217" s="646">
        <f t="shared" si="60"/>
        <v>38</v>
      </c>
      <c r="H217" s="553">
        <f>COUNTIF(Area_v1,$C217)</f>
        <v>20</v>
      </c>
      <c r="I217" s="553">
        <f>COUNTIF(Area_v2,$C217)</f>
        <v>18</v>
      </c>
      <c r="J217" s="553">
        <f>COUNTIF(Area_v3,$C217)</f>
        <v>0</v>
      </c>
      <c r="K217" s="553">
        <f>COUNTIF(Area_v4,$C217)</f>
        <v>0</v>
      </c>
      <c r="L217" s="553">
        <f>COUNTIF(Area_v5,$C217)</f>
        <v>0</v>
      </c>
      <c r="M217" s="639">
        <f>COUNTIF(Area_v6,$C217)</f>
        <v>0</v>
      </c>
      <c r="N217" s="553"/>
      <c r="O217" s="539"/>
      <c r="AD217" s="712" t="s">
        <v>1347</v>
      </c>
    </row>
    <row r="218" spans="1:30" ht="20.45" customHeight="1">
      <c r="A218" s="69"/>
      <c r="B218" s="620"/>
      <c r="C218" s="879" t="s">
        <v>1229</v>
      </c>
      <c r="D218" s="824" t="s">
        <v>614</v>
      </c>
      <c r="E218" s="821" t="s">
        <v>774</v>
      </c>
      <c r="F218" s="620" t="s">
        <v>773</v>
      </c>
      <c r="G218" s="646">
        <f t="shared" si="60"/>
        <v>1254</v>
      </c>
      <c r="H218" s="553">
        <f>COUNTIF(Area_v1,"RW1")+COUNTIF(Area_v1,"RW2")*2</f>
        <v>534</v>
      </c>
      <c r="I218" s="553">
        <f>COUNTIF(Area_v2,"RW1")+COUNTIF(Area_v2,"RW2")*2</f>
        <v>590</v>
      </c>
      <c r="J218" s="553">
        <f>COUNTIF(Area_v3,"RW1")+COUNTIF(Area_v3,"RW2")*2</f>
        <v>72</v>
      </c>
      <c r="K218" s="553">
        <f>COUNTIF(Area_v4,"RW1")+COUNTIF(Area_v4,"RW2")*2</f>
        <v>20</v>
      </c>
      <c r="L218" s="553">
        <f>COUNTIF(Area_v5,"RW1")+COUNTIF(Area_v5,"RW2")*2</f>
        <v>12</v>
      </c>
      <c r="M218" s="639">
        <f>COUNTIF(Area_v6,"RW1")+COUNTIF(Area_v6,"RW2")*2</f>
        <v>26</v>
      </c>
      <c r="N218" s="553"/>
      <c r="O218" s="539"/>
      <c r="AD218" s="712" t="s">
        <v>1348</v>
      </c>
    </row>
    <row r="219" spans="1:30" ht="20.45" customHeight="1">
      <c r="B219" s="835" t="s">
        <v>1660</v>
      </c>
      <c r="C219" s="876" t="s">
        <v>1223</v>
      </c>
      <c r="D219" s="821" t="s">
        <v>615</v>
      </c>
      <c r="E219" s="821" t="s">
        <v>939</v>
      </c>
      <c r="F219" s="620" t="s">
        <v>775</v>
      </c>
      <c r="G219" s="646">
        <f t="shared" si="60"/>
        <v>43</v>
      </c>
      <c r="H219" s="553">
        <f>COUNTIF(Area_v1,$C219)</f>
        <v>16</v>
      </c>
      <c r="I219" s="553">
        <f>COUNTIF(Area_v2,$C219)</f>
        <v>18</v>
      </c>
      <c r="J219" s="553">
        <f>COUNTIF(Area_v3,$C219)</f>
        <v>3</v>
      </c>
      <c r="K219" s="553">
        <f>COUNTIF(Area_v4,$C219)</f>
        <v>0</v>
      </c>
      <c r="L219" s="553">
        <f>COUNTIF(Area_v5,$C219)*2</f>
        <v>2</v>
      </c>
      <c r="M219" s="639">
        <f>COUNTIF(Area_v6,$C219)*2</f>
        <v>4</v>
      </c>
      <c r="N219" s="553"/>
      <c r="O219" s="539"/>
      <c r="AD219" s="712" t="s">
        <v>1352</v>
      </c>
    </row>
    <row r="220" spans="1:30" ht="34.9" customHeight="1">
      <c r="A220" s="69"/>
      <c r="B220" s="620"/>
      <c r="C220" s="876" t="s">
        <v>1656</v>
      </c>
      <c r="D220" s="821" t="s">
        <v>616</v>
      </c>
      <c r="E220" s="821" t="s">
        <v>1655</v>
      </c>
      <c r="F220" s="620" t="s">
        <v>773</v>
      </c>
      <c r="G220" s="646">
        <f t="shared" si="60"/>
        <v>182</v>
      </c>
      <c r="H220" s="553">
        <f>COUNTIF(Area_v1,"RW1T-S")+COUNTIF(Area_v1,"RW2T-SC")+COUNTIF(Area_v1,"RW2T-S")*2</f>
        <v>90</v>
      </c>
      <c r="I220" s="553">
        <f>COUNTIF(Area_v2,"RW1T-S")+COUNTIF(Area_v2,"RW2T-SC")+COUNTIF(Area_v2,"RW2T-S")*2</f>
        <v>92</v>
      </c>
      <c r="J220" s="553">
        <f>COUNTIF(Area_v3,"RW1T-S")+COUNTIF(Area_v3,"RW2T-SC")+COUNTIF(Area_v3,"RW2T-S")*2</f>
        <v>0</v>
      </c>
      <c r="K220" s="553">
        <f>COUNTIF(Area_v4,"RW1T-S")+COUNTIF(Area_v4,"RW2T-SC")+COUNTIF(Area_v4,"RW2T-S")*2</f>
        <v>0</v>
      </c>
      <c r="L220" s="553">
        <f>COUNTIF(Area_v5,"RW1T-S")+COUNTIF(Area_v5,"RW2T-SC")+COUNTIF(Area_v5,"RW2T-S")*2</f>
        <v>0</v>
      </c>
      <c r="M220" s="553">
        <f>COUNTIF(Area_v6,"RW1T-S")+COUNTIF(Area_v6,"RW2T-SC")+COUNTIF(Area_v6,"RW2T-S")*2</f>
        <v>0</v>
      </c>
      <c r="N220" s="553"/>
      <c r="O220" s="539"/>
      <c r="AD220" s="712" t="s">
        <v>1697</v>
      </c>
    </row>
    <row r="221" spans="1:30" ht="34.9" customHeight="1">
      <c r="A221" s="69"/>
      <c r="B221" s="620"/>
      <c r="C221" s="876" t="s">
        <v>1699</v>
      </c>
      <c r="D221" s="821" t="s">
        <v>1657</v>
      </c>
      <c r="E221" s="821" t="s">
        <v>1654</v>
      </c>
      <c r="F221" s="620"/>
      <c r="G221" s="646">
        <f t="shared" ref="G221" si="61">SUM(H221:M221)</f>
        <v>182</v>
      </c>
      <c r="H221" s="553">
        <f>COUNTIF(Area_v1,"RW1T-C")+COUNTIF(Area_v1,"RW2T-SC")+COUNTIF(Area_v1,"RW2T-C")*2</f>
        <v>90</v>
      </c>
      <c r="I221" s="553">
        <f>COUNTIF(Area_v2,"RW1T-C")+COUNTIF(Area_v2,"RW2T-SC")+COUNTIF(Area_v2,"RW2T-C")*2</f>
        <v>92</v>
      </c>
      <c r="J221" s="553">
        <f>COUNTIF(Area_v3,"RW1T-C")+COUNTIF(Area_v3,"RW2T-SC")+COUNTIF(Area_v3,"RW2T-C")*2</f>
        <v>0</v>
      </c>
      <c r="K221" s="553">
        <f>COUNTIF(Area_v4,"RW1T-C")+COUNTIF(Area_v4,"RW2T-SC")+COUNTIF(Area_v4,"RW2T-C")*2</f>
        <v>0</v>
      </c>
      <c r="L221" s="553">
        <f>COUNTIF(Area_v5,"RW1T-C")+COUNTIF(Area_v5,"RW2T-SC")+COUNTIF(Area_v5,"RW2T-C")*2</f>
        <v>0</v>
      </c>
      <c r="M221" s="553">
        <f>COUNTIF(Area_v6,"RW1T-C")+COUNTIF(Area_v6,"RW2T-SC")+COUNTIF(Area_v6,"RW2T-C")*2</f>
        <v>0</v>
      </c>
      <c r="N221" s="553"/>
      <c r="O221" s="539"/>
      <c r="AD221" s="712" t="s">
        <v>1698</v>
      </c>
    </row>
    <row r="222" spans="1:30" ht="34.9" customHeight="1">
      <c r="A222" s="69"/>
      <c r="B222" s="835" t="s">
        <v>1661</v>
      </c>
      <c r="C222" s="876" t="s">
        <v>1226</v>
      </c>
      <c r="D222" s="821" t="s">
        <v>617</v>
      </c>
      <c r="E222" s="821" t="s">
        <v>941</v>
      </c>
      <c r="F222" s="620" t="s">
        <v>776</v>
      </c>
      <c r="G222" s="646">
        <f t="shared" si="60"/>
        <v>84</v>
      </c>
      <c r="H222" s="553">
        <f>COUNTIF(Area_v1,$C$222)*2</f>
        <v>42</v>
      </c>
      <c r="I222" s="553">
        <f>COUNTIF(Area_v2,C222)*2</f>
        <v>42</v>
      </c>
      <c r="J222" s="553">
        <f>COUNTIF(Area_v3,$C$222)*2</f>
        <v>0</v>
      </c>
      <c r="K222" s="553">
        <f>COUNTIF(Area_v4,$C$222)*2</f>
        <v>0</v>
      </c>
      <c r="L222" s="553">
        <f>COUNTIF(Area_v5,$C$222)*2</f>
        <v>0</v>
      </c>
      <c r="M222" s="553">
        <f>COUNTIF(Area_v6,$C$222)*2</f>
        <v>0</v>
      </c>
      <c r="N222" s="553"/>
      <c r="O222" s="539"/>
      <c r="AD222" s="712" t="s">
        <v>1353</v>
      </c>
    </row>
    <row r="223" spans="1:30" ht="34.9" customHeight="1">
      <c r="A223" s="755"/>
      <c r="B223" s="854"/>
      <c r="C223" s="899"/>
      <c r="D223" s="855" t="s">
        <v>777</v>
      </c>
      <c r="E223" s="855" t="s">
        <v>92</v>
      </c>
      <c r="F223" s="854" t="s">
        <v>695</v>
      </c>
      <c r="G223" s="733">
        <f t="shared" si="60"/>
        <v>0</v>
      </c>
      <c r="H223" s="734"/>
      <c r="I223" s="734"/>
      <c r="J223" s="734"/>
      <c r="K223" s="734"/>
      <c r="L223" s="734"/>
      <c r="M223" s="735"/>
      <c r="N223" s="553"/>
      <c r="O223" s="539"/>
      <c r="AD223" s="736" t="s">
        <v>1354</v>
      </c>
    </row>
    <row r="224" spans="1:30" ht="20.45" customHeight="1">
      <c r="A224" s="795" t="s">
        <v>1692</v>
      </c>
      <c r="B224" s="616"/>
      <c r="C224" s="871" t="s">
        <v>936</v>
      </c>
      <c r="D224" s="811" t="s">
        <v>618</v>
      </c>
      <c r="E224" s="811" t="s">
        <v>111</v>
      </c>
      <c r="F224" s="616" t="s">
        <v>778</v>
      </c>
      <c r="G224" s="617">
        <f t="shared" si="60"/>
        <v>97</v>
      </c>
      <c r="H224" s="553">
        <f>COUNTIF(Area_v1,$C224)-H225</f>
        <v>45</v>
      </c>
      <c r="I224" s="553">
        <f>COUNTIF(Area_v2,$C224)-I225</f>
        <v>46</v>
      </c>
      <c r="J224" s="553">
        <f>COUNTIF(Area_v3,$C224)-J225</f>
        <v>7</v>
      </c>
      <c r="K224" s="553">
        <f>COUNTIF(Area_v4,$C224)-K225</f>
        <v>-1</v>
      </c>
      <c r="L224" s="553">
        <f>COUNTIF(Area_v5,$C224)-L225</f>
        <v>0</v>
      </c>
      <c r="M224" s="639">
        <f>COUNTIF(Area_v6,$C224)-M225</f>
        <v>0</v>
      </c>
      <c r="N224" s="553"/>
      <c r="O224" s="539"/>
      <c r="AD224" s="685" t="s">
        <v>1356</v>
      </c>
    </row>
    <row r="225" spans="1:31" ht="20.45" customHeight="1">
      <c r="A225" s="67"/>
      <c r="B225" s="835" t="s">
        <v>940</v>
      </c>
      <c r="C225" s="877" t="s">
        <v>943</v>
      </c>
      <c r="D225" s="822" t="s">
        <v>619</v>
      </c>
      <c r="E225" s="822" t="s">
        <v>122</v>
      </c>
      <c r="F225" s="647" t="s">
        <v>779</v>
      </c>
      <c r="G225" s="646">
        <f t="shared" si="60"/>
        <v>58</v>
      </c>
      <c r="H225" s="553">
        <f>COUNTIF(Area_v1,$C225)*2</f>
        <v>28</v>
      </c>
      <c r="I225" s="553">
        <f>COUNTIF(Area_v2,$C225)*2</f>
        <v>24</v>
      </c>
      <c r="J225" s="553">
        <f>COUNTIF(Area_v3,$C225)*2</f>
        <v>2</v>
      </c>
      <c r="K225" s="553">
        <f>COUNTIF(Area_v4,$C225)*2</f>
        <v>2</v>
      </c>
      <c r="L225" s="553">
        <f>COUNTIF(Area_v5,$C225)*2</f>
        <v>0</v>
      </c>
      <c r="M225" s="639">
        <f>COUNTIF(Area_v6,$C225)*2</f>
        <v>2</v>
      </c>
      <c r="N225" s="553"/>
      <c r="O225" s="539"/>
      <c r="AD225" s="685" t="s">
        <v>1357</v>
      </c>
    </row>
    <row r="226" spans="1:31" ht="20.45" customHeight="1">
      <c r="A226" s="737"/>
      <c r="B226" s="856" t="s">
        <v>877</v>
      </c>
      <c r="C226" s="900"/>
      <c r="D226" s="857" t="s">
        <v>620</v>
      </c>
      <c r="E226" s="857" t="s">
        <v>621</v>
      </c>
      <c r="F226" s="856" t="s">
        <v>780</v>
      </c>
      <c r="G226" s="738">
        <f t="shared" si="60"/>
        <v>0</v>
      </c>
      <c r="H226" s="739"/>
      <c r="I226" s="739"/>
      <c r="J226" s="739"/>
      <c r="K226" s="739"/>
      <c r="L226" s="739"/>
      <c r="M226" s="740"/>
      <c r="N226" s="553"/>
      <c r="O226" s="539"/>
      <c r="AD226" s="741" t="s">
        <v>1355</v>
      </c>
    </row>
    <row r="227" spans="1:31" ht="20.45" customHeight="1">
      <c r="A227" s="67"/>
      <c r="B227" s="728" t="s">
        <v>931</v>
      </c>
      <c r="C227" s="879" t="s">
        <v>942</v>
      </c>
      <c r="D227" s="824" t="s">
        <v>781</v>
      </c>
      <c r="E227" s="824" t="s">
        <v>115</v>
      </c>
      <c r="F227" s="654" t="s">
        <v>695</v>
      </c>
      <c r="G227" s="646">
        <f t="shared" si="60"/>
        <v>0</v>
      </c>
      <c r="H227" s="553"/>
      <c r="I227" s="553"/>
      <c r="J227" s="553"/>
      <c r="K227" s="553"/>
      <c r="L227" s="553"/>
      <c r="M227" s="639"/>
      <c r="N227" s="553"/>
      <c r="O227" s="539"/>
      <c r="AD227" s="711" t="s">
        <v>1358</v>
      </c>
    </row>
    <row r="228" spans="1:31" ht="20.45" customHeight="1">
      <c r="A228" s="690"/>
      <c r="B228" s="649"/>
      <c r="C228" s="878"/>
      <c r="D228" s="823" t="s">
        <v>783</v>
      </c>
      <c r="E228" s="823" t="s">
        <v>1359</v>
      </c>
      <c r="F228" s="649" t="s">
        <v>782</v>
      </c>
      <c r="G228" s="650">
        <f t="shared" si="60"/>
        <v>0</v>
      </c>
      <c r="H228" s="651"/>
      <c r="I228" s="651"/>
      <c r="J228" s="651"/>
      <c r="K228" s="651"/>
      <c r="L228" s="651"/>
      <c r="M228" s="652"/>
      <c r="N228" s="553"/>
      <c r="O228" s="539"/>
      <c r="AD228" s="688" t="s">
        <v>1360</v>
      </c>
    </row>
    <row r="229" spans="1:31" ht="20.45" customHeight="1">
      <c r="A229" s="796"/>
      <c r="B229" s="834" t="s">
        <v>940</v>
      </c>
      <c r="C229" s="891" t="s">
        <v>943</v>
      </c>
      <c r="D229" s="811" t="s">
        <v>622</v>
      </c>
      <c r="E229" s="811" t="s">
        <v>785</v>
      </c>
      <c r="F229" s="616" t="s">
        <v>784</v>
      </c>
      <c r="G229" s="617">
        <f t="shared" si="60"/>
        <v>58</v>
      </c>
      <c r="H229" s="618">
        <f t="shared" ref="H229:M229" si="62">+H225</f>
        <v>28</v>
      </c>
      <c r="I229" s="618">
        <f t="shared" si="62"/>
        <v>24</v>
      </c>
      <c r="J229" s="618">
        <f t="shared" si="62"/>
        <v>2</v>
      </c>
      <c r="K229" s="618">
        <f t="shared" si="62"/>
        <v>2</v>
      </c>
      <c r="L229" s="618">
        <f t="shared" si="62"/>
        <v>0</v>
      </c>
      <c r="M229" s="619">
        <f t="shared" si="62"/>
        <v>2</v>
      </c>
      <c r="N229" s="553"/>
      <c r="O229" s="539"/>
      <c r="AD229" s="685" t="s">
        <v>1361</v>
      </c>
    </row>
    <row r="230" spans="1:31" ht="20.45" customHeight="1">
      <c r="A230" s="69"/>
      <c r="B230" s="835" t="s">
        <v>940</v>
      </c>
      <c r="C230" s="877" t="s">
        <v>943</v>
      </c>
      <c r="D230" s="821" t="s">
        <v>623</v>
      </c>
      <c r="E230" s="821" t="s">
        <v>786</v>
      </c>
      <c r="F230" s="620" t="s">
        <v>784</v>
      </c>
      <c r="G230" s="646">
        <f t="shared" si="60"/>
        <v>58</v>
      </c>
      <c r="H230" s="553">
        <f t="shared" ref="H230:M230" si="63">+H229</f>
        <v>28</v>
      </c>
      <c r="I230" s="553">
        <f t="shared" si="63"/>
        <v>24</v>
      </c>
      <c r="J230" s="553">
        <f t="shared" si="63"/>
        <v>2</v>
      </c>
      <c r="K230" s="553">
        <f t="shared" si="63"/>
        <v>2</v>
      </c>
      <c r="L230" s="553">
        <f t="shared" si="63"/>
        <v>0</v>
      </c>
      <c r="M230" s="639">
        <f t="shared" si="63"/>
        <v>2</v>
      </c>
      <c r="N230" s="553"/>
      <c r="O230" s="539"/>
      <c r="AD230" s="712" t="s">
        <v>1362</v>
      </c>
    </row>
    <row r="231" spans="1:31" ht="20.45" customHeight="1">
      <c r="A231" s="753"/>
      <c r="B231" s="852"/>
      <c r="C231" s="901"/>
      <c r="D231" s="851" t="s">
        <v>624</v>
      </c>
      <c r="E231" s="851" t="s">
        <v>787</v>
      </c>
      <c r="F231" s="852" t="s">
        <v>695</v>
      </c>
      <c r="G231" s="729">
        <f t="shared" si="60"/>
        <v>0</v>
      </c>
      <c r="H231" s="730"/>
      <c r="I231" s="730"/>
      <c r="J231" s="730"/>
      <c r="K231" s="730"/>
      <c r="L231" s="730"/>
      <c r="M231" s="731"/>
      <c r="N231" s="553"/>
      <c r="O231" s="539"/>
      <c r="AD231" s="732" t="s">
        <v>1363</v>
      </c>
    </row>
    <row r="232" spans="1:31" ht="20.45" customHeight="1">
      <c r="A232" s="69"/>
      <c r="B232" s="620"/>
      <c r="C232" s="876" t="s">
        <v>944</v>
      </c>
      <c r="D232" s="821" t="s">
        <v>625</v>
      </c>
      <c r="E232" s="821" t="s">
        <v>1088</v>
      </c>
      <c r="F232" s="620" t="s">
        <v>788</v>
      </c>
      <c r="G232" s="646">
        <f>SUM(H232:M232)</f>
        <v>6</v>
      </c>
      <c r="H232" s="553">
        <f>COUNTIF(Area_v1,$C232)</f>
        <v>6</v>
      </c>
      <c r="I232" s="553">
        <f>COUNTIF(Area_v2,$C232)</f>
        <v>0</v>
      </c>
      <c r="J232" s="553">
        <f>COUNTIF(Area_v3,$C232)</f>
        <v>0</v>
      </c>
      <c r="K232" s="553">
        <f>COUNTIF(Area_v4,$C232)</f>
        <v>0</v>
      </c>
      <c r="L232" s="553">
        <f>COUNTIF(Area_v5,$C232)</f>
        <v>0</v>
      </c>
      <c r="M232" s="639">
        <f>COUNTIF(Area_v6,$C232)</f>
        <v>0</v>
      </c>
      <c r="N232" s="539" t="s">
        <v>2698</v>
      </c>
      <c r="AD232" s="712" t="s">
        <v>1365</v>
      </c>
    </row>
    <row r="233" spans="1:31" ht="20.45" customHeight="1">
      <c r="A233" s="690"/>
      <c r="B233" s="649"/>
      <c r="C233" s="878" t="s">
        <v>945</v>
      </c>
      <c r="D233" s="823" t="s">
        <v>626</v>
      </c>
      <c r="E233" s="823" t="s">
        <v>789</v>
      </c>
      <c r="F233" s="649" t="s">
        <v>695</v>
      </c>
      <c r="G233" s="650">
        <f t="shared" si="60"/>
        <v>0</v>
      </c>
      <c r="H233" s="651">
        <f>COUNTIF(Area_v1,$C233)</f>
        <v>0</v>
      </c>
      <c r="I233" s="651">
        <f>COUNTIF(Area_v2,$C233)</f>
        <v>0</v>
      </c>
      <c r="J233" s="651">
        <f>COUNTIF(Area_v3,$C233)</f>
        <v>0</v>
      </c>
      <c r="K233" s="651">
        <f>COUNTIF(Area_v4,$C233)</f>
        <v>0</v>
      </c>
      <c r="L233" s="651">
        <f>COUNTIF(Area_v5,$C233)</f>
        <v>0</v>
      </c>
      <c r="M233" s="652">
        <f>COUNTIF(Area_v6,$C233)</f>
        <v>0</v>
      </c>
      <c r="N233" s="553"/>
      <c r="O233" s="539"/>
      <c r="AD233" s="742" t="s">
        <v>789</v>
      </c>
    </row>
    <row r="234" spans="1:31" ht="34.9" customHeight="1">
      <c r="A234" s="795" t="s">
        <v>946</v>
      </c>
      <c r="B234" s="1261" t="s">
        <v>965</v>
      </c>
      <c r="C234" s="956" t="s">
        <v>3105</v>
      </c>
      <c r="D234" s="824" t="s">
        <v>627</v>
      </c>
      <c r="E234" s="824" t="s">
        <v>119</v>
      </c>
      <c r="F234" s="654">
        <v>6680</v>
      </c>
      <c r="G234" s="646">
        <f t="shared" si="60"/>
        <v>14</v>
      </c>
      <c r="H234" s="632">
        <f>COUNTIF(Area_S1,"DISC/NZ")+COUNTIF(Area_S1,"DISC/IO*")+COUNTIF(Area_S1,"DISC/PP*")</f>
        <v>8</v>
      </c>
      <c r="I234" s="618">
        <f>COUNTIF(Area_S2,"DISC/NZ")+COUNTIF(Area_S2,"DISC/IO*")+COUNTIF(Area_S2,"DISC/PP*")</f>
        <v>4</v>
      </c>
      <c r="J234" s="618">
        <f>COUNTIF(Area_S3,"DISC/NZ")+COUNTIF(Area_S3,"DISC/IO*")+COUNTIF(Area_S3,"DISC/PP*")</f>
        <v>1</v>
      </c>
      <c r="K234" s="618">
        <f>COUNTIF(Area_S4,"DISC/NZ")+COUNTIF(Area_S4,"DISC/IO*")+COUNTIF(Area_S4,"DISC/PP*")</f>
        <v>0</v>
      </c>
      <c r="L234" s="618">
        <f>COUNTIF(Area_S5,"DISC/NZ")+COUNTIF(Area_S5,"DISC/IO*")+COUNTIF(Area_S5,"DISC/PP*")</f>
        <v>0</v>
      </c>
      <c r="M234" s="619">
        <f>COUNTIF(Area_S6,"DISC/NZ")+COUNTIF(Area_S6,"DISC/IO*")+COUNTIF(Area_S6,"DISC/PP*")</f>
        <v>1</v>
      </c>
      <c r="N234" s="553"/>
      <c r="O234" s="539"/>
      <c r="AD234" s="711" t="s">
        <v>1366</v>
      </c>
    </row>
    <row r="235" spans="1:31" ht="34.9" customHeight="1">
      <c r="A235" s="792"/>
      <c r="B235" s="1262"/>
      <c r="C235" s="957" t="s">
        <v>2937</v>
      </c>
      <c r="D235" s="824" t="s">
        <v>627</v>
      </c>
      <c r="E235" s="824" t="s">
        <v>119</v>
      </c>
      <c r="F235" s="654">
        <v>6680</v>
      </c>
      <c r="G235" s="646">
        <f t="shared" si="60"/>
        <v>4</v>
      </c>
      <c r="H235" s="638">
        <f>COUNTIF(Area_S1,"FS-1")+COUNTIF(Area_S1,"FS/PP-2")*2+COUNTIF(Area_S1,"FS/PP-3")*2</f>
        <v>2</v>
      </c>
      <c r="I235" s="553">
        <f>COUNTIF(Area_S2,"FS-1")+COUNTIF(Area_S2,"FS/PP-2")*2+COUNTIF(Area_S2,"FS/PP-3")*2</f>
        <v>2</v>
      </c>
      <c r="J235" s="553">
        <f>COUNTIF(Area_S3,"FS-1")+COUNTIF(Area_S3,"FS/PP-2")*2+COUNTIF(Area_S3,"FS/PP-3")*2</f>
        <v>0</v>
      </c>
      <c r="K235" s="553">
        <f>COUNTIF(Area_S4,"FS-1")+COUNTIF(Area_S4,"FS/PP-2")*2+COUNTIF(Area_S4,"FS/PP-3")*2</f>
        <v>0</v>
      </c>
      <c r="L235" s="553">
        <f>COUNTIF(Area_S5,"FS-1")+COUNTIF(Area_S5,"FS/PP-2")*2+COUNTIF(Area_S5,"FS/PP-3")*2</f>
        <v>0</v>
      </c>
      <c r="M235" s="639">
        <f>COUNTIF(Area_S6,"FS-1")+COUNTIF(Area_S6,"FS/PP-2")*2+COUNTIF(Area_S6,"FS/PP-3")*2</f>
        <v>0</v>
      </c>
      <c r="N235" s="553"/>
      <c r="O235" s="539"/>
      <c r="AD235" s="711"/>
    </row>
    <row r="236" spans="1:31" ht="15">
      <c r="A236" s="69"/>
      <c r="B236" s="1263"/>
      <c r="C236" s="958" t="s">
        <v>3127</v>
      </c>
      <c r="D236" s="824" t="s">
        <v>628</v>
      </c>
      <c r="E236" s="824" t="s">
        <v>120</v>
      </c>
      <c r="F236" s="620">
        <v>6682</v>
      </c>
      <c r="G236" s="646">
        <f t="shared" si="60"/>
        <v>0</v>
      </c>
      <c r="H236" s="638">
        <f>COUNTIF(Area_S1,"LoadB")+COUNTIF(Area_S1,"LoadB/t")</f>
        <v>0</v>
      </c>
      <c r="I236" s="553">
        <f>COUNTIF(Area_S2,"LoadB")+COUNTIF(Area_S2,"LoadB/t")</f>
        <v>0</v>
      </c>
      <c r="J236" s="553">
        <f>COUNTIF(Area_S3,"LoadB")+COUNTIF(Area_S3,"LoadB/t")</f>
        <v>0</v>
      </c>
      <c r="K236" s="553">
        <f>COUNTIF(Area_S4,"LoadB")+COUNTIF(Area_S4,"LoadB/t")</f>
        <v>0</v>
      </c>
      <c r="L236" s="553">
        <f>COUNTIF(Area_S5,"LoadB")+COUNTIF(Area_S5,"LoadB/t")</f>
        <v>0</v>
      </c>
      <c r="M236" s="639">
        <f>COUNTIF(Area_S6,"LoadB")+COUNTIF(Area_S6,"LoadB/t")</f>
        <v>0</v>
      </c>
      <c r="N236" s="553"/>
      <c r="O236" s="662"/>
      <c r="P236" s="538"/>
      <c r="Q236" s="538"/>
      <c r="R236" s="538"/>
      <c r="S236" s="538"/>
      <c r="T236" s="538"/>
      <c r="U236" s="538"/>
      <c r="V236" s="538"/>
      <c r="W236" s="538"/>
      <c r="X236" s="538"/>
      <c r="Y236" s="538"/>
      <c r="Z236" s="538"/>
      <c r="AA236" s="538"/>
      <c r="AB236" s="538"/>
      <c r="AC236" s="633"/>
      <c r="AD236" s="711" t="s">
        <v>1370</v>
      </c>
      <c r="AE236" s="538"/>
    </row>
    <row r="237" spans="1:31" s="538" customFormat="1" ht="45">
      <c r="A237" s="69"/>
      <c r="B237" s="858"/>
      <c r="C237" s="957" t="s">
        <v>3007</v>
      </c>
      <c r="D237" s="824" t="s">
        <v>628</v>
      </c>
      <c r="E237" s="824" t="s">
        <v>120</v>
      </c>
      <c r="F237" s="620">
        <v>6682</v>
      </c>
      <c r="G237" s="646">
        <f t="shared" si="60"/>
        <v>5</v>
      </c>
      <c r="H237" s="638">
        <f>COUNTIF(Area_S1,"LoadB/PP*")+COUNTIF(Area_S1,"PP-2")+COUNTIF(Area_S1,"PP-4")*5+COUNTIF(Area_S1,"FS/PP-2")+COUNTIF(Area_S1,"FS/PP-3")*3</f>
        <v>5</v>
      </c>
      <c r="I237" s="553">
        <f>COUNTIF(Area_S2,"LoadB/PP*")+COUNTIF(Area_S2,"PP-2")+COUNTIF(Area_S2,"PP-4")*5+COUNTIF(Area_S2,"FS/PP-2")+COUNTIF(Area_S2,"FS/PP-3")*3</f>
        <v>0</v>
      </c>
      <c r="J237" s="553">
        <f>COUNTIF(Area_S3,"LoadB/PP*")+COUNTIF(Area_S3,"PP-2")+COUNTIF(Area_S3,"PP-4")*5+COUNTIF(Area_S3,"FS/PP-2")+COUNTIF(Area_S3,"FS/PP-3")*3</f>
        <v>0</v>
      </c>
      <c r="K237" s="553">
        <f>COUNTIF(Area_S4,"LoadB/PP*")+COUNTIF(Area_S4,"PP-2")+COUNTIF(Area_S4,"PP-4")*5+COUNTIF(Area_S4,"FS/PP-2")+COUNTIF(Area_S4,"FS/PP-3")*3</f>
        <v>0</v>
      </c>
      <c r="L237" s="553">
        <f>COUNTIF(Area_S5,"LoadB/PP*")+COUNTIF(Area_S5,"PP-2")+COUNTIF(Area_S5,"PP-4")*5+COUNTIF(Area_S5,"FS/PP-2")+COUNTIF(Area_S5,"FS/PP-3")*3</f>
        <v>0</v>
      </c>
      <c r="M237" s="639">
        <f>COUNTIF(Area_S6,"LoadB/PP*")+COUNTIF(Area_S6,"PP-2")+COUNTIF(Area_S6,"PP-4")*5+COUNTIF(Area_S6,"FS/PP-2")+COUNTIF(Area_S6,"FS/PP-3")*3</f>
        <v>0</v>
      </c>
      <c r="N237" s="553"/>
      <c r="O237" s="662"/>
      <c r="AC237" s="633"/>
      <c r="AD237" s="711"/>
    </row>
    <row r="238" spans="1:31" s="538" customFormat="1" ht="30">
      <c r="A238" s="69"/>
      <c r="B238" s="620"/>
      <c r="C238" s="876" t="s">
        <v>964</v>
      </c>
      <c r="D238" s="821" t="s">
        <v>629</v>
      </c>
      <c r="E238" s="821" t="s">
        <v>790</v>
      </c>
      <c r="F238" s="620" t="s">
        <v>695</v>
      </c>
      <c r="G238" s="646">
        <f t="shared" si="60"/>
        <v>0</v>
      </c>
      <c r="H238" s="553">
        <f>COUNTIF(Area_S1,$C238)</f>
        <v>0</v>
      </c>
      <c r="I238" s="553">
        <f>COUNTIF(Area_S2,$C238)</f>
        <v>0</v>
      </c>
      <c r="J238" s="553">
        <f>COUNTIF(Area_S3,$C238)</f>
        <v>0</v>
      </c>
      <c r="K238" s="553">
        <f>COUNTIF(Area_S4,$C238)</f>
        <v>0</v>
      </c>
      <c r="L238" s="553">
        <f>COUNTIF(Area_S5,$C238)</f>
        <v>0</v>
      </c>
      <c r="M238" s="639">
        <f>COUNTIF(Area_S6,$C238)</f>
        <v>0</v>
      </c>
      <c r="N238" s="553"/>
      <c r="O238" s="539"/>
      <c r="P238" s="537"/>
      <c r="Q238" s="537"/>
      <c r="R238" s="537"/>
      <c r="S238" s="537"/>
      <c r="T238" s="537"/>
      <c r="U238" s="537"/>
      <c r="V238" s="537"/>
      <c r="W238" s="537"/>
      <c r="X238" s="537"/>
      <c r="Y238" s="537"/>
      <c r="Z238" s="537"/>
      <c r="AA238" s="537"/>
      <c r="AB238" s="537"/>
      <c r="AC238" s="536"/>
      <c r="AD238" s="711" t="s">
        <v>1371</v>
      </c>
      <c r="AE238" s="537"/>
    </row>
    <row r="239" spans="1:31" ht="20.45" customHeight="1">
      <c r="A239" s="713"/>
      <c r="B239" s="647"/>
      <c r="C239" s="877" t="s">
        <v>3112</v>
      </c>
      <c r="D239" s="822" t="s">
        <v>630</v>
      </c>
      <c r="E239" s="822" t="s">
        <v>1675</v>
      </c>
      <c r="F239" s="647">
        <v>6173</v>
      </c>
      <c r="G239" s="646">
        <f t="shared" si="60"/>
        <v>6</v>
      </c>
      <c r="H239" s="553">
        <f>COUNTIF(Area_S1,"ED")+COUNTIF(Area_S1,"ED/T")</f>
        <v>3</v>
      </c>
      <c r="I239" s="553">
        <f>COUNTIF(Area_S2,"ED")+COUNTIF(Area_S2,"ED/T")</f>
        <v>3</v>
      </c>
      <c r="J239" s="553">
        <f>COUNTIF(Area_S3,"ED")+COUNTIF(Area_S3,"ED/T")</f>
        <v>0</v>
      </c>
      <c r="K239" s="553">
        <f>COUNTIF(Area_S4,"ED")+COUNTIF(Area_S4,"ED/T")</f>
        <v>0</v>
      </c>
      <c r="L239" s="553">
        <f>COUNTIF(Area_S5,"ED")+COUNTIF(Area_S5,"ED/T")</f>
        <v>0</v>
      </c>
      <c r="M239" s="639">
        <f>COUNTIF(Area_S6,"ED")+COUNTIF(Area_S6,"ED/T")</f>
        <v>0</v>
      </c>
      <c r="N239" s="553"/>
      <c r="O239" s="539"/>
      <c r="AD239" s="716" t="s">
        <v>1696</v>
      </c>
    </row>
    <row r="240" spans="1:31" ht="20.45" customHeight="1">
      <c r="A240" s="743"/>
      <c r="B240" s="859"/>
      <c r="C240" s="876" t="s">
        <v>963</v>
      </c>
      <c r="D240" s="822" t="s">
        <v>1089</v>
      </c>
      <c r="E240" s="853" t="s">
        <v>2936</v>
      </c>
      <c r="F240" s="859">
        <v>6172</v>
      </c>
      <c r="G240" s="646">
        <f t="shared" si="60"/>
        <v>0</v>
      </c>
      <c r="H240" s="553">
        <f>COUNTIF(Area_S1,$C240)</f>
        <v>0</v>
      </c>
      <c r="I240" s="553">
        <f>COUNTIF(Area_S2,$C240)</f>
        <v>0</v>
      </c>
      <c r="J240" s="553">
        <f>COUNTIF(Area_S3,$C240)</f>
        <v>0</v>
      </c>
      <c r="K240" s="553">
        <f>COUNTIF(Area_S4,$C240)</f>
        <v>0</v>
      </c>
      <c r="L240" s="553">
        <f>COUNTIF(Area_S5,$C240)</f>
        <v>0</v>
      </c>
      <c r="M240" s="639">
        <f>COUNTIF(Area_S6,$C240)</f>
        <v>0</v>
      </c>
      <c r="N240" s="553"/>
      <c r="O240" s="662"/>
      <c r="P240" s="538"/>
      <c r="Q240" s="538"/>
      <c r="R240" s="538"/>
      <c r="S240" s="538"/>
      <c r="T240" s="538"/>
      <c r="U240" s="538"/>
      <c r="V240" s="538"/>
      <c r="W240" s="538"/>
      <c r="X240" s="538"/>
      <c r="Y240" s="538"/>
      <c r="Z240" s="538"/>
      <c r="AA240" s="538"/>
      <c r="AB240" s="538"/>
      <c r="AC240" s="633"/>
      <c r="AD240" s="744" t="s">
        <v>1367</v>
      </c>
      <c r="AE240" s="538"/>
    </row>
    <row r="241" spans="1:31" s="538" customFormat="1" ht="29.25" customHeight="1">
      <c r="A241" s="797" t="s">
        <v>950</v>
      </c>
      <c r="B241" s="616"/>
      <c r="C241" s="871" t="s">
        <v>3106</v>
      </c>
      <c r="D241" s="811" t="s">
        <v>632</v>
      </c>
      <c r="E241" s="811" t="s">
        <v>3142</v>
      </c>
      <c r="F241" s="616" t="s">
        <v>792</v>
      </c>
      <c r="G241" s="617">
        <f t="shared" si="60"/>
        <v>9</v>
      </c>
      <c r="H241" s="618">
        <f>COUNTIF(Area_S1,"DISC/NZ")+COUNTIF(Area_S1,"DISC/IO")+COUNTIF(Area_S1,"DISC/PP")</f>
        <v>6</v>
      </c>
      <c r="I241" s="618">
        <f>COUNTIF(Area_S2,"DISC/NZ")+COUNTIF(Area_S2,"DISC/IO")+COUNTIF(Area_S2,"DISC/PP")</f>
        <v>2</v>
      </c>
      <c r="J241" s="618">
        <f>COUNTIF(Area_S3,"DISC/NZ")+COUNTIF(Area_S3,"DISC/IO")+COUNTIF(Area_S3,"DISC/PP")</f>
        <v>0</v>
      </c>
      <c r="K241" s="618">
        <f>COUNTIF(Area_S4,"DISC/NZ")+COUNTIF(Area_S4,"DISC/IO")+COUNTIF(Area_S4,"DISC/PP")</f>
        <v>0</v>
      </c>
      <c r="L241" s="618">
        <f>COUNTIF(Area_S5,"DISC/NZ")+COUNTIF(Area_S5,"DISC/IO")+COUNTIF(Area_S5,"DISC/PP")</f>
        <v>0</v>
      </c>
      <c r="M241" s="619">
        <f>COUNTIF(Area_S6,"DISC/NZ")+COUNTIF(Area_S6,"DISC/IO")+COUNTIF(Area_S6,"DISC/PP")</f>
        <v>1</v>
      </c>
      <c r="N241" s="553"/>
      <c r="O241" s="539"/>
      <c r="P241" s="537"/>
      <c r="Q241" s="537"/>
      <c r="R241" s="537"/>
      <c r="S241" s="537"/>
      <c r="T241" s="537"/>
      <c r="U241" s="537"/>
      <c r="V241" s="537"/>
      <c r="W241" s="537"/>
      <c r="X241" s="537"/>
      <c r="Y241" s="537"/>
      <c r="Z241" s="537"/>
      <c r="AA241" s="537"/>
      <c r="AB241" s="537"/>
      <c r="AC241" s="536"/>
      <c r="AD241" s="685" t="s">
        <v>1372</v>
      </c>
      <c r="AE241" s="537"/>
    </row>
    <row r="242" spans="1:31" s="538" customFormat="1" ht="27.75" customHeight="1">
      <c r="A242" s="69"/>
      <c r="B242" s="654"/>
      <c r="C242" s="879" t="s">
        <v>3107</v>
      </c>
      <c r="D242" s="814" t="s">
        <v>3113</v>
      </c>
      <c r="E242" s="824" t="s">
        <v>3108</v>
      </c>
      <c r="F242" s="654"/>
      <c r="G242" s="646">
        <f t="shared" si="60"/>
        <v>5</v>
      </c>
      <c r="H242" s="553">
        <f>+COUNTIF(Area_S1,"DISC/IO-pr")+COUNTIF(Area_S1,"DISC/PP-pr")</f>
        <v>2</v>
      </c>
      <c r="I242" s="553">
        <f>+COUNTIF(Area_S2,"DISC/IO-pr")+COUNTIF(Area_S2,"DISC/PP-pr")</f>
        <v>2</v>
      </c>
      <c r="J242" s="553">
        <f>+COUNTIF(Area_S3,"DISC/IO-pr")+COUNTIF(Area_S3,"DISC/PP-pr")</f>
        <v>1</v>
      </c>
      <c r="K242" s="553">
        <f>+COUNTIF(Area_S4,"DISC/IO-pr")+COUNTIF(Area_S4,"DISC/PP-pr")</f>
        <v>0</v>
      </c>
      <c r="L242" s="553">
        <f>+COUNTIF(Area_S5,"DISC/IO-pr")+COUNTIF(Area_S5,"DISC/PP-pr")</f>
        <v>0</v>
      </c>
      <c r="M242" s="639">
        <f>+COUNTIF(Area_S6,"DISC/IO-pr")+COUNTIF(Area_S6,"DISC/PP-pr")</f>
        <v>0</v>
      </c>
      <c r="N242" s="553"/>
      <c r="O242" s="539"/>
      <c r="P242" s="537"/>
      <c r="Q242" s="537"/>
      <c r="R242" s="537"/>
      <c r="S242" s="537"/>
      <c r="T242" s="537"/>
      <c r="U242" s="537"/>
      <c r="V242" s="537"/>
      <c r="W242" s="537"/>
      <c r="X242" s="537"/>
      <c r="Y242" s="537"/>
      <c r="Z242" s="537"/>
      <c r="AA242" s="537"/>
      <c r="AB242" s="537"/>
      <c r="AC242" s="536"/>
      <c r="AD242" s="685"/>
      <c r="AE242" s="537"/>
    </row>
    <row r="243" spans="1:31" s="538" customFormat="1" ht="27.75" customHeight="1">
      <c r="A243" s="69"/>
      <c r="B243" s="654"/>
      <c r="C243" s="876" t="s">
        <v>3008</v>
      </c>
      <c r="D243" s="814" t="s">
        <v>3114</v>
      </c>
      <c r="E243" s="821" t="s">
        <v>3109</v>
      </c>
      <c r="F243" s="654"/>
      <c r="G243" s="646">
        <f t="shared" si="60"/>
        <v>2</v>
      </c>
      <c r="H243" s="553">
        <f>COUNTIF(Area_S1,$C243)</f>
        <v>2</v>
      </c>
      <c r="I243" s="553">
        <f>COUNTIF(Area_S2,$C243)</f>
        <v>0</v>
      </c>
      <c r="J243" s="553">
        <f>COUNTIF(Area_S3,$C243)</f>
        <v>0</v>
      </c>
      <c r="K243" s="553">
        <f>COUNTIF(Area_S4,$C243)</f>
        <v>0</v>
      </c>
      <c r="L243" s="553">
        <f>COUNTIF(Area_S5,$C243)</f>
        <v>0</v>
      </c>
      <c r="M243" s="639">
        <f>COUNTIF(Area_S6,$C243)</f>
        <v>0</v>
      </c>
      <c r="N243" s="553"/>
      <c r="O243" s="539"/>
      <c r="P243" s="537"/>
      <c r="Q243" s="537"/>
      <c r="R243" s="537"/>
      <c r="S243" s="537"/>
      <c r="T243" s="537"/>
      <c r="U243" s="537"/>
      <c r="V243" s="537"/>
      <c r="W243" s="537"/>
      <c r="X243" s="537"/>
      <c r="Y243" s="537"/>
      <c r="Z243" s="537"/>
      <c r="AA243" s="537"/>
      <c r="AB243" s="537"/>
      <c r="AC243" s="536"/>
      <c r="AD243" s="685"/>
      <c r="AE243" s="537"/>
    </row>
    <row r="244" spans="1:31" s="538" customFormat="1" ht="27.75" customHeight="1">
      <c r="A244" s="69"/>
      <c r="B244" s="654"/>
      <c r="C244" s="876" t="s">
        <v>3102</v>
      </c>
      <c r="D244" s="814" t="s">
        <v>3129</v>
      </c>
      <c r="E244" s="821" t="s">
        <v>3110</v>
      </c>
      <c r="F244" s="654"/>
      <c r="G244" s="646">
        <f t="shared" si="60"/>
        <v>0</v>
      </c>
      <c r="H244" s="553">
        <f>COUNTIF(Area_S1,$C244)</f>
        <v>0</v>
      </c>
      <c r="I244" s="553">
        <f>COUNTIF(Area_S2,$C244)</f>
        <v>0</v>
      </c>
      <c r="J244" s="553">
        <f>COUNTIF(Area_S3,$C244)</f>
        <v>0</v>
      </c>
      <c r="K244" s="553">
        <f>COUNTIF(Area_S4,$C244)</f>
        <v>0</v>
      </c>
      <c r="L244" s="553">
        <f>COUNTIF(Area_S5,$C244)</f>
        <v>0</v>
      </c>
      <c r="M244" s="639">
        <f>COUNTIF(Area_S6,$C244)</f>
        <v>0</v>
      </c>
      <c r="N244" s="553"/>
      <c r="O244" s="539"/>
      <c r="P244" s="537"/>
      <c r="Q244" s="537"/>
      <c r="R244" s="537"/>
      <c r="S244" s="537"/>
      <c r="T244" s="537"/>
      <c r="U244" s="537"/>
      <c r="V244" s="537"/>
      <c r="W244" s="537"/>
      <c r="X244" s="537"/>
      <c r="Y244" s="537"/>
      <c r="Z244" s="537"/>
      <c r="AA244" s="537"/>
      <c r="AB244" s="537"/>
      <c r="AC244" s="536"/>
      <c r="AD244" s="685"/>
      <c r="AE244" s="537"/>
    </row>
    <row r="245" spans="1:31" ht="20.45" customHeight="1">
      <c r="A245" s="69"/>
      <c r="B245" s="820"/>
      <c r="C245" s="876"/>
      <c r="D245" s="821" t="s">
        <v>634</v>
      </c>
      <c r="E245" s="821" t="s">
        <v>1667</v>
      </c>
      <c r="F245" s="620" t="s">
        <v>792</v>
      </c>
      <c r="G245" s="646">
        <f t="shared" si="60"/>
        <v>0</v>
      </c>
      <c r="H245" s="553"/>
      <c r="I245" s="553"/>
      <c r="J245" s="553"/>
      <c r="K245" s="553"/>
      <c r="L245" s="553"/>
      <c r="M245" s="639"/>
      <c r="N245" s="553"/>
      <c r="O245" s="539"/>
      <c r="AD245" s="685" t="s">
        <v>1373</v>
      </c>
    </row>
    <row r="246" spans="1:31" ht="20.45" customHeight="1">
      <c r="A246" s="69"/>
      <c r="B246" s="620"/>
      <c r="C246" s="876" t="s">
        <v>967</v>
      </c>
      <c r="D246" s="821" t="s">
        <v>635</v>
      </c>
      <c r="E246" s="821" t="s">
        <v>2022</v>
      </c>
      <c r="F246" s="620">
        <v>6175</v>
      </c>
      <c r="G246" s="646">
        <f t="shared" si="60"/>
        <v>4</v>
      </c>
      <c r="H246" s="553">
        <f>COUNTIF(Area_S1,$C246)</f>
        <v>2</v>
      </c>
      <c r="I246" s="553">
        <f>COUNTIF(Area_S2,$C246)</f>
        <v>2</v>
      </c>
      <c r="J246" s="553">
        <f>COUNTIF(Area_S3,$C246)</f>
        <v>0</v>
      </c>
      <c r="K246" s="553">
        <f>COUNTIF(Area_S4,$C246)</f>
        <v>0</v>
      </c>
      <c r="L246" s="553">
        <f>COUNTIF(Area_S5,$C246)</f>
        <v>0</v>
      </c>
      <c r="M246" s="639">
        <f>COUNTIF(Area_S6,$C246)</f>
        <v>0</v>
      </c>
      <c r="N246" s="553"/>
      <c r="O246" s="539"/>
      <c r="AD246" s="712" t="s">
        <v>1377</v>
      </c>
    </row>
    <row r="247" spans="1:31" ht="34.9" customHeight="1">
      <c r="A247" s="69"/>
      <c r="B247" s="620"/>
      <c r="C247" s="876" t="s">
        <v>968</v>
      </c>
      <c r="D247" s="821" t="s">
        <v>636</v>
      </c>
      <c r="E247" s="821" t="s">
        <v>2023</v>
      </c>
      <c r="F247" s="620" t="s">
        <v>695</v>
      </c>
      <c r="G247" s="646">
        <f t="shared" si="60"/>
        <v>0</v>
      </c>
      <c r="H247" s="553">
        <f>COUNTIF(Area_S1,$C247)</f>
        <v>0</v>
      </c>
      <c r="I247" s="553">
        <f>COUNTIF(Area_S2,$C247)</f>
        <v>0</v>
      </c>
      <c r="J247" s="553">
        <f>COUNTIF(Area_S3,$C247)</f>
        <v>0</v>
      </c>
      <c r="K247" s="553">
        <f>COUNTIF(Area_S4,$C247)</f>
        <v>0</v>
      </c>
      <c r="L247" s="553">
        <f>COUNTIF(Area_S5,$C247)</f>
        <v>0</v>
      </c>
      <c r="M247" s="639">
        <f>COUNTIF(Area_S6,$C247)</f>
        <v>0</v>
      </c>
      <c r="N247" s="553"/>
      <c r="O247" s="539"/>
      <c r="AB247" s="712"/>
      <c r="AD247" s="712" t="s">
        <v>1374</v>
      </c>
    </row>
    <row r="248" spans="1:31" ht="34.9" customHeight="1">
      <c r="A248" s="798"/>
      <c r="B248" s="620"/>
      <c r="C248" s="876" t="s">
        <v>3128</v>
      </c>
      <c r="D248" s="821" t="s">
        <v>637</v>
      </c>
      <c r="E248" s="821" t="s">
        <v>794</v>
      </c>
      <c r="F248" s="620">
        <v>6172</v>
      </c>
      <c r="G248" s="646">
        <f t="shared" si="60"/>
        <v>0</v>
      </c>
      <c r="H248" s="553">
        <f>COUNTIF(Area_S1,"Disc/t")+COUNTIF(Area_S1,"LoadB/t")</f>
        <v>0</v>
      </c>
      <c r="I248" s="553">
        <f>COUNTIF(Area_S2,"Disc/t")+COUNTIF(Area_S2,"LoadB/t")</f>
        <v>0</v>
      </c>
      <c r="J248" s="553">
        <f>COUNTIF(Area_S3,"Disc/t")+COUNTIF(Area_S3,"LoadB/t")</f>
        <v>0</v>
      </c>
      <c r="K248" s="553">
        <f>COUNTIF(Area_S4,"Disc/t")+COUNTIF(Area_S4,"LoadB/t")</f>
        <v>0</v>
      </c>
      <c r="L248" s="553">
        <f>COUNTIF(Area_S5,"Disc/t")+COUNTIF(Area_S5,"LoadB/t")</f>
        <v>0</v>
      </c>
      <c r="M248" s="639">
        <f>COUNTIF(Area_S6,"Disc/t")+COUNTIF(Area_S6,"LoadB/t")</f>
        <v>0</v>
      </c>
      <c r="N248" s="553"/>
      <c r="O248" s="662"/>
      <c r="P248" s="538"/>
      <c r="Q248" s="538"/>
      <c r="R248" s="538"/>
      <c r="S248" s="538"/>
      <c r="T248" s="538"/>
      <c r="U248" s="538"/>
      <c r="V248" s="538"/>
      <c r="W248" s="538"/>
      <c r="X248" s="538"/>
      <c r="Y248" s="538"/>
      <c r="Z248" s="538"/>
      <c r="AA248" s="538"/>
      <c r="AB248" s="538"/>
      <c r="AC248" s="633"/>
      <c r="AD248" s="712" t="s">
        <v>1375</v>
      </c>
      <c r="AE248" s="538"/>
    </row>
    <row r="249" spans="1:31" s="538" customFormat="1" ht="20.45" customHeight="1">
      <c r="A249" s="69"/>
      <c r="B249" s="620"/>
      <c r="C249" s="876" t="s">
        <v>961</v>
      </c>
      <c r="D249" s="821" t="s">
        <v>795</v>
      </c>
      <c r="E249" s="821" t="s">
        <v>796</v>
      </c>
      <c r="F249" s="620">
        <v>6173</v>
      </c>
      <c r="G249" s="646">
        <f t="shared" si="60"/>
        <v>0</v>
      </c>
      <c r="H249" s="553">
        <f>COUNTIF(Area_S1,$C249)</f>
        <v>0</v>
      </c>
      <c r="I249" s="553">
        <f>COUNTIF(Area_S2,$C249)</f>
        <v>0</v>
      </c>
      <c r="J249" s="553">
        <f>COUNTIF(Area_S3,$C249)</f>
        <v>0</v>
      </c>
      <c r="K249" s="553">
        <f>COUNTIF(Area_S4,$C249)</f>
        <v>0</v>
      </c>
      <c r="L249" s="553">
        <f>COUNTIF(Area_S5,$C249)</f>
        <v>0</v>
      </c>
      <c r="M249" s="639">
        <f>COUNTIF(Area_S6,$C249)</f>
        <v>0</v>
      </c>
      <c r="N249" s="553"/>
      <c r="O249" s="539"/>
      <c r="P249" s="537"/>
      <c r="Q249" s="537"/>
      <c r="R249" s="537"/>
      <c r="S249" s="537"/>
      <c r="T249" s="537"/>
      <c r="U249" s="537"/>
      <c r="V249" s="537"/>
      <c r="W249" s="537"/>
      <c r="X249" s="537"/>
      <c r="Y249" s="537"/>
      <c r="Z249" s="537"/>
      <c r="AA249" s="537"/>
      <c r="AB249" s="537"/>
      <c r="AC249" s="536"/>
      <c r="AD249" s="712" t="s">
        <v>1376</v>
      </c>
      <c r="AE249" s="537"/>
    </row>
    <row r="250" spans="1:31" ht="20.45" customHeight="1">
      <c r="A250" s="69"/>
      <c r="B250" s="620"/>
      <c r="C250" s="962" t="s">
        <v>1603</v>
      </c>
      <c r="D250" s="963" t="s">
        <v>2941</v>
      </c>
      <c r="E250" s="821" t="s">
        <v>2942</v>
      </c>
      <c r="F250" s="620"/>
      <c r="G250" s="646">
        <f t="shared" si="60"/>
        <v>6</v>
      </c>
      <c r="H250" s="553">
        <f>COUNTIF(Area_S1,$C250)-H251</f>
        <v>3</v>
      </c>
      <c r="I250" s="553">
        <f>COUNTIF(Area_S2,$C250)-I251</f>
        <v>3</v>
      </c>
      <c r="J250" s="553">
        <f>COUNTIF(Area_S3,$C250)-J251</f>
        <v>0</v>
      </c>
      <c r="K250" s="553">
        <f>COUNTIF(Area_S4,$C250)-K251</f>
        <v>0</v>
      </c>
      <c r="L250" s="553">
        <f>COUNTIF(Area_S5,$C250)-L251</f>
        <v>0</v>
      </c>
      <c r="M250" s="639">
        <f>COUNTIF(Area_S6,$C250)-M251</f>
        <v>0</v>
      </c>
      <c r="N250" s="553"/>
      <c r="O250" s="539"/>
      <c r="AD250" s="712"/>
    </row>
    <row r="251" spans="1:31" ht="29.25" customHeight="1">
      <c r="A251" s="69"/>
      <c r="B251" s="620"/>
      <c r="C251" s="966" t="s">
        <v>2943</v>
      </c>
      <c r="D251" s="967" t="s">
        <v>2944</v>
      </c>
      <c r="E251" s="967" t="s">
        <v>1668</v>
      </c>
      <c r="F251" s="968"/>
      <c r="G251" s="969">
        <f t="shared" ref="G251" si="64">SUM(H251:M251)</f>
        <v>0</v>
      </c>
      <c r="H251" s="964"/>
      <c r="I251" s="964"/>
      <c r="J251" s="964"/>
      <c r="K251" s="964"/>
      <c r="L251" s="964"/>
      <c r="M251" s="965"/>
      <c r="N251" s="553"/>
      <c r="O251" s="539"/>
      <c r="AD251" s="712" t="s">
        <v>1695</v>
      </c>
    </row>
    <row r="252" spans="1:31" ht="34.9" customHeight="1">
      <c r="A252" s="69"/>
      <c r="B252" s="620"/>
      <c r="C252" s="876"/>
      <c r="D252" s="821" t="s">
        <v>1090</v>
      </c>
      <c r="E252" s="821" t="s">
        <v>1091</v>
      </c>
      <c r="F252" s="620"/>
      <c r="G252" s="646"/>
      <c r="H252" s="553"/>
      <c r="I252" s="553"/>
      <c r="J252" s="553"/>
      <c r="K252" s="553"/>
      <c r="L252" s="553"/>
      <c r="M252" s="639"/>
      <c r="N252" s="553"/>
      <c r="O252" s="539"/>
      <c r="AD252" s="712" t="s">
        <v>1378</v>
      </c>
    </row>
    <row r="253" spans="1:31" ht="20.45" customHeight="1">
      <c r="A253" s="69"/>
      <c r="B253" s="620"/>
      <c r="C253" s="876" t="s">
        <v>962</v>
      </c>
      <c r="D253" s="821" t="s">
        <v>797</v>
      </c>
      <c r="E253" s="821" t="s">
        <v>798</v>
      </c>
      <c r="F253" s="620" t="s">
        <v>793</v>
      </c>
      <c r="G253" s="646">
        <f t="shared" ref="G253:G293" si="65">SUM(H253:M253)</f>
        <v>0</v>
      </c>
      <c r="H253" s="553">
        <f>COUNTIF(Area_S1,C253)</f>
        <v>0</v>
      </c>
      <c r="I253" s="553"/>
      <c r="J253" s="553"/>
      <c r="K253" s="553"/>
      <c r="L253" s="553"/>
      <c r="M253" s="639"/>
      <c r="N253" s="553"/>
      <c r="O253" s="539"/>
      <c r="AD253" s="712" t="s">
        <v>1379</v>
      </c>
    </row>
    <row r="254" spans="1:31" ht="20.45" customHeight="1">
      <c r="A254" s="69"/>
      <c r="B254" s="620"/>
      <c r="C254" s="876" t="s">
        <v>971</v>
      </c>
      <c r="D254" s="821" t="s">
        <v>802</v>
      </c>
      <c r="E254" s="821" t="s">
        <v>803</v>
      </c>
      <c r="F254" s="620" t="s">
        <v>801</v>
      </c>
      <c r="G254" s="646">
        <f t="shared" si="65"/>
        <v>0</v>
      </c>
      <c r="H254" s="553">
        <f>COUNTIF(Area_S1,C254)</f>
        <v>0</v>
      </c>
      <c r="I254" s="553"/>
      <c r="J254" s="553"/>
      <c r="K254" s="553"/>
      <c r="L254" s="553"/>
      <c r="M254" s="639"/>
      <c r="N254" s="553"/>
      <c r="O254" s="539"/>
      <c r="AD254" s="712" t="s">
        <v>1380</v>
      </c>
    </row>
    <row r="255" spans="1:31" ht="20.45" customHeight="1">
      <c r="A255" s="69"/>
      <c r="B255" s="620"/>
      <c r="C255" s="876" t="s">
        <v>966</v>
      </c>
      <c r="D255" s="821" t="s">
        <v>799</v>
      </c>
      <c r="E255" s="821" t="s">
        <v>800</v>
      </c>
      <c r="F255" s="620">
        <v>6179</v>
      </c>
      <c r="G255" s="646">
        <f t="shared" si="65"/>
        <v>3</v>
      </c>
      <c r="H255" s="553">
        <f>COUNTIF(Area_S1,$C255)</f>
        <v>3</v>
      </c>
      <c r="I255" s="553">
        <f>COUNTIF(Area_S2,$C255)</f>
        <v>0</v>
      </c>
      <c r="J255" s="553">
        <f>COUNTIF(Area_S3,$C255)</f>
        <v>0</v>
      </c>
      <c r="K255" s="553">
        <f>COUNTIF(Area_S4,$C255)</f>
        <v>0</v>
      </c>
      <c r="L255" s="553">
        <f>COUNTIF(Area_S5,$C255)</f>
        <v>0</v>
      </c>
      <c r="M255" s="639">
        <f>COUNTIF(Area_S6,$C255)</f>
        <v>0</v>
      </c>
      <c r="N255" s="553"/>
      <c r="O255" s="539"/>
      <c r="AD255" s="712" t="s">
        <v>1381</v>
      </c>
    </row>
    <row r="256" spans="1:31" ht="20.45" customHeight="1">
      <c r="A256" s="690"/>
      <c r="B256" s="649"/>
      <c r="C256" s="878" t="s">
        <v>970</v>
      </c>
      <c r="D256" s="823" t="s">
        <v>805</v>
      </c>
      <c r="E256" s="823" t="s">
        <v>969</v>
      </c>
      <c r="F256" s="649" t="s">
        <v>804</v>
      </c>
      <c r="G256" s="650">
        <f t="shared" si="65"/>
        <v>0</v>
      </c>
      <c r="H256" s="553">
        <f>COUNTIF(Area_S1,C256)</f>
        <v>0</v>
      </c>
      <c r="I256" s="553"/>
      <c r="J256" s="553"/>
      <c r="K256" s="553"/>
      <c r="L256" s="553"/>
      <c r="M256" s="639"/>
      <c r="N256" s="553"/>
      <c r="O256" s="539"/>
      <c r="AD256" s="688" t="s">
        <v>1382</v>
      </c>
    </row>
    <row r="257" spans="1:31" ht="28.5" customHeight="1">
      <c r="A257" s="797" t="s">
        <v>951</v>
      </c>
      <c r="B257" s="810"/>
      <c r="C257" s="902"/>
      <c r="D257" s="811" t="s">
        <v>806</v>
      </c>
      <c r="E257" s="811" t="s">
        <v>631</v>
      </c>
      <c r="F257" s="616" t="s">
        <v>695</v>
      </c>
      <c r="G257" s="617">
        <f t="shared" si="65"/>
        <v>21</v>
      </c>
      <c r="H257" s="632">
        <f>+H241+H243+H245+H246+H247+H250+H251*2</f>
        <v>13</v>
      </c>
      <c r="I257" s="618">
        <f t="shared" ref="I257:M257" si="66">+I241+I243+I245+I246+I247+I250+I251*2</f>
        <v>7</v>
      </c>
      <c r="J257" s="618">
        <f t="shared" si="66"/>
        <v>0</v>
      </c>
      <c r="K257" s="618">
        <f t="shared" si="66"/>
        <v>0</v>
      </c>
      <c r="L257" s="618">
        <f t="shared" si="66"/>
        <v>0</v>
      </c>
      <c r="M257" s="619">
        <f t="shared" si="66"/>
        <v>1</v>
      </c>
      <c r="N257" s="553"/>
      <c r="O257" s="539"/>
      <c r="AD257" s="685" t="s">
        <v>1383</v>
      </c>
    </row>
    <row r="258" spans="1:31" ht="30" customHeight="1">
      <c r="A258" s="69"/>
      <c r="B258" s="1011"/>
      <c r="C258" s="1012"/>
      <c r="D258" s="814" t="s">
        <v>3115</v>
      </c>
      <c r="E258" s="821" t="s">
        <v>3111</v>
      </c>
      <c r="F258" s="654"/>
      <c r="G258" s="646">
        <f t="shared" si="65"/>
        <v>8</v>
      </c>
      <c r="H258" s="638">
        <f>COUNTIF(Area_S1,"*-pr")</f>
        <v>2</v>
      </c>
      <c r="I258" s="553">
        <f>COUNTIF(Area_S2,"*-pr")</f>
        <v>3</v>
      </c>
      <c r="J258" s="553">
        <f>COUNTIF(Area_S3,"*-pr")</f>
        <v>2</v>
      </c>
      <c r="K258" s="553">
        <f>COUNTIF(Area_S4,"*-pr")</f>
        <v>1</v>
      </c>
      <c r="L258" s="553">
        <f>COUNTIF(Area_S5,"*-pr")</f>
        <v>0</v>
      </c>
      <c r="M258" s="639">
        <f>COUNTIF(Area_S6,"*-pr")</f>
        <v>0</v>
      </c>
      <c r="N258" s="553"/>
      <c r="O258" s="539"/>
      <c r="AD258" s="711"/>
    </row>
    <row r="259" spans="1:31" ht="27.75" customHeight="1">
      <c r="A259" s="69"/>
      <c r="B259" s="620"/>
      <c r="C259" s="876"/>
      <c r="D259" s="821" t="s">
        <v>807</v>
      </c>
      <c r="E259" s="821" t="s">
        <v>808</v>
      </c>
      <c r="F259" s="620" t="s">
        <v>695</v>
      </c>
      <c r="G259" s="646">
        <f t="shared" si="65"/>
        <v>3</v>
      </c>
      <c r="H259" s="638">
        <f>+H253*3+H254*5+H255+H256*5</f>
        <v>3</v>
      </c>
      <c r="I259" s="553">
        <f t="shared" ref="I259:M259" si="67">+I253*3+I254*5+I255+I256*5</f>
        <v>0</v>
      </c>
      <c r="J259" s="553">
        <f t="shared" si="67"/>
        <v>0</v>
      </c>
      <c r="K259" s="553">
        <f t="shared" si="67"/>
        <v>0</v>
      </c>
      <c r="L259" s="553">
        <f t="shared" si="67"/>
        <v>0</v>
      </c>
      <c r="M259" s="639">
        <f t="shared" si="67"/>
        <v>0</v>
      </c>
      <c r="N259" s="553"/>
      <c r="O259" s="539"/>
      <c r="AD259" s="712" t="s">
        <v>1384</v>
      </c>
    </row>
    <row r="260" spans="1:31" ht="20.45" customHeight="1">
      <c r="A260" s="690"/>
      <c r="B260" s="649"/>
      <c r="C260" s="878"/>
      <c r="D260" s="823" t="s">
        <v>809</v>
      </c>
      <c r="E260" s="823" t="s">
        <v>810</v>
      </c>
      <c r="F260" s="649" t="s">
        <v>695</v>
      </c>
      <c r="G260" s="650">
        <f t="shared" si="65"/>
        <v>0</v>
      </c>
      <c r="H260" s="693">
        <f t="shared" ref="H260:M260" si="68">+H248+H249</f>
        <v>0</v>
      </c>
      <c r="I260" s="651">
        <f t="shared" si="68"/>
        <v>0</v>
      </c>
      <c r="J260" s="651">
        <f t="shared" si="68"/>
        <v>0</v>
      </c>
      <c r="K260" s="651">
        <f t="shared" si="68"/>
        <v>0</v>
      </c>
      <c r="L260" s="651">
        <f t="shared" si="68"/>
        <v>0</v>
      </c>
      <c r="M260" s="652">
        <f t="shared" si="68"/>
        <v>0</v>
      </c>
      <c r="N260" s="553"/>
      <c r="O260" s="539"/>
      <c r="AD260" s="688" t="s">
        <v>1385</v>
      </c>
    </row>
    <row r="261" spans="1:31" ht="20.45" customHeight="1">
      <c r="A261" s="797" t="s">
        <v>952</v>
      </c>
      <c r="B261" s="810"/>
      <c r="C261" s="903"/>
      <c r="D261" s="824" t="s">
        <v>812</v>
      </c>
      <c r="E261" s="824" t="s">
        <v>633</v>
      </c>
      <c r="F261" s="654" t="s">
        <v>811</v>
      </c>
      <c r="G261" s="646">
        <f t="shared" si="65"/>
        <v>29</v>
      </c>
      <c r="H261" s="632">
        <f>+H241++H242+H243+H244+H245+H246+H247+H248+H249+H250+H252+H255+H251*2</f>
        <v>18</v>
      </c>
      <c r="I261" s="618">
        <f t="shared" ref="I261:M261" si="69">+I241++I242+I243+I244+I245+I246+I247+I248+I249+I250+I252+I255+I251*2</f>
        <v>9</v>
      </c>
      <c r="J261" s="618">
        <f t="shared" si="69"/>
        <v>1</v>
      </c>
      <c r="K261" s="618">
        <f t="shared" si="69"/>
        <v>0</v>
      </c>
      <c r="L261" s="618">
        <f t="shared" si="69"/>
        <v>0</v>
      </c>
      <c r="M261" s="619">
        <f t="shared" si="69"/>
        <v>1</v>
      </c>
      <c r="N261" s="553"/>
      <c r="O261" s="662"/>
      <c r="P261" s="538"/>
      <c r="Q261" s="538"/>
      <c r="R261" s="538"/>
      <c r="S261" s="538"/>
      <c r="T261" s="538"/>
      <c r="U261" s="538"/>
      <c r="V261" s="538"/>
      <c r="W261" s="538"/>
      <c r="X261" s="538"/>
      <c r="Y261" s="538"/>
      <c r="Z261" s="538"/>
      <c r="AA261" s="538"/>
      <c r="AB261" s="538"/>
      <c r="AC261" s="633"/>
      <c r="AD261" s="711" t="s">
        <v>1397</v>
      </c>
      <c r="AE261" s="538"/>
    </row>
    <row r="262" spans="1:31" s="538" customFormat="1" ht="20.45" customHeight="1">
      <c r="A262" s="745"/>
      <c r="B262" s="859"/>
      <c r="C262" s="898"/>
      <c r="D262" s="821" t="s">
        <v>814</v>
      </c>
      <c r="E262" s="821" t="s">
        <v>815</v>
      </c>
      <c r="F262" s="620" t="s">
        <v>813</v>
      </c>
      <c r="G262" s="646">
        <f t="shared" si="65"/>
        <v>0</v>
      </c>
      <c r="H262" s="638">
        <f t="shared" ref="H262:M262" si="70">+H253</f>
        <v>0</v>
      </c>
      <c r="I262" s="553">
        <f t="shared" si="70"/>
        <v>0</v>
      </c>
      <c r="J262" s="553">
        <f t="shared" si="70"/>
        <v>0</v>
      </c>
      <c r="K262" s="553">
        <f t="shared" si="70"/>
        <v>0</v>
      </c>
      <c r="L262" s="553">
        <f t="shared" si="70"/>
        <v>0</v>
      </c>
      <c r="M262" s="639">
        <f t="shared" si="70"/>
        <v>0</v>
      </c>
      <c r="N262" s="553"/>
      <c r="O262" s="539"/>
      <c r="P262" s="537"/>
      <c r="Q262" s="537"/>
      <c r="R262" s="537"/>
      <c r="S262" s="537"/>
      <c r="T262" s="537"/>
      <c r="U262" s="537"/>
      <c r="V262" s="537"/>
      <c r="W262" s="537"/>
      <c r="X262" s="537"/>
      <c r="Y262" s="537"/>
      <c r="Z262" s="537"/>
      <c r="AA262" s="537"/>
      <c r="AB262" s="537"/>
      <c r="AC262" s="536"/>
      <c r="AD262" s="712" t="s">
        <v>1398</v>
      </c>
      <c r="AE262" s="537"/>
    </row>
    <row r="263" spans="1:31" ht="20.45" customHeight="1">
      <c r="A263" s="67"/>
      <c r="B263" s="654"/>
      <c r="C263" s="879"/>
      <c r="D263" s="821" t="s">
        <v>816</v>
      </c>
      <c r="E263" s="821" t="s">
        <v>817</v>
      </c>
      <c r="F263" s="620" t="s">
        <v>813</v>
      </c>
      <c r="G263" s="646">
        <f t="shared" si="65"/>
        <v>0</v>
      </c>
      <c r="H263" s="638">
        <f t="shared" ref="H263:M263" si="71">+H254+H256</f>
        <v>0</v>
      </c>
      <c r="I263" s="553">
        <f t="shared" si="71"/>
        <v>0</v>
      </c>
      <c r="J263" s="553">
        <f t="shared" si="71"/>
        <v>0</v>
      </c>
      <c r="K263" s="553">
        <f t="shared" si="71"/>
        <v>0</v>
      </c>
      <c r="L263" s="553">
        <f t="shared" si="71"/>
        <v>0</v>
      </c>
      <c r="M263" s="639">
        <f t="shared" si="71"/>
        <v>0</v>
      </c>
      <c r="N263" s="553"/>
      <c r="O263" s="539"/>
      <c r="AD263" s="712" t="s">
        <v>1399</v>
      </c>
    </row>
    <row r="264" spans="1:31" ht="20.45" customHeight="1">
      <c r="A264" s="792" t="s">
        <v>953</v>
      </c>
      <c r="B264" s="620"/>
      <c r="C264" s="876" t="s">
        <v>1590</v>
      </c>
      <c r="D264" s="821" t="s">
        <v>818</v>
      </c>
      <c r="E264" s="821" t="s">
        <v>121</v>
      </c>
      <c r="F264" s="620">
        <v>6684</v>
      </c>
      <c r="G264" s="646">
        <f t="shared" si="65"/>
        <v>7</v>
      </c>
      <c r="H264" s="638">
        <f>+COUNTIF(Area_S1,$C$264)</f>
        <v>4</v>
      </c>
      <c r="I264" s="553">
        <f>COUNTIF(Area_S2,$C$264)</f>
        <v>3</v>
      </c>
      <c r="J264" s="553">
        <f>COUNTIF(Area_S3,$C$264)</f>
        <v>0</v>
      </c>
      <c r="K264" s="553">
        <f>COUNTIF(Area_S4,$C$264)</f>
        <v>0</v>
      </c>
      <c r="L264" s="553">
        <f>COUNTIF(Area_S5,$C$264)</f>
        <v>0</v>
      </c>
      <c r="M264" s="639">
        <f>COUNTIF(Area_S6,$C$264)</f>
        <v>0</v>
      </c>
      <c r="N264" s="553"/>
      <c r="O264" s="539"/>
      <c r="AD264" s="712" t="s">
        <v>1368</v>
      </c>
    </row>
    <row r="265" spans="1:31" ht="20.45" customHeight="1">
      <c r="A265" s="67"/>
      <c r="B265" s="654"/>
      <c r="C265" s="879" t="s">
        <v>1593</v>
      </c>
      <c r="D265" s="821" t="s">
        <v>819</v>
      </c>
      <c r="E265" s="821" t="s">
        <v>820</v>
      </c>
      <c r="F265" s="620"/>
      <c r="G265" s="646">
        <f t="shared" si="65"/>
        <v>14</v>
      </c>
      <c r="H265" s="638">
        <f>COUNTIF(Area_S1,$C265)</f>
        <v>7</v>
      </c>
      <c r="I265" s="553">
        <f>COUNTIF(Area_S2,$C265)</f>
        <v>7</v>
      </c>
      <c r="J265" s="553">
        <f>COUNTIF(Area_S3,$C265)</f>
        <v>0</v>
      </c>
      <c r="K265" s="553">
        <f>COUNTIF(Area_S4,$C265)</f>
        <v>0</v>
      </c>
      <c r="L265" s="553">
        <f>COUNTIF(Area_S5,$C265)</f>
        <v>0</v>
      </c>
      <c r="M265" s="639">
        <f>COUNTIF(Area_S6,$C265)</f>
        <v>0</v>
      </c>
      <c r="N265" s="553"/>
      <c r="O265" s="539"/>
      <c r="AD265" s="712" t="s">
        <v>1369</v>
      </c>
    </row>
    <row r="266" spans="1:31" ht="20.45" customHeight="1">
      <c r="A266" s="690"/>
      <c r="B266" s="649"/>
      <c r="C266" s="878" t="s">
        <v>3002</v>
      </c>
      <c r="D266" s="821" t="s">
        <v>3095</v>
      </c>
      <c r="E266" s="823" t="s">
        <v>3010</v>
      </c>
      <c r="F266" s="649"/>
      <c r="G266" s="650">
        <f t="shared" ref="G266" si="72">SUM(H266:M266)</f>
        <v>7</v>
      </c>
      <c r="H266" s="693">
        <f>COUNTIF(Area_S1,$C266)</f>
        <v>2</v>
      </c>
      <c r="I266" s="651">
        <f>COUNTIF(Area_S2,$C266)</f>
        <v>2</v>
      </c>
      <c r="J266" s="651">
        <f>COUNTIF(Area_S3,$C266)</f>
        <v>1</v>
      </c>
      <c r="K266" s="651">
        <f>COUNTIF(Area_S4,$C266)</f>
        <v>1</v>
      </c>
      <c r="L266" s="651">
        <f>COUNTIF(Area_S5,$C266)</f>
        <v>0</v>
      </c>
      <c r="M266" s="652">
        <f>COUNTIF(Area_S6,$C266)</f>
        <v>1</v>
      </c>
      <c r="N266" s="553"/>
      <c r="O266" s="539"/>
      <c r="AD266" s="688"/>
    </row>
    <row r="267" spans="1:31" ht="20.45" customHeight="1">
      <c r="A267" s="750" t="s">
        <v>872</v>
      </c>
      <c r="B267" s="616">
        <v>95</v>
      </c>
      <c r="C267" s="871"/>
      <c r="D267" s="811" t="s">
        <v>822</v>
      </c>
      <c r="E267" s="811" t="s">
        <v>112</v>
      </c>
      <c r="F267" s="616" t="s">
        <v>821</v>
      </c>
      <c r="G267" s="617">
        <f t="shared" si="65"/>
        <v>53</v>
      </c>
      <c r="H267" s="618">
        <f>+ROUND(('HR Track 1'!BM9)/0.45,0)</f>
        <v>53</v>
      </c>
      <c r="I267" s="618"/>
      <c r="J267" s="618"/>
      <c r="K267" s="618"/>
      <c r="L267" s="618"/>
      <c r="M267" s="619"/>
      <c r="N267" s="553"/>
      <c r="O267" s="539"/>
      <c r="AD267" s="685" t="s">
        <v>1386</v>
      </c>
    </row>
    <row r="268" spans="1:31" ht="20.45" customHeight="1">
      <c r="A268" s="69"/>
      <c r="B268" s="620">
        <v>95</v>
      </c>
      <c r="C268" s="876"/>
      <c r="D268" s="821" t="s">
        <v>824</v>
      </c>
      <c r="E268" s="821" t="s">
        <v>113</v>
      </c>
      <c r="F268" s="620" t="s">
        <v>823</v>
      </c>
      <c r="G268" s="646">
        <f t="shared" si="65"/>
        <v>212</v>
      </c>
      <c r="H268" s="553">
        <f>2*H267</f>
        <v>106</v>
      </c>
      <c r="I268" s="553">
        <f>+H268</f>
        <v>106</v>
      </c>
      <c r="J268" s="553"/>
      <c r="K268" s="553"/>
      <c r="L268" s="553"/>
      <c r="M268" s="639"/>
      <c r="N268" s="553"/>
      <c r="O268" s="539"/>
      <c r="AD268" s="712" t="s">
        <v>1387</v>
      </c>
    </row>
    <row r="269" spans="1:31" ht="20.45" customHeight="1">
      <c r="A269" s="69"/>
      <c r="B269" s="620" t="s">
        <v>2702</v>
      </c>
      <c r="C269" s="904" t="s">
        <v>972</v>
      </c>
      <c r="D269" s="821" t="s">
        <v>826</v>
      </c>
      <c r="E269" s="821" t="s">
        <v>638</v>
      </c>
      <c r="F269" s="620" t="s">
        <v>825</v>
      </c>
      <c r="G269" s="646">
        <f t="shared" si="65"/>
        <v>163</v>
      </c>
      <c r="H269" s="553">
        <f>COUNTIF(Area_v1,"S1T")+COUNTIF(Area_v1,"S2T")</f>
        <v>80</v>
      </c>
      <c r="I269" s="553">
        <f>COUNTIF(Area_v2,"S1T")+COUNTIF(Area_v2,"S2T")</f>
        <v>83</v>
      </c>
      <c r="J269" s="553">
        <f>COUNTIF(Area_v3,"S1T")+COUNTIF(Area_v3,"S2T")</f>
        <v>0</v>
      </c>
      <c r="K269" s="553">
        <f>COUNTIF(Area_v4,"S1T")+COUNTIF(Area_v4,"S2T")</f>
        <v>0</v>
      </c>
      <c r="L269" s="553">
        <f>COUNTIF(Area_v5,"S1T")+COUNTIF(Area_v5,"S2T")</f>
        <v>0</v>
      </c>
      <c r="M269" s="639">
        <f>COUNTIF(Area_v6,"S1T")+COUNTIF(Area_v6,"S2T")</f>
        <v>0</v>
      </c>
      <c r="N269" s="553"/>
      <c r="O269" s="539"/>
      <c r="AD269" s="712" t="s">
        <v>1388</v>
      </c>
    </row>
    <row r="270" spans="1:31" ht="20.45" customHeight="1">
      <c r="A270" s="69"/>
      <c r="B270" s="620">
        <v>70</v>
      </c>
      <c r="C270" s="904" t="s">
        <v>912</v>
      </c>
      <c r="D270" s="821" t="s">
        <v>827</v>
      </c>
      <c r="E270" s="821" t="s">
        <v>639</v>
      </c>
      <c r="F270" s="620" t="s">
        <v>695</v>
      </c>
      <c r="G270" s="646">
        <f t="shared" si="65"/>
        <v>20</v>
      </c>
      <c r="H270" s="553">
        <f>COUNTIF(Area_v1,$C270)</f>
        <v>10</v>
      </c>
      <c r="I270" s="553">
        <f>COUNTIF(Area_v2,$C270)</f>
        <v>10</v>
      </c>
      <c r="J270" s="553">
        <f>COUNTIF(Area_v3,$C270)</f>
        <v>0</v>
      </c>
      <c r="K270" s="553">
        <f>COUNTIF(Area_v4,$C270)</f>
        <v>0</v>
      </c>
      <c r="L270" s="553">
        <f>COUNTIF(Area_v5,$C270)</f>
        <v>0</v>
      </c>
      <c r="M270" s="639">
        <f>COUNTIF(Area_v6,$C270)</f>
        <v>0</v>
      </c>
      <c r="N270" s="553"/>
      <c r="O270" s="539"/>
      <c r="AD270" s="712" t="s">
        <v>1389</v>
      </c>
    </row>
    <row r="271" spans="1:31" ht="34.9" customHeight="1">
      <c r="A271" s="69"/>
      <c r="B271" s="620">
        <v>70</v>
      </c>
      <c r="C271" s="904" t="s">
        <v>911</v>
      </c>
      <c r="D271" s="821" t="s">
        <v>828</v>
      </c>
      <c r="E271" s="821" t="s">
        <v>640</v>
      </c>
      <c r="F271" s="620" t="s">
        <v>695</v>
      </c>
      <c r="G271" s="646">
        <f t="shared" si="65"/>
        <v>6</v>
      </c>
      <c r="H271" s="553">
        <f>COUNTIF(Area_v1,$C271)</f>
        <v>4</v>
      </c>
      <c r="I271" s="553">
        <f>COUNTIF(Area_v2,$C271)</f>
        <v>2</v>
      </c>
      <c r="J271" s="553">
        <f>COUNTIF(Area_v3,$C271)</f>
        <v>0</v>
      </c>
      <c r="K271" s="553">
        <f>COUNTIF(Area_v4,$C271)</f>
        <v>0</v>
      </c>
      <c r="L271" s="553">
        <f>COUNTIF(Area_v5,$C271)</f>
        <v>0</v>
      </c>
      <c r="M271" s="639">
        <f>COUNTIF(Area_v6,$C271)</f>
        <v>0</v>
      </c>
      <c r="N271" s="553"/>
      <c r="O271" s="539"/>
      <c r="AD271" s="712" t="s">
        <v>1390</v>
      </c>
    </row>
    <row r="272" spans="1:31" ht="34.9" customHeight="1">
      <c r="A272" s="69"/>
      <c r="B272" s="620">
        <v>70</v>
      </c>
      <c r="C272" s="904" t="s">
        <v>956</v>
      </c>
      <c r="D272" s="821" t="s">
        <v>829</v>
      </c>
      <c r="E272" s="821" t="s">
        <v>641</v>
      </c>
      <c r="F272" s="620" t="s">
        <v>695</v>
      </c>
      <c r="G272" s="646">
        <f t="shared" si="65"/>
        <v>12</v>
      </c>
      <c r="H272" s="553">
        <f>COUNTIF(Area_v1,$C272)</f>
        <v>6</v>
      </c>
      <c r="I272" s="553">
        <f>COUNTIF(Area_v2,$C272)</f>
        <v>6</v>
      </c>
      <c r="J272" s="553">
        <f>COUNTIF(Area_v3,$C272)</f>
        <v>0</v>
      </c>
      <c r="K272" s="553">
        <f>COUNTIF(Area_v4,$C272)</f>
        <v>0</v>
      </c>
      <c r="L272" s="553">
        <f>COUNTIF(Area_v5,$C272)</f>
        <v>0</v>
      </c>
      <c r="M272" s="639">
        <f>COUNTIF(Area_v6,$C272)</f>
        <v>0</v>
      </c>
      <c r="N272" s="553"/>
      <c r="O272" s="539"/>
      <c r="AD272" s="712" t="s">
        <v>1391</v>
      </c>
    </row>
    <row r="273" spans="1:30" ht="20.45" customHeight="1">
      <c r="A273" s="69"/>
      <c r="B273" s="620">
        <v>70</v>
      </c>
      <c r="C273" s="876"/>
      <c r="D273" s="821" t="s">
        <v>830</v>
      </c>
      <c r="E273" s="821" t="s">
        <v>642</v>
      </c>
      <c r="F273" s="620" t="s">
        <v>695</v>
      </c>
      <c r="G273" s="646">
        <f t="shared" si="65"/>
        <v>163</v>
      </c>
      <c r="H273" s="553">
        <f>+H269</f>
        <v>80</v>
      </c>
      <c r="I273" s="553">
        <f>+I269</f>
        <v>83</v>
      </c>
      <c r="J273" s="553">
        <f t="shared" ref="J273:M273" si="73">+J269</f>
        <v>0</v>
      </c>
      <c r="K273" s="553">
        <f t="shared" si="73"/>
        <v>0</v>
      </c>
      <c r="L273" s="553">
        <f t="shared" si="73"/>
        <v>0</v>
      </c>
      <c r="M273" s="639">
        <f t="shared" si="73"/>
        <v>0</v>
      </c>
      <c r="N273" s="553"/>
      <c r="O273" s="539"/>
      <c r="AD273" s="712" t="s">
        <v>1392</v>
      </c>
    </row>
    <row r="274" spans="1:30" ht="20.45" customHeight="1">
      <c r="A274" s="69"/>
      <c r="B274" s="620">
        <v>95</v>
      </c>
      <c r="C274" s="876"/>
      <c r="D274" s="821" t="s">
        <v>832</v>
      </c>
      <c r="E274" s="821" t="s">
        <v>114</v>
      </c>
      <c r="F274" s="620" t="s">
        <v>831</v>
      </c>
      <c r="G274" s="646">
        <f t="shared" si="65"/>
        <v>20</v>
      </c>
      <c r="H274" s="553">
        <f>ROUND('HR Track 1'!BM21/0.45,0)*2</f>
        <v>20</v>
      </c>
      <c r="I274" s="553"/>
      <c r="J274" s="553"/>
      <c r="K274" s="553"/>
      <c r="L274" s="553"/>
      <c r="M274" s="639"/>
      <c r="N274" s="553"/>
      <c r="O274" s="539"/>
      <c r="AD274" s="732" t="s">
        <v>1393</v>
      </c>
    </row>
    <row r="275" spans="1:30" ht="34.9" customHeight="1">
      <c r="A275" s="69"/>
      <c r="B275" s="620">
        <v>70</v>
      </c>
      <c r="C275" s="876" t="s">
        <v>1616</v>
      </c>
      <c r="D275" s="821" t="s">
        <v>833</v>
      </c>
      <c r="E275" s="821" t="s">
        <v>116</v>
      </c>
      <c r="F275" s="620" t="s">
        <v>695</v>
      </c>
      <c r="G275" s="646">
        <f t="shared" si="65"/>
        <v>79</v>
      </c>
      <c r="H275" s="553">
        <f>COUNTIF(Area_v1,$C275)</f>
        <v>40</v>
      </c>
      <c r="I275" s="553">
        <f>COUNTIF(Area_v2,$C275)</f>
        <v>39</v>
      </c>
      <c r="J275" s="553">
        <f>COUNTIF(Area_v3,$C275)</f>
        <v>0</v>
      </c>
      <c r="K275" s="553">
        <f>COUNTIF(Area_v4,$C275)</f>
        <v>0</v>
      </c>
      <c r="L275" s="553">
        <f>COUNTIF(Area_v5,$C275)</f>
        <v>0</v>
      </c>
      <c r="M275" s="639">
        <f>COUNTIF(Area_v6,$C275)</f>
        <v>0</v>
      </c>
      <c r="N275" s="553"/>
      <c r="O275" s="539"/>
      <c r="AD275" s="712" t="s">
        <v>1395</v>
      </c>
    </row>
    <row r="276" spans="1:30" ht="20.45" customHeight="1">
      <c r="A276" s="753"/>
      <c r="B276" s="852">
        <v>150</v>
      </c>
      <c r="C276" s="901"/>
      <c r="D276" s="851" t="s">
        <v>835</v>
      </c>
      <c r="E276" s="851" t="s">
        <v>117</v>
      </c>
      <c r="F276" s="852" t="s">
        <v>834</v>
      </c>
      <c r="G276" s="729">
        <f t="shared" si="65"/>
        <v>4</v>
      </c>
      <c r="H276" s="730">
        <v>2</v>
      </c>
      <c r="I276" s="730">
        <v>2</v>
      </c>
      <c r="J276" s="730"/>
      <c r="K276" s="730"/>
      <c r="L276" s="730"/>
      <c r="M276" s="731"/>
      <c r="N276" s="553"/>
      <c r="O276" s="539"/>
      <c r="AD276" s="732" t="s">
        <v>1394</v>
      </c>
    </row>
    <row r="277" spans="1:30" ht="20.45" customHeight="1">
      <c r="A277" s="753"/>
      <c r="B277" s="852">
        <v>95</v>
      </c>
      <c r="C277" s="901"/>
      <c r="D277" s="851" t="s">
        <v>836</v>
      </c>
      <c r="E277" s="851" t="s">
        <v>118</v>
      </c>
      <c r="F277" s="852" t="s">
        <v>695</v>
      </c>
      <c r="G277" s="729">
        <f t="shared" si="65"/>
        <v>0</v>
      </c>
      <c r="H277" s="730"/>
      <c r="I277" s="730"/>
      <c r="J277" s="730"/>
      <c r="K277" s="730"/>
      <c r="L277" s="730"/>
      <c r="M277" s="731"/>
      <c r="N277" s="553"/>
      <c r="O277" s="539"/>
      <c r="AD277" s="732" t="s">
        <v>1396</v>
      </c>
    </row>
    <row r="278" spans="1:30" ht="20.45" customHeight="1">
      <c r="A278" s="753"/>
      <c r="B278" s="852"/>
      <c r="C278" s="901"/>
      <c r="D278" s="851" t="s">
        <v>643</v>
      </c>
      <c r="E278" s="851" t="s">
        <v>837</v>
      </c>
      <c r="F278" s="852" t="s">
        <v>695</v>
      </c>
      <c r="G278" s="729">
        <f t="shared" si="65"/>
        <v>0</v>
      </c>
      <c r="H278" s="730"/>
      <c r="I278" s="730"/>
      <c r="J278" s="730"/>
      <c r="K278" s="730"/>
      <c r="L278" s="730"/>
      <c r="M278" s="731"/>
      <c r="N278" s="553"/>
      <c r="O278" s="539"/>
      <c r="AD278" s="732" t="s">
        <v>1400</v>
      </c>
    </row>
    <row r="279" spans="1:30" ht="20.45" customHeight="1">
      <c r="A279" s="753"/>
      <c r="B279" s="852"/>
      <c r="C279" s="901"/>
      <c r="D279" s="851" t="s">
        <v>838</v>
      </c>
      <c r="E279" s="851" t="s">
        <v>839</v>
      </c>
      <c r="F279" s="852" t="s">
        <v>695</v>
      </c>
      <c r="G279" s="729">
        <f t="shared" si="65"/>
        <v>0</v>
      </c>
      <c r="H279" s="730"/>
      <c r="I279" s="730"/>
      <c r="J279" s="730"/>
      <c r="K279" s="730"/>
      <c r="L279" s="730"/>
      <c r="M279" s="731"/>
      <c r="N279" s="553"/>
      <c r="O279" s="539"/>
      <c r="AD279" s="732" t="s">
        <v>1401</v>
      </c>
    </row>
    <row r="280" spans="1:30" ht="20.45" customHeight="1">
      <c r="A280" s="799"/>
      <c r="B280" s="843"/>
      <c r="C280" s="876" t="s">
        <v>1616</v>
      </c>
      <c r="D280" s="821" t="s">
        <v>840</v>
      </c>
      <c r="E280" s="821" t="s">
        <v>644</v>
      </c>
      <c r="F280" s="620" t="s">
        <v>695</v>
      </c>
      <c r="G280" s="646">
        <f t="shared" si="65"/>
        <v>79</v>
      </c>
      <c r="H280" s="553">
        <f>COUNTIF(Area_v1,$C280)</f>
        <v>40</v>
      </c>
      <c r="I280" s="553">
        <f>COUNTIF(Area_v2,$C280)</f>
        <v>39</v>
      </c>
      <c r="J280" s="553">
        <f>COUNTIF(Area_v3,$C280)</f>
        <v>0</v>
      </c>
      <c r="K280" s="553">
        <f>COUNTIF(Area_v4,$C280)</f>
        <v>0</v>
      </c>
      <c r="L280" s="553">
        <f>COUNTIF(Area_v5,$C280)</f>
        <v>0</v>
      </c>
      <c r="M280" s="639">
        <f>COUNTIF(Area_v6,$C280)</f>
        <v>0</v>
      </c>
      <c r="N280" s="553"/>
      <c r="O280" s="539"/>
      <c r="AD280" s="712" t="s">
        <v>1402</v>
      </c>
    </row>
    <row r="281" spans="1:30" ht="20.45" customHeight="1">
      <c r="A281" s="753"/>
      <c r="B281" s="852"/>
      <c r="C281" s="901"/>
      <c r="D281" s="851" t="s">
        <v>842</v>
      </c>
      <c r="E281" s="851" t="s">
        <v>200</v>
      </c>
      <c r="F281" s="852" t="s">
        <v>841</v>
      </c>
      <c r="G281" s="729">
        <f t="shared" si="65"/>
        <v>0</v>
      </c>
      <c r="H281" s="730"/>
      <c r="I281" s="730"/>
      <c r="J281" s="730"/>
      <c r="K281" s="730"/>
      <c r="L281" s="730"/>
      <c r="M281" s="731"/>
      <c r="N281" s="553"/>
      <c r="O281" s="539"/>
      <c r="AD281" s="732" t="s">
        <v>1403</v>
      </c>
    </row>
    <row r="282" spans="1:30" ht="20.45" customHeight="1">
      <c r="A282" s="753"/>
      <c r="B282" s="852"/>
      <c r="C282" s="901"/>
      <c r="D282" s="851" t="s">
        <v>843</v>
      </c>
      <c r="E282" s="851" t="s">
        <v>101</v>
      </c>
      <c r="F282" s="852" t="s">
        <v>695</v>
      </c>
      <c r="G282" s="729">
        <f t="shared" si="65"/>
        <v>0</v>
      </c>
      <c r="H282" s="730"/>
      <c r="I282" s="730"/>
      <c r="J282" s="730"/>
      <c r="K282" s="730"/>
      <c r="L282" s="730"/>
      <c r="M282" s="731"/>
      <c r="N282" s="553"/>
      <c r="O282" s="539"/>
      <c r="AD282" s="732" t="s">
        <v>1404</v>
      </c>
    </row>
    <row r="283" spans="1:30" ht="20.45" customHeight="1">
      <c r="A283" s="750" t="s">
        <v>948</v>
      </c>
      <c r="B283" s="852"/>
      <c r="C283" s="901"/>
      <c r="D283" s="851" t="s">
        <v>844</v>
      </c>
      <c r="E283" s="851" t="s">
        <v>845</v>
      </c>
      <c r="F283" s="852" t="s">
        <v>695</v>
      </c>
      <c r="G283" s="729">
        <f t="shared" si="65"/>
        <v>0</v>
      </c>
      <c r="H283" s="730"/>
      <c r="I283" s="730"/>
      <c r="J283" s="730"/>
      <c r="K283" s="730"/>
      <c r="L283" s="730"/>
      <c r="M283" s="731"/>
      <c r="N283" s="553"/>
      <c r="O283" s="539"/>
      <c r="AD283" s="732" t="s">
        <v>1407</v>
      </c>
    </row>
    <row r="284" spans="1:30" ht="20.45" customHeight="1">
      <c r="A284" s="753"/>
      <c r="B284" s="852"/>
      <c r="C284" s="901"/>
      <c r="D284" s="851" t="s">
        <v>846</v>
      </c>
      <c r="E284" s="851" t="s">
        <v>847</v>
      </c>
      <c r="F284" s="852" t="s">
        <v>695</v>
      </c>
      <c r="G284" s="729">
        <f t="shared" si="65"/>
        <v>0</v>
      </c>
      <c r="H284" s="730"/>
      <c r="I284" s="730"/>
      <c r="J284" s="730"/>
      <c r="K284" s="730"/>
      <c r="L284" s="730"/>
      <c r="M284" s="731"/>
      <c r="N284" s="553"/>
      <c r="O284" s="539"/>
      <c r="AD284" s="732" t="s">
        <v>1405</v>
      </c>
    </row>
    <row r="285" spans="1:30" ht="20.45" customHeight="1">
      <c r="A285" s="753"/>
      <c r="B285" s="852"/>
      <c r="C285" s="901"/>
      <c r="D285" s="851" t="s">
        <v>848</v>
      </c>
      <c r="E285" s="851" t="s">
        <v>849</v>
      </c>
      <c r="F285" s="852" t="s">
        <v>695</v>
      </c>
      <c r="G285" s="729">
        <f t="shared" si="65"/>
        <v>0</v>
      </c>
      <c r="H285" s="730"/>
      <c r="I285" s="730"/>
      <c r="J285" s="730"/>
      <c r="K285" s="730"/>
      <c r="L285" s="730"/>
      <c r="M285" s="731"/>
      <c r="N285" s="553"/>
      <c r="O285" s="539"/>
      <c r="AD285" s="732" t="s">
        <v>1406</v>
      </c>
    </row>
    <row r="286" spans="1:30" ht="20.45" customHeight="1">
      <c r="A286" s="753"/>
      <c r="B286" s="852"/>
      <c r="C286" s="901"/>
      <c r="D286" s="851" t="s">
        <v>850</v>
      </c>
      <c r="E286" s="851" t="s">
        <v>851</v>
      </c>
      <c r="F286" s="852" t="s">
        <v>695</v>
      </c>
      <c r="G286" s="729">
        <f t="shared" si="65"/>
        <v>0</v>
      </c>
      <c r="H286" s="730"/>
      <c r="I286" s="730"/>
      <c r="J286" s="730"/>
      <c r="K286" s="730"/>
      <c r="L286" s="730"/>
      <c r="M286" s="731"/>
      <c r="N286" s="553"/>
      <c r="O286" s="539"/>
      <c r="AD286" s="732" t="s">
        <v>1408</v>
      </c>
    </row>
    <row r="287" spans="1:30" ht="20.45" customHeight="1">
      <c r="A287" s="750" t="s">
        <v>949</v>
      </c>
      <c r="B287" s="860"/>
      <c r="C287" s="905"/>
      <c r="D287" s="861" t="s">
        <v>852</v>
      </c>
      <c r="E287" s="861" t="s">
        <v>947</v>
      </c>
      <c r="F287" s="860" t="s">
        <v>695</v>
      </c>
      <c r="G287" s="746">
        <f t="shared" si="65"/>
        <v>0</v>
      </c>
      <c r="H287" s="747"/>
      <c r="I287" s="747"/>
      <c r="J287" s="747"/>
      <c r="K287" s="747"/>
      <c r="L287" s="747"/>
      <c r="M287" s="748"/>
      <c r="N287" s="553"/>
      <c r="O287" s="539"/>
      <c r="AD287" s="749" t="s">
        <v>1409</v>
      </c>
    </row>
    <row r="288" spans="1:30" ht="20.45" customHeight="1">
      <c r="A288" s="750" t="s">
        <v>868</v>
      </c>
      <c r="B288" s="862" t="s">
        <v>877</v>
      </c>
      <c r="C288" s="906"/>
      <c r="D288" s="863" t="s">
        <v>853</v>
      </c>
      <c r="E288" s="863" t="s">
        <v>854</v>
      </c>
      <c r="F288" s="864" t="s">
        <v>695</v>
      </c>
      <c r="G288" s="729">
        <f t="shared" si="65"/>
        <v>0</v>
      </c>
      <c r="H288" s="751"/>
      <c r="I288" s="730"/>
      <c r="J288" s="730"/>
      <c r="K288" s="730"/>
      <c r="L288" s="730"/>
      <c r="M288" s="731"/>
      <c r="N288" s="553"/>
      <c r="O288" s="539"/>
      <c r="AD288" s="752" t="s">
        <v>1410</v>
      </c>
    </row>
    <row r="289" spans="1:30" ht="20.45" customHeight="1">
      <c r="A289" s="753"/>
      <c r="B289" s="852"/>
      <c r="C289" s="901"/>
      <c r="D289" s="851" t="s">
        <v>855</v>
      </c>
      <c r="E289" s="851" t="s">
        <v>856</v>
      </c>
      <c r="F289" s="852" t="s">
        <v>695</v>
      </c>
      <c r="G289" s="729">
        <f t="shared" si="65"/>
        <v>0</v>
      </c>
      <c r="H289" s="751"/>
      <c r="I289" s="730"/>
      <c r="J289" s="730"/>
      <c r="K289" s="730"/>
      <c r="L289" s="730"/>
      <c r="M289" s="731"/>
      <c r="N289" s="553"/>
      <c r="O289" s="539"/>
      <c r="AD289" s="754" t="s">
        <v>1411</v>
      </c>
    </row>
    <row r="290" spans="1:30" ht="20.45" customHeight="1">
      <c r="A290" s="753"/>
      <c r="B290" s="852"/>
      <c r="C290" s="901"/>
      <c r="D290" s="851" t="s">
        <v>857</v>
      </c>
      <c r="E290" s="851" t="s">
        <v>858</v>
      </c>
      <c r="F290" s="852" t="s">
        <v>695</v>
      </c>
      <c r="G290" s="729">
        <f t="shared" si="65"/>
        <v>0</v>
      </c>
      <c r="H290" s="751"/>
      <c r="I290" s="730"/>
      <c r="J290" s="730"/>
      <c r="K290" s="730"/>
      <c r="L290" s="730"/>
      <c r="M290" s="731"/>
      <c r="N290" s="553"/>
      <c r="O290" s="539"/>
      <c r="AD290" s="754" t="s">
        <v>1414</v>
      </c>
    </row>
    <row r="291" spans="1:30" ht="20.45" customHeight="1">
      <c r="A291" s="753"/>
      <c r="B291" s="852"/>
      <c r="C291" s="901"/>
      <c r="D291" s="851" t="s">
        <v>859</v>
      </c>
      <c r="E291" s="851" t="s">
        <v>860</v>
      </c>
      <c r="F291" s="852" t="s">
        <v>695</v>
      </c>
      <c r="G291" s="729">
        <f t="shared" si="65"/>
        <v>0</v>
      </c>
      <c r="H291" s="751"/>
      <c r="I291" s="730"/>
      <c r="J291" s="730"/>
      <c r="K291" s="730"/>
      <c r="L291" s="730"/>
      <c r="M291" s="731"/>
      <c r="N291" s="553"/>
      <c r="O291" s="539"/>
      <c r="AD291" s="754" t="s">
        <v>1412</v>
      </c>
    </row>
    <row r="292" spans="1:30" ht="20.45" customHeight="1">
      <c r="A292" s="753"/>
      <c r="B292" s="852"/>
      <c r="C292" s="901"/>
      <c r="D292" s="851" t="s">
        <v>861</v>
      </c>
      <c r="E292" s="851" t="s">
        <v>862</v>
      </c>
      <c r="F292" s="852" t="s">
        <v>695</v>
      </c>
      <c r="G292" s="729">
        <f t="shared" si="65"/>
        <v>0</v>
      </c>
      <c r="H292" s="751"/>
      <c r="I292" s="730"/>
      <c r="J292" s="730"/>
      <c r="K292" s="730"/>
      <c r="L292" s="730"/>
      <c r="M292" s="731"/>
      <c r="N292" s="553"/>
      <c r="O292" s="539"/>
      <c r="AD292" s="754" t="s">
        <v>1413</v>
      </c>
    </row>
    <row r="293" spans="1:30" ht="20.45" customHeight="1">
      <c r="A293" s="755"/>
      <c r="B293" s="854"/>
      <c r="C293" s="899"/>
      <c r="D293" s="855" t="s">
        <v>863</v>
      </c>
      <c r="E293" s="855" t="s">
        <v>864</v>
      </c>
      <c r="F293" s="854" t="s">
        <v>695</v>
      </c>
      <c r="G293" s="733">
        <f t="shared" si="65"/>
        <v>0</v>
      </c>
      <c r="H293" s="756"/>
      <c r="I293" s="734"/>
      <c r="J293" s="734"/>
      <c r="K293" s="734"/>
      <c r="L293" s="734"/>
      <c r="M293" s="735"/>
      <c r="N293" s="553"/>
      <c r="O293" s="539"/>
      <c r="AD293" s="757" t="s">
        <v>1415</v>
      </c>
    </row>
    <row r="294" spans="1:30" ht="20.45" customHeight="1">
      <c r="A294" s="543"/>
      <c r="B294" s="553"/>
      <c r="C294" s="532"/>
      <c r="D294" s="532"/>
      <c r="E294" s="532"/>
      <c r="F294" s="553"/>
      <c r="G294" s="543"/>
      <c r="H294" s="553"/>
      <c r="I294" s="553"/>
      <c r="J294" s="553"/>
      <c r="K294" s="553"/>
      <c r="L294" s="553"/>
      <c r="M294" s="553"/>
      <c r="N294" s="553"/>
      <c r="O294" s="539"/>
      <c r="AD294" s="758"/>
    </row>
    <row r="295" spans="1:30" ht="19.899999999999999" customHeight="1">
      <c r="A295" s="543"/>
      <c r="B295" s="553"/>
      <c r="C295" s="532"/>
      <c r="D295" s="532"/>
      <c r="E295" s="532"/>
      <c r="F295" s="553"/>
      <c r="G295" s="543"/>
      <c r="H295" s="553"/>
      <c r="I295" s="553"/>
      <c r="J295" s="553"/>
      <c r="K295" s="553"/>
      <c r="L295" s="553"/>
      <c r="M295" s="553"/>
      <c r="N295" s="553"/>
      <c r="O295" s="539"/>
      <c r="AD295" s="758"/>
    </row>
    <row r="296" spans="1:30" ht="19.899999999999999" customHeight="1">
      <c r="C296" s="533"/>
      <c r="D296" s="532"/>
      <c r="E296" s="532"/>
      <c r="O296" s="539"/>
      <c r="AD296" s="758"/>
    </row>
    <row r="297" spans="1:30" ht="19.899999999999999" customHeight="1">
      <c r="C297" s="533"/>
      <c r="D297" s="532"/>
      <c r="E297" s="532"/>
      <c r="H297" s="759"/>
      <c r="O297" s="539"/>
      <c r="AD297" s="758"/>
    </row>
    <row r="298" spans="1:30" ht="19.899999999999999" customHeight="1">
      <c r="C298" s="533"/>
      <c r="D298" s="532"/>
      <c r="E298" s="532"/>
      <c r="O298" s="539"/>
      <c r="AD298" s="758"/>
    </row>
    <row r="299" spans="1:30" ht="19.899999999999999" customHeight="1">
      <c r="C299" s="533"/>
      <c r="D299" s="532"/>
      <c r="E299" s="532"/>
      <c r="O299" s="539"/>
      <c r="AD299" s="758"/>
    </row>
    <row r="300" spans="1:30" ht="19.899999999999999" customHeight="1">
      <c r="C300" s="533"/>
      <c r="D300" s="532"/>
      <c r="E300" s="532"/>
      <c r="O300" s="539"/>
      <c r="AD300" s="758"/>
    </row>
    <row r="301" spans="1:30" ht="19.899999999999999" customHeight="1">
      <c r="C301" s="533"/>
      <c r="D301" s="532"/>
      <c r="E301" s="532"/>
      <c r="O301" s="539"/>
      <c r="AD301" s="758"/>
    </row>
    <row r="302" spans="1:30" ht="19.899999999999999" customHeight="1">
      <c r="C302" s="533"/>
      <c r="D302" s="532"/>
      <c r="E302" s="532"/>
      <c r="O302" s="539"/>
      <c r="AD302" s="758"/>
    </row>
    <row r="303" spans="1:30" ht="19.899999999999999" customHeight="1">
      <c r="C303" s="533"/>
      <c r="D303" s="532"/>
      <c r="E303" s="532"/>
      <c r="O303" s="539"/>
      <c r="AD303" s="758"/>
    </row>
    <row r="304" spans="1:30" ht="19.899999999999999" customHeight="1">
      <c r="C304" s="533"/>
      <c r="D304" s="532"/>
      <c r="E304" s="532"/>
      <c r="O304" s="539"/>
      <c r="AD304" s="758"/>
    </row>
    <row r="305" spans="3:30" ht="19.899999999999999" customHeight="1">
      <c r="C305" s="533"/>
      <c r="D305" s="532"/>
      <c r="E305" s="532"/>
      <c r="O305" s="539"/>
      <c r="AD305" s="758"/>
    </row>
    <row r="306" spans="3:30" ht="19.899999999999999" customHeight="1">
      <c r="C306" s="533"/>
      <c r="D306" s="532"/>
      <c r="E306" s="532"/>
      <c r="O306" s="539"/>
      <c r="AD306" s="758"/>
    </row>
    <row r="307" spans="3:30" ht="19.899999999999999" customHeight="1">
      <c r="C307" s="533"/>
      <c r="D307" s="532"/>
      <c r="E307" s="532"/>
      <c r="O307" s="539"/>
      <c r="AD307" s="758"/>
    </row>
    <row r="308" spans="3:30" ht="19.899999999999999" customHeight="1">
      <c r="C308" s="761"/>
      <c r="E308" s="532"/>
      <c r="O308" s="539"/>
      <c r="AD308" s="758"/>
    </row>
    <row r="309" spans="3:30" ht="19.899999999999999" customHeight="1">
      <c r="C309" s="761"/>
      <c r="E309" s="532"/>
      <c r="O309" s="539"/>
      <c r="AD309" s="758"/>
    </row>
    <row r="310" spans="3:30" ht="19.899999999999999" customHeight="1">
      <c r="C310" s="761"/>
      <c r="E310" s="532"/>
      <c r="O310" s="539"/>
      <c r="AD310" s="758"/>
    </row>
    <row r="311" spans="3:30" ht="19.899999999999999" customHeight="1">
      <c r="C311" s="761"/>
      <c r="E311" s="532"/>
      <c r="O311" s="539"/>
      <c r="AD311" s="758"/>
    </row>
    <row r="312" spans="3:30" ht="19.899999999999999" customHeight="1">
      <c r="C312" s="761"/>
      <c r="E312" s="532"/>
      <c r="O312" s="539"/>
      <c r="AD312" s="758"/>
    </row>
    <row r="313" spans="3:30" ht="19.899999999999999" customHeight="1">
      <c r="C313" s="761"/>
      <c r="E313" s="532"/>
      <c r="O313" s="539"/>
      <c r="AD313" s="758"/>
    </row>
    <row r="314" spans="3:30" ht="19.899999999999999" customHeight="1">
      <c r="C314" s="761"/>
      <c r="E314" s="761"/>
      <c r="O314" s="539"/>
      <c r="AD314" s="615"/>
    </row>
    <row r="315" spans="3:30" ht="19.899999999999999" customHeight="1">
      <c r="C315" s="761"/>
      <c r="E315" s="761"/>
      <c r="O315" s="539"/>
      <c r="AD315" s="615"/>
    </row>
    <row r="316" spans="3:30" ht="19.899999999999999" customHeight="1">
      <c r="C316" s="761"/>
      <c r="E316" s="761"/>
      <c r="O316" s="539"/>
      <c r="AD316" s="615"/>
    </row>
    <row r="317" spans="3:30" ht="19.899999999999999" customHeight="1">
      <c r="C317" s="761"/>
      <c r="E317" s="761"/>
      <c r="O317" s="539"/>
      <c r="AD317" s="615"/>
    </row>
    <row r="318" spans="3:30" ht="19.899999999999999" customHeight="1">
      <c r="C318" s="761"/>
      <c r="E318" s="761"/>
      <c r="O318" s="539"/>
      <c r="AD318" s="615"/>
    </row>
    <row r="319" spans="3:30" ht="19.899999999999999" customHeight="1">
      <c r="C319" s="761"/>
      <c r="E319" s="761"/>
      <c r="O319" s="539"/>
      <c r="AD319" s="615"/>
    </row>
    <row r="320" spans="3:30" ht="19.899999999999999" customHeight="1">
      <c r="C320" s="761"/>
      <c r="E320" s="761"/>
      <c r="O320" s="539"/>
      <c r="AD320" s="615"/>
    </row>
    <row r="321" spans="3:30" ht="19.899999999999999" customHeight="1">
      <c r="C321" s="761"/>
      <c r="E321" s="761"/>
      <c r="O321" s="539"/>
      <c r="AD321" s="615"/>
    </row>
    <row r="322" spans="3:30" ht="19.899999999999999" customHeight="1">
      <c r="C322" s="761"/>
      <c r="E322" s="761"/>
      <c r="O322" s="539"/>
      <c r="AD322" s="615"/>
    </row>
    <row r="323" spans="3:30" ht="19.899999999999999" customHeight="1">
      <c r="C323" s="761"/>
      <c r="E323" s="761"/>
      <c r="O323" s="539"/>
      <c r="AD323" s="615"/>
    </row>
    <row r="324" spans="3:30" ht="19.899999999999999" customHeight="1">
      <c r="C324" s="761"/>
      <c r="E324" s="761"/>
      <c r="O324" s="539"/>
      <c r="AD324" s="615"/>
    </row>
    <row r="325" spans="3:30" ht="19.899999999999999" customHeight="1">
      <c r="C325" s="761"/>
      <c r="E325" s="761"/>
      <c r="O325" s="539"/>
      <c r="AD325" s="615"/>
    </row>
    <row r="326" spans="3:30" ht="19.899999999999999" customHeight="1">
      <c r="C326" s="761"/>
      <c r="E326" s="761"/>
      <c r="O326" s="539"/>
      <c r="AD326" s="615"/>
    </row>
    <row r="327" spans="3:30" ht="19.899999999999999" customHeight="1">
      <c r="C327" s="761"/>
      <c r="E327" s="761"/>
      <c r="O327" s="539"/>
      <c r="AD327" s="615"/>
    </row>
    <row r="328" spans="3:30" ht="19.899999999999999" customHeight="1">
      <c r="C328" s="761"/>
      <c r="E328" s="761"/>
      <c r="O328" s="539"/>
      <c r="AD328" s="615"/>
    </row>
    <row r="329" spans="3:30" ht="19.899999999999999" customHeight="1">
      <c r="C329" s="761"/>
      <c r="E329" s="761"/>
      <c r="O329" s="539"/>
      <c r="AD329" s="615"/>
    </row>
    <row r="330" spans="3:30" ht="19.899999999999999" customHeight="1">
      <c r="C330" s="761"/>
      <c r="E330" s="761"/>
      <c r="O330" s="539"/>
      <c r="AD330" s="615"/>
    </row>
    <row r="331" spans="3:30" ht="19.899999999999999" customHeight="1">
      <c r="C331" s="761"/>
      <c r="E331" s="761"/>
      <c r="O331" s="539"/>
      <c r="AD331" s="615"/>
    </row>
    <row r="332" spans="3:30" ht="19.899999999999999" customHeight="1">
      <c r="C332" s="761"/>
      <c r="E332" s="761"/>
      <c r="O332" s="539"/>
      <c r="AD332" s="615"/>
    </row>
    <row r="333" spans="3:30" ht="19.899999999999999" customHeight="1">
      <c r="C333" s="761"/>
      <c r="E333" s="761"/>
      <c r="O333" s="539"/>
      <c r="AD333" s="615"/>
    </row>
    <row r="334" spans="3:30" ht="19.899999999999999" customHeight="1">
      <c r="C334" s="761"/>
      <c r="E334" s="761"/>
      <c r="O334" s="539"/>
      <c r="AD334" s="615"/>
    </row>
    <row r="335" spans="3:30" ht="19.899999999999999" customHeight="1">
      <c r="C335" s="761"/>
      <c r="E335" s="761"/>
      <c r="O335" s="539"/>
      <c r="AD335" s="615"/>
    </row>
    <row r="336" spans="3:30" ht="19.899999999999999" customHeight="1">
      <c r="C336" s="761"/>
      <c r="E336" s="761"/>
      <c r="O336" s="539"/>
      <c r="AD336" s="615"/>
    </row>
    <row r="337" spans="3:30" ht="19.899999999999999" customHeight="1">
      <c r="C337" s="761"/>
      <c r="E337" s="761"/>
      <c r="O337" s="539"/>
      <c r="AD337" s="615"/>
    </row>
    <row r="338" spans="3:30" ht="19.899999999999999" customHeight="1">
      <c r="C338" s="761"/>
      <c r="E338" s="761"/>
      <c r="O338" s="539"/>
      <c r="AD338" s="615"/>
    </row>
    <row r="339" spans="3:30" ht="19.899999999999999" customHeight="1">
      <c r="C339" s="761"/>
      <c r="E339" s="761"/>
      <c r="O339" s="539"/>
      <c r="AD339" s="615"/>
    </row>
    <row r="340" spans="3:30" ht="19.899999999999999" customHeight="1">
      <c r="C340" s="761"/>
      <c r="E340" s="761"/>
      <c r="O340" s="539"/>
      <c r="AD340" s="615"/>
    </row>
    <row r="341" spans="3:30" ht="19.899999999999999" customHeight="1">
      <c r="C341" s="761"/>
      <c r="E341" s="761"/>
      <c r="O341" s="539"/>
      <c r="AD341" s="615"/>
    </row>
    <row r="342" spans="3:30" ht="19.899999999999999" customHeight="1">
      <c r="C342" s="761"/>
      <c r="E342" s="761"/>
      <c r="O342" s="539"/>
      <c r="AD342" s="615"/>
    </row>
    <row r="343" spans="3:30" ht="19.899999999999999" customHeight="1">
      <c r="C343" s="761"/>
      <c r="E343" s="761"/>
      <c r="O343" s="539"/>
      <c r="AD343" s="615"/>
    </row>
    <row r="344" spans="3:30" ht="19.899999999999999" customHeight="1">
      <c r="C344" s="761"/>
      <c r="E344" s="761"/>
      <c r="O344" s="539"/>
      <c r="AD344" s="615"/>
    </row>
    <row r="345" spans="3:30" ht="19.899999999999999" customHeight="1">
      <c r="C345" s="761"/>
      <c r="E345" s="761"/>
      <c r="O345" s="539"/>
      <c r="AD345" s="615"/>
    </row>
    <row r="346" spans="3:30" ht="19.899999999999999" customHeight="1">
      <c r="C346" s="761"/>
      <c r="E346" s="761"/>
      <c r="O346" s="539"/>
      <c r="AD346" s="615"/>
    </row>
    <row r="347" spans="3:30" ht="19.899999999999999" customHeight="1">
      <c r="C347" s="761"/>
      <c r="E347" s="761"/>
      <c r="O347" s="539"/>
      <c r="AD347" s="615"/>
    </row>
    <row r="348" spans="3:30" ht="19.899999999999999" customHeight="1">
      <c r="C348" s="761"/>
      <c r="E348" s="761"/>
      <c r="O348" s="539"/>
      <c r="AD348" s="615"/>
    </row>
    <row r="349" spans="3:30" ht="19.899999999999999" customHeight="1">
      <c r="C349" s="761"/>
      <c r="E349" s="761"/>
      <c r="O349" s="539"/>
      <c r="AD349" s="615"/>
    </row>
    <row r="350" spans="3:30" ht="19.899999999999999" customHeight="1">
      <c r="C350" s="761"/>
      <c r="E350" s="761"/>
      <c r="O350" s="539"/>
      <c r="AD350" s="615"/>
    </row>
    <row r="351" spans="3:30" ht="19.899999999999999" customHeight="1">
      <c r="C351" s="761"/>
      <c r="E351" s="761"/>
      <c r="O351" s="539"/>
      <c r="AD351" s="615"/>
    </row>
    <row r="352" spans="3:30" ht="19.899999999999999" customHeight="1">
      <c r="C352" s="761"/>
      <c r="E352" s="761"/>
      <c r="O352" s="539"/>
      <c r="AD352" s="615"/>
    </row>
    <row r="353" spans="3:30" ht="19.899999999999999" customHeight="1">
      <c r="C353" s="761"/>
      <c r="E353" s="761"/>
      <c r="O353" s="539"/>
      <c r="AD353" s="615"/>
    </row>
    <row r="354" spans="3:30" ht="19.899999999999999" customHeight="1">
      <c r="C354" s="761"/>
      <c r="E354" s="761"/>
      <c r="O354" s="539"/>
      <c r="AD354" s="615"/>
    </row>
    <row r="355" spans="3:30" ht="19.899999999999999" customHeight="1">
      <c r="C355" s="761"/>
      <c r="E355" s="761"/>
      <c r="O355" s="539"/>
      <c r="AD355" s="615"/>
    </row>
    <row r="356" spans="3:30" ht="19.899999999999999" customHeight="1">
      <c r="C356" s="761"/>
      <c r="E356" s="761"/>
      <c r="O356" s="539"/>
      <c r="AD356" s="615"/>
    </row>
    <row r="357" spans="3:30" ht="19.899999999999999" customHeight="1">
      <c r="C357" s="761"/>
      <c r="E357" s="761"/>
      <c r="O357" s="539"/>
      <c r="AD357" s="615"/>
    </row>
    <row r="358" spans="3:30" ht="19.899999999999999" customHeight="1">
      <c r="C358" s="761"/>
      <c r="E358" s="761"/>
      <c r="O358" s="539"/>
      <c r="AD358" s="615"/>
    </row>
    <row r="359" spans="3:30" ht="19.899999999999999" customHeight="1">
      <c r="C359" s="761"/>
      <c r="E359" s="761"/>
      <c r="O359" s="539"/>
      <c r="AD359" s="615"/>
    </row>
    <row r="360" spans="3:30" ht="19.899999999999999" customHeight="1">
      <c r="C360" s="761"/>
      <c r="E360" s="761"/>
      <c r="O360" s="539"/>
      <c r="AD360" s="615"/>
    </row>
    <row r="361" spans="3:30" ht="19.899999999999999" customHeight="1">
      <c r="C361" s="761"/>
      <c r="E361" s="761"/>
      <c r="O361" s="539"/>
      <c r="AD361" s="615"/>
    </row>
    <row r="362" spans="3:30" ht="19.899999999999999" customHeight="1">
      <c r="C362" s="761"/>
      <c r="E362" s="761"/>
      <c r="O362" s="539"/>
      <c r="AD362" s="615"/>
    </row>
    <row r="363" spans="3:30" ht="19.899999999999999" customHeight="1">
      <c r="C363" s="761"/>
      <c r="E363" s="761"/>
      <c r="O363" s="539"/>
      <c r="AD363" s="615"/>
    </row>
    <row r="364" spans="3:30" ht="19.899999999999999" customHeight="1">
      <c r="C364" s="761"/>
      <c r="E364" s="761"/>
      <c r="O364" s="539"/>
      <c r="AD364" s="615"/>
    </row>
    <row r="365" spans="3:30" ht="19.899999999999999" customHeight="1">
      <c r="C365" s="761"/>
      <c r="E365" s="761"/>
      <c r="O365" s="539"/>
      <c r="AD365" s="615"/>
    </row>
    <row r="366" spans="3:30" ht="19.899999999999999" customHeight="1">
      <c r="C366" s="761"/>
      <c r="E366" s="761"/>
      <c r="O366" s="539"/>
      <c r="AD366" s="615"/>
    </row>
    <row r="367" spans="3:30" ht="19.899999999999999" customHeight="1">
      <c r="C367" s="761"/>
      <c r="E367" s="761"/>
      <c r="O367" s="539"/>
      <c r="AD367" s="615"/>
    </row>
    <row r="368" spans="3:30" ht="19.899999999999999" customHeight="1">
      <c r="C368" s="761"/>
      <c r="E368" s="761"/>
      <c r="O368" s="539"/>
      <c r="AD368" s="615"/>
    </row>
    <row r="369" spans="3:30" ht="19.899999999999999" customHeight="1">
      <c r="C369" s="761"/>
      <c r="E369" s="761"/>
      <c r="O369" s="539"/>
      <c r="AD369" s="615"/>
    </row>
    <row r="370" spans="3:30" ht="19.899999999999999" customHeight="1">
      <c r="C370" s="761"/>
      <c r="E370" s="761"/>
      <c r="O370" s="539"/>
      <c r="AD370" s="615"/>
    </row>
    <row r="371" spans="3:30" ht="19.899999999999999" customHeight="1">
      <c r="C371" s="761"/>
      <c r="E371" s="761"/>
      <c r="O371" s="539"/>
      <c r="AD371" s="615"/>
    </row>
    <row r="372" spans="3:30" ht="19.899999999999999" customHeight="1">
      <c r="C372" s="761"/>
      <c r="E372" s="761"/>
      <c r="O372" s="539"/>
      <c r="AD372" s="615"/>
    </row>
    <row r="373" spans="3:30" ht="19.899999999999999" customHeight="1">
      <c r="C373" s="761"/>
      <c r="E373" s="761"/>
      <c r="O373" s="539"/>
      <c r="AD373" s="615"/>
    </row>
    <row r="374" spans="3:30" ht="19.899999999999999" customHeight="1">
      <c r="C374" s="761"/>
      <c r="E374" s="761"/>
      <c r="O374" s="539"/>
      <c r="AD374" s="615"/>
    </row>
    <row r="375" spans="3:30" ht="19.899999999999999" customHeight="1">
      <c r="C375" s="761"/>
      <c r="E375" s="761"/>
      <c r="O375" s="539"/>
      <c r="AD375" s="615"/>
    </row>
    <row r="376" spans="3:30" ht="19.899999999999999" customHeight="1">
      <c r="C376" s="761"/>
      <c r="E376" s="761"/>
      <c r="O376" s="539"/>
      <c r="AD376" s="615"/>
    </row>
    <row r="377" spans="3:30" ht="19.899999999999999" customHeight="1">
      <c r="C377" s="761"/>
      <c r="E377" s="761"/>
      <c r="O377" s="539"/>
      <c r="AD377" s="615"/>
    </row>
    <row r="378" spans="3:30" ht="19.899999999999999" customHeight="1">
      <c r="C378" s="761"/>
      <c r="E378" s="761"/>
      <c r="O378" s="539"/>
      <c r="AD378" s="615"/>
    </row>
    <row r="379" spans="3:30" ht="19.899999999999999" customHeight="1">
      <c r="C379" s="761"/>
      <c r="E379" s="761"/>
      <c r="O379" s="539"/>
      <c r="AD379" s="615"/>
    </row>
    <row r="380" spans="3:30" ht="19.899999999999999" customHeight="1">
      <c r="C380" s="761"/>
      <c r="E380" s="761"/>
      <c r="O380" s="539"/>
      <c r="AD380" s="615"/>
    </row>
    <row r="381" spans="3:30" ht="19.899999999999999" customHeight="1">
      <c r="C381" s="761"/>
      <c r="E381" s="761"/>
      <c r="O381" s="539"/>
      <c r="AD381" s="615"/>
    </row>
    <row r="382" spans="3:30" ht="19.899999999999999" customHeight="1">
      <c r="C382" s="761"/>
      <c r="E382" s="761"/>
      <c r="O382" s="539"/>
      <c r="AD382" s="615"/>
    </row>
    <row r="383" spans="3:30" ht="19.899999999999999" customHeight="1">
      <c r="C383" s="761"/>
      <c r="E383" s="761"/>
      <c r="O383" s="539"/>
      <c r="AD383" s="615"/>
    </row>
    <row r="384" spans="3:30" ht="19.899999999999999" customHeight="1">
      <c r="C384" s="761"/>
      <c r="E384" s="761"/>
      <c r="O384" s="539"/>
      <c r="AD384" s="615"/>
    </row>
    <row r="385" spans="3:30" ht="19.899999999999999" customHeight="1">
      <c r="C385" s="761"/>
      <c r="E385" s="761"/>
      <c r="O385" s="539"/>
      <c r="AD385" s="615"/>
    </row>
    <row r="386" spans="3:30" ht="19.899999999999999" customHeight="1">
      <c r="C386" s="761"/>
      <c r="E386" s="761"/>
      <c r="O386" s="539"/>
      <c r="AD386" s="615"/>
    </row>
    <row r="387" spans="3:30" ht="19.899999999999999" customHeight="1">
      <c r="C387" s="761"/>
      <c r="E387" s="761"/>
      <c r="O387" s="539"/>
      <c r="AD387" s="615"/>
    </row>
    <row r="388" spans="3:30" ht="19.899999999999999" customHeight="1">
      <c r="C388" s="761"/>
      <c r="E388" s="761"/>
      <c r="O388" s="539"/>
      <c r="AD388" s="615"/>
    </row>
    <row r="389" spans="3:30" ht="19.899999999999999" customHeight="1">
      <c r="C389" s="761"/>
      <c r="E389" s="761"/>
      <c r="O389" s="539"/>
      <c r="AD389" s="615"/>
    </row>
    <row r="390" spans="3:30" ht="19.899999999999999" customHeight="1">
      <c r="C390" s="761"/>
      <c r="E390" s="761"/>
      <c r="O390" s="539"/>
      <c r="AD390" s="615"/>
    </row>
    <row r="391" spans="3:30" ht="19.899999999999999" customHeight="1">
      <c r="C391" s="761"/>
      <c r="E391" s="761"/>
      <c r="O391" s="539"/>
      <c r="AD391" s="615"/>
    </row>
    <row r="392" spans="3:30" ht="19.899999999999999" customHeight="1">
      <c r="C392" s="761"/>
      <c r="E392" s="761"/>
      <c r="O392" s="539"/>
      <c r="AD392" s="615"/>
    </row>
    <row r="393" spans="3:30" ht="19.899999999999999" customHeight="1">
      <c r="C393" s="761"/>
      <c r="E393" s="761"/>
      <c r="O393" s="539"/>
      <c r="AD393" s="615"/>
    </row>
    <row r="394" spans="3:30" ht="19.899999999999999" customHeight="1">
      <c r="C394" s="761"/>
      <c r="E394" s="761"/>
      <c r="O394" s="539"/>
      <c r="AD394" s="615"/>
    </row>
    <row r="395" spans="3:30" ht="19.899999999999999" customHeight="1">
      <c r="C395" s="761"/>
      <c r="E395" s="761"/>
      <c r="O395" s="539"/>
      <c r="AD395" s="615"/>
    </row>
    <row r="396" spans="3:30" ht="19.899999999999999" customHeight="1">
      <c r="C396" s="761"/>
      <c r="E396" s="761"/>
      <c r="O396" s="539"/>
      <c r="AD396" s="615"/>
    </row>
    <row r="397" spans="3:30" ht="19.899999999999999" customHeight="1">
      <c r="C397" s="761"/>
      <c r="E397" s="761"/>
      <c r="O397" s="539"/>
      <c r="AD397" s="615"/>
    </row>
    <row r="398" spans="3:30" ht="19.899999999999999" customHeight="1">
      <c r="C398" s="761"/>
      <c r="E398" s="761"/>
      <c r="O398" s="539"/>
      <c r="AD398" s="615"/>
    </row>
    <row r="399" spans="3:30" ht="19.899999999999999" customHeight="1">
      <c r="C399" s="761"/>
      <c r="E399" s="761"/>
      <c r="O399" s="539"/>
      <c r="AD399" s="615"/>
    </row>
    <row r="400" spans="3:30" ht="19.899999999999999" customHeight="1">
      <c r="C400" s="761"/>
      <c r="E400" s="761"/>
      <c r="O400" s="539"/>
      <c r="AD400" s="615"/>
    </row>
    <row r="401" spans="3:30" ht="19.899999999999999" customHeight="1">
      <c r="C401" s="761"/>
      <c r="E401" s="761"/>
      <c r="O401" s="539"/>
      <c r="AD401" s="615"/>
    </row>
    <row r="402" spans="3:30" ht="19.899999999999999" customHeight="1">
      <c r="C402" s="761"/>
      <c r="E402" s="761"/>
      <c r="O402" s="539"/>
      <c r="AD402" s="615"/>
    </row>
    <row r="403" spans="3:30" ht="19.899999999999999" customHeight="1">
      <c r="C403" s="761"/>
      <c r="E403" s="761"/>
      <c r="O403" s="539"/>
      <c r="AD403" s="615"/>
    </row>
    <row r="404" spans="3:30" ht="19.899999999999999" customHeight="1">
      <c r="C404" s="761"/>
      <c r="E404" s="761"/>
      <c r="O404" s="539"/>
      <c r="AD404" s="615"/>
    </row>
    <row r="405" spans="3:30" ht="19.899999999999999" customHeight="1">
      <c r="C405" s="761"/>
      <c r="E405" s="761"/>
      <c r="O405" s="539"/>
      <c r="AD405" s="615"/>
    </row>
    <row r="406" spans="3:30" ht="19.899999999999999" customHeight="1">
      <c r="C406" s="761"/>
      <c r="E406" s="761"/>
      <c r="O406" s="539"/>
      <c r="AD406" s="615"/>
    </row>
    <row r="407" spans="3:30" ht="19.899999999999999" customHeight="1">
      <c r="C407" s="761"/>
      <c r="E407" s="761"/>
      <c r="O407" s="539"/>
      <c r="AD407" s="615"/>
    </row>
    <row r="408" spans="3:30" ht="19.899999999999999" customHeight="1">
      <c r="C408" s="761"/>
      <c r="E408" s="761"/>
      <c r="O408" s="539"/>
      <c r="AD408" s="615"/>
    </row>
    <row r="409" spans="3:30" ht="19.899999999999999" customHeight="1">
      <c r="C409" s="761"/>
      <c r="E409" s="761"/>
      <c r="O409" s="539"/>
      <c r="AD409" s="615"/>
    </row>
    <row r="410" spans="3:30" ht="19.899999999999999" customHeight="1">
      <c r="C410" s="761"/>
      <c r="E410" s="761"/>
      <c r="O410" s="539"/>
      <c r="AD410" s="615"/>
    </row>
    <row r="411" spans="3:30" ht="19.899999999999999" customHeight="1">
      <c r="C411" s="761"/>
      <c r="E411" s="761"/>
      <c r="O411" s="539"/>
      <c r="AD411" s="615"/>
    </row>
    <row r="412" spans="3:30" ht="19.899999999999999" customHeight="1">
      <c r="C412" s="761"/>
      <c r="E412" s="761"/>
      <c r="O412" s="539"/>
      <c r="AD412" s="615"/>
    </row>
    <row r="413" spans="3:30" ht="19.899999999999999" customHeight="1">
      <c r="C413" s="761"/>
      <c r="E413" s="761"/>
      <c r="O413" s="539"/>
      <c r="AD413" s="615"/>
    </row>
    <row r="414" spans="3:30" ht="19.899999999999999" customHeight="1">
      <c r="C414" s="761"/>
      <c r="E414" s="761"/>
      <c r="O414" s="539"/>
      <c r="AD414" s="615"/>
    </row>
    <row r="415" spans="3:30" ht="19.899999999999999" customHeight="1">
      <c r="C415" s="761"/>
      <c r="E415" s="761"/>
      <c r="O415" s="539"/>
      <c r="AD415" s="615"/>
    </row>
    <row r="416" spans="3:30" ht="19.899999999999999" customHeight="1">
      <c r="C416" s="761"/>
      <c r="E416" s="761"/>
      <c r="O416" s="539"/>
      <c r="AD416" s="615"/>
    </row>
    <row r="417" spans="3:30" ht="19.899999999999999" customHeight="1">
      <c r="C417" s="761"/>
      <c r="E417" s="761"/>
      <c r="O417" s="539"/>
      <c r="AD417" s="615"/>
    </row>
    <row r="418" spans="3:30" ht="19.899999999999999" customHeight="1">
      <c r="C418" s="761"/>
      <c r="E418" s="761"/>
      <c r="O418" s="539"/>
      <c r="AD418" s="615"/>
    </row>
    <row r="419" spans="3:30" ht="19.899999999999999" customHeight="1">
      <c r="C419" s="761"/>
      <c r="E419" s="761"/>
      <c r="O419" s="539"/>
      <c r="AD419" s="615"/>
    </row>
    <row r="420" spans="3:30" ht="19.899999999999999" customHeight="1">
      <c r="C420" s="761"/>
      <c r="E420" s="761"/>
      <c r="O420" s="539"/>
      <c r="AD420" s="615"/>
    </row>
    <row r="421" spans="3:30" ht="19.899999999999999" customHeight="1">
      <c r="C421" s="761"/>
      <c r="E421" s="761"/>
      <c r="O421" s="539"/>
      <c r="AD421" s="615"/>
    </row>
    <row r="422" spans="3:30" ht="19.899999999999999" customHeight="1">
      <c r="C422" s="761"/>
      <c r="E422" s="761"/>
      <c r="O422" s="539"/>
      <c r="AD422" s="615"/>
    </row>
    <row r="423" spans="3:30" ht="19.899999999999999" customHeight="1">
      <c r="C423" s="761"/>
      <c r="E423" s="761"/>
      <c r="O423" s="539"/>
      <c r="AD423" s="615"/>
    </row>
    <row r="424" spans="3:30" ht="19.899999999999999" customHeight="1">
      <c r="C424" s="761"/>
      <c r="E424" s="761"/>
      <c r="O424" s="539"/>
      <c r="AD424" s="615"/>
    </row>
    <row r="425" spans="3:30" ht="19.899999999999999" customHeight="1">
      <c r="C425" s="761"/>
      <c r="E425" s="761"/>
      <c r="O425" s="539"/>
      <c r="AD425" s="615"/>
    </row>
    <row r="426" spans="3:30" ht="19.899999999999999" customHeight="1">
      <c r="C426" s="761"/>
      <c r="E426" s="761"/>
      <c r="O426" s="539"/>
      <c r="AD426" s="615"/>
    </row>
    <row r="427" spans="3:30" ht="19.899999999999999" customHeight="1">
      <c r="C427" s="761"/>
      <c r="E427" s="761"/>
      <c r="O427" s="539"/>
      <c r="AD427" s="615"/>
    </row>
    <row r="428" spans="3:30" ht="19.899999999999999" customHeight="1">
      <c r="C428" s="761"/>
      <c r="E428" s="761"/>
      <c r="O428" s="539"/>
      <c r="AD428" s="615"/>
    </row>
    <row r="429" spans="3:30" ht="19.899999999999999" customHeight="1">
      <c r="C429" s="761"/>
      <c r="E429" s="761"/>
      <c r="O429" s="539"/>
      <c r="AD429" s="615"/>
    </row>
    <row r="430" spans="3:30" ht="19.899999999999999" customHeight="1">
      <c r="C430" s="761"/>
      <c r="E430" s="761"/>
      <c r="O430" s="539"/>
      <c r="AD430" s="615"/>
    </row>
    <row r="431" spans="3:30" ht="19.899999999999999" customHeight="1">
      <c r="C431" s="761"/>
      <c r="E431" s="761"/>
      <c r="O431" s="539"/>
      <c r="AD431" s="615"/>
    </row>
    <row r="432" spans="3:30" ht="19.899999999999999" customHeight="1">
      <c r="C432" s="761"/>
      <c r="E432" s="761"/>
      <c r="O432" s="539"/>
      <c r="AD432" s="615"/>
    </row>
    <row r="433" spans="3:30" ht="19.899999999999999" customHeight="1">
      <c r="C433" s="761"/>
      <c r="E433" s="761"/>
      <c r="O433" s="539"/>
      <c r="AD433" s="615"/>
    </row>
    <row r="434" spans="3:30" ht="19.899999999999999" customHeight="1">
      <c r="C434" s="761"/>
      <c r="E434" s="761"/>
      <c r="O434" s="539"/>
      <c r="AD434" s="615"/>
    </row>
    <row r="435" spans="3:30" ht="19.899999999999999" customHeight="1">
      <c r="C435" s="761"/>
      <c r="E435" s="761"/>
      <c r="O435" s="539"/>
      <c r="AD435" s="615"/>
    </row>
    <row r="436" spans="3:30" ht="19.899999999999999" customHeight="1">
      <c r="C436" s="761"/>
      <c r="E436" s="761"/>
      <c r="O436" s="539"/>
      <c r="AD436" s="615"/>
    </row>
    <row r="437" spans="3:30" ht="19.899999999999999" customHeight="1">
      <c r="C437" s="761"/>
      <c r="E437" s="761"/>
      <c r="O437" s="539"/>
      <c r="AD437" s="615"/>
    </row>
    <row r="438" spans="3:30" ht="19.899999999999999" customHeight="1">
      <c r="C438" s="761"/>
      <c r="E438" s="761"/>
      <c r="O438" s="539"/>
      <c r="AD438" s="615"/>
    </row>
    <row r="439" spans="3:30" ht="19.899999999999999" customHeight="1">
      <c r="C439" s="761"/>
      <c r="E439" s="761"/>
      <c r="O439" s="539"/>
      <c r="AD439" s="615"/>
    </row>
    <row r="440" spans="3:30" ht="19.899999999999999" customHeight="1">
      <c r="C440" s="761"/>
      <c r="E440" s="761"/>
      <c r="O440" s="539"/>
      <c r="AD440" s="615"/>
    </row>
    <row r="441" spans="3:30" ht="19.899999999999999" customHeight="1">
      <c r="C441" s="761"/>
      <c r="E441" s="761"/>
      <c r="O441" s="539"/>
      <c r="AD441" s="615"/>
    </row>
    <row r="442" spans="3:30" ht="19.899999999999999" customHeight="1">
      <c r="C442" s="761"/>
      <c r="E442" s="761"/>
      <c r="O442" s="539"/>
      <c r="AD442" s="615"/>
    </row>
    <row r="443" spans="3:30" ht="19.899999999999999" customHeight="1">
      <c r="C443" s="761"/>
      <c r="E443" s="761"/>
      <c r="O443" s="539"/>
      <c r="AD443" s="615"/>
    </row>
    <row r="444" spans="3:30" ht="19.899999999999999" customHeight="1">
      <c r="C444" s="761"/>
      <c r="E444" s="761"/>
      <c r="O444" s="539"/>
      <c r="AD444" s="615"/>
    </row>
    <row r="445" spans="3:30" ht="19.899999999999999" customHeight="1">
      <c r="C445" s="761"/>
      <c r="E445" s="761"/>
      <c r="O445" s="539"/>
      <c r="AD445" s="615"/>
    </row>
    <row r="446" spans="3:30" ht="19.899999999999999" customHeight="1">
      <c r="C446" s="761"/>
      <c r="E446" s="761"/>
      <c r="O446" s="539"/>
      <c r="AD446" s="615"/>
    </row>
    <row r="447" spans="3:30" ht="19.899999999999999" customHeight="1">
      <c r="C447" s="761"/>
      <c r="E447" s="761"/>
      <c r="O447" s="539"/>
      <c r="AD447" s="615"/>
    </row>
    <row r="448" spans="3:30" ht="19.899999999999999" customHeight="1">
      <c r="C448" s="761"/>
      <c r="E448" s="761"/>
      <c r="O448" s="539"/>
      <c r="AD448" s="615"/>
    </row>
    <row r="449" spans="3:30" ht="19.899999999999999" customHeight="1">
      <c r="C449" s="761"/>
      <c r="E449" s="761"/>
      <c r="O449" s="539"/>
      <c r="AD449" s="615"/>
    </row>
    <row r="450" spans="3:30" ht="19.899999999999999" customHeight="1">
      <c r="C450" s="761"/>
      <c r="E450" s="761"/>
      <c r="O450" s="539"/>
      <c r="AD450" s="615"/>
    </row>
    <row r="451" spans="3:30" ht="19.899999999999999" customHeight="1">
      <c r="C451" s="761"/>
      <c r="E451" s="761"/>
      <c r="O451" s="539"/>
      <c r="AD451" s="615"/>
    </row>
    <row r="452" spans="3:30" ht="19.899999999999999" customHeight="1">
      <c r="C452" s="761"/>
      <c r="E452" s="761"/>
      <c r="O452" s="539"/>
      <c r="AD452" s="615"/>
    </row>
    <row r="453" spans="3:30" ht="19.899999999999999" customHeight="1">
      <c r="C453" s="761"/>
      <c r="E453" s="761"/>
      <c r="O453" s="539"/>
      <c r="AD453" s="615"/>
    </row>
    <row r="454" spans="3:30" ht="19.899999999999999" customHeight="1">
      <c r="C454" s="761"/>
      <c r="E454" s="761"/>
      <c r="O454" s="539"/>
      <c r="AD454" s="615"/>
    </row>
    <row r="455" spans="3:30" ht="19.899999999999999" customHeight="1">
      <c r="C455" s="761"/>
      <c r="E455" s="761"/>
      <c r="O455" s="539"/>
      <c r="AD455" s="615"/>
    </row>
    <row r="456" spans="3:30" ht="19.899999999999999" customHeight="1">
      <c r="C456" s="761"/>
      <c r="E456" s="761"/>
      <c r="O456" s="539"/>
      <c r="AD456" s="615"/>
    </row>
    <row r="457" spans="3:30" ht="19.899999999999999" customHeight="1">
      <c r="C457" s="761"/>
      <c r="E457" s="761"/>
      <c r="O457" s="539"/>
      <c r="AD457" s="615"/>
    </row>
    <row r="458" spans="3:30" ht="19.899999999999999" customHeight="1">
      <c r="C458" s="761"/>
      <c r="E458" s="761"/>
      <c r="O458" s="539"/>
      <c r="AD458" s="615"/>
    </row>
    <row r="459" spans="3:30" ht="19.899999999999999" customHeight="1">
      <c r="C459" s="761"/>
      <c r="E459" s="761"/>
      <c r="O459" s="539"/>
      <c r="AD459" s="615"/>
    </row>
    <row r="460" spans="3:30" ht="19.899999999999999" customHeight="1">
      <c r="C460" s="761"/>
      <c r="E460" s="761"/>
      <c r="O460" s="539"/>
      <c r="AD460" s="615"/>
    </row>
    <row r="461" spans="3:30" ht="19.899999999999999" customHeight="1">
      <c r="C461" s="761"/>
      <c r="E461" s="761"/>
      <c r="O461" s="539"/>
      <c r="AD461" s="615"/>
    </row>
    <row r="462" spans="3:30" ht="19.899999999999999" customHeight="1">
      <c r="C462" s="761"/>
      <c r="E462" s="761"/>
      <c r="O462" s="539"/>
      <c r="AD462" s="615"/>
    </row>
    <row r="463" spans="3:30" ht="19.899999999999999" customHeight="1">
      <c r="C463" s="761"/>
      <c r="E463" s="761"/>
      <c r="O463" s="539"/>
      <c r="AD463" s="615"/>
    </row>
    <row r="464" spans="3:30" ht="19.899999999999999" customHeight="1">
      <c r="C464" s="761"/>
      <c r="E464" s="761"/>
      <c r="O464" s="539"/>
      <c r="AD464" s="615"/>
    </row>
    <row r="465" spans="3:30" ht="19.899999999999999" customHeight="1">
      <c r="C465" s="761"/>
      <c r="E465" s="761"/>
      <c r="O465" s="539"/>
      <c r="AD465" s="615"/>
    </row>
    <row r="466" spans="3:30" ht="19.899999999999999" customHeight="1">
      <c r="C466" s="761"/>
      <c r="E466" s="761"/>
      <c r="O466" s="539"/>
      <c r="AD466" s="615"/>
    </row>
    <row r="467" spans="3:30" ht="19.899999999999999" customHeight="1">
      <c r="C467" s="761"/>
      <c r="E467" s="761"/>
      <c r="O467" s="539"/>
      <c r="AD467" s="615"/>
    </row>
    <row r="468" spans="3:30" ht="19.899999999999999" customHeight="1">
      <c r="C468" s="761"/>
      <c r="E468" s="761"/>
      <c r="O468" s="539"/>
      <c r="AD468" s="615"/>
    </row>
    <row r="469" spans="3:30" ht="19.899999999999999" customHeight="1">
      <c r="C469" s="761"/>
      <c r="E469" s="761"/>
      <c r="O469" s="539"/>
      <c r="AD469" s="615"/>
    </row>
    <row r="470" spans="3:30" ht="19.899999999999999" customHeight="1">
      <c r="C470" s="761"/>
      <c r="E470" s="761"/>
      <c r="O470" s="539"/>
      <c r="AD470" s="615"/>
    </row>
    <row r="471" spans="3:30" ht="19.899999999999999" customHeight="1">
      <c r="C471" s="761"/>
      <c r="E471" s="761"/>
      <c r="O471" s="539"/>
      <c r="AD471" s="615"/>
    </row>
    <row r="472" spans="3:30" ht="19.899999999999999" customHeight="1">
      <c r="C472" s="761"/>
      <c r="E472" s="761"/>
      <c r="O472" s="539"/>
      <c r="AD472" s="615"/>
    </row>
    <row r="473" spans="3:30" ht="19.899999999999999" customHeight="1">
      <c r="C473" s="761"/>
      <c r="E473" s="761"/>
      <c r="O473" s="539"/>
      <c r="AD473" s="615"/>
    </row>
    <row r="474" spans="3:30" ht="19.899999999999999" customHeight="1">
      <c r="C474" s="761"/>
      <c r="E474" s="761"/>
      <c r="O474" s="539"/>
      <c r="AD474" s="615"/>
    </row>
    <row r="475" spans="3:30" ht="19.899999999999999" customHeight="1">
      <c r="C475" s="761"/>
      <c r="E475" s="761"/>
      <c r="O475" s="539"/>
      <c r="AD475" s="615"/>
    </row>
    <row r="476" spans="3:30" ht="19.899999999999999" customHeight="1">
      <c r="C476" s="761"/>
      <c r="E476" s="761"/>
      <c r="O476" s="539"/>
      <c r="AD476" s="615"/>
    </row>
    <row r="477" spans="3:30" ht="19.899999999999999" customHeight="1">
      <c r="C477" s="761"/>
      <c r="E477" s="761"/>
      <c r="O477" s="539"/>
      <c r="AD477" s="615"/>
    </row>
    <row r="478" spans="3:30" ht="19.899999999999999" customHeight="1">
      <c r="C478" s="761"/>
      <c r="E478" s="761"/>
      <c r="O478" s="539"/>
      <c r="AD478" s="615"/>
    </row>
    <row r="479" spans="3:30" ht="19.899999999999999" customHeight="1">
      <c r="C479" s="761"/>
      <c r="E479" s="761"/>
      <c r="O479" s="539"/>
      <c r="AD479" s="615"/>
    </row>
    <row r="480" spans="3:30" ht="19.899999999999999" customHeight="1">
      <c r="C480" s="761"/>
      <c r="E480" s="761"/>
      <c r="O480" s="539"/>
      <c r="AD480" s="615"/>
    </row>
    <row r="481" spans="3:30" ht="19.899999999999999" customHeight="1">
      <c r="C481" s="761"/>
      <c r="E481" s="761"/>
      <c r="O481" s="539"/>
      <c r="AD481" s="615"/>
    </row>
    <row r="482" spans="3:30" ht="19.899999999999999" customHeight="1">
      <c r="C482" s="761"/>
      <c r="E482" s="761"/>
      <c r="O482" s="539"/>
      <c r="AD482" s="615"/>
    </row>
    <row r="483" spans="3:30" ht="19.899999999999999" customHeight="1">
      <c r="C483" s="761"/>
      <c r="E483" s="761"/>
      <c r="O483" s="539"/>
      <c r="AD483" s="615"/>
    </row>
    <row r="484" spans="3:30" ht="19.899999999999999" customHeight="1">
      <c r="C484" s="761"/>
      <c r="E484" s="761"/>
      <c r="O484" s="539"/>
      <c r="AD484" s="615"/>
    </row>
    <row r="485" spans="3:30" ht="19.899999999999999" customHeight="1">
      <c r="C485" s="761"/>
      <c r="E485" s="761"/>
      <c r="O485" s="539"/>
      <c r="AD485" s="615"/>
    </row>
    <row r="486" spans="3:30" ht="19.899999999999999" customHeight="1">
      <c r="C486" s="761"/>
      <c r="E486" s="761"/>
      <c r="O486" s="539"/>
      <c r="AD486" s="615"/>
    </row>
    <row r="487" spans="3:30" ht="19.899999999999999" customHeight="1">
      <c r="C487" s="761"/>
      <c r="E487" s="761"/>
      <c r="O487" s="539"/>
      <c r="AD487" s="615"/>
    </row>
    <row r="488" spans="3:30" ht="19.899999999999999" customHeight="1">
      <c r="C488" s="761"/>
      <c r="E488" s="761"/>
      <c r="O488" s="539"/>
      <c r="AD488" s="615"/>
    </row>
    <row r="489" spans="3:30" ht="19.899999999999999" customHeight="1">
      <c r="C489" s="761"/>
      <c r="E489" s="761"/>
      <c r="O489" s="539"/>
      <c r="AD489" s="615"/>
    </row>
    <row r="490" spans="3:30" ht="19.899999999999999" customHeight="1">
      <c r="C490" s="761"/>
      <c r="E490" s="761"/>
      <c r="O490" s="539"/>
      <c r="AD490" s="615"/>
    </row>
    <row r="491" spans="3:30" ht="19.899999999999999" customHeight="1">
      <c r="C491" s="761"/>
      <c r="E491" s="761"/>
      <c r="O491" s="539"/>
      <c r="AD491" s="615"/>
    </row>
    <row r="492" spans="3:30" ht="19.899999999999999" customHeight="1">
      <c r="C492" s="761"/>
      <c r="E492" s="761"/>
      <c r="O492" s="539"/>
      <c r="AD492" s="615"/>
    </row>
    <row r="493" spans="3:30" ht="19.899999999999999" customHeight="1">
      <c r="C493" s="761"/>
      <c r="E493" s="761"/>
      <c r="O493" s="539"/>
      <c r="AD493" s="615"/>
    </row>
    <row r="494" spans="3:30" ht="19.899999999999999" customHeight="1">
      <c r="C494" s="761"/>
      <c r="E494" s="761"/>
      <c r="O494" s="539"/>
      <c r="AD494" s="615"/>
    </row>
    <row r="495" spans="3:30" ht="19.899999999999999" customHeight="1">
      <c r="C495" s="761"/>
      <c r="E495" s="761"/>
      <c r="O495" s="539"/>
      <c r="AD495" s="615"/>
    </row>
    <row r="496" spans="3:30" ht="19.899999999999999" customHeight="1">
      <c r="C496" s="761"/>
      <c r="E496" s="761"/>
      <c r="O496" s="539"/>
      <c r="AD496" s="615"/>
    </row>
    <row r="497" spans="3:30" ht="19.899999999999999" customHeight="1">
      <c r="C497" s="761"/>
      <c r="E497" s="761"/>
      <c r="O497" s="539"/>
      <c r="AD497" s="615"/>
    </row>
    <row r="498" spans="3:30" ht="19.899999999999999" customHeight="1">
      <c r="C498" s="761"/>
      <c r="E498" s="761"/>
      <c r="O498" s="539"/>
      <c r="AD498" s="615"/>
    </row>
    <row r="499" spans="3:30" ht="19.899999999999999" customHeight="1">
      <c r="C499" s="761"/>
      <c r="E499" s="761"/>
      <c r="O499" s="539"/>
      <c r="AD499" s="615"/>
    </row>
    <row r="500" spans="3:30" ht="19.899999999999999" customHeight="1">
      <c r="C500" s="761"/>
      <c r="E500" s="761"/>
      <c r="O500" s="539"/>
      <c r="AD500" s="615"/>
    </row>
    <row r="501" spans="3:30" ht="19.899999999999999" customHeight="1">
      <c r="C501" s="761"/>
      <c r="E501" s="761"/>
      <c r="O501" s="539"/>
      <c r="AD501" s="615"/>
    </row>
    <row r="502" spans="3:30" ht="19.899999999999999" customHeight="1">
      <c r="C502" s="761"/>
      <c r="E502" s="761"/>
      <c r="O502" s="539"/>
      <c r="AD502" s="615"/>
    </row>
    <row r="503" spans="3:30" ht="19.899999999999999" customHeight="1">
      <c r="C503" s="761"/>
      <c r="E503" s="761"/>
      <c r="O503" s="539"/>
      <c r="AD503" s="615"/>
    </row>
    <row r="504" spans="3:30" ht="19.899999999999999" customHeight="1">
      <c r="C504" s="761"/>
      <c r="E504" s="761"/>
      <c r="O504" s="539"/>
      <c r="AD504" s="615"/>
    </row>
    <row r="505" spans="3:30" ht="19.899999999999999" customHeight="1">
      <c r="C505" s="761"/>
      <c r="E505" s="761"/>
      <c r="O505" s="539"/>
      <c r="AD505" s="615"/>
    </row>
    <row r="506" spans="3:30" ht="19.899999999999999" customHeight="1">
      <c r="C506" s="761"/>
      <c r="E506" s="761"/>
      <c r="O506" s="539"/>
      <c r="AD506" s="615"/>
    </row>
    <row r="507" spans="3:30" ht="19.899999999999999" customHeight="1">
      <c r="C507" s="761"/>
      <c r="E507" s="761"/>
      <c r="O507" s="539"/>
      <c r="AD507" s="615"/>
    </row>
    <row r="508" spans="3:30" ht="19.899999999999999" customHeight="1">
      <c r="C508" s="761"/>
      <c r="E508" s="761"/>
      <c r="O508" s="539"/>
      <c r="AD508" s="615"/>
    </row>
    <row r="509" spans="3:30" ht="19.899999999999999" customHeight="1">
      <c r="C509" s="761"/>
      <c r="E509" s="761"/>
      <c r="O509" s="539"/>
      <c r="AD509" s="615"/>
    </row>
    <row r="510" spans="3:30" ht="19.899999999999999" customHeight="1">
      <c r="C510" s="761"/>
      <c r="E510" s="761"/>
      <c r="O510" s="539"/>
      <c r="AD510" s="615"/>
    </row>
    <row r="511" spans="3:30" ht="19.899999999999999" customHeight="1">
      <c r="C511" s="761"/>
      <c r="E511" s="761"/>
      <c r="O511" s="539"/>
      <c r="AD511" s="615"/>
    </row>
    <row r="512" spans="3:30" ht="19.899999999999999" customHeight="1">
      <c r="C512" s="761"/>
      <c r="E512" s="761"/>
      <c r="O512" s="539"/>
      <c r="AD512" s="615"/>
    </row>
    <row r="513" spans="3:30" ht="19.899999999999999" customHeight="1">
      <c r="C513" s="761"/>
      <c r="E513" s="761"/>
      <c r="O513" s="539"/>
      <c r="AD513" s="615"/>
    </row>
    <row r="514" spans="3:30" ht="19.899999999999999" customHeight="1">
      <c r="C514" s="761"/>
      <c r="E514" s="761"/>
      <c r="O514" s="539"/>
      <c r="AD514" s="615"/>
    </row>
    <row r="515" spans="3:30" ht="19.899999999999999" customHeight="1">
      <c r="C515" s="761"/>
      <c r="E515" s="761"/>
      <c r="O515" s="539"/>
      <c r="AD515" s="615"/>
    </row>
    <row r="516" spans="3:30" ht="19.899999999999999" customHeight="1">
      <c r="C516" s="761"/>
      <c r="E516" s="761"/>
      <c r="O516" s="539"/>
      <c r="AD516" s="615"/>
    </row>
    <row r="517" spans="3:30" ht="19.899999999999999" customHeight="1">
      <c r="C517" s="761"/>
      <c r="E517" s="761"/>
      <c r="O517" s="539"/>
      <c r="AD517" s="615"/>
    </row>
    <row r="518" spans="3:30" ht="19.899999999999999" customHeight="1">
      <c r="C518" s="761"/>
      <c r="E518" s="761"/>
      <c r="O518" s="539"/>
      <c r="AD518" s="615"/>
    </row>
    <row r="519" spans="3:30" ht="19.899999999999999" customHeight="1">
      <c r="C519" s="761"/>
      <c r="E519" s="761"/>
      <c r="O519" s="539"/>
      <c r="AD519" s="615"/>
    </row>
    <row r="520" spans="3:30" ht="19.899999999999999" customHeight="1">
      <c r="C520" s="761"/>
      <c r="E520" s="761"/>
      <c r="O520" s="539"/>
      <c r="AD520" s="615"/>
    </row>
    <row r="521" spans="3:30" ht="19.899999999999999" customHeight="1">
      <c r="C521" s="761"/>
      <c r="E521" s="761"/>
      <c r="O521" s="539"/>
      <c r="AD521" s="615"/>
    </row>
    <row r="522" spans="3:30" ht="19.899999999999999" customHeight="1">
      <c r="C522" s="761"/>
      <c r="E522" s="761"/>
      <c r="O522" s="539"/>
      <c r="AD522" s="615"/>
    </row>
    <row r="523" spans="3:30" ht="19.899999999999999" customHeight="1">
      <c r="C523" s="761"/>
      <c r="E523" s="761"/>
      <c r="O523" s="539"/>
      <c r="AD523" s="615"/>
    </row>
    <row r="524" spans="3:30" ht="19.899999999999999" customHeight="1">
      <c r="C524" s="761"/>
      <c r="E524" s="761"/>
      <c r="O524" s="539"/>
      <c r="AD524" s="615"/>
    </row>
    <row r="525" spans="3:30" ht="19.899999999999999" customHeight="1">
      <c r="C525" s="761"/>
      <c r="E525" s="761"/>
      <c r="O525" s="539"/>
      <c r="AD525" s="615"/>
    </row>
    <row r="526" spans="3:30" ht="19.899999999999999" customHeight="1">
      <c r="C526" s="761"/>
      <c r="E526" s="761"/>
      <c r="O526" s="539"/>
      <c r="AD526" s="615"/>
    </row>
    <row r="527" spans="3:30" ht="19.899999999999999" customHeight="1">
      <c r="C527" s="761"/>
      <c r="E527" s="761"/>
      <c r="O527" s="539"/>
      <c r="AD527" s="615"/>
    </row>
    <row r="528" spans="3:30" ht="19.899999999999999" customHeight="1">
      <c r="C528" s="761"/>
      <c r="E528" s="761"/>
      <c r="O528" s="539"/>
      <c r="AD528" s="615"/>
    </row>
    <row r="529" spans="3:30" ht="19.899999999999999" customHeight="1">
      <c r="C529" s="761"/>
      <c r="E529" s="761"/>
      <c r="O529" s="539"/>
      <c r="AD529" s="615"/>
    </row>
    <row r="530" spans="3:30" ht="19.899999999999999" customHeight="1">
      <c r="C530" s="761"/>
      <c r="E530" s="761"/>
      <c r="O530" s="539"/>
      <c r="AD530" s="615"/>
    </row>
    <row r="531" spans="3:30" ht="19.899999999999999" customHeight="1">
      <c r="C531" s="761"/>
      <c r="E531" s="761"/>
      <c r="O531" s="539"/>
      <c r="AD531" s="615"/>
    </row>
    <row r="532" spans="3:30" ht="19.899999999999999" customHeight="1">
      <c r="C532" s="761"/>
      <c r="E532" s="761"/>
      <c r="O532" s="539"/>
      <c r="AD532" s="615"/>
    </row>
    <row r="533" spans="3:30" ht="19.899999999999999" customHeight="1">
      <c r="C533" s="761"/>
      <c r="E533" s="761"/>
      <c r="O533" s="539"/>
      <c r="AD533" s="615"/>
    </row>
    <row r="534" spans="3:30" ht="19.899999999999999" customHeight="1">
      <c r="C534" s="761"/>
      <c r="E534" s="761"/>
      <c r="O534" s="539"/>
      <c r="AD534" s="615"/>
    </row>
    <row r="535" spans="3:30" ht="19.899999999999999" customHeight="1">
      <c r="C535" s="761"/>
      <c r="E535" s="761"/>
      <c r="O535" s="539"/>
      <c r="AD535" s="615"/>
    </row>
    <row r="536" spans="3:30" ht="19.899999999999999" customHeight="1">
      <c r="C536" s="761"/>
      <c r="E536" s="761"/>
      <c r="O536" s="539"/>
      <c r="AD536" s="615"/>
    </row>
    <row r="537" spans="3:30" ht="19.899999999999999" customHeight="1">
      <c r="C537" s="761"/>
      <c r="E537" s="761"/>
      <c r="O537" s="539"/>
      <c r="AD537" s="615"/>
    </row>
    <row r="538" spans="3:30" ht="19.899999999999999" customHeight="1">
      <c r="C538" s="761"/>
      <c r="E538" s="761"/>
      <c r="O538" s="539"/>
      <c r="AD538" s="615"/>
    </row>
    <row r="539" spans="3:30" ht="19.899999999999999" customHeight="1">
      <c r="C539" s="761"/>
      <c r="E539" s="761"/>
      <c r="O539" s="539"/>
      <c r="AD539" s="615"/>
    </row>
    <row r="540" spans="3:30" ht="19.899999999999999" customHeight="1">
      <c r="C540" s="761"/>
      <c r="E540" s="761"/>
      <c r="O540" s="539"/>
      <c r="AD540" s="615"/>
    </row>
    <row r="541" spans="3:30" ht="19.899999999999999" customHeight="1">
      <c r="C541" s="761"/>
      <c r="E541" s="761"/>
      <c r="O541" s="539"/>
      <c r="AD541" s="615"/>
    </row>
    <row r="542" spans="3:30" ht="19.899999999999999" customHeight="1">
      <c r="C542" s="761"/>
      <c r="E542" s="761"/>
      <c r="O542" s="539"/>
      <c r="AD542" s="615"/>
    </row>
    <row r="543" spans="3:30" ht="19.899999999999999" customHeight="1">
      <c r="C543" s="761"/>
      <c r="E543" s="761"/>
      <c r="O543" s="539"/>
      <c r="AD543" s="615"/>
    </row>
    <row r="544" spans="3:30" ht="19.899999999999999" customHeight="1">
      <c r="C544" s="761"/>
      <c r="E544" s="761"/>
      <c r="O544" s="539"/>
      <c r="AD544" s="615"/>
    </row>
    <row r="545" spans="3:30" ht="19.899999999999999" customHeight="1">
      <c r="C545" s="761"/>
      <c r="E545" s="761"/>
      <c r="O545" s="539"/>
      <c r="AD545" s="615"/>
    </row>
    <row r="546" spans="3:30" ht="19.899999999999999" customHeight="1">
      <c r="C546" s="761"/>
      <c r="E546" s="761"/>
      <c r="O546" s="539"/>
      <c r="AD546" s="615"/>
    </row>
    <row r="547" spans="3:30" ht="19.899999999999999" customHeight="1">
      <c r="C547" s="761"/>
      <c r="E547" s="761"/>
      <c r="O547" s="539"/>
      <c r="AD547" s="615"/>
    </row>
    <row r="548" spans="3:30" ht="19.899999999999999" customHeight="1">
      <c r="C548" s="761"/>
      <c r="E548" s="761"/>
      <c r="O548" s="539"/>
      <c r="AD548" s="615"/>
    </row>
    <row r="549" spans="3:30" ht="19.899999999999999" customHeight="1">
      <c r="C549" s="761"/>
      <c r="E549" s="761"/>
      <c r="O549" s="539"/>
      <c r="AD549" s="615"/>
    </row>
    <row r="550" spans="3:30" ht="19.899999999999999" customHeight="1">
      <c r="C550" s="761"/>
      <c r="E550" s="761"/>
      <c r="O550" s="539"/>
      <c r="AD550" s="615"/>
    </row>
    <row r="551" spans="3:30" ht="19.899999999999999" customHeight="1">
      <c r="C551" s="761"/>
      <c r="E551" s="761"/>
      <c r="O551" s="539"/>
      <c r="AD551" s="615"/>
    </row>
    <row r="552" spans="3:30" ht="19.899999999999999" customHeight="1">
      <c r="C552" s="761"/>
      <c r="E552" s="761"/>
      <c r="O552" s="539"/>
      <c r="AD552" s="615"/>
    </row>
    <row r="553" spans="3:30" ht="19.899999999999999" customHeight="1">
      <c r="C553" s="761"/>
      <c r="E553" s="761"/>
      <c r="O553" s="539"/>
      <c r="AD553" s="615"/>
    </row>
    <row r="554" spans="3:30" ht="19.899999999999999" customHeight="1">
      <c r="C554" s="761"/>
      <c r="E554" s="761"/>
      <c r="O554" s="539"/>
      <c r="AD554" s="615"/>
    </row>
    <row r="555" spans="3:30" ht="19.899999999999999" customHeight="1">
      <c r="C555" s="761"/>
      <c r="E555" s="761"/>
      <c r="O555" s="539"/>
      <c r="AD555" s="615"/>
    </row>
    <row r="556" spans="3:30" ht="19.899999999999999" customHeight="1">
      <c r="C556" s="761"/>
      <c r="E556" s="761"/>
      <c r="O556" s="539"/>
      <c r="AD556" s="615"/>
    </row>
    <row r="557" spans="3:30" ht="19.899999999999999" customHeight="1">
      <c r="C557" s="761"/>
      <c r="E557" s="761"/>
      <c r="O557" s="539"/>
      <c r="AD557" s="615"/>
    </row>
    <row r="558" spans="3:30" ht="19.899999999999999" customHeight="1">
      <c r="C558" s="761"/>
      <c r="E558" s="761"/>
      <c r="O558" s="539"/>
      <c r="AD558" s="615"/>
    </row>
    <row r="559" spans="3:30" ht="19.899999999999999" customHeight="1">
      <c r="C559" s="761"/>
      <c r="E559" s="761"/>
      <c r="O559" s="539"/>
      <c r="AD559" s="615"/>
    </row>
    <row r="560" spans="3:30" ht="19.899999999999999" customHeight="1">
      <c r="C560" s="761"/>
      <c r="E560" s="761"/>
      <c r="O560" s="539"/>
      <c r="AD560" s="615"/>
    </row>
    <row r="561" spans="3:30" ht="19.899999999999999" customHeight="1">
      <c r="C561" s="761"/>
      <c r="E561" s="761"/>
      <c r="O561" s="539"/>
      <c r="AD561" s="615"/>
    </row>
    <row r="562" spans="3:30" ht="19.899999999999999" customHeight="1">
      <c r="C562" s="761"/>
      <c r="E562" s="761"/>
      <c r="O562" s="539"/>
      <c r="AD562" s="615"/>
    </row>
    <row r="563" spans="3:30" ht="19.899999999999999" customHeight="1">
      <c r="C563" s="761"/>
      <c r="E563" s="761"/>
      <c r="O563" s="539"/>
      <c r="AD563" s="615"/>
    </row>
    <row r="564" spans="3:30" ht="19.899999999999999" customHeight="1">
      <c r="C564" s="761"/>
      <c r="E564" s="761"/>
      <c r="O564" s="539"/>
      <c r="AD564" s="615"/>
    </row>
    <row r="565" spans="3:30" ht="19.899999999999999" customHeight="1">
      <c r="C565" s="761"/>
      <c r="E565" s="761"/>
      <c r="O565" s="539"/>
      <c r="AD565" s="615"/>
    </row>
    <row r="566" spans="3:30" ht="19.899999999999999" customHeight="1">
      <c r="C566" s="761"/>
      <c r="E566" s="761"/>
      <c r="O566" s="539"/>
      <c r="AD566" s="615"/>
    </row>
    <row r="567" spans="3:30" ht="19.899999999999999" customHeight="1">
      <c r="C567" s="761"/>
      <c r="E567" s="761"/>
      <c r="O567" s="539"/>
      <c r="AD567" s="615"/>
    </row>
    <row r="568" spans="3:30" ht="19.899999999999999" customHeight="1">
      <c r="C568" s="761"/>
      <c r="E568" s="761"/>
      <c r="O568" s="539"/>
      <c r="AD568" s="615"/>
    </row>
    <row r="569" spans="3:30" ht="19.899999999999999" customHeight="1">
      <c r="C569" s="761"/>
      <c r="E569" s="761"/>
      <c r="O569" s="539"/>
      <c r="AD569" s="615"/>
    </row>
    <row r="570" spans="3:30" ht="19.899999999999999" customHeight="1">
      <c r="C570" s="761"/>
      <c r="E570" s="761"/>
      <c r="O570" s="539"/>
      <c r="AD570" s="615"/>
    </row>
    <row r="571" spans="3:30" ht="19.899999999999999" customHeight="1">
      <c r="C571" s="761"/>
      <c r="E571" s="761"/>
      <c r="O571" s="539"/>
      <c r="AD571" s="615"/>
    </row>
    <row r="572" spans="3:30" ht="19.899999999999999" customHeight="1">
      <c r="C572" s="761"/>
      <c r="E572" s="761"/>
      <c r="O572" s="539"/>
      <c r="AD572" s="615"/>
    </row>
    <row r="573" spans="3:30" ht="19.899999999999999" customHeight="1">
      <c r="C573" s="761"/>
      <c r="E573" s="761"/>
      <c r="O573" s="539"/>
      <c r="AD573" s="615"/>
    </row>
    <row r="574" spans="3:30" ht="19.899999999999999" customHeight="1">
      <c r="C574" s="761"/>
      <c r="E574" s="761"/>
      <c r="O574" s="539"/>
      <c r="AD574" s="615"/>
    </row>
    <row r="575" spans="3:30" ht="19.899999999999999" customHeight="1">
      <c r="C575" s="761"/>
      <c r="E575" s="761"/>
      <c r="O575" s="539"/>
      <c r="AD575" s="615"/>
    </row>
    <row r="576" spans="3:30" ht="19.899999999999999" customHeight="1">
      <c r="C576" s="761"/>
      <c r="E576" s="761"/>
      <c r="O576" s="539"/>
      <c r="AD576" s="615"/>
    </row>
    <row r="577" spans="3:30" ht="19.899999999999999" customHeight="1">
      <c r="C577" s="761"/>
      <c r="E577" s="761"/>
      <c r="O577" s="539"/>
      <c r="AD577" s="615"/>
    </row>
    <row r="578" spans="3:30" ht="19.899999999999999" customHeight="1">
      <c r="C578" s="761"/>
      <c r="E578" s="761"/>
      <c r="O578" s="539"/>
      <c r="AD578" s="615"/>
    </row>
    <row r="579" spans="3:30" ht="19.899999999999999" customHeight="1">
      <c r="C579" s="761"/>
      <c r="E579" s="761"/>
      <c r="O579" s="539"/>
      <c r="AD579" s="615"/>
    </row>
    <row r="580" spans="3:30" ht="19.899999999999999" customHeight="1">
      <c r="C580" s="761"/>
      <c r="E580" s="761"/>
      <c r="O580" s="539"/>
      <c r="AD580" s="615"/>
    </row>
    <row r="581" spans="3:30" ht="19.899999999999999" customHeight="1">
      <c r="C581" s="761"/>
      <c r="E581" s="761"/>
      <c r="O581" s="539"/>
      <c r="AD581" s="615"/>
    </row>
    <row r="582" spans="3:30" ht="19.899999999999999" customHeight="1">
      <c r="C582" s="761"/>
      <c r="E582" s="761"/>
      <c r="O582" s="539"/>
      <c r="AD582" s="615"/>
    </row>
    <row r="583" spans="3:30" ht="19.899999999999999" customHeight="1">
      <c r="C583" s="761"/>
      <c r="E583" s="761"/>
      <c r="O583" s="539"/>
      <c r="AD583" s="615"/>
    </row>
    <row r="584" spans="3:30" ht="19.899999999999999" customHeight="1">
      <c r="C584" s="761"/>
      <c r="E584" s="761"/>
      <c r="O584" s="539"/>
      <c r="AD584" s="615"/>
    </row>
    <row r="585" spans="3:30" ht="19.899999999999999" customHeight="1">
      <c r="C585" s="761"/>
      <c r="E585" s="761"/>
      <c r="O585" s="539"/>
      <c r="AD585" s="615"/>
    </row>
    <row r="586" spans="3:30" ht="19.899999999999999" customHeight="1">
      <c r="C586" s="761"/>
      <c r="E586" s="761"/>
      <c r="O586" s="539"/>
      <c r="AD586" s="615"/>
    </row>
    <row r="587" spans="3:30" ht="19.899999999999999" customHeight="1">
      <c r="C587" s="761"/>
      <c r="E587" s="761"/>
      <c r="O587" s="539"/>
      <c r="AD587" s="615"/>
    </row>
    <row r="588" spans="3:30" ht="19.899999999999999" customHeight="1">
      <c r="C588" s="761"/>
      <c r="E588" s="761"/>
      <c r="O588" s="539"/>
      <c r="AD588" s="615"/>
    </row>
    <row r="589" spans="3:30" ht="19.899999999999999" customHeight="1">
      <c r="C589" s="761"/>
      <c r="E589" s="761"/>
      <c r="O589" s="539"/>
      <c r="AD589" s="615"/>
    </row>
    <row r="590" spans="3:30" ht="19.899999999999999" customHeight="1">
      <c r="C590" s="761"/>
      <c r="E590" s="761"/>
      <c r="O590" s="539"/>
      <c r="AD590" s="615"/>
    </row>
    <row r="591" spans="3:30" ht="19.899999999999999" customHeight="1">
      <c r="C591" s="761"/>
      <c r="E591" s="761"/>
      <c r="O591" s="539"/>
      <c r="AD591" s="615"/>
    </row>
    <row r="592" spans="3:30" ht="19.899999999999999" customHeight="1">
      <c r="C592" s="761"/>
      <c r="E592" s="761"/>
      <c r="O592" s="539"/>
      <c r="AD592" s="615"/>
    </row>
    <row r="593" spans="3:30" ht="19.899999999999999" customHeight="1">
      <c r="C593" s="761"/>
      <c r="E593" s="761"/>
      <c r="O593" s="539"/>
      <c r="AD593" s="615"/>
    </row>
    <row r="594" spans="3:30" ht="19.899999999999999" customHeight="1">
      <c r="C594" s="761"/>
      <c r="E594" s="761"/>
      <c r="O594" s="539"/>
      <c r="AD594" s="615"/>
    </row>
    <row r="595" spans="3:30" ht="19.899999999999999" customHeight="1">
      <c r="C595" s="761"/>
      <c r="E595" s="761"/>
      <c r="O595" s="539"/>
      <c r="AD595" s="615"/>
    </row>
    <row r="596" spans="3:30" ht="19.899999999999999" customHeight="1">
      <c r="C596" s="761"/>
      <c r="E596" s="761"/>
      <c r="O596" s="539"/>
      <c r="AD596" s="615"/>
    </row>
    <row r="597" spans="3:30" ht="19.899999999999999" customHeight="1">
      <c r="C597" s="761"/>
      <c r="E597" s="761"/>
      <c r="O597" s="539"/>
      <c r="AD597" s="615"/>
    </row>
    <row r="598" spans="3:30" ht="19.899999999999999" customHeight="1">
      <c r="C598" s="761"/>
      <c r="E598" s="761"/>
      <c r="O598" s="539"/>
      <c r="AD598" s="615"/>
    </row>
    <row r="599" spans="3:30" ht="19.899999999999999" customHeight="1">
      <c r="C599" s="761"/>
      <c r="E599" s="761"/>
      <c r="O599" s="539"/>
      <c r="AD599" s="615"/>
    </row>
    <row r="600" spans="3:30" ht="19.899999999999999" customHeight="1">
      <c r="C600" s="761"/>
      <c r="E600" s="761"/>
      <c r="O600" s="539"/>
      <c r="AD600" s="615"/>
    </row>
    <row r="601" spans="3:30" ht="19.899999999999999" customHeight="1">
      <c r="C601" s="761"/>
      <c r="E601" s="761"/>
      <c r="O601" s="539"/>
      <c r="AD601" s="615"/>
    </row>
    <row r="602" spans="3:30" ht="19.899999999999999" customHeight="1">
      <c r="C602" s="761"/>
      <c r="E602" s="761"/>
      <c r="O602" s="539"/>
      <c r="AD602" s="615"/>
    </row>
    <row r="603" spans="3:30" ht="19.899999999999999" customHeight="1">
      <c r="C603" s="761"/>
      <c r="E603" s="761"/>
      <c r="O603" s="539"/>
      <c r="AD603" s="615"/>
    </row>
    <row r="604" spans="3:30" ht="19.899999999999999" customHeight="1">
      <c r="C604" s="761"/>
      <c r="E604" s="761"/>
      <c r="O604" s="539"/>
      <c r="AD604" s="615"/>
    </row>
    <row r="605" spans="3:30" ht="19.899999999999999" customHeight="1">
      <c r="C605" s="761"/>
      <c r="E605" s="761"/>
      <c r="O605" s="539"/>
      <c r="AD605" s="615"/>
    </row>
    <row r="606" spans="3:30" ht="19.899999999999999" customHeight="1">
      <c r="C606" s="761"/>
      <c r="E606" s="761"/>
      <c r="O606" s="539"/>
      <c r="AD606" s="615"/>
    </row>
    <row r="607" spans="3:30" ht="19.899999999999999" customHeight="1">
      <c r="C607" s="761"/>
      <c r="E607" s="761"/>
      <c r="O607" s="539"/>
      <c r="AD607" s="615"/>
    </row>
    <row r="608" spans="3:30" ht="19.899999999999999" customHeight="1">
      <c r="C608" s="761"/>
      <c r="E608" s="761"/>
      <c r="O608" s="539"/>
      <c r="AD608" s="615"/>
    </row>
    <row r="609" spans="3:30" ht="19.899999999999999" customHeight="1">
      <c r="C609" s="761"/>
      <c r="E609" s="761"/>
      <c r="O609" s="539"/>
      <c r="AD609" s="615"/>
    </row>
    <row r="610" spans="3:30" ht="19.899999999999999" customHeight="1">
      <c r="C610" s="761"/>
      <c r="E610" s="761"/>
      <c r="O610" s="539"/>
      <c r="AD610" s="615"/>
    </row>
    <row r="611" spans="3:30" ht="19.899999999999999" customHeight="1">
      <c r="C611" s="761"/>
      <c r="E611" s="761"/>
      <c r="O611" s="539"/>
      <c r="AD611" s="615"/>
    </row>
    <row r="612" spans="3:30" ht="19.899999999999999" customHeight="1">
      <c r="C612" s="761"/>
      <c r="E612" s="761"/>
      <c r="O612" s="539"/>
      <c r="AD612" s="615"/>
    </row>
    <row r="613" spans="3:30" ht="19.899999999999999" customHeight="1">
      <c r="C613" s="761"/>
      <c r="E613" s="761"/>
      <c r="O613" s="539"/>
      <c r="AD613" s="615"/>
    </row>
    <row r="614" spans="3:30" ht="19.899999999999999" customHeight="1">
      <c r="C614" s="761"/>
      <c r="E614" s="761"/>
      <c r="O614" s="539"/>
      <c r="AD614" s="615"/>
    </row>
    <row r="615" spans="3:30" ht="19.899999999999999" customHeight="1">
      <c r="C615" s="761"/>
      <c r="E615" s="761"/>
      <c r="O615" s="539"/>
      <c r="AD615" s="615"/>
    </row>
    <row r="616" spans="3:30" ht="19.899999999999999" customHeight="1">
      <c r="C616" s="761"/>
      <c r="E616" s="761"/>
      <c r="O616" s="539"/>
      <c r="AD616" s="615"/>
    </row>
    <row r="617" spans="3:30" ht="19.899999999999999" customHeight="1">
      <c r="C617" s="761"/>
      <c r="E617" s="761"/>
      <c r="O617" s="539"/>
      <c r="AD617" s="615"/>
    </row>
    <row r="618" spans="3:30" ht="19.899999999999999" customHeight="1">
      <c r="C618" s="761"/>
      <c r="E618" s="761"/>
      <c r="O618" s="539"/>
      <c r="AD618" s="615"/>
    </row>
    <row r="619" spans="3:30" ht="19.899999999999999" customHeight="1">
      <c r="C619" s="761"/>
      <c r="E619" s="761"/>
      <c r="O619" s="539"/>
      <c r="AD619" s="615"/>
    </row>
    <row r="620" spans="3:30" ht="19.899999999999999" customHeight="1">
      <c r="C620" s="761"/>
      <c r="E620" s="761"/>
      <c r="O620" s="539"/>
      <c r="AD620" s="615"/>
    </row>
    <row r="621" spans="3:30" ht="19.899999999999999" customHeight="1">
      <c r="C621" s="761"/>
      <c r="E621" s="761"/>
      <c r="O621" s="539"/>
      <c r="AD621" s="615"/>
    </row>
    <row r="622" spans="3:30" ht="19.899999999999999" customHeight="1">
      <c r="C622" s="761"/>
      <c r="E622" s="761"/>
      <c r="O622" s="539"/>
      <c r="AD622" s="615"/>
    </row>
    <row r="623" spans="3:30" ht="19.899999999999999" customHeight="1">
      <c r="C623" s="761"/>
      <c r="E623" s="761"/>
      <c r="O623" s="539"/>
      <c r="AD623" s="615"/>
    </row>
    <row r="624" spans="3:30" ht="19.899999999999999" customHeight="1">
      <c r="C624" s="761"/>
      <c r="E624" s="761"/>
      <c r="O624" s="539"/>
      <c r="AD624" s="615"/>
    </row>
    <row r="625" spans="3:30" ht="19.899999999999999" customHeight="1">
      <c r="C625" s="761"/>
      <c r="E625" s="761"/>
      <c r="O625" s="539"/>
      <c r="AD625" s="615"/>
    </row>
    <row r="626" spans="3:30" ht="19.899999999999999" customHeight="1">
      <c r="C626" s="761"/>
      <c r="E626" s="761"/>
      <c r="O626" s="539"/>
      <c r="AD626" s="615"/>
    </row>
    <row r="627" spans="3:30" ht="19.899999999999999" customHeight="1">
      <c r="C627" s="761"/>
      <c r="E627" s="761"/>
      <c r="O627" s="539"/>
      <c r="AD627" s="615"/>
    </row>
    <row r="628" spans="3:30" ht="19.899999999999999" customHeight="1">
      <c r="C628" s="761"/>
      <c r="E628" s="761"/>
      <c r="O628" s="539"/>
      <c r="AD628" s="615"/>
    </row>
    <row r="629" spans="3:30" ht="19.899999999999999" customHeight="1">
      <c r="C629" s="761"/>
      <c r="E629" s="761"/>
      <c r="O629" s="539"/>
      <c r="AD629" s="615"/>
    </row>
    <row r="630" spans="3:30" ht="19.899999999999999" customHeight="1">
      <c r="C630" s="761"/>
      <c r="E630" s="761"/>
      <c r="O630" s="539"/>
      <c r="AD630" s="615"/>
    </row>
    <row r="631" spans="3:30" ht="19.899999999999999" customHeight="1">
      <c r="C631" s="761"/>
      <c r="E631" s="761"/>
      <c r="O631" s="539"/>
      <c r="AD631" s="615"/>
    </row>
    <row r="632" spans="3:30" ht="19.899999999999999" customHeight="1">
      <c r="C632" s="761"/>
      <c r="E632" s="761"/>
      <c r="O632" s="539"/>
      <c r="AD632" s="615"/>
    </row>
    <row r="633" spans="3:30" ht="19.899999999999999" customHeight="1">
      <c r="C633" s="761"/>
      <c r="E633" s="761"/>
      <c r="O633" s="539"/>
      <c r="AD633" s="615"/>
    </row>
    <row r="634" spans="3:30" ht="19.899999999999999" customHeight="1">
      <c r="C634" s="761"/>
      <c r="E634" s="761"/>
      <c r="O634" s="539"/>
      <c r="AD634" s="615"/>
    </row>
    <row r="635" spans="3:30" ht="19.899999999999999" customHeight="1">
      <c r="C635" s="761"/>
      <c r="E635" s="761"/>
      <c r="O635" s="539"/>
      <c r="AD635" s="615"/>
    </row>
    <row r="636" spans="3:30" ht="19.899999999999999" customHeight="1">
      <c r="C636" s="761"/>
      <c r="E636" s="761"/>
      <c r="O636" s="539"/>
      <c r="AD636" s="615"/>
    </row>
    <row r="637" spans="3:30" ht="19.899999999999999" customHeight="1">
      <c r="C637" s="761"/>
      <c r="E637" s="761"/>
      <c r="O637" s="539"/>
      <c r="AD637" s="615"/>
    </row>
    <row r="638" spans="3:30" ht="19.899999999999999" customHeight="1">
      <c r="C638" s="761"/>
      <c r="E638" s="761"/>
      <c r="O638" s="539"/>
      <c r="AD638" s="615"/>
    </row>
    <row r="639" spans="3:30" ht="19.899999999999999" customHeight="1">
      <c r="C639" s="761"/>
      <c r="E639" s="761"/>
      <c r="O639" s="539"/>
      <c r="AD639" s="615"/>
    </row>
    <row r="640" spans="3:30" ht="19.899999999999999" customHeight="1">
      <c r="C640" s="761"/>
      <c r="E640" s="761"/>
      <c r="O640" s="539"/>
      <c r="AD640" s="615"/>
    </row>
    <row r="641" spans="3:30" ht="19.899999999999999" customHeight="1">
      <c r="C641" s="761"/>
      <c r="E641" s="761"/>
      <c r="O641" s="539"/>
      <c r="AD641" s="615"/>
    </row>
    <row r="642" spans="3:30" ht="19.899999999999999" customHeight="1">
      <c r="C642" s="761"/>
      <c r="E642" s="761"/>
      <c r="O642" s="539"/>
      <c r="AD642" s="615"/>
    </row>
    <row r="643" spans="3:30" ht="19.899999999999999" customHeight="1">
      <c r="C643" s="761"/>
      <c r="E643" s="761"/>
      <c r="O643" s="539"/>
      <c r="AD643" s="615"/>
    </row>
    <row r="644" spans="3:30" ht="19.899999999999999" customHeight="1">
      <c r="C644" s="761"/>
      <c r="E644" s="761"/>
      <c r="O644" s="539"/>
      <c r="AD644" s="615"/>
    </row>
    <row r="645" spans="3:30" ht="19.899999999999999" customHeight="1">
      <c r="C645" s="761"/>
      <c r="E645" s="761"/>
      <c r="O645" s="539"/>
      <c r="AD645" s="615"/>
    </row>
    <row r="646" spans="3:30" ht="19.899999999999999" customHeight="1">
      <c r="C646" s="761"/>
      <c r="E646" s="761"/>
      <c r="O646" s="539"/>
      <c r="AD646" s="615"/>
    </row>
    <row r="647" spans="3:30" ht="19.899999999999999" customHeight="1">
      <c r="C647" s="761"/>
      <c r="E647" s="761"/>
      <c r="O647" s="539"/>
      <c r="AD647" s="615"/>
    </row>
    <row r="648" spans="3:30" ht="19.899999999999999" customHeight="1">
      <c r="C648" s="761"/>
      <c r="E648" s="761"/>
      <c r="O648" s="539"/>
      <c r="AD648" s="615"/>
    </row>
    <row r="649" spans="3:30" ht="19.899999999999999" customHeight="1">
      <c r="C649" s="761"/>
      <c r="E649" s="761"/>
      <c r="O649" s="539"/>
      <c r="AD649" s="615"/>
    </row>
    <row r="650" spans="3:30" ht="19.899999999999999" customHeight="1">
      <c r="C650" s="761"/>
      <c r="E650" s="761"/>
      <c r="O650" s="539"/>
      <c r="AD650" s="615"/>
    </row>
    <row r="651" spans="3:30" ht="19.899999999999999" customHeight="1">
      <c r="C651" s="761"/>
      <c r="E651" s="761"/>
      <c r="O651" s="539"/>
      <c r="AD651" s="615"/>
    </row>
    <row r="652" spans="3:30" ht="19.899999999999999" customHeight="1">
      <c r="C652" s="761"/>
      <c r="E652" s="761"/>
      <c r="O652" s="539"/>
      <c r="AD652" s="615"/>
    </row>
    <row r="653" spans="3:30" ht="19.899999999999999" customHeight="1">
      <c r="C653" s="761"/>
      <c r="E653" s="761"/>
      <c r="O653" s="539"/>
      <c r="AD653" s="615"/>
    </row>
    <row r="654" spans="3:30" ht="19.899999999999999" customHeight="1">
      <c r="C654" s="761"/>
      <c r="E654" s="761"/>
      <c r="O654" s="539"/>
      <c r="AD654" s="615"/>
    </row>
    <row r="655" spans="3:30" ht="19.899999999999999" customHeight="1">
      <c r="C655" s="761"/>
      <c r="E655" s="761"/>
      <c r="O655" s="539"/>
      <c r="AD655" s="615"/>
    </row>
    <row r="656" spans="3:30" ht="19.899999999999999" customHeight="1">
      <c r="C656" s="761"/>
      <c r="E656" s="761"/>
      <c r="O656" s="539"/>
      <c r="AD656" s="615"/>
    </row>
    <row r="657" spans="3:30" ht="19.899999999999999" customHeight="1">
      <c r="C657" s="761"/>
      <c r="E657" s="761"/>
      <c r="O657" s="539"/>
      <c r="AD657" s="615"/>
    </row>
    <row r="658" spans="3:30" ht="19.899999999999999" customHeight="1">
      <c r="C658" s="761"/>
      <c r="E658" s="761"/>
      <c r="O658" s="539"/>
      <c r="AD658" s="615"/>
    </row>
    <row r="659" spans="3:30" ht="19.899999999999999" customHeight="1">
      <c r="C659" s="761"/>
      <c r="E659" s="761"/>
      <c r="O659" s="539"/>
      <c r="AD659" s="615"/>
    </row>
    <row r="660" spans="3:30" ht="19.899999999999999" customHeight="1">
      <c r="C660" s="761"/>
      <c r="E660" s="761"/>
      <c r="O660" s="539"/>
      <c r="AD660" s="615"/>
    </row>
    <row r="661" spans="3:30" ht="19.899999999999999" customHeight="1">
      <c r="C661" s="761"/>
      <c r="E661" s="761"/>
      <c r="O661" s="539"/>
      <c r="AD661" s="615"/>
    </row>
    <row r="662" spans="3:30" ht="19.899999999999999" customHeight="1">
      <c r="C662" s="761"/>
      <c r="E662" s="761"/>
      <c r="O662" s="539"/>
      <c r="AD662" s="615"/>
    </row>
    <row r="663" spans="3:30" ht="19.899999999999999" customHeight="1">
      <c r="C663" s="761"/>
      <c r="E663" s="761"/>
      <c r="O663" s="539"/>
      <c r="AD663" s="615"/>
    </row>
    <row r="664" spans="3:30" ht="19.899999999999999" customHeight="1">
      <c r="C664" s="761"/>
      <c r="E664" s="761"/>
      <c r="O664" s="539"/>
      <c r="AD664" s="615"/>
    </row>
    <row r="665" spans="3:30" ht="19.899999999999999" customHeight="1">
      <c r="C665" s="761"/>
      <c r="E665" s="761"/>
      <c r="O665" s="539"/>
      <c r="AD665" s="615"/>
    </row>
    <row r="666" spans="3:30" ht="19.899999999999999" customHeight="1">
      <c r="C666" s="761"/>
      <c r="E666" s="761"/>
      <c r="O666" s="539"/>
      <c r="AD666" s="615"/>
    </row>
    <row r="667" spans="3:30" ht="19.899999999999999" customHeight="1">
      <c r="C667" s="761"/>
      <c r="E667" s="761"/>
      <c r="O667" s="539"/>
      <c r="AD667" s="615"/>
    </row>
    <row r="668" spans="3:30" ht="19.899999999999999" customHeight="1">
      <c r="C668" s="761"/>
      <c r="E668" s="761"/>
      <c r="O668" s="539"/>
      <c r="AD668" s="615"/>
    </row>
    <row r="669" spans="3:30" ht="19.899999999999999" customHeight="1">
      <c r="C669" s="761"/>
      <c r="E669" s="761"/>
      <c r="O669" s="539"/>
      <c r="AD669" s="615"/>
    </row>
    <row r="670" spans="3:30" ht="19.899999999999999" customHeight="1">
      <c r="C670" s="761"/>
      <c r="E670" s="761"/>
      <c r="O670" s="539"/>
      <c r="AD670" s="615"/>
    </row>
    <row r="671" spans="3:30" ht="19.899999999999999" customHeight="1">
      <c r="C671" s="761"/>
      <c r="E671" s="761"/>
      <c r="O671" s="539"/>
      <c r="AD671" s="615"/>
    </row>
    <row r="672" spans="3:30" ht="19.899999999999999" customHeight="1">
      <c r="C672" s="761"/>
      <c r="E672" s="761"/>
      <c r="O672" s="539"/>
      <c r="AD672" s="615"/>
    </row>
    <row r="673" spans="3:30" ht="19.899999999999999" customHeight="1">
      <c r="C673" s="761"/>
      <c r="E673" s="761"/>
      <c r="O673" s="539"/>
      <c r="AD673" s="615"/>
    </row>
    <row r="674" spans="3:30" ht="19.899999999999999" customHeight="1">
      <c r="C674" s="761"/>
      <c r="E674" s="761"/>
      <c r="O674" s="539"/>
      <c r="AD674" s="615"/>
    </row>
    <row r="675" spans="3:30" ht="19.899999999999999" customHeight="1">
      <c r="C675" s="761"/>
      <c r="E675" s="761"/>
      <c r="O675" s="539"/>
      <c r="AD675" s="615"/>
    </row>
    <row r="676" spans="3:30" ht="19.899999999999999" customHeight="1">
      <c r="C676" s="761"/>
      <c r="E676" s="761"/>
      <c r="O676" s="539"/>
      <c r="AD676" s="615"/>
    </row>
    <row r="677" spans="3:30" ht="19.899999999999999" customHeight="1">
      <c r="C677" s="761"/>
      <c r="E677" s="761"/>
      <c r="O677" s="539"/>
      <c r="AD677" s="615"/>
    </row>
    <row r="678" spans="3:30" ht="19.899999999999999" customHeight="1">
      <c r="C678" s="761"/>
      <c r="E678" s="761"/>
      <c r="O678" s="539"/>
      <c r="AD678" s="615"/>
    </row>
    <row r="679" spans="3:30" ht="19.899999999999999" customHeight="1">
      <c r="C679" s="761"/>
      <c r="E679" s="761"/>
      <c r="O679" s="539"/>
      <c r="AD679" s="615"/>
    </row>
    <row r="680" spans="3:30" ht="19.899999999999999" customHeight="1">
      <c r="C680" s="761"/>
      <c r="E680" s="761"/>
      <c r="O680" s="539"/>
      <c r="AD680" s="615"/>
    </row>
    <row r="681" spans="3:30" ht="19.899999999999999" customHeight="1">
      <c r="C681" s="761"/>
      <c r="E681" s="761"/>
      <c r="O681" s="539"/>
      <c r="AD681" s="615"/>
    </row>
    <row r="682" spans="3:30" ht="19.899999999999999" customHeight="1">
      <c r="C682" s="761"/>
      <c r="E682" s="761"/>
      <c r="O682" s="539"/>
      <c r="AD682" s="615"/>
    </row>
    <row r="683" spans="3:30" ht="19.899999999999999" customHeight="1">
      <c r="C683" s="761"/>
      <c r="E683" s="761"/>
      <c r="O683" s="539"/>
      <c r="AD683" s="615"/>
    </row>
    <row r="684" spans="3:30" ht="19.899999999999999" customHeight="1">
      <c r="C684" s="761"/>
      <c r="E684" s="761"/>
      <c r="O684" s="539"/>
      <c r="AD684" s="615"/>
    </row>
    <row r="685" spans="3:30" ht="19.899999999999999" customHeight="1">
      <c r="C685" s="761"/>
      <c r="E685" s="761"/>
      <c r="O685" s="539"/>
      <c r="AD685" s="615"/>
    </row>
    <row r="686" spans="3:30" ht="19.899999999999999" customHeight="1">
      <c r="C686" s="761"/>
      <c r="E686" s="761"/>
      <c r="O686" s="539"/>
      <c r="AD686" s="615"/>
    </row>
    <row r="687" spans="3:30" ht="19.899999999999999" customHeight="1">
      <c r="C687" s="761"/>
      <c r="E687" s="761"/>
      <c r="O687" s="539"/>
      <c r="AD687" s="615"/>
    </row>
    <row r="688" spans="3:30" ht="19.899999999999999" customHeight="1">
      <c r="C688" s="761"/>
      <c r="E688" s="761"/>
      <c r="O688" s="539"/>
      <c r="AD688" s="615"/>
    </row>
    <row r="689" spans="3:30" ht="19.899999999999999" customHeight="1">
      <c r="C689" s="761"/>
      <c r="E689" s="761"/>
      <c r="O689" s="539"/>
      <c r="AD689" s="615"/>
    </row>
    <row r="690" spans="3:30" ht="19.899999999999999" customHeight="1">
      <c r="C690" s="761"/>
      <c r="E690" s="761"/>
      <c r="O690" s="539"/>
      <c r="AD690" s="615"/>
    </row>
    <row r="691" spans="3:30" ht="19.899999999999999" customHeight="1">
      <c r="C691" s="761"/>
      <c r="E691" s="761"/>
      <c r="O691" s="539"/>
      <c r="AD691" s="615"/>
    </row>
    <row r="692" spans="3:30" ht="19.899999999999999" customHeight="1">
      <c r="C692" s="761"/>
      <c r="E692" s="761"/>
      <c r="O692" s="539"/>
      <c r="AD692" s="615"/>
    </row>
    <row r="693" spans="3:30" ht="19.899999999999999" customHeight="1">
      <c r="C693" s="761"/>
      <c r="E693" s="761"/>
      <c r="O693" s="539"/>
      <c r="AD693" s="615"/>
    </row>
    <row r="694" spans="3:30" ht="19.899999999999999" customHeight="1">
      <c r="C694" s="761"/>
      <c r="E694" s="761"/>
      <c r="O694" s="539"/>
      <c r="AD694" s="615"/>
    </row>
    <row r="695" spans="3:30" ht="19.899999999999999" customHeight="1">
      <c r="C695" s="761"/>
      <c r="E695" s="761"/>
      <c r="O695" s="539"/>
      <c r="AD695" s="615"/>
    </row>
    <row r="696" spans="3:30" ht="19.899999999999999" customHeight="1">
      <c r="C696" s="761"/>
      <c r="E696" s="761"/>
      <c r="O696" s="539"/>
      <c r="AD696" s="615"/>
    </row>
    <row r="697" spans="3:30" ht="19.899999999999999" customHeight="1">
      <c r="C697" s="761"/>
      <c r="E697" s="761"/>
      <c r="O697" s="539"/>
      <c r="AD697" s="615"/>
    </row>
    <row r="698" spans="3:30" ht="19.899999999999999" customHeight="1">
      <c r="C698" s="761"/>
      <c r="E698" s="761"/>
      <c r="O698" s="539"/>
      <c r="AD698" s="615"/>
    </row>
    <row r="699" spans="3:30" ht="19.899999999999999" customHeight="1">
      <c r="C699" s="761"/>
      <c r="E699" s="761"/>
      <c r="O699" s="539"/>
      <c r="AD699" s="615"/>
    </row>
    <row r="700" spans="3:30" ht="19.899999999999999" customHeight="1">
      <c r="C700" s="761"/>
      <c r="E700" s="761"/>
      <c r="O700" s="539"/>
      <c r="AD700" s="615"/>
    </row>
    <row r="701" spans="3:30" ht="19.899999999999999" customHeight="1">
      <c r="C701" s="761"/>
      <c r="E701" s="761"/>
      <c r="O701" s="539"/>
      <c r="AD701" s="615"/>
    </row>
    <row r="702" spans="3:30" ht="19.899999999999999" customHeight="1">
      <c r="C702" s="761"/>
      <c r="E702" s="761"/>
      <c r="O702" s="539"/>
      <c r="AD702" s="615"/>
    </row>
    <row r="703" spans="3:30" ht="19.899999999999999" customHeight="1">
      <c r="C703" s="761"/>
      <c r="E703" s="761"/>
      <c r="O703" s="539"/>
      <c r="AD703" s="615"/>
    </row>
    <row r="704" spans="3:30" ht="19.899999999999999" customHeight="1">
      <c r="C704" s="761"/>
      <c r="E704" s="761"/>
      <c r="O704" s="539"/>
      <c r="AD704" s="615"/>
    </row>
    <row r="705" spans="3:30" ht="19.899999999999999" customHeight="1">
      <c r="C705" s="761"/>
      <c r="E705" s="761"/>
      <c r="O705" s="539"/>
      <c r="AD705" s="615"/>
    </row>
    <row r="706" spans="3:30" ht="19.899999999999999" customHeight="1">
      <c r="C706" s="761"/>
      <c r="E706" s="761"/>
      <c r="O706" s="539"/>
      <c r="AD706" s="615"/>
    </row>
    <row r="707" spans="3:30" ht="19.899999999999999" customHeight="1">
      <c r="C707" s="761"/>
      <c r="E707" s="761"/>
      <c r="O707" s="539"/>
      <c r="AD707" s="615"/>
    </row>
    <row r="708" spans="3:30" ht="19.899999999999999" customHeight="1">
      <c r="C708" s="761"/>
      <c r="E708" s="761"/>
      <c r="O708" s="539"/>
      <c r="AD708" s="615"/>
    </row>
    <row r="709" spans="3:30" ht="19.899999999999999" customHeight="1">
      <c r="C709" s="761"/>
      <c r="E709" s="761"/>
      <c r="O709" s="539"/>
      <c r="AD709" s="615"/>
    </row>
    <row r="710" spans="3:30" ht="19.899999999999999" customHeight="1">
      <c r="C710" s="761"/>
      <c r="E710" s="761"/>
      <c r="O710" s="539"/>
      <c r="AD710" s="615"/>
    </row>
    <row r="711" spans="3:30" ht="19.899999999999999" customHeight="1">
      <c r="C711" s="761"/>
      <c r="E711" s="761"/>
      <c r="O711" s="539"/>
      <c r="AD711" s="615"/>
    </row>
    <row r="712" spans="3:30" ht="19.899999999999999" customHeight="1">
      <c r="C712" s="761"/>
      <c r="E712" s="761"/>
      <c r="O712" s="539"/>
      <c r="AD712" s="615"/>
    </row>
    <row r="713" spans="3:30" ht="19.899999999999999" customHeight="1">
      <c r="C713" s="761"/>
      <c r="E713" s="761"/>
      <c r="O713" s="539"/>
      <c r="AD713" s="615"/>
    </row>
    <row r="714" spans="3:30" ht="19.899999999999999" customHeight="1">
      <c r="C714" s="761"/>
      <c r="E714" s="761"/>
      <c r="O714" s="539"/>
      <c r="AD714" s="615"/>
    </row>
    <row r="715" spans="3:30" ht="19.899999999999999" customHeight="1">
      <c r="C715" s="761"/>
      <c r="E715" s="761"/>
      <c r="O715" s="539"/>
      <c r="AD715" s="615"/>
    </row>
    <row r="716" spans="3:30" ht="19.899999999999999" customHeight="1">
      <c r="C716" s="761"/>
      <c r="E716" s="761"/>
      <c r="O716" s="539"/>
      <c r="AD716" s="615"/>
    </row>
    <row r="717" spans="3:30" ht="19.899999999999999" customHeight="1">
      <c r="C717" s="761"/>
      <c r="E717" s="761"/>
      <c r="O717" s="539"/>
      <c r="AD717" s="615"/>
    </row>
    <row r="718" spans="3:30" ht="19.899999999999999" customHeight="1">
      <c r="C718" s="761"/>
      <c r="E718" s="761"/>
      <c r="O718" s="539"/>
      <c r="AD718" s="615"/>
    </row>
    <row r="719" spans="3:30" ht="19.899999999999999" customHeight="1">
      <c r="C719" s="761"/>
      <c r="E719" s="761"/>
      <c r="O719" s="539"/>
      <c r="AD719" s="615"/>
    </row>
    <row r="720" spans="3:30" ht="19.899999999999999" customHeight="1">
      <c r="C720" s="761"/>
      <c r="E720" s="761"/>
      <c r="O720" s="539"/>
      <c r="AD720" s="615"/>
    </row>
    <row r="721" spans="3:30" ht="19.899999999999999" customHeight="1">
      <c r="C721" s="761"/>
      <c r="E721" s="761"/>
      <c r="O721" s="539"/>
      <c r="AD721" s="615"/>
    </row>
    <row r="722" spans="3:30" ht="19.899999999999999" customHeight="1">
      <c r="C722" s="761"/>
      <c r="E722" s="761"/>
      <c r="O722" s="539"/>
      <c r="AD722" s="615"/>
    </row>
    <row r="723" spans="3:30" ht="19.899999999999999" customHeight="1">
      <c r="C723" s="761"/>
      <c r="E723" s="761"/>
      <c r="O723" s="539"/>
      <c r="AD723" s="615"/>
    </row>
    <row r="724" spans="3:30" ht="19.899999999999999" customHeight="1">
      <c r="C724" s="761"/>
      <c r="E724" s="761"/>
      <c r="O724" s="539"/>
      <c r="AD724" s="615"/>
    </row>
    <row r="725" spans="3:30" ht="19.899999999999999" customHeight="1">
      <c r="C725" s="761"/>
      <c r="E725" s="761"/>
      <c r="O725" s="539"/>
      <c r="AD725" s="615"/>
    </row>
    <row r="726" spans="3:30" ht="19.899999999999999" customHeight="1">
      <c r="C726" s="761"/>
      <c r="E726" s="761"/>
      <c r="O726" s="539"/>
      <c r="AD726" s="615"/>
    </row>
    <row r="727" spans="3:30" ht="19.899999999999999" customHeight="1">
      <c r="C727" s="761"/>
      <c r="E727" s="761"/>
      <c r="O727" s="539"/>
      <c r="AD727" s="615"/>
    </row>
    <row r="728" spans="3:30" ht="19.899999999999999" customHeight="1">
      <c r="C728" s="761"/>
      <c r="E728" s="761"/>
      <c r="O728" s="539"/>
      <c r="AD728" s="615"/>
    </row>
    <row r="729" spans="3:30" ht="19.899999999999999" customHeight="1">
      <c r="C729" s="761"/>
      <c r="E729" s="761"/>
      <c r="O729" s="539"/>
      <c r="AD729" s="615"/>
    </row>
    <row r="730" spans="3:30" ht="19.899999999999999" customHeight="1">
      <c r="C730" s="761"/>
      <c r="E730" s="761"/>
      <c r="O730" s="539"/>
      <c r="AD730" s="615"/>
    </row>
    <row r="731" spans="3:30" ht="19.899999999999999" customHeight="1">
      <c r="C731" s="761"/>
      <c r="E731" s="761"/>
      <c r="O731" s="539"/>
      <c r="AD731" s="615"/>
    </row>
    <row r="732" spans="3:30" ht="19.899999999999999" customHeight="1">
      <c r="C732" s="761"/>
      <c r="E732" s="761"/>
      <c r="O732" s="539"/>
      <c r="AD732" s="615"/>
    </row>
    <row r="733" spans="3:30" ht="19.899999999999999" customHeight="1">
      <c r="C733" s="761"/>
      <c r="E733" s="761"/>
      <c r="O733" s="539"/>
      <c r="AD733" s="615"/>
    </row>
    <row r="734" spans="3:30" ht="19.899999999999999" customHeight="1">
      <c r="C734" s="761"/>
      <c r="E734" s="761"/>
      <c r="O734" s="539"/>
      <c r="AD734" s="615"/>
    </row>
    <row r="735" spans="3:30" ht="19.899999999999999" customHeight="1">
      <c r="C735" s="761"/>
      <c r="E735" s="761"/>
      <c r="O735" s="539"/>
      <c r="AD735" s="615"/>
    </row>
    <row r="736" spans="3:30" ht="19.899999999999999" customHeight="1">
      <c r="C736" s="761"/>
      <c r="E736" s="761"/>
      <c r="O736" s="539"/>
      <c r="AD736" s="615"/>
    </row>
    <row r="737" spans="3:30" ht="19.899999999999999" customHeight="1">
      <c r="C737" s="761"/>
      <c r="E737" s="761"/>
      <c r="O737" s="539"/>
      <c r="AD737" s="615"/>
    </row>
    <row r="738" spans="3:30" ht="19.899999999999999" customHeight="1">
      <c r="C738" s="761"/>
      <c r="E738" s="761"/>
      <c r="O738" s="539"/>
      <c r="AD738" s="615"/>
    </row>
    <row r="739" spans="3:30" ht="19.899999999999999" customHeight="1">
      <c r="C739" s="761"/>
      <c r="E739" s="761"/>
      <c r="O739" s="539"/>
      <c r="AD739" s="615"/>
    </row>
    <row r="740" spans="3:30" ht="19.899999999999999" customHeight="1">
      <c r="C740" s="761"/>
      <c r="E740" s="761"/>
      <c r="O740" s="539"/>
      <c r="AD740" s="615"/>
    </row>
    <row r="741" spans="3:30" ht="19.899999999999999" customHeight="1">
      <c r="C741" s="761"/>
      <c r="E741" s="761"/>
      <c r="O741" s="539"/>
      <c r="AD741" s="615"/>
    </row>
    <row r="742" spans="3:30" ht="19.899999999999999" customHeight="1">
      <c r="C742" s="761"/>
      <c r="E742" s="761"/>
      <c r="O742" s="539"/>
      <c r="AD742" s="615"/>
    </row>
    <row r="743" spans="3:30" ht="19.899999999999999" customHeight="1">
      <c r="C743" s="761"/>
      <c r="E743" s="761"/>
      <c r="O743" s="539"/>
      <c r="AD743" s="615"/>
    </row>
    <row r="744" spans="3:30" ht="19.899999999999999" customHeight="1">
      <c r="C744" s="761"/>
      <c r="E744" s="761"/>
      <c r="O744" s="539"/>
      <c r="AD744" s="615"/>
    </row>
    <row r="745" spans="3:30" ht="19.899999999999999" customHeight="1">
      <c r="C745" s="761"/>
      <c r="E745" s="761"/>
      <c r="O745" s="539"/>
      <c r="AD745" s="615"/>
    </row>
    <row r="746" spans="3:30" ht="19.899999999999999" customHeight="1">
      <c r="C746" s="761"/>
      <c r="E746" s="761"/>
      <c r="O746" s="539"/>
      <c r="AD746" s="615"/>
    </row>
    <row r="747" spans="3:30" ht="19.899999999999999" customHeight="1">
      <c r="C747" s="761"/>
      <c r="E747" s="761"/>
      <c r="O747" s="539"/>
      <c r="AD747" s="615"/>
    </row>
    <row r="748" spans="3:30" ht="19.899999999999999" customHeight="1">
      <c r="C748" s="761"/>
      <c r="E748" s="761"/>
      <c r="O748" s="539"/>
      <c r="AD748" s="615"/>
    </row>
    <row r="749" spans="3:30" ht="19.899999999999999" customHeight="1">
      <c r="C749" s="761"/>
      <c r="E749" s="761"/>
      <c r="O749" s="539"/>
      <c r="AD749" s="615"/>
    </row>
    <row r="750" spans="3:30" ht="19.899999999999999" customHeight="1">
      <c r="C750" s="761"/>
      <c r="E750" s="761"/>
      <c r="O750" s="539"/>
      <c r="AD750" s="615"/>
    </row>
    <row r="751" spans="3:30" ht="19.899999999999999" customHeight="1">
      <c r="C751" s="761"/>
      <c r="E751" s="761"/>
      <c r="O751" s="539"/>
      <c r="AD751" s="615"/>
    </row>
    <row r="752" spans="3:30" ht="19.899999999999999" customHeight="1">
      <c r="C752" s="761"/>
      <c r="E752" s="761"/>
      <c r="O752" s="539"/>
      <c r="AD752" s="615"/>
    </row>
    <row r="753" spans="3:30" ht="19.899999999999999" customHeight="1">
      <c r="C753" s="761"/>
      <c r="E753" s="761"/>
      <c r="O753" s="539"/>
      <c r="AD753" s="615"/>
    </row>
    <row r="754" spans="3:30" ht="19.899999999999999" customHeight="1">
      <c r="C754" s="761"/>
      <c r="E754" s="761"/>
      <c r="O754" s="539"/>
      <c r="AD754" s="615"/>
    </row>
    <row r="755" spans="3:30" ht="19.899999999999999" customHeight="1">
      <c r="C755" s="761"/>
      <c r="E755" s="761"/>
      <c r="O755" s="539"/>
      <c r="AD755" s="615"/>
    </row>
    <row r="756" spans="3:30" ht="19.899999999999999" customHeight="1">
      <c r="C756" s="761"/>
      <c r="E756" s="761"/>
      <c r="O756" s="539"/>
      <c r="AD756" s="615"/>
    </row>
    <row r="757" spans="3:30" ht="19.899999999999999" customHeight="1">
      <c r="C757" s="761"/>
      <c r="E757" s="761"/>
      <c r="O757" s="539"/>
      <c r="AD757" s="615"/>
    </row>
    <row r="758" spans="3:30" ht="19.899999999999999" customHeight="1">
      <c r="C758" s="761"/>
      <c r="E758" s="761"/>
      <c r="O758" s="539"/>
      <c r="AD758" s="615"/>
    </row>
    <row r="759" spans="3:30" ht="19.899999999999999" customHeight="1">
      <c r="C759" s="761"/>
      <c r="E759" s="761"/>
      <c r="O759" s="539"/>
      <c r="AD759" s="615"/>
    </row>
    <row r="760" spans="3:30" ht="19.899999999999999" customHeight="1">
      <c r="C760" s="761"/>
      <c r="E760" s="761"/>
      <c r="O760" s="539"/>
      <c r="AD760" s="615"/>
    </row>
    <row r="761" spans="3:30" ht="19.899999999999999" customHeight="1">
      <c r="C761" s="761"/>
      <c r="E761" s="761"/>
      <c r="O761" s="539"/>
      <c r="AD761" s="615"/>
    </row>
    <row r="762" spans="3:30" ht="19.899999999999999" customHeight="1">
      <c r="C762" s="761"/>
      <c r="E762" s="761"/>
      <c r="O762" s="539"/>
      <c r="AD762" s="615"/>
    </row>
    <row r="763" spans="3:30" ht="19.899999999999999" customHeight="1">
      <c r="C763" s="761"/>
      <c r="E763" s="761"/>
      <c r="O763" s="539"/>
      <c r="AD763" s="615"/>
    </row>
    <row r="764" spans="3:30" ht="19.899999999999999" customHeight="1">
      <c r="C764" s="761"/>
      <c r="E764" s="761"/>
      <c r="O764" s="539"/>
      <c r="AD764" s="615"/>
    </row>
    <row r="765" spans="3:30" ht="19.899999999999999" customHeight="1">
      <c r="C765" s="761"/>
      <c r="E765" s="761"/>
      <c r="O765" s="539"/>
      <c r="AD765" s="615"/>
    </row>
    <row r="766" spans="3:30" ht="19.899999999999999" customHeight="1">
      <c r="C766" s="761"/>
      <c r="E766" s="761"/>
      <c r="O766" s="539"/>
      <c r="AD766" s="615"/>
    </row>
    <row r="767" spans="3:30" ht="19.899999999999999" customHeight="1">
      <c r="C767" s="761"/>
      <c r="E767" s="761"/>
      <c r="O767" s="539"/>
      <c r="AD767" s="615"/>
    </row>
    <row r="768" spans="3:30" ht="19.899999999999999" customHeight="1">
      <c r="C768" s="761"/>
      <c r="E768" s="761"/>
      <c r="O768" s="539"/>
      <c r="AD768" s="615"/>
    </row>
    <row r="769" spans="3:30" ht="19.899999999999999" customHeight="1">
      <c r="C769" s="761"/>
      <c r="E769" s="761"/>
      <c r="O769" s="539"/>
      <c r="AD769" s="615"/>
    </row>
    <row r="770" spans="3:30" ht="19.899999999999999" customHeight="1">
      <c r="C770" s="761"/>
      <c r="E770" s="761"/>
      <c r="O770" s="539"/>
      <c r="AD770" s="615"/>
    </row>
    <row r="771" spans="3:30" ht="19.899999999999999" customHeight="1">
      <c r="C771" s="761"/>
      <c r="E771" s="761"/>
      <c r="O771" s="539"/>
      <c r="AD771" s="615"/>
    </row>
    <row r="772" spans="3:30" ht="19.899999999999999" customHeight="1">
      <c r="C772" s="761"/>
      <c r="E772" s="761"/>
      <c r="O772" s="539"/>
      <c r="AD772" s="615"/>
    </row>
    <row r="773" spans="3:30" ht="19.899999999999999" customHeight="1">
      <c r="C773" s="761"/>
      <c r="E773" s="761"/>
      <c r="O773" s="539"/>
      <c r="AD773" s="615"/>
    </row>
    <row r="774" spans="3:30" ht="19.899999999999999" customHeight="1">
      <c r="C774" s="761"/>
      <c r="E774" s="761"/>
      <c r="O774" s="539"/>
      <c r="AD774" s="615"/>
    </row>
    <row r="775" spans="3:30" ht="19.899999999999999" customHeight="1">
      <c r="C775" s="761"/>
      <c r="E775" s="761"/>
      <c r="O775" s="539"/>
      <c r="AD775" s="615"/>
    </row>
    <row r="776" spans="3:30" ht="19.899999999999999" customHeight="1">
      <c r="C776" s="761"/>
      <c r="E776" s="761"/>
      <c r="O776" s="539"/>
      <c r="AD776" s="615"/>
    </row>
    <row r="777" spans="3:30" ht="19.899999999999999" customHeight="1">
      <c r="C777" s="761"/>
      <c r="E777" s="761"/>
      <c r="O777" s="539"/>
      <c r="AD777" s="615"/>
    </row>
    <row r="778" spans="3:30" ht="19.899999999999999" customHeight="1">
      <c r="C778" s="761"/>
      <c r="E778" s="761"/>
      <c r="O778" s="539"/>
      <c r="AD778" s="615"/>
    </row>
    <row r="779" spans="3:30" ht="19.899999999999999" customHeight="1">
      <c r="C779" s="761"/>
      <c r="E779" s="761"/>
      <c r="O779" s="539"/>
      <c r="AD779" s="615"/>
    </row>
    <row r="780" spans="3:30" ht="19.899999999999999" customHeight="1">
      <c r="C780" s="761"/>
      <c r="E780" s="761"/>
      <c r="O780" s="539"/>
      <c r="AD780" s="615"/>
    </row>
    <row r="781" spans="3:30" ht="19.899999999999999" customHeight="1">
      <c r="C781" s="761"/>
      <c r="E781" s="761"/>
      <c r="O781" s="539"/>
      <c r="AD781" s="615"/>
    </row>
    <row r="782" spans="3:30" ht="19.899999999999999" customHeight="1">
      <c r="C782" s="761"/>
      <c r="E782" s="761"/>
      <c r="O782" s="539"/>
      <c r="AD782" s="615"/>
    </row>
    <row r="783" spans="3:30" ht="19.899999999999999" customHeight="1">
      <c r="C783" s="761"/>
      <c r="E783" s="761"/>
      <c r="O783" s="539"/>
      <c r="AD783" s="615"/>
    </row>
    <row r="784" spans="3:30" ht="19.899999999999999" customHeight="1">
      <c r="C784" s="761"/>
      <c r="E784" s="761"/>
      <c r="O784" s="539"/>
      <c r="AD784" s="615"/>
    </row>
    <row r="785" spans="3:30" ht="19.899999999999999" customHeight="1">
      <c r="C785" s="761"/>
      <c r="E785" s="761"/>
      <c r="O785" s="539"/>
      <c r="AD785" s="615"/>
    </row>
    <row r="786" spans="3:30" ht="19.899999999999999" customHeight="1">
      <c r="C786" s="761"/>
      <c r="E786" s="761"/>
      <c r="O786" s="539"/>
      <c r="AD786" s="615"/>
    </row>
    <row r="787" spans="3:30" ht="19.899999999999999" customHeight="1">
      <c r="C787" s="761"/>
      <c r="E787" s="761"/>
      <c r="O787" s="539"/>
      <c r="AD787" s="615"/>
    </row>
    <row r="788" spans="3:30" ht="19.899999999999999" customHeight="1">
      <c r="C788" s="761"/>
      <c r="E788" s="761"/>
      <c r="O788" s="539"/>
      <c r="AD788" s="615"/>
    </row>
    <row r="789" spans="3:30" ht="19.899999999999999" customHeight="1">
      <c r="C789" s="761"/>
      <c r="E789" s="761"/>
      <c r="O789" s="539"/>
      <c r="AD789" s="615"/>
    </row>
    <row r="790" spans="3:30" ht="19.899999999999999" customHeight="1">
      <c r="C790" s="761"/>
      <c r="E790" s="761"/>
      <c r="O790" s="539"/>
      <c r="AD790" s="615"/>
    </row>
    <row r="791" spans="3:30" ht="19.899999999999999" customHeight="1">
      <c r="C791" s="761"/>
      <c r="E791" s="761"/>
      <c r="O791" s="539"/>
      <c r="AD791" s="615"/>
    </row>
    <row r="792" spans="3:30" ht="19.899999999999999" customHeight="1">
      <c r="C792" s="761"/>
      <c r="E792" s="761"/>
      <c r="O792" s="539"/>
      <c r="AD792" s="615"/>
    </row>
    <row r="793" spans="3:30" ht="19.899999999999999" customHeight="1">
      <c r="C793" s="761"/>
      <c r="E793" s="761"/>
      <c r="O793" s="539"/>
      <c r="AD793" s="615"/>
    </row>
    <row r="794" spans="3:30" ht="19.899999999999999" customHeight="1">
      <c r="C794" s="761"/>
      <c r="E794" s="761"/>
      <c r="O794" s="539"/>
      <c r="AD794" s="615"/>
    </row>
    <row r="795" spans="3:30" ht="19.899999999999999" customHeight="1">
      <c r="C795" s="761"/>
      <c r="E795" s="761"/>
      <c r="O795" s="539"/>
      <c r="AD795" s="615"/>
    </row>
    <row r="796" spans="3:30" ht="19.899999999999999" customHeight="1">
      <c r="C796" s="761"/>
      <c r="E796" s="761"/>
      <c r="O796" s="539"/>
      <c r="AD796" s="615"/>
    </row>
    <row r="797" spans="3:30" ht="19.899999999999999" customHeight="1">
      <c r="C797" s="761"/>
      <c r="E797" s="761"/>
      <c r="O797" s="539"/>
      <c r="AD797" s="615"/>
    </row>
    <row r="798" spans="3:30" ht="19.899999999999999" customHeight="1">
      <c r="C798" s="761"/>
      <c r="E798" s="761"/>
      <c r="O798" s="539"/>
      <c r="AD798" s="615"/>
    </row>
    <row r="799" spans="3:30" ht="19.899999999999999" customHeight="1">
      <c r="C799" s="761"/>
      <c r="E799" s="761"/>
      <c r="O799" s="539"/>
      <c r="AD799" s="615"/>
    </row>
    <row r="800" spans="3:30" ht="19.899999999999999" customHeight="1">
      <c r="C800" s="761"/>
      <c r="E800" s="761"/>
      <c r="O800" s="539"/>
      <c r="AD800" s="615"/>
    </row>
    <row r="801" spans="3:30" ht="19.899999999999999" customHeight="1">
      <c r="C801" s="761"/>
      <c r="E801" s="761"/>
      <c r="O801" s="539"/>
      <c r="AD801" s="615"/>
    </row>
    <row r="802" spans="3:30" ht="19.899999999999999" customHeight="1">
      <c r="C802" s="761"/>
      <c r="E802" s="761"/>
      <c r="O802" s="539"/>
      <c r="AD802" s="615"/>
    </row>
    <row r="803" spans="3:30" ht="19.899999999999999" customHeight="1">
      <c r="C803" s="761"/>
      <c r="E803" s="761"/>
      <c r="O803" s="539"/>
      <c r="AD803" s="615"/>
    </row>
    <row r="804" spans="3:30" ht="19.899999999999999" customHeight="1">
      <c r="C804" s="761"/>
      <c r="E804" s="761"/>
      <c r="O804" s="539"/>
      <c r="AD804" s="615"/>
    </row>
    <row r="805" spans="3:30" ht="19.899999999999999" customHeight="1">
      <c r="C805" s="761"/>
      <c r="E805" s="761"/>
      <c r="O805" s="539"/>
      <c r="AD805" s="615"/>
    </row>
    <row r="806" spans="3:30" ht="19.899999999999999" customHeight="1">
      <c r="C806" s="761"/>
      <c r="E806" s="761"/>
      <c r="O806" s="539"/>
      <c r="AD806" s="615"/>
    </row>
    <row r="807" spans="3:30" ht="19.899999999999999" customHeight="1">
      <c r="C807" s="761"/>
      <c r="E807" s="761"/>
      <c r="O807" s="539"/>
      <c r="AD807" s="615"/>
    </row>
    <row r="808" spans="3:30" ht="19.899999999999999" customHeight="1">
      <c r="C808" s="761"/>
      <c r="E808" s="761"/>
      <c r="O808" s="539"/>
      <c r="AD808" s="615"/>
    </row>
    <row r="809" spans="3:30" ht="19.899999999999999" customHeight="1">
      <c r="C809" s="761"/>
      <c r="E809" s="761"/>
      <c r="O809" s="539"/>
      <c r="AD809" s="615"/>
    </row>
    <row r="810" spans="3:30" ht="19.899999999999999" customHeight="1">
      <c r="C810" s="761"/>
      <c r="E810" s="761"/>
      <c r="O810" s="539"/>
      <c r="AD810" s="615"/>
    </row>
    <row r="811" spans="3:30" ht="19.899999999999999" customHeight="1">
      <c r="C811" s="761"/>
      <c r="E811" s="761"/>
      <c r="O811" s="539"/>
      <c r="AD811" s="615"/>
    </row>
    <row r="812" spans="3:30" ht="19.899999999999999" customHeight="1">
      <c r="C812" s="761"/>
      <c r="E812" s="761"/>
      <c r="O812" s="539"/>
      <c r="AD812" s="615"/>
    </row>
    <row r="813" spans="3:30" ht="19.899999999999999" customHeight="1">
      <c r="C813" s="761"/>
      <c r="E813" s="761"/>
      <c r="O813" s="539"/>
      <c r="AD813" s="615"/>
    </row>
    <row r="814" spans="3:30" ht="19.899999999999999" customHeight="1">
      <c r="C814" s="761"/>
      <c r="E814" s="761"/>
      <c r="O814" s="539"/>
      <c r="AD814" s="615"/>
    </row>
    <row r="815" spans="3:30" ht="19.899999999999999" customHeight="1">
      <c r="C815" s="761"/>
      <c r="E815" s="761"/>
      <c r="O815" s="539"/>
      <c r="AD815" s="615"/>
    </row>
    <row r="816" spans="3:30" ht="19.899999999999999" customHeight="1">
      <c r="C816" s="761"/>
      <c r="E816" s="761"/>
      <c r="O816" s="539"/>
      <c r="AD816" s="615"/>
    </row>
    <row r="817" spans="3:30" ht="19.899999999999999" customHeight="1">
      <c r="C817" s="761"/>
      <c r="E817" s="761"/>
      <c r="O817" s="539"/>
      <c r="AD817" s="615"/>
    </row>
    <row r="818" spans="3:30" ht="19.899999999999999" customHeight="1">
      <c r="C818" s="761"/>
      <c r="E818" s="761"/>
      <c r="O818" s="539"/>
      <c r="AD818" s="615"/>
    </row>
    <row r="819" spans="3:30" ht="19.899999999999999" customHeight="1">
      <c r="C819" s="761"/>
      <c r="E819" s="761"/>
      <c r="O819" s="539"/>
      <c r="AD819" s="615"/>
    </row>
    <row r="820" spans="3:30" ht="19.899999999999999" customHeight="1">
      <c r="C820" s="761"/>
      <c r="E820" s="761"/>
      <c r="O820" s="539"/>
      <c r="AD820" s="615"/>
    </row>
    <row r="821" spans="3:30" ht="19.899999999999999" customHeight="1">
      <c r="C821" s="761"/>
      <c r="E821" s="761"/>
      <c r="O821" s="539"/>
      <c r="AD821" s="615"/>
    </row>
    <row r="822" spans="3:30" ht="19.899999999999999" customHeight="1">
      <c r="C822" s="761"/>
      <c r="E822" s="761"/>
      <c r="O822" s="539"/>
      <c r="AD822" s="615"/>
    </row>
    <row r="823" spans="3:30" ht="19.899999999999999" customHeight="1">
      <c r="C823" s="761"/>
      <c r="E823" s="761"/>
      <c r="O823" s="539"/>
      <c r="AD823" s="615"/>
    </row>
    <row r="824" spans="3:30" ht="19.899999999999999" customHeight="1">
      <c r="C824" s="761"/>
      <c r="E824" s="761"/>
      <c r="O824" s="539"/>
      <c r="AD824" s="615"/>
    </row>
    <row r="825" spans="3:30" ht="19.899999999999999" customHeight="1">
      <c r="C825" s="761"/>
      <c r="E825" s="761"/>
      <c r="O825" s="539"/>
      <c r="AD825" s="615"/>
    </row>
    <row r="826" spans="3:30" ht="19.899999999999999" customHeight="1">
      <c r="C826" s="761"/>
      <c r="E826" s="761"/>
      <c r="O826" s="539"/>
      <c r="AD826" s="615"/>
    </row>
    <row r="827" spans="3:30" ht="19.899999999999999" customHeight="1">
      <c r="C827" s="761"/>
      <c r="E827" s="761"/>
      <c r="O827" s="539"/>
      <c r="AD827" s="615"/>
    </row>
    <row r="828" spans="3:30" ht="19.899999999999999" customHeight="1">
      <c r="C828" s="761"/>
      <c r="E828" s="761"/>
      <c r="O828" s="539"/>
      <c r="AD828" s="615"/>
    </row>
    <row r="829" spans="3:30" ht="19.899999999999999" customHeight="1">
      <c r="C829" s="761"/>
      <c r="E829" s="761"/>
      <c r="O829" s="539"/>
      <c r="AD829" s="615"/>
    </row>
    <row r="830" spans="3:30" ht="19.899999999999999" customHeight="1">
      <c r="C830" s="761"/>
      <c r="E830" s="761"/>
      <c r="O830" s="539"/>
      <c r="AD830" s="615"/>
    </row>
    <row r="831" spans="3:30" ht="19.899999999999999" customHeight="1">
      <c r="C831" s="761"/>
      <c r="E831" s="761"/>
      <c r="O831" s="539"/>
      <c r="AD831" s="615"/>
    </row>
    <row r="832" spans="3:30" ht="19.899999999999999" customHeight="1">
      <c r="C832" s="761"/>
      <c r="E832" s="761"/>
      <c r="O832" s="539"/>
      <c r="AD832" s="615"/>
    </row>
    <row r="833" spans="3:30" ht="19.899999999999999" customHeight="1">
      <c r="C833" s="761"/>
      <c r="E833" s="761"/>
      <c r="O833" s="539"/>
      <c r="AD833" s="615"/>
    </row>
    <row r="834" spans="3:30" ht="19.899999999999999" customHeight="1">
      <c r="C834" s="761"/>
      <c r="E834" s="761"/>
      <c r="O834" s="539"/>
      <c r="AD834" s="615"/>
    </row>
    <row r="835" spans="3:30" ht="19.899999999999999" customHeight="1">
      <c r="C835" s="761"/>
      <c r="E835" s="761"/>
      <c r="O835" s="539"/>
      <c r="AD835" s="615"/>
    </row>
    <row r="836" spans="3:30" ht="19.899999999999999" customHeight="1">
      <c r="C836" s="761"/>
      <c r="E836" s="761"/>
      <c r="O836" s="539"/>
      <c r="AD836" s="615"/>
    </row>
    <row r="837" spans="3:30" ht="19.899999999999999" customHeight="1">
      <c r="C837" s="761"/>
      <c r="E837" s="761"/>
      <c r="O837" s="539"/>
      <c r="AD837" s="615"/>
    </row>
    <row r="838" spans="3:30" ht="19.899999999999999" customHeight="1">
      <c r="C838" s="761"/>
      <c r="E838" s="761"/>
      <c r="O838" s="539"/>
      <c r="AD838" s="615"/>
    </row>
    <row r="839" spans="3:30" ht="19.899999999999999" customHeight="1">
      <c r="C839" s="761"/>
      <c r="E839" s="761"/>
      <c r="O839" s="539"/>
      <c r="AD839" s="615"/>
    </row>
    <row r="840" spans="3:30" ht="19.899999999999999" customHeight="1">
      <c r="C840" s="761"/>
      <c r="E840" s="761"/>
      <c r="O840" s="539"/>
      <c r="AD840" s="615"/>
    </row>
    <row r="841" spans="3:30" ht="19.899999999999999" customHeight="1">
      <c r="C841" s="761"/>
      <c r="E841" s="761"/>
      <c r="O841" s="539"/>
      <c r="AD841" s="615"/>
    </row>
    <row r="842" spans="3:30" ht="19.899999999999999" customHeight="1">
      <c r="C842" s="761"/>
      <c r="E842" s="761"/>
      <c r="O842" s="539"/>
      <c r="AD842" s="615"/>
    </row>
    <row r="843" spans="3:30" ht="19.899999999999999" customHeight="1">
      <c r="C843" s="761"/>
      <c r="E843" s="761"/>
      <c r="O843" s="539"/>
      <c r="AD843" s="615"/>
    </row>
    <row r="844" spans="3:30" ht="19.899999999999999" customHeight="1">
      <c r="C844" s="761"/>
      <c r="E844" s="761"/>
      <c r="O844" s="539"/>
      <c r="AD844" s="615"/>
    </row>
    <row r="845" spans="3:30" ht="19.899999999999999" customHeight="1">
      <c r="C845" s="761"/>
      <c r="E845" s="761"/>
      <c r="O845" s="539"/>
      <c r="AD845" s="615"/>
    </row>
    <row r="846" spans="3:30" ht="19.899999999999999" customHeight="1">
      <c r="C846" s="761"/>
      <c r="E846" s="761"/>
      <c r="O846" s="539"/>
      <c r="AD846" s="615"/>
    </row>
    <row r="847" spans="3:30" ht="19.899999999999999" customHeight="1">
      <c r="C847" s="761"/>
      <c r="E847" s="761"/>
      <c r="O847" s="539"/>
      <c r="AD847" s="615"/>
    </row>
    <row r="848" spans="3:30" ht="19.899999999999999" customHeight="1">
      <c r="C848" s="761"/>
      <c r="E848" s="761"/>
      <c r="O848" s="539"/>
      <c r="AD848" s="615"/>
    </row>
    <row r="849" spans="3:30" ht="19.899999999999999" customHeight="1">
      <c r="C849" s="761"/>
      <c r="E849" s="761"/>
      <c r="O849" s="539"/>
      <c r="AD849" s="615"/>
    </row>
    <row r="850" spans="3:30" ht="19.899999999999999" customHeight="1">
      <c r="C850" s="761"/>
      <c r="E850" s="761"/>
      <c r="O850" s="539"/>
      <c r="AD850" s="615"/>
    </row>
    <row r="851" spans="3:30" ht="19.899999999999999" customHeight="1">
      <c r="C851" s="761"/>
      <c r="E851" s="761"/>
      <c r="O851" s="539"/>
      <c r="AD851" s="615"/>
    </row>
    <row r="852" spans="3:30" ht="19.899999999999999" customHeight="1">
      <c r="C852" s="761"/>
      <c r="E852" s="761"/>
      <c r="O852" s="539"/>
      <c r="AD852" s="615"/>
    </row>
    <row r="853" spans="3:30" ht="19.899999999999999" customHeight="1">
      <c r="C853" s="761"/>
      <c r="E853" s="761"/>
      <c r="O853" s="539"/>
      <c r="AD853" s="615"/>
    </row>
    <row r="854" spans="3:30" ht="19.899999999999999" customHeight="1">
      <c r="C854" s="761"/>
      <c r="E854" s="761"/>
      <c r="O854" s="539"/>
      <c r="AD854" s="615"/>
    </row>
    <row r="855" spans="3:30" ht="19.899999999999999" customHeight="1">
      <c r="C855" s="761"/>
      <c r="E855" s="761"/>
      <c r="O855" s="539"/>
      <c r="AD855" s="615"/>
    </row>
    <row r="856" spans="3:30" ht="19.899999999999999" customHeight="1">
      <c r="C856" s="761"/>
      <c r="E856" s="761"/>
      <c r="O856" s="539"/>
      <c r="AD856" s="615"/>
    </row>
    <row r="857" spans="3:30" ht="19.899999999999999" customHeight="1">
      <c r="C857" s="761"/>
      <c r="E857" s="761"/>
      <c r="O857" s="539"/>
      <c r="AD857" s="615"/>
    </row>
    <row r="858" spans="3:30" ht="19.899999999999999" customHeight="1">
      <c r="C858" s="761"/>
      <c r="E858" s="761"/>
      <c r="O858" s="539"/>
      <c r="AD858" s="615"/>
    </row>
    <row r="859" spans="3:30" ht="19.899999999999999" customHeight="1">
      <c r="C859" s="761"/>
      <c r="E859" s="761"/>
      <c r="O859" s="539"/>
      <c r="AD859" s="615"/>
    </row>
    <row r="860" spans="3:30" ht="19.899999999999999" customHeight="1">
      <c r="C860" s="761"/>
      <c r="E860" s="761"/>
      <c r="O860" s="539"/>
      <c r="AD860" s="615"/>
    </row>
    <row r="861" spans="3:30" ht="19.899999999999999" customHeight="1">
      <c r="C861" s="761"/>
      <c r="E861" s="761"/>
      <c r="O861" s="539"/>
      <c r="AD861" s="615"/>
    </row>
    <row r="862" spans="3:30" ht="19.899999999999999" customHeight="1">
      <c r="C862" s="761"/>
      <c r="E862" s="761"/>
      <c r="O862" s="539"/>
      <c r="AD862" s="615"/>
    </row>
    <row r="863" spans="3:30" ht="19.899999999999999" customHeight="1">
      <c r="C863" s="761"/>
      <c r="E863" s="761"/>
      <c r="O863" s="539"/>
      <c r="AD863" s="615"/>
    </row>
    <row r="864" spans="3:30" ht="19.899999999999999" customHeight="1">
      <c r="C864" s="761"/>
      <c r="E864" s="761"/>
      <c r="O864" s="539"/>
      <c r="AD864" s="615"/>
    </row>
    <row r="865" spans="3:30" ht="19.899999999999999" customHeight="1">
      <c r="C865" s="761"/>
      <c r="E865" s="761"/>
      <c r="O865" s="539"/>
      <c r="AD865" s="615"/>
    </row>
    <row r="866" spans="3:30" ht="19.899999999999999" customHeight="1">
      <c r="C866" s="761"/>
      <c r="E866" s="761"/>
      <c r="O866" s="539"/>
      <c r="AD866" s="615"/>
    </row>
    <row r="867" spans="3:30" ht="19.899999999999999" customHeight="1">
      <c r="C867" s="761"/>
      <c r="E867" s="761"/>
      <c r="O867" s="539"/>
      <c r="AD867" s="615"/>
    </row>
    <row r="868" spans="3:30" ht="19.899999999999999" customHeight="1">
      <c r="C868" s="761"/>
      <c r="E868" s="761"/>
      <c r="O868" s="539"/>
      <c r="AD868" s="615"/>
    </row>
    <row r="869" spans="3:30" ht="19.899999999999999" customHeight="1">
      <c r="C869" s="761"/>
      <c r="E869" s="761"/>
      <c r="O869" s="539"/>
      <c r="AD869" s="615"/>
    </row>
    <row r="870" spans="3:30" ht="19.899999999999999" customHeight="1">
      <c r="C870" s="761"/>
      <c r="E870" s="761"/>
      <c r="O870" s="539"/>
      <c r="AD870" s="615"/>
    </row>
    <row r="871" spans="3:30" ht="19.899999999999999" customHeight="1">
      <c r="C871" s="761"/>
      <c r="E871" s="761"/>
      <c r="O871" s="539"/>
      <c r="AD871" s="615"/>
    </row>
    <row r="872" spans="3:30" ht="19.899999999999999" customHeight="1">
      <c r="C872" s="761"/>
      <c r="E872" s="761"/>
      <c r="O872" s="539"/>
      <c r="AD872" s="615"/>
    </row>
    <row r="873" spans="3:30" ht="19.899999999999999" customHeight="1">
      <c r="C873" s="761"/>
      <c r="E873" s="761"/>
      <c r="O873" s="539"/>
      <c r="AD873" s="615"/>
    </row>
    <row r="874" spans="3:30" ht="19.899999999999999" customHeight="1">
      <c r="C874" s="761"/>
      <c r="E874" s="761"/>
      <c r="O874" s="539"/>
      <c r="AD874" s="615"/>
    </row>
    <row r="875" spans="3:30" ht="19.899999999999999" customHeight="1">
      <c r="C875" s="761"/>
      <c r="E875" s="761"/>
      <c r="O875" s="539"/>
      <c r="AD875" s="615"/>
    </row>
    <row r="876" spans="3:30" ht="19.899999999999999" customHeight="1">
      <c r="C876" s="761"/>
      <c r="E876" s="761"/>
      <c r="O876" s="539"/>
      <c r="AD876" s="615"/>
    </row>
    <row r="877" spans="3:30" ht="19.899999999999999" customHeight="1">
      <c r="C877" s="761"/>
      <c r="E877" s="761"/>
      <c r="O877" s="539"/>
      <c r="AD877" s="615"/>
    </row>
    <row r="878" spans="3:30" ht="19.899999999999999" customHeight="1">
      <c r="C878" s="761"/>
      <c r="E878" s="761"/>
      <c r="O878" s="539"/>
      <c r="AD878" s="615"/>
    </row>
    <row r="879" spans="3:30" ht="19.899999999999999" customHeight="1">
      <c r="C879" s="761"/>
      <c r="E879" s="761"/>
      <c r="O879" s="539"/>
      <c r="AD879" s="615"/>
    </row>
    <row r="880" spans="3:30" ht="19.899999999999999" customHeight="1">
      <c r="C880" s="761"/>
      <c r="E880" s="761"/>
      <c r="O880" s="539"/>
      <c r="AD880" s="615"/>
    </row>
    <row r="881" spans="3:30" ht="19.899999999999999" customHeight="1">
      <c r="C881" s="761"/>
      <c r="E881" s="761"/>
      <c r="O881" s="539"/>
      <c r="AD881" s="615"/>
    </row>
    <row r="882" spans="3:30" ht="19.899999999999999" customHeight="1">
      <c r="C882" s="761"/>
      <c r="E882" s="761"/>
      <c r="O882" s="539"/>
      <c r="AD882" s="615"/>
    </row>
    <row r="883" spans="3:30" ht="19.899999999999999" customHeight="1">
      <c r="C883" s="761"/>
      <c r="E883" s="761"/>
      <c r="O883" s="539"/>
      <c r="AD883" s="615"/>
    </row>
    <row r="884" spans="3:30" ht="19.899999999999999" customHeight="1">
      <c r="C884" s="761"/>
      <c r="E884" s="761"/>
      <c r="O884" s="539"/>
      <c r="AD884" s="615"/>
    </row>
    <row r="885" spans="3:30" ht="19.899999999999999" customHeight="1">
      <c r="C885" s="761"/>
      <c r="E885" s="761"/>
      <c r="O885" s="539"/>
      <c r="AD885" s="615"/>
    </row>
    <row r="886" spans="3:30" ht="19.899999999999999" customHeight="1">
      <c r="C886" s="761"/>
      <c r="E886" s="761"/>
      <c r="O886" s="539"/>
      <c r="AD886" s="615"/>
    </row>
    <row r="887" spans="3:30" ht="19.899999999999999" customHeight="1">
      <c r="C887" s="761"/>
      <c r="E887" s="761"/>
      <c r="O887" s="539"/>
      <c r="AD887" s="615"/>
    </row>
    <row r="888" spans="3:30" ht="19.899999999999999" customHeight="1">
      <c r="C888" s="761"/>
      <c r="E888" s="761"/>
      <c r="O888" s="539"/>
      <c r="AD888" s="615"/>
    </row>
    <row r="889" spans="3:30" ht="19.899999999999999" customHeight="1">
      <c r="C889" s="761"/>
      <c r="E889" s="761"/>
      <c r="O889" s="539"/>
      <c r="AD889" s="615"/>
    </row>
    <row r="890" spans="3:30" ht="19.899999999999999" customHeight="1">
      <c r="C890" s="761"/>
      <c r="E890" s="761"/>
      <c r="O890" s="539"/>
      <c r="AD890" s="615"/>
    </row>
    <row r="891" spans="3:30" ht="19.899999999999999" customHeight="1">
      <c r="C891" s="761"/>
      <c r="E891" s="761"/>
      <c r="O891" s="539"/>
      <c r="AD891" s="615"/>
    </row>
    <row r="892" spans="3:30" ht="19.899999999999999" customHeight="1">
      <c r="C892" s="761"/>
      <c r="E892" s="761"/>
      <c r="O892" s="539"/>
      <c r="AD892" s="615"/>
    </row>
    <row r="893" spans="3:30" ht="19.899999999999999" customHeight="1">
      <c r="C893" s="761"/>
      <c r="E893" s="761"/>
      <c r="O893" s="539"/>
      <c r="AD893" s="615"/>
    </row>
    <row r="894" spans="3:30" ht="19.899999999999999" customHeight="1">
      <c r="C894" s="761"/>
      <c r="E894" s="761"/>
      <c r="O894" s="539"/>
      <c r="AD894" s="615"/>
    </row>
    <row r="895" spans="3:30" ht="19.899999999999999" customHeight="1">
      <c r="C895" s="761"/>
      <c r="E895" s="761"/>
      <c r="O895" s="539"/>
      <c r="AD895" s="615"/>
    </row>
    <row r="896" spans="3:30" ht="19.899999999999999" customHeight="1">
      <c r="C896" s="761"/>
      <c r="E896" s="761"/>
      <c r="O896" s="539"/>
      <c r="AD896" s="615"/>
    </row>
    <row r="897" spans="3:30" ht="19.899999999999999" customHeight="1">
      <c r="C897" s="761"/>
      <c r="E897" s="761"/>
      <c r="O897" s="539"/>
      <c r="AD897" s="615"/>
    </row>
    <row r="898" spans="3:30" ht="19.899999999999999" customHeight="1">
      <c r="C898" s="761"/>
      <c r="E898" s="761"/>
      <c r="O898" s="539"/>
      <c r="AD898" s="615"/>
    </row>
    <row r="899" spans="3:30" ht="19.899999999999999" customHeight="1">
      <c r="C899" s="761"/>
      <c r="E899" s="761"/>
      <c r="O899" s="539"/>
      <c r="AD899" s="615"/>
    </row>
    <row r="900" spans="3:30" ht="19.899999999999999" customHeight="1">
      <c r="C900" s="761"/>
      <c r="E900" s="761"/>
      <c r="O900" s="539"/>
      <c r="AD900" s="615"/>
    </row>
    <row r="901" spans="3:30" ht="19.899999999999999" customHeight="1">
      <c r="C901" s="761"/>
      <c r="E901" s="761"/>
      <c r="O901" s="539"/>
      <c r="AD901" s="615"/>
    </row>
    <row r="902" spans="3:30" ht="19.899999999999999" customHeight="1">
      <c r="C902" s="761"/>
      <c r="E902" s="761"/>
      <c r="O902" s="539"/>
      <c r="AD902" s="615"/>
    </row>
    <row r="903" spans="3:30" ht="19.899999999999999" customHeight="1">
      <c r="C903" s="761"/>
      <c r="E903" s="761"/>
      <c r="O903" s="539"/>
      <c r="AD903" s="615"/>
    </row>
    <row r="904" spans="3:30" ht="19.899999999999999" customHeight="1">
      <c r="C904" s="761"/>
      <c r="E904" s="761"/>
      <c r="O904" s="539"/>
      <c r="AD904" s="615"/>
    </row>
    <row r="905" spans="3:30" ht="19.899999999999999" customHeight="1">
      <c r="C905" s="761"/>
      <c r="E905" s="761"/>
      <c r="O905" s="539"/>
      <c r="AD905" s="615"/>
    </row>
    <row r="906" spans="3:30" ht="19.899999999999999" customHeight="1">
      <c r="C906" s="761"/>
      <c r="E906" s="761"/>
      <c r="O906" s="539"/>
      <c r="AD906" s="615"/>
    </row>
    <row r="907" spans="3:30" ht="19.899999999999999" customHeight="1">
      <c r="C907" s="761"/>
      <c r="E907" s="761"/>
      <c r="O907" s="539"/>
      <c r="AD907" s="615"/>
    </row>
    <row r="908" spans="3:30" ht="19.899999999999999" customHeight="1">
      <c r="C908" s="761"/>
      <c r="E908" s="761"/>
      <c r="O908" s="539"/>
      <c r="AD908" s="615"/>
    </row>
    <row r="909" spans="3:30" ht="19.899999999999999" customHeight="1">
      <c r="C909" s="761"/>
      <c r="E909" s="761"/>
      <c r="O909" s="539"/>
      <c r="AD909" s="615"/>
    </row>
    <row r="910" spans="3:30" ht="19.899999999999999" customHeight="1">
      <c r="C910" s="761"/>
      <c r="E910" s="761"/>
      <c r="O910" s="539"/>
      <c r="AD910" s="615"/>
    </row>
    <row r="911" spans="3:30" ht="19.899999999999999" customHeight="1">
      <c r="C911" s="761"/>
      <c r="E911" s="761"/>
      <c r="O911" s="539"/>
      <c r="AD911" s="615"/>
    </row>
    <row r="912" spans="3:30" ht="19.899999999999999" customHeight="1">
      <c r="C912" s="761"/>
      <c r="E912" s="761"/>
      <c r="O912" s="539"/>
      <c r="AD912" s="615"/>
    </row>
    <row r="913" spans="3:30" ht="19.899999999999999" customHeight="1">
      <c r="C913" s="761"/>
      <c r="E913" s="761"/>
      <c r="O913" s="539"/>
      <c r="AD913" s="615"/>
    </row>
    <row r="914" spans="3:30" ht="19.899999999999999" customHeight="1">
      <c r="C914" s="761"/>
      <c r="E914" s="761"/>
      <c r="O914" s="539"/>
      <c r="AD914" s="615"/>
    </row>
    <row r="915" spans="3:30" ht="19.899999999999999" customHeight="1">
      <c r="C915" s="761"/>
      <c r="E915" s="761"/>
      <c r="O915" s="539"/>
      <c r="AD915" s="615"/>
    </row>
    <row r="916" spans="3:30" ht="19.899999999999999" customHeight="1">
      <c r="C916" s="761"/>
      <c r="E916" s="761"/>
      <c r="O916" s="539"/>
      <c r="AD916" s="615"/>
    </row>
    <row r="917" spans="3:30" ht="19.899999999999999" customHeight="1">
      <c r="C917" s="761"/>
      <c r="E917" s="761"/>
      <c r="O917" s="539"/>
      <c r="AD917" s="615"/>
    </row>
    <row r="918" spans="3:30" ht="19.899999999999999" customHeight="1">
      <c r="C918" s="761"/>
      <c r="E918" s="761"/>
      <c r="O918" s="539"/>
      <c r="AD918" s="615"/>
    </row>
    <row r="919" spans="3:30" ht="19.899999999999999" customHeight="1">
      <c r="C919" s="761"/>
      <c r="E919" s="761"/>
      <c r="O919" s="539"/>
      <c r="AD919" s="615"/>
    </row>
    <row r="920" spans="3:30" ht="19.899999999999999" customHeight="1">
      <c r="C920" s="761"/>
      <c r="E920" s="761"/>
      <c r="O920" s="539"/>
      <c r="AD920" s="615"/>
    </row>
    <row r="921" spans="3:30" ht="19.899999999999999" customHeight="1">
      <c r="C921" s="761"/>
      <c r="E921" s="761"/>
      <c r="O921" s="539"/>
      <c r="AD921" s="615"/>
    </row>
    <row r="922" spans="3:30" ht="19.899999999999999" customHeight="1">
      <c r="C922" s="761"/>
      <c r="E922" s="761"/>
      <c r="O922" s="539"/>
      <c r="AD922" s="615"/>
    </row>
    <row r="923" spans="3:30" ht="19.899999999999999" customHeight="1">
      <c r="C923" s="761"/>
      <c r="E923" s="761"/>
      <c r="O923" s="539"/>
      <c r="AD923" s="615"/>
    </row>
    <row r="924" spans="3:30" ht="19.899999999999999" customHeight="1">
      <c r="C924" s="761"/>
      <c r="E924" s="761"/>
      <c r="O924" s="539"/>
      <c r="AD924" s="615"/>
    </row>
    <row r="925" spans="3:30" ht="19.899999999999999" customHeight="1">
      <c r="C925" s="761"/>
      <c r="E925" s="761"/>
      <c r="O925" s="539"/>
      <c r="AD925" s="615"/>
    </row>
    <row r="926" spans="3:30" ht="19.899999999999999" customHeight="1">
      <c r="C926" s="761"/>
      <c r="E926" s="761"/>
      <c r="O926" s="539"/>
      <c r="AD926" s="615"/>
    </row>
    <row r="927" spans="3:30" ht="19.899999999999999" customHeight="1">
      <c r="C927" s="761"/>
      <c r="E927" s="761"/>
      <c r="O927" s="539"/>
      <c r="AD927" s="615"/>
    </row>
    <row r="928" spans="3:30" ht="19.899999999999999" customHeight="1">
      <c r="C928" s="761"/>
      <c r="E928" s="761"/>
      <c r="O928" s="539"/>
      <c r="AD928" s="615"/>
    </row>
    <row r="929" spans="3:30" ht="19.899999999999999" customHeight="1">
      <c r="C929" s="761"/>
      <c r="E929" s="761"/>
      <c r="O929" s="539"/>
      <c r="AD929" s="615"/>
    </row>
    <row r="930" spans="3:30" ht="19.899999999999999" customHeight="1">
      <c r="C930" s="761"/>
      <c r="E930" s="761"/>
      <c r="O930" s="539"/>
      <c r="AD930" s="615"/>
    </row>
    <row r="931" spans="3:30" ht="19.899999999999999" customHeight="1">
      <c r="C931" s="761"/>
      <c r="E931" s="761"/>
      <c r="O931" s="539"/>
      <c r="AD931" s="615"/>
    </row>
    <row r="932" spans="3:30" ht="19.899999999999999" customHeight="1">
      <c r="C932" s="761"/>
      <c r="E932" s="761"/>
      <c r="O932" s="539"/>
      <c r="AD932" s="615"/>
    </row>
    <row r="933" spans="3:30" ht="19.899999999999999" customHeight="1">
      <c r="C933" s="761"/>
      <c r="E933" s="761"/>
      <c r="O933" s="539"/>
      <c r="AD933" s="615"/>
    </row>
    <row r="934" spans="3:30" ht="19.899999999999999" customHeight="1">
      <c r="C934" s="761"/>
      <c r="E934" s="761"/>
      <c r="O934" s="539"/>
      <c r="AD934" s="615"/>
    </row>
    <row r="935" spans="3:30" ht="19.899999999999999" customHeight="1">
      <c r="C935" s="761"/>
      <c r="E935" s="761"/>
      <c r="O935" s="539"/>
      <c r="AD935" s="615"/>
    </row>
    <row r="936" spans="3:30" ht="19.899999999999999" customHeight="1">
      <c r="C936" s="761"/>
      <c r="E936" s="761"/>
      <c r="O936" s="539"/>
      <c r="AD936" s="615"/>
    </row>
    <row r="937" spans="3:30" ht="19.899999999999999" customHeight="1">
      <c r="C937" s="761"/>
      <c r="E937" s="761"/>
      <c r="O937" s="539"/>
      <c r="AD937" s="615"/>
    </row>
    <row r="938" spans="3:30" ht="19.899999999999999" customHeight="1">
      <c r="C938" s="761"/>
      <c r="E938" s="761"/>
      <c r="O938" s="539"/>
      <c r="AD938" s="615"/>
    </row>
    <row r="939" spans="3:30" ht="19.899999999999999" customHeight="1">
      <c r="C939" s="761"/>
      <c r="E939" s="761"/>
      <c r="O939" s="539"/>
      <c r="AD939" s="615"/>
    </row>
    <row r="940" spans="3:30" ht="19.899999999999999" customHeight="1">
      <c r="C940" s="761"/>
      <c r="E940" s="761"/>
      <c r="O940" s="539"/>
      <c r="AD940" s="615"/>
    </row>
    <row r="941" spans="3:30" ht="19.899999999999999" customHeight="1">
      <c r="C941" s="761"/>
      <c r="E941" s="761"/>
      <c r="O941" s="539"/>
      <c r="AD941" s="615"/>
    </row>
    <row r="942" spans="3:30" ht="19.899999999999999" customHeight="1">
      <c r="C942" s="761"/>
      <c r="E942" s="761"/>
      <c r="O942" s="539"/>
      <c r="AD942" s="615"/>
    </row>
    <row r="943" spans="3:30" ht="19.899999999999999" customHeight="1">
      <c r="C943" s="761"/>
      <c r="E943" s="761"/>
      <c r="O943" s="539"/>
      <c r="AD943" s="615"/>
    </row>
    <row r="944" spans="3:30" ht="19.899999999999999" customHeight="1">
      <c r="C944" s="761"/>
      <c r="E944" s="761"/>
      <c r="O944" s="539"/>
      <c r="AD944" s="615"/>
    </row>
    <row r="945" spans="3:30" ht="19.899999999999999" customHeight="1">
      <c r="C945" s="761"/>
      <c r="E945" s="761"/>
      <c r="O945" s="539"/>
      <c r="AD945" s="615"/>
    </row>
    <row r="946" spans="3:30" ht="19.899999999999999" customHeight="1">
      <c r="C946" s="761"/>
      <c r="E946" s="761"/>
      <c r="O946" s="539"/>
      <c r="AD946" s="615"/>
    </row>
    <row r="947" spans="3:30" ht="19.899999999999999" customHeight="1">
      <c r="C947" s="761"/>
      <c r="E947" s="761"/>
      <c r="O947" s="539"/>
      <c r="AD947" s="615"/>
    </row>
    <row r="948" spans="3:30" ht="19.899999999999999" customHeight="1">
      <c r="C948" s="761"/>
      <c r="E948" s="761"/>
      <c r="O948" s="539"/>
      <c r="AD948" s="615"/>
    </row>
    <row r="949" spans="3:30" ht="19.899999999999999" customHeight="1">
      <c r="C949" s="761"/>
      <c r="E949" s="761"/>
      <c r="O949" s="539"/>
      <c r="AD949" s="615"/>
    </row>
    <row r="950" spans="3:30" ht="19.899999999999999" customHeight="1">
      <c r="C950" s="761"/>
      <c r="E950" s="761"/>
      <c r="O950" s="539"/>
      <c r="AD950" s="615"/>
    </row>
    <row r="951" spans="3:30" ht="19.899999999999999" customHeight="1">
      <c r="C951" s="761"/>
      <c r="E951" s="761"/>
      <c r="O951" s="539"/>
      <c r="AD951" s="615"/>
    </row>
    <row r="952" spans="3:30" ht="19.899999999999999" customHeight="1">
      <c r="C952" s="761"/>
      <c r="E952" s="761"/>
      <c r="O952" s="539"/>
      <c r="AD952" s="615"/>
    </row>
    <row r="953" spans="3:30" ht="19.899999999999999" customHeight="1">
      <c r="C953" s="761"/>
      <c r="E953" s="761"/>
      <c r="O953" s="539"/>
      <c r="AD953" s="615"/>
    </row>
    <row r="954" spans="3:30" ht="19.899999999999999" customHeight="1">
      <c r="C954" s="761"/>
      <c r="E954" s="761"/>
      <c r="O954" s="539"/>
      <c r="AD954" s="615"/>
    </row>
    <row r="955" spans="3:30" ht="19.899999999999999" customHeight="1">
      <c r="C955" s="761"/>
      <c r="E955" s="761"/>
      <c r="O955" s="539"/>
      <c r="AD955" s="615"/>
    </row>
    <row r="956" spans="3:30" ht="19.899999999999999" customHeight="1">
      <c r="C956" s="761"/>
      <c r="E956" s="761"/>
      <c r="O956" s="539"/>
      <c r="AD956" s="615"/>
    </row>
    <row r="957" spans="3:30" ht="19.899999999999999" customHeight="1">
      <c r="C957" s="761"/>
      <c r="E957" s="761"/>
      <c r="O957" s="539"/>
      <c r="AD957" s="615"/>
    </row>
    <row r="958" spans="3:30" ht="19.899999999999999" customHeight="1">
      <c r="C958" s="761"/>
      <c r="E958" s="761"/>
      <c r="O958" s="539"/>
      <c r="AD958" s="615"/>
    </row>
    <row r="959" spans="3:30" ht="19.899999999999999" customHeight="1">
      <c r="C959" s="761"/>
      <c r="E959" s="761"/>
      <c r="O959" s="539"/>
      <c r="AD959" s="615"/>
    </row>
    <row r="960" spans="3:30" ht="19.899999999999999" customHeight="1">
      <c r="C960" s="761"/>
      <c r="E960" s="761"/>
      <c r="O960" s="539"/>
      <c r="AD960" s="615"/>
    </row>
    <row r="961" spans="3:30" ht="19.899999999999999" customHeight="1">
      <c r="C961" s="761"/>
      <c r="E961" s="761"/>
      <c r="O961" s="539"/>
      <c r="AD961" s="615"/>
    </row>
    <row r="962" spans="3:30" ht="19.899999999999999" customHeight="1">
      <c r="C962" s="761"/>
      <c r="E962" s="761"/>
      <c r="O962" s="539"/>
      <c r="AD962" s="615"/>
    </row>
    <row r="963" spans="3:30" ht="19.899999999999999" customHeight="1">
      <c r="C963" s="761"/>
      <c r="E963" s="761"/>
      <c r="O963" s="539"/>
      <c r="AD963" s="615"/>
    </row>
    <row r="964" spans="3:30" ht="19.899999999999999" customHeight="1">
      <c r="C964" s="761"/>
      <c r="E964" s="761"/>
      <c r="O964" s="539"/>
      <c r="AD964" s="615"/>
    </row>
    <row r="965" spans="3:30" ht="19.899999999999999" customHeight="1">
      <c r="C965" s="761"/>
      <c r="E965" s="761"/>
      <c r="O965" s="539"/>
      <c r="AD965" s="615"/>
    </row>
    <row r="966" spans="3:30" ht="19.899999999999999" customHeight="1">
      <c r="C966" s="761"/>
      <c r="E966" s="761"/>
      <c r="O966" s="539"/>
      <c r="AD966" s="615"/>
    </row>
    <row r="967" spans="3:30" ht="19.899999999999999" customHeight="1">
      <c r="C967" s="761"/>
      <c r="E967" s="761"/>
      <c r="O967" s="539"/>
      <c r="AD967" s="615"/>
    </row>
    <row r="968" spans="3:30" ht="19.899999999999999" customHeight="1">
      <c r="C968" s="761"/>
      <c r="E968" s="761"/>
      <c r="O968" s="539"/>
      <c r="AD968" s="615"/>
    </row>
    <row r="969" spans="3:30" ht="19.899999999999999" customHeight="1">
      <c r="C969" s="761"/>
      <c r="E969" s="761"/>
      <c r="O969" s="539"/>
      <c r="AD969" s="615"/>
    </row>
    <row r="970" spans="3:30" ht="19.899999999999999" customHeight="1">
      <c r="C970" s="761"/>
      <c r="E970" s="761"/>
      <c r="O970" s="539"/>
      <c r="AD970" s="615"/>
    </row>
    <row r="971" spans="3:30" ht="19.899999999999999" customHeight="1">
      <c r="C971" s="761"/>
      <c r="E971" s="761"/>
      <c r="O971" s="539"/>
      <c r="AD971" s="615"/>
    </row>
    <row r="972" spans="3:30" ht="19.899999999999999" customHeight="1">
      <c r="C972" s="761"/>
      <c r="E972" s="761"/>
      <c r="O972" s="539"/>
      <c r="AD972" s="615"/>
    </row>
    <row r="973" spans="3:30" ht="19.899999999999999" customHeight="1">
      <c r="C973" s="761"/>
      <c r="E973" s="761"/>
      <c r="O973" s="539"/>
      <c r="AD973" s="615"/>
    </row>
    <row r="974" spans="3:30" ht="19.899999999999999" customHeight="1">
      <c r="C974" s="761"/>
      <c r="E974" s="761"/>
      <c r="O974" s="539"/>
      <c r="AD974" s="615"/>
    </row>
    <row r="975" spans="3:30" ht="19.899999999999999" customHeight="1">
      <c r="C975" s="761"/>
      <c r="E975" s="761"/>
      <c r="O975" s="539"/>
      <c r="AD975" s="615"/>
    </row>
    <row r="976" spans="3:30" ht="19.899999999999999" customHeight="1">
      <c r="C976" s="761"/>
      <c r="E976" s="761"/>
      <c r="O976" s="539"/>
      <c r="AD976" s="615"/>
    </row>
    <row r="977" spans="3:30" ht="19.899999999999999" customHeight="1">
      <c r="C977" s="761"/>
      <c r="E977" s="761"/>
      <c r="O977" s="539"/>
      <c r="AD977" s="615"/>
    </row>
    <row r="978" spans="3:30" ht="19.899999999999999" customHeight="1">
      <c r="C978" s="761"/>
      <c r="E978" s="761"/>
      <c r="O978" s="539"/>
      <c r="AD978" s="615"/>
    </row>
    <row r="979" spans="3:30" ht="19.899999999999999" customHeight="1">
      <c r="C979" s="761"/>
      <c r="E979" s="761"/>
      <c r="O979" s="539"/>
      <c r="AD979" s="615"/>
    </row>
    <row r="980" spans="3:30" ht="19.899999999999999" customHeight="1">
      <c r="C980" s="761"/>
      <c r="E980" s="761"/>
      <c r="O980" s="539"/>
      <c r="AD980" s="615"/>
    </row>
    <row r="981" spans="3:30" ht="19.899999999999999" customHeight="1">
      <c r="C981" s="761"/>
      <c r="E981" s="761"/>
      <c r="O981" s="539"/>
      <c r="AD981" s="615"/>
    </row>
    <row r="982" spans="3:30" ht="19.899999999999999" customHeight="1">
      <c r="C982" s="761"/>
      <c r="E982" s="761"/>
      <c r="O982" s="539"/>
      <c r="AD982" s="615"/>
    </row>
    <row r="983" spans="3:30" ht="19.899999999999999" customHeight="1">
      <c r="C983" s="761"/>
      <c r="E983" s="761"/>
      <c r="O983" s="539"/>
      <c r="AD983" s="615"/>
    </row>
    <row r="984" spans="3:30" ht="19.899999999999999" customHeight="1">
      <c r="C984" s="761"/>
      <c r="E984" s="761"/>
      <c r="O984" s="539"/>
      <c r="AD984" s="615"/>
    </row>
    <row r="985" spans="3:30" ht="19.899999999999999" customHeight="1">
      <c r="C985" s="761"/>
      <c r="E985" s="761"/>
      <c r="O985" s="539"/>
      <c r="AD985" s="615"/>
    </row>
    <row r="986" spans="3:30" ht="19.899999999999999" customHeight="1">
      <c r="C986" s="761"/>
      <c r="E986" s="761"/>
      <c r="O986" s="539"/>
      <c r="AD986" s="615"/>
    </row>
    <row r="987" spans="3:30" ht="19.899999999999999" customHeight="1">
      <c r="C987" s="761"/>
      <c r="E987" s="761"/>
      <c r="O987" s="539"/>
      <c r="AD987" s="615"/>
    </row>
    <row r="988" spans="3:30" ht="19.899999999999999" customHeight="1">
      <c r="C988" s="761"/>
      <c r="E988" s="761"/>
      <c r="O988" s="539"/>
      <c r="AD988" s="615"/>
    </row>
    <row r="989" spans="3:30" ht="19.899999999999999" customHeight="1">
      <c r="C989" s="761"/>
      <c r="E989" s="761"/>
      <c r="O989" s="539"/>
      <c r="AD989" s="615"/>
    </row>
    <row r="990" spans="3:30" ht="19.899999999999999" customHeight="1">
      <c r="C990" s="761"/>
      <c r="E990" s="761"/>
      <c r="O990" s="539"/>
      <c r="AD990" s="615"/>
    </row>
    <row r="991" spans="3:30" ht="19.899999999999999" customHeight="1">
      <c r="C991" s="761"/>
      <c r="E991" s="761"/>
      <c r="O991" s="539"/>
      <c r="AD991" s="615"/>
    </row>
    <row r="992" spans="3:30" ht="19.899999999999999" customHeight="1">
      <c r="C992" s="761"/>
      <c r="E992" s="761"/>
      <c r="O992" s="539"/>
      <c r="AD992" s="615"/>
    </row>
    <row r="993" spans="3:30" ht="19.899999999999999" customHeight="1">
      <c r="C993" s="761"/>
      <c r="E993" s="761"/>
      <c r="O993" s="539"/>
      <c r="AD993" s="615"/>
    </row>
    <row r="994" spans="3:30" ht="19.899999999999999" customHeight="1">
      <c r="C994" s="761"/>
      <c r="E994" s="761"/>
      <c r="O994" s="539"/>
      <c r="AD994" s="615"/>
    </row>
    <row r="995" spans="3:30" ht="19.899999999999999" customHeight="1">
      <c r="C995" s="761"/>
      <c r="E995" s="761"/>
      <c r="O995" s="539"/>
      <c r="AD995" s="615"/>
    </row>
    <row r="996" spans="3:30" ht="19.899999999999999" customHeight="1">
      <c r="C996" s="761"/>
      <c r="E996" s="761"/>
      <c r="O996" s="539"/>
      <c r="AD996" s="615"/>
    </row>
    <row r="997" spans="3:30" ht="19.899999999999999" customHeight="1">
      <c r="C997" s="761"/>
      <c r="E997" s="761"/>
      <c r="O997" s="539"/>
      <c r="AD997" s="615"/>
    </row>
    <row r="998" spans="3:30" ht="19.899999999999999" customHeight="1">
      <c r="C998" s="761"/>
      <c r="E998" s="761"/>
      <c r="O998" s="539"/>
      <c r="AD998" s="615"/>
    </row>
    <row r="999" spans="3:30" ht="19.899999999999999" customHeight="1">
      <c r="C999" s="761"/>
      <c r="E999" s="761"/>
      <c r="O999" s="539"/>
      <c r="AD999" s="615"/>
    </row>
    <row r="1000" spans="3:30" ht="19.899999999999999" customHeight="1">
      <c r="C1000" s="761"/>
      <c r="E1000" s="761"/>
      <c r="O1000" s="539"/>
      <c r="AD1000" s="615"/>
    </row>
    <row r="1001" spans="3:30" ht="19.899999999999999" customHeight="1">
      <c r="C1001" s="761"/>
      <c r="E1001" s="761"/>
      <c r="O1001" s="539"/>
      <c r="AD1001" s="615"/>
    </row>
    <row r="1002" spans="3:30" ht="19.899999999999999" customHeight="1">
      <c r="C1002" s="761"/>
      <c r="E1002" s="761"/>
      <c r="O1002" s="539"/>
      <c r="AD1002" s="615"/>
    </row>
    <row r="1003" spans="3:30" ht="19.899999999999999" customHeight="1">
      <c r="C1003" s="761"/>
      <c r="E1003" s="761"/>
      <c r="O1003" s="539"/>
      <c r="AD1003" s="615"/>
    </row>
    <row r="1004" spans="3:30" ht="19.899999999999999" customHeight="1">
      <c r="C1004" s="761"/>
      <c r="E1004" s="761"/>
      <c r="O1004" s="539"/>
      <c r="AD1004" s="615"/>
    </row>
    <row r="1005" spans="3:30" ht="19.899999999999999" customHeight="1">
      <c r="C1005" s="761"/>
      <c r="E1005" s="761"/>
      <c r="O1005" s="539"/>
      <c r="AD1005" s="615"/>
    </row>
    <row r="1006" spans="3:30" ht="19.899999999999999" customHeight="1">
      <c r="C1006" s="761"/>
      <c r="E1006" s="761"/>
      <c r="O1006" s="539"/>
      <c r="AD1006" s="615"/>
    </row>
    <row r="1007" spans="3:30" ht="19.899999999999999" customHeight="1">
      <c r="C1007" s="761"/>
      <c r="E1007" s="761"/>
      <c r="O1007" s="539"/>
      <c r="AD1007" s="615"/>
    </row>
    <row r="1008" spans="3:30" ht="19.899999999999999" customHeight="1">
      <c r="C1008" s="761"/>
      <c r="E1008" s="761"/>
      <c r="O1008" s="539"/>
      <c r="AD1008" s="615"/>
    </row>
    <row r="1009" spans="3:30" ht="19.899999999999999" customHeight="1">
      <c r="C1009" s="761"/>
      <c r="E1009" s="761"/>
      <c r="O1009" s="539"/>
      <c r="AD1009" s="615"/>
    </row>
    <row r="1010" spans="3:30" ht="19.899999999999999" customHeight="1">
      <c r="C1010" s="761"/>
      <c r="E1010" s="761"/>
      <c r="O1010" s="539"/>
      <c r="AD1010" s="615"/>
    </row>
    <row r="1011" spans="3:30" ht="19.899999999999999" customHeight="1">
      <c r="C1011" s="761"/>
      <c r="E1011" s="761"/>
      <c r="O1011" s="539"/>
      <c r="AD1011" s="615"/>
    </row>
    <row r="1012" spans="3:30" ht="19.899999999999999" customHeight="1">
      <c r="C1012" s="761"/>
      <c r="E1012" s="761"/>
      <c r="O1012" s="539"/>
      <c r="AD1012" s="615"/>
    </row>
    <row r="1013" spans="3:30" ht="19.899999999999999" customHeight="1">
      <c r="C1013" s="761"/>
      <c r="E1013" s="761"/>
      <c r="O1013" s="539"/>
      <c r="AD1013" s="615"/>
    </row>
    <row r="1014" spans="3:30" ht="19.899999999999999" customHeight="1">
      <c r="C1014" s="761"/>
      <c r="E1014" s="761"/>
      <c r="O1014" s="539"/>
      <c r="AD1014" s="615"/>
    </row>
    <row r="1015" spans="3:30" ht="19.899999999999999" customHeight="1">
      <c r="C1015" s="761"/>
      <c r="E1015" s="761"/>
      <c r="O1015" s="539"/>
      <c r="AD1015" s="615"/>
    </row>
    <row r="1016" spans="3:30" ht="19.899999999999999" customHeight="1">
      <c r="C1016" s="761"/>
      <c r="E1016" s="761"/>
      <c r="O1016" s="539"/>
      <c r="AD1016" s="615"/>
    </row>
    <row r="1017" spans="3:30" ht="19.899999999999999" customHeight="1">
      <c r="C1017" s="761"/>
      <c r="E1017" s="761"/>
      <c r="O1017" s="539"/>
      <c r="AD1017" s="615"/>
    </row>
    <row r="1018" spans="3:30" ht="19.899999999999999" customHeight="1">
      <c r="C1018" s="761"/>
      <c r="E1018" s="761"/>
      <c r="O1018" s="539"/>
      <c r="AD1018" s="615"/>
    </row>
    <row r="1019" spans="3:30" ht="19.899999999999999" customHeight="1">
      <c r="C1019" s="761"/>
      <c r="E1019" s="761"/>
      <c r="O1019" s="539"/>
      <c r="AD1019" s="615"/>
    </row>
    <row r="1020" spans="3:30" ht="19.899999999999999" customHeight="1">
      <c r="C1020" s="761"/>
      <c r="E1020" s="761"/>
      <c r="O1020" s="539"/>
      <c r="AD1020" s="615"/>
    </row>
    <row r="1021" spans="3:30" ht="19.899999999999999" customHeight="1">
      <c r="C1021" s="761"/>
      <c r="E1021" s="761"/>
      <c r="O1021" s="539"/>
      <c r="AD1021" s="615"/>
    </row>
    <row r="1022" spans="3:30" ht="19.899999999999999" customHeight="1">
      <c r="C1022" s="761"/>
      <c r="E1022" s="761"/>
      <c r="O1022" s="539"/>
      <c r="AD1022" s="615"/>
    </row>
    <row r="1023" spans="3:30" ht="19.899999999999999" customHeight="1">
      <c r="C1023" s="761"/>
      <c r="E1023" s="761"/>
      <c r="O1023" s="539"/>
      <c r="AD1023" s="615"/>
    </row>
    <row r="1024" spans="3:30" ht="19.899999999999999" customHeight="1">
      <c r="C1024" s="761"/>
      <c r="E1024" s="761"/>
      <c r="O1024" s="539"/>
      <c r="AD1024" s="615"/>
    </row>
    <row r="1025" spans="3:30" ht="19.899999999999999" customHeight="1">
      <c r="C1025" s="761"/>
      <c r="E1025" s="761"/>
      <c r="O1025" s="539"/>
      <c r="AD1025" s="615"/>
    </row>
    <row r="1026" spans="3:30" ht="19.899999999999999" customHeight="1">
      <c r="C1026" s="761"/>
      <c r="E1026" s="761"/>
      <c r="O1026" s="539"/>
      <c r="AD1026" s="615"/>
    </row>
    <row r="1027" spans="3:30" ht="19.899999999999999" customHeight="1">
      <c r="C1027" s="761"/>
      <c r="E1027" s="761"/>
      <c r="O1027" s="539"/>
      <c r="AD1027" s="615"/>
    </row>
    <row r="1028" spans="3:30" ht="19.899999999999999" customHeight="1">
      <c r="C1028" s="761"/>
      <c r="E1028" s="761"/>
      <c r="O1028" s="539"/>
      <c r="AD1028" s="615"/>
    </row>
    <row r="1029" spans="3:30" ht="19.899999999999999" customHeight="1">
      <c r="C1029" s="761"/>
      <c r="E1029" s="761"/>
      <c r="O1029" s="539"/>
      <c r="AD1029" s="615"/>
    </row>
    <row r="1030" spans="3:30" ht="19.899999999999999" customHeight="1">
      <c r="C1030" s="761"/>
      <c r="E1030" s="761"/>
      <c r="O1030" s="539"/>
      <c r="AD1030" s="615"/>
    </row>
    <row r="1031" spans="3:30" ht="19.899999999999999" customHeight="1">
      <c r="C1031" s="761"/>
      <c r="E1031" s="761"/>
      <c r="O1031" s="539"/>
      <c r="AD1031" s="615"/>
    </row>
    <row r="1032" spans="3:30" ht="19.899999999999999" customHeight="1">
      <c r="C1032" s="761"/>
      <c r="E1032" s="761"/>
      <c r="O1032" s="539"/>
      <c r="AD1032" s="615"/>
    </row>
    <row r="1033" spans="3:30" ht="19.899999999999999" customHeight="1">
      <c r="C1033" s="761"/>
      <c r="E1033" s="761"/>
      <c r="O1033" s="539"/>
      <c r="AD1033" s="615"/>
    </row>
    <row r="1034" spans="3:30" ht="19.899999999999999" customHeight="1">
      <c r="C1034" s="761"/>
      <c r="E1034" s="761"/>
      <c r="O1034" s="539"/>
      <c r="AD1034" s="615"/>
    </row>
    <row r="1035" spans="3:30" ht="19.899999999999999" customHeight="1">
      <c r="C1035" s="761"/>
      <c r="E1035" s="761"/>
      <c r="O1035" s="539"/>
      <c r="AD1035" s="615"/>
    </row>
    <row r="1036" spans="3:30" ht="19.899999999999999" customHeight="1">
      <c r="C1036" s="761"/>
      <c r="E1036" s="761"/>
      <c r="O1036" s="539"/>
      <c r="AD1036" s="615"/>
    </row>
    <row r="1037" spans="3:30" ht="19.899999999999999" customHeight="1">
      <c r="C1037" s="761"/>
      <c r="E1037" s="761"/>
      <c r="O1037" s="539"/>
      <c r="AD1037" s="615"/>
    </row>
    <row r="1038" spans="3:30" ht="19.899999999999999" customHeight="1">
      <c r="C1038" s="761"/>
      <c r="E1038" s="761"/>
      <c r="O1038" s="539"/>
      <c r="AD1038" s="615"/>
    </row>
    <row r="1039" spans="3:30" ht="19.899999999999999" customHeight="1">
      <c r="C1039" s="761"/>
      <c r="E1039" s="761"/>
      <c r="O1039" s="539"/>
      <c r="AD1039" s="615"/>
    </row>
    <row r="1040" spans="3:30" ht="19.899999999999999" customHeight="1">
      <c r="C1040" s="761"/>
      <c r="E1040" s="761"/>
      <c r="O1040" s="539"/>
      <c r="AD1040" s="615"/>
    </row>
    <row r="1041" spans="3:30" ht="19.899999999999999" customHeight="1">
      <c r="C1041" s="761"/>
      <c r="E1041" s="761"/>
      <c r="O1041" s="539"/>
      <c r="AD1041" s="615"/>
    </row>
    <row r="1042" spans="3:30" ht="19.899999999999999" customHeight="1">
      <c r="C1042" s="761"/>
      <c r="E1042" s="761"/>
      <c r="O1042" s="539"/>
      <c r="AD1042" s="615"/>
    </row>
    <row r="1043" spans="3:30" ht="19.899999999999999" customHeight="1">
      <c r="C1043" s="761"/>
      <c r="E1043" s="761"/>
      <c r="O1043" s="539"/>
      <c r="AD1043" s="615"/>
    </row>
    <row r="1044" spans="3:30" ht="19.899999999999999" customHeight="1">
      <c r="C1044" s="761"/>
      <c r="E1044" s="761"/>
      <c r="O1044" s="539"/>
      <c r="AD1044" s="615"/>
    </row>
    <row r="1045" spans="3:30" ht="19.899999999999999" customHeight="1">
      <c r="C1045" s="761"/>
      <c r="E1045" s="761"/>
      <c r="O1045" s="539"/>
      <c r="AD1045" s="615"/>
    </row>
    <row r="1046" spans="3:30" ht="19.899999999999999" customHeight="1">
      <c r="C1046" s="761"/>
      <c r="E1046" s="761"/>
      <c r="O1046" s="539"/>
      <c r="AD1046" s="615"/>
    </row>
    <row r="1047" spans="3:30" ht="19.899999999999999" customHeight="1">
      <c r="C1047" s="761"/>
      <c r="E1047" s="761"/>
      <c r="O1047" s="539"/>
      <c r="AD1047" s="615"/>
    </row>
    <row r="1048" spans="3:30" ht="19.899999999999999" customHeight="1">
      <c r="C1048" s="761"/>
      <c r="E1048" s="761"/>
      <c r="O1048" s="539"/>
      <c r="AD1048" s="615"/>
    </row>
    <row r="1049" spans="3:30" ht="19.899999999999999" customHeight="1">
      <c r="C1049" s="761"/>
      <c r="E1049" s="761"/>
      <c r="O1049" s="539"/>
      <c r="AD1049" s="615"/>
    </row>
    <row r="1050" spans="3:30" ht="19.899999999999999" customHeight="1">
      <c r="C1050" s="761"/>
      <c r="E1050" s="761"/>
      <c r="O1050" s="539"/>
      <c r="AD1050" s="615"/>
    </row>
    <row r="1051" spans="3:30" ht="19.899999999999999" customHeight="1">
      <c r="C1051" s="761"/>
      <c r="E1051" s="761"/>
      <c r="O1051" s="539"/>
      <c r="AD1051" s="615"/>
    </row>
    <row r="1052" spans="3:30" ht="19.899999999999999" customHeight="1">
      <c r="C1052" s="761"/>
      <c r="E1052" s="761"/>
      <c r="O1052" s="539"/>
      <c r="AD1052" s="615"/>
    </row>
    <row r="1053" spans="3:30" ht="19.899999999999999" customHeight="1">
      <c r="C1053" s="761"/>
      <c r="E1053" s="761"/>
      <c r="O1053" s="539"/>
      <c r="AD1053" s="615"/>
    </row>
    <row r="1054" spans="3:30" ht="19.899999999999999" customHeight="1"/>
  </sheetData>
  <mergeCells count="9">
    <mergeCell ref="P84:U84"/>
    <mergeCell ref="W84:AB84"/>
    <mergeCell ref="B179:B181"/>
    <mergeCell ref="B234:B236"/>
    <mergeCell ref="A43:A44"/>
    <mergeCell ref="A49:A51"/>
    <mergeCell ref="A57:A58"/>
    <mergeCell ref="A65:A67"/>
    <mergeCell ref="A81:A82"/>
  </mergeCells>
  <printOptions horizontalCentered="1" gridLines="1"/>
  <pageMargins left="0.39370078740157483" right="0.39370078740157483" top="0.39370078740157483" bottom="0.39370078740157483" header="0.39370078740157483" footer="0"/>
  <pageSetup paperSize="9" scale="30" fitToHeight="0" orientation="landscape" r:id="rId1"/>
  <headerFooter alignWithMargins="0">
    <oddHeader>&amp;C&amp;"Arial,Negrita"&amp;12TRAYECTO: L11&amp;R&amp;D</oddHeader>
    <oddFooter>&amp;L&amp;F&amp;C&amp;P DE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J2078"/>
  <sheetViews>
    <sheetView showZeros="0" zoomScaleNormal="100" workbookViewId="0">
      <pane xSplit="2" ySplit="3" topLeftCell="C4" activePane="bottomRight" state="frozen"/>
      <selection activeCell="L12" sqref="L12:L24"/>
      <selection pane="topRight" activeCell="L12" sqref="L12:L24"/>
      <selection pane="bottomLeft" activeCell="L12" sqref="L12:L24"/>
      <selection pane="bottomRight" activeCell="L12" sqref="L12:L24"/>
    </sheetView>
  </sheetViews>
  <sheetFormatPr baseColWidth="10" defaultColWidth="12.5703125" defaultRowHeight="15"/>
  <cols>
    <col min="1" max="1" width="14.140625" style="131" customWidth="1"/>
    <col min="2" max="2" width="4.85546875" style="125" customWidth="1"/>
    <col min="3" max="3" width="58.85546875" style="131" customWidth="1"/>
    <col min="4" max="4" width="12.5703125" style="126" hidden="1" customWidth="1"/>
    <col min="5" max="5" width="12.140625" style="126" hidden="1" customWidth="1"/>
    <col min="6" max="6" width="17.140625" style="125" customWidth="1"/>
    <col min="7" max="7" width="14.7109375" style="197" customWidth="1"/>
    <col min="8" max="8" width="17.42578125" style="151" customWidth="1"/>
    <col min="9" max="9" width="12.5703125" style="126" hidden="1" customWidth="1"/>
    <col min="10" max="10" width="67.85546875" style="131" customWidth="1"/>
    <col min="11" max="16384" width="12.5703125" style="126"/>
  </cols>
  <sheetData>
    <row r="1" spans="1:10" s="120" customFormat="1" ht="27" customHeight="1">
      <c r="A1" s="907"/>
      <c r="B1" s="117"/>
      <c r="C1" s="127"/>
      <c r="D1" s="127"/>
      <c r="E1" s="118"/>
      <c r="F1" s="119"/>
      <c r="G1" s="179"/>
      <c r="H1" s="122"/>
      <c r="J1" s="127"/>
    </row>
    <row r="2" spans="1:10" s="120" customFormat="1" ht="20.45" customHeight="1">
      <c r="A2" s="908"/>
      <c r="B2" s="121"/>
      <c r="C2" s="128"/>
      <c r="D2" s="150"/>
      <c r="F2" s="123"/>
      <c r="G2" s="180"/>
      <c r="H2" s="122"/>
      <c r="J2" s="128"/>
    </row>
    <row r="3" spans="1:10" s="120" customFormat="1" ht="29.45" customHeight="1" thickBot="1">
      <c r="A3" s="909" t="s">
        <v>146</v>
      </c>
      <c r="B3" s="132" t="s">
        <v>147</v>
      </c>
      <c r="C3" s="133" t="s">
        <v>197</v>
      </c>
      <c r="D3" s="910" t="s">
        <v>148</v>
      </c>
      <c r="E3" s="134" t="s">
        <v>198</v>
      </c>
      <c r="F3" s="135" t="s">
        <v>1108</v>
      </c>
      <c r="G3" s="181" t="s">
        <v>201</v>
      </c>
      <c r="H3" s="122"/>
      <c r="J3" s="133" t="s">
        <v>1418</v>
      </c>
    </row>
    <row r="4" spans="1:10" s="120" customFormat="1" ht="20.45" customHeight="1">
      <c r="A4" s="911"/>
      <c r="B4" s="77"/>
      <c r="C4" s="80"/>
      <c r="D4" s="912"/>
      <c r="E4" s="79"/>
      <c r="F4" s="78"/>
      <c r="G4" s="182"/>
      <c r="H4" s="122"/>
      <c r="J4" s="80"/>
    </row>
    <row r="5" spans="1:10" s="120" customFormat="1" ht="20.45" customHeight="1">
      <c r="A5" s="911"/>
      <c r="B5" s="77"/>
      <c r="C5" s="81"/>
      <c r="D5" s="912"/>
      <c r="E5" s="79"/>
      <c r="F5" s="77"/>
      <c r="G5" s="183"/>
      <c r="H5" s="122"/>
      <c r="J5" s="81"/>
    </row>
    <row r="6" spans="1:10" s="120" customFormat="1" ht="20.45" customHeight="1">
      <c r="A6" s="913"/>
      <c r="B6" s="82"/>
      <c r="C6" s="81" t="s">
        <v>242</v>
      </c>
      <c r="D6" s="912"/>
      <c r="E6" s="79"/>
      <c r="F6" s="77"/>
      <c r="G6" s="183"/>
      <c r="H6" s="914" t="s">
        <v>2623</v>
      </c>
      <c r="J6" s="81" t="s">
        <v>242</v>
      </c>
    </row>
    <row r="7" spans="1:10" s="120" customFormat="1" ht="20.45" customHeight="1">
      <c r="A7" s="913"/>
      <c r="B7" s="82"/>
      <c r="C7" s="81"/>
      <c r="D7" s="912"/>
      <c r="E7" s="79"/>
      <c r="F7" s="77"/>
      <c r="G7" s="183"/>
      <c r="H7" s="914" t="s">
        <v>2624</v>
      </c>
      <c r="J7" s="81"/>
    </row>
    <row r="8" spans="1:10" s="120" customFormat="1" ht="20.45" customHeight="1">
      <c r="A8" s="913"/>
      <c r="B8" s="82"/>
      <c r="C8" s="81" t="s">
        <v>243</v>
      </c>
      <c r="D8" s="912"/>
      <c r="E8" s="79"/>
      <c r="F8" s="77"/>
      <c r="G8" s="183"/>
      <c r="H8" s="914"/>
      <c r="J8" s="81" t="s">
        <v>1419</v>
      </c>
    </row>
    <row r="9" spans="1:10" s="120" customFormat="1" ht="20.45" customHeight="1">
      <c r="A9" s="913"/>
      <c r="B9" s="82"/>
      <c r="C9" s="42"/>
      <c r="D9" s="915"/>
      <c r="E9" s="83"/>
      <c r="F9" s="82"/>
      <c r="G9" s="184"/>
      <c r="H9" s="122"/>
      <c r="J9" s="42"/>
    </row>
    <row r="10" spans="1:10" s="120" customFormat="1" ht="20.45" customHeight="1">
      <c r="A10" s="913"/>
      <c r="B10" s="82"/>
      <c r="C10" s="107" t="s">
        <v>244</v>
      </c>
      <c r="D10" s="912"/>
      <c r="E10" s="79"/>
      <c r="F10" s="84"/>
      <c r="G10" s="185"/>
      <c r="H10" s="122"/>
      <c r="J10" s="107" t="s">
        <v>1420</v>
      </c>
    </row>
    <row r="11" spans="1:10" s="120" customFormat="1" ht="20.45" customHeight="1">
      <c r="A11" s="913" t="s">
        <v>245</v>
      </c>
      <c r="B11" s="82" t="s">
        <v>147</v>
      </c>
      <c r="C11" s="42" t="s">
        <v>199</v>
      </c>
      <c r="D11" s="916">
        <v>15.65</v>
      </c>
      <c r="E11" s="86">
        <f>+G11*D11</f>
        <v>0</v>
      </c>
      <c r="F11" s="146" t="s">
        <v>677</v>
      </c>
      <c r="G11" s="961">
        <v>0</v>
      </c>
      <c r="H11" s="122"/>
      <c r="J11" s="42" t="s">
        <v>1421</v>
      </c>
    </row>
    <row r="12" spans="1:10" s="120" customFormat="1" ht="32.450000000000003" customHeight="1">
      <c r="A12" s="913" t="s">
        <v>246</v>
      </c>
      <c r="B12" s="82" t="s">
        <v>147</v>
      </c>
      <c r="C12" s="42" t="s">
        <v>202</v>
      </c>
      <c r="D12" s="916">
        <v>151.05000000000001</v>
      </c>
      <c r="E12" s="86">
        <f t="shared" ref="E12:E13" si="0">+G12*D12</f>
        <v>0</v>
      </c>
      <c r="F12" s="146" t="s">
        <v>1199</v>
      </c>
      <c r="G12" s="955"/>
      <c r="H12" s="122"/>
      <c r="J12" s="42" t="s">
        <v>1515</v>
      </c>
    </row>
    <row r="13" spans="1:10" s="120" customFormat="1" ht="20.45" customHeight="1">
      <c r="A13" s="913" t="s">
        <v>247</v>
      </c>
      <c r="B13" s="82" t="s">
        <v>147</v>
      </c>
      <c r="C13" s="42" t="s">
        <v>203</v>
      </c>
      <c r="D13" s="916">
        <v>151.05000000000001</v>
      </c>
      <c r="E13" s="86">
        <f t="shared" si="0"/>
        <v>0</v>
      </c>
      <c r="F13" s="146" t="s">
        <v>496</v>
      </c>
      <c r="G13" s="955"/>
      <c r="H13" s="122"/>
      <c r="J13" s="42" t="s">
        <v>1422</v>
      </c>
    </row>
    <row r="14" spans="1:10" s="120" customFormat="1" ht="20.45" customHeight="1">
      <c r="A14" s="913" t="s">
        <v>1109</v>
      </c>
      <c r="B14" s="82" t="s">
        <v>147</v>
      </c>
      <c r="C14" s="42" t="s">
        <v>1111</v>
      </c>
      <c r="D14" s="917"/>
      <c r="E14" s="3"/>
      <c r="F14" s="87" t="s">
        <v>492</v>
      </c>
      <c r="G14" s="186">
        <f>+'Recuento Conjuntos'!G29+'Recuento Conjuntos'!G30</f>
        <v>67</v>
      </c>
      <c r="H14" s="122"/>
      <c r="J14" s="42" t="s">
        <v>1423</v>
      </c>
    </row>
    <row r="15" spans="1:10" s="120" customFormat="1" ht="20.45" customHeight="1">
      <c r="A15" s="913" t="s">
        <v>1110</v>
      </c>
      <c r="B15" s="82" t="s">
        <v>147</v>
      </c>
      <c r="C15" s="42" t="s">
        <v>1112</v>
      </c>
      <c r="D15" s="918"/>
      <c r="E15" s="86"/>
      <c r="F15" s="87" t="s">
        <v>491</v>
      </c>
      <c r="G15" s="186">
        <f>+'Recuento Conjuntos'!G27+'Recuento Conjuntos'!G26</f>
        <v>70</v>
      </c>
      <c r="H15" s="122"/>
      <c r="J15" s="42" t="s">
        <v>1424</v>
      </c>
    </row>
    <row r="16" spans="1:10" s="120" customFormat="1" ht="21" customHeight="1" thickBot="1">
      <c r="A16" s="919"/>
      <c r="B16" s="105"/>
      <c r="C16" s="112" t="s">
        <v>248</v>
      </c>
      <c r="D16" s="920"/>
      <c r="E16" s="90">
        <f>E11+E12+E13</f>
        <v>0</v>
      </c>
      <c r="F16" s="91"/>
      <c r="G16" s="187"/>
      <c r="H16" s="122"/>
      <c r="J16" s="112" t="s">
        <v>1425</v>
      </c>
    </row>
    <row r="17" spans="1:10" s="120" customFormat="1" ht="20.45" customHeight="1">
      <c r="A17" s="913"/>
      <c r="B17" s="82"/>
      <c r="C17" s="81"/>
      <c r="D17" s="921"/>
      <c r="E17" s="92"/>
      <c r="F17" s="89"/>
      <c r="G17" s="188"/>
      <c r="H17" s="122"/>
      <c r="J17" s="81"/>
    </row>
    <row r="18" spans="1:10" s="120" customFormat="1" ht="20.45" hidden="1" customHeight="1">
      <c r="A18" s="913"/>
      <c r="B18" s="82"/>
      <c r="C18" s="107" t="s">
        <v>249</v>
      </c>
      <c r="D18" s="921"/>
      <c r="E18" s="92"/>
      <c r="F18" s="89"/>
      <c r="G18" s="188"/>
      <c r="H18" s="122"/>
      <c r="J18" s="107" t="s">
        <v>1426</v>
      </c>
    </row>
    <row r="19" spans="1:10" s="120" customFormat="1" ht="42" hidden="1" customHeight="1">
      <c r="A19" s="913" t="s">
        <v>250</v>
      </c>
      <c r="B19" s="82" t="s">
        <v>147</v>
      </c>
      <c r="C19" s="42" t="s">
        <v>240</v>
      </c>
      <c r="D19" s="916">
        <v>926.4</v>
      </c>
      <c r="E19" s="86" t="e">
        <f>#REF!*D19</f>
        <v>#REF!</v>
      </c>
      <c r="F19" s="85"/>
      <c r="G19" s="189"/>
      <c r="H19" s="122"/>
      <c r="J19" s="42" t="s">
        <v>1516</v>
      </c>
    </row>
    <row r="20" spans="1:10" s="120" customFormat="1" ht="42" hidden="1" customHeight="1">
      <c r="A20" s="913" t="s">
        <v>251</v>
      </c>
      <c r="B20" s="82" t="s">
        <v>147</v>
      </c>
      <c r="C20" s="42" t="s">
        <v>241</v>
      </c>
      <c r="D20" s="922">
        <v>1445.45</v>
      </c>
      <c r="E20" s="86" t="e">
        <f>#REF!*D20</f>
        <v>#REF!</v>
      </c>
      <c r="F20" s="85"/>
      <c r="G20" s="189"/>
      <c r="H20" s="122"/>
      <c r="J20" s="42" t="s">
        <v>1517</v>
      </c>
    </row>
    <row r="21" spans="1:10" s="120" customFormat="1" ht="42" hidden="1" customHeight="1">
      <c r="A21" s="913" t="s">
        <v>450</v>
      </c>
      <c r="B21" s="82" t="s">
        <v>147</v>
      </c>
      <c r="C21" s="42" t="s">
        <v>453</v>
      </c>
      <c r="D21" s="922">
        <v>1500</v>
      </c>
      <c r="E21" s="2" t="e">
        <f>#REF!*D21</f>
        <v>#REF!</v>
      </c>
      <c r="F21" s="85"/>
      <c r="G21" s="189"/>
      <c r="H21" s="122"/>
      <c r="J21" s="42" t="s">
        <v>1518</v>
      </c>
    </row>
    <row r="22" spans="1:10" s="120" customFormat="1" ht="42" hidden="1" customHeight="1">
      <c r="A22" s="913" t="s">
        <v>451</v>
      </c>
      <c r="B22" s="82" t="s">
        <v>147</v>
      </c>
      <c r="C22" s="42" t="s">
        <v>454</v>
      </c>
      <c r="D22" s="922"/>
      <c r="E22" s="2"/>
      <c r="F22" s="85"/>
      <c r="G22" s="189"/>
      <c r="H22" s="122"/>
      <c r="J22" s="42" t="s">
        <v>1519</v>
      </c>
    </row>
    <row r="23" spans="1:10" s="120" customFormat="1" ht="42" hidden="1" customHeight="1">
      <c r="A23" s="913" t="s">
        <v>452</v>
      </c>
      <c r="B23" s="82" t="s">
        <v>147</v>
      </c>
      <c r="C23" s="42" t="s">
        <v>455</v>
      </c>
      <c r="D23" s="922"/>
      <c r="E23" s="2"/>
      <c r="F23" s="85"/>
      <c r="G23" s="189"/>
      <c r="H23" s="122"/>
      <c r="J23" s="42" t="s">
        <v>1520</v>
      </c>
    </row>
    <row r="24" spans="1:10" s="120" customFormat="1" ht="42" hidden="1" customHeight="1">
      <c r="A24" s="913" t="s">
        <v>252</v>
      </c>
      <c r="B24" s="82" t="s">
        <v>147</v>
      </c>
      <c r="C24" s="42" t="s">
        <v>204</v>
      </c>
      <c r="D24" s="916">
        <v>788.99</v>
      </c>
      <c r="E24" s="86" t="e">
        <f>#REF!*D24</f>
        <v>#REF!</v>
      </c>
      <c r="F24" s="85"/>
      <c r="G24" s="189"/>
      <c r="H24" s="122"/>
      <c r="J24" s="42" t="s">
        <v>1427</v>
      </c>
    </row>
    <row r="25" spans="1:10" s="120" customFormat="1" ht="42" hidden="1" customHeight="1">
      <c r="A25" s="913" t="s">
        <v>253</v>
      </c>
      <c r="B25" s="82" t="s">
        <v>147</v>
      </c>
      <c r="C25" s="42" t="s">
        <v>205</v>
      </c>
      <c r="D25" s="916">
        <v>788.99</v>
      </c>
      <c r="E25" s="86" t="e">
        <f>#REF!*D25</f>
        <v>#REF!</v>
      </c>
      <c r="F25" s="85"/>
      <c r="G25" s="189"/>
      <c r="H25" s="122"/>
      <c r="J25" s="42" t="s">
        <v>1428</v>
      </c>
    </row>
    <row r="26" spans="1:10" s="120" customFormat="1" ht="20.45" hidden="1" customHeight="1">
      <c r="A26" s="913" t="s">
        <v>254</v>
      </c>
      <c r="B26" s="82" t="s">
        <v>147</v>
      </c>
      <c r="C26" s="42" t="s">
        <v>206</v>
      </c>
      <c r="D26" s="916">
        <v>325.52999999999997</v>
      </c>
      <c r="E26" s="86" t="e">
        <f>#REF!*D26</f>
        <v>#REF!</v>
      </c>
      <c r="F26" s="85"/>
      <c r="G26" s="189"/>
      <c r="H26" s="122"/>
      <c r="J26" s="42" t="s">
        <v>1429</v>
      </c>
    </row>
    <row r="27" spans="1:10" s="120" customFormat="1" ht="20.45" hidden="1" customHeight="1">
      <c r="A27" s="913" t="s">
        <v>255</v>
      </c>
      <c r="B27" s="82"/>
      <c r="C27" s="42" t="s">
        <v>207</v>
      </c>
      <c r="D27" s="916">
        <v>325.52999999999997</v>
      </c>
      <c r="E27" s="86" t="e">
        <f>#REF!*D27</f>
        <v>#REF!</v>
      </c>
      <c r="F27" s="85"/>
      <c r="G27" s="189"/>
      <c r="H27" s="122"/>
      <c r="J27" s="42" t="s">
        <v>1430</v>
      </c>
    </row>
    <row r="28" spans="1:10" s="120" customFormat="1" ht="42" hidden="1" customHeight="1">
      <c r="A28" s="913" t="s">
        <v>256</v>
      </c>
      <c r="B28" s="82" t="s">
        <v>147</v>
      </c>
      <c r="C28" s="42" t="s">
        <v>57</v>
      </c>
      <c r="D28" s="916">
        <v>189.75</v>
      </c>
      <c r="E28" s="2"/>
      <c r="F28" s="85"/>
      <c r="G28" s="189"/>
      <c r="H28" s="122"/>
      <c r="J28" s="42" t="s">
        <v>1521</v>
      </c>
    </row>
    <row r="29" spans="1:10" s="120" customFormat="1" ht="42" hidden="1" customHeight="1">
      <c r="A29" s="913" t="s">
        <v>257</v>
      </c>
      <c r="B29" s="82" t="s">
        <v>147</v>
      </c>
      <c r="C29" s="42" t="s">
        <v>58</v>
      </c>
      <c r="D29" s="916">
        <v>217.43</v>
      </c>
      <c r="E29" s="2"/>
      <c r="F29" s="85"/>
      <c r="G29" s="189"/>
      <c r="H29" s="122"/>
      <c r="J29" s="42" t="s">
        <v>1522</v>
      </c>
    </row>
    <row r="30" spans="1:10" s="120" customFormat="1" ht="30" hidden="1" customHeight="1">
      <c r="A30" s="913" t="s">
        <v>258</v>
      </c>
      <c r="B30" s="82" t="s">
        <v>147</v>
      </c>
      <c r="C30" s="42" t="s">
        <v>149</v>
      </c>
      <c r="D30" s="916">
        <v>179.24</v>
      </c>
      <c r="E30" s="2"/>
      <c r="F30" s="85"/>
      <c r="G30" s="189"/>
      <c r="H30" s="122"/>
      <c r="J30" s="42" t="s">
        <v>1431</v>
      </c>
    </row>
    <row r="31" spans="1:10" s="120" customFormat="1" ht="21" hidden="1" customHeight="1" thickBot="1">
      <c r="A31" s="913"/>
      <c r="B31" s="82"/>
      <c r="C31" s="107" t="s">
        <v>259</v>
      </c>
      <c r="D31" s="920"/>
      <c r="E31" s="90" t="e">
        <f>SUM(E19:E30)</f>
        <v>#REF!</v>
      </c>
      <c r="F31" s="91"/>
      <c r="G31" s="187"/>
      <c r="H31" s="122"/>
      <c r="J31" s="107" t="s">
        <v>1432</v>
      </c>
    </row>
    <row r="32" spans="1:10" s="120" customFormat="1" ht="20.45" hidden="1" customHeight="1">
      <c r="A32" s="913"/>
      <c r="B32" s="82"/>
      <c r="C32" s="81" t="s">
        <v>260</v>
      </c>
      <c r="D32" s="921"/>
      <c r="E32" s="92"/>
      <c r="F32" s="89"/>
      <c r="G32" s="188"/>
      <c r="H32" s="122"/>
      <c r="J32" s="81" t="s">
        <v>1433</v>
      </c>
    </row>
    <row r="33" spans="1:10" s="120" customFormat="1" ht="20.45" hidden="1" customHeight="1">
      <c r="A33" s="913"/>
      <c r="B33" s="82"/>
      <c r="C33" s="81"/>
      <c r="D33" s="921"/>
      <c r="E33" s="92"/>
      <c r="F33" s="89"/>
      <c r="G33" s="188"/>
      <c r="H33" s="122"/>
      <c r="J33" s="81"/>
    </row>
    <row r="34" spans="1:10" s="120" customFormat="1" ht="20.45" customHeight="1">
      <c r="A34" s="913"/>
      <c r="B34" s="82"/>
      <c r="C34" s="81" t="s">
        <v>261</v>
      </c>
      <c r="D34" s="921"/>
      <c r="E34" s="92"/>
      <c r="F34" s="89"/>
      <c r="G34" s="188"/>
      <c r="H34" s="122"/>
      <c r="J34" s="81" t="s">
        <v>1434</v>
      </c>
    </row>
    <row r="35" spans="1:10" s="120" customFormat="1" ht="20.45" customHeight="1">
      <c r="A35" s="913"/>
      <c r="B35" s="82"/>
      <c r="C35" s="81"/>
      <c r="D35" s="921"/>
      <c r="E35" s="92"/>
      <c r="F35" s="89"/>
      <c r="G35" s="188"/>
      <c r="H35" s="122"/>
      <c r="J35" s="81"/>
    </row>
    <row r="36" spans="1:10" s="120" customFormat="1" ht="30" customHeight="1">
      <c r="A36" s="913"/>
      <c r="B36" s="82"/>
      <c r="C36" s="107" t="s">
        <v>262</v>
      </c>
      <c r="D36" s="921"/>
      <c r="E36" s="92"/>
      <c r="F36" s="89"/>
      <c r="G36" s="188"/>
      <c r="H36" s="122"/>
      <c r="J36" s="107" t="s">
        <v>1523</v>
      </c>
    </row>
    <row r="37" spans="1:10" s="119" customFormat="1" ht="20.45" customHeight="1">
      <c r="A37" s="923" t="s">
        <v>263</v>
      </c>
      <c r="B37" s="773" t="s">
        <v>147</v>
      </c>
      <c r="C37" s="772" t="s">
        <v>1123</v>
      </c>
      <c r="D37" s="925">
        <v>541.97</v>
      </c>
      <c r="E37" s="86">
        <f t="shared" ref="E37:E101" si="1">+G37*D37</f>
        <v>0</v>
      </c>
      <c r="F37" s="767" t="s">
        <v>497</v>
      </c>
      <c r="G37" s="768">
        <f>+Rebusca_t1(F37)</f>
        <v>0</v>
      </c>
      <c r="H37" s="924"/>
      <c r="J37" s="772" t="s">
        <v>1524</v>
      </c>
    </row>
    <row r="38" spans="1:10" s="119" customFormat="1" ht="20.45" customHeight="1">
      <c r="A38" s="926" t="s">
        <v>1120</v>
      </c>
      <c r="B38" s="82"/>
      <c r="C38" s="42" t="s">
        <v>2036</v>
      </c>
      <c r="D38" s="927"/>
      <c r="E38" s="86">
        <f t="shared" si="1"/>
        <v>0</v>
      </c>
      <c r="F38" s="87" t="s">
        <v>1201</v>
      </c>
      <c r="G38" s="186">
        <f t="shared" ref="G38:G78" si="2">+Rebusca_t1(F38)</f>
        <v>0</v>
      </c>
      <c r="H38" s="924"/>
      <c r="J38" s="42" t="s">
        <v>1525</v>
      </c>
    </row>
    <row r="39" spans="1:10" s="119" customFormat="1" ht="20.45" customHeight="1">
      <c r="A39" s="926" t="s">
        <v>1121</v>
      </c>
      <c r="B39" s="82"/>
      <c r="C39" s="42" t="s">
        <v>1124</v>
      </c>
      <c r="D39" s="927"/>
      <c r="E39" s="86">
        <f t="shared" si="1"/>
        <v>0</v>
      </c>
      <c r="F39" s="87" t="s">
        <v>1202</v>
      </c>
      <c r="G39" s="186">
        <f t="shared" si="2"/>
        <v>0</v>
      </c>
      <c r="H39" s="924"/>
      <c r="J39" s="42" t="s">
        <v>1526</v>
      </c>
    </row>
    <row r="40" spans="1:10" s="119" customFormat="1" ht="20.45" customHeight="1">
      <c r="A40" s="926" t="s">
        <v>1122</v>
      </c>
      <c r="B40" s="82"/>
      <c r="C40" s="42" t="s">
        <v>2037</v>
      </c>
      <c r="D40" s="927"/>
      <c r="E40" s="86">
        <f t="shared" si="1"/>
        <v>0</v>
      </c>
      <c r="F40" s="87" t="s">
        <v>1203</v>
      </c>
      <c r="G40" s="186">
        <f t="shared" si="2"/>
        <v>0</v>
      </c>
      <c r="H40" s="924"/>
      <c r="J40" s="42" t="s">
        <v>1527</v>
      </c>
    </row>
    <row r="41" spans="1:10" s="119" customFormat="1" ht="20.45" customHeight="1">
      <c r="A41" s="923" t="s">
        <v>264</v>
      </c>
      <c r="B41" s="773" t="s">
        <v>147</v>
      </c>
      <c r="C41" s="772" t="s">
        <v>1130</v>
      </c>
      <c r="D41" s="925">
        <v>541.97</v>
      </c>
      <c r="E41" s="86">
        <f t="shared" si="1"/>
        <v>0</v>
      </c>
      <c r="F41" s="767" t="s">
        <v>498</v>
      </c>
      <c r="G41" s="768">
        <f t="shared" si="2"/>
        <v>0</v>
      </c>
      <c r="H41" s="924"/>
      <c r="J41" s="772" t="s">
        <v>1528</v>
      </c>
    </row>
    <row r="42" spans="1:10" s="119" customFormat="1" ht="20.45" customHeight="1">
      <c r="A42" s="926" t="s">
        <v>1127</v>
      </c>
      <c r="B42" s="82" t="s">
        <v>147</v>
      </c>
      <c r="C42" s="42" t="s">
        <v>2038</v>
      </c>
      <c r="D42" s="927"/>
      <c r="E42" s="86">
        <f t="shared" si="1"/>
        <v>0</v>
      </c>
      <c r="F42" s="87" t="s">
        <v>1092</v>
      </c>
      <c r="G42" s="186">
        <f t="shared" si="2"/>
        <v>0</v>
      </c>
      <c r="H42" s="924"/>
      <c r="J42" s="42" t="s">
        <v>1529</v>
      </c>
    </row>
    <row r="43" spans="1:10" s="119" customFormat="1" ht="20.45" customHeight="1">
      <c r="A43" s="928" t="s">
        <v>2885</v>
      </c>
      <c r="B43" s="82" t="s">
        <v>147</v>
      </c>
      <c r="C43" s="42" t="s">
        <v>2886</v>
      </c>
      <c r="D43" s="927"/>
      <c r="E43" s="86">
        <f t="shared" si="1"/>
        <v>0</v>
      </c>
      <c r="F43" s="87" t="s">
        <v>1092</v>
      </c>
      <c r="G43" s="186">
        <f t="shared" ref="G43" si="3">+Rebusca_t1(F43)</f>
        <v>0</v>
      </c>
      <c r="H43" s="924"/>
      <c r="J43" s="42" t="s">
        <v>2897</v>
      </c>
    </row>
    <row r="44" spans="1:10" s="119" customFormat="1" ht="20.45" customHeight="1">
      <c r="A44" s="926" t="s">
        <v>1128</v>
      </c>
      <c r="B44" s="82" t="s">
        <v>147</v>
      </c>
      <c r="C44" s="42" t="s">
        <v>1126</v>
      </c>
      <c r="D44" s="927"/>
      <c r="E44" s="86">
        <f t="shared" si="1"/>
        <v>0</v>
      </c>
      <c r="F44" s="87" t="s">
        <v>2817</v>
      </c>
      <c r="G44" s="186">
        <f t="shared" si="2"/>
        <v>0</v>
      </c>
      <c r="H44" s="924"/>
      <c r="J44" s="42" t="s">
        <v>1530</v>
      </c>
    </row>
    <row r="45" spans="1:10" s="119" customFormat="1" ht="20.45" customHeight="1">
      <c r="A45" s="926" t="s">
        <v>1125</v>
      </c>
      <c r="B45" s="82"/>
      <c r="C45" s="42" t="s">
        <v>2039</v>
      </c>
      <c r="D45" s="927"/>
      <c r="E45" s="86">
        <f t="shared" si="1"/>
        <v>0</v>
      </c>
      <c r="F45" s="87" t="s">
        <v>1129</v>
      </c>
      <c r="G45" s="186">
        <f t="shared" si="2"/>
        <v>0</v>
      </c>
      <c r="H45" s="924"/>
      <c r="J45" s="42" t="s">
        <v>1531</v>
      </c>
    </row>
    <row r="46" spans="1:10" s="119" customFormat="1" ht="20.45" customHeight="1">
      <c r="A46" s="929" t="s">
        <v>1140</v>
      </c>
      <c r="B46" s="773" t="s">
        <v>147</v>
      </c>
      <c r="C46" s="772" t="s">
        <v>1138</v>
      </c>
      <c r="D46" s="930"/>
      <c r="E46" s="86">
        <f t="shared" si="1"/>
        <v>0</v>
      </c>
      <c r="F46" s="767" t="s">
        <v>1101</v>
      </c>
      <c r="G46" s="768">
        <f t="shared" si="2"/>
        <v>0</v>
      </c>
      <c r="H46" s="924"/>
      <c r="J46" s="772" t="s">
        <v>1532</v>
      </c>
    </row>
    <row r="47" spans="1:10" s="119" customFormat="1" ht="20.45" customHeight="1">
      <c r="A47" s="926" t="s">
        <v>2032</v>
      </c>
      <c r="B47" s="82" t="s">
        <v>147</v>
      </c>
      <c r="C47" s="42" t="s">
        <v>2033</v>
      </c>
      <c r="D47" s="931"/>
      <c r="E47" s="86">
        <f t="shared" si="1"/>
        <v>0</v>
      </c>
      <c r="F47" s="87" t="s">
        <v>1102</v>
      </c>
      <c r="G47" s="186">
        <f t="shared" si="2"/>
        <v>0</v>
      </c>
      <c r="H47" s="924"/>
      <c r="J47" s="42" t="s">
        <v>2621</v>
      </c>
    </row>
    <row r="48" spans="1:10" s="119" customFormat="1" ht="20.45" customHeight="1">
      <c r="A48" s="923" t="s">
        <v>265</v>
      </c>
      <c r="B48" s="773" t="s">
        <v>147</v>
      </c>
      <c r="C48" s="772" t="s">
        <v>1131</v>
      </c>
      <c r="D48" s="925">
        <v>1078.52</v>
      </c>
      <c r="E48" s="86">
        <f t="shared" si="1"/>
        <v>0</v>
      </c>
      <c r="F48" s="767" t="s">
        <v>499</v>
      </c>
      <c r="G48" s="768">
        <f t="shared" si="2"/>
        <v>0</v>
      </c>
      <c r="H48" s="924"/>
      <c r="J48" s="772" t="s">
        <v>1533</v>
      </c>
    </row>
    <row r="49" spans="1:10" s="119" customFormat="1" ht="20.45" customHeight="1">
      <c r="A49" s="926" t="s">
        <v>1132</v>
      </c>
      <c r="B49" s="82" t="s">
        <v>147</v>
      </c>
      <c r="C49" s="42" t="s">
        <v>2040</v>
      </c>
      <c r="D49" s="927"/>
      <c r="E49" s="86">
        <f t="shared" si="1"/>
        <v>0</v>
      </c>
      <c r="F49" s="87" t="s">
        <v>1113</v>
      </c>
      <c r="G49" s="186">
        <f t="shared" si="2"/>
        <v>0</v>
      </c>
      <c r="H49" s="924"/>
      <c r="J49" s="42" t="s">
        <v>1534</v>
      </c>
    </row>
    <row r="50" spans="1:10" s="119" customFormat="1" ht="20.45" customHeight="1">
      <c r="A50" s="928" t="s">
        <v>2887</v>
      </c>
      <c r="B50" s="82" t="s">
        <v>147</v>
      </c>
      <c r="C50" s="42" t="s">
        <v>2888</v>
      </c>
      <c r="D50" s="927"/>
      <c r="E50" s="86">
        <f t="shared" si="1"/>
        <v>0</v>
      </c>
      <c r="F50" s="87" t="s">
        <v>2820</v>
      </c>
      <c r="G50" s="186">
        <f t="shared" ref="G50" si="4">+Rebusca_t1(F50)</f>
        <v>0</v>
      </c>
      <c r="H50" s="924"/>
      <c r="J50" s="42" t="s">
        <v>2898</v>
      </c>
    </row>
    <row r="51" spans="1:10" s="119" customFormat="1" ht="20.45" customHeight="1">
      <c r="A51" s="926" t="s">
        <v>1133</v>
      </c>
      <c r="B51" s="82" t="s">
        <v>147</v>
      </c>
      <c r="C51" s="42" t="s">
        <v>1134</v>
      </c>
      <c r="D51" s="927"/>
      <c r="E51" s="86">
        <f t="shared" si="1"/>
        <v>0</v>
      </c>
      <c r="F51" s="87" t="s">
        <v>1087</v>
      </c>
      <c r="G51" s="186">
        <f t="shared" si="2"/>
        <v>0</v>
      </c>
      <c r="H51" s="924"/>
      <c r="J51" s="42" t="s">
        <v>1535</v>
      </c>
    </row>
    <row r="52" spans="1:10" s="119" customFormat="1" ht="20.45" customHeight="1">
      <c r="A52" s="926" t="s">
        <v>1135</v>
      </c>
      <c r="B52" s="82"/>
      <c r="C52" s="42" t="s">
        <v>2041</v>
      </c>
      <c r="D52" s="927"/>
      <c r="E52" s="86">
        <f t="shared" si="1"/>
        <v>0</v>
      </c>
      <c r="F52" s="87" t="s">
        <v>1093</v>
      </c>
      <c r="G52" s="186">
        <f t="shared" si="2"/>
        <v>0</v>
      </c>
      <c r="H52" s="924"/>
      <c r="J52" s="42" t="s">
        <v>1536</v>
      </c>
    </row>
    <row r="53" spans="1:10" s="119" customFormat="1" ht="20.45" customHeight="1">
      <c r="A53" s="929" t="s">
        <v>1117</v>
      </c>
      <c r="B53" s="773" t="s">
        <v>147</v>
      </c>
      <c r="C53" s="772" t="s">
        <v>1139</v>
      </c>
      <c r="D53" s="930"/>
      <c r="E53" s="86">
        <f t="shared" si="1"/>
        <v>0</v>
      </c>
      <c r="F53" s="767" t="s">
        <v>1103</v>
      </c>
      <c r="G53" s="768">
        <f t="shared" si="2"/>
        <v>0</v>
      </c>
      <c r="H53" s="924"/>
      <c r="J53" s="772" t="s">
        <v>1537</v>
      </c>
    </row>
    <row r="54" spans="1:10" s="119" customFormat="1" ht="20.45" customHeight="1">
      <c r="A54" s="926" t="s">
        <v>2034</v>
      </c>
      <c r="B54" s="82" t="s">
        <v>147</v>
      </c>
      <c r="C54" s="42" t="s">
        <v>2035</v>
      </c>
      <c r="D54" s="931"/>
      <c r="E54" s="86">
        <f t="shared" si="1"/>
        <v>0</v>
      </c>
      <c r="F54" s="87" t="s">
        <v>1104</v>
      </c>
      <c r="G54" s="186">
        <f t="shared" si="2"/>
        <v>0</v>
      </c>
      <c r="H54" s="924"/>
      <c r="J54" s="42" t="s">
        <v>2622</v>
      </c>
    </row>
    <row r="55" spans="1:10" s="119" customFormat="1" ht="20.45" customHeight="1">
      <c r="A55" s="932" t="s">
        <v>266</v>
      </c>
      <c r="B55" s="765" t="s">
        <v>147</v>
      </c>
      <c r="C55" s="772" t="s">
        <v>1136</v>
      </c>
      <c r="D55" s="925">
        <v>1078.52</v>
      </c>
      <c r="E55" s="86">
        <f t="shared" si="1"/>
        <v>0</v>
      </c>
      <c r="F55" s="767" t="s">
        <v>500</v>
      </c>
      <c r="G55" s="768">
        <f t="shared" si="2"/>
        <v>0</v>
      </c>
      <c r="H55" s="924"/>
      <c r="J55" s="772" t="s">
        <v>1538</v>
      </c>
    </row>
    <row r="56" spans="1:10" s="119" customFormat="1" ht="20.45" customHeight="1">
      <c r="A56" s="926" t="s">
        <v>1141</v>
      </c>
      <c r="B56" s="82" t="s">
        <v>147</v>
      </c>
      <c r="C56" s="42" t="s">
        <v>2042</v>
      </c>
      <c r="D56" s="927"/>
      <c r="E56" s="86">
        <f t="shared" si="1"/>
        <v>0</v>
      </c>
      <c r="F56" s="87" t="s">
        <v>1095</v>
      </c>
      <c r="G56" s="186">
        <f t="shared" si="2"/>
        <v>0</v>
      </c>
      <c r="H56" s="924"/>
      <c r="J56" s="42" t="s">
        <v>1539</v>
      </c>
    </row>
    <row r="57" spans="1:10" s="119" customFormat="1" ht="20.45" customHeight="1">
      <c r="A57" s="926" t="s">
        <v>2889</v>
      </c>
      <c r="B57" s="82" t="s">
        <v>147</v>
      </c>
      <c r="C57" s="42" t="s">
        <v>2890</v>
      </c>
      <c r="D57" s="927"/>
      <c r="E57" s="86">
        <f t="shared" si="1"/>
        <v>0</v>
      </c>
      <c r="F57" s="87" t="s">
        <v>2823</v>
      </c>
      <c r="G57" s="186">
        <f t="shared" ref="G57" si="5">+Rebusca_t1(F57)</f>
        <v>0</v>
      </c>
      <c r="H57" s="924"/>
      <c r="J57" s="42" t="s">
        <v>2899</v>
      </c>
    </row>
    <row r="58" spans="1:10" s="119" customFormat="1" ht="20.45" customHeight="1">
      <c r="A58" s="926" t="s">
        <v>1142</v>
      </c>
      <c r="B58" s="82" t="s">
        <v>147</v>
      </c>
      <c r="C58" s="42" t="s">
        <v>1143</v>
      </c>
      <c r="D58" s="927"/>
      <c r="E58" s="86">
        <f t="shared" si="1"/>
        <v>0</v>
      </c>
      <c r="F58" s="87" t="s">
        <v>1094</v>
      </c>
      <c r="G58" s="186">
        <f t="shared" si="2"/>
        <v>0</v>
      </c>
      <c r="H58" s="924"/>
      <c r="J58" s="42" t="s">
        <v>1540</v>
      </c>
    </row>
    <row r="59" spans="1:10" s="119" customFormat="1" ht="20.45" customHeight="1">
      <c r="A59" s="926" t="s">
        <v>1146</v>
      </c>
      <c r="B59" s="82" t="s">
        <v>147</v>
      </c>
      <c r="C59" s="42" t="s">
        <v>2043</v>
      </c>
      <c r="D59" s="927"/>
      <c r="E59" s="86">
        <f t="shared" si="1"/>
        <v>0</v>
      </c>
      <c r="F59" s="87" t="s">
        <v>1096</v>
      </c>
      <c r="G59" s="186">
        <f t="shared" si="2"/>
        <v>0</v>
      </c>
      <c r="H59" s="924"/>
      <c r="J59" s="42" t="s">
        <v>1541</v>
      </c>
    </row>
    <row r="60" spans="1:10" s="119" customFormat="1" ht="20.45" customHeight="1">
      <c r="A60" s="929" t="s">
        <v>2607</v>
      </c>
      <c r="B60" s="765" t="s">
        <v>147</v>
      </c>
      <c r="C60" s="772" t="s">
        <v>2608</v>
      </c>
      <c r="D60" s="925"/>
      <c r="E60" s="86">
        <f t="shared" si="1"/>
        <v>0</v>
      </c>
      <c r="F60" s="767" t="s">
        <v>2600</v>
      </c>
      <c r="G60" s="768">
        <f t="shared" si="2"/>
        <v>0</v>
      </c>
      <c r="H60" s="924"/>
      <c r="J60" s="772" t="s">
        <v>2613</v>
      </c>
    </row>
    <row r="61" spans="1:10" s="119" customFormat="1" ht="20.45" customHeight="1">
      <c r="A61" s="926" t="s">
        <v>2891</v>
      </c>
      <c r="B61" s="82" t="s">
        <v>147</v>
      </c>
      <c r="C61" s="42" t="s">
        <v>2892</v>
      </c>
      <c r="D61" s="927"/>
      <c r="E61" s="86">
        <f t="shared" si="1"/>
        <v>0</v>
      </c>
      <c r="F61" s="87" t="s">
        <v>2829</v>
      </c>
      <c r="G61" s="186">
        <f t="shared" ref="G61" si="6">+Rebusca_t1(F61)</f>
        <v>0</v>
      </c>
      <c r="H61" s="924"/>
      <c r="J61" s="42" t="s">
        <v>2613</v>
      </c>
    </row>
    <row r="62" spans="1:10" s="119" customFormat="1" ht="20.45" customHeight="1">
      <c r="A62" s="932" t="s">
        <v>267</v>
      </c>
      <c r="B62" s="765" t="s">
        <v>147</v>
      </c>
      <c r="C62" s="772" t="s">
        <v>1137</v>
      </c>
      <c r="D62" s="930">
        <v>591.14</v>
      </c>
      <c r="E62" s="86">
        <f t="shared" si="1"/>
        <v>0</v>
      </c>
      <c r="F62" s="767" t="s">
        <v>501</v>
      </c>
      <c r="G62" s="768">
        <f t="shared" si="2"/>
        <v>0</v>
      </c>
      <c r="H62" s="924"/>
      <c r="J62" s="772" t="s">
        <v>1542</v>
      </c>
    </row>
    <row r="63" spans="1:10" s="119" customFormat="1" ht="20.45" customHeight="1">
      <c r="A63" s="926" t="s">
        <v>1144</v>
      </c>
      <c r="B63" s="82" t="s">
        <v>147</v>
      </c>
      <c r="C63" s="42" t="s">
        <v>2044</v>
      </c>
      <c r="D63" s="931"/>
      <c r="E63" s="86">
        <f t="shared" si="1"/>
        <v>0</v>
      </c>
      <c r="F63" s="87" t="s">
        <v>1098</v>
      </c>
      <c r="G63" s="186">
        <f t="shared" si="2"/>
        <v>0</v>
      </c>
      <c r="H63" s="924"/>
      <c r="J63" s="42" t="s">
        <v>1543</v>
      </c>
    </row>
    <row r="64" spans="1:10" s="119" customFormat="1" ht="20.45" customHeight="1">
      <c r="A64" s="926" t="s">
        <v>2893</v>
      </c>
      <c r="B64" s="82" t="s">
        <v>147</v>
      </c>
      <c r="C64" s="42" t="s">
        <v>2894</v>
      </c>
      <c r="D64" s="931"/>
      <c r="E64" s="86">
        <f t="shared" si="1"/>
        <v>0</v>
      </c>
      <c r="F64" s="87" t="s">
        <v>2826</v>
      </c>
      <c r="G64" s="186">
        <f t="shared" ref="G64" si="7">+Rebusca_t1(F64)</f>
        <v>0</v>
      </c>
      <c r="H64" s="924"/>
      <c r="J64" s="42" t="s">
        <v>2900</v>
      </c>
    </row>
    <row r="65" spans="1:10" s="119" customFormat="1" ht="20.45" customHeight="1">
      <c r="A65" s="926" t="s">
        <v>1145</v>
      </c>
      <c r="B65" s="82" t="s">
        <v>147</v>
      </c>
      <c r="C65" s="42" t="s">
        <v>1148</v>
      </c>
      <c r="D65" s="931"/>
      <c r="E65" s="86">
        <f t="shared" si="1"/>
        <v>0</v>
      </c>
      <c r="F65" s="87" t="s">
        <v>1097</v>
      </c>
      <c r="G65" s="186">
        <f t="shared" si="2"/>
        <v>0</v>
      </c>
      <c r="H65" s="924"/>
      <c r="J65" s="42" t="s">
        <v>1544</v>
      </c>
    </row>
    <row r="66" spans="1:10" s="119" customFormat="1" ht="20.45" customHeight="1">
      <c r="A66" s="926" t="s">
        <v>1147</v>
      </c>
      <c r="B66" s="82" t="s">
        <v>147</v>
      </c>
      <c r="C66" s="42" t="s">
        <v>2045</v>
      </c>
      <c r="D66" s="931"/>
      <c r="E66" s="86">
        <f t="shared" si="1"/>
        <v>0</v>
      </c>
      <c r="F66" s="87" t="s">
        <v>1099</v>
      </c>
      <c r="G66" s="186">
        <f t="shared" si="2"/>
        <v>0</v>
      </c>
      <c r="H66" s="924"/>
      <c r="J66" s="42" t="s">
        <v>1545</v>
      </c>
    </row>
    <row r="67" spans="1:10" s="119" customFormat="1" ht="20.45" customHeight="1">
      <c r="A67" s="929" t="s">
        <v>2609</v>
      </c>
      <c r="B67" s="765" t="s">
        <v>147</v>
      </c>
      <c r="C67" s="772" t="s">
        <v>2610</v>
      </c>
      <c r="D67" s="930"/>
      <c r="E67" s="86">
        <f t="shared" si="1"/>
        <v>0</v>
      </c>
      <c r="F67" s="767" t="s">
        <v>2601</v>
      </c>
      <c r="G67" s="768">
        <f t="shared" si="2"/>
        <v>0</v>
      </c>
      <c r="H67" s="924"/>
      <c r="J67" s="772" t="s">
        <v>2612</v>
      </c>
    </row>
    <row r="68" spans="1:10" s="119" customFormat="1" ht="20.45" customHeight="1">
      <c r="A68" s="929" t="s">
        <v>2895</v>
      </c>
      <c r="B68" s="765" t="s">
        <v>147</v>
      </c>
      <c r="C68" s="772" t="s">
        <v>2896</v>
      </c>
      <c r="D68" s="930"/>
      <c r="E68" s="86">
        <f t="shared" si="1"/>
        <v>0</v>
      </c>
      <c r="F68" s="767" t="s">
        <v>2833</v>
      </c>
      <c r="G68" s="768">
        <f t="shared" ref="G68" si="8">+Rebusca_t1(F68)</f>
        <v>0</v>
      </c>
      <c r="H68" s="924"/>
      <c r="J68" s="772" t="s">
        <v>2901</v>
      </c>
    </row>
    <row r="69" spans="1:10" s="119" customFormat="1" ht="20.45" customHeight="1">
      <c r="A69" s="913" t="s">
        <v>268</v>
      </c>
      <c r="B69" s="82" t="s">
        <v>147</v>
      </c>
      <c r="C69" s="42" t="s">
        <v>2932</v>
      </c>
      <c r="D69" s="927">
        <v>1018.03</v>
      </c>
      <c r="E69" s="86">
        <f t="shared" si="1"/>
        <v>0</v>
      </c>
      <c r="F69" s="87" t="s">
        <v>502</v>
      </c>
      <c r="G69" s="186">
        <f t="shared" si="2"/>
        <v>0</v>
      </c>
      <c r="H69" s="924"/>
      <c r="J69" s="42" t="s">
        <v>1546</v>
      </c>
    </row>
    <row r="70" spans="1:10" s="120" customFormat="1" ht="20.45" customHeight="1">
      <c r="A70" s="913" t="s">
        <v>269</v>
      </c>
      <c r="B70" s="82" t="s">
        <v>147</v>
      </c>
      <c r="C70" s="42" t="s">
        <v>2933</v>
      </c>
      <c r="D70" s="916">
        <v>2231.69</v>
      </c>
      <c r="E70" s="86">
        <f t="shared" si="1"/>
        <v>0</v>
      </c>
      <c r="F70" s="87" t="s">
        <v>503</v>
      </c>
      <c r="G70" s="186">
        <f t="shared" si="2"/>
        <v>0</v>
      </c>
      <c r="H70" s="122"/>
      <c r="J70" s="42" t="s">
        <v>1547</v>
      </c>
    </row>
    <row r="71" spans="1:10" s="120" customFormat="1" ht="20.45" customHeight="1">
      <c r="A71" s="919" t="s">
        <v>270</v>
      </c>
      <c r="B71" s="93" t="s">
        <v>147</v>
      </c>
      <c r="C71" s="42" t="s">
        <v>2934</v>
      </c>
      <c r="D71" s="916">
        <v>2231.69</v>
      </c>
      <c r="E71" s="86">
        <f t="shared" si="1"/>
        <v>0</v>
      </c>
      <c r="F71" s="87" t="s">
        <v>504</v>
      </c>
      <c r="G71" s="186">
        <f t="shared" si="2"/>
        <v>0</v>
      </c>
      <c r="H71" s="122"/>
      <c r="J71" s="42" t="s">
        <v>1548</v>
      </c>
    </row>
    <row r="72" spans="1:10" s="120" customFormat="1" ht="20.45" customHeight="1">
      <c r="A72" s="919" t="s">
        <v>3154</v>
      </c>
      <c r="B72" s="93" t="s">
        <v>147</v>
      </c>
      <c r="C72" s="42" t="s">
        <v>3155</v>
      </c>
      <c r="D72" s="916">
        <v>2231.69</v>
      </c>
      <c r="E72" s="86">
        <f t="shared" ref="E72" si="9">+G72*D72</f>
        <v>0</v>
      </c>
      <c r="F72" s="87" t="s">
        <v>505</v>
      </c>
      <c r="G72" s="186">
        <f t="shared" ref="G72" si="10">+Rebusca_t1(F72)</f>
        <v>0</v>
      </c>
      <c r="H72" s="122"/>
      <c r="J72" s="42" t="s">
        <v>3156</v>
      </c>
    </row>
    <row r="73" spans="1:10" s="120" customFormat="1" ht="20.45" customHeight="1">
      <c r="A73" s="919" t="s">
        <v>271</v>
      </c>
      <c r="B73" s="93" t="s">
        <v>147</v>
      </c>
      <c r="C73" s="42" t="s">
        <v>2935</v>
      </c>
      <c r="D73" s="922">
        <v>1018.03</v>
      </c>
      <c r="E73" s="86">
        <f t="shared" si="1"/>
        <v>0</v>
      </c>
      <c r="F73" s="87" t="s">
        <v>506</v>
      </c>
      <c r="G73" s="186">
        <f t="shared" si="2"/>
        <v>0</v>
      </c>
      <c r="H73" s="122"/>
      <c r="J73" s="42" t="s">
        <v>1549</v>
      </c>
    </row>
    <row r="74" spans="1:10" s="120" customFormat="1" ht="20.45" customHeight="1">
      <c r="A74" s="919" t="s">
        <v>272</v>
      </c>
      <c r="B74" s="93" t="s">
        <v>147</v>
      </c>
      <c r="C74" s="42" t="s">
        <v>442</v>
      </c>
      <c r="D74" s="916">
        <v>1000</v>
      </c>
      <c r="E74" s="86">
        <f t="shared" si="1"/>
        <v>0</v>
      </c>
      <c r="F74" s="87" t="s">
        <v>1105</v>
      </c>
      <c r="G74" s="186">
        <f t="shared" si="2"/>
        <v>0</v>
      </c>
      <c r="H74" s="122"/>
      <c r="J74" s="42" t="s">
        <v>1550</v>
      </c>
    </row>
    <row r="75" spans="1:10" s="120" customFormat="1" ht="20.45" customHeight="1">
      <c r="A75" s="919" t="s">
        <v>273</v>
      </c>
      <c r="B75" s="93" t="s">
        <v>147</v>
      </c>
      <c r="C75" s="42" t="s">
        <v>440</v>
      </c>
      <c r="D75" s="916">
        <v>600</v>
      </c>
      <c r="E75" s="86">
        <f t="shared" si="1"/>
        <v>0</v>
      </c>
      <c r="F75" s="87" t="s">
        <v>1106</v>
      </c>
      <c r="G75" s="186">
        <f t="shared" si="2"/>
        <v>0</v>
      </c>
      <c r="H75" s="122"/>
      <c r="J75" s="42" t="s">
        <v>1551</v>
      </c>
    </row>
    <row r="76" spans="1:10" s="120" customFormat="1" ht="20.45" customHeight="1">
      <c r="A76" s="919" t="s">
        <v>274</v>
      </c>
      <c r="B76" s="93" t="s">
        <v>147</v>
      </c>
      <c r="C76" s="42" t="s">
        <v>443</v>
      </c>
      <c r="D76" s="916"/>
      <c r="E76" s="86">
        <f t="shared" si="1"/>
        <v>0</v>
      </c>
      <c r="F76" s="87" t="s">
        <v>1107</v>
      </c>
      <c r="G76" s="186">
        <f t="shared" si="2"/>
        <v>0</v>
      </c>
      <c r="H76" s="122"/>
      <c r="J76" s="42" t="s">
        <v>1552</v>
      </c>
    </row>
    <row r="77" spans="1:10" s="120" customFormat="1" ht="20.45" customHeight="1">
      <c r="A77" s="919" t="s">
        <v>275</v>
      </c>
      <c r="B77" s="93" t="s">
        <v>147</v>
      </c>
      <c r="C77" s="42" t="s">
        <v>441</v>
      </c>
      <c r="D77" s="916">
        <v>1831.88</v>
      </c>
      <c r="E77" s="86">
        <f t="shared" si="1"/>
        <v>0</v>
      </c>
      <c r="F77" s="87" t="s">
        <v>1100</v>
      </c>
      <c r="G77" s="186">
        <f>+Rebusca_t1(F77)</f>
        <v>0</v>
      </c>
      <c r="H77" s="122"/>
      <c r="J77" s="42" t="s">
        <v>1553</v>
      </c>
    </row>
    <row r="78" spans="1:10" s="120" customFormat="1" ht="20.45" customHeight="1">
      <c r="A78" s="933" t="s">
        <v>2616</v>
      </c>
      <c r="B78" s="775" t="s">
        <v>147</v>
      </c>
      <c r="C78" s="776" t="s">
        <v>2611</v>
      </c>
      <c r="D78" s="934">
        <v>1831.88</v>
      </c>
      <c r="E78" s="86">
        <f t="shared" si="1"/>
        <v>0</v>
      </c>
      <c r="F78" s="777" t="s">
        <v>2615</v>
      </c>
      <c r="G78" s="778">
        <f t="shared" si="2"/>
        <v>0</v>
      </c>
      <c r="H78" s="122"/>
      <c r="J78" s="776" t="s">
        <v>2614</v>
      </c>
    </row>
    <row r="79" spans="1:10" s="120" customFormat="1" ht="20.45" customHeight="1">
      <c r="A79" s="932" t="s">
        <v>276</v>
      </c>
      <c r="B79" s="775" t="s">
        <v>147</v>
      </c>
      <c r="C79" s="766" t="s">
        <v>2850</v>
      </c>
      <c r="D79" s="935">
        <v>121.99</v>
      </c>
      <c r="E79" s="86">
        <f t="shared" si="1"/>
        <v>0</v>
      </c>
      <c r="F79" s="767" t="s">
        <v>512</v>
      </c>
      <c r="G79" s="768">
        <f>+Rebusca_t1(F79)</f>
        <v>0</v>
      </c>
      <c r="H79" s="122"/>
      <c r="J79" s="766" t="s">
        <v>2902</v>
      </c>
    </row>
    <row r="80" spans="1:10" s="120" customFormat="1" ht="20.45" customHeight="1">
      <c r="A80" s="932" t="s">
        <v>2851</v>
      </c>
      <c r="B80" s="775" t="s">
        <v>147</v>
      </c>
      <c r="C80" s="766" t="s">
        <v>2852</v>
      </c>
      <c r="D80" s="935"/>
      <c r="E80" s="86">
        <f t="shared" si="1"/>
        <v>0</v>
      </c>
      <c r="F80" s="767" t="s">
        <v>513</v>
      </c>
      <c r="G80" s="768">
        <f t="shared" ref="G80:G90" si="11">+Rebusca_t1(F80)</f>
        <v>0</v>
      </c>
      <c r="H80" s="122"/>
      <c r="J80" s="766" t="s">
        <v>2903</v>
      </c>
    </row>
    <row r="81" spans="1:10" s="120" customFormat="1" ht="20.45" customHeight="1">
      <c r="A81" s="932" t="s">
        <v>2853</v>
      </c>
      <c r="B81" s="775" t="s">
        <v>147</v>
      </c>
      <c r="C81" s="766" t="s">
        <v>2854</v>
      </c>
      <c r="D81" s="935"/>
      <c r="E81" s="86">
        <f t="shared" si="1"/>
        <v>0</v>
      </c>
      <c r="F81" s="767" t="s">
        <v>515</v>
      </c>
      <c r="G81" s="768">
        <f t="shared" si="11"/>
        <v>0</v>
      </c>
      <c r="H81" s="122"/>
      <c r="J81" s="766" t="s">
        <v>2904</v>
      </c>
    </row>
    <row r="82" spans="1:10" s="120" customFormat="1" ht="20.45" customHeight="1">
      <c r="A82" s="913" t="s">
        <v>277</v>
      </c>
      <c r="B82" s="93" t="s">
        <v>2849</v>
      </c>
      <c r="C82" s="769" t="s">
        <v>2855</v>
      </c>
      <c r="D82" s="916">
        <v>138.5</v>
      </c>
      <c r="E82" s="86">
        <f t="shared" si="1"/>
        <v>0</v>
      </c>
      <c r="F82" s="770" t="s">
        <v>517</v>
      </c>
      <c r="G82" s="770">
        <f t="shared" si="11"/>
        <v>0</v>
      </c>
      <c r="H82" s="122"/>
      <c r="J82" s="769" t="s">
        <v>2905</v>
      </c>
    </row>
    <row r="83" spans="1:10" s="120" customFormat="1" ht="20.45" customHeight="1">
      <c r="A83" s="913" t="s">
        <v>2856</v>
      </c>
      <c r="B83" s="93" t="s">
        <v>2849</v>
      </c>
      <c r="C83" s="769" t="s">
        <v>2857</v>
      </c>
      <c r="D83" s="916">
        <v>139.5</v>
      </c>
      <c r="E83" s="86">
        <f t="shared" si="1"/>
        <v>0</v>
      </c>
      <c r="F83" s="770" t="s">
        <v>519</v>
      </c>
      <c r="G83" s="770">
        <f t="shared" si="11"/>
        <v>0</v>
      </c>
      <c r="H83" s="122"/>
      <c r="J83" s="769" t="s">
        <v>2906</v>
      </c>
    </row>
    <row r="84" spans="1:10" s="120" customFormat="1" ht="20.45" customHeight="1">
      <c r="A84" s="923" t="s">
        <v>278</v>
      </c>
      <c r="B84" s="771" t="s">
        <v>2849</v>
      </c>
      <c r="C84" s="772" t="s">
        <v>2858</v>
      </c>
      <c r="D84" s="925">
        <v>180.6</v>
      </c>
      <c r="E84" s="86">
        <f t="shared" si="1"/>
        <v>0</v>
      </c>
      <c r="F84" s="767" t="s">
        <v>521</v>
      </c>
      <c r="G84" s="768">
        <f t="shared" si="11"/>
        <v>0</v>
      </c>
      <c r="H84" s="122"/>
      <c r="J84" s="772" t="s">
        <v>2907</v>
      </c>
    </row>
    <row r="85" spans="1:10" s="120" customFormat="1" ht="20.45" customHeight="1">
      <c r="A85" s="923" t="s">
        <v>2859</v>
      </c>
      <c r="B85" s="765" t="s">
        <v>2849</v>
      </c>
      <c r="C85" s="772" t="s">
        <v>2860</v>
      </c>
      <c r="D85" s="925">
        <v>180.6</v>
      </c>
      <c r="E85" s="86">
        <f t="shared" si="1"/>
        <v>0</v>
      </c>
      <c r="F85" s="767" t="s">
        <v>523</v>
      </c>
      <c r="G85" s="768">
        <f t="shared" si="11"/>
        <v>0</v>
      </c>
      <c r="H85" s="122"/>
      <c r="J85" s="772" t="s">
        <v>2908</v>
      </c>
    </row>
    <row r="86" spans="1:10" s="120" customFormat="1" ht="20.45" customHeight="1">
      <c r="A86" s="923" t="s">
        <v>2861</v>
      </c>
      <c r="B86" s="765" t="s">
        <v>2849</v>
      </c>
      <c r="C86" s="772" t="s">
        <v>2862</v>
      </c>
      <c r="D86" s="925">
        <v>180.6</v>
      </c>
      <c r="E86" s="86">
        <f t="shared" si="1"/>
        <v>0</v>
      </c>
      <c r="F86" s="767" t="s">
        <v>525</v>
      </c>
      <c r="G86" s="768">
        <f t="shared" si="11"/>
        <v>0</v>
      </c>
      <c r="H86" s="122"/>
      <c r="J86" s="772" t="s">
        <v>2909</v>
      </c>
    </row>
    <row r="87" spans="1:10" s="120" customFormat="1" ht="20.45" customHeight="1">
      <c r="A87" s="913" t="s">
        <v>279</v>
      </c>
      <c r="B87" s="93" t="s">
        <v>2849</v>
      </c>
      <c r="C87" s="42" t="s">
        <v>2863</v>
      </c>
      <c r="D87" s="916">
        <v>225.75</v>
      </c>
      <c r="E87" s="86">
        <f t="shared" si="1"/>
        <v>0</v>
      </c>
      <c r="F87" s="87" t="s">
        <v>527</v>
      </c>
      <c r="G87" s="186">
        <f t="shared" si="11"/>
        <v>0</v>
      </c>
      <c r="H87" s="122"/>
      <c r="J87" s="42" t="s">
        <v>2910</v>
      </c>
    </row>
    <row r="88" spans="1:10" s="120" customFormat="1" ht="20.45" customHeight="1">
      <c r="A88" s="913" t="s">
        <v>280</v>
      </c>
      <c r="B88" s="93" t="s">
        <v>2849</v>
      </c>
      <c r="C88" s="42" t="s">
        <v>2864</v>
      </c>
      <c r="D88" s="916"/>
      <c r="E88" s="86">
        <f t="shared" si="1"/>
        <v>0</v>
      </c>
      <c r="F88" s="87" t="s">
        <v>529</v>
      </c>
      <c r="G88" s="186">
        <f t="shared" si="11"/>
        <v>0</v>
      </c>
      <c r="H88" s="122"/>
      <c r="J88" s="42" t="s">
        <v>2911</v>
      </c>
    </row>
    <row r="89" spans="1:10" s="120" customFormat="1" ht="20.45" customHeight="1">
      <c r="A89" s="923" t="s">
        <v>2865</v>
      </c>
      <c r="B89" s="765" t="s">
        <v>2849</v>
      </c>
      <c r="C89" s="772" t="s">
        <v>2866</v>
      </c>
      <c r="D89" s="925"/>
      <c r="E89" s="86">
        <f t="shared" si="1"/>
        <v>0</v>
      </c>
      <c r="F89" s="767" t="s">
        <v>531</v>
      </c>
      <c r="G89" s="768">
        <f t="shared" si="11"/>
        <v>0</v>
      </c>
      <c r="H89" s="122"/>
      <c r="J89" s="772" t="s">
        <v>2912</v>
      </c>
    </row>
    <row r="90" spans="1:10" s="120" customFormat="1" ht="20.45" customHeight="1">
      <c r="A90" s="923" t="s">
        <v>2867</v>
      </c>
      <c r="B90" s="765" t="s">
        <v>2849</v>
      </c>
      <c r="C90" s="772" t="s">
        <v>2868</v>
      </c>
      <c r="D90" s="925"/>
      <c r="E90" s="86">
        <f t="shared" si="1"/>
        <v>0</v>
      </c>
      <c r="F90" s="767" t="s">
        <v>533</v>
      </c>
      <c r="G90" s="768">
        <f t="shared" si="11"/>
        <v>0</v>
      </c>
      <c r="H90" s="122"/>
      <c r="J90" s="772" t="s">
        <v>2913</v>
      </c>
    </row>
    <row r="91" spans="1:10" s="120" customFormat="1" ht="20.45" customHeight="1">
      <c r="A91" s="913" t="s">
        <v>281</v>
      </c>
      <c r="B91" s="82" t="s">
        <v>147</v>
      </c>
      <c r="C91" s="42" t="s">
        <v>54</v>
      </c>
      <c r="D91" s="927">
        <v>100</v>
      </c>
      <c r="E91" s="86">
        <f t="shared" si="1"/>
        <v>0</v>
      </c>
      <c r="F91" s="87" t="s">
        <v>914</v>
      </c>
      <c r="G91" s="186">
        <f>+Rebusca_t1(F91)</f>
        <v>0</v>
      </c>
      <c r="H91" s="122"/>
      <c r="J91" s="42" t="s">
        <v>1554</v>
      </c>
    </row>
    <row r="92" spans="1:10" s="120" customFormat="1" ht="30" customHeight="1">
      <c r="A92" s="923" t="s">
        <v>282</v>
      </c>
      <c r="B92" s="773" t="s">
        <v>147</v>
      </c>
      <c r="C92" s="772" t="s">
        <v>2869</v>
      </c>
      <c r="D92" s="925">
        <v>236.87</v>
      </c>
      <c r="E92" s="86">
        <f t="shared" si="1"/>
        <v>0</v>
      </c>
      <c r="F92" s="767" t="s">
        <v>540</v>
      </c>
      <c r="G92" s="768">
        <f>+Rebusca_t1(F92)</f>
        <v>0</v>
      </c>
      <c r="H92" s="122"/>
      <c r="J92" s="772" t="s">
        <v>2914</v>
      </c>
    </row>
    <row r="93" spans="1:10" s="120" customFormat="1" ht="20.45" customHeight="1">
      <c r="A93" s="926" t="s">
        <v>1207</v>
      </c>
      <c r="B93" s="82" t="s">
        <v>147</v>
      </c>
      <c r="C93" s="42" t="s">
        <v>2870</v>
      </c>
      <c r="D93" s="927">
        <v>236.87</v>
      </c>
      <c r="E93" s="86">
        <f t="shared" si="1"/>
        <v>473.74</v>
      </c>
      <c r="F93" s="87" t="s">
        <v>542</v>
      </c>
      <c r="G93" s="186">
        <f>+Rebusca_t1(F93)</f>
        <v>2</v>
      </c>
      <c r="H93" s="122"/>
      <c r="J93" s="42" t="s">
        <v>2915</v>
      </c>
    </row>
    <row r="94" spans="1:10" s="120" customFormat="1" ht="20.45" customHeight="1">
      <c r="A94" s="926" t="s">
        <v>2871</v>
      </c>
      <c r="B94" s="82" t="s">
        <v>147</v>
      </c>
      <c r="C94" s="42" t="s">
        <v>2872</v>
      </c>
      <c r="D94" s="927">
        <v>236.87</v>
      </c>
      <c r="E94" s="86">
        <f t="shared" si="1"/>
        <v>710.61</v>
      </c>
      <c r="F94" s="87" t="s">
        <v>2840</v>
      </c>
      <c r="G94" s="186">
        <f t="shared" ref="G94:G95" si="12">+Rebusca_t1(F94)</f>
        <v>3</v>
      </c>
      <c r="H94" s="122"/>
      <c r="J94" s="42" t="s">
        <v>2916</v>
      </c>
    </row>
    <row r="95" spans="1:10" s="120" customFormat="1" ht="30" customHeight="1">
      <c r="A95" s="926" t="s">
        <v>1208</v>
      </c>
      <c r="B95" s="82" t="s">
        <v>147</v>
      </c>
      <c r="C95" s="42" t="s">
        <v>1209</v>
      </c>
      <c r="D95" s="927">
        <v>236.87</v>
      </c>
      <c r="E95" s="86">
        <f t="shared" si="1"/>
        <v>0</v>
      </c>
      <c r="F95" s="87" t="s">
        <v>544</v>
      </c>
      <c r="G95" s="186">
        <f t="shared" si="12"/>
        <v>0</v>
      </c>
      <c r="H95" s="122"/>
      <c r="J95" s="42" t="s">
        <v>1435</v>
      </c>
    </row>
    <row r="96" spans="1:10" s="120" customFormat="1" ht="34.9" customHeight="1">
      <c r="A96" s="923" t="s">
        <v>283</v>
      </c>
      <c r="B96" s="773" t="s">
        <v>147</v>
      </c>
      <c r="C96" s="772" t="s">
        <v>2873</v>
      </c>
      <c r="D96" s="925">
        <v>316.64</v>
      </c>
      <c r="E96" s="86">
        <f t="shared" si="1"/>
        <v>0</v>
      </c>
      <c r="F96" s="767" t="s">
        <v>541</v>
      </c>
      <c r="G96" s="768">
        <f>+Rebusca_t1(F96)</f>
        <v>0</v>
      </c>
      <c r="H96" s="122" t="s">
        <v>1231</v>
      </c>
      <c r="J96" s="772" t="s">
        <v>2917</v>
      </c>
    </row>
    <row r="97" spans="1:10" s="120" customFormat="1" ht="30" customHeight="1">
      <c r="A97" s="926" t="s">
        <v>1210</v>
      </c>
      <c r="B97" s="82" t="s">
        <v>147</v>
      </c>
      <c r="C97" s="42" t="s">
        <v>2874</v>
      </c>
      <c r="D97" s="927">
        <v>317.64</v>
      </c>
      <c r="E97" s="86">
        <f t="shared" si="1"/>
        <v>3811.68</v>
      </c>
      <c r="F97" s="87" t="s">
        <v>543</v>
      </c>
      <c r="G97" s="186">
        <f>+Rebusca_t1(F97)</f>
        <v>12</v>
      </c>
      <c r="H97" s="122"/>
      <c r="J97" s="42" t="s">
        <v>2918</v>
      </c>
    </row>
    <row r="98" spans="1:10" s="120" customFormat="1" ht="30" customHeight="1">
      <c r="A98" s="926" t="s">
        <v>2875</v>
      </c>
      <c r="B98" s="82" t="s">
        <v>147</v>
      </c>
      <c r="C98" s="42" t="s">
        <v>2876</v>
      </c>
      <c r="D98" s="927">
        <v>317.64</v>
      </c>
      <c r="E98" s="86">
        <f t="shared" si="1"/>
        <v>952.92</v>
      </c>
      <c r="F98" s="87" t="s">
        <v>2842</v>
      </c>
      <c r="G98" s="186">
        <f t="shared" ref="G98:G99" si="13">+Rebusca_t1(F98)</f>
        <v>3</v>
      </c>
      <c r="H98" s="122"/>
      <c r="J98" s="42" t="s">
        <v>2919</v>
      </c>
    </row>
    <row r="99" spans="1:10" s="120" customFormat="1" ht="30" customHeight="1">
      <c r="A99" s="926" t="s">
        <v>1211</v>
      </c>
      <c r="B99" s="82" t="s">
        <v>147</v>
      </c>
      <c r="C99" s="42" t="s">
        <v>1212</v>
      </c>
      <c r="D99" s="927">
        <v>318.64</v>
      </c>
      <c r="E99" s="86">
        <f t="shared" si="1"/>
        <v>0</v>
      </c>
      <c r="F99" s="87" t="s">
        <v>546</v>
      </c>
      <c r="G99" s="186">
        <f t="shared" si="13"/>
        <v>0</v>
      </c>
      <c r="H99" s="122"/>
      <c r="J99" s="42" t="s">
        <v>1436</v>
      </c>
    </row>
    <row r="100" spans="1:10" s="120" customFormat="1" ht="30" customHeight="1">
      <c r="A100" s="913" t="s">
        <v>284</v>
      </c>
      <c r="B100" s="82" t="s">
        <v>147</v>
      </c>
      <c r="C100" s="42" t="s">
        <v>69</v>
      </c>
      <c r="D100" s="927">
        <v>320.42</v>
      </c>
      <c r="E100" s="86" t="e">
        <f t="shared" si="1"/>
        <v>#VALUE!</v>
      </c>
      <c r="F100" s="87" t="s">
        <v>239</v>
      </c>
      <c r="G100" s="186" t="e">
        <f>+Rebusca_t1("S1T")</f>
        <v>#VALUE!</v>
      </c>
      <c r="H100" s="122"/>
      <c r="J100" s="42" t="s">
        <v>1437</v>
      </c>
    </row>
    <row r="101" spans="1:10" s="120" customFormat="1" ht="30" customHeight="1">
      <c r="A101" s="913" t="s">
        <v>285</v>
      </c>
      <c r="B101" s="82" t="s">
        <v>147</v>
      </c>
      <c r="C101" s="42" t="s">
        <v>70</v>
      </c>
      <c r="D101" s="927">
        <v>350</v>
      </c>
      <c r="E101" s="86" t="e">
        <f t="shared" si="1"/>
        <v>#VALUE!</v>
      </c>
      <c r="F101" s="87" t="s">
        <v>458</v>
      </c>
      <c r="G101" s="186" t="e">
        <f>+Rebusca_t1("S2T")/2</f>
        <v>#VALUE!</v>
      </c>
      <c r="H101" s="936" t="s">
        <v>1232</v>
      </c>
      <c r="J101" s="42" t="s">
        <v>1438</v>
      </c>
    </row>
    <row r="102" spans="1:10" s="120" customFormat="1" ht="30" customHeight="1">
      <c r="A102" s="913" t="s">
        <v>2877</v>
      </c>
      <c r="B102" s="82" t="s">
        <v>147</v>
      </c>
      <c r="C102" s="42" t="s">
        <v>2878</v>
      </c>
      <c r="D102" s="927">
        <v>320.42</v>
      </c>
      <c r="E102" s="86" t="e">
        <f t="shared" ref="E102:E110" si="14">+G102*D102</f>
        <v>#VALUE!</v>
      </c>
      <c r="F102" s="87" t="s">
        <v>2977</v>
      </c>
      <c r="G102" s="186" t="e">
        <f t="shared" ref="G102:G108" si="15">+Rebusca_t1(F102)</f>
        <v>#VALUE!</v>
      </c>
      <c r="H102" s="122"/>
      <c r="J102" s="42" t="s">
        <v>2920</v>
      </c>
    </row>
    <row r="103" spans="1:10" s="120" customFormat="1" ht="30" customHeight="1">
      <c r="A103" s="913" t="s">
        <v>2879</v>
      </c>
      <c r="B103" s="82" t="s">
        <v>147</v>
      </c>
      <c r="C103" s="42" t="s">
        <v>2880</v>
      </c>
      <c r="D103" s="927">
        <v>350</v>
      </c>
      <c r="E103" s="86" t="e">
        <f t="shared" si="14"/>
        <v>#VALUE!</v>
      </c>
      <c r="F103" s="87" t="s">
        <v>2978</v>
      </c>
      <c r="G103" s="186" t="e">
        <f>+Rebusca_t1(F103)/2</f>
        <v>#VALUE!</v>
      </c>
      <c r="H103" s="936" t="s">
        <v>1232</v>
      </c>
      <c r="J103" s="42" t="s">
        <v>2920</v>
      </c>
    </row>
    <row r="104" spans="1:10" s="120" customFormat="1" ht="30" customHeight="1">
      <c r="A104" s="913" t="s">
        <v>3087</v>
      </c>
      <c r="B104" s="82" t="s">
        <v>147</v>
      </c>
      <c r="C104" s="42" t="s">
        <v>3088</v>
      </c>
      <c r="D104" s="927">
        <v>320.42</v>
      </c>
      <c r="E104" s="86">
        <v>0</v>
      </c>
      <c r="F104" s="87" t="s">
        <v>3081</v>
      </c>
      <c r="G104" s="186" t="e">
        <f t="shared" si="15"/>
        <v>#VALUE!</v>
      </c>
      <c r="H104" s="936"/>
      <c r="J104" s="42"/>
    </row>
    <row r="105" spans="1:10" s="120" customFormat="1" ht="30" customHeight="1">
      <c r="A105" s="913" t="s">
        <v>3089</v>
      </c>
      <c r="B105" s="82" t="s">
        <v>147</v>
      </c>
      <c r="C105" s="42" t="s">
        <v>3090</v>
      </c>
      <c r="D105" s="927">
        <v>350</v>
      </c>
      <c r="E105" s="86">
        <v>0</v>
      </c>
      <c r="F105" s="87" t="s">
        <v>3083</v>
      </c>
      <c r="G105" s="186" t="e">
        <f>+Rebusca_t1(F105)/2</f>
        <v>#VALUE!</v>
      </c>
      <c r="H105" s="936" t="s">
        <v>1232</v>
      </c>
      <c r="J105" s="42"/>
    </row>
    <row r="106" spans="1:10" s="120" customFormat="1" ht="30" customHeight="1">
      <c r="A106" s="913" t="s">
        <v>3091</v>
      </c>
      <c r="B106" s="82" t="s">
        <v>147</v>
      </c>
      <c r="C106" s="42" t="s">
        <v>3092</v>
      </c>
      <c r="D106" s="927">
        <v>320.42</v>
      </c>
      <c r="E106" s="86">
        <v>0</v>
      </c>
      <c r="F106" s="87" t="s">
        <v>3084</v>
      </c>
      <c r="G106" s="186" t="e">
        <f t="shared" si="15"/>
        <v>#VALUE!</v>
      </c>
      <c r="H106" s="936"/>
      <c r="J106" s="42"/>
    </row>
    <row r="107" spans="1:10" s="120" customFormat="1" ht="30" customHeight="1">
      <c r="A107" s="913" t="s">
        <v>3093</v>
      </c>
      <c r="B107" s="82" t="s">
        <v>147</v>
      </c>
      <c r="C107" s="42" t="s">
        <v>3094</v>
      </c>
      <c r="D107" s="927">
        <v>350</v>
      </c>
      <c r="E107" s="86">
        <v>0</v>
      </c>
      <c r="F107" s="87" t="s">
        <v>3086</v>
      </c>
      <c r="G107" s="186" t="e">
        <f>+Rebusca_t1(F107)/2</f>
        <v>#VALUE!</v>
      </c>
      <c r="H107" s="936" t="s">
        <v>1232</v>
      </c>
      <c r="J107" s="42"/>
    </row>
    <row r="108" spans="1:10" s="120" customFormat="1" ht="20.45" customHeight="1">
      <c r="A108" s="913" t="s">
        <v>286</v>
      </c>
      <c r="B108" s="82" t="s">
        <v>147</v>
      </c>
      <c r="C108" s="42" t="s">
        <v>1149</v>
      </c>
      <c r="D108" s="916">
        <v>271.44</v>
      </c>
      <c r="E108" s="86">
        <v>0</v>
      </c>
      <c r="F108" s="87" t="s">
        <v>550</v>
      </c>
      <c r="G108" s="186">
        <f t="shared" si="15"/>
        <v>0</v>
      </c>
      <c r="H108" s="122"/>
      <c r="J108" s="42" t="s">
        <v>1439</v>
      </c>
    </row>
    <row r="109" spans="1:10" s="120" customFormat="1" ht="20.45" customHeight="1">
      <c r="A109" s="937" t="s">
        <v>1150</v>
      </c>
      <c r="B109" s="113" t="s">
        <v>147</v>
      </c>
      <c r="C109" s="114" t="s">
        <v>1151</v>
      </c>
      <c r="D109" s="938"/>
      <c r="E109" s="86">
        <f t="shared" si="14"/>
        <v>0</v>
      </c>
      <c r="F109" s="136" t="s">
        <v>1193</v>
      </c>
      <c r="G109" s="190">
        <f>+Rebusca_t1("c-281")+Rebusca_t1("c-282")</f>
        <v>0</v>
      </c>
      <c r="H109" s="122"/>
      <c r="J109" s="114" t="s">
        <v>1440</v>
      </c>
    </row>
    <row r="110" spans="1:10" s="120" customFormat="1" ht="20.45" customHeight="1">
      <c r="A110" s="937" t="s">
        <v>1153</v>
      </c>
      <c r="B110" s="113" t="s">
        <v>147</v>
      </c>
      <c r="C110" s="114" t="s">
        <v>1152</v>
      </c>
      <c r="D110" s="938"/>
      <c r="E110" s="86">
        <f t="shared" si="14"/>
        <v>0</v>
      </c>
      <c r="F110" s="136" t="s">
        <v>1194</v>
      </c>
      <c r="G110" s="190">
        <f>+Rebusca_t1("c-283")+Rebusca_t1("c-284")</f>
        <v>0</v>
      </c>
      <c r="H110" s="122"/>
      <c r="J110" s="114" t="s">
        <v>1441</v>
      </c>
    </row>
    <row r="111" spans="1:10" s="120" customFormat="1" ht="21" customHeight="1" thickBot="1">
      <c r="A111" s="913"/>
      <c r="B111" s="82"/>
      <c r="C111" s="107" t="s">
        <v>287</v>
      </c>
      <c r="D111" s="920"/>
      <c r="E111" s="90" t="e">
        <f>SUM(E37:E108)</f>
        <v>#VALUE!</v>
      </c>
      <c r="F111" s="89"/>
      <c r="G111" s="188"/>
      <c r="H111" s="122"/>
      <c r="J111" s="107" t="s">
        <v>1442</v>
      </c>
    </row>
    <row r="112" spans="1:10" s="120" customFormat="1" ht="20.45" customHeight="1">
      <c r="A112" s="913"/>
      <c r="B112" s="82"/>
      <c r="C112" s="81"/>
      <c r="D112" s="921"/>
      <c r="E112" s="92"/>
      <c r="F112" s="89"/>
      <c r="G112" s="188"/>
      <c r="H112" s="122"/>
      <c r="J112" s="81"/>
    </row>
    <row r="113" spans="1:10" s="120" customFormat="1" ht="20.45" hidden="1" customHeight="1">
      <c r="A113" s="913"/>
      <c r="B113" s="82"/>
      <c r="C113" s="107" t="s">
        <v>444</v>
      </c>
      <c r="D113" s="921"/>
      <c r="E113" s="92"/>
      <c r="F113" s="89"/>
      <c r="G113" s="188"/>
      <c r="H113" s="122"/>
      <c r="J113" s="107" t="s">
        <v>2921</v>
      </c>
    </row>
    <row r="114" spans="1:10" s="124" customFormat="1" ht="20.45" hidden="1" customHeight="1">
      <c r="A114" s="919" t="s">
        <v>288</v>
      </c>
      <c r="B114" s="93" t="s">
        <v>147</v>
      </c>
      <c r="C114" s="108" t="s">
        <v>448</v>
      </c>
      <c r="D114" s="940">
        <v>146.63999999999999</v>
      </c>
      <c r="E114" s="94" t="e">
        <f>#REF!*D114</f>
        <v>#REF!</v>
      </c>
      <c r="F114" s="87"/>
      <c r="G114" s="186"/>
      <c r="H114" s="939"/>
      <c r="J114" s="108" t="s">
        <v>1555</v>
      </c>
    </row>
    <row r="115" spans="1:10" s="124" customFormat="1" ht="20.45" hidden="1" customHeight="1">
      <c r="A115" s="919" t="s">
        <v>289</v>
      </c>
      <c r="B115" s="93" t="s">
        <v>147</v>
      </c>
      <c r="C115" s="108" t="s">
        <v>449</v>
      </c>
      <c r="D115" s="940">
        <v>176.49</v>
      </c>
      <c r="E115" s="94" t="e">
        <f>#REF!*D115</f>
        <v>#REF!</v>
      </c>
      <c r="F115" s="87"/>
      <c r="G115" s="186"/>
      <c r="H115" s="939"/>
      <c r="J115" s="108" t="s">
        <v>1556</v>
      </c>
    </row>
    <row r="116" spans="1:10" s="120" customFormat="1" ht="20.45" hidden="1" customHeight="1">
      <c r="A116" s="919" t="s">
        <v>290</v>
      </c>
      <c r="B116" s="93" t="s">
        <v>147</v>
      </c>
      <c r="C116" s="108" t="s">
        <v>423</v>
      </c>
      <c r="D116" s="916"/>
      <c r="E116" s="95"/>
      <c r="F116" s="87"/>
      <c r="G116" s="186"/>
      <c r="H116" s="122"/>
      <c r="J116" s="108" t="s">
        <v>1557</v>
      </c>
    </row>
    <row r="117" spans="1:10" s="120" customFormat="1" ht="20.45" hidden="1" customHeight="1">
      <c r="A117" s="919" t="s">
        <v>291</v>
      </c>
      <c r="B117" s="93" t="s">
        <v>147</v>
      </c>
      <c r="C117" s="108" t="s">
        <v>422</v>
      </c>
      <c r="D117" s="916"/>
      <c r="E117" s="95"/>
      <c r="F117" s="87"/>
      <c r="G117" s="186"/>
      <c r="H117" s="122"/>
      <c r="J117" s="108" t="s">
        <v>1558</v>
      </c>
    </row>
    <row r="118" spans="1:10" s="124" customFormat="1" ht="20.45" hidden="1" customHeight="1">
      <c r="A118" s="919" t="s">
        <v>416</v>
      </c>
      <c r="B118" s="93" t="s">
        <v>147</v>
      </c>
      <c r="C118" s="108" t="s">
        <v>446</v>
      </c>
      <c r="D118" s="940"/>
      <c r="E118" s="94"/>
      <c r="F118" s="87"/>
      <c r="G118" s="186"/>
      <c r="H118" s="939"/>
      <c r="J118" s="108" t="s">
        <v>1559</v>
      </c>
    </row>
    <row r="119" spans="1:10" s="120" customFormat="1" ht="20.45" hidden="1" customHeight="1">
      <c r="A119" s="919" t="s">
        <v>417</v>
      </c>
      <c r="B119" s="93" t="s">
        <v>147</v>
      </c>
      <c r="C119" s="108" t="s">
        <v>59</v>
      </c>
      <c r="D119" s="916">
        <v>189.82</v>
      </c>
      <c r="E119" s="95" t="e">
        <f>#REF!*D119</f>
        <v>#REF!</v>
      </c>
      <c r="F119" s="87"/>
      <c r="G119" s="186"/>
      <c r="H119" s="122"/>
      <c r="J119" s="108" t="s">
        <v>1560</v>
      </c>
    </row>
    <row r="120" spans="1:10" s="120" customFormat="1" ht="20.45" hidden="1" customHeight="1">
      <c r="A120" s="919" t="s">
        <v>445</v>
      </c>
      <c r="B120" s="93" t="s">
        <v>147</v>
      </c>
      <c r="C120" s="108" t="s">
        <v>71</v>
      </c>
      <c r="D120" s="922">
        <v>1798.78</v>
      </c>
      <c r="E120" s="95" t="e">
        <f>#REF!*D120</f>
        <v>#REF!</v>
      </c>
      <c r="F120" s="87"/>
      <c r="G120" s="186"/>
      <c r="H120" s="122"/>
      <c r="J120" s="108" t="s">
        <v>71</v>
      </c>
    </row>
    <row r="121" spans="1:10" s="120" customFormat="1" ht="20.45" hidden="1" customHeight="1">
      <c r="A121" s="919" t="s">
        <v>418</v>
      </c>
      <c r="B121" s="93" t="s">
        <v>147</v>
      </c>
      <c r="C121" s="108" t="s">
        <v>72</v>
      </c>
      <c r="D121" s="922">
        <v>2298.88</v>
      </c>
      <c r="E121" s="3" t="e">
        <f>#REF!*D121</f>
        <v>#REF!</v>
      </c>
      <c r="F121" s="87"/>
      <c r="G121" s="186"/>
      <c r="H121" s="122"/>
      <c r="J121" s="108" t="s">
        <v>72</v>
      </c>
    </row>
    <row r="122" spans="1:10" s="120" customFormat="1" ht="20.45" hidden="1" customHeight="1">
      <c r="A122" s="913" t="s">
        <v>419</v>
      </c>
      <c r="B122" s="82" t="s">
        <v>147</v>
      </c>
      <c r="C122" s="42" t="s">
        <v>73</v>
      </c>
      <c r="D122" s="922">
        <v>2298.88</v>
      </c>
      <c r="E122" s="95" t="e">
        <f>#REF!*D122</f>
        <v>#REF!</v>
      </c>
      <c r="F122" s="85"/>
      <c r="G122" s="189"/>
      <c r="H122" s="122"/>
      <c r="J122" s="42" t="s">
        <v>73</v>
      </c>
    </row>
    <row r="123" spans="1:10" s="120" customFormat="1" ht="20.45" hidden="1" customHeight="1">
      <c r="A123" s="913" t="s">
        <v>292</v>
      </c>
      <c r="B123" s="82" t="s">
        <v>147</v>
      </c>
      <c r="C123" s="42" t="s">
        <v>74</v>
      </c>
      <c r="D123" s="922">
        <v>2298.88</v>
      </c>
      <c r="E123" s="3" t="e">
        <f>#REF!*D123</f>
        <v>#REF!</v>
      </c>
      <c r="F123" s="85"/>
      <c r="G123" s="189"/>
      <c r="H123" s="122"/>
      <c r="J123" s="42" t="s">
        <v>74</v>
      </c>
    </row>
    <row r="124" spans="1:10" s="120" customFormat="1" ht="20.45" hidden="1" customHeight="1">
      <c r="A124" s="913" t="s">
        <v>293</v>
      </c>
      <c r="B124" s="82" t="s">
        <v>147</v>
      </c>
      <c r="C124" s="42" t="s">
        <v>447</v>
      </c>
      <c r="D124" s="922"/>
      <c r="E124" s="3"/>
      <c r="F124" s="85"/>
      <c r="G124" s="189"/>
      <c r="H124" s="122"/>
      <c r="J124" s="42" t="s">
        <v>447</v>
      </c>
    </row>
    <row r="125" spans="1:10" s="120" customFormat="1" ht="20.45" hidden="1" customHeight="1">
      <c r="A125" s="913" t="s">
        <v>294</v>
      </c>
      <c r="B125" s="82" t="s">
        <v>147</v>
      </c>
      <c r="C125" s="42" t="s">
        <v>457</v>
      </c>
      <c r="D125" s="922"/>
      <c r="E125" s="3"/>
      <c r="F125" s="85"/>
      <c r="G125" s="189"/>
      <c r="H125" s="122"/>
      <c r="J125" s="42" t="s">
        <v>1561</v>
      </c>
    </row>
    <row r="126" spans="1:10" s="120" customFormat="1" ht="20.45" hidden="1" customHeight="1">
      <c r="A126" s="913" t="s">
        <v>295</v>
      </c>
      <c r="B126" s="82" t="s">
        <v>147</v>
      </c>
      <c r="C126" s="42" t="s">
        <v>75</v>
      </c>
      <c r="D126" s="916">
        <v>421.39</v>
      </c>
      <c r="E126" s="3" t="e">
        <f>#REF!*D126</f>
        <v>#REF!</v>
      </c>
      <c r="F126" s="85"/>
      <c r="G126" s="189"/>
      <c r="H126" s="122"/>
      <c r="J126" s="42" t="s">
        <v>75</v>
      </c>
    </row>
    <row r="127" spans="1:10" s="120" customFormat="1" ht="20.45" hidden="1" customHeight="1">
      <c r="A127" s="913" t="s">
        <v>420</v>
      </c>
      <c r="B127" s="82" t="s">
        <v>147</v>
      </c>
      <c r="C127" s="42" t="s">
        <v>76</v>
      </c>
      <c r="D127" s="916">
        <v>450</v>
      </c>
      <c r="E127" s="3" t="e">
        <f>#REF!*D127</f>
        <v>#REF!</v>
      </c>
      <c r="F127" s="85"/>
      <c r="G127" s="189"/>
      <c r="H127" s="122"/>
      <c r="J127" s="42" t="s">
        <v>76</v>
      </c>
    </row>
    <row r="128" spans="1:10" s="120" customFormat="1" ht="20.45" hidden="1" customHeight="1">
      <c r="A128" s="913" t="s">
        <v>421</v>
      </c>
      <c r="B128" s="82" t="s">
        <v>147</v>
      </c>
      <c r="C128" s="42" t="s">
        <v>77</v>
      </c>
      <c r="D128" s="916">
        <v>238.62</v>
      </c>
      <c r="E128" s="3" t="e">
        <f>#REF!*D128</f>
        <v>#REF!</v>
      </c>
      <c r="F128" s="85"/>
      <c r="G128" s="189"/>
      <c r="H128" s="122"/>
      <c r="J128" s="42" t="s">
        <v>77</v>
      </c>
    </row>
    <row r="129" spans="1:10" s="120" customFormat="1" ht="20.45" hidden="1" customHeight="1">
      <c r="A129" s="913" t="s">
        <v>296</v>
      </c>
      <c r="B129" s="82" t="s">
        <v>147</v>
      </c>
      <c r="C129" s="42" t="s">
        <v>78</v>
      </c>
      <c r="D129" s="916">
        <v>477.24</v>
      </c>
      <c r="E129" s="95" t="e">
        <f>#REF!*D129</f>
        <v>#REF!</v>
      </c>
      <c r="F129" s="85"/>
      <c r="G129" s="189"/>
      <c r="H129" s="122"/>
      <c r="J129" s="42" t="s">
        <v>78</v>
      </c>
    </row>
    <row r="130" spans="1:10" s="120" customFormat="1" ht="20.45" hidden="1" customHeight="1">
      <c r="A130" s="913" t="s">
        <v>297</v>
      </c>
      <c r="B130" s="82" t="s">
        <v>147</v>
      </c>
      <c r="C130" s="42" t="s">
        <v>151</v>
      </c>
      <c r="D130" s="916">
        <v>103.93</v>
      </c>
      <c r="E130" s="3" t="e">
        <f>#REF!*D130</f>
        <v>#REF!</v>
      </c>
      <c r="F130" s="85"/>
      <c r="G130" s="189"/>
      <c r="H130" s="122"/>
      <c r="J130" s="42" t="s">
        <v>151</v>
      </c>
    </row>
    <row r="131" spans="1:10" s="120" customFormat="1" ht="21" hidden="1" customHeight="1" thickBot="1">
      <c r="A131" s="913" t="s">
        <v>456</v>
      </c>
      <c r="B131" s="82" t="s">
        <v>147</v>
      </c>
      <c r="C131" s="42" t="s">
        <v>152</v>
      </c>
      <c r="D131" s="916">
        <v>4.8899999999999997</v>
      </c>
      <c r="E131" s="95" t="e">
        <f>#REF!*D131</f>
        <v>#REF!</v>
      </c>
      <c r="F131" s="85"/>
      <c r="G131" s="189"/>
      <c r="H131" s="122"/>
      <c r="J131" s="42" t="s">
        <v>1562</v>
      </c>
    </row>
    <row r="132" spans="1:10" s="120" customFormat="1" ht="21" hidden="1" customHeight="1" thickBot="1">
      <c r="A132" s="913"/>
      <c r="B132" s="82"/>
      <c r="C132" s="107" t="s">
        <v>298</v>
      </c>
      <c r="D132" s="920"/>
      <c r="E132" s="96" t="e">
        <f>SUM(E114:E131)</f>
        <v>#REF!</v>
      </c>
      <c r="F132" s="91"/>
      <c r="G132" s="187"/>
      <c r="H132" s="122"/>
      <c r="J132" s="107" t="s">
        <v>298</v>
      </c>
    </row>
    <row r="133" spans="1:10" s="120" customFormat="1" ht="20.45" hidden="1" customHeight="1">
      <c r="A133" s="913"/>
      <c r="B133" s="82"/>
      <c r="C133" s="81" t="s">
        <v>299</v>
      </c>
      <c r="D133" s="921"/>
      <c r="E133" s="92"/>
      <c r="F133" s="89"/>
      <c r="G133" s="188"/>
      <c r="H133" s="122"/>
      <c r="J133" s="81" t="s">
        <v>1563</v>
      </c>
    </row>
    <row r="134" spans="1:10" s="120" customFormat="1" ht="20.45" customHeight="1">
      <c r="A134" s="913"/>
      <c r="B134" s="82"/>
      <c r="C134" s="107"/>
      <c r="D134" s="921"/>
      <c r="E134" s="92"/>
      <c r="F134" s="89"/>
      <c r="G134" s="188"/>
      <c r="H134" s="122"/>
      <c r="J134" s="107"/>
    </row>
    <row r="135" spans="1:10" s="120" customFormat="1" ht="20.45" customHeight="1">
      <c r="A135" s="913"/>
      <c r="B135" s="82"/>
      <c r="C135" s="81" t="s">
        <v>300</v>
      </c>
      <c r="D135" s="921"/>
      <c r="E135" s="92"/>
      <c r="F135" s="89"/>
      <c r="G135" s="188"/>
      <c r="H135" s="122"/>
      <c r="J135" s="81" t="s">
        <v>1443</v>
      </c>
    </row>
    <row r="136" spans="1:10" s="120" customFormat="1" ht="20.45" customHeight="1">
      <c r="A136" s="913"/>
      <c r="B136" s="82"/>
      <c r="C136" s="107"/>
      <c r="D136" s="921"/>
      <c r="E136" s="92"/>
      <c r="F136" s="89"/>
      <c r="G136" s="188"/>
      <c r="H136" s="122"/>
      <c r="J136" s="107"/>
    </row>
    <row r="137" spans="1:10" s="120" customFormat="1" ht="30" customHeight="1">
      <c r="A137" s="913"/>
      <c r="B137" s="82"/>
      <c r="C137" s="107" t="s">
        <v>301</v>
      </c>
      <c r="D137" s="921"/>
      <c r="E137" s="92"/>
      <c r="F137" s="89"/>
      <c r="G137" s="188"/>
      <c r="H137" s="122"/>
      <c r="J137" s="107" t="s">
        <v>1444</v>
      </c>
    </row>
    <row r="138" spans="1:10" s="120" customFormat="1" ht="20.45" customHeight="1">
      <c r="A138" s="913" t="s">
        <v>302</v>
      </c>
      <c r="B138" s="82" t="s">
        <v>147</v>
      </c>
      <c r="C138" s="42" t="s">
        <v>1154</v>
      </c>
      <c r="D138" s="916">
        <v>345.48</v>
      </c>
      <c r="E138" s="86">
        <f t="shared" ref="E138:E152" si="16">+G138*D138</f>
        <v>0</v>
      </c>
      <c r="F138" s="87"/>
      <c r="G138" s="186"/>
      <c r="H138" s="122"/>
      <c r="J138" s="42" t="s">
        <v>1445</v>
      </c>
    </row>
    <row r="139" spans="1:10" s="120" customFormat="1" ht="20.45" customHeight="1">
      <c r="A139" s="937" t="s">
        <v>1155</v>
      </c>
      <c r="B139" s="113" t="s">
        <v>147</v>
      </c>
      <c r="C139" s="114" t="s">
        <v>1158</v>
      </c>
      <c r="D139" s="916"/>
      <c r="E139" s="86">
        <f t="shared" si="16"/>
        <v>0</v>
      </c>
      <c r="F139" s="136" t="s">
        <v>558</v>
      </c>
      <c r="G139" s="190">
        <f>+Rebusca_t1("C-301")</f>
        <v>0</v>
      </c>
      <c r="H139" s="122"/>
      <c r="J139" s="114" t="s">
        <v>1446</v>
      </c>
    </row>
    <row r="140" spans="1:10" s="120" customFormat="1" ht="20.45" customHeight="1">
      <c r="A140" s="937" t="s">
        <v>1156</v>
      </c>
      <c r="B140" s="113" t="s">
        <v>147</v>
      </c>
      <c r="C140" s="114" t="s">
        <v>718</v>
      </c>
      <c r="D140" s="916"/>
      <c r="E140" s="86">
        <f t="shared" si="16"/>
        <v>0</v>
      </c>
      <c r="F140" s="136" t="s">
        <v>563</v>
      </c>
      <c r="G140" s="190">
        <f>+Rebusca_t1("C-304")</f>
        <v>0</v>
      </c>
      <c r="H140" s="122"/>
      <c r="J140" s="114" t="s">
        <v>1447</v>
      </c>
    </row>
    <row r="141" spans="1:10" s="120" customFormat="1" ht="20.45" customHeight="1">
      <c r="A141" s="937" t="s">
        <v>1157</v>
      </c>
      <c r="B141" s="113" t="s">
        <v>147</v>
      </c>
      <c r="C141" s="114" t="s">
        <v>1159</v>
      </c>
      <c r="D141" s="916"/>
      <c r="E141" s="86">
        <f t="shared" si="16"/>
        <v>0</v>
      </c>
      <c r="F141" s="136" t="s">
        <v>566</v>
      </c>
      <c r="G141" s="190">
        <f>+Rebusca_t1("C-307")</f>
        <v>0</v>
      </c>
      <c r="H141" s="122"/>
      <c r="J141" s="114" t="s">
        <v>1448</v>
      </c>
    </row>
    <row r="142" spans="1:10" s="120" customFormat="1" ht="32.450000000000003" customHeight="1">
      <c r="A142" s="913" t="s">
        <v>303</v>
      </c>
      <c r="B142" s="82" t="s">
        <v>147</v>
      </c>
      <c r="C142" s="42" t="s">
        <v>1160</v>
      </c>
      <c r="D142" s="916">
        <v>323.64999999999998</v>
      </c>
      <c r="E142" s="86">
        <f t="shared" si="16"/>
        <v>0</v>
      </c>
      <c r="F142" s="87" t="s">
        <v>1198</v>
      </c>
      <c r="G142" s="186"/>
      <c r="H142" s="122"/>
      <c r="J142" s="42" t="s">
        <v>1449</v>
      </c>
    </row>
    <row r="143" spans="1:10" s="120" customFormat="1" ht="20.45" customHeight="1">
      <c r="A143" s="937" t="s">
        <v>1164</v>
      </c>
      <c r="B143" s="113" t="s">
        <v>147</v>
      </c>
      <c r="C143" s="114" t="s">
        <v>1161</v>
      </c>
      <c r="D143" s="916"/>
      <c r="E143" s="86">
        <f t="shared" si="16"/>
        <v>0</v>
      </c>
      <c r="F143" s="136" t="s">
        <v>560</v>
      </c>
      <c r="G143" s="190">
        <f>+Rebusca_t1(F143)</f>
        <v>0</v>
      </c>
      <c r="H143" s="122"/>
      <c r="J143" s="114" t="s">
        <v>1450</v>
      </c>
    </row>
    <row r="144" spans="1:10" s="120" customFormat="1" ht="20.45" customHeight="1">
      <c r="A144" s="937" t="s">
        <v>1165</v>
      </c>
      <c r="B144" s="113" t="s">
        <v>147</v>
      </c>
      <c r="C144" s="114" t="s">
        <v>720</v>
      </c>
      <c r="D144" s="916"/>
      <c r="E144" s="86">
        <f t="shared" si="16"/>
        <v>0</v>
      </c>
      <c r="F144" s="136" t="s">
        <v>564</v>
      </c>
      <c r="G144" s="190">
        <f t="shared" ref="G144:G145" si="17">+Rebusca_t1(F144)</f>
        <v>0</v>
      </c>
      <c r="H144" s="122"/>
      <c r="J144" s="114" t="s">
        <v>1451</v>
      </c>
    </row>
    <row r="145" spans="1:10" s="120" customFormat="1" ht="20.45" customHeight="1">
      <c r="A145" s="937" t="s">
        <v>1166</v>
      </c>
      <c r="B145" s="113" t="s">
        <v>147</v>
      </c>
      <c r="C145" s="114" t="s">
        <v>1162</v>
      </c>
      <c r="D145" s="916"/>
      <c r="E145" s="86">
        <f t="shared" si="16"/>
        <v>0</v>
      </c>
      <c r="F145" s="136" t="s">
        <v>1163</v>
      </c>
      <c r="G145" s="190">
        <f t="shared" si="17"/>
        <v>0</v>
      </c>
      <c r="H145" s="122"/>
      <c r="J145" s="114" t="s">
        <v>1452</v>
      </c>
    </row>
    <row r="146" spans="1:10" s="120" customFormat="1" ht="20.45" customHeight="1">
      <c r="A146" s="913" t="s">
        <v>304</v>
      </c>
      <c r="B146" s="82" t="s">
        <v>147</v>
      </c>
      <c r="C146" s="42" t="s">
        <v>102</v>
      </c>
      <c r="D146" s="916">
        <v>317.44</v>
      </c>
      <c r="E146" s="86">
        <f t="shared" si="16"/>
        <v>0</v>
      </c>
      <c r="F146" s="87" t="s">
        <v>1114</v>
      </c>
      <c r="G146" s="186"/>
      <c r="H146" s="122"/>
      <c r="J146" s="42" t="s">
        <v>1453</v>
      </c>
    </row>
    <row r="147" spans="1:10" s="120" customFormat="1" ht="20.45" customHeight="1">
      <c r="A147" s="937" t="s">
        <v>1167</v>
      </c>
      <c r="B147" s="113" t="s">
        <v>147</v>
      </c>
      <c r="C147" s="114" t="s">
        <v>1170</v>
      </c>
      <c r="D147" s="916"/>
      <c r="E147" s="86">
        <f t="shared" si="16"/>
        <v>0</v>
      </c>
      <c r="F147" s="136" t="s">
        <v>561</v>
      </c>
      <c r="G147" s="190">
        <f t="shared" ref="G147:G149" si="18">+Rebusca_t1(F147)</f>
        <v>0</v>
      </c>
      <c r="H147" s="122"/>
      <c r="J147" s="114" t="s">
        <v>1454</v>
      </c>
    </row>
    <row r="148" spans="1:10" s="120" customFormat="1" ht="20.45" customHeight="1">
      <c r="A148" s="937" t="s">
        <v>1168</v>
      </c>
      <c r="B148" s="113" t="s">
        <v>147</v>
      </c>
      <c r="C148" s="114" t="s">
        <v>1171</v>
      </c>
      <c r="D148" s="916"/>
      <c r="E148" s="86">
        <f t="shared" si="16"/>
        <v>0</v>
      </c>
      <c r="F148" s="136" t="s">
        <v>565</v>
      </c>
      <c r="G148" s="190">
        <f t="shared" si="18"/>
        <v>0</v>
      </c>
      <c r="H148" s="122"/>
      <c r="J148" s="114" t="s">
        <v>1455</v>
      </c>
    </row>
    <row r="149" spans="1:10" s="120" customFormat="1" ht="20.45" customHeight="1">
      <c r="A149" s="937" t="s">
        <v>1169</v>
      </c>
      <c r="B149" s="113" t="s">
        <v>147</v>
      </c>
      <c r="C149" s="114" t="s">
        <v>1172</v>
      </c>
      <c r="D149" s="916"/>
      <c r="E149" s="86">
        <f t="shared" si="16"/>
        <v>0</v>
      </c>
      <c r="F149" s="136" t="s">
        <v>569</v>
      </c>
      <c r="G149" s="190">
        <f t="shared" si="18"/>
        <v>0</v>
      </c>
      <c r="H149" s="122"/>
      <c r="J149" s="114" t="s">
        <v>1456</v>
      </c>
    </row>
    <row r="150" spans="1:10" s="120" customFormat="1" ht="30" customHeight="1">
      <c r="A150" s="913" t="s">
        <v>305</v>
      </c>
      <c r="B150" s="82" t="s">
        <v>147</v>
      </c>
      <c r="C150" s="42" t="s">
        <v>64</v>
      </c>
      <c r="D150" s="916"/>
      <c r="E150" s="86">
        <f t="shared" si="16"/>
        <v>0</v>
      </c>
      <c r="F150" s="87" t="s">
        <v>570</v>
      </c>
      <c r="G150" s="186">
        <f>+Rebusca_t1("C-310")</f>
        <v>0</v>
      </c>
      <c r="H150" s="122"/>
      <c r="J150" s="42" t="s">
        <v>1564</v>
      </c>
    </row>
    <row r="151" spans="1:10" s="120" customFormat="1" ht="30" customHeight="1">
      <c r="A151" s="913" t="s">
        <v>306</v>
      </c>
      <c r="B151" s="82" t="s">
        <v>147</v>
      </c>
      <c r="C151" s="42" t="s">
        <v>65</v>
      </c>
      <c r="D151" s="916">
        <v>220.92</v>
      </c>
      <c r="E151" s="86">
        <f t="shared" si="16"/>
        <v>0</v>
      </c>
      <c r="F151" s="87" t="s">
        <v>571</v>
      </c>
      <c r="G151" s="186"/>
      <c r="H151" s="122"/>
      <c r="J151" s="42" t="s">
        <v>1457</v>
      </c>
    </row>
    <row r="152" spans="1:10" s="120" customFormat="1" ht="21" customHeight="1" thickBot="1">
      <c r="A152" s="913" t="s">
        <v>424</v>
      </c>
      <c r="B152" s="82" t="s">
        <v>147</v>
      </c>
      <c r="C152" s="42" t="s">
        <v>238</v>
      </c>
      <c r="D152" s="938"/>
      <c r="E152" s="86">
        <f t="shared" si="16"/>
        <v>0</v>
      </c>
      <c r="F152" s="87" t="s">
        <v>914</v>
      </c>
      <c r="G152" s="186">
        <f>+Rebusca_t1(F152)</f>
        <v>0</v>
      </c>
      <c r="H152" s="122"/>
      <c r="J152" s="42" t="s">
        <v>1458</v>
      </c>
    </row>
    <row r="153" spans="1:10" s="120" customFormat="1" ht="21" customHeight="1" thickBot="1">
      <c r="A153" s="913"/>
      <c r="B153" s="82"/>
      <c r="C153" s="107" t="s">
        <v>307</v>
      </c>
      <c r="D153" s="920"/>
      <c r="E153" s="96">
        <f>SUM(E138:E151)</f>
        <v>0</v>
      </c>
      <c r="F153" s="87"/>
      <c r="G153" s="186"/>
      <c r="H153" s="122"/>
      <c r="J153" s="107" t="s">
        <v>1459</v>
      </c>
    </row>
    <row r="154" spans="1:10" s="120" customFormat="1" ht="20.45" hidden="1" customHeight="1">
      <c r="A154" s="913"/>
      <c r="B154" s="82"/>
      <c r="C154" s="81"/>
      <c r="D154" s="921"/>
      <c r="E154" s="92"/>
      <c r="F154" s="91"/>
      <c r="G154" s="187"/>
      <c r="H154" s="122"/>
      <c r="J154" s="81"/>
    </row>
    <row r="155" spans="1:10" s="120" customFormat="1" ht="30" hidden="1" customHeight="1">
      <c r="A155" s="913"/>
      <c r="B155" s="82"/>
      <c r="C155" s="107" t="s">
        <v>308</v>
      </c>
      <c r="D155" s="921"/>
      <c r="E155" s="92"/>
      <c r="F155" s="89"/>
      <c r="G155" s="188"/>
      <c r="H155" s="122"/>
      <c r="J155" s="107" t="s">
        <v>308</v>
      </c>
    </row>
    <row r="156" spans="1:10" s="120" customFormat="1" ht="20.45" hidden="1" customHeight="1">
      <c r="A156" s="913" t="s">
        <v>309</v>
      </c>
      <c r="B156" s="82" t="s">
        <v>147</v>
      </c>
      <c r="C156" s="42" t="s">
        <v>153</v>
      </c>
      <c r="D156" s="916">
        <v>140.08000000000001</v>
      </c>
      <c r="E156" s="86" t="e">
        <f>#REF!*D156</f>
        <v>#REF!</v>
      </c>
      <c r="F156" s="85"/>
      <c r="G156" s="189"/>
      <c r="H156" s="122"/>
      <c r="J156" s="42" t="s">
        <v>153</v>
      </c>
    </row>
    <row r="157" spans="1:10" s="120" customFormat="1" ht="20.45" hidden="1" customHeight="1">
      <c r="A157" s="913" t="s">
        <v>310</v>
      </c>
      <c r="B157" s="82" t="s">
        <v>147</v>
      </c>
      <c r="C157" s="42" t="s">
        <v>154</v>
      </c>
      <c r="D157" s="916">
        <v>286.39</v>
      </c>
      <c r="E157" s="86" t="e">
        <f>#REF!*D157</f>
        <v>#REF!</v>
      </c>
      <c r="F157" s="85"/>
      <c r="G157" s="189"/>
      <c r="H157" s="122"/>
      <c r="J157" s="42" t="s">
        <v>154</v>
      </c>
    </row>
    <row r="158" spans="1:10" s="120" customFormat="1" ht="20.45" hidden="1" customHeight="1">
      <c r="A158" s="913" t="s">
        <v>311</v>
      </c>
      <c r="B158" s="82" t="s">
        <v>147</v>
      </c>
      <c r="C158" s="42" t="s">
        <v>155</v>
      </c>
      <c r="D158" s="916">
        <v>378.57</v>
      </c>
      <c r="E158" s="86" t="e">
        <f>#REF!*D158</f>
        <v>#REF!</v>
      </c>
      <c r="F158" s="85"/>
      <c r="G158" s="189"/>
      <c r="H158" s="122"/>
      <c r="J158" s="42" t="s">
        <v>155</v>
      </c>
    </row>
    <row r="159" spans="1:10" s="120" customFormat="1" ht="20.45" hidden="1" customHeight="1">
      <c r="A159" s="913" t="s">
        <v>312</v>
      </c>
      <c r="B159" s="82" t="s">
        <v>147</v>
      </c>
      <c r="C159" s="42" t="s">
        <v>156</v>
      </c>
      <c r="D159" s="916">
        <v>186.36</v>
      </c>
      <c r="E159" s="86" t="e">
        <f>#REF!*D159</f>
        <v>#REF!</v>
      </c>
      <c r="F159" s="85"/>
      <c r="G159" s="189"/>
      <c r="H159" s="122"/>
      <c r="J159" s="42" t="s">
        <v>156</v>
      </c>
    </row>
    <row r="160" spans="1:10" s="120" customFormat="1" ht="42" hidden="1" customHeight="1">
      <c r="A160" s="913" t="s">
        <v>313</v>
      </c>
      <c r="B160" s="82" t="s">
        <v>147</v>
      </c>
      <c r="C160" s="42" t="s">
        <v>157</v>
      </c>
      <c r="D160" s="916">
        <v>368.7</v>
      </c>
      <c r="E160" s="86" t="e">
        <f>#REF!*D160</f>
        <v>#REF!</v>
      </c>
      <c r="F160" s="85"/>
      <c r="G160" s="189"/>
      <c r="H160" s="122"/>
      <c r="J160" s="42" t="s">
        <v>157</v>
      </c>
    </row>
    <row r="161" spans="1:10" s="120" customFormat="1" ht="21" hidden="1" customHeight="1" thickBot="1">
      <c r="A161" s="913" t="s">
        <v>425</v>
      </c>
      <c r="B161" s="82" t="s">
        <v>147</v>
      </c>
      <c r="C161" s="42" t="s">
        <v>426</v>
      </c>
      <c r="D161" s="938"/>
      <c r="E161" s="88"/>
      <c r="F161" s="85"/>
      <c r="G161" s="189"/>
      <c r="H161" s="122"/>
      <c r="J161" s="42" t="s">
        <v>426</v>
      </c>
    </row>
    <row r="162" spans="1:10" s="120" customFormat="1" ht="21" hidden="1" customHeight="1" thickBot="1">
      <c r="A162" s="913"/>
      <c r="B162" s="82"/>
      <c r="C162" s="107" t="s">
        <v>314</v>
      </c>
      <c r="D162" s="920"/>
      <c r="E162" s="96" t="e">
        <f>SUM(E156:E160)</f>
        <v>#REF!</v>
      </c>
      <c r="F162" s="89"/>
      <c r="G162" s="188"/>
      <c r="H162" s="122"/>
      <c r="J162" s="107" t="s">
        <v>314</v>
      </c>
    </row>
    <row r="163" spans="1:10" s="120" customFormat="1" ht="20.45" hidden="1" customHeight="1">
      <c r="A163" s="913"/>
      <c r="B163" s="82"/>
      <c r="C163" s="81" t="s">
        <v>315</v>
      </c>
      <c r="D163" s="916"/>
      <c r="E163" s="2"/>
      <c r="F163" s="85"/>
      <c r="G163" s="189"/>
      <c r="H163" s="122"/>
      <c r="J163" s="81" t="s">
        <v>315</v>
      </c>
    </row>
    <row r="164" spans="1:10" s="120" customFormat="1" ht="20.45" customHeight="1">
      <c r="A164" s="913"/>
      <c r="B164" s="82"/>
      <c r="C164" s="81"/>
      <c r="D164" s="916"/>
      <c r="E164" s="2"/>
      <c r="F164" s="85"/>
      <c r="G164" s="189"/>
      <c r="H164" s="122"/>
      <c r="J164" s="81"/>
    </row>
    <row r="165" spans="1:10" s="120" customFormat="1" ht="20.45" customHeight="1">
      <c r="A165" s="913"/>
      <c r="B165" s="82"/>
      <c r="C165" s="81" t="s">
        <v>316</v>
      </c>
      <c r="D165" s="916"/>
      <c r="E165" s="2"/>
      <c r="F165" s="85"/>
      <c r="G165" s="189"/>
      <c r="H165" s="122"/>
      <c r="J165" s="81" t="s">
        <v>1460</v>
      </c>
    </row>
    <row r="166" spans="1:10" s="120" customFormat="1" ht="20.45" customHeight="1">
      <c r="A166" s="913"/>
      <c r="B166" s="82"/>
      <c r="C166" s="107"/>
      <c r="D166" s="916"/>
      <c r="E166" s="2"/>
      <c r="F166" s="85"/>
      <c r="G166" s="189"/>
      <c r="H166" s="122"/>
      <c r="J166" s="107"/>
    </row>
    <row r="167" spans="1:10" s="120" customFormat="1" ht="20.45" customHeight="1">
      <c r="A167" s="913"/>
      <c r="B167" s="82"/>
      <c r="C167" s="107" t="s">
        <v>317</v>
      </c>
      <c r="D167" s="921"/>
      <c r="E167" s="92"/>
      <c r="F167" s="89"/>
      <c r="G167" s="188"/>
      <c r="H167" s="122"/>
      <c r="J167" s="107" t="s">
        <v>1461</v>
      </c>
    </row>
    <row r="168" spans="1:10" s="120" customFormat="1" ht="20.45" customHeight="1">
      <c r="A168" s="913" t="s">
        <v>318</v>
      </c>
      <c r="B168" s="82" t="s">
        <v>158</v>
      </c>
      <c r="C168" s="42" t="s">
        <v>79</v>
      </c>
      <c r="D168" s="922">
        <v>11530.49</v>
      </c>
      <c r="E168" s="86">
        <f t="shared" ref="E168:E180" si="19">+G168*D168</f>
        <v>0</v>
      </c>
      <c r="F168" s="115" t="s">
        <v>572</v>
      </c>
      <c r="G168" s="191">
        <f>+Rebusca_t1(F168)</f>
        <v>0</v>
      </c>
      <c r="H168" s="122"/>
      <c r="J168" s="42" t="s">
        <v>1462</v>
      </c>
    </row>
    <row r="169" spans="1:10" s="120" customFormat="1" ht="20.45" customHeight="1">
      <c r="A169" s="913" t="s">
        <v>319</v>
      </c>
      <c r="B169" s="82" t="s">
        <v>147</v>
      </c>
      <c r="C169" s="42" t="s">
        <v>80</v>
      </c>
      <c r="D169" s="916">
        <v>11.76</v>
      </c>
      <c r="E169" s="86">
        <f t="shared" si="19"/>
        <v>0</v>
      </c>
      <c r="F169" s="87" t="s">
        <v>573</v>
      </c>
      <c r="G169" s="186">
        <f t="shared" ref="G169:G178" si="20">+Rebusca_t1(F169)</f>
        <v>0</v>
      </c>
      <c r="H169" s="122"/>
      <c r="J169" s="42" t="s">
        <v>1463</v>
      </c>
    </row>
    <row r="170" spans="1:10" s="120" customFormat="1" ht="20.45" customHeight="1">
      <c r="A170" s="913" t="s">
        <v>320</v>
      </c>
      <c r="B170" s="82" t="s">
        <v>147</v>
      </c>
      <c r="C170" s="42" t="s">
        <v>81</v>
      </c>
      <c r="D170" s="916">
        <v>11.54</v>
      </c>
      <c r="E170" s="86">
        <f t="shared" si="19"/>
        <v>0</v>
      </c>
      <c r="F170" s="87" t="s">
        <v>574</v>
      </c>
      <c r="G170" s="186">
        <f t="shared" si="20"/>
        <v>0</v>
      </c>
      <c r="H170" s="122"/>
      <c r="J170" s="42" t="s">
        <v>1464</v>
      </c>
    </row>
    <row r="171" spans="1:10" s="120" customFormat="1" ht="20.45" customHeight="1">
      <c r="A171" s="941" t="s">
        <v>321</v>
      </c>
      <c r="B171" s="99" t="s">
        <v>147</v>
      </c>
      <c r="C171" s="109" t="s">
        <v>82</v>
      </c>
      <c r="D171" s="942">
        <v>61.32</v>
      </c>
      <c r="E171" s="86">
        <f t="shared" si="19"/>
        <v>0</v>
      </c>
      <c r="F171" s="87" t="s">
        <v>575</v>
      </c>
      <c r="G171" s="186">
        <f t="shared" si="20"/>
        <v>0</v>
      </c>
      <c r="H171" s="122"/>
      <c r="J171" s="109" t="s">
        <v>1314</v>
      </c>
    </row>
    <row r="172" spans="1:10" s="120" customFormat="1" ht="20.45" customHeight="1">
      <c r="A172" s="913" t="s">
        <v>322</v>
      </c>
      <c r="B172" s="82" t="s">
        <v>147</v>
      </c>
      <c r="C172" s="42" t="s">
        <v>159</v>
      </c>
      <c r="D172" s="922">
        <v>3487.1</v>
      </c>
      <c r="E172" s="86">
        <f t="shared" si="19"/>
        <v>0</v>
      </c>
      <c r="F172" s="87" t="s">
        <v>576</v>
      </c>
      <c r="G172" s="186">
        <f t="shared" si="20"/>
        <v>0</v>
      </c>
      <c r="H172" s="122"/>
      <c r="J172" s="42" t="s">
        <v>1465</v>
      </c>
    </row>
    <row r="173" spans="1:10" s="120" customFormat="1" ht="20.45" customHeight="1">
      <c r="A173" s="913" t="s">
        <v>323</v>
      </c>
      <c r="B173" s="82" t="s">
        <v>147</v>
      </c>
      <c r="C173" s="42" t="s">
        <v>160</v>
      </c>
      <c r="D173" s="916">
        <v>775.29</v>
      </c>
      <c r="E173" s="86">
        <f t="shared" si="19"/>
        <v>0</v>
      </c>
      <c r="F173" s="87" t="s">
        <v>577</v>
      </c>
      <c r="G173" s="186">
        <f t="shared" si="20"/>
        <v>0</v>
      </c>
      <c r="H173" s="122"/>
      <c r="J173" s="42" t="s">
        <v>1466</v>
      </c>
    </row>
    <row r="174" spans="1:10" s="120" customFormat="1" ht="20.45" customHeight="1">
      <c r="A174" s="913" t="s">
        <v>324</v>
      </c>
      <c r="B174" s="82" t="s">
        <v>147</v>
      </c>
      <c r="C174" s="42" t="s">
        <v>161</v>
      </c>
      <c r="D174" s="916">
        <v>751.22</v>
      </c>
      <c r="E174" s="86">
        <f t="shared" si="19"/>
        <v>0</v>
      </c>
      <c r="F174" s="87" t="s">
        <v>579</v>
      </c>
      <c r="G174" s="186">
        <f t="shared" si="20"/>
        <v>0</v>
      </c>
      <c r="H174" s="122"/>
      <c r="J174" s="42" t="s">
        <v>1467</v>
      </c>
    </row>
    <row r="175" spans="1:10" s="120" customFormat="1" ht="20.45" customHeight="1">
      <c r="A175" s="913" t="s">
        <v>325</v>
      </c>
      <c r="B175" s="82" t="s">
        <v>147</v>
      </c>
      <c r="C175" s="42" t="s">
        <v>108</v>
      </c>
      <c r="D175" s="922">
        <v>4695.59</v>
      </c>
      <c r="E175" s="86">
        <f t="shared" si="19"/>
        <v>0</v>
      </c>
      <c r="F175" s="87" t="s">
        <v>580</v>
      </c>
      <c r="G175" s="186">
        <f t="shared" si="20"/>
        <v>0</v>
      </c>
      <c r="H175" s="122"/>
      <c r="J175" s="42" t="s">
        <v>1468</v>
      </c>
    </row>
    <row r="176" spans="1:10" s="120" customFormat="1" ht="20.45" customHeight="1">
      <c r="A176" s="913" t="s">
        <v>326</v>
      </c>
      <c r="B176" s="82" t="s">
        <v>147</v>
      </c>
      <c r="C176" s="42" t="s">
        <v>109</v>
      </c>
      <c r="D176" s="916">
        <v>851.5</v>
      </c>
      <c r="E176" s="86">
        <f t="shared" si="19"/>
        <v>0</v>
      </c>
      <c r="F176" s="87" t="s">
        <v>581</v>
      </c>
      <c r="G176" s="186">
        <f t="shared" si="20"/>
        <v>0</v>
      </c>
      <c r="H176" s="122"/>
      <c r="J176" s="42" t="s">
        <v>1469</v>
      </c>
    </row>
    <row r="177" spans="1:10" s="120" customFormat="1" ht="20.45" customHeight="1">
      <c r="A177" s="913" t="s">
        <v>327</v>
      </c>
      <c r="B177" s="82" t="s">
        <v>147</v>
      </c>
      <c r="C177" s="42" t="s">
        <v>162</v>
      </c>
      <c r="D177" s="916">
        <v>863.12</v>
      </c>
      <c r="E177" s="86">
        <f t="shared" si="19"/>
        <v>0</v>
      </c>
      <c r="F177" s="87" t="s">
        <v>582</v>
      </c>
      <c r="G177" s="186">
        <f t="shared" si="20"/>
        <v>0</v>
      </c>
      <c r="H177" s="122"/>
      <c r="J177" s="42" t="s">
        <v>1470</v>
      </c>
    </row>
    <row r="178" spans="1:10" s="120" customFormat="1" ht="42" customHeight="1">
      <c r="A178" s="913" t="s">
        <v>328</v>
      </c>
      <c r="B178" s="82" t="s">
        <v>147</v>
      </c>
      <c r="C178" s="42" t="s">
        <v>2881</v>
      </c>
      <c r="D178" s="922">
        <v>4432.2700000000004</v>
      </c>
      <c r="E178" s="86">
        <f t="shared" si="19"/>
        <v>0</v>
      </c>
      <c r="F178" s="87" t="s">
        <v>584</v>
      </c>
      <c r="G178" s="186">
        <f t="shared" si="20"/>
        <v>0</v>
      </c>
      <c r="H178" s="122"/>
      <c r="J178" s="42" t="s">
        <v>2720</v>
      </c>
    </row>
    <row r="179" spans="1:10" s="120" customFormat="1" ht="42" customHeight="1">
      <c r="A179" s="913" t="s">
        <v>2882</v>
      </c>
      <c r="B179" s="82" t="s">
        <v>147</v>
      </c>
      <c r="C179" s="42" t="s">
        <v>2883</v>
      </c>
      <c r="D179" s="922">
        <v>4432.2700000000004</v>
      </c>
      <c r="E179" s="86">
        <f t="shared" si="19"/>
        <v>0</v>
      </c>
      <c r="F179" s="87" t="s">
        <v>2847</v>
      </c>
      <c r="G179" s="186">
        <f t="shared" ref="G179" si="21">+Rebusca_t1(F179)</f>
        <v>0</v>
      </c>
      <c r="H179" s="122"/>
      <c r="J179" s="42" t="s">
        <v>2922</v>
      </c>
    </row>
    <row r="180" spans="1:10" s="120" customFormat="1" ht="42.6" customHeight="1" thickBot="1">
      <c r="A180" s="913" t="s">
        <v>2719</v>
      </c>
      <c r="B180" s="82" t="s">
        <v>147</v>
      </c>
      <c r="C180" s="42" t="s">
        <v>2884</v>
      </c>
      <c r="D180" s="922">
        <v>4432.2700000000004</v>
      </c>
      <c r="E180" s="86">
        <f t="shared" si="19"/>
        <v>0</v>
      </c>
      <c r="F180" s="87" t="s">
        <v>2722</v>
      </c>
      <c r="G180" s="186">
        <f t="shared" ref="G180" si="22">+Rebusca_t1(F180)</f>
        <v>0</v>
      </c>
      <c r="H180" s="122"/>
      <c r="J180" s="42" t="s">
        <v>2721</v>
      </c>
    </row>
    <row r="181" spans="1:10" s="120" customFormat="1" ht="21" customHeight="1" thickBot="1">
      <c r="A181" s="913"/>
      <c r="B181" s="82"/>
      <c r="C181" s="107" t="s">
        <v>329</v>
      </c>
      <c r="D181" s="938"/>
      <c r="E181" s="96">
        <f>SUM(E168:E178)</f>
        <v>0</v>
      </c>
      <c r="F181" s="85"/>
      <c r="G181" s="189"/>
      <c r="H181" s="122"/>
      <c r="J181" s="107" t="s">
        <v>1471</v>
      </c>
    </row>
    <row r="182" spans="1:10" s="120" customFormat="1" ht="20.45" customHeight="1">
      <c r="A182" s="913"/>
      <c r="B182" s="82"/>
      <c r="C182" s="42"/>
      <c r="D182" s="916"/>
      <c r="E182" s="2"/>
      <c r="F182" s="85"/>
      <c r="G182" s="189"/>
      <c r="H182" s="122"/>
      <c r="J182" s="42"/>
    </row>
    <row r="183" spans="1:10" s="120" customFormat="1" ht="20.45" hidden="1" customHeight="1">
      <c r="A183" s="913"/>
      <c r="B183" s="82"/>
      <c r="C183" s="107" t="s">
        <v>330</v>
      </c>
      <c r="D183" s="916"/>
      <c r="E183" s="2"/>
      <c r="F183" s="85"/>
      <c r="G183" s="189"/>
      <c r="H183" s="122"/>
      <c r="J183" s="107" t="s">
        <v>330</v>
      </c>
    </row>
    <row r="184" spans="1:10" s="120" customFormat="1" ht="30" hidden="1" customHeight="1">
      <c r="A184" s="913" t="s">
        <v>331</v>
      </c>
      <c r="B184" s="82" t="s">
        <v>158</v>
      </c>
      <c r="C184" s="42" t="s">
        <v>83</v>
      </c>
      <c r="D184" s="922">
        <v>13635.93</v>
      </c>
      <c r="E184" s="86" t="e">
        <f>D184*#REF!</f>
        <v>#REF!</v>
      </c>
      <c r="F184" s="97"/>
      <c r="G184" s="192"/>
      <c r="H184" s="122"/>
      <c r="J184" s="42" t="s">
        <v>83</v>
      </c>
    </row>
    <row r="185" spans="1:10" s="120" customFormat="1" ht="30" hidden="1" customHeight="1">
      <c r="A185" s="913" t="s">
        <v>332</v>
      </c>
      <c r="B185" s="82" t="s">
        <v>158</v>
      </c>
      <c r="C185" s="42" t="s">
        <v>84</v>
      </c>
      <c r="D185" s="922">
        <v>14642.12</v>
      </c>
      <c r="E185" s="86" t="e">
        <f>D185*#REF!</f>
        <v>#REF!</v>
      </c>
      <c r="F185" s="85"/>
      <c r="G185" s="189"/>
      <c r="H185" s="122"/>
      <c r="J185" s="42" t="s">
        <v>84</v>
      </c>
    </row>
    <row r="186" spans="1:10" s="120" customFormat="1" ht="42" hidden="1" customHeight="1">
      <c r="A186" s="913" t="s">
        <v>333</v>
      </c>
      <c r="B186" s="82" t="s">
        <v>158</v>
      </c>
      <c r="C186" s="42" t="s">
        <v>163</v>
      </c>
      <c r="D186" s="922">
        <v>2298.96</v>
      </c>
      <c r="E186" s="86" t="e">
        <f>D186*#REF!</f>
        <v>#REF!</v>
      </c>
      <c r="F186" s="85"/>
      <c r="G186" s="189"/>
      <c r="H186" s="122"/>
      <c r="J186" s="42" t="s">
        <v>163</v>
      </c>
    </row>
    <row r="187" spans="1:10" s="120" customFormat="1" ht="20.45" hidden="1" customHeight="1">
      <c r="A187" s="913" t="s">
        <v>334</v>
      </c>
      <c r="B187" s="82" t="s">
        <v>147</v>
      </c>
      <c r="C187" s="42" t="s">
        <v>164</v>
      </c>
      <c r="D187" s="916">
        <v>234.92</v>
      </c>
      <c r="E187" s="86" t="e">
        <f>D187*#REF!</f>
        <v>#REF!</v>
      </c>
      <c r="F187" s="98"/>
      <c r="G187" s="193"/>
      <c r="H187" s="122"/>
      <c r="J187" s="42" t="s">
        <v>164</v>
      </c>
    </row>
    <row r="188" spans="1:10" s="120" customFormat="1" ht="20.45" hidden="1" customHeight="1">
      <c r="A188" s="913" t="s">
        <v>335</v>
      </c>
      <c r="B188" s="82" t="s">
        <v>147</v>
      </c>
      <c r="C188" s="42" t="s">
        <v>165</v>
      </c>
      <c r="D188" s="916">
        <v>715.86</v>
      </c>
      <c r="E188" s="86" t="e">
        <f>D188*#REF!</f>
        <v>#REF!</v>
      </c>
      <c r="F188" s="98"/>
      <c r="G188" s="193"/>
      <c r="H188" s="122"/>
      <c r="J188" s="42" t="s">
        <v>165</v>
      </c>
    </row>
    <row r="189" spans="1:10" s="120" customFormat="1" ht="30" hidden="1" customHeight="1">
      <c r="A189" s="913" t="s">
        <v>336</v>
      </c>
      <c r="B189" s="82" t="s">
        <v>147</v>
      </c>
      <c r="C189" s="42" t="s">
        <v>166</v>
      </c>
      <c r="D189" s="916">
        <v>548.64</v>
      </c>
      <c r="E189" s="86" t="e">
        <f>D189*#REF!</f>
        <v>#REF!</v>
      </c>
      <c r="F189" s="98"/>
      <c r="G189" s="193"/>
      <c r="H189" s="122"/>
      <c r="J189" s="42" t="s">
        <v>166</v>
      </c>
    </row>
    <row r="190" spans="1:10" s="120" customFormat="1" ht="30" hidden="1" customHeight="1">
      <c r="A190" s="913" t="s">
        <v>337</v>
      </c>
      <c r="B190" s="82" t="s">
        <v>147</v>
      </c>
      <c r="C190" s="42" t="s">
        <v>167</v>
      </c>
      <c r="D190" s="922">
        <v>2512.15</v>
      </c>
      <c r="E190" s="86" t="e">
        <f>D190*#REF!</f>
        <v>#REF!</v>
      </c>
      <c r="F190" s="98"/>
      <c r="G190" s="193"/>
      <c r="H190" s="122"/>
      <c r="J190" s="42" t="s">
        <v>167</v>
      </c>
    </row>
    <row r="191" spans="1:10" s="120" customFormat="1" ht="30.6" hidden="1" customHeight="1" thickBot="1">
      <c r="A191" s="913" t="s">
        <v>338</v>
      </c>
      <c r="B191" s="82" t="s">
        <v>147</v>
      </c>
      <c r="C191" s="42" t="s">
        <v>168</v>
      </c>
      <c r="D191" s="922">
        <v>1252.42</v>
      </c>
      <c r="E191" s="95" t="e">
        <f>D191*#REF!</f>
        <v>#REF!</v>
      </c>
      <c r="F191" s="85"/>
      <c r="G191" s="189"/>
      <c r="H191" s="122"/>
      <c r="J191" s="42" t="s">
        <v>168</v>
      </c>
    </row>
    <row r="192" spans="1:10" s="120" customFormat="1" ht="21" hidden="1" customHeight="1" thickBot="1">
      <c r="A192" s="913"/>
      <c r="B192" s="82"/>
      <c r="C192" s="107" t="s">
        <v>339</v>
      </c>
      <c r="D192" s="938"/>
      <c r="E192" s="96" t="e">
        <f>SUM(E184:E191)</f>
        <v>#REF!</v>
      </c>
      <c r="F192" s="85"/>
      <c r="G192" s="189"/>
      <c r="H192" s="122"/>
      <c r="J192" s="107" t="s">
        <v>339</v>
      </c>
    </row>
    <row r="193" spans="1:10" s="120" customFormat="1" ht="20.45" hidden="1" customHeight="1">
      <c r="A193" s="913"/>
      <c r="B193" s="82"/>
      <c r="C193" s="81" t="s">
        <v>340</v>
      </c>
      <c r="D193" s="916"/>
      <c r="E193" s="2"/>
      <c r="F193" s="85"/>
      <c r="G193" s="189"/>
      <c r="H193" s="122"/>
      <c r="J193" s="81" t="s">
        <v>340</v>
      </c>
    </row>
    <row r="194" spans="1:10" s="120" customFormat="1" ht="20.45" customHeight="1">
      <c r="A194" s="913"/>
      <c r="B194" s="82"/>
      <c r="C194" s="81"/>
      <c r="D194" s="916"/>
      <c r="E194" s="2"/>
      <c r="F194" s="85"/>
      <c r="G194" s="189"/>
      <c r="H194" s="122"/>
      <c r="J194" s="81"/>
    </row>
    <row r="195" spans="1:10" s="120" customFormat="1" ht="20.45" customHeight="1">
      <c r="A195" s="913"/>
      <c r="B195" s="82"/>
      <c r="C195" s="81" t="s">
        <v>341</v>
      </c>
      <c r="D195" s="916"/>
      <c r="E195" s="2"/>
      <c r="F195" s="85"/>
      <c r="G195" s="189"/>
      <c r="H195" s="122"/>
      <c r="J195" s="81" t="s">
        <v>1472</v>
      </c>
    </row>
    <row r="196" spans="1:10" s="120" customFormat="1" ht="20.45" customHeight="1">
      <c r="A196" s="913"/>
      <c r="B196" s="82"/>
      <c r="C196" s="107"/>
      <c r="D196" s="916"/>
      <c r="E196" s="2"/>
      <c r="F196" s="85"/>
      <c r="G196" s="189"/>
      <c r="H196" s="122"/>
      <c r="J196" s="107"/>
    </row>
    <row r="197" spans="1:10" s="120" customFormat="1" ht="30" customHeight="1">
      <c r="A197" s="913"/>
      <c r="B197" s="82"/>
      <c r="C197" s="107" t="s">
        <v>342</v>
      </c>
      <c r="D197" s="916"/>
      <c r="E197" s="2"/>
      <c r="F197" s="85"/>
      <c r="G197" s="189"/>
      <c r="H197" s="122"/>
      <c r="J197" s="107" t="s">
        <v>1473</v>
      </c>
    </row>
    <row r="198" spans="1:10" s="120" customFormat="1" ht="20.45" customHeight="1">
      <c r="A198" s="913" t="s">
        <v>343</v>
      </c>
      <c r="B198" s="82" t="s">
        <v>158</v>
      </c>
      <c r="C198" s="42" t="s">
        <v>398</v>
      </c>
      <c r="D198" s="922">
        <v>2415.0300000000002</v>
      </c>
      <c r="E198" s="86">
        <f t="shared" ref="E198:E222" si="23">+G198*D198</f>
        <v>0</v>
      </c>
      <c r="F198" s="87" t="s">
        <v>586</v>
      </c>
      <c r="G198" s="186">
        <f t="shared" ref="G198:G201" si="24">+Rebusca_t1(F198)</f>
        <v>0</v>
      </c>
      <c r="H198" s="122"/>
      <c r="J198" s="42" t="s">
        <v>1474</v>
      </c>
    </row>
    <row r="199" spans="1:10" s="120" customFormat="1" ht="20.45" customHeight="1">
      <c r="A199" s="943" t="s">
        <v>344</v>
      </c>
      <c r="B199" s="113" t="s">
        <v>158</v>
      </c>
      <c r="C199" s="114" t="s">
        <v>399</v>
      </c>
      <c r="D199" s="944">
        <v>2415.0300000000002</v>
      </c>
      <c r="E199" s="86">
        <f t="shared" si="23"/>
        <v>0</v>
      </c>
      <c r="F199" s="137"/>
      <c r="G199" s="194"/>
      <c r="H199" s="122"/>
      <c r="J199" s="114" t="s">
        <v>1475</v>
      </c>
    </row>
    <row r="200" spans="1:10" s="120" customFormat="1" ht="20.45" customHeight="1">
      <c r="A200" s="913" t="s">
        <v>345</v>
      </c>
      <c r="B200" s="82" t="s">
        <v>158</v>
      </c>
      <c r="C200" s="42" t="s">
        <v>413</v>
      </c>
      <c r="D200" s="922">
        <v>7833.97</v>
      </c>
      <c r="E200" s="86">
        <f t="shared" si="23"/>
        <v>0</v>
      </c>
      <c r="F200" s="98" t="s">
        <v>588</v>
      </c>
      <c r="G200" s="186">
        <f t="shared" si="24"/>
        <v>0</v>
      </c>
      <c r="H200" s="122"/>
      <c r="J200" s="42" t="s">
        <v>1476</v>
      </c>
    </row>
    <row r="201" spans="1:10" s="120" customFormat="1" ht="30" customHeight="1">
      <c r="A201" s="913" t="s">
        <v>346</v>
      </c>
      <c r="B201" s="82" t="s">
        <v>158</v>
      </c>
      <c r="C201" s="42" t="s">
        <v>415</v>
      </c>
      <c r="D201" s="922">
        <v>27862.42</v>
      </c>
      <c r="E201" s="86">
        <f t="shared" si="23"/>
        <v>0</v>
      </c>
      <c r="F201" s="100" t="s">
        <v>758</v>
      </c>
      <c r="G201" s="186">
        <f t="shared" si="24"/>
        <v>0</v>
      </c>
      <c r="H201" s="122"/>
      <c r="J201" s="42" t="s">
        <v>1582</v>
      </c>
    </row>
    <row r="202" spans="1:10" s="120" customFormat="1" ht="20.45" customHeight="1">
      <c r="A202" s="913" t="s">
        <v>347</v>
      </c>
      <c r="B202" s="82" t="s">
        <v>147</v>
      </c>
      <c r="C202" s="42" t="s">
        <v>400</v>
      </c>
      <c r="D202" s="916">
        <v>132.35</v>
      </c>
      <c r="E202" s="86">
        <f t="shared" si="23"/>
        <v>0</v>
      </c>
      <c r="F202" s="87" t="s">
        <v>615</v>
      </c>
      <c r="G202" s="186">
        <f t="shared" ref="G202:G204" si="25">+Rebusca_t1(F202)</f>
        <v>0</v>
      </c>
      <c r="H202" s="122"/>
      <c r="J202" s="42" t="s">
        <v>1477</v>
      </c>
    </row>
    <row r="203" spans="1:10" s="120" customFormat="1" ht="20.45" customHeight="1">
      <c r="A203" s="913" t="s">
        <v>348</v>
      </c>
      <c r="B203" s="82" t="s">
        <v>147</v>
      </c>
      <c r="C203" s="42" t="s">
        <v>401</v>
      </c>
      <c r="D203" s="916">
        <v>150</v>
      </c>
      <c r="E203" s="86">
        <f t="shared" si="23"/>
        <v>0</v>
      </c>
      <c r="F203" s="138"/>
      <c r="G203" s="193"/>
      <c r="H203" s="122"/>
      <c r="J203" s="42" t="s">
        <v>1478</v>
      </c>
    </row>
    <row r="204" spans="1:10" s="120" customFormat="1" ht="20.45" customHeight="1">
      <c r="A204" s="913" t="s">
        <v>349</v>
      </c>
      <c r="B204" s="82" t="s">
        <v>147</v>
      </c>
      <c r="C204" s="42" t="s">
        <v>402</v>
      </c>
      <c r="D204" s="916">
        <v>132.35</v>
      </c>
      <c r="E204" s="86">
        <f t="shared" si="23"/>
        <v>0</v>
      </c>
      <c r="F204" s="98" t="s">
        <v>594</v>
      </c>
      <c r="G204" s="186">
        <f t="shared" si="25"/>
        <v>0</v>
      </c>
      <c r="H204" s="122"/>
      <c r="J204" s="42" t="s">
        <v>1479</v>
      </c>
    </row>
    <row r="205" spans="1:10" s="120" customFormat="1" ht="20.45" customHeight="1">
      <c r="A205" s="913" t="s">
        <v>350</v>
      </c>
      <c r="B205" s="82" t="s">
        <v>147</v>
      </c>
      <c r="C205" s="42" t="s">
        <v>414</v>
      </c>
      <c r="D205" s="916">
        <v>141.87</v>
      </c>
      <c r="E205" s="86">
        <f t="shared" si="23"/>
        <v>0</v>
      </c>
      <c r="F205" s="98" t="s">
        <v>595</v>
      </c>
      <c r="G205" s="186">
        <f t="shared" ref="G205" si="26">+Rebusca_t1(F205)</f>
        <v>0</v>
      </c>
      <c r="H205" s="122"/>
      <c r="J205" s="42" t="s">
        <v>1480</v>
      </c>
    </row>
    <row r="206" spans="1:10" s="120" customFormat="1" ht="20.45" customHeight="1">
      <c r="A206" s="913" t="s">
        <v>351</v>
      </c>
      <c r="B206" s="93" t="s">
        <v>147</v>
      </c>
      <c r="C206" s="108" t="s">
        <v>403</v>
      </c>
      <c r="D206" s="916">
        <v>75.069999999999993</v>
      </c>
      <c r="E206" s="86">
        <f t="shared" si="23"/>
        <v>0</v>
      </c>
      <c r="F206" s="87" t="s">
        <v>617</v>
      </c>
      <c r="G206" s="186">
        <f t="shared" ref="G206" si="27">+Rebusca_t1(F206)</f>
        <v>0</v>
      </c>
      <c r="H206" s="122"/>
      <c r="J206" s="108" t="s">
        <v>1481</v>
      </c>
    </row>
    <row r="207" spans="1:10" s="120" customFormat="1" ht="20.45" customHeight="1">
      <c r="A207" s="913" t="s">
        <v>352</v>
      </c>
      <c r="B207" s="101" t="s">
        <v>147</v>
      </c>
      <c r="C207" s="110" t="s">
        <v>404</v>
      </c>
      <c r="D207" s="916">
        <v>100</v>
      </c>
      <c r="E207" s="86">
        <f t="shared" si="23"/>
        <v>0</v>
      </c>
      <c r="F207" s="138"/>
      <c r="G207" s="193"/>
      <c r="H207" s="122"/>
      <c r="J207" s="110" t="s">
        <v>1482</v>
      </c>
    </row>
    <row r="208" spans="1:10" s="120" customFormat="1" ht="20.45" customHeight="1">
      <c r="A208" s="913" t="s">
        <v>353</v>
      </c>
      <c r="B208" s="102" t="s">
        <v>147</v>
      </c>
      <c r="C208" s="111" t="s">
        <v>85</v>
      </c>
      <c r="D208" s="942">
        <v>291.33999999999997</v>
      </c>
      <c r="E208" s="86">
        <f t="shared" si="23"/>
        <v>0</v>
      </c>
      <c r="F208" s="98" t="s">
        <v>608</v>
      </c>
      <c r="G208" s="186">
        <f t="shared" ref="G208" si="28">+Rebusca_t1(F208)</f>
        <v>0</v>
      </c>
      <c r="H208" s="122"/>
      <c r="J208" s="111" t="s">
        <v>1483</v>
      </c>
    </row>
    <row r="209" spans="1:10" s="120" customFormat="1" ht="20.45" customHeight="1">
      <c r="A209" s="913" t="s">
        <v>354</v>
      </c>
      <c r="B209" s="82" t="s">
        <v>147</v>
      </c>
      <c r="C209" s="42" t="s">
        <v>405</v>
      </c>
      <c r="D209" s="916">
        <v>7.89</v>
      </c>
      <c r="E209" s="86">
        <f t="shared" si="23"/>
        <v>0</v>
      </c>
      <c r="F209" s="87" t="s">
        <v>614</v>
      </c>
      <c r="G209" s="186">
        <f t="shared" ref="G209" si="29">+Rebusca_t1(F209)</f>
        <v>0</v>
      </c>
      <c r="H209" s="122"/>
      <c r="J209" s="42" t="s">
        <v>1565</v>
      </c>
    </row>
    <row r="210" spans="1:10" s="120" customFormat="1" ht="20.45" customHeight="1">
      <c r="A210" s="913" t="s">
        <v>355</v>
      </c>
      <c r="B210" s="82" t="s">
        <v>147</v>
      </c>
      <c r="C210" s="42" t="s">
        <v>406</v>
      </c>
      <c r="D210" s="916">
        <v>10</v>
      </c>
      <c r="E210" s="86">
        <f t="shared" si="23"/>
        <v>0</v>
      </c>
      <c r="F210" s="98"/>
      <c r="G210" s="193"/>
      <c r="H210" s="122"/>
      <c r="J210" s="42" t="s">
        <v>1566</v>
      </c>
    </row>
    <row r="211" spans="1:10" s="120" customFormat="1" ht="20.45" customHeight="1">
      <c r="A211" s="913" t="s">
        <v>356</v>
      </c>
      <c r="B211" s="82" t="s">
        <v>147</v>
      </c>
      <c r="C211" s="42" t="s">
        <v>1663</v>
      </c>
      <c r="D211" s="916">
        <v>7.89</v>
      </c>
      <c r="E211" s="86">
        <f t="shared" si="23"/>
        <v>0</v>
      </c>
      <c r="F211" s="87" t="s">
        <v>616</v>
      </c>
      <c r="G211" s="186">
        <f>+Rebusca_t1(F211)</f>
        <v>0</v>
      </c>
      <c r="H211" s="122"/>
      <c r="J211" s="42" t="s">
        <v>1662</v>
      </c>
    </row>
    <row r="212" spans="1:10" s="120" customFormat="1" ht="20.45" customHeight="1">
      <c r="A212" s="943" t="s">
        <v>1665</v>
      </c>
      <c r="B212" s="113" t="s">
        <v>147</v>
      </c>
      <c r="C212" s="114" t="s">
        <v>1664</v>
      </c>
      <c r="D212" s="944">
        <v>7.89</v>
      </c>
      <c r="E212" s="86">
        <f t="shared" si="23"/>
        <v>0</v>
      </c>
      <c r="F212" s="137" t="s">
        <v>1657</v>
      </c>
      <c r="G212" s="194">
        <f>+Rebusca_t1(F212)</f>
        <v>0</v>
      </c>
      <c r="H212" s="122"/>
      <c r="J212" s="114" t="s">
        <v>1666</v>
      </c>
    </row>
    <row r="213" spans="1:10" s="120" customFormat="1" ht="20.45" customHeight="1">
      <c r="A213" s="913" t="s">
        <v>357</v>
      </c>
      <c r="B213" s="82" t="s">
        <v>147</v>
      </c>
      <c r="C213" s="42" t="s">
        <v>407</v>
      </c>
      <c r="D213" s="916">
        <v>10</v>
      </c>
      <c r="E213" s="86">
        <f t="shared" si="23"/>
        <v>0</v>
      </c>
      <c r="F213" s="138"/>
      <c r="G213" s="193"/>
      <c r="H213" s="122"/>
      <c r="J213" s="42" t="s">
        <v>1484</v>
      </c>
    </row>
    <row r="214" spans="1:10" s="120" customFormat="1" ht="20.45" customHeight="1">
      <c r="A214" s="913" t="s">
        <v>358</v>
      </c>
      <c r="B214" s="82" t="s">
        <v>147</v>
      </c>
      <c r="C214" s="42" t="s">
        <v>86</v>
      </c>
      <c r="D214" s="918">
        <v>187.18</v>
      </c>
      <c r="E214" s="86">
        <f t="shared" si="23"/>
        <v>0</v>
      </c>
      <c r="F214" s="87" t="s">
        <v>596</v>
      </c>
      <c r="G214" s="186">
        <f t="shared" ref="G214" si="30">+Rebusca_t1(F214)</f>
        <v>0</v>
      </c>
      <c r="H214" s="122"/>
      <c r="J214" s="42" t="s">
        <v>1335</v>
      </c>
    </row>
    <row r="215" spans="1:10" s="120" customFormat="1" ht="20.45" customHeight="1">
      <c r="A215" s="913" t="s">
        <v>359</v>
      </c>
      <c r="B215" s="82" t="s">
        <v>147</v>
      </c>
      <c r="C215" s="42" t="s">
        <v>87</v>
      </c>
      <c r="D215" s="942">
        <v>57.22</v>
      </c>
      <c r="E215" s="86">
        <f t="shared" si="23"/>
        <v>0</v>
      </c>
      <c r="F215" s="87" t="s">
        <v>592</v>
      </c>
      <c r="G215" s="186">
        <f t="shared" ref="G215" si="31">+Rebusca_t1(F215)</f>
        <v>0</v>
      </c>
      <c r="H215" s="122"/>
      <c r="J215" s="42" t="s">
        <v>1330</v>
      </c>
    </row>
    <row r="216" spans="1:10" s="120" customFormat="1" ht="20.45" customHeight="1">
      <c r="A216" s="913" t="s">
        <v>360</v>
      </c>
      <c r="B216" s="82" t="s">
        <v>147</v>
      </c>
      <c r="C216" s="42" t="s">
        <v>88</v>
      </c>
      <c r="D216" s="916">
        <v>70.69</v>
      </c>
      <c r="E216" s="86">
        <f t="shared" si="23"/>
        <v>0</v>
      </c>
      <c r="F216" s="87" t="s">
        <v>1053</v>
      </c>
      <c r="G216" s="186">
        <f t="shared" ref="G216:G219" si="32">+Rebusca_t1(F216)</f>
        <v>0</v>
      </c>
      <c r="H216" s="122"/>
      <c r="J216" s="42" t="s">
        <v>1331</v>
      </c>
    </row>
    <row r="217" spans="1:10" s="120" customFormat="1" ht="20.45" customHeight="1">
      <c r="A217" s="913" t="s">
        <v>361</v>
      </c>
      <c r="B217" s="82" t="s">
        <v>147</v>
      </c>
      <c r="C217" s="42" t="s">
        <v>1205</v>
      </c>
      <c r="D217" s="916">
        <v>145.71</v>
      </c>
      <c r="E217" s="86">
        <f t="shared" si="23"/>
        <v>0</v>
      </c>
      <c r="F217" s="87" t="s">
        <v>600</v>
      </c>
      <c r="G217" s="186">
        <f t="shared" si="32"/>
        <v>0</v>
      </c>
      <c r="H217" s="122"/>
      <c r="J217" s="42" t="s">
        <v>1485</v>
      </c>
    </row>
    <row r="218" spans="1:10" s="120" customFormat="1" ht="20.45" customHeight="1">
      <c r="A218" s="943" t="s">
        <v>1204</v>
      </c>
      <c r="B218" s="113" t="s">
        <v>147</v>
      </c>
      <c r="C218" s="114" t="s">
        <v>1206</v>
      </c>
      <c r="D218" s="944">
        <v>145.71</v>
      </c>
      <c r="E218" s="86">
        <f t="shared" si="23"/>
        <v>0</v>
      </c>
      <c r="F218" s="137" t="s">
        <v>602</v>
      </c>
      <c r="G218" s="194">
        <f t="shared" si="32"/>
        <v>0</v>
      </c>
      <c r="H218" s="122"/>
      <c r="J218" s="114" t="s">
        <v>1341</v>
      </c>
    </row>
    <row r="219" spans="1:10" s="120" customFormat="1" ht="20.45" customHeight="1">
      <c r="A219" s="913" t="s">
        <v>362</v>
      </c>
      <c r="B219" s="82" t="s">
        <v>147</v>
      </c>
      <c r="C219" s="42" t="s">
        <v>408</v>
      </c>
      <c r="D219" s="916">
        <v>58.55</v>
      </c>
      <c r="E219" s="86">
        <f t="shared" si="23"/>
        <v>0</v>
      </c>
      <c r="F219" s="87" t="s">
        <v>589</v>
      </c>
      <c r="G219" s="186">
        <f t="shared" si="32"/>
        <v>0</v>
      </c>
      <c r="H219" s="122"/>
      <c r="J219" s="42" t="s">
        <v>1333</v>
      </c>
    </row>
    <row r="220" spans="1:10" s="120" customFormat="1" ht="20.45" customHeight="1">
      <c r="A220" s="913" t="s">
        <v>363</v>
      </c>
      <c r="B220" s="99" t="s">
        <v>147</v>
      </c>
      <c r="C220" s="109" t="s">
        <v>103</v>
      </c>
      <c r="D220" s="942">
        <v>97.45</v>
      </c>
      <c r="E220" s="86">
        <f t="shared" si="23"/>
        <v>0</v>
      </c>
      <c r="F220" s="87" t="s">
        <v>591</v>
      </c>
      <c r="G220" s="186">
        <f t="shared" ref="G220" si="33">+Rebusca_t1(F220)</f>
        <v>0</v>
      </c>
      <c r="H220" s="122"/>
      <c r="J220" s="109" t="s">
        <v>1332</v>
      </c>
    </row>
    <row r="221" spans="1:10" s="120" customFormat="1" ht="20.45" customHeight="1">
      <c r="A221" s="913" t="s">
        <v>364</v>
      </c>
      <c r="B221" s="99" t="s">
        <v>147</v>
      </c>
      <c r="C221" s="109" t="s">
        <v>89</v>
      </c>
      <c r="D221" s="942">
        <v>67.989999999999995</v>
      </c>
      <c r="E221" s="86">
        <f t="shared" si="23"/>
        <v>0</v>
      </c>
      <c r="F221" s="87" t="s">
        <v>593</v>
      </c>
      <c r="G221" s="186">
        <f t="shared" ref="G221" si="34">+Rebusca_t1(F221)</f>
        <v>0</v>
      </c>
      <c r="H221" s="122"/>
      <c r="J221" s="109" t="s">
        <v>1334</v>
      </c>
    </row>
    <row r="222" spans="1:10" s="120" customFormat="1" ht="21" customHeight="1" thickBot="1">
      <c r="A222" s="913" t="s">
        <v>365</v>
      </c>
      <c r="B222" s="82" t="s">
        <v>147</v>
      </c>
      <c r="C222" s="42" t="s">
        <v>90</v>
      </c>
      <c r="D222" s="916">
        <v>19.46</v>
      </c>
      <c r="E222" s="86">
        <f t="shared" si="23"/>
        <v>0</v>
      </c>
      <c r="F222" s="87" t="s">
        <v>777</v>
      </c>
      <c r="G222" s="186">
        <f t="shared" ref="G222" si="35">+Rebusca_t1(F222)</f>
        <v>0</v>
      </c>
      <c r="H222" s="122"/>
      <c r="J222" s="42" t="s">
        <v>1354</v>
      </c>
    </row>
    <row r="223" spans="1:10" s="120" customFormat="1" ht="21" customHeight="1" thickBot="1">
      <c r="A223" s="913"/>
      <c r="B223" s="82"/>
      <c r="C223" s="107" t="s">
        <v>366</v>
      </c>
      <c r="D223" s="920"/>
      <c r="E223" s="96">
        <f>SUM(E198:E222)</f>
        <v>0</v>
      </c>
      <c r="F223" s="98"/>
      <c r="G223" s="193"/>
      <c r="H223" s="122"/>
      <c r="J223" s="107" t="s">
        <v>1486</v>
      </c>
    </row>
    <row r="224" spans="1:10" s="120" customFormat="1" ht="20.45" customHeight="1">
      <c r="A224" s="913"/>
      <c r="B224" s="82"/>
      <c r="C224" s="42"/>
      <c r="D224" s="916"/>
      <c r="E224" s="2"/>
      <c r="F224" s="98"/>
      <c r="G224" s="193"/>
      <c r="H224" s="122"/>
      <c r="J224" s="42"/>
    </row>
    <row r="225" spans="1:10" s="120" customFormat="1" ht="20.45" hidden="1" customHeight="1">
      <c r="A225" s="919"/>
      <c r="B225" s="105"/>
      <c r="C225" s="112" t="s">
        <v>367</v>
      </c>
      <c r="D225" s="945"/>
      <c r="E225" s="139"/>
      <c r="F225" s="140"/>
      <c r="G225" s="195"/>
      <c r="H225" s="122"/>
      <c r="J225" s="112" t="s">
        <v>367</v>
      </c>
    </row>
    <row r="226" spans="1:10" s="120" customFormat="1" ht="30" hidden="1" customHeight="1">
      <c r="A226" s="919" t="s">
        <v>427</v>
      </c>
      <c r="B226" s="105" t="s">
        <v>158</v>
      </c>
      <c r="C226" s="141" t="s">
        <v>428</v>
      </c>
      <c r="D226" s="946">
        <v>2357.79</v>
      </c>
      <c r="E226" s="142" t="e">
        <f>#REF!*D226</f>
        <v>#REF!</v>
      </c>
      <c r="F226" s="143"/>
      <c r="G226" s="196"/>
      <c r="H226" s="122"/>
      <c r="J226" s="141" t="s">
        <v>1567</v>
      </c>
    </row>
    <row r="227" spans="1:10" s="120" customFormat="1" ht="30" hidden="1" customHeight="1">
      <c r="A227" s="919" t="s">
        <v>368</v>
      </c>
      <c r="B227" s="105" t="s">
        <v>158</v>
      </c>
      <c r="C227" s="141" t="s">
        <v>409</v>
      </c>
      <c r="D227" s="946"/>
      <c r="E227" s="142"/>
      <c r="F227" s="143"/>
      <c r="G227" s="196"/>
      <c r="H227" s="122"/>
      <c r="J227" s="141" t="s">
        <v>1568</v>
      </c>
    </row>
    <row r="228" spans="1:10" s="120" customFormat="1" ht="30" hidden="1" customHeight="1">
      <c r="A228" s="919" t="s">
        <v>369</v>
      </c>
      <c r="B228" s="105" t="s">
        <v>158</v>
      </c>
      <c r="C228" s="141" t="s">
        <v>410</v>
      </c>
      <c r="D228" s="946"/>
      <c r="E228" s="142"/>
      <c r="F228" s="143"/>
      <c r="G228" s="196"/>
      <c r="H228" s="122"/>
      <c r="J228" s="141" t="s">
        <v>410</v>
      </c>
    </row>
    <row r="229" spans="1:10" s="120" customFormat="1" ht="30" hidden="1" customHeight="1">
      <c r="A229" s="919" t="s">
        <v>370</v>
      </c>
      <c r="B229" s="105" t="s">
        <v>158</v>
      </c>
      <c r="C229" s="141" t="s">
        <v>411</v>
      </c>
      <c r="D229" s="946">
        <v>3000</v>
      </c>
      <c r="E229" s="142" t="e">
        <f>#REF!*D229</f>
        <v>#REF!</v>
      </c>
      <c r="F229" s="143"/>
      <c r="G229" s="196"/>
      <c r="H229" s="122"/>
      <c r="J229" s="141" t="s">
        <v>411</v>
      </c>
    </row>
    <row r="230" spans="1:10" s="120" customFormat="1" ht="30" hidden="1" customHeight="1">
      <c r="A230" s="919" t="s">
        <v>371</v>
      </c>
      <c r="B230" s="105" t="s">
        <v>158</v>
      </c>
      <c r="C230" s="141" t="s">
        <v>91</v>
      </c>
      <c r="D230" s="946">
        <v>3987.37</v>
      </c>
      <c r="E230" s="142" t="e">
        <f>#REF!*D230</f>
        <v>#REF!</v>
      </c>
      <c r="F230" s="140"/>
      <c r="G230" s="195"/>
      <c r="H230" s="122"/>
      <c r="J230" s="141" t="s">
        <v>1569</v>
      </c>
    </row>
    <row r="231" spans="1:10" s="120" customFormat="1" ht="30" hidden="1" customHeight="1">
      <c r="A231" s="919" t="s">
        <v>382</v>
      </c>
      <c r="B231" s="105" t="s">
        <v>158</v>
      </c>
      <c r="C231" s="141" t="s">
        <v>383</v>
      </c>
      <c r="D231" s="946">
        <v>5000</v>
      </c>
      <c r="E231" s="142" t="e">
        <f>#REF!*D231</f>
        <v>#REF!</v>
      </c>
      <c r="F231" s="140"/>
      <c r="G231" s="195"/>
      <c r="H231" s="122"/>
      <c r="J231" s="141" t="s">
        <v>383</v>
      </c>
    </row>
    <row r="232" spans="1:10" s="120" customFormat="1" ht="30" hidden="1" customHeight="1">
      <c r="A232" s="919" t="s">
        <v>384</v>
      </c>
      <c r="B232" s="105" t="s">
        <v>158</v>
      </c>
      <c r="C232" s="141" t="s">
        <v>385</v>
      </c>
      <c r="D232" s="946">
        <v>3300.19</v>
      </c>
      <c r="E232" s="139"/>
      <c r="F232" s="140"/>
      <c r="G232" s="195"/>
      <c r="H232" s="122"/>
      <c r="J232" s="141" t="s">
        <v>385</v>
      </c>
    </row>
    <row r="233" spans="1:10" s="120" customFormat="1" ht="30" hidden="1" customHeight="1">
      <c r="A233" s="919" t="s">
        <v>386</v>
      </c>
      <c r="B233" s="105" t="s">
        <v>158</v>
      </c>
      <c r="C233" s="141" t="s">
        <v>387</v>
      </c>
      <c r="D233" s="946">
        <v>32469.5</v>
      </c>
      <c r="E233" s="142" t="e">
        <f>#REF!*D233</f>
        <v>#REF!</v>
      </c>
      <c r="F233" s="140"/>
      <c r="G233" s="195"/>
      <c r="H233" s="122"/>
      <c r="J233" s="141" t="s">
        <v>387</v>
      </c>
    </row>
    <row r="234" spans="1:10" s="120" customFormat="1" ht="54" hidden="1" customHeight="1">
      <c r="A234" s="919" t="s">
        <v>372</v>
      </c>
      <c r="B234" s="105" t="s">
        <v>147</v>
      </c>
      <c r="C234" s="141" t="s">
        <v>412</v>
      </c>
      <c r="D234" s="946">
        <v>4737.7700000000004</v>
      </c>
      <c r="E234" s="142" t="e">
        <f>#REF!*D234</f>
        <v>#REF!</v>
      </c>
      <c r="F234" s="140"/>
      <c r="G234" s="195"/>
      <c r="H234" s="122"/>
      <c r="J234" s="141" t="s">
        <v>412</v>
      </c>
    </row>
    <row r="235" spans="1:10" s="120" customFormat="1" ht="20.45" hidden="1" customHeight="1">
      <c r="A235" s="919" t="s">
        <v>373</v>
      </c>
      <c r="B235" s="105" t="s">
        <v>147</v>
      </c>
      <c r="C235" s="141" t="s">
        <v>169</v>
      </c>
      <c r="D235" s="945">
        <v>17.100000000000001</v>
      </c>
      <c r="E235" s="142" t="e">
        <f>#REF!*D235</f>
        <v>#REF!</v>
      </c>
      <c r="F235" s="140"/>
      <c r="G235" s="195"/>
      <c r="H235" s="122"/>
      <c r="J235" s="141" t="s">
        <v>169</v>
      </c>
    </row>
    <row r="236" spans="1:10" s="120" customFormat="1" ht="20.45" hidden="1" customHeight="1">
      <c r="A236" s="919" t="s">
        <v>374</v>
      </c>
      <c r="B236" s="105" t="s">
        <v>147</v>
      </c>
      <c r="C236" s="141" t="s">
        <v>92</v>
      </c>
      <c r="D236" s="945">
        <v>24.43</v>
      </c>
      <c r="E236" s="139"/>
      <c r="F236" s="140"/>
      <c r="G236" s="195"/>
      <c r="H236" s="122"/>
      <c r="J236" s="141" t="s">
        <v>92</v>
      </c>
    </row>
    <row r="237" spans="1:10" s="120" customFormat="1" ht="20.45" hidden="1" customHeight="1">
      <c r="A237" s="919"/>
      <c r="B237" s="105"/>
      <c r="C237" s="112" t="s">
        <v>375</v>
      </c>
      <c r="D237" s="947"/>
      <c r="E237" s="144" t="e">
        <f>SUM(E226:E236)</f>
        <v>#REF!</v>
      </c>
      <c r="F237" s="140"/>
      <c r="G237" s="195"/>
      <c r="H237" s="122"/>
      <c r="J237" s="112" t="s">
        <v>375</v>
      </c>
    </row>
    <row r="238" spans="1:10" s="120" customFormat="1" ht="20.45" hidden="1" customHeight="1">
      <c r="A238" s="919"/>
      <c r="B238" s="105"/>
      <c r="C238" s="145" t="s">
        <v>376</v>
      </c>
      <c r="D238" s="945"/>
      <c r="E238" s="139"/>
      <c r="F238" s="140"/>
      <c r="G238" s="195"/>
      <c r="H238" s="122"/>
      <c r="J238" s="145" t="s">
        <v>376</v>
      </c>
    </row>
    <row r="239" spans="1:10" s="120" customFormat="1" ht="20.45" customHeight="1">
      <c r="A239" s="919"/>
      <c r="B239" s="105"/>
      <c r="C239" s="145"/>
      <c r="D239" s="945"/>
      <c r="E239" s="139"/>
      <c r="F239" s="140"/>
      <c r="G239" s="195"/>
      <c r="H239" s="122"/>
      <c r="J239" s="145"/>
    </row>
    <row r="240" spans="1:10" s="120" customFormat="1" ht="30" customHeight="1">
      <c r="A240" s="919"/>
      <c r="B240" s="105"/>
      <c r="C240" s="145" t="s">
        <v>377</v>
      </c>
      <c r="D240" s="945"/>
      <c r="E240" s="139"/>
      <c r="F240" s="140"/>
      <c r="G240" s="195"/>
      <c r="H240" s="122"/>
      <c r="J240" s="145" t="s">
        <v>1487</v>
      </c>
    </row>
    <row r="241" spans="1:10" s="120" customFormat="1" ht="20.45" customHeight="1">
      <c r="A241" s="948"/>
      <c r="B241" s="101"/>
      <c r="C241" s="107"/>
      <c r="D241" s="916"/>
      <c r="E241" s="2"/>
      <c r="F241" s="98"/>
      <c r="G241" s="193"/>
      <c r="H241" s="122"/>
      <c r="J241" s="107"/>
    </row>
    <row r="242" spans="1:10" s="120" customFormat="1" ht="30" customHeight="1">
      <c r="A242" s="949"/>
      <c r="B242" s="104"/>
      <c r="C242" s="107" t="s">
        <v>378</v>
      </c>
      <c r="D242" s="916"/>
      <c r="E242" s="2"/>
      <c r="F242" s="98"/>
      <c r="G242" s="193"/>
      <c r="H242" s="122"/>
      <c r="J242" s="107" t="s">
        <v>1488</v>
      </c>
    </row>
    <row r="243" spans="1:10" s="120" customFormat="1" ht="20.45" customHeight="1">
      <c r="A243" s="919" t="s">
        <v>379</v>
      </c>
      <c r="B243" s="105" t="s">
        <v>171</v>
      </c>
      <c r="C243" s="42" t="s">
        <v>93</v>
      </c>
      <c r="D243" s="916"/>
      <c r="E243" s="86"/>
      <c r="F243" s="87"/>
      <c r="G243" s="186"/>
      <c r="H243" s="122"/>
      <c r="J243" s="42" t="s">
        <v>1489</v>
      </c>
    </row>
    <row r="244" spans="1:10" s="120" customFormat="1" ht="20.45" customHeight="1">
      <c r="A244" s="919" t="s">
        <v>0</v>
      </c>
      <c r="B244" s="82" t="s">
        <v>147</v>
      </c>
      <c r="C244" s="42" t="s">
        <v>1175</v>
      </c>
      <c r="D244" s="916">
        <v>12.58</v>
      </c>
      <c r="E244" s="86">
        <f t="shared" ref="E244:E266" si="36">+G244*D244</f>
        <v>0</v>
      </c>
      <c r="F244" s="87" t="s">
        <v>618</v>
      </c>
      <c r="G244" s="186">
        <f>+Rebusca_t1(F244)</f>
        <v>0</v>
      </c>
      <c r="H244" s="122"/>
      <c r="J244" s="42" t="s">
        <v>1490</v>
      </c>
    </row>
    <row r="245" spans="1:10" s="120" customFormat="1" ht="20.45" customHeight="1">
      <c r="A245" s="937" t="s">
        <v>1173</v>
      </c>
      <c r="B245" s="113" t="s">
        <v>147</v>
      </c>
      <c r="C245" s="114" t="s">
        <v>1176</v>
      </c>
      <c r="D245" s="950"/>
      <c r="E245" s="86">
        <f t="shared" si="36"/>
        <v>0</v>
      </c>
      <c r="F245" s="147" t="s">
        <v>619</v>
      </c>
      <c r="G245" s="190">
        <f t="shared" ref="G245:G246" si="37">+Rebusca_t1(F245)</f>
        <v>0</v>
      </c>
      <c r="H245" s="122"/>
      <c r="J245" s="114" t="s">
        <v>1357</v>
      </c>
    </row>
    <row r="246" spans="1:10" s="120" customFormat="1" ht="20.45" customHeight="1">
      <c r="A246" s="937" t="s">
        <v>1174</v>
      </c>
      <c r="B246" s="113" t="s">
        <v>147</v>
      </c>
      <c r="C246" s="114" t="s">
        <v>1177</v>
      </c>
      <c r="D246" s="950"/>
      <c r="E246" s="86">
        <f t="shared" si="36"/>
        <v>0</v>
      </c>
      <c r="F246" s="147" t="s">
        <v>620</v>
      </c>
      <c r="G246" s="190">
        <f t="shared" si="37"/>
        <v>0</v>
      </c>
      <c r="H246" s="122"/>
      <c r="J246" s="114" t="s">
        <v>1355</v>
      </c>
    </row>
    <row r="247" spans="1:10" s="120" customFormat="1" ht="20.45" customHeight="1">
      <c r="A247" s="919" t="s">
        <v>1</v>
      </c>
      <c r="B247" s="99" t="s">
        <v>147</v>
      </c>
      <c r="C247" s="109" t="s">
        <v>94</v>
      </c>
      <c r="D247" s="942">
        <v>20.260000000000002</v>
      </c>
      <c r="E247" s="86">
        <f t="shared" si="36"/>
        <v>0</v>
      </c>
      <c r="F247" s="87" t="s">
        <v>783</v>
      </c>
      <c r="G247" s="186">
        <f t="shared" ref="G247:G262" si="38">+Rebusca_t1(F247)</f>
        <v>0</v>
      </c>
      <c r="H247" s="122"/>
      <c r="J247" s="109" t="s">
        <v>1360</v>
      </c>
    </row>
    <row r="248" spans="1:10" s="120" customFormat="1" ht="20.45" customHeight="1">
      <c r="A248" s="919" t="s">
        <v>2</v>
      </c>
      <c r="B248" s="82" t="s">
        <v>147</v>
      </c>
      <c r="C248" s="42" t="s">
        <v>95</v>
      </c>
      <c r="D248" s="916">
        <v>76.650000000000006</v>
      </c>
      <c r="E248" s="86">
        <f t="shared" si="36"/>
        <v>0</v>
      </c>
      <c r="F248" s="87" t="s">
        <v>622</v>
      </c>
      <c r="G248" s="186">
        <f t="shared" si="38"/>
        <v>0</v>
      </c>
      <c r="H248" s="122"/>
      <c r="J248" s="42" t="s">
        <v>1361</v>
      </c>
    </row>
    <row r="249" spans="1:10" s="120" customFormat="1" ht="20.45" customHeight="1">
      <c r="A249" s="919" t="s">
        <v>429</v>
      </c>
      <c r="B249" s="82" t="s">
        <v>147</v>
      </c>
      <c r="C249" s="42" t="s">
        <v>430</v>
      </c>
      <c r="D249" s="916">
        <v>51.06</v>
      </c>
      <c r="E249" s="86">
        <f t="shared" si="36"/>
        <v>0</v>
      </c>
      <c r="F249" s="87" t="s">
        <v>623</v>
      </c>
      <c r="G249" s="186">
        <f t="shared" si="38"/>
        <v>0</v>
      </c>
      <c r="H249" s="122"/>
      <c r="J249" s="42" t="s">
        <v>1362</v>
      </c>
    </row>
    <row r="250" spans="1:10" s="120" customFormat="1" ht="30" customHeight="1">
      <c r="A250" s="919" t="s">
        <v>3</v>
      </c>
      <c r="B250" s="99" t="s">
        <v>147</v>
      </c>
      <c r="C250" s="109" t="s">
        <v>96</v>
      </c>
      <c r="D250" s="951">
        <v>1794.9</v>
      </c>
      <c r="E250" s="86">
        <f t="shared" si="36"/>
        <v>0</v>
      </c>
      <c r="F250" s="87" t="s">
        <v>625</v>
      </c>
      <c r="G250" s="186">
        <f t="shared" si="38"/>
        <v>0</v>
      </c>
      <c r="H250" s="122"/>
      <c r="J250" s="109" t="s">
        <v>1365</v>
      </c>
    </row>
    <row r="251" spans="1:10" s="120" customFormat="1" ht="30" customHeight="1">
      <c r="A251" s="919" t="s">
        <v>4</v>
      </c>
      <c r="B251" s="82" t="s">
        <v>147</v>
      </c>
      <c r="C251" s="42" t="s">
        <v>172</v>
      </c>
      <c r="D251" s="922">
        <v>2786.17</v>
      </c>
      <c r="E251" s="86">
        <f t="shared" si="36"/>
        <v>0</v>
      </c>
      <c r="F251" s="87" t="s">
        <v>632</v>
      </c>
      <c r="G251" s="186">
        <f>+Rebusca_t1(F251)</f>
        <v>0</v>
      </c>
      <c r="H251" s="122"/>
      <c r="J251" s="42" t="s">
        <v>1670</v>
      </c>
    </row>
    <row r="252" spans="1:10" s="120" customFormat="1" ht="32.450000000000003" customHeight="1">
      <c r="A252" s="937" t="s">
        <v>1178</v>
      </c>
      <c r="B252" s="113" t="s">
        <v>147</v>
      </c>
      <c r="C252" s="116" t="s">
        <v>1180</v>
      </c>
      <c r="D252" s="922"/>
      <c r="E252" s="86">
        <f t="shared" si="36"/>
        <v>0</v>
      </c>
      <c r="F252" s="960" t="s">
        <v>699</v>
      </c>
      <c r="G252" s="190"/>
      <c r="H252" s="122"/>
      <c r="J252" s="116" t="s">
        <v>1671</v>
      </c>
    </row>
    <row r="253" spans="1:10" s="120" customFormat="1" ht="20.45" customHeight="1">
      <c r="A253" s="937" t="s">
        <v>1179</v>
      </c>
      <c r="B253" s="113" t="s">
        <v>147</v>
      </c>
      <c r="C253" s="116" t="s">
        <v>791</v>
      </c>
      <c r="D253" s="922"/>
      <c r="E253" s="86">
        <f t="shared" si="36"/>
        <v>0</v>
      </c>
      <c r="F253" s="136" t="s">
        <v>795</v>
      </c>
      <c r="G253" s="190">
        <f t="shared" si="38"/>
        <v>0</v>
      </c>
      <c r="H253" s="122"/>
      <c r="J253" s="116" t="s">
        <v>1672</v>
      </c>
    </row>
    <row r="254" spans="1:10" s="120" customFormat="1" ht="45.6" customHeight="1">
      <c r="A254" s="970" t="s">
        <v>1669</v>
      </c>
      <c r="B254" s="113" t="s">
        <v>147</v>
      </c>
      <c r="C254" s="116" t="s">
        <v>2945</v>
      </c>
      <c r="D254" s="922"/>
      <c r="E254" s="86">
        <f t="shared" si="36"/>
        <v>0</v>
      </c>
      <c r="F254" s="136" t="s">
        <v>2941</v>
      </c>
      <c r="G254" s="190">
        <f t="shared" si="38"/>
        <v>0</v>
      </c>
      <c r="H254" s="122"/>
      <c r="J254" s="116" t="s">
        <v>2948</v>
      </c>
    </row>
    <row r="255" spans="1:10" s="120" customFormat="1" ht="45.6" customHeight="1">
      <c r="A255" s="970" t="s">
        <v>2946</v>
      </c>
      <c r="B255" s="113" t="s">
        <v>147</v>
      </c>
      <c r="C255" s="116" t="s">
        <v>2947</v>
      </c>
      <c r="D255" s="922"/>
      <c r="E255" s="86">
        <f t="shared" si="36"/>
        <v>0</v>
      </c>
      <c r="F255" s="136" t="s">
        <v>2944</v>
      </c>
      <c r="G255" s="190">
        <f t="shared" si="38"/>
        <v>0</v>
      </c>
      <c r="H255" s="122"/>
      <c r="J255" s="116" t="s">
        <v>1673</v>
      </c>
    </row>
    <row r="256" spans="1:10" s="120" customFormat="1" ht="45.6" customHeight="1">
      <c r="A256" s="1013" t="s">
        <v>3116</v>
      </c>
      <c r="B256" s="113" t="s">
        <v>147</v>
      </c>
      <c r="C256" s="116" t="s">
        <v>3117</v>
      </c>
      <c r="D256" s="922"/>
      <c r="E256" s="86"/>
      <c r="F256" s="136" t="s">
        <v>3113</v>
      </c>
      <c r="G256" s="190">
        <f t="shared" si="38"/>
        <v>5</v>
      </c>
      <c r="H256" s="122"/>
      <c r="J256" s="116" t="s">
        <v>3118</v>
      </c>
    </row>
    <row r="257" spans="1:10" s="120" customFormat="1" ht="30" customHeight="1">
      <c r="A257" s="1014" t="s">
        <v>3126</v>
      </c>
      <c r="B257" s="113" t="s">
        <v>147</v>
      </c>
      <c r="C257" s="116" t="s">
        <v>3124</v>
      </c>
      <c r="D257" s="922">
        <v>5118.66</v>
      </c>
      <c r="E257" s="86">
        <f t="shared" si="36"/>
        <v>0</v>
      </c>
      <c r="F257" s="136" t="s">
        <v>635</v>
      </c>
      <c r="G257" s="190">
        <f t="shared" si="38"/>
        <v>0</v>
      </c>
      <c r="H257" s="122"/>
      <c r="J257" s="116" t="s">
        <v>3125</v>
      </c>
    </row>
    <row r="258" spans="1:10" s="120" customFormat="1" ht="32.450000000000003" customHeight="1">
      <c r="A258" s="1013" t="s">
        <v>5</v>
      </c>
      <c r="B258" s="113" t="s">
        <v>147</v>
      </c>
      <c r="C258" s="116" t="s">
        <v>3120</v>
      </c>
      <c r="D258" s="922"/>
      <c r="E258" s="86"/>
      <c r="F258" s="136" t="s">
        <v>3114</v>
      </c>
      <c r="G258" s="190">
        <f>+Rebusca_t1(F258)</f>
        <v>2</v>
      </c>
      <c r="H258" s="122"/>
      <c r="J258" s="116" t="s">
        <v>3122</v>
      </c>
    </row>
    <row r="259" spans="1:10" s="120" customFormat="1" ht="32.450000000000003" customHeight="1">
      <c r="A259" s="959" t="s">
        <v>2938</v>
      </c>
      <c r="B259" s="113" t="s">
        <v>147</v>
      </c>
      <c r="C259" s="116" t="s">
        <v>2939</v>
      </c>
      <c r="D259" s="922"/>
      <c r="E259" s="86">
        <f>+G259*D259</f>
        <v>0</v>
      </c>
      <c r="F259" s="136" t="s">
        <v>637</v>
      </c>
      <c r="G259" s="190">
        <f>+Rebusca_t1(F259)</f>
        <v>0</v>
      </c>
      <c r="H259" s="122"/>
      <c r="J259" s="116" t="s">
        <v>2940</v>
      </c>
    </row>
    <row r="260" spans="1:10" s="120" customFormat="1" ht="32.450000000000003" customHeight="1">
      <c r="A260" s="1013" t="s">
        <v>3119</v>
      </c>
      <c r="B260" s="113" t="s">
        <v>147</v>
      </c>
      <c r="C260" s="116" t="s">
        <v>3121</v>
      </c>
      <c r="D260" s="922"/>
      <c r="E260" s="86"/>
      <c r="F260" s="136" t="s">
        <v>3129</v>
      </c>
      <c r="G260" s="190">
        <f t="shared" ref="G260" si="39">+Rebusca_t1(F260)</f>
        <v>0</v>
      </c>
      <c r="H260" s="122"/>
      <c r="J260" s="116" t="s">
        <v>3123</v>
      </c>
    </row>
    <row r="261" spans="1:10" s="120" customFormat="1" ht="30" customHeight="1">
      <c r="A261" s="919" t="s">
        <v>6</v>
      </c>
      <c r="B261" s="82" t="s">
        <v>147</v>
      </c>
      <c r="C261" s="42" t="s">
        <v>97</v>
      </c>
      <c r="D261" s="922">
        <v>3000</v>
      </c>
      <c r="E261" s="86">
        <f t="shared" si="36"/>
        <v>0</v>
      </c>
      <c r="F261" s="87" t="s">
        <v>636</v>
      </c>
      <c r="G261" s="186">
        <f t="shared" si="38"/>
        <v>0</v>
      </c>
      <c r="H261" s="122"/>
      <c r="J261" s="42" t="s">
        <v>1674</v>
      </c>
    </row>
    <row r="262" spans="1:10" s="120" customFormat="1" ht="30" customHeight="1">
      <c r="A262" s="919" t="s">
        <v>388</v>
      </c>
      <c r="B262" s="82" t="s">
        <v>147</v>
      </c>
      <c r="C262" s="42" t="s">
        <v>1195</v>
      </c>
      <c r="D262" s="922"/>
      <c r="E262" s="86">
        <f t="shared" si="36"/>
        <v>0</v>
      </c>
      <c r="F262" s="87" t="s">
        <v>797</v>
      </c>
      <c r="G262" s="186">
        <f t="shared" si="38"/>
        <v>0</v>
      </c>
      <c r="H262" s="122"/>
      <c r="J262" s="42" t="s">
        <v>1584</v>
      </c>
    </row>
    <row r="263" spans="1:10" s="120" customFormat="1" ht="30" customHeight="1">
      <c r="A263" s="919" t="s">
        <v>389</v>
      </c>
      <c r="B263" s="82" t="s">
        <v>147</v>
      </c>
      <c r="C263" s="42" t="s">
        <v>1586</v>
      </c>
      <c r="D263" s="922"/>
      <c r="E263" s="86">
        <f t="shared" si="36"/>
        <v>0</v>
      </c>
      <c r="F263" s="87" t="s">
        <v>802</v>
      </c>
      <c r="G263" s="186">
        <f>+Rebusca_t1("C-633")</f>
        <v>0</v>
      </c>
      <c r="H263" s="122"/>
      <c r="J263" s="42" t="s">
        <v>1585</v>
      </c>
    </row>
    <row r="264" spans="1:10" s="120" customFormat="1" ht="20.45" customHeight="1">
      <c r="A264" s="919" t="s">
        <v>390</v>
      </c>
      <c r="B264" s="82" t="s">
        <v>147</v>
      </c>
      <c r="C264" s="42" t="s">
        <v>1196</v>
      </c>
      <c r="D264" s="922"/>
      <c r="E264" s="86">
        <f t="shared" si="36"/>
        <v>0</v>
      </c>
      <c r="F264" s="87" t="s">
        <v>799</v>
      </c>
      <c r="G264" s="186">
        <f>+Rebusca_t1(F264)</f>
        <v>0</v>
      </c>
      <c r="H264" s="122"/>
      <c r="J264" s="42" t="s">
        <v>1587</v>
      </c>
    </row>
    <row r="265" spans="1:10" s="120" customFormat="1" ht="20.45" customHeight="1">
      <c r="A265" s="952" t="s">
        <v>1181</v>
      </c>
      <c r="B265" s="113" t="s">
        <v>147</v>
      </c>
      <c r="C265" s="114" t="s">
        <v>1197</v>
      </c>
      <c r="D265" s="922"/>
      <c r="E265" s="86">
        <f t="shared" si="36"/>
        <v>0</v>
      </c>
      <c r="F265" s="136" t="s">
        <v>805</v>
      </c>
      <c r="G265" s="190">
        <f t="shared" ref="G265:G269" si="40">+Rebusca_t1(F265)</f>
        <v>0</v>
      </c>
      <c r="H265" s="122"/>
      <c r="J265" s="114" t="s">
        <v>1588</v>
      </c>
    </row>
    <row r="266" spans="1:10" s="120" customFormat="1" ht="30" customHeight="1">
      <c r="A266" s="919" t="s">
        <v>7</v>
      </c>
      <c r="B266" s="82" t="s">
        <v>150</v>
      </c>
      <c r="C266" s="42" t="s">
        <v>98</v>
      </c>
      <c r="D266" s="916">
        <v>3.05</v>
      </c>
      <c r="E266" s="86">
        <f t="shared" si="36"/>
        <v>0</v>
      </c>
      <c r="F266" s="138"/>
      <c r="G266" s="193"/>
      <c r="H266" s="122"/>
      <c r="J266" s="42" t="s">
        <v>1491</v>
      </c>
    </row>
    <row r="267" spans="1:10" s="120" customFormat="1" ht="21" customHeight="1">
      <c r="A267" s="913" t="s">
        <v>433</v>
      </c>
      <c r="B267" s="82" t="s">
        <v>434</v>
      </c>
      <c r="C267" s="42" t="s">
        <v>435</v>
      </c>
      <c r="D267" s="938"/>
      <c r="E267" s="88"/>
      <c r="F267" s="87" t="s">
        <v>819</v>
      </c>
      <c r="G267" s="186">
        <f t="shared" si="40"/>
        <v>0</v>
      </c>
      <c r="H267" s="122"/>
      <c r="J267" s="42" t="s">
        <v>1492</v>
      </c>
    </row>
    <row r="268" spans="1:10" s="120" customFormat="1" ht="21" customHeight="1">
      <c r="A268" s="913" t="s">
        <v>3096</v>
      </c>
      <c r="B268" s="82" t="s">
        <v>434</v>
      </c>
      <c r="C268" s="42" t="s">
        <v>3097</v>
      </c>
      <c r="D268" s="938"/>
      <c r="E268" s="88"/>
      <c r="F268" s="138"/>
      <c r="G268" s="189"/>
      <c r="H268" s="122"/>
      <c r="J268" s="42" t="s">
        <v>3099</v>
      </c>
    </row>
    <row r="269" spans="1:10" s="120" customFormat="1" ht="21" customHeight="1" thickBot="1">
      <c r="A269" s="913" t="s">
        <v>3098</v>
      </c>
      <c r="B269" s="82" t="s">
        <v>434</v>
      </c>
      <c r="C269" s="42" t="s">
        <v>3010</v>
      </c>
      <c r="D269" s="938"/>
      <c r="E269" s="88"/>
      <c r="F269" s="87" t="s">
        <v>3095</v>
      </c>
      <c r="G269" s="186">
        <f t="shared" si="40"/>
        <v>0</v>
      </c>
      <c r="H269" s="122"/>
      <c r="J269" s="42" t="s">
        <v>3100</v>
      </c>
    </row>
    <row r="270" spans="1:10" s="120" customFormat="1" ht="21" customHeight="1" thickBot="1">
      <c r="A270" s="913"/>
      <c r="B270" s="82"/>
      <c r="C270" s="107" t="s">
        <v>8</v>
      </c>
      <c r="D270" s="938"/>
      <c r="E270" s="96">
        <f>SUM(E244:E266)</f>
        <v>0</v>
      </c>
      <c r="F270" s="98"/>
      <c r="G270" s="193"/>
      <c r="H270" s="122"/>
      <c r="J270" s="107" t="s">
        <v>1493</v>
      </c>
    </row>
    <row r="271" spans="1:10" s="120" customFormat="1" ht="20.45" hidden="1" customHeight="1">
      <c r="A271" s="913"/>
      <c r="B271" s="82"/>
      <c r="C271" s="81"/>
      <c r="D271" s="916"/>
      <c r="E271" s="2"/>
      <c r="F271" s="98"/>
      <c r="G271" s="193"/>
      <c r="H271" s="122"/>
      <c r="J271" s="81"/>
    </row>
    <row r="272" spans="1:10" s="120" customFormat="1" ht="30" hidden="1" customHeight="1">
      <c r="A272" s="913"/>
      <c r="B272" s="82"/>
      <c r="C272" s="107" t="s">
        <v>9</v>
      </c>
      <c r="D272" s="916"/>
      <c r="E272" s="2"/>
      <c r="F272" s="98"/>
      <c r="G272" s="193"/>
      <c r="H272" s="122"/>
      <c r="J272" s="107" t="s">
        <v>9</v>
      </c>
    </row>
    <row r="273" spans="1:10" s="120" customFormat="1" ht="30" hidden="1" customHeight="1">
      <c r="A273" s="913" t="s">
        <v>391</v>
      </c>
      <c r="B273" s="82" t="s">
        <v>171</v>
      </c>
      <c r="C273" s="42" t="s">
        <v>392</v>
      </c>
      <c r="D273" s="916">
        <v>4.8899999999999997</v>
      </c>
      <c r="E273" s="86" t="e">
        <f>#REF!*D273</f>
        <v>#REF!</v>
      </c>
      <c r="F273" s="98"/>
      <c r="G273" s="193"/>
      <c r="H273" s="122"/>
      <c r="J273" s="42" t="s">
        <v>392</v>
      </c>
    </row>
    <row r="274" spans="1:10" s="120" customFormat="1" ht="30" hidden="1" customHeight="1">
      <c r="A274" s="913" t="s">
        <v>393</v>
      </c>
      <c r="B274" s="82" t="s">
        <v>171</v>
      </c>
      <c r="C274" s="42" t="s">
        <v>394</v>
      </c>
      <c r="D274" s="916"/>
      <c r="E274" s="86"/>
      <c r="F274" s="98"/>
      <c r="G274" s="193"/>
      <c r="H274" s="122"/>
      <c r="J274" s="42" t="s">
        <v>394</v>
      </c>
    </row>
    <row r="275" spans="1:10" s="120" customFormat="1" ht="20.45" hidden="1" customHeight="1">
      <c r="A275" s="913" t="s">
        <v>10</v>
      </c>
      <c r="B275" s="82" t="s">
        <v>147</v>
      </c>
      <c r="C275" s="42" t="s">
        <v>99</v>
      </c>
      <c r="D275" s="916">
        <v>179.12</v>
      </c>
      <c r="E275" s="86" t="e">
        <f>#REF!*D275</f>
        <v>#REF!</v>
      </c>
      <c r="F275" s="98"/>
      <c r="G275" s="193"/>
      <c r="H275" s="122"/>
      <c r="J275" s="42" t="s">
        <v>99</v>
      </c>
    </row>
    <row r="276" spans="1:10" s="120" customFormat="1" ht="30" hidden="1" customHeight="1">
      <c r="A276" s="913" t="s">
        <v>11</v>
      </c>
      <c r="B276" s="82" t="s">
        <v>147</v>
      </c>
      <c r="C276" s="42" t="s">
        <v>173</v>
      </c>
      <c r="D276" s="916">
        <v>210.9</v>
      </c>
      <c r="E276" s="86" t="e">
        <f>#REF!*D276</f>
        <v>#REF!</v>
      </c>
      <c r="F276" s="98"/>
      <c r="G276" s="193"/>
      <c r="H276" s="122"/>
      <c r="J276" s="42" t="s">
        <v>173</v>
      </c>
    </row>
    <row r="277" spans="1:10" s="120" customFormat="1" ht="20.45" hidden="1" customHeight="1">
      <c r="A277" s="913" t="s">
        <v>12</v>
      </c>
      <c r="B277" s="82" t="s">
        <v>147</v>
      </c>
      <c r="C277" s="42" t="s">
        <v>174</v>
      </c>
      <c r="D277" s="916">
        <v>949.06</v>
      </c>
      <c r="E277" s="86" t="e">
        <f>#REF!*D277</f>
        <v>#REF!</v>
      </c>
      <c r="F277" s="98"/>
      <c r="G277" s="193"/>
      <c r="H277" s="122"/>
      <c r="J277" s="42" t="s">
        <v>174</v>
      </c>
    </row>
    <row r="278" spans="1:10" s="120" customFormat="1" ht="20.45" hidden="1" customHeight="1">
      <c r="A278" s="913" t="s">
        <v>13</v>
      </c>
      <c r="B278" s="82" t="s">
        <v>147</v>
      </c>
      <c r="C278" s="42" t="s">
        <v>175</v>
      </c>
      <c r="D278" s="922">
        <v>1265.4100000000001</v>
      </c>
      <c r="E278" s="86" t="e">
        <f>#REF!*D278</f>
        <v>#REF!</v>
      </c>
      <c r="F278" s="98"/>
      <c r="G278" s="193"/>
      <c r="H278" s="122"/>
      <c r="J278" s="42" t="s">
        <v>175</v>
      </c>
    </row>
    <row r="279" spans="1:10" s="120" customFormat="1" ht="30" hidden="1" customHeight="1">
      <c r="A279" s="913" t="s">
        <v>395</v>
      </c>
      <c r="B279" s="82" t="s">
        <v>147</v>
      </c>
      <c r="C279" s="42" t="s">
        <v>431</v>
      </c>
      <c r="D279" s="922">
        <v>20000</v>
      </c>
      <c r="E279" s="86" t="e">
        <f>#REF!*D279</f>
        <v>#REF!</v>
      </c>
      <c r="F279" s="98"/>
      <c r="G279" s="193"/>
      <c r="H279" s="122"/>
      <c r="J279" s="42" t="s">
        <v>1570</v>
      </c>
    </row>
    <row r="280" spans="1:10" s="120" customFormat="1" ht="30" hidden="1" customHeight="1">
      <c r="A280" s="913" t="s">
        <v>396</v>
      </c>
      <c r="B280" s="82" t="s">
        <v>147</v>
      </c>
      <c r="C280" s="42" t="s">
        <v>432</v>
      </c>
      <c r="D280" s="922"/>
      <c r="E280" s="95"/>
      <c r="F280" s="98"/>
      <c r="G280" s="193"/>
      <c r="H280" s="122"/>
      <c r="J280" s="42" t="s">
        <v>1571</v>
      </c>
    </row>
    <row r="281" spans="1:10" s="120" customFormat="1" ht="30" hidden="1" customHeight="1">
      <c r="A281" s="913" t="s">
        <v>397</v>
      </c>
      <c r="B281" s="82" t="s">
        <v>147</v>
      </c>
      <c r="C281" s="42" t="s">
        <v>438</v>
      </c>
      <c r="D281" s="922"/>
      <c r="E281" s="95"/>
      <c r="F281" s="98"/>
      <c r="G281" s="193"/>
      <c r="H281" s="122"/>
      <c r="J281" s="42" t="s">
        <v>438</v>
      </c>
    </row>
    <row r="282" spans="1:10" s="120" customFormat="1" ht="42" hidden="1" customHeight="1">
      <c r="A282" s="913" t="s">
        <v>14</v>
      </c>
      <c r="B282" s="82" t="s">
        <v>150</v>
      </c>
      <c r="C282" s="42" t="s">
        <v>100</v>
      </c>
      <c r="D282" s="916">
        <v>4.53</v>
      </c>
      <c r="E282" s="95" t="e">
        <f>#REF!*D282</f>
        <v>#REF!</v>
      </c>
      <c r="F282" s="98"/>
      <c r="G282" s="193"/>
      <c r="H282" s="122"/>
      <c r="J282" s="42" t="s">
        <v>100</v>
      </c>
    </row>
    <row r="283" spans="1:10" s="120" customFormat="1" ht="21" hidden="1" customHeight="1" thickBot="1">
      <c r="A283" s="913" t="s">
        <v>436</v>
      </c>
      <c r="B283" s="82" t="s">
        <v>434</v>
      </c>
      <c r="C283" s="42" t="s">
        <v>437</v>
      </c>
      <c r="D283" s="938"/>
      <c r="E283" s="88"/>
      <c r="F283" s="98"/>
      <c r="G283" s="193"/>
      <c r="H283" s="122"/>
      <c r="J283" s="42" t="s">
        <v>437</v>
      </c>
    </row>
    <row r="284" spans="1:10" s="120" customFormat="1" ht="21" hidden="1" customHeight="1" thickBot="1">
      <c r="A284" s="913"/>
      <c r="B284" s="82"/>
      <c r="C284" s="107" t="s">
        <v>15</v>
      </c>
      <c r="D284" s="938"/>
      <c r="E284" s="96" t="e">
        <f>SUM(E273:E282)</f>
        <v>#REF!</v>
      </c>
      <c r="F284" s="98"/>
      <c r="G284" s="193"/>
      <c r="H284" s="122"/>
      <c r="J284" s="107" t="s">
        <v>15</v>
      </c>
    </row>
    <row r="285" spans="1:10" s="120" customFormat="1" ht="30" hidden="1" customHeight="1">
      <c r="A285" s="913"/>
      <c r="B285" s="82"/>
      <c r="C285" s="81" t="s">
        <v>16</v>
      </c>
      <c r="D285" s="916"/>
      <c r="E285" s="2"/>
      <c r="F285" s="98"/>
      <c r="G285" s="193"/>
      <c r="H285" s="122"/>
      <c r="J285" s="81" t="s">
        <v>16</v>
      </c>
    </row>
    <row r="286" spans="1:10" s="120" customFormat="1" ht="20.45" customHeight="1">
      <c r="A286" s="913"/>
      <c r="B286" s="82"/>
      <c r="C286" s="81"/>
      <c r="D286" s="916"/>
      <c r="E286" s="2"/>
      <c r="F286" s="98"/>
      <c r="G286" s="193"/>
      <c r="H286" s="122"/>
      <c r="J286" s="81"/>
    </row>
    <row r="287" spans="1:10" s="120" customFormat="1" ht="20.45" customHeight="1">
      <c r="A287" s="913"/>
      <c r="B287" s="82"/>
      <c r="C287" s="81" t="s">
        <v>17</v>
      </c>
      <c r="D287" s="916"/>
      <c r="E287" s="2"/>
      <c r="F287" s="98"/>
      <c r="G287" s="193"/>
      <c r="H287" s="122"/>
      <c r="J287" s="81" t="s">
        <v>1494</v>
      </c>
    </row>
    <row r="288" spans="1:10" s="120" customFormat="1" ht="20.45" customHeight="1">
      <c r="A288" s="913"/>
      <c r="B288" s="82"/>
      <c r="C288" s="107"/>
      <c r="D288" s="916"/>
      <c r="E288" s="2"/>
      <c r="F288" s="98"/>
      <c r="G288" s="193"/>
      <c r="H288" s="122"/>
      <c r="J288" s="107"/>
    </row>
    <row r="289" spans="1:10" s="120" customFormat="1" ht="20.45" customHeight="1">
      <c r="A289" s="913"/>
      <c r="B289" s="82"/>
      <c r="C289" s="107" t="s">
        <v>18</v>
      </c>
      <c r="D289" s="916"/>
      <c r="E289" s="2"/>
      <c r="F289" s="98"/>
      <c r="G289" s="193"/>
      <c r="H289" s="122"/>
      <c r="J289" s="107" t="s">
        <v>1495</v>
      </c>
    </row>
    <row r="290" spans="1:10" s="120" customFormat="1" ht="20.45" customHeight="1">
      <c r="A290" s="913" t="s">
        <v>19</v>
      </c>
      <c r="B290" s="99" t="s">
        <v>158</v>
      </c>
      <c r="C290" s="109" t="s">
        <v>1115</v>
      </c>
      <c r="D290" s="951">
        <v>2590.86</v>
      </c>
      <c r="E290" s="86">
        <f t="shared" ref="E290:E315" si="41">+G290*D290</f>
        <v>0</v>
      </c>
      <c r="F290" s="87" t="s">
        <v>610</v>
      </c>
      <c r="G290" s="186">
        <f t="shared" ref="G290" si="42">+Rebusca_t1(F290)</f>
        <v>0</v>
      </c>
      <c r="H290" s="122"/>
      <c r="J290" s="109" t="s">
        <v>1345</v>
      </c>
    </row>
    <row r="291" spans="1:10" s="120" customFormat="1" ht="20.45" customHeight="1">
      <c r="A291" s="913" t="s">
        <v>20</v>
      </c>
      <c r="B291" s="82" t="s">
        <v>147</v>
      </c>
      <c r="C291" s="42" t="s">
        <v>1116</v>
      </c>
      <c r="D291" s="916">
        <v>16.329999999999998</v>
      </c>
      <c r="E291" s="86">
        <f t="shared" si="41"/>
        <v>0</v>
      </c>
      <c r="F291" s="87" t="s">
        <v>840</v>
      </c>
      <c r="G291" s="186">
        <f>+Rebusca_t1("C-712")</f>
        <v>0</v>
      </c>
      <c r="H291" s="122"/>
      <c r="J291" s="42" t="s">
        <v>1572</v>
      </c>
    </row>
    <row r="292" spans="1:10" s="120" customFormat="1" ht="20.45" customHeight="1">
      <c r="A292" s="913" t="s">
        <v>21</v>
      </c>
      <c r="B292" s="82" t="s">
        <v>147</v>
      </c>
      <c r="C292" s="42" t="s">
        <v>101</v>
      </c>
      <c r="D292" s="916">
        <v>50</v>
      </c>
      <c r="E292" s="86">
        <f t="shared" si="41"/>
        <v>0</v>
      </c>
      <c r="F292" s="87" t="s">
        <v>843</v>
      </c>
      <c r="G292" s="186">
        <f t="shared" ref="G292:G305" si="43">+Rebusca_t1(F292)</f>
        <v>0</v>
      </c>
      <c r="H292" s="122"/>
      <c r="J292" s="42" t="s">
        <v>1573</v>
      </c>
    </row>
    <row r="293" spans="1:10" s="120" customFormat="1" ht="20.45" customHeight="1">
      <c r="A293" s="913" t="s">
        <v>22</v>
      </c>
      <c r="B293" s="82" t="s">
        <v>147</v>
      </c>
      <c r="C293" s="42" t="s">
        <v>176</v>
      </c>
      <c r="D293" s="916">
        <v>40.36</v>
      </c>
      <c r="E293" s="86">
        <f t="shared" si="41"/>
        <v>0</v>
      </c>
      <c r="F293" s="87" t="s">
        <v>842</v>
      </c>
      <c r="G293" s="186">
        <f t="shared" si="43"/>
        <v>0</v>
      </c>
      <c r="H293" s="122"/>
      <c r="J293" s="42" t="s">
        <v>1589</v>
      </c>
    </row>
    <row r="294" spans="1:10" s="120" customFormat="1" ht="20.45" customHeight="1">
      <c r="A294" s="913" t="s">
        <v>23</v>
      </c>
      <c r="B294" s="82" t="s">
        <v>147</v>
      </c>
      <c r="C294" s="42" t="s">
        <v>112</v>
      </c>
      <c r="D294" s="916">
        <v>81.349999999999994</v>
      </c>
      <c r="E294" s="86">
        <f t="shared" si="41"/>
        <v>0</v>
      </c>
      <c r="F294" s="87" t="s">
        <v>822</v>
      </c>
      <c r="G294" s="186">
        <f>+Rebusca_t1(F294)</f>
        <v>0</v>
      </c>
      <c r="H294" s="122"/>
      <c r="J294" s="42" t="s">
        <v>1496</v>
      </c>
    </row>
    <row r="295" spans="1:10" s="120" customFormat="1" ht="20.45" customHeight="1">
      <c r="A295" s="913" t="s">
        <v>24</v>
      </c>
      <c r="B295" s="82" t="s">
        <v>147</v>
      </c>
      <c r="C295" s="42" t="s">
        <v>113</v>
      </c>
      <c r="D295" s="916">
        <v>39.06</v>
      </c>
      <c r="E295" s="86">
        <f t="shared" si="41"/>
        <v>0</v>
      </c>
      <c r="F295" s="87" t="s">
        <v>824</v>
      </c>
      <c r="G295" s="186">
        <f t="shared" si="43"/>
        <v>0</v>
      </c>
      <c r="H295" s="122"/>
      <c r="J295" s="42" t="s">
        <v>1574</v>
      </c>
    </row>
    <row r="296" spans="1:10" s="120" customFormat="1" ht="20.45" customHeight="1">
      <c r="A296" s="913" t="s">
        <v>25</v>
      </c>
      <c r="B296" s="82" t="s">
        <v>147</v>
      </c>
      <c r="C296" s="42" t="s">
        <v>170</v>
      </c>
      <c r="D296" s="916">
        <v>29.02</v>
      </c>
      <c r="E296" s="86">
        <f t="shared" si="41"/>
        <v>0</v>
      </c>
      <c r="F296" s="87" t="s">
        <v>826</v>
      </c>
      <c r="G296" s="186">
        <f>+Rebusca_t1(F296)</f>
        <v>0</v>
      </c>
      <c r="H296" s="122"/>
      <c r="J296" s="42" t="s">
        <v>1497</v>
      </c>
    </row>
    <row r="297" spans="1:10" s="120" customFormat="1" ht="20.45" customHeight="1">
      <c r="A297" s="952" t="s">
        <v>1182</v>
      </c>
      <c r="B297" s="113" t="s">
        <v>147</v>
      </c>
      <c r="C297" s="114" t="s">
        <v>1186</v>
      </c>
      <c r="D297" s="916"/>
      <c r="E297" s="86">
        <f t="shared" si="41"/>
        <v>0</v>
      </c>
      <c r="F297" s="136" t="s">
        <v>827</v>
      </c>
      <c r="G297" s="190">
        <f t="shared" ref="G297:G300" si="44">+Rebusca_t1(F297)</f>
        <v>0</v>
      </c>
      <c r="H297" s="122"/>
      <c r="J297" s="114" t="s">
        <v>1498</v>
      </c>
    </row>
    <row r="298" spans="1:10" s="120" customFormat="1" ht="20.45" customHeight="1">
      <c r="A298" s="952" t="s">
        <v>1183</v>
      </c>
      <c r="B298" s="113" t="s">
        <v>147</v>
      </c>
      <c r="C298" s="114" t="s">
        <v>1187</v>
      </c>
      <c r="D298" s="916"/>
      <c r="E298" s="86">
        <f t="shared" si="41"/>
        <v>0</v>
      </c>
      <c r="F298" s="136" t="s">
        <v>828</v>
      </c>
      <c r="G298" s="190">
        <f t="shared" si="44"/>
        <v>0</v>
      </c>
      <c r="H298" s="122"/>
      <c r="J298" s="114" t="s">
        <v>1499</v>
      </c>
    </row>
    <row r="299" spans="1:10" s="120" customFormat="1" ht="20.45" customHeight="1">
      <c r="A299" s="952" t="s">
        <v>1184</v>
      </c>
      <c r="B299" s="113" t="s">
        <v>147</v>
      </c>
      <c r="C299" s="114" t="s">
        <v>1188</v>
      </c>
      <c r="D299" s="916"/>
      <c r="E299" s="86">
        <f t="shared" si="41"/>
        <v>0</v>
      </c>
      <c r="F299" s="136" t="s">
        <v>829</v>
      </c>
      <c r="G299" s="190">
        <f t="shared" si="44"/>
        <v>0</v>
      </c>
      <c r="H299" s="122"/>
      <c r="J299" s="114" t="s">
        <v>1500</v>
      </c>
    </row>
    <row r="300" spans="1:10" s="120" customFormat="1" ht="20.45" customHeight="1">
      <c r="A300" s="952" t="s">
        <v>1185</v>
      </c>
      <c r="B300" s="113" t="s">
        <v>147</v>
      </c>
      <c r="C300" s="114" t="s">
        <v>1189</v>
      </c>
      <c r="D300" s="916"/>
      <c r="E300" s="86">
        <f t="shared" si="41"/>
        <v>0</v>
      </c>
      <c r="F300" s="136" t="s">
        <v>830</v>
      </c>
      <c r="G300" s="190">
        <f t="shared" si="44"/>
        <v>0</v>
      </c>
      <c r="H300" s="122"/>
      <c r="J300" s="114" t="s">
        <v>1501</v>
      </c>
    </row>
    <row r="301" spans="1:10" s="120" customFormat="1" ht="20.45" customHeight="1">
      <c r="A301" s="913" t="s">
        <v>26</v>
      </c>
      <c r="B301" s="82" t="s">
        <v>147</v>
      </c>
      <c r="C301" s="42" t="s">
        <v>107</v>
      </c>
      <c r="D301" s="916">
        <v>29.02</v>
      </c>
      <c r="E301" s="86">
        <f t="shared" si="41"/>
        <v>0</v>
      </c>
      <c r="F301" s="138"/>
      <c r="G301" s="193"/>
      <c r="H301" s="122"/>
      <c r="J301" s="42" t="s">
        <v>1502</v>
      </c>
    </row>
    <row r="302" spans="1:10" s="120" customFormat="1" ht="20.45" customHeight="1">
      <c r="A302" s="913" t="s">
        <v>27</v>
      </c>
      <c r="B302" s="82" t="s">
        <v>147</v>
      </c>
      <c r="C302" s="42" t="s">
        <v>114</v>
      </c>
      <c r="D302" s="916">
        <v>139.91</v>
      </c>
      <c r="E302" s="86">
        <f t="shared" si="41"/>
        <v>0</v>
      </c>
      <c r="F302" s="87" t="s">
        <v>832</v>
      </c>
      <c r="G302" s="186">
        <f t="shared" si="43"/>
        <v>0</v>
      </c>
      <c r="H302" s="122"/>
      <c r="J302" s="42" t="s">
        <v>1503</v>
      </c>
    </row>
    <row r="303" spans="1:10" s="120" customFormat="1" ht="20.45" customHeight="1">
      <c r="A303" s="913" t="s">
        <v>28</v>
      </c>
      <c r="B303" s="82" t="s">
        <v>147</v>
      </c>
      <c r="C303" s="42" t="s">
        <v>116</v>
      </c>
      <c r="D303" s="916">
        <v>15.22</v>
      </c>
      <c r="E303" s="86">
        <f t="shared" si="41"/>
        <v>0</v>
      </c>
      <c r="F303" s="87" t="s">
        <v>833</v>
      </c>
      <c r="G303" s="186">
        <f t="shared" si="43"/>
        <v>0</v>
      </c>
      <c r="H303" s="122"/>
      <c r="J303" s="42" t="s">
        <v>1575</v>
      </c>
    </row>
    <row r="304" spans="1:10" s="120" customFormat="1" ht="20.45" customHeight="1">
      <c r="A304" s="913" t="s">
        <v>29</v>
      </c>
      <c r="B304" s="82" t="s">
        <v>147</v>
      </c>
      <c r="C304" s="42" t="s">
        <v>177</v>
      </c>
      <c r="D304" s="916">
        <v>118</v>
      </c>
      <c r="E304" s="86">
        <f t="shared" si="41"/>
        <v>0</v>
      </c>
      <c r="F304" s="87" t="s">
        <v>835</v>
      </c>
      <c r="G304" s="186">
        <f t="shared" si="43"/>
        <v>0</v>
      </c>
      <c r="H304" s="122"/>
      <c r="J304" s="42" t="s">
        <v>1504</v>
      </c>
    </row>
    <row r="305" spans="1:10" s="120" customFormat="1" ht="20.45" customHeight="1">
      <c r="A305" s="913" t="s">
        <v>30</v>
      </c>
      <c r="B305" s="82" t="s">
        <v>147</v>
      </c>
      <c r="C305" s="42" t="s">
        <v>118</v>
      </c>
      <c r="D305" s="916">
        <v>19.21</v>
      </c>
      <c r="E305" s="86">
        <f t="shared" si="41"/>
        <v>0</v>
      </c>
      <c r="F305" s="87" t="s">
        <v>836</v>
      </c>
      <c r="G305" s="186">
        <f t="shared" si="43"/>
        <v>0</v>
      </c>
      <c r="H305" s="122"/>
      <c r="J305" s="42" t="s">
        <v>1505</v>
      </c>
    </row>
    <row r="306" spans="1:10" s="120" customFormat="1" ht="20.45" customHeight="1">
      <c r="A306" s="913" t="s">
        <v>31</v>
      </c>
      <c r="B306" s="82" t="s">
        <v>147</v>
      </c>
      <c r="C306" s="42" t="s">
        <v>178</v>
      </c>
      <c r="D306" s="916">
        <v>35.29</v>
      </c>
      <c r="E306" s="86">
        <f t="shared" si="41"/>
        <v>0</v>
      </c>
      <c r="F306" s="87" t="s">
        <v>812</v>
      </c>
      <c r="G306" s="186">
        <f>+Rebusca_t1(F306)</f>
        <v>0</v>
      </c>
      <c r="H306" s="122"/>
      <c r="J306" s="42" t="s">
        <v>1576</v>
      </c>
    </row>
    <row r="307" spans="1:10" s="120" customFormat="1" ht="20.45" customHeight="1">
      <c r="A307" s="913" t="s">
        <v>32</v>
      </c>
      <c r="B307" s="82" t="s">
        <v>147</v>
      </c>
      <c r="C307" s="42" t="s">
        <v>1190</v>
      </c>
      <c r="D307" s="916">
        <v>287.72000000000003</v>
      </c>
      <c r="E307" s="86">
        <f t="shared" si="41"/>
        <v>0</v>
      </c>
      <c r="F307" s="87" t="s">
        <v>814</v>
      </c>
      <c r="G307" s="186">
        <f>+Rebusca_t1(F307)</f>
        <v>0</v>
      </c>
      <c r="H307" s="122"/>
      <c r="J307" s="42" t="s">
        <v>1506</v>
      </c>
    </row>
    <row r="308" spans="1:10" s="120" customFormat="1" ht="20.45" customHeight="1">
      <c r="A308" s="952" t="s">
        <v>1191</v>
      </c>
      <c r="B308" s="113" t="s">
        <v>147</v>
      </c>
      <c r="C308" s="114" t="s">
        <v>1192</v>
      </c>
      <c r="D308" s="916"/>
      <c r="E308" s="86">
        <f t="shared" si="41"/>
        <v>0</v>
      </c>
      <c r="F308" s="136" t="s">
        <v>816</v>
      </c>
      <c r="G308" s="190">
        <f t="shared" ref="G308:G315" si="45">+Rebusca_t1(F308)</f>
        <v>0</v>
      </c>
      <c r="H308" s="122"/>
      <c r="J308" s="114" t="s">
        <v>1507</v>
      </c>
    </row>
    <row r="309" spans="1:10" s="120" customFormat="1" ht="20.45" customHeight="1">
      <c r="A309" s="913" t="s">
        <v>1118</v>
      </c>
      <c r="B309" s="82" t="s">
        <v>147</v>
      </c>
      <c r="C309" s="42" t="s">
        <v>179</v>
      </c>
      <c r="D309" s="916">
        <v>177.35</v>
      </c>
      <c r="E309" s="86">
        <f t="shared" si="41"/>
        <v>0</v>
      </c>
      <c r="F309" s="87" t="s">
        <v>818</v>
      </c>
      <c r="G309" s="186">
        <f>+Rebusca_t1(F309)</f>
        <v>0</v>
      </c>
      <c r="H309" s="122"/>
      <c r="J309" s="42" t="s">
        <v>1577</v>
      </c>
    </row>
    <row r="310" spans="1:10" s="120" customFormat="1" ht="30" customHeight="1">
      <c r="A310" s="913" t="s">
        <v>1119</v>
      </c>
      <c r="B310" s="82" t="s">
        <v>150</v>
      </c>
      <c r="C310" s="42" t="s">
        <v>180</v>
      </c>
      <c r="D310" s="916">
        <v>11.37</v>
      </c>
      <c r="E310" s="86">
        <f t="shared" si="41"/>
        <v>0</v>
      </c>
      <c r="F310" s="98" t="s">
        <v>1213</v>
      </c>
      <c r="G310" s="186">
        <f t="shared" si="45"/>
        <v>0</v>
      </c>
      <c r="H310" s="122"/>
      <c r="J310" s="42" t="s">
        <v>1508</v>
      </c>
    </row>
    <row r="311" spans="1:10" s="120" customFormat="1" ht="20.45" customHeight="1">
      <c r="A311" s="943" t="s">
        <v>1214</v>
      </c>
      <c r="B311" s="113" t="s">
        <v>147</v>
      </c>
      <c r="C311" s="114" t="s">
        <v>845</v>
      </c>
      <c r="D311" s="953"/>
      <c r="E311" s="86">
        <f t="shared" si="41"/>
        <v>0</v>
      </c>
      <c r="F311" s="137" t="s">
        <v>844</v>
      </c>
      <c r="G311" s="190">
        <f t="shared" si="45"/>
        <v>0</v>
      </c>
      <c r="H311" s="122"/>
      <c r="J311" s="114" t="s">
        <v>1509</v>
      </c>
    </row>
    <row r="312" spans="1:10" s="120" customFormat="1" ht="20.45" customHeight="1">
      <c r="A312" s="943" t="s">
        <v>1215</v>
      </c>
      <c r="B312" s="113" t="s">
        <v>147</v>
      </c>
      <c r="C312" s="114" t="s">
        <v>847</v>
      </c>
      <c r="D312" s="953"/>
      <c r="E312" s="86">
        <f t="shared" si="41"/>
        <v>0</v>
      </c>
      <c r="F312" s="137" t="s">
        <v>846</v>
      </c>
      <c r="G312" s="190">
        <f t="shared" si="45"/>
        <v>0</v>
      </c>
      <c r="H312" s="122"/>
      <c r="J312" s="114" t="s">
        <v>1510</v>
      </c>
    </row>
    <row r="313" spans="1:10" s="120" customFormat="1" ht="20.45" customHeight="1">
      <c r="A313" s="943" t="s">
        <v>1216</v>
      </c>
      <c r="B313" s="113" t="s">
        <v>147</v>
      </c>
      <c r="C313" s="114" t="s">
        <v>849</v>
      </c>
      <c r="D313" s="953"/>
      <c r="E313" s="86">
        <f t="shared" si="41"/>
        <v>0</v>
      </c>
      <c r="F313" s="137" t="s">
        <v>848</v>
      </c>
      <c r="G313" s="190">
        <f t="shared" si="45"/>
        <v>0</v>
      </c>
      <c r="H313" s="122"/>
      <c r="J313" s="114" t="s">
        <v>1578</v>
      </c>
    </row>
    <row r="314" spans="1:10" s="120" customFormat="1" ht="20.45" customHeight="1">
      <c r="A314" s="943" t="s">
        <v>1217</v>
      </c>
      <c r="B314" s="113" t="s">
        <v>147</v>
      </c>
      <c r="C314" s="114" t="s">
        <v>851</v>
      </c>
      <c r="D314" s="953"/>
      <c r="E314" s="86">
        <f t="shared" si="41"/>
        <v>0</v>
      </c>
      <c r="F314" s="137" t="s">
        <v>850</v>
      </c>
      <c r="G314" s="190">
        <f t="shared" si="45"/>
        <v>0</v>
      </c>
      <c r="H314" s="122"/>
      <c r="J314" s="114" t="s">
        <v>1511</v>
      </c>
    </row>
    <row r="315" spans="1:10" s="120" customFormat="1" ht="21" customHeight="1" thickBot="1">
      <c r="A315" s="943" t="s">
        <v>1218</v>
      </c>
      <c r="B315" s="113" t="s">
        <v>147</v>
      </c>
      <c r="C315" s="114" t="s">
        <v>1219</v>
      </c>
      <c r="D315" s="953"/>
      <c r="E315" s="86">
        <f t="shared" si="41"/>
        <v>0</v>
      </c>
      <c r="F315" s="137" t="s">
        <v>852</v>
      </c>
      <c r="G315" s="190">
        <f t="shared" si="45"/>
        <v>0</v>
      </c>
      <c r="H315" s="122"/>
      <c r="J315" s="114" t="s">
        <v>1512</v>
      </c>
    </row>
    <row r="316" spans="1:10" s="120" customFormat="1" ht="21" customHeight="1" thickBot="1">
      <c r="A316" s="913"/>
      <c r="B316" s="82"/>
      <c r="C316" s="107" t="s">
        <v>33</v>
      </c>
      <c r="D316" s="920"/>
      <c r="E316" s="96">
        <f>SUM(E290:E310)</f>
        <v>0</v>
      </c>
      <c r="F316" s="98"/>
      <c r="G316" s="193"/>
      <c r="H316" s="122"/>
      <c r="J316" s="107" t="s">
        <v>1513</v>
      </c>
    </row>
    <row r="317" spans="1:10" s="120" customFormat="1" ht="20.45" customHeight="1">
      <c r="A317" s="913"/>
      <c r="B317" s="82"/>
      <c r="C317" s="42"/>
      <c r="D317" s="42"/>
      <c r="E317" s="42"/>
      <c r="F317" s="42"/>
      <c r="G317" s="42"/>
      <c r="H317" s="122"/>
      <c r="J317" s="42"/>
    </row>
    <row r="318" spans="1:10" s="120" customFormat="1" ht="20.45" hidden="1" customHeight="1">
      <c r="A318" s="913"/>
      <c r="B318" s="82"/>
      <c r="C318" s="107" t="s">
        <v>34</v>
      </c>
      <c r="D318" s="916"/>
      <c r="E318" s="2"/>
      <c r="F318" s="98"/>
      <c r="G318" s="193"/>
      <c r="H318" s="122"/>
      <c r="J318" s="107" t="s">
        <v>34</v>
      </c>
    </row>
    <row r="319" spans="1:10" s="120" customFormat="1" ht="20.45" hidden="1" customHeight="1">
      <c r="A319" s="913" t="s">
        <v>35</v>
      </c>
      <c r="B319" s="82" t="s">
        <v>158</v>
      </c>
      <c r="C319" s="42" t="s">
        <v>181</v>
      </c>
      <c r="D319" s="922">
        <v>5041.3900000000003</v>
      </c>
      <c r="E319" s="86" t="e">
        <f>D319*#REF!</f>
        <v>#REF!</v>
      </c>
      <c r="F319" s="98"/>
      <c r="G319" s="193"/>
      <c r="H319" s="122"/>
      <c r="J319" s="42" t="s">
        <v>181</v>
      </c>
    </row>
    <row r="320" spans="1:10" s="120" customFormat="1" ht="20.45" hidden="1" customHeight="1">
      <c r="A320" s="913" t="s">
        <v>36</v>
      </c>
      <c r="B320" s="82" t="s">
        <v>147</v>
      </c>
      <c r="C320" s="42" t="s">
        <v>182</v>
      </c>
      <c r="D320" s="916">
        <v>98.01</v>
      </c>
      <c r="E320" s="86" t="e">
        <f>D320*#REF!</f>
        <v>#REF!</v>
      </c>
      <c r="F320" s="98"/>
      <c r="G320" s="193"/>
      <c r="H320" s="122"/>
      <c r="J320" s="42" t="s">
        <v>182</v>
      </c>
    </row>
    <row r="321" spans="1:10" s="120" customFormat="1" ht="20.45" hidden="1" customHeight="1">
      <c r="A321" s="913" t="s">
        <v>37</v>
      </c>
      <c r="B321" s="82" t="s">
        <v>147</v>
      </c>
      <c r="C321" s="42" t="s">
        <v>183</v>
      </c>
      <c r="D321" s="916">
        <v>44.72</v>
      </c>
      <c r="E321" s="86" t="e">
        <f>D321*#REF!</f>
        <v>#REF!</v>
      </c>
      <c r="F321" s="98"/>
      <c r="G321" s="193"/>
      <c r="H321" s="122"/>
      <c r="J321" s="42" t="s">
        <v>183</v>
      </c>
    </row>
    <row r="322" spans="1:10" s="120" customFormat="1" ht="20.45" hidden="1" customHeight="1">
      <c r="A322" s="913" t="s">
        <v>38</v>
      </c>
      <c r="B322" s="82" t="s">
        <v>147</v>
      </c>
      <c r="C322" s="42" t="s">
        <v>184</v>
      </c>
      <c r="D322" s="916">
        <v>447.75</v>
      </c>
      <c r="E322" s="86" t="e">
        <f>D322*#REF!</f>
        <v>#REF!</v>
      </c>
      <c r="F322" s="98"/>
      <c r="G322" s="193"/>
      <c r="H322" s="122"/>
      <c r="J322" s="42" t="s">
        <v>184</v>
      </c>
    </row>
    <row r="323" spans="1:10" s="120" customFormat="1" ht="20.45" hidden="1" customHeight="1">
      <c r="A323" s="913" t="s">
        <v>39</v>
      </c>
      <c r="B323" s="82" t="s">
        <v>147</v>
      </c>
      <c r="C323" s="42" t="s">
        <v>185</v>
      </c>
      <c r="D323" s="916">
        <v>113.17</v>
      </c>
      <c r="E323" s="86" t="e">
        <f>D323*#REF!</f>
        <v>#REF!</v>
      </c>
      <c r="F323" s="98"/>
      <c r="G323" s="193"/>
      <c r="H323" s="122"/>
      <c r="J323" s="42" t="s">
        <v>1579</v>
      </c>
    </row>
    <row r="324" spans="1:10" s="120" customFormat="1" ht="20.45" hidden="1" customHeight="1">
      <c r="A324" s="913" t="s">
        <v>40</v>
      </c>
      <c r="B324" s="82" t="s">
        <v>147</v>
      </c>
      <c r="C324" s="42" t="s">
        <v>186</v>
      </c>
      <c r="D324" s="916">
        <v>335.83</v>
      </c>
      <c r="E324" s="86" t="e">
        <f>D324*#REF!</f>
        <v>#REF!</v>
      </c>
      <c r="F324" s="98"/>
      <c r="G324" s="193"/>
      <c r="H324" s="122"/>
      <c r="J324" s="42" t="s">
        <v>186</v>
      </c>
    </row>
    <row r="325" spans="1:10" s="120" customFormat="1" ht="20.45" hidden="1" customHeight="1">
      <c r="A325" s="913" t="s">
        <v>41</v>
      </c>
      <c r="B325" s="82" t="s">
        <v>147</v>
      </c>
      <c r="C325" s="42" t="s">
        <v>187</v>
      </c>
      <c r="D325" s="916">
        <v>42.69</v>
      </c>
      <c r="E325" s="86" t="e">
        <f>D325*#REF!</f>
        <v>#REF!</v>
      </c>
      <c r="F325" s="98"/>
      <c r="G325" s="193"/>
      <c r="H325" s="122"/>
      <c r="J325" s="42" t="s">
        <v>187</v>
      </c>
    </row>
    <row r="326" spans="1:10" s="120" customFormat="1" ht="20.45" hidden="1" customHeight="1">
      <c r="A326" s="913" t="s">
        <v>42</v>
      </c>
      <c r="B326" s="82" t="s">
        <v>147</v>
      </c>
      <c r="C326" s="42" t="s">
        <v>188</v>
      </c>
      <c r="D326" s="916">
        <v>98.01</v>
      </c>
      <c r="E326" s="86" t="e">
        <f>D326*#REF!</f>
        <v>#REF!</v>
      </c>
      <c r="F326" s="98"/>
      <c r="G326" s="193"/>
      <c r="H326" s="122"/>
      <c r="J326" s="42" t="s">
        <v>1580</v>
      </c>
    </row>
    <row r="327" spans="1:10" s="120" customFormat="1" ht="20.45" hidden="1" customHeight="1">
      <c r="A327" s="913" t="s">
        <v>43</v>
      </c>
      <c r="B327" s="82" t="s">
        <v>147</v>
      </c>
      <c r="C327" s="42" t="s">
        <v>189</v>
      </c>
      <c r="D327" s="916">
        <v>420.96</v>
      </c>
      <c r="E327" s="86" t="e">
        <f>D327*#REF!</f>
        <v>#REF!</v>
      </c>
      <c r="F327" s="98"/>
      <c r="G327" s="193"/>
      <c r="H327" s="122"/>
      <c r="J327" s="42" t="s">
        <v>189</v>
      </c>
    </row>
    <row r="328" spans="1:10" s="120" customFormat="1" ht="20.45" hidden="1" customHeight="1">
      <c r="A328" s="913" t="s">
        <v>44</v>
      </c>
      <c r="B328" s="82" t="s">
        <v>147</v>
      </c>
      <c r="C328" s="42" t="s">
        <v>190</v>
      </c>
      <c r="D328" s="916">
        <v>98.01</v>
      </c>
      <c r="E328" s="86" t="e">
        <f>D328*#REF!</f>
        <v>#REF!</v>
      </c>
      <c r="F328" s="98"/>
      <c r="G328" s="193"/>
      <c r="H328" s="122"/>
      <c r="J328" s="42" t="s">
        <v>190</v>
      </c>
    </row>
    <row r="329" spans="1:10" s="120" customFormat="1" ht="20.45" hidden="1" customHeight="1">
      <c r="A329" s="913" t="s">
        <v>45</v>
      </c>
      <c r="B329" s="82" t="s">
        <v>147</v>
      </c>
      <c r="C329" s="42" t="s">
        <v>191</v>
      </c>
      <c r="D329" s="916">
        <v>946.19</v>
      </c>
      <c r="E329" s="86" t="e">
        <f>D329*#REF!</f>
        <v>#REF!</v>
      </c>
      <c r="F329" s="98"/>
      <c r="G329" s="193"/>
      <c r="H329" s="122"/>
      <c r="J329" s="42" t="s">
        <v>1581</v>
      </c>
    </row>
    <row r="330" spans="1:10" s="120" customFormat="1" ht="20.45" hidden="1" customHeight="1">
      <c r="A330" s="913" t="s">
        <v>46</v>
      </c>
      <c r="B330" s="82" t="s">
        <v>147</v>
      </c>
      <c r="C330" s="42" t="s">
        <v>192</v>
      </c>
      <c r="D330" s="922">
        <v>5677.09</v>
      </c>
      <c r="E330" s="86" t="e">
        <f>D330*#REF!</f>
        <v>#REF!</v>
      </c>
      <c r="F330" s="98"/>
      <c r="G330" s="193"/>
      <c r="H330" s="122"/>
      <c r="J330" s="42" t="s">
        <v>192</v>
      </c>
    </row>
    <row r="331" spans="1:10" s="120" customFormat="1" ht="20.45" hidden="1" customHeight="1">
      <c r="A331" s="913" t="s">
        <v>47</v>
      </c>
      <c r="B331" s="82" t="s">
        <v>147</v>
      </c>
      <c r="C331" s="42" t="s">
        <v>193</v>
      </c>
      <c r="D331" s="916">
        <v>228.91</v>
      </c>
      <c r="E331" s="86" t="e">
        <f>D331*#REF!</f>
        <v>#REF!</v>
      </c>
      <c r="F331" s="98"/>
      <c r="G331" s="193"/>
      <c r="H331" s="122"/>
      <c r="J331" s="42" t="s">
        <v>193</v>
      </c>
    </row>
    <row r="332" spans="1:10" s="120" customFormat="1" ht="30" hidden="1" customHeight="1">
      <c r="A332" s="913" t="s">
        <v>48</v>
      </c>
      <c r="B332" s="82" t="s">
        <v>150</v>
      </c>
      <c r="C332" s="42" t="s">
        <v>194</v>
      </c>
      <c r="D332" s="916">
        <v>42.75</v>
      </c>
      <c r="E332" s="86" t="e">
        <f>D332*#REF!</f>
        <v>#REF!</v>
      </c>
      <c r="F332" s="98"/>
      <c r="G332" s="193"/>
      <c r="H332" s="122"/>
      <c r="J332" s="42" t="s">
        <v>194</v>
      </c>
    </row>
    <row r="333" spans="1:10" s="120" customFormat="1" ht="30" hidden="1" customHeight="1">
      <c r="A333" s="913" t="s">
        <v>49</v>
      </c>
      <c r="B333" s="82" t="s">
        <v>147</v>
      </c>
      <c r="C333" s="42" t="s">
        <v>195</v>
      </c>
      <c r="D333" s="922">
        <v>3847.73</v>
      </c>
      <c r="E333" s="86" t="e">
        <f>D333*#REF!</f>
        <v>#REF!</v>
      </c>
      <c r="F333" s="98"/>
      <c r="G333" s="193"/>
      <c r="H333" s="122"/>
      <c r="J333" s="42" t="s">
        <v>195</v>
      </c>
    </row>
    <row r="334" spans="1:10" s="120" customFormat="1" ht="42.6" hidden="1" customHeight="1" thickBot="1">
      <c r="A334" s="913" t="s">
        <v>50</v>
      </c>
      <c r="B334" s="82" t="s">
        <v>147</v>
      </c>
      <c r="C334" s="42" t="s">
        <v>196</v>
      </c>
      <c r="D334" s="922">
        <v>5142.5200000000004</v>
      </c>
      <c r="E334" s="86" t="e">
        <f>D334*#REF!</f>
        <v>#REF!</v>
      </c>
      <c r="F334" s="98"/>
      <c r="G334" s="193"/>
      <c r="H334" s="122"/>
      <c r="J334" s="42" t="s">
        <v>196</v>
      </c>
    </row>
    <row r="335" spans="1:10" s="120" customFormat="1" ht="21" hidden="1" customHeight="1" thickBot="1">
      <c r="A335" s="913"/>
      <c r="B335" s="82"/>
      <c r="C335" s="107" t="s">
        <v>51</v>
      </c>
      <c r="D335" s="920"/>
      <c r="E335" s="96" t="e">
        <f>SUM(E319:E334)</f>
        <v>#REF!</v>
      </c>
      <c r="F335" s="98"/>
      <c r="G335" s="193"/>
      <c r="H335" s="122"/>
      <c r="J335" s="107" t="s">
        <v>51</v>
      </c>
    </row>
    <row r="336" spans="1:10" s="120" customFormat="1" ht="20.45" hidden="1" customHeight="1">
      <c r="A336" s="913"/>
      <c r="B336" s="82"/>
      <c r="C336" s="81" t="s">
        <v>52</v>
      </c>
      <c r="D336" s="916"/>
      <c r="E336" s="2"/>
      <c r="F336" s="98"/>
      <c r="G336" s="193"/>
      <c r="H336" s="122"/>
      <c r="J336" s="81" t="s">
        <v>52</v>
      </c>
    </row>
    <row r="337" spans="1:10" s="120" customFormat="1" ht="21" hidden="1" customHeight="1" thickBot="1">
      <c r="A337" s="913"/>
      <c r="B337" s="82"/>
      <c r="C337" s="107"/>
      <c r="D337" s="916"/>
      <c r="E337" s="103"/>
      <c r="F337" s="98"/>
      <c r="G337" s="193"/>
      <c r="H337" s="122"/>
      <c r="J337" s="107"/>
    </row>
    <row r="338" spans="1:10" s="120" customFormat="1" ht="21" hidden="1" customHeight="1" thickBot="1">
      <c r="A338" s="913"/>
      <c r="B338" s="82"/>
      <c r="C338" s="107" t="s">
        <v>53</v>
      </c>
      <c r="D338" s="920"/>
      <c r="E338" s="106" t="e">
        <f>E335+E316+E284+E270+E237+E223+E192+E181+E162+E153+E132+E111+E31+E16</f>
        <v>#REF!</v>
      </c>
      <c r="F338" s="98"/>
      <c r="G338" s="193"/>
      <c r="H338" s="122"/>
      <c r="J338" s="107" t="s">
        <v>1514</v>
      </c>
    </row>
    <row r="339" spans="1:10" s="120" customFormat="1" ht="20.45" customHeight="1">
      <c r="A339" s="954"/>
      <c r="B339" s="123"/>
      <c r="C339" s="129"/>
      <c r="D339" s="150"/>
      <c r="F339" s="123"/>
      <c r="G339" s="180"/>
      <c r="H339" s="122"/>
      <c r="J339" s="129"/>
    </row>
    <row r="340" spans="1:10" s="120" customFormat="1" ht="20.45" customHeight="1">
      <c r="A340" s="954"/>
      <c r="B340" s="123"/>
      <c r="C340" s="129"/>
      <c r="D340" s="150"/>
      <c r="F340" s="123"/>
      <c r="G340" s="180"/>
      <c r="H340" s="122"/>
      <c r="J340" s="129"/>
    </row>
    <row r="341" spans="1:10" s="120" customFormat="1" ht="20.45" customHeight="1">
      <c r="A341" s="954"/>
      <c r="B341" s="123"/>
      <c r="C341" s="129"/>
      <c r="D341" s="150"/>
      <c r="F341" s="123"/>
      <c r="G341" s="180"/>
      <c r="H341" s="122"/>
      <c r="J341" s="129"/>
    </row>
    <row r="342" spans="1:10" s="120" customFormat="1" ht="20.45" customHeight="1">
      <c r="A342" s="954"/>
      <c r="B342" s="123"/>
      <c r="C342" s="129"/>
      <c r="D342" s="150"/>
      <c r="F342" s="123"/>
      <c r="G342" s="180"/>
      <c r="H342" s="122"/>
      <c r="J342" s="129"/>
    </row>
    <row r="343" spans="1:10" s="120" customFormat="1" ht="20.45" customHeight="1">
      <c r="A343" s="954"/>
      <c r="B343" s="123"/>
      <c r="C343" s="129"/>
      <c r="D343" s="150"/>
      <c r="F343" s="123"/>
      <c r="G343" s="180"/>
      <c r="H343" s="122"/>
      <c r="J343" s="129"/>
    </row>
    <row r="344" spans="1:10" s="120" customFormat="1" ht="20.45" customHeight="1">
      <c r="A344" s="954"/>
      <c r="B344" s="123"/>
      <c r="C344" s="129"/>
      <c r="D344" s="150"/>
      <c r="F344" s="123"/>
      <c r="G344" s="180"/>
      <c r="H344" s="122"/>
      <c r="J344" s="129"/>
    </row>
    <row r="345" spans="1:10" s="120" customFormat="1" ht="20.45" customHeight="1">
      <c r="A345" s="954"/>
      <c r="B345" s="123"/>
      <c r="C345" s="129"/>
      <c r="D345" s="150"/>
      <c r="F345" s="123"/>
      <c r="G345" s="180"/>
      <c r="H345" s="122"/>
      <c r="J345" s="129"/>
    </row>
    <row r="346" spans="1:10" s="120" customFormat="1" ht="20.45" customHeight="1">
      <c r="A346" s="954"/>
      <c r="B346" s="123"/>
      <c r="C346" s="129"/>
      <c r="D346" s="150"/>
      <c r="F346" s="123"/>
      <c r="G346" s="180"/>
      <c r="H346" s="122"/>
      <c r="J346" s="129"/>
    </row>
    <row r="347" spans="1:10" s="120" customFormat="1" ht="20.45" customHeight="1">
      <c r="A347" s="954"/>
      <c r="B347" s="123"/>
      <c r="C347" s="129"/>
      <c r="D347" s="150"/>
      <c r="F347" s="123"/>
      <c r="G347" s="180"/>
      <c r="H347" s="122"/>
      <c r="J347" s="129"/>
    </row>
    <row r="348" spans="1:10" s="120" customFormat="1" ht="20.45" customHeight="1">
      <c r="A348" s="954"/>
      <c r="B348" s="123"/>
      <c r="C348" s="129"/>
      <c r="D348" s="150"/>
      <c r="F348" s="123"/>
      <c r="G348" s="180"/>
      <c r="H348" s="122"/>
      <c r="J348" s="129"/>
    </row>
    <row r="349" spans="1:10" s="120" customFormat="1" ht="20.45" customHeight="1">
      <c r="A349" s="954"/>
      <c r="B349" s="123"/>
      <c r="C349" s="129"/>
      <c r="D349" s="150"/>
      <c r="F349" s="123"/>
      <c r="G349" s="180"/>
      <c r="H349" s="122"/>
      <c r="J349" s="129"/>
    </row>
    <row r="350" spans="1:10" s="120" customFormat="1" ht="20.45" customHeight="1">
      <c r="A350" s="954"/>
      <c r="B350" s="123"/>
      <c r="C350" s="129"/>
      <c r="D350" s="150"/>
      <c r="F350" s="123"/>
      <c r="G350" s="180"/>
      <c r="H350" s="122"/>
      <c r="J350" s="129"/>
    </row>
    <row r="351" spans="1:10" s="120" customFormat="1" ht="20.45" customHeight="1">
      <c r="A351" s="954"/>
      <c r="B351" s="123"/>
      <c r="C351" s="129"/>
      <c r="D351" s="150"/>
      <c r="F351" s="123"/>
      <c r="G351" s="180"/>
      <c r="H351" s="122"/>
      <c r="J351" s="129"/>
    </row>
    <row r="352" spans="1:10" s="120" customFormat="1" ht="20.45" customHeight="1">
      <c r="A352" s="954"/>
      <c r="B352" s="123"/>
      <c r="C352" s="129"/>
      <c r="D352" s="150"/>
      <c r="F352" s="123"/>
      <c r="G352" s="180"/>
      <c r="H352" s="122"/>
      <c r="J352" s="129"/>
    </row>
    <row r="353" spans="1:10" s="120" customFormat="1" ht="20.45" customHeight="1">
      <c r="A353" s="954"/>
      <c r="B353" s="123"/>
      <c r="C353" s="129"/>
      <c r="D353" s="150"/>
      <c r="F353" s="123"/>
      <c r="G353" s="180"/>
      <c r="H353" s="122"/>
      <c r="J353" s="129"/>
    </row>
    <row r="354" spans="1:10" s="120" customFormat="1" ht="20.45" customHeight="1">
      <c r="A354" s="954"/>
      <c r="B354" s="123"/>
      <c r="C354" s="129"/>
      <c r="D354" s="150"/>
      <c r="F354" s="123"/>
      <c r="G354" s="180"/>
      <c r="H354" s="122"/>
      <c r="J354" s="129"/>
    </row>
    <row r="355" spans="1:10" s="120" customFormat="1" ht="20.45" customHeight="1">
      <c r="A355" s="954"/>
      <c r="B355" s="123"/>
      <c r="C355" s="129"/>
      <c r="D355" s="150"/>
      <c r="F355" s="123"/>
      <c r="G355" s="180"/>
      <c r="H355" s="122"/>
      <c r="J355" s="129"/>
    </row>
    <row r="356" spans="1:10" s="120" customFormat="1" ht="20.45" customHeight="1">
      <c r="A356" s="954"/>
      <c r="B356" s="123"/>
      <c r="C356" s="129"/>
      <c r="D356" s="150"/>
      <c r="F356" s="123"/>
      <c r="G356" s="180"/>
      <c r="H356" s="122"/>
      <c r="J356" s="129"/>
    </row>
    <row r="357" spans="1:10" s="120" customFormat="1" ht="20.45" customHeight="1">
      <c r="A357" s="954"/>
      <c r="B357" s="123"/>
      <c r="C357" s="129"/>
      <c r="D357" s="150"/>
      <c r="F357" s="123"/>
      <c r="G357" s="180"/>
      <c r="H357" s="122"/>
      <c r="J357" s="129"/>
    </row>
    <row r="358" spans="1:10" s="120" customFormat="1" ht="20.45" customHeight="1">
      <c r="A358" s="954"/>
      <c r="B358" s="123"/>
      <c r="C358" s="129"/>
      <c r="D358" s="150"/>
      <c r="F358" s="123"/>
      <c r="G358" s="180"/>
      <c r="H358" s="122"/>
      <c r="J358" s="129"/>
    </row>
    <row r="359" spans="1:10" s="120" customFormat="1" ht="20.45" customHeight="1">
      <c r="A359" s="954"/>
      <c r="B359" s="123"/>
      <c r="C359" s="129"/>
      <c r="D359" s="150"/>
      <c r="F359" s="123"/>
      <c r="G359" s="180"/>
      <c r="H359" s="122"/>
      <c r="J359" s="129"/>
    </row>
    <row r="360" spans="1:10" s="120" customFormat="1" ht="20.45" customHeight="1">
      <c r="A360" s="954"/>
      <c r="B360" s="123"/>
      <c r="C360" s="129"/>
      <c r="D360" s="150"/>
      <c r="F360" s="123"/>
      <c r="G360" s="180"/>
      <c r="H360" s="122"/>
      <c r="J360" s="129"/>
    </row>
    <row r="361" spans="1:10" s="120" customFormat="1" ht="20.45" customHeight="1">
      <c r="A361" s="954"/>
      <c r="B361" s="123"/>
      <c r="C361" s="129"/>
      <c r="D361" s="150"/>
      <c r="F361" s="123"/>
      <c r="G361" s="180"/>
      <c r="H361" s="122"/>
      <c r="J361" s="129"/>
    </row>
    <row r="362" spans="1:10" s="120" customFormat="1" ht="20.45" customHeight="1">
      <c r="A362" s="954"/>
      <c r="B362" s="123"/>
      <c r="C362" s="129"/>
      <c r="D362" s="150"/>
      <c r="F362" s="123"/>
      <c r="G362" s="180"/>
      <c r="H362" s="122"/>
      <c r="J362" s="129"/>
    </row>
    <row r="363" spans="1:10" s="120" customFormat="1" ht="20.45" customHeight="1">
      <c r="A363" s="954"/>
      <c r="B363" s="123"/>
      <c r="C363" s="129"/>
      <c r="D363" s="150"/>
      <c r="F363" s="123"/>
      <c r="G363" s="180"/>
      <c r="H363" s="122"/>
      <c r="J363" s="129"/>
    </row>
    <row r="364" spans="1:10" s="120" customFormat="1" ht="20.45" customHeight="1">
      <c r="A364" s="954"/>
      <c r="B364" s="123"/>
      <c r="C364" s="129"/>
      <c r="D364" s="150"/>
      <c r="F364" s="123"/>
      <c r="G364" s="180"/>
      <c r="H364" s="122"/>
      <c r="J364" s="129"/>
    </row>
    <row r="365" spans="1:10" s="120" customFormat="1" ht="20.45" customHeight="1">
      <c r="A365" s="954"/>
      <c r="B365" s="123"/>
      <c r="C365" s="129"/>
      <c r="D365" s="150"/>
      <c r="F365" s="123"/>
      <c r="G365" s="180"/>
      <c r="H365" s="122"/>
      <c r="J365" s="129"/>
    </row>
    <row r="366" spans="1:10" s="120" customFormat="1" ht="20.45" customHeight="1">
      <c r="A366" s="954"/>
      <c r="B366" s="123"/>
      <c r="C366" s="129"/>
      <c r="D366" s="150"/>
      <c r="F366" s="123"/>
      <c r="G366" s="180"/>
      <c r="H366" s="122"/>
      <c r="J366" s="129"/>
    </row>
    <row r="367" spans="1:10" s="120" customFormat="1" ht="20.45" customHeight="1">
      <c r="A367" s="954"/>
      <c r="B367" s="123"/>
      <c r="C367" s="129"/>
      <c r="D367" s="150"/>
      <c r="F367" s="123"/>
      <c r="G367" s="180"/>
      <c r="H367" s="122"/>
      <c r="J367" s="129"/>
    </row>
    <row r="368" spans="1:10" s="120" customFormat="1" ht="20.45" customHeight="1">
      <c r="A368" s="954"/>
      <c r="B368" s="123"/>
      <c r="C368" s="129"/>
      <c r="D368" s="150"/>
      <c r="F368" s="123"/>
      <c r="G368" s="180"/>
      <c r="H368" s="122"/>
      <c r="J368" s="129"/>
    </row>
    <row r="369" spans="1:10" s="120" customFormat="1" ht="20.45" customHeight="1">
      <c r="A369" s="954"/>
      <c r="B369" s="123"/>
      <c r="C369" s="129"/>
      <c r="D369" s="150"/>
      <c r="F369" s="123"/>
      <c r="G369" s="180"/>
      <c r="H369" s="122"/>
      <c r="J369" s="129"/>
    </row>
    <row r="370" spans="1:10" s="120" customFormat="1" ht="20.45" customHeight="1">
      <c r="A370" s="954"/>
      <c r="B370" s="123"/>
      <c r="C370" s="129"/>
      <c r="D370" s="150"/>
      <c r="F370" s="123"/>
      <c r="G370" s="180"/>
      <c r="H370" s="122"/>
      <c r="J370" s="129"/>
    </row>
    <row r="371" spans="1:10" s="120" customFormat="1" ht="20.45" customHeight="1">
      <c r="A371" s="954"/>
      <c r="B371" s="123"/>
      <c r="C371" s="129"/>
      <c r="D371" s="150"/>
      <c r="F371" s="123"/>
      <c r="G371" s="180"/>
      <c r="H371" s="122"/>
      <c r="J371" s="129"/>
    </row>
    <row r="372" spans="1:10" s="120" customFormat="1" ht="20.45" customHeight="1">
      <c r="A372" s="954"/>
      <c r="B372" s="123"/>
      <c r="C372" s="129"/>
      <c r="D372" s="150"/>
      <c r="F372" s="123"/>
      <c r="G372" s="180"/>
      <c r="H372" s="122"/>
      <c r="J372" s="129"/>
    </row>
    <row r="373" spans="1:10" s="120" customFormat="1" ht="20.45" customHeight="1">
      <c r="A373" s="954"/>
      <c r="B373" s="123"/>
      <c r="C373" s="129"/>
      <c r="D373" s="150"/>
      <c r="F373" s="123"/>
      <c r="G373" s="180"/>
      <c r="H373" s="122"/>
      <c r="J373" s="129"/>
    </row>
    <row r="374" spans="1:10" s="120" customFormat="1" ht="20.45" customHeight="1">
      <c r="A374" s="954"/>
      <c r="B374" s="123"/>
      <c r="C374" s="129"/>
      <c r="D374" s="150"/>
      <c r="F374" s="123"/>
      <c r="G374" s="180"/>
      <c r="H374" s="122"/>
      <c r="J374" s="129"/>
    </row>
    <row r="375" spans="1:10" s="120" customFormat="1" ht="20.45" customHeight="1">
      <c r="A375" s="954"/>
      <c r="B375" s="123"/>
      <c r="C375" s="129"/>
      <c r="D375" s="150"/>
      <c r="F375" s="123"/>
      <c r="G375" s="180"/>
      <c r="H375" s="122"/>
      <c r="J375" s="129"/>
    </row>
    <row r="376" spans="1:10" s="120" customFormat="1" ht="20.45" customHeight="1">
      <c r="A376" s="954"/>
      <c r="B376" s="123"/>
      <c r="C376" s="129"/>
      <c r="D376" s="150"/>
      <c r="F376" s="123"/>
      <c r="G376" s="180"/>
      <c r="H376" s="122"/>
      <c r="J376" s="129"/>
    </row>
    <row r="377" spans="1:10" s="120" customFormat="1" ht="20.45" customHeight="1">
      <c r="A377" s="954"/>
      <c r="B377" s="123"/>
      <c r="C377" s="129"/>
      <c r="D377" s="150"/>
      <c r="F377" s="123"/>
      <c r="G377" s="180"/>
      <c r="H377" s="122"/>
      <c r="J377" s="129"/>
    </row>
    <row r="378" spans="1:10" s="120" customFormat="1" ht="20.45" customHeight="1">
      <c r="A378" s="954"/>
      <c r="B378" s="123"/>
      <c r="C378" s="129"/>
      <c r="D378" s="150"/>
      <c r="F378" s="123"/>
      <c r="G378" s="180"/>
      <c r="H378" s="122"/>
      <c r="J378" s="129"/>
    </row>
    <row r="379" spans="1:10" s="120" customFormat="1" ht="20.45" customHeight="1">
      <c r="A379" s="954"/>
      <c r="B379" s="123"/>
      <c r="C379" s="129"/>
      <c r="D379" s="150"/>
      <c r="F379" s="123"/>
      <c r="G379" s="180"/>
      <c r="H379" s="122"/>
      <c r="J379" s="129"/>
    </row>
    <row r="380" spans="1:10" s="120" customFormat="1" ht="20.45" customHeight="1">
      <c r="A380" s="954"/>
      <c r="B380" s="123"/>
      <c r="C380" s="129"/>
      <c r="D380" s="150"/>
      <c r="F380" s="123"/>
      <c r="G380" s="180"/>
      <c r="H380" s="122"/>
      <c r="J380" s="129"/>
    </row>
    <row r="381" spans="1:10" s="120" customFormat="1" ht="20.45" customHeight="1">
      <c r="A381" s="954"/>
      <c r="B381" s="123"/>
      <c r="C381" s="129"/>
      <c r="D381" s="150"/>
      <c r="F381" s="123"/>
      <c r="G381" s="180"/>
      <c r="H381" s="122"/>
      <c r="J381" s="129"/>
    </row>
    <row r="382" spans="1:10" s="120" customFormat="1" ht="20.45" customHeight="1">
      <c r="A382" s="954"/>
      <c r="B382" s="123"/>
      <c r="C382" s="129"/>
      <c r="D382" s="150"/>
      <c r="F382" s="123"/>
      <c r="G382" s="180"/>
      <c r="H382" s="122"/>
      <c r="J382" s="129"/>
    </row>
    <row r="383" spans="1:10" s="120" customFormat="1" ht="20.45" customHeight="1">
      <c r="A383" s="954"/>
      <c r="B383" s="123"/>
      <c r="C383" s="129"/>
      <c r="D383" s="150"/>
      <c r="F383" s="123"/>
      <c r="G383" s="180"/>
      <c r="H383" s="122"/>
      <c r="J383" s="129"/>
    </row>
    <row r="384" spans="1:10" s="120" customFormat="1" ht="20.45" customHeight="1">
      <c r="A384" s="954"/>
      <c r="B384" s="123"/>
      <c r="C384" s="129"/>
      <c r="D384" s="150"/>
      <c r="F384" s="123"/>
      <c r="G384" s="180"/>
      <c r="H384" s="122"/>
      <c r="J384" s="129"/>
    </row>
    <row r="385" spans="1:10" s="120" customFormat="1" ht="20.45" customHeight="1">
      <c r="A385" s="954"/>
      <c r="B385" s="123"/>
      <c r="C385" s="129"/>
      <c r="D385" s="150"/>
      <c r="F385" s="123"/>
      <c r="G385" s="180"/>
      <c r="H385" s="122"/>
      <c r="J385" s="129"/>
    </row>
    <row r="386" spans="1:10" s="120" customFormat="1" ht="20.45" customHeight="1">
      <c r="A386" s="954"/>
      <c r="B386" s="123"/>
      <c r="C386" s="129"/>
      <c r="D386" s="150"/>
      <c r="F386" s="123"/>
      <c r="G386" s="180"/>
      <c r="H386" s="122"/>
      <c r="J386" s="129"/>
    </row>
    <row r="387" spans="1:10" s="120" customFormat="1" ht="20.45" customHeight="1">
      <c r="A387" s="954"/>
      <c r="B387" s="123"/>
      <c r="C387" s="129"/>
      <c r="D387" s="150"/>
      <c r="F387" s="123"/>
      <c r="G387" s="180"/>
      <c r="H387" s="122"/>
      <c r="J387" s="129"/>
    </row>
    <row r="388" spans="1:10" s="120" customFormat="1" ht="20.45" customHeight="1">
      <c r="A388" s="954"/>
      <c r="B388" s="123"/>
      <c r="C388" s="129"/>
      <c r="D388" s="150"/>
      <c r="F388" s="123"/>
      <c r="G388" s="180"/>
      <c r="H388" s="122"/>
      <c r="J388" s="129"/>
    </row>
    <row r="389" spans="1:10" s="120" customFormat="1" ht="20.45" customHeight="1">
      <c r="A389" s="954"/>
      <c r="B389" s="123"/>
      <c r="C389" s="129"/>
      <c r="D389" s="150"/>
      <c r="F389" s="123"/>
      <c r="G389" s="180"/>
      <c r="H389" s="122"/>
      <c r="J389" s="129"/>
    </row>
    <row r="390" spans="1:10" s="120" customFormat="1" ht="20.45" customHeight="1">
      <c r="A390" s="954"/>
      <c r="B390" s="123"/>
      <c r="C390" s="129"/>
      <c r="D390" s="150"/>
      <c r="F390" s="123"/>
      <c r="G390" s="180"/>
      <c r="H390" s="122"/>
      <c r="J390" s="129"/>
    </row>
    <row r="391" spans="1:10" s="120" customFormat="1" ht="20.45" customHeight="1">
      <c r="A391" s="954"/>
      <c r="B391" s="123"/>
      <c r="C391" s="129"/>
      <c r="D391" s="150"/>
      <c r="F391" s="123"/>
      <c r="G391" s="180"/>
      <c r="H391" s="122"/>
      <c r="J391" s="129"/>
    </row>
    <row r="392" spans="1:10" s="120" customFormat="1" ht="20.45" customHeight="1">
      <c r="A392" s="954"/>
      <c r="B392" s="123"/>
      <c r="C392" s="129"/>
      <c r="D392" s="150"/>
      <c r="F392" s="123"/>
      <c r="G392" s="180"/>
      <c r="H392" s="122"/>
      <c r="J392" s="129"/>
    </row>
    <row r="393" spans="1:10" s="120" customFormat="1" ht="20.45" customHeight="1">
      <c r="A393" s="954"/>
      <c r="B393" s="123"/>
      <c r="C393" s="129"/>
      <c r="D393" s="150"/>
      <c r="F393" s="123"/>
      <c r="G393" s="180"/>
      <c r="H393" s="122"/>
      <c r="J393" s="129"/>
    </row>
    <row r="394" spans="1:10" s="120" customFormat="1" ht="20.45" customHeight="1">
      <c r="A394" s="954"/>
      <c r="B394" s="123"/>
      <c r="C394" s="129"/>
      <c r="D394" s="150"/>
      <c r="F394" s="123"/>
      <c r="G394" s="180"/>
      <c r="H394" s="122"/>
      <c r="J394" s="129"/>
    </row>
    <row r="395" spans="1:10" s="120" customFormat="1" ht="20.45" customHeight="1">
      <c r="A395" s="954"/>
      <c r="B395" s="123"/>
      <c r="C395" s="129"/>
      <c r="D395" s="150"/>
      <c r="F395" s="123"/>
      <c r="G395" s="180"/>
      <c r="H395" s="122"/>
      <c r="J395" s="129"/>
    </row>
    <row r="396" spans="1:10" s="120" customFormat="1" ht="20.45" customHeight="1">
      <c r="A396" s="954"/>
      <c r="B396" s="123"/>
      <c r="C396" s="129"/>
      <c r="D396" s="150"/>
      <c r="F396" s="123"/>
      <c r="G396" s="180"/>
      <c r="H396" s="122"/>
      <c r="J396" s="129"/>
    </row>
    <row r="397" spans="1:10" s="120" customFormat="1" ht="20.45" customHeight="1">
      <c r="A397" s="954"/>
      <c r="B397" s="123"/>
      <c r="C397" s="129"/>
      <c r="D397" s="150"/>
      <c r="F397" s="123"/>
      <c r="G397" s="180"/>
      <c r="H397" s="122"/>
      <c r="J397" s="129"/>
    </row>
    <row r="398" spans="1:10" s="120" customFormat="1" ht="20.45" customHeight="1">
      <c r="A398" s="954"/>
      <c r="B398" s="123"/>
      <c r="C398" s="129"/>
      <c r="D398" s="150"/>
      <c r="F398" s="123"/>
      <c r="G398" s="180"/>
      <c r="H398" s="122"/>
      <c r="J398" s="129"/>
    </row>
    <row r="399" spans="1:10" s="120" customFormat="1" ht="20.45" customHeight="1">
      <c r="A399" s="954"/>
      <c r="B399" s="123"/>
      <c r="C399" s="129"/>
      <c r="D399" s="150"/>
      <c r="F399" s="123"/>
      <c r="G399" s="180"/>
      <c r="H399" s="122"/>
      <c r="J399" s="129"/>
    </row>
    <row r="400" spans="1:10" s="120" customFormat="1" ht="20.45" customHeight="1">
      <c r="A400" s="954"/>
      <c r="B400" s="123"/>
      <c r="C400" s="129"/>
      <c r="D400" s="150"/>
      <c r="F400" s="123"/>
      <c r="G400" s="180"/>
      <c r="H400" s="122"/>
      <c r="J400" s="129"/>
    </row>
    <row r="401" spans="1:10" s="120" customFormat="1" ht="20.45" customHeight="1">
      <c r="A401" s="954"/>
      <c r="B401" s="123"/>
      <c r="C401" s="129"/>
      <c r="D401" s="150"/>
      <c r="F401" s="123"/>
      <c r="G401" s="180"/>
      <c r="H401" s="122"/>
      <c r="J401" s="129"/>
    </row>
    <row r="402" spans="1:10" s="120" customFormat="1" ht="20.45" customHeight="1">
      <c r="A402" s="954"/>
      <c r="B402" s="123"/>
      <c r="C402" s="129"/>
      <c r="D402" s="150"/>
      <c r="F402" s="123"/>
      <c r="G402" s="180"/>
      <c r="H402" s="122"/>
      <c r="J402" s="129"/>
    </row>
    <row r="403" spans="1:10" s="120" customFormat="1" ht="20.45" customHeight="1">
      <c r="A403" s="954"/>
      <c r="B403" s="123"/>
      <c r="C403" s="129"/>
      <c r="D403" s="150"/>
      <c r="F403" s="123"/>
      <c r="G403" s="180"/>
      <c r="H403" s="122"/>
      <c r="J403" s="129"/>
    </row>
    <row r="404" spans="1:10" s="120" customFormat="1" ht="20.45" customHeight="1">
      <c r="A404" s="954"/>
      <c r="B404" s="123"/>
      <c r="C404" s="129"/>
      <c r="D404" s="150"/>
      <c r="F404" s="123"/>
      <c r="G404" s="180"/>
      <c r="H404" s="122"/>
      <c r="J404" s="129"/>
    </row>
    <row r="405" spans="1:10" s="120" customFormat="1" ht="20.45" customHeight="1">
      <c r="A405" s="954"/>
      <c r="B405" s="123"/>
      <c r="C405" s="129"/>
      <c r="D405" s="150"/>
      <c r="F405" s="123"/>
      <c r="G405" s="180"/>
      <c r="H405" s="122"/>
      <c r="J405" s="129"/>
    </row>
    <row r="406" spans="1:10" s="120" customFormat="1" ht="20.45" customHeight="1">
      <c r="A406" s="954"/>
      <c r="B406" s="123"/>
      <c r="C406" s="129"/>
      <c r="D406" s="150"/>
      <c r="F406" s="123"/>
      <c r="G406" s="180"/>
      <c r="H406" s="122"/>
      <c r="J406" s="129"/>
    </row>
    <row r="407" spans="1:10" s="120" customFormat="1" ht="20.45" customHeight="1">
      <c r="A407" s="954"/>
      <c r="B407" s="123"/>
      <c r="C407" s="129"/>
      <c r="D407" s="150"/>
      <c r="F407" s="123"/>
      <c r="G407" s="180"/>
      <c r="H407" s="122"/>
      <c r="J407" s="129"/>
    </row>
    <row r="408" spans="1:10" s="120" customFormat="1" ht="20.45" customHeight="1">
      <c r="A408" s="954"/>
      <c r="B408" s="123"/>
      <c r="C408" s="129"/>
      <c r="D408" s="150"/>
      <c r="F408" s="123"/>
      <c r="G408" s="180"/>
      <c r="H408" s="122"/>
      <c r="J408" s="129"/>
    </row>
    <row r="409" spans="1:10" s="120" customFormat="1" ht="20.45" customHeight="1">
      <c r="A409" s="954"/>
      <c r="B409" s="123"/>
      <c r="C409" s="129"/>
      <c r="D409" s="150"/>
      <c r="F409" s="123"/>
      <c r="G409" s="180"/>
      <c r="H409" s="122"/>
      <c r="J409" s="129"/>
    </row>
    <row r="410" spans="1:10" s="120" customFormat="1" ht="20.45" customHeight="1">
      <c r="A410" s="954"/>
      <c r="B410" s="123"/>
      <c r="C410" s="129"/>
      <c r="D410" s="150"/>
      <c r="F410" s="123"/>
      <c r="G410" s="180"/>
      <c r="H410" s="122"/>
      <c r="J410" s="129"/>
    </row>
    <row r="411" spans="1:10" s="120" customFormat="1" ht="20.45" customHeight="1">
      <c r="A411" s="954"/>
      <c r="B411" s="123"/>
      <c r="C411" s="129"/>
      <c r="D411" s="150"/>
      <c r="F411" s="123"/>
      <c r="G411" s="180"/>
      <c r="H411" s="122"/>
      <c r="J411" s="129"/>
    </row>
    <row r="412" spans="1:10" s="120" customFormat="1" ht="20.45" customHeight="1">
      <c r="A412" s="954"/>
      <c r="B412" s="123"/>
      <c r="C412" s="129"/>
      <c r="D412" s="150"/>
      <c r="F412" s="123"/>
      <c r="G412" s="180"/>
      <c r="H412" s="122"/>
      <c r="J412" s="129"/>
    </row>
    <row r="413" spans="1:10" s="120" customFormat="1" ht="20.45" customHeight="1">
      <c r="A413" s="954"/>
      <c r="B413" s="123"/>
      <c r="C413" s="129"/>
      <c r="D413" s="150"/>
      <c r="F413" s="123"/>
      <c r="G413" s="180"/>
      <c r="H413" s="122"/>
      <c r="J413" s="129"/>
    </row>
    <row r="414" spans="1:10" s="120" customFormat="1" ht="20.45" customHeight="1">
      <c r="A414" s="954"/>
      <c r="B414" s="123"/>
      <c r="C414" s="129"/>
      <c r="D414" s="150"/>
      <c r="F414" s="123"/>
      <c r="G414" s="180"/>
      <c r="H414" s="122"/>
      <c r="J414" s="129"/>
    </row>
    <row r="415" spans="1:10" s="120" customFormat="1" ht="20.45" customHeight="1">
      <c r="A415" s="954"/>
      <c r="B415" s="123"/>
      <c r="C415" s="129"/>
      <c r="D415" s="150"/>
      <c r="F415" s="123"/>
      <c r="G415" s="180"/>
      <c r="H415" s="122"/>
      <c r="J415" s="129"/>
    </row>
    <row r="416" spans="1:10" s="120" customFormat="1" ht="20.45" customHeight="1">
      <c r="A416" s="954"/>
      <c r="B416" s="123"/>
      <c r="C416" s="129"/>
      <c r="D416" s="150"/>
      <c r="F416" s="123"/>
      <c r="G416" s="180"/>
      <c r="H416" s="122"/>
      <c r="J416" s="129"/>
    </row>
    <row r="417" spans="1:10" s="120" customFormat="1" ht="20.45" customHeight="1">
      <c r="A417" s="954"/>
      <c r="B417" s="123"/>
      <c r="C417" s="129"/>
      <c r="D417" s="150"/>
      <c r="F417" s="123"/>
      <c r="G417" s="180"/>
      <c r="H417" s="122"/>
      <c r="J417" s="129"/>
    </row>
    <row r="418" spans="1:10" s="120" customFormat="1" ht="20.45" customHeight="1">
      <c r="A418" s="954"/>
      <c r="B418" s="123"/>
      <c r="C418" s="129"/>
      <c r="D418" s="150"/>
      <c r="F418" s="123"/>
      <c r="G418" s="180"/>
      <c r="H418" s="122"/>
      <c r="J418" s="129"/>
    </row>
    <row r="419" spans="1:10" s="120" customFormat="1" ht="20.45" customHeight="1">
      <c r="A419" s="954"/>
      <c r="B419" s="123"/>
      <c r="C419" s="129"/>
      <c r="D419" s="150"/>
      <c r="F419" s="123"/>
      <c r="G419" s="180"/>
      <c r="H419" s="122"/>
      <c r="J419" s="129"/>
    </row>
    <row r="420" spans="1:10" s="120" customFormat="1" ht="20.45" customHeight="1">
      <c r="A420" s="954"/>
      <c r="B420" s="123"/>
      <c r="C420" s="129"/>
      <c r="D420" s="150"/>
      <c r="F420" s="123"/>
      <c r="G420" s="180"/>
      <c r="H420" s="122"/>
      <c r="J420" s="129"/>
    </row>
    <row r="421" spans="1:10" s="120" customFormat="1" ht="20.45" customHeight="1">
      <c r="A421" s="954"/>
      <c r="B421" s="123"/>
      <c r="C421" s="129"/>
      <c r="D421" s="150"/>
      <c r="F421" s="123"/>
      <c r="G421" s="180"/>
      <c r="H421" s="122"/>
      <c r="J421" s="129"/>
    </row>
    <row r="422" spans="1:10" s="120" customFormat="1" ht="20.45" customHeight="1">
      <c r="A422" s="954"/>
      <c r="B422" s="123"/>
      <c r="C422" s="129"/>
      <c r="D422" s="150"/>
      <c r="F422" s="123"/>
      <c r="G422" s="180"/>
      <c r="H422" s="122"/>
      <c r="J422" s="129"/>
    </row>
    <row r="423" spans="1:10" s="120" customFormat="1" ht="20.45" customHeight="1">
      <c r="A423" s="954"/>
      <c r="B423" s="123"/>
      <c r="C423" s="129"/>
      <c r="D423" s="150"/>
      <c r="F423" s="123"/>
      <c r="G423" s="180"/>
      <c r="H423" s="122"/>
      <c r="J423" s="129"/>
    </row>
    <row r="424" spans="1:10" s="120" customFormat="1" ht="20.45" customHeight="1">
      <c r="A424" s="954"/>
      <c r="B424" s="123"/>
      <c r="C424" s="129"/>
      <c r="D424" s="150"/>
      <c r="F424" s="123"/>
      <c r="G424" s="180"/>
      <c r="H424" s="122"/>
      <c r="J424" s="129"/>
    </row>
    <row r="425" spans="1:10" s="120" customFormat="1" ht="20.45" customHeight="1">
      <c r="A425" s="954"/>
      <c r="B425" s="123"/>
      <c r="C425" s="129"/>
      <c r="D425" s="150"/>
      <c r="F425" s="123"/>
      <c r="G425" s="180"/>
      <c r="H425" s="122"/>
      <c r="J425" s="129"/>
    </row>
    <row r="426" spans="1:10" s="120" customFormat="1" ht="20.45" customHeight="1">
      <c r="A426" s="954"/>
      <c r="B426" s="123"/>
      <c r="C426" s="129"/>
      <c r="D426" s="150"/>
      <c r="F426" s="123"/>
      <c r="G426" s="180"/>
      <c r="H426" s="122"/>
      <c r="J426" s="129"/>
    </row>
    <row r="427" spans="1:10" s="120" customFormat="1" ht="20.45" customHeight="1">
      <c r="A427" s="954"/>
      <c r="B427" s="123"/>
      <c r="C427" s="129"/>
      <c r="D427" s="150"/>
      <c r="F427" s="123"/>
      <c r="G427" s="180"/>
      <c r="H427" s="122"/>
      <c r="J427" s="129"/>
    </row>
    <row r="428" spans="1:10" s="120" customFormat="1" ht="20.45" customHeight="1">
      <c r="A428" s="954"/>
      <c r="B428" s="123"/>
      <c r="C428" s="129"/>
      <c r="D428" s="150"/>
      <c r="F428" s="123"/>
      <c r="G428" s="180"/>
      <c r="H428" s="122"/>
      <c r="J428" s="129"/>
    </row>
    <row r="429" spans="1:10" s="120" customFormat="1" ht="20.45" customHeight="1">
      <c r="A429" s="954"/>
      <c r="B429" s="123"/>
      <c r="C429" s="129"/>
      <c r="D429" s="150"/>
      <c r="F429" s="123"/>
      <c r="G429" s="180"/>
      <c r="H429" s="122"/>
      <c r="J429" s="129"/>
    </row>
    <row r="430" spans="1:10" s="120" customFormat="1" ht="20.45" customHeight="1">
      <c r="A430" s="954"/>
      <c r="B430" s="123"/>
      <c r="C430" s="129"/>
      <c r="D430" s="150"/>
      <c r="F430" s="123"/>
      <c r="G430" s="180"/>
      <c r="H430" s="122"/>
      <c r="J430" s="129"/>
    </row>
    <row r="431" spans="1:10" s="120" customFormat="1" ht="20.45" customHeight="1">
      <c r="A431" s="954"/>
      <c r="B431" s="123"/>
      <c r="C431" s="129"/>
      <c r="D431" s="150"/>
      <c r="F431" s="123"/>
      <c r="G431" s="180"/>
      <c r="H431" s="122"/>
      <c r="J431" s="129"/>
    </row>
    <row r="432" spans="1:10" s="120" customFormat="1" ht="20.45" customHeight="1">
      <c r="A432" s="954"/>
      <c r="B432" s="123"/>
      <c r="C432" s="129"/>
      <c r="D432" s="150"/>
      <c r="F432" s="123"/>
      <c r="G432" s="180"/>
      <c r="H432" s="122"/>
      <c r="J432" s="129"/>
    </row>
    <row r="433" spans="1:10" s="120" customFormat="1" ht="20.45" customHeight="1">
      <c r="A433" s="954"/>
      <c r="B433" s="123"/>
      <c r="C433" s="129"/>
      <c r="D433" s="150"/>
      <c r="F433" s="123"/>
      <c r="G433" s="180"/>
      <c r="H433" s="122"/>
      <c r="J433" s="129"/>
    </row>
    <row r="434" spans="1:10" s="120" customFormat="1" ht="20.45" customHeight="1">
      <c r="A434" s="954"/>
      <c r="B434" s="123"/>
      <c r="C434" s="129"/>
      <c r="D434" s="150"/>
      <c r="F434" s="123"/>
      <c r="G434" s="180"/>
      <c r="H434" s="122"/>
      <c r="J434" s="129"/>
    </row>
    <row r="435" spans="1:10" s="120" customFormat="1" ht="20.45" customHeight="1">
      <c r="A435" s="954"/>
      <c r="B435" s="123"/>
      <c r="C435" s="129"/>
      <c r="D435" s="150"/>
      <c r="F435" s="123"/>
      <c r="G435" s="180"/>
      <c r="H435" s="122"/>
      <c r="J435" s="129"/>
    </row>
    <row r="436" spans="1:10" s="120" customFormat="1" ht="20.45" customHeight="1">
      <c r="A436" s="954"/>
      <c r="B436" s="123"/>
      <c r="C436" s="129"/>
      <c r="D436" s="150"/>
      <c r="F436" s="123"/>
      <c r="G436" s="180"/>
      <c r="H436" s="122"/>
      <c r="J436" s="129"/>
    </row>
    <row r="437" spans="1:10" s="120" customFormat="1" ht="20.45" customHeight="1">
      <c r="A437" s="954"/>
      <c r="B437" s="123"/>
      <c r="C437" s="129"/>
      <c r="D437" s="150"/>
      <c r="F437" s="123"/>
      <c r="G437" s="180"/>
      <c r="H437" s="122"/>
      <c r="J437" s="129"/>
    </row>
    <row r="438" spans="1:10" s="120" customFormat="1" ht="20.45" customHeight="1">
      <c r="A438" s="954"/>
      <c r="B438" s="123"/>
      <c r="C438" s="129"/>
      <c r="D438" s="150"/>
      <c r="F438" s="123"/>
      <c r="G438" s="180"/>
      <c r="H438" s="122"/>
      <c r="J438" s="129"/>
    </row>
    <row r="439" spans="1:10" s="120" customFormat="1" ht="20.45" customHeight="1">
      <c r="A439" s="954"/>
      <c r="B439" s="123"/>
      <c r="C439" s="129"/>
      <c r="D439" s="150"/>
      <c r="F439" s="123"/>
      <c r="G439" s="180"/>
      <c r="H439" s="122"/>
      <c r="J439" s="129"/>
    </row>
    <row r="440" spans="1:10" s="120" customFormat="1" ht="20.45" customHeight="1">
      <c r="A440" s="954"/>
      <c r="B440" s="123"/>
      <c r="C440" s="129"/>
      <c r="D440" s="150"/>
      <c r="F440" s="123"/>
      <c r="G440" s="180"/>
      <c r="H440" s="122"/>
      <c r="J440" s="129"/>
    </row>
    <row r="441" spans="1:10" s="120" customFormat="1" ht="20.45" customHeight="1">
      <c r="A441" s="954"/>
      <c r="B441" s="123"/>
      <c r="C441" s="129"/>
      <c r="D441" s="150"/>
      <c r="F441" s="123"/>
      <c r="G441" s="180"/>
      <c r="H441" s="122"/>
      <c r="J441" s="129"/>
    </row>
    <row r="442" spans="1:10" s="120" customFormat="1" ht="20.45" customHeight="1">
      <c r="A442" s="954"/>
      <c r="B442" s="123"/>
      <c r="C442" s="129"/>
      <c r="D442" s="150"/>
      <c r="F442" s="123"/>
      <c r="G442" s="180"/>
      <c r="H442" s="122"/>
      <c r="J442" s="129"/>
    </row>
    <row r="443" spans="1:10" s="120" customFormat="1" ht="20.45" customHeight="1">
      <c r="A443" s="954"/>
      <c r="B443" s="123"/>
      <c r="C443" s="129"/>
      <c r="D443" s="150"/>
      <c r="F443" s="123"/>
      <c r="G443" s="180"/>
      <c r="H443" s="122"/>
      <c r="J443" s="129"/>
    </row>
    <row r="444" spans="1:10" s="120" customFormat="1" ht="20.45" customHeight="1">
      <c r="A444" s="954"/>
      <c r="B444" s="123"/>
      <c r="C444" s="129"/>
      <c r="D444" s="150"/>
      <c r="F444" s="123"/>
      <c r="G444" s="180"/>
      <c r="H444" s="122"/>
      <c r="J444" s="129"/>
    </row>
    <row r="445" spans="1:10" s="120" customFormat="1" ht="20.45" customHeight="1">
      <c r="A445" s="954"/>
      <c r="B445" s="123"/>
      <c r="C445" s="129"/>
      <c r="D445" s="150"/>
      <c r="F445" s="123"/>
      <c r="G445" s="180"/>
      <c r="H445" s="122"/>
      <c r="J445" s="129"/>
    </row>
    <row r="446" spans="1:10" s="120" customFormat="1" ht="20.45" customHeight="1">
      <c r="A446" s="954"/>
      <c r="B446" s="123"/>
      <c r="C446" s="129"/>
      <c r="D446" s="150"/>
      <c r="F446" s="123"/>
      <c r="G446" s="180"/>
      <c r="H446" s="122"/>
      <c r="J446" s="129"/>
    </row>
    <row r="447" spans="1:10" s="120" customFormat="1" ht="20.45" customHeight="1">
      <c r="A447" s="954"/>
      <c r="B447" s="123"/>
      <c r="C447" s="129"/>
      <c r="D447" s="150"/>
      <c r="F447" s="123"/>
      <c r="G447" s="180"/>
      <c r="H447" s="122"/>
      <c r="J447" s="129"/>
    </row>
    <row r="448" spans="1:10" s="120" customFormat="1" ht="20.45" customHeight="1">
      <c r="A448" s="954"/>
      <c r="B448" s="123"/>
      <c r="C448" s="129"/>
      <c r="D448" s="150"/>
      <c r="F448" s="123"/>
      <c r="G448" s="180"/>
      <c r="H448" s="122"/>
      <c r="J448" s="129"/>
    </row>
    <row r="449" spans="1:10" s="120" customFormat="1" ht="20.45" customHeight="1">
      <c r="A449" s="954"/>
      <c r="B449" s="123"/>
      <c r="C449" s="129"/>
      <c r="D449" s="150"/>
      <c r="F449" s="123"/>
      <c r="G449" s="180"/>
      <c r="H449" s="122"/>
      <c r="J449" s="129"/>
    </row>
    <row r="450" spans="1:10" s="120" customFormat="1" ht="20.45" customHeight="1">
      <c r="A450" s="954"/>
      <c r="B450" s="123"/>
      <c r="C450" s="129"/>
      <c r="D450" s="150"/>
      <c r="F450" s="123"/>
      <c r="G450" s="180"/>
      <c r="H450" s="122"/>
      <c r="J450" s="129"/>
    </row>
    <row r="451" spans="1:10" s="120" customFormat="1" ht="20.45" customHeight="1">
      <c r="A451" s="954"/>
      <c r="B451" s="123"/>
      <c r="C451" s="129"/>
      <c r="D451" s="150"/>
      <c r="F451" s="123"/>
      <c r="G451" s="180"/>
      <c r="H451" s="122"/>
      <c r="J451" s="129"/>
    </row>
    <row r="452" spans="1:10" s="120" customFormat="1" ht="20.45" customHeight="1">
      <c r="A452" s="954"/>
      <c r="B452" s="123"/>
      <c r="C452" s="129"/>
      <c r="D452" s="150"/>
      <c r="F452" s="123"/>
      <c r="G452" s="180"/>
      <c r="H452" s="122"/>
      <c r="J452" s="129"/>
    </row>
    <row r="453" spans="1:10" s="120" customFormat="1" ht="20.45" customHeight="1">
      <c r="A453" s="954"/>
      <c r="B453" s="123"/>
      <c r="C453" s="129"/>
      <c r="D453" s="150"/>
      <c r="F453" s="123"/>
      <c r="G453" s="180"/>
      <c r="H453" s="122"/>
      <c r="J453" s="129"/>
    </row>
    <row r="454" spans="1:10" s="120" customFormat="1" ht="20.45" customHeight="1">
      <c r="A454" s="954"/>
      <c r="B454" s="123"/>
      <c r="C454" s="129"/>
      <c r="D454" s="150"/>
      <c r="F454" s="123"/>
      <c r="G454" s="180"/>
      <c r="H454" s="122"/>
      <c r="J454" s="129"/>
    </row>
    <row r="455" spans="1:10" s="120" customFormat="1" ht="20.45" customHeight="1">
      <c r="A455" s="954"/>
      <c r="B455" s="123"/>
      <c r="C455" s="129"/>
      <c r="D455" s="150"/>
      <c r="F455" s="123"/>
      <c r="G455" s="180"/>
      <c r="H455" s="122"/>
      <c r="J455" s="129"/>
    </row>
    <row r="456" spans="1:10" s="120" customFormat="1" ht="20.45" customHeight="1">
      <c r="A456" s="954"/>
      <c r="B456" s="123"/>
      <c r="C456" s="129"/>
      <c r="D456" s="150"/>
      <c r="F456" s="123"/>
      <c r="G456" s="180"/>
      <c r="H456" s="122"/>
      <c r="J456" s="129"/>
    </row>
    <row r="457" spans="1:10" s="120" customFormat="1" ht="20.45" customHeight="1">
      <c r="A457" s="954"/>
      <c r="B457" s="123"/>
      <c r="C457" s="129"/>
      <c r="D457" s="150"/>
      <c r="F457" s="123"/>
      <c r="G457" s="180"/>
      <c r="H457" s="122"/>
      <c r="J457" s="129"/>
    </row>
    <row r="458" spans="1:10" s="120" customFormat="1" ht="20.45" customHeight="1">
      <c r="A458" s="954"/>
      <c r="B458" s="123"/>
      <c r="C458" s="129"/>
      <c r="D458" s="150"/>
      <c r="F458" s="123"/>
      <c r="G458" s="180"/>
      <c r="H458" s="122"/>
      <c r="J458" s="129"/>
    </row>
    <row r="459" spans="1:10" s="120" customFormat="1" ht="20.45" customHeight="1">
      <c r="A459" s="954"/>
      <c r="B459" s="123"/>
      <c r="C459" s="129"/>
      <c r="D459" s="150"/>
      <c r="F459" s="123"/>
      <c r="G459" s="180"/>
      <c r="H459" s="122"/>
      <c r="J459" s="129"/>
    </row>
    <row r="460" spans="1:10" s="120" customFormat="1" ht="20.45" customHeight="1">
      <c r="A460" s="954"/>
      <c r="B460" s="123"/>
      <c r="C460" s="129"/>
      <c r="D460" s="150"/>
      <c r="F460" s="123"/>
      <c r="G460" s="180"/>
      <c r="H460" s="122"/>
      <c r="J460" s="129"/>
    </row>
    <row r="461" spans="1:10" s="120" customFormat="1" ht="20.45" customHeight="1">
      <c r="A461" s="954"/>
      <c r="B461" s="123"/>
      <c r="C461" s="129"/>
      <c r="D461" s="150"/>
      <c r="F461" s="123"/>
      <c r="G461" s="180"/>
      <c r="H461" s="122"/>
      <c r="J461" s="129"/>
    </row>
    <row r="462" spans="1:10" s="120" customFormat="1" ht="20.45" customHeight="1">
      <c r="A462" s="954"/>
      <c r="B462" s="123"/>
      <c r="C462" s="129"/>
      <c r="D462" s="150"/>
      <c r="F462" s="123"/>
      <c r="G462" s="180"/>
      <c r="H462" s="122"/>
      <c r="J462" s="129"/>
    </row>
    <row r="463" spans="1:10" s="120" customFormat="1" ht="20.45" customHeight="1">
      <c r="A463" s="954"/>
      <c r="B463" s="123"/>
      <c r="C463" s="129"/>
      <c r="D463" s="150"/>
      <c r="F463" s="123"/>
      <c r="G463" s="180"/>
      <c r="H463" s="122"/>
      <c r="J463" s="129"/>
    </row>
    <row r="464" spans="1:10" s="120" customFormat="1" ht="20.45" customHeight="1">
      <c r="A464" s="954"/>
      <c r="B464" s="123"/>
      <c r="C464" s="129"/>
      <c r="D464" s="150"/>
      <c r="F464" s="123"/>
      <c r="G464" s="180"/>
      <c r="H464" s="122"/>
      <c r="J464" s="129"/>
    </row>
    <row r="465" spans="1:10" s="120" customFormat="1" ht="20.45" customHeight="1">
      <c r="A465" s="954"/>
      <c r="B465" s="123"/>
      <c r="C465" s="129"/>
      <c r="D465" s="150"/>
      <c r="F465" s="123"/>
      <c r="G465" s="180"/>
      <c r="H465" s="122"/>
      <c r="J465" s="129"/>
    </row>
    <row r="466" spans="1:10" s="120" customFormat="1" ht="20.45" customHeight="1">
      <c r="A466" s="954"/>
      <c r="B466" s="123"/>
      <c r="C466" s="129"/>
      <c r="D466" s="150"/>
      <c r="F466" s="123"/>
      <c r="G466" s="180"/>
      <c r="H466" s="122"/>
      <c r="J466" s="129"/>
    </row>
    <row r="467" spans="1:10" s="120" customFormat="1" ht="20.45" customHeight="1">
      <c r="A467" s="954"/>
      <c r="B467" s="123"/>
      <c r="C467" s="129"/>
      <c r="D467" s="150"/>
      <c r="F467" s="123"/>
      <c r="G467" s="180"/>
      <c r="H467" s="122"/>
      <c r="J467" s="129"/>
    </row>
    <row r="468" spans="1:10" s="120" customFormat="1" ht="20.45" customHeight="1">
      <c r="A468" s="954"/>
      <c r="B468" s="123"/>
      <c r="C468" s="129"/>
      <c r="D468" s="150"/>
      <c r="F468" s="123"/>
      <c r="G468" s="180"/>
      <c r="H468" s="122"/>
      <c r="J468" s="129"/>
    </row>
    <row r="469" spans="1:10" s="120" customFormat="1" ht="20.45" customHeight="1">
      <c r="A469" s="954"/>
      <c r="B469" s="123"/>
      <c r="C469" s="129"/>
      <c r="D469" s="150"/>
      <c r="F469" s="123"/>
      <c r="G469" s="180"/>
      <c r="H469" s="122"/>
      <c r="J469" s="129"/>
    </row>
    <row r="470" spans="1:10" s="120" customFormat="1" ht="20.45" customHeight="1">
      <c r="A470" s="954"/>
      <c r="B470" s="123"/>
      <c r="C470" s="129"/>
      <c r="D470" s="150"/>
      <c r="F470" s="123"/>
      <c r="G470" s="180"/>
      <c r="H470" s="122"/>
      <c r="J470" s="129"/>
    </row>
    <row r="471" spans="1:10" s="120" customFormat="1" ht="20.45" customHeight="1">
      <c r="A471" s="954"/>
      <c r="B471" s="123"/>
      <c r="C471" s="129"/>
      <c r="D471" s="150"/>
      <c r="F471" s="123"/>
      <c r="G471" s="180"/>
      <c r="H471" s="122"/>
      <c r="J471" s="129"/>
    </row>
    <row r="472" spans="1:10" s="120" customFormat="1" ht="20.45" customHeight="1">
      <c r="A472" s="954"/>
      <c r="B472" s="123"/>
      <c r="C472" s="129"/>
      <c r="D472" s="150"/>
      <c r="F472" s="123"/>
      <c r="G472" s="180"/>
      <c r="H472" s="122"/>
      <c r="J472" s="129"/>
    </row>
    <row r="473" spans="1:10" s="120" customFormat="1" ht="20.45" customHeight="1">
      <c r="A473" s="954"/>
      <c r="B473" s="123"/>
      <c r="C473" s="129"/>
      <c r="D473" s="150"/>
      <c r="F473" s="123"/>
      <c r="G473" s="180"/>
      <c r="H473" s="122"/>
      <c r="J473" s="129"/>
    </row>
    <row r="474" spans="1:10" s="120" customFormat="1" ht="20.45" customHeight="1">
      <c r="A474" s="954"/>
      <c r="B474" s="123"/>
      <c r="C474" s="129"/>
      <c r="D474" s="150"/>
      <c r="F474" s="123"/>
      <c r="G474" s="180"/>
      <c r="H474" s="122"/>
      <c r="J474" s="129"/>
    </row>
    <row r="475" spans="1:10" s="120" customFormat="1" ht="20.45" customHeight="1">
      <c r="A475" s="954"/>
      <c r="B475" s="123"/>
      <c r="C475" s="129"/>
      <c r="D475" s="150"/>
      <c r="F475" s="123"/>
      <c r="G475" s="180"/>
      <c r="H475" s="122"/>
      <c r="J475" s="129"/>
    </row>
    <row r="476" spans="1:10" s="120" customFormat="1" ht="20.45" customHeight="1">
      <c r="A476" s="954"/>
      <c r="B476" s="123"/>
      <c r="C476" s="129"/>
      <c r="D476" s="150"/>
      <c r="F476" s="123"/>
      <c r="G476" s="180"/>
      <c r="H476" s="122"/>
      <c r="J476" s="129"/>
    </row>
    <row r="477" spans="1:10" s="120" customFormat="1" ht="20.45" customHeight="1">
      <c r="A477" s="954"/>
      <c r="B477" s="123"/>
      <c r="C477" s="129"/>
      <c r="D477" s="150"/>
      <c r="F477" s="123"/>
      <c r="G477" s="180"/>
      <c r="H477" s="122"/>
      <c r="J477" s="129"/>
    </row>
    <row r="478" spans="1:10" s="120" customFormat="1" ht="20.45" customHeight="1">
      <c r="A478" s="954"/>
      <c r="B478" s="123"/>
      <c r="C478" s="129"/>
      <c r="D478" s="150"/>
      <c r="F478" s="123"/>
      <c r="G478" s="180"/>
      <c r="H478" s="122"/>
      <c r="J478" s="129"/>
    </row>
    <row r="479" spans="1:10" s="120" customFormat="1" ht="20.45" customHeight="1">
      <c r="A479" s="954"/>
      <c r="B479" s="123"/>
      <c r="C479" s="129"/>
      <c r="D479" s="150"/>
      <c r="F479" s="123"/>
      <c r="G479" s="180"/>
      <c r="H479" s="122"/>
      <c r="J479" s="129"/>
    </row>
    <row r="480" spans="1:10" s="120" customFormat="1" ht="20.45" customHeight="1">
      <c r="A480" s="954"/>
      <c r="B480" s="123"/>
      <c r="C480" s="129"/>
      <c r="D480" s="150"/>
      <c r="F480" s="123"/>
      <c r="G480" s="180"/>
      <c r="H480" s="122"/>
      <c r="J480" s="129"/>
    </row>
    <row r="481" spans="1:10" s="120" customFormat="1" ht="20.45" customHeight="1">
      <c r="A481" s="954"/>
      <c r="B481" s="123"/>
      <c r="C481" s="129"/>
      <c r="D481" s="150"/>
      <c r="F481" s="123"/>
      <c r="G481" s="180"/>
      <c r="H481" s="122"/>
      <c r="J481" s="129"/>
    </row>
    <row r="482" spans="1:10" s="120" customFormat="1" ht="20.45" customHeight="1">
      <c r="A482" s="954"/>
      <c r="B482" s="123"/>
      <c r="C482" s="129"/>
      <c r="D482" s="150"/>
      <c r="F482" s="123"/>
      <c r="G482" s="180"/>
      <c r="H482" s="122"/>
      <c r="J482" s="129"/>
    </row>
    <row r="483" spans="1:10" s="120" customFormat="1" ht="20.45" customHeight="1">
      <c r="A483" s="954"/>
      <c r="B483" s="123"/>
      <c r="C483" s="129"/>
      <c r="D483" s="150"/>
      <c r="F483" s="123"/>
      <c r="G483" s="180"/>
      <c r="H483" s="122"/>
      <c r="J483" s="129"/>
    </row>
    <row r="484" spans="1:10" s="120" customFormat="1" ht="20.45" customHeight="1">
      <c r="A484" s="954"/>
      <c r="B484" s="123"/>
      <c r="C484" s="129"/>
      <c r="D484" s="150"/>
      <c r="F484" s="123"/>
      <c r="G484" s="180"/>
      <c r="H484" s="122"/>
      <c r="J484" s="129"/>
    </row>
    <row r="485" spans="1:10" s="120" customFormat="1" ht="20.45" customHeight="1">
      <c r="A485" s="954"/>
      <c r="B485" s="123"/>
      <c r="C485" s="129"/>
      <c r="D485" s="150"/>
      <c r="F485" s="123"/>
      <c r="G485" s="180"/>
      <c r="H485" s="122"/>
      <c r="J485" s="129"/>
    </row>
    <row r="486" spans="1:10" s="120" customFormat="1" ht="20.45" customHeight="1">
      <c r="A486" s="954"/>
      <c r="B486" s="123"/>
      <c r="C486" s="129"/>
      <c r="D486" s="150"/>
      <c r="F486" s="123"/>
      <c r="G486" s="180"/>
      <c r="H486" s="122"/>
      <c r="J486" s="129"/>
    </row>
    <row r="487" spans="1:10" s="120" customFormat="1" ht="20.45" customHeight="1">
      <c r="A487" s="954"/>
      <c r="B487" s="123"/>
      <c r="C487" s="129"/>
      <c r="D487" s="150"/>
      <c r="F487" s="123"/>
      <c r="G487" s="180"/>
      <c r="H487" s="122"/>
      <c r="J487" s="129"/>
    </row>
    <row r="488" spans="1:10" s="120" customFormat="1" ht="20.45" customHeight="1">
      <c r="A488" s="954"/>
      <c r="B488" s="123"/>
      <c r="C488" s="129"/>
      <c r="D488" s="150"/>
      <c r="F488" s="123"/>
      <c r="G488" s="180"/>
      <c r="H488" s="122"/>
      <c r="J488" s="129"/>
    </row>
    <row r="489" spans="1:10" s="120" customFormat="1" ht="20.45" customHeight="1">
      <c r="A489" s="954"/>
      <c r="B489" s="123"/>
      <c r="C489" s="129"/>
      <c r="D489" s="150"/>
      <c r="F489" s="123"/>
      <c r="G489" s="180"/>
      <c r="H489" s="122"/>
      <c r="J489" s="129"/>
    </row>
    <row r="490" spans="1:10" s="120" customFormat="1" ht="20.45" customHeight="1">
      <c r="A490" s="954"/>
      <c r="B490" s="123"/>
      <c r="C490" s="129"/>
      <c r="D490" s="150"/>
      <c r="F490" s="123"/>
      <c r="G490" s="180"/>
      <c r="H490" s="122"/>
      <c r="J490" s="129"/>
    </row>
    <row r="491" spans="1:10" s="120" customFormat="1" ht="20.45" customHeight="1">
      <c r="A491" s="954"/>
      <c r="B491" s="123"/>
      <c r="C491" s="129"/>
      <c r="D491" s="150"/>
      <c r="F491" s="123"/>
      <c r="G491" s="180"/>
      <c r="H491" s="122"/>
      <c r="J491" s="129"/>
    </row>
    <row r="492" spans="1:10" s="120" customFormat="1" ht="20.45" customHeight="1">
      <c r="A492" s="954"/>
      <c r="B492" s="123"/>
      <c r="C492" s="129"/>
      <c r="D492" s="150"/>
      <c r="F492" s="123"/>
      <c r="G492" s="180"/>
      <c r="H492" s="122"/>
      <c r="J492" s="129"/>
    </row>
    <row r="493" spans="1:10" s="120" customFormat="1" ht="20.45" customHeight="1">
      <c r="A493" s="954"/>
      <c r="B493" s="123"/>
      <c r="C493" s="129"/>
      <c r="D493" s="150"/>
      <c r="F493" s="123"/>
      <c r="G493" s="180"/>
      <c r="H493" s="122"/>
      <c r="J493" s="129"/>
    </row>
    <row r="494" spans="1:10" s="120" customFormat="1" ht="20.45" customHeight="1">
      <c r="A494" s="954"/>
      <c r="B494" s="123"/>
      <c r="C494" s="129"/>
      <c r="D494" s="150"/>
      <c r="F494" s="123"/>
      <c r="G494" s="180"/>
      <c r="H494" s="122"/>
      <c r="J494" s="129"/>
    </row>
    <row r="495" spans="1:10" s="120" customFormat="1" ht="20.45" customHeight="1">
      <c r="A495" s="954"/>
      <c r="B495" s="123"/>
      <c r="C495" s="129"/>
      <c r="D495" s="150"/>
      <c r="F495" s="123"/>
      <c r="G495" s="180"/>
      <c r="H495" s="122"/>
      <c r="J495" s="129"/>
    </row>
    <row r="496" spans="1:10" s="120" customFormat="1" ht="20.45" customHeight="1">
      <c r="A496" s="954"/>
      <c r="B496" s="123"/>
      <c r="C496" s="129"/>
      <c r="D496" s="150"/>
      <c r="F496" s="123"/>
      <c r="G496" s="180"/>
      <c r="H496" s="122"/>
      <c r="J496" s="129"/>
    </row>
    <row r="497" spans="1:10" s="120" customFormat="1" ht="20.45" customHeight="1">
      <c r="A497" s="954"/>
      <c r="B497" s="123"/>
      <c r="C497" s="129"/>
      <c r="D497" s="150"/>
      <c r="F497" s="123"/>
      <c r="G497" s="180"/>
      <c r="H497" s="122"/>
      <c r="J497" s="129"/>
    </row>
    <row r="498" spans="1:10" s="120" customFormat="1" ht="20.45" customHeight="1">
      <c r="A498" s="954"/>
      <c r="B498" s="123"/>
      <c r="C498" s="129"/>
      <c r="D498" s="150"/>
      <c r="F498" s="123"/>
      <c r="G498" s="180"/>
      <c r="H498" s="122"/>
      <c r="J498" s="129"/>
    </row>
    <row r="499" spans="1:10" s="120" customFormat="1" ht="20.45" customHeight="1">
      <c r="A499" s="954"/>
      <c r="B499" s="123"/>
      <c r="C499" s="129"/>
      <c r="D499" s="150"/>
      <c r="F499" s="123"/>
      <c r="G499" s="180"/>
      <c r="H499" s="122"/>
      <c r="J499" s="129"/>
    </row>
    <row r="500" spans="1:10" s="120" customFormat="1" ht="20.45" customHeight="1">
      <c r="A500" s="954"/>
      <c r="B500" s="123"/>
      <c r="C500" s="129"/>
      <c r="D500" s="150"/>
      <c r="F500" s="123"/>
      <c r="G500" s="180"/>
      <c r="H500" s="122"/>
      <c r="J500" s="129"/>
    </row>
    <row r="501" spans="1:10" s="120" customFormat="1" ht="20.45" customHeight="1">
      <c r="A501" s="954"/>
      <c r="B501" s="123"/>
      <c r="C501" s="129"/>
      <c r="D501" s="150"/>
      <c r="F501" s="123"/>
      <c r="G501" s="180"/>
      <c r="H501" s="122"/>
      <c r="J501" s="129"/>
    </row>
    <row r="502" spans="1:10" s="120" customFormat="1" ht="20.45" customHeight="1">
      <c r="A502" s="954"/>
      <c r="B502" s="123"/>
      <c r="C502" s="129"/>
      <c r="D502" s="150"/>
      <c r="F502" s="123"/>
      <c r="G502" s="180"/>
      <c r="H502" s="122"/>
      <c r="J502" s="129"/>
    </row>
    <row r="503" spans="1:10" s="120" customFormat="1" ht="20.45" customHeight="1">
      <c r="A503" s="954"/>
      <c r="B503" s="123"/>
      <c r="C503" s="129"/>
      <c r="D503" s="150"/>
      <c r="F503" s="123"/>
      <c r="G503" s="180"/>
      <c r="H503" s="122"/>
      <c r="J503" s="129"/>
    </row>
    <row r="504" spans="1:10" s="120" customFormat="1" ht="20.45" customHeight="1">
      <c r="A504" s="954"/>
      <c r="B504" s="123"/>
      <c r="C504" s="129"/>
      <c r="D504" s="150"/>
      <c r="F504" s="123"/>
      <c r="G504" s="180"/>
      <c r="H504" s="122"/>
      <c r="J504" s="129"/>
    </row>
    <row r="505" spans="1:10" s="120" customFormat="1" ht="20.45" customHeight="1">
      <c r="A505" s="954"/>
      <c r="B505" s="123"/>
      <c r="C505" s="129"/>
      <c r="D505" s="150"/>
      <c r="F505" s="123"/>
      <c r="G505" s="180"/>
      <c r="H505" s="122"/>
      <c r="J505" s="129"/>
    </row>
    <row r="506" spans="1:10" s="120" customFormat="1" ht="20.45" customHeight="1">
      <c r="A506" s="954"/>
      <c r="B506" s="123"/>
      <c r="C506" s="129"/>
      <c r="D506" s="150"/>
      <c r="F506" s="123"/>
      <c r="G506" s="180"/>
      <c r="H506" s="122"/>
      <c r="J506" s="129"/>
    </row>
    <row r="507" spans="1:10" s="120" customFormat="1" ht="20.45" customHeight="1">
      <c r="A507" s="954"/>
      <c r="B507" s="123"/>
      <c r="C507" s="129"/>
      <c r="D507" s="150"/>
      <c r="F507" s="123"/>
      <c r="G507" s="180"/>
      <c r="H507" s="122"/>
      <c r="J507" s="129"/>
    </row>
    <row r="508" spans="1:10" s="120" customFormat="1" ht="20.45" customHeight="1">
      <c r="A508" s="954"/>
      <c r="B508" s="123"/>
      <c r="C508" s="129"/>
      <c r="D508" s="150"/>
      <c r="F508" s="123"/>
      <c r="G508" s="180"/>
      <c r="H508" s="122"/>
      <c r="J508" s="129"/>
    </row>
    <row r="509" spans="1:10" s="120" customFormat="1" ht="20.45" customHeight="1">
      <c r="A509" s="954"/>
      <c r="B509" s="123"/>
      <c r="C509" s="129"/>
      <c r="D509" s="150"/>
      <c r="F509" s="123"/>
      <c r="G509" s="180"/>
      <c r="H509" s="122"/>
      <c r="J509" s="129"/>
    </row>
    <row r="510" spans="1:10" s="120" customFormat="1" ht="20.45" customHeight="1">
      <c r="A510" s="954"/>
      <c r="B510" s="123"/>
      <c r="C510" s="129"/>
      <c r="D510" s="150"/>
      <c r="F510" s="123"/>
      <c r="G510" s="180"/>
      <c r="H510" s="122"/>
      <c r="J510" s="129"/>
    </row>
    <row r="511" spans="1:10" s="120" customFormat="1" ht="20.45" customHeight="1">
      <c r="A511" s="954"/>
      <c r="B511" s="123"/>
      <c r="C511" s="129"/>
      <c r="D511" s="150"/>
      <c r="F511" s="123"/>
      <c r="G511" s="180"/>
      <c r="H511" s="122"/>
      <c r="J511" s="129"/>
    </row>
    <row r="512" spans="1:10" s="120" customFormat="1" ht="20.45" customHeight="1">
      <c r="A512" s="954"/>
      <c r="B512" s="123"/>
      <c r="C512" s="129"/>
      <c r="D512" s="150"/>
      <c r="F512" s="123"/>
      <c r="G512" s="180"/>
      <c r="H512" s="122"/>
      <c r="J512" s="129"/>
    </row>
    <row r="513" spans="1:10" s="120" customFormat="1" ht="20.45" customHeight="1">
      <c r="A513" s="954"/>
      <c r="B513" s="123"/>
      <c r="C513" s="129"/>
      <c r="D513" s="150"/>
      <c r="F513" s="123"/>
      <c r="G513" s="180"/>
      <c r="H513" s="122"/>
      <c r="J513" s="129"/>
    </row>
    <row r="514" spans="1:10" s="120" customFormat="1" ht="20.45" customHeight="1">
      <c r="A514" s="954"/>
      <c r="B514" s="123"/>
      <c r="C514" s="129"/>
      <c r="D514" s="150"/>
      <c r="F514" s="123"/>
      <c r="G514" s="180"/>
      <c r="H514" s="122"/>
      <c r="J514" s="129"/>
    </row>
    <row r="515" spans="1:10" s="120" customFormat="1" ht="20.45" customHeight="1">
      <c r="A515" s="954"/>
      <c r="B515" s="123"/>
      <c r="C515" s="129"/>
      <c r="D515" s="150"/>
      <c r="F515" s="123"/>
      <c r="G515" s="180"/>
      <c r="H515" s="122"/>
      <c r="J515" s="129"/>
    </row>
    <row r="516" spans="1:10" s="120" customFormat="1" ht="20.45" customHeight="1">
      <c r="A516" s="954"/>
      <c r="B516" s="123"/>
      <c r="C516" s="129"/>
      <c r="D516" s="150"/>
      <c r="F516" s="123"/>
      <c r="G516" s="180"/>
      <c r="H516" s="122"/>
      <c r="J516" s="129"/>
    </row>
    <row r="517" spans="1:10" s="120" customFormat="1" ht="20.45" customHeight="1">
      <c r="A517" s="954"/>
      <c r="B517" s="123"/>
      <c r="C517" s="129"/>
      <c r="D517" s="150"/>
      <c r="F517" s="123"/>
      <c r="G517" s="180"/>
      <c r="H517" s="122"/>
      <c r="J517" s="129"/>
    </row>
    <row r="518" spans="1:10" s="120" customFormat="1" ht="20.45" customHeight="1">
      <c r="A518" s="954"/>
      <c r="B518" s="123"/>
      <c r="C518" s="129"/>
      <c r="D518" s="150"/>
      <c r="F518" s="123"/>
      <c r="G518" s="180"/>
      <c r="H518" s="122"/>
      <c r="J518" s="129"/>
    </row>
    <row r="519" spans="1:10" s="120" customFormat="1" ht="20.45" customHeight="1">
      <c r="A519" s="954"/>
      <c r="B519" s="123"/>
      <c r="C519" s="129"/>
      <c r="D519" s="150"/>
      <c r="F519" s="123"/>
      <c r="G519" s="180"/>
      <c r="H519" s="122"/>
      <c r="J519" s="129"/>
    </row>
    <row r="520" spans="1:10" s="120" customFormat="1" ht="20.45" customHeight="1">
      <c r="A520" s="954"/>
      <c r="B520" s="123"/>
      <c r="C520" s="129"/>
      <c r="D520" s="150"/>
      <c r="F520" s="123"/>
      <c r="G520" s="180"/>
      <c r="H520" s="122"/>
      <c r="J520" s="129"/>
    </row>
    <row r="521" spans="1:10" s="120" customFormat="1" ht="20.45" customHeight="1">
      <c r="A521" s="954"/>
      <c r="B521" s="123"/>
      <c r="C521" s="129"/>
      <c r="D521" s="150"/>
      <c r="F521" s="123"/>
      <c r="G521" s="180"/>
      <c r="H521" s="122"/>
      <c r="J521" s="129"/>
    </row>
    <row r="522" spans="1:10" s="120" customFormat="1" ht="20.45" customHeight="1">
      <c r="A522" s="954"/>
      <c r="B522" s="123"/>
      <c r="C522" s="129"/>
      <c r="D522" s="150"/>
      <c r="F522" s="123"/>
      <c r="G522" s="180"/>
      <c r="H522" s="122"/>
      <c r="J522" s="129"/>
    </row>
    <row r="523" spans="1:10" s="120" customFormat="1" ht="20.45" customHeight="1">
      <c r="A523" s="954"/>
      <c r="B523" s="123"/>
      <c r="C523" s="129"/>
      <c r="D523" s="150"/>
      <c r="F523" s="123"/>
      <c r="G523" s="180"/>
      <c r="H523" s="122"/>
      <c r="J523" s="129"/>
    </row>
    <row r="524" spans="1:10" s="120" customFormat="1" ht="20.45" customHeight="1">
      <c r="A524" s="954"/>
      <c r="B524" s="123"/>
      <c r="C524" s="129"/>
      <c r="D524" s="150"/>
      <c r="F524" s="123"/>
      <c r="G524" s="180"/>
      <c r="H524" s="122"/>
      <c r="J524" s="129"/>
    </row>
    <row r="525" spans="1:10" s="120" customFormat="1" ht="20.45" customHeight="1">
      <c r="A525" s="954"/>
      <c r="B525" s="123"/>
      <c r="C525" s="129"/>
      <c r="D525" s="150"/>
      <c r="F525" s="123"/>
      <c r="G525" s="180"/>
      <c r="H525" s="122"/>
      <c r="J525" s="129"/>
    </row>
    <row r="526" spans="1:10" s="120" customFormat="1" ht="20.45" customHeight="1">
      <c r="A526" s="954"/>
      <c r="B526" s="123"/>
      <c r="C526" s="129"/>
      <c r="D526" s="150"/>
      <c r="F526" s="123"/>
      <c r="G526" s="180"/>
      <c r="H526" s="122"/>
      <c r="J526" s="129"/>
    </row>
    <row r="527" spans="1:10" s="120" customFormat="1" ht="20.45" customHeight="1">
      <c r="A527" s="954"/>
      <c r="B527" s="123"/>
      <c r="C527" s="129"/>
      <c r="D527" s="150"/>
      <c r="F527" s="123"/>
      <c r="G527" s="180"/>
      <c r="H527" s="122"/>
      <c r="J527" s="129"/>
    </row>
    <row r="528" spans="1:10" s="120" customFormat="1" ht="20.45" customHeight="1">
      <c r="A528" s="954"/>
      <c r="B528" s="123"/>
      <c r="C528" s="129"/>
      <c r="D528" s="150"/>
      <c r="F528" s="123"/>
      <c r="G528" s="180"/>
      <c r="H528" s="122"/>
      <c r="J528" s="129"/>
    </row>
    <row r="529" spans="1:10" s="120" customFormat="1" ht="20.45" customHeight="1">
      <c r="A529" s="954"/>
      <c r="B529" s="123"/>
      <c r="C529" s="129"/>
      <c r="D529" s="150"/>
      <c r="F529" s="123"/>
      <c r="G529" s="180"/>
      <c r="H529" s="122"/>
      <c r="J529" s="129"/>
    </row>
    <row r="530" spans="1:10" s="120" customFormat="1" ht="20.45" customHeight="1">
      <c r="A530" s="954"/>
      <c r="B530" s="123"/>
      <c r="C530" s="129"/>
      <c r="D530" s="150"/>
      <c r="F530" s="123"/>
      <c r="G530" s="180"/>
      <c r="H530" s="122"/>
      <c r="J530" s="129"/>
    </row>
    <row r="531" spans="1:10" s="120" customFormat="1" ht="20.45" customHeight="1">
      <c r="A531" s="954"/>
      <c r="B531" s="123"/>
      <c r="C531" s="129"/>
      <c r="D531" s="150"/>
      <c r="F531" s="123"/>
      <c r="G531" s="180"/>
      <c r="H531" s="122"/>
      <c r="J531" s="129"/>
    </row>
    <row r="532" spans="1:10" s="120" customFormat="1" ht="20.45" customHeight="1">
      <c r="A532" s="954"/>
      <c r="B532" s="123"/>
      <c r="C532" s="129"/>
      <c r="D532" s="150"/>
      <c r="F532" s="123"/>
      <c r="G532" s="180"/>
      <c r="H532" s="122"/>
      <c r="J532" s="129"/>
    </row>
    <row r="533" spans="1:10" s="120" customFormat="1" ht="20.45" customHeight="1">
      <c r="A533" s="954"/>
      <c r="B533" s="123"/>
      <c r="C533" s="129"/>
      <c r="D533" s="150"/>
      <c r="F533" s="123"/>
      <c r="G533" s="180"/>
      <c r="H533" s="122"/>
      <c r="J533" s="129"/>
    </row>
    <row r="534" spans="1:10" s="120" customFormat="1" ht="20.45" customHeight="1">
      <c r="A534" s="954"/>
      <c r="B534" s="123"/>
      <c r="C534" s="129"/>
      <c r="D534" s="150"/>
      <c r="F534" s="123"/>
      <c r="G534" s="180"/>
      <c r="H534" s="122"/>
      <c r="J534" s="129"/>
    </row>
    <row r="535" spans="1:10" s="120" customFormat="1" ht="20.45" customHeight="1">
      <c r="A535" s="954"/>
      <c r="B535" s="123"/>
      <c r="C535" s="129"/>
      <c r="D535" s="150"/>
      <c r="F535" s="123"/>
      <c r="G535" s="180"/>
      <c r="H535" s="122"/>
      <c r="J535" s="129"/>
    </row>
    <row r="536" spans="1:10" s="120" customFormat="1" ht="20.45" customHeight="1">
      <c r="A536" s="954"/>
      <c r="B536" s="123"/>
      <c r="C536" s="129"/>
      <c r="D536" s="150"/>
      <c r="F536" s="123"/>
      <c r="G536" s="180"/>
      <c r="H536" s="122"/>
      <c r="J536" s="129"/>
    </row>
    <row r="537" spans="1:10" s="120" customFormat="1" ht="20.45" customHeight="1">
      <c r="A537" s="954"/>
      <c r="B537" s="123"/>
      <c r="C537" s="129"/>
      <c r="D537" s="150"/>
      <c r="F537" s="123"/>
      <c r="G537" s="180"/>
      <c r="H537" s="122"/>
      <c r="J537" s="129"/>
    </row>
    <row r="538" spans="1:10" s="120" customFormat="1" ht="20.45" customHeight="1">
      <c r="A538" s="954"/>
      <c r="B538" s="123"/>
      <c r="C538" s="129"/>
      <c r="D538" s="150"/>
      <c r="F538" s="123"/>
      <c r="G538" s="180"/>
      <c r="H538" s="122"/>
      <c r="J538" s="129"/>
    </row>
    <row r="539" spans="1:10" s="120" customFormat="1" ht="20.45" customHeight="1">
      <c r="A539" s="954"/>
      <c r="B539" s="123"/>
      <c r="C539" s="129"/>
      <c r="D539" s="150"/>
      <c r="F539" s="123"/>
      <c r="G539" s="180"/>
      <c r="H539" s="122"/>
      <c r="J539" s="129"/>
    </row>
    <row r="540" spans="1:10" s="120" customFormat="1" ht="20.45" customHeight="1">
      <c r="A540" s="954"/>
      <c r="B540" s="123"/>
      <c r="C540" s="129"/>
      <c r="D540" s="150"/>
      <c r="F540" s="123"/>
      <c r="G540" s="180"/>
      <c r="H540" s="122"/>
      <c r="J540" s="129"/>
    </row>
    <row r="541" spans="1:10" s="120" customFormat="1" ht="20.45" customHeight="1">
      <c r="A541" s="954"/>
      <c r="B541" s="123"/>
      <c r="C541" s="129"/>
      <c r="D541" s="150"/>
      <c r="F541" s="123"/>
      <c r="G541" s="180"/>
      <c r="H541" s="122"/>
      <c r="J541" s="129"/>
    </row>
    <row r="542" spans="1:10" s="120" customFormat="1" ht="20.45" customHeight="1">
      <c r="A542" s="954"/>
      <c r="B542" s="123"/>
      <c r="C542" s="129"/>
      <c r="D542" s="150"/>
      <c r="F542" s="123"/>
      <c r="G542" s="180"/>
      <c r="H542" s="122"/>
      <c r="J542" s="129"/>
    </row>
    <row r="543" spans="1:10" s="120" customFormat="1" ht="20.45" customHeight="1">
      <c r="A543" s="954"/>
      <c r="B543" s="123"/>
      <c r="C543" s="129"/>
      <c r="D543" s="150"/>
      <c r="F543" s="123"/>
      <c r="G543" s="180"/>
      <c r="H543" s="122"/>
      <c r="J543" s="129"/>
    </row>
    <row r="544" spans="1:10" s="120" customFormat="1" ht="20.45" customHeight="1">
      <c r="A544" s="954"/>
      <c r="B544" s="123"/>
      <c r="C544" s="129"/>
      <c r="D544" s="150"/>
      <c r="F544" s="123"/>
      <c r="G544" s="180"/>
      <c r="H544" s="122"/>
      <c r="J544" s="129"/>
    </row>
    <row r="545" spans="1:10" s="120" customFormat="1" ht="20.45" customHeight="1">
      <c r="A545" s="954"/>
      <c r="B545" s="123"/>
      <c r="C545" s="129"/>
      <c r="D545" s="150"/>
      <c r="F545" s="123"/>
      <c r="G545" s="180"/>
      <c r="H545" s="122"/>
      <c r="J545" s="129"/>
    </row>
    <row r="546" spans="1:10" s="120" customFormat="1" ht="20.45" customHeight="1">
      <c r="A546" s="954"/>
      <c r="B546" s="123"/>
      <c r="C546" s="129"/>
      <c r="D546" s="150"/>
      <c r="F546" s="123"/>
      <c r="G546" s="180"/>
      <c r="H546" s="122"/>
      <c r="J546" s="129"/>
    </row>
    <row r="547" spans="1:10" s="120" customFormat="1" ht="20.45" customHeight="1">
      <c r="A547" s="954"/>
      <c r="B547" s="123"/>
      <c r="C547" s="129"/>
      <c r="D547" s="150"/>
      <c r="F547" s="123"/>
      <c r="G547" s="180"/>
      <c r="H547" s="122"/>
      <c r="J547" s="129"/>
    </row>
    <row r="548" spans="1:10" s="120" customFormat="1" ht="20.45" customHeight="1">
      <c r="A548" s="954"/>
      <c r="B548" s="123"/>
      <c r="C548" s="129"/>
      <c r="D548" s="150"/>
      <c r="F548" s="123"/>
      <c r="G548" s="180"/>
      <c r="H548" s="122"/>
      <c r="J548" s="129"/>
    </row>
    <row r="549" spans="1:10" s="120" customFormat="1" ht="20.45" customHeight="1">
      <c r="A549" s="954"/>
      <c r="B549" s="123"/>
      <c r="C549" s="129"/>
      <c r="D549" s="150"/>
      <c r="F549" s="123"/>
      <c r="G549" s="180"/>
      <c r="H549" s="122"/>
      <c r="J549" s="129"/>
    </row>
    <row r="550" spans="1:10" s="120" customFormat="1" ht="20.45" customHeight="1">
      <c r="A550" s="954"/>
      <c r="B550" s="123"/>
      <c r="C550" s="129"/>
      <c r="D550" s="150"/>
      <c r="F550" s="123"/>
      <c r="G550" s="180"/>
      <c r="H550" s="122"/>
      <c r="J550" s="129"/>
    </row>
    <row r="551" spans="1:10" s="120" customFormat="1" ht="20.45" customHeight="1">
      <c r="A551" s="954"/>
      <c r="B551" s="123"/>
      <c r="C551" s="129"/>
      <c r="D551" s="150"/>
      <c r="F551" s="123"/>
      <c r="G551" s="180"/>
      <c r="H551" s="122"/>
      <c r="J551" s="129"/>
    </row>
    <row r="552" spans="1:10" s="120" customFormat="1" ht="20.45" customHeight="1">
      <c r="A552" s="954"/>
      <c r="B552" s="123"/>
      <c r="C552" s="129"/>
      <c r="D552" s="150"/>
      <c r="F552" s="123"/>
      <c r="G552" s="180"/>
      <c r="H552" s="122"/>
      <c r="J552" s="129"/>
    </row>
    <row r="553" spans="1:10" s="120" customFormat="1" ht="20.45" customHeight="1">
      <c r="A553" s="954"/>
      <c r="B553" s="123"/>
      <c r="C553" s="129"/>
      <c r="D553" s="150"/>
      <c r="F553" s="123"/>
      <c r="G553" s="180"/>
      <c r="H553" s="122"/>
      <c r="J553" s="129"/>
    </row>
    <row r="554" spans="1:10" s="120" customFormat="1" ht="20.45" customHeight="1">
      <c r="A554" s="954"/>
      <c r="B554" s="123"/>
      <c r="C554" s="129"/>
      <c r="D554" s="150"/>
      <c r="F554" s="123"/>
      <c r="G554" s="180"/>
      <c r="H554" s="122"/>
      <c r="J554" s="129"/>
    </row>
    <row r="555" spans="1:10" s="120" customFormat="1" ht="20.45" customHeight="1">
      <c r="A555" s="954"/>
      <c r="B555" s="123"/>
      <c r="C555" s="129"/>
      <c r="D555" s="150"/>
      <c r="F555" s="123"/>
      <c r="G555" s="180"/>
      <c r="H555" s="122"/>
      <c r="J555" s="129"/>
    </row>
    <row r="556" spans="1:10" s="120" customFormat="1" ht="20.45" customHeight="1">
      <c r="A556" s="954"/>
      <c r="B556" s="123"/>
      <c r="C556" s="129"/>
      <c r="D556" s="150"/>
      <c r="F556" s="123"/>
      <c r="G556" s="180"/>
      <c r="H556" s="122"/>
      <c r="J556" s="129"/>
    </row>
    <row r="557" spans="1:10" s="120" customFormat="1" ht="20.45" customHeight="1">
      <c r="A557" s="954"/>
      <c r="B557" s="123"/>
      <c r="C557" s="129"/>
      <c r="D557" s="150"/>
      <c r="F557" s="123"/>
      <c r="G557" s="180"/>
      <c r="H557" s="122"/>
      <c r="J557" s="129"/>
    </row>
    <row r="558" spans="1:10" s="120" customFormat="1" ht="20.45" customHeight="1">
      <c r="A558" s="954"/>
      <c r="B558" s="123"/>
      <c r="C558" s="129"/>
      <c r="D558" s="150"/>
      <c r="F558" s="123"/>
      <c r="G558" s="180"/>
      <c r="H558" s="122"/>
      <c r="J558" s="129"/>
    </row>
    <row r="559" spans="1:10" s="120" customFormat="1" ht="20.45" customHeight="1">
      <c r="A559" s="954"/>
      <c r="B559" s="123"/>
      <c r="C559" s="129"/>
      <c r="D559" s="150"/>
      <c r="F559" s="123"/>
      <c r="G559" s="180"/>
      <c r="H559" s="122"/>
      <c r="J559" s="129"/>
    </row>
    <row r="560" spans="1:10" s="120" customFormat="1" ht="20.45" customHeight="1">
      <c r="A560" s="954"/>
      <c r="B560" s="123"/>
      <c r="C560" s="129"/>
      <c r="D560" s="150"/>
      <c r="F560" s="123"/>
      <c r="G560" s="180"/>
      <c r="H560" s="122"/>
      <c r="J560" s="129"/>
    </row>
    <row r="561" spans="1:10" s="120" customFormat="1" ht="20.45" customHeight="1">
      <c r="A561" s="954"/>
      <c r="B561" s="123"/>
      <c r="C561" s="129"/>
      <c r="D561" s="150"/>
      <c r="F561" s="123"/>
      <c r="G561" s="180"/>
      <c r="H561" s="122"/>
      <c r="J561" s="129"/>
    </row>
    <row r="562" spans="1:10" s="120" customFormat="1" ht="20.45" customHeight="1">
      <c r="A562" s="954"/>
      <c r="B562" s="123"/>
      <c r="C562" s="129"/>
      <c r="D562" s="150"/>
      <c r="F562" s="123"/>
      <c r="G562" s="180"/>
      <c r="H562" s="122"/>
      <c r="J562" s="129"/>
    </row>
    <row r="563" spans="1:10" s="120" customFormat="1" ht="20.45" customHeight="1">
      <c r="A563" s="954"/>
      <c r="B563" s="123"/>
      <c r="C563" s="129"/>
      <c r="D563" s="150"/>
      <c r="F563" s="123"/>
      <c r="G563" s="180"/>
      <c r="H563" s="122"/>
      <c r="J563" s="129"/>
    </row>
    <row r="564" spans="1:10" s="120" customFormat="1" ht="20.45" customHeight="1">
      <c r="A564" s="954"/>
      <c r="B564" s="123"/>
      <c r="C564" s="129"/>
      <c r="D564" s="150"/>
      <c r="F564" s="123"/>
      <c r="G564" s="180"/>
      <c r="H564" s="122"/>
      <c r="J564" s="129"/>
    </row>
    <row r="565" spans="1:10" s="120" customFormat="1" ht="20.45" customHeight="1">
      <c r="A565" s="954"/>
      <c r="B565" s="123"/>
      <c r="C565" s="129"/>
      <c r="D565" s="150"/>
      <c r="F565" s="123"/>
      <c r="G565" s="180"/>
      <c r="H565" s="122"/>
      <c r="J565" s="129"/>
    </row>
    <row r="566" spans="1:10" s="120" customFormat="1" ht="20.45" customHeight="1">
      <c r="A566" s="954"/>
      <c r="B566" s="123"/>
      <c r="C566" s="129"/>
      <c r="D566" s="150"/>
      <c r="F566" s="123"/>
      <c r="G566" s="180"/>
      <c r="H566" s="122"/>
      <c r="J566" s="129"/>
    </row>
    <row r="567" spans="1:10" s="120" customFormat="1" ht="20.45" customHeight="1">
      <c r="A567" s="954"/>
      <c r="B567" s="123"/>
      <c r="C567" s="129"/>
      <c r="D567" s="150"/>
      <c r="F567" s="123"/>
      <c r="G567" s="180"/>
      <c r="H567" s="122"/>
      <c r="J567" s="129"/>
    </row>
    <row r="568" spans="1:10" s="120" customFormat="1" ht="20.45" customHeight="1">
      <c r="A568" s="954"/>
      <c r="B568" s="123"/>
      <c r="C568" s="129"/>
      <c r="D568" s="150"/>
      <c r="F568" s="123"/>
      <c r="G568" s="180"/>
      <c r="H568" s="122"/>
      <c r="J568" s="129"/>
    </row>
    <row r="569" spans="1:10" s="120" customFormat="1" ht="20.45" customHeight="1">
      <c r="A569" s="954"/>
      <c r="B569" s="123"/>
      <c r="C569" s="129"/>
      <c r="D569" s="150"/>
      <c r="F569" s="123"/>
      <c r="G569" s="180"/>
      <c r="H569" s="122"/>
      <c r="J569" s="129"/>
    </row>
    <row r="570" spans="1:10" s="120" customFormat="1" ht="20.45" customHeight="1">
      <c r="A570" s="954"/>
      <c r="B570" s="123"/>
      <c r="C570" s="129"/>
      <c r="D570" s="150"/>
      <c r="F570" s="123"/>
      <c r="G570" s="180"/>
      <c r="H570" s="122"/>
      <c r="J570" s="129"/>
    </row>
    <row r="571" spans="1:10" s="120" customFormat="1" ht="20.45" customHeight="1">
      <c r="A571" s="954"/>
      <c r="B571" s="123"/>
      <c r="C571" s="129"/>
      <c r="D571" s="150"/>
      <c r="F571" s="123"/>
      <c r="G571" s="180"/>
      <c r="H571" s="122"/>
      <c r="J571" s="129"/>
    </row>
    <row r="572" spans="1:10" s="120" customFormat="1" ht="20.45" customHeight="1">
      <c r="A572" s="954"/>
      <c r="B572" s="123"/>
      <c r="C572" s="129"/>
      <c r="D572" s="150"/>
      <c r="F572" s="123"/>
      <c r="G572" s="180"/>
      <c r="H572" s="122"/>
      <c r="J572" s="129"/>
    </row>
    <row r="573" spans="1:10" s="120" customFormat="1" ht="20.45" customHeight="1">
      <c r="A573" s="954"/>
      <c r="B573" s="123"/>
      <c r="C573" s="129"/>
      <c r="D573" s="150"/>
      <c r="F573" s="123"/>
      <c r="G573" s="180"/>
      <c r="H573" s="122"/>
      <c r="J573" s="129"/>
    </row>
    <row r="574" spans="1:10" s="120" customFormat="1" ht="20.45" customHeight="1">
      <c r="A574" s="954"/>
      <c r="B574" s="123"/>
      <c r="C574" s="129"/>
      <c r="D574" s="150"/>
      <c r="F574" s="123"/>
      <c r="G574" s="180"/>
      <c r="H574" s="122"/>
      <c r="J574" s="129"/>
    </row>
    <row r="575" spans="1:10" s="120" customFormat="1" ht="20.45" customHeight="1">
      <c r="A575" s="954"/>
      <c r="B575" s="123"/>
      <c r="C575" s="129"/>
      <c r="D575" s="150"/>
      <c r="F575" s="123"/>
      <c r="G575" s="180"/>
      <c r="H575" s="122"/>
      <c r="J575" s="129"/>
    </row>
    <row r="576" spans="1:10" s="120" customFormat="1" ht="20.45" customHeight="1">
      <c r="A576" s="954"/>
      <c r="B576" s="123"/>
      <c r="C576" s="129"/>
      <c r="D576" s="150"/>
      <c r="F576" s="123"/>
      <c r="G576" s="180"/>
      <c r="H576" s="122"/>
      <c r="J576" s="129"/>
    </row>
    <row r="577" spans="1:10" s="120" customFormat="1" ht="20.45" customHeight="1">
      <c r="A577" s="954"/>
      <c r="B577" s="123"/>
      <c r="C577" s="129"/>
      <c r="D577" s="150"/>
      <c r="F577" s="123"/>
      <c r="G577" s="180"/>
      <c r="H577" s="122"/>
      <c r="J577" s="129"/>
    </row>
    <row r="578" spans="1:10" s="120" customFormat="1" ht="20.45" customHeight="1">
      <c r="A578" s="954"/>
      <c r="B578" s="123"/>
      <c r="C578" s="129"/>
      <c r="D578" s="150"/>
      <c r="F578" s="123"/>
      <c r="G578" s="180"/>
      <c r="H578" s="122"/>
      <c r="J578" s="129"/>
    </row>
    <row r="579" spans="1:10" s="120" customFormat="1" ht="20.45" customHeight="1">
      <c r="A579" s="954"/>
      <c r="B579" s="123"/>
      <c r="C579" s="129"/>
      <c r="D579" s="150"/>
      <c r="F579" s="123"/>
      <c r="G579" s="180"/>
      <c r="H579" s="122"/>
      <c r="J579" s="129"/>
    </row>
    <row r="580" spans="1:10" s="120" customFormat="1" ht="20.45" customHeight="1">
      <c r="A580" s="954"/>
      <c r="B580" s="123"/>
      <c r="C580" s="129"/>
      <c r="D580" s="150"/>
      <c r="F580" s="123"/>
      <c r="G580" s="180"/>
      <c r="H580" s="122"/>
      <c r="J580" s="129"/>
    </row>
    <row r="581" spans="1:10" s="120" customFormat="1" ht="20.45" customHeight="1">
      <c r="A581" s="954"/>
      <c r="B581" s="123"/>
      <c r="C581" s="129"/>
      <c r="D581" s="150"/>
      <c r="F581" s="123"/>
      <c r="G581" s="180"/>
      <c r="H581" s="122"/>
      <c r="J581" s="129"/>
    </row>
    <row r="582" spans="1:10" s="120" customFormat="1" ht="20.45" customHeight="1">
      <c r="A582" s="954"/>
      <c r="B582" s="123"/>
      <c r="C582" s="129"/>
      <c r="D582" s="150"/>
      <c r="F582" s="123"/>
      <c r="G582" s="180"/>
      <c r="H582" s="122"/>
      <c r="J582" s="129"/>
    </row>
    <row r="583" spans="1:10" s="120" customFormat="1" ht="20.45" customHeight="1">
      <c r="A583" s="954"/>
      <c r="B583" s="123"/>
      <c r="C583" s="129"/>
      <c r="D583" s="150"/>
      <c r="F583" s="123"/>
      <c r="G583" s="180"/>
      <c r="H583" s="122"/>
      <c r="J583" s="129"/>
    </row>
    <row r="584" spans="1:10" s="120" customFormat="1" ht="20.45" customHeight="1">
      <c r="A584" s="954"/>
      <c r="B584" s="123"/>
      <c r="C584" s="129"/>
      <c r="D584" s="150"/>
      <c r="F584" s="123"/>
      <c r="G584" s="180"/>
      <c r="H584" s="122"/>
      <c r="J584" s="129"/>
    </row>
    <row r="585" spans="1:10" s="120" customFormat="1" ht="20.45" customHeight="1">
      <c r="A585" s="954"/>
      <c r="B585" s="123"/>
      <c r="C585" s="129"/>
      <c r="D585" s="150"/>
      <c r="F585" s="123"/>
      <c r="G585" s="180"/>
      <c r="H585" s="122"/>
      <c r="J585" s="129"/>
    </row>
    <row r="586" spans="1:10" s="120" customFormat="1" ht="20.45" customHeight="1">
      <c r="A586" s="954"/>
      <c r="B586" s="123"/>
      <c r="C586" s="129"/>
      <c r="D586" s="150"/>
      <c r="F586" s="123"/>
      <c r="G586" s="180"/>
      <c r="H586" s="122"/>
      <c r="J586" s="129"/>
    </row>
    <row r="587" spans="1:10" s="120" customFormat="1" ht="20.45" customHeight="1">
      <c r="A587" s="954"/>
      <c r="B587" s="123"/>
      <c r="C587" s="129"/>
      <c r="D587" s="150"/>
      <c r="F587" s="123"/>
      <c r="G587" s="180"/>
      <c r="H587" s="122"/>
      <c r="J587" s="129"/>
    </row>
    <row r="588" spans="1:10" s="120" customFormat="1" ht="20.45" customHeight="1">
      <c r="A588" s="954"/>
      <c r="B588" s="123"/>
      <c r="C588" s="129"/>
      <c r="D588" s="150"/>
      <c r="F588" s="123"/>
      <c r="G588" s="180"/>
      <c r="H588" s="122"/>
      <c r="J588" s="129"/>
    </row>
    <row r="589" spans="1:10" s="120" customFormat="1" ht="20.45" customHeight="1">
      <c r="A589" s="954"/>
      <c r="B589" s="123"/>
      <c r="C589" s="129"/>
      <c r="D589" s="150"/>
      <c r="F589" s="123"/>
      <c r="G589" s="180"/>
      <c r="H589" s="122"/>
      <c r="J589" s="129"/>
    </row>
    <row r="590" spans="1:10" s="120" customFormat="1" ht="20.45" customHeight="1">
      <c r="A590" s="954"/>
      <c r="B590" s="123"/>
      <c r="C590" s="129"/>
      <c r="D590" s="150"/>
      <c r="F590" s="123"/>
      <c r="G590" s="180"/>
      <c r="H590" s="122"/>
      <c r="J590" s="129"/>
    </row>
    <row r="591" spans="1:10" s="120" customFormat="1" ht="20.45" customHeight="1">
      <c r="A591" s="954"/>
      <c r="B591" s="123"/>
      <c r="C591" s="129"/>
      <c r="D591" s="150"/>
      <c r="F591" s="123"/>
      <c r="G591" s="180"/>
      <c r="H591" s="122"/>
      <c r="J591" s="129"/>
    </row>
    <row r="592" spans="1:10" s="120" customFormat="1" ht="20.45" customHeight="1">
      <c r="A592" s="954"/>
      <c r="B592" s="123"/>
      <c r="C592" s="129"/>
      <c r="D592" s="150"/>
      <c r="F592" s="123"/>
      <c r="G592" s="180"/>
      <c r="H592" s="122"/>
      <c r="J592" s="129"/>
    </row>
    <row r="593" spans="1:10" s="120" customFormat="1" ht="20.45" customHeight="1">
      <c r="A593" s="954"/>
      <c r="B593" s="123"/>
      <c r="C593" s="129"/>
      <c r="D593" s="150"/>
      <c r="F593" s="123"/>
      <c r="G593" s="180"/>
      <c r="H593" s="122"/>
      <c r="J593" s="129"/>
    </row>
    <row r="594" spans="1:10" s="120" customFormat="1" ht="20.45" customHeight="1">
      <c r="A594" s="954"/>
      <c r="B594" s="123"/>
      <c r="C594" s="129"/>
      <c r="D594" s="150"/>
      <c r="F594" s="123"/>
      <c r="G594" s="180"/>
      <c r="H594" s="122"/>
      <c r="J594" s="129"/>
    </row>
    <row r="595" spans="1:10" s="120" customFormat="1" ht="20.45" customHeight="1">
      <c r="A595" s="954"/>
      <c r="B595" s="123"/>
      <c r="C595" s="129"/>
      <c r="D595" s="150"/>
      <c r="F595" s="123"/>
      <c r="G595" s="180"/>
      <c r="H595" s="122"/>
      <c r="J595" s="129"/>
    </row>
    <row r="596" spans="1:10" s="120" customFormat="1" ht="20.45" customHeight="1">
      <c r="A596" s="954"/>
      <c r="B596" s="123"/>
      <c r="C596" s="129"/>
      <c r="D596" s="150"/>
      <c r="F596" s="123"/>
      <c r="G596" s="180"/>
      <c r="H596" s="122"/>
      <c r="J596" s="129"/>
    </row>
    <row r="597" spans="1:10" s="120" customFormat="1" ht="20.45" customHeight="1">
      <c r="A597" s="954"/>
      <c r="B597" s="123"/>
      <c r="C597" s="129"/>
      <c r="D597" s="150"/>
      <c r="F597" s="123"/>
      <c r="G597" s="180"/>
      <c r="H597" s="122"/>
      <c r="J597" s="129"/>
    </row>
    <row r="598" spans="1:10" s="120" customFormat="1" ht="20.45" customHeight="1">
      <c r="A598" s="954"/>
      <c r="B598" s="123"/>
      <c r="C598" s="129"/>
      <c r="D598" s="150"/>
      <c r="F598" s="123"/>
      <c r="G598" s="180"/>
      <c r="H598" s="122"/>
      <c r="J598" s="129"/>
    </row>
    <row r="599" spans="1:10" s="120" customFormat="1" ht="20.45" customHeight="1">
      <c r="A599" s="954"/>
      <c r="B599" s="123"/>
      <c r="C599" s="129"/>
      <c r="D599" s="150"/>
      <c r="F599" s="123"/>
      <c r="G599" s="180"/>
      <c r="H599" s="122"/>
      <c r="J599" s="129"/>
    </row>
    <row r="600" spans="1:10" s="120" customFormat="1" ht="20.45" customHeight="1">
      <c r="A600" s="954"/>
      <c r="B600" s="123"/>
      <c r="C600" s="129"/>
      <c r="D600" s="150"/>
      <c r="F600" s="123"/>
      <c r="G600" s="180"/>
      <c r="H600" s="122"/>
      <c r="J600" s="129"/>
    </row>
    <row r="601" spans="1:10" s="120" customFormat="1" ht="20.45" customHeight="1">
      <c r="A601" s="954"/>
      <c r="B601" s="123"/>
      <c r="C601" s="129"/>
      <c r="D601" s="150"/>
      <c r="F601" s="123"/>
      <c r="G601" s="180"/>
      <c r="H601" s="122"/>
      <c r="J601" s="129"/>
    </row>
    <row r="602" spans="1:10" s="120" customFormat="1" ht="20.45" customHeight="1">
      <c r="A602" s="954"/>
      <c r="B602" s="123"/>
      <c r="C602" s="129"/>
      <c r="D602" s="150"/>
      <c r="F602" s="123"/>
      <c r="G602" s="180"/>
      <c r="H602" s="122"/>
      <c r="J602" s="129"/>
    </row>
    <row r="603" spans="1:10" s="120" customFormat="1" ht="20.45" customHeight="1">
      <c r="A603" s="954"/>
      <c r="B603" s="123"/>
      <c r="C603" s="129"/>
      <c r="D603" s="150"/>
      <c r="F603" s="123"/>
      <c r="G603" s="180"/>
      <c r="H603" s="122"/>
      <c r="J603" s="129"/>
    </row>
    <row r="604" spans="1:10" s="120" customFormat="1" ht="20.45" customHeight="1">
      <c r="A604" s="954"/>
      <c r="B604" s="123"/>
      <c r="C604" s="129"/>
      <c r="D604" s="150"/>
      <c r="F604" s="123"/>
      <c r="G604" s="180"/>
      <c r="H604" s="122"/>
      <c r="J604" s="129"/>
    </row>
    <row r="605" spans="1:10" s="120" customFormat="1" ht="20.45" customHeight="1">
      <c r="A605" s="954"/>
      <c r="B605" s="123"/>
      <c r="C605" s="129"/>
      <c r="D605" s="150"/>
      <c r="F605" s="123"/>
      <c r="G605" s="180"/>
      <c r="H605" s="122"/>
      <c r="J605" s="129"/>
    </row>
    <row r="606" spans="1:10" s="120" customFormat="1" ht="20.45" customHeight="1">
      <c r="A606" s="954"/>
      <c r="B606" s="123"/>
      <c r="C606" s="129"/>
      <c r="D606" s="150"/>
      <c r="F606" s="123"/>
      <c r="G606" s="180"/>
      <c r="H606" s="122"/>
      <c r="J606" s="129"/>
    </row>
    <row r="607" spans="1:10" s="120" customFormat="1" ht="20.45" customHeight="1">
      <c r="A607" s="954"/>
      <c r="B607" s="123"/>
      <c r="C607" s="129"/>
      <c r="D607" s="150"/>
      <c r="F607" s="123"/>
      <c r="G607" s="180"/>
      <c r="H607" s="122"/>
      <c r="J607" s="129"/>
    </row>
    <row r="608" spans="1:10" s="120" customFormat="1" ht="20.45" customHeight="1">
      <c r="A608" s="954"/>
      <c r="B608" s="123"/>
      <c r="C608" s="129"/>
      <c r="D608" s="150"/>
      <c r="F608" s="123"/>
      <c r="G608" s="180"/>
      <c r="H608" s="122"/>
      <c r="J608" s="129"/>
    </row>
    <row r="609" spans="1:10" s="120" customFormat="1" ht="20.45" customHeight="1">
      <c r="A609" s="954"/>
      <c r="B609" s="123"/>
      <c r="C609" s="129"/>
      <c r="D609" s="150"/>
      <c r="F609" s="123"/>
      <c r="G609" s="180"/>
      <c r="H609" s="122"/>
      <c r="J609" s="129"/>
    </row>
    <row r="610" spans="1:10" s="120" customFormat="1" ht="20.45" customHeight="1">
      <c r="A610" s="954"/>
      <c r="B610" s="123"/>
      <c r="C610" s="129"/>
      <c r="D610" s="150"/>
      <c r="F610" s="123"/>
      <c r="G610" s="180"/>
      <c r="H610" s="122"/>
      <c r="J610" s="129"/>
    </row>
    <row r="611" spans="1:10" s="120" customFormat="1" ht="20.45" customHeight="1">
      <c r="A611" s="954"/>
      <c r="B611" s="123"/>
      <c r="C611" s="129"/>
      <c r="D611" s="150"/>
      <c r="F611" s="123"/>
      <c r="G611" s="180"/>
      <c r="H611" s="122"/>
      <c r="J611" s="129"/>
    </row>
    <row r="612" spans="1:10" s="120" customFormat="1" ht="20.45" customHeight="1">
      <c r="A612" s="954"/>
      <c r="B612" s="123"/>
      <c r="C612" s="129"/>
      <c r="D612" s="150"/>
      <c r="F612" s="123"/>
      <c r="G612" s="180"/>
      <c r="H612" s="122"/>
      <c r="J612" s="129"/>
    </row>
    <row r="613" spans="1:10" s="120" customFormat="1" ht="20.45" customHeight="1">
      <c r="A613" s="954"/>
      <c r="B613" s="123"/>
      <c r="C613" s="129"/>
      <c r="D613" s="150"/>
      <c r="F613" s="123"/>
      <c r="G613" s="180"/>
      <c r="H613" s="122"/>
      <c r="J613" s="129"/>
    </row>
    <row r="614" spans="1:10" s="120" customFormat="1" ht="20.45" customHeight="1">
      <c r="A614" s="954"/>
      <c r="B614" s="123"/>
      <c r="C614" s="129"/>
      <c r="D614" s="150"/>
      <c r="F614" s="123"/>
      <c r="G614" s="180"/>
      <c r="H614" s="122"/>
      <c r="J614" s="129"/>
    </row>
    <row r="615" spans="1:10" s="120" customFormat="1" ht="20.45" customHeight="1">
      <c r="A615" s="954"/>
      <c r="B615" s="123"/>
      <c r="C615" s="129"/>
      <c r="D615" s="150"/>
      <c r="F615" s="123"/>
      <c r="G615" s="180"/>
      <c r="H615" s="122"/>
      <c r="J615" s="129"/>
    </row>
    <row r="616" spans="1:10" s="120" customFormat="1" ht="20.45" customHeight="1">
      <c r="A616" s="954"/>
      <c r="B616" s="123"/>
      <c r="C616" s="129"/>
      <c r="D616" s="150"/>
      <c r="F616" s="123"/>
      <c r="G616" s="180"/>
      <c r="H616" s="122"/>
      <c r="J616" s="129"/>
    </row>
    <row r="617" spans="1:10" s="120" customFormat="1" ht="20.45" customHeight="1">
      <c r="A617" s="954"/>
      <c r="B617" s="123"/>
      <c r="C617" s="129"/>
      <c r="D617" s="150"/>
      <c r="F617" s="123"/>
      <c r="G617" s="180"/>
      <c r="H617" s="122"/>
      <c r="J617" s="129"/>
    </row>
    <row r="618" spans="1:10" s="120" customFormat="1" ht="20.45" customHeight="1">
      <c r="A618" s="954"/>
      <c r="B618" s="123"/>
      <c r="C618" s="129"/>
      <c r="D618" s="150"/>
      <c r="F618" s="123"/>
      <c r="G618" s="180"/>
      <c r="H618" s="122"/>
      <c r="J618" s="129"/>
    </row>
    <row r="619" spans="1:10" s="120" customFormat="1" ht="20.45" customHeight="1">
      <c r="A619" s="954"/>
      <c r="B619" s="123"/>
      <c r="C619" s="129"/>
      <c r="D619" s="150"/>
      <c r="F619" s="123"/>
      <c r="G619" s="180"/>
      <c r="H619" s="122"/>
      <c r="J619" s="129"/>
    </row>
    <row r="620" spans="1:10" s="120" customFormat="1" ht="20.45" customHeight="1">
      <c r="A620" s="954"/>
      <c r="B620" s="123"/>
      <c r="C620" s="129"/>
      <c r="D620" s="150"/>
      <c r="F620" s="123"/>
      <c r="G620" s="180"/>
      <c r="H620" s="122"/>
      <c r="J620" s="129"/>
    </row>
    <row r="621" spans="1:10" s="120" customFormat="1" ht="20.45" customHeight="1">
      <c r="A621" s="954"/>
      <c r="B621" s="123"/>
      <c r="C621" s="129"/>
      <c r="D621" s="150"/>
      <c r="F621" s="123"/>
      <c r="G621" s="180"/>
      <c r="H621" s="122"/>
      <c r="J621" s="129"/>
    </row>
    <row r="622" spans="1:10" s="120" customFormat="1" ht="20.45" customHeight="1">
      <c r="A622" s="954"/>
      <c r="B622" s="123"/>
      <c r="C622" s="129"/>
      <c r="D622" s="150"/>
      <c r="F622" s="123"/>
      <c r="G622" s="180"/>
      <c r="H622" s="122"/>
      <c r="J622" s="129"/>
    </row>
    <row r="623" spans="1:10" s="120" customFormat="1" ht="20.45" customHeight="1">
      <c r="A623" s="954"/>
      <c r="B623" s="123"/>
      <c r="C623" s="129"/>
      <c r="D623" s="150"/>
      <c r="F623" s="123"/>
      <c r="G623" s="180"/>
      <c r="H623" s="122"/>
      <c r="J623" s="129"/>
    </row>
    <row r="624" spans="1:10" s="120" customFormat="1" ht="20.45" customHeight="1">
      <c r="A624" s="954"/>
      <c r="B624" s="123"/>
      <c r="C624" s="129"/>
      <c r="D624" s="150"/>
      <c r="F624" s="123"/>
      <c r="G624" s="180"/>
      <c r="H624" s="122"/>
      <c r="J624" s="129"/>
    </row>
    <row r="625" spans="1:10" s="120" customFormat="1" ht="20.45" customHeight="1">
      <c r="A625" s="954"/>
      <c r="B625" s="123"/>
      <c r="C625" s="129"/>
      <c r="D625" s="150"/>
      <c r="F625" s="123"/>
      <c r="G625" s="180"/>
      <c r="H625" s="122"/>
      <c r="J625" s="129"/>
    </row>
    <row r="626" spans="1:10" s="120" customFormat="1" ht="20.45" customHeight="1">
      <c r="A626" s="954"/>
      <c r="B626" s="123"/>
      <c r="C626" s="129"/>
      <c r="D626" s="150"/>
      <c r="F626" s="123"/>
      <c r="G626" s="180"/>
      <c r="H626" s="122"/>
      <c r="J626" s="129"/>
    </row>
    <row r="627" spans="1:10" s="120" customFormat="1" ht="20.45" customHeight="1">
      <c r="A627" s="954"/>
      <c r="B627" s="123"/>
      <c r="C627" s="129"/>
      <c r="D627" s="150"/>
      <c r="F627" s="123"/>
      <c r="G627" s="180"/>
      <c r="H627" s="122"/>
      <c r="J627" s="129"/>
    </row>
    <row r="628" spans="1:10" s="120" customFormat="1" ht="20.45" customHeight="1">
      <c r="A628" s="954"/>
      <c r="B628" s="123"/>
      <c r="C628" s="129"/>
      <c r="D628" s="150"/>
      <c r="F628" s="123"/>
      <c r="G628" s="180"/>
      <c r="H628" s="122"/>
      <c r="J628" s="129"/>
    </row>
    <row r="629" spans="1:10" s="120" customFormat="1" ht="20.45" customHeight="1">
      <c r="A629" s="954"/>
      <c r="B629" s="123"/>
      <c r="C629" s="129"/>
      <c r="D629" s="150"/>
      <c r="F629" s="123"/>
      <c r="G629" s="180"/>
      <c r="H629" s="122"/>
      <c r="J629" s="129"/>
    </row>
    <row r="630" spans="1:10" s="120" customFormat="1" ht="20.45" customHeight="1">
      <c r="A630" s="954"/>
      <c r="B630" s="123"/>
      <c r="C630" s="129"/>
      <c r="D630" s="150"/>
      <c r="F630" s="123"/>
      <c r="G630" s="180"/>
      <c r="H630" s="122"/>
      <c r="J630" s="129"/>
    </row>
    <row r="631" spans="1:10" s="120" customFormat="1" ht="20.45" customHeight="1">
      <c r="A631" s="954"/>
      <c r="B631" s="123"/>
      <c r="C631" s="129"/>
      <c r="D631" s="150"/>
      <c r="F631" s="123"/>
      <c r="G631" s="180"/>
      <c r="H631" s="122"/>
      <c r="J631" s="129"/>
    </row>
    <row r="632" spans="1:10" s="120" customFormat="1" ht="20.45" customHeight="1">
      <c r="A632" s="954"/>
      <c r="B632" s="123"/>
      <c r="C632" s="129"/>
      <c r="D632" s="150"/>
      <c r="F632" s="123"/>
      <c r="G632" s="180"/>
      <c r="H632" s="122"/>
      <c r="J632" s="129"/>
    </row>
    <row r="633" spans="1:10" s="120" customFormat="1" ht="20.45" customHeight="1">
      <c r="A633" s="954"/>
      <c r="B633" s="123"/>
      <c r="C633" s="129"/>
      <c r="D633" s="150"/>
      <c r="F633" s="123"/>
      <c r="G633" s="180"/>
      <c r="H633" s="122"/>
      <c r="J633" s="129"/>
    </row>
    <row r="634" spans="1:10" s="120" customFormat="1" ht="20.45" customHeight="1">
      <c r="A634" s="954"/>
      <c r="B634" s="123"/>
      <c r="C634" s="129"/>
      <c r="D634" s="150"/>
      <c r="F634" s="123"/>
      <c r="G634" s="180"/>
      <c r="H634" s="122"/>
      <c r="J634" s="129"/>
    </row>
    <row r="635" spans="1:10" s="120" customFormat="1" ht="20.45" customHeight="1">
      <c r="A635" s="954"/>
      <c r="B635" s="123"/>
      <c r="C635" s="129"/>
      <c r="D635" s="150"/>
      <c r="F635" s="123"/>
      <c r="G635" s="180"/>
      <c r="H635" s="122"/>
      <c r="J635" s="129"/>
    </row>
    <row r="636" spans="1:10" s="120" customFormat="1" ht="20.45" customHeight="1">
      <c r="A636" s="954"/>
      <c r="B636" s="123"/>
      <c r="C636" s="129"/>
      <c r="D636" s="150"/>
      <c r="F636" s="123"/>
      <c r="G636" s="180"/>
      <c r="H636" s="122"/>
      <c r="J636" s="129"/>
    </row>
    <row r="637" spans="1:10" s="120" customFormat="1" ht="20.45" customHeight="1">
      <c r="A637" s="954"/>
      <c r="B637" s="123"/>
      <c r="C637" s="129"/>
      <c r="D637" s="150"/>
      <c r="F637" s="123"/>
      <c r="G637" s="180"/>
      <c r="H637" s="122"/>
      <c r="J637" s="129"/>
    </row>
    <row r="638" spans="1:10" s="120" customFormat="1" ht="20.45" customHeight="1">
      <c r="A638" s="954"/>
      <c r="B638" s="123"/>
      <c r="C638" s="129"/>
      <c r="D638" s="150"/>
      <c r="F638" s="123"/>
      <c r="G638" s="180"/>
      <c r="H638" s="122"/>
      <c r="J638" s="129"/>
    </row>
    <row r="639" spans="1:10" s="120" customFormat="1" ht="20.45" customHeight="1">
      <c r="A639" s="954"/>
      <c r="B639" s="123"/>
      <c r="C639" s="129"/>
      <c r="D639" s="150"/>
      <c r="F639" s="123"/>
      <c r="G639" s="180"/>
      <c r="H639" s="122"/>
      <c r="J639" s="129"/>
    </row>
    <row r="640" spans="1:10" s="120" customFormat="1" ht="20.45" customHeight="1">
      <c r="A640" s="954"/>
      <c r="B640" s="123"/>
      <c r="C640" s="129"/>
      <c r="D640" s="150"/>
      <c r="F640" s="123"/>
      <c r="G640" s="180"/>
      <c r="H640" s="122"/>
      <c r="J640" s="129"/>
    </row>
    <row r="641" spans="1:10" s="120" customFormat="1" ht="20.45" customHeight="1">
      <c r="A641" s="954"/>
      <c r="B641" s="123"/>
      <c r="C641" s="129"/>
      <c r="D641" s="150"/>
      <c r="F641" s="123"/>
      <c r="G641" s="180"/>
      <c r="H641" s="122"/>
      <c r="J641" s="129"/>
    </row>
    <row r="642" spans="1:10" s="120" customFormat="1" ht="20.45" customHeight="1">
      <c r="A642" s="954"/>
      <c r="B642" s="123"/>
      <c r="C642" s="129"/>
      <c r="D642" s="150"/>
      <c r="F642" s="123"/>
      <c r="G642" s="180"/>
      <c r="H642" s="122"/>
      <c r="J642" s="129"/>
    </row>
    <row r="643" spans="1:10" s="120" customFormat="1" ht="20.45" customHeight="1">
      <c r="A643" s="954"/>
      <c r="B643" s="123"/>
      <c r="C643" s="129"/>
      <c r="D643" s="150"/>
      <c r="F643" s="123"/>
      <c r="G643" s="180"/>
      <c r="H643" s="122"/>
      <c r="J643" s="129"/>
    </row>
    <row r="644" spans="1:10" s="120" customFormat="1" ht="20.45" customHeight="1">
      <c r="A644" s="954"/>
      <c r="B644" s="123"/>
      <c r="C644" s="129"/>
      <c r="D644" s="150"/>
      <c r="F644" s="123"/>
      <c r="G644" s="180"/>
      <c r="H644" s="122"/>
      <c r="J644" s="129"/>
    </row>
    <row r="645" spans="1:10" s="120" customFormat="1" ht="20.45" customHeight="1">
      <c r="A645" s="954"/>
      <c r="B645" s="123"/>
      <c r="C645" s="129"/>
      <c r="D645" s="150"/>
      <c r="F645" s="123"/>
      <c r="G645" s="180"/>
      <c r="H645" s="122"/>
      <c r="J645" s="129"/>
    </row>
    <row r="646" spans="1:10" s="120" customFormat="1" ht="20.45" customHeight="1">
      <c r="A646" s="954"/>
      <c r="B646" s="123"/>
      <c r="C646" s="129"/>
      <c r="D646" s="150"/>
      <c r="F646" s="123"/>
      <c r="G646" s="180"/>
      <c r="H646" s="122"/>
      <c r="J646" s="129"/>
    </row>
    <row r="647" spans="1:10" s="120" customFormat="1" ht="20.45" customHeight="1">
      <c r="A647" s="954"/>
      <c r="B647" s="123"/>
      <c r="C647" s="129"/>
      <c r="D647" s="150"/>
      <c r="F647" s="123"/>
      <c r="G647" s="180"/>
      <c r="H647" s="122"/>
      <c r="J647" s="129"/>
    </row>
    <row r="648" spans="1:10" s="120" customFormat="1" ht="20.45" customHeight="1">
      <c r="A648" s="954"/>
      <c r="B648" s="123"/>
      <c r="C648" s="129"/>
      <c r="D648" s="150"/>
      <c r="F648" s="123"/>
      <c r="G648" s="180"/>
      <c r="H648" s="122"/>
      <c r="J648" s="129"/>
    </row>
    <row r="649" spans="1:10" s="120" customFormat="1" ht="20.45" customHeight="1">
      <c r="A649" s="954"/>
      <c r="B649" s="123"/>
      <c r="C649" s="129"/>
      <c r="D649" s="150"/>
      <c r="F649" s="123"/>
      <c r="G649" s="180"/>
      <c r="H649" s="122"/>
      <c r="J649" s="129"/>
    </row>
    <row r="650" spans="1:10" s="120" customFormat="1" ht="20.45" customHeight="1">
      <c r="A650" s="954"/>
      <c r="B650" s="123"/>
      <c r="C650" s="129"/>
      <c r="D650" s="150"/>
      <c r="F650" s="123"/>
      <c r="G650" s="180"/>
      <c r="H650" s="122"/>
      <c r="J650" s="129"/>
    </row>
    <row r="651" spans="1:10" s="120" customFormat="1" ht="20.45" customHeight="1">
      <c r="A651" s="954"/>
      <c r="B651" s="123"/>
      <c r="C651" s="129"/>
      <c r="D651" s="150"/>
      <c r="F651" s="123"/>
      <c r="G651" s="180"/>
      <c r="H651" s="122"/>
      <c r="J651" s="129"/>
    </row>
    <row r="652" spans="1:10" s="120" customFormat="1" ht="20.45" customHeight="1">
      <c r="A652" s="954"/>
      <c r="B652" s="123"/>
      <c r="C652" s="129"/>
      <c r="D652" s="150"/>
      <c r="F652" s="123"/>
      <c r="G652" s="180"/>
      <c r="H652" s="122"/>
      <c r="J652" s="129"/>
    </row>
    <row r="653" spans="1:10" s="120" customFormat="1" ht="20.45" customHeight="1">
      <c r="A653" s="954"/>
      <c r="B653" s="123"/>
      <c r="C653" s="129"/>
      <c r="D653" s="150"/>
      <c r="F653" s="123"/>
      <c r="G653" s="180"/>
      <c r="H653" s="122"/>
      <c r="J653" s="129"/>
    </row>
    <row r="654" spans="1:10" s="120" customFormat="1" ht="20.45" customHeight="1">
      <c r="A654" s="954"/>
      <c r="B654" s="123"/>
      <c r="C654" s="129"/>
      <c r="D654" s="150"/>
      <c r="F654" s="123"/>
      <c r="G654" s="180"/>
      <c r="H654" s="122"/>
      <c r="J654" s="129"/>
    </row>
    <row r="655" spans="1:10" s="120" customFormat="1" ht="20.45" customHeight="1">
      <c r="A655" s="954"/>
      <c r="B655" s="123"/>
      <c r="C655" s="129"/>
      <c r="D655" s="150"/>
      <c r="F655" s="123"/>
      <c r="G655" s="180"/>
      <c r="H655" s="122"/>
      <c r="J655" s="129"/>
    </row>
    <row r="656" spans="1:10" s="120" customFormat="1" ht="20.45" customHeight="1">
      <c r="A656" s="954"/>
      <c r="B656" s="123"/>
      <c r="C656" s="129"/>
      <c r="D656" s="150"/>
      <c r="F656" s="123"/>
      <c r="G656" s="180"/>
      <c r="H656" s="122"/>
      <c r="J656" s="129"/>
    </row>
    <row r="657" spans="1:10" s="120" customFormat="1" ht="20.45" customHeight="1">
      <c r="A657" s="954"/>
      <c r="B657" s="123"/>
      <c r="C657" s="129"/>
      <c r="D657" s="150"/>
      <c r="F657" s="123"/>
      <c r="G657" s="180"/>
      <c r="H657" s="122"/>
      <c r="J657" s="129"/>
    </row>
    <row r="658" spans="1:10" s="120" customFormat="1" ht="20.45" customHeight="1">
      <c r="A658" s="954"/>
      <c r="B658" s="123"/>
      <c r="C658" s="129"/>
      <c r="D658" s="150"/>
      <c r="F658" s="123"/>
      <c r="G658" s="180"/>
      <c r="H658" s="122"/>
      <c r="J658" s="129"/>
    </row>
    <row r="659" spans="1:10" s="120" customFormat="1" ht="20.45" customHeight="1">
      <c r="A659" s="954"/>
      <c r="B659" s="123"/>
      <c r="C659" s="129"/>
      <c r="D659" s="150"/>
      <c r="F659" s="123"/>
      <c r="G659" s="180"/>
      <c r="H659" s="122"/>
      <c r="J659" s="129"/>
    </row>
    <row r="660" spans="1:10" s="120" customFormat="1" ht="20.45" customHeight="1">
      <c r="A660" s="954"/>
      <c r="B660" s="123"/>
      <c r="C660" s="129"/>
      <c r="D660" s="150"/>
      <c r="F660" s="123"/>
      <c r="G660" s="180"/>
      <c r="H660" s="122"/>
      <c r="J660" s="129"/>
    </row>
    <row r="661" spans="1:10" s="120" customFormat="1" ht="20.45" customHeight="1">
      <c r="A661" s="954"/>
      <c r="B661" s="123"/>
      <c r="C661" s="129"/>
      <c r="D661" s="150"/>
      <c r="F661" s="123"/>
      <c r="G661" s="180"/>
      <c r="H661" s="122"/>
      <c r="J661" s="129"/>
    </row>
    <row r="662" spans="1:10" s="120" customFormat="1" ht="20.45" customHeight="1">
      <c r="A662" s="954"/>
      <c r="B662" s="123"/>
      <c r="C662" s="129"/>
      <c r="D662" s="150"/>
      <c r="F662" s="123"/>
      <c r="G662" s="180"/>
      <c r="H662" s="122"/>
      <c r="J662" s="129"/>
    </row>
    <row r="663" spans="1:10" s="120" customFormat="1" ht="20.45" customHeight="1">
      <c r="A663" s="954"/>
      <c r="B663" s="123"/>
      <c r="C663" s="129"/>
      <c r="D663" s="150"/>
      <c r="F663" s="123"/>
      <c r="G663" s="180"/>
      <c r="H663" s="122"/>
      <c r="J663" s="129"/>
    </row>
    <row r="664" spans="1:10" s="120" customFormat="1" ht="20.45" customHeight="1">
      <c r="A664" s="954"/>
      <c r="B664" s="123"/>
      <c r="C664" s="129"/>
      <c r="D664" s="150"/>
      <c r="F664" s="123"/>
      <c r="G664" s="180"/>
      <c r="H664" s="122"/>
      <c r="J664" s="129"/>
    </row>
    <row r="665" spans="1:10" s="120" customFormat="1" ht="20.45" customHeight="1">
      <c r="A665" s="954"/>
      <c r="B665" s="123"/>
      <c r="C665" s="129"/>
      <c r="D665" s="150"/>
      <c r="F665" s="123"/>
      <c r="G665" s="180"/>
      <c r="H665" s="122"/>
      <c r="J665" s="129"/>
    </row>
    <row r="666" spans="1:10" s="120" customFormat="1" ht="20.45" customHeight="1">
      <c r="A666" s="954"/>
      <c r="B666" s="123"/>
      <c r="C666" s="129"/>
      <c r="D666" s="150"/>
      <c r="F666" s="123"/>
      <c r="G666" s="180"/>
      <c r="H666" s="122"/>
      <c r="J666" s="129"/>
    </row>
    <row r="667" spans="1:10" s="120" customFormat="1" ht="20.45" customHeight="1">
      <c r="A667" s="954"/>
      <c r="B667" s="123"/>
      <c r="C667" s="129"/>
      <c r="D667" s="150"/>
      <c r="F667" s="123"/>
      <c r="G667" s="180"/>
      <c r="H667" s="122"/>
      <c r="J667" s="129"/>
    </row>
    <row r="668" spans="1:10" s="120" customFormat="1" ht="20.45" customHeight="1">
      <c r="A668" s="954"/>
      <c r="B668" s="123"/>
      <c r="C668" s="129"/>
      <c r="D668" s="150"/>
      <c r="F668" s="123"/>
      <c r="G668" s="180"/>
      <c r="H668" s="122"/>
      <c r="J668" s="129"/>
    </row>
    <row r="669" spans="1:10" s="120" customFormat="1" ht="20.45" customHeight="1">
      <c r="A669" s="954"/>
      <c r="B669" s="123"/>
      <c r="C669" s="129"/>
      <c r="D669" s="150"/>
      <c r="F669" s="123"/>
      <c r="G669" s="180"/>
      <c r="H669" s="122"/>
      <c r="J669" s="129"/>
    </row>
    <row r="670" spans="1:10" s="120" customFormat="1" ht="20.45" customHeight="1">
      <c r="A670" s="954"/>
      <c r="B670" s="123"/>
      <c r="C670" s="129"/>
      <c r="D670" s="150"/>
      <c r="F670" s="123"/>
      <c r="G670" s="180"/>
      <c r="H670" s="122"/>
      <c r="J670" s="129"/>
    </row>
    <row r="671" spans="1:10" s="120" customFormat="1" ht="20.45" customHeight="1">
      <c r="A671" s="954"/>
      <c r="B671" s="123"/>
      <c r="C671" s="129"/>
      <c r="D671" s="150"/>
      <c r="F671" s="123"/>
      <c r="G671" s="180"/>
      <c r="H671" s="122"/>
      <c r="J671" s="129"/>
    </row>
    <row r="672" spans="1:10" s="120" customFormat="1" ht="20.45" customHeight="1">
      <c r="A672" s="954"/>
      <c r="B672" s="123"/>
      <c r="C672" s="129"/>
      <c r="D672" s="150"/>
      <c r="F672" s="123"/>
      <c r="G672" s="180"/>
      <c r="H672" s="122"/>
      <c r="J672" s="129"/>
    </row>
    <row r="673" spans="1:10" s="120" customFormat="1" ht="20.45" customHeight="1">
      <c r="A673" s="954"/>
      <c r="B673" s="123"/>
      <c r="C673" s="129"/>
      <c r="D673" s="150"/>
      <c r="F673" s="123"/>
      <c r="G673" s="180"/>
      <c r="H673" s="122"/>
      <c r="J673" s="129"/>
    </row>
    <row r="674" spans="1:10" s="120" customFormat="1" ht="20.45" customHeight="1">
      <c r="A674" s="954"/>
      <c r="B674" s="123"/>
      <c r="C674" s="129"/>
      <c r="D674" s="150"/>
      <c r="F674" s="123"/>
      <c r="G674" s="180"/>
      <c r="H674" s="122"/>
      <c r="J674" s="129"/>
    </row>
    <row r="675" spans="1:10" s="120" customFormat="1" ht="20.45" customHeight="1">
      <c r="A675" s="954"/>
      <c r="B675" s="123"/>
      <c r="C675" s="129"/>
      <c r="D675" s="150"/>
      <c r="F675" s="123"/>
      <c r="G675" s="180"/>
      <c r="H675" s="122"/>
      <c r="J675" s="129"/>
    </row>
    <row r="676" spans="1:10" s="120" customFormat="1" ht="20.45" customHeight="1">
      <c r="A676" s="954"/>
      <c r="B676" s="123"/>
      <c r="C676" s="129"/>
      <c r="D676" s="150"/>
      <c r="F676" s="123"/>
      <c r="G676" s="180"/>
      <c r="H676" s="122"/>
      <c r="J676" s="129"/>
    </row>
    <row r="677" spans="1:10" s="120" customFormat="1" ht="20.45" customHeight="1">
      <c r="A677" s="954"/>
      <c r="B677" s="123"/>
      <c r="C677" s="129"/>
      <c r="D677" s="150"/>
      <c r="F677" s="123"/>
      <c r="G677" s="180"/>
      <c r="H677" s="122"/>
      <c r="J677" s="129"/>
    </row>
    <row r="678" spans="1:10" s="120" customFormat="1" ht="20.45" customHeight="1">
      <c r="A678" s="954"/>
      <c r="B678" s="123"/>
      <c r="C678" s="129"/>
      <c r="D678" s="150"/>
      <c r="F678" s="123"/>
      <c r="G678" s="180"/>
      <c r="H678" s="122"/>
      <c r="J678" s="129"/>
    </row>
    <row r="679" spans="1:10" s="120" customFormat="1" ht="20.45" customHeight="1">
      <c r="A679" s="954"/>
      <c r="B679" s="123"/>
      <c r="C679" s="129"/>
      <c r="D679" s="150"/>
      <c r="F679" s="123"/>
      <c r="G679" s="180"/>
      <c r="H679" s="122"/>
      <c r="J679" s="129"/>
    </row>
    <row r="680" spans="1:10" s="120" customFormat="1" ht="20.45" customHeight="1">
      <c r="A680" s="954"/>
      <c r="B680" s="123"/>
      <c r="C680" s="129"/>
      <c r="D680" s="150"/>
      <c r="F680" s="123"/>
      <c r="G680" s="180"/>
      <c r="H680" s="122"/>
      <c r="J680" s="129"/>
    </row>
    <row r="681" spans="1:10" s="120" customFormat="1" ht="20.45" customHeight="1">
      <c r="A681" s="954"/>
      <c r="B681" s="123"/>
      <c r="C681" s="129"/>
      <c r="D681" s="150"/>
      <c r="F681" s="123"/>
      <c r="G681" s="180"/>
      <c r="H681" s="122"/>
      <c r="J681" s="129"/>
    </row>
    <row r="682" spans="1:10" s="120" customFormat="1" ht="20.45" customHeight="1">
      <c r="A682" s="954"/>
      <c r="B682" s="123"/>
      <c r="C682" s="129"/>
      <c r="D682" s="150"/>
      <c r="F682" s="123"/>
      <c r="G682" s="180"/>
      <c r="H682" s="122"/>
      <c r="J682" s="129"/>
    </row>
    <row r="683" spans="1:10" s="120" customFormat="1" ht="20.45" customHeight="1">
      <c r="A683" s="954"/>
      <c r="B683" s="123"/>
      <c r="C683" s="129"/>
      <c r="D683" s="150"/>
      <c r="F683" s="123"/>
      <c r="G683" s="180"/>
      <c r="H683" s="122"/>
      <c r="J683" s="129"/>
    </row>
    <row r="684" spans="1:10" s="120" customFormat="1" ht="20.45" customHeight="1">
      <c r="A684" s="954"/>
      <c r="B684" s="123"/>
      <c r="C684" s="129"/>
      <c r="D684" s="150"/>
      <c r="F684" s="123"/>
      <c r="G684" s="180"/>
      <c r="H684" s="122"/>
      <c r="J684" s="129"/>
    </row>
    <row r="685" spans="1:10" s="120" customFormat="1" ht="20.45" customHeight="1">
      <c r="A685" s="954"/>
      <c r="B685" s="123"/>
      <c r="C685" s="129"/>
      <c r="D685" s="150"/>
      <c r="F685" s="123"/>
      <c r="G685" s="180"/>
      <c r="H685" s="122"/>
      <c r="J685" s="129"/>
    </row>
    <row r="686" spans="1:10" s="120" customFormat="1" ht="20.45" customHeight="1">
      <c r="A686" s="954"/>
      <c r="B686" s="123"/>
      <c r="C686" s="129"/>
      <c r="D686" s="150"/>
      <c r="F686" s="123"/>
      <c r="G686" s="180"/>
      <c r="H686" s="122"/>
      <c r="J686" s="129"/>
    </row>
    <row r="687" spans="1:10" s="120" customFormat="1" ht="20.45" customHeight="1">
      <c r="A687" s="954"/>
      <c r="B687" s="123"/>
      <c r="C687" s="129"/>
      <c r="D687" s="150"/>
      <c r="F687" s="123"/>
      <c r="G687" s="180"/>
      <c r="H687" s="122"/>
      <c r="J687" s="129"/>
    </row>
    <row r="688" spans="1:10" s="120" customFormat="1" ht="20.45" customHeight="1">
      <c r="A688" s="954"/>
      <c r="B688" s="123"/>
      <c r="C688" s="129"/>
      <c r="D688" s="150"/>
      <c r="F688" s="123"/>
      <c r="G688" s="180"/>
      <c r="H688" s="122"/>
      <c r="J688" s="129"/>
    </row>
    <row r="689" spans="1:10" s="120" customFormat="1" ht="20.45" customHeight="1">
      <c r="A689" s="954"/>
      <c r="B689" s="123"/>
      <c r="C689" s="129"/>
      <c r="D689" s="150"/>
      <c r="F689" s="123"/>
      <c r="G689" s="180"/>
      <c r="H689" s="122"/>
      <c r="J689" s="129"/>
    </row>
    <row r="690" spans="1:10" s="120" customFormat="1" ht="20.45" customHeight="1">
      <c r="A690" s="954"/>
      <c r="B690" s="123"/>
      <c r="C690" s="129"/>
      <c r="D690" s="150"/>
      <c r="F690" s="123"/>
      <c r="G690" s="180"/>
      <c r="H690" s="122"/>
      <c r="J690" s="129"/>
    </row>
    <row r="691" spans="1:10" s="120" customFormat="1" ht="20.45" customHeight="1">
      <c r="A691" s="954"/>
      <c r="B691" s="123"/>
      <c r="C691" s="129"/>
      <c r="D691" s="150"/>
      <c r="F691" s="123"/>
      <c r="G691" s="180"/>
      <c r="H691" s="122"/>
      <c r="J691" s="129"/>
    </row>
    <row r="692" spans="1:10" s="120" customFormat="1" ht="20.45" customHeight="1">
      <c r="A692" s="954"/>
      <c r="B692" s="123"/>
      <c r="C692" s="129"/>
      <c r="D692" s="150"/>
      <c r="F692" s="123"/>
      <c r="G692" s="180"/>
      <c r="H692" s="122"/>
      <c r="J692" s="129"/>
    </row>
    <row r="693" spans="1:10" s="120" customFormat="1" ht="20.45" customHeight="1">
      <c r="A693" s="954"/>
      <c r="B693" s="123"/>
      <c r="C693" s="129"/>
      <c r="D693" s="150"/>
      <c r="F693" s="123"/>
      <c r="G693" s="180"/>
      <c r="H693" s="122"/>
      <c r="J693" s="129"/>
    </row>
    <row r="694" spans="1:10" s="120" customFormat="1" ht="20.45" customHeight="1">
      <c r="A694" s="954"/>
      <c r="B694" s="123"/>
      <c r="C694" s="129"/>
      <c r="D694" s="150"/>
      <c r="F694" s="123"/>
      <c r="G694" s="180"/>
      <c r="H694" s="122"/>
      <c r="J694" s="129"/>
    </row>
    <row r="695" spans="1:10" s="120" customFormat="1" ht="20.45" customHeight="1">
      <c r="A695" s="954"/>
      <c r="B695" s="123"/>
      <c r="C695" s="129"/>
      <c r="D695" s="150"/>
      <c r="F695" s="123"/>
      <c r="G695" s="180"/>
      <c r="H695" s="122"/>
      <c r="J695" s="129"/>
    </row>
    <row r="696" spans="1:10" s="120" customFormat="1" ht="20.45" customHeight="1">
      <c r="A696" s="954"/>
      <c r="B696" s="123"/>
      <c r="C696" s="129"/>
      <c r="D696" s="150"/>
      <c r="F696" s="123"/>
      <c r="G696" s="180"/>
      <c r="H696" s="122"/>
      <c r="J696" s="129"/>
    </row>
    <row r="697" spans="1:10" s="120" customFormat="1" ht="20.45" customHeight="1">
      <c r="A697" s="954"/>
      <c r="B697" s="123"/>
      <c r="C697" s="129"/>
      <c r="D697" s="150"/>
      <c r="F697" s="123"/>
      <c r="G697" s="180"/>
      <c r="H697" s="122"/>
      <c r="J697" s="129"/>
    </row>
    <row r="698" spans="1:10" s="120" customFormat="1" ht="20.45" customHeight="1">
      <c r="A698" s="954"/>
      <c r="B698" s="123"/>
      <c r="C698" s="129"/>
      <c r="D698" s="150"/>
      <c r="F698" s="123"/>
      <c r="G698" s="180"/>
      <c r="H698" s="122"/>
      <c r="J698" s="129"/>
    </row>
    <row r="699" spans="1:10" s="120" customFormat="1" ht="20.45" customHeight="1">
      <c r="A699" s="954"/>
      <c r="B699" s="123"/>
      <c r="C699" s="129"/>
      <c r="D699" s="150"/>
      <c r="F699" s="123"/>
      <c r="G699" s="180"/>
      <c r="H699" s="122"/>
      <c r="J699" s="129"/>
    </row>
    <row r="700" spans="1:10" s="120" customFormat="1" ht="20.45" customHeight="1">
      <c r="A700" s="954"/>
      <c r="B700" s="123"/>
      <c r="C700" s="129"/>
      <c r="D700" s="150"/>
      <c r="F700" s="123"/>
      <c r="G700" s="180"/>
      <c r="H700" s="122"/>
      <c r="J700" s="129"/>
    </row>
    <row r="701" spans="1:10" s="120" customFormat="1" ht="20.45" customHeight="1">
      <c r="A701" s="954"/>
      <c r="B701" s="123"/>
      <c r="C701" s="129"/>
      <c r="D701" s="150"/>
      <c r="F701" s="123"/>
      <c r="G701" s="180"/>
      <c r="H701" s="122"/>
      <c r="J701" s="129"/>
    </row>
    <row r="702" spans="1:10" s="120" customFormat="1" ht="20.45" customHeight="1">
      <c r="A702" s="954"/>
      <c r="B702" s="123"/>
      <c r="C702" s="129"/>
      <c r="D702" s="150"/>
      <c r="F702" s="123"/>
      <c r="G702" s="180"/>
      <c r="H702" s="122"/>
      <c r="J702" s="129"/>
    </row>
    <row r="703" spans="1:10" s="120" customFormat="1" ht="20.45" customHeight="1">
      <c r="A703" s="954"/>
      <c r="B703" s="123"/>
      <c r="C703" s="129"/>
      <c r="D703" s="150"/>
      <c r="F703" s="123"/>
      <c r="G703" s="180"/>
      <c r="H703" s="122"/>
      <c r="J703" s="129"/>
    </row>
    <row r="704" spans="1:10" s="120" customFormat="1" ht="20.45" customHeight="1">
      <c r="A704" s="954"/>
      <c r="B704" s="123"/>
      <c r="C704" s="129"/>
      <c r="D704" s="150"/>
      <c r="F704" s="123"/>
      <c r="G704" s="180"/>
      <c r="H704" s="122"/>
      <c r="J704" s="129"/>
    </row>
    <row r="705" spans="1:10" s="120" customFormat="1" ht="20.45" customHeight="1">
      <c r="A705" s="954"/>
      <c r="B705" s="123"/>
      <c r="C705" s="129"/>
      <c r="D705" s="150"/>
      <c r="F705" s="123"/>
      <c r="G705" s="180"/>
      <c r="H705" s="122"/>
      <c r="J705" s="129"/>
    </row>
    <row r="706" spans="1:10" s="120" customFormat="1" ht="20.45" customHeight="1">
      <c r="A706" s="954"/>
      <c r="B706" s="123"/>
      <c r="C706" s="129"/>
      <c r="D706" s="150"/>
      <c r="F706" s="123"/>
      <c r="G706" s="180"/>
      <c r="H706" s="122"/>
      <c r="J706" s="129"/>
    </row>
    <row r="707" spans="1:10" s="120" customFormat="1" ht="20.45" customHeight="1">
      <c r="A707" s="954"/>
      <c r="B707" s="123"/>
      <c r="C707" s="129"/>
      <c r="D707" s="150"/>
      <c r="F707" s="123"/>
      <c r="G707" s="180"/>
      <c r="H707" s="122"/>
      <c r="J707" s="129"/>
    </row>
    <row r="708" spans="1:10" s="120" customFormat="1" ht="20.45" customHeight="1">
      <c r="A708" s="954"/>
      <c r="B708" s="123"/>
      <c r="C708" s="129"/>
      <c r="D708" s="150"/>
      <c r="F708" s="123"/>
      <c r="G708" s="180"/>
      <c r="H708" s="122"/>
      <c r="J708" s="129"/>
    </row>
    <row r="709" spans="1:10" s="120" customFormat="1" ht="20.45" customHeight="1">
      <c r="A709" s="954"/>
      <c r="B709" s="123"/>
      <c r="C709" s="129"/>
      <c r="D709" s="150"/>
      <c r="F709" s="123"/>
      <c r="G709" s="180"/>
      <c r="H709" s="122"/>
      <c r="J709" s="129"/>
    </row>
    <row r="710" spans="1:10" s="120" customFormat="1" ht="20.45" customHeight="1">
      <c r="A710" s="954"/>
      <c r="B710" s="123"/>
      <c r="C710" s="129"/>
      <c r="D710" s="150"/>
      <c r="F710" s="123"/>
      <c r="G710" s="180"/>
      <c r="H710" s="122"/>
      <c r="J710" s="129"/>
    </row>
    <row r="711" spans="1:10" s="120" customFormat="1" ht="20.45" customHeight="1">
      <c r="A711" s="954"/>
      <c r="B711" s="123"/>
      <c r="C711" s="129"/>
      <c r="D711" s="150"/>
      <c r="F711" s="123"/>
      <c r="G711" s="180"/>
      <c r="H711" s="122"/>
      <c r="J711" s="129"/>
    </row>
    <row r="712" spans="1:10" s="120" customFormat="1" ht="20.45" customHeight="1">
      <c r="A712" s="954"/>
      <c r="B712" s="123"/>
      <c r="C712" s="129"/>
      <c r="D712" s="150"/>
      <c r="F712" s="123"/>
      <c r="G712" s="180"/>
      <c r="H712" s="122"/>
      <c r="J712" s="129"/>
    </row>
    <row r="713" spans="1:10" s="120" customFormat="1" ht="20.45" customHeight="1">
      <c r="A713" s="954"/>
      <c r="B713" s="123"/>
      <c r="C713" s="129"/>
      <c r="D713" s="150"/>
      <c r="F713" s="123"/>
      <c r="G713" s="180"/>
      <c r="H713" s="122"/>
      <c r="J713" s="129"/>
    </row>
    <row r="714" spans="1:10" s="120" customFormat="1" ht="20.45" customHeight="1">
      <c r="A714" s="954"/>
      <c r="B714" s="123"/>
      <c r="C714" s="129"/>
      <c r="D714" s="150"/>
      <c r="F714" s="123"/>
      <c r="G714" s="180"/>
      <c r="H714" s="122"/>
      <c r="J714" s="129"/>
    </row>
    <row r="715" spans="1:10" s="120" customFormat="1" ht="20.45" customHeight="1">
      <c r="A715" s="954"/>
      <c r="B715" s="123"/>
      <c r="C715" s="129"/>
      <c r="D715" s="150"/>
      <c r="F715" s="123"/>
      <c r="G715" s="180"/>
      <c r="H715" s="122"/>
      <c r="J715" s="129"/>
    </row>
    <row r="716" spans="1:10" s="120" customFormat="1" ht="20.45" customHeight="1">
      <c r="A716" s="954"/>
      <c r="B716" s="123"/>
      <c r="C716" s="129"/>
      <c r="D716" s="150"/>
      <c r="F716" s="123"/>
      <c r="G716" s="180"/>
      <c r="H716" s="122"/>
      <c r="J716" s="129"/>
    </row>
    <row r="717" spans="1:10" s="120" customFormat="1" ht="20.45" customHeight="1">
      <c r="A717" s="954"/>
      <c r="B717" s="123"/>
      <c r="C717" s="129"/>
      <c r="D717" s="150"/>
      <c r="F717" s="123"/>
      <c r="G717" s="180"/>
      <c r="H717" s="122"/>
      <c r="J717" s="129"/>
    </row>
    <row r="718" spans="1:10" s="120" customFormat="1" ht="20.45" customHeight="1">
      <c r="A718" s="954"/>
      <c r="B718" s="123"/>
      <c r="C718" s="129"/>
      <c r="D718" s="150"/>
      <c r="F718" s="123"/>
      <c r="G718" s="180"/>
      <c r="H718" s="122"/>
      <c r="J718" s="129"/>
    </row>
    <row r="719" spans="1:10" s="120" customFormat="1" ht="20.45" customHeight="1">
      <c r="A719" s="954"/>
      <c r="B719" s="123"/>
      <c r="C719" s="129"/>
      <c r="D719" s="150"/>
      <c r="F719" s="123"/>
      <c r="G719" s="180"/>
      <c r="H719" s="122"/>
      <c r="J719" s="129"/>
    </row>
    <row r="720" spans="1:10" s="120" customFormat="1" ht="20.45" customHeight="1">
      <c r="A720" s="954"/>
      <c r="B720" s="123"/>
      <c r="C720" s="129"/>
      <c r="D720" s="150"/>
      <c r="F720" s="123"/>
      <c r="G720" s="180"/>
      <c r="H720" s="122"/>
      <c r="J720" s="129"/>
    </row>
    <row r="721" spans="1:10" s="120" customFormat="1" ht="20.45" customHeight="1">
      <c r="A721" s="954"/>
      <c r="B721" s="123"/>
      <c r="C721" s="129"/>
      <c r="D721" s="150"/>
      <c r="F721" s="123"/>
      <c r="G721" s="180"/>
      <c r="H721" s="122"/>
      <c r="J721" s="129"/>
    </row>
    <row r="722" spans="1:10" s="120" customFormat="1" ht="20.45" customHeight="1">
      <c r="A722" s="954"/>
      <c r="B722" s="123"/>
      <c r="C722" s="129"/>
      <c r="D722" s="150"/>
      <c r="F722" s="123"/>
      <c r="G722" s="180"/>
      <c r="H722" s="122"/>
      <c r="J722" s="129"/>
    </row>
    <row r="723" spans="1:10" s="120" customFormat="1" ht="20.45" customHeight="1">
      <c r="A723" s="954"/>
      <c r="B723" s="123"/>
      <c r="C723" s="129"/>
      <c r="D723" s="150"/>
      <c r="F723" s="123"/>
      <c r="G723" s="180"/>
      <c r="H723" s="122"/>
      <c r="J723" s="129"/>
    </row>
    <row r="724" spans="1:10" s="120" customFormat="1" ht="20.45" customHeight="1">
      <c r="A724" s="954"/>
      <c r="B724" s="123"/>
      <c r="C724" s="129"/>
      <c r="D724" s="150"/>
      <c r="F724" s="123"/>
      <c r="G724" s="180"/>
      <c r="H724" s="122"/>
      <c r="J724" s="129"/>
    </row>
    <row r="725" spans="1:10" s="120" customFormat="1" ht="20.45" customHeight="1">
      <c r="A725" s="954"/>
      <c r="B725" s="123"/>
      <c r="C725" s="129"/>
      <c r="D725" s="150"/>
      <c r="F725" s="123"/>
      <c r="G725" s="180"/>
      <c r="H725" s="122"/>
      <c r="J725" s="129"/>
    </row>
    <row r="726" spans="1:10" s="120" customFormat="1" ht="20.45" customHeight="1">
      <c r="A726" s="954"/>
      <c r="B726" s="123"/>
      <c r="C726" s="129"/>
      <c r="D726" s="150"/>
      <c r="F726" s="123"/>
      <c r="G726" s="180"/>
      <c r="H726" s="122"/>
      <c r="J726" s="129"/>
    </row>
    <row r="727" spans="1:10" s="120" customFormat="1" ht="20.45" customHeight="1">
      <c r="A727" s="954"/>
      <c r="B727" s="123"/>
      <c r="C727" s="129"/>
      <c r="D727" s="150"/>
      <c r="F727" s="123"/>
      <c r="G727" s="180"/>
      <c r="H727" s="122"/>
      <c r="J727" s="129"/>
    </row>
    <row r="728" spans="1:10" s="120" customFormat="1" ht="20.45" customHeight="1">
      <c r="A728" s="954"/>
      <c r="B728" s="123"/>
      <c r="C728" s="129"/>
      <c r="D728" s="150"/>
      <c r="F728" s="123"/>
      <c r="G728" s="180"/>
      <c r="H728" s="122"/>
      <c r="J728" s="129"/>
    </row>
    <row r="729" spans="1:10" s="120" customFormat="1" ht="20.45" customHeight="1">
      <c r="A729" s="954"/>
      <c r="B729" s="123"/>
      <c r="C729" s="129"/>
      <c r="D729" s="150"/>
      <c r="F729" s="123"/>
      <c r="G729" s="180"/>
      <c r="H729" s="122"/>
      <c r="J729" s="129"/>
    </row>
    <row r="730" spans="1:10" s="120" customFormat="1" ht="20.45" customHeight="1">
      <c r="A730" s="954"/>
      <c r="B730" s="123"/>
      <c r="C730" s="129"/>
      <c r="D730" s="150"/>
      <c r="F730" s="123"/>
      <c r="G730" s="180"/>
      <c r="H730" s="122"/>
      <c r="J730" s="129"/>
    </row>
    <row r="731" spans="1:10" s="120" customFormat="1" ht="20.45" customHeight="1">
      <c r="A731" s="954"/>
      <c r="B731" s="123"/>
      <c r="C731" s="129"/>
      <c r="D731" s="150"/>
      <c r="F731" s="123"/>
      <c r="G731" s="180"/>
      <c r="H731" s="122"/>
      <c r="J731" s="129"/>
    </row>
    <row r="732" spans="1:10" s="120" customFormat="1" ht="20.45" customHeight="1">
      <c r="A732" s="954"/>
      <c r="B732" s="123"/>
      <c r="C732" s="129"/>
      <c r="D732" s="150"/>
      <c r="F732" s="123"/>
      <c r="G732" s="180"/>
      <c r="H732" s="122"/>
      <c r="J732" s="129"/>
    </row>
    <row r="733" spans="1:10" s="120" customFormat="1" ht="20.45" customHeight="1">
      <c r="A733" s="954"/>
      <c r="B733" s="123"/>
      <c r="C733" s="129"/>
      <c r="D733" s="150"/>
      <c r="F733" s="123"/>
      <c r="G733" s="180"/>
      <c r="H733" s="122"/>
      <c r="J733" s="129"/>
    </row>
    <row r="734" spans="1:10" s="120" customFormat="1" ht="20.45" customHeight="1">
      <c r="A734" s="954"/>
      <c r="B734" s="123"/>
      <c r="C734" s="129"/>
      <c r="D734" s="150"/>
      <c r="F734" s="123"/>
      <c r="G734" s="180"/>
      <c r="H734" s="122"/>
      <c r="J734" s="129"/>
    </row>
    <row r="735" spans="1:10" s="120" customFormat="1" ht="20.45" customHeight="1">
      <c r="A735" s="954"/>
      <c r="B735" s="123"/>
      <c r="C735" s="129"/>
      <c r="D735" s="150"/>
      <c r="F735" s="123"/>
      <c r="G735" s="180"/>
      <c r="H735" s="122"/>
      <c r="J735" s="129"/>
    </row>
    <row r="736" spans="1:10" s="120" customFormat="1" ht="20.45" customHeight="1">
      <c r="A736" s="954"/>
      <c r="B736" s="123"/>
      <c r="C736" s="129"/>
      <c r="D736" s="150"/>
      <c r="F736" s="123"/>
      <c r="G736" s="180"/>
      <c r="H736" s="122"/>
      <c r="J736" s="129"/>
    </row>
    <row r="737" spans="1:10" s="120" customFormat="1" ht="20.45" customHeight="1">
      <c r="A737" s="954"/>
      <c r="B737" s="123"/>
      <c r="C737" s="129"/>
      <c r="D737" s="150"/>
      <c r="F737" s="123"/>
      <c r="G737" s="180"/>
      <c r="H737" s="122"/>
      <c r="J737" s="129"/>
    </row>
    <row r="738" spans="1:10" s="120" customFormat="1" ht="20.45" customHeight="1">
      <c r="A738" s="954"/>
      <c r="B738" s="123"/>
      <c r="C738" s="129"/>
      <c r="D738" s="150"/>
      <c r="F738" s="123"/>
      <c r="G738" s="180"/>
      <c r="H738" s="122"/>
      <c r="J738" s="129"/>
    </row>
    <row r="739" spans="1:10" s="120" customFormat="1" ht="20.45" customHeight="1">
      <c r="A739" s="954"/>
      <c r="B739" s="123"/>
      <c r="C739" s="129"/>
      <c r="D739" s="150"/>
      <c r="F739" s="123"/>
      <c r="G739" s="180"/>
      <c r="H739" s="122"/>
      <c r="J739" s="129"/>
    </row>
    <row r="740" spans="1:10" s="120" customFormat="1" ht="20.45" customHeight="1">
      <c r="A740" s="954"/>
      <c r="B740" s="123"/>
      <c r="C740" s="129"/>
      <c r="D740" s="150"/>
      <c r="F740" s="123"/>
      <c r="G740" s="180"/>
      <c r="H740" s="122"/>
      <c r="J740" s="129"/>
    </row>
    <row r="741" spans="1:10" s="120" customFormat="1" ht="20.45" customHeight="1">
      <c r="A741" s="954"/>
      <c r="B741" s="123"/>
      <c r="C741" s="129"/>
      <c r="D741" s="150"/>
      <c r="F741" s="123"/>
      <c r="G741" s="180"/>
      <c r="H741" s="122"/>
      <c r="J741" s="129"/>
    </row>
    <row r="742" spans="1:10" s="120" customFormat="1" ht="20.45" customHeight="1">
      <c r="A742" s="954"/>
      <c r="B742" s="123"/>
      <c r="C742" s="129"/>
      <c r="D742" s="150"/>
      <c r="F742" s="123"/>
      <c r="G742" s="180"/>
      <c r="H742" s="122"/>
      <c r="J742" s="129"/>
    </row>
    <row r="743" spans="1:10" s="120" customFormat="1" ht="20.45" customHeight="1">
      <c r="A743" s="954"/>
      <c r="B743" s="123"/>
      <c r="C743" s="129"/>
      <c r="D743" s="150"/>
      <c r="F743" s="123"/>
      <c r="G743" s="180"/>
      <c r="H743" s="122"/>
      <c r="J743" s="129"/>
    </row>
    <row r="744" spans="1:10" s="120" customFormat="1" ht="20.45" customHeight="1">
      <c r="A744" s="954"/>
      <c r="B744" s="123"/>
      <c r="C744" s="129"/>
      <c r="D744" s="150"/>
      <c r="F744" s="123"/>
      <c r="G744" s="180"/>
      <c r="H744" s="122"/>
      <c r="J744" s="129"/>
    </row>
    <row r="745" spans="1:10" s="120" customFormat="1" ht="20.45" customHeight="1">
      <c r="A745" s="954"/>
      <c r="B745" s="123"/>
      <c r="C745" s="129"/>
      <c r="D745" s="150"/>
      <c r="F745" s="123"/>
      <c r="G745" s="180"/>
      <c r="H745" s="122"/>
      <c r="J745" s="129"/>
    </row>
    <row r="746" spans="1:10" s="120" customFormat="1" ht="20.45" customHeight="1">
      <c r="A746" s="954"/>
      <c r="B746" s="123"/>
      <c r="C746" s="129"/>
      <c r="D746" s="150"/>
      <c r="F746" s="123"/>
      <c r="G746" s="180"/>
      <c r="H746" s="122"/>
      <c r="J746" s="129"/>
    </row>
    <row r="747" spans="1:10" s="120" customFormat="1" ht="20.45" customHeight="1">
      <c r="A747" s="954"/>
      <c r="B747" s="123"/>
      <c r="C747" s="129"/>
      <c r="D747" s="150"/>
      <c r="F747" s="123"/>
      <c r="G747" s="180"/>
      <c r="H747" s="122"/>
      <c r="J747" s="129"/>
    </row>
    <row r="748" spans="1:10" s="120" customFormat="1" ht="20.45" customHeight="1">
      <c r="A748" s="954"/>
      <c r="B748" s="123"/>
      <c r="C748" s="129"/>
      <c r="D748" s="150"/>
      <c r="F748" s="123"/>
      <c r="G748" s="180"/>
      <c r="H748" s="122"/>
      <c r="J748" s="129"/>
    </row>
    <row r="749" spans="1:10" s="120" customFormat="1" ht="20.45" customHeight="1">
      <c r="A749" s="954"/>
      <c r="B749" s="123"/>
      <c r="C749" s="129"/>
      <c r="D749" s="150"/>
      <c r="F749" s="123"/>
      <c r="G749" s="180"/>
      <c r="H749" s="122"/>
      <c r="J749" s="129"/>
    </row>
    <row r="750" spans="1:10" s="120" customFormat="1" ht="20.45" customHeight="1">
      <c r="A750" s="954"/>
      <c r="B750" s="123"/>
      <c r="C750" s="129"/>
      <c r="D750" s="150"/>
      <c r="F750" s="123"/>
      <c r="G750" s="180"/>
      <c r="H750" s="122"/>
      <c r="J750" s="129"/>
    </row>
    <row r="751" spans="1:10" s="120" customFormat="1" ht="20.45" customHeight="1">
      <c r="A751" s="954"/>
      <c r="B751" s="123"/>
      <c r="C751" s="129"/>
      <c r="D751" s="150"/>
      <c r="F751" s="123"/>
      <c r="G751" s="180"/>
      <c r="H751" s="122"/>
      <c r="J751" s="129"/>
    </row>
    <row r="752" spans="1:10" s="120" customFormat="1" ht="20.45" customHeight="1">
      <c r="A752" s="954"/>
      <c r="B752" s="123"/>
      <c r="C752" s="129"/>
      <c r="D752" s="150"/>
      <c r="F752" s="123"/>
      <c r="G752" s="180"/>
      <c r="H752" s="122"/>
      <c r="J752" s="129"/>
    </row>
    <row r="753" spans="1:10" s="120" customFormat="1" ht="20.45" customHeight="1">
      <c r="A753" s="954"/>
      <c r="B753" s="123"/>
      <c r="C753" s="129"/>
      <c r="D753" s="150"/>
      <c r="F753" s="123"/>
      <c r="G753" s="180"/>
      <c r="H753" s="122"/>
      <c r="J753" s="129"/>
    </row>
    <row r="754" spans="1:10" s="120" customFormat="1" ht="20.45" customHeight="1">
      <c r="A754" s="954"/>
      <c r="B754" s="123"/>
      <c r="C754" s="129"/>
      <c r="D754" s="150"/>
      <c r="F754" s="123"/>
      <c r="G754" s="180"/>
      <c r="H754" s="122"/>
      <c r="J754" s="129"/>
    </row>
    <row r="755" spans="1:10" s="120" customFormat="1" ht="20.45" customHeight="1">
      <c r="A755" s="954"/>
      <c r="B755" s="123"/>
      <c r="C755" s="129"/>
      <c r="D755" s="150"/>
      <c r="F755" s="123"/>
      <c r="G755" s="180"/>
      <c r="H755" s="122"/>
      <c r="J755" s="129"/>
    </row>
    <row r="756" spans="1:10" s="120" customFormat="1" ht="20.45" customHeight="1">
      <c r="A756" s="954"/>
      <c r="B756" s="123"/>
      <c r="C756" s="129"/>
      <c r="D756" s="150"/>
      <c r="F756" s="123"/>
      <c r="G756" s="180"/>
      <c r="H756" s="122"/>
      <c r="J756" s="129"/>
    </row>
    <row r="757" spans="1:10" s="120" customFormat="1" ht="20.45" customHeight="1">
      <c r="A757" s="954"/>
      <c r="B757" s="123"/>
      <c r="C757" s="129"/>
      <c r="D757" s="150"/>
      <c r="F757" s="123"/>
      <c r="G757" s="180"/>
      <c r="H757" s="122"/>
      <c r="J757" s="129"/>
    </row>
    <row r="758" spans="1:10" s="120" customFormat="1" ht="20.45" customHeight="1">
      <c r="A758" s="954"/>
      <c r="B758" s="123"/>
      <c r="C758" s="129"/>
      <c r="D758" s="150"/>
      <c r="F758" s="123"/>
      <c r="G758" s="180"/>
      <c r="H758" s="122"/>
      <c r="J758" s="129"/>
    </row>
    <row r="759" spans="1:10" s="120" customFormat="1" ht="20.45" customHeight="1">
      <c r="A759" s="954"/>
      <c r="B759" s="123"/>
      <c r="C759" s="129"/>
      <c r="D759" s="150"/>
      <c r="F759" s="123"/>
      <c r="G759" s="180"/>
      <c r="H759" s="122"/>
      <c r="J759" s="129"/>
    </row>
    <row r="760" spans="1:10" s="120" customFormat="1" ht="20.45" customHeight="1">
      <c r="A760" s="954"/>
      <c r="B760" s="123"/>
      <c r="C760" s="129"/>
      <c r="D760" s="150"/>
      <c r="F760" s="123"/>
      <c r="G760" s="180"/>
      <c r="H760" s="122"/>
      <c r="J760" s="129"/>
    </row>
    <row r="761" spans="1:10" s="120" customFormat="1" ht="20.45" customHeight="1">
      <c r="A761" s="954"/>
      <c r="B761" s="123"/>
      <c r="C761" s="129"/>
      <c r="D761" s="150"/>
      <c r="F761" s="123"/>
      <c r="G761" s="180"/>
      <c r="H761" s="122"/>
      <c r="J761" s="129"/>
    </row>
    <row r="762" spans="1:10" s="120" customFormat="1" ht="20.45" customHeight="1">
      <c r="A762" s="954"/>
      <c r="B762" s="123"/>
      <c r="C762" s="129"/>
      <c r="D762" s="150"/>
      <c r="F762" s="123"/>
      <c r="G762" s="180"/>
      <c r="H762" s="122"/>
      <c r="J762" s="129"/>
    </row>
    <row r="763" spans="1:10" s="120" customFormat="1" ht="20.45" customHeight="1">
      <c r="A763" s="954"/>
      <c r="B763" s="123"/>
      <c r="C763" s="129"/>
      <c r="D763" s="150"/>
      <c r="F763" s="123"/>
      <c r="G763" s="180"/>
      <c r="H763" s="122"/>
      <c r="J763" s="129"/>
    </row>
    <row r="764" spans="1:10" s="120" customFormat="1" ht="20.45" customHeight="1">
      <c r="A764" s="954"/>
      <c r="B764" s="123"/>
      <c r="C764" s="129"/>
      <c r="D764" s="150"/>
      <c r="F764" s="123"/>
      <c r="G764" s="180"/>
      <c r="H764" s="122"/>
      <c r="J764" s="129"/>
    </row>
    <row r="765" spans="1:10" s="120" customFormat="1" ht="20.45" customHeight="1">
      <c r="A765" s="954"/>
      <c r="B765" s="123"/>
      <c r="C765" s="129"/>
      <c r="D765" s="150"/>
      <c r="F765" s="123"/>
      <c r="G765" s="180"/>
      <c r="H765" s="122"/>
      <c r="J765" s="129"/>
    </row>
    <row r="766" spans="1:10" s="120" customFormat="1" ht="20.45" customHeight="1">
      <c r="A766" s="954"/>
      <c r="B766" s="123"/>
      <c r="C766" s="129"/>
      <c r="D766" s="150"/>
      <c r="F766" s="123"/>
      <c r="G766" s="180"/>
      <c r="H766" s="122"/>
      <c r="J766" s="129"/>
    </row>
    <row r="767" spans="1:10" s="120" customFormat="1" ht="20.45" customHeight="1">
      <c r="A767" s="954"/>
      <c r="B767" s="123"/>
      <c r="C767" s="129"/>
      <c r="D767" s="150"/>
      <c r="F767" s="123"/>
      <c r="G767" s="180"/>
      <c r="H767" s="122"/>
      <c r="J767" s="129"/>
    </row>
    <row r="768" spans="1:10" s="120" customFormat="1" ht="20.45" customHeight="1">
      <c r="A768" s="954"/>
      <c r="B768" s="123"/>
      <c r="C768" s="129"/>
      <c r="D768" s="150"/>
      <c r="F768" s="123"/>
      <c r="G768" s="180"/>
      <c r="H768" s="122"/>
      <c r="J768" s="129"/>
    </row>
    <row r="769" spans="1:10" s="120" customFormat="1" ht="20.45" customHeight="1">
      <c r="A769" s="954"/>
      <c r="B769" s="123"/>
      <c r="C769" s="129"/>
      <c r="D769" s="150"/>
      <c r="F769" s="123"/>
      <c r="G769" s="180"/>
      <c r="H769" s="122"/>
      <c r="J769" s="129"/>
    </row>
    <row r="770" spans="1:10" s="120" customFormat="1" ht="20.45" customHeight="1">
      <c r="A770" s="954"/>
      <c r="B770" s="123"/>
      <c r="C770" s="129"/>
      <c r="D770" s="150"/>
      <c r="F770" s="123"/>
      <c r="G770" s="180"/>
      <c r="H770" s="122"/>
      <c r="J770" s="129"/>
    </row>
    <row r="771" spans="1:10" s="120" customFormat="1" ht="20.45" customHeight="1">
      <c r="A771" s="954"/>
      <c r="B771" s="123"/>
      <c r="C771" s="129"/>
      <c r="D771" s="150"/>
      <c r="F771" s="123"/>
      <c r="G771" s="180"/>
      <c r="H771" s="122"/>
      <c r="J771" s="129"/>
    </row>
    <row r="772" spans="1:10" s="120" customFormat="1" ht="20.45" customHeight="1">
      <c r="A772" s="954"/>
      <c r="B772" s="123"/>
      <c r="C772" s="129"/>
      <c r="D772" s="150"/>
      <c r="F772" s="123"/>
      <c r="G772" s="180"/>
      <c r="H772" s="122"/>
      <c r="J772" s="129"/>
    </row>
    <row r="773" spans="1:10" s="120" customFormat="1" ht="20.45" customHeight="1">
      <c r="A773" s="954"/>
      <c r="B773" s="123"/>
      <c r="C773" s="129"/>
      <c r="D773" s="150"/>
      <c r="F773" s="123"/>
      <c r="G773" s="180"/>
      <c r="H773" s="122"/>
      <c r="J773" s="129"/>
    </row>
    <row r="774" spans="1:10" s="120" customFormat="1" ht="20.45" customHeight="1">
      <c r="A774" s="954"/>
      <c r="B774" s="123"/>
      <c r="C774" s="129"/>
      <c r="D774" s="150"/>
      <c r="F774" s="123"/>
      <c r="G774" s="180"/>
      <c r="H774" s="122"/>
      <c r="J774" s="129"/>
    </row>
    <row r="775" spans="1:10" s="120" customFormat="1" ht="20.45" customHeight="1">
      <c r="A775" s="954"/>
      <c r="B775" s="123"/>
      <c r="C775" s="129"/>
      <c r="D775" s="150"/>
      <c r="F775" s="123"/>
      <c r="G775" s="180"/>
      <c r="H775" s="122"/>
      <c r="J775" s="129"/>
    </row>
    <row r="776" spans="1:10" s="120" customFormat="1" ht="20.45" customHeight="1">
      <c r="A776" s="954"/>
      <c r="B776" s="123"/>
      <c r="C776" s="129"/>
      <c r="D776" s="150"/>
      <c r="F776" s="123"/>
      <c r="G776" s="180"/>
      <c r="H776" s="122"/>
      <c r="J776" s="129"/>
    </row>
    <row r="777" spans="1:10" s="120" customFormat="1" ht="20.45" customHeight="1">
      <c r="A777" s="954"/>
      <c r="B777" s="123"/>
      <c r="C777" s="129"/>
      <c r="D777" s="150"/>
      <c r="F777" s="123"/>
      <c r="G777" s="180"/>
      <c r="H777" s="122"/>
      <c r="J777" s="129"/>
    </row>
    <row r="778" spans="1:10" s="120" customFormat="1" ht="20.45" customHeight="1">
      <c r="A778" s="954"/>
      <c r="B778" s="123"/>
      <c r="C778" s="129"/>
      <c r="D778" s="150"/>
      <c r="F778" s="123"/>
      <c r="G778" s="180"/>
      <c r="H778" s="122"/>
      <c r="J778" s="129"/>
    </row>
    <row r="779" spans="1:10" s="120" customFormat="1" ht="20.45" customHeight="1">
      <c r="A779" s="954"/>
      <c r="B779" s="123"/>
      <c r="C779" s="129"/>
      <c r="D779" s="150"/>
      <c r="F779" s="123"/>
      <c r="G779" s="180"/>
      <c r="H779" s="122"/>
      <c r="J779" s="129"/>
    </row>
    <row r="780" spans="1:10" s="120" customFormat="1" ht="20.45" customHeight="1">
      <c r="A780" s="954"/>
      <c r="B780" s="123"/>
      <c r="C780" s="129"/>
      <c r="D780" s="150"/>
      <c r="F780" s="123"/>
      <c r="G780" s="180"/>
      <c r="H780" s="122"/>
      <c r="J780" s="129"/>
    </row>
    <row r="781" spans="1:10" s="120" customFormat="1" ht="20.45" customHeight="1">
      <c r="A781" s="954"/>
      <c r="B781" s="123"/>
      <c r="C781" s="129"/>
      <c r="D781" s="150"/>
      <c r="F781" s="123"/>
      <c r="G781" s="180"/>
      <c r="H781" s="122"/>
      <c r="J781" s="129"/>
    </row>
    <row r="782" spans="1:10" s="120" customFormat="1" ht="20.45" customHeight="1">
      <c r="A782" s="954"/>
      <c r="B782" s="123"/>
      <c r="C782" s="129"/>
      <c r="D782" s="150"/>
      <c r="F782" s="123"/>
      <c r="G782" s="180"/>
      <c r="H782" s="122"/>
      <c r="J782" s="129"/>
    </row>
    <row r="783" spans="1:10" s="120" customFormat="1" ht="20.45" customHeight="1">
      <c r="A783" s="954"/>
      <c r="B783" s="123"/>
      <c r="C783" s="129"/>
      <c r="D783" s="150"/>
      <c r="F783" s="123"/>
      <c r="G783" s="180"/>
      <c r="H783" s="122"/>
      <c r="J783" s="129"/>
    </row>
    <row r="784" spans="1:10" s="120" customFormat="1" ht="20.45" customHeight="1">
      <c r="A784" s="954"/>
      <c r="B784" s="123"/>
      <c r="C784" s="129"/>
      <c r="D784" s="150"/>
      <c r="F784" s="123"/>
      <c r="G784" s="180"/>
      <c r="H784" s="122"/>
      <c r="J784" s="129"/>
    </row>
    <row r="785" spans="1:10" s="120" customFormat="1" ht="20.45" customHeight="1">
      <c r="A785" s="954"/>
      <c r="B785" s="123"/>
      <c r="C785" s="129"/>
      <c r="D785" s="150"/>
      <c r="F785" s="123"/>
      <c r="G785" s="180"/>
      <c r="H785" s="122"/>
      <c r="J785" s="129"/>
    </row>
    <row r="786" spans="1:10" s="120" customFormat="1" ht="20.45" customHeight="1">
      <c r="A786" s="954"/>
      <c r="B786" s="123"/>
      <c r="C786" s="129"/>
      <c r="D786" s="150"/>
      <c r="F786" s="123"/>
      <c r="G786" s="180"/>
      <c r="H786" s="122"/>
      <c r="J786" s="129"/>
    </row>
    <row r="787" spans="1:10" s="120" customFormat="1" ht="20.45" customHeight="1">
      <c r="A787" s="954"/>
      <c r="B787" s="123"/>
      <c r="C787" s="129"/>
      <c r="D787" s="150"/>
      <c r="F787" s="123"/>
      <c r="G787" s="180"/>
      <c r="H787" s="122"/>
      <c r="J787" s="129"/>
    </row>
    <row r="788" spans="1:10" s="120" customFormat="1" ht="20.45" customHeight="1">
      <c r="A788" s="954"/>
      <c r="B788" s="123"/>
      <c r="C788" s="129"/>
      <c r="D788" s="150"/>
      <c r="F788" s="123"/>
      <c r="G788" s="180"/>
      <c r="H788" s="122"/>
      <c r="J788" s="129"/>
    </row>
    <row r="789" spans="1:10" s="120" customFormat="1" ht="20.45" customHeight="1">
      <c r="A789" s="954"/>
      <c r="B789" s="123"/>
      <c r="C789" s="129"/>
      <c r="D789" s="150"/>
      <c r="F789" s="123"/>
      <c r="G789" s="180"/>
      <c r="H789" s="122"/>
      <c r="J789" s="129"/>
    </row>
    <row r="790" spans="1:10" s="120" customFormat="1" ht="20.45" customHeight="1">
      <c r="A790" s="954"/>
      <c r="B790" s="123"/>
      <c r="C790" s="129"/>
      <c r="D790" s="150"/>
      <c r="F790" s="123"/>
      <c r="G790" s="180"/>
      <c r="H790" s="122"/>
      <c r="J790" s="129"/>
    </row>
    <row r="791" spans="1:10" s="120" customFormat="1" ht="20.45" customHeight="1">
      <c r="A791" s="954"/>
      <c r="B791" s="123"/>
      <c r="C791" s="129"/>
      <c r="D791" s="150"/>
      <c r="F791" s="123"/>
      <c r="G791" s="180"/>
      <c r="H791" s="122"/>
      <c r="J791" s="129"/>
    </row>
    <row r="792" spans="1:10" s="120" customFormat="1" ht="20.45" customHeight="1">
      <c r="A792" s="954"/>
      <c r="B792" s="123"/>
      <c r="C792" s="129"/>
      <c r="D792" s="150"/>
      <c r="F792" s="123"/>
      <c r="G792" s="180"/>
      <c r="H792" s="122"/>
      <c r="J792" s="129"/>
    </row>
    <row r="793" spans="1:10" s="120" customFormat="1" ht="20.45" customHeight="1">
      <c r="A793" s="954"/>
      <c r="B793" s="123"/>
      <c r="C793" s="129"/>
      <c r="D793" s="150"/>
      <c r="F793" s="123"/>
      <c r="G793" s="180"/>
      <c r="H793" s="122"/>
      <c r="J793" s="129"/>
    </row>
    <row r="794" spans="1:10" s="120" customFormat="1" ht="20.45" customHeight="1">
      <c r="A794" s="954"/>
      <c r="B794" s="123"/>
      <c r="C794" s="129"/>
      <c r="D794" s="150"/>
      <c r="F794" s="123"/>
      <c r="G794" s="180"/>
      <c r="H794" s="122"/>
      <c r="J794" s="129"/>
    </row>
    <row r="795" spans="1:10" s="120" customFormat="1" ht="20.45" customHeight="1">
      <c r="A795" s="954"/>
      <c r="B795" s="123"/>
      <c r="C795" s="129"/>
      <c r="D795" s="150"/>
      <c r="F795" s="123"/>
      <c r="G795" s="180"/>
      <c r="H795" s="122"/>
      <c r="J795" s="129"/>
    </row>
    <row r="796" spans="1:10" s="120" customFormat="1" ht="20.45" customHeight="1">
      <c r="A796" s="954"/>
      <c r="B796" s="123"/>
      <c r="C796" s="129"/>
      <c r="D796" s="150"/>
      <c r="F796" s="123"/>
      <c r="G796" s="180"/>
      <c r="H796" s="122"/>
      <c r="J796" s="129"/>
    </row>
    <row r="797" spans="1:10" s="120" customFormat="1" ht="20.45" customHeight="1">
      <c r="A797" s="954"/>
      <c r="B797" s="123"/>
      <c r="C797" s="129"/>
      <c r="D797" s="150"/>
      <c r="F797" s="123"/>
      <c r="G797" s="180"/>
      <c r="H797" s="122"/>
      <c r="J797" s="129"/>
    </row>
    <row r="798" spans="1:10" s="120" customFormat="1" ht="20.45" customHeight="1">
      <c r="A798" s="954"/>
      <c r="B798" s="123"/>
      <c r="C798" s="129"/>
      <c r="D798" s="150"/>
      <c r="F798" s="123"/>
      <c r="G798" s="180"/>
      <c r="H798" s="122"/>
      <c r="J798" s="129"/>
    </row>
    <row r="799" spans="1:10" s="120" customFormat="1" ht="20.45" customHeight="1">
      <c r="A799" s="954"/>
      <c r="B799" s="123"/>
      <c r="C799" s="129"/>
      <c r="D799" s="150"/>
      <c r="F799" s="123"/>
      <c r="G799" s="180"/>
      <c r="H799" s="122"/>
      <c r="J799" s="129"/>
    </row>
    <row r="800" spans="1:10" s="120" customFormat="1" ht="20.45" customHeight="1">
      <c r="A800" s="954"/>
      <c r="B800" s="123"/>
      <c r="C800" s="129"/>
      <c r="D800" s="150"/>
      <c r="F800" s="123"/>
      <c r="G800" s="180"/>
      <c r="H800" s="122"/>
      <c r="J800" s="129"/>
    </row>
    <row r="801" spans="1:10" s="120" customFormat="1" ht="20.45" customHeight="1">
      <c r="A801" s="954"/>
      <c r="B801" s="123"/>
      <c r="C801" s="129"/>
      <c r="D801" s="150"/>
      <c r="F801" s="123"/>
      <c r="G801" s="180"/>
      <c r="H801" s="122"/>
      <c r="J801" s="129"/>
    </row>
    <row r="802" spans="1:10" s="120" customFormat="1" ht="20.45" customHeight="1">
      <c r="A802" s="954"/>
      <c r="B802" s="123"/>
      <c r="C802" s="129"/>
      <c r="D802" s="150"/>
      <c r="F802" s="123"/>
      <c r="G802" s="180"/>
      <c r="H802" s="122"/>
      <c r="J802" s="129"/>
    </row>
    <row r="803" spans="1:10" s="120" customFormat="1" ht="20.45" customHeight="1">
      <c r="A803" s="954"/>
      <c r="B803" s="123"/>
      <c r="C803" s="129"/>
      <c r="D803" s="150"/>
      <c r="F803" s="123"/>
      <c r="G803" s="180"/>
      <c r="H803" s="122"/>
      <c r="J803" s="129"/>
    </row>
    <row r="804" spans="1:10" s="120" customFormat="1" ht="20.45" customHeight="1">
      <c r="A804" s="954"/>
      <c r="B804" s="123"/>
      <c r="C804" s="129"/>
      <c r="D804" s="150"/>
      <c r="F804" s="123"/>
      <c r="G804" s="180"/>
      <c r="H804" s="122"/>
      <c r="J804" s="129"/>
    </row>
    <row r="805" spans="1:10" s="120" customFormat="1" ht="20.45" customHeight="1">
      <c r="A805" s="954"/>
      <c r="B805" s="123"/>
      <c r="C805" s="129"/>
      <c r="D805" s="150"/>
      <c r="F805" s="123"/>
      <c r="G805" s="180"/>
      <c r="H805" s="122"/>
      <c r="J805" s="129"/>
    </row>
    <row r="806" spans="1:10" s="120" customFormat="1" ht="20.45" customHeight="1">
      <c r="A806" s="954"/>
      <c r="B806" s="123"/>
      <c r="C806" s="129"/>
      <c r="D806" s="150"/>
      <c r="F806" s="123"/>
      <c r="G806" s="180"/>
      <c r="H806" s="122"/>
      <c r="J806" s="129"/>
    </row>
    <row r="807" spans="1:10" s="120" customFormat="1" ht="20.45" customHeight="1">
      <c r="A807" s="954"/>
      <c r="B807" s="123"/>
      <c r="C807" s="129"/>
      <c r="D807" s="150"/>
      <c r="F807" s="123"/>
      <c r="G807" s="180"/>
      <c r="H807" s="122"/>
      <c r="J807" s="129"/>
    </row>
    <row r="808" spans="1:10" s="120" customFormat="1" ht="20.45" customHeight="1">
      <c r="A808" s="954"/>
      <c r="B808" s="123"/>
      <c r="C808" s="129"/>
      <c r="D808" s="150"/>
      <c r="F808" s="123"/>
      <c r="G808" s="180"/>
      <c r="H808" s="122"/>
      <c r="J808" s="129"/>
    </row>
    <row r="809" spans="1:10" s="120" customFormat="1" ht="20.45" customHeight="1">
      <c r="A809" s="954"/>
      <c r="B809" s="123"/>
      <c r="C809" s="129"/>
      <c r="D809" s="150"/>
      <c r="F809" s="123"/>
      <c r="G809" s="180"/>
      <c r="H809" s="122"/>
      <c r="J809" s="129"/>
    </row>
    <row r="810" spans="1:10" s="120" customFormat="1" ht="20.45" customHeight="1">
      <c r="A810" s="954"/>
      <c r="B810" s="123"/>
      <c r="C810" s="129"/>
      <c r="D810" s="150"/>
      <c r="F810" s="123"/>
      <c r="G810" s="180"/>
      <c r="H810" s="122"/>
      <c r="J810" s="129"/>
    </row>
    <row r="811" spans="1:10" s="120" customFormat="1" ht="20.45" customHeight="1">
      <c r="A811" s="954"/>
      <c r="B811" s="123"/>
      <c r="C811" s="129"/>
      <c r="D811" s="150"/>
      <c r="F811" s="123"/>
      <c r="G811" s="180"/>
      <c r="H811" s="122"/>
      <c r="J811" s="129"/>
    </row>
    <row r="812" spans="1:10" s="120" customFormat="1" ht="20.45" customHeight="1">
      <c r="A812" s="954"/>
      <c r="B812" s="123"/>
      <c r="C812" s="129"/>
      <c r="D812" s="150"/>
      <c r="F812" s="123"/>
      <c r="G812" s="180"/>
      <c r="H812" s="122"/>
      <c r="J812" s="129"/>
    </row>
    <row r="813" spans="1:10" s="120" customFormat="1" ht="20.45" customHeight="1">
      <c r="A813" s="954"/>
      <c r="B813" s="123"/>
      <c r="C813" s="129"/>
      <c r="D813" s="150"/>
      <c r="F813" s="123"/>
      <c r="G813" s="180"/>
      <c r="H813" s="122"/>
      <c r="J813" s="129"/>
    </row>
    <row r="814" spans="1:10" s="120" customFormat="1" ht="20.45" customHeight="1">
      <c r="A814" s="954"/>
      <c r="B814" s="123"/>
      <c r="C814" s="129"/>
      <c r="D814" s="150"/>
      <c r="F814" s="123"/>
      <c r="G814" s="180"/>
      <c r="H814" s="122"/>
      <c r="J814" s="129"/>
    </row>
    <row r="815" spans="1:10" s="120" customFormat="1" ht="20.45" customHeight="1">
      <c r="A815" s="954"/>
      <c r="B815" s="123"/>
      <c r="C815" s="129"/>
      <c r="D815" s="150"/>
      <c r="F815" s="123"/>
      <c r="G815" s="180"/>
      <c r="H815" s="122"/>
      <c r="J815" s="129"/>
    </row>
    <row r="816" spans="1:10" s="120" customFormat="1" ht="20.45" customHeight="1">
      <c r="A816" s="954"/>
      <c r="B816" s="123"/>
      <c r="C816" s="129"/>
      <c r="D816" s="150"/>
      <c r="F816" s="123"/>
      <c r="G816" s="180"/>
      <c r="H816" s="122"/>
      <c r="J816" s="129"/>
    </row>
    <row r="817" spans="1:10" s="120" customFormat="1" ht="20.45" customHeight="1">
      <c r="A817" s="954"/>
      <c r="B817" s="123"/>
      <c r="C817" s="129"/>
      <c r="D817" s="150"/>
      <c r="F817" s="123"/>
      <c r="G817" s="180"/>
      <c r="H817" s="122"/>
      <c r="J817" s="129"/>
    </row>
    <row r="818" spans="1:10" s="120" customFormat="1" ht="20.45" customHeight="1">
      <c r="A818" s="954"/>
      <c r="B818" s="123"/>
      <c r="C818" s="129"/>
      <c r="D818" s="150"/>
      <c r="F818" s="123"/>
      <c r="G818" s="180"/>
      <c r="H818" s="122"/>
      <c r="J818" s="129"/>
    </row>
    <row r="819" spans="1:10" s="120" customFormat="1" ht="20.45" customHeight="1">
      <c r="A819" s="954"/>
      <c r="B819" s="123"/>
      <c r="C819" s="129"/>
      <c r="D819" s="150"/>
      <c r="F819" s="123"/>
      <c r="G819" s="180"/>
      <c r="H819" s="122"/>
      <c r="J819" s="129"/>
    </row>
    <row r="820" spans="1:10" s="120" customFormat="1" ht="20.45" customHeight="1">
      <c r="A820" s="954"/>
      <c r="B820" s="123"/>
      <c r="C820" s="129"/>
      <c r="D820" s="150"/>
      <c r="F820" s="123"/>
      <c r="G820" s="180"/>
      <c r="H820" s="122"/>
      <c r="J820" s="129"/>
    </row>
    <row r="821" spans="1:10" s="120" customFormat="1" ht="20.45" customHeight="1">
      <c r="A821" s="954"/>
      <c r="B821" s="123"/>
      <c r="C821" s="129"/>
      <c r="D821" s="150"/>
      <c r="F821" s="123"/>
      <c r="G821" s="180"/>
      <c r="H821" s="122"/>
      <c r="J821" s="129"/>
    </row>
    <row r="822" spans="1:10" s="120" customFormat="1" ht="20.45" customHeight="1">
      <c r="A822" s="954"/>
      <c r="B822" s="123"/>
      <c r="C822" s="129"/>
      <c r="D822" s="150"/>
      <c r="F822" s="123"/>
      <c r="G822" s="180"/>
      <c r="H822" s="122"/>
      <c r="J822" s="129"/>
    </row>
    <row r="823" spans="1:10" s="120" customFormat="1" ht="20.45" customHeight="1">
      <c r="A823" s="954"/>
      <c r="B823" s="123"/>
      <c r="C823" s="129"/>
      <c r="D823" s="150"/>
      <c r="F823" s="123"/>
      <c r="G823" s="180"/>
      <c r="H823" s="122"/>
      <c r="J823" s="129"/>
    </row>
    <row r="824" spans="1:10" s="120" customFormat="1" ht="20.45" customHeight="1">
      <c r="A824" s="954"/>
      <c r="B824" s="123"/>
      <c r="C824" s="129"/>
      <c r="D824" s="150"/>
      <c r="F824" s="123"/>
      <c r="G824" s="180"/>
      <c r="H824" s="122"/>
      <c r="J824" s="129"/>
    </row>
    <row r="825" spans="1:10" s="120" customFormat="1" ht="20.45" customHeight="1">
      <c r="A825" s="954"/>
      <c r="B825" s="123"/>
      <c r="C825" s="129"/>
      <c r="D825" s="150"/>
      <c r="F825" s="123"/>
      <c r="G825" s="180"/>
      <c r="H825" s="122"/>
      <c r="J825" s="129"/>
    </row>
    <row r="826" spans="1:10" s="120" customFormat="1" ht="20.45" customHeight="1">
      <c r="A826" s="954"/>
      <c r="B826" s="123"/>
      <c r="C826" s="129"/>
      <c r="D826" s="150"/>
      <c r="F826" s="123"/>
      <c r="G826" s="180"/>
      <c r="H826" s="122"/>
      <c r="J826" s="129"/>
    </row>
    <row r="827" spans="1:10" s="120" customFormat="1" ht="20.45" customHeight="1">
      <c r="A827" s="954"/>
      <c r="B827" s="123"/>
      <c r="C827" s="129"/>
      <c r="D827" s="150"/>
      <c r="F827" s="123"/>
      <c r="G827" s="180"/>
      <c r="H827" s="122"/>
      <c r="J827" s="129"/>
    </row>
    <row r="828" spans="1:10" s="120" customFormat="1" ht="20.45" customHeight="1">
      <c r="A828" s="954"/>
      <c r="B828" s="123"/>
      <c r="C828" s="129"/>
      <c r="D828" s="150"/>
      <c r="F828" s="123"/>
      <c r="G828" s="180"/>
      <c r="H828" s="122"/>
      <c r="J828" s="129"/>
    </row>
    <row r="829" spans="1:10" s="120" customFormat="1" ht="20.45" customHeight="1">
      <c r="A829" s="954"/>
      <c r="B829" s="123"/>
      <c r="C829" s="129"/>
      <c r="D829" s="150"/>
      <c r="F829" s="123"/>
      <c r="G829" s="180"/>
      <c r="H829" s="122"/>
      <c r="J829" s="129"/>
    </row>
    <row r="830" spans="1:10" s="120" customFormat="1" ht="20.45" customHeight="1">
      <c r="A830" s="954"/>
      <c r="B830" s="123"/>
      <c r="C830" s="129"/>
      <c r="D830" s="150"/>
      <c r="F830" s="123"/>
      <c r="G830" s="180"/>
      <c r="H830" s="122"/>
      <c r="J830" s="129"/>
    </row>
    <row r="831" spans="1:10" s="120" customFormat="1" ht="20.45" customHeight="1">
      <c r="A831" s="954"/>
      <c r="B831" s="123"/>
      <c r="C831" s="129"/>
      <c r="D831" s="150"/>
      <c r="F831" s="123"/>
      <c r="G831" s="180"/>
      <c r="H831" s="122"/>
      <c r="J831" s="129"/>
    </row>
    <row r="832" spans="1:10" s="120" customFormat="1" ht="20.45" customHeight="1">
      <c r="A832" s="954"/>
      <c r="B832" s="123"/>
      <c r="C832" s="129"/>
      <c r="D832" s="150"/>
      <c r="F832" s="123"/>
      <c r="G832" s="180"/>
      <c r="H832" s="122"/>
      <c r="J832" s="129"/>
    </row>
    <row r="833" spans="1:10" s="120" customFormat="1" ht="20.45" customHeight="1">
      <c r="A833" s="954"/>
      <c r="B833" s="123"/>
      <c r="C833" s="129"/>
      <c r="D833" s="150"/>
      <c r="F833" s="123"/>
      <c r="G833" s="180"/>
      <c r="H833" s="122"/>
      <c r="J833" s="129"/>
    </row>
    <row r="834" spans="1:10" s="120" customFormat="1" ht="20.45" customHeight="1">
      <c r="A834" s="954"/>
      <c r="B834" s="123"/>
      <c r="C834" s="129"/>
      <c r="D834" s="150"/>
      <c r="F834" s="123"/>
      <c r="G834" s="180"/>
      <c r="H834" s="122"/>
      <c r="J834" s="129"/>
    </row>
    <row r="835" spans="1:10" s="120" customFormat="1" ht="20.45" customHeight="1">
      <c r="A835" s="954"/>
      <c r="B835" s="123"/>
      <c r="C835" s="129"/>
      <c r="D835" s="150"/>
      <c r="F835" s="123"/>
      <c r="G835" s="180"/>
      <c r="H835" s="122"/>
      <c r="J835" s="129"/>
    </row>
    <row r="836" spans="1:10" s="120" customFormat="1" ht="20.45" customHeight="1">
      <c r="A836" s="954"/>
      <c r="B836" s="123"/>
      <c r="C836" s="129"/>
      <c r="D836" s="150"/>
      <c r="F836" s="123"/>
      <c r="G836" s="180"/>
      <c r="H836" s="122"/>
      <c r="J836" s="129"/>
    </row>
    <row r="837" spans="1:10" s="120" customFormat="1" ht="20.45" customHeight="1">
      <c r="A837" s="954"/>
      <c r="B837" s="123"/>
      <c r="C837" s="129"/>
      <c r="D837" s="150"/>
      <c r="F837" s="123"/>
      <c r="G837" s="180"/>
      <c r="H837" s="122"/>
      <c r="J837" s="129"/>
    </row>
    <row r="838" spans="1:10" s="120" customFormat="1" ht="20.45" customHeight="1">
      <c r="A838" s="954"/>
      <c r="B838" s="123"/>
      <c r="C838" s="129"/>
      <c r="D838" s="150"/>
      <c r="F838" s="123"/>
      <c r="G838" s="180"/>
      <c r="H838" s="122"/>
      <c r="J838" s="129"/>
    </row>
    <row r="839" spans="1:10" s="120" customFormat="1" ht="20.45" customHeight="1">
      <c r="A839" s="954"/>
      <c r="B839" s="123"/>
      <c r="C839" s="129"/>
      <c r="D839" s="150"/>
      <c r="F839" s="123"/>
      <c r="G839" s="180"/>
      <c r="H839" s="122"/>
      <c r="J839" s="129"/>
    </row>
    <row r="840" spans="1:10" s="120" customFormat="1" ht="20.45" customHeight="1">
      <c r="A840" s="954"/>
      <c r="B840" s="123"/>
      <c r="C840" s="129"/>
      <c r="D840" s="150"/>
      <c r="F840" s="123"/>
      <c r="G840" s="180"/>
      <c r="H840" s="122"/>
      <c r="J840" s="129"/>
    </row>
    <row r="841" spans="1:10" s="120" customFormat="1" ht="20.45" customHeight="1">
      <c r="A841" s="954"/>
      <c r="B841" s="123"/>
      <c r="C841" s="129"/>
      <c r="D841" s="150"/>
      <c r="F841" s="123"/>
      <c r="G841" s="180"/>
      <c r="H841" s="122"/>
      <c r="J841" s="129"/>
    </row>
    <row r="842" spans="1:10" s="120" customFormat="1" ht="20.45" customHeight="1">
      <c r="A842" s="954"/>
      <c r="B842" s="123"/>
      <c r="C842" s="129"/>
      <c r="D842" s="150"/>
      <c r="F842" s="123"/>
      <c r="G842" s="180"/>
      <c r="H842" s="122"/>
      <c r="J842" s="129"/>
    </row>
    <row r="843" spans="1:10" s="120" customFormat="1" ht="20.45" customHeight="1">
      <c r="A843" s="954"/>
      <c r="B843" s="123"/>
      <c r="C843" s="129"/>
      <c r="D843" s="150"/>
      <c r="F843" s="123"/>
      <c r="G843" s="180"/>
      <c r="H843" s="122"/>
      <c r="J843" s="129"/>
    </row>
    <row r="844" spans="1:10" s="120" customFormat="1" ht="20.45" customHeight="1">
      <c r="A844" s="954"/>
      <c r="B844" s="123"/>
      <c r="C844" s="129"/>
      <c r="D844" s="150"/>
      <c r="F844" s="123"/>
      <c r="G844" s="180"/>
      <c r="H844" s="122"/>
      <c r="J844" s="129"/>
    </row>
    <row r="845" spans="1:10" s="120" customFormat="1" ht="20.45" customHeight="1">
      <c r="A845" s="954"/>
      <c r="B845" s="123"/>
      <c r="C845" s="129"/>
      <c r="D845" s="150"/>
      <c r="F845" s="123"/>
      <c r="G845" s="180"/>
      <c r="H845" s="122"/>
      <c r="J845" s="129"/>
    </row>
    <row r="846" spans="1:10" s="120" customFormat="1" ht="20.45" customHeight="1">
      <c r="A846" s="954"/>
      <c r="B846" s="123"/>
      <c r="C846" s="129"/>
      <c r="D846" s="150"/>
      <c r="F846" s="123"/>
      <c r="G846" s="180"/>
      <c r="H846" s="122"/>
      <c r="J846" s="129"/>
    </row>
    <row r="847" spans="1:10" s="120" customFormat="1" ht="20.45" customHeight="1">
      <c r="A847" s="954"/>
      <c r="B847" s="123"/>
      <c r="C847" s="129"/>
      <c r="D847" s="150"/>
      <c r="F847" s="123"/>
      <c r="G847" s="180"/>
      <c r="H847" s="122"/>
      <c r="J847" s="129"/>
    </row>
    <row r="848" spans="1:10" s="120" customFormat="1" ht="20.45" customHeight="1">
      <c r="A848" s="954"/>
      <c r="B848" s="123"/>
      <c r="C848" s="129"/>
      <c r="D848" s="150"/>
      <c r="F848" s="123"/>
      <c r="G848" s="180"/>
      <c r="H848" s="122"/>
      <c r="J848" s="129"/>
    </row>
    <row r="849" spans="1:10" s="120" customFormat="1" ht="20.45" customHeight="1">
      <c r="A849" s="954"/>
      <c r="B849" s="123"/>
      <c r="C849" s="129"/>
      <c r="D849" s="150"/>
      <c r="F849" s="123"/>
      <c r="G849" s="180"/>
      <c r="H849" s="122"/>
      <c r="J849" s="129"/>
    </row>
    <row r="850" spans="1:10" s="120" customFormat="1" ht="20.45" customHeight="1">
      <c r="A850" s="954"/>
      <c r="B850" s="123"/>
      <c r="C850" s="129"/>
      <c r="D850" s="150"/>
      <c r="F850" s="123"/>
      <c r="G850" s="180"/>
      <c r="H850" s="122"/>
      <c r="J850" s="129"/>
    </row>
    <row r="851" spans="1:10" s="120" customFormat="1" ht="20.45" customHeight="1">
      <c r="A851" s="954"/>
      <c r="B851" s="123"/>
      <c r="C851" s="129"/>
      <c r="D851" s="150"/>
      <c r="F851" s="123"/>
      <c r="G851" s="180"/>
      <c r="H851" s="122"/>
      <c r="J851" s="129"/>
    </row>
    <row r="852" spans="1:10" s="120" customFormat="1" ht="20.45" customHeight="1">
      <c r="A852" s="954"/>
      <c r="B852" s="123"/>
      <c r="C852" s="129"/>
      <c r="D852" s="150"/>
      <c r="F852" s="123"/>
      <c r="G852" s="180"/>
      <c r="H852" s="122"/>
      <c r="J852" s="129"/>
    </row>
    <row r="853" spans="1:10" s="120" customFormat="1" ht="20.45" customHeight="1">
      <c r="A853" s="954"/>
      <c r="B853" s="123"/>
      <c r="C853" s="129"/>
      <c r="D853" s="150"/>
      <c r="F853" s="123"/>
      <c r="G853" s="180"/>
      <c r="H853" s="122"/>
      <c r="J853" s="129"/>
    </row>
    <row r="854" spans="1:10" s="120" customFormat="1" ht="20.45" customHeight="1">
      <c r="A854" s="954"/>
      <c r="B854" s="123"/>
      <c r="C854" s="129"/>
      <c r="D854" s="150"/>
      <c r="F854" s="123"/>
      <c r="G854" s="180"/>
      <c r="H854" s="122"/>
      <c r="J854" s="129"/>
    </row>
    <row r="855" spans="1:10" s="120" customFormat="1" ht="20.45" customHeight="1">
      <c r="A855" s="954"/>
      <c r="B855" s="123"/>
      <c r="C855" s="129"/>
      <c r="D855" s="150"/>
      <c r="F855" s="123"/>
      <c r="G855" s="180"/>
      <c r="H855" s="122"/>
      <c r="J855" s="129"/>
    </row>
    <row r="856" spans="1:10" s="120" customFormat="1" ht="20.45" customHeight="1">
      <c r="A856" s="954"/>
      <c r="B856" s="123"/>
      <c r="C856" s="129"/>
      <c r="D856" s="150"/>
      <c r="F856" s="123"/>
      <c r="G856" s="180"/>
      <c r="H856" s="122"/>
      <c r="J856" s="129"/>
    </row>
    <row r="857" spans="1:10" s="120" customFormat="1" ht="20.45" customHeight="1">
      <c r="A857" s="954"/>
      <c r="B857" s="123"/>
      <c r="C857" s="129"/>
      <c r="D857" s="150"/>
      <c r="F857" s="123"/>
      <c r="G857" s="180"/>
      <c r="H857" s="122"/>
      <c r="J857" s="129"/>
    </row>
    <row r="858" spans="1:10" s="120" customFormat="1" ht="20.45" customHeight="1">
      <c r="A858" s="954"/>
      <c r="B858" s="123"/>
      <c r="C858" s="129"/>
      <c r="D858" s="150"/>
      <c r="F858" s="123"/>
      <c r="G858" s="180"/>
      <c r="H858" s="122"/>
      <c r="J858" s="129"/>
    </row>
    <row r="859" spans="1:10" s="120" customFormat="1" ht="20.45" customHeight="1">
      <c r="A859" s="954"/>
      <c r="B859" s="123"/>
      <c r="C859" s="129"/>
      <c r="D859" s="150"/>
      <c r="F859" s="123"/>
      <c r="G859" s="180"/>
      <c r="H859" s="122"/>
      <c r="J859" s="129"/>
    </row>
    <row r="860" spans="1:10" s="120" customFormat="1" ht="20.45" customHeight="1">
      <c r="A860" s="954"/>
      <c r="B860" s="123"/>
      <c r="C860" s="129"/>
      <c r="D860" s="150"/>
      <c r="F860" s="123"/>
      <c r="G860" s="180"/>
      <c r="H860" s="122"/>
      <c r="J860" s="129"/>
    </row>
    <row r="861" spans="1:10" s="120" customFormat="1" ht="20.45" customHeight="1">
      <c r="A861" s="954"/>
      <c r="B861" s="123"/>
      <c r="C861" s="129"/>
      <c r="D861" s="150"/>
      <c r="F861" s="123"/>
      <c r="G861" s="180"/>
      <c r="H861" s="122"/>
      <c r="J861" s="129"/>
    </row>
    <row r="862" spans="1:10" s="120" customFormat="1" ht="20.45" customHeight="1">
      <c r="A862" s="954"/>
      <c r="B862" s="123"/>
      <c r="C862" s="129"/>
      <c r="D862" s="150"/>
      <c r="F862" s="123"/>
      <c r="G862" s="180"/>
      <c r="H862" s="122"/>
      <c r="J862" s="129"/>
    </row>
    <row r="863" spans="1:10" s="120" customFormat="1" ht="20.45" customHeight="1">
      <c r="A863" s="954"/>
      <c r="B863" s="123"/>
      <c r="C863" s="129"/>
      <c r="D863" s="150"/>
      <c r="F863" s="123"/>
      <c r="G863" s="180"/>
      <c r="H863" s="122"/>
      <c r="J863" s="129"/>
    </row>
    <row r="864" spans="1:10" s="120" customFormat="1" ht="20.45" customHeight="1">
      <c r="A864" s="954"/>
      <c r="B864" s="123"/>
      <c r="C864" s="129"/>
      <c r="D864" s="150"/>
      <c r="F864" s="123"/>
      <c r="G864" s="180"/>
      <c r="H864" s="122"/>
      <c r="J864" s="129"/>
    </row>
    <row r="865" spans="1:10" s="120" customFormat="1" ht="20.45" customHeight="1">
      <c r="A865" s="954"/>
      <c r="B865" s="123"/>
      <c r="C865" s="129"/>
      <c r="D865" s="150"/>
      <c r="F865" s="123"/>
      <c r="G865" s="180"/>
      <c r="H865" s="122"/>
      <c r="J865" s="129"/>
    </row>
    <row r="866" spans="1:10" s="120" customFormat="1" ht="20.45" customHeight="1">
      <c r="A866" s="954"/>
      <c r="B866" s="123"/>
      <c r="C866" s="129"/>
      <c r="D866" s="150"/>
      <c r="F866" s="123"/>
      <c r="G866" s="180"/>
      <c r="H866" s="122"/>
      <c r="J866" s="129"/>
    </row>
    <row r="867" spans="1:10" s="120" customFormat="1" ht="20.45" customHeight="1">
      <c r="A867" s="954"/>
      <c r="B867" s="123"/>
      <c r="C867" s="129"/>
      <c r="D867" s="150"/>
      <c r="F867" s="123"/>
      <c r="G867" s="180"/>
      <c r="H867" s="122"/>
      <c r="J867" s="129"/>
    </row>
    <row r="868" spans="1:10" s="120" customFormat="1" ht="20.45" customHeight="1">
      <c r="A868" s="954"/>
      <c r="B868" s="123"/>
      <c r="C868" s="129"/>
      <c r="D868" s="150"/>
      <c r="F868" s="123"/>
      <c r="G868" s="180"/>
      <c r="H868" s="122"/>
      <c r="J868" s="129"/>
    </row>
    <row r="869" spans="1:10" s="120" customFormat="1" ht="20.45" customHeight="1">
      <c r="A869" s="954"/>
      <c r="B869" s="123"/>
      <c r="C869" s="129"/>
      <c r="D869" s="150"/>
      <c r="F869" s="123"/>
      <c r="G869" s="180"/>
      <c r="H869" s="122"/>
      <c r="J869" s="129"/>
    </row>
    <row r="870" spans="1:10" s="120" customFormat="1" ht="20.45" customHeight="1">
      <c r="A870" s="954"/>
      <c r="B870" s="123"/>
      <c r="C870" s="129"/>
      <c r="D870" s="150"/>
      <c r="F870" s="123"/>
      <c r="G870" s="180"/>
      <c r="H870" s="122"/>
      <c r="J870" s="129"/>
    </row>
    <row r="871" spans="1:10" s="120" customFormat="1" ht="20.45" customHeight="1">
      <c r="A871" s="954"/>
      <c r="B871" s="123"/>
      <c r="C871" s="129"/>
      <c r="D871" s="150"/>
      <c r="F871" s="123"/>
      <c r="G871" s="180"/>
      <c r="H871" s="122"/>
      <c r="J871" s="129"/>
    </row>
    <row r="872" spans="1:10" s="120" customFormat="1" ht="20.45" customHeight="1">
      <c r="A872" s="954"/>
      <c r="B872" s="123"/>
      <c r="C872" s="129"/>
      <c r="D872" s="150"/>
      <c r="F872" s="123"/>
      <c r="G872" s="180"/>
      <c r="H872" s="122"/>
      <c r="J872" s="129"/>
    </row>
    <row r="873" spans="1:10" s="120" customFormat="1" ht="20.45" customHeight="1">
      <c r="A873" s="954"/>
      <c r="B873" s="123"/>
      <c r="C873" s="129"/>
      <c r="D873" s="150"/>
      <c r="F873" s="123"/>
      <c r="G873" s="180"/>
      <c r="H873" s="122"/>
      <c r="J873" s="129"/>
    </row>
    <row r="874" spans="1:10" s="120" customFormat="1" ht="20.45" customHeight="1">
      <c r="A874" s="954"/>
      <c r="B874" s="123"/>
      <c r="C874" s="129"/>
      <c r="D874" s="150"/>
      <c r="F874" s="123"/>
      <c r="G874" s="180"/>
      <c r="H874" s="122"/>
      <c r="J874" s="129"/>
    </row>
    <row r="875" spans="1:10" s="120" customFormat="1" ht="20.45" customHeight="1">
      <c r="A875" s="954"/>
      <c r="B875" s="123"/>
      <c r="C875" s="129"/>
      <c r="D875" s="150"/>
      <c r="F875" s="123"/>
      <c r="G875" s="180"/>
      <c r="H875" s="122"/>
      <c r="J875" s="129"/>
    </row>
    <row r="876" spans="1:10" s="120" customFormat="1" ht="20.45" customHeight="1">
      <c r="A876" s="954"/>
      <c r="B876" s="123"/>
      <c r="C876" s="129"/>
      <c r="D876" s="150"/>
      <c r="F876" s="123"/>
      <c r="G876" s="180"/>
      <c r="H876" s="122"/>
      <c r="J876" s="129"/>
    </row>
    <row r="877" spans="1:10" s="120" customFormat="1" ht="20.45" customHeight="1">
      <c r="A877" s="954"/>
      <c r="B877" s="123"/>
      <c r="C877" s="129"/>
      <c r="D877" s="150"/>
      <c r="F877" s="123"/>
      <c r="G877" s="180"/>
      <c r="H877" s="122"/>
      <c r="J877" s="129"/>
    </row>
    <row r="878" spans="1:10" s="120" customFormat="1" ht="20.45" customHeight="1">
      <c r="A878" s="954"/>
      <c r="B878" s="123"/>
      <c r="C878" s="129"/>
      <c r="D878" s="150"/>
      <c r="F878" s="123"/>
      <c r="G878" s="180"/>
      <c r="H878" s="122"/>
      <c r="J878" s="129"/>
    </row>
    <row r="879" spans="1:10" s="120" customFormat="1" ht="20.45" customHeight="1">
      <c r="A879" s="954"/>
      <c r="B879" s="123"/>
      <c r="C879" s="129"/>
      <c r="D879" s="150"/>
      <c r="F879" s="123"/>
      <c r="G879" s="180"/>
      <c r="H879" s="122"/>
      <c r="J879" s="129"/>
    </row>
    <row r="880" spans="1:10" s="120" customFormat="1" ht="20.45" customHeight="1">
      <c r="A880" s="954"/>
      <c r="B880" s="123"/>
      <c r="C880" s="129"/>
      <c r="D880" s="150"/>
      <c r="F880" s="123"/>
      <c r="G880" s="180"/>
      <c r="H880" s="122"/>
      <c r="J880" s="129"/>
    </row>
    <row r="881" spans="1:10" s="120" customFormat="1" ht="20.45" customHeight="1">
      <c r="A881" s="954"/>
      <c r="B881" s="123"/>
      <c r="C881" s="129"/>
      <c r="D881" s="150"/>
      <c r="F881" s="123"/>
      <c r="G881" s="180"/>
      <c r="H881" s="122"/>
      <c r="J881" s="129"/>
    </row>
    <row r="882" spans="1:10" s="120" customFormat="1" ht="20.45" customHeight="1">
      <c r="A882" s="954"/>
      <c r="B882" s="123"/>
      <c r="C882" s="129"/>
      <c r="D882" s="150"/>
      <c r="F882" s="123"/>
      <c r="G882" s="180"/>
      <c r="H882" s="122"/>
      <c r="J882" s="129"/>
    </row>
    <row r="883" spans="1:10" s="120" customFormat="1" ht="20.45" customHeight="1">
      <c r="A883" s="954"/>
      <c r="B883" s="123"/>
      <c r="C883" s="129"/>
      <c r="D883" s="150"/>
      <c r="F883" s="123"/>
      <c r="G883" s="180"/>
      <c r="H883" s="122"/>
      <c r="J883" s="129"/>
    </row>
    <row r="884" spans="1:10" s="120" customFormat="1" ht="20.45" customHeight="1">
      <c r="A884" s="954"/>
      <c r="B884" s="123"/>
      <c r="C884" s="129"/>
      <c r="D884" s="150"/>
      <c r="F884" s="123"/>
      <c r="G884" s="180"/>
      <c r="H884" s="122"/>
      <c r="J884" s="129"/>
    </row>
    <row r="885" spans="1:10" s="120" customFormat="1" ht="20.45" customHeight="1">
      <c r="A885" s="954"/>
      <c r="B885" s="123"/>
      <c r="C885" s="129"/>
      <c r="D885" s="150"/>
      <c r="F885" s="123"/>
      <c r="G885" s="180"/>
      <c r="H885" s="122"/>
      <c r="J885" s="129"/>
    </row>
    <row r="886" spans="1:10" s="120" customFormat="1" ht="20.45" customHeight="1">
      <c r="A886" s="954"/>
      <c r="B886" s="123"/>
      <c r="C886" s="129"/>
      <c r="D886" s="150"/>
      <c r="F886" s="123"/>
      <c r="G886" s="180"/>
      <c r="H886" s="122"/>
      <c r="J886" s="129"/>
    </row>
    <row r="887" spans="1:10" s="120" customFormat="1" ht="20.45" customHeight="1">
      <c r="A887" s="954"/>
      <c r="B887" s="123"/>
      <c r="C887" s="129"/>
      <c r="D887" s="150"/>
      <c r="F887" s="123"/>
      <c r="G887" s="180"/>
      <c r="H887" s="122"/>
      <c r="J887" s="129"/>
    </row>
    <row r="888" spans="1:10" s="120" customFormat="1" ht="20.45" customHeight="1">
      <c r="A888" s="954"/>
      <c r="B888" s="123"/>
      <c r="C888" s="129"/>
      <c r="D888" s="150"/>
      <c r="F888" s="123"/>
      <c r="G888" s="180"/>
      <c r="H888" s="122"/>
      <c r="J888" s="129"/>
    </row>
    <row r="889" spans="1:10" s="120" customFormat="1" ht="20.45" customHeight="1">
      <c r="A889" s="954"/>
      <c r="B889" s="123"/>
      <c r="C889" s="129"/>
      <c r="D889" s="150"/>
      <c r="F889" s="123"/>
      <c r="G889" s="180"/>
      <c r="H889" s="122"/>
      <c r="J889" s="129"/>
    </row>
    <row r="890" spans="1:10" s="120" customFormat="1" ht="20.45" customHeight="1">
      <c r="A890" s="954"/>
      <c r="B890" s="123"/>
      <c r="C890" s="129"/>
      <c r="D890" s="150"/>
      <c r="F890" s="123"/>
      <c r="G890" s="180"/>
      <c r="H890" s="122"/>
      <c r="J890" s="129"/>
    </row>
    <row r="891" spans="1:10" s="120" customFormat="1" ht="20.45" customHeight="1">
      <c r="A891" s="954"/>
      <c r="B891" s="123"/>
      <c r="C891" s="129"/>
      <c r="D891" s="150"/>
      <c r="F891" s="123"/>
      <c r="G891" s="180"/>
      <c r="H891" s="122"/>
      <c r="J891" s="129"/>
    </row>
    <row r="892" spans="1:10" s="120" customFormat="1" ht="20.45" customHeight="1">
      <c r="A892" s="954"/>
      <c r="B892" s="123"/>
      <c r="C892" s="129"/>
      <c r="D892" s="150"/>
      <c r="F892" s="123"/>
      <c r="G892" s="180"/>
      <c r="H892" s="122"/>
      <c r="J892" s="129"/>
    </row>
    <row r="893" spans="1:10" s="120" customFormat="1" ht="20.45" customHeight="1">
      <c r="A893" s="954"/>
      <c r="B893" s="123"/>
      <c r="C893" s="129"/>
      <c r="D893" s="150"/>
      <c r="F893" s="123"/>
      <c r="G893" s="180"/>
      <c r="H893" s="122"/>
      <c r="J893" s="129"/>
    </row>
    <row r="894" spans="1:10" s="120" customFormat="1" ht="20.45" customHeight="1">
      <c r="A894" s="954"/>
      <c r="B894" s="123"/>
      <c r="C894" s="129"/>
      <c r="D894" s="150"/>
      <c r="F894" s="123"/>
      <c r="G894" s="180"/>
      <c r="H894" s="122"/>
      <c r="J894" s="129"/>
    </row>
    <row r="895" spans="1:10" s="120" customFormat="1" ht="20.45" customHeight="1">
      <c r="A895" s="954"/>
      <c r="B895" s="123"/>
      <c r="C895" s="129"/>
      <c r="D895" s="150"/>
      <c r="F895" s="123"/>
      <c r="G895" s="180"/>
      <c r="H895" s="122"/>
      <c r="J895" s="129"/>
    </row>
    <row r="896" spans="1:10" s="120" customFormat="1" ht="20.45" customHeight="1">
      <c r="A896" s="954"/>
      <c r="B896" s="123"/>
      <c r="C896" s="129"/>
      <c r="D896" s="150"/>
      <c r="F896" s="123"/>
      <c r="G896" s="180"/>
      <c r="H896" s="122"/>
      <c r="J896" s="129"/>
    </row>
    <row r="897" spans="1:10" s="120" customFormat="1" ht="20.45" customHeight="1">
      <c r="A897" s="954"/>
      <c r="B897" s="123"/>
      <c r="C897" s="129"/>
      <c r="D897" s="150"/>
      <c r="F897" s="123"/>
      <c r="G897" s="180"/>
      <c r="H897" s="122"/>
      <c r="J897" s="129"/>
    </row>
    <row r="898" spans="1:10" s="120" customFormat="1" ht="20.45" customHeight="1">
      <c r="A898" s="954"/>
      <c r="B898" s="123"/>
      <c r="C898" s="129"/>
      <c r="D898" s="150"/>
      <c r="F898" s="123"/>
      <c r="G898" s="180"/>
      <c r="H898" s="122"/>
      <c r="J898" s="129"/>
    </row>
    <row r="899" spans="1:10" s="120" customFormat="1" ht="20.45" customHeight="1">
      <c r="A899" s="954"/>
      <c r="B899" s="123"/>
      <c r="C899" s="129"/>
      <c r="D899" s="150"/>
      <c r="F899" s="123"/>
      <c r="G899" s="180"/>
      <c r="H899" s="122"/>
      <c r="J899" s="129"/>
    </row>
    <row r="900" spans="1:10" s="120" customFormat="1" ht="20.45" customHeight="1">
      <c r="A900" s="954"/>
      <c r="B900" s="123"/>
      <c r="C900" s="129"/>
      <c r="D900" s="150"/>
      <c r="F900" s="123"/>
      <c r="G900" s="180"/>
      <c r="H900" s="122"/>
      <c r="J900" s="129"/>
    </row>
    <row r="901" spans="1:10" s="120" customFormat="1" ht="20.45" customHeight="1">
      <c r="A901" s="954"/>
      <c r="B901" s="123"/>
      <c r="C901" s="129"/>
      <c r="D901" s="150"/>
      <c r="F901" s="123"/>
      <c r="G901" s="180"/>
      <c r="H901" s="122"/>
      <c r="J901" s="129"/>
    </row>
    <row r="902" spans="1:10" s="120" customFormat="1" ht="20.45" customHeight="1">
      <c r="A902" s="954"/>
      <c r="B902" s="123"/>
      <c r="C902" s="129"/>
      <c r="D902" s="150"/>
      <c r="F902" s="123"/>
      <c r="G902" s="180"/>
      <c r="H902" s="122"/>
      <c r="J902" s="129"/>
    </row>
    <row r="903" spans="1:10" s="120" customFormat="1" ht="20.45" customHeight="1">
      <c r="A903" s="954"/>
      <c r="B903" s="123"/>
      <c r="C903" s="129"/>
      <c r="D903" s="150"/>
      <c r="F903" s="123"/>
      <c r="G903" s="180"/>
      <c r="H903" s="122"/>
      <c r="J903" s="129"/>
    </row>
    <row r="904" spans="1:10" s="120" customFormat="1" ht="20.45" customHeight="1">
      <c r="A904" s="954"/>
      <c r="B904" s="123"/>
      <c r="C904" s="129"/>
      <c r="D904" s="150"/>
      <c r="F904" s="123"/>
      <c r="G904" s="180"/>
      <c r="H904" s="122"/>
      <c r="J904" s="129"/>
    </row>
    <row r="905" spans="1:10" s="120" customFormat="1" ht="20.45" customHeight="1">
      <c r="A905" s="954"/>
      <c r="B905" s="123"/>
      <c r="C905" s="129"/>
      <c r="D905" s="150"/>
      <c r="F905" s="123"/>
      <c r="G905" s="180"/>
      <c r="H905" s="122"/>
      <c r="J905" s="129"/>
    </row>
    <row r="906" spans="1:10" s="120" customFormat="1" ht="20.45" customHeight="1">
      <c r="A906" s="954"/>
      <c r="B906" s="123"/>
      <c r="C906" s="129"/>
      <c r="D906" s="150"/>
      <c r="F906" s="123"/>
      <c r="G906" s="180"/>
      <c r="H906" s="122"/>
      <c r="J906" s="129"/>
    </row>
    <row r="907" spans="1:10" s="120" customFormat="1" ht="20.45" customHeight="1">
      <c r="A907" s="954"/>
      <c r="B907" s="123"/>
      <c r="C907" s="129"/>
      <c r="D907" s="150"/>
      <c r="F907" s="123"/>
      <c r="G907" s="180"/>
      <c r="H907" s="122"/>
      <c r="J907" s="129"/>
    </row>
    <row r="908" spans="1:10" s="120" customFormat="1" ht="20.45" customHeight="1">
      <c r="A908" s="954"/>
      <c r="B908" s="123"/>
      <c r="C908" s="129"/>
      <c r="D908" s="150"/>
      <c r="F908" s="123"/>
      <c r="G908" s="180"/>
      <c r="H908" s="122"/>
      <c r="J908" s="129"/>
    </row>
    <row r="909" spans="1:10" s="120" customFormat="1" ht="20.45" customHeight="1">
      <c r="A909" s="954"/>
      <c r="B909" s="123"/>
      <c r="C909" s="129"/>
      <c r="D909" s="150"/>
      <c r="F909" s="123"/>
      <c r="G909" s="180"/>
      <c r="H909" s="122"/>
      <c r="J909" s="129"/>
    </row>
    <row r="910" spans="1:10" s="120" customFormat="1" ht="20.45" customHeight="1">
      <c r="A910" s="954"/>
      <c r="B910" s="123"/>
      <c r="C910" s="129"/>
      <c r="D910" s="150"/>
      <c r="F910" s="123"/>
      <c r="G910" s="180"/>
      <c r="H910" s="122"/>
      <c r="J910" s="129"/>
    </row>
    <row r="911" spans="1:10" s="120" customFormat="1" ht="20.45" customHeight="1">
      <c r="A911" s="954"/>
      <c r="B911" s="123"/>
      <c r="C911" s="129"/>
      <c r="D911" s="150"/>
      <c r="F911" s="123"/>
      <c r="G911" s="180"/>
      <c r="H911" s="122"/>
      <c r="J911" s="129"/>
    </row>
    <row r="912" spans="1:10" s="120" customFormat="1" ht="20.45" customHeight="1">
      <c r="A912" s="954"/>
      <c r="B912" s="123"/>
      <c r="C912" s="129"/>
      <c r="D912" s="150"/>
      <c r="F912" s="123"/>
      <c r="G912" s="180"/>
      <c r="H912" s="122"/>
      <c r="J912" s="129"/>
    </row>
    <row r="913" spans="1:10" s="120" customFormat="1" ht="20.45" customHeight="1">
      <c r="A913" s="954"/>
      <c r="B913" s="123"/>
      <c r="C913" s="129"/>
      <c r="D913" s="150"/>
      <c r="F913" s="123"/>
      <c r="G913" s="180"/>
      <c r="H913" s="122"/>
      <c r="J913" s="129"/>
    </row>
    <row r="914" spans="1:10" s="120" customFormat="1" ht="20.45" customHeight="1">
      <c r="A914" s="954"/>
      <c r="B914" s="123"/>
      <c r="C914" s="129"/>
      <c r="D914" s="150"/>
      <c r="F914" s="123"/>
      <c r="G914" s="180"/>
      <c r="H914" s="122"/>
      <c r="J914" s="129"/>
    </row>
    <row r="915" spans="1:10" s="120" customFormat="1" ht="20.45" customHeight="1">
      <c r="A915" s="954"/>
      <c r="B915" s="123"/>
      <c r="C915" s="129"/>
      <c r="D915" s="150"/>
      <c r="F915" s="123"/>
      <c r="G915" s="180"/>
      <c r="H915" s="122"/>
      <c r="J915" s="129"/>
    </row>
    <row r="916" spans="1:10" s="120" customFormat="1" ht="20.45" customHeight="1">
      <c r="A916" s="954"/>
      <c r="B916" s="123"/>
      <c r="C916" s="129"/>
      <c r="D916" s="150"/>
      <c r="F916" s="123"/>
      <c r="G916" s="180"/>
      <c r="H916" s="122"/>
      <c r="J916" s="129"/>
    </row>
    <row r="917" spans="1:10" s="120" customFormat="1" ht="20.45" customHeight="1">
      <c r="A917" s="954"/>
      <c r="B917" s="123"/>
      <c r="C917" s="129"/>
      <c r="D917" s="150"/>
      <c r="F917" s="123"/>
      <c r="G917" s="180"/>
      <c r="H917" s="122"/>
      <c r="J917" s="129"/>
    </row>
    <row r="918" spans="1:10" s="120" customFormat="1" ht="20.45" customHeight="1">
      <c r="A918" s="954"/>
      <c r="B918" s="123"/>
      <c r="C918" s="129"/>
      <c r="D918" s="150"/>
      <c r="F918" s="123"/>
      <c r="G918" s="180"/>
      <c r="H918" s="122"/>
      <c r="J918" s="129"/>
    </row>
    <row r="919" spans="1:10" s="120" customFormat="1" ht="20.45" customHeight="1">
      <c r="A919" s="954"/>
      <c r="B919" s="123"/>
      <c r="C919" s="129"/>
      <c r="D919" s="150"/>
      <c r="F919" s="123"/>
      <c r="G919" s="180"/>
      <c r="H919" s="122"/>
      <c r="J919" s="129"/>
    </row>
    <row r="920" spans="1:10" s="120" customFormat="1" ht="20.45" customHeight="1">
      <c r="A920" s="954"/>
      <c r="B920" s="123"/>
      <c r="C920" s="129"/>
      <c r="D920" s="150"/>
      <c r="F920" s="123"/>
      <c r="G920" s="180"/>
      <c r="H920" s="122"/>
      <c r="J920" s="129"/>
    </row>
    <row r="921" spans="1:10" s="120" customFormat="1" ht="20.45" customHeight="1">
      <c r="A921" s="954"/>
      <c r="B921" s="123"/>
      <c r="C921" s="129"/>
      <c r="D921" s="150"/>
      <c r="F921" s="123"/>
      <c r="G921" s="180"/>
      <c r="H921" s="122"/>
      <c r="J921" s="129"/>
    </row>
    <row r="922" spans="1:10" s="120" customFormat="1" ht="20.45" customHeight="1">
      <c r="A922" s="954"/>
      <c r="B922" s="123"/>
      <c r="C922" s="129"/>
      <c r="D922" s="150"/>
      <c r="F922" s="123"/>
      <c r="G922" s="180"/>
      <c r="H922" s="122"/>
      <c r="J922" s="129"/>
    </row>
    <row r="923" spans="1:10" s="120" customFormat="1" ht="20.45" customHeight="1">
      <c r="A923" s="954"/>
      <c r="B923" s="123"/>
      <c r="C923" s="129"/>
      <c r="D923" s="150"/>
      <c r="F923" s="123"/>
      <c r="G923" s="180"/>
      <c r="H923" s="122"/>
      <c r="J923" s="129"/>
    </row>
    <row r="924" spans="1:10" s="120" customFormat="1" ht="20.45" customHeight="1">
      <c r="A924" s="954"/>
      <c r="B924" s="123"/>
      <c r="C924" s="129"/>
      <c r="D924" s="150"/>
      <c r="F924" s="123"/>
      <c r="G924" s="180"/>
      <c r="H924" s="122"/>
      <c r="J924" s="129"/>
    </row>
    <row r="925" spans="1:10" s="120" customFormat="1" ht="20.45" customHeight="1">
      <c r="A925" s="954"/>
      <c r="B925" s="123"/>
      <c r="C925" s="129"/>
      <c r="D925" s="150"/>
      <c r="F925" s="123"/>
      <c r="G925" s="180"/>
      <c r="H925" s="122"/>
      <c r="J925" s="129"/>
    </row>
    <row r="926" spans="1:10" s="120" customFormat="1" ht="20.45" customHeight="1">
      <c r="A926" s="954"/>
      <c r="B926" s="123"/>
      <c r="C926" s="129"/>
      <c r="D926" s="150"/>
      <c r="F926" s="123"/>
      <c r="G926" s="180"/>
      <c r="H926" s="122"/>
      <c r="J926" s="129"/>
    </row>
    <row r="927" spans="1:10" s="120" customFormat="1" ht="20.45" customHeight="1">
      <c r="A927" s="954"/>
      <c r="B927" s="123"/>
      <c r="C927" s="129"/>
      <c r="D927" s="150"/>
      <c r="F927" s="123"/>
      <c r="G927" s="180"/>
      <c r="H927" s="122"/>
      <c r="J927" s="129"/>
    </row>
    <row r="928" spans="1:10" s="120" customFormat="1" ht="20.45" customHeight="1">
      <c r="A928" s="954"/>
      <c r="B928" s="123"/>
      <c r="C928" s="129"/>
      <c r="D928" s="150"/>
      <c r="F928" s="123"/>
      <c r="G928" s="180"/>
      <c r="H928" s="122"/>
      <c r="J928" s="129"/>
    </row>
    <row r="929" spans="1:10" s="120" customFormat="1" ht="20.45" customHeight="1">
      <c r="A929" s="954"/>
      <c r="B929" s="123"/>
      <c r="C929" s="129"/>
      <c r="D929" s="150"/>
      <c r="F929" s="123"/>
      <c r="G929" s="180"/>
      <c r="H929" s="122"/>
      <c r="J929" s="129"/>
    </row>
    <row r="930" spans="1:10" s="120" customFormat="1" ht="20.45" customHeight="1">
      <c r="A930" s="954"/>
      <c r="B930" s="123"/>
      <c r="C930" s="129"/>
      <c r="D930" s="150"/>
      <c r="F930" s="123"/>
      <c r="G930" s="180"/>
      <c r="H930" s="122"/>
      <c r="J930" s="129"/>
    </row>
    <row r="931" spans="1:10" s="120" customFormat="1" ht="20.45" customHeight="1">
      <c r="A931" s="954"/>
      <c r="B931" s="123"/>
      <c r="C931" s="129"/>
      <c r="D931" s="150"/>
      <c r="F931" s="123"/>
      <c r="G931" s="180"/>
      <c r="H931" s="122"/>
      <c r="J931" s="129"/>
    </row>
    <row r="932" spans="1:10" s="120" customFormat="1" ht="20.45" customHeight="1">
      <c r="A932" s="954"/>
      <c r="B932" s="123"/>
      <c r="C932" s="129"/>
      <c r="D932" s="150"/>
      <c r="F932" s="123"/>
      <c r="G932" s="180"/>
      <c r="H932" s="122"/>
      <c r="J932" s="129"/>
    </row>
    <row r="933" spans="1:10" s="120" customFormat="1" ht="20.45" customHeight="1">
      <c r="A933" s="954"/>
      <c r="B933" s="123"/>
      <c r="C933" s="129"/>
      <c r="D933" s="150"/>
      <c r="F933" s="123"/>
      <c r="G933" s="180"/>
      <c r="H933" s="122"/>
      <c r="J933" s="129"/>
    </row>
    <row r="934" spans="1:10" s="120" customFormat="1" ht="20.45" customHeight="1">
      <c r="A934" s="954"/>
      <c r="B934" s="123"/>
      <c r="C934" s="129"/>
      <c r="D934" s="150"/>
      <c r="F934" s="123"/>
      <c r="G934" s="180"/>
      <c r="H934" s="122"/>
      <c r="J934" s="129"/>
    </row>
    <row r="935" spans="1:10" s="120" customFormat="1" ht="20.45" customHeight="1">
      <c r="A935" s="954"/>
      <c r="B935" s="123"/>
      <c r="C935" s="129"/>
      <c r="D935" s="150"/>
      <c r="F935" s="123"/>
      <c r="G935" s="180"/>
      <c r="H935" s="122"/>
      <c r="J935" s="129"/>
    </row>
    <row r="936" spans="1:10" s="120" customFormat="1" ht="20.45" customHeight="1">
      <c r="A936" s="954"/>
      <c r="B936" s="123"/>
      <c r="C936" s="129"/>
      <c r="D936" s="150"/>
      <c r="F936" s="123"/>
      <c r="G936" s="180"/>
      <c r="H936" s="122"/>
      <c r="J936" s="129"/>
    </row>
    <row r="937" spans="1:10" s="120" customFormat="1" ht="20.45" customHeight="1">
      <c r="A937" s="954"/>
      <c r="B937" s="123"/>
      <c r="C937" s="129"/>
      <c r="D937" s="150"/>
      <c r="F937" s="123"/>
      <c r="G937" s="180"/>
      <c r="H937" s="122"/>
      <c r="J937" s="129"/>
    </row>
    <row r="938" spans="1:10" s="120" customFormat="1" ht="20.45" customHeight="1">
      <c r="A938" s="954"/>
      <c r="B938" s="123"/>
      <c r="C938" s="129"/>
      <c r="D938" s="150"/>
      <c r="F938" s="123"/>
      <c r="G938" s="180"/>
      <c r="H938" s="122"/>
      <c r="J938" s="129"/>
    </row>
    <row r="939" spans="1:10" s="120" customFormat="1" ht="20.45" customHeight="1">
      <c r="A939" s="954"/>
      <c r="B939" s="123"/>
      <c r="C939" s="129"/>
      <c r="D939" s="150"/>
      <c r="F939" s="123"/>
      <c r="G939" s="180"/>
      <c r="H939" s="122"/>
      <c r="J939" s="129"/>
    </row>
    <row r="940" spans="1:10" s="120" customFormat="1" ht="20.45" customHeight="1">
      <c r="A940" s="954"/>
      <c r="B940" s="123"/>
      <c r="C940" s="129"/>
      <c r="D940" s="150"/>
      <c r="F940" s="123"/>
      <c r="G940" s="180"/>
      <c r="H940" s="122"/>
      <c r="J940" s="129"/>
    </row>
    <row r="941" spans="1:10" s="120" customFormat="1" ht="20.45" customHeight="1">
      <c r="A941" s="954"/>
      <c r="B941" s="123"/>
      <c r="C941" s="129"/>
      <c r="D941" s="150"/>
      <c r="F941" s="123"/>
      <c r="G941" s="180"/>
      <c r="H941" s="122"/>
      <c r="J941" s="129"/>
    </row>
    <row r="942" spans="1:10" s="120" customFormat="1" ht="20.45" customHeight="1">
      <c r="A942" s="954"/>
      <c r="B942" s="123"/>
      <c r="C942" s="129"/>
      <c r="D942" s="150"/>
      <c r="F942" s="123"/>
      <c r="G942" s="180"/>
      <c r="H942" s="122"/>
      <c r="J942" s="129"/>
    </row>
    <row r="943" spans="1:10" s="120" customFormat="1" ht="20.45" customHeight="1">
      <c r="A943" s="954"/>
      <c r="B943" s="123"/>
      <c r="C943" s="129"/>
      <c r="D943" s="150"/>
      <c r="F943" s="123"/>
      <c r="G943" s="180"/>
      <c r="H943" s="122"/>
      <c r="J943" s="129"/>
    </row>
    <row r="944" spans="1:10" s="120" customFormat="1" ht="20.45" customHeight="1">
      <c r="A944" s="954"/>
      <c r="B944" s="123"/>
      <c r="C944" s="129"/>
      <c r="D944" s="150"/>
      <c r="F944" s="123"/>
      <c r="G944" s="180"/>
      <c r="H944" s="122"/>
      <c r="J944" s="129"/>
    </row>
    <row r="945" spans="1:10" s="120" customFormat="1" ht="20.45" customHeight="1">
      <c r="A945" s="954"/>
      <c r="B945" s="123"/>
      <c r="C945" s="129"/>
      <c r="D945" s="150"/>
      <c r="F945" s="123"/>
      <c r="G945" s="180"/>
      <c r="H945" s="122"/>
      <c r="J945" s="129"/>
    </row>
    <row r="946" spans="1:10" s="120" customFormat="1" ht="20.45" customHeight="1">
      <c r="A946" s="954"/>
      <c r="B946" s="123"/>
      <c r="C946" s="129"/>
      <c r="D946" s="150"/>
      <c r="F946" s="123"/>
      <c r="G946" s="180"/>
      <c r="H946" s="122"/>
      <c r="J946" s="129"/>
    </row>
    <row r="947" spans="1:10" s="120" customFormat="1" ht="20.45" customHeight="1">
      <c r="A947" s="954"/>
      <c r="B947" s="123"/>
      <c r="C947" s="129"/>
      <c r="D947" s="150"/>
      <c r="F947" s="123"/>
      <c r="G947" s="180"/>
      <c r="H947" s="122"/>
      <c r="J947" s="129"/>
    </row>
    <row r="948" spans="1:10" s="120" customFormat="1" ht="20.45" customHeight="1">
      <c r="A948" s="954"/>
      <c r="B948" s="123"/>
      <c r="C948" s="129"/>
      <c r="D948" s="150"/>
      <c r="F948" s="123"/>
      <c r="G948" s="180"/>
      <c r="H948" s="122"/>
      <c r="J948" s="129"/>
    </row>
    <row r="949" spans="1:10" s="120" customFormat="1" ht="20.45" customHeight="1">
      <c r="A949" s="954"/>
      <c r="B949" s="123"/>
      <c r="C949" s="129"/>
      <c r="D949" s="150"/>
      <c r="F949" s="123"/>
      <c r="G949" s="180"/>
      <c r="H949" s="122"/>
      <c r="J949" s="129"/>
    </row>
    <row r="950" spans="1:10" s="120" customFormat="1" ht="20.45" customHeight="1">
      <c r="A950" s="954"/>
      <c r="B950" s="123"/>
      <c r="C950" s="129"/>
      <c r="D950" s="150"/>
      <c r="F950" s="123"/>
      <c r="G950" s="180"/>
      <c r="H950" s="122"/>
      <c r="J950" s="129"/>
    </row>
    <row r="951" spans="1:10" s="120" customFormat="1" ht="20.45" customHeight="1">
      <c r="A951" s="954"/>
      <c r="B951" s="123"/>
      <c r="C951" s="129"/>
      <c r="D951" s="150"/>
      <c r="F951" s="123"/>
      <c r="G951" s="180"/>
      <c r="H951" s="122"/>
      <c r="J951" s="129"/>
    </row>
    <row r="952" spans="1:10" s="120" customFormat="1" ht="20.45" customHeight="1">
      <c r="A952" s="954"/>
      <c r="B952" s="123"/>
      <c r="C952" s="129"/>
      <c r="D952" s="150"/>
      <c r="F952" s="123"/>
      <c r="G952" s="180"/>
      <c r="H952" s="122"/>
      <c r="J952" s="129"/>
    </row>
    <row r="953" spans="1:10" s="120" customFormat="1" ht="20.45" customHeight="1">
      <c r="A953" s="954"/>
      <c r="B953" s="123"/>
      <c r="C953" s="129"/>
      <c r="D953" s="150"/>
      <c r="F953" s="123"/>
      <c r="G953" s="180"/>
      <c r="H953" s="122"/>
      <c r="J953" s="129"/>
    </row>
    <row r="954" spans="1:10" s="120" customFormat="1" ht="20.45" customHeight="1">
      <c r="A954" s="954"/>
      <c r="B954" s="123"/>
      <c r="C954" s="129"/>
      <c r="D954" s="150"/>
      <c r="F954" s="123"/>
      <c r="G954" s="180"/>
      <c r="H954" s="122"/>
      <c r="J954" s="129"/>
    </row>
    <row r="955" spans="1:10" s="120" customFormat="1" ht="20.45" customHeight="1">
      <c r="A955" s="954"/>
      <c r="B955" s="123"/>
      <c r="C955" s="129"/>
      <c r="D955" s="150"/>
      <c r="F955" s="123"/>
      <c r="G955" s="180"/>
      <c r="H955" s="122"/>
      <c r="J955" s="129"/>
    </row>
    <row r="956" spans="1:10" s="120" customFormat="1" ht="20.45" customHeight="1">
      <c r="A956" s="954"/>
      <c r="B956" s="123"/>
      <c r="C956" s="129"/>
      <c r="D956" s="150"/>
      <c r="F956" s="123"/>
      <c r="G956" s="180"/>
      <c r="H956" s="122"/>
      <c r="J956" s="129"/>
    </row>
    <row r="957" spans="1:10" s="120" customFormat="1" ht="20.45" customHeight="1">
      <c r="A957" s="954"/>
      <c r="B957" s="123"/>
      <c r="C957" s="129"/>
      <c r="D957" s="150"/>
      <c r="F957" s="123"/>
      <c r="G957" s="180"/>
      <c r="H957" s="122"/>
      <c r="J957" s="129"/>
    </row>
    <row r="958" spans="1:10" s="120" customFormat="1" ht="20.45" customHeight="1">
      <c r="A958" s="954"/>
      <c r="B958" s="123"/>
      <c r="C958" s="129"/>
      <c r="D958" s="150"/>
      <c r="F958" s="123"/>
      <c r="G958" s="180"/>
      <c r="H958" s="122"/>
      <c r="J958" s="129"/>
    </row>
    <row r="959" spans="1:10" s="120" customFormat="1" ht="20.45" customHeight="1">
      <c r="A959" s="954"/>
      <c r="B959" s="123"/>
      <c r="C959" s="129"/>
      <c r="D959" s="150"/>
      <c r="F959" s="123"/>
      <c r="G959" s="180"/>
      <c r="H959" s="122"/>
      <c r="J959" s="129"/>
    </row>
    <row r="960" spans="1:10" s="120" customFormat="1" ht="20.45" customHeight="1">
      <c r="A960" s="954"/>
      <c r="B960" s="123"/>
      <c r="C960" s="129"/>
      <c r="D960" s="150"/>
      <c r="F960" s="123"/>
      <c r="G960" s="180"/>
      <c r="H960" s="122"/>
      <c r="J960" s="129"/>
    </row>
    <row r="961" spans="1:10" s="120" customFormat="1" ht="20.45" customHeight="1">
      <c r="A961" s="954"/>
      <c r="B961" s="123"/>
      <c r="C961" s="129"/>
      <c r="D961" s="150"/>
      <c r="F961" s="123"/>
      <c r="G961" s="180"/>
      <c r="H961" s="122"/>
      <c r="J961" s="129"/>
    </row>
    <row r="962" spans="1:10" s="120" customFormat="1" ht="20.45" customHeight="1">
      <c r="A962" s="954"/>
      <c r="B962" s="123"/>
      <c r="C962" s="129"/>
      <c r="D962" s="150"/>
      <c r="F962" s="123"/>
      <c r="G962" s="180"/>
      <c r="H962" s="122"/>
      <c r="J962" s="129"/>
    </row>
    <row r="963" spans="1:10" s="120" customFormat="1" ht="20.45" customHeight="1">
      <c r="A963" s="954"/>
      <c r="B963" s="123"/>
      <c r="C963" s="129"/>
      <c r="D963" s="150"/>
      <c r="F963" s="123"/>
      <c r="G963" s="180"/>
      <c r="H963" s="122"/>
      <c r="J963" s="129"/>
    </row>
    <row r="964" spans="1:10" s="120" customFormat="1" ht="20.45" customHeight="1">
      <c r="A964" s="954"/>
      <c r="B964" s="123"/>
      <c r="C964" s="129"/>
      <c r="D964" s="150"/>
      <c r="F964" s="123"/>
      <c r="G964" s="180"/>
      <c r="H964" s="122"/>
      <c r="J964" s="129"/>
    </row>
    <row r="965" spans="1:10" s="120" customFormat="1" ht="20.45" customHeight="1">
      <c r="A965" s="954"/>
      <c r="B965" s="123"/>
      <c r="C965" s="129"/>
      <c r="D965" s="150"/>
      <c r="F965" s="123"/>
      <c r="G965" s="180"/>
      <c r="H965" s="122"/>
      <c r="J965" s="129"/>
    </row>
    <row r="966" spans="1:10" s="120" customFormat="1" ht="20.45" customHeight="1">
      <c r="A966" s="954"/>
      <c r="B966" s="123"/>
      <c r="C966" s="129"/>
      <c r="D966" s="150"/>
      <c r="F966" s="123"/>
      <c r="G966" s="180"/>
      <c r="H966" s="122"/>
      <c r="J966" s="129"/>
    </row>
    <row r="967" spans="1:10" s="120" customFormat="1" ht="20.45" customHeight="1">
      <c r="A967" s="954"/>
      <c r="B967" s="123"/>
      <c r="C967" s="129"/>
      <c r="D967" s="150"/>
      <c r="F967" s="123"/>
      <c r="G967" s="180"/>
      <c r="H967" s="122"/>
      <c r="J967" s="129"/>
    </row>
    <row r="968" spans="1:10" s="120" customFormat="1" ht="20.45" customHeight="1">
      <c r="A968" s="954"/>
      <c r="B968" s="123"/>
      <c r="C968" s="129"/>
      <c r="D968" s="150"/>
      <c r="F968" s="123"/>
      <c r="G968" s="180"/>
      <c r="H968" s="122"/>
      <c r="J968" s="129"/>
    </row>
    <row r="969" spans="1:10" s="120" customFormat="1" ht="20.45" customHeight="1">
      <c r="A969" s="954"/>
      <c r="B969" s="123"/>
      <c r="C969" s="129"/>
      <c r="D969" s="150"/>
      <c r="F969" s="123"/>
      <c r="G969" s="180"/>
      <c r="H969" s="122"/>
      <c r="J969" s="129"/>
    </row>
    <row r="970" spans="1:10" s="120" customFormat="1" ht="20.45" customHeight="1">
      <c r="A970" s="954"/>
      <c r="B970" s="123"/>
      <c r="C970" s="129"/>
      <c r="D970" s="150"/>
      <c r="F970" s="123"/>
      <c r="G970" s="180"/>
      <c r="H970" s="122"/>
      <c r="J970" s="129"/>
    </row>
    <row r="971" spans="1:10" s="120" customFormat="1" ht="20.45" customHeight="1">
      <c r="A971" s="954"/>
      <c r="B971" s="123"/>
      <c r="C971" s="129"/>
      <c r="D971" s="150"/>
      <c r="F971" s="123"/>
      <c r="G971" s="180"/>
      <c r="H971" s="122"/>
      <c r="J971" s="129"/>
    </row>
    <row r="972" spans="1:10" s="120" customFormat="1" ht="20.45" customHeight="1">
      <c r="A972" s="954"/>
      <c r="B972" s="123"/>
      <c r="C972" s="129"/>
      <c r="D972" s="150"/>
      <c r="F972" s="123"/>
      <c r="G972" s="180"/>
      <c r="H972" s="122"/>
      <c r="J972" s="129"/>
    </row>
    <row r="973" spans="1:10" s="120" customFormat="1" ht="20.45" customHeight="1">
      <c r="A973" s="954"/>
      <c r="B973" s="123"/>
      <c r="C973" s="129"/>
      <c r="D973" s="150"/>
      <c r="F973" s="123"/>
      <c r="G973" s="180"/>
      <c r="H973" s="122"/>
      <c r="J973" s="129"/>
    </row>
    <row r="974" spans="1:10" s="120" customFormat="1" ht="20.45" customHeight="1">
      <c r="A974" s="954"/>
      <c r="B974" s="123"/>
      <c r="C974" s="129"/>
      <c r="D974" s="150"/>
      <c r="F974" s="123"/>
      <c r="G974" s="180"/>
      <c r="H974" s="122"/>
      <c r="J974" s="129"/>
    </row>
    <row r="975" spans="1:10" s="120" customFormat="1" ht="20.45" customHeight="1">
      <c r="A975" s="954"/>
      <c r="B975" s="123"/>
      <c r="C975" s="129"/>
      <c r="D975" s="150"/>
      <c r="F975" s="123"/>
      <c r="G975" s="180"/>
      <c r="H975" s="122"/>
      <c r="J975" s="129"/>
    </row>
    <row r="976" spans="1:10" s="120" customFormat="1" ht="20.45" customHeight="1">
      <c r="A976" s="954"/>
      <c r="B976" s="123"/>
      <c r="C976" s="129"/>
      <c r="D976" s="150"/>
      <c r="F976" s="123"/>
      <c r="G976" s="180"/>
      <c r="H976" s="122"/>
      <c r="J976" s="129"/>
    </row>
    <row r="977" spans="1:10" s="120" customFormat="1" ht="20.45" customHeight="1">
      <c r="A977" s="954"/>
      <c r="B977" s="123"/>
      <c r="C977" s="129"/>
      <c r="D977" s="150"/>
      <c r="F977" s="123"/>
      <c r="G977" s="180"/>
      <c r="H977" s="122"/>
      <c r="J977" s="129"/>
    </row>
    <row r="978" spans="1:10" s="120" customFormat="1" ht="20.45" customHeight="1">
      <c r="A978" s="954"/>
      <c r="B978" s="123"/>
      <c r="C978" s="129"/>
      <c r="D978" s="150"/>
      <c r="F978" s="123"/>
      <c r="G978" s="180"/>
      <c r="H978" s="122"/>
      <c r="J978" s="129"/>
    </row>
    <row r="979" spans="1:10" s="120" customFormat="1" ht="20.45" customHeight="1">
      <c r="A979" s="954"/>
      <c r="B979" s="123"/>
      <c r="C979" s="129"/>
      <c r="D979" s="150"/>
      <c r="F979" s="123"/>
      <c r="G979" s="180"/>
      <c r="H979" s="122"/>
      <c r="J979" s="129"/>
    </row>
    <row r="980" spans="1:10" s="120" customFormat="1" ht="20.45" customHeight="1">
      <c r="A980" s="954"/>
      <c r="B980" s="123"/>
      <c r="C980" s="129"/>
      <c r="D980" s="150"/>
      <c r="F980" s="123"/>
      <c r="G980" s="180"/>
      <c r="H980" s="122"/>
      <c r="J980" s="129"/>
    </row>
    <row r="981" spans="1:10" s="120" customFormat="1" ht="20.45" customHeight="1">
      <c r="A981" s="954"/>
      <c r="B981" s="123"/>
      <c r="C981" s="129"/>
      <c r="D981" s="150"/>
      <c r="F981" s="123"/>
      <c r="G981" s="180"/>
      <c r="H981" s="122"/>
      <c r="J981" s="129"/>
    </row>
    <row r="982" spans="1:10" s="120" customFormat="1" ht="20.45" customHeight="1">
      <c r="A982" s="954"/>
      <c r="B982" s="123"/>
      <c r="C982" s="129"/>
      <c r="D982" s="150"/>
      <c r="F982" s="123"/>
      <c r="G982" s="180"/>
      <c r="H982" s="122"/>
      <c r="J982" s="129"/>
    </row>
    <row r="983" spans="1:10" s="120" customFormat="1" ht="20.45" customHeight="1">
      <c r="A983" s="954"/>
      <c r="B983" s="123"/>
      <c r="C983" s="129"/>
      <c r="D983" s="150"/>
      <c r="F983" s="123"/>
      <c r="G983" s="180"/>
      <c r="H983" s="122"/>
      <c r="J983" s="129"/>
    </row>
    <row r="984" spans="1:10" s="120" customFormat="1" ht="20.45" customHeight="1">
      <c r="A984" s="954"/>
      <c r="B984" s="123"/>
      <c r="C984" s="129"/>
      <c r="D984" s="150"/>
      <c r="F984" s="123"/>
      <c r="G984" s="180"/>
      <c r="H984" s="122"/>
      <c r="J984" s="129"/>
    </row>
    <row r="985" spans="1:10" s="120" customFormat="1" ht="20.45" customHeight="1">
      <c r="A985" s="954"/>
      <c r="B985" s="123"/>
      <c r="C985" s="129"/>
      <c r="D985" s="150"/>
      <c r="F985" s="123"/>
      <c r="G985" s="180"/>
      <c r="H985" s="122"/>
      <c r="J985" s="129"/>
    </row>
    <row r="986" spans="1:10" s="120" customFormat="1" ht="20.45" customHeight="1">
      <c r="A986" s="954"/>
      <c r="B986" s="123"/>
      <c r="C986" s="129"/>
      <c r="D986" s="150"/>
      <c r="F986" s="123"/>
      <c r="G986" s="180"/>
      <c r="H986" s="122"/>
      <c r="J986" s="129"/>
    </row>
    <row r="987" spans="1:10" s="120" customFormat="1" ht="20.45" customHeight="1">
      <c r="A987" s="954"/>
      <c r="B987" s="123"/>
      <c r="C987" s="129"/>
      <c r="D987" s="150"/>
      <c r="F987" s="123"/>
      <c r="G987" s="180"/>
      <c r="H987" s="122"/>
      <c r="J987" s="129"/>
    </row>
    <row r="988" spans="1:10" s="120" customFormat="1" ht="20.45" customHeight="1">
      <c r="A988" s="954"/>
      <c r="B988" s="123"/>
      <c r="C988" s="129"/>
      <c r="D988" s="150"/>
      <c r="F988" s="123"/>
      <c r="G988" s="180"/>
      <c r="H988" s="122"/>
      <c r="J988" s="129"/>
    </row>
    <row r="989" spans="1:10" s="120" customFormat="1" ht="20.45" customHeight="1">
      <c r="A989" s="954"/>
      <c r="B989" s="123"/>
      <c r="C989" s="129"/>
      <c r="D989" s="150"/>
      <c r="F989" s="123"/>
      <c r="G989" s="180"/>
      <c r="H989" s="122"/>
      <c r="J989" s="129"/>
    </row>
    <row r="990" spans="1:10" s="120" customFormat="1" ht="20.45" customHeight="1">
      <c r="A990" s="954"/>
      <c r="B990" s="123"/>
      <c r="C990" s="129"/>
      <c r="D990" s="150"/>
      <c r="F990" s="123"/>
      <c r="G990" s="180"/>
      <c r="H990" s="122"/>
      <c r="J990" s="129"/>
    </row>
    <row r="991" spans="1:10" s="120" customFormat="1" ht="20.45" customHeight="1">
      <c r="A991" s="954"/>
      <c r="B991" s="123"/>
      <c r="C991" s="129"/>
      <c r="D991" s="150"/>
      <c r="F991" s="123"/>
      <c r="G991" s="180"/>
      <c r="H991" s="122"/>
      <c r="J991" s="129"/>
    </row>
    <row r="992" spans="1:10" s="120" customFormat="1" ht="20.45" customHeight="1">
      <c r="A992" s="954"/>
      <c r="B992" s="123"/>
      <c r="C992" s="129"/>
      <c r="D992" s="150"/>
      <c r="F992" s="123"/>
      <c r="G992" s="180"/>
      <c r="H992" s="122"/>
      <c r="J992" s="129"/>
    </row>
    <row r="993" spans="1:10" s="120" customFormat="1" ht="20.45" customHeight="1">
      <c r="A993" s="954"/>
      <c r="B993" s="123"/>
      <c r="C993" s="129"/>
      <c r="D993" s="150"/>
      <c r="F993" s="123"/>
      <c r="G993" s="180"/>
      <c r="H993" s="122"/>
      <c r="J993" s="129"/>
    </row>
    <row r="994" spans="1:10" s="120" customFormat="1" ht="20.45" customHeight="1">
      <c r="A994" s="954"/>
      <c r="B994" s="123"/>
      <c r="C994" s="129"/>
      <c r="D994" s="150"/>
      <c r="F994" s="123"/>
      <c r="G994" s="180"/>
      <c r="H994" s="122"/>
      <c r="J994" s="129"/>
    </row>
    <row r="995" spans="1:10" s="120" customFormat="1" ht="20.45" customHeight="1">
      <c r="A995" s="954"/>
      <c r="B995" s="123"/>
      <c r="C995" s="129"/>
      <c r="D995" s="150"/>
      <c r="F995" s="123"/>
      <c r="G995" s="180"/>
      <c r="H995" s="122"/>
      <c r="J995" s="129"/>
    </row>
    <row r="996" spans="1:10" s="120" customFormat="1" ht="20.45" customHeight="1">
      <c r="A996" s="954"/>
      <c r="B996" s="123"/>
      <c r="C996" s="129"/>
      <c r="D996" s="150"/>
      <c r="F996" s="123"/>
      <c r="G996" s="180"/>
      <c r="H996" s="122"/>
      <c r="J996" s="129"/>
    </row>
    <row r="997" spans="1:10" s="120" customFormat="1" ht="20.45" customHeight="1">
      <c r="A997" s="954"/>
      <c r="B997" s="123"/>
      <c r="C997" s="129"/>
      <c r="D997" s="150"/>
      <c r="F997" s="123"/>
      <c r="G997" s="180"/>
      <c r="H997" s="122"/>
      <c r="J997" s="129"/>
    </row>
    <row r="998" spans="1:10" s="120" customFormat="1" ht="20.45" customHeight="1">
      <c r="A998" s="954"/>
      <c r="B998" s="123"/>
      <c r="C998" s="129"/>
      <c r="D998" s="150"/>
      <c r="F998" s="123"/>
      <c r="G998" s="180"/>
      <c r="H998" s="122"/>
      <c r="J998" s="129"/>
    </row>
    <row r="999" spans="1:10" s="120" customFormat="1" ht="20.45" customHeight="1">
      <c r="A999" s="954"/>
      <c r="B999" s="123"/>
      <c r="C999" s="129"/>
      <c r="D999" s="150"/>
      <c r="F999" s="123"/>
      <c r="G999" s="180"/>
      <c r="H999" s="122"/>
      <c r="J999" s="129"/>
    </row>
    <row r="1000" spans="1:10" s="120" customFormat="1" ht="20.45" customHeight="1">
      <c r="A1000" s="954"/>
      <c r="B1000" s="123"/>
      <c r="C1000" s="129"/>
      <c r="D1000" s="150"/>
      <c r="F1000" s="123"/>
      <c r="G1000" s="180"/>
      <c r="H1000" s="122"/>
      <c r="J1000" s="129"/>
    </row>
    <row r="1001" spans="1:10" s="120" customFormat="1" ht="20.45" customHeight="1">
      <c r="A1001" s="954"/>
      <c r="B1001" s="123"/>
      <c r="C1001" s="129"/>
      <c r="D1001" s="150"/>
      <c r="F1001" s="123"/>
      <c r="G1001" s="180"/>
      <c r="H1001" s="122"/>
      <c r="J1001" s="129"/>
    </row>
    <row r="1002" spans="1:10" s="120" customFormat="1" ht="20.45" customHeight="1">
      <c r="A1002" s="954"/>
      <c r="B1002" s="123"/>
      <c r="C1002" s="129"/>
      <c r="D1002" s="150"/>
      <c r="F1002" s="123"/>
      <c r="G1002" s="180"/>
      <c r="H1002" s="122"/>
      <c r="J1002" s="129"/>
    </row>
    <row r="1003" spans="1:10" s="120" customFormat="1" ht="20.45" customHeight="1">
      <c r="A1003" s="954"/>
      <c r="B1003" s="123"/>
      <c r="C1003" s="129"/>
      <c r="D1003" s="150"/>
      <c r="F1003" s="123"/>
      <c r="G1003" s="180"/>
      <c r="H1003" s="122"/>
      <c r="J1003" s="129"/>
    </row>
    <row r="1004" spans="1:10" s="120" customFormat="1" ht="20.45" customHeight="1">
      <c r="A1004" s="954"/>
      <c r="B1004" s="123"/>
      <c r="C1004" s="129"/>
      <c r="D1004" s="150"/>
      <c r="F1004" s="123"/>
      <c r="G1004" s="180"/>
      <c r="H1004" s="122"/>
      <c r="J1004" s="129"/>
    </row>
    <row r="1005" spans="1:10" s="120" customFormat="1" ht="20.45" customHeight="1">
      <c r="A1005" s="954"/>
      <c r="B1005" s="123"/>
      <c r="C1005" s="129"/>
      <c r="D1005" s="150"/>
      <c r="F1005" s="123"/>
      <c r="G1005" s="180"/>
      <c r="H1005" s="122"/>
      <c r="J1005" s="129"/>
    </row>
    <row r="1006" spans="1:10" s="120" customFormat="1" ht="20.45" customHeight="1">
      <c r="A1006" s="954"/>
      <c r="B1006" s="123"/>
      <c r="C1006" s="129"/>
      <c r="D1006" s="150"/>
      <c r="F1006" s="123"/>
      <c r="G1006" s="180"/>
      <c r="H1006" s="122"/>
      <c r="J1006" s="129"/>
    </row>
    <row r="1007" spans="1:10" s="120" customFormat="1" ht="20.45" customHeight="1">
      <c r="A1007" s="954"/>
      <c r="B1007" s="123"/>
      <c r="C1007" s="129"/>
      <c r="D1007" s="150"/>
      <c r="F1007" s="123"/>
      <c r="G1007" s="180"/>
      <c r="H1007" s="122"/>
      <c r="J1007" s="129"/>
    </row>
    <row r="1008" spans="1:10" s="120" customFormat="1" ht="20.45" customHeight="1">
      <c r="A1008" s="954"/>
      <c r="B1008" s="123"/>
      <c r="C1008" s="129"/>
      <c r="D1008" s="150"/>
      <c r="F1008" s="123"/>
      <c r="G1008" s="180"/>
      <c r="H1008" s="122"/>
      <c r="J1008" s="129"/>
    </row>
    <row r="1009" spans="1:10" s="120" customFormat="1" ht="20.45" customHeight="1">
      <c r="A1009" s="954"/>
      <c r="B1009" s="123"/>
      <c r="C1009" s="129"/>
      <c r="D1009" s="150"/>
      <c r="F1009" s="123"/>
      <c r="G1009" s="180"/>
      <c r="H1009" s="122"/>
      <c r="J1009" s="129"/>
    </row>
    <row r="1010" spans="1:10" s="120" customFormat="1" ht="20.45" customHeight="1">
      <c r="A1010" s="954"/>
      <c r="B1010" s="123"/>
      <c r="C1010" s="129"/>
      <c r="D1010" s="150"/>
      <c r="F1010" s="123"/>
      <c r="G1010" s="180"/>
      <c r="H1010" s="122"/>
      <c r="J1010" s="129"/>
    </row>
    <row r="1011" spans="1:10" s="120" customFormat="1" ht="20.45" customHeight="1">
      <c r="A1011" s="954"/>
      <c r="B1011" s="123"/>
      <c r="C1011" s="129"/>
      <c r="D1011" s="150"/>
      <c r="F1011" s="123"/>
      <c r="G1011" s="180"/>
      <c r="H1011" s="122"/>
      <c r="J1011" s="129"/>
    </row>
    <row r="1012" spans="1:10" s="120" customFormat="1" ht="20.45" customHeight="1">
      <c r="A1012" s="954"/>
      <c r="B1012" s="123"/>
      <c r="C1012" s="129"/>
      <c r="D1012" s="150"/>
      <c r="F1012" s="123"/>
      <c r="G1012" s="180"/>
      <c r="H1012" s="122"/>
      <c r="J1012" s="129"/>
    </row>
    <row r="1013" spans="1:10" s="120" customFormat="1">
      <c r="A1013" s="130"/>
      <c r="B1013" s="123"/>
      <c r="C1013" s="130"/>
      <c r="D1013" s="122"/>
      <c r="F1013" s="123"/>
      <c r="G1013" s="180"/>
      <c r="H1013" s="150"/>
      <c r="J1013" s="130"/>
    </row>
    <row r="1014" spans="1:10" s="120" customFormat="1">
      <c r="A1014" s="130"/>
      <c r="B1014" s="123"/>
      <c r="C1014" s="130"/>
      <c r="D1014" s="122"/>
      <c r="F1014" s="123"/>
      <c r="G1014" s="180"/>
      <c r="H1014" s="150"/>
      <c r="J1014" s="130"/>
    </row>
    <row r="1015" spans="1:10" s="120" customFormat="1">
      <c r="A1015" s="130"/>
      <c r="B1015" s="123"/>
      <c r="C1015" s="130"/>
      <c r="D1015" s="122"/>
      <c r="F1015" s="123"/>
      <c r="G1015" s="180"/>
      <c r="H1015" s="150"/>
      <c r="J1015" s="130"/>
    </row>
    <row r="1016" spans="1:10" s="120" customFormat="1">
      <c r="A1016" s="130"/>
      <c r="B1016" s="123"/>
      <c r="C1016" s="130"/>
      <c r="D1016" s="122"/>
      <c r="F1016" s="123"/>
      <c r="G1016" s="180"/>
      <c r="H1016" s="150"/>
      <c r="J1016" s="130"/>
    </row>
    <row r="1017" spans="1:10" s="120" customFormat="1">
      <c r="A1017" s="130"/>
      <c r="B1017" s="123"/>
      <c r="C1017" s="130"/>
      <c r="D1017" s="122"/>
      <c r="F1017" s="123"/>
      <c r="G1017" s="180"/>
      <c r="H1017" s="150"/>
      <c r="J1017" s="130"/>
    </row>
    <row r="1018" spans="1:10" s="120" customFormat="1">
      <c r="A1018" s="130"/>
      <c r="B1018" s="123"/>
      <c r="C1018" s="130"/>
      <c r="D1018" s="122"/>
      <c r="F1018" s="123"/>
      <c r="G1018" s="180"/>
      <c r="H1018" s="150"/>
      <c r="J1018" s="130"/>
    </row>
    <row r="1019" spans="1:10" s="120" customFormat="1">
      <c r="A1019" s="130"/>
      <c r="B1019" s="123"/>
      <c r="C1019" s="130"/>
      <c r="D1019" s="122"/>
      <c r="F1019" s="123"/>
      <c r="G1019" s="180"/>
      <c r="H1019" s="150"/>
      <c r="J1019" s="130"/>
    </row>
    <row r="1020" spans="1:10" s="120" customFormat="1">
      <c r="A1020" s="130"/>
      <c r="B1020" s="123"/>
      <c r="C1020" s="130"/>
      <c r="D1020" s="122"/>
      <c r="F1020" s="123"/>
      <c r="G1020" s="180"/>
      <c r="H1020" s="150"/>
      <c r="J1020" s="130"/>
    </row>
    <row r="1021" spans="1:10" s="120" customFormat="1">
      <c r="A1021" s="130"/>
      <c r="B1021" s="123"/>
      <c r="C1021" s="130"/>
      <c r="D1021" s="122"/>
      <c r="F1021" s="123"/>
      <c r="G1021" s="180"/>
      <c r="H1021" s="150"/>
      <c r="J1021" s="130"/>
    </row>
    <row r="1022" spans="1:10" s="120" customFormat="1">
      <c r="A1022" s="130"/>
      <c r="B1022" s="123"/>
      <c r="C1022" s="130"/>
      <c r="D1022" s="122"/>
      <c r="F1022" s="123"/>
      <c r="G1022" s="180"/>
      <c r="H1022" s="150"/>
      <c r="J1022" s="130"/>
    </row>
    <row r="1023" spans="1:10" s="120" customFormat="1">
      <c r="A1023" s="130"/>
      <c r="B1023" s="123"/>
      <c r="C1023" s="130"/>
      <c r="D1023" s="122"/>
      <c r="F1023" s="123"/>
      <c r="G1023" s="180"/>
      <c r="H1023" s="150"/>
      <c r="J1023" s="130"/>
    </row>
    <row r="1024" spans="1:10" s="120" customFormat="1">
      <c r="A1024" s="130"/>
      <c r="B1024" s="123"/>
      <c r="C1024" s="130"/>
      <c r="D1024" s="122"/>
      <c r="F1024" s="123"/>
      <c r="G1024" s="180"/>
      <c r="H1024" s="150"/>
      <c r="J1024" s="130"/>
    </row>
    <row r="1025" spans="1:10" s="120" customFormat="1">
      <c r="A1025" s="130"/>
      <c r="B1025" s="123"/>
      <c r="C1025" s="130"/>
      <c r="D1025" s="122"/>
      <c r="F1025" s="123"/>
      <c r="G1025" s="180"/>
      <c r="H1025" s="150"/>
      <c r="J1025" s="130"/>
    </row>
    <row r="1026" spans="1:10" s="120" customFormat="1">
      <c r="A1026" s="130"/>
      <c r="B1026" s="123"/>
      <c r="C1026" s="130"/>
      <c r="D1026" s="122"/>
      <c r="F1026" s="123"/>
      <c r="G1026" s="180"/>
      <c r="H1026" s="150"/>
      <c r="J1026" s="130"/>
    </row>
    <row r="1027" spans="1:10" s="120" customFormat="1">
      <c r="A1027" s="130"/>
      <c r="B1027" s="123"/>
      <c r="C1027" s="130"/>
      <c r="D1027" s="122"/>
      <c r="F1027" s="123"/>
      <c r="G1027" s="180"/>
      <c r="H1027" s="150"/>
      <c r="J1027" s="130"/>
    </row>
    <row r="1028" spans="1:10" s="120" customFormat="1">
      <c r="A1028" s="130"/>
      <c r="B1028" s="123"/>
      <c r="C1028" s="130"/>
      <c r="D1028" s="122"/>
      <c r="F1028" s="123"/>
      <c r="G1028" s="180"/>
      <c r="H1028" s="150"/>
      <c r="J1028" s="130"/>
    </row>
    <row r="1029" spans="1:10" s="120" customFormat="1">
      <c r="A1029" s="130"/>
      <c r="B1029" s="123"/>
      <c r="C1029" s="130"/>
      <c r="D1029" s="122"/>
      <c r="F1029" s="123"/>
      <c r="G1029" s="180"/>
      <c r="H1029" s="150"/>
      <c r="J1029" s="130"/>
    </row>
    <row r="1030" spans="1:10" s="120" customFormat="1">
      <c r="A1030" s="130"/>
      <c r="B1030" s="123"/>
      <c r="C1030" s="130"/>
      <c r="D1030" s="122"/>
      <c r="F1030" s="123"/>
      <c r="G1030" s="180"/>
      <c r="H1030" s="150"/>
      <c r="J1030" s="130"/>
    </row>
    <row r="1031" spans="1:10" s="120" customFormat="1">
      <c r="A1031" s="130"/>
      <c r="B1031" s="123"/>
      <c r="C1031" s="130"/>
      <c r="D1031" s="122"/>
      <c r="F1031" s="123"/>
      <c r="G1031" s="180"/>
      <c r="H1031" s="150"/>
      <c r="J1031" s="130"/>
    </row>
    <row r="1032" spans="1:10" s="120" customFormat="1">
      <c r="A1032" s="130"/>
      <c r="B1032" s="123"/>
      <c r="C1032" s="130"/>
      <c r="D1032" s="122"/>
      <c r="F1032" s="123"/>
      <c r="G1032" s="180"/>
      <c r="H1032" s="150"/>
      <c r="J1032" s="130"/>
    </row>
    <row r="1033" spans="1:10" s="120" customFormat="1">
      <c r="A1033" s="130"/>
      <c r="B1033" s="123"/>
      <c r="C1033" s="130"/>
      <c r="D1033" s="122"/>
      <c r="F1033" s="123"/>
      <c r="G1033" s="180"/>
      <c r="H1033" s="150"/>
      <c r="J1033" s="130"/>
    </row>
    <row r="1034" spans="1:10" s="120" customFormat="1">
      <c r="A1034" s="130"/>
      <c r="B1034" s="123"/>
      <c r="C1034" s="130"/>
      <c r="D1034" s="122"/>
      <c r="F1034" s="123"/>
      <c r="G1034" s="180"/>
      <c r="H1034" s="150"/>
      <c r="J1034" s="130"/>
    </row>
    <row r="1035" spans="1:10" s="120" customFormat="1">
      <c r="A1035" s="130"/>
      <c r="B1035" s="123"/>
      <c r="C1035" s="130"/>
      <c r="D1035" s="122"/>
      <c r="F1035" s="123"/>
      <c r="G1035" s="180"/>
      <c r="H1035" s="150"/>
      <c r="J1035" s="130"/>
    </row>
    <row r="1036" spans="1:10" s="120" customFormat="1">
      <c r="A1036" s="130"/>
      <c r="B1036" s="123"/>
      <c r="C1036" s="130"/>
      <c r="D1036" s="122"/>
      <c r="F1036" s="123"/>
      <c r="G1036" s="180"/>
      <c r="H1036" s="150"/>
      <c r="J1036" s="130"/>
    </row>
    <row r="1037" spans="1:10" s="120" customFormat="1">
      <c r="A1037" s="130"/>
      <c r="B1037" s="123"/>
      <c r="C1037" s="130"/>
      <c r="D1037" s="122"/>
      <c r="F1037" s="123"/>
      <c r="G1037" s="180"/>
      <c r="H1037" s="150"/>
      <c r="J1037" s="130"/>
    </row>
    <row r="1038" spans="1:10" s="120" customFormat="1">
      <c r="A1038" s="130"/>
      <c r="B1038" s="123"/>
      <c r="C1038" s="130"/>
      <c r="D1038" s="122"/>
      <c r="F1038" s="123"/>
      <c r="G1038" s="180"/>
      <c r="H1038" s="150"/>
      <c r="J1038" s="130"/>
    </row>
    <row r="1039" spans="1:10" s="120" customFormat="1">
      <c r="A1039" s="130"/>
      <c r="B1039" s="123"/>
      <c r="C1039" s="130"/>
      <c r="D1039" s="122"/>
      <c r="F1039" s="123"/>
      <c r="G1039" s="180"/>
      <c r="H1039" s="150"/>
      <c r="J1039" s="130"/>
    </row>
    <row r="1040" spans="1:10" s="120" customFormat="1">
      <c r="A1040" s="130"/>
      <c r="B1040" s="123"/>
      <c r="C1040" s="130"/>
      <c r="D1040" s="122"/>
      <c r="F1040" s="123"/>
      <c r="G1040" s="180"/>
      <c r="H1040" s="150"/>
      <c r="J1040" s="130"/>
    </row>
    <row r="1041" spans="1:10" s="120" customFormat="1">
      <c r="A1041" s="130"/>
      <c r="B1041" s="123"/>
      <c r="C1041" s="130"/>
      <c r="D1041" s="122"/>
      <c r="F1041" s="123"/>
      <c r="G1041" s="180"/>
      <c r="H1041" s="150"/>
      <c r="J1041" s="130"/>
    </row>
    <row r="1042" spans="1:10" s="120" customFormat="1">
      <c r="A1042" s="130"/>
      <c r="B1042" s="123"/>
      <c r="C1042" s="130"/>
      <c r="D1042" s="122"/>
      <c r="F1042" s="123"/>
      <c r="G1042" s="180"/>
      <c r="H1042" s="150"/>
      <c r="J1042" s="130"/>
    </row>
    <row r="1043" spans="1:10" s="120" customFormat="1">
      <c r="A1043" s="130"/>
      <c r="B1043" s="123"/>
      <c r="C1043" s="130"/>
      <c r="D1043" s="122"/>
      <c r="F1043" s="123"/>
      <c r="G1043" s="180"/>
      <c r="H1043" s="150"/>
      <c r="J1043" s="130"/>
    </row>
    <row r="1044" spans="1:10" s="120" customFormat="1">
      <c r="A1044" s="130"/>
      <c r="B1044" s="123"/>
      <c r="C1044" s="130"/>
      <c r="D1044" s="122"/>
      <c r="F1044" s="123"/>
      <c r="G1044" s="180"/>
      <c r="H1044" s="150"/>
      <c r="J1044" s="130"/>
    </row>
    <row r="1045" spans="1:10" s="120" customFormat="1">
      <c r="A1045" s="130"/>
      <c r="B1045" s="123"/>
      <c r="C1045" s="130"/>
      <c r="D1045" s="122"/>
      <c r="F1045" s="123"/>
      <c r="G1045" s="180"/>
      <c r="H1045" s="150"/>
      <c r="J1045" s="130"/>
    </row>
    <row r="1046" spans="1:10" s="120" customFormat="1">
      <c r="A1046" s="130"/>
      <c r="B1046" s="123"/>
      <c r="C1046" s="130"/>
      <c r="D1046" s="122"/>
      <c r="F1046" s="123"/>
      <c r="G1046" s="180"/>
      <c r="H1046" s="150"/>
      <c r="J1046" s="130"/>
    </row>
    <row r="1047" spans="1:10" s="120" customFormat="1">
      <c r="A1047" s="130"/>
      <c r="B1047" s="123"/>
      <c r="C1047" s="130"/>
      <c r="F1047" s="123"/>
      <c r="G1047" s="180"/>
      <c r="H1047" s="150"/>
      <c r="J1047" s="130"/>
    </row>
    <row r="1048" spans="1:10" s="120" customFormat="1">
      <c r="A1048" s="130"/>
      <c r="B1048" s="123"/>
      <c r="C1048" s="130"/>
      <c r="F1048" s="123"/>
      <c r="G1048" s="180"/>
      <c r="H1048" s="150"/>
      <c r="J1048" s="130"/>
    </row>
    <row r="1049" spans="1:10" s="120" customFormat="1">
      <c r="A1049" s="130"/>
      <c r="B1049" s="123"/>
      <c r="C1049" s="130"/>
      <c r="F1049" s="123"/>
      <c r="G1049" s="180"/>
      <c r="H1049" s="150"/>
      <c r="J1049" s="130"/>
    </row>
    <row r="1050" spans="1:10" s="120" customFormat="1">
      <c r="A1050" s="130"/>
      <c r="B1050" s="123"/>
      <c r="C1050" s="130"/>
      <c r="F1050" s="123"/>
      <c r="G1050" s="180"/>
      <c r="H1050" s="150"/>
      <c r="J1050" s="130"/>
    </row>
    <row r="1051" spans="1:10" s="120" customFormat="1">
      <c r="A1051" s="130"/>
      <c r="B1051" s="123"/>
      <c r="C1051" s="130"/>
      <c r="F1051" s="123"/>
      <c r="G1051" s="180"/>
      <c r="H1051" s="150"/>
      <c r="J1051" s="130"/>
    </row>
    <row r="1052" spans="1:10" s="120" customFormat="1">
      <c r="A1052" s="130"/>
      <c r="B1052" s="123"/>
      <c r="C1052" s="130"/>
      <c r="F1052" s="123"/>
      <c r="G1052" s="180"/>
      <c r="H1052" s="150"/>
      <c r="J1052" s="130"/>
    </row>
    <row r="1053" spans="1:10" s="120" customFormat="1">
      <c r="A1053" s="130"/>
      <c r="B1053" s="123"/>
      <c r="C1053" s="130"/>
      <c r="F1053" s="123"/>
      <c r="G1053" s="180"/>
      <c r="H1053" s="150"/>
      <c r="J1053" s="130"/>
    </row>
    <row r="1054" spans="1:10" s="120" customFormat="1">
      <c r="A1054" s="130"/>
      <c r="B1054" s="123"/>
      <c r="C1054" s="130"/>
      <c r="F1054" s="123"/>
      <c r="G1054" s="180"/>
      <c r="H1054" s="150"/>
      <c r="J1054" s="130"/>
    </row>
    <row r="1055" spans="1:10" s="120" customFormat="1">
      <c r="A1055" s="130"/>
      <c r="B1055" s="123"/>
      <c r="C1055" s="130"/>
      <c r="F1055" s="123"/>
      <c r="G1055" s="180"/>
      <c r="H1055" s="150"/>
      <c r="J1055" s="130"/>
    </row>
    <row r="1056" spans="1:10" s="120" customFormat="1">
      <c r="A1056" s="130"/>
      <c r="B1056" s="123"/>
      <c r="C1056" s="130"/>
      <c r="F1056" s="123"/>
      <c r="G1056" s="180"/>
      <c r="H1056" s="150"/>
      <c r="J1056" s="130"/>
    </row>
    <row r="1057" spans="1:10" s="120" customFormat="1">
      <c r="A1057" s="130"/>
      <c r="B1057" s="123"/>
      <c r="C1057" s="130"/>
      <c r="F1057" s="123"/>
      <c r="G1057" s="180"/>
      <c r="H1057" s="150"/>
      <c r="J1057" s="130"/>
    </row>
    <row r="1058" spans="1:10" s="120" customFormat="1">
      <c r="A1058" s="130"/>
      <c r="B1058" s="123"/>
      <c r="C1058" s="130"/>
      <c r="F1058" s="123"/>
      <c r="G1058" s="180"/>
      <c r="H1058" s="150"/>
      <c r="J1058" s="130"/>
    </row>
    <row r="1059" spans="1:10" s="120" customFormat="1">
      <c r="A1059" s="130"/>
      <c r="B1059" s="123"/>
      <c r="C1059" s="130"/>
      <c r="F1059" s="123"/>
      <c r="G1059" s="180"/>
      <c r="H1059" s="150"/>
      <c r="J1059" s="130"/>
    </row>
    <row r="1060" spans="1:10" s="120" customFormat="1">
      <c r="A1060" s="130"/>
      <c r="B1060" s="123"/>
      <c r="C1060" s="130"/>
      <c r="F1060" s="123"/>
      <c r="G1060" s="180"/>
      <c r="H1060" s="150"/>
      <c r="J1060" s="130"/>
    </row>
    <row r="1061" spans="1:10" s="120" customFormat="1">
      <c r="A1061" s="130"/>
      <c r="B1061" s="123"/>
      <c r="C1061" s="130"/>
      <c r="F1061" s="123"/>
      <c r="G1061" s="180"/>
      <c r="H1061" s="150"/>
      <c r="J1061" s="130"/>
    </row>
    <row r="1062" spans="1:10" s="120" customFormat="1">
      <c r="A1062" s="130"/>
      <c r="B1062" s="123"/>
      <c r="C1062" s="130"/>
      <c r="F1062" s="123"/>
      <c r="G1062" s="180"/>
      <c r="H1062" s="150"/>
      <c r="J1062" s="130"/>
    </row>
    <row r="1063" spans="1:10" s="120" customFormat="1">
      <c r="A1063" s="130"/>
      <c r="B1063" s="123"/>
      <c r="C1063" s="130"/>
      <c r="F1063" s="123"/>
      <c r="G1063" s="180"/>
      <c r="H1063" s="150"/>
      <c r="J1063" s="130"/>
    </row>
    <row r="1064" spans="1:10" s="120" customFormat="1">
      <c r="A1064" s="130"/>
      <c r="B1064" s="123"/>
      <c r="C1064" s="130"/>
      <c r="F1064" s="123"/>
      <c r="G1064" s="180"/>
      <c r="H1064" s="150"/>
      <c r="J1064" s="130"/>
    </row>
    <row r="1065" spans="1:10" s="120" customFormat="1">
      <c r="A1065" s="130"/>
      <c r="B1065" s="123"/>
      <c r="C1065" s="130"/>
      <c r="F1065" s="123"/>
      <c r="G1065" s="180"/>
      <c r="H1065" s="150"/>
      <c r="J1065" s="130"/>
    </row>
    <row r="1066" spans="1:10" s="120" customFormat="1">
      <c r="A1066" s="130"/>
      <c r="B1066" s="123"/>
      <c r="C1066" s="130"/>
      <c r="F1066" s="123"/>
      <c r="G1066" s="180"/>
      <c r="H1066" s="150"/>
      <c r="J1066" s="130"/>
    </row>
    <row r="1067" spans="1:10" s="120" customFormat="1">
      <c r="A1067" s="130"/>
      <c r="B1067" s="123"/>
      <c r="C1067" s="130"/>
      <c r="F1067" s="123"/>
      <c r="G1067" s="180"/>
      <c r="H1067" s="150"/>
      <c r="J1067" s="130"/>
    </row>
    <row r="1068" spans="1:10" s="120" customFormat="1">
      <c r="A1068" s="130"/>
      <c r="B1068" s="123"/>
      <c r="C1068" s="130"/>
      <c r="F1068" s="123"/>
      <c r="G1068" s="180"/>
      <c r="H1068" s="150"/>
      <c r="J1068" s="130"/>
    </row>
    <row r="1069" spans="1:10" s="120" customFormat="1">
      <c r="A1069" s="130"/>
      <c r="B1069" s="123"/>
      <c r="C1069" s="130"/>
      <c r="F1069" s="123"/>
      <c r="G1069" s="180"/>
      <c r="H1069" s="150"/>
      <c r="J1069" s="130"/>
    </row>
    <row r="1070" spans="1:10" s="120" customFormat="1">
      <c r="A1070" s="130"/>
      <c r="B1070" s="123"/>
      <c r="C1070" s="130"/>
      <c r="F1070" s="123"/>
      <c r="G1070" s="180"/>
      <c r="H1070" s="150"/>
      <c r="J1070" s="130"/>
    </row>
    <row r="1071" spans="1:10" s="120" customFormat="1">
      <c r="A1071" s="130"/>
      <c r="B1071" s="123"/>
      <c r="C1071" s="130"/>
      <c r="F1071" s="123"/>
      <c r="G1071" s="180"/>
      <c r="H1071" s="150"/>
      <c r="J1071" s="130"/>
    </row>
    <row r="1072" spans="1:10" s="120" customFormat="1">
      <c r="A1072" s="130"/>
      <c r="B1072" s="123"/>
      <c r="C1072" s="130"/>
      <c r="F1072" s="123"/>
      <c r="G1072" s="180"/>
      <c r="H1072" s="150"/>
      <c r="J1072" s="130"/>
    </row>
    <row r="1073" spans="1:10" s="120" customFormat="1">
      <c r="A1073" s="130"/>
      <c r="B1073" s="123"/>
      <c r="C1073" s="130"/>
      <c r="F1073" s="123"/>
      <c r="G1073" s="180"/>
      <c r="H1073" s="150"/>
      <c r="J1073" s="130"/>
    </row>
    <row r="1074" spans="1:10" s="120" customFormat="1">
      <c r="A1074" s="130"/>
      <c r="B1074" s="123"/>
      <c r="C1074" s="130"/>
      <c r="F1074" s="123"/>
      <c r="G1074" s="180"/>
      <c r="H1074" s="150"/>
      <c r="J1074" s="130"/>
    </row>
    <row r="1075" spans="1:10" s="120" customFormat="1">
      <c r="A1075" s="130"/>
      <c r="B1075" s="123"/>
      <c r="C1075" s="130"/>
      <c r="F1075" s="123"/>
      <c r="G1075" s="180"/>
      <c r="H1075" s="150"/>
      <c r="J1075" s="130"/>
    </row>
    <row r="1076" spans="1:10" s="120" customFormat="1">
      <c r="A1076" s="130"/>
      <c r="B1076" s="123"/>
      <c r="C1076" s="130"/>
      <c r="F1076" s="123"/>
      <c r="G1076" s="180"/>
      <c r="H1076" s="150"/>
      <c r="J1076" s="130"/>
    </row>
    <row r="1077" spans="1:10" s="120" customFormat="1">
      <c r="A1077" s="130"/>
      <c r="B1077" s="123"/>
      <c r="C1077" s="130"/>
      <c r="F1077" s="123"/>
      <c r="G1077" s="180"/>
      <c r="H1077" s="150"/>
      <c r="J1077" s="130"/>
    </row>
    <row r="1078" spans="1:10" s="120" customFormat="1">
      <c r="A1078" s="130"/>
      <c r="B1078" s="123"/>
      <c r="C1078" s="130"/>
      <c r="F1078" s="123"/>
      <c r="G1078" s="180"/>
      <c r="H1078" s="150"/>
      <c r="J1078" s="130"/>
    </row>
    <row r="1079" spans="1:10" s="120" customFormat="1">
      <c r="A1079" s="130"/>
      <c r="B1079" s="123"/>
      <c r="C1079" s="130"/>
      <c r="F1079" s="123"/>
      <c r="G1079" s="180"/>
      <c r="H1079" s="150"/>
      <c r="J1079" s="130"/>
    </row>
    <row r="1080" spans="1:10" s="120" customFormat="1">
      <c r="A1080" s="130"/>
      <c r="B1080" s="123"/>
      <c r="C1080" s="130"/>
      <c r="F1080" s="123"/>
      <c r="G1080" s="180"/>
      <c r="H1080" s="150"/>
      <c r="J1080" s="130"/>
    </row>
    <row r="1081" spans="1:10" s="120" customFormat="1">
      <c r="A1081" s="130"/>
      <c r="B1081" s="123"/>
      <c r="C1081" s="130"/>
      <c r="F1081" s="123"/>
      <c r="G1081" s="180"/>
      <c r="H1081" s="150"/>
      <c r="J1081" s="130"/>
    </row>
    <row r="1082" spans="1:10" s="120" customFormat="1">
      <c r="A1082" s="130"/>
      <c r="B1082" s="123"/>
      <c r="C1082" s="130"/>
      <c r="F1082" s="123"/>
      <c r="G1082" s="180"/>
      <c r="H1082" s="150"/>
      <c r="J1082" s="130"/>
    </row>
    <row r="1083" spans="1:10" s="120" customFormat="1">
      <c r="A1083" s="130"/>
      <c r="B1083" s="123"/>
      <c r="C1083" s="130"/>
      <c r="F1083" s="123"/>
      <c r="G1083" s="180"/>
      <c r="H1083" s="150"/>
      <c r="J1083" s="130"/>
    </row>
    <row r="1084" spans="1:10" s="120" customFormat="1">
      <c r="A1084" s="130"/>
      <c r="B1084" s="123"/>
      <c r="C1084" s="130"/>
      <c r="F1084" s="123"/>
      <c r="G1084" s="180"/>
      <c r="H1084" s="150"/>
      <c r="J1084" s="130"/>
    </row>
    <row r="1085" spans="1:10" s="120" customFormat="1">
      <c r="A1085" s="130"/>
      <c r="B1085" s="123"/>
      <c r="C1085" s="130"/>
      <c r="F1085" s="123"/>
      <c r="G1085" s="180"/>
      <c r="H1085" s="150"/>
      <c r="J1085" s="130"/>
    </row>
    <row r="1086" spans="1:10" s="120" customFormat="1">
      <c r="A1086" s="130"/>
      <c r="B1086" s="123"/>
      <c r="C1086" s="130"/>
      <c r="F1086" s="123"/>
      <c r="G1086" s="180"/>
      <c r="H1086" s="150"/>
      <c r="J1086" s="130"/>
    </row>
    <row r="1087" spans="1:10" s="120" customFormat="1">
      <c r="A1087" s="130"/>
      <c r="B1087" s="123"/>
      <c r="C1087" s="130"/>
      <c r="F1087" s="123"/>
      <c r="G1087" s="180"/>
      <c r="H1087" s="150"/>
      <c r="J1087" s="130"/>
    </row>
    <row r="1088" spans="1:10" s="120" customFormat="1">
      <c r="A1088" s="130"/>
      <c r="B1088" s="123"/>
      <c r="C1088" s="130"/>
      <c r="F1088" s="123"/>
      <c r="G1088" s="180"/>
      <c r="H1088" s="150"/>
      <c r="J1088" s="130"/>
    </row>
    <row r="1089" spans="1:10" s="120" customFormat="1">
      <c r="A1089" s="130"/>
      <c r="B1089" s="123"/>
      <c r="C1089" s="130"/>
      <c r="F1089" s="123"/>
      <c r="G1089" s="180"/>
      <c r="H1089" s="150"/>
      <c r="J1089" s="130"/>
    </row>
    <row r="1090" spans="1:10" s="120" customFormat="1">
      <c r="A1090" s="130"/>
      <c r="B1090" s="123"/>
      <c r="C1090" s="130"/>
      <c r="F1090" s="123"/>
      <c r="G1090" s="180"/>
      <c r="H1090" s="150"/>
      <c r="J1090" s="130"/>
    </row>
    <row r="1091" spans="1:10" s="120" customFormat="1">
      <c r="A1091" s="130"/>
      <c r="B1091" s="123"/>
      <c r="C1091" s="130"/>
      <c r="F1091" s="123"/>
      <c r="G1091" s="180"/>
      <c r="H1091" s="150"/>
      <c r="J1091" s="130"/>
    </row>
    <row r="1092" spans="1:10" s="120" customFormat="1">
      <c r="A1092" s="130"/>
      <c r="B1092" s="123"/>
      <c r="C1092" s="130"/>
      <c r="F1092" s="123"/>
      <c r="G1092" s="180"/>
      <c r="H1092" s="150"/>
      <c r="J1092" s="130"/>
    </row>
    <row r="1093" spans="1:10" s="120" customFormat="1">
      <c r="A1093" s="130"/>
      <c r="B1093" s="123"/>
      <c r="C1093" s="130"/>
      <c r="F1093" s="123"/>
      <c r="G1093" s="180"/>
      <c r="H1093" s="150"/>
      <c r="J1093" s="130"/>
    </row>
    <row r="1094" spans="1:10" s="120" customFormat="1">
      <c r="A1094" s="130"/>
      <c r="B1094" s="123"/>
      <c r="C1094" s="130"/>
      <c r="F1094" s="123"/>
      <c r="G1094" s="180"/>
      <c r="H1094" s="150"/>
      <c r="J1094" s="130"/>
    </row>
    <row r="1095" spans="1:10" s="120" customFormat="1">
      <c r="A1095" s="130"/>
      <c r="B1095" s="123"/>
      <c r="C1095" s="130"/>
      <c r="F1095" s="123"/>
      <c r="G1095" s="180"/>
      <c r="H1095" s="150"/>
      <c r="J1095" s="130"/>
    </row>
    <row r="1096" spans="1:10" s="120" customFormat="1">
      <c r="A1096" s="130"/>
      <c r="B1096" s="123"/>
      <c r="C1096" s="130"/>
      <c r="F1096" s="123"/>
      <c r="G1096" s="180"/>
      <c r="H1096" s="150"/>
      <c r="J1096" s="130"/>
    </row>
    <row r="1097" spans="1:10" s="120" customFormat="1">
      <c r="A1097" s="130"/>
      <c r="B1097" s="123"/>
      <c r="C1097" s="130"/>
      <c r="F1097" s="123"/>
      <c r="G1097" s="180"/>
      <c r="H1097" s="150"/>
      <c r="J1097" s="130"/>
    </row>
    <row r="1098" spans="1:10" s="120" customFormat="1">
      <c r="A1098" s="130"/>
      <c r="B1098" s="123"/>
      <c r="C1098" s="130"/>
      <c r="F1098" s="123"/>
      <c r="G1098" s="180"/>
      <c r="H1098" s="150"/>
      <c r="J1098" s="130"/>
    </row>
    <row r="1099" spans="1:10" s="120" customFormat="1">
      <c r="A1099" s="130"/>
      <c r="B1099" s="123"/>
      <c r="C1099" s="130"/>
      <c r="F1099" s="123"/>
      <c r="G1099" s="180"/>
      <c r="H1099" s="150"/>
      <c r="J1099" s="130"/>
    </row>
    <row r="1100" spans="1:10" s="120" customFormat="1">
      <c r="A1100" s="130"/>
      <c r="B1100" s="123"/>
      <c r="C1100" s="130"/>
      <c r="F1100" s="123"/>
      <c r="G1100" s="180"/>
      <c r="H1100" s="150"/>
      <c r="J1100" s="130"/>
    </row>
    <row r="1101" spans="1:10" s="120" customFormat="1">
      <c r="A1101" s="130"/>
      <c r="B1101" s="123"/>
      <c r="C1101" s="130"/>
      <c r="F1101" s="123"/>
      <c r="G1101" s="180"/>
      <c r="H1101" s="150"/>
      <c r="J1101" s="130"/>
    </row>
    <row r="1102" spans="1:10" s="120" customFormat="1">
      <c r="A1102" s="130"/>
      <c r="B1102" s="123"/>
      <c r="C1102" s="130"/>
      <c r="F1102" s="123"/>
      <c r="G1102" s="180"/>
      <c r="H1102" s="150"/>
      <c r="J1102" s="130"/>
    </row>
    <row r="1103" spans="1:10" s="120" customFormat="1">
      <c r="A1103" s="130"/>
      <c r="B1103" s="123"/>
      <c r="C1103" s="130"/>
      <c r="F1103" s="123"/>
      <c r="G1103" s="180"/>
      <c r="H1103" s="150"/>
      <c r="J1103" s="130"/>
    </row>
    <row r="1104" spans="1:10" s="120" customFormat="1">
      <c r="A1104" s="130"/>
      <c r="B1104" s="123"/>
      <c r="C1104" s="130"/>
      <c r="F1104" s="123"/>
      <c r="G1104" s="180"/>
      <c r="H1104" s="150"/>
      <c r="J1104" s="130"/>
    </row>
    <row r="1105" spans="1:10" s="120" customFormat="1">
      <c r="A1105" s="130"/>
      <c r="B1105" s="123"/>
      <c r="C1105" s="130"/>
      <c r="F1105" s="123"/>
      <c r="G1105" s="180"/>
      <c r="H1105" s="150"/>
      <c r="J1105" s="130"/>
    </row>
    <row r="1106" spans="1:10" s="120" customFormat="1">
      <c r="A1106" s="130"/>
      <c r="B1106" s="123"/>
      <c r="C1106" s="130"/>
      <c r="F1106" s="123"/>
      <c r="G1106" s="180"/>
      <c r="H1106" s="150"/>
      <c r="J1106" s="130"/>
    </row>
    <row r="1107" spans="1:10" s="120" customFormat="1">
      <c r="A1107" s="130"/>
      <c r="B1107" s="123"/>
      <c r="C1107" s="130"/>
      <c r="F1107" s="123"/>
      <c r="G1107" s="180"/>
      <c r="H1107" s="150"/>
      <c r="J1107" s="130"/>
    </row>
    <row r="1108" spans="1:10" s="120" customFormat="1">
      <c r="A1108" s="130"/>
      <c r="B1108" s="123"/>
      <c r="C1108" s="130"/>
      <c r="F1108" s="123"/>
      <c r="G1108" s="180"/>
      <c r="H1108" s="150"/>
      <c r="J1108" s="130"/>
    </row>
    <row r="1109" spans="1:10" s="120" customFormat="1">
      <c r="A1109" s="130"/>
      <c r="B1109" s="123"/>
      <c r="C1109" s="130"/>
      <c r="F1109" s="123"/>
      <c r="G1109" s="180"/>
      <c r="H1109" s="150"/>
      <c r="J1109" s="130"/>
    </row>
    <row r="1110" spans="1:10" s="120" customFormat="1">
      <c r="A1110" s="130"/>
      <c r="B1110" s="123"/>
      <c r="C1110" s="130"/>
      <c r="F1110" s="123"/>
      <c r="G1110" s="180"/>
      <c r="H1110" s="150"/>
      <c r="J1110" s="130"/>
    </row>
    <row r="1111" spans="1:10" s="120" customFormat="1">
      <c r="A1111" s="130"/>
      <c r="B1111" s="123"/>
      <c r="C1111" s="130"/>
      <c r="F1111" s="123"/>
      <c r="G1111" s="180"/>
      <c r="H1111" s="150"/>
      <c r="J1111" s="130"/>
    </row>
    <row r="1112" spans="1:10" s="120" customFormat="1">
      <c r="A1112" s="130"/>
      <c r="B1112" s="123"/>
      <c r="C1112" s="130"/>
      <c r="F1112" s="123"/>
      <c r="G1112" s="180"/>
      <c r="H1112" s="150"/>
      <c r="J1112" s="130"/>
    </row>
    <row r="1113" spans="1:10" s="120" customFormat="1">
      <c r="A1113" s="130"/>
      <c r="B1113" s="123"/>
      <c r="C1113" s="130"/>
      <c r="F1113" s="123"/>
      <c r="G1113" s="180"/>
      <c r="H1113" s="150"/>
      <c r="J1113" s="130"/>
    </row>
    <row r="1114" spans="1:10" s="120" customFormat="1">
      <c r="A1114" s="130"/>
      <c r="B1114" s="123"/>
      <c r="C1114" s="130"/>
      <c r="F1114" s="123"/>
      <c r="G1114" s="180"/>
      <c r="H1114" s="150"/>
      <c r="J1114" s="130"/>
    </row>
    <row r="1115" spans="1:10" s="120" customFormat="1">
      <c r="A1115" s="130"/>
      <c r="B1115" s="123"/>
      <c r="C1115" s="130"/>
      <c r="F1115" s="123"/>
      <c r="G1115" s="180"/>
      <c r="H1115" s="150"/>
      <c r="J1115" s="130"/>
    </row>
    <row r="1116" spans="1:10" s="120" customFormat="1">
      <c r="A1116" s="130"/>
      <c r="B1116" s="123"/>
      <c r="C1116" s="130"/>
      <c r="F1116" s="123"/>
      <c r="G1116" s="180"/>
      <c r="H1116" s="150"/>
      <c r="J1116" s="130"/>
    </row>
    <row r="1117" spans="1:10" s="120" customFormat="1">
      <c r="A1117" s="130"/>
      <c r="B1117" s="123"/>
      <c r="C1117" s="130"/>
      <c r="F1117" s="123"/>
      <c r="G1117" s="180"/>
      <c r="H1117" s="150"/>
      <c r="J1117" s="130"/>
    </row>
    <row r="1118" spans="1:10" s="120" customFormat="1">
      <c r="A1118" s="130"/>
      <c r="B1118" s="123"/>
      <c r="C1118" s="130"/>
      <c r="F1118" s="123"/>
      <c r="G1118" s="180"/>
      <c r="H1118" s="150"/>
      <c r="J1118" s="130"/>
    </row>
    <row r="1119" spans="1:10" s="120" customFormat="1">
      <c r="A1119" s="130"/>
      <c r="B1119" s="123"/>
      <c r="C1119" s="130"/>
      <c r="F1119" s="123"/>
      <c r="G1119" s="180"/>
      <c r="H1119" s="150"/>
      <c r="J1119" s="130"/>
    </row>
    <row r="1120" spans="1:10" s="120" customFormat="1">
      <c r="A1120" s="130"/>
      <c r="B1120" s="123"/>
      <c r="C1120" s="130"/>
      <c r="F1120" s="123"/>
      <c r="G1120" s="180"/>
      <c r="H1120" s="150"/>
      <c r="J1120" s="130"/>
    </row>
    <row r="1121" spans="1:10" s="120" customFormat="1">
      <c r="A1121" s="130"/>
      <c r="B1121" s="123"/>
      <c r="C1121" s="130"/>
      <c r="F1121" s="123"/>
      <c r="G1121" s="180"/>
      <c r="H1121" s="150"/>
      <c r="J1121" s="130"/>
    </row>
    <row r="1122" spans="1:10" s="120" customFormat="1">
      <c r="A1122" s="130"/>
      <c r="B1122" s="123"/>
      <c r="C1122" s="130"/>
      <c r="F1122" s="123"/>
      <c r="G1122" s="180"/>
      <c r="H1122" s="150"/>
      <c r="J1122" s="130"/>
    </row>
    <row r="1123" spans="1:10" s="120" customFormat="1">
      <c r="A1123" s="130"/>
      <c r="B1123" s="123"/>
      <c r="C1123" s="130"/>
      <c r="F1123" s="123"/>
      <c r="G1123" s="180"/>
      <c r="H1123" s="150"/>
      <c r="J1123" s="130"/>
    </row>
    <row r="1124" spans="1:10" s="120" customFormat="1">
      <c r="A1124" s="130"/>
      <c r="B1124" s="123"/>
      <c r="C1124" s="130"/>
      <c r="F1124" s="123"/>
      <c r="G1124" s="180"/>
      <c r="H1124" s="150"/>
      <c r="J1124" s="130"/>
    </row>
    <row r="1125" spans="1:10" s="120" customFormat="1">
      <c r="A1125" s="130"/>
      <c r="B1125" s="123"/>
      <c r="C1125" s="130"/>
      <c r="F1125" s="123"/>
      <c r="G1125" s="180"/>
      <c r="H1125" s="150"/>
      <c r="J1125" s="130"/>
    </row>
    <row r="1126" spans="1:10" s="120" customFormat="1">
      <c r="A1126" s="130"/>
      <c r="B1126" s="123"/>
      <c r="C1126" s="130"/>
      <c r="F1126" s="123"/>
      <c r="G1126" s="180"/>
      <c r="H1126" s="150"/>
      <c r="J1126" s="130"/>
    </row>
    <row r="1127" spans="1:10" s="120" customFormat="1">
      <c r="A1127" s="130"/>
      <c r="B1127" s="123"/>
      <c r="C1127" s="130"/>
      <c r="F1127" s="123"/>
      <c r="G1127" s="180"/>
      <c r="H1127" s="150"/>
      <c r="J1127" s="130"/>
    </row>
    <row r="1128" spans="1:10" s="120" customFormat="1">
      <c r="A1128" s="130"/>
      <c r="B1128" s="123"/>
      <c r="C1128" s="130"/>
      <c r="F1128" s="123"/>
      <c r="G1128" s="180"/>
      <c r="H1128" s="150"/>
      <c r="J1128" s="130"/>
    </row>
    <row r="1129" spans="1:10" s="120" customFormat="1">
      <c r="A1129" s="130"/>
      <c r="B1129" s="123"/>
      <c r="C1129" s="130"/>
      <c r="F1129" s="123"/>
      <c r="G1129" s="180"/>
      <c r="H1129" s="150"/>
      <c r="J1129" s="130"/>
    </row>
    <row r="1130" spans="1:10" s="120" customFormat="1">
      <c r="A1130" s="130"/>
      <c r="B1130" s="123"/>
      <c r="C1130" s="130"/>
      <c r="F1130" s="123"/>
      <c r="G1130" s="180"/>
      <c r="H1130" s="150"/>
      <c r="J1130" s="130"/>
    </row>
    <row r="1131" spans="1:10" s="120" customFormat="1">
      <c r="A1131" s="130"/>
      <c r="B1131" s="123"/>
      <c r="C1131" s="130"/>
      <c r="F1131" s="123"/>
      <c r="G1131" s="180"/>
      <c r="H1131" s="150"/>
      <c r="J1131" s="130"/>
    </row>
    <row r="1132" spans="1:10" s="120" customFormat="1">
      <c r="A1132" s="130"/>
      <c r="B1132" s="123"/>
      <c r="C1132" s="130"/>
      <c r="F1132" s="123"/>
      <c r="G1132" s="180"/>
      <c r="H1132" s="150"/>
      <c r="J1132" s="130"/>
    </row>
    <row r="1133" spans="1:10" s="120" customFormat="1">
      <c r="A1133" s="130"/>
      <c r="B1133" s="123"/>
      <c r="C1133" s="130"/>
      <c r="F1133" s="123"/>
      <c r="G1133" s="180"/>
      <c r="H1133" s="150"/>
      <c r="J1133" s="130"/>
    </row>
    <row r="1134" spans="1:10" s="120" customFormat="1">
      <c r="A1134" s="130"/>
      <c r="B1134" s="123"/>
      <c r="C1134" s="130"/>
      <c r="F1134" s="123"/>
      <c r="G1134" s="180"/>
      <c r="H1134" s="150"/>
      <c r="J1134" s="130"/>
    </row>
    <row r="1135" spans="1:10" s="120" customFormat="1">
      <c r="A1135" s="130"/>
      <c r="B1135" s="123"/>
      <c r="C1135" s="130"/>
      <c r="F1135" s="123"/>
      <c r="G1135" s="180"/>
      <c r="H1135" s="150"/>
      <c r="J1135" s="130"/>
    </row>
    <row r="1136" spans="1:10" s="120" customFormat="1">
      <c r="A1136" s="130"/>
      <c r="B1136" s="123"/>
      <c r="C1136" s="130"/>
      <c r="F1136" s="123"/>
      <c r="G1136" s="180"/>
      <c r="H1136" s="150"/>
      <c r="J1136" s="130"/>
    </row>
    <row r="1137" spans="1:10" s="120" customFormat="1">
      <c r="A1137" s="130"/>
      <c r="B1137" s="123"/>
      <c r="C1137" s="130"/>
      <c r="F1137" s="123"/>
      <c r="G1137" s="180"/>
      <c r="H1137" s="150"/>
      <c r="J1137" s="130"/>
    </row>
    <row r="1138" spans="1:10" s="120" customFormat="1">
      <c r="A1138" s="130"/>
      <c r="B1138" s="123"/>
      <c r="C1138" s="130"/>
      <c r="F1138" s="123"/>
      <c r="G1138" s="180"/>
      <c r="H1138" s="150"/>
      <c r="J1138" s="130"/>
    </row>
    <row r="1139" spans="1:10" s="120" customFormat="1">
      <c r="A1139" s="130"/>
      <c r="B1139" s="123"/>
      <c r="C1139" s="130"/>
      <c r="F1139" s="123"/>
      <c r="G1139" s="180"/>
      <c r="H1139" s="150"/>
      <c r="J1139" s="130"/>
    </row>
    <row r="1140" spans="1:10" s="120" customFormat="1">
      <c r="A1140" s="130"/>
      <c r="B1140" s="123"/>
      <c r="C1140" s="130"/>
      <c r="F1140" s="123"/>
      <c r="G1140" s="180"/>
      <c r="H1140" s="150"/>
      <c r="J1140" s="130"/>
    </row>
    <row r="1141" spans="1:10" s="120" customFormat="1">
      <c r="A1141" s="130"/>
      <c r="B1141" s="123"/>
      <c r="C1141" s="130"/>
      <c r="F1141" s="123"/>
      <c r="G1141" s="180"/>
      <c r="H1141" s="150"/>
      <c r="J1141" s="130"/>
    </row>
    <row r="1142" spans="1:10" s="120" customFormat="1">
      <c r="A1142" s="130"/>
      <c r="B1142" s="123"/>
      <c r="C1142" s="130"/>
      <c r="F1142" s="123"/>
      <c r="G1142" s="180"/>
      <c r="H1142" s="150"/>
      <c r="J1142" s="130"/>
    </row>
    <row r="1143" spans="1:10" s="120" customFormat="1">
      <c r="A1143" s="130"/>
      <c r="B1143" s="123"/>
      <c r="C1143" s="130"/>
      <c r="F1143" s="123"/>
      <c r="G1143" s="180"/>
      <c r="H1143" s="150"/>
      <c r="J1143" s="130"/>
    </row>
    <row r="1144" spans="1:10" s="120" customFormat="1">
      <c r="A1144" s="130"/>
      <c r="B1144" s="123"/>
      <c r="C1144" s="130"/>
      <c r="F1144" s="123"/>
      <c r="G1144" s="180"/>
      <c r="H1144" s="150"/>
      <c r="J1144" s="130"/>
    </row>
    <row r="1145" spans="1:10" s="120" customFormat="1">
      <c r="A1145" s="130"/>
      <c r="B1145" s="123"/>
      <c r="C1145" s="130"/>
      <c r="F1145" s="123"/>
      <c r="G1145" s="180"/>
      <c r="H1145" s="150"/>
      <c r="J1145" s="130"/>
    </row>
    <row r="1146" spans="1:10" s="120" customFormat="1">
      <c r="A1146" s="130"/>
      <c r="B1146" s="123"/>
      <c r="C1146" s="130"/>
      <c r="F1146" s="123"/>
      <c r="G1146" s="180"/>
      <c r="H1146" s="150"/>
      <c r="J1146" s="130"/>
    </row>
    <row r="1147" spans="1:10" s="120" customFormat="1">
      <c r="A1147" s="130"/>
      <c r="B1147" s="123"/>
      <c r="C1147" s="130"/>
      <c r="F1147" s="123"/>
      <c r="G1147" s="180"/>
      <c r="H1147" s="150"/>
      <c r="J1147" s="130"/>
    </row>
    <row r="1148" spans="1:10" s="120" customFormat="1">
      <c r="A1148" s="130"/>
      <c r="B1148" s="123"/>
      <c r="C1148" s="130"/>
      <c r="F1148" s="123"/>
      <c r="G1148" s="180"/>
      <c r="H1148" s="150"/>
      <c r="J1148" s="130"/>
    </row>
    <row r="1149" spans="1:10" s="120" customFormat="1">
      <c r="A1149" s="130"/>
      <c r="B1149" s="123"/>
      <c r="C1149" s="130"/>
      <c r="F1149" s="123"/>
      <c r="G1149" s="180"/>
      <c r="H1149" s="150"/>
      <c r="J1149" s="130"/>
    </row>
    <row r="1150" spans="1:10" s="120" customFormat="1">
      <c r="A1150" s="130"/>
      <c r="B1150" s="123"/>
      <c r="C1150" s="130"/>
      <c r="F1150" s="123"/>
      <c r="G1150" s="180"/>
      <c r="H1150" s="150"/>
      <c r="J1150" s="130"/>
    </row>
    <row r="1151" spans="1:10" s="120" customFormat="1">
      <c r="A1151" s="130"/>
      <c r="B1151" s="123"/>
      <c r="C1151" s="130"/>
      <c r="F1151" s="123"/>
      <c r="G1151" s="180"/>
      <c r="H1151" s="150"/>
      <c r="J1151" s="130"/>
    </row>
    <row r="1152" spans="1:10" s="120" customFormat="1">
      <c r="A1152" s="130"/>
      <c r="B1152" s="123"/>
      <c r="C1152" s="130"/>
      <c r="F1152" s="123"/>
      <c r="G1152" s="180"/>
      <c r="H1152" s="150"/>
      <c r="J1152" s="130"/>
    </row>
    <row r="1153" spans="1:10" s="120" customFormat="1">
      <c r="A1153" s="130"/>
      <c r="B1153" s="123"/>
      <c r="C1153" s="130"/>
      <c r="F1153" s="123"/>
      <c r="G1153" s="180"/>
      <c r="H1153" s="150"/>
      <c r="J1153" s="130"/>
    </row>
    <row r="1154" spans="1:10" s="120" customFormat="1">
      <c r="A1154" s="130"/>
      <c r="B1154" s="123"/>
      <c r="C1154" s="130"/>
      <c r="F1154" s="123"/>
      <c r="G1154" s="180"/>
      <c r="H1154" s="150"/>
      <c r="J1154" s="130"/>
    </row>
    <row r="1155" spans="1:10" s="120" customFormat="1">
      <c r="A1155" s="130"/>
      <c r="B1155" s="123"/>
      <c r="C1155" s="130"/>
      <c r="F1155" s="123"/>
      <c r="G1155" s="180"/>
      <c r="H1155" s="150"/>
      <c r="J1155" s="130"/>
    </row>
    <row r="1156" spans="1:10" s="120" customFormat="1">
      <c r="A1156" s="130"/>
      <c r="B1156" s="123"/>
      <c r="C1156" s="130"/>
      <c r="F1156" s="123"/>
      <c r="G1156" s="180"/>
      <c r="H1156" s="150"/>
      <c r="J1156" s="130"/>
    </row>
    <row r="1157" spans="1:10" s="120" customFormat="1">
      <c r="A1157" s="130"/>
      <c r="B1157" s="123"/>
      <c r="C1157" s="130"/>
      <c r="F1157" s="123"/>
      <c r="G1157" s="180"/>
      <c r="H1157" s="150"/>
      <c r="J1157" s="130"/>
    </row>
    <row r="1158" spans="1:10" s="120" customFormat="1">
      <c r="A1158" s="130"/>
      <c r="B1158" s="123"/>
      <c r="C1158" s="130"/>
      <c r="F1158" s="123"/>
      <c r="G1158" s="180"/>
      <c r="H1158" s="150"/>
      <c r="J1158" s="130"/>
    </row>
    <row r="1159" spans="1:10" s="120" customFormat="1">
      <c r="A1159" s="130"/>
      <c r="B1159" s="123"/>
      <c r="C1159" s="130"/>
      <c r="F1159" s="123"/>
      <c r="G1159" s="180"/>
      <c r="H1159" s="150"/>
      <c r="J1159" s="130"/>
    </row>
    <row r="1160" spans="1:10" s="120" customFormat="1">
      <c r="A1160" s="130"/>
      <c r="B1160" s="123"/>
      <c r="C1160" s="130"/>
      <c r="F1160" s="123"/>
      <c r="G1160" s="180"/>
      <c r="H1160" s="150"/>
      <c r="J1160" s="130"/>
    </row>
    <row r="1161" spans="1:10" s="120" customFormat="1">
      <c r="A1161" s="130"/>
      <c r="B1161" s="123"/>
      <c r="C1161" s="130"/>
      <c r="F1161" s="123"/>
      <c r="G1161" s="180"/>
      <c r="H1161" s="150"/>
      <c r="J1161" s="130"/>
    </row>
    <row r="1162" spans="1:10" s="120" customFormat="1">
      <c r="A1162" s="130"/>
      <c r="B1162" s="123"/>
      <c r="C1162" s="130"/>
      <c r="F1162" s="123"/>
      <c r="G1162" s="180"/>
      <c r="H1162" s="150"/>
      <c r="J1162" s="130"/>
    </row>
    <row r="1163" spans="1:10" s="120" customFormat="1">
      <c r="A1163" s="130"/>
      <c r="B1163" s="123"/>
      <c r="C1163" s="130"/>
      <c r="F1163" s="123"/>
      <c r="G1163" s="180"/>
      <c r="H1163" s="150"/>
      <c r="J1163" s="130"/>
    </row>
    <row r="1164" spans="1:10" s="120" customFormat="1">
      <c r="A1164" s="130"/>
      <c r="B1164" s="123"/>
      <c r="C1164" s="130"/>
      <c r="F1164" s="123"/>
      <c r="G1164" s="180"/>
      <c r="H1164" s="150"/>
      <c r="J1164" s="130"/>
    </row>
    <row r="1165" spans="1:10" s="120" customFormat="1">
      <c r="A1165" s="130"/>
      <c r="B1165" s="123"/>
      <c r="C1165" s="130"/>
      <c r="F1165" s="123"/>
      <c r="G1165" s="180"/>
      <c r="H1165" s="150"/>
      <c r="J1165" s="130"/>
    </row>
    <row r="1166" spans="1:10" s="120" customFormat="1">
      <c r="A1166" s="130"/>
      <c r="B1166" s="123"/>
      <c r="C1166" s="130"/>
      <c r="F1166" s="123"/>
      <c r="G1166" s="180"/>
      <c r="H1166" s="150"/>
      <c r="J1166" s="130"/>
    </row>
    <row r="1167" spans="1:10" s="120" customFormat="1">
      <c r="A1167" s="130"/>
      <c r="B1167" s="123"/>
      <c r="C1167" s="130"/>
      <c r="F1167" s="123"/>
      <c r="G1167" s="180"/>
      <c r="H1167" s="150"/>
      <c r="J1167" s="130"/>
    </row>
    <row r="1168" spans="1:10" s="120" customFormat="1">
      <c r="A1168" s="130"/>
      <c r="B1168" s="123"/>
      <c r="C1168" s="130"/>
      <c r="F1168" s="123"/>
      <c r="G1168" s="180"/>
      <c r="H1168" s="150"/>
      <c r="J1168" s="130"/>
    </row>
    <row r="1169" spans="1:10" s="120" customFormat="1">
      <c r="A1169" s="130"/>
      <c r="B1169" s="123"/>
      <c r="C1169" s="130"/>
      <c r="F1169" s="123"/>
      <c r="G1169" s="180"/>
      <c r="H1169" s="150"/>
      <c r="J1169" s="130"/>
    </row>
    <row r="1170" spans="1:10" s="120" customFormat="1">
      <c r="A1170" s="130"/>
      <c r="B1170" s="123"/>
      <c r="C1170" s="130"/>
      <c r="F1170" s="123"/>
      <c r="G1170" s="180"/>
      <c r="H1170" s="150"/>
      <c r="J1170" s="130"/>
    </row>
    <row r="1171" spans="1:10" s="120" customFormat="1">
      <c r="A1171" s="130"/>
      <c r="B1171" s="123"/>
      <c r="C1171" s="130"/>
      <c r="F1171" s="123"/>
      <c r="G1171" s="180"/>
      <c r="H1171" s="150"/>
      <c r="J1171" s="130"/>
    </row>
    <row r="1172" spans="1:10" s="120" customFormat="1">
      <c r="A1172" s="130"/>
      <c r="B1172" s="123"/>
      <c r="C1172" s="130"/>
      <c r="F1172" s="123"/>
      <c r="G1172" s="180"/>
      <c r="H1172" s="150"/>
      <c r="J1172" s="130"/>
    </row>
    <row r="1173" spans="1:10" s="120" customFormat="1">
      <c r="A1173" s="130"/>
      <c r="B1173" s="123"/>
      <c r="C1173" s="130"/>
      <c r="F1173" s="123"/>
      <c r="G1173" s="180"/>
      <c r="H1173" s="150"/>
      <c r="J1173" s="130"/>
    </row>
    <row r="1174" spans="1:10" s="120" customFormat="1">
      <c r="A1174" s="130"/>
      <c r="B1174" s="123"/>
      <c r="C1174" s="130"/>
      <c r="F1174" s="123"/>
      <c r="G1174" s="180"/>
      <c r="H1174" s="150"/>
      <c r="J1174" s="130"/>
    </row>
    <row r="1175" spans="1:10" s="120" customFormat="1">
      <c r="A1175" s="130"/>
      <c r="B1175" s="123"/>
      <c r="C1175" s="130"/>
      <c r="F1175" s="123"/>
      <c r="G1175" s="180"/>
      <c r="H1175" s="150"/>
      <c r="J1175" s="130"/>
    </row>
    <row r="1176" spans="1:10" s="120" customFormat="1">
      <c r="A1176" s="130"/>
      <c r="B1176" s="123"/>
      <c r="C1176" s="130"/>
      <c r="F1176" s="123"/>
      <c r="G1176" s="180"/>
      <c r="H1176" s="150"/>
      <c r="J1176" s="130"/>
    </row>
    <row r="1177" spans="1:10" s="120" customFormat="1">
      <c r="A1177" s="130"/>
      <c r="B1177" s="123"/>
      <c r="C1177" s="130"/>
      <c r="F1177" s="123"/>
      <c r="G1177" s="180"/>
      <c r="H1177" s="150"/>
      <c r="J1177" s="130"/>
    </row>
    <row r="1178" spans="1:10" s="120" customFormat="1">
      <c r="A1178" s="130"/>
      <c r="B1178" s="123"/>
      <c r="C1178" s="130"/>
      <c r="F1178" s="123"/>
      <c r="G1178" s="180"/>
      <c r="H1178" s="150"/>
      <c r="J1178" s="130"/>
    </row>
    <row r="1179" spans="1:10" s="120" customFormat="1">
      <c r="A1179" s="130"/>
      <c r="B1179" s="123"/>
      <c r="C1179" s="130"/>
      <c r="F1179" s="123"/>
      <c r="G1179" s="180"/>
      <c r="H1179" s="150"/>
      <c r="J1179" s="130"/>
    </row>
    <row r="1180" spans="1:10" s="120" customFormat="1">
      <c r="A1180" s="130"/>
      <c r="B1180" s="123"/>
      <c r="C1180" s="130"/>
      <c r="F1180" s="123"/>
      <c r="G1180" s="180"/>
      <c r="H1180" s="150"/>
      <c r="J1180" s="130"/>
    </row>
    <row r="1181" spans="1:10" s="120" customFormat="1">
      <c r="A1181" s="130"/>
      <c r="B1181" s="123"/>
      <c r="C1181" s="130"/>
      <c r="F1181" s="123"/>
      <c r="G1181" s="180"/>
      <c r="H1181" s="150"/>
      <c r="J1181" s="130"/>
    </row>
    <row r="1182" spans="1:10" s="120" customFormat="1">
      <c r="A1182" s="130"/>
      <c r="B1182" s="123"/>
      <c r="C1182" s="130"/>
      <c r="F1182" s="123"/>
      <c r="G1182" s="180"/>
      <c r="H1182" s="150"/>
      <c r="J1182" s="130"/>
    </row>
    <row r="1183" spans="1:10" s="120" customFormat="1">
      <c r="A1183" s="130"/>
      <c r="B1183" s="123"/>
      <c r="C1183" s="130"/>
      <c r="F1183" s="123"/>
      <c r="G1183" s="180"/>
      <c r="H1183" s="150"/>
      <c r="J1183" s="130"/>
    </row>
    <row r="1184" spans="1:10" s="120" customFormat="1">
      <c r="A1184" s="130"/>
      <c r="B1184" s="123"/>
      <c r="C1184" s="130"/>
      <c r="F1184" s="123"/>
      <c r="G1184" s="180"/>
      <c r="H1184" s="150"/>
      <c r="J1184" s="130"/>
    </row>
    <row r="1185" spans="1:10" s="120" customFormat="1">
      <c r="A1185" s="130"/>
      <c r="B1185" s="123"/>
      <c r="C1185" s="130"/>
      <c r="F1185" s="123"/>
      <c r="G1185" s="180"/>
      <c r="H1185" s="150"/>
      <c r="J1185" s="130"/>
    </row>
    <row r="1186" spans="1:10" s="120" customFormat="1">
      <c r="A1186" s="130"/>
      <c r="B1186" s="123"/>
      <c r="C1186" s="130"/>
      <c r="F1186" s="123"/>
      <c r="G1186" s="180"/>
      <c r="H1186" s="150"/>
      <c r="J1186" s="130"/>
    </row>
    <row r="1187" spans="1:10" s="120" customFormat="1">
      <c r="A1187" s="130"/>
      <c r="B1187" s="123"/>
      <c r="C1187" s="130"/>
      <c r="F1187" s="123"/>
      <c r="G1187" s="180"/>
      <c r="H1187" s="150"/>
      <c r="J1187" s="130"/>
    </row>
    <row r="1188" spans="1:10" s="120" customFormat="1">
      <c r="A1188" s="130"/>
      <c r="B1188" s="123"/>
      <c r="C1188" s="130"/>
      <c r="F1188" s="123"/>
      <c r="G1188" s="180"/>
      <c r="H1188" s="150"/>
      <c r="J1188" s="130"/>
    </row>
    <row r="1189" spans="1:10" s="120" customFormat="1">
      <c r="A1189" s="130"/>
      <c r="B1189" s="123"/>
      <c r="C1189" s="130"/>
      <c r="F1189" s="123"/>
      <c r="G1189" s="180"/>
      <c r="H1189" s="150"/>
      <c r="J1189" s="130"/>
    </row>
    <row r="1190" spans="1:10" s="120" customFormat="1">
      <c r="A1190" s="130"/>
      <c r="B1190" s="123"/>
      <c r="C1190" s="130"/>
      <c r="F1190" s="123"/>
      <c r="G1190" s="180"/>
      <c r="H1190" s="150"/>
      <c r="J1190" s="130"/>
    </row>
    <row r="1191" spans="1:10" s="120" customFormat="1">
      <c r="A1191" s="130"/>
      <c r="B1191" s="123"/>
      <c r="C1191" s="130"/>
      <c r="F1191" s="123"/>
      <c r="G1191" s="180"/>
      <c r="H1191" s="150"/>
      <c r="J1191" s="130"/>
    </row>
    <row r="1192" spans="1:10" s="120" customFormat="1">
      <c r="A1192" s="130"/>
      <c r="B1192" s="123"/>
      <c r="C1192" s="130"/>
      <c r="F1192" s="123"/>
      <c r="G1192" s="180"/>
      <c r="H1192" s="150"/>
      <c r="J1192" s="130"/>
    </row>
    <row r="1193" spans="1:10" s="120" customFormat="1">
      <c r="A1193" s="130"/>
      <c r="B1193" s="123"/>
      <c r="C1193" s="130"/>
      <c r="F1193" s="123"/>
      <c r="G1193" s="180"/>
      <c r="H1193" s="150"/>
      <c r="J1193" s="130"/>
    </row>
    <row r="1194" spans="1:10" s="120" customFormat="1">
      <c r="A1194" s="130"/>
      <c r="B1194" s="123"/>
      <c r="C1194" s="130"/>
      <c r="F1194" s="123"/>
      <c r="G1194" s="180"/>
      <c r="H1194" s="150"/>
      <c r="J1194" s="130"/>
    </row>
    <row r="1195" spans="1:10" s="120" customFormat="1">
      <c r="A1195" s="130"/>
      <c r="B1195" s="123"/>
      <c r="C1195" s="130"/>
      <c r="F1195" s="123"/>
      <c r="G1195" s="180"/>
      <c r="H1195" s="150"/>
      <c r="J1195" s="130"/>
    </row>
    <row r="1196" spans="1:10" s="120" customFormat="1">
      <c r="A1196" s="130"/>
      <c r="B1196" s="123"/>
      <c r="C1196" s="130"/>
      <c r="F1196" s="123"/>
      <c r="G1196" s="180"/>
      <c r="H1196" s="150"/>
      <c r="J1196" s="130"/>
    </row>
    <row r="1197" spans="1:10" s="120" customFormat="1">
      <c r="A1197" s="130"/>
      <c r="B1197" s="123"/>
      <c r="C1197" s="130"/>
      <c r="F1197" s="123"/>
      <c r="G1197" s="180"/>
      <c r="H1197" s="150"/>
      <c r="J1197" s="130"/>
    </row>
    <row r="1198" spans="1:10" s="120" customFormat="1">
      <c r="A1198" s="130"/>
      <c r="B1198" s="123"/>
      <c r="C1198" s="130"/>
      <c r="F1198" s="123"/>
      <c r="G1198" s="180"/>
      <c r="H1198" s="150"/>
      <c r="J1198" s="130"/>
    </row>
    <row r="1199" spans="1:10" s="120" customFormat="1">
      <c r="A1199" s="130"/>
      <c r="B1199" s="123"/>
      <c r="C1199" s="130"/>
      <c r="F1199" s="123"/>
      <c r="G1199" s="180"/>
      <c r="H1199" s="150"/>
      <c r="J1199" s="130"/>
    </row>
    <row r="1200" spans="1:10" s="120" customFormat="1">
      <c r="A1200" s="130"/>
      <c r="B1200" s="123"/>
      <c r="C1200" s="130"/>
      <c r="F1200" s="123"/>
      <c r="G1200" s="180"/>
      <c r="H1200" s="150"/>
      <c r="J1200" s="130"/>
    </row>
    <row r="1201" spans="1:10" s="120" customFormat="1">
      <c r="A1201" s="130"/>
      <c r="B1201" s="123"/>
      <c r="C1201" s="130"/>
      <c r="F1201" s="123"/>
      <c r="G1201" s="180"/>
      <c r="H1201" s="150"/>
      <c r="J1201" s="130"/>
    </row>
    <row r="1202" spans="1:10" s="120" customFormat="1">
      <c r="A1202" s="130"/>
      <c r="B1202" s="123"/>
      <c r="C1202" s="130"/>
      <c r="F1202" s="123"/>
      <c r="G1202" s="180"/>
      <c r="H1202" s="150"/>
      <c r="J1202" s="130"/>
    </row>
    <row r="1203" spans="1:10" s="120" customFormat="1">
      <c r="A1203" s="130"/>
      <c r="B1203" s="123"/>
      <c r="C1203" s="130"/>
      <c r="F1203" s="123"/>
      <c r="G1203" s="180"/>
      <c r="H1203" s="150"/>
      <c r="J1203" s="130"/>
    </row>
    <row r="1204" spans="1:10" s="120" customFormat="1">
      <c r="A1204" s="130"/>
      <c r="B1204" s="123"/>
      <c r="C1204" s="130"/>
      <c r="F1204" s="123"/>
      <c r="G1204" s="180"/>
      <c r="H1204" s="150"/>
      <c r="J1204" s="130"/>
    </row>
    <row r="1205" spans="1:10" s="120" customFormat="1">
      <c r="A1205" s="130"/>
      <c r="B1205" s="123"/>
      <c r="C1205" s="130"/>
      <c r="F1205" s="123"/>
      <c r="G1205" s="180"/>
      <c r="H1205" s="150"/>
      <c r="J1205" s="130"/>
    </row>
    <row r="1206" spans="1:10" s="120" customFormat="1">
      <c r="A1206" s="130"/>
      <c r="B1206" s="123"/>
      <c r="C1206" s="130"/>
      <c r="F1206" s="123"/>
      <c r="G1206" s="180"/>
      <c r="H1206" s="150"/>
      <c r="J1206" s="130"/>
    </row>
    <row r="1207" spans="1:10" s="120" customFormat="1">
      <c r="A1207" s="130"/>
      <c r="B1207" s="123"/>
      <c r="C1207" s="130"/>
      <c r="F1207" s="123"/>
      <c r="G1207" s="180"/>
      <c r="H1207" s="150"/>
      <c r="J1207" s="130"/>
    </row>
    <row r="1208" spans="1:10" s="120" customFormat="1">
      <c r="A1208" s="130"/>
      <c r="B1208" s="123"/>
      <c r="C1208" s="130"/>
      <c r="F1208" s="123"/>
      <c r="G1208" s="180"/>
      <c r="H1208" s="150"/>
      <c r="J1208" s="130"/>
    </row>
    <row r="1209" spans="1:10" s="120" customFormat="1">
      <c r="A1209" s="130"/>
      <c r="B1209" s="123"/>
      <c r="C1209" s="130"/>
      <c r="F1209" s="123"/>
      <c r="G1209" s="180"/>
      <c r="H1209" s="150"/>
      <c r="J1209" s="130"/>
    </row>
    <row r="1210" spans="1:10" s="120" customFormat="1">
      <c r="A1210" s="130"/>
      <c r="B1210" s="123"/>
      <c r="C1210" s="130"/>
      <c r="F1210" s="123"/>
      <c r="G1210" s="180"/>
      <c r="H1210" s="150"/>
      <c r="J1210" s="130"/>
    </row>
    <row r="1211" spans="1:10" s="120" customFormat="1">
      <c r="A1211" s="130"/>
      <c r="B1211" s="123"/>
      <c r="C1211" s="130"/>
      <c r="F1211" s="123"/>
      <c r="G1211" s="180"/>
      <c r="H1211" s="150"/>
      <c r="J1211" s="130"/>
    </row>
    <row r="1212" spans="1:10" s="120" customFormat="1">
      <c r="A1212" s="130"/>
      <c r="B1212" s="123"/>
      <c r="C1212" s="130"/>
      <c r="F1212" s="123"/>
      <c r="G1212" s="180"/>
      <c r="H1212" s="150"/>
      <c r="J1212" s="130"/>
    </row>
    <row r="1213" spans="1:10" s="120" customFormat="1">
      <c r="A1213" s="130"/>
      <c r="B1213" s="123"/>
      <c r="C1213" s="130"/>
      <c r="F1213" s="123"/>
      <c r="G1213" s="180"/>
      <c r="H1213" s="150"/>
      <c r="J1213" s="130"/>
    </row>
    <row r="1214" spans="1:10" s="120" customFormat="1">
      <c r="A1214" s="130"/>
      <c r="B1214" s="123"/>
      <c r="C1214" s="130"/>
      <c r="F1214" s="123"/>
      <c r="G1214" s="180"/>
      <c r="H1214" s="150"/>
      <c r="J1214" s="130"/>
    </row>
    <row r="1215" spans="1:10" s="120" customFormat="1">
      <c r="A1215" s="130"/>
      <c r="B1215" s="123"/>
      <c r="C1215" s="130"/>
      <c r="F1215" s="123"/>
      <c r="G1215" s="180"/>
      <c r="H1215" s="150"/>
      <c r="J1215" s="130"/>
    </row>
    <row r="1216" spans="1:10" s="120" customFormat="1">
      <c r="A1216" s="130"/>
      <c r="B1216" s="123"/>
      <c r="C1216" s="130"/>
      <c r="F1216" s="123"/>
      <c r="G1216" s="180"/>
      <c r="H1216" s="150"/>
      <c r="J1216" s="130"/>
    </row>
    <row r="1217" spans="1:10" s="120" customFormat="1">
      <c r="A1217" s="130"/>
      <c r="B1217" s="123"/>
      <c r="C1217" s="130"/>
      <c r="F1217" s="123"/>
      <c r="G1217" s="180"/>
      <c r="H1217" s="150"/>
      <c r="J1217" s="130"/>
    </row>
    <row r="1218" spans="1:10" s="120" customFormat="1">
      <c r="A1218" s="130"/>
      <c r="B1218" s="123"/>
      <c r="C1218" s="130"/>
      <c r="F1218" s="123"/>
      <c r="G1218" s="180"/>
      <c r="H1218" s="150"/>
      <c r="J1218" s="130"/>
    </row>
    <row r="1219" spans="1:10" s="120" customFormat="1">
      <c r="A1219" s="130"/>
      <c r="B1219" s="123"/>
      <c r="C1219" s="130"/>
      <c r="F1219" s="123"/>
      <c r="G1219" s="180"/>
      <c r="H1219" s="150"/>
      <c r="J1219" s="130"/>
    </row>
    <row r="1220" spans="1:10" s="120" customFormat="1">
      <c r="A1220" s="130"/>
      <c r="B1220" s="123"/>
      <c r="C1220" s="130"/>
      <c r="F1220" s="123"/>
      <c r="G1220" s="180"/>
      <c r="H1220" s="150"/>
      <c r="J1220" s="130"/>
    </row>
    <row r="1221" spans="1:10" s="120" customFormat="1">
      <c r="A1221" s="130"/>
      <c r="B1221" s="123"/>
      <c r="C1221" s="130"/>
      <c r="F1221" s="123"/>
      <c r="G1221" s="180"/>
      <c r="H1221" s="150"/>
      <c r="J1221" s="130"/>
    </row>
    <row r="1222" spans="1:10" s="120" customFormat="1">
      <c r="A1222" s="130"/>
      <c r="B1222" s="123"/>
      <c r="C1222" s="130"/>
      <c r="F1222" s="123"/>
      <c r="G1222" s="180"/>
      <c r="H1222" s="150"/>
      <c r="J1222" s="130"/>
    </row>
    <row r="1223" spans="1:10" s="120" customFormat="1">
      <c r="A1223" s="130"/>
      <c r="B1223" s="123"/>
      <c r="C1223" s="130"/>
      <c r="F1223" s="123"/>
      <c r="G1223" s="180"/>
      <c r="H1223" s="150"/>
      <c r="J1223" s="130"/>
    </row>
    <row r="1224" spans="1:10" s="120" customFormat="1">
      <c r="A1224" s="130"/>
      <c r="B1224" s="123"/>
      <c r="C1224" s="130"/>
      <c r="F1224" s="123"/>
      <c r="G1224" s="180"/>
      <c r="H1224" s="150"/>
      <c r="J1224" s="130"/>
    </row>
    <row r="1225" spans="1:10" s="120" customFormat="1">
      <c r="A1225" s="130"/>
      <c r="B1225" s="123"/>
      <c r="C1225" s="130"/>
      <c r="F1225" s="123"/>
      <c r="G1225" s="180"/>
      <c r="H1225" s="150"/>
      <c r="J1225" s="130"/>
    </row>
    <row r="1226" spans="1:10" s="120" customFormat="1">
      <c r="A1226" s="130"/>
      <c r="B1226" s="123"/>
      <c r="C1226" s="130"/>
      <c r="F1226" s="123"/>
      <c r="G1226" s="180"/>
      <c r="H1226" s="150"/>
      <c r="J1226" s="130"/>
    </row>
    <row r="1227" spans="1:10" s="120" customFormat="1">
      <c r="A1227" s="130"/>
      <c r="B1227" s="123"/>
      <c r="C1227" s="130"/>
      <c r="F1227" s="123"/>
      <c r="G1227" s="180"/>
      <c r="H1227" s="150"/>
      <c r="J1227" s="130"/>
    </row>
    <row r="1228" spans="1:10" s="120" customFormat="1">
      <c r="A1228" s="130"/>
      <c r="B1228" s="123"/>
      <c r="C1228" s="130"/>
      <c r="F1228" s="123"/>
      <c r="G1228" s="180"/>
      <c r="H1228" s="150"/>
      <c r="J1228" s="130"/>
    </row>
    <row r="1229" spans="1:10" s="120" customFormat="1">
      <c r="A1229" s="130"/>
      <c r="B1229" s="123"/>
      <c r="C1229" s="130"/>
      <c r="F1229" s="123"/>
      <c r="G1229" s="180"/>
      <c r="H1229" s="150"/>
      <c r="J1229" s="130"/>
    </row>
    <row r="1230" spans="1:10" s="120" customFormat="1">
      <c r="A1230" s="130"/>
      <c r="B1230" s="123"/>
      <c r="C1230" s="130"/>
      <c r="F1230" s="123"/>
      <c r="G1230" s="180"/>
      <c r="H1230" s="150"/>
      <c r="J1230" s="130"/>
    </row>
    <row r="1231" spans="1:10" s="120" customFormat="1">
      <c r="A1231" s="130"/>
      <c r="B1231" s="123"/>
      <c r="C1231" s="130"/>
      <c r="F1231" s="123"/>
      <c r="G1231" s="180"/>
      <c r="H1231" s="150"/>
      <c r="J1231" s="130"/>
    </row>
    <row r="1232" spans="1:10" s="120" customFormat="1">
      <c r="A1232" s="130"/>
      <c r="B1232" s="123"/>
      <c r="C1232" s="130"/>
      <c r="F1232" s="123"/>
      <c r="G1232" s="180"/>
      <c r="H1232" s="150"/>
      <c r="J1232" s="130"/>
    </row>
    <row r="1233" spans="1:10" s="120" customFormat="1">
      <c r="A1233" s="130"/>
      <c r="B1233" s="123"/>
      <c r="C1233" s="130"/>
      <c r="F1233" s="123"/>
      <c r="G1233" s="180"/>
      <c r="H1233" s="150"/>
      <c r="J1233" s="130"/>
    </row>
    <row r="1234" spans="1:10" s="120" customFormat="1">
      <c r="A1234" s="130"/>
      <c r="B1234" s="123"/>
      <c r="C1234" s="130"/>
      <c r="F1234" s="123"/>
      <c r="G1234" s="180"/>
      <c r="H1234" s="150"/>
      <c r="J1234" s="130"/>
    </row>
    <row r="1235" spans="1:10" s="120" customFormat="1">
      <c r="A1235" s="130"/>
      <c r="B1235" s="123"/>
      <c r="C1235" s="130"/>
      <c r="F1235" s="123"/>
      <c r="G1235" s="180"/>
      <c r="H1235" s="150"/>
      <c r="J1235" s="130"/>
    </row>
    <row r="1236" spans="1:10" s="120" customFormat="1">
      <c r="A1236" s="130"/>
      <c r="B1236" s="123"/>
      <c r="C1236" s="130"/>
      <c r="F1236" s="123"/>
      <c r="G1236" s="180"/>
      <c r="H1236" s="150"/>
      <c r="J1236" s="130"/>
    </row>
    <row r="1237" spans="1:10" s="120" customFormat="1">
      <c r="A1237" s="130"/>
      <c r="B1237" s="123"/>
      <c r="C1237" s="130"/>
      <c r="F1237" s="123"/>
      <c r="G1237" s="180"/>
      <c r="H1237" s="150"/>
      <c r="J1237" s="130"/>
    </row>
    <row r="1238" spans="1:10" s="120" customFormat="1">
      <c r="A1238" s="130"/>
      <c r="B1238" s="123"/>
      <c r="C1238" s="130"/>
      <c r="F1238" s="123"/>
      <c r="G1238" s="180"/>
      <c r="H1238" s="150"/>
      <c r="J1238" s="130"/>
    </row>
    <row r="1239" spans="1:10" s="120" customFormat="1">
      <c r="A1239" s="130"/>
      <c r="B1239" s="123"/>
      <c r="C1239" s="130"/>
      <c r="F1239" s="123"/>
      <c r="G1239" s="180"/>
      <c r="H1239" s="150"/>
      <c r="J1239" s="130"/>
    </row>
    <row r="1240" spans="1:10" s="120" customFormat="1">
      <c r="A1240" s="130"/>
      <c r="B1240" s="123"/>
      <c r="C1240" s="130"/>
      <c r="F1240" s="123"/>
      <c r="G1240" s="180"/>
      <c r="H1240" s="150"/>
      <c r="J1240" s="130"/>
    </row>
    <row r="1241" spans="1:10" s="120" customFormat="1">
      <c r="A1241" s="130"/>
      <c r="B1241" s="123"/>
      <c r="C1241" s="130"/>
      <c r="F1241" s="123"/>
      <c r="G1241" s="180"/>
      <c r="H1241" s="150"/>
      <c r="J1241" s="130"/>
    </row>
    <row r="1242" spans="1:10" s="120" customFormat="1">
      <c r="A1242" s="130"/>
      <c r="B1242" s="123"/>
      <c r="C1242" s="130"/>
      <c r="F1242" s="123"/>
      <c r="G1242" s="180"/>
      <c r="H1242" s="150"/>
      <c r="J1242" s="130"/>
    </row>
    <row r="1243" spans="1:10" s="120" customFormat="1">
      <c r="A1243" s="130"/>
      <c r="B1243" s="123"/>
      <c r="C1243" s="130"/>
      <c r="F1243" s="123"/>
      <c r="G1243" s="180"/>
      <c r="H1243" s="150"/>
      <c r="J1243" s="130"/>
    </row>
    <row r="1244" spans="1:10" s="120" customFormat="1">
      <c r="A1244" s="130"/>
      <c r="B1244" s="123"/>
      <c r="C1244" s="130"/>
      <c r="F1244" s="123"/>
      <c r="G1244" s="180"/>
      <c r="H1244" s="150"/>
      <c r="J1244" s="130"/>
    </row>
    <row r="1245" spans="1:10" s="120" customFormat="1">
      <c r="A1245" s="130"/>
      <c r="B1245" s="123"/>
      <c r="C1245" s="130"/>
      <c r="F1245" s="123"/>
      <c r="G1245" s="180"/>
      <c r="H1245" s="150"/>
      <c r="J1245" s="130"/>
    </row>
    <row r="1246" spans="1:10" s="120" customFormat="1">
      <c r="A1246" s="130"/>
      <c r="B1246" s="123"/>
      <c r="C1246" s="130"/>
      <c r="F1246" s="123"/>
      <c r="G1246" s="180"/>
      <c r="H1246" s="150"/>
      <c r="J1246" s="130"/>
    </row>
    <row r="1247" spans="1:10" s="120" customFormat="1">
      <c r="A1247" s="130"/>
      <c r="B1247" s="123"/>
      <c r="C1247" s="130"/>
      <c r="F1247" s="123"/>
      <c r="G1247" s="180"/>
      <c r="H1247" s="150"/>
      <c r="J1247" s="130"/>
    </row>
    <row r="1248" spans="1:10" s="120" customFormat="1">
      <c r="A1248" s="130"/>
      <c r="B1248" s="123"/>
      <c r="C1248" s="130"/>
      <c r="F1248" s="123"/>
      <c r="G1248" s="180"/>
      <c r="H1248" s="150"/>
      <c r="J1248" s="130"/>
    </row>
    <row r="1249" spans="1:10" s="120" customFormat="1">
      <c r="A1249" s="130"/>
      <c r="B1249" s="123"/>
      <c r="C1249" s="130"/>
      <c r="F1249" s="123"/>
      <c r="G1249" s="180"/>
      <c r="H1249" s="150"/>
      <c r="J1249" s="130"/>
    </row>
    <row r="1250" spans="1:10" s="120" customFormat="1">
      <c r="A1250" s="130"/>
      <c r="B1250" s="123"/>
      <c r="C1250" s="130"/>
      <c r="F1250" s="123"/>
      <c r="G1250" s="180"/>
      <c r="H1250" s="150"/>
      <c r="J1250" s="130"/>
    </row>
    <row r="1251" spans="1:10" s="120" customFormat="1">
      <c r="A1251" s="130"/>
      <c r="B1251" s="123"/>
      <c r="C1251" s="130"/>
      <c r="F1251" s="123"/>
      <c r="G1251" s="180"/>
      <c r="H1251" s="150"/>
      <c r="J1251" s="130"/>
    </row>
    <row r="1252" spans="1:10" s="120" customFormat="1">
      <c r="A1252" s="130"/>
      <c r="B1252" s="123"/>
      <c r="C1252" s="130"/>
      <c r="F1252" s="123"/>
      <c r="G1252" s="180"/>
      <c r="H1252" s="150"/>
      <c r="J1252" s="130"/>
    </row>
    <row r="1253" spans="1:10" s="120" customFormat="1">
      <c r="A1253" s="130"/>
      <c r="B1253" s="123"/>
      <c r="C1253" s="130"/>
      <c r="F1253" s="123"/>
      <c r="G1253" s="180"/>
      <c r="H1253" s="150"/>
      <c r="J1253" s="130"/>
    </row>
    <row r="1254" spans="1:10" s="120" customFormat="1">
      <c r="A1254" s="130"/>
      <c r="B1254" s="123"/>
      <c r="C1254" s="130"/>
      <c r="F1254" s="123"/>
      <c r="G1254" s="180"/>
      <c r="H1254" s="150"/>
      <c r="J1254" s="130"/>
    </row>
    <row r="1255" spans="1:10" s="120" customFormat="1">
      <c r="A1255" s="130"/>
      <c r="B1255" s="123"/>
      <c r="C1255" s="130"/>
      <c r="F1255" s="123"/>
      <c r="G1255" s="180"/>
      <c r="H1255" s="150"/>
      <c r="J1255" s="130"/>
    </row>
    <row r="1256" spans="1:10" s="120" customFormat="1">
      <c r="A1256" s="130"/>
      <c r="B1256" s="123"/>
      <c r="C1256" s="130"/>
      <c r="F1256" s="123"/>
      <c r="G1256" s="180"/>
      <c r="H1256" s="150"/>
      <c r="J1256" s="130"/>
    </row>
    <row r="1257" spans="1:10" s="120" customFormat="1">
      <c r="A1257" s="130"/>
      <c r="B1257" s="123"/>
      <c r="C1257" s="130"/>
      <c r="F1257" s="123"/>
      <c r="G1257" s="180"/>
      <c r="H1257" s="150"/>
      <c r="J1257" s="130"/>
    </row>
    <row r="1258" spans="1:10" s="120" customFormat="1">
      <c r="A1258" s="130"/>
      <c r="B1258" s="123"/>
      <c r="C1258" s="130"/>
      <c r="F1258" s="123"/>
      <c r="G1258" s="180"/>
      <c r="H1258" s="150"/>
      <c r="J1258" s="130"/>
    </row>
    <row r="1259" spans="1:10" s="120" customFormat="1">
      <c r="A1259" s="130"/>
      <c r="B1259" s="123"/>
      <c r="C1259" s="130"/>
      <c r="F1259" s="123"/>
      <c r="G1259" s="180"/>
      <c r="H1259" s="150"/>
      <c r="J1259" s="130"/>
    </row>
    <row r="1260" spans="1:10" s="120" customFormat="1">
      <c r="A1260" s="130"/>
      <c r="B1260" s="123"/>
      <c r="C1260" s="130"/>
      <c r="F1260" s="123"/>
      <c r="G1260" s="180"/>
      <c r="H1260" s="150"/>
      <c r="J1260" s="130"/>
    </row>
    <row r="1261" spans="1:10" s="120" customFormat="1">
      <c r="A1261" s="130"/>
      <c r="B1261" s="123"/>
      <c r="C1261" s="130"/>
      <c r="F1261" s="123"/>
      <c r="G1261" s="180"/>
      <c r="H1261" s="150"/>
      <c r="J1261" s="130"/>
    </row>
    <row r="1262" spans="1:10" s="120" customFormat="1">
      <c r="A1262" s="130"/>
      <c r="B1262" s="123"/>
      <c r="C1262" s="130"/>
      <c r="F1262" s="123"/>
      <c r="G1262" s="180"/>
      <c r="H1262" s="150"/>
      <c r="J1262" s="130"/>
    </row>
    <row r="1263" spans="1:10" s="120" customFormat="1">
      <c r="A1263" s="130"/>
      <c r="B1263" s="123"/>
      <c r="C1263" s="130"/>
      <c r="F1263" s="123"/>
      <c r="G1263" s="180"/>
      <c r="H1263" s="150"/>
      <c r="J1263" s="130"/>
    </row>
    <row r="1264" spans="1:10" s="120" customFormat="1">
      <c r="A1264" s="130"/>
      <c r="B1264" s="123"/>
      <c r="C1264" s="130"/>
      <c r="F1264" s="123"/>
      <c r="G1264" s="180"/>
      <c r="H1264" s="150"/>
      <c r="J1264" s="130"/>
    </row>
    <row r="1265" spans="1:10" s="120" customFormat="1">
      <c r="A1265" s="130"/>
      <c r="B1265" s="123"/>
      <c r="C1265" s="130"/>
      <c r="F1265" s="123"/>
      <c r="G1265" s="180"/>
      <c r="H1265" s="150"/>
      <c r="J1265" s="130"/>
    </row>
    <row r="1266" spans="1:10" s="120" customFormat="1">
      <c r="A1266" s="130"/>
      <c r="B1266" s="123"/>
      <c r="C1266" s="130"/>
      <c r="F1266" s="123"/>
      <c r="G1266" s="180"/>
      <c r="H1266" s="150"/>
      <c r="J1266" s="130"/>
    </row>
    <row r="1267" spans="1:10" s="120" customFormat="1">
      <c r="A1267" s="130"/>
      <c r="B1267" s="123"/>
      <c r="C1267" s="130"/>
      <c r="F1267" s="123"/>
      <c r="G1267" s="180"/>
      <c r="H1267" s="150"/>
      <c r="J1267" s="130"/>
    </row>
    <row r="1268" spans="1:10" s="120" customFormat="1">
      <c r="A1268" s="130"/>
      <c r="B1268" s="123"/>
      <c r="C1268" s="130"/>
      <c r="F1268" s="123"/>
      <c r="G1268" s="180"/>
      <c r="H1268" s="150"/>
      <c r="J1268" s="130"/>
    </row>
    <row r="1269" spans="1:10" s="120" customFormat="1">
      <c r="A1269" s="130"/>
      <c r="B1269" s="123"/>
      <c r="C1269" s="130"/>
      <c r="F1269" s="123"/>
      <c r="G1269" s="180"/>
      <c r="H1269" s="150"/>
      <c r="J1269" s="130"/>
    </row>
    <row r="1270" spans="1:10" s="120" customFormat="1">
      <c r="A1270" s="130"/>
      <c r="B1270" s="123"/>
      <c r="C1270" s="130"/>
      <c r="F1270" s="123"/>
      <c r="G1270" s="180"/>
      <c r="H1270" s="150"/>
      <c r="J1270" s="130"/>
    </row>
    <row r="1271" spans="1:10" s="120" customFormat="1">
      <c r="A1271" s="130"/>
      <c r="B1271" s="123"/>
      <c r="C1271" s="130"/>
      <c r="F1271" s="123"/>
      <c r="G1271" s="180"/>
      <c r="H1271" s="150"/>
      <c r="J1271" s="130"/>
    </row>
    <row r="1272" spans="1:10" s="120" customFormat="1">
      <c r="A1272" s="130"/>
      <c r="B1272" s="123"/>
      <c r="C1272" s="130"/>
      <c r="F1272" s="123"/>
      <c r="G1272" s="180"/>
      <c r="H1272" s="150"/>
      <c r="J1272" s="130"/>
    </row>
    <row r="1273" spans="1:10" s="120" customFormat="1">
      <c r="A1273" s="130"/>
      <c r="B1273" s="123"/>
      <c r="C1273" s="130"/>
      <c r="F1273" s="123"/>
      <c r="G1273" s="180"/>
      <c r="H1273" s="150"/>
      <c r="J1273" s="130"/>
    </row>
    <row r="1274" spans="1:10" s="120" customFormat="1">
      <c r="A1274" s="130"/>
      <c r="B1274" s="123"/>
      <c r="C1274" s="130"/>
      <c r="F1274" s="123"/>
      <c r="G1274" s="180"/>
      <c r="H1274" s="150"/>
      <c r="J1274" s="130"/>
    </row>
    <row r="1275" spans="1:10" s="120" customFormat="1">
      <c r="A1275" s="130"/>
      <c r="B1275" s="123"/>
      <c r="C1275" s="130"/>
      <c r="F1275" s="123"/>
      <c r="G1275" s="180"/>
      <c r="H1275" s="150"/>
      <c r="J1275" s="130"/>
    </row>
    <row r="1276" spans="1:10" s="120" customFormat="1">
      <c r="A1276" s="130"/>
      <c r="B1276" s="123"/>
      <c r="C1276" s="130"/>
      <c r="F1276" s="123"/>
      <c r="G1276" s="180"/>
      <c r="H1276" s="150"/>
      <c r="J1276" s="130"/>
    </row>
    <row r="1277" spans="1:10" s="120" customFormat="1">
      <c r="A1277" s="130"/>
      <c r="B1277" s="123"/>
      <c r="C1277" s="130"/>
      <c r="F1277" s="123"/>
      <c r="G1277" s="180"/>
      <c r="H1277" s="150"/>
      <c r="J1277" s="130"/>
    </row>
    <row r="1278" spans="1:10" s="120" customFormat="1">
      <c r="A1278" s="130"/>
      <c r="B1278" s="123"/>
      <c r="C1278" s="130"/>
      <c r="F1278" s="123"/>
      <c r="G1278" s="180"/>
      <c r="H1278" s="150"/>
      <c r="J1278" s="130"/>
    </row>
    <row r="1279" spans="1:10" s="120" customFormat="1">
      <c r="A1279" s="130"/>
      <c r="B1279" s="123"/>
      <c r="C1279" s="130"/>
      <c r="F1279" s="123"/>
      <c r="G1279" s="180"/>
      <c r="H1279" s="150"/>
      <c r="J1279" s="130"/>
    </row>
    <row r="1280" spans="1:10" s="120" customFormat="1">
      <c r="A1280" s="130"/>
      <c r="B1280" s="123"/>
      <c r="C1280" s="130"/>
      <c r="F1280" s="123"/>
      <c r="G1280" s="180"/>
      <c r="H1280" s="150"/>
      <c r="J1280" s="130"/>
    </row>
    <row r="1281" spans="1:10" s="120" customFormat="1">
      <c r="A1281" s="130"/>
      <c r="B1281" s="123"/>
      <c r="C1281" s="130"/>
      <c r="F1281" s="123"/>
      <c r="G1281" s="180"/>
      <c r="H1281" s="150"/>
      <c r="J1281" s="130"/>
    </row>
    <row r="1282" spans="1:10" s="120" customFormat="1">
      <c r="A1282" s="130"/>
      <c r="B1282" s="123"/>
      <c r="C1282" s="130"/>
      <c r="F1282" s="123"/>
      <c r="G1282" s="180"/>
      <c r="H1282" s="150"/>
      <c r="J1282" s="130"/>
    </row>
    <row r="1283" spans="1:10" s="120" customFormat="1">
      <c r="A1283" s="130"/>
      <c r="B1283" s="123"/>
      <c r="C1283" s="130"/>
      <c r="F1283" s="123"/>
      <c r="G1283" s="180"/>
      <c r="H1283" s="150"/>
      <c r="J1283" s="130"/>
    </row>
    <row r="1284" spans="1:10" s="120" customFormat="1">
      <c r="A1284" s="130"/>
      <c r="B1284" s="123"/>
      <c r="C1284" s="130"/>
      <c r="F1284" s="123"/>
      <c r="G1284" s="180"/>
      <c r="H1284" s="150"/>
      <c r="J1284" s="130"/>
    </row>
    <row r="1285" spans="1:10" s="120" customFormat="1">
      <c r="A1285" s="130"/>
      <c r="B1285" s="123"/>
      <c r="C1285" s="130"/>
      <c r="F1285" s="123"/>
      <c r="G1285" s="180"/>
      <c r="H1285" s="150"/>
      <c r="J1285" s="130"/>
    </row>
    <row r="1286" spans="1:10" s="120" customFormat="1">
      <c r="A1286" s="130"/>
      <c r="B1286" s="123"/>
      <c r="C1286" s="130"/>
      <c r="F1286" s="123"/>
      <c r="G1286" s="180"/>
      <c r="H1286" s="150"/>
      <c r="J1286" s="130"/>
    </row>
    <row r="1287" spans="1:10" s="120" customFormat="1">
      <c r="A1287" s="130"/>
      <c r="B1287" s="123"/>
      <c r="C1287" s="130"/>
      <c r="F1287" s="123"/>
      <c r="G1287" s="180"/>
      <c r="H1287" s="150"/>
      <c r="J1287" s="130"/>
    </row>
    <row r="1288" spans="1:10" s="120" customFormat="1">
      <c r="A1288" s="130"/>
      <c r="B1288" s="123"/>
      <c r="C1288" s="130"/>
      <c r="F1288" s="123"/>
      <c r="G1288" s="180"/>
      <c r="H1288" s="150"/>
      <c r="J1288" s="130"/>
    </row>
    <row r="1289" spans="1:10" s="120" customFormat="1">
      <c r="A1289" s="130"/>
      <c r="B1289" s="123"/>
      <c r="C1289" s="130"/>
      <c r="F1289" s="123"/>
      <c r="G1289" s="180"/>
      <c r="H1289" s="150"/>
      <c r="J1289" s="130"/>
    </row>
    <row r="1290" spans="1:10" s="120" customFormat="1">
      <c r="A1290" s="130"/>
      <c r="B1290" s="123"/>
      <c r="C1290" s="130"/>
      <c r="F1290" s="123"/>
      <c r="G1290" s="180"/>
      <c r="H1290" s="150"/>
      <c r="J1290" s="130"/>
    </row>
    <row r="1291" spans="1:10" s="120" customFormat="1">
      <c r="A1291" s="130"/>
      <c r="B1291" s="123"/>
      <c r="C1291" s="130"/>
      <c r="F1291" s="123"/>
      <c r="G1291" s="180"/>
      <c r="H1291" s="150"/>
      <c r="J1291" s="130"/>
    </row>
    <row r="1292" spans="1:10" s="120" customFormat="1">
      <c r="A1292" s="130"/>
      <c r="B1292" s="123"/>
      <c r="C1292" s="130"/>
      <c r="F1292" s="123"/>
      <c r="G1292" s="180"/>
      <c r="H1292" s="150"/>
      <c r="J1292" s="130"/>
    </row>
    <row r="1293" spans="1:10" s="120" customFormat="1">
      <c r="A1293" s="130"/>
      <c r="B1293" s="123"/>
      <c r="C1293" s="130"/>
      <c r="F1293" s="123"/>
      <c r="G1293" s="180"/>
      <c r="H1293" s="150"/>
      <c r="J1293" s="130"/>
    </row>
    <row r="1294" spans="1:10" s="120" customFormat="1">
      <c r="A1294" s="130"/>
      <c r="B1294" s="123"/>
      <c r="C1294" s="130"/>
      <c r="F1294" s="123"/>
      <c r="G1294" s="180"/>
      <c r="H1294" s="150"/>
      <c r="J1294" s="130"/>
    </row>
    <row r="1295" spans="1:10" s="120" customFormat="1">
      <c r="A1295" s="130"/>
      <c r="B1295" s="123"/>
      <c r="C1295" s="130"/>
      <c r="F1295" s="123"/>
      <c r="G1295" s="180"/>
      <c r="H1295" s="150"/>
      <c r="J1295" s="130"/>
    </row>
    <row r="1296" spans="1:10" s="120" customFormat="1">
      <c r="A1296" s="130"/>
      <c r="B1296" s="123"/>
      <c r="C1296" s="130"/>
      <c r="F1296" s="123"/>
      <c r="G1296" s="180"/>
      <c r="H1296" s="150"/>
      <c r="J1296" s="130"/>
    </row>
    <row r="1297" spans="1:10" s="120" customFormat="1">
      <c r="A1297" s="130"/>
      <c r="B1297" s="123"/>
      <c r="C1297" s="130"/>
      <c r="F1297" s="123"/>
      <c r="G1297" s="180"/>
      <c r="H1297" s="150"/>
      <c r="J1297" s="130"/>
    </row>
    <row r="1298" spans="1:10" s="120" customFormat="1">
      <c r="A1298" s="130"/>
      <c r="B1298" s="123"/>
      <c r="C1298" s="130"/>
      <c r="F1298" s="123"/>
      <c r="G1298" s="180"/>
      <c r="H1298" s="150"/>
      <c r="J1298" s="130"/>
    </row>
    <row r="1299" spans="1:10" s="120" customFormat="1">
      <c r="A1299" s="130"/>
      <c r="B1299" s="123"/>
      <c r="C1299" s="130"/>
      <c r="F1299" s="123"/>
      <c r="G1299" s="180"/>
      <c r="H1299" s="150"/>
      <c r="J1299" s="130"/>
    </row>
    <row r="1300" spans="1:10" s="120" customFormat="1">
      <c r="A1300" s="130"/>
      <c r="B1300" s="123"/>
      <c r="C1300" s="130"/>
      <c r="F1300" s="123"/>
      <c r="G1300" s="180"/>
      <c r="H1300" s="150"/>
      <c r="J1300" s="130"/>
    </row>
    <row r="1301" spans="1:10" s="120" customFormat="1">
      <c r="A1301" s="130"/>
      <c r="B1301" s="123"/>
      <c r="C1301" s="130"/>
      <c r="F1301" s="123"/>
      <c r="G1301" s="180"/>
      <c r="H1301" s="150"/>
      <c r="J1301" s="130"/>
    </row>
    <row r="1302" spans="1:10" s="120" customFormat="1">
      <c r="A1302" s="130"/>
      <c r="B1302" s="123"/>
      <c r="C1302" s="130"/>
      <c r="F1302" s="123"/>
      <c r="G1302" s="180"/>
      <c r="H1302" s="150"/>
      <c r="J1302" s="130"/>
    </row>
    <row r="1303" spans="1:10" s="120" customFormat="1">
      <c r="A1303" s="130"/>
      <c r="B1303" s="123"/>
      <c r="C1303" s="130"/>
      <c r="F1303" s="123"/>
      <c r="G1303" s="180"/>
      <c r="H1303" s="150"/>
      <c r="J1303" s="130"/>
    </row>
    <row r="1304" spans="1:10" s="120" customFormat="1">
      <c r="A1304" s="130"/>
      <c r="B1304" s="123"/>
      <c r="C1304" s="130"/>
      <c r="F1304" s="123"/>
      <c r="G1304" s="180"/>
      <c r="H1304" s="150"/>
      <c r="J1304" s="130"/>
    </row>
    <row r="1305" spans="1:10" s="120" customFormat="1">
      <c r="A1305" s="130"/>
      <c r="B1305" s="123"/>
      <c r="C1305" s="130"/>
      <c r="F1305" s="123"/>
      <c r="G1305" s="180"/>
      <c r="H1305" s="150"/>
      <c r="J1305" s="130"/>
    </row>
    <row r="1306" spans="1:10" s="120" customFormat="1">
      <c r="A1306" s="130"/>
      <c r="B1306" s="123"/>
      <c r="C1306" s="130"/>
      <c r="F1306" s="123"/>
      <c r="G1306" s="180"/>
      <c r="H1306" s="150"/>
      <c r="J1306" s="130"/>
    </row>
    <row r="1307" spans="1:10" s="120" customFormat="1">
      <c r="A1307" s="130"/>
      <c r="B1307" s="123"/>
      <c r="C1307" s="130"/>
      <c r="F1307" s="123"/>
      <c r="G1307" s="180"/>
      <c r="H1307" s="150"/>
      <c r="J1307" s="130"/>
    </row>
    <row r="1308" spans="1:10" s="120" customFormat="1">
      <c r="A1308" s="130"/>
      <c r="B1308" s="123"/>
      <c r="C1308" s="130"/>
      <c r="F1308" s="123"/>
      <c r="G1308" s="180"/>
      <c r="H1308" s="150"/>
      <c r="J1308" s="130"/>
    </row>
    <row r="1309" spans="1:10" s="120" customFormat="1">
      <c r="A1309" s="130"/>
      <c r="B1309" s="123"/>
      <c r="C1309" s="130"/>
      <c r="F1309" s="123"/>
      <c r="G1309" s="180"/>
      <c r="H1309" s="150"/>
      <c r="J1309" s="130"/>
    </row>
    <row r="1310" spans="1:10" s="120" customFormat="1">
      <c r="A1310" s="130"/>
      <c r="B1310" s="123"/>
      <c r="C1310" s="130"/>
      <c r="F1310" s="123"/>
      <c r="G1310" s="180"/>
      <c r="H1310" s="150"/>
      <c r="J1310" s="130"/>
    </row>
    <row r="1311" spans="1:10" s="120" customFormat="1">
      <c r="A1311" s="130"/>
      <c r="B1311" s="123"/>
      <c r="C1311" s="130"/>
      <c r="F1311" s="123"/>
      <c r="G1311" s="180"/>
      <c r="H1311" s="150"/>
      <c r="J1311" s="130"/>
    </row>
    <row r="1312" spans="1:10" s="120" customFormat="1">
      <c r="A1312" s="130"/>
      <c r="B1312" s="123"/>
      <c r="C1312" s="130"/>
      <c r="F1312" s="123"/>
      <c r="G1312" s="180"/>
      <c r="H1312" s="150"/>
      <c r="J1312" s="130"/>
    </row>
    <row r="1313" spans="1:10" s="120" customFormat="1">
      <c r="A1313" s="130"/>
      <c r="B1313" s="123"/>
      <c r="C1313" s="130"/>
      <c r="F1313" s="123"/>
      <c r="G1313" s="180"/>
      <c r="H1313" s="150"/>
      <c r="J1313" s="130"/>
    </row>
    <row r="1314" spans="1:10" s="120" customFormat="1">
      <c r="A1314" s="130"/>
      <c r="B1314" s="123"/>
      <c r="C1314" s="130"/>
      <c r="F1314" s="123"/>
      <c r="G1314" s="180"/>
      <c r="H1314" s="150"/>
      <c r="J1314" s="130"/>
    </row>
    <row r="1315" spans="1:10" s="120" customFormat="1">
      <c r="A1315" s="130"/>
      <c r="B1315" s="123"/>
      <c r="C1315" s="130"/>
      <c r="F1315" s="123"/>
      <c r="G1315" s="180"/>
      <c r="H1315" s="150"/>
      <c r="J1315" s="130"/>
    </row>
    <row r="1316" spans="1:10" s="120" customFormat="1">
      <c r="A1316" s="130"/>
      <c r="B1316" s="123"/>
      <c r="C1316" s="130"/>
      <c r="F1316" s="123"/>
      <c r="G1316" s="180"/>
      <c r="H1316" s="150"/>
      <c r="J1316" s="130"/>
    </row>
    <row r="1317" spans="1:10" s="120" customFormat="1">
      <c r="A1317" s="130"/>
      <c r="B1317" s="123"/>
      <c r="C1317" s="130"/>
      <c r="F1317" s="123"/>
      <c r="G1317" s="180"/>
      <c r="H1317" s="150"/>
      <c r="J1317" s="130"/>
    </row>
    <row r="1318" spans="1:10" s="120" customFormat="1">
      <c r="A1318" s="130"/>
      <c r="B1318" s="123"/>
      <c r="C1318" s="130"/>
      <c r="F1318" s="123"/>
      <c r="G1318" s="180"/>
      <c r="H1318" s="150"/>
      <c r="J1318" s="130"/>
    </row>
    <row r="1319" spans="1:10" s="120" customFormat="1">
      <c r="A1319" s="130"/>
      <c r="B1319" s="123"/>
      <c r="C1319" s="130"/>
      <c r="F1319" s="123"/>
      <c r="G1319" s="180"/>
      <c r="H1319" s="150"/>
      <c r="J1319" s="130"/>
    </row>
    <row r="1320" spans="1:10" s="120" customFormat="1">
      <c r="A1320" s="130"/>
      <c r="B1320" s="123"/>
      <c r="C1320" s="130"/>
      <c r="F1320" s="123"/>
      <c r="G1320" s="180"/>
      <c r="H1320" s="150"/>
      <c r="J1320" s="130"/>
    </row>
    <row r="1321" spans="1:10" s="120" customFormat="1">
      <c r="A1321" s="130"/>
      <c r="B1321" s="123"/>
      <c r="C1321" s="130"/>
      <c r="F1321" s="123"/>
      <c r="G1321" s="180"/>
      <c r="H1321" s="150"/>
      <c r="J1321" s="130"/>
    </row>
    <row r="1322" spans="1:10" s="120" customFormat="1">
      <c r="A1322" s="130"/>
      <c r="B1322" s="123"/>
      <c r="C1322" s="130"/>
      <c r="F1322" s="123"/>
      <c r="G1322" s="180"/>
      <c r="H1322" s="150"/>
      <c r="J1322" s="130"/>
    </row>
    <row r="1323" spans="1:10" s="120" customFormat="1">
      <c r="A1323" s="130"/>
      <c r="B1323" s="123"/>
      <c r="C1323" s="130"/>
      <c r="F1323" s="123"/>
      <c r="G1323" s="180"/>
      <c r="H1323" s="150"/>
      <c r="J1323" s="130"/>
    </row>
    <row r="1324" spans="1:10" s="120" customFormat="1">
      <c r="A1324" s="130"/>
      <c r="B1324" s="123"/>
      <c r="C1324" s="130"/>
      <c r="F1324" s="123"/>
      <c r="G1324" s="180"/>
      <c r="H1324" s="150"/>
      <c r="J1324" s="130"/>
    </row>
    <row r="1325" spans="1:10" s="120" customFormat="1">
      <c r="A1325" s="130"/>
      <c r="B1325" s="123"/>
      <c r="C1325" s="130"/>
      <c r="F1325" s="123"/>
      <c r="G1325" s="180"/>
      <c r="H1325" s="150"/>
      <c r="J1325" s="130"/>
    </row>
    <row r="1326" spans="1:10" s="120" customFormat="1">
      <c r="A1326" s="130"/>
      <c r="B1326" s="123"/>
      <c r="C1326" s="130"/>
      <c r="F1326" s="123"/>
      <c r="G1326" s="180"/>
      <c r="H1326" s="150"/>
      <c r="J1326" s="130"/>
    </row>
    <row r="1327" spans="1:10" s="120" customFormat="1">
      <c r="A1327" s="130"/>
      <c r="B1327" s="123"/>
      <c r="C1327" s="130"/>
      <c r="F1327" s="123"/>
      <c r="G1327" s="180"/>
      <c r="H1327" s="150"/>
      <c r="J1327" s="130"/>
    </row>
    <row r="1328" spans="1:10" s="120" customFormat="1">
      <c r="A1328" s="130"/>
      <c r="B1328" s="123"/>
      <c r="C1328" s="130"/>
      <c r="F1328" s="123"/>
      <c r="G1328" s="180"/>
      <c r="H1328" s="150"/>
      <c r="J1328" s="130"/>
    </row>
    <row r="1329" spans="1:10" s="120" customFormat="1">
      <c r="A1329" s="130"/>
      <c r="B1329" s="123"/>
      <c r="C1329" s="130"/>
      <c r="F1329" s="123"/>
      <c r="G1329" s="180"/>
      <c r="H1329" s="150"/>
      <c r="J1329" s="130"/>
    </row>
    <row r="1330" spans="1:10" s="120" customFormat="1">
      <c r="A1330" s="130"/>
      <c r="B1330" s="123"/>
      <c r="C1330" s="130"/>
      <c r="F1330" s="123"/>
      <c r="G1330" s="180"/>
      <c r="H1330" s="150"/>
      <c r="J1330" s="130"/>
    </row>
    <row r="1331" spans="1:10" s="120" customFormat="1">
      <c r="A1331" s="130"/>
      <c r="B1331" s="123"/>
      <c r="C1331" s="130"/>
      <c r="F1331" s="123"/>
      <c r="G1331" s="180"/>
      <c r="H1331" s="150"/>
      <c r="J1331" s="130"/>
    </row>
    <row r="1332" spans="1:10" s="120" customFormat="1">
      <c r="A1332" s="130"/>
      <c r="B1332" s="123"/>
      <c r="C1332" s="130"/>
      <c r="F1332" s="123"/>
      <c r="G1332" s="180"/>
      <c r="H1332" s="150"/>
      <c r="J1332" s="130"/>
    </row>
    <row r="1333" spans="1:10" s="120" customFormat="1">
      <c r="A1333" s="130"/>
      <c r="B1333" s="123"/>
      <c r="C1333" s="130"/>
      <c r="F1333" s="123"/>
      <c r="G1333" s="180"/>
      <c r="H1333" s="150"/>
      <c r="J1333" s="130"/>
    </row>
    <row r="1334" spans="1:10" s="120" customFormat="1">
      <c r="A1334" s="130"/>
      <c r="B1334" s="123"/>
      <c r="C1334" s="130"/>
      <c r="F1334" s="123"/>
      <c r="G1334" s="180"/>
      <c r="H1334" s="150"/>
      <c r="J1334" s="130"/>
    </row>
    <row r="1335" spans="1:10" s="120" customFormat="1">
      <c r="A1335" s="130"/>
      <c r="B1335" s="123"/>
      <c r="C1335" s="130"/>
      <c r="F1335" s="123"/>
      <c r="G1335" s="180"/>
      <c r="H1335" s="150"/>
      <c r="J1335" s="130"/>
    </row>
    <row r="1336" spans="1:10" s="120" customFormat="1">
      <c r="A1336" s="130"/>
      <c r="B1336" s="123"/>
      <c r="C1336" s="130"/>
      <c r="F1336" s="123"/>
      <c r="G1336" s="180"/>
      <c r="H1336" s="150"/>
      <c r="J1336" s="130"/>
    </row>
    <row r="1337" spans="1:10" s="120" customFormat="1">
      <c r="A1337" s="130"/>
      <c r="B1337" s="123"/>
      <c r="C1337" s="130"/>
      <c r="F1337" s="123"/>
      <c r="G1337" s="180"/>
      <c r="H1337" s="150"/>
      <c r="J1337" s="130"/>
    </row>
    <row r="1338" spans="1:10" s="120" customFormat="1">
      <c r="A1338" s="130"/>
      <c r="B1338" s="123"/>
      <c r="C1338" s="130"/>
      <c r="F1338" s="123"/>
      <c r="G1338" s="180"/>
      <c r="H1338" s="150"/>
      <c r="J1338" s="130"/>
    </row>
    <row r="1339" spans="1:10" s="120" customFormat="1">
      <c r="A1339" s="130"/>
      <c r="B1339" s="123"/>
      <c r="C1339" s="130"/>
      <c r="F1339" s="123"/>
      <c r="G1339" s="180"/>
      <c r="H1339" s="150"/>
      <c r="J1339" s="130"/>
    </row>
    <row r="1340" spans="1:10" s="120" customFormat="1">
      <c r="A1340" s="130"/>
      <c r="B1340" s="123"/>
      <c r="C1340" s="130"/>
      <c r="F1340" s="123"/>
      <c r="G1340" s="180"/>
      <c r="H1340" s="150"/>
      <c r="J1340" s="130"/>
    </row>
    <row r="1341" spans="1:10" s="120" customFormat="1">
      <c r="A1341" s="130"/>
      <c r="B1341" s="123"/>
      <c r="C1341" s="130"/>
      <c r="F1341" s="123"/>
      <c r="G1341" s="180"/>
      <c r="H1341" s="150"/>
      <c r="J1341" s="130"/>
    </row>
    <row r="1342" spans="1:10" s="120" customFormat="1">
      <c r="A1342" s="130"/>
      <c r="B1342" s="123"/>
      <c r="C1342" s="130"/>
      <c r="F1342" s="123"/>
      <c r="G1342" s="180"/>
      <c r="H1342" s="150"/>
      <c r="J1342" s="130"/>
    </row>
    <row r="1343" spans="1:10" s="120" customFormat="1">
      <c r="A1343" s="130"/>
      <c r="B1343" s="123"/>
      <c r="C1343" s="130"/>
      <c r="F1343" s="123"/>
      <c r="G1343" s="180"/>
      <c r="H1343" s="150"/>
      <c r="J1343" s="130"/>
    </row>
    <row r="1344" spans="1:10" s="120" customFormat="1">
      <c r="A1344" s="130"/>
      <c r="B1344" s="123"/>
      <c r="C1344" s="130"/>
      <c r="F1344" s="123"/>
      <c r="G1344" s="180"/>
      <c r="H1344" s="150"/>
      <c r="J1344" s="130"/>
    </row>
    <row r="1345" spans="1:10" s="120" customFormat="1">
      <c r="A1345" s="130"/>
      <c r="B1345" s="123"/>
      <c r="C1345" s="130"/>
      <c r="F1345" s="123"/>
      <c r="G1345" s="180"/>
      <c r="H1345" s="150"/>
      <c r="J1345" s="130"/>
    </row>
    <row r="1346" spans="1:10" s="120" customFormat="1">
      <c r="A1346" s="130"/>
      <c r="B1346" s="123"/>
      <c r="C1346" s="130"/>
      <c r="F1346" s="123"/>
      <c r="G1346" s="180"/>
      <c r="H1346" s="150"/>
      <c r="J1346" s="130"/>
    </row>
    <row r="1347" spans="1:10" s="120" customFormat="1">
      <c r="A1347" s="130"/>
      <c r="B1347" s="123"/>
      <c r="C1347" s="130"/>
      <c r="F1347" s="123"/>
      <c r="G1347" s="180"/>
      <c r="H1347" s="150"/>
      <c r="J1347" s="130"/>
    </row>
    <row r="1348" spans="1:10" s="120" customFormat="1">
      <c r="A1348" s="130"/>
      <c r="B1348" s="123"/>
      <c r="C1348" s="130"/>
      <c r="F1348" s="123"/>
      <c r="G1348" s="180"/>
      <c r="H1348" s="150"/>
      <c r="J1348" s="130"/>
    </row>
    <row r="1349" spans="1:10" s="120" customFormat="1">
      <c r="A1349" s="130"/>
      <c r="B1349" s="123"/>
      <c r="C1349" s="130"/>
      <c r="F1349" s="123"/>
      <c r="G1349" s="180"/>
      <c r="H1349" s="150"/>
      <c r="J1349" s="130"/>
    </row>
    <row r="1350" spans="1:10" s="120" customFormat="1">
      <c r="A1350" s="130"/>
      <c r="B1350" s="123"/>
      <c r="C1350" s="130"/>
      <c r="F1350" s="123"/>
      <c r="G1350" s="180"/>
      <c r="H1350" s="150"/>
      <c r="J1350" s="130"/>
    </row>
    <row r="1351" spans="1:10" s="120" customFormat="1">
      <c r="A1351" s="130"/>
      <c r="B1351" s="123"/>
      <c r="C1351" s="130"/>
      <c r="F1351" s="123"/>
      <c r="G1351" s="180"/>
      <c r="H1351" s="150"/>
      <c r="J1351" s="130"/>
    </row>
    <row r="1352" spans="1:10" s="120" customFormat="1">
      <c r="A1352" s="130"/>
      <c r="B1352" s="123"/>
      <c r="C1352" s="130"/>
      <c r="F1352" s="123"/>
      <c r="G1352" s="180"/>
      <c r="H1352" s="150"/>
      <c r="J1352" s="130"/>
    </row>
    <row r="1353" spans="1:10" s="120" customFormat="1">
      <c r="A1353" s="130"/>
      <c r="B1353" s="123"/>
      <c r="C1353" s="130"/>
      <c r="F1353" s="123"/>
      <c r="G1353" s="180"/>
      <c r="H1353" s="150"/>
      <c r="J1353" s="130"/>
    </row>
    <row r="1354" spans="1:10" s="120" customFormat="1">
      <c r="A1354" s="130"/>
      <c r="B1354" s="123"/>
      <c r="C1354" s="130"/>
      <c r="F1354" s="123"/>
      <c r="G1354" s="180"/>
      <c r="H1354" s="150"/>
      <c r="J1354" s="130"/>
    </row>
    <row r="1355" spans="1:10" s="120" customFormat="1">
      <c r="A1355" s="130"/>
      <c r="B1355" s="123"/>
      <c r="C1355" s="130"/>
      <c r="F1355" s="123"/>
      <c r="G1355" s="180"/>
      <c r="H1355" s="150"/>
      <c r="J1355" s="130"/>
    </row>
    <row r="1356" spans="1:10" s="120" customFormat="1">
      <c r="A1356" s="130"/>
      <c r="B1356" s="123"/>
      <c r="C1356" s="130"/>
      <c r="F1356" s="123"/>
      <c r="G1356" s="180"/>
      <c r="H1356" s="150"/>
      <c r="J1356" s="130"/>
    </row>
    <row r="1357" spans="1:10" s="120" customFormat="1">
      <c r="A1357" s="130"/>
      <c r="B1357" s="123"/>
      <c r="C1357" s="130"/>
      <c r="F1357" s="123"/>
      <c r="G1357" s="180"/>
      <c r="H1357" s="150"/>
      <c r="J1357" s="130"/>
    </row>
    <row r="1358" spans="1:10" s="120" customFormat="1">
      <c r="A1358" s="130"/>
      <c r="B1358" s="123"/>
      <c r="C1358" s="130"/>
      <c r="F1358" s="123"/>
      <c r="G1358" s="180"/>
      <c r="H1358" s="150"/>
      <c r="J1358" s="130"/>
    </row>
    <row r="1359" spans="1:10" s="120" customFormat="1">
      <c r="A1359" s="130"/>
      <c r="B1359" s="123"/>
      <c r="C1359" s="130"/>
      <c r="F1359" s="123"/>
      <c r="G1359" s="180"/>
      <c r="H1359" s="150"/>
      <c r="J1359" s="130"/>
    </row>
    <row r="1360" spans="1:10" s="120" customFormat="1">
      <c r="A1360" s="130"/>
      <c r="B1360" s="123"/>
      <c r="C1360" s="130"/>
      <c r="F1360" s="123"/>
      <c r="G1360" s="180"/>
      <c r="H1360" s="150"/>
      <c r="J1360" s="130"/>
    </row>
    <row r="1361" spans="1:10" s="120" customFormat="1">
      <c r="A1361" s="130"/>
      <c r="B1361" s="123"/>
      <c r="C1361" s="130"/>
      <c r="F1361" s="123"/>
      <c r="G1361" s="180"/>
      <c r="H1361" s="150"/>
      <c r="J1361" s="130"/>
    </row>
    <row r="1362" spans="1:10" s="120" customFormat="1">
      <c r="A1362" s="130"/>
      <c r="B1362" s="123"/>
      <c r="C1362" s="130"/>
      <c r="F1362" s="123"/>
      <c r="G1362" s="180"/>
      <c r="H1362" s="150"/>
      <c r="J1362" s="130"/>
    </row>
    <row r="1363" spans="1:10" s="120" customFormat="1">
      <c r="A1363" s="130"/>
      <c r="B1363" s="123"/>
      <c r="C1363" s="130"/>
      <c r="F1363" s="123"/>
      <c r="G1363" s="180"/>
      <c r="H1363" s="150"/>
      <c r="J1363" s="130"/>
    </row>
    <row r="1364" spans="1:10" s="120" customFormat="1">
      <c r="A1364" s="130"/>
      <c r="B1364" s="123"/>
      <c r="C1364" s="130"/>
      <c r="F1364" s="123"/>
      <c r="G1364" s="180"/>
      <c r="H1364" s="150"/>
      <c r="J1364" s="130"/>
    </row>
    <row r="1365" spans="1:10" s="120" customFormat="1">
      <c r="A1365" s="130"/>
      <c r="B1365" s="123"/>
      <c r="C1365" s="130"/>
      <c r="F1365" s="123"/>
      <c r="G1365" s="180"/>
      <c r="H1365" s="150"/>
      <c r="J1365" s="130"/>
    </row>
    <row r="1366" spans="1:10" s="120" customFormat="1">
      <c r="A1366" s="130"/>
      <c r="B1366" s="123"/>
      <c r="C1366" s="130"/>
      <c r="F1366" s="123"/>
      <c r="G1366" s="180"/>
      <c r="H1366" s="150"/>
      <c r="J1366" s="130"/>
    </row>
    <row r="1367" spans="1:10" s="120" customFormat="1">
      <c r="A1367" s="130"/>
      <c r="B1367" s="123"/>
      <c r="C1367" s="130"/>
      <c r="F1367" s="123"/>
      <c r="G1367" s="180"/>
      <c r="H1367" s="150"/>
      <c r="J1367" s="130"/>
    </row>
    <row r="1368" spans="1:10" s="120" customFormat="1">
      <c r="A1368" s="130"/>
      <c r="B1368" s="123"/>
      <c r="C1368" s="130"/>
      <c r="F1368" s="123"/>
      <c r="G1368" s="180"/>
      <c r="H1368" s="150"/>
      <c r="J1368" s="130"/>
    </row>
    <row r="1369" spans="1:10" s="120" customFormat="1">
      <c r="A1369" s="130"/>
      <c r="B1369" s="123"/>
      <c r="C1369" s="130"/>
      <c r="F1369" s="123"/>
      <c r="G1369" s="180"/>
      <c r="H1369" s="150"/>
      <c r="J1369" s="130"/>
    </row>
    <row r="1370" spans="1:10" s="120" customFormat="1">
      <c r="A1370" s="130"/>
      <c r="B1370" s="123"/>
      <c r="C1370" s="130"/>
      <c r="F1370" s="123"/>
      <c r="G1370" s="180"/>
      <c r="H1370" s="150"/>
      <c r="J1370" s="130"/>
    </row>
    <row r="1371" spans="1:10" s="120" customFormat="1">
      <c r="A1371" s="130"/>
      <c r="B1371" s="123"/>
      <c r="C1371" s="130"/>
      <c r="F1371" s="123"/>
      <c r="G1371" s="180"/>
      <c r="H1371" s="150"/>
      <c r="J1371" s="130"/>
    </row>
    <row r="1372" spans="1:10" s="120" customFormat="1">
      <c r="A1372" s="130"/>
      <c r="B1372" s="123"/>
      <c r="C1372" s="130"/>
      <c r="F1372" s="123"/>
      <c r="G1372" s="180"/>
      <c r="H1372" s="150"/>
      <c r="J1372" s="130"/>
    </row>
    <row r="1373" spans="1:10" s="120" customFormat="1">
      <c r="A1373" s="130"/>
      <c r="B1373" s="123"/>
      <c r="C1373" s="130"/>
      <c r="F1373" s="123"/>
      <c r="G1373" s="180"/>
      <c r="H1373" s="150"/>
      <c r="J1373" s="130"/>
    </row>
    <row r="1374" spans="1:10" s="120" customFormat="1">
      <c r="A1374" s="130"/>
      <c r="B1374" s="123"/>
      <c r="C1374" s="130"/>
      <c r="F1374" s="123"/>
      <c r="G1374" s="180"/>
      <c r="H1374" s="150"/>
      <c r="J1374" s="130"/>
    </row>
    <row r="1375" spans="1:10" s="120" customFormat="1">
      <c r="A1375" s="130"/>
      <c r="B1375" s="123"/>
      <c r="C1375" s="130"/>
      <c r="F1375" s="123"/>
      <c r="G1375" s="180"/>
      <c r="H1375" s="150"/>
      <c r="J1375" s="130"/>
    </row>
    <row r="1376" spans="1:10" s="120" customFormat="1">
      <c r="A1376" s="130"/>
      <c r="B1376" s="123"/>
      <c r="C1376" s="130"/>
      <c r="F1376" s="123"/>
      <c r="G1376" s="180"/>
      <c r="H1376" s="150"/>
      <c r="J1376" s="130"/>
    </row>
    <row r="1377" spans="1:10" s="120" customFormat="1">
      <c r="A1377" s="130"/>
      <c r="B1377" s="123"/>
      <c r="C1377" s="130"/>
      <c r="F1377" s="123"/>
      <c r="G1377" s="180"/>
      <c r="H1377" s="150"/>
      <c r="J1377" s="130"/>
    </row>
    <row r="1378" spans="1:10" s="120" customFormat="1">
      <c r="A1378" s="130"/>
      <c r="B1378" s="123"/>
      <c r="C1378" s="130"/>
      <c r="F1378" s="123"/>
      <c r="G1378" s="180"/>
      <c r="H1378" s="150"/>
      <c r="J1378" s="130"/>
    </row>
    <row r="1379" spans="1:10" s="120" customFormat="1">
      <c r="A1379" s="130"/>
      <c r="B1379" s="123"/>
      <c r="C1379" s="130"/>
      <c r="F1379" s="123"/>
      <c r="G1379" s="180"/>
      <c r="H1379" s="150"/>
      <c r="J1379" s="130"/>
    </row>
    <row r="1380" spans="1:10" s="120" customFormat="1">
      <c r="A1380" s="130"/>
      <c r="B1380" s="123"/>
      <c r="C1380" s="130"/>
      <c r="F1380" s="123"/>
      <c r="G1380" s="180"/>
      <c r="H1380" s="150"/>
      <c r="J1380" s="130"/>
    </row>
    <row r="1381" spans="1:10" s="120" customFormat="1">
      <c r="A1381" s="130"/>
      <c r="B1381" s="123"/>
      <c r="C1381" s="130"/>
      <c r="F1381" s="123"/>
      <c r="G1381" s="180"/>
      <c r="H1381" s="150"/>
      <c r="J1381" s="130"/>
    </row>
    <row r="1382" spans="1:10" s="120" customFormat="1">
      <c r="A1382" s="130"/>
      <c r="B1382" s="123"/>
      <c r="C1382" s="130"/>
      <c r="F1382" s="123"/>
      <c r="G1382" s="180"/>
      <c r="H1382" s="150"/>
      <c r="J1382" s="130"/>
    </row>
    <row r="1383" spans="1:10" s="120" customFormat="1">
      <c r="A1383" s="130"/>
      <c r="B1383" s="123"/>
      <c r="C1383" s="130"/>
      <c r="F1383" s="123"/>
      <c r="G1383" s="180"/>
      <c r="H1383" s="150"/>
      <c r="J1383" s="130"/>
    </row>
    <row r="1384" spans="1:10" s="120" customFormat="1">
      <c r="A1384" s="130"/>
      <c r="B1384" s="123"/>
      <c r="C1384" s="130"/>
      <c r="F1384" s="123"/>
      <c r="G1384" s="180"/>
      <c r="H1384" s="150"/>
      <c r="J1384" s="130"/>
    </row>
    <row r="1385" spans="1:10" s="120" customFormat="1">
      <c r="A1385" s="130"/>
      <c r="B1385" s="123"/>
      <c r="C1385" s="130"/>
      <c r="F1385" s="123"/>
      <c r="G1385" s="180"/>
      <c r="H1385" s="150"/>
      <c r="J1385" s="130"/>
    </row>
    <row r="1386" spans="1:10" s="120" customFormat="1">
      <c r="A1386" s="130"/>
      <c r="B1386" s="123"/>
      <c r="C1386" s="130"/>
      <c r="F1386" s="123"/>
      <c r="G1386" s="180"/>
      <c r="H1386" s="150"/>
      <c r="J1386" s="130"/>
    </row>
    <row r="1387" spans="1:10" s="120" customFormat="1">
      <c r="A1387" s="130"/>
      <c r="B1387" s="123"/>
      <c r="C1387" s="130"/>
      <c r="F1387" s="123"/>
      <c r="G1387" s="180"/>
      <c r="H1387" s="150"/>
      <c r="J1387" s="130"/>
    </row>
    <row r="1388" spans="1:10" s="120" customFormat="1">
      <c r="A1388" s="130"/>
      <c r="B1388" s="123"/>
      <c r="C1388" s="130"/>
      <c r="F1388" s="123"/>
      <c r="G1388" s="180"/>
      <c r="H1388" s="150"/>
      <c r="J1388" s="130"/>
    </row>
    <row r="1389" spans="1:10" s="120" customFormat="1">
      <c r="A1389" s="130"/>
      <c r="B1389" s="123"/>
      <c r="C1389" s="130"/>
      <c r="F1389" s="123"/>
      <c r="G1389" s="180"/>
      <c r="H1389" s="150"/>
      <c r="J1389" s="130"/>
    </row>
    <row r="1390" spans="1:10" s="120" customFormat="1">
      <c r="A1390" s="130"/>
      <c r="B1390" s="123"/>
      <c r="C1390" s="130"/>
      <c r="F1390" s="123"/>
      <c r="G1390" s="180"/>
      <c r="H1390" s="150"/>
      <c r="J1390" s="130"/>
    </row>
    <row r="1391" spans="1:10" s="120" customFormat="1">
      <c r="A1391" s="130"/>
      <c r="B1391" s="123"/>
      <c r="C1391" s="130"/>
      <c r="F1391" s="123"/>
      <c r="G1391" s="180"/>
      <c r="H1391" s="150"/>
      <c r="J1391" s="130"/>
    </row>
    <row r="1392" spans="1:10" s="120" customFormat="1">
      <c r="A1392" s="130"/>
      <c r="B1392" s="123"/>
      <c r="C1392" s="130"/>
      <c r="F1392" s="123"/>
      <c r="G1392" s="180"/>
      <c r="H1392" s="150"/>
      <c r="J1392" s="130"/>
    </row>
    <row r="1393" spans="1:10" s="120" customFormat="1">
      <c r="A1393" s="130"/>
      <c r="B1393" s="123"/>
      <c r="C1393" s="130"/>
      <c r="F1393" s="123"/>
      <c r="G1393" s="180"/>
      <c r="H1393" s="150"/>
      <c r="J1393" s="130"/>
    </row>
    <row r="1394" spans="1:10" s="120" customFormat="1">
      <c r="A1394" s="130"/>
      <c r="B1394" s="123"/>
      <c r="C1394" s="130"/>
      <c r="F1394" s="123"/>
      <c r="G1394" s="180"/>
      <c r="H1394" s="150"/>
      <c r="J1394" s="130"/>
    </row>
    <row r="1395" spans="1:10" s="120" customFormat="1">
      <c r="A1395" s="130"/>
      <c r="B1395" s="123"/>
      <c r="C1395" s="130"/>
      <c r="F1395" s="123"/>
      <c r="G1395" s="180"/>
      <c r="H1395" s="150"/>
      <c r="J1395" s="130"/>
    </row>
    <row r="1396" spans="1:10" s="120" customFormat="1">
      <c r="A1396" s="130"/>
      <c r="B1396" s="123"/>
      <c r="C1396" s="130"/>
      <c r="F1396" s="123"/>
      <c r="G1396" s="180"/>
      <c r="H1396" s="150"/>
      <c r="J1396" s="130"/>
    </row>
    <row r="1397" spans="1:10" s="120" customFormat="1">
      <c r="A1397" s="130"/>
      <c r="B1397" s="123"/>
      <c r="C1397" s="130"/>
      <c r="F1397" s="123"/>
      <c r="G1397" s="180"/>
      <c r="H1397" s="150"/>
      <c r="J1397" s="130"/>
    </row>
    <row r="1398" spans="1:10" s="120" customFormat="1">
      <c r="A1398" s="130"/>
      <c r="B1398" s="123"/>
      <c r="C1398" s="130"/>
      <c r="F1398" s="123"/>
      <c r="G1398" s="180"/>
      <c r="H1398" s="150"/>
      <c r="J1398" s="130"/>
    </row>
    <row r="1399" spans="1:10" s="120" customFormat="1">
      <c r="A1399" s="130"/>
      <c r="B1399" s="123"/>
      <c r="C1399" s="130"/>
      <c r="F1399" s="123"/>
      <c r="G1399" s="180"/>
      <c r="H1399" s="150"/>
      <c r="J1399" s="130"/>
    </row>
    <row r="1400" spans="1:10" s="120" customFormat="1">
      <c r="A1400" s="130"/>
      <c r="B1400" s="123"/>
      <c r="C1400" s="130"/>
      <c r="F1400" s="123"/>
      <c r="G1400" s="180"/>
      <c r="H1400" s="150"/>
      <c r="J1400" s="130"/>
    </row>
    <row r="1401" spans="1:10" s="120" customFormat="1">
      <c r="A1401" s="130"/>
      <c r="B1401" s="123"/>
      <c r="C1401" s="130"/>
      <c r="F1401" s="123"/>
      <c r="G1401" s="180"/>
      <c r="H1401" s="150"/>
      <c r="J1401" s="130"/>
    </row>
    <row r="1402" spans="1:10" s="120" customFormat="1">
      <c r="A1402" s="130"/>
      <c r="B1402" s="123"/>
      <c r="C1402" s="130"/>
      <c r="F1402" s="123"/>
      <c r="G1402" s="180"/>
      <c r="H1402" s="150"/>
      <c r="J1402" s="130"/>
    </row>
    <row r="1403" spans="1:10" s="120" customFormat="1">
      <c r="A1403" s="130"/>
      <c r="B1403" s="123"/>
      <c r="C1403" s="130"/>
      <c r="F1403" s="123"/>
      <c r="G1403" s="180"/>
      <c r="H1403" s="150"/>
      <c r="J1403" s="130"/>
    </row>
    <row r="1404" spans="1:10" s="120" customFormat="1">
      <c r="A1404" s="130"/>
      <c r="B1404" s="123"/>
      <c r="C1404" s="130"/>
      <c r="F1404" s="123"/>
      <c r="G1404" s="180"/>
      <c r="H1404" s="150"/>
      <c r="J1404" s="130"/>
    </row>
    <row r="1405" spans="1:10" s="120" customFormat="1">
      <c r="A1405" s="130"/>
      <c r="B1405" s="123"/>
      <c r="C1405" s="130"/>
      <c r="F1405" s="123"/>
      <c r="G1405" s="180"/>
      <c r="H1405" s="150"/>
      <c r="J1405" s="130"/>
    </row>
    <row r="1406" spans="1:10" s="120" customFormat="1">
      <c r="A1406" s="130"/>
      <c r="B1406" s="123"/>
      <c r="C1406" s="130"/>
      <c r="F1406" s="123"/>
      <c r="G1406" s="180"/>
      <c r="H1406" s="150"/>
      <c r="J1406" s="130"/>
    </row>
    <row r="1407" spans="1:10" s="120" customFormat="1">
      <c r="A1407" s="130"/>
      <c r="B1407" s="123"/>
      <c r="C1407" s="130"/>
      <c r="F1407" s="123"/>
      <c r="G1407" s="180"/>
      <c r="H1407" s="150"/>
      <c r="J1407" s="130"/>
    </row>
    <row r="1408" spans="1:10" s="120" customFormat="1">
      <c r="A1408" s="130"/>
      <c r="B1408" s="123"/>
      <c r="C1408" s="130"/>
      <c r="F1408" s="123"/>
      <c r="G1408" s="180"/>
      <c r="H1408" s="150"/>
      <c r="J1408" s="130"/>
    </row>
    <row r="1409" spans="1:10" s="120" customFormat="1">
      <c r="A1409" s="130"/>
      <c r="B1409" s="123"/>
      <c r="C1409" s="130"/>
      <c r="F1409" s="123"/>
      <c r="G1409" s="180"/>
      <c r="H1409" s="150"/>
      <c r="J1409" s="130"/>
    </row>
    <row r="1410" spans="1:10" s="120" customFormat="1">
      <c r="A1410" s="130"/>
      <c r="B1410" s="123"/>
      <c r="C1410" s="130"/>
      <c r="F1410" s="123"/>
      <c r="G1410" s="180"/>
      <c r="H1410" s="150"/>
      <c r="J1410" s="130"/>
    </row>
    <row r="1411" spans="1:10" s="120" customFormat="1">
      <c r="A1411" s="130"/>
      <c r="B1411" s="123"/>
      <c r="C1411" s="130"/>
      <c r="F1411" s="123"/>
      <c r="G1411" s="180"/>
      <c r="H1411" s="150"/>
      <c r="J1411" s="130"/>
    </row>
    <row r="1412" spans="1:10" s="120" customFormat="1">
      <c r="A1412" s="130"/>
      <c r="B1412" s="123"/>
      <c r="C1412" s="130"/>
      <c r="F1412" s="123"/>
      <c r="G1412" s="180"/>
      <c r="H1412" s="150"/>
      <c r="J1412" s="130"/>
    </row>
    <row r="1413" spans="1:10" s="120" customFormat="1">
      <c r="A1413" s="130"/>
      <c r="B1413" s="123"/>
      <c r="C1413" s="130"/>
      <c r="F1413" s="123"/>
      <c r="G1413" s="180"/>
      <c r="H1413" s="150"/>
      <c r="J1413" s="130"/>
    </row>
    <row r="1414" spans="1:10" s="120" customFormat="1">
      <c r="A1414" s="130"/>
      <c r="B1414" s="123"/>
      <c r="C1414" s="130"/>
      <c r="F1414" s="123"/>
      <c r="G1414" s="180"/>
      <c r="H1414" s="150"/>
      <c r="J1414" s="130"/>
    </row>
    <row r="1415" spans="1:10" s="120" customFormat="1">
      <c r="A1415" s="130"/>
      <c r="B1415" s="123"/>
      <c r="C1415" s="130"/>
      <c r="F1415" s="123"/>
      <c r="G1415" s="180"/>
      <c r="H1415" s="150"/>
      <c r="J1415" s="130"/>
    </row>
    <row r="1416" spans="1:10" s="120" customFormat="1">
      <c r="A1416" s="130"/>
      <c r="B1416" s="123"/>
      <c r="C1416" s="130"/>
      <c r="F1416" s="123"/>
      <c r="G1416" s="180"/>
      <c r="H1416" s="150"/>
      <c r="J1416" s="130"/>
    </row>
    <row r="1417" spans="1:10" s="120" customFormat="1">
      <c r="A1417" s="130"/>
      <c r="B1417" s="123"/>
      <c r="C1417" s="130"/>
      <c r="F1417" s="123"/>
      <c r="G1417" s="180"/>
      <c r="H1417" s="150"/>
      <c r="J1417" s="130"/>
    </row>
    <row r="1418" spans="1:10" s="120" customFormat="1">
      <c r="A1418" s="130"/>
      <c r="B1418" s="123"/>
      <c r="C1418" s="130"/>
      <c r="F1418" s="123"/>
      <c r="G1418" s="180"/>
      <c r="H1418" s="150"/>
      <c r="J1418" s="130"/>
    </row>
    <row r="1419" spans="1:10" s="120" customFormat="1">
      <c r="A1419" s="130"/>
      <c r="B1419" s="123"/>
      <c r="C1419" s="130"/>
      <c r="F1419" s="123"/>
      <c r="G1419" s="180"/>
      <c r="H1419" s="150"/>
      <c r="J1419" s="130"/>
    </row>
    <row r="1420" spans="1:10" s="120" customFormat="1">
      <c r="A1420" s="130"/>
      <c r="B1420" s="123"/>
      <c r="C1420" s="130"/>
      <c r="F1420" s="123"/>
      <c r="G1420" s="180"/>
      <c r="H1420" s="150"/>
      <c r="J1420" s="130"/>
    </row>
    <row r="1421" spans="1:10" s="120" customFormat="1">
      <c r="A1421" s="130"/>
      <c r="B1421" s="123"/>
      <c r="C1421" s="130"/>
      <c r="F1421" s="123"/>
      <c r="G1421" s="180"/>
      <c r="H1421" s="150"/>
      <c r="J1421" s="130"/>
    </row>
    <row r="1422" spans="1:10" s="120" customFormat="1">
      <c r="A1422" s="130"/>
      <c r="B1422" s="123"/>
      <c r="C1422" s="130"/>
      <c r="F1422" s="123"/>
      <c r="G1422" s="180"/>
      <c r="H1422" s="150"/>
      <c r="J1422" s="130"/>
    </row>
    <row r="1423" spans="1:10" s="120" customFormat="1">
      <c r="A1423" s="130"/>
      <c r="B1423" s="123"/>
      <c r="C1423" s="130"/>
      <c r="F1423" s="123"/>
      <c r="G1423" s="180"/>
      <c r="H1423" s="150"/>
      <c r="J1423" s="130"/>
    </row>
    <row r="1424" spans="1:10" s="120" customFormat="1">
      <c r="A1424" s="130"/>
      <c r="B1424" s="123"/>
      <c r="C1424" s="130"/>
      <c r="F1424" s="123"/>
      <c r="G1424" s="180"/>
      <c r="H1424" s="150"/>
      <c r="J1424" s="130"/>
    </row>
    <row r="1425" spans="1:10" s="120" customFormat="1">
      <c r="A1425" s="130"/>
      <c r="B1425" s="123"/>
      <c r="C1425" s="130"/>
      <c r="F1425" s="123"/>
      <c r="G1425" s="180"/>
      <c r="H1425" s="150"/>
      <c r="J1425" s="130"/>
    </row>
    <row r="1426" spans="1:10" s="120" customFormat="1">
      <c r="A1426" s="130"/>
      <c r="B1426" s="123"/>
      <c r="C1426" s="130"/>
      <c r="F1426" s="123"/>
      <c r="G1426" s="180"/>
      <c r="H1426" s="150"/>
      <c r="J1426" s="130"/>
    </row>
    <row r="1427" spans="1:10" s="120" customFormat="1">
      <c r="A1427" s="130"/>
      <c r="B1427" s="123"/>
      <c r="C1427" s="130"/>
      <c r="F1427" s="123"/>
      <c r="G1427" s="180"/>
      <c r="H1427" s="150"/>
      <c r="J1427" s="130"/>
    </row>
    <row r="1428" spans="1:10" s="120" customFormat="1">
      <c r="A1428" s="130"/>
      <c r="B1428" s="123"/>
      <c r="C1428" s="130"/>
      <c r="F1428" s="123"/>
      <c r="G1428" s="180"/>
      <c r="H1428" s="150"/>
      <c r="J1428" s="130"/>
    </row>
    <row r="1429" spans="1:10" s="120" customFormat="1">
      <c r="A1429" s="130"/>
      <c r="B1429" s="123"/>
      <c r="C1429" s="130"/>
      <c r="F1429" s="123"/>
      <c r="G1429" s="180"/>
      <c r="H1429" s="150"/>
      <c r="J1429" s="130"/>
    </row>
    <row r="1430" spans="1:10" s="120" customFormat="1">
      <c r="A1430" s="130"/>
      <c r="B1430" s="123"/>
      <c r="C1430" s="130"/>
      <c r="F1430" s="123"/>
      <c r="G1430" s="180"/>
      <c r="H1430" s="150"/>
      <c r="J1430" s="130"/>
    </row>
    <row r="1431" spans="1:10" s="120" customFormat="1">
      <c r="A1431" s="130"/>
      <c r="B1431" s="123"/>
      <c r="C1431" s="130"/>
      <c r="F1431" s="123"/>
      <c r="G1431" s="180"/>
      <c r="H1431" s="150"/>
      <c r="J1431" s="130"/>
    </row>
    <row r="1432" spans="1:10" s="120" customFormat="1">
      <c r="A1432" s="130"/>
      <c r="B1432" s="123"/>
      <c r="C1432" s="130"/>
      <c r="F1432" s="123"/>
      <c r="G1432" s="180"/>
      <c r="H1432" s="150"/>
      <c r="J1432" s="130"/>
    </row>
    <row r="1433" spans="1:10" s="120" customFormat="1">
      <c r="A1433" s="130"/>
      <c r="B1433" s="123"/>
      <c r="C1433" s="130"/>
      <c r="F1433" s="123"/>
      <c r="G1433" s="180"/>
      <c r="H1433" s="150"/>
      <c r="J1433" s="130"/>
    </row>
    <row r="1434" spans="1:10" s="120" customFormat="1">
      <c r="A1434" s="130"/>
      <c r="B1434" s="123"/>
      <c r="C1434" s="130"/>
      <c r="F1434" s="123"/>
      <c r="G1434" s="180"/>
      <c r="H1434" s="150"/>
      <c r="J1434" s="130"/>
    </row>
    <row r="1435" spans="1:10" s="120" customFormat="1">
      <c r="A1435" s="130"/>
      <c r="B1435" s="123"/>
      <c r="C1435" s="130"/>
      <c r="F1435" s="123"/>
      <c r="G1435" s="180"/>
      <c r="H1435" s="150"/>
      <c r="J1435" s="130"/>
    </row>
    <row r="1436" spans="1:10" s="120" customFormat="1">
      <c r="A1436" s="130"/>
      <c r="B1436" s="123"/>
      <c r="C1436" s="130"/>
      <c r="F1436" s="123"/>
      <c r="G1436" s="180"/>
      <c r="H1436" s="150"/>
      <c r="J1436" s="130"/>
    </row>
    <row r="1437" spans="1:10" s="120" customFormat="1">
      <c r="A1437" s="130"/>
      <c r="B1437" s="123"/>
      <c r="C1437" s="130"/>
      <c r="F1437" s="123"/>
      <c r="G1437" s="180"/>
      <c r="H1437" s="150"/>
      <c r="J1437" s="130"/>
    </row>
    <row r="1438" spans="1:10" s="120" customFormat="1">
      <c r="A1438" s="130"/>
      <c r="B1438" s="123"/>
      <c r="C1438" s="130"/>
      <c r="F1438" s="123"/>
      <c r="G1438" s="180"/>
      <c r="H1438" s="150"/>
      <c r="J1438" s="130"/>
    </row>
    <row r="1439" spans="1:10" s="120" customFormat="1">
      <c r="A1439" s="130"/>
      <c r="B1439" s="123"/>
      <c r="C1439" s="130"/>
      <c r="F1439" s="123"/>
      <c r="G1439" s="180"/>
      <c r="H1439" s="150"/>
      <c r="J1439" s="130"/>
    </row>
    <row r="1440" spans="1:10" s="120" customFormat="1">
      <c r="A1440" s="130"/>
      <c r="B1440" s="123"/>
      <c r="C1440" s="130"/>
      <c r="F1440" s="123"/>
      <c r="G1440" s="180"/>
      <c r="H1440" s="150"/>
      <c r="J1440" s="130"/>
    </row>
    <row r="1441" spans="1:10" s="120" customFormat="1">
      <c r="A1441" s="130"/>
      <c r="B1441" s="123"/>
      <c r="C1441" s="130"/>
      <c r="F1441" s="123"/>
      <c r="G1441" s="180"/>
      <c r="H1441" s="150"/>
      <c r="J1441" s="130"/>
    </row>
    <row r="1442" spans="1:10" s="120" customFormat="1">
      <c r="A1442" s="130"/>
      <c r="B1442" s="123"/>
      <c r="C1442" s="130"/>
      <c r="F1442" s="123"/>
      <c r="G1442" s="180"/>
      <c r="H1442" s="150"/>
      <c r="J1442" s="130"/>
    </row>
    <row r="1443" spans="1:10" s="120" customFormat="1">
      <c r="A1443" s="130"/>
      <c r="B1443" s="123"/>
      <c r="C1443" s="130"/>
      <c r="F1443" s="123"/>
      <c r="G1443" s="180"/>
      <c r="H1443" s="150"/>
      <c r="J1443" s="130"/>
    </row>
    <row r="1444" spans="1:10" s="120" customFormat="1">
      <c r="A1444" s="130"/>
      <c r="B1444" s="123"/>
      <c r="C1444" s="130"/>
      <c r="F1444" s="123"/>
      <c r="G1444" s="180"/>
      <c r="H1444" s="150"/>
      <c r="J1444" s="130"/>
    </row>
    <row r="1445" spans="1:10" s="120" customFormat="1">
      <c r="A1445" s="130"/>
      <c r="B1445" s="123"/>
      <c r="C1445" s="130"/>
      <c r="F1445" s="123"/>
      <c r="G1445" s="180"/>
      <c r="H1445" s="150"/>
      <c r="J1445" s="130"/>
    </row>
    <row r="1446" spans="1:10" s="120" customFormat="1">
      <c r="A1446" s="130"/>
      <c r="B1446" s="123"/>
      <c r="C1446" s="130"/>
      <c r="F1446" s="123"/>
      <c r="G1446" s="180"/>
      <c r="H1446" s="150"/>
      <c r="J1446" s="130"/>
    </row>
    <row r="1447" spans="1:10" s="120" customFormat="1">
      <c r="A1447" s="130"/>
      <c r="B1447" s="123"/>
      <c r="C1447" s="130"/>
      <c r="F1447" s="123"/>
      <c r="G1447" s="180"/>
      <c r="H1447" s="150"/>
      <c r="J1447" s="130"/>
    </row>
    <row r="1448" spans="1:10" s="120" customFormat="1">
      <c r="A1448" s="130"/>
      <c r="B1448" s="123"/>
      <c r="C1448" s="130"/>
      <c r="F1448" s="123"/>
      <c r="G1448" s="180"/>
      <c r="H1448" s="150"/>
      <c r="J1448" s="130"/>
    </row>
    <row r="1449" spans="1:10" s="120" customFormat="1">
      <c r="A1449" s="130"/>
      <c r="B1449" s="123"/>
      <c r="C1449" s="130"/>
      <c r="F1449" s="123"/>
      <c r="G1449" s="180"/>
      <c r="H1449" s="150"/>
      <c r="J1449" s="130"/>
    </row>
    <row r="1450" spans="1:10" s="120" customFormat="1">
      <c r="A1450" s="130"/>
      <c r="B1450" s="123"/>
      <c r="C1450" s="130"/>
      <c r="F1450" s="123"/>
      <c r="G1450" s="180"/>
      <c r="H1450" s="150"/>
      <c r="J1450" s="130"/>
    </row>
    <row r="1451" spans="1:10" s="120" customFormat="1">
      <c r="A1451" s="130"/>
      <c r="B1451" s="123"/>
      <c r="C1451" s="130"/>
      <c r="F1451" s="123"/>
      <c r="G1451" s="180"/>
      <c r="H1451" s="150"/>
      <c r="J1451" s="130"/>
    </row>
    <row r="1452" spans="1:10" s="120" customFormat="1">
      <c r="A1452" s="130"/>
      <c r="B1452" s="123"/>
      <c r="C1452" s="130"/>
      <c r="F1452" s="123"/>
      <c r="G1452" s="180"/>
      <c r="H1452" s="150"/>
      <c r="J1452" s="130"/>
    </row>
    <row r="1453" spans="1:10" s="120" customFormat="1">
      <c r="A1453" s="130"/>
      <c r="B1453" s="123"/>
      <c r="C1453" s="130"/>
      <c r="F1453" s="123"/>
      <c r="G1453" s="180"/>
      <c r="H1453" s="150"/>
      <c r="J1453" s="130"/>
    </row>
    <row r="1454" spans="1:10" s="120" customFormat="1">
      <c r="A1454" s="130"/>
      <c r="B1454" s="123"/>
      <c r="C1454" s="130"/>
      <c r="F1454" s="123"/>
      <c r="G1454" s="180"/>
      <c r="H1454" s="150"/>
      <c r="J1454" s="130"/>
    </row>
    <row r="1455" spans="1:10" s="120" customFormat="1">
      <c r="A1455" s="130"/>
      <c r="B1455" s="123"/>
      <c r="C1455" s="130"/>
      <c r="F1455" s="123"/>
      <c r="G1455" s="180"/>
      <c r="H1455" s="150"/>
      <c r="J1455" s="130"/>
    </row>
    <row r="1456" spans="1:10" s="120" customFormat="1">
      <c r="A1456" s="130"/>
      <c r="B1456" s="123"/>
      <c r="C1456" s="130"/>
      <c r="F1456" s="123"/>
      <c r="G1456" s="180"/>
      <c r="H1456" s="150"/>
      <c r="J1456" s="130"/>
    </row>
    <row r="1457" spans="1:10" s="120" customFormat="1">
      <c r="A1457" s="130"/>
      <c r="B1457" s="123"/>
      <c r="C1457" s="130"/>
      <c r="F1457" s="123"/>
      <c r="G1457" s="180"/>
      <c r="H1457" s="150"/>
      <c r="J1457" s="130"/>
    </row>
    <row r="1458" spans="1:10" s="120" customFormat="1">
      <c r="A1458" s="130"/>
      <c r="B1458" s="123"/>
      <c r="C1458" s="130"/>
      <c r="F1458" s="123"/>
      <c r="G1458" s="180"/>
      <c r="H1458" s="150"/>
      <c r="J1458" s="130"/>
    </row>
    <row r="1459" spans="1:10" s="120" customFormat="1">
      <c r="A1459" s="130"/>
      <c r="B1459" s="123"/>
      <c r="C1459" s="130"/>
      <c r="F1459" s="123"/>
      <c r="G1459" s="180"/>
      <c r="H1459" s="150"/>
      <c r="J1459" s="130"/>
    </row>
    <row r="1460" spans="1:10" s="120" customFormat="1">
      <c r="A1460" s="130"/>
      <c r="B1460" s="123"/>
      <c r="C1460" s="130"/>
      <c r="F1460" s="123"/>
      <c r="G1460" s="180"/>
      <c r="H1460" s="150"/>
      <c r="J1460" s="130"/>
    </row>
    <row r="1461" spans="1:10" s="120" customFormat="1">
      <c r="A1461" s="130"/>
      <c r="B1461" s="123"/>
      <c r="C1461" s="130"/>
      <c r="F1461" s="123"/>
      <c r="G1461" s="180"/>
      <c r="H1461" s="150"/>
      <c r="J1461" s="130"/>
    </row>
    <row r="1462" spans="1:10" s="120" customFormat="1">
      <c r="A1462" s="130"/>
      <c r="B1462" s="123"/>
      <c r="C1462" s="130"/>
      <c r="F1462" s="123"/>
      <c r="G1462" s="180"/>
      <c r="H1462" s="150"/>
      <c r="J1462" s="130"/>
    </row>
    <row r="1463" spans="1:10" s="120" customFormat="1">
      <c r="A1463" s="130"/>
      <c r="B1463" s="123"/>
      <c r="C1463" s="130"/>
      <c r="F1463" s="123"/>
      <c r="G1463" s="180"/>
      <c r="H1463" s="150"/>
      <c r="J1463" s="130"/>
    </row>
    <row r="1464" spans="1:10" s="120" customFormat="1">
      <c r="A1464" s="130"/>
      <c r="B1464" s="123"/>
      <c r="C1464" s="130"/>
      <c r="F1464" s="123"/>
      <c r="G1464" s="180"/>
      <c r="H1464" s="150"/>
      <c r="J1464" s="130"/>
    </row>
    <row r="1465" spans="1:10" s="120" customFormat="1">
      <c r="A1465" s="130"/>
      <c r="B1465" s="123"/>
      <c r="C1465" s="130"/>
      <c r="F1465" s="123"/>
      <c r="G1465" s="180"/>
      <c r="H1465" s="150"/>
      <c r="J1465" s="130"/>
    </row>
    <row r="1466" spans="1:10" s="120" customFormat="1">
      <c r="A1466" s="130"/>
      <c r="B1466" s="123"/>
      <c r="C1466" s="130"/>
      <c r="F1466" s="123"/>
      <c r="G1466" s="180"/>
      <c r="H1466" s="150"/>
      <c r="J1466" s="130"/>
    </row>
    <row r="1467" spans="1:10" s="120" customFormat="1">
      <c r="A1467" s="130"/>
      <c r="B1467" s="123"/>
      <c r="C1467" s="130"/>
      <c r="F1467" s="123"/>
      <c r="G1467" s="180"/>
      <c r="H1467" s="150"/>
      <c r="J1467" s="130"/>
    </row>
    <row r="1468" spans="1:10" s="120" customFormat="1">
      <c r="A1468" s="130"/>
      <c r="B1468" s="123"/>
      <c r="C1468" s="130"/>
      <c r="F1468" s="123"/>
      <c r="G1468" s="180"/>
      <c r="H1468" s="150"/>
      <c r="J1468" s="130"/>
    </row>
    <row r="1469" spans="1:10" s="120" customFormat="1">
      <c r="A1469" s="130"/>
      <c r="B1469" s="123"/>
      <c r="C1469" s="130"/>
      <c r="F1469" s="123"/>
      <c r="G1469" s="180"/>
      <c r="H1469" s="150"/>
      <c r="J1469" s="130"/>
    </row>
    <row r="1470" spans="1:10" s="120" customFormat="1">
      <c r="A1470" s="130"/>
      <c r="B1470" s="123"/>
      <c r="C1470" s="130"/>
      <c r="F1470" s="123"/>
      <c r="G1470" s="180"/>
      <c r="H1470" s="150"/>
      <c r="J1470" s="130"/>
    </row>
    <row r="1471" spans="1:10" s="120" customFormat="1">
      <c r="A1471" s="130"/>
      <c r="B1471" s="123"/>
      <c r="C1471" s="130"/>
      <c r="F1471" s="123"/>
      <c r="G1471" s="180"/>
      <c r="H1471" s="150"/>
      <c r="J1471" s="130"/>
    </row>
    <row r="1472" spans="1:10" s="120" customFormat="1">
      <c r="A1472" s="130"/>
      <c r="B1472" s="123"/>
      <c r="C1472" s="130"/>
      <c r="F1472" s="123"/>
      <c r="G1472" s="180"/>
      <c r="H1472" s="150"/>
      <c r="J1472" s="130"/>
    </row>
    <row r="1473" spans="1:10" s="120" customFormat="1">
      <c r="A1473" s="130"/>
      <c r="B1473" s="123"/>
      <c r="C1473" s="130"/>
      <c r="F1473" s="123"/>
      <c r="G1473" s="180"/>
      <c r="H1473" s="150"/>
      <c r="J1473" s="130"/>
    </row>
    <row r="1474" spans="1:10" s="120" customFormat="1">
      <c r="A1474" s="130"/>
      <c r="B1474" s="123"/>
      <c r="C1474" s="130"/>
      <c r="F1474" s="123"/>
      <c r="G1474" s="180"/>
      <c r="H1474" s="150"/>
      <c r="J1474" s="130"/>
    </row>
    <row r="1475" spans="1:10" s="120" customFormat="1">
      <c r="A1475" s="130"/>
      <c r="B1475" s="123"/>
      <c r="C1475" s="130"/>
      <c r="F1475" s="123"/>
      <c r="G1475" s="180"/>
      <c r="H1475" s="150"/>
      <c r="J1475" s="130"/>
    </row>
    <row r="1476" spans="1:10" s="120" customFormat="1">
      <c r="A1476" s="130"/>
      <c r="B1476" s="123"/>
      <c r="C1476" s="130"/>
      <c r="F1476" s="123"/>
      <c r="G1476" s="180"/>
      <c r="H1476" s="150"/>
      <c r="J1476" s="130"/>
    </row>
    <row r="1477" spans="1:10" s="120" customFormat="1">
      <c r="A1477" s="130"/>
      <c r="B1477" s="123"/>
      <c r="C1477" s="130"/>
      <c r="F1477" s="123"/>
      <c r="G1477" s="180"/>
      <c r="H1477" s="150"/>
      <c r="J1477" s="130"/>
    </row>
    <row r="1478" spans="1:10" s="120" customFormat="1">
      <c r="A1478" s="130"/>
      <c r="B1478" s="123"/>
      <c r="C1478" s="130"/>
      <c r="F1478" s="123"/>
      <c r="G1478" s="180"/>
      <c r="H1478" s="150"/>
      <c r="J1478" s="130"/>
    </row>
    <row r="1479" spans="1:10" s="120" customFormat="1">
      <c r="A1479" s="130"/>
      <c r="B1479" s="123"/>
      <c r="C1479" s="130"/>
      <c r="F1479" s="123"/>
      <c r="G1479" s="180"/>
      <c r="H1479" s="150"/>
      <c r="J1479" s="130"/>
    </row>
    <row r="1480" spans="1:10" s="120" customFormat="1">
      <c r="A1480" s="130"/>
      <c r="B1480" s="123"/>
      <c r="C1480" s="130"/>
      <c r="F1480" s="123"/>
      <c r="G1480" s="180"/>
      <c r="H1480" s="150"/>
      <c r="J1480" s="130"/>
    </row>
    <row r="1481" spans="1:10" s="120" customFormat="1">
      <c r="A1481" s="130"/>
      <c r="B1481" s="123"/>
      <c r="C1481" s="130"/>
      <c r="F1481" s="123"/>
      <c r="G1481" s="180"/>
      <c r="H1481" s="150"/>
      <c r="J1481" s="130"/>
    </row>
    <row r="1482" spans="1:10" s="120" customFormat="1">
      <c r="A1482" s="130"/>
      <c r="B1482" s="123"/>
      <c r="C1482" s="130"/>
      <c r="F1482" s="123"/>
      <c r="G1482" s="180"/>
      <c r="H1482" s="150"/>
      <c r="J1482" s="130"/>
    </row>
    <row r="1483" spans="1:10" s="120" customFormat="1">
      <c r="A1483" s="130"/>
      <c r="B1483" s="123"/>
      <c r="C1483" s="130"/>
      <c r="F1483" s="123"/>
      <c r="G1483" s="180"/>
      <c r="H1483" s="150"/>
      <c r="J1483" s="130"/>
    </row>
    <row r="1484" spans="1:10" s="120" customFormat="1">
      <c r="A1484" s="130"/>
      <c r="B1484" s="123"/>
      <c r="C1484" s="130"/>
      <c r="F1484" s="123"/>
      <c r="G1484" s="180"/>
      <c r="H1484" s="150"/>
      <c r="J1484" s="130"/>
    </row>
    <row r="1485" spans="1:10" s="120" customFormat="1">
      <c r="A1485" s="130"/>
      <c r="B1485" s="123"/>
      <c r="C1485" s="130"/>
      <c r="F1485" s="123"/>
      <c r="G1485" s="180"/>
      <c r="H1485" s="150"/>
      <c r="J1485" s="130"/>
    </row>
    <row r="1486" spans="1:10" s="120" customFormat="1">
      <c r="A1486" s="130"/>
      <c r="B1486" s="123"/>
      <c r="C1486" s="130"/>
      <c r="F1486" s="123"/>
      <c r="G1486" s="180"/>
      <c r="H1486" s="150"/>
      <c r="J1486" s="130"/>
    </row>
    <row r="1487" spans="1:10" s="120" customFormat="1">
      <c r="A1487" s="130"/>
      <c r="B1487" s="123"/>
      <c r="C1487" s="130"/>
      <c r="F1487" s="123"/>
      <c r="G1487" s="180"/>
      <c r="H1487" s="150"/>
      <c r="J1487" s="130"/>
    </row>
    <row r="1488" spans="1:10" s="120" customFormat="1">
      <c r="A1488" s="130"/>
      <c r="B1488" s="123"/>
      <c r="C1488" s="130"/>
      <c r="F1488" s="123"/>
      <c r="G1488" s="180"/>
      <c r="H1488" s="150"/>
      <c r="J1488" s="130"/>
    </row>
    <row r="1489" spans="1:10" s="120" customFormat="1">
      <c r="A1489" s="130"/>
      <c r="B1489" s="123"/>
      <c r="C1489" s="130"/>
      <c r="F1489" s="123"/>
      <c r="G1489" s="180"/>
      <c r="H1489" s="150"/>
      <c r="J1489" s="130"/>
    </row>
    <row r="1490" spans="1:10" s="120" customFormat="1">
      <c r="A1490" s="130"/>
      <c r="B1490" s="123"/>
      <c r="C1490" s="130"/>
      <c r="F1490" s="123"/>
      <c r="G1490" s="180"/>
      <c r="H1490" s="150"/>
      <c r="J1490" s="130"/>
    </row>
    <row r="1491" spans="1:10" s="120" customFormat="1">
      <c r="A1491" s="130"/>
      <c r="B1491" s="123"/>
      <c r="C1491" s="130"/>
      <c r="F1491" s="123"/>
      <c r="G1491" s="180"/>
      <c r="H1491" s="150"/>
      <c r="J1491" s="130"/>
    </row>
    <row r="1492" spans="1:10" s="120" customFormat="1">
      <c r="A1492" s="130"/>
      <c r="B1492" s="123"/>
      <c r="C1492" s="130"/>
      <c r="F1492" s="123"/>
      <c r="G1492" s="180"/>
      <c r="H1492" s="150"/>
      <c r="J1492" s="130"/>
    </row>
    <row r="1493" spans="1:10" s="120" customFormat="1">
      <c r="A1493" s="130"/>
      <c r="B1493" s="123"/>
      <c r="C1493" s="130"/>
      <c r="F1493" s="123"/>
      <c r="G1493" s="180"/>
      <c r="H1493" s="150"/>
      <c r="J1493" s="130"/>
    </row>
    <row r="1494" spans="1:10" s="120" customFormat="1">
      <c r="A1494" s="130"/>
      <c r="B1494" s="123"/>
      <c r="C1494" s="130"/>
      <c r="F1494" s="123"/>
      <c r="G1494" s="180"/>
      <c r="H1494" s="150"/>
      <c r="J1494" s="130"/>
    </row>
    <row r="1495" spans="1:10" s="120" customFormat="1">
      <c r="A1495" s="130"/>
      <c r="B1495" s="123"/>
      <c r="C1495" s="130"/>
      <c r="F1495" s="123"/>
      <c r="G1495" s="180"/>
      <c r="H1495" s="150"/>
      <c r="J1495" s="130"/>
    </row>
    <row r="1496" spans="1:10" s="120" customFormat="1">
      <c r="A1496" s="130"/>
      <c r="B1496" s="123"/>
      <c r="C1496" s="130"/>
      <c r="F1496" s="123"/>
      <c r="G1496" s="180"/>
      <c r="H1496" s="150"/>
      <c r="J1496" s="130"/>
    </row>
    <row r="1497" spans="1:10" s="120" customFormat="1">
      <c r="A1497" s="130"/>
      <c r="B1497" s="123"/>
      <c r="C1497" s="130"/>
      <c r="F1497" s="123"/>
      <c r="G1497" s="180"/>
      <c r="H1497" s="150"/>
      <c r="J1497" s="130"/>
    </row>
    <row r="1498" spans="1:10" s="120" customFormat="1">
      <c r="A1498" s="130"/>
      <c r="B1498" s="123"/>
      <c r="C1498" s="130"/>
      <c r="F1498" s="123"/>
      <c r="G1498" s="180"/>
      <c r="H1498" s="150"/>
      <c r="J1498" s="130"/>
    </row>
    <row r="1499" spans="1:10" s="120" customFormat="1">
      <c r="A1499" s="130"/>
      <c r="B1499" s="123"/>
      <c r="C1499" s="130"/>
      <c r="F1499" s="123"/>
      <c r="G1499" s="180"/>
      <c r="H1499" s="150"/>
      <c r="J1499" s="130"/>
    </row>
    <row r="1500" spans="1:10" s="120" customFormat="1">
      <c r="A1500" s="130"/>
      <c r="B1500" s="123"/>
      <c r="C1500" s="130"/>
      <c r="F1500" s="123"/>
      <c r="G1500" s="180"/>
      <c r="H1500" s="150"/>
      <c r="J1500" s="130"/>
    </row>
    <row r="1501" spans="1:10" s="120" customFormat="1">
      <c r="A1501" s="130"/>
      <c r="B1501" s="123"/>
      <c r="C1501" s="130"/>
      <c r="F1501" s="123"/>
      <c r="G1501" s="180"/>
      <c r="H1501" s="150"/>
      <c r="J1501" s="130"/>
    </row>
    <row r="1502" spans="1:10" s="120" customFormat="1">
      <c r="A1502" s="130"/>
      <c r="B1502" s="123"/>
      <c r="C1502" s="130"/>
      <c r="F1502" s="123"/>
      <c r="G1502" s="180"/>
      <c r="H1502" s="150"/>
      <c r="J1502" s="130"/>
    </row>
    <row r="1503" spans="1:10" s="120" customFormat="1">
      <c r="A1503" s="130"/>
      <c r="B1503" s="123"/>
      <c r="C1503" s="130"/>
      <c r="F1503" s="123"/>
      <c r="G1503" s="180"/>
      <c r="H1503" s="150"/>
      <c r="J1503" s="130"/>
    </row>
    <row r="1504" spans="1:10" s="120" customFormat="1">
      <c r="A1504" s="130"/>
      <c r="B1504" s="123"/>
      <c r="C1504" s="130"/>
      <c r="F1504" s="123"/>
      <c r="G1504" s="180"/>
      <c r="H1504" s="150"/>
      <c r="J1504" s="130"/>
    </row>
    <row r="1505" spans="1:10" s="120" customFormat="1">
      <c r="A1505" s="130"/>
      <c r="B1505" s="123"/>
      <c r="C1505" s="130"/>
      <c r="F1505" s="123"/>
      <c r="G1505" s="180"/>
      <c r="H1505" s="150"/>
      <c r="J1505" s="130"/>
    </row>
    <row r="1506" spans="1:10" s="120" customFormat="1">
      <c r="A1506" s="130"/>
      <c r="B1506" s="123"/>
      <c r="C1506" s="130"/>
      <c r="F1506" s="123"/>
      <c r="G1506" s="180"/>
      <c r="H1506" s="150"/>
      <c r="J1506" s="130"/>
    </row>
    <row r="1507" spans="1:10" s="120" customFormat="1">
      <c r="A1507" s="130"/>
      <c r="B1507" s="123"/>
      <c r="C1507" s="130"/>
      <c r="F1507" s="123"/>
      <c r="G1507" s="180"/>
      <c r="H1507" s="150"/>
      <c r="J1507" s="130"/>
    </row>
    <row r="1508" spans="1:10" s="120" customFormat="1">
      <c r="A1508" s="130"/>
      <c r="B1508" s="123"/>
      <c r="C1508" s="130"/>
      <c r="F1508" s="123"/>
      <c r="G1508" s="180"/>
      <c r="H1508" s="150"/>
      <c r="J1508" s="130"/>
    </row>
    <row r="1509" spans="1:10" s="120" customFormat="1">
      <c r="A1509" s="130"/>
      <c r="B1509" s="123"/>
      <c r="C1509" s="130"/>
      <c r="F1509" s="123"/>
      <c r="G1509" s="180"/>
      <c r="H1509" s="150"/>
      <c r="J1509" s="130"/>
    </row>
    <row r="1510" spans="1:10" s="120" customFormat="1">
      <c r="A1510" s="130"/>
      <c r="B1510" s="123"/>
      <c r="C1510" s="130"/>
      <c r="F1510" s="123"/>
      <c r="G1510" s="180"/>
      <c r="H1510" s="150"/>
      <c r="J1510" s="130"/>
    </row>
    <row r="1511" spans="1:10" s="120" customFormat="1">
      <c r="A1511" s="130"/>
      <c r="B1511" s="123"/>
      <c r="C1511" s="130"/>
      <c r="F1511" s="123"/>
      <c r="G1511" s="180"/>
      <c r="H1511" s="150"/>
      <c r="J1511" s="130"/>
    </row>
    <row r="1512" spans="1:10" s="120" customFormat="1">
      <c r="A1512" s="130"/>
      <c r="B1512" s="123"/>
      <c r="C1512" s="130"/>
      <c r="F1512" s="123"/>
      <c r="G1512" s="180"/>
      <c r="H1512" s="150"/>
      <c r="J1512" s="130"/>
    </row>
    <row r="1513" spans="1:10" s="120" customFormat="1">
      <c r="A1513" s="130"/>
      <c r="B1513" s="123"/>
      <c r="C1513" s="130"/>
      <c r="F1513" s="123"/>
      <c r="G1513" s="180"/>
      <c r="H1513" s="150"/>
      <c r="J1513" s="130"/>
    </row>
    <row r="1514" spans="1:10" s="120" customFormat="1">
      <c r="A1514" s="130"/>
      <c r="B1514" s="123"/>
      <c r="C1514" s="130"/>
      <c r="F1514" s="123"/>
      <c r="G1514" s="180"/>
      <c r="H1514" s="150"/>
      <c r="J1514" s="130"/>
    </row>
    <row r="1515" spans="1:10" s="120" customFormat="1">
      <c r="A1515" s="130"/>
      <c r="B1515" s="123"/>
      <c r="C1515" s="130"/>
      <c r="F1515" s="123"/>
      <c r="G1515" s="180"/>
      <c r="H1515" s="150"/>
      <c r="J1515" s="130"/>
    </row>
    <row r="1516" spans="1:10" s="120" customFormat="1">
      <c r="A1516" s="130"/>
      <c r="B1516" s="123"/>
      <c r="C1516" s="130"/>
      <c r="F1516" s="123"/>
      <c r="G1516" s="180"/>
      <c r="H1516" s="150"/>
      <c r="J1516" s="130"/>
    </row>
    <row r="1517" spans="1:10" s="120" customFormat="1">
      <c r="A1517" s="130"/>
      <c r="B1517" s="123"/>
      <c r="C1517" s="130"/>
      <c r="F1517" s="123"/>
      <c r="G1517" s="180"/>
      <c r="H1517" s="150"/>
      <c r="J1517" s="130"/>
    </row>
    <row r="1518" spans="1:10" s="120" customFormat="1">
      <c r="A1518" s="130"/>
      <c r="B1518" s="123"/>
      <c r="C1518" s="130"/>
      <c r="F1518" s="123"/>
      <c r="G1518" s="180"/>
      <c r="H1518" s="150"/>
      <c r="J1518" s="130"/>
    </row>
    <row r="1519" spans="1:10" s="120" customFormat="1">
      <c r="A1519" s="130"/>
      <c r="B1519" s="123"/>
      <c r="C1519" s="130"/>
      <c r="F1519" s="123"/>
      <c r="G1519" s="180"/>
      <c r="H1519" s="150"/>
      <c r="J1519" s="130"/>
    </row>
    <row r="1520" spans="1:10" s="120" customFormat="1">
      <c r="A1520" s="130"/>
      <c r="B1520" s="123"/>
      <c r="C1520" s="130"/>
      <c r="F1520" s="123"/>
      <c r="G1520" s="180"/>
      <c r="H1520" s="150"/>
      <c r="J1520" s="130"/>
    </row>
    <row r="1521" spans="1:10" s="120" customFormat="1">
      <c r="A1521" s="130"/>
      <c r="B1521" s="123"/>
      <c r="C1521" s="130"/>
      <c r="F1521" s="123"/>
      <c r="G1521" s="180"/>
      <c r="H1521" s="150"/>
      <c r="J1521" s="130"/>
    </row>
    <row r="1522" spans="1:10" s="120" customFormat="1">
      <c r="A1522" s="130"/>
      <c r="B1522" s="123"/>
      <c r="C1522" s="130"/>
      <c r="F1522" s="123"/>
      <c r="G1522" s="180"/>
      <c r="H1522" s="150"/>
      <c r="J1522" s="130"/>
    </row>
    <row r="1523" spans="1:10" s="120" customFormat="1">
      <c r="A1523" s="130"/>
      <c r="B1523" s="123"/>
      <c r="C1523" s="130"/>
      <c r="F1523" s="123"/>
      <c r="G1523" s="180"/>
      <c r="H1523" s="150"/>
      <c r="J1523" s="130"/>
    </row>
    <row r="1524" spans="1:10" s="120" customFormat="1">
      <c r="A1524" s="130"/>
      <c r="B1524" s="123"/>
      <c r="C1524" s="130"/>
      <c r="F1524" s="123"/>
      <c r="G1524" s="180"/>
      <c r="H1524" s="150"/>
      <c r="J1524" s="130"/>
    </row>
    <row r="1525" spans="1:10" s="120" customFormat="1">
      <c r="A1525" s="130"/>
      <c r="B1525" s="123"/>
      <c r="C1525" s="130"/>
      <c r="F1525" s="123"/>
      <c r="G1525" s="180"/>
      <c r="H1525" s="150"/>
      <c r="J1525" s="130"/>
    </row>
    <row r="1526" spans="1:10" s="120" customFormat="1">
      <c r="A1526" s="130"/>
      <c r="B1526" s="123"/>
      <c r="C1526" s="130"/>
      <c r="F1526" s="123"/>
      <c r="G1526" s="180"/>
      <c r="H1526" s="150"/>
      <c r="J1526" s="130"/>
    </row>
    <row r="1527" spans="1:10" s="120" customFormat="1">
      <c r="A1527" s="130"/>
      <c r="B1527" s="123"/>
      <c r="C1527" s="130"/>
      <c r="F1527" s="123"/>
      <c r="G1527" s="180"/>
      <c r="H1527" s="150"/>
      <c r="J1527" s="130"/>
    </row>
    <row r="1528" spans="1:10" s="120" customFormat="1">
      <c r="A1528" s="130"/>
      <c r="B1528" s="123"/>
      <c r="C1528" s="130"/>
      <c r="F1528" s="123"/>
      <c r="G1528" s="180"/>
      <c r="H1528" s="150"/>
      <c r="J1528" s="130"/>
    </row>
    <row r="1529" spans="1:10" s="120" customFormat="1">
      <c r="A1529" s="130"/>
      <c r="B1529" s="123"/>
      <c r="C1529" s="130"/>
      <c r="F1529" s="123"/>
      <c r="G1529" s="180"/>
      <c r="H1529" s="150"/>
      <c r="J1529" s="130"/>
    </row>
    <row r="1530" spans="1:10" s="120" customFormat="1">
      <c r="A1530" s="130"/>
      <c r="B1530" s="123"/>
      <c r="C1530" s="130"/>
      <c r="F1530" s="123"/>
      <c r="G1530" s="180"/>
      <c r="H1530" s="150"/>
      <c r="J1530" s="130"/>
    </row>
    <row r="1531" spans="1:10" s="120" customFormat="1">
      <c r="A1531" s="130"/>
      <c r="B1531" s="123"/>
      <c r="C1531" s="130"/>
      <c r="F1531" s="123"/>
      <c r="G1531" s="180"/>
      <c r="H1531" s="150"/>
      <c r="J1531" s="130"/>
    </row>
    <row r="1532" spans="1:10" s="120" customFormat="1">
      <c r="A1532" s="130"/>
      <c r="B1532" s="123"/>
      <c r="C1532" s="130"/>
      <c r="F1532" s="123"/>
      <c r="G1532" s="180"/>
      <c r="H1532" s="150"/>
      <c r="J1532" s="130"/>
    </row>
    <row r="1533" spans="1:10" s="120" customFormat="1">
      <c r="A1533" s="130"/>
      <c r="B1533" s="123"/>
      <c r="C1533" s="130"/>
      <c r="F1533" s="123"/>
      <c r="G1533" s="180"/>
      <c r="H1533" s="150"/>
      <c r="J1533" s="130"/>
    </row>
    <row r="1534" spans="1:10" s="120" customFormat="1">
      <c r="A1534" s="130"/>
      <c r="B1534" s="123"/>
      <c r="C1534" s="130"/>
      <c r="F1534" s="123"/>
      <c r="G1534" s="180"/>
      <c r="H1534" s="150"/>
      <c r="J1534" s="130"/>
    </row>
    <row r="1535" spans="1:10" s="120" customFormat="1">
      <c r="A1535" s="130"/>
      <c r="B1535" s="123"/>
      <c r="C1535" s="130"/>
      <c r="F1535" s="123"/>
      <c r="G1535" s="180"/>
      <c r="H1535" s="150"/>
      <c r="J1535" s="130"/>
    </row>
    <row r="1536" spans="1:10" s="120" customFormat="1">
      <c r="A1536" s="130"/>
      <c r="B1536" s="123"/>
      <c r="C1536" s="130"/>
      <c r="F1536" s="123"/>
      <c r="G1536" s="180"/>
      <c r="H1536" s="150"/>
      <c r="J1536" s="130"/>
    </row>
    <row r="1537" spans="1:10" s="120" customFormat="1">
      <c r="A1537" s="130"/>
      <c r="B1537" s="123"/>
      <c r="C1537" s="130"/>
      <c r="F1537" s="123"/>
      <c r="G1537" s="180"/>
      <c r="H1537" s="150"/>
      <c r="J1537" s="130"/>
    </row>
    <row r="1538" spans="1:10" s="120" customFormat="1">
      <c r="A1538" s="130"/>
      <c r="B1538" s="123"/>
      <c r="C1538" s="130"/>
      <c r="F1538" s="123"/>
      <c r="G1538" s="180"/>
      <c r="H1538" s="150"/>
      <c r="J1538" s="130"/>
    </row>
    <row r="1539" spans="1:10" s="120" customFormat="1">
      <c r="A1539" s="130"/>
      <c r="B1539" s="123"/>
      <c r="C1539" s="130"/>
      <c r="F1539" s="123"/>
      <c r="G1539" s="180"/>
      <c r="H1539" s="150"/>
      <c r="J1539" s="130"/>
    </row>
    <row r="1540" spans="1:10" s="120" customFormat="1">
      <c r="A1540" s="130"/>
      <c r="B1540" s="123"/>
      <c r="C1540" s="130"/>
      <c r="F1540" s="123"/>
      <c r="G1540" s="180"/>
      <c r="H1540" s="150"/>
      <c r="J1540" s="130"/>
    </row>
    <row r="1541" spans="1:10" s="120" customFormat="1">
      <c r="A1541" s="130"/>
      <c r="B1541" s="123"/>
      <c r="C1541" s="130"/>
      <c r="F1541" s="123"/>
      <c r="G1541" s="180"/>
      <c r="H1541" s="150"/>
      <c r="J1541" s="130"/>
    </row>
    <row r="1542" spans="1:10" s="120" customFormat="1">
      <c r="A1542" s="130"/>
      <c r="B1542" s="123"/>
      <c r="C1542" s="130"/>
      <c r="F1542" s="123"/>
      <c r="G1542" s="180"/>
      <c r="H1542" s="150"/>
      <c r="J1542" s="130"/>
    </row>
    <row r="1543" spans="1:10" s="120" customFormat="1">
      <c r="A1543" s="130"/>
      <c r="B1543" s="123"/>
      <c r="C1543" s="130"/>
      <c r="F1543" s="123"/>
      <c r="G1543" s="180"/>
      <c r="H1543" s="150"/>
      <c r="J1543" s="130"/>
    </row>
    <row r="1544" spans="1:10" s="120" customFormat="1">
      <c r="A1544" s="130"/>
      <c r="B1544" s="123"/>
      <c r="C1544" s="130"/>
      <c r="F1544" s="123"/>
      <c r="G1544" s="180"/>
      <c r="H1544" s="150"/>
      <c r="J1544" s="130"/>
    </row>
    <row r="1545" spans="1:10" s="120" customFormat="1">
      <c r="A1545" s="130"/>
      <c r="B1545" s="123"/>
      <c r="C1545" s="130"/>
      <c r="F1545" s="123"/>
      <c r="G1545" s="180"/>
      <c r="H1545" s="150"/>
      <c r="J1545" s="130"/>
    </row>
    <row r="1546" spans="1:10" s="120" customFormat="1">
      <c r="A1546" s="130"/>
      <c r="B1546" s="123"/>
      <c r="C1546" s="130"/>
      <c r="F1546" s="123"/>
      <c r="G1546" s="180"/>
      <c r="H1546" s="150"/>
      <c r="J1546" s="130"/>
    </row>
    <row r="1547" spans="1:10" s="120" customFormat="1">
      <c r="A1547" s="130"/>
      <c r="B1547" s="123"/>
      <c r="C1547" s="130"/>
      <c r="F1547" s="123"/>
      <c r="G1547" s="180"/>
      <c r="H1547" s="150"/>
      <c r="J1547" s="130"/>
    </row>
    <row r="1548" spans="1:10" s="120" customFormat="1">
      <c r="A1548" s="130"/>
      <c r="B1548" s="123"/>
      <c r="C1548" s="130"/>
      <c r="F1548" s="123"/>
      <c r="G1548" s="180"/>
      <c r="H1548" s="150"/>
      <c r="J1548" s="130"/>
    </row>
    <row r="1549" spans="1:10" s="120" customFormat="1">
      <c r="A1549" s="130"/>
      <c r="B1549" s="123"/>
      <c r="C1549" s="130"/>
      <c r="F1549" s="123"/>
      <c r="G1549" s="180"/>
      <c r="H1549" s="150"/>
      <c r="J1549" s="130"/>
    </row>
    <row r="1550" spans="1:10" s="120" customFormat="1">
      <c r="A1550" s="130"/>
      <c r="B1550" s="123"/>
      <c r="C1550" s="130"/>
      <c r="F1550" s="123"/>
      <c r="G1550" s="180"/>
      <c r="H1550" s="150"/>
      <c r="J1550" s="130"/>
    </row>
    <row r="1551" spans="1:10" s="120" customFormat="1">
      <c r="A1551" s="130"/>
      <c r="B1551" s="123"/>
      <c r="C1551" s="130"/>
      <c r="F1551" s="123"/>
      <c r="G1551" s="180"/>
      <c r="H1551" s="150"/>
      <c r="J1551" s="130"/>
    </row>
    <row r="1552" spans="1:10" s="120" customFormat="1">
      <c r="A1552" s="130"/>
      <c r="B1552" s="123"/>
      <c r="C1552" s="130"/>
      <c r="F1552" s="123"/>
      <c r="G1552" s="180"/>
      <c r="H1552" s="150"/>
      <c r="J1552" s="130"/>
    </row>
    <row r="1553" spans="1:10" s="120" customFormat="1">
      <c r="A1553" s="130"/>
      <c r="B1553" s="123"/>
      <c r="C1553" s="130"/>
      <c r="F1553" s="123"/>
      <c r="G1553" s="180"/>
      <c r="H1553" s="150"/>
      <c r="J1553" s="130"/>
    </row>
    <row r="1554" spans="1:10" s="120" customFormat="1">
      <c r="A1554" s="130"/>
      <c r="B1554" s="123"/>
      <c r="C1554" s="130"/>
      <c r="F1554" s="123"/>
      <c r="G1554" s="180"/>
      <c r="H1554" s="150"/>
      <c r="J1554" s="130"/>
    </row>
    <row r="1555" spans="1:10" s="120" customFormat="1">
      <c r="A1555" s="130"/>
      <c r="B1555" s="123"/>
      <c r="C1555" s="130"/>
      <c r="F1555" s="123"/>
      <c r="G1555" s="180"/>
      <c r="H1555" s="150"/>
      <c r="J1555" s="130"/>
    </row>
    <row r="1556" spans="1:10" s="120" customFormat="1">
      <c r="A1556" s="130"/>
      <c r="B1556" s="123"/>
      <c r="C1556" s="130"/>
      <c r="F1556" s="123"/>
      <c r="G1556" s="180"/>
      <c r="H1556" s="150"/>
      <c r="J1556" s="130"/>
    </row>
    <row r="1557" spans="1:10" s="120" customFormat="1">
      <c r="A1557" s="130"/>
      <c r="B1557" s="123"/>
      <c r="C1557" s="130"/>
      <c r="F1557" s="123"/>
      <c r="G1557" s="180"/>
      <c r="H1557" s="150"/>
      <c r="J1557" s="130"/>
    </row>
    <row r="1558" spans="1:10" s="120" customFormat="1">
      <c r="A1558" s="130"/>
      <c r="B1558" s="123"/>
      <c r="C1558" s="130"/>
      <c r="F1558" s="123"/>
      <c r="G1558" s="180"/>
      <c r="H1558" s="150"/>
      <c r="J1558" s="130"/>
    </row>
    <row r="1559" spans="1:10" s="120" customFormat="1">
      <c r="A1559" s="130"/>
      <c r="B1559" s="123"/>
      <c r="C1559" s="130"/>
      <c r="F1559" s="123"/>
      <c r="G1559" s="180"/>
      <c r="H1559" s="150"/>
      <c r="J1559" s="130"/>
    </row>
    <row r="1560" spans="1:10" s="120" customFormat="1">
      <c r="A1560" s="130"/>
      <c r="B1560" s="123"/>
      <c r="C1560" s="130"/>
      <c r="F1560" s="123"/>
      <c r="G1560" s="180"/>
      <c r="H1560" s="150"/>
      <c r="J1560" s="130"/>
    </row>
    <row r="1561" spans="1:10" s="120" customFormat="1">
      <c r="A1561" s="130"/>
      <c r="B1561" s="123"/>
      <c r="C1561" s="130"/>
      <c r="F1561" s="123"/>
      <c r="G1561" s="180"/>
      <c r="H1561" s="150"/>
      <c r="J1561" s="130"/>
    </row>
    <row r="1562" spans="1:10" s="120" customFormat="1">
      <c r="A1562" s="130"/>
      <c r="B1562" s="123"/>
      <c r="C1562" s="130"/>
      <c r="F1562" s="123"/>
      <c r="G1562" s="180"/>
      <c r="H1562" s="150"/>
      <c r="J1562" s="130"/>
    </row>
    <row r="1563" spans="1:10" s="120" customFormat="1">
      <c r="A1563" s="130"/>
      <c r="B1563" s="123"/>
      <c r="C1563" s="130"/>
      <c r="F1563" s="123"/>
      <c r="G1563" s="180"/>
      <c r="H1563" s="150"/>
      <c r="J1563" s="130"/>
    </row>
    <row r="1564" spans="1:10" s="120" customFormat="1">
      <c r="A1564" s="130"/>
      <c r="B1564" s="123"/>
      <c r="C1564" s="130"/>
      <c r="F1564" s="123"/>
      <c r="G1564" s="180"/>
      <c r="H1564" s="150"/>
      <c r="J1564" s="130"/>
    </row>
    <row r="1565" spans="1:10" s="120" customFormat="1">
      <c r="A1565" s="130"/>
      <c r="B1565" s="123"/>
      <c r="C1565" s="130"/>
      <c r="F1565" s="123"/>
      <c r="G1565" s="180"/>
      <c r="H1565" s="150"/>
      <c r="J1565" s="130"/>
    </row>
    <row r="1566" spans="1:10" s="120" customFormat="1">
      <c r="A1566" s="130"/>
      <c r="B1566" s="123"/>
      <c r="C1566" s="130"/>
      <c r="F1566" s="123"/>
      <c r="G1566" s="180"/>
      <c r="H1566" s="150"/>
      <c r="J1566" s="130"/>
    </row>
    <row r="1567" spans="1:10" s="120" customFormat="1">
      <c r="A1567" s="130"/>
      <c r="B1567" s="123"/>
      <c r="C1567" s="130"/>
      <c r="F1567" s="123"/>
      <c r="G1567" s="180"/>
      <c r="H1567" s="150"/>
      <c r="J1567" s="130"/>
    </row>
    <row r="1568" spans="1:10" s="120" customFormat="1">
      <c r="A1568" s="130"/>
      <c r="B1568" s="123"/>
      <c r="C1568" s="130"/>
      <c r="F1568" s="123"/>
      <c r="G1568" s="180"/>
      <c r="H1568" s="150"/>
      <c r="J1568" s="130"/>
    </row>
    <row r="1569" spans="1:10" s="120" customFormat="1">
      <c r="A1569" s="130"/>
      <c r="B1569" s="123"/>
      <c r="C1569" s="130"/>
      <c r="F1569" s="123"/>
      <c r="G1569" s="180"/>
      <c r="H1569" s="150"/>
      <c r="J1569" s="130"/>
    </row>
    <row r="1570" spans="1:10" s="120" customFormat="1">
      <c r="A1570" s="130"/>
      <c r="B1570" s="123"/>
      <c r="C1570" s="130"/>
      <c r="F1570" s="123"/>
      <c r="G1570" s="180"/>
      <c r="H1570" s="150"/>
      <c r="J1570" s="130"/>
    </row>
    <row r="1571" spans="1:10" s="120" customFormat="1">
      <c r="A1571" s="130"/>
      <c r="B1571" s="123"/>
      <c r="C1571" s="130"/>
      <c r="F1571" s="123"/>
      <c r="G1571" s="180"/>
      <c r="H1571" s="150"/>
      <c r="J1571" s="130"/>
    </row>
    <row r="1572" spans="1:10" s="120" customFormat="1">
      <c r="A1572" s="130"/>
      <c r="B1572" s="123"/>
      <c r="C1572" s="130"/>
      <c r="F1572" s="123"/>
      <c r="G1572" s="180"/>
      <c r="H1572" s="150"/>
      <c r="J1572" s="130"/>
    </row>
    <row r="1573" spans="1:10" s="120" customFormat="1">
      <c r="A1573" s="130"/>
      <c r="B1573" s="123"/>
      <c r="C1573" s="130"/>
      <c r="F1573" s="123"/>
      <c r="G1573" s="180"/>
      <c r="H1573" s="150"/>
      <c r="J1573" s="130"/>
    </row>
    <row r="1574" spans="1:10" s="120" customFormat="1">
      <c r="A1574" s="130"/>
      <c r="B1574" s="123"/>
      <c r="C1574" s="130"/>
      <c r="F1574" s="123"/>
      <c r="G1574" s="180"/>
      <c r="H1574" s="150"/>
      <c r="J1574" s="130"/>
    </row>
    <row r="1575" spans="1:10" s="120" customFormat="1">
      <c r="A1575" s="130"/>
      <c r="B1575" s="123"/>
      <c r="C1575" s="130"/>
      <c r="F1575" s="123"/>
      <c r="G1575" s="180"/>
      <c r="H1575" s="150"/>
      <c r="J1575" s="130"/>
    </row>
    <row r="1576" spans="1:10" s="120" customFormat="1">
      <c r="A1576" s="130"/>
      <c r="B1576" s="123"/>
      <c r="C1576" s="130"/>
      <c r="F1576" s="123"/>
      <c r="G1576" s="180"/>
      <c r="H1576" s="150"/>
      <c r="J1576" s="130"/>
    </row>
    <row r="1577" spans="1:10" s="120" customFormat="1">
      <c r="A1577" s="130"/>
      <c r="B1577" s="123"/>
      <c r="C1577" s="130"/>
      <c r="F1577" s="123"/>
      <c r="G1577" s="180"/>
      <c r="H1577" s="150"/>
      <c r="J1577" s="130"/>
    </row>
    <row r="1578" spans="1:10" s="120" customFormat="1">
      <c r="A1578" s="130"/>
      <c r="B1578" s="123"/>
      <c r="C1578" s="130"/>
      <c r="F1578" s="123"/>
      <c r="G1578" s="180"/>
      <c r="H1578" s="150"/>
      <c r="J1578" s="130"/>
    </row>
    <row r="1579" spans="1:10" s="120" customFormat="1">
      <c r="A1579" s="130"/>
      <c r="B1579" s="123"/>
      <c r="C1579" s="130"/>
      <c r="F1579" s="123"/>
      <c r="G1579" s="180"/>
      <c r="H1579" s="150"/>
      <c r="J1579" s="130"/>
    </row>
    <row r="1580" spans="1:10" s="120" customFormat="1">
      <c r="A1580" s="130"/>
      <c r="B1580" s="123"/>
      <c r="C1580" s="130"/>
      <c r="F1580" s="123"/>
      <c r="G1580" s="180"/>
      <c r="H1580" s="150"/>
      <c r="J1580" s="130"/>
    </row>
    <row r="1581" spans="1:10" s="120" customFormat="1">
      <c r="A1581" s="130"/>
      <c r="B1581" s="123"/>
      <c r="C1581" s="130"/>
      <c r="F1581" s="123"/>
      <c r="G1581" s="180"/>
      <c r="H1581" s="150"/>
      <c r="J1581" s="130"/>
    </row>
    <row r="1582" spans="1:10" s="120" customFormat="1">
      <c r="A1582" s="130"/>
      <c r="B1582" s="123"/>
      <c r="C1582" s="130"/>
      <c r="F1582" s="123"/>
      <c r="G1582" s="180"/>
      <c r="H1582" s="150"/>
      <c r="J1582" s="130"/>
    </row>
    <row r="1583" spans="1:10" s="120" customFormat="1">
      <c r="A1583" s="130"/>
      <c r="B1583" s="123"/>
      <c r="C1583" s="130"/>
      <c r="F1583" s="123"/>
      <c r="G1583" s="180"/>
      <c r="H1583" s="150"/>
      <c r="J1583" s="130"/>
    </row>
    <row r="1584" spans="1:10" s="120" customFormat="1">
      <c r="A1584" s="130"/>
      <c r="B1584" s="123"/>
      <c r="C1584" s="130"/>
      <c r="F1584" s="123"/>
      <c r="G1584" s="180"/>
      <c r="H1584" s="150"/>
      <c r="J1584" s="130"/>
    </row>
    <row r="1585" spans="1:10" s="120" customFormat="1">
      <c r="A1585" s="130"/>
      <c r="B1585" s="123"/>
      <c r="C1585" s="130"/>
      <c r="F1585" s="123"/>
      <c r="G1585" s="180"/>
      <c r="H1585" s="150"/>
      <c r="J1585" s="130"/>
    </row>
    <row r="1586" spans="1:10" s="120" customFormat="1">
      <c r="A1586" s="130"/>
      <c r="B1586" s="123"/>
      <c r="C1586" s="130"/>
      <c r="F1586" s="123"/>
      <c r="G1586" s="180"/>
      <c r="H1586" s="150"/>
      <c r="J1586" s="130"/>
    </row>
    <row r="1587" spans="1:10" s="120" customFormat="1">
      <c r="A1587" s="130"/>
      <c r="B1587" s="123"/>
      <c r="C1587" s="130"/>
      <c r="F1587" s="123"/>
      <c r="G1587" s="180"/>
      <c r="H1587" s="150"/>
      <c r="J1587" s="130"/>
    </row>
    <row r="1588" spans="1:10" s="120" customFormat="1">
      <c r="A1588" s="130"/>
      <c r="B1588" s="123"/>
      <c r="C1588" s="130"/>
      <c r="F1588" s="123"/>
      <c r="G1588" s="180"/>
      <c r="H1588" s="150"/>
      <c r="J1588" s="130"/>
    </row>
    <row r="1589" spans="1:10" s="120" customFormat="1">
      <c r="A1589" s="130"/>
      <c r="B1589" s="123"/>
      <c r="C1589" s="130"/>
      <c r="F1589" s="123"/>
      <c r="G1589" s="180"/>
      <c r="H1589" s="150"/>
      <c r="J1589" s="130"/>
    </row>
    <row r="1590" spans="1:10" s="120" customFormat="1">
      <c r="A1590" s="130"/>
      <c r="B1590" s="123"/>
      <c r="C1590" s="130"/>
      <c r="F1590" s="123"/>
      <c r="G1590" s="180"/>
      <c r="H1590" s="150"/>
      <c r="J1590" s="130"/>
    </row>
    <row r="1591" spans="1:10" s="120" customFormat="1">
      <c r="A1591" s="130"/>
      <c r="B1591" s="123"/>
      <c r="C1591" s="130"/>
      <c r="F1591" s="123"/>
      <c r="G1591" s="180"/>
      <c r="H1591" s="150"/>
      <c r="J1591" s="130"/>
    </row>
    <row r="1592" spans="1:10" s="120" customFormat="1">
      <c r="A1592" s="130"/>
      <c r="B1592" s="123"/>
      <c r="C1592" s="130"/>
      <c r="F1592" s="123"/>
      <c r="G1592" s="180"/>
      <c r="H1592" s="150"/>
      <c r="J1592" s="130"/>
    </row>
    <row r="1593" spans="1:10" s="120" customFormat="1">
      <c r="A1593" s="130"/>
      <c r="B1593" s="123"/>
      <c r="C1593" s="130"/>
      <c r="F1593" s="123"/>
      <c r="G1593" s="180"/>
      <c r="H1593" s="150"/>
      <c r="J1593" s="130"/>
    </row>
    <row r="1594" spans="1:10" s="120" customFormat="1">
      <c r="A1594" s="130"/>
      <c r="B1594" s="123"/>
      <c r="C1594" s="130"/>
      <c r="F1594" s="123"/>
      <c r="G1594" s="180"/>
      <c r="H1594" s="150"/>
      <c r="J1594" s="130"/>
    </row>
    <row r="1595" spans="1:10" s="120" customFormat="1">
      <c r="A1595" s="130"/>
      <c r="B1595" s="123"/>
      <c r="C1595" s="130"/>
      <c r="F1595" s="123"/>
      <c r="G1595" s="180"/>
      <c r="H1595" s="150"/>
      <c r="J1595" s="130"/>
    </row>
    <row r="1596" spans="1:10" s="120" customFormat="1">
      <c r="A1596" s="130"/>
      <c r="B1596" s="123"/>
      <c r="C1596" s="130"/>
      <c r="F1596" s="123"/>
      <c r="G1596" s="180"/>
      <c r="H1596" s="150"/>
      <c r="J1596" s="130"/>
    </row>
    <row r="1597" spans="1:10" s="120" customFormat="1">
      <c r="A1597" s="130"/>
      <c r="B1597" s="123"/>
      <c r="C1597" s="130"/>
      <c r="F1597" s="123"/>
      <c r="G1597" s="180"/>
      <c r="H1597" s="150"/>
      <c r="J1597" s="130"/>
    </row>
    <row r="1598" spans="1:10" s="120" customFormat="1">
      <c r="A1598" s="130"/>
      <c r="B1598" s="123"/>
      <c r="C1598" s="130"/>
      <c r="F1598" s="123"/>
      <c r="G1598" s="180"/>
      <c r="H1598" s="150"/>
      <c r="J1598" s="130"/>
    </row>
    <row r="1599" spans="1:10" s="120" customFormat="1">
      <c r="A1599" s="130"/>
      <c r="B1599" s="123"/>
      <c r="C1599" s="130"/>
      <c r="F1599" s="123"/>
      <c r="G1599" s="180"/>
      <c r="H1599" s="150"/>
      <c r="J1599" s="130"/>
    </row>
    <row r="1600" spans="1:10" s="120" customFormat="1">
      <c r="A1600" s="130"/>
      <c r="B1600" s="123"/>
      <c r="C1600" s="130"/>
      <c r="F1600" s="123"/>
      <c r="G1600" s="180"/>
      <c r="H1600" s="150"/>
      <c r="J1600" s="130"/>
    </row>
    <row r="1601" spans="1:10" s="120" customFormat="1">
      <c r="A1601" s="130"/>
      <c r="B1601" s="123"/>
      <c r="C1601" s="130"/>
      <c r="F1601" s="123"/>
      <c r="G1601" s="180"/>
      <c r="H1601" s="150"/>
      <c r="J1601" s="130"/>
    </row>
    <row r="1602" spans="1:10" s="120" customFormat="1">
      <c r="A1602" s="130"/>
      <c r="B1602" s="123"/>
      <c r="C1602" s="130"/>
      <c r="F1602" s="123"/>
      <c r="G1602" s="180"/>
      <c r="H1602" s="150"/>
      <c r="J1602" s="130"/>
    </row>
    <row r="1603" spans="1:10" s="120" customFormat="1">
      <c r="A1603" s="130"/>
      <c r="B1603" s="123"/>
      <c r="C1603" s="130"/>
      <c r="F1603" s="123"/>
      <c r="G1603" s="180"/>
      <c r="H1603" s="150"/>
      <c r="J1603" s="130"/>
    </row>
    <row r="1604" spans="1:10" s="120" customFormat="1">
      <c r="A1604" s="130"/>
      <c r="B1604" s="123"/>
      <c r="C1604" s="130"/>
      <c r="F1604" s="123"/>
      <c r="G1604" s="180"/>
      <c r="H1604" s="150"/>
      <c r="J1604" s="130"/>
    </row>
    <row r="1605" spans="1:10" s="120" customFormat="1">
      <c r="A1605" s="130"/>
      <c r="B1605" s="123"/>
      <c r="C1605" s="130"/>
      <c r="F1605" s="123"/>
      <c r="G1605" s="180"/>
      <c r="H1605" s="150"/>
      <c r="J1605" s="130"/>
    </row>
    <row r="1606" spans="1:10" s="120" customFormat="1">
      <c r="A1606" s="130"/>
      <c r="B1606" s="123"/>
      <c r="C1606" s="130"/>
      <c r="F1606" s="123"/>
      <c r="G1606" s="180"/>
      <c r="H1606" s="150"/>
      <c r="J1606" s="130"/>
    </row>
    <row r="1607" spans="1:10" s="120" customFormat="1">
      <c r="A1607" s="130"/>
      <c r="B1607" s="123"/>
      <c r="C1607" s="130"/>
      <c r="F1607" s="123"/>
      <c r="G1607" s="180"/>
      <c r="H1607" s="150"/>
      <c r="J1607" s="130"/>
    </row>
    <row r="1608" spans="1:10" s="120" customFormat="1">
      <c r="A1608" s="130"/>
      <c r="B1608" s="123"/>
      <c r="C1608" s="130"/>
      <c r="F1608" s="123"/>
      <c r="G1608" s="180"/>
      <c r="H1608" s="150"/>
      <c r="J1608" s="130"/>
    </row>
    <row r="1609" spans="1:10" s="120" customFormat="1">
      <c r="A1609" s="130"/>
      <c r="B1609" s="123"/>
      <c r="C1609" s="130"/>
      <c r="F1609" s="123"/>
      <c r="G1609" s="180"/>
      <c r="H1609" s="150"/>
      <c r="J1609" s="130"/>
    </row>
    <row r="1610" spans="1:10" s="120" customFormat="1">
      <c r="A1610" s="130"/>
      <c r="B1610" s="123"/>
      <c r="C1610" s="130"/>
      <c r="F1610" s="123"/>
      <c r="G1610" s="180"/>
      <c r="H1610" s="150"/>
      <c r="J1610" s="130"/>
    </row>
    <row r="1611" spans="1:10" s="120" customFormat="1">
      <c r="A1611" s="130"/>
      <c r="B1611" s="123"/>
      <c r="C1611" s="130"/>
      <c r="F1611" s="123"/>
      <c r="G1611" s="180"/>
      <c r="H1611" s="150"/>
      <c r="J1611" s="130"/>
    </row>
    <row r="1612" spans="1:10" s="120" customFormat="1">
      <c r="A1612" s="130"/>
      <c r="B1612" s="123"/>
      <c r="C1612" s="130"/>
      <c r="F1612" s="123"/>
      <c r="G1612" s="180"/>
      <c r="H1612" s="150"/>
      <c r="J1612" s="130"/>
    </row>
    <row r="1613" spans="1:10" s="120" customFormat="1">
      <c r="A1613" s="130"/>
      <c r="B1613" s="123"/>
      <c r="C1613" s="130"/>
      <c r="F1613" s="123"/>
      <c r="G1613" s="180"/>
      <c r="H1613" s="150"/>
      <c r="J1613" s="130"/>
    </row>
    <row r="1614" spans="1:10" s="120" customFormat="1">
      <c r="A1614" s="130"/>
      <c r="B1614" s="123"/>
      <c r="C1614" s="130"/>
      <c r="F1614" s="123"/>
      <c r="G1614" s="180"/>
      <c r="H1614" s="150"/>
      <c r="J1614" s="130"/>
    </row>
    <row r="1615" spans="1:10" s="120" customFormat="1">
      <c r="A1615" s="130"/>
      <c r="B1615" s="123"/>
      <c r="C1615" s="130"/>
      <c r="F1615" s="123"/>
      <c r="G1615" s="180"/>
      <c r="H1615" s="150"/>
      <c r="J1615" s="130"/>
    </row>
    <row r="1616" spans="1:10" s="120" customFormat="1">
      <c r="A1616" s="130"/>
      <c r="B1616" s="123"/>
      <c r="C1616" s="130"/>
      <c r="F1616" s="123"/>
      <c r="G1616" s="180"/>
      <c r="H1616" s="150"/>
      <c r="J1616" s="130"/>
    </row>
    <row r="1617" spans="1:10" s="120" customFormat="1">
      <c r="A1617" s="130"/>
      <c r="B1617" s="123"/>
      <c r="C1617" s="130"/>
      <c r="F1617" s="123"/>
      <c r="G1617" s="180"/>
      <c r="H1617" s="150"/>
      <c r="J1617" s="130"/>
    </row>
    <row r="1618" spans="1:10" s="120" customFormat="1">
      <c r="A1618" s="130"/>
      <c r="B1618" s="123"/>
      <c r="C1618" s="130"/>
      <c r="F1618" s="123"/>
      <c r="G1618" s="180"/>
      <c r="H1618" s="150"/>
      <c r="J1618" s="130"/>
    </row>
    <row r="1619" spans="1:10" s="120" customFormat="1">
      <c r="A1619" s="130"/>
      <c r="B1619" s="123"/>
      <c r="C1619" s="130"/>
      <c r="F1619" s="123"/>
      <c r="G1619" s="180"/>
      <c r="H1619" s="150"/>
      <c r="J1619" s="130"/>
    </row>
    <row r="1620" spans="1:10" s="120" customFormat="1">
      <c r="A1620" s="130"/>
      <c r="B1620" s="123"/>
      <c r="C1620" s="130"/>
      <c r="F1620" s="123"/>
      <c r="G1620" s="180"/>
      <c r="H1620" s="150"/>
      <c r="J1620" s="130"/>
    </row>
    <row r="1621" spans="1:10" s="120" customFormat="1">
      <c r="A1621" s="130"/>
      <c r="B1621" s="123"/>
      <c r="C1621" s="130"/>
      <c r="F1621" s="123"/>
      <c r="G1621" s="180"/>
      <c r="H1621" s="150"/>
      <c r="J1621" s="130"/>
    </row>
    <row r="1622" spans="1:10" s="120" customFormat="1">
      <c r="A1622" s="130"/>
      <c r="B1622" s="123"/>
      <c r="C1622" s="130"/>
      <c r="F1622" s="123"/>
      <c r="G1622" s="180"/>
      <c r="H1622" s="150"/>
      <c r="J1622" s="130"/>
    </row>
    <row r="1623" spans="1:10" s="120" customFormat="1">
      <c r="A1623" s="130"/>
      <c r="B1623" s="123"/>
      <c r="C1623" s="130"/>
      <c r="F1623" s="123"/>
      <c r="G1623" s="180"/>
      <c r="H1623" s="150"/>
      <c r="J1623" s="130"/>
    </row>
    <row r="1624" spans="1:10" s="120" customFormat="1">
      <c r="A1624" s="130"/>
      <c r="B1624" s="123"/>
      <c r="C1624" s="130"/>
      <c r="F1624" s="123"/>
      <c r="G1624" s="180"/>
      <c r="H1624" s="150"/>
      <c r="J1624" s="130"/>
    </row>
    <row r="1625" spans="1:10" s="120" customFormat="1">
      <c r="A1625" s="130"/>
      <c r="B1625" s="123"/>
      <c r="C1625" s="130"/>
      <c r="F1625" s="123"/>
      <c r="G1625" s="180"/>
      <c r="H1625" s="150"/>
      <c r="J1625" s="130"/>
    </row>
    <row r="1626" spans="1:10" s="120" customFormat="1">
      <c r="A1626" s="130"/>
      <c r="B1626" s="123"/>
      <c r="C1626" s="130"/>
      <c r="F1626" s="123"/>
      <c r="G1626" s="180"/>
      <c r="H1626" s="150"/>
      <c r="J1626" s="130"/>
    </row>
    <row r="1627" spans="1:10" s="120" customFormat="1">
      <c r="A1627" s="130"/>
      <c r="B1627" s="123"/>
      <c r="C1627" s="130"/>
      <c r="F1627" s="123"/>
      <c r="G1627" s="180"/>
      <c r="H1627" s="150"/>
      <c r="J1627" s="130"/>
    </row>
    <row r="1628" spans="1:10" s="120" customFormat="1">
      <c r="A1628" s="130"/>
      <c r="B1628" s="123"/>
      <c r="C1628" s="130"/>
      <c r="F1628" s="123"/>
      <c r="G1628" s="180"/>
      <c r="H1628" s="150"/>
      <c r="J1628" s="130"/>
    </row>
    <row r="1629" spans="1:10" s="120" customFormat="1">
      <c r="A1629" s="130"/>
      <c r="B1629" s="123"/>
      <c r="C1629" s="130"/>
      <c r="F1629" s="123"/>
      <c r="G1629" s="180"/>
      <c r="H1629" s="150"/>
      <c r="J1629" s="130"/>
    </row>
    <row r="1630" spans="1:10" s="120" customFormat="1">
      <c r="A1630" s="130"/>
      <c r="B1630" s="123"/>
      <c r="C1630" s="130"/>
      <c r="F1630" s="123"/>
      <c r="G1630" s="180"/>
      <c r="H1630" s="150"/>
      <c r="J1630" s="130"/>
    </row>
    <row r="1631" spans="1:10" s="120" customFormat="1">
      <c r="A1631" s="130"/>
      <c r="B1631" s="123"/>
      <c r="C1631" s="130"/>
      <c r="F1631" s="123"/>
      <c r="G1631" s="180"/>
      <c r="H1631" s="150"/>
      <c r="J1631" s="130"/>
    </row>
    <row r="1632" spans="1:10" s="120" customFormat="1">
      <c r="A1632" s="130"/>
      <c r="B1632" s="123"/>
      <c r="C1632" s="130"/>
      <c r="F1632" s="123"/>
      <c r="G1632" s="180"/>
      <c r="H1632" s="150"/>
      <c r="J1632" s="130"/>
    </row>
    <row r="1633" spans="1:10" s="120" customFormat="1">
      <c r="A1633" s="130"/>
      <c r="B1633" s="123"/>
      <c r="C1633" s="130"/>
      <c r="F1633" s="123"/>
      <c r="G1633" s="180"/>
      <c r="H1633" s="150"/>
      <c r="J1633" s="130"/>
    </row>
    <row r="1634" spans="1:10" s="120" customFormat="1">
      <c r="A1634" s="130"/>
      <c r="B1634" s="123"/>
      <c r="C1634" s="130"/>
      <c r="F1634" s="123"/>
      <c r="G1634" s="180"/>
      <c r="H1634" s="150"/>
      <c r="J1634" s="130"/>
    </row>
    <row r="1635" spans="1:10" s="120" customFormat="1">
      <c r="A1635" s="130"/>
      <c r="B1635" s="123"/>
      <c r="C1635" s="130"/>
      <c r="F1635" s="123"/>
      <c r="G1635" s="180"/>
      <c r="H1635" s="150"/>
      <c r="J1635" s="130"/>
    </row>
    <row r="1636" spans="1:10" s="120" customFormat="1">
      <c r="A1636" s="130"/>
      <c r="B1636" s="123"/>
      <c r="C1636" s="130"/>
      <c r="F1636" s="123"/>
      <c r="G1636" s="180"/>
      <c r="H1636" s="150"/>
      <c r="J1636" s="130"/>
    </row>
    <row r="1637" spans="1:10" s="120" customFormat="1">
      <c r="A1637" s="130"/>
      <c r="B1637" s="123"/>
      <c r="C1637" s="130"/>
      <c r="F1637" s="123"/>
      <c r="G1637" s="180"/>
      <c r="H1637" s="150"/>
      <c r="J1637" s="130"/>
    </row>
    <row r="1638" spans="1:10" s="120" customFormat="1">
      <c r="A1638" s="130"/>
      <c r="B1638" s="123"/>
      <c r="C1638" s="130"/>
      <c r="F1638" s="123"/>
      <c r="G1638" s="180"/>
      <c r="H1638" s="150"/>
      <c r="J1638" s="130"/>
    </row>
    <row r="1639" spans="1:10" s="120" customFormat="1">
      <c r="A1639" s="130"/>
      <c r="B1639" s="123"/>
      <c r="C1639" s="130"/>
      <c r="F1639" s="123"/>
      <c r="G1639" s="180"/>
      <c r="H1639" s="150"/>
      <c r="J1639" s="130"/>
    </row>
    <row r="1640" spans="1:10" s="120" customFormat="1">
      <c r="A1640" s="130"/>
      <c r="B1640" s="123"/>
      <c r="C1640" s="130"/>
      <c r="F1640" s="123"/>
      <c r="G1640" s="180"/>
      <c r="H1640" s="150"/>
      <c r="J1640" s="130"/>
    </row>
    <row r="1641" spans="1:10" s="120" customFormat="1">
      <c r="A1641" s="130"/>
      <c r="B1641" s="123"/>
      <c r="C1641" s="130"/>
      <c r="F1641" s="123"/>
      <c r="G1641" s="180"/>
      <c r="H1641" s="150"/>
      <c r="J1641" s="130"/>
    </row>
    <row r="1642" spans="1:10" s="120" customFormat="1">
      <c r="A1642" s="130"/>
      <c r="B1642" s="123"/>
      <c r="C1642" s="130"/>
      <c r="F1642" s="123"/>
      <c r="G1642" s="180"/>
      <c r="H1642" s="150"/>
      <c r="J1642" s="130"/>
    </row>
    <row r="1643" spans="1:10" s="120" customFormat="1">
      <c r="A1643" s="130"/>
      <c r="B1643" s="123"/>
      <c r="C1643" s="130"/>
      <c r="F1643" s="123"/>
      <c r="G1643" s="180"/>
      <c r="H1643" s="150"/>
      <c r="J1643" s="130"/>
    </row>
    <row r="1644" spans="1:10" s="120" customFormat="1">
      <c r="A1644" s="130"/>
      <c r="B1644" s="123"/>
      <c r="C1644" s="130"/>
      <c r="F1644" s="123"/>
      <c r="G1644" s="180"/>
      <c r="H1644" s="150"/>
      <c r="J1644" s="130"/>
    </row>
    <row r="1645" spans="1:10" s="120" customFormat="1">
      <c r="A1645" s="130"/>
      <c r="B1645" s="123"/>
      <c r="C1645" s="130"/>
      <c r="F1645" s="123"/>
      <c r="G1645" s="180"/>
      <c r="H1645" s="150"/>
      <c r="J1645" s="130"/>
    </row>
    <row r="1646" spans="1:10" s="120" customFormat="1">
      <c r="A1646" s="130"/>
      <c r="B1646" s="123"/>
      <c r="C1646" s="130"/>
      <c r="F1646" s="123"/>
      <c r="G1646" s="180"/>
      <c r="H1646" s="150"/>
      <c r="J1646" s="130"/>
    </row>
    <row r="1647" spans="1:10" s="120" customFormat="1">
      <c r="A1647" s="130"/>
      <c r="B1647" s="123"/>
      <c r="C1647" s="130"/>
      <c r="F1647" s="123"/>
      <c r="G1647" s="180"/>
      <c r="H1647" s="150"/>
      <c r="J1647" s="130"/>
    </row>
    <row r="1648" spans="1:10" s="120" customFormat="1">
      <c r="A1648" s="130"/>
      <c r="B1648" s="123"/>
      <c r="C1648" s="130"/>
      <c r="F1648" s="123"/>
      <c r="G1648" s="180"/>
      <c r="H1648" s="150"/>
      <c r="J1648" s="130"/>
    </row>
    <row r="1649" spans="1:10" s="120" customFormat="1">
      <c r="A1649" s="130"/>
      <c r="B1649" s="123"/>
      <c r="C1649" s="130"/>
      <c r="F1649" s="123"/>
      <c r="G1649" s="180"/>
      <c r="H1649" s="150"/>
      <c r="J1649" s="130"/>
    </row>
    <row r="1650" spans="1:10" s="120" customFormat="1">
      <c r="A1650" s="130"/>
      <c r="B1650" s="123"/>
      <c r="C1650" s="130"/>
      <c r="F1650" s="123"/>
      <c r="G1650" s="180"/>
      <c r="H1650" s="150"/>
      <c r="J1650" s="130"/>
    </row>
    <row r="1651" spans="1:10" s="120" customFormat="1">
      <c r="A1651" s="130"/>
      <c r="B1651" s="123"/>
      <c r="C1651" s="130"/>
      <c r="F1651" s="123"/>
      <c r="G1651" s="180"/>
      <c r="H1651" s="150"/>
      <c r="J1651" s="130"/>
    </row>
    <row r="1652" spans="1:10" s="120" customFormat="1">
      <c r="A1652" s="130"/>
      <c r="B1652" s="123"/>
      <c r="C1652" s="130"/>
      <c r="F1652" s="123"/>
      <c r="G1652" s="180"/>
      <c r="H1652" s="150"/>
      <c r="J1652" s="130"/>
    </row>
    <row r="1653" spans="1:10" s="120" customFormat="1">
      <c r="A1653" s="130"/>
      <c r="B1653" s="123"/>
      <c r="C1653" s="130"/>
      <c r="F1653" s="123"/>
      <c r="G1653" s="180"/>
      <c r="H1653" s="150"/>
      <c r="J1653" s="130"/>
    </row>
    <row r="1654" spans="1:10" s="120" customFormat="1">
      <c r="A1654" s="130"/>
      <c r="B1654" s="123"/>
      <c r="C1654" s="130"/>
      <c r="F1654" s="123"/>
      <c r="G1654" s="180"/>
      <c r="H1654" s="150"/>
      <c r="J1654" s="130"/>
    </row>
    <row r="1655" spans="1:10" s="120" customFormat="1">
      <c r="A1655" s="130"/>
      <c r="B1655" s="123"/>
      <c r="C1655" s="130"/>
      <c r="F1655" s="123"/>
      <c r="G1655" s="180"/>
      <c r="H1655" s="150"/>
      <c r="J1655" s="130"/>
    </row>
    <row r="1656" spans="1:10" s="120" customFormat="1">
      <c r="A1656" s="130"/>
      <c r="B1656" s="123"/>
      <c r="C1656" s="130"/>
      <c r="F1656" s="123"/>
      <c r="G1656" s="180"/>
      <c r="H1656" s="150"/>
      <c r="J1656" s="130"/>
    </row>
    <row r="1657" spans="1:10" s="120" customFormat="1">
      <c r="A1657" s="130"/>
      <c r="B1657" s="123"/>
      <c r="C1657" s="130"/>
      <c r="F1657" s="123"/>
      <c r="G1657" s="180"/>
      <c r="H1657" s="150"/>
      <c r="J1657" s="130"/>
    </row>
    <row r="1658" spans="1:10" s="120" customFormat="1">
      <c r="A1658" s="130"/>
      <c r="B1658" s="123"/>
      <c r="C1658" s="130"/>
      <c r="F1658" s="123"/>
      <c r="G1658" s="180"/>
      <c r="H1658" s="150"/>
      <c r="J1658" s="130"/>
    </row>
    <row r="1659" spans="1:10" s="120" customFormat="1">
      <c r="A1659" s="130"/>
      <c r="B1659" s="123"/>
      <c r="C1659" s="130"/>
      <c r="F1659" s="123"/>
      <c r="G1659" s="180"/>
      <c r="H1659" s="150"/>
      <c r="J1659" s="130"/>
    </row>
    <row r="1660" spans="1:10" s="120" customFormat="1">
      <c r="A1660" s="130"/>
      <c r="B1660" s="123"/>
      <c r="C1660" s="130"/>
      <c r="F1660" s="123"/>
      <c r="G1660" s="180"/>
      <c r="H1660" s="150"/>
      <c r="J1660" s="130"/>
    </row>
    <row r="1661" spans="1:10" s="120" customFormat="1">
      <c r="A1661" s="130"/>
      <c r="B1661" s="123"/>
      <c r="C1661" s="130"/>
      <c r="F1661" s="123"/>
      <c r="G1661" s="180"/>
      <c r="H1661" s="150"/>
      <c r="J1661" s="130"/>
    </row>
    <row r="1662" spans="1:10" s="120" customFormat="1">
      <c r="A1662" s="130"/>
      <c r="B1662" s="123"/>
      <c r="C1662" s="130"/>
      <c r="F1662" s="123"/>
      <c r="G1662" s="180"/>
      <c r="H1662" s="150"/>
      <c r="J1662" s="130"/>
    </row>
    <row r="1663" spans="1:10" s="120" customFormat="1">
      <c r="A1663" s="130"/>
      <c r="B1663" s="123"/>
      <c r="C1663" s="130"/>
      <c r="F1663" s="123"/>
      <c r="G1663" s="180"/>
      <c r="H1663" s="150"/>
      <c r="J1663" s="130"/>
    </row>
    <row r="1664" spans="1:10" s="120" customFormat="1">
      <c r="A1664" s="130"/>
      <c r="B1664" s="123"/>
      <c r="C1664" s="130"/>
      <c r="F1664" s="123"/>
      <c r="G1664" s="180"/>
      <c r="H1664" s="150"/>
      <c r="J1664" s="130"/>
    </row>
    <row r="1665" spans="1:10" s="120" customFormat="1">
      <c r="A1665" s="130"/>
      <c r="B1665" s="123"/>
      <c r="C1665" s="130"/>
      <c r="F1665" s="123"/>
      <c r="G1665" s="180"/>
      <c r="H1665" s="150"/>
      <c r="J1665" s="130"/>
    </row>
    <row r="1666" spans="1:10" s="120" customFormat="1">
      <c r="A1666" s="130"/>
      <c r="B1666" s="123"/>
      <c r="C1666" s="130"/>
      <c r="F1666" s="123"/>
      <c r="G1666" s="180"/>
      <c r="H1666" s="150"/>
      <c r="J1666" s="130"/>
    </row>
    <row r="1667" spans="1:10" s="120" customFormat="1">
      <c r="A1667" s="130"/>
      <c r="B1667" s="123"/>
      <c r="C1667" s="130"/>
      <c r="F1667" s="123"/>
      <c r="G1667" s="180"/>
      <c r="H1667" s="150"/>
      <c r="J1667" s="130"/>
    </row>
    <row r="1668" spans="1:10" s="120" customFormat="1">
      <c r="A1668" s="130"/>
      <c r="B1668" s="123"/>
      <c r="C1668" s="130"/>
      <c r="F1668" s="123"/>
      <c r="G1668" s="180"/>
      <c r="H1668" s="150"/>
      <c r="J1668" s="130"/>
    </row>
    <row r="1669" spans="1:10" s="120" customFormat="1">
      <c r="A1669" s="130"/>
      <c r="B1669" s="123"/>
      <c r="C1669" s="130"/>
      <c r="F1669" s="123"/>
      <c r="G1669" s="180"/>
      <c r="H1669" s="150"/>
      <c r="J1669" s="130"/>
    </row>
    <row r="1670" spans="1:10" s="120" customFormat="1">
      <c r="A1670" s="130"/>
      <c r="B1670" s="123"/>
      <c r="C1670" s="130"/>
      <c r="F1670" s="123"/>
      <c r="G1670" s="180"/>
      <c r="H1670" s="150"/>
      <c r="J1670" s="130"/>
    </row>
    <row r="1671" spans="1:10" s="120" customFormat="1">
      <c r="A1671" s="130"/>
      <c r="B1671" s="123"/>
      <c r="C1671" s="130"/>
      <c r="F1671" s="123"/>
      <c r="G1671" s="180"/>
      <c r="H1671" s="150"/>
      <c r="J1671" s="130"/>
    </row>
    <row r="1672" spans="1:10" s="120" customFormat="1">
      <c r="A1672" s="130"/>
      <c r="B1672" s="123"/>
      <c r="C1672" s="130"/>
      <c r="F1672" s="123"/>
      <c r="G1672" s="180"/>
      <c r="H1672" s="150"/>
      <c r="J1672" s="130"/>
    </row>
    <row r="1673" spans="1:10" s="120" customFormat="1">
      <c r="A1673" s="130"/>
      <c r="B1673" s="123"/>
      <c r="C1673" s="130"/>
      <c r="F1673" s="123"/>
      <c r="G1673" s="180"/>
      <c r="H1673" s="150"/>
      <c r="J1673" s="130"/>
    </row>
    <row r="1674" spans="1:10" s="120" customFormat="1">
      <c r="A1674" s="130"/>
      <c r="B1674" s="123"/>
      <c r="C1674" s="130"/>
      <c r="F1674" s="123"/>
      <c r="G1674" s="180"/>
      <c r="H1674" s="150"/>
      <c r="J1674" s="130"/>
    </row>
    <row r="1675" spans="1:10" s="120" customFormat="1">
      <c r="A1675" s="130"/>
      <c r="B1675" s="123"/>
      <c r="C1675" s="130"/>
      <c r="F1675" s="123"/>
      <c r="G1675" s="180"/>
      <c r="H1675" s="150"/>
      <c r="J1675" s="130"/>
    </row>
    <row r="1676" spans="1:10" s="120" customFormat="1">
      <c r="A1676" s="130"/>
      <c r="B1676" s="123"/>
      <c r="C1676" s="130"/>
      <c r="F1676" s="123"/>
      <c r="G1676" s="180"/>
      <c r="H1676" s="150"/>
      <c r="J1676" s="130"/>
    </row>
    <row r="1677" spans="1:10" s="120" customFormat="1">
      <c r="A1677" s="130"/>
      <c r="B1677" s="123"/>
      <c r="C1677" s="130"/>
      <c r="F1677" s="123"/>
      <c r="G1677" s="180"/>
      <c r="H1677" s="150"/>
      <c r="J1677" s="130"/>
    </row>
    <row r="1678" spans="1:10" s="120" customFormat="1">
      <c r="A1678" s="130"/>
      <c r="B1678" s="123"/>
      <c r="C1678" s="130"/>
      <c r="F1678" s="123"/>
      <c r="G1678" s="180"/>
      <c r="H1678" s="150"/>
      <c r="J1678" s="130"/>
    </row>
    <row r="1679" spans="1:10" s="120" customFormat="1">
      <c r="A1679" s="130"/>
      <c r="B1679" s="123"/>
      <c r="C1679" s="130"/>
      <c r="F1679" s="123"/>
      <c r="G1679" s="180"/>
      <c r="H1679" s="150"/>
      <c r="J1679" s="130"/>
    </row>
    <row r="1680" spans="1:10" s="120" customFormat="1">
      <c r="A1680" s="130"/>
      <c r="B1680" s="123"/>
      <c r="C1680" s="130"/>
      <c r="F1680" s="123"/>
      <c r="G1680" s="180"/>
      <c r="H1680" s="150"/>
      <c r="J1680" s="130"/>
    </row>
    <row r="1681" spans="1:10" s="120" customFormat="1">
      <c r="A1681" s="130"/>
      <c r="B1681" s="123"/>
      <c r="C1681" s="130"/>
      <c r="F1681" s="123"/>
      <c r="G1681" s="180"/>
      <c r="H1681" s="150"/>
      <c r="J1681" s="130"/>
    </row>
    <row r="1682" spans="1:10" s="120" customFormat="1">
      <c r="A1682" s="130"/>
      <c r="B1682" s="123"/>
      <c r="C1682" s="130"/>
      <c r="F1682" s="123"/>
      <c r="G1682" s="180"/>
      <c r="H1682" s="150"/>
      <c r="J1682" s="130"/>
    </row>
    <row r="1683" spans="1:10" s="120" customFormat="1">
      <c r="A1683" s="130"/>
      <c r="B1683" s="123"/>
      <c r="C1683" s="130"/>
      <c r="F1683" s="123"/>
      <c r="G1683" s="180"/>
      <c r="H1683" s="150"/>
      <c r="J1683" s="130"/>
    </row>
    <row r="1684" spans="1:10" s="120" customFormat="1">
      <c r="A1684" s="130"/>
      <c r="B1684" s="123"/>
      <c r="C1684" s="130"/>
      <c r="F1684" s="123"/>
      <c r="G1684" s="180"/>
      <c r="H1684" s="150"/>
      <c r="J1684" s="130"/>
    </row>
    <row r="1685" spans="1:10" s="120" customFormat="1">
      <c r="A1685" s="130"/>
      <c r="B1685" s="123"/>
      <c r="C1685" s="130"/>
      <c r="F1685" s="123"/>
      <c r="G1685" s="180"/>
      <c r="H1685" s="150"/>
      <c r="J1685" s="130"/>
    </row>
    <row r="1686" spans="1:10" s="120" customFormat="1">
      <c r="A1686" s="130"/>
      <c r="B1686" s="123"/>
      <c r="C1686" s="130"/>
      <c r="F1686" s="123"/>
      <c r="G1686" s="180"/>
      <c r="H1686" s="150"/>
      <c r="J1686" s="130"/>
    </row>
    <row r="1687" spans="1:10" s="120" customFormat="1">
      <c r="A1687" s="130"/>
      <c r="B1687" s="123"/>
      <c r="C1687" s="130"/>
      <c r="F1687" s="123"/>
      <c r="G1687" s="180"/>
      <c r="H1687" s="150"/>
      <c r="J1687" s="130"/>
    </row>
    <row r="1688" spans="1:10" s="120" customFormat="1">
      <c r="A1688" s="130"/>
      <c r="B1688" s="123"/>
      <c r="C1688" s="130"/>
      <c r="F1688" s="123"/>
      <c r="G1688" s="180"/>
      <c r="H1688" s="150"/>
      <c r="J1688" s="130"/>
    </row>
    <row r="1689" spans="1:10" s="120" customFormat="1">
      <c r="A1689" s="130"/>
      <c r="B1689" s="123"/>
      <c r="C1689" s="130"/>
      <c r="F1689" s="123"/>
      <c r="G1689" s="180"/>
      <c r="H1689" s="150"/>
      <c r="J1689" s="130"/>
    </row>
    <row r="1690" spans="1:10" s="120" customFormat="1">
      <c r="A1690" s="130"/>
      <c r="B1690" s="123"/>
      <c r="C1690" s="130"/>
      <c r="F1690" s="123"/>
      <c r="G1690" s="180"/>
      <c r="H1690" s="150"/>
      <c r="J1690" s="130"/>
    </row>
    <row r="1691" spans="1:10" s="120" customFormat="1">
      <c r="A1691" s="130"/>
      <c r="B1691" s="123"/>
      <c r="C1691" s="130"/>
      <c r="F1691" s="123"/>
      <c r="G1691" s="180"/>
      <c r="H1691" s="150"/>
      <c r="J1691" s="130"/>
    </row>
    <row r="1692" spans="1:10" s="120" customFormat="1">
      <c r="A1692" s="130"/>
      <c r="B1692" s="123"/>
      <c r="C1692" s="130"/>
      <c r="F1692" s="123"/>
      <c r="G1692" s="180"/>
      <c r="H1692" s="150"/>
      <c r="J1692" s="130"/>
    </row>
    <row r="1693" spans="1:10" s="120" customFormat="1">
      <c r="A1693" s="130"/>
      <c r="B1693" s="123"/>
      <c r="C1693" s="130"/>
      <c r="F1693" s="123"/>
      <c r="G1693" s="180"/>
      <c r="H1693" s="150"/>
      <c r="J1693" s="130"/>
    </row>
    <row r="1694" spans="1:10" s="120" customFormat="1">
      <c r="A1694" s="130"/>
      <c r="B1694" s="123"/>
      <c r="C1694" s="130"/>
      <c r="F1694" s="123"/>
      <c r="G1694" s="180"/>
      <c r="H1694" s="150"/>
      <c r="J1694" s="130"/>
    </row>
    <row r="1695" spans="1:10" s="120" customFormat="1">
      <c r="A1695" s="130"/>
      <c r="B1695" s="123"/>
      <c r="C1695" s="130"/>
      <c r="F1695" s="123"/>
      <c r="G1695" s="180"/>
      <c r="H1695" s="150"/>
      <c r="J1695" s="130"/>
    </row>
    <row r="1696" spans="1:10" s="120" customFormat="1">
      <c r="A1696" s="130"/>
      <c r="B1696" s="123"/>
      <c r="C1696" s="130"/>
      <c r="F1696" s="123"/>
      <c r="G1696" s="180"/>
      <c r="H1696" s="150"/>
      <c r="J1696" s="130"/>
    </row>
    <row r="1697" spans="1:10" s="120" customFormat="1">
      <c r="A1697" s="130"/>
      <c r="B1697" s="123"/>
      <c r="C1697" s="130"/>
      <c r="F1697" s="123"/>
      <c r="G1697" s="180"/>
      <c r="H1697" s="150"/>
      <c r="J1697" s="130"/>
    </row>
    <row r="1698" spans="1:10" s="120" customFormat="1">
      <c r="A1698" s="130"/>
      <c r="B1698" s="123"/>
      <c r="C1698" s="130"/>
      <c r="F1698" s="123"/>
      <c r="G1698" s="180"/>
      <c r="H1698" s="150"/>
      <c r="J1698" s="130"/>
    </row>
    <row r="1699" spans="1:10" s="120" customFormat="1">
      <c r="A1699" s="130"/>
      <c r="B1699" s="123"/>
      <c r="C1699" s="130"/>
      <c r="F1699" s="123"/>
      <c r="G1699" s="180"/>
      <c r="H1699" s="150"/>
      <c r="J1699" s="130"/>
    </row>
    <row r="1700" spans="1:10" s="120" customFormat="1">
      <c r="A1700" s="130"/>
      <c r="B1700" s="123"/>
      <c r="C1700" s="130"/>
      <c r="F1700" s="123"/>
      <c r="G1700" s="180"/>
      <c r="H1700" s="150"/>
      <c r="J1700" s="130"/>
    </row>
    <row r="1701" spans="1:10" s="120" customFormat="1">
      <c r="A1701" s="130"/>
      <c r="B1701" s="123"/>
      <c r="C1701" s="130"/>
      <c r="F1701" s="123"/>
      <c r="G1701" s="180"/>
      <c r="H1701" s="150"/>
      <c r="J1701" s="130"/>
    </row>
    <row r="1702" spans="1:10" s="120" customFormat="1">
      <c r="A1702" s="130"/>
      <c r="B1702" s="123"/>
      <c r="C1702" s="130"/>
      <c r="F1702" s="123"/>
      <c r="G1702" s="180"/>
      <c r="H1702" s="150"/>
      <c r="J1702" s="130"/>
    </row>
    <row r="1703" spans="1:10" s="120" customFormat="1">
      <c r="A1703" s="130"/>
      <c r="B1703" s="123"/>
      <c r="C1703" s="130"/>
      <c r="F1703" s="123"/>
      <c r="G1703" s="180"/>
      <c r="H1703" s="150"/>
      <c r="J1703" s="130"/>
    </row>
    <row r="1704" spans="1:10" s="120" customFormat="1">
      <c r="A1704" s="130"/>
      <c r="B1704" s="123"/>
      <c r="C1704" s="130"/>
      <c r="F1704" s="123"/>
      <c r="G1704" s="180"/>
      <c r="H1704" s="150"/>
      <c r="J1704" s="130"/>
    </row>
    <row r="1705" spans="1:10" s="120" customFormat="1">
      <c r="A1705" s="130"/>
      <c r="B1705" s="123"/>
      <c r="C1705" s="130"/>
      <c r="F1705" s="123"/>
      <c r="G1705" s="180"/>
      <c r="H1705" s="150"/>
      <c r="J1705" s="130"/>
    </row>
    <row r="1706" spans="1:10" s="120" customFormat="1">
      <c r="A1706" s="130"/>
      <c r="B1706" s="123"/>
      <c r="C1706" s="130"/>
      <c r="F1706" s="123"/>
      <c r="G1706" s="180"/>
      <c r="H1706" s="150"/>
      <c r="J1706" s="130"/>
    </row>
    <row r="1707" spans="1:10" s="120" customFormat="1">
      <c r="A1707" s="130"/>
      <c r="B1707" s="123"/>
      <c r="C1707" s="130"/>
      <c r="F1707" s="123"/>
      <c r="G1707" s="180"/>
      <c r="H1707" s="150"/>
      <c r="J1707" s="130"/>
    </row>
    <row r="1708" spans="1:10" s="120" customFormat="1">
      <c r="A1708" s="130"/>
      <c r="B1708" s="123"/>
      <c r="C1708" s="130"/>
      <c r="F1708" s="123"/>
      <c r="G1708" s="180"/>
      <c r="H1708" s="150"/>
      <c r="J1708" s="130"/>
    </row>
    <row r="1709" spans="1:10" s="120" customFormat="1">
      <c r="A1709" s="130"/>
      <c r="B1709" s="123"/>
      <c r="C1709" s="130"/>
      <c r="F1709" s="123"/>
      <c r="G1709" s="180"/>
      <c r="H1709" s="150"/>
      <c r="J1709" s="130"/>
    </row>
    <row r="1710" spans="1:10" s="120" customFormat="1">
      <c r="A1710" s="130"/>
      <c r="B1710" s="123"/>
      <c r="C1710" s="130"/>
      <c r="F1710" s="123"/>
      <c r="G1710" s="180"/>
      <c r="H1710" s="150"/>
      <c r="J1710" s="130"/>
    </row>
    <row r="1711" spans="1:10" s="120" customFormat="1">
      <c r="A1711" s="130"/>
      <c r="B1711" s="123"/>
      <c r="C1711" s="130"/>
      <c r="F1711" s="123"/>
      <c r="G1711" s="180"/>
      <c r="H1711" s="150"/>
      <c r="J1711" s="130"/>
    </row>
    <row r="1712" spans="1:10" s="120" customFormat="1">
      <c r="A1712" s="130"/>
      <c r="B1712" s="123"/>
      <c r="C1712" s="130"/>
      <c r="F1712" s="123"/>
      <c r="G1712" s="180"/>
      <c r="H1712" s="150"/>
      <c r="J1712" s="130"/>
    </row>
    <row r="1713" spans="1:10" s="120" customFormat="1">
      <c r="A1713" s="130"/>
      <c r="B1713" s="123"/>
      <c r="C1713" s="130"/>
      <c r="F1713" s="123"/>
      <c r="G1713" s="180"/>
      <c r="H1713" s="150"/>
      <c r="J1713" s="130"/>
    </row>
    <row r="1714" spans="1:10" s="120" customFormat="1">
      <c r="A1714" s="130"/>
      <c r="B1714" s="123"/>
      <c r="C1714" s="130"/>
      <c r="F1714" s="123"/>
      <c r="G1714" s="180"/>
      <c r="H1714" s="150"/>
      <c r="J1714" s="130"/>
    </row>
    <row r="1715" spans="1:10" s="120" customFormat="1">
      <c r="A1715" s="130"/>
      <c r="B1715" s="123"/>
      <c r="C1715" s="130"/>
      <c r="F1715" s="123"/>
      <c r="G1715" s="180"/>
      <c r="H1715" s="150"/>
      <c r="J1715" s="130"/>
    </row>
    <row r="1716" spans="1:10" s="120" customFormat="1">
      <c r="A1716" s="130"/>
      <c r="B1716" s="123"/>
      <c r="C1716" s="130"/>
      <c r="F1716" s="123"/>
      <c r="G1716" s="180"/>
      <c r="H1716" s="150"/>
      <c r="J1716" s="130"/>
    </row>
    <row r="1717" spans="1:10" s="120" customFormat="1">
      <c r="A1717" s="130"/>
      <c r="B1717" s="123"/>
      <c r="C1717" s="130"/>
      <c r="F1717" s="123"/>
      <c r="G1717" s="180"/>
      <c r="H1717" s="150"/>
      <c r="J1717" s="130"/>
    </row>
    <row r="1718" spans="1:10" s="120" customFormat="1">
      <c r="A1718" s="130"/>
      <c r="B1718" s="123"/>
      <c r="C1718" s="130"/>
      <c r="F1718" s="123"/>
      <c r="G1718" s="180"/>
      <c r="H1718" s="150"/>
      <c r="J1718" s="130"/>
    </row>
    <row r="1719" spans="1:10" s="120" customFormat="1">
      <c r="A1719" s="130"/>
      <c r="B1719" s="123"/>
      <c r="C1719" s="130"/>
      <c r="F1719" s="123"/>
      <c r="G1719" s="180"/>
      <c r="H1719" s="150"/>
      <c r="J1719" s="130"/>
    </row>
    <row r="1720" spans="1:10" s="120" customFormat="1">
      <c r="A1720" s="130"/>
      <c r="B1720" s="123"/>
      <c r="C1720" s="130"/>
      <c r="F1720" s="123"/>
      <c r="G1720" s="180"/>
      <c r="H1720" s="150"/>
      <c r="J1720" s="130"/>
    </row>
    <row r="1721" spans="1:10" s="120" customFormat="1">
      <c r="A1721" s="130"/>
      <c r="B1721" s="123"/>
      <c r="C1721" s="130"/>
      <c r="F1721" s="123"/>
      <c r="G1721" s="180"/>
      <c r="H1721" s="150"/>
      <c r="J1721" s="130"/>
    </row>
    <row r="1722" spans="1:10" s="120" customFormat="1">
      <c r="A1722" s="130"/>
      <c r="B1722" s="123"/>
      <c r="C1722" s="130"/>
      <c r="F1722" s="123"/>
      <c r="G1722" s="180"/>
      <c r="H1722" s="150"/>
      <c r="J1722" s="130"/>
    </row>
    <row r="1723" spans="1:10" s="120" customFormat="1">
      <c r="A1723" s="130"/>
      <c r="B1723" s="123"/>
      <c r="C1723" s="130"/>
      <c r="F1723" s="123"/>
      <c r="G1723" s="180"/>
      <c r="H1723" s="150"/>
      <c r="J1723" s="130"/>
    </row>
    <row r="1724" spans="1:10" s="120" customFormat="1">
      <c r="A1724" s="130"/>
      <c r="B1724" s="123"/>
      <c r="C1724" s="130"/>
      <c r="F1724" s="123"/>
      <c r="G1724" s="180"/>
      <c r="H1724" s="150"/>
      <c r="J1724" s="130"/>
    </row>
    <row r="1725" spans="1:10" s="120" customFormat="1">
      <c r="A1725" s="130"/>
      <c r="B1725" s="123"/>
      <c r="C1725" s="130"/>
      <c r="F1725" s="123"/>
      <c r="G1725" s="180"/>
      <c r="H1725" s="150"/>
      <c r="J1725" s="130"/>
    </row>
    <row r="1726" spans="1:10" s="120" customFormat="1">
      <c r="A1726" s="130"/>
      <c r="B1726" s="123"/>
      <c r="C1726" s="130"/>
      <c r="F1726" s="123"/>
      <c r="G1726" s="180"/>
      <c r="H1726" s="150"/>
      <c r="J1726" s="130"/>
    </row>
    <row r="1727" spans="1:10" s="120" customFormat="1">
      <c r="A1727" s="130"/>
      <c r="B1727" s="123"/>
      <c r="C1727" s="130"/>
      <c r="F1727" s="123"/>
      <c r="G1727" s="180"/>
      <c r="H1727" s="150"/>
      <c r="J1727" s="130"/>
    </row>
    <row r="1728" spans="1:10" s="120" customFormat="1">
      <c r="A1728" s="130"/>
      <c r="B1728" s="123"/>
      <c r="C1728" s="130"/>
      <c r="F1728" s="123"/>
      <c r="G1728" s="180"/>
      <c r="H1728" s="150"/>
      <c r="J1728" s="130"/>
    </row>
    <row r="1729" spans="1:10" s="120" customFormat="1">
      <c r="A1729" s="130"/>
      <c r="B1729" s="123"/>
      <c r="C1729" s="130"/>
      <c r="F1729" s="123"/>
      <c r="G1729" s="180"/>
      <c r="H1729" s="150"/>
      <c r="J1729" s="130"/>
    </row>
    <row r="1730" spans="1:10" s="120" customFormat="1">
      <c r="A1730" s="130"/>
      <c r="B1730" s="123"/>
      <c r="C1730" s="130"/>
      <c r="F1730" s="123"/>
      <c r="G1730" s="180"/>
      <c r="H1730" s="150"/>
      <c r="J1730" s="130"/>
    </row>
    <row r="1731" spans="1:10" s="120" customFormat="1">
      <c r="A1731" s="130"/>
      <c r="B1731" s="123"/>
      <c r="C1731" s="130"/>
      <c r="F1731" s="123"/>
      <c r="G1731" s="180"/>
      <c r="H1731" s="150"/>
      <c r="J1731" s="130"/>
    </row>
    <row r="1732" spans="1:10" s="120" customFormat="1">
      <c r="A1732" s="130"/>
      <c r="B1732" s="123"/>
      <c r="C1732" s="130"/>
      <c r="F1732" s="123"/>
      <c r="G1732" s="180"/>
      <c r="H1732" s="150"/>
      <c r="J1732" s="130"/>
    </row>
    <row r="1733" spans="1:10" s="120" customFormat="1">
      <c r="A1733" s="130"/>
      <c r="B1733" s="123"/>
      <c r="C1733" s="130"/>
      <c r="F1733" s="123"/>
      <c r="G1733" s="180"/>
      <c r="H1733" s="150"/>
      <c r="J1733" s="130"/>
    </row>
    <row r="1734" spans="1:10" s="120" customFormat="1">
      <c r="A1734" s="130"/>
      <c r="B1734" s="123"/>
      <c r="C1734" s="130"/>
      <c r="F1734" s="123"/>
      <c r="G1734" s="180"/>
      <c r="H1734" s="150"/>
      <c r="J1734" s="130"/>
    </row>
    <row r="1735" spans="1:10" s="120" customFormat="1">
      <c r="A1735" s="130"/>
      <c r="B1735" s="123"/>
      <c r="C1735" s="130"/>
      <c r="F1735" s="123"/>
      <c r="G1735" s="180"/>
      <c r="H1735" s="150"/>
      <c r="J1735" s="130"/>
    </row>
    <row r="1736" spans="1:10" s="120" customFormat="1">
      <c r="A1736" s="130"/>
      <c r="B1736" s="123"/>
      <c r="C1736" s="130"/>
      <c r="F1736" s="123"/>
      <c r="G1736" s="180"/>
      <c r="H1736" s="150"/>
      <c r="J1736" s="130"/>
    </row>
    <row r="1737" spans="1:10" s="120" customFormat="1">
      <c r="A1737" s="130"/>
      <c r="B1737" s="123"/>
      <c r="C1737" s="130"/>
      <c r="F1737" s="123"/>
      <c r="G1737" s="180"/>
      <c r="H1737" s="150"/>
      <c r="J1737" s="130"/>
    </row>
    <row r="1738" spans="1:10" s="120" customFormat="1">
      <c r="A1738" s="130"/>
      <c r="B1738" s="123"/>
      <c r="C1738" s="130"/>
      <c r="F1738" s="123"/>
      <c r="G1738" s="180"/>
      <c r="H1738" s="150"/>
      <c r="J1738" s="130"/>
    </row>
    <row r="1739" spans="1:10" s="120" customFormat="1">
      <c r="A1739" s="130"/>
      <c r="B1739" s="123"/>
      <c r="C1739" s="130"/>
      <c r="F1739" s="123"/>
      <c r="G1739" s="180"/>
      <c r="H1739" s="150"/>
      <c r="J1739" s="130"/>
    </row>
    <row r="1740" spans="1:10" s="120" customFormat="1">
      <c r="A1740" s="130"/>
      <c r="B1740" s="123"/>
      <c r="C1740" s="130"/>
      <c r="F1740" s="123"/>
      <c r="G1740" s="180"/>
      <c r="H1740" s="150"/>
      <c r="J1740" s="130"/>
    </row>
    <row r="1741" spans="1:10" s="120" customFormat="1">
      <c r="A1741" s="130"/>
      <c r="B1741" s="123"/>
      <c r="C1741" s="130"/>
      <c r="F1741" s="123"/>
      <c r="G1741" s="180"/>
      <c r="H1741" s="150"/>
      <c r="J1741" s="130"/>
    </row>
    <row r="1742" spans="1:10" s="120" customFormat="1">
      <c r="A1742" s="130"/>
      <c r="B1742" s="123"/>
      <c r="C1742" s="130"/>
      <c r="F1742" s="123"/>
      <c r="G1742" s="180"/>
      <c r="H1742" s="150"/>
      <c r="J1742" s="130"/>
    </row>
    <row r="1743" spans="1:10" s="120" customFormat="1">
      <c r="A1743" s="130"/>
      <c r="B1743" s="123"/>
      <c r="C1743" s="130"/>
      <c r="F1743" s="123"/>
      <c r="G1743" s="180"/>
      <c r="H1743" s="150"/>
      <c r="J1743" s="130"/>
    </row>
    <row r="1744" spans="1:10" s="120" customFormat="1">
      <c r="A1744" s="130"/>
      <c r="B1744" s="123"/>
      <c r="C1744" s="130"/>
      <c r="F1744" s="123"/>
      <c r="G1744" s="180"/>
      <c r="H1744" s="150"/>
      <c r="J1744" s="130"/>
    </row>
    <row r="1745" spans="1:10" s="120" customFormat="1">
      <c r="A1745" s="130"/>
      <c r="B1745" s="123"/>
      <c r="C1745" s="130"/>
      <c r="F1745" s="123"/>
      <c r="G1745" s="180"/>
      <c r="H1745" s="150"/>
      <c r="J1745" s="130"/>
    </row>
    <row r="1746" spans="1:10" s="120" customFormat="1">
      <c r="A1746" s="130"/>
      <c r="B1746" s="123"/>
      <c r="C1746" s="130"/>
      <c r="F1746" s="123"/>
      <c r="G1746" s="180"/>
      <c r="H1746" s="150"/>
      <c r="J1746" s="130"/>
    </row>
    <row r="1747" spans="1:10" s="120" customFormat="1">
      <c r="A1747" s="130"/>
      <c r="B1747" s="123"/>
      <c r="C1747" s="130"/>
      <c r="F1747" s="123"/>
      <c r="G1747" s="180"/>
      <c r="H1747" s="150"/>
      <c r="J1747" s="130"/>
    </row>
    <row r="1748" spans="1:10" s="120" customFormat="1">
      <c r="A1748" s="130"/>
      <c r="B1748" s="123"/>
      <c r="C1748" s="130"/>
      <c r="F1748" s="123"/>
      <c r="G1748" s="180"/>
      <c r="H1748" s="150"/>
      <c r="J1748" s="130"/>
    </row>
    <row r="1749" spans="1:10" s="120" customFormat="1">
      <c r="A1749" s="130"/>
      <c r="B1749" s="123"/>
      <c r="C1749" s="130"/>
      <c r="F1749" s="123"/>
      <c r="G1749" s="180"/>
      <c r="H1749" s="150"/>
      <c r="J1749" s="130"/>
    </row>
    <row r="1750" spans="1:10" s="120" customFormat="1">
      <c r="A1750" s="130"/>
      <c r="B1750" s="123"/>
      <c r="C1750" s="130"/>
      <c r="F1750" s="123"/>
      <c r="G1750" s="180"/>
      <c r="H1750" s="150"/>
      <c r="J1750" s="130"/>
    </row>
    <row r="1751" spans="1:10" s="120" customFormat="1">
      <c r="A1751" s="130"/>
      <c r="B1751" s="123"/>
      <c r="C1751" s="130"/>
      <c r="F1751" s="123"/>
      <c r="G1751" s="180"/>
      <c r="H1751" s="150"/>
      <c r="J1751" s="130"/>
    </row>
    <row r="1752" spans="1:10" s="120" customFormat="1">
      <c r="A1752" s="130"/>
      <c r="B1752" s="123"/>
      <c r="C1752" s="130"/>
      <c r="F1752" s="123"/>
      <c r="G1752" s="180"/>
      <c r="H1752" s="150"/>
      <c r="J1752" s="130"/>
    </row>
    <row r="1753" spans="1:10" s="120" customFormat="1">
      <c r="A1753" s="130"/>
      <c r="B1753" s="123"/>
      <c r="C1753" s="130"/>
      <c r="F1753" s="123"/>
      <c r="G1753" s="180"/>
      <c r="H1753" s="150"/>
      <c r="J1753" s="130"/>
    </row>
    <row r="1754" spans="1:10" s="120" customFormat="1">
      <c r="A1754" s="130"/>
      <c r="B1754" s="123"/>
      <c r="C1754" s="130"/>
      <c r="F1754" s="123"/>
      <c r="G1754" s="180"/>
      <c r="H1754" s="150"/>
      <c r="J1754" s="130"/>
    </row>
    <row r="1755" spans="1:10" s="120" customFormat="1">
      <c r="A1755" s="130"/>
      <c r="B1755" s="123"/>
      <c r="C1755" s="130"/>
      <c r="F1755" s="123"/>
      <c r="G1755" s="180"/>
      <c r="H1755" s="150"/>
      <c r="J1755" s="130"/>
    </row>
    <row r="1756" spans="1:10" s="120" customFormat="1">
      <c r="A1756" s="130"/>
      <c r="B1756" s="123"/>
      <c r="C1756" s="130"/>
      <c r="F1756" s="123"/>
      <c r="G1756" s="180"/>
      <c r="H1756" s="150"/>
      <c r="J1756" s="130"/>
    </row>
    <row r="1757" spans="1:10" s="120" customFormat="1">
      <c r="A1757" s="130"/>
      <c r="B1757" s="123"/>
      <c r="C1757" s="130"/>
      <c r="F1757" s="123"/>
      <c r="G1757" s="180"/>
      <c r="H1757" s="150"/>
      <c r="J1757" s="130"/>
    </row>
    <row r="1758" spans="1:10" s="120" customFormat="1">
      <c r="A1758" s="130"/>
      <c r="B1758" s="123"/>
      <c r="C1758" s="130"/>
      <c r="F1758" s="123"/>
      <c r="G1758" s="180"/>
      <c r="H1758" s="150"/>
      <c r="J1758" s="130"/>
    </row>
    <row r="1759" spans="1:10" s="120" customFormat="1">
      <c r="A1759" s="130"/>
      <c r="B1759" s="123"/>
      <c r="C1759" s="130"/>
      <c r="F1759" s="123"/>
      <c r="G1759" s="180"/>
      <c r="H1759" s="150"/>
      <c r="J1759" s="130"/>
    </row>
    <row r="1760" spans="1:10" s="120" customFormat="1">
      <c r="A1760" s="130"/>
      <c r="B1760" s="123"/>
      <c r="C1760" s="130"/>
      <c r="F1760" s="123"/>
      <c r="G1760" s="180"/>
      <c r="H1760" s="150"/>
      <c r="J1760" s="130"/>
    </row>
    <row r="1761" spans="1:10" s="120" customFormat="1">
      <c r="A1761" s="130"/>
      <c r="B1761" s="123"/>
      <c r="C1761" s="130"/>
      <c r="F1761" s="123"/>
      <c r="G1761" s="180"/>
      <c r="H1761" s="150"/>
      <c r="J1761" s="130"/>
    </row>
    <row r="1762" spans="1:10" s="120" customFormat="1">
      <c r="A1762" s="130"/>
      <c r="B1762" s="123"/>
      <c r="C1762" s="130"/>
      <c r="F1762" s="123"/>
      <c r="G1762" s="180"/>
      <c r="H1762" s="150"/>
      <c r="J1762" s="130"/>
    </row>
    <row r="1763" spans="1:10" s="120" customFormat="1">
      <c r="A1763" s="130"/>
      <c r="B1763" s="123"/>
      <c r="C1763" s="130"/>
      <c r="F1763" s="123"/>
      <c r="G1763" s="180"/>
      <c r="H1763" s="150"/>
      <c r="J1763" s="130"/>
    </row>
    <row r="1764" spans="1:10" s="120" customFormat="1">
      <c r="A1764" s="130"/>
      <c r="B1764" s="123"/>
      <c r="C1764" s="130"/>
      <c r="F1764" s="123"/>
      <c r="G1764" s="180"/>
      <c r="H1764" s="150"/>
      <c r="J1764" s="130"/>
    </row>
    <row r="1765" spans="1:10" s="120" customFormat="1">
      <c r="A1765" s="130"/>
      <c r="B1765" s="123"/>
      <c r="C1765" s="130"/>
      <c r="F1765" s="123"/>
      <c r="G1765" s="180"/>
      <c r="H1765" s="150"/>
      <c r="J1765" s="130"/>
    </row>
    <row r="1766" spans="1:10" s="120" customFormat="1">
      <c r="A1766" s="130"/>
      <c r="B1766" s="123"/>
      <c r="C1766" s="130"/>
      <c r="F1766" s="123"/>
      <c r="G1766" s="180"/>
      <c r="H1766" s="150"/>
      <c r="J1766" s="130"/>
    </row>
    <row r="1767" spans="1:10" s="120" customFormat="1">
      <c r="A1767" s="130"/>
      <c r="B1767" s="123"/>
      <c r="C1767" s="130"/>
      <c r="F1767" s="123"/>
      <c r="G1767" s="180"/>
      <c r="H1767" s="150"/>
      <c r="J1767" s="130"/>
    </row>
    <row r="1768" spans="1:10" s="120" customFormat="1">
      <c r="A1768" s="130"/>
      <c r="B1768" s="123"/>
      <c r="C1768" s="130"/>
      <c r="F1768" s="123"/>
      <c r="G1768" s="180"/>
      <c r="H1768" s="150"/>
      <c r="J1768" s="130"/>
    </row>
    <row r="1769" spans="1:10" s="120" customFormat="1">
      <c r="A1769" s="130"/>
      <c r="B1769" s="123"/>
      <c r="C1769" s="130"/>
      <c r="F1769" s="123"/>
      <c r="G1769" s="180"/>
      <c r="H1769" s="150"/>
      <c r="J1769" s="130"/>
    </row>
    <row r="1770" spans="1:10" s="120" customFormat="1">
      <c r="A1770" s="130"/>
      <c r="B1770" s="123"/>
      <c r="C1770" s="130"/>
      <c r="F1770" s="123"/>
      <c r="G1770" s="180"/>
      <c r="H1770" s="150"/>
      <c r="J1770" s="130"/>
    </row>
    <row r="1771" spans="1:10" s="120" customFormat="1">
      <c r="A1771" s="130"/>
      <c r="B1771" s="123"/>
      <c r="C1771" s="130"/>
      <c r="F1771" s="123"/>
      <c r="G1771" s="180"/>
      <c r="H1771" s="150"/>
      <c r="J1771" s="130"/>
    </row>
    <row r="1772" spans="1:10" s="120" customFormat="1">
      <c r="A1772" s="130"/>
      <c r="B1772" s="123"/>
      <c r="C1772" s="130"/>
      <c r="F1772" s="123"/>
      <c r="G1772" s="180"/>
      <c r="H1772" s="150"/>
      <c r="J1772" s="130"/>
    </row>
    <row r="1773" spans="1:10" s="120" customFormat="1">
      <c r="A1773" s="130"/>
      <c r="B1773" s="123"/>
      <c r="C1773" s="130"/>
      <c r="F1773" s="123"/>
      <c r="G1773" s="180"/>
      <c r="H1773" s="150"/>
      <c r="J1773" s="130"/>
    </row>
    <row r="1774" spans="1:10" s="120" customFormat="1">
      <c r="A1774" s="130"/>
      <c r="B1774" s="123"/>
      <c r="C1774" s="130"/>
      <c r="F1774" s="123"/>
      <c r="G1774" s="180"/>
      <c r="H1774" s="150"/>
      <c r="J1774" s="130"/>
    </row>
    <row r="1775" spans="1:10" s="120" customFormat="1">
      <c r="A1775" s="130"/>
      <c r="B1775" s="123"/>
      <c r="C1775" s="130"/>
      <c r="F1775" s="123"/>
      <c r="G1775" s="180"/>
      <c r="H1775" s="150"/>
      <c r="J1775" s="130"/>
    </row>
    <row r="1776" spans="1:10" s="120" customFormat="1">
      <c r="A1776" s="130"/>
      <c r="B1776" s="123"/>
      <c r="C1776" s="130"/>
      <c r="F1776" s="123"/>
      <c r="G1776" s="180"/>
      <c r="H1776" s="150"/>
      <c r="J1776" s="130"/>
    </row>
    <row r="1777" spans="1:10" s="120" customFormat="1">
      <c r="A1777" s="130"/>
      <c r="B1777" s="123"/>
      <c r="C1777" s="130"/>
      <c r="F1777" s="123"/>
      <c r="G1777" s="180"/>
      <c r="H1777" s="150"/>
      <c r="J1777" s="130"/>
    </row>
    <row r="1778" spans="1:10" s="120" customFormat="1">
      <c r="A1778" s="130"/>
      <c r="B1778" s="123"/>
      <c r="C1778" s="130"/>
      <c r="F1778" s="123"/>
      <c r="G1778" s="180"/>
      <c r="H1778" s="150"/>
      <c r="J1778" s="130"/>
    </row>
    <row r="1779" spans="1:10" s="120" customFormat="1">
      <c r="A1779" s="130"/>
      <c r="B1779" s="123"/>
      <c r="C1779" s="130"/>
      <c r="F1779" s="123"/>
      <c r="G1779" s="180"/>
      <c r="H1779" s="150"/>
      <c r="J1779" s="130"/>
    </row>
    <row r="1780" spans="1:10" s="120" customFormat="1">
      <c r="A1780" s="130"/>
      <c r="B1780" s="123"/>
      <c r="C1780" s="130"/>
      <c r="F1780" s="123"/>
      <c r="G1780" s="180"/>
      <c r="H1780" s="150"/>
      <c r="J1780" s="130"/>
    </row>
    <row r="1781" spans="1:10" s="120" customFormat="1">
      <c r="A1781" s="130"/>
      <c r="B1781" s="123"/>
      <c r="C1781" s="130"/>
      <c r="F1781" s="123"/>
      <c r="G1781" s="180"/>
      <c r="H1781" s="150"/>
      <c r="J1781" s="130"/>
    </row>
    <row r="1782" spans="1:10" s="120" customFormat="1">
      <c r="A1782" s="130"/>
      <c r="B1782" s="123"/>
      <c r="C1782" s="130"/>
      <c r="F1782" s="123"/>
      <c r="G1782" s="180"/>
      <c r="H1782" s="150"/>
      <c r="J1782" s="130"/>
    </row>
    <row r="1783" spans="1:10" s="120" customFormat="1">
      <c r="A1783" s="130"/>
      <c r="B1783" s="123"/>
      <c r="C1783" s="130"/>
      <c r="F1783" s="123"/>
      <c r="G1783" s="180"/>
      <c r="H1783" s="150"/>
      <c r="J1783" s="130"/>
    </row>
    <row r="1784" spans="1:10" s="120" customFormat="1">
      <c r="A1784" s="130"/>
      <c r="B1784" s="123"/>
      <c r="C1784" s="130"/>
      <c r="F1784" s="123"/>
      <c r="G1784" s="180"/>
      <c r="H1784" s="150"/>
      <c r="J1784" s="130"/>
    </row>
    <row r="1785" spans="1:10" s="120" customFormat="1">
      <c r="A1785" s="130"/>
      <c r="B1785" s="123"/>
      <c r="C1785" s="130"/>
      <c r="F1785" s="123"/>
      <c r="G1785" s="180"/>
      <c r="H1785" s="150"/>
      <c r="J1785" s="130"/>
    </row>
    <row r="1786" spans="1:10" s="120" customFormat="1">
      <c r="A1786" s="130"/>
      <c r="B1786" s="123"/>
      <c r="C1786" s="130"/>
      <c r="F1786" s="123"/>
      <c r="G1786" s="180"/>
      <c r="H1786" s="150"/>
      <c r="J1786" s="130"/>
    </row>
    <row r="1787" spans="1:10" s="120" customFormat="1">
      <c r="A1787" s="130"/>
      <c r="B1787" s="123"/>
      <c r="C1787" s="130"/>
      <c r="F1787" s="123"/>
      <c r="G1787" s="180"/>
      <c r="H1787" s="150"/>
      <c r="J1787" s="130"/>
    </row>
    <row r="1788" spans="1:10" s="120" customFormat="1">
      <c r="A1788" s="130"/>
      <c r="B1788" s="123"/>
      <c r="C1788" s="130"/>
      <c r="F1788" s="123"/>
      <c r="G1788" s="180"/>
      <c r="H1788" s="150"/>
      <c r="J1788" s="130"/>
    </row>
    <row r="1789" spans="1:10" s="120" customFormat="1">
      <c r="A1789" s="130"/>
      <c r="B1789" s="123"/>
      <c r="C1789" s="130"/>
      <c r="F1789" s="123"/>
      <c r="G1789" s="180"/>
      <c r="H1789" s="150"/>
      <c r="J1789" s="130"/>
    </row>
    <row r="1790" spans="1:10" s="120" customFormat="1">
      <c r="A1790" s="130"/>
      <c r="B1790" s="123"/>
      <c r="C1790" s="130"/>
      <c r="F1790" s="123"/>
      <c r="G1790" s="180"/>
      <c r="H1790" s="150"/>
      <c r="J1790" s="130"/>
    </row>
    <row r="1791" spans="1:10" s="120" customFormat="1">
      <c r="A1791" s="130"/>
      <c r="B1791" s="123"/>
      <c r="C1791" s="130"/>
      <c r="F1791" s="123"/>
      <c r="G1791" s="180"/>
      <c r="H1791" s="150"/>
      <c r="J1791" s="130"/>
    </row>
    <row r="1792" spans="1:10" s="120" customFormat="1">
      <c r="A1792" s="130"/>
      <c r="B1792" s="123"/>
      <c r="C1792" s="130"/>
      <c r="F1792" s="123"/>
      <c r="G1792" s="180"/>
      <c r="H1792" s="150"/>
      <c r="J1792" s="130"/>
    </row>
    <row r="1793" spans="1:10" s="120" customFormat="1">
      <c r="A1793" s="130"/>
      <c r="B1793" s="123"/>
      <c r="C1793" s="130"/>
      <c r="F1793" s="123"/>
      <c r="G1793" s="180"/>
      <c r="H1793" s="150"/>
      <c r="J1793" s="130"/>
    </row>
    <row r="1794" spans="1:10" s="120" customFormat="1">
      <c r="A1794" s="130"/>
      <c r="B1794" s="123"/>
      <c r="C1794" s="130"/>
      <c r="F1794" s="123"/>
      <c r="G1794" s="180"/>
      <c r="H1794" s="150"/>
      <c r="J1794" s="130"/>
    </row>
    <row r="1795" spans="1:10" s="120" customFormat="1">
      <c r="A1795" s="130"/>
      <c r="B1795" s="123"/>
      <c r="C1795" s="130"/>
      <c r="F1795" s="123"/>
      <c r="G1795" s="180"/>
      <c r="H1795" s="150"/>
      <c r="J1795" s="130"/>
    </row>
    <row r="1796" spans="1:10" s="120" customFormat="1">
      <c r="A1796" s="130"/>
      <c r="B1796" s="123"/>
      <c r="C1796" s="130"/>
      <c r="F1796" s="123"/>
      <c r="G1796" s="180"/>
      <c r="H1796" s="150"/>
      <c r="J1796" s="130"/>
    </row>
    <row r="1797" spans="1:10" s="120" customFormat="1">
      <c r="A1797" s="130"/>
      <c r="B1797" s="123"/>
      <c r="C1797" s="130"/>
      <c r="F1797" s="123"/>
      <c r="G1797" s="180"/>
      <c r="H1797" s="150"/>
      <c r="J1797" s="130"/>
    </row>
    <row r="1798" spans="1:10" s="120" customFormat="1">
      <c r="A1798" s="130"/>
      <c r="B1798" s="123"/>
      <c r="C1798" s="130"/>
      <c r="F1798" s="123"/>
      <c r="G1798" s="180"/>
      <c r="H1798" s="150"/>
      <c r="J1798" s="130"/>
    </row>
    <row r="1799" spans="1:10" s="120" customFormat="1">
      <c r="A1799" s="130"/>
      <c r="B1799" s="123"/>
      <c r="C1799" s="130"/>
      <c r="F1799" s="123"/>
      <c r="G1799" s="180"/>
      <c r="H1799" s="150"/>
      <c r="J1799" s="130"/>
    </row>
    <row r="1800" spans="1:10" s="120" customFormat="1">
      <c r="A1800" s="130"/>
      <c r="B1800" s="123"/>
      <c r="C1800" s="130"/>
      <c r="F1800" s="123"/>
      <c r="G1800" s="180"/>
      <c r="H1800" s="150"/>
      <c r="J1800" s="130"/>
    </row>
    <row r="1801" spans="1:10" s="120" customFormat="1">
      <c r="A1801" s="130"/>
      <c r="B1801" s="123"/>
      <c r="C1801" s="130"/>
      <c r="F1801" s="123"/>
      <c r="G1801" s="180"/>
      <c r="H1801" s="150"/>
      <c r="J1801" s="130"/>
    </row>
    <row r="1802" spans="1:10" s="120" customFormat="1">
      <c r="A1802" s="130"/>
      <c r="B1802" s="123"/>
      <c r="C1802" s="130"/>
      <c r="F1802" s="123"/>
      <c r="G1802" s="180"/>
      <c r="H1802" s="150"/>
      <c r="J1802" s="130"/>
    </row>
    <row r="1803" spans="1:10" s="120" customFormat="1">
      <c r="A1803" s="130"/>
      <c r="B1803" s="123"/>
      <c r="C1803" s="130"/>
      <c r="F1803" s="123"/>
      <c r="G1803" s="180"/>
      <c r="H1803" s="150"/>
      <c r="J1803" s="130"/>
    </row>
    <row r="1804" spans="1:10" s="120" customFormat="1">
      <c r="A1804" s="130"/>
      <c r="B1804" s="123"/>
      <c r="C1804" s="130"/>
      <c r="F1804" s="123"/>
      <c r="G1804" s="180"/>
      <c r="H1804" s="150"/>
      <c r="J1804" s="130"/>
    </row>
    <row r="1805" spans="1:10" s="120" customFormat="1">
      <c r="A1805" s="130"/>
      <c r="B1805" s="123"/>
      <c r="C1805" s="130"/>
      <c r="F1805" s="123"/>
      <c r="G1805" s="180"/>
      <c r="H1805" s="150"/>
      <c r="J1805" s="130"/>
    </row>
    <row r="1806" spans="1:10" s="120" customFormat="1">
      <c r="A1806" s="130"/>
      <c r="B1806" s="123"/>
      <c r="C1806" s="130"/>
      <c r="F1806" s="123"/>
      <c r="G1806" s="180"/>
      <c r="H1806" s="150"/>
      <c r="J1806" s="130"/>
    </row>
    <row r="1807" spans="1:10" s="120" customFormat="1">
      <c r="A1807" s="130"/>
      <c r="B1807" s="123"/>
      <c r="C1807" s="130"/>
      <c r="F1807" s="123"/>
      <c r="G1807" s="180"/>
      <c r="H1807" s="150"/>
      <c r="J1807" s="130"/>
    </row>
    <row r="1808" spans="1:10" s="120" customFormat="1">
      <c r="A1808" s="130"/>
      <c r="B1808" s="123"/>
      <c r="C1808" s="130"/>
      <c r="F1808" s="123"/>
      <c r="G1808" s="180"/>
      <c r="H1808" s="150"/>
      <c r="J1808" s="130"/>
    </row>
    <row r="1809" spans="1:10" s="120" customFormat="1">
      <c r="A1809" s="130"/>
      <c r="B1809" s="123"/>
      <c r="C1809" s="130"/>
      <c r="F1809" s="123"/>
      <c r="G1809" s="180"/>
      <c r="H1809" s="150"/>
      <c r="J1809" s="130"/>
    </row>
    <row r="1810" spans="1:10" s="120" customFormat="1">
      <c r="A1810" s="130"/>
      <c r="B1810" s="123"/>
      <c r="C1810" s="130"/>
      <c r="F1810" s="123"/>
      <c r="G1810" s="180"/>
      <c r="H1810" s="150"/>
      <c r="J1810" s="130"/>
    </row>
    <row r="1811" spans="1:10" s="120" customFormat="1">
      <c r="A1811" s="130"/>
      <c r="B1811" s="123"/>
      <c r="C1811" s="130"/>
      <c r="F1811" s="123"/>
      <c r="G1811" s="180"/>
      <c r="H1811" s="150"/>
      <c r="J1811" s="130"/>
    </row>
    <row r="1812" spans="1:10" s="120" customFormat="1">
      <c r="A1812" s="130"/>
      <c r="B1812" s="123"/>
      <c r="C1812" s="130"/>
      <c r="F1812" s="123"/>
      <c r="G1812" s="180"/>
      <c r="H1812" s="150"/>
      <c r="J1812" s="130"/>
    </row>
    <row r="1813" spans="1:10" s="120" customFormat="1">
      <c r="A1813" s="130"/>
      <c r="B1813" s="123"/>
      <c r="C1813" s="130"/>
      <c r="F1813" s="123"/>
      <c r="G1813" s="180"/>
      <c r="H1813" s="150"/>
      <c r="J1813" s="130"/>
    </row>
    <row r="1814" spans="1:10" s="120" customFormat="1">
      <c r="A1814" s="130"/>
      <c r="B1814" s="123"/>
      <c r="C1814" s="130"/>
      <c r="F1814" s="123"/>
      <c r="G1814" s="180"/>
      <c r="H1814" s="150"/>
      <c r="J1814" s="130"/>
    </row>
    <row r="1815" spans="1:10" s="120" customFormat="1">
      <c r="A1815" s="130"/>
      <c r="B1815" s="123"/>
      <c r="C1815" s="130"/>
      <c r="F1815" s="123"/>
      <c r="G1815" s="180"/>
      <c r="H1815" s="150"/>
      <c r="J1815" s="130"/>
    </row>
    <row r="1816" spans="1:10" s="120" customFormat="1">
      <c r="A1816" s="130"/>
      <c r="B1816" s="123"/>
      <c r="C1816" s="130"/>
      <c r="F1816" s="123"/>
      <c r="G1816" s="180"/>
      <c r="H1816" s="150"/>
      <c r="J1816" s="130"/>
    </row>
    <row r="1817" spans="1:10" s="120" customFormat="1">
      <c r="A1817" s="130"/>
      <c r="B1817" s="123"/>
      <c r="C1817" s="130"/>
      <c r="F1817" s="123"/>
      <c r="G1817" s="180"/>
      <c r="H1817" s="150"/>
      <c r="J1817" s="130"/>
    </row>
    <row r="1818" spans="1:10" s="120" customFormat="1">
      <c r="A1818" s="130"/>
      <c r="B1818" s="123"/>
      <c r="C1818" s="130"/>
      <c r="F1818" s="123"/>
      <c r="G1818" s="180"/>
      <c r="H1818" s="150"/>
      <c r="J1818" s="130"/>
    </row>
    <row r="1819" spans="1:10" s="120" customFormat="1">
      <c r="A1819" s="130"/>
      <c r="B1819" s="123"/>
      <c r="C1819" s="130"/>
      <c r="F1819" s="123"/>
      <c r="G1819" s="180"/>
      <c r="H1819" s="150"/>
      <c r="J1819" s="130"/>
    </row>
    <row r="1820" spans="1:10" s="120" customFormat="1">
      <c r="A1820" s="130"/>
      <c r="B1820" s="123"/>
      <c r="C1820" s="130"/>
      <c r="F1820" s="123"/>
      <c r="G1820" s="180"/>
      <c r="H1820" s="150"/>
      <c r="J1820" s="130"/>
    </row>
    <row r="1821" spans="1:10" s="120" customFormat="1">
      <c r="A1821" s="130"/>
      <c r="B1821" s="123"/>
      <c r="C1821" s="130"/>
      <c r="F1821" s="123"/>
      <c r="G1821" s="180"/>
      <c r="H1821" s="150"/>
      <c r="J1821" s="130"/>
    </row>
    <row r="1822" spans="1:10" s="120" customFormat="1">
      <c r="A1822" s="130"/>
      <c r="B1822" s="123"/>
      <c r="C1822" s="130"/>
      <c r="F1822" s="123"/>
      <c r="G1822" s="180"/>
      <c r="H1822" s="150"/>
      <c r="J1822" s="130"/>
    </row>
    <row r="1823" spans="1:10" s="120" customFormat="1">
      <c r="A1823" s="130"/>
      <c r="B1823" s="123"/>
      <c r="C1823" s="130"/>
      <c r="F1823" s="123"/>
      <c r="G1823" s="180"/>
      <c r="H1823" s="150"/>
      <c r="J1823" s="130"/>
    </row>
    <row r="1824" spans="1:10" s="120" customFormat="1">
      <c r="A1824" s="130"/>
      <c r="B1824" s="123"/>
      <c r="C1824" s="130"/>
      <c r="F1824" s="123"/>
      <c r="G1824" s="180"/>
      <c r="H1824" s="150"/>
      <c r="J1824" s="130"/>
    </row>
    <row r="1825" spans="1:10" s="120" customFormat="1">
      <c r="A1825" s="130"/>
      <c r="B1825" s="123"/>
      <c r="C1825" s="130"/>
      <c r="F1825" s="123"/>
      <c r="G1825" s="180"/>
      <c r="H1825" s="150"/>
      <c r="J1825" s="130"/>
    </row>
    <row r="1826" spans="1:10" s="120" customFormat="1">
      <c r="A1826" s="130"/>
      <c r="B1826" s="123"/>
      <c r="C1826" s="130"/>
      <c r="F1826" s="123"/>
      <c r="G1826" s="180"/>
      <c r="H1826" s="150"/>
      <c r="J1826" s="130"/>
    </row>
    <row r="1827" spans="1:10" s="120" customFormat="1">
      <c r="A1827" s="130"/>
      <c r="B1827" s="123"/>
      <c r="C1827" s="130"/>
      <c r="F1827" s="123"/>
      <c r="G1827" s="180"/>
      <c r="H1827" s="150"/>
      <c r="J1827" s="130"/>
    </row>
    <row r="1828" spans="1:10" s="120" customFormat="1">
      <c r="A1828" s="130"/>
      <c r="B1828" s="123"/>
      <c r="C1828" s="130"/>
      <c r="F1828" s="123"/>
      <c r="G1828" s="180"/>
      <c r="H1828" s="150"/>
      <c r="J1828" s="130"/>
    </row>
    <row r="1829" spans="1:10" s="120" customFormat="1">
      <c r="A1829" s="130"/>
      <c r="B1829" s="123"/>
      <c r="C1829" s="130"/>
      <c r="F1829" s="123"/>
      <c r="G1829" s="180"/>
      <c r="H1829" s="150"/>
      <c r="J1829" s="130"/>
    </row>
    <row r="1830" spans="1:10" s="120" customFormat="1">
      <c r="A1830" s="130"/>
      <c r="B1830" s="123"/>
      <c r="C1830" s="130"/>
      <c r="F1830" s="123"/>
      <c r="G1830" s="180"/>
      <c r="H1830" s="150"/>
      <c r="J1830" s="130"/>
    </row>
    <row r="1831" spans="1:10" s="120" customFormat="1">
      <c r="A1831" s="130"/>
      <c r="B1831" s="123"/>
      <c r="C1831" s="130"/>
      <c r="F1831" s="123"/>
      <c r="G1831" s="180"/>
      <c r="H1831" s="150"/>
      <c r="J1831" s="130"/>
    </row>
    <row r="1832" spans="1:10" s="120" customFormat="1">
      <c r="A1832" s="130"/>
      <c r="B1832" s="123"/>
      <c r="C1832" s="130"/>
      <c r="F1832" s="123"/>
      <c r="G1832" s="180"/>
      <c r="H1832" s="150"/>
      <c r="J1832" s="130"/>
    </row>
    <row r="1833" spans="1:10" s="120" customFormat="1">
      <c r="A1833" s="130"/>
      <c r="B1833" s="123"/>
      <c r="C1833" s="130"/>
      <c r="F1833" s="123"/>
      <c r="G1833" s="180"/>
      <c r="H1833" s="150"/>
      <c r="J1833" s="130"/>
    </row>
    <row r="1834" spans="1:10" s="120" customFormat="1">
      <c r="A1834" s="130"/>
      <c r="B1834" s="123"/>
      <c r="C1834" s="130"/>
      <c r="F1834" s="123"/>
      <c r="G1834" s="180"/>
      <c r="H1834" s="150"/>
      <c r="J1834" s="130"/>
    </row>
    <row r="1835" spans="1:10" s="120" customFormat="1">
      <c r="A1835" s="130"/>
      <c r="B1835" s="123"/>
      <c r="C1835" s="130"/>
      <c r="F1835" s="123"/>
      <c r="G1835" s="180"/>
      <c r="H1835" s="150"/>
      <c r="J1835" s="130"/>
    </row>
    <row r="1836" spans="1:10" s="120" customFormat="1">
      <c r="A1836" s="130"/>
      <c r="B1836" s="123"/>
      <c r="C1836" s="130"/>
      <c r="F1836" s="123"/>
      <c r="G1836" s="180"/>
      <c r="H1836" s="150"/>
      <c r="J1836" s="130"/>
    </row>
    <row r="1837" spans="1:10" s="120" customFormat="1">
      <c r="A1837" s="130"/>
      <c r="B1837" s="123"/>
      <c r="C1837" s="130"/>
      <c r="F1837" s="123"/>
      <c r="G1837" s="180"/>
      <c r="H1837" s="150"/>
      <c r="J1837" s="130"/>
    </row>
    <row r="1838" spans="1:10" s="120" customFormat="1">
      <c r="A1838" s="130"/>
      <c r="B1838" s="123"/>
      <c r="C1838" s="130"/>
      <c r="F1838" s="123"/>
      <c r="G1838" s="180"/>
      <c r="H1838" s="150"/>
      <c r="J1838" s="130"/>
    </row>
    <row r="1839" spans="1:10" s="120" customFormat="1">
      <c r="A1839" s="130"/>
      <c r="B1839" s="123"/>
      <c r="C1839" s="130"/>
      <c r="F1839" s="123"/>
      <c r="G1839" s="180"/>
      <c r="H1839" s="150"/>
      <c r="J1839" s="130"/>
    </row>
    <row r="1840" spans="1:10" s="120" customFormat="1">
      <c r="A1840" s="130"/>
      <c r="B1840" s="123"/>
      <c r="C1840" s="130"/>
      <c r="F1840" s="123"/>
      <c r="G1840" s="180"/>
      <c r="H1840" s="150"/>
      <c r="J1840" s="130"/>
    </row>
    <row r="1841" spans="1:10" s="120" customFormat="1">
      <c r="A1841" s="130"/>
      <c r="B1841" s="123"/>
      <c r="C1841" s="130"/>
      <c r="F1841" s="123"/>
      <c r="G1841" s="180"/>
      <c r="H1841" s="150"/>
      <c r="J1841" s="130"/>
    </row>
    <row r="1842" spans="1:10" s="120" customFormat="1">
      <c r="A1842" s="130"/>
      <c r="B1842" s="123"/>
      <c r="C1842" s="130"/>
      <c r="F1842" s="123"/>
      <c r="G1842" s="180"/>
      <c r="H1842" s="150"/>
      <c r="J1842" s="130"/>
    </row>
    <row r="1843" spans="1:10" s="120" customFormat="1">
      <c r="A1843" s="130"/>
      <c r="B1843" s="123"/>
      <c r="C1843" s="130"/>
      <c r="F1843" s="123"/>
      <c r="G1843" s="180"/>
      <c r="H1843" s="150"/>
      <c r="J1843" s="130"/>
    </row>
    <row r="1844" spans="1:10" s="120" customFormat="1">
      <c r="A1844" s="130"/>
      <c r="B1844" s="123"/>
      <c r="C1844" s="130"/>
      <c r="F1844" s="123"/>
      <c r="G1844" s="180"/>
      <c r="H1844" s="150"/>
      <c r="J1844" s="130"/>
    </row>
    <row r="1845" spans="1:10" s="120" customFormat="1">
      <c r="A1845" s="130"/>
      <c r="B1845" s="123"/>
      <c r="C1845" s="130"/>
      <c r="F1845" s="123"/>
      <c r="G1845" s="180"/>
      <c r="H1845" s="150"/>
      <c r="J1845" s="130"/>
    </row>
    <row r="1846" spans="1:10" s="120" customFormat="1">
      <c r="A1846" s="130"/>
      <c r="B1846" s="123"/>
      <c r="C1846" s="130"/>
      <c r="F1846" s="123"/>
      <c r="G1846" s="180"/>
      <c r="H1846" s="150"/>
      <c r="J1846" s="130"/>
    </row>
    <row r="1847" spans="1:10" s="120" customFormat="1">
      <c r="A1847" s="130"/>
      <c r="B1847" s="123"/>
      <c r="C1847" s="130"/>
      <c r="F1847" s="123"/>
      <c r="G1847" s="180"/>
      <c r="H1847" s="150"/>
      <c r="J1847" s="130"/>
    </row>
    <row r="1848" spans="1:10" s="120" customFormat="1">
      <c r="A1848" s="130"/>
      <c r="B1848" s="123"/>
      <c r="C1848" s="130"/>
      <c r="F1848" s="123"/>
      <c r="G1848" s="180"/>
      <c r="H1848" s="150"/>
      <c r="J1848" s="130"/>
    </row>
    <row r="1849" spans="1:10" s="120" customFormat="1">
      <c r="A1849" s="130"/>
      <c r="B1849" s="123"/>
      <c r="C1849" s="130"/>
      <c r="F1849" s="123"/>
      <c r="G1849" s="180"/>
      <c r="H1849" s="150"/>
      <c r="J1849" s="130"/>
    </row>
    <row r="1850" spans="1:10" s="120" customFormat="1">
      <c r="A1850" s="130"/>
      <c r="B1850" s="123"/>
      <c r="C1850" s="130"/>
      <c r="F1850" s="123"/>
      <c r="G1850" s="180"/>
      <c r="H1850" s="150"/>
      <c r="J1850" s="130"/>
    </row>
    <row r="1851" spans="1:10" s="120" customFormat="1">
      <c r="A1851" s="130"/>
      <c r="B1851" s="123"/>
      <c r="C1851" s="130"/>
      <c r="F1851" s="123"/>
      <c r="G1851" s="180"/>
      <c r="H1851" s="150"/>
      <c r="J1851" s="130"/>
    </row>
    <row r="1852" spans="1:10" s="120" customFormat="1">
      <c r="A1852" s="130"/>
      <c r="B1852" s="123"/>
      <c r="C1852" s="130"/>
      <c r="F1852" s="123"/>
      <c r="G1852" s="180"/>
      <c r="H1852" s="150"/>
      <c r="J1852" s="130"/>
    </row>
    <row r="1853" spans="1:10" s="120" customFormat="1">
      <c r="A1853" s="130"/>
      <c r="B1853" s="123"/>
      <c r="C1853" s="130"/>
      <c r="F1853" s="123"/>
      <c r="G1853" s="180"/>
      <c r="H1853" s="150"/>
      <c r="J1853" s="130"/>
    </row>
    <row r="1854" spans="1:10" s="120" customFormat="1">
      <c r="A1854" s="130"/>
      <c r="B1854" s="123"/>
      <c r="C1854" s="130"/>
      <c r="F1854" s="123"/>
      <c r="G1854" s="180"/>
      <c r="H1854" s="150"/>
      <c r="J1854" s="130"/>
    </row>
    <row r="1855" spans="1:10" s="120" customFormat="1">
      <c r="A1855" s="130"/>
      <c r="B1855" s="123"/>
      <c r="C1855" s="130"/>
      <c r="F1855" s="123"/>
      <c r="G1855" s="180"/>
      <c r="H1855" s="150"/>
      <c r="J1855" s="130"/>
    </row>
    <row r="1856" spans="1:10" s="120" customFormat="1">
      <c r="A1856" s="130"/>
      <c r="B1856" s="123"/>
      <c r="C1856" s="130"/>
      <c r="F1856" s="123"/>
      <c r="G1856" s="180"/>
      <c r="H1856" s="150"/>
      <c r="J1856" s="130"/>
    </row>
    <row r="1857" spans="1:10" s="120" customFormat="1">
      <c r="A1857" s="130"/>
      <c r="B1857" s="123"/>
      <c r="C1857" s="130"/>
      <c r="F1857" s="123"/>
      <c r="G1857" s="180"/>
      <c r="H1857" s="150"/>
      <c r="J1857" s="130"/>
    </row>
    <row r="1858" spans="1:10" s="120" customFormat="1">
      <c r="A1858" s="130"/>
      <c r="B1858" s="123"/>
      <c r="C1858" s="130"/>
      <c r="F1858" s="123"/>
      <c r="G1858" s="180"/>
      <c r="H1858" s="150"/>
      <c r="J1858" s="130"/>
    </row>
    <row r="1859" spans="1:10" s="120" customFormat="1">
      <c r="A1859" s="130"/>
      <c r="B1859" s="123"/>
      <c r="C1859" s="130"/>
      <c r="F1859" s="123"/>
      <c r="G1859" s="180"/>
      <c r="H1859" s="150"/>
      <c r="J1859" s="130"/>
    </row>
    <row r="1860" spans="1:10" s="120" customFormat="1">
      <c r="A1860" s="130"/>
      <c r="B1860" s="123"/>
      <c r="C1860" s="130"/>
      <c r="F1860" s="123"/>
      <c r="G1860" s="180"/>
      <c r="H1860" s="150"/>
      <c r="J1860" s="130"/>
    </row>
    <row r="1861" spans="1:10" s="120" customFormat="1">
      <c r="A1861" s="130"/>
      <c r="B1861" s="123"/>
      <c r="C1861" s="130"/>
      <c r="F1861" s="123"/>
      <c r="G1861" s="180"/>
      <c r="H1861" s="150"/>
      <c r="J1861" s="130"/>
    </row>
    <row r="1862" spans="1:10" s="120" customFormat="1">
      <c r="A1862" s="130"/>
      <c r="B1862" s="123"/>
      <c r="C1862" s="130"/>
      <c r="F1862" s="123"/>
      <c r="G1862" s="180"/>
      <c r="H1862" s="150"/>
      <c r="J1862" s="130"/>
    </row>
    <row r="1863" spans="1:10" s="120" customFormat="1">
      <c r="A1863" s="130"/>
      <c r="B1863" s="123"/>
      <c r="C1863" s="130"/>
      <c r="F1863" s="123"/>
      <c r="G1863" s="180"/>
      <c r="H1863" s="150"/>
      <c r="J1863" s="130"/>
    </row>
    <row r="1864" spans="1:10" s="120" customFormat="1">
      <c r="A1864" s="130"/>
      <c r="B1864" s="123"/>
      <c r="C1864" s="130"/>
      <c r="F1864" s="123"/>
      <c r="G1864" s="180"/>
      <c r="H1864" s="150"/>
      <c r="J1864" s="130"/>
    </row>
    <row r="1865" spans="1:10" s="120" customFormat="1">
      <c r="A1865" s="130"/>
      <c r="B1865" s="123"/>
      <c r="C1865" s="130"/>
      <c r="F1865" s="123"/>
      <c r="G1865" s="180"/>
      <c r="H1865" s="150"/>
      <c r="J1865" s="130"/>
    </row>
    <row r="1866" spans="1:10" s="120" customFormat="1">
      <c r="A1866" s="130"/>
      <c r="B1866" s="123"/>
      <c r="C1866" s="130"/>
      <c r="F1866" s="123"/>
      <c r="G1866" s="180"/>
      <c r="H1866" s="150"/>
      <c r="J1866" s="130"/>
    </row>
    <row r="1867" spans="1:10" s="120" customFormat="1">
      <c r="A1867" s="130"/>
      <c r="B1867" s="123"/>
      <c r="C1867" s="130"/>
      <c r="F1867" s="123"/>
      <c r="G1867" s="180"/>
      <c r="H1867" s="150"/>
      <c r="J1867" s="130"/>
    </row>
    <row r="1868" spans="1:10" s="120" customFormat="1">
      <c r="A1868" s="130"/>
      <c r="B1868" s="123"/>
      <c r="C1868" s="130"/>
      <c r="F1868" s="123"/>
      <c r="G1868" s="180"/>
      <c r="H1868" s="150"/>
      <c r="J1868" s="130"/>
    </row>
    <row r="1869" spans="1:10" s="120" customFormat="1">
      <c r="A1869" s="130"/>
      <c r="B1869" s="123"/>
      <c r="C1869" s="130"/>
      <c r="F1869" s="123"/>
      <c r="G1869" s="180"/>
      <c r="H1869" s="150"/>
      <c r="J1869" s="130"/>
    </row>
    <row r="1870" spans="1:10" s="120" customFormat="1">
      <c r="A1870" s="130"/>
      <c r="B1870" s="123"/>
      <c r="C1870" s="130"/>
      <c r="F1870" s="123"/>
      <c r="G1870" s="180"/>
      <c r="H1870" s="150"/>
      <c r="J1870" s="130"/>
    </row>
    <row r="1871" spans="1:10" s="120" customFormat="1">
      <c r="A1871" s="130"/>
      <c r="B1871" s="123"/>
      <c r="C1871" s="130"/>
      <c r="F1871" s="123"/>
      <c r="G1871" s="180"/>
      <c r="H1871" s="150"/>
      <c r="J1871" s="130"/>
    </row>
    <row r="1872" spans="1:10" s="120" customFormat="1">
      <c r="A1872" s="130"/>
      <c r="B1872" s="123"/>
      <c r="C1872" s="130"/>
      <c r="F1872" s="123"/>
      <c r="G1872" s="180"/>
      <c r="H1872" s="150"/>
      <c r="J1872" s="130"/>
    </row>
    <row r="1873" spans="1:10" s="120" customFormat="1">
      <c r="A1873" s="130"/>
      <c r="B1873" s="123"/>
      <c r="C1873" s="130"/>
      <c r="F1873" s="123"/>
      <c r="G1873" s="180"/>
      <c r="H1873" s="150"/>
      <c r="J1873" s="130"/>
    </row>
    <row r="1874" spans="1:10" s="120" customFormat="1">
      <c r="A1874" s="130"/>
      <c r="B1874" s="123"/>
      <c r="C1874" s="130"/>
      <c r="F1874" s="123"/>
      <c r="G1874" s="180"/>
      <c r="H1874" s="150"/>
      <c r="J1874" s="130"/>
    </row>
    <row r="1875" spans="1:10" s="120" customFormat="1">
      <c r="A1875" s="130"/>
      <c r="B1875" s="123"/>
      <c r="C1875" s="130"/>
      <c r="F1875" s="123"/>
      <c r="G1875" s="180"/>
      <c r="H1875" s="150"/>
      <c r="J1875" s="130"/>
    </row>
    <row r="1876" spans="1:10" s="120" customFormat="1">
      <c r="A1876" s="130"/>
      <c r="B1876" s="123"/>
      <c r="C1876" s="130"/>
      <c r="F1876" s="123"/>
      <c r="G1876" s="180"/>
      <c r="H1876" s="150"/>
      <c r="J1876" s="130"/>
    </row>
    <row r="1877" spans="1:10" s="120" customFormat="1">
      <c r="A1877" s="130"/>
      <c r="B1877" s="123"/>
      <c r="C1877" s="130"/>
      <c r="F1877" s="123"/>
      <c r="G1877" s="180"/>
      <c r="H1877" s="150"/>
      <c r="J1877" s="130"/>
    </row>
    <row r="1878" spans="1:10" s="120" customFormat="1">
      <c r="A1878" s="130"/>
      <c r="B1878" s="123"/>
      <c r="C1878" s="130"/>
      <c r="F1878" s="123"/>
      <c r="G1878" s="180"/>
      <c r="H1878" s="150"/>
      <c r="J1878" s="130"/>
    </row>
    <row r="1879" spans="1:10" s="120" customFormat="1">
      <c r="A1879" s="130"/>
      <c r="B1879" s="123"/>
      <c r="C1879" s="130"/>
      <c r="F1879" s="123"/>
      <c r="G1879" s="180"/>
      <c r="H1879" s="150"/>
      <c r="J1879" s="130"/>
    </row>
    <row r="1880" spans="1:10" s="120" customFormat="1">
      <c r="A1880" s="130"/>
      <c r="B1880" s="123"/>
      <c r="C1880" s="130"/>
      <c r="F1880" s="123"/>
      <c r="G1880" s="180"/>
      <c r="H1880" s="150"/>
      <c r="J1880" s="130"/>
    </row>
    <row r="1881" spans="1:10" s="120" customFormat="1">
      <c r="A1881" s="130"/>
      <c r="B1881" s="123"/>
      <c r="C1881" s="130"/>
      <c r="F1881" s="123"/>
      <c r="G1881" s="180"/>
      <c r="H1881" s="150"/>
      <c r="J1881" s="130"/>
    </row>
    <row r="1882" spans="1:10" s="120" customFormat="1">
      <c r="A1882" s="130"/>
      <c r="B1882" s="123"/>
      <c r="C1882" s="130"/>
      <c r="F1882" s="123"/>
      <c r="G1882" s="180"/>
      <c r="H1882" s="150"/>
      <c r="J1882" s="130"/>
    </row>
    <row r="1883" spans="1:10" s="120" customFormat="1">
      <c r="A1883" s="130"/>
      <c r="B1883" s="123"/>
      <c r="C1883" s="130"/>
      <c r="F1883" s="123"/>
      <c r="G1883" s="180"/>
      <c r="H1883" s="150"/>
      <c r="J1883" s="130"/>
    </row>
    <row r="1884" spans="1:10" s="120" customFormat="1">
      <c r="A1884" s="130"/>
      <c r="B1884" s="123"/>
      <c r="C1884" s="130"/>
      <c r="F1884" s="123"/>
      <c r="G1884" s="180"/>
      <c r="H1884" s="150"/>
      <c r="J1884" s="130"/>
    </row>
    <row r="1885" spans="1:10" s="120" customFormat="1">
      <c r="A1885" s="130"/>
      <c r="B1885" s="123"/>
      <c r="C1885" s="130"/>
      <c r="F1885" s="123"/>
      <c r="G1885" s="180"/>
      <c r="H1885" s="150"/>
      <c r="J1885" s="130"/>
    </row>
    <row r="1886" spans="1:10" s="120" customFormat="1">
      <c r="A1886" s="130"/>
      <c r="B1886" s="123"/>
      <c r="C1886" s="130"/>
      <c r="F1886" s="123"/>
      <c r="G1886" s="180"/>
      <c r="H1886" s="150"/>
      <c r="J1886" s="130"/>
    </row>
    <row r="1887" spans="1:10" s="120" customFormat="1">
      <c r="A1887" s="130"/>
      <c r="B1887" s="123"/>
      <c r="C1887" s="130"/>
      <c r="F1887" s="123"/>
      <c r="G1887" s="180"/>
      <c r="H1887" s="150"/>
      <c r="J1887" s="130"/>
    </row>
    <row r="1888" spans="1:10" s="120" customFormat="1">
      <c r="A1888" s="130"/>
      <c r="B1888" s="123"/>
      <c r="C1888" s="130"/>
      <c r="F1888" s="123"/>
      <c r="G1888" s="180"/>
      <c r="H1888" s="150"/>
      <c r="J1888" s="130"/>
    </row>
    <row r="1889" spans="1:10" s="120" customFormat="1">
      <c r="A1889" s="130"/>
      <c r="B1889" s="123"/>
      <c r="C1889" s="130"/>
      <c r="F1889" s="123"/>
      <c r="G1889" s="180"/>
      <c r="H1889" s="150"/>
      <c r="J1889" s="130"/>
    </row>
    <row r="1890" spans="1:10" s="120" customFormat="1">
      <c r="A1890" s="130"/>
      <c r="B1890" s="123"/>
      <c r="C1890" s="130"/>
      <c r="F1890" s="123"/>
      <c r="G1890" s="180"/>
      <c r="H1890" s="150"/>
      <c r="J1890" s="130"/>
    </row>
    <row r="1891" spans="1:10" s="120" customFormat="1">
      <c r="A1891" s="130"/>
      <c r="B1891" s="123"/>
      <c r="C1891" s="130"/>
      <c r="F1891" s="123"/>
      <c r="G1891" s="180"/>
      <c r="H1891" s="150"/>
      <c r="J1891" s="130"/>
    </row>
    <row r="1892" spans="1:10" s="120" customFormat="1">
      <c r="A1892" s="130"/>
      <c r="B1892" s="123"/>
      <c r="C1892" s="130"/>
      <c r="F1892" s="123"/>
      <c r="G1892" s="180"/>
      <c r="H1892" s="150"/>
      <c r="J1892" s="130"/>
    </row>
    <row r="1893" spans="1:10" s="120" customFormat="1">
      <c r="A1893" s="130"/>
      <c r="B1893" s="123"/>
      <c r="C1893" s="130"/>
      <c r="F1893" s="123"/>
      <c r="G1893" s="180"/>
      <c r="H1893" s="150"/>
      <c r="J1893" s="130"/>
    </row>
    <row r="1894" spans="1:10" s="120" customFormat="1">
      <c r="A1894" s="130"/>
      <c r="B1894" s="123"/>
      <c r="C1894" s="130"/>
      <c r="F1894" s="123"/>
      <c r="G1894" s="180"/>
      <c r="H1894" s="150"/>
      <c r="J1894" s="130"/>
    </row>
    <row r="1895" spans="1:10" s="120" customFormat="1">
      <c r="A1895" s="130"/>
      <c r="B1895" s="123"/>
      <c r="C1895" s="130"/>
      <c r="F1895" s="123"/>
      <c r="G1895" s="180"/>
      <c r="H1895" s="150"/>
      <c r="J1895" s="130"/>
    </row>
    <row r="1896" spans="1:10" s="120" customFormat="1">
      <c r="A1896" s="130"/>
      <c r="B1896" s="123"/>
      <c r="C1896" s="130"/>
      <c r="F1896" s="123"/>
      <c r="G1896" s="180"/>
      <c r="H1896" s="150"/>
      <c r="J1896" s="130"/>
    </row>
    <row r="1897" spans="1:10" s="120" customFormat="1">
      <c r="A1897" s="130"/>
      <c r="B1897" s="123"/>
      <c r="C1897" s="130"/>
      <c r="F1897" s="123"/>
      <c r="G1897" s="180"/>
      <c r="H1897" s="150"/>
      <c r="J1897" s="130"/>
    </row>
    <row r="1898" spans="1:10" s="120" customFormat="1">
      <c r="A1898" s="130"/>
      <c r="B1898" s="123"/>
      <c r="C1898" s="130"/>
      <c r="F1898" s="123"/>
      <c r="G1898" s="180"/>
      <c r="H1898" s="150"/>
      <c r="J1898" s="130"/>
    </row>
    <row r="1899" spans="1:10" s="120" customFormat="1">
      <c r="A1899" s="130"/>
      <c r="B1899" s="123"/>
      <c r="C1899" s="130"/>
      <c r="F1899" s="123"/>
      <c r="G1899" s="180"/>
      <c r="H1899" s="150"/>
      <c r="J1899" s="130"/>
    </row>
    <row r="1900" spans="1:10" s="120" customFormat="1">
      <c r="A1900" s="130"/>
      <c r="B1900" s="123"/>
      <c r="C1900" s="130"/>
      <c r="F1900" s="123"/>
      <c r="G1900" s="180"/>
      <c r="H1900" s="150"/>
      <c r="J1900" s="130"/>
    </row>
    <row r="1901" spans="1:10" s="120" customFormat="1">
      <c r="A1901" s="130"/>
      <c r="B1901" s="123"/>
      <c r="C1901" s="130"/>
      <c r="F1901" s="123"/>
      <c r="G1901" s="180"/>
      <c r="H1901" s="150"/>
      <c r="J1901" s="130"/>
    </row>
    <row r="1902" spans="1:10" s="120" customFormat="1">
      <c r="A1902" s="130"/>
      <c r="B1902" s="123"/>
      <c r="C1902" s="130"/>
      <c r="F1902" s="123"/>
      <c r="G1902" s="180"/>
      <c r="H1902" s="150"/>
      <c r="J1902" s="130"/>
    </row>
    <row r="1903" spans="1:10" s="120" customFormat="1">
      <c r="A1903" s="130"/>
      <c r="B1903" s="123"/>
      <c r="C1903" s="130"/>
      <c r="F1903" s="123"/>
      <c r="G1903" s="180"/>
      <c r="H1903" s="150"/>
      <c r="J1903" s="130"/>
    </row>
    <row r="1904" spans="1:10" s="120" customFormat="1">
      <c r="A1904" s="130"/>
      <c r="B1904" s="123"/>
      <c r="C1904" s="130"/>
      <c r="F1904" s="123"/>
      <c r="G1904" s="180"/>
      <c r="H1904" s="150"/>
      <c r="J1904" s="130"/>
    </row>
    <row r="1905" spans="1:10" s="120" customFormat="1">
      <c r="A1905" s="130"/>
      <c r="B1905" s="123"/>
      <c r="C1905" s="130"/>
      <c r="F1905" s="123"/>
      <c r="G1905" s="180"/>
      <c r="H1905" s="150"/>
      <c r="J1905" s="130"/>
    </row>
    <row r="1906" spans="1:10" s="120" customFormat="1">
      <c r="A1906" s="130"/>
      <c r="B1906" s="123"/>
      <c r="C1906" s="130"/>
      <c r="F1906" s="123"/>
      <c r="G1906" s="180"/>
      <c r="H1906" s="150"/>
      <c r="J1906" s="130"/>
    </row>
    <row r="1907" spans="1:10" s="120" customFormat="1">
      <c r="A1907" s="130"/>
      <c r="B1907" s="123"/>
      <c r="C1907" s="130"/>
      <c r="F1907" s="123"/>
      <c r="G1907" s="180"/>
      <c r="H1907" s="150"/>
      <c r="J1907" s="130"/>
    </row>
    <row r="1908" spans="1:10" s="120" customFormat="1">
      <c r="A1908" s="130"/>
      <c r="B1908" s="123"/>
      <c r="C1908" s="130"/>
      <c r="F1908" s="123"/>
      <c r="G1908" s="180"/>
      <c r="H1908" s="150"/>
      <c r="J1908" s="130"/>
    </row>
    <row r="1909" spans="1:10" s="120" customFormat="1">
      <c r="A1909" s="130"/>
      <c r="B1909" s="123"/>
      <c r="C1909" s="130"/>
      <c r="F1909" s="123"/>
      <c r="G1909" s="180"/>
      <c r="H1909" s="150"/>
      <c r="J1909" s="130"/>
    </row>
    <row r="1910" spans="1:10" s="120" customFormat="1">
      <c r="A1910" s="130"/>
      <c r="B1910" s="123"/>
      <c r="C1910" s="130"/>
      <c r="F1910" s="123"/>
      <c r="G1910" s="180"/>
      <c r="H1910" s="150"/>
      <c r="J1910" s="130"/>
    </row>
    <row r="1911" spans="1:10" s="120" customFormat="1">
      <c r="A1911" s="130"/>
      <c r="B1911" s="123"/>
      <c r="C1911" s="130"/>
      <c r="F1911" s="123"/>
      <c r="G1911" s="180"/>
      <c r="H1911" s="150"/>
      <c r="J1911" s="130"/>
    </row>
    <row r="1912" spans="1:10" s="120" customFormat="1">
      <c r="A1912" s="130"/>
      <c r="B1912" s="123"/>
      <c r="C1912" s="130"/>
      <c r="F1912" s="123"/>
      <c r="G1912" s="180"/>
      <c r="H1912" s="150"/>
      <c r="J1912" s="130"/>
    </row>
    <row r="1913" spans="1:10" s="120" customFormat="1">
      <c r="A1913" s="130"/>
      <c r="B1913" s="123"/>
      <c r="C1913" s="130"/>
      <c r="F1913" s="123"/>
      <c r="G1913" s="180"/>
      <c r="H1913" s="150"/>
      <c r="J1913" s="130"/>
    </row>
    <row r="1914" spans="1:10" s="120" customFormat="1">
      <c r="A1914" s="130"/>
      <c r="B1914" s="123"/>
      <c r="C1914" s="130"/>
      <c r="F1914" s="123"/>
      <c r="G1914" s="180"/>
      <c r="H1914" s="150"/>
      <c r="J1914" s="130"/>
    </row>
    <row r="1915" spans="1:10" s="120" customFormat="1">
      <c r="A1915" s="130"/>
      <c r="B1915" s="123"/>
      <c r="C1915" s="130"/>
      <c r="F1915" s="123"/>
      <c r="G1915" s="180"/>
      <c r="H1915" s="150"/>
      <c r="J1915" s="130"/>
    </row>
    <row r="1916" spans="1:10" s="120" customFormat="1">
      <c r="A1916" s="130"/>
      <c r="B1916" s="123"/>
      <c r="C1916" s="130"/>
      <c r="F1916" s="123"/>
      <c r="G1916" s="180"/>
      <c r="H1916" s="150"/>
      <c r="J1916" s="130"/>
    </row>
    <row r="1917" spans="1:10" s="120" customFormat="1">
      <c r="A1917" s="130"/>
      <c r="B1917" s="123"/>
      <c r="C1917" s="130"/>
      <c r="F1917" s="123"/>
      <c r="G1917" s="180"/>
      <c r="H1917" s="150"/>
      <c r="J1917" s="130"/>
    </row>
    <row r="1918" spans="1:10" s="120" customFormat="1">
      <c r="A1918" s="130"/>
      <c r="B1918" s="123"/>
      <c r="C1918" s="130"/>
      <c r="F1918" s="123"/>
      <c r="G1918" s="180"/>
      <c r="H1918" s="150"/>
      <c r="J1918" s="130"/>
    </row>
    <row r="1919" spans="1:10" s="120" customFormat="1">
      <c r="A1919" s="130"/>
      <c r="B1919" s="123"/>
      <c r="C1919" s="130"/>
      <c r="F1919" s="123"/>
      <c r="G1919" s="180"/>
      <c r="H1919" s="150"/>
      <c r="J1919" s="130"/>
    </row>
    <row r="1920" spans="1:10" s="120" customFormat="1">
      <c r="A1920" s="130"/>
      <c r="B1920" s="123"/>
      <c r="C1920" s="130"/>
      <c r="F1920" s="123"/>
      <c r="G1920" s="180"/>
      <c r="H1920" s="150"/>
      <c r="J1920" s="130"/>
    </row>
    <row r="1921" spans="1:10" s="120" customFormat="1">
      <c r="A1921" s="130"/>
      <c r="B1921" s="123"/>
      <c r="C1921" s="130"/>
      <c r="F1921" s="123"/>
      <c r="G1921" s="180"/>
      <c r="H1921" s="150"/>
      <c r="J1921" s="130"/>
    </row>
    <row r="1922" spans="1:10" s="120" customFormat="1">
      <c r="A1922" s="130"/>
      <c r="B1922" s="123"/>
      <c r="C1922" s="130"/>
      <c r="F1922" s="123"/>
      <c r="G1922" s="180"/>
      <c r="H1922" s="150"/>
      <c r="J1922" s="130"/>
    </row>
    <row r="1923" spans="1:10" s="120" customFormat="1">
      <c r="A1923" s="130"/>
      <c r="B1923" s="123"/>
      <c r="C1923" s="130"/>
      <c r="F1923" s="123"/>
      <c r="G1923" s="180"/>
      <c r="H1923" s="150"/>
      <c r="J1923" s="130"/>
    </row>
    <row r="1924" spans="1:10" s="120" customFormat="1">
      <c r="A1924" s="130"/>
      <c r="B1924" s="123"/>
      <c r="C1924" s="130"/>
      <c r="F1924" s="123"/>
      <c r="G1924" s="180"/>
      <c r="H1924" s="150"/>
      <c r="J1924" s="130"/>
    </row>
    <row r="1925" spans="1:10" s="120" customFormat="1">
      <c r="A1925" s="130"/>
      <c r="B1925" s="123"/>
      <c r="C1925" s="130"/>
      <c r="F1925" s="123"/>
      <c r="G1925" s="180"/>
      <c r="H1925" s="150"/>
      <c r="J1925" s="130"/>
    </row>
    <row r="1926" spans="1:10" s="120" customFormat="1">
      <c r="A1926" s="130"/>
      <c r="B1926" s="123"/>
      <c r="C1926" s="130"/>
      <c r="F1926" s="123"/>
      <c r="G1926" s="180"/>
      <c r="H1926" s="150"/>
      <c r="J1926" s="130"/>
    </row>
    <row r="1927" spans="1:10" s="120" customFormat="1">
      <c r="A1927" s="130"/>
      <c r="B1927" s="123"/>
      <c r="C1927" s="130"/>
      <c r="F1927" s="123"/>
      <c r="G1927" s="180"/>
      <c r="H1927" s="150"/>
      <c r="J1927" s="130"/>
    </row>
    <row r="1928" spans="1:10" s="120" customFormat="1">
      <c r="A1928" s="130"/>
      <c r="B1928" s="123"/>
      <c r="C1928" s="130"/>
      <c r="F1928" s="123"/>
      <c r="G1928" s="180"/>
      <c r="H1928" s="150"/>
      <c r="J1928" s="130"/>
    </row>
    <row r="1929" spans="1:10" s="120" customFormat="1">
      <c r="A1929" s="130"/>
      <c r="B1929" s="123"/>
      <c r="C1929" s="130"/>
      <c r="F1929" s="123"/>
      <c r="G1929" s="180"/>
      <c r="H1929" s="150"/>
      <c r="J1929" s="130"/>
    </row>
    <row r="1930" spans="1:10" s="120" customFormat="1">
      <c r="A1930" s="130"/>
      <c r="B1930" s="123"/>
      <c r="C1930" s="130"/>
      <c r="F1930" s="123"/>
      <c r="G1930" s="180"/>
      <c r="H1930" s="150"/>
      <c r="J1930" s="130"/>
    </row>
    <row r="1931" spans="1:10" s="120" customFormat="1">
      <c r="A1931" s="130"/>
      <c r="B1931" s="123"/>
      <c r="C1931" s="130"/>
      <c r="F1931" s="123"/>
      <c r="G1931" s="180"/>
      <c r="H1931" s="150"/>
      <c r="J1931" s="130"/>
    </row>
    <row r="1932" spans="1:10" s="120" customFormat="1">
      <c r="A1932" s="130"/>
      <c r="B1932" s="123"/>
      <c r="C1932" s="130"/>
      <c r="F1932" s="123"/>
      <c r="G1932" s="180"/>
      <c r="H1932" s="150"/>
      <c r="J1932" s="130"/>
    </row>
    <row r="1933" spans="1:10" s="120" customFormat="1">
      <c r="A1933" s="130"/>
      <c r="B1933" s="123"/>
      <c r="C1933" s="130"/>
      <c r="F1933" s="123"/>
      <c r="G1933" s="180"/>
      <c r="H1933" s="150"/>
      <c r="J1933" s="130"/>
    </row>
    <row r="1934" spans="1:10" s="120" customFormat="1">
      <c r="A1934" s="130"/>
      <c r="B1934" s="123"/>
      <c r="C1934" s="130"/>
      <c r="F1934" s="123"/>
      <c r="G1934" s="180"/>
      <c r="H1934" s="150"/>
      <c r="J1934" s="130"/>
    </row>
    <row r="1935" spans="1:10" s="120" customFormat="1">
      <c r="A1935" s="130"/>
      <c r="B1935" s="123"/>
      <c r="C1935" s="130"/>
      <c r="F1935" s="123"/>
      <c r="G1935" s="180"/>
      <c r="H1935" s="150"/>
      <c r="J1935" s="130"/>
    </row>
    <row r="1936" spans="1:10" s="120" customFormat="1">
      <c r="A1936" s="130"/>
      <c r="B1936" s="123"/>
      <c r="C1936" s="130"/>
      <c r="F1936" s="123"/>
      <c r="G1936" s="180"/>
      <c r="H1936" s="150"/>
      <c r="J1936" s="130"/>
    </row>
    <row r="1937" spans="1:10" s="120" customFormat="1">
      <c r="A1937" s="130"/>
      <c r="B1937" s="123"/>
      <c r="C1937" s="130"/>
      <c r="F1937" s="123"/>
      <c r="G1937" s="180"/>
      <c r="H1937" s="150"/>
      <c r="J1937" s="130"/>
    </row>
    <row r="1938" spans="1:10" s="120" customFormat="1">
      <c r="A1938" s="130"/>
      <c r="B1938" s="123"/>
      <c r="C1938" s="130"/>
      <c r="F1938" s="123"/>
      <c r="G1938" s="180"/>
      <c r="H1938" s="150"/>
      <c r="J1938" s="130"/>
    </row>
    <row r="1939" spans="1:10" s="120" customFormat="1">
      <c r="A1939" s="130"/>
      <c r="B1939" s="123"/>
      <c r="C1939" s="130"/>
      <c r="F1939" s="123"/>
      <c r="G1939" s="180"/>
      <c r="H1939" s="150"/>
      <c r="J1939" s="130"/>
    </row>
    <row r="1940" spans="1:10" s="120" customFormat="1">
      <c r="A1940" s="130"/>
      <c r="B1940" s="123"/>
      <c r="C1940" s="130"/>
      <c r="F1940" s="123"/>
      <c r="G1940" s="180"/>
      <c r="H1940" s="150"/>
      <c r="J1940" s="130"/>
    </row>
    <row r="1941" spans="1:10" s="120" customFormat="1">
      <c r="A1941" s="130"/>
      <c r="B1941" s="123"/>
      <c r="C1941" s="130"/>
      <c r="F1941" s="123"/>
      <c r="G1941" s="180"/>
      <c r="H1941" s="150"/>
      <c r="J1941" s="130"/>
    </row>
    <row r="1942" spans="1:10" s="120" customFormat="1">
      <c r="A1942" s="130"/>
      <c r="B1942" s="123"/>
      <c r="C1942" s="130"/>
      <c r="F1942" s="123"/>
      <c r="G1942" s="180"/>
      <c r="H1942" s="150"/>
      <c r="J1942" s="130"/>
    </row>
    <row r="1943" spans="1:10" s="120" customFormat="1">
      <c r="A1943" s="130"/>
      <c r="B1943" s="123"/>
      <c r="C1943" s="130"/>
      <c r="F1943" s="123"/>
      <c r="G1943" s="180"/>
      <c r="H1943" s="150"/>
      <c r="J1943" s="130"/>
    </row>
    <row r="1944" spans="1:10" s="120" customFormat="1">
      <c r="A1944" s="130"/>
      <c r="B1944" s="123"/>
      <c r="C1944" s="130"/>
      <c r="F1944" s="123"/>
      <c r="G1944" s="180"/>
      <c r="H1944" s="150"/>
      <c r="J1944" s="130"/>
    </row>
    <row r="1945" spans="1:10" s="120" customFormat="1">
      <c r="A1945" s="130"/>
      <c r="B1945" s="123"/>
      <c r="C1945" s="130"/>
      <c r="F1945" s="123"/>
      <c r="G1945" s="180"/>
      <c r="H1945" s="150"/>
      <c r="J1945" s="130"/>
    </row>
    <row r="1946" spans="1:10" s="120" customFormat="1">
      <c r="A1946" s="130"/>
      <c r="B1946" s="123"/>
      <c r="C1946" s="130"/>
      <c r="F1946" s="123"/>
      <c r="G1946" s="180"/>
      <c r="H1946" s="150"/>
      <c r="J1946" s="130"/>
    </row>
    <row r="1947" spans="1:10" s="120" customFormat="1">
      <c r="A1947" s="130"/>
      <c r="B1947" s="123"/>
      <c r="C1947" s="130"/>
      <c r="F1947" s="123"/>
      <c r="G1947" s="180"/>
      <c r="H1947" s="150"/>
      <c r="J1947" s="130"/>
    </row>
    <row r="1948" spans="1:10" s="120" customFormat="1">
      <c r="A1948" s="130"/>
      <c r="B1948" s="123"/>
      <c r="C1948" s="130"/>
      <c r="F1948" s="123"/>
      <c r="G1948" s="180"/>
      <c r="H1948" s="150"/>
      <c r="J1948" s="130"/>
    </row>
    <row r="1949" spans="1:10" s="120" customFormat="1">
      <c r="A1949" s="130"/>
      <c r="B1949" s="123"/>
      <c r="C1949" s="130"/>
      <c r="F1949" s="123"/>
      <c r="G1949" s="180"/>
      <c r="H1949" s="150"/>
      <c r="J1949" s="130"/>
    </row>
    <row r="1950" spans="1:10" s="120" customFormat="1">
      <c r="A1950" s="130"/>
      <c r="B1950" s="123"/>
      <c r="C1950" s="130"/>
      <c r="F1950" s="123"/>
      <c r="G1950" s="180"/>
      <c r="H1950" s="150"/>
      <c r="J1950" s="130"/>
    </row>
    <row r="1951" spans="1:10" s="120" customFormat="1">
      <c r="A1951" s="130"/>
      <c r="B1951" s="123"/>
      <c r="C1951" s="130"/>
      <c r="F1951" s="123"/>
      <c r="G1951" s="180"/>
      <c r="H1951" s="150"/>
      <c r="J1951" s="130"/>
    </row>
    <row r="1952" spans="1:10" s="120" customFormat="1">
      <c r="A1952" s="130"/>
      <c r="B1952" s="123"/>
      <c r="C1952" s="130"/>
      <c r="F1952" s="123"/>
      <c r="G1952" s="180"/>
      <c r="H1952" s="150"/>
      <c r="J1952" s="130"/>
    </row>
    <row r="1953" spans="1:10" s="120" customFormat="1">
      <c r="A1953" s="130"/>
      <c r="B1953" s="123"/>
      <c r="C1953" s="130"/>
      <c r="F1953" s="123"/>
      <c r="G1953" s="180"/>
      <c r="H1953" s="150"/>
      <c r="J1953" s="130"/>
    </row>
    <row r="1954" spans="1:10" s="120" customFormat="1">
      <c r="A1954" s="130"/>
      <c r="B1954" s="123"/>
      <c r="C1954" s="130"/>
      <c r="F1954" s="123"/>
      <c r="G1954" s="180"/>
      <c r="H1954" s="150"/>
      <c r="J1954" s="130"/>
    </row>
    <row r="1955" spans="1:10" s="120" customFormat="1">
      <c r="A1955" s="130"/>
      <c r="B1955" s="123"/>
      <c r="C1955" s="130"/>
      <c r="F1955" s="123"/>
      <c r="G1955" s="180"/>
      <c r="H1955" s="150"/>
      <c r="J1955" s="130"/>
    </row>
    <row r="1956" spans="1:10" s="120" customFormat="1">
      <c r="A1956" s="130"/>
      <c r="B1956" s="123"/>
      <c r="C1956" s="130"/>
      <c r="F1956" s="123"/>
      <c r="G1956" s="180"/>
      <c r="H1956" s="150"/>
      <c r="J1956" s="130"/>
    </row>
    <row r="1957" spans="1:10" s="120" customFormat="1">
      <c r="A1957" s="130"/>
      <c r="B1957" s="123"/>
      <c r="C1957" s="130"/>
      <c r="F1957" s="123"/>
      <c r="G1957" s="180"/>
      <c r="H1957" s="150"/>
      <c r="J1957" s="130"/>
    </row>
    <row r="1958" spans="1:10" s="120" customFormat="1">
      <c r="A1958" s="130"/>
      <c r="B1958" s="123"/>
      <c r="C1958" s="130"/>
      <c r="F1958" s="123"/>
      <c r="G1958" s="180"/>
      <c r="H1958" s="150"/>
      <c r="J1958" s="130"/>
    </row>
    <row r="1959" spans="1:10" s="120" customFormat="1">
      <c r="A1959" s="130"/>
      <c r="B1959" s="123"/>
      <c r="C1959" s="130"/>
      <c r="F1959" s="123"/>
      <c r="G1959" s="180"/>
      <c r="H1959" s="150"/>
      <c r="J1959" s="130"/>
    </row>
    <row r="1960" spans="1:10" s="120" customFormat="1">
      <c r="A1960" s="130"/>
      <c r="B1960" s="123"/>
      <c r="C1960" s="130"/>
      <c r="F1960" s="123"/>
      <c r="G1960" s="180"/>
      <c r="H1960" s="150"/>
      <c r="J1960" s="130"/>
    </row>
    <row r="1961" spans="1:10" s="120" customFormat="1">
      <c r="A1961" s="130"/>
      <c r="B1961" s="123"/>
      <c r="C1961" s="130"/>
      <c r="F1961" s="123"/>
      <c r="G1961" s="180"/>
      <c r="H1961" s="150"/>
      <c r="J1961" s="130"/>
    </row>
    <row r="1962" spans="1:10" s="120" customFormat="1">
      <c r="A1962" s="130"/>
      <c r="B1962" s="123"/>
      <c r="C1962" s="130"/>
      <c r="F1962" s="123"/>
      <c r="G1962" s="180"/>
      <c r="H1962" s="150"/>
      <c r="J1962" s="130"/>
    </row>
    <row r="1963" spans="1:10" s="120" customFormat="1">
      <c r="A1963" s="130"/>
      <c r="B1963" s="123"/>
      <c r="C1963" s="130"/>
      <c r="F1963" s="123"/>
      <c r="G1963" s="180"/>
      <c r="H1963" s="150"/>
      <c r="J1963" s="130"/>
    </row>
    <row r="1964" spans="1:10" s="120" customFormat="1">
      <c r="A1964" s="130"/>
      <c r="B1964" s="123"/>
      <c r="C1964" s="130"/>
      <c r="F1964" s="123"/>
      <c r="G1964" s="180"/>
      <c r="H1964" s="150"/>
      <c r="J1964" s="130"/>
    </row>
    <row r="1965" spans="1:10" s="120" customFormat="1">
      <c r="A1965" s="130"/>
      <c r="B1965" s="123"/>
      <c r="C1965" s="130"/>
      <c r="F1965" s="123"/>
      <c r="G1965" s="180"/>
      <c r="H1965" s="150"/>
      <c r="J1965" s="130"/>
    </row>
    <row r="1966" spans="1:10" s="120" customFormat="1">
      <c r="A1966" s="130"/>
      <c r="B1966" s="123"/>
      <c r="C1966" s="130"/>
      <c r="F1966" s="123"/>
      <c r="G1966" s="180"/>
      <c r="H1966" s="150"/>
      <c r="J1966" s="130"/>
    </row>
    <row r="1967" spans="1:10" s="120" customFormat="1">
      <c r="A1967" s="130"/>
      <c r="B1967" s="123"/>
      <c r="C1967" s="130"/>
      <c r="F1967" s="123"/>
      <c r="G1967" s="180"/>
      <c r="H1967" s="150"/>
      <c r="J1967" s="130"/>
    </row>
    <row r="1968" spans="1:10" s="120" customFormat="1">
      <c r="A1968" s="130"/>
      <c r="B1968" s="123"/>
      <c r="C1968" s="130"/>
      <c r="F1968" s="123"/>
      <c r="G1968" s="180"/>
      <c r="H1968" s="150"/>
      <c r="J1968" s="130"/>
    </row>
    <row r="1969" spans="1:10" s="120" customFormat="1">
      <c r="A1969" s="130"/>
      <c r="B1969" s="123"/>
      <c r="C1969" s="130"/>
      <c r="F1969" s="123"/>
      <c r="G1969" s="180"/>
      <c r="H1969" s="150"/>
      <c r="J1969" s="130"/>
    </row>
    <row r="1970" spans="1:10" s="120" customFormat="1">
      <c r="A1970" s="130"/>
      <c r="B1970" s="123"/>
      <c r="C1970" s="130"/>
      <c r="F1970" s="123"/>
      <c r="G1970" s="180"/>
      <c r="H1970" s="150"/>
      <c r="J1970" s="130"/>
    </row>
    <row r="1971" spans="1:10" s="120" customFormat="1">
      <c r="A1971" s="130"/>
      <c r="B1971" s="123"/>
      <c r="C1971" s="130"/>
      <c r="F1971" s="123"/>
      <c r="G1971" s="180"/>
      <c r="H1971" s="150"/>
      <c r="J1971" s="130"/>
    </row>
    <row r="1972" spans="1:10" s="120" customFormat="1">
      <c r="A1972" s="130"/>
      <c r="B1972" s="123"/>
      <c r="C1972" s="130"/>
      <c r="F1972" s="123"/>
      <c r="G1972" s="180"/>
      <c r="H1972" s="150"/>
      <c r="J1972" s="130"/>
    </row>
    <row r="1973" spans="1:10" s="120" customFormat="1">
      <c r="A1973" s="130"/>
      <c r="B1973" s="123"/>
      <c r="C1973" s="130"/>
      <c r="F1973" s="123"/>
      <c r="G1973" s="180"/>
      <c r="H1973" s="150"/>
      <c r="J1973" s="130"/>
    </row>
    <row r="1974" spans="1:10" s="120" customFormat="1">
      <c r="A1974" s="130"/>
      <c r="B1974" s="123"/>
      <c r="C1974" s="130"/>
      <c r="F1974" s="123"/>
      <c r="G1974" s="180"/>
      <c r="H1974" s="150"/>
      <c r="J1974" s="130"/>
    </row>
    <row r="1975" spans="1:10" s="120" customFormat="1">
      <c r="A1975" s="130"/>
      <c r="B1975" s="123"/>
      <c r="C1975" s="130"/>
      <c r="F1975" s="123"/>
      <c r="G1975" s="180"/>
      <c r="H1975" s="150"/>
      <c r="J1975" s="130"/>
    </row>
    <row r="1976" spans="1:10" s="120" customFormat="1">
      <c r="A1976" s="130"/>
      <c r="B1976" s="123"/>
      <c r="C1976" s="130"/>
      <c r="F1976" s="123"/>
      <c r="G1976" s="180"/>
      <c r="H1976" s="150"/>
      <c r="J1976" s="130"/>
    </row>
    <row r="1977" spans="1:10" s="120" customFormat="1">
      <c r="A1977" s="130"/>
      <c r="B1977" s="123"/>
      <c r="C1977" s="130"/>
      <c r="F1977" s="123"/>
      <c r="G1977" s="180"/>
      <c r="H1977" s="150"/>
      <c r="J1977" s="130"/>
    </row>
    <row r="1978" spans="1:10" s="120" customFormat="1">
      <c r="A1978" s="130"/>
      <c r="B1978" s="123"/>
      <c r="C1978" s="130"/>
      <c r="F1978" s="123"/>
      <c r="G1978" s="180"/>
      <c r="H1978" s="150"/>
      <c r="J1978" s="130"/>
    </row>
    <row r="1979" spans="1:10" s="120" customFormat="1">
      <c r="A1979" s="130"/>
      <c r="B1979" s="123"/>
      <c r="C1979" s="130"/>
      <c r="F1979" s="123"/>
      <c r="G1979" s="180"/>
      <c r="H1979" s="150"/>
      <c r="J1979" s="130"/>
    </row>
    <row r="1980" spans="1:10" s="120" customFormat="1">
      <c r="A1980" s="130"/>
      <c r="B1980" s="123"/>
      <c r="C1980" s="130"/>
      <c r="F1980" s="123"/>
      <c r="G1980" s="180"/>
      <c r="H1980" s="150"/>
      <c r="J1980" s="130"/>
    </row>
    <row r="1981" spans="1:10" s="120" customFormat="1">
      <c r="A1981" s="130"/>
      <c r="B1981" s="123"/>
      <c r="C1981" s="130"/>
      <c r="F1981" s="123"/>
      <c r="G1981" s="180"/>
      <c r="H1981" s="150"/>
      <c r="J1981" s="130"/>
    </row>
    <row r="1982" spans="1:10" s="120" customFormat="1">
      <c r="A1982" s="130"/>
      <c r="B1982" s="123"/>
      <c r="C1982" s="130"/>
      <c r="F1982" s="123"/>
      <c r="G1982" s="180"/>
      <c r="H1982" s="150"/>
      <c r="J1982" s="130"/>
    </row>
    <row r="1983" spans="1:10" s="120" customFormat="1">
      <c r="A1983" s="130"/>
      <c r="B1983" s="123"/>
      <c r="C1983" s="130"/>
      <c r="F1983" s="123"/>
      <c r="G1983" s="180"/>
      <c r="H1983" s="150"/>
      <c r="J1983" s="130"/>
    </row>
    <row r="1984" spans="1:10" s="120" customFormat="1">
      <c r="A1984" s="130"/>
      <c r="B1984" s="123"/>
      <c r="C1984" s="130"/>
      <c r="F1984" s="123"/>
      <c r="G1984" s="180"/>
      <c r="H1984" s="150"/>
      <c r="J1984" s="130"/>
    </row>
    <row r="1985" spans="1:10" s="120" customFormat="1">
      <c r="A1985" s="130"/>
      <c r="B1985" s="123"/>
      <c r="C1985" s="130"/>
      <c r="F1985" s="123"/>
      <c r="G1985" s="180"/>
      <c r="H1985" s="150"/>
      <c r="J1985" s="130"/>
    </row>
    <row r="1986" spans="1:10" s="120" customFormat="1">
      <c r="A1986" s="130"/>
      <c r="B1986" s="123"/>
      <c r="C1986" s="130"/>
      <c r="F1986" s="123"/>
      <c r="G1986" s="180"/>
      <c r="H1986" s="150"/>
      <c r="J1986" s="130"/>
    </row>
    <row r="1987" spans="1:10" s="120" customFormat="1">
      <c r="A1987" s="130"/>
      <c r="B1987" s="123"/>
      <c r="C1987" s="130"/>
      <c r="F1987" s="123"/>
      <c r="G1987" s="180"/>
      <c r="H1987" s="150"/>
      <c r="J1987" s="130"/>
    </row>
    <row r="1988" spans="1:10" s="120" customFormat="1">
      <c r="A1988" s="130"/>
      <c r="B1988" s="123"/>
      <c r="C1988" s="130"/>
      <c r="F1988" s="123"/>
      <c r="G1988" s="180"/>
      <c r="H1988" s="150"/>
      <c r="J1988" s="130"/>
    </row>
    <row r="1989" spans="1:10" s="120" customFormat="1">
      <c r="A1989" s="130"/>
      <c r="B1989" s="123"/>
      <c r="C1989" s="130"/>
      <c r="F1989" s="123"/>
      <c r="G1989" s="180"/>
      <c r="H1989" s="150"/>
      <c r="J1989" s="130"/>
    </row>
    <row r="1990" spans="1:10" s="120" customFormat="1">
      <c r="A1990" s="130"/>
      <c r="B1990" s="123"/>
      <c r="C1990" s="130"/>
      <c r="F1990" s="123"/>
      <c r="G1990" s="180"/>
      <c r="H1990" s="150"/>
      <c r="J1990" s="130"/>
    </row>
    <row r="1991" spans="1:10" s="120" customFormat="1">
      <c r="A1991" s="130"/>
      <c r="B1991" s="123"/>
      <c r="C1991" s="130"/>
      <c r="F1991" s="123"/>
      <c r="G1991" s="180"/>
      <c r="H1991" s="150"/>
      <c r="J1991" s="130"/>
    </row>
    <row r="1992" spans="1:10" s="120" customFormat="1">
      <c r="A1992" s="130"/>
      <c r="B1992" s="123"/>
      <c r="C1992" s="130"/>
      <c r="F1992" s="123"/>
      <c r="G1992" s="180"/>
      <c r="H1992" s="150"/>
      <c r="J1992" s="130"/>
    </row>
    <row r="1993" spans="1:10" s="120" customFormat="1">
      <c r="A1993" s="130"/>
      <c r="B1993" s="123"/>
      <c r="C1993" s="130"/>
      <c r="F1993" s="123"/>
      <c r="G1993" s="180"/>
      <c r="H1993" s="150"/>
      <c r="J1993" s="130"/>
    </row>
    <row r="1994" spans="1:10" s="120" customFormat="1">
      <c r="A1994" s="130"/>
      <c r="B1994" s="123"/>
      <c r="C1994" s="130"/>
      <c r="F1994" s="123"/>
      <c r="G1994" s="180"/>
      <c r="H1994" s="150"/>
      <c r="J1994" s="130"/>
    </row>
    <row r="1995" spans="1:10" s="120" customFormat="1">
      <c r="A1995" s="130"/>
      <c r="B1995" s="123"/>
      <c r="C1995" s="130"/>
      <c r="F1995" s="123"/>
      <c r="G1995" s="180"/>
      <c r="H1995" s="150"/>
      <c r="J1995" s="130"/>
    </row>
    <row r="1996" spans="1:10" s="120" customFormat="1">
      <c r="A1996" s="130"/>
      <c r="B1996" s="123"/>
      <c r="C1996" s="130"/>
      <c r="F1996" s="123"/>
      <c r="G1996" s="180"/>
      <c r="H1996" s="150"/>
      <c r="J1996" s="130"/>
    </row>
    <row r="1997" spans="1:10" s="120" customFormat="1">
      <c r="A1997" s="130"/>
      <c r="B1997" s="123"/>
      <c r="C1997" s="130"/>
      <c r="F1997" s="123"/>
      <c r="G1997" s="180"/>
      <c r="H1997" s="150"/>
      <c r="J1997" s="130"/>
    </row>
    <row r="1998" spans="1:10" s="120" customFormat="1">
      <c r="A1998" s="130"/>
      <c r="B1998" s="123"/>
      <c r="C1998" s="130"/>
      <c r="F1998" s="123"/>
      <c r="G1998" s="180"/>
      <c r="H1998" s="150"/>
      <c r="J1998" s="130"/>
    </row>
    <row r="1999" spans="1:10" s="120" customFormat="1">
      <c r="A1999" s="130"/>
      <c r="B1999" s="123"/>
      <c r="C1999" s="130"/>
      <c r="F1999" s="123"/>
      <c r="G1999" s="180"/>
      <c r="H1999" s="150"/>
      <c r="J1999" s="130"/>
    </row>
    <row r="2000" spans="1:10" s="120" customFormat="1">
      <c r="A2000" s="130"/>
      <c r="B2000" s="123"/>
      <c r="C2000" s="130"/>
      <c r="F2000" s="123"/>
      <c r="G2000" s="180"/>
      <c r="H2000" s="150"/>
      <c r="J2000" s="130"/>
    </row>
    <row r="2001" spans="1:10" s="120" customFormat="1">
      <c r="A2001" s="130"/>
      <c r="B2001" s="123"/>
      <c r="C2001" s="130"/>
      <c r="F2001" s="123"/>
      <c r="G2001" s="180"/>
      <c r="H2001" s="150"/>
      <c r="J2001" s="130"/>
    </row>
    <row r="2002" spans="1:10" s="120" customFormat="1">
      <c r="A2002" s="130"/>
      <c r="B2002" s="123"/>
      <c r="C2002" s="130"/>
      <c r="F2002" s="123"/>
      <c r="G2002" s="180"/>
      <c r="H2002" s="150"/>
      <c r="J2002" s="130"/>
    </row>
    <row r="2003" spans="1:10" s="120" customFormat="1">
      <c r="A2003" s="130"/>
      <c r="B2003" s="123"/>
      <c r="C2003" s="130"/>
      <c r="F2003" s="123"/>
      <c r="G2003" s="180"/>
      <c r="H2003" s="150"/>
      <c r="J2003" s="130"/>
    </row>
    <row r="2004" spans="1:10" s="120" customFormat="1">
      <c r="A2004" s="130"/>
      <c r="B2004" s="123"/>
      <c r="C2004" s="130"/>
      <c r="F2004" s="123"/>
      <c r="G2004" s="180"/>
      <c r="H2004" s="150"/>
      <c r="J2004" s="130"/>
    </row>
    <row r="2005" spans="1:10" s="120" customFormat="1">
      <c r="A2005" s="130"/>
      <c r="B2005" s="123"/>
      <c r="C2005" s="130"/>
      <c r="F2005" s="123"/>
      <c r="G2005" s="180"/>
      <c r="H2005" s="150"/>
      <c r="J2005" s="130"/>
    </row>
    <row r="2006" spans="1:10" s="120" customFormat="1">
      <c r="A2006" s="130"/>
      <c r="B2006" s="123"/>
      <c r="C2006" s="130"/>
      <c r="F2006" s="123"/>
      <c r="G2006" s="180"/>
      <c r="H2006" s="150"/>
      <c r="J2006" s="130"/>
    </row>
    <row r="2007" spans="1:10" s="120" customFormat="1">
      <c r="A2007" s="130"/>
      <c r="B2007" s="123"/>
      <c r="C2007" s="130"/>
      <c r="F2007" s="123"/>
      <c r="G2007" s="180"/>
      <c r="H2007" s="150"/>
      <c r="J2007" s="130"/>
    </row>
    <row r="2008" spans="1:10" s="120" customFormat="1">
      <c r="A2008" s="130"/>
      <c r="B2008" s="123"/>
      <c r="C2008" s="130"/>
      <c r="F2008" s="123"/>
      <c r="G2008" s="180"/>
      <c r="H2008" s="150"/>
      <c r="J2008" s="130"/>
    </row>
    <row r="2009" spans="1:10" s="120" customFormat="1">
      <c r="A2009" s="130"/>
      <c r="B2009" s="123"/>
      <c r="C2009" s="130"/>
      <c r="F2009" s="123"/>
      <c r="G2009" s="180"/>
      <c r="H2009" s="150"/>
      <c r="J2009" s="130"/>
    </row>
    <row r="2010" spans="1:10" s="120" customFormat="1">
      <c r="A2010" s="130"/>
      <c r="B2010" s="123"/>
      <c r="C2010" s="130"/>
      <c r="F2010" s="123"/>
      <c r="G2010" s="180"/>
      <c r="H2010" s="150"/>
      <c r="J2010" s="130"/>
    </row>
    <row r="2011" spans="1:10" s="120" customFormat="1">
      <c r="A2011" s="130"/>
      <c r="B2011" s="123"/>
      <c r="C2011" s="130"/>
      <c r="F2011" s="123"/>
      <c r="G2011" s="180"/>
      <c r="H2011" s="150"/>
      <c r="J2011" s="130"/>
    </row>
    <row r="2012" spans="1:10" s="120" customFormat="1">
      <c r="A2012" s="130"/>
      <c r="B2012" s="123"/>
      <c r="C2012" s="130"/>
      <c r="F2012" s="123"/>
      <c r="G2012" s="180"/>
      <c r="H2012" s="150"/>
      <c r="J2012" s="130"/>
    </row>
    <row r="2013" spans="1:10" s="120" customFormat="1">
      <c r="A2013" s="130"/>
      <c r="B2013" s="123"/>
      <c r="C2013" s="130"/>
      <c r="F2013" s="123"/>
      <c r="G2013" s="180"/>
      <c r="H2013" s="150"/>
      <c r="J2013" s="130"/>
    </row>
    <row r="2014" spans="1:10" s="120" customFormat="1">
      <c r="A2014" s="130"/>
      <c r="B2014" s="123"/>
      <c r="C2014" s="130"/>
      <c r="F2014" s="123"/>
      <c r="G2014" s="180"/>
      <c r="H2014" s="150"/>
      <c r="J2014" s="130"/>
    </row>
    <row r="2015" spans="1:10" s="120" customFormat="1">
      <c r="A2015" s="130"/>
      <c r="B2015" s="123"/>
      <c r="C2015" s="130"/>
      <c r="F2015" s="123"/>
      <c r="G2015" s="180"/>
      <c r="H2015" s="150"/>
      <c r="J2015" s="130"/>
    </row>
    <row r="2016" spans="1:10" s="120" customFormat="1">
      <c r="A2016" s="130"/>
      <c r="B2016" s="123"/>
      <c r="C2016" s="130"/>
      <c r="F2016" s="123"/>
      <c r="G2016" s="180"/>
      <c r="H2016" s="150"/>
      <c r="J2016" s="130"/>
    </row>
    <row r="2017" spans="1:10" s="120" customFormat="1">
      <c r="A2017" s="130"/>
      <c r="B2017" s="123"/>
      <c r="C2017" s="130"/>
      <c r="F2017" s="123"/>
      <c r="G2017" s="180"/>
      <c r="H2017" s="150"/>
      <c r="J2017" s="130"/>
    </row>
    <row r="2018" spans="1:10" s="120" customFormat="1">
      <c r="A2018" s="130"/>
      <c r="B2018" s="123"/>
      <c r="C2018" s="130"/>
      <c r="F2018" s="123"/>
      <c r="G2018" s="180"/>
      <c r="H2018" s="150"/>
      <c r="J2018" s="130"/>
    </row>
    <row r="2019" spans="1:10" s="120" customFormat="1">
      <c r="A2019" s="130"/>
      <c r="B2019" s="123"/>
      <c r="C2019" s="130"/>
      <c r="F2019" s="123"/>
      <c r="G2019" s="180"/>
      <c r="H2019" s="150"/>
      <c r="J2019" s="130"/>
    </row>
    <row r="2020" spans="1:10" s="120" customFormat="1">
      <c r="A2020" s="130"/>
      <c r="B2020" s="123"/>
      <c r="C2020" s="130"/>
      <c r="F2020" s="123"/>
      <c r="G2020" s="180"/>
      <c r="H2020" s="150"/>
      <c r="J2020" s="130"/>
    </row>
    <row r="2021" spans="1:10" s="120" customFormat="1">
      <c r="A2021" s="130"/>
      <c r="B2021" s="123"/>
      <c r="C2021" s="130"/>
      <c r="F2021" s="123"/>
      <c r="G2021" s="180"/>
      <c r="H2021" s="150"/>
      <c r="J2021" s="130"/>
    </row>
    <row r="2022" spans="1:10" s="120" customFormat="1">
      <c r="A2022" s="130"/>
      <c r="B2022" s="123"/>
      <c r="C2022" s="130"/>
      <c r="F2022" s="123"/>
      <c r="G2022" s="180"/>
      <c r="H2022" s="150"/>
      <c r="J2022" s="130"/>
    </row>
    <row r="2023" spans="1:10" s="120" customFormat="1">
      <c r="A2023" s="130"/>
      <c r="B2023" s="123"/>
      <c r="C2023" s="130"/>
      <c r="F2023" s="123"/>
      <c r="G2023" s="180"/>
      <c r="H2023" s="150"/>
      <c r="J2023" s="130"/>
    </row>
    <row r="2024" spans="1:10" s="120" customFormat="1">
      <c r="A2024" s="130"/>
      <c r="B2024" s="123"/>
      <c r="C2024" s="130"/>
      <c r="F2024" s="123"/>
      <c r="G2024" s="180"/>
      <c r="H2024" s="150"/>
      <c r="J2024" s="130"/>
    </row>
    <row r="2025" spans="1:10" s="120" customFormat="1">
      <c r="A2025" s="130"/>
      <c r="B2025" s="123"/>
      <c r="C2025" s="130"/>
      <c r="F2025" s="123"/>
      <c r="G2025" s="180"/>
      <c r="H2025" s="150"/>
      <c r="J2025" s="130"/>
    </row>
    <row r="2026" spans="1:10" s="120" customFormat="1">
      <c r="A2026" s="130"/>
      <c r="B2026" s="123"/>
      <c r="C2026" s="130"/>
      <c r="F2026" s="123"/>
      <c r="G2026" s="180"/>
      <c r="H2026" s="150"/>
      <c r="J2026" s="130"/>
    </row>
    <row r="2027" spans="1:10" s="120" customFormat="1">
      <c r="A2027" s="130"/>
      <c r="B2027" s="123"/>
      <c r="C2027" s="130"/>
      <c r="F2027" s="123"/>
      <c r="G2027" s="180"/>
      <c r="H2027" s="150"/>
      <c r="J2027" s="130"/>
    </row>
    <row r="2028" spans="1:10" s="120" customFormat="1">
      <c r="A2028" s="130"/>
      <c r="B2028" s="123"/>
      <c r="C2028" s="130"/>
      <c r="F2028" s="123"/>
      <c r="G2028" s="180"/>
      <c r="H2028" s="150"/>
      <c r="J2028" s="130"/>
    </row>
    <row r="2029" spans="1:10" s="120" customFormat="1">
      <c r="A2029" s="130"/>
      <c r="B2029" s="123"/>
      <c r="C2029" s="130"/>
      <c r="F2029" s="123"/>
      <c r="G2029" s="180"/>
      <c r="H2029" s="150"/>
      <c r="J2029" s="130"/>
    </row>
    <row r="2030" spans="1:10" s="120" customFormat="1">
      <c r="A2030" s="130"/>
      <c r="B2030" s="123"/>
      <c r="C2030" s="130"/>
      <c r="F2030" s="123"/>
      <c r="G2030" s="180"/>
      <c r="H2030" s="150"/>
      <c r="J2030" s="130"/>
    </row>
    <row r="2031" spans="1:10" s="120" customFormat="1">
      <c r="A2031" s="130"/>
      <c r="B2031" s="123"/>
      <c r="C2031" s="130"/>
      <c r="F2031" s="123"/>
      <c r="G2031" s="180"/>
      <c r="H2031" s="150"/>
      <c r="J2031" s="130"/>
    </row>
    <row r="2032" spans="1:10" s="120" customFormat="1">
      <c r="A2032" s="130"/>
      <c r="B2032" s="123"/>
      <c r="C2032" s="130"/>
      <c r="F2032" s="123"/>
      <c r="G2032" s="180"/>
      <c r="H2032" s="150"/>
      <c r="J2032" s="130"/>
    </row>
    <row r="2033" spans="1:10" s="120" customFormat="1">
      <c r="A2033" s="130"/>
      <c r="B2033" s="123"/>
      <c r="C2033" s="130"/>
      <c r="F2033" s="123"/>
      <c r="G2033" s="180"/>
      <c r="H2033" s="150"/>
      <c r="J2033" s="130"/>
    </row>
    <row r="2034" spans="1:10" s="120" customFormat="1">
      <c r="A2034" s="130"/>
      <c r="B2034" s="123"/>
      <c r="C2034" s="130"/>
      <c r="F2034" s="123"/>
      <c r="G2034" s="180"/>
      <c r="H2034" s="150"/>
      <c r="J2034" s="130"/>
    </row>
    <row r="2035" spans="1:10" s="120" customFormat="1">
      <c r="A2035" s="130"/>
      <c r="B2035" s="123"/>
      <c r="C2035" s="130"/>
      <c r="F2035" s="123"/>
      <c r="G2035" s="180"/>
      <c r="H2035" s="150"/>
      <c r="J2035" s="130"/>
    </row>
    <row r="2036" spans="1:10" s="120" customFormat="1">
      <c r="A2036" s="130"/>
      <c r="B2036" s="123"/>
      <c r="C2036" s="130"/>
      <c r="F2036" s="123"/>
      <c r="G2036" s="180"/>
      <c r="H2036" s="150"/>
      <c r="J2036" s="130"/>
    </row>
    <row r="2037" spans="1:10" s="120" customFormat="1">
      <c r="A2037" s="130"/>
      <c r="B2037" s="123"/>
      <c r="C2037" s="130"/>
      <c r="F2037" s="123"/>
      <c r="G2037" s="180"/>
      <c r="H2037" s="150"/>
      <c r="J2037" s="130"/>
    </row>
    <row r="2038" spans="1:10" s="120" customFormat="1">
      <c r="A2038" s="130"/>
      <c r="B2038" s="123"/>
      <c r="C2038" s="130"/>
      <c r="F2038" s="123"/>
      <c r="G2038" s="180"/>
      <c r="H2038" s="150"/>
      <c r="J2038" s="130"/>
    </row>
    <row r="2039" spans="1:10" s="120" customFormat="1">
      <c r="A2039" s="130"/>
      <c r="B2039" s="123"/>
      <c r="C2039" s="130"/>
      <c r="F2039" s="123"/>
      <c r="G2039" s="180"/>
      <c r="H2039" s="150"/>
      <c r="J2039" s="130"/>
    </row>
    <row r="2040" spans="1:10" s="120" customFormat="1">
      <c r="A2040" s="130"/>
      <c r="B2040" s="123"/>
      <c r="C2040" s="130"/>
      <c r="F2040" s="123"/>
      <c r="G2040" s="180"/>
      <c r="H2040" s="150"/>
      <c r="J2040" s="130"/>
    </row>
    <row r="2041" spans="1:10" s="120" customFormat="1">
      <c r="A2041" s="130"/>
      <c r="B2041" s="123"/>
      <c r="C2041" s="130"/>
      <c r="F2041" s="123"/>
      <c r="G2041" s="180"/>
      <c r="H2041" s="150"/>
      <c r="J2041" s="130"/>
    </row>
    <row r="2042" spans="1:10" s="120" customFormat="1">
      <c r="A2042" s="130"/>
      <c r="B2042" s="123"/>
      <c r="C2042" s="130"/>
      <c r="F2042" s="123"/>
      <c r="G2042" s="180"/>
      <c r="H2042" s="150"/>
      <c r="J2042" s="130"/>
    </row>
    <row r="2043" spans="1:10" s="120" customFormat="1">
      <c r="A2043" s="130"/>
      <c r="B2043" s="123"/>
      <c r="C2043" s="130"/>
      <c r="F2043" s="123"/>
      <c r="G2043" s="180"/>
      <c r="H2043" s="150"/>
      <c r="J2043" s="130"/>
    </row>
    <row r="2044" spans="1:10" s="120" customFormat="1">
      <c r="A2044" s="130"/>
      <c r="B2044" s="123"/>
      <c r="C2044" s="130"/>
      <c r="F2044" s="123"/>
      <c r="G2044" s="180"/>
      <c r="H2044" s="150"/>
      <c r="J2044" s="130"/>
    </row>
    <row r="2045" spans="1:10" s="120" customFormat="1">
      <c r="A2045" s="130"/>
      <c r="B2045" s="123"/>
      <c r="C2045" s="130"/>
      <c r="F2045" s="123"/>
      <c r="G2045" s="180"/>
      <c r="H2045" s="150"/>
      <c r="J2045" s="130"/>
    </row>
    <row r="2046" spans="1:10" s="120" customFormat="1">
      <c r="A2046" s="130"/>
      <c r="B2046" s="123"/>
      <c r="C2046" s="130"/>
      <c r="F2046" s="123"/>
      <c r="G2046" s="180"/>
      <c r="H2046" s="150"/>
      <c r="J2046" s="130"/>
    </row>
    <row r="2047" spans="1:10" s="120" customFormat="1">
      <c r="A2047" s="130"/>
      <c r="B2047" s="123"/>
      <c r="C2047" s="130"/>
      <c r="F2047" s="123"/>
      <c r="G2047" s="180"/>
      <c r="H2047" s="150"/>
      <c r="J2047" s="130"/>
    </row>
    <row r="2048" spans="1:10" s="120" customFormat="1">
      <c r="A2048" s="130"/>
      <c r="B2048" s="123"/>
      <c r="C2048" s="130"/>
      <c r="F2048" s="123"/>
      <c r="G2048" s="180"/>
      <c r="H2048" s="150"/>
      <c r="J2048" s="130"/>
    </row>
    <row r="2049" spans="1:10" s="120" customFormat="1">
      <c r="A2049" s="130"/>
      <c r="B2049" s="123"/>
      <c r="C2049" s="130"/>
      <c r="F2049" s="123"/>
      <c r="G2049" s="180"/>
      <c r="H2049" s="150"/>
      <c r="J2049" s="130"/>
    </row>
    <row r="2050" spans="1:10" s="120" customFormat="1">
      <c r="A2050" s="130"/>
      <c r="B2050" s="123"/>
      <c r="C2050" s="130"/>
      <c r="F2050" s="123"/>
      <c r="G2050" s="180"/>
      <c r="H2050" s="150"/>
      <c r="J2050" s="130"/>
    </row>
    <row r="2051" spans="1:10" s="120" customFormat="1">
      <c r="A2051" s="130"/>
      <c r="B2051" s="123"/>
      <c r="C2051" s="130"/>
      <c r="F2051" s="123"/>
      <c r="G2051" s="180"/>
      <c r="H2051" s="150"/>
      <c r="J2051" s="130"/>
    </row>
    <row r="2052" spans="1:10" s="120" customFormat="1">
      <c r="A2052" s="130"/>
      <c r="B2052" s="123"/>
      <c r="C2052" s="130"/>
      <c r="F2052" s="123"/>
      <c r="G2052" s="180"/>
      <c r="H2052" s="150"/>
      <c r="J2052" s="130"/>
    </row>
    <row r="2053" spans="1:10" s="120" customFormat="1">
      <c r="A2053" s="130"/>
      <c r="B2053" s="123"/>
      <c r="C2053" s="130"/>
      <c r="F2053" s="123"/>
      <c r="G2053" s="180"/>
      <c r="H2053" s="150"/>
      <c r="J2053" s="130"/>
    </row>
    <row r="2054" spans="1:10" s="120" customFormat="1">
      <c r="A2054" s="130"/>
      <c r="B2054" s="123"/>
      <c r="C2054" s="130"/>
      <c r="F2054" s="123"/>
      <c r="G2054" s="180"/>
      <c r="H2054" s="150"/>
      <c r="J2054" s="130"/>
    </row>
    <row r="2055" spans="1:10" s="120" customFormat="1">
      <c r="A2055" s="130"/>
      <c r="B2055" s="123"/>
      <c r="C2055" s="130"/>
      <c r="F2055" s="123"/>
      <c r="G2055" s="180"/>
      <c r="H2055" s="150"/>
      <c r="J2055" s="130"/>
    </row>
    <row r="2056" spans="1:10" s="120" customFormat="1">
      <c r="A2056" s="130"/>
      <c r="B2056" s="123"/>
      <c r="C2056" s="130"/>
      <c r="F2056" s="123"/>
      <c r="G2056" s="180"/>
      <c r="H2056" s="150"/>
      <c r="J2056" s="130"/>
    </row>
    <row r="2057" spans="1:10" s="120" customFormat="1">
      <c r="A2057" s="130"/>
      <c r="B2057" s="123"/>
      <c r="C2057" s="130"/>
      <c r="F2057" s="123"/>
      <c r="G2057" s="180"/>
      <c r="H2057" s="150"/>
      <c r="J2057" s="130"/>
    </row>
    <row r="2058" spans="1:10" s="120" customFormat="1">
      <c r="A2058" s="130"/>
      <c r="B2058" s="123"/>
      <c r="C2058" s="130"/>
      <c r="F2058" s="123"/>
      <c r="G2058" s="180"/>
      <c r="H2058" s="150"/>
      <c r="J2058" s="130"/>
    </row>
    <row r="2059" spans="1:10" s="120" customFormat="1">
      <c r="A2059" s="130"/>
      <c r="B2059" s="123"/>
      <c r="C2059" s="130"/>
      <c r="F2059" s="123"/>
      <c r="G2059" s="180"/>
      <c r="H2059" s="150"/>
      <c r="J2059" s="130"/>
    </row>
    <row r="2060" spans="1:10" s="120" customFormat="1">
      <c r="A2060" s="130"/>
      <c r="B2060" s="123"/>
      <c r="C2060" s="130"/>
      <c r="F2060" s="123"/>
      <c r="G2060" s="180"/>
      <c r="H2060" s="150"/>
      <c r="J2060" s="130"/>
    </row>
    <row r="2061" spans="1:10" s="120" customFormat="1">
      <c r="A2061" s="130"/>
      <c r="B2061" s="123"/>
      <c r="C2061" s="130"/>
      <c r="F2061" s="123"/>
      <c r="G2061" s="180"/>
      <c r="H2061" s="150"/>
      <c r="J2061" s="130"/>
    </row>
    <row r="2062" spans="1:10" s="120" customFormat="1">
      <c r="A2062" s="130"/>
      <c r="B2062" s="123"/>
      <c r="C2062" s="130"/>
      <c r="F2062" s="123"/>
      <c r="G2062" s="180"/>
      <c r="H2062" s="150"/>
      <c r="J2062" s="130"/>
    </row>
    <row r="2063" spans="1:10" s="120" customFormat="1">
      <c r="A2063" s="130"/>
      <c r="B2063" s="123"/>
      <c r="C2063" s="130"/>
      <c r="F2063" s="123"/>
      <c r="G2063" s="180"/>
      <c r="H2063" s="150"/>
      <c r="J2063" s="130"/>
    </row>
    <row r="2064" spans="1:10" s="120" customFormat="1">
      <c r="A2064" s="130"/>
      <c r="B2064" s="123"/>
      <c r="C2064" s="130"/>
      <c r="F2064" s="123"/>
      <c r="G2064" s="180"/>
      <c r="H2064" s="150"/>
      <c r="J2064" s="130"/>
    </row>
    <row r="2065" spans="1:10" s="120" customFormat="1">
      <c r="A2065" s="130"/>
      <c r="B2065" s="123"/>
      <c r="C2065" s="130"/>
      <c r="F2065" s="123"/>
      <c r="G2065" s="180"/>
      <c r="H2065" s="150"/>
      <c r="J2065" s="130"/>
    </row>
    <row r="2066" spans="1:10" s="120" customFormat="1">
      <c r="A2066" s="130"/>
      <c r="B2066" s="123"/>
      <c r="C2066" s="130"/>
      <c r="F2066" s="123"/>
      <c r="G2066" s="180"/>
      <c r="H2066" s="150"/>
      <c r="J2066" s="130"/>
    </row>
    <row r="2067" spans="1:10" s="120" customFormat="1">
      <c r="A2067" s="130"/>
      <c r="B2067" s="123"/>
      <c r="C2067" s="130"/>
      <c r="F2067" s="123"/>
      <c r="G2067" s="180"/>
      <c r="H2067" s="150"/>
      <c r="J2067" s="130"/>
    </row>
    <row r="2068" spans="1:10" s="120" customFormat="1">
      <c r="A2068" s="130"/>
      <c r="B2068" s="123"/>
      <c r="C2068" s="130"/>
      <c r="F2068" s="123"/>
      <c r="G2068" s="180"/>
      <c r="H2068" s="150"/>
      <c r="J2068" s="130"/>
    </row>
    <row r="2069" spans="1:10" s="120" customFormat="1">
      <c r="A2069" s="130"/>
      <c r="B2069" s="123"/>
      <c r="C2069" s="130"/>
      <c r="F2069" s="123"/>
      <c r="G2069" s="180"/>
      <c r="H2069" s="150"/>
      <c r="J2069" s="130"/>
    </row>
    <row r="2070" spans="1:10" s="120" customFormat="1">
      <c r="A2070" s="130"/>
      <c r="B2070" s="123"/>
      <c r="C2070" s="130"/>
      <c r="F2070" s="123"/>
      <c r="G2070" s="180"/>
      <c r="H2070" s="150"/>
      <c r="J2070" s="130"/>
    </row>
    <row r="2071" spans="1:10" s="120" customFormat="1">
      <c r="A2071" s="130"/>
      <c r="B2071" s="123"/>
      <c r="C2071" s="130"/>
      <c r="F2071" s="123"/>
      <c r="G2071" s="180"/>
      <c r="H2071" s="150"/>
      <c r="J2071" s="130"/>
    </row>
    <row r="2072" spans="1:10" s="120" customFormat="1">
      <c r="A2072" s="130"/>
      <c r="B2072" s="123"/>
      <c r="C2072" s="130"/>
      <c r="F2072" s="123"/>
      <c r="G2072" s="180"/>
      <c r="H2072" s="150"/>
      <c r="J2072" s="130"/>
    </row>
    <row r="2073" spans="1:10" s="120" customFormat="1">
      <c r="A2073" s="130"/>
      <c r="B2073" s="123"/>
      <c r="C2073" s="130"/>
      <c r="F2073" s="123"/>
      <c r="G2073" s="180"/>
      <c r="H2073" s="150"/>
      <c r="J2073" s="130"/>
    </row>
    <row r="2074" spans="1:10" s="120" customFormat="1">
      <c r="A2074" s="130"/>
      <c r="B2074" s="123"/>
      <c r="C2074" s="130"/>
      <c r="F2074" s="123"/>
      <c r="G2074" s="180"/>
      <c r="H2074" s="150"/>
      <c r="J2074" s="130"/>
    </row>
    <row r="2075" spans="1:10" s="120" customFormat="1">
      <c r="A2075" s="130"/>
      <c r="B2075" s="123"/>
      <c r="C2075" s="130"/>
      <c r="F2075" s="123"/>
      <c r="G2075" s="180"/>
      <c r="H2075" s="150"/>
      <c r="J2075" s="130"/>
    </row>
    <row r="2076" spans="1:10" s="120" customFormat="1">
      <c r="A2076" s="130"/>
      <c r="B2076" s="123"/>
      <c r="C2076" s="130"/>
      <c r="F2076" s="123"/>
      <c r="G2076" s="180"/>
      <c r="H2076" s="150"/>
      <c r="J2076" s="130"/>
    </row>
    <row r="2077" spans="1:10" s="120" customFormat="1">
      <c r="A2077" s="130"/>
      <c r="B2077" s="123"/>
      <c r="C2077" s="130"/>
      <c r="F2077" s="123"/>
      <c r="G2077" s="180"/>
      <c r="H2077" s="150"/>
      <c r="J2077" s="130"/>
    </row>
    <row r="2078" spans="1:10" s="120" customFormat="1">
      <c r="A2078" s="130"/>
      <c r="B2078" s="123"/>
      <c r="C2078" s="130"/>
      <c r="F2078" s="123"/>
      <c r="G2078" s="180"/>
      <c r="H2078" s="150"/>
      <c r="J2078" s="130"/>
    </row>
  </sheetData>
  <conditionalFormatting sqref="C252:C253 F62:G63 F69:G71 F181:G253 F108:G178 F79:G93 F96:G96 F95 G94:G95 F100:G101 F99 F97 F44:G49 F51:G56 F58:G59 F65:G66 F318:G65620 F1:G42 F270:G316 G268:G269 G254:G256 C260 C258 F260:G267 F258:G258 J258:J260 F73:G77">
    <cfRule type="cellIs" dxfId="34" priority="41" stopIfTrue="1" operator="lessThan">
      <formula>0</formula>
    </cfRule>
  </conditionalFormatting>
  <conditionalFormatting sqref="F54">
    <cfRule type="cellIs" dxfId="33" priority="39" stopIfTrue="1" operator="lessThan">
      <formula>0</formula>
    </cfRule>
  </conditionalFormatting>
  <conditionalFormatting sqref="F47">
    <cfRule type="cellIs" dxfId="32" priority="38" stopIfTrue="1" operator="lessThan">
      <formula>0</formula>
    </cfRule>
  </conditionalFormatting>
  <conditionalFormatting sqref="F54">
    <cfRule type="cellIs" dxfId="31" priority="37" stopIfTrue="1" operator="lessThan">
      <formula>0</formula>
    </cfRule>
  </conditionalFormatting>
  <conditionalFormatting sqref="F60:G60">
    <cfRule type="cellIs" dxfId="30" priority="36" stopIfTrue="1" operator="lessThan">
      <formula>0</formula>
    </cfRule>
  </conditionalFormatting>
  <conditionalFormatting sqref="F67:G67">
    <cfRule type="cellIs" dxfId="29" priority="35" stopIfTrue="1" operator="lessThan">
      <formula>0</formula>
    </cfRule>
  </conditionalFormatting>
  <conditionalFormatting sqref="F78:G78">
    <cfRule type="cellIs" dxfId="28" priority="34" stopIfTrue="1" operator="lessThan">
      <formula>0</formula>
    </cfRule>
  </conditionalFormatting>
  <conditionalFormatting sqref="F180:G180">
    <cfRule type="cellIs" dxfId="27" priority="33" stopIfTrue="1" operator="lessThan">
      <formula>0</formula>
    </cfRule>
  </conditionalFormatting>
  <conditionalFormatting sqref="F179:G179">
    <cfRule type="cellIs" dxfId="26" priority="32" stopIfTrue="1" operator="lessThan">
      <formula>0</formula>
    </cfRule>
  </conditionalFormatting>
  <conditionalFormatting sqref="F102:G107">
    <cfRule type="cellIs" dxfId="25" priority="31" stopIfTrue="1" operator="lessThan">
      <formula>0</formula>
    </cfRule>
  </conditionalFormatting>
  <conditionalFormatting sqref="F94">
    <cfRule type="cellIs" dxfId="24" priority="30" stopIfTrue="1" operator="lessThan">
      <formula>0</formula>
    </cfRule>
  </conditionalFormatting>
  <conditionalFormatting sqref="F98">
    <cfRule type="cellIs" dxfId="23" priority="29" stopIfTrue="1" operator="lessThan">
      <formula>0</formula>
    </cfRule>
  </conditionalFormatting>
  <conditionalFormatting sqref="G97:G99">
    <cfRule type="cellIs" dxfId="22" priority="28" stopIfTrue="1" operator="lessThan">
      <formula>0</formula>
    </cfRule>
  </conditionalFormatting>
  <conditionalFormatting sqref="F43:G43">
    <cfRule type="cellIs" dxfId="21" priority="27" stopIfTrue="1" operator="lessThan">
      <formula>0</formula>
    </cfRule>
  </conditionalFormatting>
  <conditionalFormatting sqref="F50:G50">
    <cfRule type="cellIs" dxfId="20" priority="26" stopIfTrue="1" operator="lessThan">
      <formula>0</formula>
    </cfRule>
  </conditionalFormatting>
  <conditionalFormatting sqref="F57:G57">
    <cfRule type="cellIs" dxfId="19" priority="25" stopIfTrue="1" operator="lessThan">
      <formula>0</formula>
    </cfRule>
  </conditionalFormatting>
  <conditionalFormatting sqref="F61:G61">
    <cfRule type="cellIs" dxfId="18" priority="24" stopIfTrue="1" operator="lessThan">
      <formula>0</formula>
    </cfRule>
  </conditionalFormatting>
  <conditionalFormatting sqref="F64:G64">
    <cfRule type="cellIs" dxfId="17" priority="23" stopIfTrue="1" operator="lessThan">
      <formula>0</formula>
    </cfRule>
  </conditionalFormatting>
  <conditionalFormatting sqref="F68:G68">
    <cfRule type="cellIs" dxfId="16" priority="22" stopIfTrue="1" operator="lessThan">
      <formula>0</formula>
    </cfRule>
  </conditionalFormatting>
  <conditionalFormatting sqref="J252:J253">
    <cfRule type="cellIs" dxfId="15" priority="21" stopIfTrue="1" operator="lessThan">
      <formula>0</formula>
    </cfRule>
  </conditionalFormatting>
  <conditionalFormatting sqref="C259 F259:G259">
    <cfRule type="cellIs" dxfId="14" priority="18" stopIfTrue="1" operator="lessThan">
      <formula>0</formula>
    </cfRule>
  </conditionalFormatting>
  <conditionalFormatting sqref="C254 F254">
    <cfRule type="cellIs" dxfId="13" priority="16" stopIfTrue="1" operator="lessThan">
      <formula>0</formula>
    </cfRule>
  </conditionalFormatting>
  <conditionalFormatting sqref="C255 F255">
    <cfRule type="cellIs" dxfId="12" priority="15" stopIfTrue="1" operator="lessThan">
      <formula>0</formula>
    </cfRule>
  </conditionalFormatting>
  <conditionalFormatting sqref="J254">
    <cfRule type="cellIs" dxfId="11" priority="14" stopIfTrue="1" operator="lessThan">
      <formula>0</formula>
    </cfRule>
  </conditionalFormatting>
  <conditionalFormatting sqref="J255">
    <cfRule type="cellIs" dxfId="10" priority="13" stopIfTrue="1" operator="lessThan">
      <formula>0</formula>
    </cfRule>
  </conditionalFormatting>
  <conditionalFormatting sqref="F268">
    <cfRule type="cellIs" dxfId="9" priority="12" stopIfTrue="1" operator="lessThan">
      <formula>0</formula>
    </cfRule>
  </conditionalFormatting>
  <conditionalFormatting sqref="F269">
    <cfRule type="cellIs" dxfId="8" priority="11" stopIfTrue="1" operator="lessThan">
      <formula>0</formula>
    </cfRule>
  </conditionalFormatting>
  <conditionalFormatting sqref="F256">
    <cfRule type="cellIs" dxfId="7" priority="10" stopIfTrue="1" operator="lessThan">
      <formula>0</formula>
    </cfRule>
  </conditionalFormatting>
  <conditionalFormatting sqref="C256">
    <cfRule type="cellIs" dxfId="6" priority="9" stopIfTrue="1" operator="lessThan">
      <formula>0</formula>
    </cfRule>
  </conditionalFormatting>
  <conditionalFormatting sqref="J256">
    <cfRule type="cellIs" dxfId="5" priority="8" stopIfTrue="1" operator="lessThan">
      <formula>0</formula>
    </cfRule>
  </conditionalFormatting>
  <conditionalFormatting sqref="G257">
    <cfRule type="cellIs" dxfId="4" priority="5" stopIfTrue="1" operator="lessThan">
      <formula>0</formula>
    </cfRule>
  </conditionalFormatting>
  <conditionalFormatting sqref="F257">
    <cfRule type="cellIs" dxfId="3" priority="4" stopIfTrue="1" operator="lessThan">
      <formula>0</formula>
    </cfRule>
  </conditionalFormatting>
  <conditionalFormatting sqref="C257">
    <cfRule type="cellIs" dxfId="2" priority="3" stopIfTrue="1" operator="lessThan">
      <formula>0</formula>
    </cfRule>
  </conditionalFormatting>
  <conditionalFormatting sqref="J257">
    <cfRule type="cellIs" dxfId="1" priority="2" stopIfTrue="1" operator="lessThan">
      <formula>0</formula>
    </cfRule>
  </conditionalFormatting>
  <conditionalFormatting sqref="F72:G72">
    <cfRule type="cellIs" dxfId="0" priority="1" stopIfTrue="1" operator="lessThan">
      <formula>0</formula>
    </cfRule>
  </conditionalFormatting>
  <printOptions horizontalCentered="1" headings="1"/>
  <pageMargins left="0.70866141732283472" right="0.31496062992125984" top="0.35433070866141736" bottom="0.27559055118110237" header="0.31496062992125984" footer="0.31496062992125984"/>
  <pageSetup paperSize="9" scale="75" fitToHeight="0" orientation="portrait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fitToPage="1"/>
  </sheetPr>
  <dimension ref="A1:X754"/>
  <sheetViews>
    <sheetView showZeros="0" zoomScaleNormal="100" workbookViewId="0">
      <pane ySplit="2" topLeftCell="A3" activePane="bottomLeft" state="frozen"/>
      <selection activeCell="L12" sqref="L12:L24"/>
      <selection pane="bottomLeft" activeCell="L12" sqref="L12:L24"/>
    </sheetView>
  </sheetViews>
  <sheetFormatPr baseColWidth="10" defaultColWidth="11.42578125" defaultRowHeight="13.5"/>
  <cols>
    <col min="1" max="1" width="12.42578125" style="55" bestFit="1" customWidth="1"/>
    <col min="2" max="2" width="58.85546875" style="63" customWidth="1"/>
    <col min="3" max="3" width="11.5703125" style="54" customWidth="1"/>
    <col min="4" max="4" width="16.5703125" style="54" customWidth="1"/>
    <col min="5" max="5" width="16.42578125" style="54" bestFit="1" customWidth="1"/>
    <col min="6" max="7" width="7.140625" style="58" customWidth="1"/>
    <col min="8" max="8" width="7.140625" style="76" customWidth="1"/>
    <col min="9" max="12" width="7.140625" style="54" customWidth="1"/>
    <col min="13" max="13" width="10.85546875" style="54" bestFit="1" customWidth="1"/>
    <col min="14" max="19" width="7.140625" style="54" customWidth="1"/>
    <col min="20" max="20" width="7.140625" style="55" customWidth="1"/>
    <col min="21" max="21" width="7.140625" style="55" bestFit="1" customWidth="1"/>
    <col min="22" max="23" width="11.42578125" style="54"/>
    <col min="24" max="24" width="63.42578125" style="60" customWidth="1"/>
    <col min="25" max="16384" width="11.42578125" style="55"/>
  </cols>
  <sheetData>
    <row r="1" spans="1:24" ht="24" customHeight="1">
      <c r="B1" s="269" t="s">
        <v>2716</v>
      </c>
      <c r="E1" s="148"/>
      <c r="F1" s="57"/>
      <c r="L1" s="148"/>
      <c r="X1" s="59"/>
    </row>
    <row r="2" spans="1:24" s="63" customFormat="1" ht="14.25" customHeight="1">
      <c r="B2" s="270"/>
      <c r="C2" s="62"/>
      <c r="D2" s="62"/>
      <c r="E2" s="53"/>
      <c r="F2" s="61" t="s">
        <v>487</v>
      </c>
      <c r="G2" s="61" t="s">
        <v>488</v>
      </c>
      <c r="H2" s="61" t="s">
        <v>489</v>
      </c>
      <c r="I2" s="61" t="s">
        <v>490</v>
      </c>
      <c r="J2" s="61" t="s">
        <v>1222</v>
      </c>
      <c r="K2" s="61" t="s">
        <v>1221</v>
      </c>
      <c r="L2" s="148"/>
      <c r="M2" s="54"/>
      <c r="N2" s="54"/>
      <c r="O2" s="54"/>
      <c r="P2" s="54"/>
      <c r="Q2" s="54"/>
      <c r="R2" s="54"/>
      <c r="S2" s="54"/>
      <c r="T2" s="54"/>
    </row>
    <row r="3" spans="1:24" ht="14.25" customHeight="1">
      <c r="B3" s="271"/>
      <c r="C3" s="56"/>
      <c r="D3" s="56"/>
      <c r="F3" s="54"/>
      <c r="G3" s="54"/>
      <c r="H3" s="54"/>
      <c r="L3" s="148"/>
      <c r="T3" s="54"/>
      <c r="V3" s="55"/>
      <c r="W3" s="55"/>
      <c r="X3" s="55"/>
    </row>
    <row r="4" spans="1:24" ht="14.25" hidden="1" customHeight="1">
      <c r="A4" s="273" t="s">
        <v>2703</v>
      </c>
      <c r="B4" s="274" t="s">
        <v>2707</v>
      </c>
      <c r="C4" s="275">
        <f>SUM(F4:K4)+SUM(N4:S4)</f>
        <v>9</v>
      </c>
      <c r="D4" s="276"/>
      <c r="E4" s="277" t="s">
        <v>2682</v>
      </c>
      <c r="F4" s="277">
        <f t="shared" ref="F4:F12" si="0">COUNTIF(Area_v1,$E4)</f>
        <v>0</v>
      </c>
      <c r="G4" s="277">
        <f t="shared" ref="G4:G12" si="1">COUNTIF(Area_v2,$E4)</f>
        <v>0</v>
      </c>
      <c r="H4" s="277">
        <f t="shared" ref="H4:H12" si="2">COUNTIF(Area_v3,$E4)</f>
        <v>0</v>
      </c>
      <c r="I4" s="277">
        <f t="shared" ref="I4:I12" si="3">COUNTIF(Area_v4,$E4)</f>
        <v>0</v>
      </c>
      <c r="J4" s="277">
        <f t="shared" ref="J4:J12" si="4">COUNTIF(Area_v5,$E4)</f>
        <v>1</v>
      </c>
      <c r="K4" s="277">
        <f t="shared" ref="K4:K12" si="5">COUNTIF(Area_v6,$E4)</f>
        <v>0</v>
      </c>
      <c r="L4" s="148"/>
      <c r="M4" s="277" t="s">
        <v>2674</v>
      </c>
      <c r="N4" s="277">
        <f t="shared" ref="N4:N10" si="6">COUNTIF(Area_v1,$M4)</f>
        <v>6</v>
      </c>
      <c r="O4" s="277">
        <f t="shared" ref="O4:O10" si="7">COUNTIF(Area_v2,$M4)</f>
        <v>2</v>
      </c>
      <c r="P4" s="277">
        <f t="shared" ref="P4:P10" si="8">COUNTIF(Area_v3,$M4)</f>
        <v>0</v>
      </c>
      <c r="Q4" s="277">
        <f t="shared" ref="Q4:Q10" si="9">COUNTIF(Area_v4,$M4)</f>
        <v>0</v>
      </c>
      <c r="R4" s="277">
        <f t="shared" ref="R4:R10" si="10">COUNTIF(Area_v5,$M4)</f>
        <v>0</v>
      </c>
      <c r="S4" s="277">
        <f t="shared" ref="S4:S10" si="11">COUNTIF(Area_v6,$M4)</f>
        <v>0</v>
      </c>
      <c r="T4" s="54"/>
      <c r="V4" s="55"/>
      <c r="W4" s="55"/>
      <c r="X4" s="55"/>
    </row>
    <row r="5" spans="1:24" s="66" customFormat="1" ht="14.25" hidden="1" customHeight="1">
      <c r="A5" s="273" t="s">
        <v>2704</v>
      </c>
      <c r="B5" s="274" t="s">
        <v>2738</v>
      </c>
      <c r="C5" s="275">
        <f>SUM(F5:K5)+SUM(N5:S5)</f>
        <v>0</v>
      </c>
      <c r="D5" s="276"/>
      <c r="E5" s="275" t="s">
        <v>2686</v>
      </c>
      <c r="F5" s="277">
        <f t="shared" si="0"/>
        <v>0</v>
      </c>
      <c r="G5" s="277">
        <f t="shared" si="1"/>
        <v>0</v>
      </c>
      <c r="H5" s="277">
        <f t="shared" si="2"/>
        <v>0</v>
      </c>
      <c r="I5" s="277">
        <f t="shared" si="3"/>
        <v>0</v>
      </c>
      <c r="J5" s="277">
        <f t="shared" si="4"/>
        <v>0</v>
      </c>
      <c r="K5" s="277">
        <f t="shared" si="5"/>
        <v>0</v>
      </c>
      <c r="L5" s="148"/>
      <c r="M5" s="275" t="s">
        <v>2692</v>
      </c>
      <c r="N5" s="277">
        <f t="shared" si="6"/>
        <v>0</v>
      </c>
      <c r="O5" s="277">
        <f t="shared" si="7"/>
        <v>0</v>
      </c>
      <c r="P5" s="277">
        <f t="shared" si="8"/>
        <v>0</v>
      </c>
      <c r="Q5" s="277">
        <f t="shared" si="9"/>
        <v>0</v>
      </c>
      <c r="R5" s="277">
        <f t="shared" si="10"/>
        <v>0</v>
      </c>
      <c r="S5" s="277">
        <f t="shared" si="11"/>
        <v>0</v>
      </c>
      <c r="T5" s="55"/>
    </row>
    <row r="6" spans="1:24" s="75" customFormat="1" ht="14.25" hidden="1" customHeight="1">
      <c r="A6" s="273" t="s">
        <v>2705</v>
      </c>
      <c r="B6" s="274" t="s">
        <v>2742</v>
      </c>
      <c r="C6" s="275">
        <f>SUM(F6:K6)+SUM(N6:S6)</f>
        <v>3</v>
      </c>
      <c r="D6" s="276"/>
      <c r="E6" s="277" t="s">
        <v>2683</v>
      </c>
      <c r="F6" s="277">
        <f t="shared" si="0"/>
        <v>0</v>
      </c>
      <c r="G6" s="277">
        <f t="shared" si="1"/>
        <v>0</v>
      </c>
      <c r="H6" s="277">
        <f t="shared" si="2"/>
        <v>0</v>
      </c>
      <c r="I6" s="277">
        <f t="shared" si="3"/>
        <v>0</v>
      </c>
      <c r="J6" s="277">
        <f t="shared" si="4"/>
        <v>0</v>
      </c>
      <c r="K6" s="277">
        <f t="shared" si="5"/>
        <v>0</v>
      </c>
      <c r="L6" s="148"/>
      <c r="M6" s="277" t="s">
        <v>2673</v>
      </c>
      <c r="N6" s="277">
        <f t="shared" si="6"/>
        <v>3</v>
      </c>
      <c r="O6" s="277">
        <f t="shared" si="7"/>
        <v>0</v>
      </c>
      <c r="P6" s="277">
        <f t="shared" si="8"/>
        <v>0</v>
      </c>
      <c r="Q6" s="277">
        <f t="shared" si="9"/>
        <v>0</v>
      </c>
      <c r="R6" s="277">
        <f t="shared" si="10"/>
        <v>0</v>
      </c>
      <c r="S6" s="277">
        <f t="shared" si="11"/>
        <v>0</v>
      </c>
      <c r="T6" s="55"/>
    </row>
    <row r="7" spans="1:24" ht="14.25" hidden="1" customHeight="1">
      <c r="A7" s="273" t="s">
        <v>2706</v>
      </c>
      <c r="B7" s="274" t="s">
        <v>2708</v>
      </c>
      <c r="C7" s="275">
        <f>SUM(F8:K10)+SUM(N8:S10)</f>
        <v>1</v>
      </c>
      <c r="D7" s="276"/>
      <c r="E7" s="277"/>
      <c r="F7" s="277"/>
      <c r="G7" s="277"/>
      <c r="H7" s="277"/>
      <c r="I7" s="277"/>
      <c r="J7" s="277"/>
      <c r="K7" s="277"/>
      <c r="L7" s="148"/>
      <c r="M7" s="277"/>
      <c r="N7" s="277"/>
      <c r="O7" s="277"/>
      <c r="P7" s="277"/>
      <c r="Q7" s="277"/>
      <c r="R7" s="277"/>
      <c r="S7" s="277"/>
      <c r="V7" s="55"/>
      <c r="W7" s="55"/>
      <c r="X7" s="55"/>
    </row>
    <row r="8" spans="1:24" ht="14.25" hidden="1" customHeight="1">
      <c r="B8" s="271"/>
      <c r="C8" s="76"/>
      <c r="D8" s="76"/>
      <c r="E8" s="277" t="s">
        <v>2687</v>
      </c>
      <c r="F8" s="277">
        <f t="shared" si="0"/>
        <v>0</v>
      </c>
      <c r="G8" s="277">
        <f t="shared" si="1"/>
        <v>0</v>
      </c>
      <c r="H8" s="277">
        <f t="shared" si="2"/>
        <v>0</v>
      </c>
      <c r="I8" s="277">
        <f t="shared" si="3"/>
        <v>0</v>
      </c>
      <c r="J8" s="277">
        <f t="shared" si="4"/>
        <v>0</v>
      </c>
      <c r="K8" s="277">
        <f t="shared" si="5"/>
        <v>0</v>
      </c>
      <c r="L8" s="148"/>
      <c r="M8" s="277" t="s">
        <v>2678</v>
      </c>
      <c r="N8" s="277">
        <f t="shared" si="6"/>
        <v>1</v>
      </c>
      <c r="O8" s="277">
        <f t="shared" si="7"/>
        <v>0</v>
      </c>
      <c r="P8" s="277">
        <f t="shared" si="8"/>
        <v>0</v>
      </c>
      <c r="Q8" s="277">
        <f t="shared" si="9"/>
        <v>0</v>
      </c>
      <c r="R8" s="277">
        <f t="shared" si="10"/>
        <v>0</v>
      </c>
      <c r="S8" s="277">
        <f t="shared" si="11"/>
        <v>0</v>
      </c>
      <c r="V8" s="55"/>
      <c r="W8" s="55"/>
      <c r="X8" s="55"/>
    </row>
    <row r="9" spans="1:24" ht="14.25" hidden="1" customHeight="1">
      <c r="B9" s="271"/>
      <c r="C9" s="76">
        <f>SUM(F9:K9)+SUM(N9:S9)</f>
        <v>0</v>
      </c>
      <c r="D9" s="76"/>
      <c r="E9" s="277" t="s">
        <v>2688</v>
      </c>
      <c r="F9" s="277">
        <f t="shared" si="0"/>
        <v>0</v>
      </c>
      <c r="G9" s="277">
        <f t="shared" si="1"/>
        <v>0</v>
      </c>
      <c r="H9" s="277">
        <f t="shared" si="2"/>
        <v>0</v>
      </c>
      <c r="I9" s="277">
        <f t="shared" si="3"/>
        <v>0</v>
      </c>
      <c r="J9" s="277">
        <f t="shared" si="4"/>
        <v>0</v>
      </c>
      <c r="K9" s="277">
        <f t="shared" si="5"/>
        <v>0</v>
      </c>
      <c r="L9" s="148"/>
      <c r="M9" s="277" t="s">
        <v>2690</v>
      </c>
      <c r="N9" s="277">
        <f t="shared" si="6"/>
        <v>0</v>
      </c>
      <c r="O9" s="277">
        <f t="shared" si="7"/>
        <v>0</v>
      </c>
      <c r="P9" s="277">
        <f t="shared" si="8"/>
        <v>0</v>
      </c>
      <c r="Q9" s="277">
        <f t="shared" si="9"/>
        <v>0</v>
      </c>
      <c r="R9" s="277">
        <f t="shared" si="10"/>
        <v>0</v>
      </c>
      <c r="S9" s="277">
        <f t="shared" si="11"/>
        <v>0</v>
      </c>
      <c r="V9" s="55"/>
      <c r="W9" s="55"/>
      <c r="X9" s="55"/>
    </row>
    <row r="10" spans="1:24" ht="14.25" hidden="1" customHeight="1">
      <c r="B10" s="271"/>
      <c r="C10" s="76"/>
      <c r="D10" s="76"/>
      <c r="E10" s="277" t="s">
        <v>2689</v>
      </c>
      <c r="F10" s="277">
        <f t="shared" si="0"/>
        <v>0</v>
      </c>
      <c r="G10" s="277">
        <f t="shared" si="1"/>
        <v>0</v>
      </c>
      <c r="H10" s="277">
        <f t="shared" si="2"/>
        <v>0</v>
      </c>
      <c r="I10" s="277">
        <f t="shared" si="3"/>
        <v>0</v>
      </c>
      <c r="J10" s="277">
        <f t="shared" si="4"/>
        <v>0</v>
      </c>
      <c r="K10" s="277">
        <f t="shared" si="5"/>
        <v>0</v>
      </c>
      <c r="L10" s="148"/>
      <c r="M10" s="277" t="s">
        <v>2677</v>
      </c>
      <c r="N10" s="277">
        <f t="shared" si="6"/>
        <v>0</v>
      </c>
      <c r="O10" s="277">
        <f t="shared" si="7"/>
        <v>0</v>
      </c>
      <c r="P10" s="277">
        <f t="shared" si="8"/>
        <v>0</v>
      </c>
      <c r="Q10" s="277">
        <f t="shared" si="9"/>
        <v>0</v>
      </c>
      <c r="R10" s="277">
        <f t="shared" si="10"/>
        <v>0</v>
      </c>
      <c r="S10" s="277">
        <f t="shared" si="11"/>
        <v>0</v>
      </c>
      <c r="V10" s="55"/>
      <c r="W10" s="55"/>
      <c r="X10" s="55"/>
    </row>
    <row r="11" spans="1:24" ht="14.25" hidden="1" customHeight="1">
      <c r="B11" s="271"/>
      <c r="C11" s="76"/>
      <c r="D11" s="76"/>
      <c r="F11" s="54"/>
      <c r="G11" s="54"/>
      <c r="H11" s="54"/>
      <c r="L11" s="148"/>
      <c r="V11" s="55"/>
      <c r="W11" s="55"/>
      <c r="X11" s="55"/>
    </row>
    <row r="12" spans="1:24" ht="14.25" hidden="1" customHeight="1">
      <c r="A12" s="283"/>
      <c r="B12" s="281" t="s">
        <v>2711</v>
      </c>
      <c r="C12" s="284">
        <f>SUM(F12:K12)+SUM(N12:S12)</f>
        <v>0</v>
      </c>
      <c r="D12" s="76"/>
      <c r="E12" s="278" t="s">
        <v>2691</v>
      </c>
      <c r="F12" s="277">
        <f t="shared" si="0"/>
        <v>0</v>
      </c>
      <c r="G12" s="277">
        <f t="shared" si="1"/>
        <v>0</v>
      </c>
      <c r="H12" s="277">
        <f t="shared" si="2"/>
        <v>0</v>
      </c>
      <c r="I12" s="277">
        <f t="shared" si="3"/>
        <v>0</v>
      </c>
      <c r="J12" s="277">
        <f t="shared" si="4"/>
        <v>0</v>
      </c>
      <c r="K12" s="277">
        <f t="shared" si="5"/>
        <v>0</v>
      </c>
      <c r="L12" s="148"/>
      <c r="T12" s="54"/>
      <c r="V12" s="55"/>
      <c r="W12" s="55"/>
      <c r="X12" s="55"/>
    </row>
    <row r="13" spans="1:24" ht="14.25" hidden="1" customHeight="1">
      <c r="A13" s="268"/>
      <c r="B13" s="285"/>
      <c r="C13" s="286"/>
      <c r="D13" s="56"/>
      <c r="F13" s="54"/>
      <c r="G13" s="54"/>
      <c r="H13" s="54"/>
      <c r="L13" s="148"/>
      <c r="T13" s="54"/>
      <c r="V13" s="55"/>
      <c r="W13" s="55"/>
      <c r="X13" s="55"/>
    </row>
    <row r="14" spans="1:24" ht="14.25" hidden="1" customHeight="1">
      <c r="A14" s="283" t="s">
        <v>2712</v>
      </c>
      <c r="B14" s="280" t="s">
        <v>2713</v>
      </c>
      <c r="C14" s="284">
        <f>SUM(F15:K16)+SUM(N15:S16)</f>
        <v>2</v>
      </c>
      <c r="D14" s="56"/>
      <c r="F14" s="54"/>
      <c r="G14" s="54"/>
      <c r="H14" s="54"/>
      <c r="L14" s="148"/>
      <c r="T14" s="54"/>
      <c r="V14" s="55"/>
      <c r="W14" s="55"/>
      <c r="X14" s="55"/>
    </row>
    <row r="15" spans="1:24" ht="14.25" hidden="1" customHeight="1">
      <c r="B15" s="271"/>
      <c r="C15" s="76"/>
      <c r="D15" s="76"/>
      <c r="E15" s="279" t="s">
        <v>2670</v>
      </c>
      <c r="F15" s="277">
        <f>COUNTIF(Area_v1,$E15)</f>
        <v>2</v>
      </c>
      <c r="G15" s="277">
        <f>COUNTIF(Area_v2,$E15)</f>
        <v>0</v>
      </c>
      <c r="H15" s="277">
        <f>COUNTIF(Area_v3,$E15)</f>
        <v>0</v>
      </c>
      <c r="I15" s="277">
        <f>COUNTIF(Area_v4,$E15)</f>
        <v>0</v>
      </c>
      <c r="J15" s="277">
        <f>COUNTIF(Area_v5,$E15)</f>
        <v>0</v>
      </c>
      <c r="K15" s="277">
        <f>COUNTIF(Area_v6,$E15)</f>
        <v>0</v>
      </c>
      <c r="L15" s="148"/>
      <c r="T15" s="54"/>
      <c r="V15" s="55"/>
      <c r="W15" s="55"/>
      <c r="X15" s="55"/>
    </row>
    <row r="16" spans="1:24" ht="14.25" hidden="1" customHeight="1">
      <c r="B16" s="271"/>
      <c r="C16" s="76"/>
      <c r="D16" s="76"/>
      <c r="E16" s="279" t="s">
        <v>2669</v>
      </c>
      <c r="F16" s="277">
        <f>COUNTIF(Area_v1,$E16)</f>
        <v>0</v>
      </c>
      <c r="G16" s="277">
        <f>COUNTIF(Area_v2,$E16)</f>
        <v>0</v>
      </c>
      <c r="H16" s="277">
        <f>COUNTIF(Area_v3,$E16)</f>
        <v>0</v>
      </c>
      <c r="I16" s="277">
        <f>COUNTIF(Area_v4,$E16)</f>
        <v>0</v>
      </c>
      <c r="J16" s="277">
        <f>COUNTIF(Area_v5,$E16)</f>
        <v>0</v>
      </c>
      <c r="K16" s="277">
        <f>COUNTIF(Area_v6,$E16)</f>
        <v>0</v>
      </c>
      <c r="L16" s="148"/>
      <c r="T16" s="54"/>
      <c r="V16" s="55"/>
      <c r="W16" s="55"/>
      <c r="X16" s="55"/>
    </row>
    <row r="17" spans="1:24" ht="14.25" hidden="1" customHeight="1">
      <c r="B17" s="271"/>
      <c r="C17" s="56"/>
      <c r="D17" s="56"/>
      <c r="F17" s="54"/>
      <c r="G17" s="54"/>
      <c r="H17" s="54"/>
      <c r="T17" s="54"/>
      <c r="V17" s="55"/>
      <c r="W17" s="55"/>
      <c r="X17" s="55"/>
    </row>
    <row r="18" spans="1:24" ht="14.25" hidden="1" customHeight="1">
      <c r="B18" s="271"/>
      <c r="C18" s="56"/>
      <c r="D18" s="56"/>
      <c r="F18" s="54"/>
      <c r="G18" s="54"/>
      <c r="H18" s="54"/>
      <c r="T18" s="54"/>
      <c r="V18" s="55"/>
      <c r="W18" s="55"/>
      <c r="X18" s="55"/>
    </row>
    <row r="19" spans="1:24" ht="14.25" hidden="1" customHeight="1">
      <c r="A19" s="273" t="s">
        <v>2684</v>
      </c>
      <c r="B19" s="274" t="s">
        <v>2709</v>
      </c>
      <c r="C19" s="275">
        <f>SUM(E19:R19)</f>
        <v>10</v>
      </c>
      <c r="D19" s="76"/>
      <c r="E19" s="277" t="s">
        <v>2684</v>
      </c>
      <c r="F19" s="277">
        <f>COUNTIF(Area_v1,$E19)</f>
        <v>5</v>
      </c>
      <c r="G19" s="277">
        <f>COUNTIF(Area_v2,$E19)</f>
        <v>5</v>
      </c>
      <c r="H19" s="277"/>
      <c r="I19" s="277"/>
      <c r="J19" s="277"/>
      <c r="K19" s="277"/>
      <c r="L19" s="148"/>
      <c r="T19" s="54"/>
      <c r="V19" s="55"/>
      <c r="W19" s="55"/>
      <c r="X19" s="55"/>
    </row>
    <row r="20" spans="1:24" ht="14.25" hidden="1" customHeight="1">
      <c r="A20" s="273" t="s">
        <v>2685</v>
      </c>
      <c r="B20" s="274" t="s">
        <v>2739</v>
      </c>
      <c r="C20" s="275">
        <f>SUM(E20:R20)</f>
        <v>22</v>
      </c>
      <c r="D20" s="76"/>
      <c r="E20" s="277" t="s">
        <v>2685</v>
      </c>
      <c r="F20" s="277">
        <f>COUNTIF(Area_v1,$E20)</f>
        <v>11</v>
      </c>
      <c r="G20" s="277">
        <f>COUNTIF(Area_v2,$E20)</f>
        <v>11</v>
      </c>
      <c r="H20" s="277"/>
      <c r="I20" s="277"/>
      <c r="J20" s="277"/>
      <c r="K20" s="277"/>
      <c r="L20" s="148"/>
      <c r="T20" s="54"/>
      <c r="V20" s="55"/>
      <c r="W20" s="55"/>
      <c r="X20" s="55"/>
    </row>
    <row r="21" spans="1:24" ht="14.25" hidden="1" customHeight="1">
      <c r="A21" s="273" t="s">
        <v>2693</v>
      </c>
      <c r="B21" s="274" t="s">
        <v>2740</v>
      </c>
      <c r="C21" s="275">
        <f>SUM(E21:R21)</f>
        <v>0</v>
      </c>
      <c r="D21" s="76"/>
      <c r="E21" s="277" t="s">
        <v>2693</v>
      </c>
      <c r="F21" s="277">
        <f>COUNTIF(Area_v1,$E21)</f>
        <v>0</v>
      </c>
      <c r="G21" s="277">
        <f>COUNTIF(Area_v2,$E21)</f>
        <v>0</v>
      </c>
      <c r="H21" s="277"/>
      <c r="I21" s="277"/>
      <c r="J21" s="277"/>
      <c r="K21" s="277"/>
      <c r="L21" s="148"/>
      <c r="T21" s="54"/>
      <c r="V21" s="55"/>
      <c r="W21" s="55"/>
      <c r="X21" s="55"/>
    </row>
    <row r="22" spans="1:24" ht="14.25" hidden="1" customHeight="1">
      <c r="A22" s="273" t="s">
        <v>2694</v>
      </c>
      <c r="B22" s="274" t="s">
        <v>2741</v>
      </c>
      <c r="C22" s="275">
        <f>SUM(E22:R22)</f>
        <v>0</v>
      </c>
      <c r="D22" s="76"/>
      <c r="E22" s="277" t="s">
        <v>2694</v>
      </c>
      <c r="F22" s="277">
        <f>COUNTIF(Area_v1,$E22)</f>
        <v>0</v>
      </c>
      <c r="G22" s="277">
        <f>COUNTIF(Area_v2,$E22)</f>
        <v>0</v>
      </c>
      <c r="H22" s="277"/>
      <c r="I22" s="277"/>
      <c r="J22" s="277"/>
      <c r="K22" s="277"/>
      <c r="L22" s="148"/>
      <c r="T22" s="54"/>
      <c r="V22" s="55"/>
      <c r="W22" s="55"/>
      <c r="X22" s="55"/>
    </row>
    <row r="23" spans="1:24" ht="14.25" customHeight="1">
      <c r="B23" s="271"/>
      <c r="C23" s="56"/>
      <c r="D23" s="56"/>
      <c r="F23" s="54"/>
      <c r="G23" s="54"/>
      <c r="H23" s="54"/>
      <c r="T23" s="54"/>
      <c r="V23" s="55"/>
      <c r="W23" s="55"/>
      <c r="X23" s="55"/>
    </row>
    <row r="24" spans="1:24" ht="14.25" customHeight="1">
      <c r="A24" s="273" t="s">
        <v>2701</v>
      </c>
      <c r="B24" s="274" t="s">
        <v>2714</v>
      </c>
      <c r="C24" s="275">
        <f>SUM(F24:K24)</f>
        <v>16</v>
      </c>
      <c r="D24" s="65"/>
      <c r="E24" s="277" t="s">
        <v>2668</v>
      </c>
      <c r="F24" s="277">
        <f>COUNTIF(Area_v1,"AnRW2")</f>
        <v>4</v>
      </c>
      <c r="G24" s="277">
        <f>COUNTIF(Area_v2,"AnRW2")</f>
        <v>6</v>
      </c>
      <c r="H24" s="277">
        <f>COUNTIF(Area_v3,"AnRW2")</f>
        <v>3</v>
      </c>
      <c r="I24" s="277">
        <f>COUNTIF(Area_v4,"AnRW2")</f>
        <v>0</v>
      </c>
      <c r="J24" s="277">
        <f>COUNTIF(Area_v5,"AnRW2")</f>
        <v>1</v>
      </c>
      <c r="K24" s="277">
        <f>COUNTIF(Area_v6,"AnRW2")</f>
        <v>2</v>
      </c>
      <c r="L24" s="148"/>
      <c r="T24" s="54"/>
      <c r="V24" s="55"/>
      <c r="W24" s="55"/>
      <c r="X24" s="55"/>
    </row>
    <row r="25" spans="1:24" ht="14.25" customHeight="1">
      <c r="B25" s="271"/>
      <c r="C25" s="56"/>
      <c r="D25" s="56"/>
      <c r="F25" s="54"/>
      <c r="G25" s="54"/>
      <c r="H25" s="54"/>
      <c r="T25" s="54"/>
      <c r="V25" s="55"/>
      <c r="W25" s="55"/>
      <c r="X25" s="55"/>
    </row>
    <row r="26" spans="1:24" ht="14.25" customHeight="1">
      <c r="A26" s="273" t="s">
        <v>3130</v>
      </c>
      <c r="B26" s="274" t="s">
        <v>2710</v>
      </c>
      <c r="C26" s="275">
        <f>SUM(F26:G26)</f>
        <v>6</v>
      </c>
      <c r="D26" s="55"/>
      <c r="E26" s="277" t="s">
        <v>2715</v>
      </c>
      <c r="F26" s="282">
        <v>3</v>
      </c>
      <c r="G26" s="282">
        <v>3</v>
      </c>
      <c r="H26" s="54"/>
      <c r="T26" s="54"/>
      <c r="V26" s="55"/>
      <c r="W26" s="55"/>
      <c r="X26" s="55"/>
    </row>
    <row r="27" spans="1:24" ht="14.25" customHeight="1">
      <c r="B27" s="272"/>
      <c r="C27" s="55"/>
      <c r="D27" s="55"/>
      <c r="E27" s="76"/>
      <c r="F27" s="76"/>
      <c r="G27" s="76"/>
      <c r="T27" s="54"/>
      <c r="V27" s="55"/>
      <c r="W27" s="55"/>
      <c r="X27" s="55"/>
    </row>
    <row r="28" spans="1:24" ht="19.149999999999999" customHeight="1">
      <c r="A28" s="273" t="s">
        <v>2926</v>
      </c>
      <c r="B28" s="274" t="s">
        <v>2923</v>
      </c>
      <c r="C28" s="275">
        <v>6</v>
      </c>
      <c r="D28" s="56"/>
      <c r="E28" s="76"/>
      <c r="F28" s="54"/>
      <c r="G28" s="54"/>
      <c r="H28" s="54"/>
      <c r="T28" s="54"/>
      <c r="V28" s="55"/>
      <c r="W28" s="55"/>
      <c r="X28" s="55"/>
    </row>
    <row r="29" spans="1:24" ht="18" customHeight="1">
      <c r="A29" s="273" t="s">
        <v>2927</v>
      </c>
      <c r="B29" s="274" t="s">
        <v>2924</v>
      </c>
      <c r="C29" s="275">
        <v>8</v>
      </c>
      <c r="F29" s="54"/>
      <c r="G29" s="54"/>
      <c r="H29" s="54"/>
      <c r="T29" s="54"/>
      <c r="V29" s="55"/>
      <c r="W29" s="55"/>
      <c r="X29" s="55"/>
    </row>
    <row r="30" spans="1:24" ht="20.45" customHeight="1">
      <c r="A30" s="273" t="s">
        <v>2928</v>
      </c>
      <c r="B30" s="274" t="s">
        <v>2925</v>
      </c>
      <c r="C30" s="275">
        <v>11</v>
      </c>
      <c r="D30" s="56"/>
      <c r="F30" s="54"/>
      <c r="G30" s="54"/>
      <c r="H30" s="54"/>
      <c r="T30" s="54"/>
      <c r="V30" s="55"/>
      <c r="W30" s="55"/>
      <c r="X30" s="55"/>
    </row>
    <row r="31" spans="1:24" ht="14.25" customHeight="1">
      <c r="B31" s="271"/>
      <c r="C31" s="56"/>
      <c r="D31" s="56"/>
      <c r="F31" s="54"/>
      <c r="G31" s="54"/>
      <c r="H31" s="54"/>
      <c r="T31" s="54"/>
      <c r="V31" s="55"/>
      <c r="W31" s="55"/>
      <c r="X31" s="55"/>
    </row>
    <row r="32" spans="1:24" ht="14.25" customHeight="1">
      <c r="A32" s="273" t="s">
        <v>2957</v>
      </c>
      <c r="B32" s="274" t="s">
        <v>2979</v>
      </c>
      <c r="C32" s="275">
        <f>SUM(F32:K32)</f>
        <v>8</v>
      </c>
      <c r="D32" s="56"/>
      <c r="E32" s="277" t="s">
        <v>2957</v>
      </c>
      <c r="F32" s="277">
        <f>COUNTIF(Area_v1,E32)</f>
        <v>4</v>
      </c>
      <c r="G32" s="277">
        <f>COUNTIF(Area_v2,E32)</f>
        <v>4</v>
      </c>
      <c r="H32" s="277">
        <f>COUNTIF(Area_v3,E32)</f>
        <v>0</v>
      </c>
      <c r="I32" s="277">
        <f>COUNTIF(Area_v4,E32)</f>
        <v>0</v>
      </c>
      <c r="J32" s="277">
        <f>COUNTIF(Area_v5,E32)</f>
        <v>0</v>
      </c>
      <c r="K32" s="277">
        <f>COUNTIF(Area_v6,E32)</f>
        <v>0</v>
      </c>
      <c r="T32" s="54"/>
      <c r="V32" s="55"/>
      <c r="W32" s="55"/>
      <c r="X32" s="55"/>
    </row>
    <row r="33" spans="1:24" ht="14.25" customHeight="1">
      <c r="B33" s="271"/>
      <c r="C33" s="56"/>
      <c r="D33" s="56"/>
      <c r="F33" s="54"/>
      <c r="G33" s="54"/>
      <c r="H33" s="54"/>
      <c r="T33" s="54"/>
      <c r="V33" s="55"/>
      <c r="W33" s="55"/>
      <c r="X33" s="55"/>
    </row>
    <row r="34" spans="1:24" ht="14.25" customHeight="1">
      <c r="A34" s="273" t="s">
        <v>2029</v>
      </c>
      <c r="B34" s="274" t="s">
        <v>2982</v>
      </c>
      <c r="C34" s="275">
        <f>SUM(F34:K34)</f>
        <v>13</v>
      </c>
      <c r="D34" s="56"/>
      <c r="E34" s="277" t="s">
        <v>2977</v>
      </c>
      <c r="F34" s="277">
        <f>COUNTIF(Area_v1,E34)</f>
        <v>6</v>
      </c>
      <c r="G34" s="277">
        <f>COUNTIF(Area_v2,E34)</f>
        <v>7</v>
      </c>
      <c r="H34" s="277">
        <f>COUNTIF(Area_v3,E34)</f>
        <v>0</v>
      </c>
      <c r="I34" s="277">
        <f>COUNTIF(Area_v4,E34)</f>
        <v>0</v>
      </c>
      <c r="J34" s="277">
        <f>COUNTIF(Area_v5,E34)</f>
        <v>0</v>
      </c>
      <c r="K34" s="277">
        <f>COUNTIF(Area_v6,E34)</f>
        <v>0</v>
      </c>
      <c r="T34" s="54"/>
      <c r="V34" s="55"/>
      <c r="W34" s="55"/>
      <c r="X34" s="55"/>
    </row>
    <row r="35" spans="1:24" ht="14.25" customHeight="1">
      <c r="A35" s="273" t="s">
        <v>2983</v>
      </c>
      <c r="B35" s="274" t="s">
        <v>2982</v>
      </c>
      <c r="C35" s="275">
        <f>SUM(F35:K35)</f>
        <v>12</v>
      </c>
      <c r="D35" s="56"/>
      <c r="E35" s="277" t="s">
        <v>2983</v>
      </c>
      <c r="F35" s="277">
        <f>COUNTIF(Area_v1,E35)</f>
        <v>5</v>
      </c>
      <c r="G35" s="277">
        <f>COUNTIF(Area_v2,E35)</f>
        <v>7</v>
      </c>
      <c r="H35" s="277">
        <f>COUNTIF(Area_v3,E35)</f>
        <v>0</v>
      </c>
      <c r="I35" s="277">
        <f>COUNTIF(Area_v4,E35)</f>
        <v>0</v>
      </c>
      <c r="J35" s="277">
        <f>COUNTIF(Area_v5,E35)</f>
        <v>0</v>
      </c>
      <c r="K35" s="277">
        <f>COUNTIF(Area_v6,E35)</f>
        <v>0</v>
      </c>
      <c r="T35" s="54"/>
      <c r="V35" s="55"/>
      <c r="W35" s="55"/>
      <c r="X35" s="55"/>
    </row>
    <row r="36" spans="1:24" ht="14.25" customHeight="1">
      <c r="B36" s="271"/>
      <c r="C36" s="56"/>
      <c r="D36" s="56"/>
      <c r="F36" s="54"/>
      <c r="G36" s="54"/>
      <c r="H36" s="54"/>
      <c r="T36" s="54"/>
      <c r="V36" s="55"/>
      <c r="W36" s="55"/>
      <c r="X36" s="55"/>
    </row>
    <row r="37" spans="1:24" ht="14.25" customHeight="1">
      <c r="A37" s="273" t="s">
        <v>3009</v>
      </c>
      <c r="B37" s="274" t="s">
        <v>2845</v>
      </c>
      <c r="C37" s="275">
        <f>SUM(F37:K37)</f>
        <v>0</v>
      </c>
      <c r="D37" s="56"/>
      <c r="E37" s="277" t="s">
        <v>3009</v>
      </c>
      <c r="F37" s="277">
        <f>COUNTIF(Area_v1,E37)</f>
        <v>0</v>
      </c>
      <c r="G37" s="277">
        <f>COUNTIF(Area_v2,E37)</f>
        <v>0</v>
      </c>
      <c r="H37" s="277">
        <f>COUNTIF(Area_v3,E37)</f>
        <v>0</v>
      </c>
      <c r="I37" s="277">
        <f>COUNTIF(Area_v4,E37)</f>
        <v>0</v>
      </c>
      <c r="J37" s="277">
        <f>COUNTIF(Area_v5,E37)</f>
        <v>0</v>
      </c>
      <c r="K37" s="277">
        <f>COUNTIF(Area_v6,E37)</f>
        <v>0</v>
      </c>
      <c r="T37" s="54"/>
      <c r="V37" s="55"/>
      <c r="W37" s="55"/>
      <c r="X37" s="55"/>
    </row>
    <row r="38" spans="1:24" ht="14.25" customHeight="1">
      <c r="B38" s="271"/>
      <c r="C38" s="56"/>
      <c r="D38" s="56"/>
      <c r="F38" s="54"/>
      <c r="G38" s="54"/>
      <c r="H38" s="54"/>
      <c r="T38" s="54"/>
      <c r="V38" s="55"/>
      <c r="W38" s="55"/>
      <c r="X38" s="55"/>
    </row>
    <row r="39" spans="1:24" ht="14.25" customHeight="1">
      <c r="B39" s="271"/>
      <c r="C39" s="56"/>
      <c r="D39" s="56"/>
      <c r="F39" s="54"/>
      <c r="G39" s="54"/>
      <c r="H39" s="54"/>
      <c r="T39" s="54"/>
      <c r="V39" s="55"/>
      <c r="W39" s="55"/>
      <c r="X39" s="55"/>
    </row>
    <row r="40" spans="1:24" ht="14.25" customHeight="1">
      <c r="B40" s="271"/>
      <c r="C40" s="56"/>
      <c r="D40" s="56"/>
      <c r="F40" s="54"/>
      <c r="G40" s="54"/>
      <c r="H40" s="54"/>
      <c r="T40" s="54"/>
      <c r="V40" s="55"/>
      <c r="W40" s="55"/>
      <c r="X40" s="55"/>
    </row>
    <row r="41" spans="1:24" ht="14.25" customHeight="1">
      <c r="B41" s="271"/>
      <c r="C41" s="56"/>
      <c r="D41" s="56"/>
      <c r="F41" s="54"/>
      <c r="G41" s="54"/>
      <c r="H41" s="54"/>
      <c r="T41" s="54"/>
      <c r="V41" s="55"/>
      <c r="W41" s="55"/>
      <c r="X41" s="55"/>
    </row>
    <row r="42" spans="1:24" ht="14.25" customHeight="1">
      <c r="B42" s="271"/>
      <c r="C42" s="56"/>
      <c r="D42" s="56"/>
      <c r="F42" s="54"/>
      <c r="G42" s="54"/>
      <c r="H42" s="54"/>
      <c r="T42" s="54"/>
      <c r="V42" s="55"/>
      <c r="W42" s="55"/>
      <c r="X42" s="55"/>
    </row>
    <row r="43" spans="1:24" ht="14.25" customHeight="1">
      <c r="B43" s="271"/>
      <c r="C43" s="56"/>
      <c r="D43" s="56"/>
      <c r="F43" s="54"/>
      <c r="G43" s="54"/>
      <c r="H43" s="54"/>
      <c r="T43" s="54"/>
      <c r="V43" s="55"/>
      <c r="W43" s="55"/>
      <c r="X43" s="55"/>
    </row>
    <row r="44" spans="1:24" ht="14.25" customHeight="1">
      <c r="B44" s="271"/>
      <c r="C44" s="56"/>
      <c r="D44" s="56"/>
      <c r="F44" s="54"/>
      <c r="G44" s="54"/>
      <c r="H44" s="54"/>
      <c r="T44" s="54"/>
      <c r="V44" s="55"/>
      <c r="W44" s="55"/>
      <c r="X44" s="55"/>
    </row>
    <row r="45" spans="1:24">
      <c r="B45" s="271"/>
      <c r="C45" s="56"/>
      <c r="D45" s="56"/>
      <c r="F45" s="54"/>
      <c r="G45" s="54"/>
      <c r="H45" s="54"/>
      <c r="T45" s="54"/>
      <c r="V45" s="55"/>
      <c r="W45" s="55"/>
      <c r="X45" s="55"/>
    </row>
    <row r="46" spans="1:24">
      <c r="B46" s="271"/>
      <c r="C46" s="56"/>
      <c r="D46" s="56"/>
      <c r="F46" s="54"/>
      <c r="G46" s="54"/>
      <c r="H46" s="54"/>
      <c r="T46" s="54"/>
      <c r="V46" s="55"/>
      <c r="W46" s="55"/>
      <c r="X46" s="55"/>
    </row>
    <row r="47" spans="1:24">
      <c r="B47" s="271"/>
      <c r="C47" s="56"/>
      <c r="D47" s="56"/>
      <c r="F47" s="54"/>
      <c r="G47" s="54"/>
      <c r="H47" s="54"/>
      <c r="T47" s="54"/>
      <c r="V47" s="55"/>
      <c r="W47" s="55"/>
      <c r="X47" s="55"/>
    </row>
    <row r="48" spans="1:24">
      <c r="B48" s="271"/>
      <c r="C48" s="56"/>
      <c r="D48" s="56"/>
      <c r="F48" s="54"/>
      <c r="G48" s="54"/>
      <c r="H48" s="54"/>
      <c r="T48" s="54"/>
      <c r="V48" s="55"/>
      <c r="W48" s="55"/>
      <c r="X48" s="55"/>
    </row>
    <row r="49" spans="2:24" ht="18.75" customHeight="1">
      <c r="B49" s="271"/>
      <c r="C49" s="56"/>
      <c r="D49" s="56"/>
      <c r="F49" s="54"/>
      <c r="G49" s="54"/>
      <c r="H49" s="54"/>
      <c r="T49" s="54"/>
      <c r="V49" s="55"/>
      <c r="W49" s="55"/>
      <c r="X49" s="55"/>
    </row>
    <row r="50" spans="2:24" ht="18.75" customHeight="1">
      <c r="B50" s="271"/>
      <c r="C50" s="56"/>
      <c r="D50" s="56"/>
      <c r="F50" s="54"/>
      <c r="G50" s="54"/>
      <c r="H50" s="54"/>
      <c r="T50" s="54"/>
      <c r="V50" s="55"/>
      <c r="W50" s="55"/>
      <c r="X50" s="55"/>
    </row>
    <row r="51" spans="2:24" ht="18.75" customHeight="1">
      <c r="B51" s="271"/>
      <c r="C51" s="56"/>
      <c r="D51" s="56"/>
      <c r="F51" s="54"/>
      <c r="G51" s="54"/>
      <c r="H51" s="54"/>
      <c r="T51" s="54"/>
      <c r="V51" s="55"/>
      <c r="W51" s="55"/>
      <c r="X51" s="55"/>
    </row>
    <row r="52" spans="2:24" ht="18.75" customHeight="1">
      <c r="B52" s="271"/>
      <c r="C52" s="56"/>
      <c r="D52" s="56"/>
      <c r="F52" s="54"/>
      <c r="G52" s="54"/>
      <c r="H52" s="54"/>
      <c r="T52" s="54"/>
      <c r="V52" s="55"/>
      <c r="W52" s="55"/>
      <c r="X52" s="55"/>
    </row>
    <row r="53" spans="2:24" ht="30" customHeight="1">
      <c r="B53" s="271"/>
      <c r="C53" s="56"/>
      <c r="D53" s="56"/>
      <c r="F53" s="54"/>
      <c r="G53" s="54"/>
      <c r="H53" s="54"/>
      <c r="T53" s="54"/>
      <c r="V53" s="55"/>
      <c r="W53" s="55"/>
      <c r="X53" s="55"/>
    </row>
    <row r="54" spans="2:24" ht="29.45" customHeight="1">
      <c r="B54" s="271"/>
      <c r="C54" s="56"/>
      <c r="D54" s="56"/>
      <c r="F54" s="54"/>
      <c r="G54" s="54"/>
      <c r="H54" s="54"/>
      <c r="T54" s="54"/>
      <c r="V54" s="55"/>
      <c r="W54" s="55"/>
      <c r="X54" s="55"/>
    </row>
    <row r="55" spans="2:24" ht="29.45" customHeight="1">
      <c r="B55" s="271"/>
      <c r="C55" s="56"/>
      <c r="D55" s="56"/>
      <c r="F55" s="54"/>
      <c r="G55" s="54"/>
      <c r="H55" s="54"/>
      <c r="T55" s="54"/>
      <c r="V55" s="55"/>
      <c r="W55" s="55"/>
      <c r="X55" s="55"/>
    </row>
    <row r="56" spans="2:24" ht="32.450000000000003" customHeight="1">
      <c r="B56" s="271"/>
      <c r="C56" s="56"/>
      <c r="D56" s="56"/>
      <c r="F56" s="54"/>
      <c r="G56" s="54"/>
      <c r="H56" s="54"/>
      <c r="T56" s="54"/>
      <c r="V56" s="55"/>
      <c r="W56" s="55"/>
      <c r="X56" s="55"/>
    </row>
    <row r="57" spans="2:24" ht="18.75" customHeight="1">
      <c r="B57" s="271"/>
      <c r="C57" s="56"/>
      <c r="D57" s="56"/>
      <c r="F57" s="54"/>
      <c r="G57" s="54"/>
      <c r="H57" s="54"/>
      <c r="T57" s="54"/>
      <c r="V57" s="55"/>
      <c r="W57" s="55"/>
      <c r="X57" s="55"/>
    </row>
    <row r="58" spans="2:24" ht="30" customHeight="1">
      <c r="B58" s="271"/>
      <c r="C58" s="56"/>
      <c r="D58" s="56"/>
      <c r="F58" s="54"/>
      <c r="G58" s="54"/>
      <c r="H58" s="54"/>
      <c r="T58" s="54"/>
      <c r="V58" s="55"/>
      <c r="W58" s="55"/>
      <c r="X58" s="55"/>
    </row>
    <row r="59" spans="2:24" ht="18.75" customHeight="1">
      <c r="B59" s="271"/>
      <c r="C59" s="65"/>
      <c r="D59" s="65"/>
      <c r="F59" s="54"/>
      <c r="G59" s="54"/>
      <c r="H59" s="54"/>
      <c r="T59" s="54"/>
      <c r="V59" s="55"/>
      <c r="W59" s="55"/>
      <c r="X59" s="55"/>
    </row>
    <row r="60" spans="2:24" ht="18.75" customHeight="1">
      <c r="B60" s="271"/>
      <c r="C60" s="56"/>
      <c r="D60" s="56"/>
      <c r="F60" s="54"/>
      <c r="G60" s="54"/>
      <c r="H60" s="54"/>
      <c r="T60" s="54"/>
      <c r="V60" s="55"/>
      <c r="W60" s="55"/>
      <c r="X60" s="55"/>
    </row>
    <row r="61" spans="2:24" ht="18.75" customHeight="1">
      <c r="B61" s="271"/>
      <c r="C61" s="56"/>
      <c r="D61" s="56"/>
      <c r="F61" s="54"/>
      <c r="G61" s="54"/>
      <c r="H61" s="54"/>
      <c r="T61" s="54"/>
      <c r="V61" s="55"/>
      <c r="W61" s="55"/>
      <c r="X61" s="55"/>
    </row>
    <row r="62" spans="2:24" ht="18.75" customHeight="1">
      <c r="B62" s="271"/>
      <c r="C62" s="56"/>
      <c r="D62" s="56"/>
      <c r="F62" s="54"/>
      <c r="G62" s="54"/>
      <c r="H62" s="54"/>
      <c r="T62" s="54"/>
      <c r="V62" s="55"/>
      <c r="W62" s="55"/>
      <c r="X62" s="55"/>
    </row>
    <row r="63" spans="2:24" ht="18.75" customHeight="1">
      <c r="B63" s="271"/>
      <c r="C63" s="56"/>
      <c r="D63" s="56"/>
      <c r="F63" s="54"/>
      <c r="G63" s="54"/>
      <c r="H63" s="54"/>
      <c r="T63" s="54"/>
      <c r="V63" s="55"/>
      <c r="W63" s="55"/>
      <c r="X63" s="55"/>
    </row>
    <row r="64" spans="2:24" ht="18.75" customHeight="1">
      <c r="B64" s="271"/>
      <c r="C64" s="56"/>
      <c r="D64" s="56"/>
      <c r="F64" s="54"/>
      <c r="G64" s="54"/>
      <c r="H64" s="54"/>
      <c r="T64" s="54"/>
      <c r="V64" s="55"/>
      <c r="W64" s="55"/>
      <c r="X64" s="55"/>
    </row>
    <row r="65" spans="2:24" ht="18.75" customHeight="1">
      <c r="B65" s="271"/>
      <c r="C65" s="56"/>
      <c r="D65" s="56"/>
      <c r="F65" s="54"/>
      <c r="G65" s="54"/>
      <c r="H65" s="54"/>
      <c r="T65" s="54"/>
      <c r="V65" s="55"/>
      <c r="W65" s="55"/>
      <c r="X65" s="55"/>
    </row>
    <row r="66" spans="2:24" ht="18.75" customHeight="1">
      <c r="B66" s="271"/>
      <c r="C66" s="56"/>
      <c r="D66" s="56"/>
      <c r="F66" s="54"/>
      <c r="G66" s="54"/>
      <c r="H66" s="54"/>
      <c r="T66" s="54"/>
      <c r="V66" s="55"/>
      <c r="W66" s="55"/>
      <c r="X66" s="55"/>
    </row>
    <row r="67" spans="2:24" ht="32.25" customHeight="1">
      <c r="B67" s="271"/>
      <c r="C67" s="56" t="s">
        <v>2698</v>
      </c>
      <c r="D67" s="56"/>
      <c r="F67" s="54"/>
      <c r="G67" s="54"/>
      <c r="H67" s="54"/>
      <c r="T67" s="54"/>
      <c r="V67" s="55"/>
      <c r="W67" s="55"/>
      <c r="X67" s="55"/>
    </row>
    <row r="68" spans="2:24" ht="56.25" customHeight="1">
      <c r="B68" s="271"/>
      <c r="C68" s="56"/>
      <c r="D68" s="56"/>
      <c r="F68" s="54"/>
      <c r="G68" s="54"/>
      <c r="H68" s="54"/>
      <c r="T68" s="54"/>
      <c r="V68" s="55"/>
      <c r="W68" s="55"/>
      <c r="X68" s="55"/>
    </row>
    <row r="69" spans="2:24" s="73" customFormat="1">
      <c r="B69" s="271"/>
      <c r="C69" s="65"/>
      <c r="D69" s="65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</row>
    <row r="70" spans="2:24" ht="41.25" customHeight="1">
      <c r="B70" s="271"/>
      <c r="C70" s="72"/>
      <c r="D70" s="72"/>
      <c r="E70" s="58"/>
      <c r="H70" s="58"/>
      <c r="I70" s="58"/>
      <c r="J70" s="58"/>
      <c r="K70" s="58"/>
      <c r="L70" s="58"/>
      <c r="M70" s="58"/>
      <c r="N70" s="58"/>
      <c r="O70" s="58"/>
      <c r="P70" s="58"/>
      <c r="Q70" s="58"/>
      <c r="R70" s="58"/>
      <c r="S70" s="58"/>
      <c r="T70" s="58"/>
      <c r="V70" s="55"/>
      <c r="W70" s="55"/>
      <c r="X70" s="55"/>
    </row>
    <row r="71" spans="2:24">
      <c r="B71" s="271"/>
      <c r="C71" s="56"/>
      <c r="D71" s="56"/>
      <c r="F71" s="54"/>
      <c r="G71" s="54"/>
      <c r="H71" s="54"/>
      <c r="T71" s="54"/>
      <c r="V71" s="55"/>
      <c r="W71" s="55"/>
      <c r="X71" s="55"/>
    </row>
    <row r="72" spans="2:24" s="73" customFormat="1">
      <c r="B72" s="271"/>
      <c r="C72" s="56"/>
      <c r="D72" s="56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</row>
    <row r="73" spans="2:24" ht="26.45" customHeight="1">
      <c r="B73" s="271"/>
      <c r="C73" s="72"/>
      <c r="D73" s="72"/>
      <c r="E73" s="58"/>
      <c r="H73" s="58"/>
      <c r="I73" s="58"/>
      <c r="J73" s="58"/>
      <c r="K73" s="58"/>
      <c r="L73" s="58"/>
      <c r="M73" s="58"/>
      <c r="N73" s="58"/>
      <c r="O73" s="58"/>
      <c r="P73" s="58"/>
      <c r="Q73" s="58"/>
      <c r="R73" s="58"/>
      <c r="S73" s="58"/>
      <c r="T73" s="58"/>
      <c r="V73" s="55"/>
      <c r="W73" s="55"/>
      <c r="X73" s="55"/>
    </row>
    <row r="74" spans="2:24">
      <c r="B74" s="271"/>
      <c r="C74" s="65"/>
      <c r="D74" s="65"/>
      <c r="F74" s="54"/>
      <c r="G74" s="54"/>
      <c r="H74" s="54"/>
      <c r="T74" s="54"/>
      <c r="V74" s="55"/>
      <c r="W74" s="55"/>
      <c r="X74" s="55"/>
    </row>
    <row r="75" spans="2:24" ht="36.6" customHeight="1">
      <c r="B75" s="271"/>
      <c r="C75" s="56"/>
      <c r="D75" s="56"/>
      <c r="F75" s="54"/>
      <c r="G75" s="54"/>
      <c r="H75" s="54"/>
      <c r="T75" s="54"/>
      <c r="V75" s="55"/>
      <c r="W75" s="55"/>
      <c r="X75" s="55"/>
    </row>
    <row r="76" spans="2:24">
      <c r="B76" s="271"/>
      <c r="C76" s="56"/>
      <c r="D76" s="56"/>
      <c r="F76" s="54"/>
      <c r="G76" s="54"/>
      <c r="H76" s="54"/>
      <c r="T76" s="54"/>
      <c r="V76" s="55"/>
      <c r="W76" s="55"/>
      <c r="X76" s="55"/>
    </row>
    <row r="77" spans="2:24" s="73" customFormat="1" ht="15">
      <c r="B77" s="271"/>
      <c r="C77" s="56"/>
      <c r="D77" s="56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74"/>
      <c r="S77" s="54"/>
      <c r="T77" s="54"/>
    </row>
    <row r="78" spans="2:24">
      <c r="B78" s="271"/>
      <c r="C78" s="72"/>
      <c r="D78" s="72"/>
      <c r="E78" s="58"/>
      <c r="H78" s="58"/>
      <c r="I78" s="58"/>
      <c r="J78" s="58"/>
      <c r="K78" s="58"/>
      <c r="L78" s="58"/>
      <c r="M78" s="58"/>
      <c r="N78" s="58"/>
      <c r="O78" s="58"/>
      <c r="P78" s="58"/>
      <c r="Q78" s="58"/>
      <c r="R78" s="58"/>
      <c r="S78" s="58"/>
      <c r="T78" s="58"/>
      <c r="V78" s="55"/>
      <c r="W78" s="55"/>
      <c r="X78" s="55"/>
    </row>
    <row r="79" spans="2:24">
      <c r="B79" s="271"/>
      <c r="C79" s="56"/>
      <c r="D79" s="56"/>
      <c r="F79" s="54"/>
      <c r="G79" s="54"/>
      <c r="H79" s="54"/>
      <c r="T79" s="54"/>
      <c r="V79" s="55"/>
      <c r="W79" s="55"/>
      <c r="X79" s="55"/>
    </row>
    <row r="80" spans="2:24">
      <c r="B80" s="271"/>
      <c r="C80" s="56"/>
      <c r="D80" s="56"/>
      <c r="F80" s="54"/>
      <c r="G80" s="54"/>
      <c r="H80" s="54"/>
      <c r="T80" s="54"/>
      <c r="V80" s="55"/>
      <c r="W80" s="55"/>
      <c r="X80" s="55"/>
    </row>
    <row r="81" spans="2:24">
      <c r="B81" s="271"/>
      <c r="C81" s="56"/>
      <c r="D81" s="56"/>
      <c r="F81" s="54"/>
      <c r="G81" s="54"/>
      <c r="H81" s="54"/>
      <c r="T81" s="54"/>
      <c r="V81" s="55"/>
      <c r="W81" s="55"/>
      <c r="X81" s="55"/>
    </row>
    <row r="82" spans="2:24">
      <c r="B82" s="271"/>
      <c r="C82" s="56"/>
      <c r="D82" s="56"/>
      <c r="F82" s="54"/>
      <c r="G82" s="54"/>
      <c r="H82" s="54"/>
      <c r="T82" s="54"/>
      <c r="V82" s="55"/>
      <c r="W82" s="55"/>
      <c r="X82" s="55"/>
    </row>
    <row r="83" spans="2:24">
      <c r="B83" s="271"/>
      <c r="C83" s="56"/>
      <c r="D83" s="56"/>
      <c r="F83" s="54"/>
      <c r="G83" s="54"/>
      <c r="H83" s="54"/>
      <c r="T83" s="54"/>
      <c r="V83" s="55"/>
      <c r="W83" s="55"/>
      <c r="X83" s="55"/>
    </row>
    <row r="84" spans="2:24">
      <c r="B84" s="271"/>
      <c r="C84" s="56"/>
      <c r="D84" s="56"/>
      <c r="F84" s="54"/>
      <c r="G84" s="54"/>
      <c r="H84" s="54"/>
      <c r="T84" s="54"/>
      <c r="V84" s="55"/>
      <c r="W84" s="55"/>
      <c r="X84" s="55"/>
    </row>
    <row r="85" spans="2:24">
      <c r="B85" s="271"/>
      <c r="C85" s="56"/>
      <c r="D85" s="56"/>
      <c r="F85" s="54"/>
      <c r="G85" s="54"/>
      <c r="H85" s="54"/>
      <c r="T85" s="54"/>
      <c r="V85" s="55"/>
      <c r="W85" s="55"/>
      <c r="X85" s="55"/>
    </row>
    <row r="86" spans="2:24">
      <c r="B86" s="271"/>
      <c r="C86" s="56"/>
      <c r="D86" s="56"/>
      <c r="F86" s="54"/>
      <c r="G86" s="54"/>
      <c r="H86" s="54"/>
      <c r="T86" s="54"/>
      <c r="V86" s="55"/>
      <c r="W86" s="55"/>
      <c r="X86" s="55"/>
    </row>
    <row r="87" spans="2:24" ht="18.75" customHeight="1">
      <c r="B87" s="271"/>
      <c r="C87" s="56"/>
      <c r="D87" s="56"/>
      <c r="F87" s="54"/>
      <c r="G87" s="54"/>
      <c r="H87" s="54"/>
      <c r="T87" s="54"/>
      <c r="V87" s="55"/>
      <c r="W87" s="55"/>
      <c r="X87" s="55"/>
    </row>
    <row r="88" spans="2:24" s="73" customFormat="1" ht="18.75" customHeight="1">
      <c r="B88" s="271"/>
      <c r="C88" s="56"/>
      <c r="D88" s="56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</row>
    <row r="89" spans="2:24" ht="18.75" customHeight="1">
      <c r="B89" s="271"/>
      <c r="C89" s="72"/>
      <c r="D89" s="72"/>
      <c r="E89" s="58"/>
      <c r="H89" s="58"/>
      <c r="I89" s="58"/>
      <c r="J89" s="58"/>
      <c r="K89" s="58"/>
      <c r="L89" s="58"/>
      <c r="M89" s="58"/>
      <c r="N89" s="58"/>
      <c r="O89" s="58"/>
      <c r="P89" s="58"/>
      <c r="Q89" s="58"/>
      <c r="R89" s="58"/>
      <c r="S89" s="58"/>
      <c r="T89" s="58"/>
      <c r="V89" s="55"/>
      <c r="W89" s="55"/>
      <c r="X89" s="55"/>
    </row>
    <row r="90" spans="2:24" ht="18.75" customHeight="1">
      <c r="B90" s="271"/>
      <c r="C90" s="56"/>
      <c r="D90" s="56"/>
      <c r="F90" s="54"/>
      <c r="G90" s="54"/>
      <c r="H90" s="54"/>
      <c r="T90" s="54"/>
      <c r="V90" s="55"/>
      <c r="W90" s="55"/>
      <c r="X90" s="55"/>
    </row>
    <row r="91" spans="2:24" ht="18.75" customHeight="1">
      <c r="B91" s="271"/>
      <c r="C91" s="56"/>
      <c r="D91" s="56"/>
      <c r="F91" s="54"/>
      <c r="G91" s="54"/>
      <c r="H91" s="54"/>
      <c r="T91" s="54"/>
      <c r="V91" s="55"/>
      <c r="W91" s="55"/>
      <c r="X91" s="55"/>
    </row>
    <row r="92" spans="2:24" ht="18.75" customHeight="1">
      <c r="B92" s="271"/>
      <c r="C92" s="56"/>
      <c r="D92" s="56"/>
      <c r="F92" s="54"/>
      <c r="G92" s="54"/>
      <c r="H92" s="54"/>
      <c r="T92" s="54"/>
      <c r="V92" s="55"/>
      <c r="W92" s="55"/>
      <c r="X92" s="55"/>
    </row>
    <row r="93" spans="2:24" ht="18.75" customHeight="1">
      <c r="B93" s="271"/>
      <c r="C93" s="56"/>
      <c r="D93" s="56"/>
      <c r="F93" s="54"/>
      <c r="G93" s="54"/>
      <c r="H93" s="54"/>
      <c r="T93" s="54"/>
      <c r="V93" s="55"/>
      <c r="W93" s="55"/>
      <c r="X93" s="55"/>
    </row>
    <row r="94" spans="2:24" ht="18.75" customHeight="1">
      <c r="B94" s="271"/>
      <c r="C94" s="56"/>
      <c r="D94" s="56"/>
      <c r="F94" s="54"/>
      <c r="G94" s="54"/>
      <c r="H94" s="54"/>
      <c r="T94" s="54"/>
      <c r="V94" s="55"/>
      <c r="W94" s="55"/>
      <c r="X94" s="55"/>
    </row>
    <row r="95" spans="2:24" ht="18.75" customHeight="1">
      <c r="B95" s="271"/>
      <c r="C95" s="56"/>
      <c r="D95" s="56"/>
      <c r="F95" s="54"/>
      <c r="G95" s="54"/>
      <c r="H95" s="54"/>
      <c r="T95" s="54"/>
      <c r="V95" s="55"/>
      <c r="W95" s="55"/>
      <c r="X95" s="55"/>
    </row>
    <row r="96" spans="2:24" ht="18.75" customHeight="1">
      <c r="B96" s="271"/>
      <c r="C96" s="56"/>
      <c r="D96" s="56"/>
      <c r="F96" s="54"/>
      <c r="G96" s="54"/>
      <c r="H96" s="54"/>
      <c r="T96" s="54"/>
      <c r="V96" s="55"/>
      <c r="W96" s="55"/>
      <c r="X96" s="55"/>
    </row>
    <row r="97" spans="2:24" ht="18.75" customHeight="1">
      <c r="B97" s="271"/>
      <c r="C97" s="56"/>
      <c r="D97" s="56"/>
      <c r="F97" s="54"/>
      <c r="G97" s="54"/>
      <c r="H97" s="54"/>
      <c r="T97" s="54"/>
      <c r="V97" s="55"/>
      <c r="W97" s="55"/>
      <c r="X97" s="55"/>
    </row>
    <row r="98" spans="2:24" ht="18.75" customHeight="1">
      <c r="B98" s="271"/>
      <c r="C98" s="56"/>
      <c r="D98" s="56"/>
      <c r="F98" s="54"/>
      <c r="G98" s="54"/>
      <c r="H98" s="54"/>
      <c r="T98" s="54"/>
      <c r="V98" s="55"/>
      <c r="W98" s="55"/>
      <c r="X98" s="55"/>
    </row>
    <row r="99" spans="2:24" ht="18.75" customHeight="1">
      <c r="B99" s="271"/>
      <c r="C99" s="56"/>
      <c r="D99" s="56"/>
      <c r="F99" s="54"/>
      <c r="G99" s="54"/>
      <c r="H99" s="54"/>
      <c r="T99" s="54"/>
      <c r="V99" s="55"/>
      <c r="W99" s="55"/>
      <c r="X99" s="55"/>
    </row>
    <row r="100" spans="2:24" ht="29.1" customHeight="1">
      <c r="B100" s="271"/>
      <c r="C100" s="56"/>
      <c r="D100" s="56"/>
      <c r="F100" s="54"/>
      <c r="G100" s="54"/>
      <c r="H100" s="54"/>
      <c r="T100" s="54"/>
      <c r="V100" s="55"/>
      <c r="W100" s="55"/>
      <c r="X100" s="55"/>
    </row>
    <row r="101" spans="2:24" ht="18.75" customHeight="1">
      <c r="B101" s="271"/>
      <c r="C101" s="56"/>
      <c r="D101" s="56"/>
      <c r="F101" s="54"/>
      <c r="G101" s="54"/>
      <c r="H101" s="54"/>
      <c r="T101" s="54"/>
      <c r="V101" s="55"/>
      <c r="W101" s="55"/>
      <c r="X101" s="55"/>
    </row>
    <row r="102" spans="2:24" ht="18.75" customHeight="1">
      <c r="B102" s="271"/>
      <c r="C102" s="56"/>
      <c r="D102" s="56"/>
      <c r="F102" s="54"/>
      <c r="G102" s="54"/>
      <c r="H102" s="54"/>
      <c r="T102" s="54"/>
      <c r="V102" s="55"/>
      <c r="W102" s="55"/>
      <c r="X102" s="55"/>
    </row>
    <row r="103" spans="2:24" ht="18.75" customHeight="1">
      <c r="B103" s="271"/>
      <c r="C103" s="56"/>
      <c r="D103" s="56"/>
      <c r="F103" s="54"/>
      <c r="G103" s="54"/>
      <c r="H103" s="54"/>
      <c r="T103" s="54"/>
      <c r="V103" s="55"/>
      <c r="W103" s="55"/>
      <c r="X103" s="55"/>
    </row>
    <row r="104" spans="2:24" ht="18.75" customHeight="1">
      <c r="B104" s="271"/>
      <c r="C104" s="56"/>
      <c r="D104" s="56"/>
      <c r="F104" s="54"/>
      <c r="G104" s="54"/>
      <c r="H104" s="54"/>
      <c r="T104" s="54"/>
      <c r="V104" s="55"/>
      <c r="W104" s="55"/>
      <c r="X104" s="55"/>
    </row>
    <row r="105" spans="2:24" ht="18.75" customHeight="1">
      <c r="B105" s="271"/>
      <c r="C105" s="56"/>
      <c r="D105" s="56"/>
      <c r="F105" s="54"/>
      <c r="G105" s="54"/>
      <c r="H105" s="54"/>
      <c r="T105" s="54"/>
      <c r="V105" s="55"/>
      <c r="W105" s="55"/>
      <c r="X105" s="55"/>
    </row>
    <row r="106" spans="2:24" ht="18.75" customHeight="1">
      <c r="B106" s="271"/>
      <c r="C106" s="56"/>
      <c r="D106" s="56"/>
      <c r="F106" s="54"/>
      <c r="G106" s="54"/>
      <c r="H106" s="54"/>
      <c r="T106" s="54"/>
      <c r="V106" s="55"/>
      <c r="W106" s="55"/>
      <c r="X106" s="55"/>
    </row>
    <row r="107" spans="2:24" ht="18.75" customHeight="1">
      <c r="B107" s="271"/>
      <c r="C107" s="56"/>
      <c r="D107" s="56"/>
      <c r="F107" s="54"/>
      <c r="G107" s="54"/>
      <c r="H107" s="54"/>
      <c r="T107" s="54"/>
      <c r="V107" s="55"/>
      <c r="W107" s="55"/>
      <c r="X107" s="55"/>
    </row>
    <row r="108" spans="2:24" ht="18.75" customHeight="1">
      <c r="B108" s="271"/>
      <c r="C108" s="56"/>
      <c r="D108" s="56"/>
      <c r="F108" s="54"/>
      <c r="G108" s="54"/>
      <c r="H108" s="54"/>
      <c r="T108" s="54"/>
      <c r="V108" s="55"/>
      <c r="W108" s="55"/>
      <c r="X108" s="55"/>
    </row>
    <row r="109" spans="2:24" ht="18.75" customHeight="1">
      <c r="B109" s="271"/>
      <c r="C109" s="56"/>
      <c r="D109" s="56"/>
      <c r="F109" s="54"/>
      <c r="G109" s="54"/>
      <c r="H109" s="54"/>
      <c r="T109" s="54"/>
      <c r="V109" s="55"/>
      <c r="W109" s="55"/>
      <c r="X109" s="55"/>
    </row>
    <row r="110" spans="2:24" ht="18.75" customHeight="1">
      <c r="B110" s="271"/>
      <c r="C110" s="56"/>
      <c r="D110" s="56"/>
      <c r="F110" s="54"/>
      <c r="G110" s="54"/>
      <c r="H110" s="54"/>
      <c r="T110" s="54"/>
      <c r="V110" s="55"/>
      <c r="W110" s="55"/>
      <c r="X110" s="55"/>
    </row>
    <row r="111" spans="2:24" ht="18.75" customHeight="1">
      <c r="B111" s="271"/>
      <c r="C111" s="56"/>
      <c r="D111" s="56"/>
      <c r="F111" s="54"/>
      <c r="G111" s="54"/>
      <c r="H111" s="54"/>
      <c r="T111" s="54"/>
      <c r="V111" s="55"/>
      <c r="W111" s="55"/>
      <c r="X111" s="55"/>
    </row>
    <row r="112" spans="2:24" ht="18.75" customHeight="1">
      <c r="B112" s="271"/>
      <c r="C112" s="56"/>
      <c r="D112" s="56"/>
      <c r="F112" s="54"/>
      <c r="G112" s="54"/>
      <c r="H112" s="54"/>
      <c r="T112" s="54"/>
      <c r="V112" s="55"/>
      <c r="W112" s="55"/>
      <c r="X112" s="55"/>
    </row>
    <row r="113" spans="2:24" ht="18.75" customHeight="1">
      <c r="B113" s="271"/>
      <c r="C113" s="56"/>
      <c r="D113" s="56"/>
      <c r="F113" s="54"/>
      <c r="G113" s="54"/>
      <c r="H113" s="54"/>
      <c r="T113" s="54"/>
      <c r="V113" s="55"/>
      <c r="W113" s="55"/>
      <c r="X113" s="55"/>
    </row>
    <row r="114" spans="2:24" ht="18.75" customHeight="1">
      <c r="B114" s="271"/>
      <c r="C114" s="56"/>
      <c r="D114" s="56"/>
      <c r="F114" s="54"/>
      <c r="G114" s="54"/>
      <c r="H114" s="54"/>
      <c r="T114" s="54"/>
      <c r="V114" s="55"/>
      <c r="W114" s="55"/>
      <c r="X114" s="55"/>
    </row>
    <row r="115" spans="2:24" ht="18.75" customHeight="1">
      <c r="B115" s="271"/>
      <c r="C115" s="56"/>
      <c r="D115" s="56"/>
      <c r="F115" s="54"/>
      <c r="G115" s="54"/>
      <c r="H115" s="54"/>
      <c r="T115" s="54"/>
      <c r="V115" s="55"/>
      <c r="W115" s="55"/>
      <c r="X115" s="55"/>
    </row>
    <row r="116" spans="2:24" ht="18.75" customHeight="1">
      <c r="B116" s="271"/>
      <c r="C116" s="56"/>
      <c r="D116" s="56"/>
      <c r="F116" s="54"/>
      <c r="G116" s="54"/>
      <c r="H116" s="54"/>
      <c r="T116" s="54"/>
      <c r="V116" s="55"/>
      <c r="W116" s="55"/>
      <c r="X116" s="55"/>
    </row>
    <row r="117" spans="2:24">
      <c r="B117" s="271"/>
      <c r="C117" s="56"/>
      <c r="D117" s="56"/>
      <c r="F117" s="54"/>
      <c r="G117" s="54"/>
      <c r="H117" s="54"/>
      <c r="T117" s="54"/>
      <c r="V117" s="55"/>
      <c r="W117" s="55"/>
      <c r="X117" s="55"/>
    </row>
    <row r="118" spans="2:24" ht="18.75" customHeight="1">
      <c r="B118" s="271"/>
      <c r="C118" s="56"/>
      <c r="D118" s="56"/>
      <c r="F118" s="54"/>
      <c r="G118" s="54"/>
      <c r="H118" s="54"/>
      <c r="T118" s="54"/>
      <c r="V118" s="55"/>
      <c r="W118" s="55"/>
      <c r="X118" s="55"/>
    </row>
    <row r="119" spans="2:24">
      <c r="B119" s="271"/>
      <c r="C119" s="56"/>
      <c r="D119" s="56"/>
      <c r="F119" s="54"/>
      <c r="G119" s="54"/>
      <c r="H119" s="54"/>
      <c r="T119" s="54"/>
      <c r="V119" s="55"/>
      <c r="W119" s="55"/>
      <c r="X119" s="55"/>
    </row>
    <row r="120" spans="2:24" ht="18.75" customHeight="1">
      <c r="B120" s="271"/>
      <c r="C120" s="56"/>
      <c r="D120" s="56"/>
      <c r="F120" s="54"/>
      <c r="G120" s="54"/>
      <c r="H120" s="54"/>
      <c r="T120" s="54"/>
      <c r="V120" s="55"/>
      <c r="W120" s="55"/>
      <c r="X120" s="55"/>
    </row>
    <row r="121" spans="2:24" ht="18.75" customHeight="1">
      <c r="B121" s="271"/>
      <c r="C121" s="56"/>
      <c r="D121" s="56"/>
      <c r="F121" s="54"/>
      <c r="G121" s="54"/>
      <c r="H121" s="54"/>
      <c r="T121" s="54"/>
      <c r="V121" s="55"/>
      <c r="W121" s="55"/>
      <c r="X121" s="55"/>
    </row>
    <row r="122" spans="2:24" ht="18.75" customHeight="1">
      <c r="B122" s="271"/>
      <c r="C122" s="56"/>
      <c r="D122" s="56"/>
      <c r="F122" s="54"/>
      <c r="G122" s="54"/>
      <c r="H122" s="54"/>
      <c r="T122" s="54"/>
      <c r="V122" s="55"/>
      <c r="W122" s="55"/>
      <c r="X122" s="55"/>
    </row>
    <row r="123" spans="2:24" ht="37.35" customHeight="1">
      <c r="B123" s="73"/>
      <c r="C123" s="56"/>
      <c r="D123" s="56"/>
      <c r="F123" s="54"/>
      <c r="G123" s="54"/>
      <c r="H123" s="54"/>
      <c r="T123" s="54"/>
      <c r="V123" s="55"/>
      <c r="W123" s="55"/>
      <c r="X123" s="55"/>
    </row>
    <row r="124" spans="2:24" ht="18.75" customHeight="1">
      <c r="B124" s="73"/>
      <c r="C124" s="56"/>
      <c r="D124" s="56"/>
      <c r="F124" s="54"/>
      <c r="G124" s="54"/>
      <c r="H124" s="54"/>
      <c r="T124" s="54"/>
      <c r="V124" s="55"/>
      <c r="W124" s="55"/>
      <c r="X124" s="55"/>
    </row>
    <row r="125" spans="2:24" ht="18.75" customHeight="1">
      <c r="B125" s="73"/>
      <c r="C125" s="56"/>
      <c r="D125" s="56"/>
      <c r="F125" s="54"/>
      <c r="G125" s="54"/>
      <c r="H125" s="54"/>
      <c r="T125" s="54"/>
      <c r="X125" s="64"/>
    </row>
    <row r="126" spans="2:24" ht="18.75" customHeight="1">
      <c r="E126" s="148"/>
      <c r="F126" s="57"/>
      <c r="X126" s="64"/>
    </row>
    <row r="127" spans="2:24" ht="18.75" customHeight="1">
      <c r="E127" s="148"/>
      <c r="F127" s="57"/>
      <c r="X127" s="64"/>
    </row>
    <row r="128" spans="2:24" ht="18.75" customHeight="1">
      <c r="E128" s="148"/>
      <c r="F128" s="57"/>
      <c r="X128" s="64"/>
    </row>
    <row r="129" spans="5:24" ht="18.75" customHeight="1">
      <c r="E129" s="148"/>
      <c r="F129" s="57"/>
      <c r="X129" s="64"/>
    </row>
    <row r="130" spans="5:24" ht="18.75" customHeight="1">
      <c r="E130" s="148"/>
      <c r="F130" s="57"/>
      <c r="X130" s="64"/>
    </row>
    <row r="131" spans="5:24" ht="18.75" customHeight="1">
      <c r="E131" s="148"/>
      <c r="F131" s="57"/>
      <c r="X131" s="64"/>
    </row>
    <row r="132" spans="5:24" ht="18.75" customHeight="1">
      <c r="E132" s="148"/>
      <c r="F132" s="57"/>
      <c r="X132" s="64"/>
    </row>
    <row r="133" spans="5:24" ht="18.75" customHeight="1">
      <c r="E133" s="148"/>
      <c r="F133" s="57"/>
      <c r="X133" s="64"/>
    </row>
    <row r="134" spans="5:24" ht="18.75" customHeight="1">
      <c r="E134" s="148"/>
      <c r="F134" s="57"/>
      <c r="X134" s="64"/>
    </row>
    <row r="135" spans="5:24" ht="18.75" customHeight="1">
      <c r="X135" s="64"/>
    </row>
    <row r="136" spans="5:24" ht="18.75" customHeight="1">
      <c r="X136" s="64"/>
    </row>
    <row r="137" spans="5:24" ht="18.75" customHeight="1">
      <c r="X137" s="64"/>
    </row>
    <row r="138" spans="5:24" ht="18.75" customHeight="1">
      <c r="X138" s="64"/>
    </row>
    <row r="139" spans="5:24" ht="18.75" customHeight="1">
      <c r="X139" s="64"/>
    </row>
    <row r="140" spans="5:24" ht="18.75" customHeight="1"/>
    <row r="141" spans="5:24" ht="18.75" customHeight="1"/>
    <row r="142" spans="5:24" ht="18.75" customHeight="1"/>
    <row r="143" spans="5:24" ht="18.75" customHeight="1"/>
    <row r="144" spans="5:2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</sheetData>
  <printOptions horizontalCentered="1" gridLines="1"/>
  <pageMargins left="0.39370078740157483" right="0.39370078740157483" top="1.5748031496062993" bottom="0.39370078740157483" header="0.39370078740157483" footer="0"/>
  <pageSetup paperSize="9" scale="65" fitToHeight="0" orientation="landscape" r:id="rId1"/>
  <headerFooter alignWithMargins="0">
    <oddHeader>&amp;C&amp;"Arial,Negrita"&amp;12TRAYECTO: L11&amp;R&amp;D</oddHeader>
    <oddFooter>&amp;L&amp;F&amp;C&amp;P DE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R43"/>
  <sheetViews>
    <sheetView zoomScale="85" zoomScaleNormal="85" workbookViewId="0">
      <selection activeCell="L12" sqref="L12:R24"/>
    </sheetView>
  </sheetViews>
  <sheetFormatPr baseColWidth="10" defaultColWidth="11.42578125" defaultRowHeight="12.75"/>
  <cols>
    <col min="7" max="7" width="12.140625" bestFit="1" customWidth="1"/>
    <col min="10" max="10" width="13.42578125" bestFit="1" customWidth="1"/>
  </cols>
  <sheetData>
    <row r="1" spans="1:18">
      <c r="A1" s="1268" t="s">
        <v>1637</v>
      </c>
      <c r="B1" s="1269"/>
      <c r="C1" s="1270"/>
      <c r="D1" s="199"/>
      <c r="E1" s="1271" t="s">
        <v>1598</v>
      </c>
      <c r="F1" s="1272"/>
      <c r="G1" s="1273"/>
      <c r="H1" s="199"/>
      <c r="I1" s="199"/>
      <c r="J1" s="199"/>
      <c r="K1" s="199"/>
      <c r="L1" s="1274" t="s">
        <v>1638</v>
      </c>
      <c r="M1" s="1275"/>
      <c r="N1" s="1275"/>
      <c r="O1" s="1275"/>
      <c r="P1" s="1275"/>
      <c r="Q1" s="1275"/>
      <c r="R1" s="1275"/>
    </row>
    <row r="2" spans="1:18" ht="25.5">
      <c r="A2" s="242" t="s">
        <v>1611</v>
      </c>
      <c r="B2" s="242" t="s">
        <v>1612</v>
      </c>
      <c r="C2" s="242" t="s">
        <v>1613</v>
      </c>
      <c r="D2" s="199"/>
      <c r="E2" s="242" t="s">
        <v>1611</v>
      </c>
      <c r="F2" s="242" t="s">
        <v>1612</v>
      </c>
      <c r="G2" s="242" t="s">
        <v>1613</v>
      </c>
      <c r="H2" s="199"/>
      <c r="I2" s="243" t="s">
        <v>1644</v>
      </c>
      <c r="J2" s="243"/>
      <c r="K2" s="199"/>
      <c r="L2" s="240" t="s">
        <v>1610</v>
      </c>
      <c r="M2" s="242" t="s">
        <v>2629</v>
      </c>
      <c r="N2" s="242" t="s">
        <v>2630</v>
      </c>
      <c r="O2" s="242" t="s">
        <v>2631</v>
      </c>
      <c r="P2" s="242" t="s">
        <v>2632</v>
      </c>
      <c r="Q2" s="242" t="s">
        <v>2633</v>
      </c>
      <c r="R2" s="242" t="s">
        <v>2634</v>
      </c>
    </row>
    <row r="3" spans="1:18">
      <c r="A3" s="242">
        <v>11000</v>
      </c>
      <c r="B3" s="242">
        <v>11550</v>
      </c>
      <c r="C3" s="241" t="s">
        <v>2634</v>
      </c>
      <c r="D3" s="199"/>
      <c r="E3" s="242">
        <v>11000</v>
      </c>
      <c r="F3" s="242">
        <v>11550</v>
      </c>
      <c r="G3" s="241" t="s">
        <v>1641</v>
      </c>
      <c r="H3" s="199"/>
      <c r="I3" s="241" t="s">
        <v>2629</v>
      </c>
      <c r="J3" s="242">
        <v>2</v>
      </c>
      <c r="K3" s="199"/>
      <c r="L3" s="241" t="s">
        <v>1640</v>
      </c>
      <c r="M3" s="242"/>
      <c r="N3" s="242"/>
      <c r="O3" s="242"/>
      <c r="P3" s="242"/>
      <c r="Q3" s="242"/>
      <c r="R3" s="242"/>
    </row>
    <row r="4" spans="1:18">
      <c r="A4" s="242">
        <v>11550</v>
      </c>
      <c r="B4" s="242">
        <v>11670</v>
      </c>
      <c r="C4" s="241" t="s">
        <v>699</v>
      </c>
      <c r="D4" s="199"/>
      <c r="E4" s="242">
        <v>11550</v>
      </c>
      <c r="F4" s="242">
        <v>11670</v>
      </c>
      <c r="G4" s="241" t="s">
        <v>699</v>
      </c>
      <c r="H4" s="199"/>
      <c r="I4" s="241" t="s">
        <v>2630</v>
      </c>
      <c r="J4" s="242">
        <v>3</v>
      </c>
      <c r="K4" s="199"/>
      <c r="L4" s="241" t="s">
        <v>233</v>
      </c>
      <c r="M4" s="242"/>
      <c r="N4" s="242">
        <v>3.4</v>
      </c>
      <c r="O4" s="242">
        <v>3.4</v>
      </c>
      <c r="P4" s="242"/>
      <c r="Q4" s="242"/>
      <c r="R4" s="242">
        <v>3.4</v>
      </c>
    </row>
    <row r="5" spans="1:18">
      <c r="A5" s="242">
        <v>11670</v>
      </c>
      <c r="B5" s="242">
        <v>12250</v>
      </c>
      <c r="C5" s="241" t="s">
        <v>2634</v>
      </c>
      <c r="D5" s="199"/>
      <c r="E5" s="242">
        <v>11670</v>
      </c>
      <c r="F5" s="242">
        <v>12250</v>
      </c>
      <c r="G5" s="242" t="s">
        <v>1641</v>
      </c>
      <c r="H5" s="199"/>
      <c r="I5" s="241" t="s">
        <v>2631</v>
      </c>
      <c r="J5" s="242">
        <v>4</v>
      </c>
      <c r="K5" s="199"/>
      <c r="L5" s="241" t="s">
        <v>232</v>
      </c>
      <c r="M5" s="242"/>
      <c r="N5" s="242">
        <v>3.4</v>
      </c>
      <c r="O5" s="242">
        <v>3.4</v>
      </c>
      <c r="P5" s="242"/>
      <c r="Q5" s="242"/>
      <c r="R5" s="242">
        <v>3.4</v>
      </c>
    </row>
    <row r="6" spans="1:18">
      <c r="A6" s="242">
        <v>12250</v>
      </c>
      <c r="B6" s="242">
        <v>12420</v>
      </c>
      <c r="C6" s="241" t="s">
        <v>699</v>
      </c>
      <c r="D6" s="199"/>
      <c r="E6" s="242">
        <v>12250</v>
      </c>
      <c r="F6" s="242">
        <v>12420</v>
      </c>
      <c r="G6" s="242" t="s">
        <v>699</v>
      </c>
      <c r="H6" s="199"/>
      <c r="I6" s="241" t="s">
        <v>2632</v>
      </c>
      <c r="J6" s="242">
        <v>5</v>
      </c>
      <c r="K6" s="199"/>
      <c r="L6" s="241" t="s">
        <v>235</v>
      </c>
      <c r="M6" s="242"/>
      <c r="N6" s="242">
        <v>3.4</v>
      </c>
      <c r="O6" s="242">
        <v>3.4</v>
      </c>
      <c r="P6" s="242"/>
      <c r="Q6" s="242"/>
      <c r="R6" s="242">
        <v>3.4</v>
      </c>
    </row>
    <row r="7" spans="1:18">
      <c r="A7" s="242">
        <v>12420</v>
      </c>
      <c r="B7" s="242">
        <v>12800</v>
      </c>
      <c r="C7" s="241" t="s">
        <v>2634</v>
      </c>
      <c r="D7" s="199"/>
      <c r="E7" s="242">
        <v>12420</v>
      </c>
      <c r="F7" s="242">
        <v>12800</v>
      </c>
      <c r="G7" s="242" t="s">
        <v>1641</v>
      </c>
      <c r="H7" s="199"/>
      <c r="I7" s="241" t="s">
        <v>2633</v>
      </c>
      <c r="J7" s="242">
        <v>6</v>
      </c>
      <c r="K7" s="199"/>
      <c r="L7" s="241" t="s">
        <v>1057</v>
      </c>
      <c r="M7" s="242"/>
      <c r="N7" s="242">
        <v>3.4</v>
      </c>
      <c r="O7" s="242">
        <v>3.4</v>
      </c>
      <c r="P7" s="242"/>
      <c r="Q7" s="242"/>
      <c r="R7" s="242">
        <v>3.4</v>
      </c>
    </row>
    <row r="8" spans="1:18">
      <c r="A8" s="242">
        <v>12800</v>
      </c>
      <c r="B8" s="242">
        <v>12970</v>
      </c>
      <c r="C8" s="241" t="s">
        <v>699</v>
      </c>
      <c r="D8" s="199"/>
      <c r="E8" s="242">
        <v>12800</v>
      </c>
      <c r="F8" s="242">
        <v>12970</v>
      </c>
      <c r="G8" s="242" t="s">
        <v>699</v>
      </c>
      <c r="H8" s="199"/>
      <c r="I8" s="241" t="s">
        <v>2634</v>
      </c>
      <c r="J8" s="242">
        <v>7</v>
      </c>
      <c r="K8" s="199"/>
      <c r="L8" s="241" t="s">
        <v>234</v>
      </c>
      <c r="M8" s="242"/>
      <c r="N8" s="242">
        <v>3.8</v>
      </c>
      <c r="O8" s="242">
        <v>3.8</v>
      </c>
      <c r="P8" s="242"/>
      <c r="Q8" s="242"/>
      <c r="R8" s="242">
        <v>3.8</v>
      </c>
    </row>
    <row r="9" spans="1:18">
      <c r="A9" s="242">
        <v>12970</v>
      </c>
      <c r="B9" s="242">
        <v>13200</v>
      </c>
      <c r="C9" s="242" t="s">
        <v>2634</v>
      </c>
      <c r="D9" s="199"/>
      <c r="E9" s="242">
        <v>12970</v>
      </c>
      <c r="F9" s="242">
        <v>13200</v>
      </c>
      <c r="G9" s="242" t="s">
        <v>1641</v>
      </c>
      <c r="H9" s="199"/>
      <c r="I9" s="199"/>
      <c r="J9" s="199"/>
      <c r="K9" s="199"/>
      <c r="L9" s="241" t="s">
        <v>1642</v>
      </c>
      <c r="M9" s="242"/>
      <c r="N9" s="242">
        <v>3.8</v>
      </c>
      <c r="O9" s="242">
        <v>3.8</v>
      </c>
      <c r="P9" s="242"/>
      <c r="Q9" s="242"/>
      <c r="R9" s="242">
        <v>3.8</v>
      </c>
    </row>
    <row r="10" spans="1:18">
      <c r="A10" s="242">
        <v>13200</v>
      </c>
      <c r="B10" s="242">
        <v>14000</v>
      </c>
      <c r="C10" s="242" t="s">
        <v>2630</v>
      </c>
      <c r="D10" s="199"/>
      <c r="E10" s="242">
        <v>13200</v>
      </c>
      <c r="F10" s="242">
        <v>14000</v>
      </c>
      <c r="G10" s="242" t="s">
        <v>1641</v>
      </c>
      <c r="H10" s="199"/>
      <c r="I10" s="199"/>
      <c r="J10" s="199"/>
      <c r="K10" s="199"/>
      <c r="L10" s="242" t="s">
        <v>1614</v>
      </c>
      <c r="M10" s="242"/>
      <c r="N10" s="242">
        <v>3.4</v>
      </c>
      <c r="O10" s="242">
        <v>3.4</v>
      </c>
      <c r="P10" s="242"/>
      <c r="Q10" s="242"/>
      <c r="R10" s="242">
        <v>3.4</v>
      </c>
    </row>
    <row r="11" spans="1:18">
      <c r="A11" s="242">
        <v>14000</v>
      </c>
      <c r="B11" s="242">
        <v>15330</v>
      </c>
      <c r="C11" s="242" t="s">
        <v>2634</v>
      </c>
      <c r="D11" s="199"/>
      <c r="E11" s="242">
        <v>14000</v>
      </c>
      <c r="F11" s="242">
        <v>15330</v>
      </c>
      <c r="G11" s="242" t="s">
        <v>1641</v>
      </c>
      <c r="H11" s="199"/>
      <c r="I11" s="199"/>
      <c r="J11" s="199"/>
      <c r="K11" s="199"/>
      <c r="L11" s="242" t="s">
        <v>2635</v>
      </c>
      <c r="M11" s="242"/>
      <c r="N11" s="242">
        <v>3.4</v>
      </c>
      <c r="O11" s="242">
        <v>3.4</v>
      </c>
      <c r="P11" s="242"/>
      <c r="Q11" s="242"/>
      <c r="R11" s="242">
        <v>3.4</v>
      </c>
    </row>
    <row r="12" spans="1:18">
      <c r="A12" s="242">
        <v>15330</v>
      </c>
      <c r="B12" s="242">
        <v>15900</v>
      </c>
      <c r="C12" s="242" t="s">
        <v>699</v>
      </c>
      <c r="D12" s="199"/>
      <c r="E12" s="242">
        <v>15330</v>
      </c>
      <c r="F12" s="242">
        <v>15900</v>
      </c>
      <c r="G12" s="242" t="s">
        <v>699</v>
      </c>
      <c r="K12" s="199"/>
      <c r="L12" s="242" t="s">
        <v>1233</v>
      </c>
      <c r="M12" s="242"/>
      <c r="N12" s="242"/>
      <c r="O12" s="242"/>
      <c r="P12" s="242"/>
      <c r="Q12" s="242"/>
      <c r="R12" s="242"/>
    </row>
    <row r="13" spans="1:18">
      <c r="A13" s="242">
        <v>15900</v>
      </c>
      <c r="B13" s="242">
        <v>16200</v>
      </c>
      <c r="C13" s="241" t="s">
        <v>2634</v>
      </c>
      <c r="D13" s="199"/>
      <c r="E13" s="242">
        <v>15900</v>
      </c>
      <c r="F13" s="242">
        <v>16200</v>
      </c>
      <c r="G13" s="242" t="s">
        <v>1641</v>
      </c>
      <c r="K13" s="199"/>
      <c r="L13" s="242" t="s">
        <v>1234</v>
      </c>
      <c r="M13" s="242"/>
      <c r="N13" s="242"/>
      <c r="O13" s="242"/>
      <c r="P13" s="242"/>
      <c r="Q13" s="242"/>
      <c r="R13" s="242"/>
    </row>
    <row r="14" spans="1:18">
      <c r="A14" s="242">
        <v>16200</v>
      </c>
      <c r="B14" s="242">
        <v>17100</v>
      </c>
      <c r="C14" s="241" t="s">
        <v>2631</v>
      </c>
      <c r="D14" s="199"/>
      <c r="E14" s="242">
        <v>16200</v>
      </c>
      <c r="F14" s="242">
        <v>17100</v>
      </c>
      <c r="G14" s="242" t="s">
        <v>1639</v>
      </c>
      <c r="H14" s="199"/>
      <c r="I14" s="199"/>
      <c r="J14" s="199"/>
      <c r="K14" s="199"/>
      <c r="L14" s="242"/>
      <c r="M14" s="242"/>
      <c r="N14" s="242"/>
      <c r="O14" s="242"/>
      <c r="P14" s="242"/>
      <c r="Q14" s="242"/>
      <c r="R14" s="242"/>
    </row>
    <row r="15" spans="1:18">
      <c r="A15" s="242">
        <v>17100</v>
      </c>
      <c r="B15" s="242">
        <v>17520</v>
      </c>
      <c r="C15" s="241" t="s">
        <v>699</v>
      </c>
      <c r="D15" s="199"/>
      <c r="E15" s="242">
        <v>17100</v>
      </c>
      <c r="F15" s="242">
        <v>17520</v>
      </c>
      <c r="G15" s="242" t="s">
        <v>699</v>
      </c>
      <c r="H15" s="199"/>
      <c r="I15" s="199"/>
      <c r="J15" s="199"/>
      <c r="K15" s="199"/>
      <c r="L15" s="199"/>
      <c r="M15" s="199"/>
      <c r="N15" s="199"/>
      <c r="O15" s="199"/>
      <c r="P15" s="199"/>
      <c r="Q15" s="199"/>
      <c r="R15" s="199"/>
    </row>
    <row r="16" spans="1:18">
      <c r="A16" s="242">
        <v>17520</v>
      </c>
      <c r="B16" s="242">
        <v>17640</v>
      </c>
      <c r="C16" s="241" t="s">
        <v>2630</v>
      </c>
      <c r="D16" s="199"/>
      <c r="E16" s="242">
        <v>17520</v>
      </c>
      <c r="F16" s="242">
        <v>17640</v>
      </c>
      <c r="G16" s="242" t="s">
        <v>1641</v>
      </c>
      <c r="H16" s="199"/>
      <c r="I16" s="199"/>
      <c r="J16" s="199"/>
      <c r="K16" s="199"/>
      <c r="L16" s="1271" t="s">
        <v>1643</v>
      </c>
      <c r="M16" s="1272"/>
      <c r="N16" s="1272"/>
      <c r="O16" s="1272"/>
      <c r="P16" s="1272"/>
      <c r="Q16" s="1272"/>
      <c r="R16" s="1273"/>
    </row>
    <row r="17" spans="1:18" ht="25.5">
      <c r="A17" s="242">
        <v>17640</v>
      </c>
      <c r="B17" s="242">
        <v>17950</v>
      </c>
      <c r="C17" s="241" t="s">
        <v>699</v>
      </c>
      <c r="D17" s="199"/>
      <c r="E17" s="242">
        <v>17640</v>
      </c>
      <c r="F17" s="242">
        <v>17950</v>
      </c>
      <c r="G17" s="242" t="s">
        <v>699</v>
      </c>
      <c r="H17" s="199"/>
      <c r="I17" s="199"/>
      <c r="J17" s="199"/>
      <c r="K17" s="199"/>
      <c r="L17" s="240" t="s">
        <v>1610</v>
      </c>
      <c r="M17" s="242" t="s">
        <v>2629</v>
      </c>
      <c r="N17" s="242" t="s">
        <v>2630</v>
      </c>
      <c r="O17" s="242" t="s">
        <v>2631</v>
      </c>
      <c r="P17" s="242" t="s">
        <v>2632</v>
      </c>
      <c r="Q17" s="242" t="s">
        <v>2633</v>
      </c>
      <c r="R17" s="242" t="s">
        <v>2634</v>
      </c>
    </row>
    <row r="18" spans="1:18">
      <c r="A18" s="242">
        <v>17950</v>
      </c>
      <c r="B18" s="242">
        <v>18550</v>
      </c>
      <c r="C18" s="241" t="s">
        <v>2630</v>
      </c>
      <c r="D18" s="199"/>
      <c r="E18" s="242">
        <v>17950</v>
      </c>
      <c r="F18" s="242">
        <v>18550</v>
      </c>
      <c r="G18" s="242" t="s">
        <v>1641</v>
      </c>
      <c r="H18" s="199"/>
      <c r="I18" s="199"/>
      <c r="J18" s="199"/>
      <c r="K18" s="199"/>
      <c r="L18" s="241" t="s">
        <v>1640</v>
      </c>
      <c r="M18" s="242"/>
      <c r="N18" s="242"/>
      <c r="O18" s="242"/>
      <c r="P18" s="242"/>
      <c r="Q18" s="242"/>
      <c r="R18" s="242"/>
    </row>
    <row r="19" spans="1:18">
      <c r="A19" s="242">
        <v>18550</v>
      </c>
      <c r="B19" s="242">
        <v>18780</v>
      </c>
      <c r="C19" s="241" t="s">
        <v>699</v>
      </c>
      <c r="D19" s="199"/>
      <c r="E19" s="242">
        <v>18550</v>
      </c>
      <c r="F19" s="242">
        <v>18780</v>
      </c>
      <c r="G19" s="242" t="s">
        <v>699</v>
      </c>
      <c r="H19" s="199"/>
      <c r="I19" s="199"/>
      <c r="J19" s="199"/>
      <c r="K19" s="199"/>
      <c r="L19" s="241" t="s">
        <v>233</v>
      </c>
      <c r="M19" s="242"/>
      <c r="N19" s="242">
        <v>4.2</v>
      </c>
      <c r="O19" s="242">
        <v>4.2</v>
      </c>
      <c r="P19" s="242"/>
      <c r="Q19" s="242"/>
      <c r="R19" s="242">
        <v>4.2</v>
      </c>
    </row>
    <row r="20" spans="1:18">
      <c r="A20" s="242">
        <v>18780</v>
      </c>
      <c r="B20" s="242">
        <v>18820</v>
      </c>
      <c r="C20" s="241" t="s">
        <v>2631</v>
      </c>
      <c r="D20" s="199"/>
      <c r="E20" s="242">
        <v>18780</v>
      </c>
      <c r="F20" s="242">
        <v>18820</v>
      </c>
      <c r="G20" s="242" t="s">
        <v>1641</v>
      </c>
      <c r="H20" s="199"/>
      <c r="I20" s="199"/>
      <c r="J20" s="199"/>
      <c r="K20" s="199"/>
      <c r="L20" s="241" t="s">
        <v>232</v>
      </c>
      <c r="M20" s="242"/>
      <c r="N20" s="242">
        <v>4.2</v>
      </c>
      <c r="O20" s="242">
        <v>4.2</v>
      </c>
      <c r="P20" s="242"/>
      <c r="Q20" s="242"/>
      <c r="R20" s="242">
        <v>4.2</v>
      </c>
    </row>
    <row r="21" spans="1:18">
      <c r="A21" s="242">
        <v>18820</v>
      </c>
      <c r="B21" s="242">
        <v>19400</v>
      </c>
      <c r="C21" s="241" t="s">
        <v>699</v>
      </c>
      <c r="D21" s="199"/>
      <c r="E21" s="242">
        <v>18820</v>
      </c>
      <c r="F21" s="242">
        <v>19400</v>
      </c>
      <c r="G21" s="242" t="s">
        <v>699</v>
      </c>
      <c r="H21" s="199"/>
      <c r="I21" s="199"/>
      <c r="J21" s="199"/>
      <c r="K21" s="199"/>
      <c r="L21" s="241" t="s">
        <v>235</v>
      </c>
      <c r="M21" s="242"/>
      <c r="N21" s="242">
        <v>4.2</v>
      </c>
      <c r="O21" s="242">
        <v>4.2</v>
      </c>
      <c r="P21" s="242"/>
      <c r="Q21" s="242"/>
      <c r="R21" s="242">
        <v>4.2</v>
      </c>
    </row>
    <row r="22" spans="1:18">
      <c r="A22" s="242">
        <v>19400</v>
      </c>
      <c r="B22" s="242">
        <v>19520</v>
      </c>
      <c r="C22" s="241" t="s">
        <v>2634</v>
      </c>
      <c r="D22" s="199"/>
      <c r="E22" s="242">
        <v>19400</v>
      </c>
      <c r="F22" s="242">
        <v>19520</v>
      </c>
      <c r="G22" s="242" t="s">
        <v>1641</v>
      </c>
      <c r="H22" s="199"/>
      <c r="I22" s="199"/>
      <c r="J22" s="199"/>
      <c r="K22" s="199"/>
      <c r="L22" s="241" t="s">
        <v>1057</v>
      </c>
      <c r="M22" s="242"/>
      <c r="N22" s="242">
        <v>4.2</v>
      </c>
      <c r="O22" s="242">
        <v>4.2</v>
      </c>
      <c r="P22" s="242"/>
      <c r="Q22" s="242"/>
      <c r="R22" s="242">
        <v>4.2</v>
      </c>
    </row>
    <row r="23" spans="1:18">
      <c r="A23" s="242">
        <v>19520</v>
      </c>
      <c r="B23" s="242">
        <v>19800</v>
      </c>
      <c r="C23" s="241" t="s">
        <v>2630</v>
      </c>
      <c r="D23" s="199"/>
      <c r="E23" s="242">
        <v>19520</v>
      </c>
      <c r="F23" s="242">
        <v>19800</v>
      </c>
      <c r="G23" s="242" t="s">
        <v>1639</v>
      </c>
      <c r="H23" s="199"/>
      <c r="I23" s="199"/>
      <c r="J23" s="199"/>
      <c r="K23" s="199"/>
      <c r="L23" s="241" t="s">
        <v>234</v>
      </c>
      <c r="M23" s="242"/>
      <c r="N23" s="242">
        <v>4.2</v>
      </c>
      <c r="O23" s="242">
        <v>4.2</v>
      </c>
      <c r="P23" s="242"/>
      <c r="Q23" s="242"/>
      <c r="R23" s="242">
        <v>4.2</v>
      </c>
    </row>
    <row r="24" spans="1:18">
      <c r="A24" s="242">
        <v>19800</v>
      </c>
      <c r="B24" s="242">
        <v>20400</v>
      </c>
      <c r="C24" s="241" t="s">
        <v>2634</v>
      </c>
      <c r="D24" s="199"/>
      <c r="E24" s="242">
        <v>19800</v>
      </c>
      <c r="F24" s="242">
        <v>20400</v>
      </c>
      <c r="G24" s="242" t="s">
        <v>1641</v>
      </c>
      <c r="H24" s="199"/>
      <c r="I24" s="199"/>
      <c r="J24" s="199"/>
      <c r="K24" s="199"/>
      <c r="L24" s="241" t="s">
        <v>1642</v>
      </c>
      <c r="M24" s="242"/>
      <c r="N24" s="242">
        <v>4.2</v>
      </c>
      <c r="O24" s="242">
        <v>4.2</v>
      </c>
      <c r="P24" s="242"/>
      <c r="Q24" s="242"/>
      <c r="R24" s="242">
        <v>4.2</v>
      </c>
    </row>
    <row r="25" spans="1:18">
      <c r="A25" s="242">
        <v>20400</v>
      </c>
      <c r="B25" s="242">
        <v>20750</v>
      </c>
      <c r="C25" s="241" t="s">
        <v>2631</v>
      </c>
      <c r="D25" s="199"/>
      <c r="E25" s="242">
        <v>20400</v>
      </c>
      <c r="F25" s="242">
        <v>20750</v>
      </c>
      <c r="G25" s="242" t="s">
        <v>1639</v>
      </c>
      <c r="H25" s="199"/>
      <c r="I25" s="199"/>
      <c r="J25" s="199"/>
      <c r="K25" s="199"/>
      <c r="L25" s="242" t="s">
        <v>1614</v>
      </c>
      <c r="M25" s="242"/>
      <c r="N25" s="242">
        <v>4.2</v>
      </c>
      <c r="O25" s="242">
        <v>4.2</v>
      </c>
      <c r="P25" s="242"/>
      <c r="Q25" s="242"/>
      <c r="R25" s="242">
        <v>4.2</v>
      </c>
    </row>
    <row r="26" spans="1:18">
      <c r="A26" s="242">
        <v>20750</v>
      </c>
      <c r="B26" s="242">
        <v>21350</v>
      </c>
      <c r="C26" s="241" t="s">
        <v>2634</v>
      </c>
      <c r="D26" s="199"/>
      <c r="E26" s="242">
        <v>20750</v>
      </c>
      <c r="F26" s="242">
        <v>21350</v>
      </c>
      <c r="G26" s="242" t="s">
        <v>1641</v>
      </c>
      <c r="H26" s="199"/>
      <c r="I26" s="199"/>
      <c r="J26" s="199"/>
      <c r="K26" s="199"/>
      <c r="L26" s="242" t="s">
        <v>2635</v>
      </c>
      <c r="M26" s="242"/>
      <c r="N26" s="242"/>
      <c r="O26" s="242"/>
      <c r="P26" s="242"/>
      <c r="Q26" s="242"/>
      <c r="R26" s="242"/>
    </row>
    <row r="27" spans="1:18">
      <c r="A27" s="242">
        <v>21350</v>
      </c>
      <c r="B27" s="242">
        <v>21750</v>
      </c>
      <c r="C27" s="241" t="s">
        <v>2630</v>
      </c>
      <c r="D27" s="199"/>
      <c r="E27" s="242">
        <v>21350</v>
      </c>
      <c r="F27" s="242">
        <v>21750</v>
      </c>
      <c r="G27" s="242" t="s">
        <v>1639</v>
      </c>
      <c r="H27" s="199"/>
      <c r="I27" s="199"/>
      <c r="J27" s="199"/>
      <c r="K27" s="199"/>
      <c r="L27" s="242" t="s">
        <v>1233</v>
      </c>
      <c r="M27" s="242"/>
      <c r="N27" s="242"/>
      <c r="O27" s="242"/>
      <c r="P27" s="242"/>
      <c r="Q27" s="242"/>
      <c r="R27" s="242"/>
    </row>
    <row r="28" spans="1:18">
      <c r="A28" s="242">
        <v>21750</v>
      </c>
      <c r="B28" s="242">
        <v>21820</v>
      </c>
      <c r="C28" s="241" t="s">
        <v>2634</v>
      </c>
      <c r="D28" s="199"/>
      <c r="E28" s="242">
        <v>21750</v>
      </c>
      <c r="F28" s="242">
        <v>21820</v>
      </c>
      <c r="G28" s="242" t="s">
        <v>1641</v>
      </c>
      <c r="H28" s="199"/>
      <c r="I28" s="199"/>
      <c r="J28" s="199"/>
      <c r="K28" s="199"/>
      <c r="L28" s="242" t="s">
        <v>1234</v>
      </c>
      <c r="M28" s="242"/>
      <c r="N28" s="242"/>
      <c r="O28" s="242"/>
      <c r="P28" s="242"/>
      <c r="Q28" s="242"/>
      <c r="R28" s="242"/>
    </row>
    <row r="29" spans="1:18">
      <c r="A29" s="242">
        <v>21820</v>
      </c>
      <c r="B29" s="242">
        <v>21970</v>
      </c>
      <c r="C29" s="241" t="s">
        <v>699</v>
      </c>
      <c r="E29" s="242">
        <v>21820</v>
      </c>
      <c r="F29" s="242">
        <v>21970</v>
      </c>
      <c r="G29" s="242" t="s">
        <v>699</v>
      </c>
      <c r="H29" s="199"/>
      <c r="I29" s="199"/>
      <c r="J29" s="199"/>
      <c r="K29" s="199"/>
      <c r="L29" s="242"/>
      <c r="M29" s="242"/>
      <c r="N29" s="242"/>
      <c r="O29" s="242"/>
      <c r="P29" s="242"/>
      <c r="Q29" s="242"/>
      <c r="R29" s="242"/>
    </row>
    <row r="30" spans="1:18">
      <c r="A30" s="242">
        <v>21970</v>
      </c>
      <c r="B30" s="242">
        <v>22050</v>
      </c>
      <c r="C30" s="241" t="s">
        <v>2634</v>
      </c>
      <c r="E30" s="242">
        <v>21970</v>
      </c>
      <c r="F30" s="242">
        <v>22050</v>
      </c>
      <c r="G30" s="242" t="s">
        <v>1641</v>
      </c>
    </row>
    <row r="31" spans="1:18">
      <c r="A31" s="242">
        <v>22050</v>
      </c>
      <c r="B31" s="242">
        <v>22900</v>
      </c>
      <c r="C31" s="241" t="s">
        <v>2630</v>
      </c>
      <c r="E31" s="242">
        <v>22050</v>
      </c>
      <c r="F31" s="242">
        <v>22900</v>
      </c>
      <c r="G31" s="242" t="s">
        <v>1639</v>
      </c>
    </row>
    <row r="32" spans="1:18">
      <c r="A32" s="242">
        <v>22900</v>
      </c>
      <c r="B32" s="242">
        <v>23650</v>
      </c>
      <c r="C32" s="241" t="s">
        <v>2630</v>
      </c>
      <c r="E32" s="242">
        <v>22900</v>
      </c>
      <c r="F32" s="242">
        <v>23650</v>
      </c>
      <c r="G32" s="242" t="s">
        <v>1641</v>
      </c>
    </row>
    <row r="33" spans="1:7">
      <c r="A33" s="242">
        <v>23650</v>
      </c>
      <c r="B33" s="242">
        <v>25720</v>
      </c>
      <c r="C33" s="241"/>
      <c r="E33" s="242">
        <v>23650</v>
      </c>
      <c r="F33" s="242">
        <v>25720</v>
      </c>
      <c r="G33" s="242"/>
    </row>
    <row r="35" spans="1:7">
      <c r="A35" s="1277" t="s">
        <v>1651</v>
      </c>
      <c r="B35" s="1277"/>
      <c r="C35" s="1277"/>
      <c r="E35" s="1277" t="s">
        <v>1651</v>
      </c>
      <c r="F35" s="1277"/>
      <c r="G35" s="1277"/>
    </row>
    <row r="38" spans="1:7">
      <c r="A38" s="1276" t="s">
        <v>1649</v>
      </c>
      <c r="B38" s="1276"/>
      <c r="C38" s="1276"/>
      <c r="D38" s="1276"/>
      <c r="E38" s="1276"/>
      <c r="F38" s="1276"/>
      <c r="G38" s="1276"/>
    </row>
    <row r="39" spans="1:7" ht="13.5" thickBot="1"/>
    <row r="40" spans="1:7" ht="30.75" thickBot="1">
      <c r="A40" s="166" t="s">
        <v>1597</v>
      </c>
      <c r="B40" s="166" t="s">
        <v>1598</v>
      </c>
      <c r="C40" s="166" t="s">
        <v>1599</v>
      </c>
    </row>
    <row r="41" spans="1:7">
      <c r="A41" s="244" t="s">
        <v>2636</v>
      </c>
    </row>
    <row r="42" spans="1:7">
      <c r="B42" s="245" t="s">
        <v>2637</v>
      </c>
    </row>
    <row r="43" spans="1:7" ht="14.25">
      <c r="C43" s="267" t="s">
        <v>2638</v>
      </c>
    </row>
  </sheetData>
  <mergeCells count="7">
    <mergeCell ref="A1:C1"/>
    <mergeCell ref="E1:G1"/>
    <mergeCell ref="L1:R1"/>
    <mergeCell ref="L16:R16"/>
    <mergeCell ref="A38:G38"/>
    <mergeCell ref="E35:G35"/>
    <mergeCell ref="A35:C35"/>
  </mergeCell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pageSetUpPr fitToPage="1"/>
  </sheetPr>
  <dimension ref="A2:Y54"/>
  <sheetViews>
    <sheetView zoomScale="60" zoomScaleNormal="60" workbookViewId="0">
      <selection activeCell="D6" sqref="D6"/>
    </sheetView>
  </sheetViews>
  <sheetFormatPr baseColWidth="10" defaultColWidth="11.42578125" defaultRowHeight="12.75"/>
  <cols>
    <col min="1" max="1" width="12.85546875" bestFit="1" customWidth="1"/>
    <col min="2" max="3" width="11.85546875" customWidth="1"/>
    <col min="6" max="6" width="14.140625" bestFit="1" customWidth="1"/>
    <col min="9" max="9" width="14.42578125" customWidth="1"/>
    <col min="10" max="10" width="19.140625" customWidth="1"/>
    <col min="11" max="11" width="19.140625" bestFit="1" customWidth="1"/>
    <col min="14" max="14" width="25" customWidth="1"/>
    <col min="15" max="15" width="18" customWidth="1"/>
    <col min="16" max="16" width="13.85546875" customWidth="1"/>
    <col min="17" max="17" width="14.140625" customWidth="1"/>
    <col min="25" max="25" width="13.42578125" bestFit="1" customWidth="1"/>
  </cols>
  <sheetData>
    <row r="2" spans="1:25">
      <c r="A2" s="1281" t="s">
        <v>1635</v>
      </c>
      <c r="B2" s="1282"/>
      <c r="C2" s="1282"/>
      <c r="D2" s="1282"/>
      <c r="E2" s="1282"/>
      <c r="F2" s="1282"/>
      <c r="G2" s="1282"/>
      <c r="H2" s="1282"/>
      <c r="I2" s="1282"/>
      <c r="J2" s="1282"/>
      <c r="K2" s="1282"/>
      <c r="L2" s="1282"/>
      <c r="M2" s="1282"/>
      <c r="N2" s="1282"/>
      <c r="O2" s="1282"/>
      <c r="P2" s="1282"/>
      <c r="Q2" s="1282"/>
    </row>
    <row r="3" spans="1:25">
      <c r="A3" s="1"/>
      <c r="B3" s="1"/>
      <c r="C3" s="1"/>
      <c r="D3" s="1"/>
      <c r="E3" s="1"/>
      <c r="F3" s="1"/>
      <c r="G3" s="1"/>
      <c r="H3" s="1"/>
      <c r="I3" s="1"/>
    </row>
    <row r="4" spans="1:25" ht="14.25">
      <c r="A4" s="43" t="s">
        <v>475</v>
      </c>
      <c r="B4" s="44"/>
      <c r="C4" s="1"/>
      <c r="D4" s="1286" t="s">
        <v>1653</v>
      </c>
      <c r="E4" s="1286"/>
      <c r="F4" s="1286"/>
      <c r="G4" s="1286"/>
      <c r="H4" s="1286"/>
      <c r="I4" s="1286"/>
      <c r="J4" s="1286"/>
    </row>
    <row r="5" spans="1:25" ht="14.25">
      <c r="A5" s="43" t="s">
        <v>476</v>
      </c>
      <c r="B5" s="45">
        <v>0</v>
      </c>
      <c r="C5" s="1"/>
      <c r="D5" s="1286" t="s">
        <v>2015</v>
      </c>
      <c r="E5" s="1286"/>
      <c r="F5" s="1286"/>
      <c r="G5" s="1286"/>
      <c r="H5" s="1286"/>
      <c r="I5" s="1286"/>
      <c r="J5" s="1286"/>
      <c r="K5" s="1286"/>
    </row>
    <row r="6" spans="1:25" ht="14.25">
      <c r="A6" s="1"/>
      <c r="B6" s="1"/>
      <c r="C6" s="1"/>
      <c r="D6" s="256"/>
      <c r="E6" s="256"/>
      <c r="F6" s="256"/>
      <c r="G6" s="171"/>
      <c r="H6" s="171"/>
      <c r="I6" s="171"/>
      <c r="J6" s="256"/>
    </row>
    <row r="7" spans="1:25" ht="14.25">
      <c r="A7" s="1"/>
      <c r="B7" s="1"/>
      <c r="C7" s="1"/>
      <c r="D7" s="257" t="s">
        <v>1652</v>
      </c>
      <c r="E7" s="257"/>
      <c r="F7" s="257"/>
      <c r="G7" s="258"/>
      <c r="H7" s="258"/>
      <c r="I7" s="258"/>
      <c r="J7" s="257"/>
      <c r="K7" s="255"/>
    </row>
    <row r="8" spans="1:25">
      <c r="A8" s="1"/>
      <c r="B8" s="1"/>
      <c r="C8" s="1"/>
      <c r="D8" s="1"/>
      <c r="E8" s="1"/>
      <c r="F8" s="1"/>
      <c r="G8" s="1"/>
      <c r="H8" s="1"/>
      <c r="I8" s="1"/>
    </row>
    <row r="9" spans="1:25">
      <c r="A9" s="199"/>
      <c r="B9" s="199"/>
      <c r="C9" s="199"/>
      <c r="G9" s="199"/>
      <c r="H9" s="199"/>
      <c r="I9" s="199"/>
      <c r="J9" s="199"/>
      <c r="K9" s="199"/>
      <c r="L9" s="199"/>
    </row>
    <row r="10" spans="1:25">
      <c r="G10" s="199"/>
      <c r="H10" s="199"/>
      <c r="I10" s="199"/>
      <c r="J10" s="199"/>
      <c r="K10" s="199"/>
      <c r="L10" s="199"/>
      <c r="M10" s="199"/>
      <c r="N10" s="199"/>
      <c r="O10" s="199"/>
      <c r="P10" s="199"/>
      <c r="Q10" s="199"/>
    </row>
    <row r="11" spans="1:25">
      <c r="F11" s="199"/>
      <c r="G11" s="199"/>
      <c r="H11" s="199"/>
      <c r="I11" s="199"/>
      <c r="J11" s="199"/>
      <c r="K11" s="199"/>
      <c r="L11" s="199"/>
      <c r="M11" s="199"/>
      <c r="N11" s="199"/>
      <c r="O11" s="199"/>
      <c r="P11" s="199"/>
      <c r="Q11" s="199"/>
    </row>
    <row r="12" spans="1:25" ht="14.25">
      <c r="A12" s="259" t="s">
        <v>1634</v>
      </c>
      <c r="B12" s="152"/>
      <c r="C12" s="152"/>
      <c r="F12" s="199"/>
      <c r="G12" s="199"/>
      <c r="H12" s="199"/>
      <c r="I12" s="199"/>
      <c r="J12" s="199"/>
      <c r="K12" s="199"/>
      <c r="L12" s="199"/>
      <c r="M12" s="199"/>
      <c r="N12" s="199"/>
      <c r="O12" s="199"/>
      <c r="P12" s="199"/>
      <c r="Q12" s="199"/>
    </row>
    <row r="13" spans="1:25" ht="15" thickBot="1">
      <c r="A13" s="259" t="s">
        <v>1636</v>
      </c>
      <c r="B13" s="152"/>
      <c r="C13" s="152"/>
      <c r="F13" s="199"/>
      <c r="G13" s="199"/>
      <c r="H13" s="199"/>
      <c r="I13" s="199"/>
      <c r="J13" s="199"/>
      <c r="K13" s="199"/>
      <c r="L13" s="199"/>
      <c r="M13" s="199"/>
      <c r="N13" s="199"/>
      <c r="O13" s="199"/>
      <c r="P13" s="199"/>
      <c r="Q13" s="199"/>
    </row>
    <row r="14" spans="1:25" ht="15.75">
      <c r="F14" s="1278" t="s">
        <v>1633</v>
      </c>
      <c r="G14" s="1279"/>
      <c r="H14" s="1279"/>
      <c r="I14" s="1279"/>
      <c r="J14" s="1280"/>
      <c r="K14" s="201" t="s">
        <v>1620</v>
      </c>
      <c r="L14" s="1283" t="s">
        <v>1621</v>
      </c>
      <c r="M14" s="1284"/>
      <c r="N14" s="1284"/>
      <c r="O14" s="1285"/>
      <c r="P14" s="1278" t="s">
        <v>1622</v>
      </c>
      <c r="Q14" s="1280"/>
    </row>
    <row r="15" spans="1:25" s="238" customFormat="1" ht="35.25" customHeight="1" thickBot="1">
      <c r="F15" s="235" t="s">
        <v>1623</v>
      </c>
      <c r="G15" s="236" t="s">
        <v>1624</v>
      </c>
      <c r="H15" s="236" t="s">
        <v>1625</v>
      </c>
      <c r="I15" s="236" t="s">
        <v>1626</v>
      </c>
      <c r="J15" s="202" t="s">
        <v>1627</v>
      </c>
      <c r="K15" s="237" t="s">
        <v>1627</v>
      </c>
      <c r="L15" s="235" t="s">
        <v>1628</v>
      </c>
      <c r="M15" s="236" t="s">
        <v>1629</v>
      </c>
      <c r="N15" s="202" t="s">
        <v>1630</v>
      </c>
      <c r="O15" s="239" t="s">
        <v>1631</v>
      </c>
      <c r="P15" s="235" t="s">
        <v>1630</v>
      </c>
      <c r="Q15" s="202" t="s">
        <v>1632</v>
      </c>
      <c r="Y15" s="238">
        <f>1800/0.596</f>
        <v>3020.1342281879197</v>
      </c>
    </row>
    <row r="16" spans="1:25" ht="15">
      <c r="F16" s="203"/>
      <c r="G16" s="204"/>
      <c r="H16" s="204"/>
      <c r="I16" s="204"/>
      <c r="J16" s="205">
        <f>I16-G16</f>
        <v>0</v>
      </c>
      <c r="K16" s="215">
        <v>80</v>
      </c>
      <c r="L16" s="216">
        <f>J16+K16</f>
        <v>80</v>
      </c>
      <c r="M16" s="217">
        <f>L16*1.067</f>
        <v>85.36</v>
      </c>
      <c r="N16" s="218"/>
      <c r="O16" s="219" t="str">
        <f t="shared" ref="O16:O29" si="0">CONCATENATE(F16," to ",H16)</f>
        <v xml:space="preserve"> to </v>
      </c>
      <c r="P16" s="220"/>
      <c r="Q16" s="208"/>
    </row>
    <row r="17" spans="6:17" ht="15">
      <c r="F17" s="209"/>
      <c r="G17" s="210"/>
      <c r="H17" s="210"/>
      <c r="I17" s="210"/>
      <c r="J17" s="211">
        <f>I17-G17</f>
        <v>0</v>
      </c>
      <c r="K17" s="221">
        <v>80</v>
      </c>
      <c r="L17" s="222">
        <f>J17+K17</f>
        <v>80</v>
      </c>
      <c r="M17" s="223">
        <f t="shared" ref="M17:M28" si="1">L17*1.067</f>
        <v>85.36</v>
      </c>
      <c r="N17" s="224"/>
      <c r="O17" s="225" t="str">
        <f t="shared" si="0"/>
        <v xml:space="preserve"> to </v>
      </c>
      <c r="P17" s="51"/>
      <c r="Q17" s="214"/>
    </row>
    <row r="18" spans="6:17" ht="15">
      <c r="F18" s="209"/>
      <c r="G18" s="210"/>
      <c r="H18" s="210"/>
      <c r="I18" s="210"/>
      <c r="J18" s="211">
        <f t="shared" ref="J18:J29" si="2">I18-G18</f>
        <v>0</v>
      </c>
      <c r="K18" s="221">
        <v>80</v>
      </c>
      <c r="L18" s="222">
        <f t="shared" ref="L18:L29" si="3">J18+K18</f>
        <v>80</v>
      </c>
      <c r="M18" s="223">
        <f t="shared" si="1"/>
        <v>85.36</v>
      </c>
      <c r="N18" s="224"/>
      <c r="O18" s="225" t="str">
        <f t="shared" si="0"/>
        <v xml:space="preserve"> to </v>
      </c>
      <c r="P18" s="51"/>
      <c r="Q18" s="214"/>
    </row>
    <row r="19" spans="6:17" ht="15">
      <c r="F19" s="209"/>
      <c r="G19" s="210"/>
      <c r="H19" s="210"/>
      <c r="I19" s="210"/>
      <c r="J19" s="211">
        <f t="shared" si="2"/>
        <v>0</v>
      </c>
      <c r="K19" s="221">
        <v>80</v>
      </c>
      <c r="L19" s="222">
        <f t="shared" si="3"/>
        <v>80</v>
      </c>
      <c r="M19" s="223">
        <f t="shared" si="1"/>
        <v>85.36</v>
      </c>
      <c r="N19" s="224"/>
      <c r="O19" s="225" t="str">
        <f t="shared" si="0"/>
        <v xml:space="preserve"> to </v>
      </c>
      <c r="P19" s="51"/>
      <c r="Q19" s="214"/>
    </row>
    <row r="20" spans="6:17" ht="15">
      <c r="F20" s="209"/>
      <c r="G20" s="210"/>
      <c r="H20" s="210"/>
      <c r="I20" s="210"/>
      <c r="J20" s="211">
        <f t="shared" si="2"/>
        <v>0</v>
      </c>
      <c r="K20" s="221">
        <v>80</v>
      </c>
      <c r="L20" s="222">
        <f t="shared" si="3"/>
        <v>80</v>
      </c>
      <c r="M20" s="223">
        <f t="shared" si="1"/>
        <v>85.36</v>
      </c>
      <c r="N20" s="224"/>
      <c r="O20" s="225" t="str">
        <f t="shared" si="0"/>
        <v xml:space="preserve"> to </v>
      </c>
      <c r="P20" s="51"/>
      <c r="Q20" s="214"/>
    </row>
    <row r="21" spans="6:17" ht="15">
      <c r="F21" s="209"/>
      <c r="G21" s="210"/>
      <c r="H21" s="210"/>
      <c r="I21" s="210"/>
      <c r="J21" s="211">
        <f t="shared" si="2"/>
        <v>0</v>
      </c>
      <c r="K21" s="221">
        <v>80</v>
      </c>
      <c r="L21" s="222">
        <f t="shared" si="3"/>
        <v>80</v>
      </c>
      <c r="M21" s="223">
        <f t="shared" si="1"/>
        <v>85.36</v>
      </c>
      <c r="N21" s="224"/>
      <c r="O21" s="225" t="str">
        <f t="shared" si="0"/>
        <v xml:space="preserve"> to </v>
      </c>
      <c r="P21" s="51"/>
      <c r="Q21" s="214"/>
    </row>
    <row r="22" spans="6:17" ht="15">
      <c r="F22" s="209"/>
      <c r="G22" s="210"/>
      <c r="H22" s="210"/>
      <c r="I22" s="210"/>
      <c r="J22" s="211">
        <f t="shared" si="2"/>
        <v>0</v>
      </c>
      <c r="K22" s="221">
        <v>80</v>
      </c>
      <c r="L22" s="222">
        <f t="shared" si="3"/>
        <v>80</v>
      </c>
      <c r="M22" s="223">
        <f t="shared" si="1"/>
        <v>85.36</v>
      </c>
      <c r="N22" s="224"/>
      <c r="O22" s="225" t="str">
        <f t="shared" si="0"/>
        <v xml:space="preserve"> to </v>
      </c>
      <c r="P22" s="51"/>
      <c r="Q22" s="214"/>
    </row>
    <row r="23" spans="6:17" ht="15">
      <c r="F23" s="209"/>
      <c r="G23" s="210"/>
      <c r="H23" s="210"/>
      <c r="I23" s="210"/>
      <c r="J23" s="211">
        <f t="shared" si="2"/>
        <v>0</v>
      </c>
      <c r="K23" s="221">
        <v>80</v>
      </c>
      <c r="L23" s="222">
        <f t="shared" si="3"/>
        <v>80</v>
      </c>
      <c r="M23" s="223">
        <f t="shared" si="1"/>
        <v>85.36</v>
      </c>
      <c r="N23" s="224"/>
      <c r="O23" s="225" t="str">
        <f t="shared" si="0"/>
        <v xml:space="preserve"> to </v>
      </c>
      <c r="P23" s="51"/>
      <c r="Q23" s="214"/>
    </row>
    <row r="24" spans="6:17" ht="15">
      <c r="F24" s="209"/>
      <c r="G24" s="210"/>
      <c r="H24" s="210"/>
      <c r="I24" s="210"/>
      <c r="J24" s="211">
        <f t="shared" si="2"/>
        <v>0</v>
      </c>
      <c r="K24" s="221">
        <v>80</v>
      </c>
      <c r="L24" s="222">
        <f t="shared" si="3"/>
        <v>80</v>
      </c>
      <c r="M24" s="223">
        <f t="shared" si="1"/>
        <v>85.36</v>
      </c>
      <c r="N24" s="224"/>
      <c r="O24" s="225" t="str">
        <f t="shared" si="0"/>
        <v xml:space="preserve"> to </v>
      </c>
      <c r="P24" s="51"/>
      <c r="Q24" s="214"/>
    </row>
    <row r="25" spans="6:17" ht="15">
      <c r="F25" s="209"/>
      <c r="G25" s="210"/>
      <c r="H25" s="210"/>
      <c r="I25" s="210"/>
      <c r="J25" s="211">
        <f t="shared" si="2"/>
        <v>0</v>
      </c>
      <c r="K25" s="221">
        <v>80</v>
      </c>
      <c r="L25" s="222">
        <f t="shared" si="3"/>
        <v>80</v>
      </c>
      <c r="M25" s="223">
        <f t="shared" si="1"/>
        <v>85.36</v>
      </c>
      <c r="N25" s="224"/>
      <c r="O25" s="225" t="str">
        <f t="shared" si="0"/>
        <v xml:space="preserve"> to </v>
      </c>
      <c r="P25" s="51"/>
      <c r="Q25" s="214"/>
    </row>
    <row r="26" spans="6:17" ht="15">
      <c r="F26" s="209"/>
      <c r="G26" s="210"/>
      <c r="H26" s="210"/>
      <c r="I26" s="210"/>
      <c r="J26" s="211">
        <f t="shared" si="2"/>
        <v>0</v>
      </c>
      <c r="K26" s="221">
        <v>80</v>
      </c>
      <c r="L26" s="222">
        <f t="shared" si="3"/>
        <v>80</v>
      </c>
      <c r="M26" s="223">
        <f t="shared" si="1"/>
        <v>85.36</v>
      </c>
      <c r="N26" s="224"/>
      <c r="O26" s="225" t="str">
        <f t="shared" si="0"/>
        <v xml:space="preserve"> to </v>
      </c>
      <c r="P26" s="51"/>
      <c r="Q26" s="214"/>
    </row>
    <row r="27" spans="6:17" ht="15">
      <c r="F27" s="209"/>
      <c r="G27" s="210"/>
      <c r="H27" s="210"/>
      <c r="I27" s="210"/>
      <c r="J27" s="211">
        <f t="shared" si="2"/>
        <v>0</v>
      </c>
      <c r="K27" s="221">
        <v>80</v>
      </c>
      <c r="L27" s="222">
        <f t="shared" si="3"/>
        <v>80</v>
      </c>
      <c r="M27" s="223">
        <f t="shared" si="1"/>
        <v>85.36</v>
      </c>
      <c r="N27" s="224"/>
      <c r="O27" s="225" t="str">
        <f t="shared" si="0"/>
        <v xml:space="preserve"> to </v>
      </c>
      <c r="P27" s="51"/>
      <c r="Q27" s="214"/>
    </row>
    <row r="28" spans="6:17" ht="15">
      <c r="F28" s="209"/>
      <c r="G28" s="210"/>
      <c r="H28" s="210"/>
      <c r="I28" s="210"/>
      <c r="J28" s="211">
        <f t="shared" si="2"/>
        <v>0</v>
      </c>
      <c r="K28" s="221">
        <v>80</v>
      </c>
      <c r="L28" s="222">
        <f t="shared" si="3"/>
        <v>80</v>
      </c>
      <c r="M28" s="223">
        <f t="shared" si="1"/>
        <v>85.36</v>
      </c>
      <c r="N28" s="224"/>
      <c r="O28" s="225" t="str">
        <f t="shared" si="0"/>
        <v xml:space="preserve"> to </v>
      </c>
      <c r="P28" s="51"/>
      <c r="Q28" s="214"/>
    </row>
    <row r="29" spans="6:17" ht="15.75" thickBot="1">
      <c r="F29" s="226"/>
      <c r="G29" s="227"/>
      <c r="H29" s="227"/>
      <c r="I29" s="227"/>
      <c r="J29" s="228">
        <f t="shared" si="2"/>
        <v>0</v>
      </c>
      <c r="K29" s="229">
        <v>80</v>
      </c>
      <c r="L29" s="230">
        <f t="shared" si="3"/>
        <v>80</v>
      </c>
      <c r="M29" s="231">
        <f>L29*1.067</f>
        <v>85.36</v>
      </c>
      <c r="N29" s="232"/>
      <c r="O29" s="233" t="str">
        <f t="shared" si="0"/>
        <v xml:space="preserve"> to </v>
      </c>
      <c r="P29" s="52"/>
      <c r="Q29" s="234"/>
    </row>
    <row r="37" spans="1:17">
      <c r="A37" s="199"/>
      <c r="B37" s="199"/>
      <c r="C37" s="199"/>
      <c r="D37" s="199"/>
      <c r="E37" s="199"/>
      <c r="F37" s="199"/>
      <c r="G37" s="199"/>
      <c r="H37" s="199"/>
      <c r="I37" s="199"/>
      <c r="J37" s="199"/>
      <c r="K37" s="199"/>
      <c r="L37" s="199"/>
      <c r="M37" s="199"/>
      <c r="N37" s="199"/>
      <c r="O37" s="200"/>
      <c r="P37" s="199"/>
      <c r="Q37" s="199"/>
    </row>
    <row r="38" spans="1:17">
      <c r="A38" s="199"/>
      <c r="B38" s="199"/>
      <c r="C38" s="199"/>
      <c r="D38" s="199"/>
      <c r="E38" s="199"/>
      <c r="F38" s="199"/>
      <c r="G38" s="199"/>
      <c r="H38" s="199"/>
      <c r="I38" s="199"/>
      <c r="J38" s="199"/>
      <c r="K38" s="199"/>
      <c r="L38" s="199"/>
      <c r="M38" s="199"/>
      <c r="N38" s="199"/>
      <c r="O38" s="200"/>
      <c r="P38" s="199"/>
      <c r="Q38" s="199"/>
    </row>
    <row r="39" spans="1:17">
      <c r="A39" s="199"/>
      <c r="B39" s="199"/>
      <c r="C39" s="199"/>
      <c r="D39" s="199"/>
      <c r="E39" s="199"/>
      <c r="F39" s="199"/>
      <c r="G39" s="199"/>
      <c r="H39" s="199"/>
      <c r="I39" s="199"/>
      <c r="J39" s="199"/>
      <c r="K39" s="199"/>
      <c r="L39" s="199"/>
      <c r="M39" s="199"/>
      <c r="N39" s="199"/>
      <c r="O39" s="200"/>
      <c r="P39" s="199"/>
      <c r="Q39" s="199"/>
    </row>
    <row r="40" spans="1:17" ht="13.5" thickBot="1">
      <c r="A40" s="199"/>
      <c r="B40" s="199"/>
      <c r="C40" s="199"/>
      <c r="D40" s="199"/>
      <c r="E40" s="199"/>
      <c r="F40" s="199"/>
      <c r="G40" s="199"/>
      <c r="H40" s="199"/>
      <c r="I40" s="199"/>
      <c r="J40" s="199"/>
      <c r="K40" s="199"/>
      <c r="L40" s="199"/>
      <c r="M40" s="199"/>
      <c r="N40" s="199"/>
      <c r="O40" s="200"/>
      <c r="P40" s="199"/>
      <c r="Q40" s="199"/>
    </row>
    <row r="41" spans="1:17" ht="15.75">
      <c r="A41" s="1278" t="s">
        <v>1618</v>
      </c>
      <c r="B41" s="1279"/>
      <c r="C41" s="1279"/>
      <c r="D41" s="1279"/>
      <c r="E41" s="1280"/>
      <c r="F41" s="1278" t="s">
        <v>1619</v>
      </c>
      <c r="G41" s="1279"/>
      <c r="H41" s="1279"/>
      <c r="I41" s="1279"/>
      <c r="J41" s="1280"/>
      <c r="K41" s="201" t="s">
        <v>1620</v>
      </c>
      <c r="L41" s="1283" t="s">
        <v>1621</v>
      </c>
      <c r="M41" s="1284"/>
      <c r="N41" s="1284"/>
      <c r="O41" s="1285"/>
      <c r="P41" s="1278" t="s">
        <v>1622</v>
      </c>
      <c r="Q41" s="1280"/>
    </row>
    <row r="42" spans="1:17" s="238" customFormat="1" ht="32.25" thickBot="1">
      <c r="A42" s="235" t="s">
        <v>1623</v>
      </c>
      <c r="B42" s="236" t="s">
        <v>1624</v>
      </c>
      <c r="C42" s="236" t="s">
        <v>1625</v>
      </c>
      <c r="D42" s="236" t="s">
        <v>1626</v>
      </c>
      <c r="E42" s="202" t="s">
        <v>1627</v>
      </c>
      <c r="F42" s="235" t="s">
        <v>1623</v>
      </c>
      <c r="G42" s="236" t="s">
        <v>1624</v>
      </c>
      <c r="H42" s="236" t="s">
        <v>1625</v>
      </c>
      <c r="I42" s="236" t="s">
        <v>1626</v>
      </c>
      <c r="J42" s="202" t="s">
        <v>1627</v>
      </c>
      <c r="K42" s="237" t="s">
        <v>1627</v>
      </c>
      <c r="L42" s="235" t="s">
        <v>1628</v>
      </c>
      <c r="M42" s="236" t="s">
        <v>1629</v>
      </c>
      <c r="N42" s="202" t="s">
        <v>1630</v>
      </c>
      <c r="O42" s="202" t="s">
        <v>1631</v>
      </c>
      <c r="P42" s="235" t="s">
        <v>1630</v>
      </c>
      <c r="Q42" s="202" t="s">
        <v>1632</v>
      </c>
    </row>
    <row r="43" spans="1:17">
      <c r="A43" s="203"/>
      <c r="B43" s="204"/>
      <c r="C43" s="204"/>
      <c r="D43" s="204"/>
      <c r="E43" s="205">
        <f>D43-B43</f>
        <v>0</v>
      </c>
      <c r="F43" s="206"/>
      <c r="G43" s="204"/>
      <c r="H43" s="204"/>
      <c r="I43" s="204"/>
      <c r="J43" s="207">
        <f>I43-G43</f>
        <v>0</v>
      </c>
      <c r="K43" s="1287">
        <v>20</v>
      </c>
      <c r="L43" s="1289">
        <f>E43+J43+E44+J44+K43</f>
        <v>20</v>
      </c>
      <c r="M43" s="1291">
        <f>L43*0.596</f>
        <v>11.92</v>
      </c>
      <c r="N43" s="1293"/>
      <c r="O43" s="1295" t="str">
        <f t="shared" ref="O43:O53" si="4">CONCATENATE(A43, " to ", C43," &amp; ",A44," to ",C44)</f>
        <v xml:space="preserve"> to  &amp;  to </v>
      </c>
      <c r="P43" s="49"/>
      <c r="Q43" s="208"/>
    </row>
    <row r="44" spans="1:17">
      <c r="A44" s="209"/>
      <c r="B44" s="210"/>
      <c r="C44" s="210"/>
      <c r="D44" s="210"/>
      <c r="E44" s="211">
        <f>D44-B44</f>
        <v>0</v>
      </c>
      <c r="F44" s="212"/>
      <c r="G44" s="210"/>
      <c r="H44" s="210"/>
      <c r="I44" s="210"/>
      <c r="J44" s="213">
        <f>I44-G44</f>
        <v>0</v>
      </c>
      <c r="K44" s="1288"/>
      <c r="L44" s="1290"/>
      <c r="M44" s="1292"/>
      <c r="N44" s="1294"/>
      <c r="O44" s="1296"/>
      <c r="P44" s="50"/>
      <c r="Q44" s="214"/>
    </row>
    <row r="45" spans="1:17">
      <c r="A45" s="209"/>
      <c r="B45" s="210"/>
      <c r="C45" s="210"/>
      <c r="D45" s="210"/>
      <c r="E45" s="211">
        <f t="shared" ref="E45:E54" si="5">D45-B45</f>
        <v>0</v>
      </c>
      <c r="F45" s="212"/>
      <c r="G45" s="210"/>
      <c r="H45" s="210"/>
      <c r="I45" s="210"/>
      <c r="J45" s="213">
        <f t="shared" ref="J45:J54" si="6">I45-G45</f>
        <v>0</v>
      </c>
      <c r="K45" s="1288">
        <v>20</v>
      </c>
      <c r="L45" s="1290">
        <f>E45+J45+E46+J46+K45</f>
        <v>20</v>
      </c>
      <c r="M45" s="1292">
        <f t="shared" ref="M45" si="7">L45*0.596</f>
        <v>11.92</v>
      </c>
      <c r="N45" s="1294"/>
      <c r="O45" s="1296" t="str">
        <f t="shared" si="4"/>
        <v xml:space="preserve"> to  &amp;  to </v>
      </c>
      <c r="P45" s="50"/>
      <c r="Q45" s="214"/>
    </row>
    <row r="46" spans="1:17">
      <c r="A46" s="209"/>
      <c r="B46" s="210"/>
      <c r="C46" s="210"/>
      <c r="D46" s="210"/>
      <c r="E46" s="211">
        <f t="shared" si="5"/>
        <v>0</v>
      </c>
      <c r="F46" s="212"/>
      <c r="G46" s="210"/>
      <c r="H46" s="210"/>
      <c r="I46" s="210"/>
      <c r="J46" s="213">
        <f t="shared" si="6"/>
        <v>0</v>
      </c>
      <c r="K46" s="1288"/>
      <c r="L46" s="1290"/>
      <c r="M46" s="1292"/>
      <c r="N46" s="1294"/>
      <c r="O46" s="1296"/>
      <c r="P46" s="50"/>
      <c r="Q46" s="214"/>
    </row>
    <row r="47" spans="1:17">
      <c r="A47" s="209"/>
      <c r="B47" s="210"/>
      <c r="C47" s="210"/>
      <c r="D47" s="210"/>
      <c r="E47" s="211">
        <f t="shared" si="5"/>
        <v>0</v>
      </c>
      <c r="F47" s="212"/>
      <c r="G47" s="210"/>
      <c r="H47" s="210"/>
      <c r="I47" s="210"/>
      <c r="J47" s="213">
        <f t="shared" si="6"/>
        <v>0</v>
      </c>
      <c r="K47" s="1288">
        <v>20</v>
      </c>
      <c r="L47" s="1290">
        <f t="shared" ref="L47" si="8">E47+J47+E48+J48+K47</f>
        <v>20</v>
      </c>
      <c r="M47" s="1292">
        <f t="shared" ref="M47" si="9">L47*0.596</f>
        <v>11.92</v>
      </c>
      <c r="N47" s="1294"/>
      <c r="O47" s="1296" t="str">
        <f t="shared" si="4"/>
        <v xml:space="preserve"> to  &amp;  to </v>
      </c>
      <c r="P47" s="50"/>
      <c r="Q47" s="214"/>
    </row>
    <row r="48" spans="1:17">
      <c r="A48" s="209"/>
      <c r="B48" s="210"/>
      <c r="C48" s="210"/>
      <c r="D48" s="210"/>
      <c r="E48" s="211">
        <f t="shared" si="5"/>
        <v>0</v>
      </c>
      <c r="F48" s="212"/>
      <c r="G48" s="210"/>
      <c r="H48" s="210"/>
      <c r="I48" s="210"/>
      <c r="J48" s="213">
        <f t="shared" si="6"/>
        <v>0</v>
      </c>
      <c r="K48" s="1288"/>
      <c r="L48" s="1290"/>
      <c r="M48" s="1292"/>
      <c r="N48" s="1294"/>
      <c r="O48" s="1296"/>
      <c r="P48" s="50"/>
      <c r="Q48" s="214"/>
    </row>
    <row r="49" spans="1:17">
      <c r="A49" s="209"/>
      <c r="B49" s="210"/>
      <c r="C49" s="210"/>
      <c r="D49" s="210"/>
      <c r="E49" s="211">
        <f t="shared" si="5"/>
        <v>0</v>
      </c>
      <c r="F49" s="212"/>
      <c r="G49" s="210"/>
      <c r="H49" s="210"/>
      <c r="I49" s="210"/>
      <c r="J49" s="213">
        <f t="shared" si="6"/>
        <v>0</v>
      </c>
      <c r="K49" s="1288">
        <v>20</v>
      </c>
      <c r="L49" s="1290">
        <f t="shared" ref="L49" si="10">E49+J49+E50+J50+K49</f>
        <v>20</v>
      </c>
      <c r="M49" s="1292">
        <f t="shared" ref="M49" si="11">L49*0.596</f>
        <v>11.92</v>
      </c>
      <c r="N49" s="1297"/>
      <c r="O49" s="1299" t="str">
        <f t="shared" si="4"/>
        <v xml:space="preserve"> to  &amp;  to </v>
      </c>
      <c r="P49" s="50"/>
      <c r="Q49" s="214"/>
    </row>
    <row r="50" spans="1:17">
      <c r="A50" s="209"/>
      <c r="B50" s="210"/>
      <c r="C50" s="210"/>
      <c r="D50" s="210"/>
      <c r="E50" s="211">
        <f t="shared" si="5"/>
        <v>0</v>
      </c>
      <c r="F50" s="212"/>
      <c r="G50" s="210"/>
      <c r="H50" s="210"/>
      <c r="I50" s="210"/>
      <c r="J50" s="213">
        <f t="shared" si="6"/>
        <v>0</v>
      </c>
      <c r="K50" s="1288"/>
      <c r="L50" s="1290"/>
      <c r="M50" s="1292"/>
      <c r="N50" s="1298"/>
      <c r="O50" s="1300"/>
      <c r="P50" s="50"/>
      <c r="Q50" s="214"/>
    </row>
    <row r="51" spans="1:17">
      <c r="A51" s="209"/>
      <c r="B51" s="210"/>
      <c r="C51" s="210"/>
      <c r="D51" s="210"/>
      <c r="E51" s="211">
        <f t="shared" si="5"/>
        <v>0</v>
      </c>
      <c r="F51" s="212"/>
      <c r="G51" s="210"/>
      <c r="H51" s="210"/>
      <c r="I51" s="210"/>
      <c r="J51" s="213">
        <f t="shared" si="6"/>
        <v>0</v>
      </c>
      <c r="K51" s="1288">
        <v>20</v>
      </c>
      <c r="L51" s="1290">
        <f t="shared" ref="L51" si="12">E51+J51+E52+J52+K51</f>
        <v>20</v>
      </c>
      <c r="M51" s="1292">
        <f t="shared" ref="M51" si="13">L51*0.596</f>
        <v>11.92</v>
      </c>
      <c r="N51" s="1294"/>
      <c r="O51" s="1296" t="str">
        <f t="shared" si="4"/>
        <v xml:space="preserve"> to  &amp;  to </v>
      </c>
      <c r="P51" s="50"/>
      <c r="Q51" s="214"/>
    </row>
    <row r="52" spans="1:17">
      <c r="A52" s="209"/>
      <c r="B52" s="210"/>
      <c r="C52" s="210"/>
      <c r="D52" s="210"/>
      <c r="E52" s="211">
        <f t="shared" si="5"/>
        <v>0</v>
      </c>
      <c r="F52" s="212"/>
      <c r="G52" s="210"/>
      <c r="H52" s="210"/>
      <c r="I52" s="210"/>
      <c r="J52" s="213">
        <f t="shared" si="6"/>
        <v>0</v>
      </c>
      <c r="K52" s="1288"/>
      <c r="L52" s="1290"/>
      <c r="M52" s="1292"/>
      <c r="N52" s="1294"/>
      <c r="O52" s="1296"/>
      <c r="P52" s="50"/>
      <c r="Q52" s="214"/>
    </row>
    <row r="53" spans="1:17">
      <c r="A53" s="209"/>
      <c r="B53" s="210"/>
      <c r="C53" s="210"/>
      <c r="D53" s="210"/>
      <c r="E53" s="211">
        <f t="shared" si="5"/>
        <v>0</v>
      </c>
      <c r="F53" s="212"/>
      <c r="G53" s="210"/>
      <c r="H53" s="210"/>
      <c r="I53" s="210"/>
      <c r="J53" s="213">
        <f t="shared" si="6"/>
        <v>0</v>
      </c>
      <c r="K53" s="1288">
        <v>20</v>
      </c>
      <c r="L53" s="1290">
        <f t="shared" ref="L53" si="14">E53+J53+E54+J54+K53</f>
        <v>20</v>
      </c>
      <c r="M53" s="1292">
        <f>L53*0.596</f>
        <v>11.92</v>
      </c>
      <c r="N53" s="1294"/>
      <c r="O53" s="1296" t="str">
        <f t="shared" si="4"/>
        <v xml:space="preserve"> to  &amp;  to </v>
      </c>
      <c r="P53" s="50"/>
      <c r="Q53" s="214"/>
    </row>
    <row r="54" spans="1:17">
      <c r="A54" s="209"/>
      <c r="B54" s="210"/>
      <c r="C54" s="210"/>
      <c r="D54" s="210"/>
      <c r="E54" s="211">
        <f t="shared" si="5"/>
        <v>0</v>
      </c>
      <c r="F54" s="212"/>
      <c r="G54" s="210"/>
      <c r="H54" s="210"/>
      <c r="I54" s="210"/>
      <c r="J54" s="213">
        <f t="shared" si="6"/>
        <v>0</v>
      </c>
      <c r="K54" s="1288"/>
      <c r="L54" s="1290"/>
      <c r="M54" s="1292"/>
      <c r="N54" s="1294"/>
      <c r="O54" s="1296"/>
      <c r="P54" s="50"/>
      <c r="Q54" s="214"/>
    </row>
  </sheetData>
  <mergeCells count="40">
    <mergeCell ref="K51:K52"/>
    <mergeCell ref="L51:L52"/>
    <mergeCell ref="M51:M52"/>
    <mergeCell ref="N51:N52"/>
    <mergeCell ref="O51:O52"/>
    <mergeCell ref="K53:K54"/>
    <mergeCell ref="L53:L54"/>
    <mergeCell ref="M53:M54"/>
    <mergeCell ref="N53:N54"/>
    <mergeCell ref="O53:O54"/>
    <mergeCell ref="N49:N50"/>
    <mergeCell ref="O49:O50"/>
    <mergeCell ref="K47:K48"/>
    <mergeCell ref="L47:L48"/>
    <mergeCell ref="M47:M48"/>
    <mergeCell ref="N47:N48"/>
    <mergeCell ref="O47:O48"/>
    <mergeCell ref="K49:K50"/>
    <mergeCell ref="L49:L50"/>
    <mergeCell ref="M49:M50"/>
    <mergeCell ref="K45:K46"/>
    <mergeCell ref="L45:L46"/>
    <mergeCell ref="M45:M46"/>
    <mergeCell ref="N45:N46"/>
    <mergeCell ref="O45:O46"/>
    <mergeCell ref="K43:K44"/>
    <mergeCell ref="L43:L44"/>
    <mergeCell ref="M43:M44"/>
    <mergeCell ref="N43:N44"/>
    <mergeCell ref="O43:O44"/>
    <mergeCell ref="A41:E41"/>
    <mergeCell ref="F41:J41"/>
    <mergeCell ref="A2:Q2"/>
    <mergeCell ref="L41:O41"/>
    <mergeCell ref="P41:Q41"/>
    <mergeCell ref="F14:J14"/>
    <mergeCell ref="L14:O14"/>
    <mergeCell ref="P14:Q14"/>
    <mergeCell ref="D4:J4"/>
    <mergeCell ref="D5:K5"/>
  </mergeCells>
  <dataValidations disablePrompts="1" count="2">
    <dataValidation type="list" allowBlank="1" showInputMessage="1" showErrorMessage="1" sqref="P16:P29">
      <formula1>$S$3:$S$6</formula1>
    </dataValidation>
    <dataValidation type="list" allowBlank="1" showInputMessage="1" showErrorMessage="1" sqref="P43:P54">
      <formula1>$X$3:$X$6</formula1>
    </dataValidation>
  </dataValidations>
  <pageMargins left="0.70866141732283472" right="0.70866141732283472" top="0.74803149606299213" bottom="0.74803149606299213" header="0.31496062992125984" footer="0.31496062992125984"/>
  <pageSetup paperSize="9" scale="53" orientation="landscape" r:id="rId1"/>
  <rowBreaks count="1" manualBreakCount="1">
    <brk id="58" max="16383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B2:D47"/>
  <sheetViews>
    <sheetView showZeros="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15" sqref="C15"/>
    </sheetView>
  </sheetViews>
  <sheetFormatPr baseColWidth="10" defaultColWidth="11.42578125" defaultRowHeight="12.75"/>
  <cols>
    <col min="1" max="1" width="2" style="4" customWidth="1"/>
    <col min="2" max="2" width="44" style="4" customWidth="1"/>
    <col min="3" max="4" width="20.85546875" style="13" customWidth="1"/>
    <col min="5" max="16384" width="11.42578125" style="4"/>
  </cols>
  <sheetData>
    <row r="2" spans="2:4" ht="13.5">
      <c r="B2" s="41" t="s">
        <v>1230</v>
      </c>
      <c r="C2" s="5"/>
      <c r="D2" s="5"/>
    </row>
    <row r="3" spans="2:4">
      <c r="B3" s="6"/>
      <c r="C3" s="5"/>
      <c r="D3" s="5"/>
    </row>
    <row r="4" spans="2:4">
      <c r="B4" s="23"/>
      <c r="C4" s="7" t="s">
        <v>56</v>
      </c>
      <c r="D4" s="33" t="s">
        <v>55</v>
      </c>
    </row>
    <row r="5" spans="2:4">
      <c r="B5" s="24" t="s">
        <v>208</v>
      </c>
      <c r="C5" s="16">
        <f>607*2</f>
        <v>1214</v>
      </c>
      <c r="D5" s="40"/>
    </row>
    <row r="6" spans="2:4">
      <c r="B6" s="20"/>
      <c r="C6" s="8"/>
      <c r="D6" s="34"/>
    </row>
    <row r="7" spans="2:4">
      <c r="B7" s="25" t="s">
        <v>209</v>
      </c>
      <c r="C7" s="8" t="e">
        <f>SUM(#REF!)</f>
        <v>#REF!</v>
      </c>
      <c r="D7" s="34"/>
    </row>
    <row r="8" spans="2:4">
      <c r="B8" s="25" t="s">
        <v>210</v>
      </c>
      <c r="C8" s="8" t="e">
        <f>+#REF!</f>
        <v>#REF!</v>
      </c>
      <c r="D8" s="34"/>
    </row>
    <row r="9" spans="2:4">
      <c r="B9" s="25"/>
      <c r="C9" s="8"/>
      <c r="D9" s="34"/>
    </row>
    <row r="10" spans="2:4" ht="12.75" customHeight="1">
      <c r="B10" s="24" t="s">
        <v>61</v>
      </c>
      <c r="C10" s="14" t="e">
        <f>SUM(C7:C8)</f>
        <v>#REF!</v>
      </c>
      <c r="D10" s="14"/>
    </row>
    <row r="11" spans="2:4" ht="15" customHeight="1">
      <c r="B11" s="25"/>
      <c r="C11" s="8"/>
      <c r="D11" s="34"/>
    </row>
    <row r="12" spans="2:4" ht="15" customHeight="1">
      <c r="B12" s="25" t="s">
        <v>211</v>
      </c>
      <c r="C12" s="8" t="e">
        <f>SUM(#REF!)</f>
        <v>#REF!</v>
      </c>
      <c r="D12" s="34"/>
    </row>
    <row r="13" spans="2:4">
      <c r="B13" s="26" t="s">
        <v>63</v>
      </c>
      <c r="C13" s="17"/>
      <c r="D13" s="34"/>
    </row>
    <row r="14" spans="2:4">
      <c r="B14" s="25" t="s">
        <v>212</v>
      </c>
      <c r="C14" s="8" t="e">
        <f>#REF!</f>
        <v>#REF!</v>
      </c>
      <c r="D14" s="34"/>
    </row>
    <row r="15" spans="2:4">
      <c r="B15" s="25" t="s">
        <v>213</v>
      </c>
      <c r="C15" s="8" t="e">
        <f>#REF!</f>
        <v>#REF!</v>
      </c>
      <c r="D15" s="34"/>
    </row>
    <row r="16" spans="2:4" s="9" customFormat="1">
      <c r="B16" s="25" t="s">
        <v>214</v>
      </c>
      <c r="C16" s="8" t="e">
        <f>#REF!</f>
        <v>#REF!</v>
      </c>
      <c r="D16" s="34"/>
    </row>
    <row r="17" spans="2:4" s="9" customFormat="1">
      <c r="B17" s="25" t="s">
        <v>60</v>
      </c>
      <c r="C17" s="8" t="e">
        <f>#REF!</f>
        <v>#REF!</v>
      </c>
      <c r="D17" s="34"/>
    </row>
    <row r="18" spans="2:4" s="9" customFormat="1">
      <c r="B18" s="25"/>
      <c r="C18" s="8"/>
      <c r="D18" s="34"/>
    </row>
    <row r="19" spans="2:4" s="9" customFormat="1">
      <c r="B19" s="24" t="s">
        <v>62</v>
      </c>
      <c r="C19" s="14" t="e">
        <f>SUM(C12:C18)</f>
        <v>#REF!</v>
      </c>
      <c r="D19" s="14"/>
    </row>
    <row r="20" spans="2:4" s="9" customFormat="1">
      <c r="B20" s="27"/>
      <c r="C20" s="8"/>
      <c r="D20" s="34"/>
    </row>
    <row r="21" spans="2:4" s="9" customFormat="1">
      <c r="B21" s="178" t="s">
        <v>1601</v>
      </c>
      <c r="C21" s="8" t="e">
        <f>+SUM(#REF!)</f>
        <v>#REF!</v>
      </c>
      <c r="D21" s="34"/>
    </row>
    <row r="22" spans="2:4" s="9" customFormat="1">
      <c r="B22" s="25"/>
      <c r="C22" s="8"/>
      <c r="D22" s="34"/>
    </row>
    <row r="23" spans="2:4">
      <c r="B23" s="20"/>
      <c r="C23" s="8"/>
      <c r="D23" s="34"/>
    </row>
    <row r="24" spans="2:4">
      <c r="B24" s="24" t="s">
        <v>215</v>
      </c>
      <c r="C24" s="14" t="e">
        <f>+SUM(#REF!)</f>
        <v>#REF!</v>
      </c>
      <c r="D24" s="35"/>
    </row>
    <row r="25" spans="2:4">
      <c r="B25" s="28"/>
      <c r="C25" s="8"/>
      <c r="D25" s="34"/>
    </row>
    <row r="26" spans="2:4">
      <c r="B26" s="29" t="s">
        <v>216</v>
      </c>
      <c r="C26" s="11" t="e">
        <f>+C24/C5</f>
        <v>#REF!</v>
      </c>
      <c r="D26" s="36"/>
    </row>
    <row r="27" spans="2:4">
      <c r="B27" s="20"/>
      <c r="C27" s="8"/>
      <c r="D27" s="34"/>
    </row>
    <row r="28" spans="2:4">
      <c r="B28" s="24" t="s">
        <v>380</v>
      </c>
      <c r="C28" s="14"/>
      <c r="D28" s="35"/>
    </row>
    <row r="29" spans="2:4">
      <c r="B29" s="20"/>
      <c r="C29" s="8"/>
      <c r="D29" s="34"/>
    </row>
    <row r="30" spans="2:4">
      <c r="B30" s="28" t="s">
        <v>217</v>
      </c>
      <c r="C30" s="149" t="e">
        <f>#REF!</f>
        <v>#REF!</v>
      </c>
      <c r="D30" s="18"/>
    </row>
    <row r="31" spans="2:4">
      <c r="B31" s="28" t="s">
        <v>218</v>
      </c>
      <c r="C31" s="149" t="e">
        <f>#REF!-C32</f>
        <v>#REF!</v>
      </c>
      <c r="D31" s="18"/>
    </row>
    <row r="32" spans="2:4">
      <c r="B32" s="28" t="s">
        <v>66</v>
      </c>
      <c r="C32" s="254">
        <f>(37-18)*2*2</f>
        <v>76</v>
      </c>
      <c r="D32" s="18"/>
    </row>
    <row r="33" spans="2:4">
      <c r="B33" s="28" t="s">
        <v>219</v>
      </c>
      <c r="C33" s="19" t="e">
        <f>#REF!</f>
        <v>#REF!</v>
      </c>
      <c r="D33" s="18"/>
    </row>
    <row r="34" spans="2:4" ht="9" customHeight="1">
      <c r="B34" s="20"/>
      <c r="C34" s="12"/>
      <c r="D34" s="21"/>
    </row>
    <row r="35" spans="2:4">
      <c r="B35" s="30" t="s">
        <v>220</v>
      </c>
      <c r="C35" s="15" t="e">
        <f>+C30/C28*1000</f>
        <v>#REF!</v>
      </c>
      <c r="D35" s="37"/>
    </row>
    <row r="36" spans="2:4">
      <c r="B36" s="20"/>
      <c r="C36" s="12"/>
      <c r="D36" s="21"/>
    </row>
    <row r="37" spans="2:4">
      <c r="B37" s="24" t="s">
        <v>221</v>
      </c>
      <c r="C37" s="10"/>
      <c r="D37" s="38"/>
    </row>
    <row r="38" spans="2:4">
      <c r="B38" s="25" t="s">
        <v>222</v>
      </c>
      <c r="C38" s="14" t="e">
        <f>SUM(#REF!)</f>
        <v>#REF!</v>
      </c>
      <c r="D38" s="35"/>
    </row>
    <row r="39" spans="2:4">
      <c r="B39" s="31" t="s">
        <v>223</v>
      </c>
      <c r="C39" s="8"/>
      <c r="D39" s="34"/>
    </row>
    <row r="40" spans="2:4">
      <c r="B40" s="25" t="s">
        <v>224</v>
      </c>
      <c r="C40" s="8" t="e">
        <f>#REF!</f>
        <v>#REF!</v>
      </c>
      <c r="D40" s="34"/>
    </row>
    <row r="41" spans="2:4">
      <c r="B41" s="25" t="s">
        <v>225</v>
      </c>
      <c r="C41" s="8" t="e">
        <f>#REF!</f>
        <v>#REF!</v>
      </c>
      <c r="D41" s="34"/>
    </row>
    <row r="42" spans="2:4">
      <c r="B42" s="26" t="s">
        <v>381</v>
      </c>
      <c r="C42" s="8"/>
      <c r="D42" s="34"/>
    </row>
    <row r="43" spans="2:4">
      <c r="B43" s="25" t="s">
        <v>226</v>
      </c>
      <c r="C43" s="8" t="e">
        <f>#REF!</f>
        <v>#REF!</v>
      </c>
      <c r="D43" s="34"/>
    </row>
    <row r="44" spans="2:4">
      <c r="B44" s="25" t="s">
        <v>67</v>
      </c>
      <c r="C44" s="22" t="e">
        <f>#REF!</f>
        <v>#REF!</v>
      </c>
      <c r="D44" s="39"/>
    </row>
    <row r="45" spans="2:4">
      <c r="B45" s="25" t="s">
        <v>68</v>
      </c>
      <c r="C45" s="22"/>
      <c r="D45" s="39"/>
    </row>
    <row r="46" spans="2:4">
      <c r="B46" s="32" t="s">
        <v>227</v>
      </c>
      <c r="C46" s="22"/>
      <c r="D46" s="39"/>
    </row>
    <row r="47" spans="2:4">
      <c r="B47" s="32" t="s">
        <v>228</v>
      </c>
      <c r="C47" s="16" t="e">
        <f>+SUM(C40:C41)+C43*2+SUM(C44:C46)*2-C42</f>
        <v>#REF!</v>
      </c>
      <c r="D47" s="16"/>
    </row>
  </sheetData>
  <phoneticPr fontId="0" type="noConversion"/>
  <printOptions horizontalCentered="1"/>
  <pageMargins left="0.78740157480314965" right="0.78740157480314965" top="0.35433070866141736" bottom="0.78740157480314965" header="0" footer="0"/>
  <pageSetup paperSize="9" scale="86" orientation="landscape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B1:P206"/>
  <sheetViews>
    <sheetView zoomScaleNormal="100" workbookViewId="0">
      <selection activeCell="P12" sqref="P12:P17"/>
    </sheetView>
  </sheetViews>
  <sheetFormatPr baseColWidth="10" defaultColWidth="11.42578125" defaultRowHeight="12.75"/>
  <cols>
    <col min="2" max="2" width="11.42578125" style="46" customWidth="1"/>
    <col min="3" max="3" width="4.5703125" style="46" customWidth="1"/>
    <col min="4" max="4" width="10.42578125" style="46" customWidth="1"/>
    <col min="5" max="6" width="11.42578125" style="46" customWidth="1"/>
    <col min="7" max="7" width="4.5703125" style="46" customWidth="1"/>
    <col min="8" max="8" width="13.42578125" style="46" customWidth="1"/>
    <col min="10" max="10" width="11.42578125" style="46" customWidth="1"/>
    <col min="11" max="11" width="4.5703125" style="46" customWidth="1"/>
    <col min="12" max="12" width="10.140625" style="46" customWidth="1"/>
  </cols>
  <sheetData>
    <row r="1" spans="2:16">
      <c r="B1" s="246"/>
      <c r="C1" s="246"/>
      <c r="D1" s="246"/>
      <c r="E1" s="246"/>
      <c r="F1" s="246"/>
      <c r="G1" s="246"/>
      <c r="H1" s="246"/>
      <c r="I1" s="247"/>
      <c r="J1" s="246"/>
      <c r="K1" s="246"/>
      <c r="L1" s="246"/>
      <c r="M1" s="247"/>
      <c r="N1" s="246"/>
      <c r="O1" s="246"/>
      <c r="P1" s="246"/>
    </row>
    <row r="2" spans="2:16">
      <c r="B2" s="246"/>
      <c r="C2" s="246"/>
      <c r="D2" s="246"/>
      <c r="E2" s="246"/>
      <c r="F2" s="246"/>
      <c r="G2" s="246"/>
      <c r="H2" s="246"/>
      <c r="I2" s="247"/>
      <c r="J2" s="246"/>
      <c r="K2" s="246"/>
      <c r="L2" s="246"/>
      <c r="M2" s="247"/>
      <c r="N2" s="246"/>
      <c r="O2" s="246"/>
      <c r="P2" s="246"/>
    </row>
    <row r="3" spans="2:16">
      <c r="B3" s="1301" t="s">
        <v>1676</v>
      </c>
      <c r="C3" s="1301"/>
      <c r="D3" s="260" t="s">
        <v>1680</v>
      </c>
      <c r="E3" s="246">
        <f>COUNTIF(Area_v1,"PH")+COUNTIF(Area_v2,"PH")+COUNTIF(Area_v3,"PH")+COUNTIF(Area_v4,"PH")+COUNTIF(Area_v5,"PH")+COUNTIF(Area_v6,"PH")</f>
        <v>7</v>
      </c>
      <c r="F3" s="246"/>
      <c r="G3" s="246"/>
      <c r="H3" s="246"/>
      <c r="I3" s="247"/>
      <c r="J3" s="246"/>
      <c r="K3" s="246"/>
      <c r="L3" s="246"/>
      <c r="M3" s="247"/>
      <c r="N3" s="246"/>
      <c r="O3" s="246"/>
      <c r="P3" s="246"/>
    </row>
    <row r="4" spans="2:16">
      <c r="B4" s="1301" t="s">
        <v>1678</v>
      </c>
      <c r="C4" s="1301"/>
      <c r="D4" s="260" t="s">
        <v>1658</v>
      </c>
      <c r="E4" s="246">
        <f>COUNTIF(Area_v1,"PH-Q")+COUNTIF(Area_v2,"PH-Q")+COUNTIF(Area_v3,"PH-Q")+COUNTIF(Area_v4,"PH-Q")+COUNTIF(Area_v5,"PH-Q")+COUNTIF(Area_v6,"PH-Q")</f>
        <v>1</v>
      </c>
      <c r="F4" s="246"/>
      <c r="G4" s="246"/>
      <c r="H4" s="246"/>
      <c r="I4" s="247"/>
      <c r="J4" s="246"/>
      <c r="K4" s="246"/>
      <c r="L4" s="246"/>
      <c r="M4" s="247"/>
      <c r="N4" s="246"/>
      <c r="O4" s="246"/>
      <c r="P4" s="246"/>
    </row>
    <row r="5" spans="2:16">
      <c r="B5" s="1301" t="s">
        <v>1679</v>
      </c>
      <c r="C5" s="1301"/>
      <c r="D5" s="260" t="s">
        <v>1659</v>
      </c>
      <c r="E5" s="246">
        <f>COUNTIF(Area_v1,"PH-C")+COUNTIF(Area_v2,"PH-C")+COUNTIF(Area_v3,"PH-C")+COUNTIF(Area_v4,"PH-C")+COUNTIF(Area_v5,"PH-C")+COUNTIF(Area_v6,"PH-C")</f>
        <v>1</v>
      </c>
      <c r="F5" s="246"/>
      <c r="G5" s="246"/>
      <c r="H5" s="246"/>
      <c r="I5" s="247"/>
      <c r="J5" s="246"/>
      <c r="K5" s="246"/>
      <c r="L5" s="246"/>
      <c r="M5" s="247"/>
      <c r="N5" s="246"/>
      <c r="O5" s="246"/>
      <c r="P5" s="246"/>
    </row>
    <row r="6" spans="2:16">
      <c r="B6" s="1301" t="s">
        <v>1677</v>
      </c>
      <c r="C6" s="1301"/>
      <c r="D6" s="260" t="s">
        <v>1681</v>
      </c>
      <c r="E6" s="246">
        <f>COUNTIF(Area_v1,"BC")+COUNTIF(Area_v2,"BC")+COUNTIF(Area_v3,"BC")+COUNTIF(Area_v4,"BC")+COUNTIF(Area_v5,"BC")+COUNTIF(Area_v6,"BC")</f>
        <v>0</v>
      </c>
      <c r="F6" s="246"/>
      <c r="G6" s="246"/>
      <c r="H6" s="246"/>
      <c r="I6" s="247"/>
      <c r="J6" s="246"/>
      <c r="K6" s="246"/>
      <c r="L6" s="246"/>
      <c r="M6" s="247"/>
      <c r="N6" s="246"/>
      <c r="O6" s="246"/>
      <c r="P6" s="246"/>
    </row>
    <row r="7" spans="2:16">
      <c r="B7" s="246"/>
      <c r="C7" s="246"/>
      <c r="D7" s="246"/>
      <c r="E7" s="246"/>
      <c r="F7" s="246"/>
      <c r="G7" s="246"/>
      <c r="H7" s="246"/>
      <c r="I7" s="247"/>
      <c r="J7" s="246"/>
      <c r="K7" s="246"/>
      <c r="L7" s="246"/>
      <c r="M7" s="247"/>
      <c r="N7" s="246"/>
      <c r="O7" s="246"/>
      <c r="P7" s="246"/>
    </row>
    <row r="8" spans="2:16" ht="13.5" thickBot="1">
      <c r="B8" s="246"/>
      <c r="C8" s="246"/>
      <c r="D8" s="246"/>
      <c r="E8" s="246"/>
      <c r="F8" s="246"/>
      <c r="G8" s="246"/>
      <c r="H8" s="246"/>
      <c r="I8" s="247"/>
      <c r="J8" s="246"/>
      <c r="K8" s="246"/>
      <c r="L8" s="246"/>
      <c r="M8" s="247"/>
      <c r="N8" s="246"/>
      <c r="O8" s="246"/>
      <c r="P8" s="246"/>
    </row>
    <row r="9" spans="2:16" ht="12.75" customHeight="1">
      <c r="B9" s="1302" t="s">
        <v>1645</v>
      </c>
      <c r="C9" s="1303"/>
      <c r="D9" s="1304"/>
      <c r="E9" s="246"/>
      <c r="F9" s="1308" t="s">
        <v>1682</v>
      </c>
      <c r="G9" s="1309"/>
      <c r="H9" s="1310"/>
      <c r="I9" s="247"/>
      <c r="J9" s="1308" t="s">
        <v>1683</v>
      </c>
      <c r="K9" s="1309"/>
      <c r="L9" s="1310"/>
      <c r="M9" s="247"/>
      <c r="N9" s="1302" t="s">
        <v>1646</v>
      </c>
      <c r="O9" s="1303"/>
      <c r="P9" s="1304"/>
    </row>
    <row r="10" spans="2:16" ht="13.5" customHeight="1" thickBot="1">
      <c r="B10" s="1305"/>
      <c r="C10" s="1306"/>
      <c r="D10" s="1307"/>
      <c r="E10" s="246"/>
      <c r="F10" s="1311"/>
      <c r="G10" s="1312"/>
      <c r="H10" s="1313"/>
      <c r="I10" s="247"/>
      <c r="J10" s="1311"/>
      <c r="K10" s="1312"/>
      <c r="L10" s="1313"/>
      <c r="M10" s="247"/>
      <c r="N10" s="1305"/>
      <c r="O10" s="1306"/>
      <c r="P10" s="1307"/>
    </row>
    <row r="11" spans="2:16" ht="13.5" thickBot="1">
      <c r="B11" s="1315" t="s">
        <v>477</v>
      </c>
      <c r="C11" s="1316"/>
      <c r="D11" s="248" t="s">
        <v>478</v>
      </c>
      <c r="E11" s="246"/>
      <c r="F11" s="1315" t="s">
        <v>477</v>
      </c>
      <c r="G11" s="1316"/>
      <c r="H11" s="248" t="s">
        <v>478</v>
      </c>
      <c r="I11" s="247"/>
      <c r="J11" s="1315" t="s">
        <v>477</v>
      </c>
      <c r="K11" s="1316"/>
      <c r="L11" s="248" t="s">
        <v>478</v>
      </c>
      <c r="M11" s="247"/>
      <c r="N11" s="1315" t="s">
        <v>477</v>
      </c>
      <c r="O11" s="1316"/>
      <c r="P11" s="248" t="s">
        <v>478</v>
      </c>
    </row>
    <row r="12" spans="2:16">
      <c r="B12" s="1317" t="s">
        <v>1700</v>
      </c>
      <c r="C12" s="1317"/>
      <c r="D12" s="249">
        <f>COUNTIF('HR Track 1'!$AC$3:$AE$1028,B12)+COUNTIF('HR Track 2'!$AC$3:$AE$1029,B12)+COUNTIF('HR Track 3'!$AC$3:$AE$1013,B12)+COUNTIF('HR Track 4'!$AC$3:$AE$1025,B12)+COUNTIF('HR Track 5'!$AC$3:$AE$1027,B12)+COUNTIF('HR Track 6'!$AC$3:$AE$1018,B12)</f>
        <v>35</v>
      </c>
      <c r="E12" s="246"/>
      <c r="F12" s="1317" t="s">
        <v>2965</v>
      </c>
      <c r="G12" s="1317"/>
      <c r="H12" s="982">
        <f>COUNTIF('HR Track 1'!$AC$3:$AE$1028,F12)+COUNTIF('HR Track 2'!$AC$3:$AE$1029,F12)+COUNTIF('HR Track 3'!$AC$3:$AE$1013,F12)+COUNTIF('HR Track 4'!$AC$3:$AE$1025,F12)+COUNTIF('HR Track 5'!$AC$3:$AE$1027,F12)+COUNTIF('HR Track 6'!$AC$3:$AE$1018,F12)</f>
        <v>23</v>
      </c>
      <c r="I12" s="247"/>
      <c r="J12" s="1317" t="s">
        <v>2991</v>
      </c>
      <c r="K12" s="1317"/>
      <c r="L12" s="982">
        <f>COUNTIF('HR Track 1'!$AC$3:$AE$1028,J12)+COUNTIF('HR Track 2'!$AC$3:$AE$1029,J12)+COUNTIF('HR Track 3'!$AC$3:$AE$1013,J12)+COUNTIF('HR Track 4'!$AC$3:$AE$1025,J12)+COUNTIF('HR Track 5'!$AC$3:$AE$1027,J12)+COUNTIF('HR Track 6'!$AC$3:$AE$1018,J12)</f>
        <v>1</v>
      </c>
      <c r="M12" s="247"/>
      <c r="N12" s="1317" t="s">
        <v>479</v>
      </c>
      <c r="O12" s="1317"/>
      <c r="P12" s="982">
        <f>COUNTIF('HR Track 1'!$AC$3:$AE$1028,N12)+COUNTIF('HR Track 2'!$AC$3:$AE$1029,N12)+COUNTIF('HR Track 3'!$AC$3:$AE$1013,N12)+COUNTIF('HR Track 4'!$AC$3:$AE$1025,N12)+COUNTIF('HR Track 5'!$AC$3:$AE$1027,N12)+COUNTIF('HR Track 6'!$AC$3:$AE$1018,N12)</f>
        <v>0</v>
      </c>
    </row>
    <row r="13" spans="2:16">
      <c r="B13" s="1314" t="s">
        <v>1701</v>
      </c>
      <c r="C13" s="1314"/>
      <c r="D13" s="982">
        <f>COUNTIF('HR Track 1'!$AC$3:$AE$1028,B13)+COUNTIF('HR Track 2'!$AC$3:$AE$1029,B13)+COUNTIF('HR Track 3'!$AC$3:$AE$1013,B13)+COUNTIF('HR Track 4'!$AC$3:$AE$1025,B13)+COUNTIF('HR Track 5'!$AC$3:$AE$1027,B13)+COUNTIF('HR Track 6'!$AC$3:$AE$1018,B13)</f>
        <v>0</v>
      </c>
      <c r="E13" s="246"/>
      <c r="F13" s="1314" t="s">
        <v>2987</v>
      </c>
      <c r="G13" s="1314"/>
      <c r="H13" s="982">
        <f>COUNTIF('HR Track 1'!$AC$3:$AE$1028,F13)+COUNTIF('HR Track 2'!$AC$3:$AE$1029,F13)+COUNTIF('HR Track 3'!$AC$3:$AE$1013,F13)+COUNTIF('HR Track 4'!$AC$3:$AE$1025,F13)+COUNTIF('HR Track 5'!$AC$3:$AE$1027,F13)+COUNTIF('HR Track 6'!$AC$3:$AE$1018,F13)</f>
        <v>0</v>
      </c>
      <c r="I13" s="247"/>
      <c r="J13" s="1314" t="s">
        <v>2992</v>
      </c>
      <c r="K13" s="1314"/>
      <c r="L13" s="982">
        <f>COUNTIF('HR Track 1'!$AC$3:$AE$1028,J13)+COUNTIF('HR Track 2'!$AC$3:$AE$1029,J13)+COUNTIF('HR Track 3'!$AC$3:$AE$1013,J13)+COUNTIF('HR Track 4'!$AC$3:$AE$1025,J13)+COUNTIF('HR Track 5'!$AC$3:$AE$1027,J13)+COUNTIF('HR Track 6'!$AC$3:$AE$1018,J13)</f>
        <v>0</v>
      </c>
      <c r="M13" s="247"/>
      <c r="N13" s="1314" t="s">
        <v>481</v>
      </c>
      <c r="O13" s="1314"/>
      <c r="P13" s="982">
        <f>COUNTIF('HR Track 1'!$AC$3:$AE$1028,N13)+COUNTIF('HR Track 2'!$AC$3:$AE$1029,N13)+COUNTIF('HR Track 3'!$AC$3:$AE$1013,N13)+COUNTIF('HR Track 4'!$AC$3:$AE$1025,N13)+COUNTIF('HR Track 5'!$AC$3:$AE$1027,N13)+COUNTIF('HR Track 6'!$AC$3:$AE$1018,N13)</f>
        <v>0</v>
      </c>
    </row>
    <row r="14" spans="2:16">
      <c r="B14" s="1314" t="s">
        <v>1702</v>
      </c>
      <c r="C14" s="1314"/>
      <c r="D14" s="982">
        <f>COUNTIF('HR Track 1'!$AC$3:$AE$1028,B14)+COUNTIF('HR Track 2'!$AC$3:$AE$1029,B14)+COUNTIF('HR Track 3'!$AC$3:$AE$1013,B14)+COUNTIF('HR Track 4'!$AC$3:$AE$1025,B14)+COUNTIF('HR Track 5'!$AC$3:$AE$1027,B14)+COUNTIF('HR Track 6'!$AC$3:$AE$1018,B14)</f>
        <v>17</v>
      </c>
      <c r="E14" s="246"/>
      <c r="F14" s="1314" t="s">
        <v>2972</v>
      </c>
      <c r="G14" s="1314"/>
      <c r="H14" s="982">
        <f>COUNTIF('HR Track 1'!$AC$3:$AE$1028,F14)+COUNTIF('HR Track 2'!$AC$3:$AE$1029,F14)+COUNTIF('HR Track 3'!$AC$3:$AE$1013,F14)+COUNTIF('HR Track 4'!$AC$3:$AE$1025,F14)+COUNTIF('HR Track 5'!$AC$3:$AE$1027,F14)+COUNTIF('HR Track 6'!$AC$3:$AE$1018,F14)</f>
        <v>32</v>
      </c>
      <c r="I14" s="247"/>
      <c r="J14" s="1314" t="s">
        <v>2993</v>
      </c>
      <c r="K14" s="1314"/>
      <c r="L14" s="982">
        <f>COUNTIF('HR Track 1'!$AC$3:$AE$1028,J14)+COUNTIF('HR Track 2'!$AC$3:$AE$1029,J14)+COUNTIF('HR Track 3'!$AC$3:$AE$1013,J14)+COUNTIF('HR Track 4'!$AC$3:$AE$1025,J14)+COUNTIF('HR Track 5'!$AC$3:$AE$1027,J14)+COUNTIF('HR Track 6'!$AC$3:$AE$1018,J14)</f>
        <v>0</v>
      </c>
      <c r="M14" s="247"/>
      <c r="N14" s="1314" t="s">
        <v>482</v>
      </c>
      <c r="O14" s="1314"/>
      <c r="P14" s="982">
        <f>COUNTIF('HR Track 1'!$AC$3:$AE$1028,N14)+COUNTIF('HR Track 2'!$AC$3:$AE$1029,N14)+COUNTIF('HR Track 3'!$AC$3:$AE$1013,N14)+COUNTIF('HR Track 4'!$AC$3:$AE$1025,N14)+COUNTIF('HR Track 5'!$AC$3:$AE$1027,N14)+COUNTIF('HR Track 6'!$AC$3:$AE$1018,N14)</f>
        <v>1</v>
      </c>
    </row>
    <row r="15" spans="2:16">
      <c r="B15" s="1314" t="s">
        <v>1703</v>
      </c>
      <c r="C15" s="1314"/>
      <c r="D15" s="982">
        <f>COUNTIF('HR Track 1'!$AC$3:$AE$1028,B15)+COUNTIF('HR Track 2'!$AC$3:$AE$1029,B15)+COUNTIF('HR Track 3'!$AC$3:$AE$1013,B15)+COUNTIF('HR Track 4'!$AC$3:$AE$1025,B15)+COUNTIF('HR Track 5'!$AC$3:$AE$1027,B15)+COUNTIF('HR Track 6'!$AC$3:$AE$1018,B15)</f>
        <v>0</v>
      </c>
      <c r="E15" s="246"/>
      <c r="F15" s="1314" t="s">
        <v>2988</v>
      </c>
      <c r="G15" s="1314"/>
      <c r="H15" s="982">
        <f>COUNTIF('HR Track 1'!$AC$3:$AE$1028,F15)+COUNTIF('HR Track 2'!$AC$3:$AE$1029,F15)+COUNTIF('HR Track 3'!$AC$3:$AE$1013,F15)+COUNTIF('HR Track 4'!$AC$3:$AE$1025,F15)+COUNTIF('HR Track 5'!$AC$3:$AE$1027,F15)+COUNTIF('HR Track 6'!$AC$3:$AE$1018,F15)</f>
        <v>0</v>
      </c>
      <c r="I15" s="247"/>
      <c r="J15" s="1314" t="s">
        <v>2994</v>
      </c>
      <c r="K15" s="1314"/>
      <c r="L15" s="982">
        <f>COUNTIF('HR Track 1'!$AC$3:$AE$1028,J15)+COUNTIF('HR Track 2'!$AC$3:$AE$1029,J15)+COUNTIF('HR Track 3'!$AC$3:$AE$1013,J15)+COUNTIF('HR Track 4'!$AC$3:$AE$1025,J15)+COUNTIF('HR Track 5'!$AC$3:$AE$1027,J15)+COUNTIF('HR Track 6'!$AC$3:$AE$1018,J15)</f>
        <v>0</v>
      </c>
      <c r="M15" s="247"/>
      <c r="N15" s="1314" t="s">
        <v>3220</v>
      </c>
      <c r="O15" s="1314"/>
      <c r="P15" s="1015">
        <f>COUNTIF('HR Track 1'!$AC$3:$AE$1028,N15)+COUNTIF('HR Track 2'!$AC$3:$AE$1029,N15)+COUNTIF('HR Track 3'!$AC$3:$AE$1013,N15)+COUNTIF('HR Track 4'!$AC$3:$AE$1025,N15)+COUNTIF('HR Track 5'!$AC$3:$AE$1027,N15)+COUNTIF('HR Track 6'!$AC$3:$AE$1018,N15)</f>
        <v>0</v>
      </c>
    </row>
    <row r="16" spans="2:16">
      <c r="B16" s="1314" t="s">
        <v>1704</v>
      </c>
      <c r="C16" s="1314"/>
      <c r="D16" s="982">
        <f>COUNTIF('HR Track 1'!$AC$3:$AE$1028,B16)+COUNTIF('HR Track 2'!$AC$3:$AE$1029,B16)+COUNTIF('HR Track 3'!$AC$3:$AE$1013,B16)+COUNTIF('HR Track 4'!$AC$3:$AE$1025,B16)+COUNTIF('HR Track 5'!$AC$3:$AE$1027,B16)+COUNTIF('HR Track 6'!$AC$3:$AE$1018,B16)</f>
        <v>274</v>
      </c>
      <c r="E16" s="246"/>
      <c r="F16" s="1314" t="s">
        <v>2963</v>
      </c>
      <c r="G16" s="1314"/>
      <c r="H16" s="982">
        <f>COUNTIF('HR Track 1'!$AC$3:$AE$1028,F16)+COUNTIF('HR Track 2'!$AC$3:$AE$1029,F16)+COUNTIF('HR Track 3'!$AC$3:$AE$1013,F16)+COUNTIF('HR Track 4'!$AC$3:$AE$1025,F16)+COUNTIF('HR Track 5'!$AC$3:$AE$1027,F16)+COUNTIF('HR Track 6'!$AC$3:$AE$1018,F16)</f>
        <v>378</v>
      </c>
      <c r="I16" s="247"/>
      <c r="J16" s="1314" t="s">
        <v>2995</v>
      </c>
      <c r="K16" s="1314"/>
      <c r="L16" s="982">
        <f>COUNTIF('HR Track 1'!$AC$3:$AE$1028,J16)+COUNTIF('HR Track 2'!$AC$3:$AE$1029,J16)+COUNTIF('HR Track 3'!$AC$3:$AE$1013,J16)+COUNTIF('HR Track 4'!$AC$3:$AE$1025,J16)+COUNTIF('HR Track 5'!$AC$3:$AE$1027,J16)+COUNTIF('HR Track 6'!$AC$3:$AE$1018,J16)</f>
        <v>7</v>
      </c>
      <c r="M16" s="247"/>
      <c r="N16" s="1314" t="s">
        <v>480</v>
      </c>
      <c r="O16" s="1314"/>
      <c r="P16" s="1015">
        <f>COUNTIF('HR Track 1'!$AC$3:$AE$1028,N16)+COUNTIF('HR Track 2'!$AC$3:$AE$1029,N16)+COUNTIF('HR Track 3'!$AC$3:$AE$1013,N16)+COUNTIF('HR Track 4'!$AC$3:$AE$1025,N16)+COUNTIF('HR Track 5'!$AC$3:$AE$1027,N16)+COUNTIF('HR Track 6'!$AC$3:$AE$1018,N16)</f>
        <v>4</v>
      </c>
    </row>
    <row r="17" spans="2:16">
      <c r="B17" s="1314" t="s">
        <v>1705</v>
      </c>
      <c r="C17" s="1314"/>
      <c r="D17" s="982">
        <f>COUNTIF('HR Track 1'!$AC$3:$AE$1028,B17)+COUNTIF('HR Track 2'!$AC$3:$AE$1029,B17)+COUNTIF('HR Track 3'!$AC$3:$AE$1013,B17)+COUNTIF('HR Track 4'!$AC$3:$AE$1025,B17)+COUNTIF('HR Track 5'!$AC$3:$AE$1027,B17)+COUNTIF('HR Track 6'!$AC$3:$AE$1018,B17)</f>
        <v>0</v>
      </c>
      <c r="E17" s="246"/>
      <c r="F17" s="1314" t="s">
        <v>2975</v>
      </c>
      <c r="G17" s="1314"/>
      <c r="H17" s="982">
        <f>COUNTIF('HR Track 1'!$AC$3:$AE$1028,F17)+COUNTIF('HR Track 2'!$AC$3:$AE$1029,F17)+COUNTIF('HR Track 3'!$AC$3:$AE$1013,F17)+COUNTIF('HR Track 4'!$AC$3:$AE$1025,F17)+COUNTIF('HR Track 5'!$AC$3:$AE$1027,F17)+COUNTIF('HR Track 6'!$AC$3:$AE$1018,F17)</f>
        <v>5</v>
      </c>
      <c r="I17" s="247"/>
      <c r="J17" s="1314" t="s">
        <v>2996</v>
      </c>
      <c r="K17" s="1314"/>
      <c r="L17" s="982">
        <f>COUNTIF('HR Track 1'!$AC$3:$AE$1028,J17)+COUNTIF('HR Track 2'!$AC$3:$AE$1029,J17)+COUNTIF('HR Track 3'!$AC$3:$AE$1013,J17)+COUNTIF('HR Track 4'!$AC$3:$AE$1025,J17)+COUNTIF('HR Track 5'!$AC$3:$AE$1027,J17)+COUNTIF('HR Track 6'!$AC$3:$AE$1018,J17)</f>
        <v>0</v>
      </c>
      <c r="M17" s="247"/>
      <c r="N17" s="1314" t="s">
        <v>3219</v>
      </c>
      <c r="O17" s="1314"/>
      <c r="P17" s="1015">
        <f>COUNTIF('HR Track 1'!$AC$3:$AE$1028,N17)+COUNTIF('HR Track 2'!$AC$3:$AE$1029,N17)+COUNTIF('HR Track 3'!$AC$3:$AE$1013,N17)+COUNTIF('HR Track 4'!$AC$3:$AE$1025,N17)+COUNTIF('HR Track 5'!$AC$3:$AE$1027,N17)+COUNTIF('HR Track 6'!$AC$3:$AE$1018,N17)</f>
        <v>0</v>
      </c>
    </row>
    <row r="18" spans="2:16">
      <c r="B18" s="1314" t="s">
        <v>1706</v>
      </c>
      <c r="C18" s="1314"/>
      <c r="D18" s="982">
        <f>COUNTIF('HR Track 1'!$AC$3:$AE$1028,B18)+COUNTIF('HR Track 2'!$AC$3:$AE$1029,B18)+COUNTIF('HR Track 3'!$AC$3:$AE$1013,B18)+COUNTIF('HR Track 4'!$AC$3:$AE$1025,B18)+COUNTIF('HR Track 5'!$AC$3:$AE$1027,B18)+COUNTIF('HR Track 6'!$AC$3:$AE$1018,B18)</f>
        <v>4</v>
      </c>
      <c r="E18" s="246"/>
      <c r="F18" s="1314" t="s">
        <v>2974</v>
      </c>
      <c r="G18" s="1314"/>
      <c r="H18" s="982">
        <f>COUNTIF('HR Track 1'!$AC$3:$AE$1028,F18)+COUNTIF('HR Track 2'!$AC$3:$AE$1029,F18)+COUNTIF('HR Track 3'!$AC$3:$AE$1013,F18)+COUNTIF('HR Track 4'!$AC$3:$AE$1025,F18)+COUNTIF('HR Track 5'!$AC$3:$AE$1027,F18)+COUNTIF('HR Track 6'!$AC$3:$AE$1018,F18)</f>
        <v>5</v>
      </c>
      <c r="I18" s="247"/>
      <c r="J18" s="1314" t="s">
        <v>2997</v>
      </c>
      <c r="K18" s="1314"/>
      <c r="L18" s="982">
        <f>COUNTIF('HR Track 1'!$AC$3:$AE$1028,J18)+COUNTIF('HR Track 2'!$AC$3:$AE$1029,J18)+COUNTIF('HR Track 3'!$AC$3:$AE$1013,J18)+COUNTIF('HR Track 4'!$AC$3:$AE$1025,J18)+COUNTIF('HR Track 5'!$AC$3:$AE$1027,J18)+COUNTIF('HR Track 6'!$AC$3:$AE$1018,J18)</f>
        <v>2</v>
      </c>
      <c r="M18" s="247"/>
      <c r="N18" s="250"/>
      <c r="O18" s="250"/>
      <c r="P18" s="251"/>
    </row>
    <row r="19" spans="2:16">
      <c r="B19" s="1314" t="s">
        <v>1707</v>
      </c>
      <c r="C19" s="1314"/>
      <c r="D19" s="982">
        <f>COUNTIF('HR Track 1'!$AC$3:$AE$1028,B19)+COUNTIF('HR Track 2'!$AC$3:$AE$1029,B19)+COUNTIF('HR Track 3'!$AC$3:$AE$1013,B19)+COUNTIF('HR Track 4'!$AC$3:$AE$1025,B19)+COUNTIF('HR Track 5'!$AC$3:$AE$1027,B19)+COUNTIF('HR Track 6'!$AC$3:$AE$1018,B19)</f>
        <v>0</v>
      </c>
      <c r="E19" s="246"/>
      <c r="F19" s="1314" t="s">
        <v>2989</v>
      </c>
      <c r="G19" s="1314"/>
      <c r="H19" s="982">
        <f>COUNTIF('HR Track 1'!$AC$3:$AE$1028,F19)+COUNTIF('HR Track 2'!$AC$3:$AE$1029,F19)+COUNTIF('HR Track 3'!$AC$3:$AE$1013,F19)+COUNTIF('HR Track 4'!$AC$3:$AE$1025,F19)+COUNTIF('HR Track 5'!$AC$3:$AE$1027,F19)+COUNTIF('HR Track 6'!$AC$3:$AE$1018,F19)</f>
        <v>1</v>
      </c>
      <c r="I19" s="247"/>
      <c r="J19" s="1314" t="s">
        <v>2998</v>
      </c>
      <c r="K19" s="1314"/>
      <c r="L19" s="982">
        <f>COUNTIF('HR Track 1'!$AC$3:$AE$1028,J19)+COUNTIF('HR Track 2'!$AC$3:$AE$1029,J19)+COUNTIF('HR Track 3'!$AC$3:$AE$1013,J19)+COUNTIF('HR Track 4'!$AC$3:$AE$1025,J19)+COUNTIF('HR Track 5'!$AC$3:$AE$1027,J19)+COUNTIF('HR Track 6'!$AC$3:$AE$1018,J19)</f>
        <v>0</v>
      </c>
      <c r="M19" s="247"/>
      <c r="N19" s="250"/>
      <c r="O19" s="250"/>
      <c r="P19" s="251"/>
    </row>
    <row r="20" spans="2:16">
      <c r="B20" s="1314" t="s">
        <v>1708</v>
      </c>
      <c r="C20" s="1314"/>
      <c r="D20" s="982">
        <f>COUNTIF('HR Track 1'!$AC$3:$AE$1028,B20)+COUNTIF('HR Track 2'!$AC$3:$AE$1029,B20)+COUNTIF('HR Track 3'!$AC$3:$AE$1013,B20)+COUNTIF('HR Track 4'!$AC$3:$AE$1025,B20)+COUNTIF('HR Track 5'!$AC$3:$AE$1027,B20)+COUNTIF('HR Track 6'!$AC$3:$AE$1018,B20)</f>
        <v>2</v>
      </c>
      <c r="E20" s="246"/>
      <c r="F20" s="1314" t="s">
        <v>2971</v>
      </c>
      <c r="G20" s="1314"/>
      <c r="H20" s="982">
        <f>COUNTIF('HR Track 1'!$AC$3:$AE$1028,F20)+COUNTIF('HR Track 2'!$AC$3:$AE$1029,F20)+COUNTIF('HR Track 3'!$AC$3:$AE$1013,F20)+COUNTIF('HR Track 4'!$AC$3:$AE$1025,F20)+COUNTIF('HR Track 5'!$AC$3:$AE$1027,F20)+COUNTIF('HR Track 6'!$AC$3:$AE$1018,F20)</f>
        <v>3</v>
      </c>
      <c r="I20" s="247"/>
      <c r="J20" s="1314" t="s">
        <v>2999</v>
      </c>
      <c r="K20" s="1314"/>
      <c r="L20" s="982">
        <f>COUNTIF('HR Track 1'!$AC$3:$AE$1028,J20)+COUNTIF('HR Track 2'!$AC$3:$AE$1029,J20)+COUNTIF('HR Track 3'!$AC$3:$AE$1013,J20)+COUNTIF('HR Track 4'!$AC$3:$AE$1025,J20)+COUNTIF('HR Track 5'!$AC$3:$AE$1027,J20)+COUNTIF('HR Track 6'!$AC$3:$AE$1018,J20)</f>
        <v>0</v>
      </c>
      <c r="M20" s="247"/>
      <c r="N20" s="250"/>
      <c r="O20" s="250"/>
      <c r="P20" s="251"/>
    </row>
    <row r="21" spans="2:16">
      <c r="B21" s="1314" t="s">
        <v>1709</v>
      </c>
      <c r="C21" s="1314"/>
      <c r="D21" s="982">
        <f>COUNTIF('HR Track 1'!$AC$3:$AE$1028,B21)+COUNTIF('HR Track 2'!$AC$3:$AE$1029,B21)+COUNTIF('HR Track 3'!$AC$3:$AE$1013,B21)+COUNTIF('HR Track 4'!$AC$3:$AE$1025,B21)+COUNTIF('HR Track 5'!$AC$3:$AE$1027,B21)+COUNTIF('HR Track 6'!$AC$3:$AE$1018,B21)</f>
        <v>0</v>
      </c>
      <c r="E21" s="246"/>
      <c r="F21" s="1314" t="s">
        <v>2990</v>
      </c>
      <c r="G21" s="1314"/>
      <c r="H21" s="982">
        <f>COUNTIF('HR Track 1'!$AC$3:$AE$1028,F21)+COUNTIF('HR Track 2'!$AC$3:$AE$1029,F21)+COUNTIF('HR Track 3'!$AC$3:$AE$1013,F21)+COUNTIF('HR Track 4'!$AC$3:$AE$1025,F21)+COUNTIF('HR Track 5'!$AC$3:$AE$1027,F21)+COUNTIF('HR Track 6'!$AC$3:$AE$1018,F21)</f>
        <v>1</v>
      </c>
      <c r="I21" s="247"/>
      <c r="J21" s="1314" t="s">
        <v>3000</v>
      </c>
      <c r="K21" s="1314"/>
      <c r="L21" s="982">
        <f>COUNTIF('HR Track 1'!$AC$3:$AE$1028,J21)+COUNTIF('HR Track 2'!$AC$3:$AE$1029,J21)+COUNTIF('HR Track 3'!$AC$3:$AE$1013,J21)+COUNTIF('HR Track 4'!$AC$3:$AE$1025,J21)+COUNTIF('HR Track 5'!$AC$3:$AE$1027,J21)+COUNTIF('HR Track 6'!$AC$3:$AE$1018,J21)</f>
        <v>0</v>
      </c>
      <c r="M21" s="247"/>
      <c r="N21" s="250"/>
      <c r="O21" s="250"/>
      <c r="P21" s="251"/>
    </row>
    <row r="22" spans="2:16">
      <c r="B22" s="1314" t="s">
        <v>1710</v>
      </c>
      <c r="C22" s="1314"/>
      <c r="D22" s="982">
        <f>COUNTIF('HR Track 1'!$AC$3:$AE$1028,B22)+COUNTIF('HR Track 2'!$AC$3:$AE$1029,B22)+COUNTIF('HR Track 3'!$AC$3:$AE$1013,B22)+COUNTIF('HR Track 4'!$AC$3:$AE$1025,B22)+COUNTIF('HR Track 5'!$AC$3:$AE$1027,B22)+COUNTIF('HR Track 6'!$AC$3:$AE$1018,B22)</f>
        <v>10</v>
      </c>
      <c r="E22" s="246"/>
      <c r="F22" s="1314" t="s">
        <v>2970</v>
      </c>
      <c r="G22" s="1314"/>
      <c r="H22" s="982">
        <f>COUNTIF('HR Track 1'!$AC$3:$AE$1028,F22)+COUNTIF('HR Track 2'!$AC$3:$AE$1029,F22)+COUNTIF('HR Track 3'!$AC$3:$AE$1013,F22)+COUNTIF('HR Track 4'!$AC$3:$AE$1025,F22)+COUNTIF('HR Track 5'!$AC$3:$AE$1027,F22)+COUNTIF('HR Track 6'!$AC$3:$AE$1018,F22)</f>
        <v>6</v>
      </c>
      <c r="I22" s="247"/>
      <c r="J22" s="1314" t="s">
        <v>3001</v>
      </c>
      <c r="K22" s="1314"/>
      <c r="L22" s="982">
        <f>COUNTIF('HR Track 1'!$AC$3:$AE$1028,J22)+COUNTIF('HR Track 2'!$AC$3:$AE$1029,J22)+COUNTIF('HR Track 3'!$AC$3:$AE$1013,J22)+COUNTIF('HR Track 4'!$AC$3:$AE$1025,J22)+COUNTIF('HR Track 5'!$AC$3:$AE$1027,J22)+COUNTIF('HR Track 6'!$AC$3:$AE$1018,J22)</f>
        <v>0</v>
      </c>
      <c r="M22" s="247"/>
      <c r="N22" s="250"/>
      <c r="O22" s="250"/>
      <c r="P22" s="251"/>
    </row>
    <row r="23" spans="2:16">
      <c r="B23" s="1314" t="s">
        <v>1711</v>
      </c>
      <c r="C23" s="1314"/>
      <c r="D23" s="982">
        <f>COUNTIF('HR Track 1'!$AC$3:$AE$1028,B23)+COUNTIF('HR Track 2'!$AC$3:$AE$1029,B23)+COUNTIF('HR Track 3'!$AC$3:$AE$1013,B23)+COUNTIF('HR Track 4'!$AC$3:$AE$1025,B23)+COUNTIF('HR Track 5'!$AC$3:$AE$1027,B23)+COUNTIF('HR Track 6'!$AC$3:$AE$1018,B23)</f>
        <v>1</v>
      </c>
      <c r="E23" s="246"/>
      <c r="F23" s="1314" t="s">
        <v>2967</v>
      </c>
      <c r="G23" s="1314"/>
      <c r="H23" s="982">
        <f>COUNTIF('HR Track 1'!$AC$3:$AE$1028,F23)+COUNTIF('HR Track 2'!$AC$3:$AE$1029,F23)+COUNTIF('HR Track 3'!$AC$3:$AE$1013,F23)+COUNTIF('HR Track 4'!$AC$3:$AE$1025,F23)+COUNTIF('HR Track 5'!$AC$3:$AE$1027,F23)+COUNTIF('HR Track 6'!$AC$3:$AE$1018,F23)</f>
        <v>2</v>
      </c>
      <c r="I23" s="247"/>
      <c r="J23" s="1314" t="s">
        <v>2968</v>
      </c>
      <c r="K23" s="1314"/>
      <c r="L23" s="982">
        <f>COUNTIF('HR Track 1'!$AC$3:$AE$1028,J23)+COUNTIF('HR Track 2'!$AC$3:$AE$1029,J23)+COUNTIF('HR Track 3'!$AC$3:$AE$1013,J23)+COUNTIF('HR Track 4'!$AC$3:$AE$1025,J23)+COUNTIF('HR Track 5'!$AC$3:$AE$1027,J23)+COUNTIF('HR Track 6'!$AC$3:$AE$1018,J23)</f>
        <v>3</v>
      </c>
      <c r="M23" s="247"/>
      <c r="N23" s="250"/>
      <c r="O23" s="250"/>
      <c r="P23" s="252"/>
    </row>
    <row r="24" spans="2:16">
      <c r="E24" s="246"/>
      <c r="F24" s="1314" t="s">
        <v>2966</v>
      </c>
      <c r="G24" s="1314"/>
      <c r="H24" s="982">
        <f>COUNTIF('HR Track 1'!$AC$3:$AE$1028,F24)+COUNTIF('HR Track 2'!$AC$3:$AE$1029,F24)+COUNTIF('HR Track 3'!$AC$3:$AE$1013,F24)+COUNTIF('HR Track 4'!$AC$3:$AE$1025,F24)+COUNTIF('HR Track 5'!$AC$3:$AE$1027,F24)+COUNTIF('HR Track 6'!$AC$3:$AE$1018,F24)</f>
        <v>2</v>
      </c>
      <c r="I24" s="247"/>
      <c r="J24" s="1314" t="s">
        <v>2969</v>
      </c>
      <c r="K24" s="1314"/>
      <c r="L24" s="982">
        <f>COUNTIF('HR Track 1'!$AC$3:$AE$1028,J24)+COUNTIF('HR Track 2'!$AC$3:$AE$1029,J24)+COUNTIF('HR Track 3'!$AC$3:$AE$1013,J24)+COUNTIF('HR Track 4'!$AC$3:$AE$1025,J24)+COUNTIF('HR Track 5'!$AC$3:$AE$1027,J24)+COUNTIF('HR Track 6'!$AC$3:$AE$1018,J24)</f>
        <v>0</v>
      </c>
      <c r="M24" s="247"/>
    </row>
    <row r="28" spans="2:16">
      <c r="B28" s="1276" t="s">
        <v>1650</v>
      </c>
      <c r="C28" s="1276"/>
      <c r="D28" s="1276"/>
      <c r="E28" s="1276"/>
      <c r="F28" s="1276"/>
      <c r="G28" s="1276"/>
      <c r="H28" s="1276"/>
    </row>
    <row r="29" spans="2:16">
      <c r="B29" s="246"/>
      <c r="C29" s="253"/>
      <c r="D29" s="246"/>
    </row>
    <row r="30" spans="2:16" ht="13.5" thickBot="1">
      <c r="B30" s="246"/>
      <c r="C30" s="246"/>
      <c r="D30" s="253"/>
    </row>
    <row r="31" spans="2:16" ht="15.75" thickBot="1">
      <c r="B31" s="1214" t="s">
        <v>670</v>
      </c>
      <c r="C31" s="1215"/>
      <c r="D31" s="1216"/>
    </row>
    <row r="32" spans="2:16" ht="15.75" thickBot="1">
      <c r="B32" s="168" t="s">
        <v>648</v>
      </c>
      <c r="C32" s="168" t="s">
        <v>649</v>
      </c>
      <c r="D32" s="168" t="s">
        <v>650</v>
      </c>
    </row>
    <row r="33" spans="2:12">
      <c r="C33" s="246"/>
      <c r="D33" s="246"/>
    </row>
    <row r="40" spans="2:12">
      <c r="B40" s="47"/>
      <c r="F40" s="47"/>
    </row>
    <row r="41" spans="2:12">
      <c r="B41" s="48"/>
      <c r="C41" s="48"/>
      <c r="D41" s="48"/>
      <c r="F41" s="48"/>
      <c r="G41" s="48"/>
      <c r="H41" s="48"/>
      <c r="J41" s="47"/>
    </row>
    <row r="42" spans="2:12">
      <c r="J42" s="48"/>
      <c r="K42" s="48"/>
      <c r="L42" s="48"/>
    </row>
    <row r="205" spans="2:10">
      <c r="B205" s="47"/>
      <c r="F205" s="47"/>
    </row>
    <row r="206" spans="2:10">
      <c r="J206" s="47"/>
    </row>
  </sheetData>
  <mergeCells count="58">
    <mergeCell ref="J20:K20"/>
    <mergeCell ref="J21:K21"/>
    <mergeCell ref="J22:K22"/>
    <mergeCell ref="J24:K24"/>
    <mergeCell ref="N14:O14"/>
    <mergeCell ref="J16:K16"/>
    <mergeCell ref="J17:K17"/>
    <mergeCell ref="J18:K18"/>
    <mergeCell ref="J19:K19"/>
    <mergeCell ref="J23:K23"/>
    <mergeCell ref="N15:O15"/>
    <mergeCell ref="N16:O16"/>
    <mergeCell ref="N17:O17"/>
    <mergeCell ref="B23:C23"/>
    <mergeCell ref="F23:G23"/>
    <mergeCell ref="N9:P10"/>
    <mergeCell ref="N11:O11"/>
    <mergeCell ref="N12:O12"/>
    <mergeCell ref="N13:O13"/>
    <mergeCell ref="B22:C22"/>
    <mergeCell ref="F22:G22"/>
    <mergeCell ref="J13:K13"/>
    <mergeCell ref="B14:C14"/>
    <mergeCell ref="F14:G14"/>
    <mergeCell ref="J14:K14"/>
    <mergeCell ref="B15:C15"/>
    <mergeCell ref="F15:G15"/>
    <mergeCell ref="J15:K15"/>
    <mergeCell ref="J9:L10"/>
    <mergeCell ref="B19:C19"/>
    <mergeCell ref="F19:G19"/>
    <mergeCell ref="B20:C20"/>
    <mergeCell ref="F20:G20"/>
    <mergeCell ref="B21:C21"/>
    <mergeCell ref="F21:G21"/>
    <mergeCell ref="J11:K11"/>
    <mergeCell ref="B12:C12"/>
    <mergeCell ref="F12:G12"/>
    <mergeCell ref="J12:K12"/>
    <mergeCell ref="B5:C5"/>
    <mergeCell ref="B11:C11"/>
    <mergeCell ref="F11:G11"/>
    <mergeCell ref="B4:C4"/>
    <mergeCell ref="B3:C3"/>
    <mergeCell ref="B6:C6"/>
    <mergeCell ref="B31:D31"/>
    <mergeCell ref="B28:H28"/>
    <mergeCell ref="B9:D10"/>
    <mergeCell ref="F9:H10"/>
    <mergeCell ref="B13:C13"/>
    <mergeCell ref="F13:G13"/>
    <mergeCell ref="B16:C16"/>
    <mergeCell ref="F16:G16"/>
    <mergeCell ref="B17:C17"/>
    <mergeCell ref="F17:G17"/>
    <mergeCell ref="B18:C18"/>
    <mergeCell ref="F18:G18"/>
    <mergeCell ref="F24:G2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71</vt:i4>
      </vt:variant>
    </vt:vector>
  </HeadingPairs>
  <TitlesOfParts>
    <vt:vector size="85" baseType="lpstr">
      <vt:lpstr>Revision Data</vt:lpstr>
      <vt:lpstr>HR Track 1</vt:lpstr>
      <vt:lpstr>HR Track 2</vt:lpstr>
      <vt:lpstr>HR Track 3</vt:lpstr>
      <vt:lpstr>HR Track 4</vt:lpstr>
      <vt:lpstr>HR Track 5</vt:lpstr>
      <vt:lpstr>HR Track 6</vt:lpstr>
      <vt:lpstr>Recuento Conjuntos</vt:lpstr>
      <vt:lpstr>Mediciones TOTAL</vt:lpstr>
      <vt:lpstr>Recuento Especiales</vt:lpstr>
      <vt:lpstr>Foundation Calculation</vt:lpstr>
      <vt:lpstr>CW&amp;MW Drums</vt:lpstr>
      <vt:lpstr>control</vt:lpstr>
      <vt:lpstr>Arms</vt:lpstr>
      <vt:lpstr>'HR Track 1'!Área_de_impresión</vt:lpstr>
      <vt:lpstr>'HR Track 2'!Área_de_impresión</vt:lpstr>
      <vt:lpstr>'HR Track 3'!Área_de_impresión</vt:lpstr>
      <vt:lpstr>'HR Track 4'!Área_de_impresión</vt:lpstr>
      <vt:lpstr>'HR Track 5'!Área_de_impresión</vt:lpstr>
      <vt:lpstr>'HR Track 6'!Área_de_impresión</vt:lpstr>
      <vt:lpstr>'Mediciones TOTAL'!Área_de_impresión</vt:lpstr>
      <vt:lpstr>'Revision Data'!Área_de_impresión_TLV_v01</vt:lpstr>
      <vt:lpstr>'Revision Data'!Area_S_TLV_v01</vt:lpstr>
      <vt:lpstr>Area_S1</vt:lpstr>
      <vt:lpstr>Area_S2</vt:lpstr>
      <vt:lpstr>Area_S3</vt:lpstr>
      <vt:lpstr>Area_S4</vt:lpstr>
      <vt:lpstr>Area_S5</vt:lpstr>
      <vt:lpstr>Area_S6</vt:lpstr>
      <vt:lpstr>'Revision Data'!Area_V_TLV_v01</vt:lpstr>
      <vt:lpstr>Area_v1</vt:lpstr>
      <vt:lpstr>Area_v2</vt:lpstr>
      <vt:lpstr>Area_v3</vt:lpstr>
      <vt:lpstr>Area_v4</vt:lpstr>
      <vt:lpstr>Area_v5</vt:lpstr>
      <vt:lpstr>Area_v6</vt:lpstr>
      <vt:lpstr>'Revision Data'!cantones_TLV_v01</vt:lpstr>
      <vt:lpstr>cantones_v1</vt:lpstr>
      <vt:lpstr>cantones_v2</vt:lpstr>
      <vt:lpstr>cantones_v3</vt:lpstr>
      <vt:lpstr>cantones_v4</vt:lpstr>
      <vt:lpstr>cantones_v5</vt:lpstr>
      <vt:lpstr>cantones_v6</vt:lpstr>
      <vt:lpstr>'Revision Data'!m2_TLV_v01</vt:lpstr>
      <vt:lpstr>m2_v1</vt:lpstr>
      <vt:lpstr>m2_v2</vt:lpstr>
      <vt:lpstr>m2_v3</vt:lpstr>
      <vt:lpstr>m2_v4</vt:lpstr>
      <vt:lpstr>m2_v5</vt:lpstr>
      <vt:lpstr>m2_v6</vt:lpstr>
      <vt:lpstr>control!Print_Area</vt:lpstr>
      <vt:lpstr>'CW&amp;MW Drums'!Print_Area</vt:lpstr>
      <vt:lpstr>'HR Track 1'!Print_Area</vt:lpstr>
      <vt:lpstr>'HR Track 2'!Print_Area</vt:lpstr>
      <vt:lpstr>'HR Track 3'!Print_Area</vt:lpstr>
      <vt:lpstr>'HR Track 4'!Print_Area</vt:lpstr>
      <vt:lpstr>'HR Track 5'!Print_Area</vt:lpstr>
      <vt:lpstr>'HR Track 6'!Print_Area</vt:lpstr>
      <vt:lpstr>'Mediciones TOTAL'!Print_Area</vt:lpstr>
      <vt:lpstr>'Recuento Conjuntos'!Print_Area</vt:lpstr>
      <vt:lpstr>'Recuento Especiales'!Print_Area</vt:lpstr>
      <vt:lpstr>'Revision Data'!Print_Area_TLV_v01</vt:lpstr>
      <vt:lpstr>'HR Track 1'!Print_Titles</vt:lpstr>
      <vt:lpstr>'HR Track 2'!Print_Titles</vt:lpstr>
      <vt:lpstr>'HR Track 3'!Print_Titles</vt:lpstr>
      <vt:lpstr>'HR Track 4'!Print_Titles</vt:lpstr>
      <vt:lpstr>'HR Track 5'!Print_Titles</vt:lpstr>
      <vt:lpstr>'HR Track 6'!Print_Titles</vt:lpstr>
      <vt:lpstr>'Mediciones TOTAL'!Print_Titles</vt:lpstr>
      <vt:lpstr>'Recuento Conjuntos'!Print_Titles</vt:lpstr>
      <vt:lpstr>'Recuento Especiales'!Print_Titles</vt:lpstr>
      <vt:lpstr>'Revision Data'!Print_Titles_TLV_v01</vt:lpstr>
      <vt:lpstr>'HR Track 1'!Títulos_a_imprimir</vt:lpstr>
      <vt:lpstr>'HR Track 2'!Títulos_a_imprimir</vt:lpstr>
      <vt:lpstr>'HR Track 3'!Títulos_a_imprimir</vt:lpstr>
      <vt:lpstr>'HR Track 4'!Títulos_a_imprimir</vt:lpstr>
      <vt:lpstr>'HR Track 5'!Títulos_a_imprimir</vt:lpstr>
      <vt:lpstr>'HR Track 6'!Títulos_a_imprimir</vt:lpstr>
      <vt:lpstr>'Revision Data'!Títulos_a_imprimir</vt:lpstr>
      <vt:lpstr>'Revision Data'!Títulos_a_imprimir_TLV_v01</vt:lpstr>
      <vt:lpstr>'Revision Data'!vanos_TLV_v01</vt:lpstr>
      <vt:lpstr>Vanos_v1</vt:lpstr>
      <vt:lpstr>vanos_v2</vt:lpstr>
      <vt:lpstr>vanos_v3</vt:lpstr>
      <vt:lpstr>vanos_v4</vt:lpstr>
    </vt:vector>
  </TitlesOfParts>
  <Company>aaa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B15PFX</dc:creator>
  <cp:lastModifiedBy>Sandra Dominguez Alvarez</cp:lastModifiedBy>
  <cp:lastPrinted>2019-05-23T12:10:59Z</cp:lastPrinted>
  <dcterms:created xsi:type="dcterms:W3CDTF">2004-11-10T08:21:46Z</dcterms:created>
  <dcterms:modified xsi:type="dcterms:W3CDTF">2019-08-27T08:33:04Z</dcterms:modified>
</cp:coreProperties>
</file>